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ml.chartshapes+xml"/>
  <Override PartName="/xl/charts/chart4.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5.xml" ContentType="application/vnd.openxmlformats-officedocument.drawingml.chart+xml"/>
  <Override PartName="/xl/drawings/drawing8.xml" ContentType="application/vnd.openxmlformats-officedocument.drawingml.chartshapes+xml"/>
  <Override PartName="/xl/charts/chart6.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charts/chart7.xml" ContentType="application/vnd.openxmlformats-officedocument.drawingml.chart+xml"/>
  <Override PartName="/xl/drawings/drawing11.xml" ContentType="application/vnd.openxmlformats-officedocument.drawingml.chartshapes+xml"/>
  <Override PartName="/xl/charts/chart8.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9.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10.xml" ContentType="application/vnd.openxmlformats-officedocument.drawingml.chart+xml"/>
  <Override PartName="/xl/drawings/drawing16.xml" ContentType="application/vnd.openxmlformats-officedocument.drawingml.chartshapes+xml"/>
  <Override PartName="/xl/charts/chart11.xml" ContentType="application/vnd.openxmlformats-officedocument.drawingml.chart+xml"/>
  <Override PartName="/xl/drawings/drawing17.xml" ContentType="application/vnd.openxmlformats-officedocument.drawingml.chartshapes+xml"/>
  <Override PartName="/xl/drawings/drawing18.xml" ContentType="application/vnd.openxmlformats-officedocument.drawing+xml"/>
  <Override PartName="/xl/charts/chart12.xml" ContentType="application/vnd.openxmlformats-officedocument.drawingml.chart+xml"/>
  <Override PartName="/xl/drawings/drawing19.xml" ContentType="application/vnd.openxmlformats-officedocument.drawingml.chartshapes+xml"/>
  <Override PartName="/xl/charts/chart13.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4.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5.xml" ContentType="application/vnd.openxmlformats-officedocument.drawingml.chart+xml"/>
  <Override PartName="/xl/drawings/drawing24.xml" ContentType="application/vnd.openxmlformats-officedocument.drawingml.chartshapes+xml"/>
  <Override PartName="/xl/charts/chart16.xml" ContentType="application/vnd.openxmlformats-officedocument.drawingml.chart+xml"/>
  <Override PartName="/xl/drawings/drawing25.xml" ContentType="application/vnd.openxmlformats-officedocument.drawingml.chartshapes+xml"/>
  <Override PartName="/xl/drawings/drawing26.xml" ContentType="application/vnd.openxmlformats-officedocument.drawing+xml"/>
  <Override PartName="/xl/charts/chart17.xml" ContentType="application/vnd.openxmlformats-officedocument.drawingml.chart+xml"/>
  <Override PartName="/xl/drawings/drawing27.xml" ContentType="application/vnd.openxmlformats-officedocument.drawingml.chartshapes+xml"/>
  <Override PartName="/xl/drawings/drawing28.xml" ContentType="application/vnd.openxmlformats-officedocument.drawing+xml"/>
  <Override PartName="/xl/charts/chart18.xml" ContentType="application/vnd.openxmlformats-officedocument.drawingml.chart+xml"/>
  <Override PartName="/xl/drawings/drawing29.xml" ContentType="application/vnd.openxmlformats-officedocument.drawingml.chartshapes+xml"/>
  <Override PartName="/xl/charts/chart19.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20.xml" ContentType="application/vnd.openxmlformats-officedocument.drawingml.chart+xml"/>
  <Override PartName="/xl/drawings/drawing32.xml" ContentType="application/vnd.openxmlformats-officedocument.drawingml.chartshapes+xml"/>
  <Override PartName="/xl/charts/chart21.xml" ContentType="application/vnd.openxmlformats-officedocument.drawingml.chart+xml"/>
  <Override PartName="/xl/drawings/drawing33.xml" ContentType="application/vnd.openxmlformats-officedocument.drawingml.chartshapes+xml"/>
  <Override PartName="/xl/drawings/drawing34.xml" ContentType="application/vnd.openxmlformats-officedocument.drawing+xml"/>
  <Override PartName="/xl/charts/chart22.xml" ContentType="application/vnd.openxmlformats-officedocument.drawingml.chart+xml"/>
  <Override PartName="/xl/drawings/drawing35.xml" ContentType="application/vnd.openxmlformats-officedocument.drawingml.chartshapes+xml"/>
  <Override PartName="/xl/charts/chart23.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24.xml" ContentType="application/vnd.openxmlformats-officedocument.drawingml.chart+xml"/>
  <Override PartName="/xl/drawings/drawing38.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Inverosimil.000\Documents\website\"/>
    </mc:Choice>
  </mc:AlternateContent>
  <bookViews>
    <workbookView xWindow="0" yWindow="0" windowWidth="22536" windowHeight="10320" tabRatio="830"/>
  </bookViews>
  <sheets>
    <sheet name="Index" sheetId="86" r:id="rId1"/>
    <sheet name="T-1" sheetId="58" r:id="rId2"/>
    <sheet name="T-2" sheetId="91" r:id="rId3"/>
    <sheet name="T-3" sheetId="57" r:id="rId4"/>
    <sheet name="T-4" sheetId="151" r:id="rId5"/>
    <sheet name="T-5" sheetId="130" r:id="rId6"/>
    <sheet name="F-1" sheetId="138" r:id="rId7"/>
    <sheet name="F-2" sheetId="140" r:id="rId8"/>
    <sheet name="F-3" sheetId="66" r:id="rId9"/>
    <sheet name="F-4" sheetId="98" r:id="rId10"/>
    <sheet name="F-5" sheetId="99" r:id="rId11"/>
    <sheet name="T-A1" sheetId="122" r:id="rId12"/>
    <sheet name="F-A1" sheetId="64" r:id="rId13"/>
    <sheet name="T-B1" sheetId="42" r:id="rId14"/>
    <sheet name="T-B2" sheetId="24" r:id="rId15"/>
    <sheet name="T-B3" sheetId="153" r:id="rId16"/>
    <sheet name="T-B4" sheetId="55" r:id="rId17"/>
    <sheet name="T-B5" sheetId="52" r:id="rId18"/>
    <sheet name="T-B6" sheetId="51" r:id="rId19"/>
    <sheet name="T-B7" sheetId="143" r:id="rId20"/>
    <sheet name="T-B8" sheetId="156" r:id="rId21"/>
    <sheet name="F-B1" sheetId="62" r:id="rId22"/>
    <sheet name="F-B2" sheetId="102" r:id="rId23"/>
    <sheet name="F-B3" sheetId="63" r:id="rId24"/>
    <sheet name="F-B4" sheetId="75" r:id="rId25"/>
    <sheet name="F-B5" sheetId="146" r:id="rId26"/>
    <sheet name="F-B6" sheetId="152" r:id="rId27"/>
    <sheet name="F-B7" sheetId="121" r:id="rId28"/>
    <sheet name="T-T0" sheetId="134" r:id="rId29"/>
    <sheet name="T-T1" sheetId="132" r:id="rId30"/>
    <sheet name="T-T1a" sheetId="114" r:id="rId31"/>
    <sheet name="T-T2" sheetId="119" r:id="rId32"/>
    <sheet name="T-T3" sheetId="110" r:id="rId33"/>
    <sheet name="T-T3a" sheetId="111" r:id="rId34"/>
    <sheet name="C0-Ref Stats" sheetId="73" r:id="rId35"/>
    <sheet name="C1-Incomes" sheetId="38" r:id="rId36"/>
    <sheet name="C2-Shares" sheetId="39" r:id="rId37"/>
    <sheet name="C3-Avg Income" sheetId="69" r:id="rId38"/>
    <sheet name="C4-Sources" sheetId="89" r:id="rId39"/>
    <sheet name="C5-Top Sources" sheetId="72" r:id="rId40"/>
    <sheet name="C5a-Shr by Source" sheetId="100" r:id="rId41"/>
    <sheet name="C6-Source Dist" sheetId="90" r:id="rId42"/>
    <sheet name="C7-Transf Dist" sheetId="95" r:id="rId43"/>
    <sheet name="C8-Tax Dist" sheetId="96" r:id="rId44"/>
    <sheet name="C9-Tax Rates" sheetId="97" r:id="rId45"/>
    <sheet name="C9a-Tax Rates" sheetId="158" r:id="rId46"/>
    <sheet name="C10-Adj by Source" sheetId="74" r:id="rId47"/>
    <sheet name="C11-ESI" sheetId="141" r:id="rId48"/>
    <sheet name="C12-CorpOwn" sheetId="80" r:id="rId49"/>
    <sheet name="C13-CapOwn" sheetId="93" r:id="rId50"/>
    <sheet name="C14-PS shares" sheetId="26" r:id="rId51"/>
    <sheet name="C15-Marriage" sheetId="43" r:id="rId52"/>
    <sheet name="C16-ShareCh" sheetId="54" r:id="rId53"/>
    <sheet name="C17-Over64" sheetId="145" r:id="rId54"/>
    <sheet name="C18-College" sheetId="116" r:id="rId55"/>
    <sheet name="C19-RetShares" sheetId="126" r:id="rId56"/>
    <sheet name="C20-Underrep Inc" sheetId="127" r:id="rId57"/>
    <sheet name="C21-Under20" sheetId="128" r:id="rId58"/>
    <sheet name="C22-Fiduciary" sheetId="129" r:id="rId59"/>
    <sheet name="C23-DCwealth" sheetId="131" r:id="rId60"/>
    <sheet name="C24-Estate" sheetId="133" r:id="rId61"/>
    <sheet name="C25-WageSplit" sheetId="136" r:id="rId62"/>
    <sheet name="C26-PSshare" sheetId="68" r:id="rId63"/>
    <sheet name="C27-PSZrepl" sheetId="149" r:id="rId64"/>
    <sheet name="TOTALS" sheetId="118" r:id="rId65"/>
    <sheet name="INPUTS" sheetId="87" r:id="rId66"/>
  </sheets>
  <calcPr calcId="15251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43" i="98" l="1"/>
  <c r="T44" i="98" s="1"/>
  <c r="S43" i="98"/>
  <c r="R43" i="98"/>
  <c r="T45" i="98"/>
  <c r="T46" i="98" s="1"/>
  <c r="S45" i="98"/>
  <c r="S46" i="98" s="1"/>
  <c r="R45" i="98"/>
  <c r="R46" i="98"/>
  <c r="R47" i="98"/>
  <c r="S47" i="98"/>
  <c r="T47" i="98"/>
  <c r="R48" i="98"/>
  <c r="S48" i="98"/>
  <c r="T48" i="98"/>
  <c r="R49" i="98"/>
  <c r="S49" i="98"/>
  <c r="T49" i="98"/>
  <c r="R50" i="98"/>
  <c r="S50" i="98"/>
  <c r="T50" i="98"/>
  <c r="R51" i="98"/>
  <c r="S51" i="98"/>
  <c r="T51" i="98"/>
  <c r="R52" i="98"/>
  <c r="S52" i="98"/>
  <c r="T52" i="98"/>
  <c r="R53" i="98"/>
  <c r="S53" i="98"/>
  <c r="T53" i="98"/>
  <c r="R54" i="98"/>
  <c r="S54" i="98"/>
  <c r="T54" i="98"/>
  <c r="R55" i="98"/>
  <c r="S55" i="98"/>
  <c r="T55" i="98"/>
  <c r="R56" i="98"/>
  <c r="S56" i="98"/>
  <c r="T56" i="98"/>
  <c r="R57" i="98"/>
  <c r="S57" i="98"/>
  <c r="T57" i="98"/>
  <c r="R58" i="98"/>
  <c r="S58" i="98"/>
  <c r="T58" i="98"/>
  <c r="R59" i="98"/>
  <c r="S59" i="98"/>
  <c r="T59" i="98"/>
  <c r="R60" i="98"/>
  <c r="S60" i="98"/>
  <c r="T60" i="98"/>
  <c r="R61" i="98"/>
  <c r="S61" i="98"/>
  <c r="T61" i="98"/>
  <c r="R62" i="98"/>
  <c r="S62" i="98"/>
  <c r="T62" i="98"/>
  <c r="R63" i="98"/>
  <c r="S63" i="98"/>
  <c r="T63" i="98"/>
  <c r="R64" i="98"/>
  <c r="S64" i="98"/>
  <c r="T64" i="98"/>
  <c r="R65" i="98"/>
  <c r="S65" i="98"/>
  <c r="T65" i="98"/>
  <c r="R66" i="98"/>
  <c r="S66" i="98"/>
  <c r="T66" i="98"/>
  <c r="R67" i="98"/>
  <c r="S67" i="98"/>
  <c r="T67" i="98"/>
  <c r="R68" i="98"/>
  <c r="S68" i="98"/>
  <c r="T68" i="98"/>
  <c r="R69" i="98"/>
  <c r="S69" i="98"/>
  <c r="T69" i="98"/>
  <c r="R70" i="98"/>
  <c r="S70" i="98"/>
  <c r="T70" i="98"/>
  <c r="R71" i="98"/>
  <c r="S71" i="98"/>
  <c r="T71" i="98"/>
  <c r="R72" i="98"/>
  <c r="S72" i="98"/>
  <c r="T72" i="98"/>
  <c r="R73" i="98"/>
  <c r="S73" i="98"/>
  <c r="T73" i="98"/>
  <c r="R74" i="98"/>
  <c r="S74" i="98"/>
  <c r="T74" i="98"/>
  <c r="R75" i="98"/>
  <c r="S75" i="98"/>
  <c r="T75" i="98"/>
  <c r="R76" i="98"/>
  <c r="S76" i="98"/>
  <c r="T76" i="98"/>
  <c r="R77" i="98"/>
  <c r="S77" i="98"/>
  <c r="T77" i="98"/>
  <c r="R78" i="98"/>
  <c r="S78" i="98"/>
  <c r="T78" i="98"/>
  <c r="R79" i="98"/>
  <c r="S79" i="98"/>
  <c r="T79" i="98"/>
  <c r="R80" i="98"/>
  <c r="S80" i="98"/>
  <c r="T80" i="98"/>
  <c r="R81" i="98"/>
  <c r="S81" i="98"/>
  <c r="T81" i="98"/>
  <c r="R82" i="98"/>
  <c r="S82" i="98"/>
  <c r="T82" i="98"/>
  <c r="R83" i="98"/>
  <c r="S83" i="98"/>
  <c r="T83" i="98"/>
  <c r="R84" i="98"/>
  <c r="S84" i="98"/>
  <c r="T84" i="98"/>
  <c r="R85" i="98"/>
  <c r="S85" i="98"/>
  <c r="T85" i="98"/>
  <c r="R86" i="98"/>
  <c r="S86" i="98"/>
  <c r="T86" i="98"/>
  <c r="R87" i="98"/>
  <c r="S87" i="98"/>
  <c r="T87" i="98"/>
  <c r="R88" i="98"/>
  <c r="S88" i="98"/>
  <c r="T88" i="98"/>
  <c r="R89" i="98"/>
  <c r="S89" i="98"/>
  <c r="T89" i="98"/>
  <c r="R90" i="98"/>
  <c r="S90" i="98"/>
  <c r="T90" i="98"/>
  <c r="R91" i="98"/>
  <c r="S91" i="98"/>
  <c r="T91" i="98"/>
  <c r="R92" i="98"/>
  <c r="S92" i="98"/>
  <c r="T92" i="98"/>
  <c r="R93" i="98"/>
  <c r="S93" i="98"/>
  <c r="T93" i="98"/>
  <c r="R94" i="98"/>
  <c r="S94" i="98"/>
  <c r="T94" i="98"/>
  <c r="R95" i="98"/>
  <c r="S95" i="98"/>
  <c r="T95" i="98"/>
  <c r="Q41" i="98"/>
  <c r="Q42" i="98"/>
  <c r="Q43" i="98"/>
  <c r="Q44" i="98"/>
  <c r="Q45" i="98"/>
  <c r="Q46" i="98"/>
  <c r="Q47" i="98"/>
  <c r="Q48" i="98"/>
  <c r="Q49" i="98"/>
  <c r="Q50" i="98"/>
  <c r="Q51" i="98"/>
  <c r="Q52" i="98"/>
  <c r="P42" i="98"/>
  <c r="P43" i="98"/>
  <c r="P44" i="98"/>
  <c r="P45" i="98"/>
  <c r="P46" i="98"/>
  <c r="P47" i="98"/>
  <c r="P48" i="98"/>
  <c r="P49" i="98"/>
  <c r="P50" i="98"/>
  <c r="P51" i="98"/>
  <c r="P52" i="98"/>
  <c r="Q96" i="98"/>
  <c r="P96" i="98"/>
  <c r="Q95" i="98"/>
  <c r="P95" i="98"/>
  <c r="T96" i="98"/>
  <c r="S96" i="98"/>
  <c r="R96" i="98"/>
  <c r="Q94" i="98"/>
  <c r="P94" i="98"/>
  <c r="Q93" i="98"/>
  <c r="P93" i="98"/>
  <c r="Q92" i="98"/>
  <c r="P92" i="98"/>
  <c r="Q91" i="98"/>
  <c r="P91" i="98"/>
  <c r="Q90" i="98"/>
  <c r="P90" i="98"/>
  <c r="Q89" i="98"/>
  <c r="P89" i="98"/>
  <c r="Q88" i="98"/>
  <c r="P88" i="98"/>
  <c r="Q87" i="98"/>
  <c r="P87" i="98"/>
  <c r="Q86" i="98"/>
  <c r="P86" i="98"/>
  <c r="Q85" i="98"/>
  <c r="P85" i="98"/>
  <c r="Q84" i="98"/>
  <c r="P84" i="98"/>
  <c r="Q83" i="98"/>
  <c r="P83" i="98"/>
  <c r="Q82" i="98"/>
  <c r="P82" i="98"/>
  <c r="Q81" i="98"/>
  <c r="P81" i="98"/>
  <c r="Q80" i="98"/>
  <c r="P80" i="98"/>
  <c r="Q79" i="98"/>
  <c r="P79" i="98"/>
  <c r="Q78" i="98"/>
  <c r="P78" i="98"/>
  <c r="Q77" i="98"/>
  <c r="P77" i="98"/>
  <c r="Q76" i="98"/>
  <c r="P76" i="98"/>
  <c r="Q75" i="98"/>
  <c r="P75" i="98"/>
  <c r="Q74" i="98"/>
  <c r="P74" i="98"/>
  <c r="Q73" i="98"/>
  <c r="P73" i="98"/>
  <c r="Q72" i="98"/>
  <c r="P72" i="98"/>
  <c r="Q71" i="98"/>
  <c r="P71" i="98"/>
  <c r="Q70" i="98"/>
  <c r="P70" i="98"/>
  <c r="Q69" i="98"/>
  <c r="P69" i="98"/>
  <c r="Q68" i="98"/>
  <c r="P68" i="98"/>
  <c r="Q67" i="98"/>
  <c r="P67" i="98"/>
  <c r="Q66" i="98"/>
  <c r="P66" i="98"/>
  <c r="Q65" i="98"/>
  <c r="P65" i="98"/>
  <c r="Q64" i="98"/>
  <c r="P64" i="98"/>
  <c r="Q63" i="98"/>
  <c r="P63" i="98"/>
  <c r="Q62" i="98"/>
  <c r="P62" i="98"/>
  <c r="Q61" i="98"/>
  <c r="P61" i="98"/>
  <c r="Q60" i="98"/>
  <c r="P60" i="98"/>
  <c r="Q59" i="98"/>
  <c r="P59" i="98"/>
  <c r="Q58" i="98"/>
  <c r="P58" i="98"/>
  <c r="Q57" i="98"/>
  <c r="P57" i="98"/>
  <c r="Q56" i="98"/>
  <c r="P56" i="98"/>
  <c r="Q55" i="98"/>
  <c r="P55" i="98"/>
  <c r="Q54" i="98"/>
  <c r="P54" i="98"/>
  <c r="Q53" i="98"/>
  <c r="P53" i="98"/>
  <c r="Z36" i="152"/>
  <c r="P41" i="98"/>
  <c r="S44" i="98" l="1"/>
  <c r="R44" i="98"/>
  <c r="E89" i="146"/>
  <c r="C89" i="146"/>
  <c r="D89" i="146"/>
  <c r="IV61" i="39" l="1"/>
  <c r="IU61" i="39"/>
  <c r="IT61" i="39"/>
  <c r="IS61" i="39"/>
  <c r="IR61" i="39"/>
  <c r="IQ61" i="39"/>
  <c r="IV60" i="39"/>
  <c r="IU60" i="39"/>
  <c r="IT60" i="39"/>
  <c r="IS60" i="39"/>
  <c r="IR60" i="39"/>
  <c r="IQ60" i="39"/>
  <c r="IV59" i="39"/>
  <c r="IU59" i="39"/>
  <c r="IT59" i="39"/>
  <c r="IS59" i="39"/>
  <c r="IR59" i="39"/>
  <c r="IQ59" i="39"/>
  <c r="IV58" i="39"/>
  <c r="IU58" i="39"/>
  <c r="IT58" i="39"/>
  <c r="IS58" i="39"/>
  <c r="IR58" i="39"/>
  <c r="IQ58" i="39"/>
  <c r="IV57" i="39"/>
  <c r="IU57" i="39"/>
  <c r="IT57" i="39"/>
  <c r="IS57" i="39"/>
  <c r="IR57" i="39"/>
  <c r="IQ57" i="39"/>
  <c r="IV56" i="39"/>
  <c r="IU56" i="39"/>
  <c r="IT56" i="39"/>
  <c r="IS56" i="39"/>
  <c r="IR56" i="39"/>
  <c r="IQ56" i="39"/>
  <c r="IV55" i="39"/>
  <c r="IU55" i="39"/>
  <c r="IT55" i="39"/>
  <c r="IS55" i="39"/>
  <c r="IR55" i="39"/>
  <c r="IQ55" i="39"/>
  <c r="IV54" i="39"/>
  <c r="IU54" i="39"/>
  <c r="IT54" i="39"/>
  <c r="IS54" i="39"/>
  <c r="IR54" i="39"/>
  <c r="IQ54" i="39"/>
  <c r="IV53" i="39"/>
  <c r="IU53" i="39"/>
  <c r="IT53" i="39"/>
  <c r="IS53" i="39"/>
  <c r="IR53" i="39"/>
  <c r="IQ53" i="39"/>
  <c r="IV52" i="39"/>
  <c r="IU52" i="39"/>
  <c r="IT52" i="39"/>
  <c r="IS52" i="39"/>
  <c r="IR52" i="39"/>
  <c r="IQ52" i="39"/>
  <c r="IV51" i="39"/>
  <c r="IU51" i="39"/>
  <c r="IT51" i="39"/>
  <c r="IS51" i="39"/>
  <c r="IR51" i="39"/>
  <c r="IQ51" i="39"/>
  <c r="IV50" i="39"/>
  <c r="IU50" i="39"/>
  <c r="IT50" i="39"/>
  <c r="IS50" i="39"/>
  <c r="IR50" i="39"/>
  <c r="IQ50" i="39"/>
  <c r="IV49" i="39"/>
  <c r="IU49" i="39"/>
  <c r="IT49" i="39"/>
  <c r="IS49" i="39"/>
  <c r="IR49" i="39"/>
  <c r="IQ49" i="39"/>
  <c r="IV48" i="39"/>
  <c r="IU48" i="39"/>
  <c r="IT48" i="39"/>
  <c r="IS48" i="39"/>
  <c r="IR48" i="39"/>
  <c r="IQ48" i="39"/>
  <c r="IV47" i="39"/>
  <c r="IU47" i="39"/>
  <c r="IT47" i="39"/>
  <c r="IS47" i="39"/>
  <c r="IR47" i="39"/>
  <c r="IQ47" i="39"/>
  <c r="IV46" i="39"/>
  <c r="IU46" i="39"/>
  <c r="IT46" i="39"/>
  <c r="IS46" i="39"/>
  <c r="IR46" i="39"/>
  <c r="IQ46" i="39"/>
  <c r="IV45" i="39"/>
  <c r="IU45" i="39"/>
  <c r="IT45" i="39"/>
  <c r="IS45" i="39"/>
  <c r="IR45" i="39"/>
  <c r="IQ45" i="39"/>
  <c r="IV44" i="39"/>
  <c r="IU44" i="39"/>
  <c r="IT44" i="39"/>
  <c r="IS44" i="39"/>
  <c r="IR44" i="39"/>
  <c r="IQ44" i="39"/>
  <c r="IV43" i="39"/>
  <c r="IU43" i="39"/>
  <c r="IT43" i="39"/>
  <c r="IS43" i="39"/>
  <c r="IR43" i="39"/>
  <c r="IQ43" i="39"/>
  <c r="IV42" i="39"/>
  <c r="IU42" i="39"/>
  <c r="IT42" i="39"/>
  <c r="IS42" i="39"/>
  <c r="IR42" i="39"/>
  <c r="IQ42" i="39"/>
  <c r="IV41" i="39"/>
  <c r="IU41" i="39"/>
  <c r="IT41" i="39"/>
  <c r="IS41" i="39"/>
  <c r="IR41" i="39"/>
  <c r="IQ41" i="39"/>
  <c r="IV40" i="39"/>
  <c r="IU40" i="39"/>
  <c r="IT40" i="39"/>
  <c r="IS40" i="39"/>
  <c r="IR40" i="39"/>
  <c r="IQ40" i="39"/>
  <c r="IV39" i="39"/>
  <c r="IU39" i="39"/>
  <c r="IT39" i="39"/>
  <c r="IS39" i="39"/>
  <c r="IR39" i="39"/>
  <c r="IQ39" i="39"/>
  <c r="IV38" i="39"/>
  <c r="IU38" i="39"/>
  <c r="IT38" i="39"/>
  <c r="IS38" i="39"/>
  <c r="IR38" i="39"/>
  <c r="IQ38" i="39"/>
  <c r="IV37" i="39"/>
  <c r="IU37" i="39"/>
  <c r="IT37" i="39"/>
  <c r="IS37" i="39"/>
  <c r="IR37" i="39"/>
  <c r="IQ37" i="39"/>
  <c r="IV36" i="39"/>
  <c r="IU36" i="39"/>
  <c r="IT36" i="39"/>
  <c r="IS36" i="39"/>
  <c r="IR36" i="39"/>
  <c r="IQ36" i="39"/>
  <c r="IV35" i="39"/>
  <c r="IU35" i="39"/>
  <c r="IT35" i="39"/>
  <c r="IS35" i="39"/>
  <c r="IR35" i="39"/>
  <c r="IQ35" i="39"/>
  <c r="IV34" i="39"/>
  <c r="IU34" i="39"/>
  <c r="IT34" i="39"/>
  <c r="IS34" i="39"/>
  <c r="IR34" i="39"/>
  <c r="IQ34" i="39"/>
  <c r="IV33" i="39"/>
  <c r="IU33" i="39"/>
  <c r="IT33" i="39"/>
  <c r="IS33" i="39"/>
  <c r="IR33" i="39"/>
  <c r="IQ33" i="39"/>
  <c r="IV32" i="39"/>
  <c r="IU32" i="39"/>
  <c r="IT32" i="39"/>
  <c r="IS32" i="39"/>
  <c r="IR32" i="39"/>
  <c r="IQ32" i="39"/>
  <c r="IV31" i="39"/>
  <c r="IU31" i="39"/>
  <c r="IT31" i="39"/>
  <c r="IS31" i="39"/>
  <c r="IR31" i="39"/>
  <c r="IQ31" i="39"/>
  <c r="IV30" i="39"/>
  <c r="IU30" i="39"/>
  <c r="IT30" i="39"/>
  <c r="IS30" i="39"/>
  <c r="IR30" i="39"/>
  <c r="IQ30" i="39"/>
  <c r="IV29" i="39"/>
  <c r="IU29" i="39"/>
  <c r="IT29" i="39"/>
  <c r="IS29" i="39"/>
  <c r="IR29" i="39"/>
  <c r="IQ29" i="39"/>
  <c r="IV28" i="39"/>
  <c r="IU28" i="39"/>
  <c r="IT28" i="39"/>
  <c r="IS28" i="39"/>
  <c r="IR28" i="39"/>
  <c r="IQ28" i="39"/>
  <c r="IV27" i="39"/>
  <c r="IU27" i="39"/>
  <c r="IT27" i="39"/>
  <c r="IS27" i="39"/>
  <c r="IR27" i="39"/>
  <c r="IQ27" i="39"/>
  <c r="IV26" i="39"/>
  <c r="IU26" i="39"/>
  <c r="IT26" i="39"/>
  <c r="IS26" i="39"/>
  <c r="IR26" i="39"/>
  <c r="IQ26" i="39"/>
  <c r="IV25" i="39"/>
  <c r="IU25" i="39"/>
  <c r="IT25" i="39"/>
  <c r="IS25" i="39"/>
  <c r="IR25" i="39"/>
  <c r="IQ25" i="39"/>
  <c r="IV24" i="39"/>
  <c r="IU24" i="39"/>
  <c r="IT24" i="39"/>
  <c r="IS24" i="39"/>
  <c r="IR24" i="39"/>
  <c r="IQ24" i="39"/>
  <c r="IV23" i="39"/>
  <c r="IU23" i="39"/>
  <c r="IT23" i="39"/>
  <c r="IS23" i="39"/>
  <c r="IR23" i="39"/>
  <c r="IQ23" i="39"/>
  <c r="IV22" i="39"/>
  <c r="IU22" i="39"/>
  <c r="IT22" i="39"/>
  <c r="IS22" i="39"/>
  <c r="IR22" i="39"/>
  <c r="IQ22" i="39"/>
  <c r="IV21" i="39"/>
  <c r="IU21" i="39"/>
  <c r="IT21" i="39"/>
  <c r="IS21" i="39"/>
  <c r="IR21" i="39"/>
  <c r="IQ21" i="39"/>
  <c r="IV20" i="39"/>
  <c r="IU20" i="39"/>
  <c r="IT20" i="39"/>
  <c r="IS20" i="39"/>
  <c r="IR20" i="39"/>
  <c r="IQ20" i="39"/>
  <c r="IV19" i="39"/>
  <c r="IU19" i="39"/>
  <c r="IT19" i="39"/>
  <c r="IS19" i="39"/>
  <c r="IR19" i="39"/>
  <c r="IQ19" i="39"/>
  <c r="IV18" i="39"/>
  <c r="IU18" i="39"/>
  <c r="IT18" i="39"/>
  <c r="IS18" i="39"/>
  <c r="IR18" i="39"/>
  <c r="IQ18" i="39"/>
  <c r="IV17" i="39"/>
  <c r="IU17" i="39"/>
  <c r="IT17" i="39"/>
  <c r="IS17" i="39"/>
  <c r="IR17" i="39"/>
  <c r="IQ17" i="39"/>
  <c r="IV16" i="39"/>
  <c r="IU16" i="39"/>
  <c r="IT16" i="39"/>
  <c r="IS16" i="39"/>
  <c r="IR16" i="39"/>
  <c r="IQ16" i="39"/>
  <c r="IV15" i="39"/>
  <c r="IU15" i="39"/>
  <c r="IT15" i="39"/>
  <c r="IS15" i="39"/>
  <c r="IR15" i="39"/>
  <c r="IQ15" i="39"/>
  <c r="IV14" i="39"/>
  <c r="IU14" i="39"/>
  <c r="IT14" i="39"/>
  <c r="IS14" i="39"/>
  <c r="IR14" i="39"/>
  <c r="IQ14" i="39"/>
  <c r="IV13" i="39"/>
  <c r="IU13" i="39"/>
  <c r="IT13" i="39"/>
  <c r="IS13" i="39"/>
  <c r="IR13" i="39"/>
  <c r="IQ13" i="39"/>
  <c r="IV12" i="39"/>
  <c r="IU12" i="39"/>
  <c r="IT12" i="39"/>
  <c r="IS12" i="39"/>
  <c r="IR12" i="39"/>
  <c r="IQ12" i="39"/>
  <c r="IV11" i="39"/>
  <c r="IU11" i="39"/>
  <c r="IT11" i="39"/>
  <c r="IS11" i="39"/>
  <c r="IR11" i="39"/>
  <c r="IQ11" i="39"/>
  <c r="IV10" i="39"/>
  <c r="IU10" i="39"/>
  <c r="IT10" i="39"/>
  <c r="IS10" i="39"/>
  <c r="IR10" i="39"/>
  <c r="IQ10" i="39"/>
  <c r="IV9" i="39"/>
  <c r="IU9" i="39"/>
  <c r="IT9" i="39"/>
  <c r="IS9" i="39"/>
  <c r="IR9" i="39"/>
  <c r="IQ9" i="39"/>
  <c r="IV8" i="39"/>
  <c r="IU8" i="39"/>
  <c r="IT8" i="39"/>
  <c r="IS8" i="39"/>
  <c r="IR8" i="39"/>
  <c r="IQ8" i="39"/>
  <c r="IV7" i="39"/>
  <c r="IU7" i="39"/>
  <c r="IT7" i="39"/>
  <c r="IS7" i="39"/>
  <c r="IR7" i="39"/>
  <c r="IQ7" i="39"/>
  <c r="IV6" i="39"/>
  <c r="IU6" i="39"/>
  <c r="IT6" i="39"/>
  <c r="IS6" i="39"/>
  <c r="IR6" i="39"/>
  <c r="IQ6" i="39"/>
  <c r="L146" i="126" l="1"/>
  <c r="H159" i="126"/>
  <c r="H152" i="126"/>
  <c r="B34" i="146" l="1"/>
  <c r="B38" i="146"/>
  <c r="AX61" i="97" l="1"/>
  <c r="C34" i="146" l="1"/>
  <c r="Z25" i="39" l="1"/>
  <c r="CC60" i="158" l="1"/>
  <c r="CB60" i="158"/>
  <c r="CA60" i="158"/>
  <c r="BZ60" i="158"/>
  <c r="BY60" i="158"/>
  <c r="BX60" i="158"/>
  <c r="BT60" i="158"/>
  <c r="BS60" i="158"/>
  <c r="BR60" i="158"/>
  <c r="BQ60" i="158"/>
  <c r="BP60" i="158"/>
  <c r="BO60" i="158"/>
  <c r="BK60" i="158"/>
  <c r="BJ60" i="158"/>
  <c r="BI60" i="158"/>
  <c r="BH60" i="158"/>
  <c r="BG60" i="158"/>
  <c r="BF60" i="158"/>
  <c r="BB60" i="158"/>
  <c r="BA60" i="158"/>
  <c r="AZ60" i="158"/>
  <c r="AY60" i="158"/>
  <c r="AX60" i="158"/>
  <c r="AW60" i="158"/>
  <c r="AS60" i="158"/>
  <c r="AR60" i="158"/>
  <c r="AQ60" i="158"/>
  <c r="AP60" i="158"/>
  <c r="AO60" i="158"/>
  <c r="AN60" i="158"/>
  <c r="AJ60" i="158"/>
  <c r="AI60" i="158"/>
  <c r="AH60" i="158"/>
  <c r="AG60" i="158"/>
  <c r="AF60" i="158"/>
  <c r="AE60" i="158"/>
  <c r="AA60" i="158"/>
  <c r="Z60" i="158"/>
  <c r="Y60" i="158"/>
  <c r="X60" i="158"/>
  <c r="W60" i="158"/>
  <c r="V60" i="158"/>
  <c r="CC59" i="158"/>
  <c r="CB59" i="158"/>
  <c r="CA59" i="158"/>
  <c r="BZ59" i="158"/>
  <c r="BY59" i="158"/>
  <c r="BX59" i="158"/>
  <c r="BT59" i="158"/>
  <c r="BS59" i="158"/>
  <c r="BR59" i="158"/>
  <c r="BQ59" i="158"/>
  <c r="BP59" i="158"/>
  <c r="BO59" i="158"/>
  <c r="BK59" i="158"/>
  <c r="BJ59" i="158"/>
  <c r="BI59" i="158"/>
  <c r="BH59" i="158"/>
  <c r="BG59" i="158"/>
  <c r="BF59" i="158"/>
  <c r="BB59" i="158"/>
  <c r="BA59" i="158"/>
  <c r="AZ59" i="158"/>
  <c r="AY59" i="158"/>
  <c r="AX59" i="158"/>
  <c r="AW59" i="158"/>
  <c r="AS59" i="158"/>
  <c r="AR59" i="158"/>
  <c r="AQ59" i="158"/>
  <c r="AP59" i="158"/>
  <c r="AO59" i="158"/>
  <c r="AN59" i="158"/>
  <c r="AJ59" i="158"/>
  <c r="AI59" i="158"/>
  <c r="AH59" i="158"/>
  <c r="AG59" i="158"/>
  <c r="AF59" i="158"/>
  <c r="AE59" i="158"/>
  <c r="AA59" i="158"/>
  <c r="R59" i="158" s="1"/>
  <c r="Z59" i="158"/>
  <c r="Y59" i="158"/>
  <c r="X59" i="158"/>
  <c r="W59" i="158"/>
  <c r="V59" i="158"/>
  <c r="CC58" i="158"/>
  <c r="CB58" i="158"/>
  <c r="CA58" i="158"/>
  <c r="BZ58" i="158"/>
  <c r="BY58" i="158"/>
  <c r="BX58" i="158"/>
  <c r="BT58" i="158"/>
  <c r="BS58" i="158"/>
  <c r="BR58" i="158"/>
  <c r="BQ58" i="158"/>
  <c r="BP58" i="158"/>
  <c r="BO58" i="158"/>
  <c r="BK58" i="158"/>
  <c r="BJ58" i="158"/>
  <c r="BI58" i="158"/>
  <c r="BH58" i="158"/>
  <c r="BG58" i="158"/>
  <c r="BF58" i="158"/>
  <c r="BB58" i="158"/>
  <c r="BA58" i="158"/>
  <c r="AZ58" i="158"/>
  <c r="AY58" i="158"/>
  <c r="AX58" i="158"/>
  <c r="AW58" i="158"/>
  <c r="AS58" i="158"/>
  <c r="AR58" i="158"/>
  <c r="AQ58" i="158"/>
  <c r="AP58" i="158"/>
  <c r="AO58" i="158"/>
  <c r="AN58" i="158"/>
  <c r="AJ58" i="158"/>
  <c r="AI58" i="158"/>
  <c r="AH58" i="158"/>
  <c r="AG58" i="158"/>
  <c r="AF58" i="158"/>
  <c r="AE58" i="158"/>
  <c r="AA58" i="158"/>
  <c r="Z58" i="158"/>
  <c r="Y58" i="158"/>
  <c r="X58" i="158"/>
  <c r="W58" i="158"/>
  <c r="V58" i="158"/>
  <c r="CC57" i="158"/>
  <c r="CB57" i="158"/>
  <c r="CA57" i="158"/>
  <c r="BZ57" i="158"/>
  <c r="BY57" i="158"/>
  <c r="BX57" i="158"/>
  <c r="BT57" i="158"/>
  <c r="BS57" i="158"/>
  <c r="BR57" i="158"/>
  <c r="BQ57" i="158"/>
  <c r="BP57" i="158"/>
  <c r="BO57" i="158"/>
  <c r="BK57" i="158"/>
  <c r="BJ57" i="158"/>
  <c r="BI57" i="158"/>
  <c r="BH57" i="158"/>
  <c r="BG57" i="158"/>
  <c r="BF57" i="158"/>
  <c r="BB57" i="158"/>
  <c r="BA57" i="158"/>
  <c r="AZ57" i="158"/>
  <c r="AY57" i="158"/>
  <c r="AX57" i="158"/>
  <c r="AW57" i="158"/>
  <c r="AS57" i="158"/>
  <c r="AR57" i="158"/>
  <c r="AQ57" i="158"/>
  <c r="AP57" i="158"/>
  <c r="AO57" i="158"/>
  <c r="AN57" i="158"/>
  <c r="AJ57" i="158"/>
  <c r="AI57" i="158"/>
  <c r="AH57" i="158"/>
  <c r="AG57" i="158"/>
  <c r="AF57" i="158"/>
  <c r="AE57" i="158"/>
  <c r="AA57" i="158"/>
  <c r="Z57" i="158"/>
  <c r="Y57" i="158"/>
  <c r="X57" i="158"/>
  <c r="W57" i="158"/>
  <c r="V57" i="158"/>
  <c r="CC56" i="158"/>
  <c r="CB56" i="158"/>
  <c r="CA56" i="158"/>
  <c r="BZ56" i="158"/>
  <c r="BY56" i="158"/>
  <c r="BX56" i="158"/>
  <c r="BT56" i="158"/>
  <c r="BS56" i="158"/>
  <c r="BR56" i="158"/>
  <c r="BQ56" i="158"/>
  <c r="BP56" i="158"/>
  <c r="BO56" i="158"/>
  <c r="BK56" i="158"/>
  <c r="BJ56" i="158"/>
  <c r="BI56" i="158"/>
  <c r="BH56" i="158"/>
  <c r="BG56" i="158"/>
  <c r="BF56" i="158"/>
  <c r="BB56" i="158"/>
  <c r="BA56" i="158"/>
  <c r="AZ56" i="158"/>
  <c r="AY56" i="158"/>
  <c r="AX56" i="158"/>
  <c r="AW56" i="158"/>
  <c r="AS56" i="158"/>
  <c r="AR56" i="158"/>
  <c r="AQ56" i="158"/>
  <c r="AP56" i="158"/>
  <c r="AO56" i="158"/>
  <c r="AN56" i="158"/>
  <c r="AJ56" i="158"/>
  <c r="AI56" i="158"/>
  <c r="AH56" i="158"/>
  <c r="AG56" i="158"/>
  <c r="AF56" i="158"/>
  <c r="AE56" i="158"/>
  <c r="AA56" i="158"/>
  <c r="Z56" i="158"/>
  <c r="Y56" i="158"/>
  <c r="X56" i="158"/>
  <c r="W56" i="158"/>
  <c r="V56" i="158"/>
  <c r="CC55" i="158"/>
  <c r="CB55" i="158"/>
  <c r="CA55" i="158"/>
  <c r="BZ55" i="158"/>
  <c r="BY55" i="158"/>
  <c r="BX55" i="158"/>
  <c r="BT55" i="158"/>
  <c r="BS55" i="158"/>
  <c r="BR55" i="158"/>
  <c r="BQ55" i="158"/>
  <c r="BP55" i="158"/>
  <c r="BO55" i="158"/>
  <c r="BK55" i="158"/>
  <c r="BJ55" i="158"/>
  <c r="BI55" i="158"/>
  <c r="BH55" i="158"/>
  <c r="BG55" i="158"/>
  <c r="BF55" i="158"/>
  <c r="BB55" i="158"/>
  <c r="BA55" i="158"/>
  <c r="AZ55" i="158"/>
  <c r="AY55" i="158"/>
  <c r="AX55" i="158"/>
  <c r="AW55" i="158"/>
  <c r="AS55" i="158"/>
  <c r="AR55" i="158"/>
  <c r="AQ55" i="158"/>
  <c r="AP55" i="158"/>
  <c r="AO55" i="158"/>
  <c r="AN55" i="158"/>
  <c r="AJ55" i="158"/>
  <c r="AI55" i="158"/>
  <c r="AH55" i="158"/>
  <c r="AG55" i="158"/>
  <c r="AF55" i="158"/>
  <c r="AE55" i="158"/>
  <c r="AA55" i="158"/>
  <c r="Z55" i="158"/>
  <c r="Y55" i="158"/>
  <c r="X55" i="158"/>
  <c r="W55" i="158"/>
  <c r="V55" i="158"/>
  <c r="CC54" i="158"/>
  <c r="CB54" i="158"/>
  <c r="CA54" i="158"/>
  <c r="BZ54" i="158"/>
  <c r="BY54" i="158"/>
  <c r="BX54" i="158"/>
  <c r="BT54" i="158"/>
  <c r="BS54" i="158"/>
  <c r="BR54" i="158"/>
  <c r="BQ54" i="158"/>
  <c r="BP54" i="158"/>
  <c r="BO54" i="158"/>
  <c r="BK54" i="158"/>
  <c r="BJ54" i="158"/>
  <c r="BI54" i="158"/>
  <c r="BH54" i="158"/>
  <c r="BG54" i="158"/>
  <c r="BF54" i="158"/>
  <c r="BB54" i="158"/>
  <c r="BA54" i="158"/>
  <c r="AZ54" i="158"/>
  <c r="AY54" i="158"/>
  <c r="AX54" i="158"/>
  <c r="AW54" i="158"/>
  <c r="AS54" i="158"/>
  <c r="AR54" i="158"/>
  <c r="AQ54" i="158"/>
  <c r="AP54" i="158"/>
  <c r="AO54" i="158"/>
  <c r="AN54" i="158"/>
  <c r="AJ54" i="158"/>
  <c r="AI54" i="158"/>
  <c r="AH54" i="158"/>
  <c r="AG54" i="158"/>
  <c r="AF54" i="158"/>
  <c r="AE54" i="158"/>
  <c r="AA54" i="158"/>
  <c r="Z54" i="158"/>
  <c r="Y54" i="158"/>
  <c r="X54" i="158"/>
  <c r="W54" i="158"/>
  <c r="V54" i="158"/>
  <c r="CC53" i="158"/>
  <c r="CB53" i="158"/>
  <c r="CA53" i="158"/>
  <c r="BZ53" i="158"/>
  <c r="BY53" i="158"/>
  <c r="BX53" i="158"/>
  <c r="BT53" i="158"/>
  <c r="BS53" i="158"/>
  <c r="BR53" i="158"/>
  <c r="BQ53" i="158"/>
  <c r="BP53" i="158"/>
  <c r="BO53" i="158"/>
  <c r="BK53" i="158"/>
  <c r="BJ53" i="158"/>
  <c r="BI53" i="158"/>
  <c r="BH53" i="158"/>
  <c r="BG53" i="158"/>
  <c r="BF53" i="158"/>
  <c r="BB53" i="158"/>
  <c r="BA53" i="158"/>
  <c r="AZ53" i="158"/>
  <c r="AY53" i="158"/>
  <c r="AX53" i="158"/>
  <c r="AW53" i="158"/>
  <c r="AS53" i="158"/>
  <c r="AR53" i="158"/>
  <c r="AQ53" i="158"/>
  <c r="AP53" i="158"/>
  <c r="AO53" i="158"/>
  <c r="AN53" i="158"/>
  <c r="AJ53" i="158"/>
  <c r="AI53" i="158"/>
  <c r="AH53" i="158"/>
  <c r="P53" i="158" s="1"/>
  <c r="AG53" i="158"/>
  <c r="AF53" i="158"/>
  <c r="AE53" i="158"/>
  <c r="AA53" i="158"/>
  <c r="Z53" i="158"/>
  <c r="Y53" i="158"/>
  <c r="X53" i="158"/>
  <c r="W53" i="158"/>
  <c r="V53" i="158"/>
  <c r="CC52" i="158"/>
  <c r="CB52" i="158"/>
  <c r="CA52" i="158"/>
  <c r="BZ52" i="158"/>
  <c r="BY52" i="158"/>
  <c r="BX52" i="158"/>
  <c r="BT52" i="158"/>
  <c r="BS52" i="158"/>
  <c r="BR52" i="158"/>
  <c r="BQ52" i="158"/>
  <c r="BP52" i="158"/>
  <c r="BO52" i="158"/>
  <c r="BK52" i="158"/>
  <c r="BJ52" i="158"/>
  <c r="BI52" i="158"/>
  <c r="BH52" i="158"/>
  <c r="BG52" i="158"/>
  <c r="BF52" i="158"/>
  <c r="BB52" i="158"/>
  <c r="BA52" i="158"/>
  <c r="AZ52" i="158"/>
  <c r="AY52" i="158"/>
  <c r="AX52" i="158"/>
  <c r="AW52" i="158"/>
  <c r="AS52" i="158"/>
  <c r="AR52" i="158"/>
  <c r="AQ52" i="158"/>
  <c r="AP52" i="158"/>
  <c r="AO52" i="158"/>
  <c r="AN52" i="158"/>
  <c r="AJ52" i="158"/>
  <c r="AI52" i="158"/>
  <c r="AH52" i="158"/>
  <c r="AG52" i="158"/>
  <c r="AF52" i="158"/>
  <c r="AE52" i="158"/>
  <c r="AA52" i="158"/>
  <c r="Z52" i="158"/>
  <c r="Y52" i="158"/>
  <c r="X52" i="158"/>
  <c r="W52" i="158"/>
  <c r="V52" i="158"/>
  <c r="CC51" i="158"/>
  <c r="CB51" i="158"/>
  <c r="CA51" i="158"/>
  <c r="BZ51" i="158"/>
  <c r="BY51" i="158"/>
  <c r="BX51" i="158"/>
  <c r="BT51" i="158"/>
  <c r="BS51" i="158"/>
  <c r="BR51" i="158"/>
  <c r="BQ51" i="158"/>
  <c r="BP51" i="158"/>
  <c r="BO51" i="158"/>
  <c r="BK51" i="158"/>
  <c r="BJ51" i="158"/>
  <c r="BI51" i="158"/>
  <c r="BH51" i="158"/>
  <c r="BG51" i="158"/>
  <c r="BF51" i="158"/>
  <c r="BB51" i="158"/>
  <c r="BA51" i="158"/>
  <c r="AZ51" i="158"/>
  <c r="AY51" i="158"/>
  <c r="AX51" i="158"/>
  <c r="AW51" i="158"/>
  <c r="AS51" i="158"/>
  <c r="AR51" i="158"/>
  <c r="AQ51" i="158"/>
  <c r="AP51" i="158"/>
  <c r="AO51" i="158"/>
  <c r="AN51" i="158"/>
  <c r="AJ51" i="158"/>
  <c r="AI51" i="158"/>
  <c r="AH51" i="158"/>
  <c r="AG51" i="158"/>
  <c r="AF51" i="158"/>
  <c r="AE51" i="158"/>
  <c r="AA51" i="158"/>
  <c r="Z51" i="158"/>
  <c r="Y51" i="158"/>
  <c r="X51" i="158"/>
  <c r="W51" i="158"/>
  <c r="V51" i="158"/>
  <c r="CC50" i="158"/>
  <c r="CB50" i="158"/>
  <c r="CA50" i="158"/>
  <c r="BZ50" i="158"/>
  <c r="BY50" i="158"/>
  <c r="BX50" i="158"/>
  <c r="BT50" i="158"/>
  <c r="BS50" i="158"/>
  <c r="BR50" i="158"/>
  <c r="BQ50" i="158"/>
  <c r="BP50" i="158"/>
  <c r="BO50" i="158"/>
  <c r="BK50" i="158"/>
  <c r="BJ50" i="158"/>
  <c r="BI50" i="158"/>
  <c r="BH50" i="158"/>
  <c r="BG50" i="158"/>
  <c r="BF50" i="158"/>
  <c r="BB50" i="158"/>
  <c r="BA50" i="158"/>
  <c r="AZ50" i="158"/>
  <c r="AY50" i="158"/>
  <c r="AX50" i="158"/>
  <c r="AW50" i="158"/>
  <c r="AS50" i="158"/>
  <c r="AR50" i="158"/>
  <c r="AQ50" i="158"/>
  <c r="AP50" i="158"/>
  <c r="AO50" i="158"/>
  <c r="AN50" i="158"/>
  <c r="AJ50" i="158"/>
  <c r="AI50" i="158"/>
  <c r="AH50" i="158"/>
  <c r="AG50" i="158"/>
  <c r="AF50" i="158"/>
  <c r="AE50" i="158"/>
  <c r="AA50" i="158"/>
  <c r="Z50" i="158"/>
  <c r="Y50" i="158"/>
  <c r="X50" i="158"/>
  <c r="W50" i="158"/>
  <c r="V50" i="158"/>
  <c r="CC49" i="158"/>
  <c r="CB49" i="158"/>
  <c r="CA49" i="158"/>
  <c r="BZ49" i="158"/>
  <c r="BY49" i="158"/>
  <c r="BX49" i="158"/>
  <c r="BT49" i="158"/>
  <c r="BS49" i="158"/>
  <c r="BR49" i="158"/>
  <c r="BQ49" i="158"/>
  <c r="BP49" i="158"/>
  <c r="BO49" i="158"/>
  <c r="BK49" i="158"/>
  <c r="BJ49" i="158"/>
  <c r="BI49" i="158"/>
  <c r="BH49" i="158"/>
  <c r="BG49" i="158"/>
  <c r="BF49" i="158"/>
  <c r="BB49" i="158"/>
  <c r="BA49" i="158"/>
  <c r="AZ49" i="158"/>
  <c r="AY49" i="158"/>
  <c r="AX49" i="158"/>
  <c r="AW49" i="158"/>
  <c r="AS49" i="158"/>
  <c r="AR49" i="158"/>
  <c r="AQ49" i="158"/>
  <c r="AP49" i="158"/>
  <c r="AO49" i="158"/>
  <c r="AN49" i="158"/>
  <c r="AJ49" i="158"/>
  <c r="AI49" i="158"/>
  <c r="AH49" i="158"/>
  <c r="AG49" i="158"/>
  <c r="AF49" i="158"/>
  <c r="AE49" i="158"/>
  <c r="AA49" i="158"/>
  <c r="Z49" i="158"/>
  <c r="Y49" i="158"/>
  <c r="X49" i="158"/>
  <c r="W49" i="158"/>
  <c r="V49" i="158"/>
  <c r="CC48" i="158"/>
  <c r="CB48" i="158"/>
  <c r="CA48" i="158"/>
  <c r="BZ48" i="158"/>
  <c r="BY48" i="158"/>
  <c r="BX48" i="158"/>
  <c r="BT48" i="158"/>
  <c r="BS48" i="158"/>
  <c r="BR48" i="158"/>
  <c r="BQ48" i="158"/>
  <c r="BP48" i="158"/>
  <c r="BO48" i="158"/>
  <c r="BK48" i="158"/>
  <c r="BJ48" i="158"/>
  <c r="BI48" i="158"/>
  <c r="BH48" i="158"/>
  <c r="BG48" i="158"/>
  <c r="BF48" i="158"/>
  <c r="BB48" i="158"/>
  <c r="BA48" i="158"/>
  <c r="AZ48" i="158"/>
  <c r="AY48" i="158"/>
  <c r="AX48" i="158"/>
  <c r="AW48" i="158"/>
  <c r="AS48" i="158"/>
  <c r="AR48" i="158"/>
  <c r="AQ48" i="158"/>
  <c r="AP48" i="158"/>
  <c r="AO48" i="158"/>
  <c r="AN48" i="158"/>
  <c r="AJ48" i="158"/>
  <c r="AI48" i="158"/>
  <c r="AH48" i="158"/>
  <c r="AG48" i="158"/>
  <c r="AF48" i="158"/>
  <c r="AE48" i="158"/>
  <c r="AA48" i="158"/>
  <c r="Z48" i="158"/>
  <c r="Y48" i="158"/>
  <c r="X48" i="158"/>
  <c r="W48" i="158"/>
  <c r="V48" i="158"/>
  <c r="CC47" i="158"/>
  <c r="CB47" i="158"/>
  <c r="CA47" i="158"/>
  <c r="BZ47" i="158"/>
  <c r="BY47" i="158"/>
  <c r="BX47" i="158"/>
  <c r="BT47" i="158"/>
  <c r="BS47" i="158"/>
  <c r="BR47" i="158"/>
  <c r="BQ47" i="158"/>
  <c r="BP47" i="158"/>
  <c r="BO47" i="158"/>
  <c r="BK47" i="158"/>
  <c r="BJ47" i="158"/>
  <c r="BI47" i="158"/>
  <c r="BH47" i="158"/>
  <c r="BG47" i="158"/>
  <c r="BF47" i="158"/>
  <c r="BB47" i="158"/>
  <c r="BA47" i="158"/>
  <c r="AZ47" i="158"/>
  <c r="AY47" i="158"/>
  <c r="AX47" i="158"/>
  <c r="AW47" i="158"/>
  <c r="AS47" i="158"/>
  <c r="AR47" i="158"/>
  <c r="AQ47" i="158"/>
  <c r="AP47" i="158"/>
  <c r="AO47" i="158"/>
  <c r="AN47" i="158"/>
  <c r="AJ47" i="158"/>
  <c r="AI47" i="158"/>
  <c r="AH47" i="158"/>
  <c r="AG47" i="158"/>
  <c r="AF47" i="158"/>
  <c r="AE47" i="158"/>
  <c r="AA47" i="158"/>
  <c r="Z47" i="158"/>
  <c r="Y47" i="158"/>
  <c r="X47" i="158"/>
  <c r="W47" i="158"/>
  <c r="V47" i="158"/>
  <c r="CC46" i="158"/>
  <c r="CB46" i="158"/>
  <c r="CA46" i="158"/>
  <c r="BZ46" i="158"/>
  <c r="BY46" i="158"/>
  <c r="BX46" i="158"/>
  <c r="BT46" i="158"/>
  <c r="BS46" i="158"/>
  <c r="BR46" i="158"/>
  <c r="BQ46" i="158"/>
  <c r="BP46" i="158"/>
  <c r="BO46" i="158"/>
  <c r="BK46" i="158"/>
  <c r="BJ46" i="158"/>
  <c r="BI46" i="158"/>
  <c r="BH46" i="158"/>
  <c r="BG46" i="158"/>
  <c r="BF46" i="158"/>
  <c r="BB46" i="158"/>
  <c r="BA46" i="158"/>
  <c r="AZ46" i="158"/>
  <c r="AY46" i="158"/>
  <c r="AX46" i="158"/>
  <c r="AW46" i="158"/>
  <c r="AS46" i="158"/>
  <c r="AR46" i="158"/>
  <c r="AQ46" i="158"/>
  <c r="AP46" i="158"/>
  <c r="AO46" i="158"/>
  <c r="AN46" i="158"/>
  <c r="AJ46" i="158"/>
  <c r="AI46" i="158"/>
  <c r="AH46" i="158"/>
  <c r="AG46" i="158"/>
  <c r="AF46" i="158"/>
  <c r="AE46" i="158"/>
  <c r="AA46" i="158"/>
  <c r="Z46" i="158"/>
  <c r="Y46" i="158"/>
  <c r="X46" i="158"/>
  <c r="W46" i="158"/>
  <c r="V46" i="158"/>
  <c r="CC45" i="158"/>
  <c r="CB45" i="158"/>
  <c r="CA45" i="158"/>
  <c r="BZ45" i="158"/>
  <c r="BY45" i="158"/>
  <c r="BX45" i="158"/>
  <c r="BT45" i="158"/>
  <c r="BS45" i="158"/>
  <c r="BR45" i="158"/>
  <c r="BQ45" i="158"/>
  <c r="BP45" i="158"/>
  <c r="BO45" i="158"/>
  <c r="BK45" i="158"/>
  <c r="BJ45" i="158"/>
  <c r="BI45" i="158"/>
  <c r="BH45" i="158"/>
  <c r="BG45" i="158"/>
  <c r="BF45" i="158"/>
  <c r="BB45" i="158"/>
  <c r="BA45" i="158"/>
  <c r="AZ45" i="158"/>
  <c r="AY45" i="158"/>
  <c r="AX45" i="158"/>
  <c r="AW45" i="158"/>
  <c r="AS45" i="158"/>
  <c r="AR45" i="158"/>
  <c r="AQ45" i="158"/>
  <c r="AP45" i="158"/>
  <c r="AO45" i="158"/>
  <c r="AN45" i="158"/>
  <c r="AJ45" i="158"/>
  <c r="AI45" i="158"/>
  <c r="AH45" i="158"/>
  <c r="AG45" i="158"/>
  <c r="AF45" i="158"/>
  <c r="AE45" i="158"/>
  <c r="AA45" i="158"/>
  <c r="Z45" i="158"/>
  <c r="Y45" i="158"/>
  <c r="X45" i="158"/>
  <c r="W45" i="158"/>
  <c r="V45" i="158"/>
  <c r="CC44" i="158"/>
  <c r="CB44" i="158"/>
  <c r="CA44" i="158"/>
  <c r="BZ44" i="158"/>
  <c r="BY44" i="158"/>
  <c r="BX44" i="158"/>
  <c r="BT44" i="158"/>
  <c r="BS44" i="158"/>
  <c r="BR44" i="158"/>
  <c r="BQ44" i="158"/>
  <c r="BP44" i="158"/>
  <c r="BO44" i="158"/>
  <c r="BK44" i="158"/>
  <c r="BJ44" i="158"/>
  <c r="BI44" i="158"/>
  <c r="BH44" i="158"/>
  <c r="BG44" i="158"/>
  <c r="BF44" i="158"/>
  <c r="BB44" i="158"/>
  <c r="BA44" i="158"/>
  <c r="AZ44" i="158"/>
  <c r="AY44" i="158"/>
  <c r="AX44" i="158"/>
  <c r="AW44" i="158"/>
  <c r="AS44" i="158"/>
  <c r="AR44" i="158"/>
  <c r="AQ44" i="158"/>
  <c r="AP44" i="158"/>
  <c r="AO44" i="158"/>
  <c r="AN44" i="158"/>
  <c r="AJ44" i="158"/>
  <c r="AI44" i="158"/>
  <c r="AH44" i="158"/>
  <c r="AG44" i="158"/>
  <c r="AF44" i="158"/>
  <c r="AE44" i="158"/>
  <c r="AA44" i="158"/>
  <c r="Z44" i="158"/>
  <c r="Y44" i="158"/>
  <c r="X44" i="158"/>
  <c r="W44" i="158"/>
  <c r="V44" i="158"/>
  <c r="CC43" i="158"/>
  <c r="CB43" i="158"/>
  <c r="CA43" i="158"/>
  <c r="BZ43" i="158"/>
  <c r="BY43" i="158"/>
  <c r="BX43" i="158"/>
  <c r="BT43" i="158"/>
  <c r="BS43" i="158"/>
  <c r="BR43" i="158"/>
  <c r="BQ43" i="158"/>
  <c r="BP43" i="158"/>
  <c r="BO43" i="158"/>
  <c r="BK43" i="158"/>
  <c r="BJ43" i="158"/>
  <c r="BI43" i="158"/>
  <c r="BH43" i="158"/>
  <c r="BG43" i="158"/>
  <c r="BF43" i="158"/>
  <c r="BB43" i="158"/>
  <c r="BA43" i="158"/>
  <c r="AZ43" i="158"/>
  <c r="AY43" i="158"/>
  <c r="AX43" i="158"/>
  <c r="AW43" i="158"/>
  <c r="AS43" i="158"/>
  <c r="AR43" i="158"/>
  <c r="AQ43" i="158"/>
  <c r="AP43" i="158"/>
  <c r="AO43" i="158"/>
  <c r="AN43" i="158"/>
  <c r="AJ43" i="158"/>
  <c r="AI43" i="158"/>
  <c r="AH43" i="158"/>
  <c r="AG43" i="158"/>
  <c r="AF43" i="158"/>
  <c r="AE43" i="158"/>
  <c r="AA43" i="158"/>
  <c r="Z43" i="158"/>
  <c r="Y43" i="158"/>
  <c r="X43" i="158"/>
  <c r="W43" i="158"/>
  <c r="V43" i="158"/>
  <c r="CC42" i="158"/>
  <c r="CB42" i="158"/>
  <c r="CA42" i="158"/>
  <c r="BZ42" i="158"/>
  <c r="BY42" i="158"/>
  <c r="BX42" i="158"/>
  <c r="BT42" i="158"/>
  <c r="BS42" i="158"/>
  <c r="BR42" i="158"/>
  <c r="BQ42" i="158"/>
  <c r="BP42" i="158"/>
  <c r="BO42" i="158"/>
  <c r="BK42" i="158"/>
  <c r="BJ42" i="158"/>
  <c r="BI42" i="158"/>
  <c r="BH42" i="158"/>
  <c r="BG42" i="158"/>
  <c r="BF42" i="158"/>
  <c r="BB42" i="158"/>
  <c r="BA42" i="158"/>
  <c r="AZ42" i="158"/>
  <c r="AY42" i="158"/>
  <c r="AX42" i="158"/>
  <c r="AW42" i="158"/>
  <c r="AS42" i="158"/>
  <c r="AR42" i="158"/>
  <c r="AQ42" i="158"/>
  <c r="AP42" i="158"/>
  <c r="AO42" i="158"/>
  <c r="AN42" i="158"/>
  <c r="AJ42" i="158"/>
  <c r="AI42" i="158"/>
  <c r="AH42" i="158"/>
  <c r="AG42" i="158"/>
  <c r="AF42" i="158"/>
  <c r="AE42" i="158"/>
  <c r="AA42" i="158"/>
  <c r="Z42" i="158"/>
  <c r="Y42" i="158"/>
  <c r="X42" i="158"/>
  <c r="W42" i="158"/>
  <c r="V42" i="158"/>
  <c r="CC41" i="158"/>
  <c r="CB41" i="158"/>
  <c r="CA41" i="158"/>
  <c r="BZ41" i="158"/>
  <c r="BY41" i="158"/>
  <c r="BX41" i="158"/>
  <c r="BT41" i="158"/>
  <c r="BS41" i="158"/>
  <c r="BR41" i="158"/>
  <c r="BQ41" i="158"/>
  <c r="BP41" i="158"/>
  <c r="BO41" i="158"/>
  <c r="BK41" i="158"/>
  <c r="BJ41" i="158"/>
  <c r="BI41" i="158"/>
  <c r="BH41" i="158"/>
  <c r="BG41" i="158"/>
  <c r="BF41" i="158"/>
  <c r="BB41" i="158"/>
  <c r="BA41" i="158"/>
  <c r="AZ41" i="158"/>
  <c r="AY41" i="158"/>
  <c r="AX41" i="158"/>
  <c r="AW41" i="158"/>
  <c r="AS41" i="158"/>
  <c r="AR41" i="158"/>
  <c r="AQ41" i="158"/>
  <c r="AP41" i="158"/>
  <c r="AO41" i="158"/>
  <c r="AN41" i="158"/>
  <c r="AJ41" i="158"/>
  <c r="AI41" i="158"/>
  <c r="AH41" i="158"/>
  <c r="AG41" i="158"/>
  <c r="AF41" i="158"/>
  <c r="AE41" i="158"/>
  <c r="AA41" i="158"/>
  <c r="Z41" i="158"/>
  <c r="Y41" i="158"/>
  <c r="X41" i="158"/>
  <c r="W41" i="158"/>
  <c r="V41" i="158"/>
  <c r="CC40" i="158"/>
  <c r="CB40" i="158"/>
  <c r="CA40" i="158"/>
  <c r="BZ40" i="158"/>
  <c r="BY40" i="158"/>
  <c r="BX40" i="158"/>
  <c r="BT40" i="158"/>
  <c r="BS40" i="158"/>
  <c r="BR40" i="158"/>
  <c r="BQ40" i="158"/>
  <c r="BP40" i="158"/>
  <c r="BO40" i="158"/>
  <c r="BK40" i="158"/>
  <c r="BJ40" i="158"/>
  <c r="BI40" i="158"/>
  <c r="BH40" i="158"/>
  <c r="BG40" i="158"/>
  <c r="BF40" i="158"/>
  <c r="BB40" i="158"/>
  <c r="BA40" i="158"/>
  <c r="AZ40" i="158"/>
  <c r="AY40" i="158"/>
  <c r="AX40" i="158"/>
  <c r="AW40" i="158"/>
  <c r="AS40" i="158"/>
  <c r="AR40" i="158"/>
  <c r="AQ40" i="158"/>
  <c r="AP40" i="158"/>
  <c r="AO40" i="158"/>
  <c r="AN40" i="158"/>
  <c r="AJ40" i="158"/>
  <c r="AI40" i="158"/>
  <c r="AH40" i="158"/>
  <c r="AG40" i="158"/>
  <c r="AF40" i="158"/>
  <c r="AE40" i="158"/>
  <c r="AA40" i="158"/>
  <c r="Z40" i="158"/>
  <c r="Y40" i="158"/>
  <c r="X40" i="158"/>
  <c r="W40" i="158"/>
  <c r="V40" i="158"/>
  <c r="CC39" i="158"/>
  <c r="CB39" i="158"/>
  <c r="CA39" i="158"/>
  <c r="BZ39" i="158"/>
  <c r="BY39" i="158"/>
  <c r="BX39" i="158"/>
  <c r="BT39" i="158"/>
  <c r="BS39" i="158"/>
  <c r="BR39" i="158"/>
  <c r="BQ39" i="158"/>
  <c r="BP39" i="158"/>
  <c r="BO39" i="158"/>
  <c r="BK39" i="158"/>
  <c r="BJ39" i="158"/>
  <c r="BI39" i="158"/>
  <c r="BH39" i="158"/>
  <c r="BG39" i="158"/>
  <c r="BF39" i="158"/>
  <c r="BB39" i="158"/>
  <c r="BA39" i="158"/>
  <c r="AZ39" i="158"/>
  <c r="AY39" i="158"/>
  <c r="AX39" i="158"/>
  <c r="AW39" i="158"/>
  <c r="AS39" i="158"/>
  <c r="AR39" i="158"/>
  <c r="AQ39" i="158"/>
  <c r="AP39" i="158"/>
  <c r="AO39" i="158"/>
  <c r="AN39" i="158"/>
  <c r="AJ39" i="158"/>
  <c r="AI39" i="158"/>
  <c r="AH39" i="158"/>
  <c r="AG39" i="158"/>
  <c r="AF39" i="158"/>
  <c r="AE39" i="158"/>
  <c r="AA39" i="158"/>
  <c r="Z39" i="158"/>
  <c r="Y39" i="158"/>
  <c r="X39" i="158"/>
  <c r="W39" i="158"/>
  <c r="V39" i="158"/>
  <c r="CC38" i="158"/>
  <c r="CB38" i="158"/>
  <c r="CA38" i="158"/>
  <c r="BZ38" i="158"/>
  <c r="BY38" i="158"/>
  <c r="BX38" i="158"/>
  <c r="BT38" i="158"/>
  <c r="BS38" i="158"/>
  <c r="BR38" i="158"/>
  <c r="BQ38" i="158"/>
  <c r="BP38" i="158"/>
  <c r="BO38" i="158"/>
  <c r="BK38" i="158"/>
  <c r="BJ38" i="158"/>
  <c r="BI38" i="158"/>
  <c r="BH38" i="158"/>
  <c r="BG38" i="158"/>
  <c r="BF38" i="158"/>
  <c r="BB38" i="158"/>
  <c r="BA38" i="158"/>
  <c r="AZ38" i="158"/>
  <c r="AY38" i="158"/>
  <c r="AX38" i="158"/>
  <c r="AW38" i="158"/>
  <c r="AS38" i="158"/>
  <c r="AR38" i="158"/>
  <c r="AQ38" i="158"/>
  <c r="AP38" i="158"/>
  <c r="AO38" i="158"/>
  <c r="AN38" i="158"/>
  <c r="AJ38" i="158"/>
  <c r="AI38" i="158"/>
  <c r="AH38" i="158"/>
  <c r="AG38" i="158"/>
  <c r="AF38" i="158"/>
  <c r="AE38" i="158"/>
  <c r="AA38" i="158"/>
  <c r="Z38" i="158"/>
  <c r="Y38" i="158"/>
  <c r="X38" i="158"/>
  <c r="W38" i="158"/>
  <c r="V38" i="158"/>
  <c r="CC37" i="158"/>
  <c r="CB37" i="158"/>
  <c r="CA37" i="158"/>
  <c r="BZ37" i="158"/>
  <c r="BY37" i="158"/>
  <c r="BX37" i="158"/>
  <c r="BT37" i="158"/>
  <c r="BS37" i="158"/>
  <c r="BR37" i="158"/>
  <c r="BQ37" i="158"/>
  <c r="BP37" i="158"/>
  <c r="BO37" i="158"/>
  <c r="BK37" i="158"/>
  <c r="BJ37" i="158"/>
  <c r="BI37" i="158"/>
  <c r="BH37" i="158"/>
  <c r="BG37" i="158"/>
  <c r="BF37" i="158"/>
  <c r="BB37" i="158"/>
  <c r="BA37" i="158"/>
  <c r="AZ37" i="158"/>
  <c r="AY37" i="158"/>
  <c r="AX37" i="158"/>
  <c r="AW37" i="158"/>
  <c r="AS37" i="158"/>
  <c r="AR37" i="158"/>
  <c r="AQ37" i="158"/>
  <c r="AP37" i="158"/>
  <c r="AO37" i="158"/>
  <c r="AN37" i="158"/>
  <c r="AJ37" i="158"/>
  <c r="AI37" i="158"/>
  <c r="AH37" i="158"/>
  <c r="AG37" i="158"/>
  <c r="AF37" i="158"/>
  <c r="AE37" i="158"/>
  <c r="AA37" i="158"/>
  <c r="Z37" i="158"/>
  <c r="Y37" i="158"/>
  <c r="X37" i="158"/>
  <c r="W37" i="158"/>
  <c r="V37" i="158"/>
  <c r="CC36" i="158"/>
  <c r="CB36" i="158"/>
  <c r="CA36" i="158"/>
  <c r="BZ36" i="158"/>
  <c r="BY36" i="158"/>
  <c r="BX36" i="158"/>
  <c r="BT36" i="158"/>
  <c r="BS36" i="158"/>
  <c r="BR36" i="158"/>
  <c r="BQ36" i="158"/>
  <c r="BP36" i="158"/>
  <c r="BO36" i="158"/>
  <c r="BK36" i="158"/>
  <c r="BJ36" i="158"/>
  <c r="BI36" i="158"/>
  <c r="BH36" i="158"/>
  <c r="BG36" i="158"/>
  <c r="BF36" i="158"/>
  <c r="BB36" i="158"/>
  <c r="BA36" i="158"/>
  <c r="AZ36" i="158"/>
  <c r="AY36" i="158"/>
  <c r="AX36" i="158"/>
  <c r="AW36" i="158"/>
  <c r="AS36" i="158"/>
  <c r="AR36" i="158"/>
  <c r="AQ36" i="158"/>
  <c r="AP36" i="158"/>
  <c r="AO36" i="158"/>
  <c r="AN36" i="158"/>
  <c r="AJ36" i="158"/>
  <c r="AI36" i="158"/>
  <c r="AH36" i="158"/>
  <c r="AG36" i="158"/>
  <c r="AF36" i="158"/>
  <c r="AE36" i="158"/>
  <c r="AA36" i="158"/>
  <c r="Z36" i="158"/>
  <c r="Y36" i="158"/>
  <c r="X36" i="158"/>
  <c r="W36" i="158"/>
  <c r="V36" i="158"/>
  <c r="CC35" i="158"/>
  <c r="CB35" i="158"/>
  <c r="CA35" i="158"/>
  <c r="BZ35" i="158"/>
  <c r="BY35" i="158"/>
  <c r="BX35" i="158"/>
  <c r="BT35" i="158"/>
  <c r="BS35" i="158"/>
  <c r="BR35" i="158"/>
  <c r="BQ35" i="158"/>
  <c r="BP35" i="158"/>
  <c r="BO35" i="158"/>
  <c r="BK35" i="158"/>
  <c r="BJ35" i="158"/>
  <c r="BI35" i="158"/>
  <c r="BH35" i="158"/>
  <c r="BG35" i="158"/>
  <c r="BF35" i="158"/>
  <c r="BB35" i="158"/>
  <c r="BA35" i="158"/>
  <c r="AZ35" i="158"/>
  <c r="AY35" i="158"/>
  <c r="AX35" i="158"/>
  <c r="AW35" i="158"/>
  <c r="AS35" i="158"/>
  <c r="AR35" i="158"/>
  <c r="AQ35" i="158"/>
  <c r="AP35" i="158"/>
  <c r="AO35" i="158"/>
  <c r="AN35" i="158"/>
  <c r="AJ35" i="158"/>
  <c r="AI35" i="158"/>
  <c r="AH35" i="158"/>
  <c r="AG35" i="158"/>
  <c r="AF35" i="158"/>
  <c r="AE35" i="158"/>
  <c r="AA35" i="158"/>
  <c r="Z35" i="158"/>
  <c r="Y35" i="158"/>
  <c r="X35" i="158"/>
  <c r="W35" i="158"/>
  <c r="V35" i="158"/>
  <c r="CC34" i="158"/>
  <c r="CB34" i="158"/>
  <c r="CA34" i="158"/>
  <c r="BZ34" i="158"/>
  <c r="BY34" i="158"/>
  <c r="BX34" i="158"/>
  <c r="BT34" i="158"/>
  <c r="BS34" i="158"/>
  <c r="BR34" i="158"/>
  <c r="BQ34" i="158"/>
  <c r="BP34" i="158"/>
  <c r="BO34" i="158"/>
  <c r="BK34" i="158"/>
  <c r="BJ34" i="158"/>
  <c r="BI34" i="158"/>
  <c r="BH34" i="158"/>
  <c r="BG34" i="158"/>
  <c r="BF34" i="158"/>
  <c r="BB34" i="158"/>
  <c r="BA34" i="158"/>
  <c r="AZ34" i="158"/>
  <c r="AY34" i="158"/>
  <c r="AX34" i="158"/>
  <c r="AW34" i="158"/>
  <c r="AS34" i="158"/>
  <c r="AR34" i="158"/>
  <c r="AQ34" i="158"/>
  <c r="AP34" i="158"/>
  <c r="AO34" i="158"/>
  <c r="AN34" i="158"/>
  <c r="AJ34" i="158"/>
  <c r="AI34" i="158"/>
  <c r="AH34" i="158"/>
  <c r="AG34" i="158"/>
  <c r="AF34" i="158"/>
  <c r="AE34" i="158"/>
  <c r="AA34" i="158"/>
  <c r="Z34" i="158"/>
  <c r="Y34" i="158"/>
  <c r="X34" i="158"/>
  <c r="W34" i="158"/>
  <c r="V34" i="158"/>
  <c r="CC33" i="158"/>
  <c r="CB33" i="158"/>
  <c r="CA33" i="158"/>
  <c r="BZ33" i="158"/>
  <c r="BY33" i="158"/>
  <c r="BX33" i="158"/>
  <c r="BT33" i="158"/>
  <c r="BS33" i="158"/>
  <c r="BR33" i="158"/>
  <c r="BQ33" i="158"/>
  <c r="BP33" i="158"/>
  <c r="BO33" i="158"/>
  <c r="BK33" i="158"/>
  <c r="BJ33" i="158"/>
  <c r="BI33" i="158"/>
  <c r="BH33" i="158"/>
  <c r="BG33" i="158"/>
  <c r="BF33" i="158"/>
  <c r="BB33" i="158"/>
  <c r="BA33" i="158"/>
  <c r="AZ33" i="158"/>
  <c r="AY33" i="158"/>
  <c r="AX33" i="158"/>
  <c r="AW33" i="158"/>
  <c r="AS33" i="158"/>
  <c r="AR33" i="158"/>
  <c r="AQ33" i="158"/>
  <c r="AP33" i="158"/>
  <c r="AO33" i="158"/>
  <c r="AN33" i="158"/>
  <c r="AJ33" i="158"/>
  <c r="AI33" i="158"/>
  <c r="AH33" i="158"/>
  <c r="AG33" i="158"/>
  <c r="AF33" i="158"/>
  <c r="AE33" i="158"/>
  <c r="AA33" i="158"/>
  <c r="Z33" i="158"/>
  <c r="Y33" i="158"/>
  <c r="X33" i="158"/>
  <c r="W33" i="158"/>
  <c r="V33" i="158"/>
  <c r="CC32" i="158"/>
  <c r="CB32" i="158"/>
  <c r="CA32" i="158"/>
  <c r="BZ32" i="158"/>
  <c r="BY32" i="158"/>
  <c r="BX32" i="158"/>
  <c r="BT32" i="158"/>
  <c r="BS32" i="158"/>
  <c r="BR32" i="158"/>
  <c r="BQ32" i="158"/>
  <c r="BP32" i="158"/>
  <c r="BO32" i="158"/>
  <c r="BK32" i="158"/>
  <c r="BJ32" i="158"/>
  <c r="BI32" i="158"/>
  <c r="BH32" i="158"/>
  <c r="BG32" i="158"/>
  <c r="BF32" i="158"/>
  <c r="BB32" i="158"/>
  <c r="BA32" i="158"/>
  <c r="AZ32" i="158"/>
  <c r="AY32" i="158"/>
  <c r="AX32" i="158"/>
  <c r="AW32" i="158"/>
  <c r="AS32" i="158"/>
  <c r="AR32" i="158"/>
  <c r="AQ32" i="158"/>
  <c r="AP32" i="158"/>
  <c r="AO32" i="158"/>
  <c r="AN32" i="158"/>
  <c r="AJ32" i="158"/>
  <c r="AI32" i="158"/>
  <c r="AH32" i="158"/>
  <c r="AG32" i="158"/>
  <c r="AF32" i="158"/>
  <c r="AE32" i="158"/>
  <c r="AA32" i="158"/>
  <c r="Z32" i="158"/>
  <c r="Y32" i="158"/>
  <c r="X32" i="158"/>
  <c r="W32" i="158"/>
  <c r="V32" i="158"/>
  <c r="CC31" i="158"/>
  <c r="CB31" i="158"/>
  <c r="CA31" i="158"/>
  <c r="BZ31" i="158"/>
  <c r="BY31" i="158"/>
  <c r="BX31" i="158"/>
  <c r="BT31" i="158"/>
  <c r="BS31" i="158"/>
  <c r="BR31" i="158"/>
  <c r="BQ31" i="158"/>
  <c r="BP31" i="158"/>
  <c r="BO31" i="158"/>
  <c r="BK31" i="158"/>
  <c r="BJ31" i="158"/>
  <c r="BI31" i="158"/>
  <c r="BH31" i="158"/>
  <c r="BG31" i="158"/>
  <c r="BF31" i="158"/>
  <c r="BB31" i="158"/>
  <c r="BA31" i="158"/>
  <c r="AZ31" i="158"/>
  <c r="AY31" i="158"/>
  <c r="AX31" i="158"/>
  <c r="AW31" i="158"/>
  <c r="AS31" i="158"/>
  <c r="AR31" i="158"/>
  <c r="AQ31" i="158"/>
  <c r="AP31" i="158"/>
  <c r="AO31" i="158"/>
  <c r="AN31" i="158"/>
  <c r="AJ31" i="158"/>
  <c r="AI31" i="158"/>
  <c r="AH31" i="158"/>
  <c r="AG31" i="158"/>
  <c r="AF31" i="158"/>
  <c r="AE31" i="158"/>
  <c r="AA31" i="158"/>
  <c r="Z31" i="158"/>
  <c r="Y31" i="158"/>
  <c r="X31" i="158"/>
  <c r="W31" i="158"/>
  <c r="V31" i="158"/>
  <c r="CC30" i="158"/>
  <c r="CB30" i="158"/>
  <c r="CA30" i="158"/>
  <c r="BZ30" i="158"/>
  <c r="BY30" i="158"/>
  <c r="BX30" i="158"/>
  <c r="BT30" i="158"/>
  <c r="BS30" i="158"/>
  <c r="BR30" i="158"/>
  <c r="BQ30" i="158"/>
  <c r="BP30" i="158"/>
  <c r="BO30" i="158"/>
  <c r="BK30" i="158"/>
  <c r="BJ30" i="158"/>
  <c r="BI30" i="158"/>
  <c r="BH30" i="158"/>
  <c r="BG30" i="158"/>
  <c r="BF30" i="158"/>
  <c r="BB30" i="158"/>
  <c r="BA30" i="158"/>
  <c r="AZ30" i="158"/>
  <c r="AY30" i="158"/>
  <c r="AX30" i="158"/>
  <c r="AW30" i="158"/>
  <c r="AS30" i="158"/>
  <c r="AR30" i="158"/>
  <c r="AQ30" i="158"/>
  <c r="AP30" i="158"/>
  <c r="AO30" i="158"/>
  <c r="AN30" i="158"/>
  <c r="AJ30" i="158"/>
  <c r="AI30" i="158"/>
  <c r="AH30" i="158"/>
  <c r="AG30" i="158"/>
  <c r="AF30" i="158"/>
  <c r="AE30" i="158"/>
  <c r="AA30" i="158"/>
  <c r="Z30" i="158"/>
  <c r="Y30" i="158"/>
  <c r="X30" i="158"/>
  <c r="W30" i="158"/>
  <c r="V30" i="158"/>
  <c r="CC29" i="158"/>
  <c r="CB29" i="158"/>
  <c r="CA29" i="158"/>
  <c r="BZ29" i="158"/>
  <c r="BY29" i="158"/>
  <c r="BX29" i="158"/>
  <c r="BT29" i="158"/>
  <c r="BS29" i="158"/>
  <c r="BR29" i="158"/>
  <c r="BQ29" i="158"/>
  <c r="BP29" i="158"/>
  <c r="BO29" i="158"/>
  <c r="BK29" i="158"/>
  <c r="BJ29" i="158"/>
  <c r="BI29" i="158"/>
  <c r="BH29" i="158"/>
  <c r="BG29" i="158"/>
  <c r="BF29" i="158"/>
  <c r="BB29" i="158"/>
  <c r="BA29" i="158"/>
  <c r="AZ29" i="158"/>
  <c r="AY29" i="158"/>
  <c r="AX29" i="158"/>
  <c r="AW29" i="158"/>
  <c r="AS29" i="158"/>
  <c r="AR29" i="158"/>
  <c r="AQ29" i="158"/>
  <c r="AP29" i="158"/>
  <c r="AO29" i="158"/>
  <c r="AN29" i="158"/>
  <c r="AJ29" i="158"/>
  <c r="AI29" i="158"/>
  <c r="AH29" i="158"/>
  <c r="AG29" i="158"/>
  <c r="AF29" i="158"/>
  <c r="AE29" i="158"/>
  <c r="AA29" i="158"/>
  <c r="Z29" i="158"/>
  <c r="Y29" i="158"/>
  <c r="X29" i="158"/>
  <c r="W29" i="158"/>
  <c r="V29" i="158"/>
  <c r="CC28" i="158"/>
  <c r="CB28" i="158"/>
  <c r="CA28" i="158"/>
  <c r="BZ28" i="158"/>
  <c r="BY28" i="158"/>
  <c r="BX28" i="158"/>
  <c r="BT28" i="158"/>
  <c r="BS28" i="158"/>
  <c r="BR28" i="158"/>
  <c r="BQ28" i="158"/>
  <c r="BP28" i="158"/>
  <c r="BO28" i="158"/>
  <c r="BK28" i="158"/>
  <c r="BJ28" i="158"/>
  <c r="BI28" i="158"/>
  <c r="BH28" i="158"/>
  <c r="BG28" i="158"/>
  <c r="BF28" i="158"/>
  <c r="BB28" i="158"/>
  <c r="BA28" i="158"/>
  <c r="AZ28" i="158"/>
  <c r="AY28" i="158"/>
  <c r="AX28" i="158"/>
  <c r="AW28" i="158"/>
  <c r="AS28" i="158"/>
  <c r="AR28" i="158"/>
  <c r="AQ28" i="158"/>
  <c r="AP28" i="158"/>
  <c r="AO28" i="158"/>
  <c r="AN28" i="158"/>
  <c r="AJ28" i="158"/>
  <c r="AI28" i="158"/>
  <c r="AH28" i="158"/>
  <c r="AG28" i="158"/>
  <c r="AF28" i="158"/>
  <c r="AE28" i="158"/>
  <c r="AA28" i="158"/>
  <c r="Z28" i="158"/>
  <c r="Y28" i="158"/>
  <c r="X28" i="158"/>
  <c r="W28" i="158"/>
  <c r="V28" i="158"/>
  <c r="CC27" i="158"/>
  <c r="CB27" i="158"/>
  <c r="CA27" i="158"/>
  <c r="BZ27" i="158"/>
  <c r="BY27" i="158"/>
  <c r="BX27" i="158"/>
  <c r="BT27" i="158"/>
  <c r="BS27" i="158"/>
  <c r="BR27" i="158"/>
  <c r="BQ27" i="158"/>
  <c r="BP27" i="158"/>
  <c r="BO27" i="158"/>
  <c r="BK27" i="158"/>
  <c r="BJ27" i="158"/>
  <c r="BI27" i="158"/>
  <c r="BH27" i="158"/>
  <c r="BG27" i="158"/>
  <c r="BF27" i="158"/>
  <c r="BB27" i="158"/>
  <c r="BA27" i="158"/>
  <c r="AZ27" i="158"/>
  <c r="AY27" i="158"/>
  <c r="AX27" i="158"/>
  <c r="AW27" i="158"/>
  <c r="AS27" i="158"/>
  <c r="AR27" i="158"/>
  <c r="AQ27" i="158"/>
  <c r="AP27" i="158"/>
  <c r="AO27" i="158"/>
  <c r="AN27" i="158"/>
  <c r="AJ27" i="158"/>
  <c r="AI27" i="158"/>
  <c r="AH27" i="158"/>
  <c r="AG27" i="158"/>
  <c r="AF27" i="158"/>
  <c r="AE27" i="158"/>
  <c r="AA27" i="158"/>
  <c r="Z27" i="158"/>
  <c r="Y27" i="158"/>
  <c r="X27" i="158"/>
  <c r="W27" i="158"/>
  <c r="V27" i="158"/>
  <c r="CC26" i="158"/>
  <c r="CB26" i="158"/>
  <c r="CA26" i="158"/>
  <c r="BZ26" i="158"/>
  <c r="BY26" i="158"/>
  <c r="BX26" i="158"/>
  <c r="BT26" i="158"/>
  <c r="BS26" i="158"/>
  <c r="BR26" i="158"/>
  <c r="BQ26" i="158"/>
  <c r="BP26" i="158"/>
  <c r="BO26" i="158"/>
  <c r="BK26" i="158"/>
  <c r="BJ26" i="158"/>
  <c r="BI26" i="158"/>
  <c r="BH26" i="158"/>
  <c r="BG26" i="158"/>
  <c r="BF26" i="158"/>
  <c r="BB26" i="158"/>
  <c r="BA26" i="158"/>
  <c r="AZ26" i="158"/>
  <c r="AY26" i="158"/>
  <c r="AX26" i="158"/>
  <c r="AW26" i="158"/>
  <c r="AS26" i="158"/>
  <c r="AR26" i="158"/>
  <c r="AQ26" i="158"/>
  <c r="AP26" i="158"/>
  <c r="AO26" i="158"/>
  <c r="AN26" i="158"/>
  <c r="AJ26" i="158"/>
  <c r="AI26" i="158"/>
  <c r="AH26" i="158"/>
  <c r="AG26" i="158"/>
  <c r="AF26" i="158"/>
  <c r="AE26" i="158"/>
  <c r="AA26" i="158"/>
  <c r="Z26" i="158"/>
  <c r="Y26" i="158"/>
  <c r="X26" i="158"/>
  <c r="W26" i="158"/>
  <c r="V26" i="158"/>
  <c r="CC25" i="158"/>
  <c r="CB25" i="158"/>
  <c r="CA25" i="158"/>
  <c r="BZ25" i="158"/>
  <c r="BY25" i="158"/>
  <c r="BX25" i="158"/>
  <c r="BT25" i="158"/>
  <c r="BS25" i="158"/>
  <c r="BR25" i="158"/>
  <c r="BQ25" i="158"/>
  <c r="BP25" i="158"/>
  <c r="BO25" i="158"/>
  <c r="BK25" i="158"/>
  <c r="BJ25" i="158"/>
  <c r="BI25" i="158"/>
  <c r="BH25" i="158"/>
  <c r="BG25" i="158"/>
  <c r="BF25" i="158"/>
  <c r="BB25" i="158"/>
  <c r="BA25" i="158"/>
  <c r="AZ25" i="158"/>
  <c r="AY25" i="158"/>
  <c r="AX25" i="158"/>
  <c r="AW25" i="158"/>
  <c r="AS25" i="158"/>
  <c r="AR25" i="158"/>
  <c r="AQ25" i="158"/>
  <c r="AP25" i="158"/>
  <c r="AO25" i="158"/>
  <c r="AN25" i="158"/>
  <c r="AJ25" i="158"/>
  <c r="AI25" i="158"/>
  <c r="AH25" i="158"/>
  <c r="AG25" i="158"/>
  <c r="AF25" i="158"/>
  <c r="AE25" i="158"/>
  <c r="AA25" i="158"/>
  <c r="Z25" i="158"/>
  <c r="Y25" i="158"/>
  <c r="X25" i="158"/>
  <c r="W25" i="158"/>
  <c r="V25" i="158"/>
  <c r="CC24" i="158"/>
  <c r="CB24" i="158"/>
  <c r="CA24" i="158"/>
  <c r="BZ24" i="158"/>
  <c r="BY24" i="158"/>
  <c r="BX24" i="158"/>
  <c r="BT24" i="158"/>
  <c r="BS24" i="158"/>
  <c r="BR24" i="158"/>
  <c r="BQ24" i="158"/>
  <c r="BP24" i="158"/>
  <c r="BO24" i="158"/>
  <c r="BK24" i="158"/>
  <c r="BJ24" i="158"/>
  <c r="BI24" i="158"/>
  <c r="BH24" i="158"/>
  <c r="BG24" i="158"/>
  <c r="BF24" i="158"/>
  <c r="BB24" i="158"/>
  <c r="BA24" i="158"/>
  <c r="AZ24" i="158"/>
  <c r="AY24" i="158"/>
  <c r="AX24" i="158"/>
  <c r="AW24" i="158"/>
  <c r="AS24" i="158"/>
  <c r="R24" i="158" s="1"/>
  <c r="AR24" i="158"/>
  <c r="AQ24" i="158"/>
  <c r="AP24" i="158"/>
  <c r="AO24" i="158"/>
  <c r="AN24" i="158"/>
  <c r="AJ24" i="158"/>
  <c r="AI24" i="158"/>
  <c r="AH24" i="158"/>
  <c r="G24" i="158" s="1"/>
  <c r="AG24" i="158"/>
  <c r="AF24" i="158"/>
  <c r="AE24" i="158"/>
  <c r="AA24" i="158"/>
  <c r="Z24" i="158"/>
  <c r="Y24" i="158"/>
  <c r="X24" i="158"/>
  <c r="W24" i="158"/>
  <c r="V24" i="158"/>
  <c r="CC23" i="158"/>
  <c r="CB23" i="158"/>
  <c r="CA23" i="158"/>
  <c r="BZ23" i="158"/>
  <c r="BY23" i="158"/>
  <c r="BX23" i="158"/>
  <c r="BT23" i="158"/>
  <c r="BS23" i="158"/>
  <c r="BR23" i="158"/>
  <c r="BQ23" i="158"/>
  <c r="BP23" i="158"/>
  <c r="BO23" i="158"/>
  <c r="BK23" i="158"/>
  <c r="BJ23" i="158"/>
  <c r="BI23" i="158"/>
  <c r="BH23" i="158"/>
  <c r="BG23" i="158"/>
  <c r="BF23" i="158"/>
  <c r="BB23" i="158"/>
  <c r="BA23" i="158"/>
  <c r="AZ23" i="158"/>
  <c r="AY23" i="158"/>
  <c r="AX23" i="158"/>
  <c r="AW23" i="158"/>
  <c r="AS23" i="158"/>
  <c r="AR23" i="158"/>
  <c r="AQ23" i="158"/>
  <c r="AP23" i="158"/>
  <c r="AO23" i="158"/>
  <c r="AN23" i="158"/>
  <c r="AJ23" i="158"/>
  <c r="AI23" i="158"/>
  <c r="AH23" i="158"/>
  <c r="AG23" i="158"/>
  <c r="AF23" i="158"/>
  <c r="AE23" i="158"/>
  <c r="AA23" i="158"/>
  <c r="Z23" i="158"/>
  <c r="Y23" i="158"/>
  <c r="X23" i="158"/>
  <c r="W23" i="158"/>
  <c r="V23" i="158"/>
  <c r="CC22" i="158"/>
  <c r="CB22" i="158"/>
  <c r="CA22" i="158"/>
  <c r="BZ22" i="158"/>
  <c r="BY22" i="158"/>
  <c r="BX22" i="158"/>
  <c r="BT22" i="158"/>
  <c r="BS22" i="158"/>
  <c r="BR22" i="158"/>
  <c r="BQ22" i="158"/>
  <c r="BP22" i="158"/>
  <c r="BO22" i="158"/>
  <c r="BK22" i="158"/>
  <c r="BJ22" i="158"/>
  <c r="BI22" i="158"/>
  <c r="BH22" i="158"/>
  <c r="BG22" i="158"/>
  <c r="BF22" i="158"/>
  <c r="BB22" i="158"/>
  <c r="BA22" i="158"/>
  <c r="AZ22" i="158"/>
  <c r="AY22" i="158"/>
  <c r="AX22" i="158"/>
  <c r="AW22" i="158"/>
  <c r="AS22" i="158"/>
  <c r="AR22" i="158"/>
  <c r="AQ22" i="158"/>
  <c r="AP22" i="158"/>
  <c r="AO22" i="158"/>
  <c r="AN22" i="158"/>
  <c r="AJ22" i="158"/>
  <c r="AI22" i="158"/>
  <c r="AH22" i="158"/>
  <c r="AG22" i="158"/>
  <c r="AF22" i="158"/>
  <c r="AE22" i="158"/>
  <c r="AA22" i="158"/>
  <c r="Z22" i="158"/>
  <c r="Y22" i="158"/>
  <c r="X22" i="158"/>
  <c r="W22" i="158"/>
  <c r="V22" i="158"/>
  <c r="CC21" i="158"/>
  <c r="CB21" i="158"/>
  <c r="CA21" i="158"/>
  <c r="BZ21" i="158"/>
  <c r="BY21" i="158"/>
  <c r="BX21" i="158"/>
  <c r="BT21" i="158"/>
  <c r="BS21" i="158"/>
  <c r="BR21" i="158"/>
  <c r="BQ21" i="158"/>
  <c r="BP21" i="158"/>
  <c r="BO21" i="158"/>
  <c r="BK21" i="158"/>
  <c r="BJ21" i="158"/>
  <c r="BI21" i="158"/>
  <c r="BH21" i="158"/>
  <c r="BG21" i="158"/>
  <c r="BF21" i="158"/>
  <c r="BB21" i="158"/>
  <c r="BA21" i="158"/>
  <c r="AZ21" i="158"/>
  <c r="AY21" i="158"/>
  <c r="AX21" i="158"/>
  <c r="AW21" i="158"/>
  <c r="AS21" i="158"/>
  <c r="AR21" i="158"/>
  <c r="AQ21" i="158"/>
  <c r="AP21" i="158"/>
  <c r="AO21" i="158"/>
  <c r="AN21" i="158"/>
  <c r="AJ21" i="158"/>
  <c r="AI21" i="158"/>
  <c r="AH21" i="158"/>
  <c r="AG21" i="158"/>
  <c r="AF21" i="158"/>
  <c r="AE21" i="158"/>
  <c r="AA21" i="158"/>
  <c r="Z21" i="158"/>
  <c r="Y21" i="158"/>
  <c r="X21" i="158"/>
  <c r="W21" i="158"/>
  <c r="V21" i="158"/>
  <c r="CC20" i="158"/>
  <c r="CB20" i="158"/>
  <c r="CA20" i="158"/>
  <c r="BZ20" i="158"/>
  <c r="BY20" i="158"/>
  <c r="BX20" i="158"/>
  <c r="BT20" i="158"/>
  <c r="BS20" i="158"/>
  <c r="BR20" i="158"/>
  <c r="BQ20" i="158"/>
  <c r="BP20" i="158"/>
  <c r="BO20" i="158"/>
  <c r="BK20" i="158"/>
  <c r="BJ20" i="158"/>
  <c r="BI20" i="158"/>
  <c r="BH20" i="158"/>
  <c r="BG20" i="158"/>
  <c r="BF20" i="158"/>
  <c r="BB20" i="158"/>
  <c r="BA20" i="158"/>
  <c r="AZ20" i="158"/>
  <c r="AY20" i="158"/>
  <c r="AX20" i="158"/>
  <c r="AW20" i="158"/>
  <c r="AS20" i="158"/>
  <c r="AR20" i="158"/>
  <c r="AQ20" i="158"/>
  <c r="AP20" i="158"/>
  <c r="AO20" i="158"/>
  <c r="AN20" i="158"/>
  <c r="AJ20" i="158"/>
  <c r="AI20" i="158"/>
  <c r="AH20" i="158"/>
  <c r="AG20" i="158"/>
  <c r="AF20" i="158"/>
  <c r="AE20" i="158"/>
  <c r="AA20" i="158"/>
  <c r="Z20" i="158"/>
  <c r="Y20" i="158"/>
  <c r="X20" i="158"/>
  <c r="W20" i="158"/>
  <c r="V20" i="158"/>
  <c r="CC19" i="158"/>
  <c r="CB19" i="158"/>
  <c r="CA19" i="158"/>
  <c r="BZ19" i="158"/>
  <c r="BY19" i="158"/>
  <c r="BX19" i="158"/>
  <c r="BT19" i="158"/>
  <c r="BS19" i="158"/>
  <c r="BR19" i="158"/>
  <c r="BQ19" i="158"/>
  <c r="BP19" i="158"/>
  <c r="BO19" i="158"/>
  <c r="BK19" i="158"/>
  <c r="BJ19" i="158"/>
  <c r="BI19" i="158"/>
  <c r="BH19" i="158"/>
  <c r="BG19" i="158"/>
  <c r="BF19" i="158"/>
  <c r="BB19" i="158"/>
  <c r="BA19" i="158"/>
  <c r="AZ19" i="158"/>
  <c r="AY19" i="158"/>
  <c r="AX19" i="158"/>
  <c r="AW19" i="158"/>
  <c r="AS19" i="158"/>
  <c r="AR19" i="158"/>
  <c r="AQ19" i="158"/>
  <c r="AP19" i="158"/>
  <c r="AO19" i="158"/>
  <c r="AN19" i="158"/>
  <c r="AJ19" i="158"/>
  <c r="AI19" i="158"/>
  <c r="AH19" i="158"/>
  <c r="AG19" i="158"/>
  <c r="AF19" i="158"/>
  <c r="AE19" i="158"/>
  <c r="AA19" i="158"/>
  <c r="Z19" i="158"/>
  <c r="Y19" i="158"/>
  <c r="X19" i="158"/>
  <c r="W19" i="158"/>
  <c r="V19" i="158"/>
  <c r="CC18" i="158"/>
  <c r="CB18" i="158"/>
  <c r="CA18" i="158"/>
  <c r="BZ18" i="158"/>
  <c r="BY18" i="158"/>
  <c r="BX18" i="158"/>
  <c r="BT18" i="158"/>
  <c r="BS18" i="158"/>
  <c r="BR18" i="158"/>
  <c r="BQ18" i="158"/>
  <c r="BP18" i="158"/>
  <c r="BO18" i="158"/>
  <c r="BK18" i="158"/>
  <c r="BJ18" i="158"/>
  <c r="BI18" i="158"/>
  <c r="BH18" i="158"/>
  <c r="BG18" i="158"/>
  <c r="BF18" i="158"/>
  <c r="BB18" i="158"/>
  <c r="BA18" i="158"/>
  <c r="AZ18" i="158"/>
  <c r="AY18" i="158"/>
  <c r="AX18" i="158"/>
  <c r="AW18" i="158"/>
  <c r="AS18" i="158"/>
  <c r="AR18" i="158"/>
  <c r="AQ18" i="158"/>
  <c r="AP18" i="158"/>
  <c r="AO18" i="158"/>
  <c r="AN18" i="158"/>
  <c r="AJ18" i="158"/>
  <c r="AI18" i="158"/>
  <c r="AH18" i="158"/>
  <c r="AG18" i="158"/>
  <c r="AF18" i="158"/>
  <c r="AE18" i="158"/>
  <c r="AA18" i="158"/>
  <c r="Z18" i="158"/>
  <c r="Y18" i="158"/>
  <c r="X18" i="158"/>
  <c r="W18" i="158"/>
  <c r="V18" i="158"/>
  <c r="CC17" i="158"/>
  <c r="CB17" i="158"/>
  <c r="CA17" i="158"/>
  <c r="BZ17" i="158"/>
  <c r="BY17" i="158"/>
  <c r="BX17" i="158"/>
  <c r="BT17" i="158"/>
  <c r="BS17" i="158"/>
  <c r="BR17" i="158"/>
  <c r="BQ17" i="158"/>
  <c r="BP17" i="158"/>
  <c r="BO17" i="158"/>
  <c r="BK17" i="158"/>
  <c r="BJ17" i="158"/>
  <c r="BI17" i="158"/>
  <c r="BH17" i="158"/>
  <c r="BG17" i="158"/>
  <c r="BF17" i="158"/>
  <c r="BB17" i="158"/>
  <c r="BA17" i="158"/>
  <c r="AZ17" i="158"/>
  <c r="AY17" i="158"/>
  <c r="AX17" i="158"/>
  <c r="AW17" i="158"/>
  <c r="AS17" i="158"/>
  <c r="AR17" i="158"/>
  <c r="AQ17" i="158"/>
  <c r="AP17" i="158"/>
  <c r="AO17" i="158"/>
  <c r="AN17" i="158"/>
  <c r="AJ17" i="158"/>
  <c r="AI17" i="158"/>
  <c r="AH17" i="158"/>
  <c r="AG17" i="158"/>
  <c r="AF17" i="158"/>
  <c r="AE17" i="158"/>
  <c r="AA17" i="158"/>
  <c r="Z17" i="158"/>
  <c r="Y17" i="158"/>
  <c r="X17" i="158"/>
  <c r="W17" i="158"/>
  <c r="V17" i="158"/>
  <c r="CC16" i="158"/>
  <c r="CB16" i="158"/>
  <c r="CA16" i="158"/>
  <c r="BZ16" i="158"/>
  <c r="BY16" i="158"/>
  <c r="BX16" i="158"/>
  <c r="BT16" i="158"/>
  <c r="BS16" i="158"/>
  <c r="BR16" i="158"/>
  <c r="BQ16" i="158"/>
  <c r="BP16" i="158"/>
  <c r="BO16" i="158"/>
  <c r="BK16" i="158"/>
  <c r="BJ16" i="158"/>
  <c r="BI16" i="158"/>
  <c r="BH16" i="158"/>
  <c r="BG16" i="158"/>
  <c r="BF16" i="158"/>
  <c r="BB16" i="158"/>
  <c r="BA16" i="158"/>
  <c r="AZ16" i="158"/>
  <c r="AY16" i="158"/>
  <c r="AX16" i="158"/>
  <c r="AW16" i="158"/>
  <c r="AS16" i="158"/>
  <c r="AR16" i="158"/>
  <c r="AQ16" i="158"/>
  <c r="AP16" i="158"/>
  <c r="AO16" i="158"/>
  <c r="AN16" i="158"/>
  <c r="AJ16" i="158"/>
  <c r="AI16" i="158"/>
  <c r="AH16" i="158"/>
  <c r="AG16" i="158"/>
  <c r="AF16" i="158"/>
  <c r="AE16" i="158"/>
  <c r="AA16" i="158"/>
  <c r="Z16" i="158"/>
  <c r="Y16" i="158"/>
  <c r="X16" i="158"/>
  <c r="W16" i="158"/>
  <c r="V16" i="158"/>
  <c r="CC15" i="158"/>
  <c r="CB15" i="158"/>
  <c r="CA15" i="158"/>
  <c r="BZ15" i="158"/>
  <c r="BY15" i="158"/>
  <c r="BX15" i="158"/>
  <c r="BT15" i="158"/>
  <c r="BS15" i="158"/>
  <c r="BR15" i="158"/>
  <c r="BQ15" i="158"/>
  <c r="BP15" i="158"/>
  <c r="BO15" i="158"/>
  <c r="BK15" i="158"/>
  <c r="BJ15" i="158"/>
  <c r="BI15" i="158"/>
  <c r="BH15" i="158"/>
  <c r="BG15" i="158"/>
  <c r="BF15" i="158"/>
  <c r="BB15" i="158"/>
  <c r="BA15" i="158"/>
  <c r="AZ15" i="158"/>
  <c r="AY15" i="158"/>
  <c r="AX15" i="158"/>
  <c r="AW15" i="158"/>
  <c r="AS15" i="158"/>
  <c r="AR15" i="158"/>
  <c r="AQ15" i="158"/>
  <c r="AP15" i="158"/>
  <c r="AO15" i="158"/>
  <c r="AN15" i="158"/>
  <c r="AJ15" i="158"/>
  <c r="AI15" i="158"/>
  <c r="AH15" i="158"/>
  <c r="AG15" i="158"/>
  <c r="AF15" i="158"/>
  <c r="AE15" i="158"/>
  <c r="AA15" i="158"/>
  <c r="Z15" i="158"/>
  <c r="Y15" i="158"/>
  <c r="X15" i="158"/>
  <c r="W15" i="158"/>
  <c r="V15" i="158"/>
  <c r="CC14" i="158"/>
  <c r="CB14" i="158"/>
  <c r="CA14" i="158"/>
  <c r="BZ14" i="158"/>
  <c r="BY14" i="158"/>
  <c r="BX14" i="158"/>
  <c r="BT14" i="158"/>
  <c r="BS14" i="158"/>
  <c r="BR14" i="158"/>
  <c r="BQ14" i="158"/>
  <c r="BP14" i="158"/>
  <c r="BO14" i="158"/>
  <c r="BK14" i="158"/>
  <c r="BJ14" i="158"/>
  <c r="BI14" i="158"/>
  <c r="BH14" i="158"/>
  <c r="BG14" i="158"/>
  <c r="BF14" i="158"/>
  <c r="BB14" i="158"/>
  <c r="BA14" i="158"/>
  <c r="AZ14" i="158"/>
  <c r="AY14" i="158"/>
  <c r="AX14" i="158"/>
  <c r="AW14" i="158"/>
  <c r="AS14" i="158"/>
  <c r="AR14" i="158"/>
  <c r="AQ14" i="158"/>
  <c r="AP14" i="158"/>
  <c r="AO14" i="158"/>
  <c r="AN14" i="158"/>
  <c r="AJ14" i="158"/>
  <c r="AI14" i="158"/>
  <c r="AH14" i="158"/>
  <c r="AG14" i="158"/>
  <c r="AF14" i="158"/>
  <c r="AE14" i="158"/>
  <c r="AA14" i="158"/>
  <c r="Z14" i="158"/>
  <c r="Y14" i="158"/>
  <c r="X14" i="158"/>
  <c r="W14" i="158"/>
  <c r="V14" i="158"/>
  <c r="CC13" i="158"/>
  <c r="CB13" i="158"/>
  <c r="CA13" i="158"/>
  <c r="BZ13" i="158"/>
  <c r="BY13" i="158"/>
  <c r="BX13" i="158"/>
  <c r="BT13" i="158"/>
  <c r="BS13" i="158"/>
  <c r="BR13" i="158"/>
  <c r="BQ13" i="158"/>
  <c r="BP13" i="158"/>
  <c r="BO13" i="158"/>
  <c r="BK13" i="158"/>
  <c r="BJ13" i="158"/>
  <c r="BI13" i="158"/>
  <c r="BH13" i="158"/>
  <c r="BG13" i="158"/>
  <c r="BF13" i="158"/>
  <c r="BB13" i="158"/>
  <c r="BA13" i="158"/>
  <c r="AZ13" i="158"/>
  <c r="AY13" i="158"/>
  <c r="AX13" i="158"/>
  <c r="AW13" i="158"/>
  <c r="AS13" i="158"/>
  <c r="AR13" i="158"/>
  <c r="AQ13" i="158"/>
  <c r="AP13" i="158"/>
  <c r="AO13" i="158"/>
  <c r="AN13" i="158"/>
  <c r="AJ13" i="158"/>
  <c r="AI13" i="158"/>
  <c r="AH13" i="158"/>
  <c r="AG13" i="158"/>
  <c r="F13" i="158" s="1"/>
  <c r="AF13" i="158"/>
  <c r="AE13" i="158"/>
  <c r="AA13" i="158"/>
  <c r="Z13" i="158"/>
  <c r="Y13" i="158"/>
  <c r="X13" i="158"/>
  <c r="W13" i="158"/>
  <c r="V13" i="158"/>
  <c r="CC12" i="158"/>
  <c r="CB12" i="158"/>
  <c r="CA12" i="158"/>
  <c r="BZ12" i="158"/>
  <c r="BY12" i="158"/>
  <c r="BX12" i="158"/>
  <c r="BT12" i="158"/>
  <c r="BS12" i="158"/>
  <c r="BR12" i="158"/>
  <c r="BQ12" i="158"/>
  <c r="BP12" i="158"/>
  <c r="BO12" i="158"/>
  <c r="BK12" i="158"/>
  <c r="BJ12" i="158"/>
  <c r="BI12" i="158"/>
  <c r="BH12" i="158"/>
  <c r="BG12" i="158"/>
  <c r="BF12" i="158"/>
  <c r="BB12" i="158"/>
  <c r="BA12" i="158"/>
  <c r="AZ12" i="158"/>
  <c r="AY12" i="158"/>
  <c r="AX12" i="158"/>
  <c r="AW12" i="158"/>
  <c r="AS12" i="158"/>
  <c r="AR12" i="158"/>
  <c r="AQ12" i="158"/>
  <c r="AP12" i="158"/>
  <c r="AO12" i="158"/>
  <c r="AN12" i="158"/>
  <c r="AJ12" i="158"/>
  <c r="AI12" i="158"/>
  <c r="AH12" i="158"/>
  <c r="AG12" i="158"/>
  <c r="AF12" i="158"/>
  <c r="AE12" i="158"/>
  <c r="AA12" i="158"/>
  <c r="Z12" i="158"/>
  <c r="Y12" i="158"/>
  <c r="X12" i="158"/>
  <c r="W12" i="158"/>
  <c r="V12" i="158"/>
  <c r="CC11" i="158"/>
  <c r="CB11" i="158"/>
  <c r="CA11" i="158"/>
  <c r="BZ11" i="158"/>
  <c r="BY11" i="158"/>
  <c r="BX11" i="158"/>
  <c r="BT11" i="158"/>
  <c r="BS11" i="158"/>
  <c r="BR11" i="158"/>
  <c r="BQ11" i="158"/>
  <c r="BP11" i="158"/>
  <c r="BO11" i="158"/>
  <c r="BK11" i="158"/>
  <c r="BJ11" i="158"/>
  <c r="BI11" i="158"/>
  <c r="BH11" i="158"/>
  <c r="BG11" i="158"/>
  <c r="BF11" i="158"/>
  <c r="BB11" i="158"/>
  <c r="BA11" i="158"/>
  <c r="AZ11" i="158"/>
  <c r="AY11" i="158"/>
  <c r="AX11" i="158"/>
  <c r="AW11" i="158"/>
  <c r="AS11" i="158"/>
  <c r="AR11" i="158"/>
  <c r="AQ11" i="158"/>
  <c r="AP11" i="158"/>
  <c r="AO11" i="158"/>
  <c r="AN11" i="158"/>
  <c r="AJ11" i="158"/>
  <c r="AI11" i="158"/>
  <c r="AH11" i="158"/>
  <c r="AG11" i="158"/>
  <c r="AF11" i="158"/>
  <c r="AE11" i="158"/>
  <c r="AA11" i="158"/>
  <c r="Z11" i="158"/>
  <c r="Y11" i="158"/>
  <c r="X11" i="158"/>
  <c r="W11" i="158"/>
  <c r="V11" i="158"/>
  <c r="CC9" i="158"/>
  <c r="CB9" i="158"/>
  <c r="CA9" i="158"/>
  <c r="BZ9" i="158"/>
  <c r="BY9" i="158"/>
  <c r="BX9" i="158"/>
  <c r="BT9" i="158"/>
  <c r="BS9" i="158"/>
  <c r="BR9" i="158"/>
  <c r="BQ9" i="158"/>
  <c r="BP9" i="158"/>
  <c r="BO9" i="158"/>
  <c r="BK9" i="158"/>
  <c r="BJ9" i="158"/>
  <c r="BI9" i="158"/>
  <c r="BH9" i="158"/>
  <c r="BG9" i="158"/>
  <c r="BF9" i="158"/>
  <c r="BB9" i="158"/>
  <c r="BA9" i="158"/>
  <c r="AZ9" i="158"/>
  <c r="AY9" i="158"/>
  <c r="AX9" i="158"/>
  <c r="AW9" i="158"/>
  <c r="AS9" i="158"/>
  <c r="AR9" i="158"/>
  <c r="AQ9" i="158"/>
  <c r="AP9" i="158"/>
  <c r="AO9" i="158"/>
  <c r="AN9" i="158"/>
  <c r="AJ9" i="158"/>
  <c r="AI9" i="158"/>
  <c r="AH9" i="158"/>
  <c r="AG9" i="158"/>
  <c r="AF9" i="158"/>
  <c r="AE9" i="158"/>
  <c r="AA9" i="158"/>
  <c r="Z9" i="158"/>
  <c r="Y9" i="158"/>
  <c r="X9" i="158"/>
  <c r="W9" i="158"/>
  <c r="V9" i="158"/>
  <c r="CC7" i="158"/>
  <c r="CB7" i="158"/>
  <c r="CA7" i="158"/>
  <c r="BZ7" i="158"/>
  <c r="BY7" i="158"/>
  <c r="BX7" i="158"/>
  <c r="BT7" i="158"/>
  <c r="BS7" i="158"/>
  <c r="BR7" i="158"/>
  <c r="BQ7" i="158"/>
  <c r="BP7" i="158"/>
  <c r="BO7" i="158"/>
  <c r="BK7" i="158"/>
  <c r="BJ7" i="158"/>
  <c r="BI7" i="158"/>
  <c r="BH7" i="158"/>
  <c r="BG7" i="158"/>
  <c r="BF7" i="158"/>
  <c r="BB7" i="158"/>
  <c r="BA7" i="158"/>
  <c r="AZ7" i="158"/>
  <c r="AY7" i="158"/>
  <c r="AX7" i="158"/>
  <c r="AW7" i="158"/>
  <c r="AS7" i="158"/>
  <c r="AR7" i="158"/>
  <c r="AQ7" i="158"/>
  <c r="AP7" i="158"/>
  <c r="AO7" i="158"/>
  <c r="AN7" i="158"/>
  <c r="AJ7" i="158"/>
  <c r="AI7" i="158"/>
  <c r="AH7" i="158"/>
  <c r="AG7" i="158"/>
  <c r="AF7" i="158"/>
  <c r="AE7" i="158"/>
  <c r="AA7" i="158"/>
  <c r="Z7" i="158"/>
  <c r="Y7" i="158"/>
  <c r="X7" i="158"/>
  <c r="W7" i="158"/>
  <c r="V7" i="158"/>
  <c r="W89" i="146"/>
  <c r="X89" i="146"/>
  <c r="Y89" i="146"/>
  <c r="Z89" i="146"/>
  <c r="AA89" i="146"/>
  <c r="AB89" i="146"/>
  <c r="AC89" i="146"/>
  <c r="AC88" i="146"/>
  <c r="AB88" i="146"/>
  <c r="AA88" i="146"/>
  <c r="Z88" i="146"/>
  <c r="Y88" i="146"/>
  <c r="X88" i="146"/>
  <c r="W88" i="146"/>
  <c r="AC87" i="146"/>
  <c r="AB87" i="146"/>
  <c r="AA87" i="146"/>
  <c r="Z87" i="146"/>
  <c r="Y87" i="146"/>
  <c r="X87" i="146"/>
  <c r="W87" i="146"/>
  <c r="AC86" i="146"/>
  <c r="AB86" i="146"/>
  <c r="AA86" i="146"/>
  <c r="Z86" i="146"/>
  <c r="Y86" i="146"/>
  <c r="X86" i="146"/>
  <c r="W86" i="146"/>
  <c r="AC85" i="146"/>
  <c r="AB85" i="146"/>
  <c r="AA85" i="146"/>
  <c r="Z85" i="146"/>
  <c r="Y85" i="146"/>
  <c r="X85" i="146"/>
  <c r="W85" i="146"/>
  <c r="AC84" i="146"/>
  <c r="AB84" i="146"/>
  <c r="AA84" i="146"/>
  <c r="Z84" i="146"/>
  <c r="Y84" i="146"/>
  <c r="X84" i="146"/>
  <c r="W84" i="146"/>
  <c r="AC83" i="146"/>
  <c r="AB83" i="146"/>
  <c r="AA83" i="146"/>
  <c r="Z83" i="146"/>
  <c r="Y83" i="146"/>
  <c r="X83" i="146"/>
  <c r="W83" i="146"/>
  <c r="AC82" i="146"/>
  <c r="AB82" i="146"/>
  <c r="AA82" i="146"/>
  <c r="Z82" i="146"/>
  <c r="Y82" i="146"/>
  <c r="X82" i="146"/>
  <c r="W82" i="146"/>
  <c r="AC81" i="146"/>
  <c r="AB81" i="146"/>
  <c r="AA81" i="146"/>
  <c r="Z81" i="146"/>
  <c r="Y81" i="146"/>
  <c r="X81" i="146"/>
  <c r="W81" i="146"/>
  <c r="AC80" i="146"/>
  <c r="AB80" i="146"/>
  <c r="AA80" i="146"/>
  <c r="Z80" i="146"/>
  <c r="Y80" i="146"/>
  <c r="X80" i="146"/>
  <c r="W80" i="146"/>
  <c r="AC79" i="146"/>
  <c r="AB79" i="146"/>
  <c r="AA79" i="146"/>
  <c r="Z79" i="146"/>
  <c r="Y79" i="146"/>
  <c r="X79" i="146"/>
  <c r="W79" i="146"/>
  <c r="AC78" i="146"/>
  <c r="AB78" i="146"/>
  <c r="AA78" i="146"/>
  <c r="Z78" i="146"/>
  <c r="Y78" i="146"/>
  <c r="X78" i="146"/>
  <c r="W78" i="146"/>
  <c r="AC77" i="146"/>
  <c r="AB77" i="146"/>
  <c r="AA77" i="146"/>
  <c r="Z77" i="146"/>
  <c r="Y77" i="146"/>
  <c r="X77" i="146"/>
  <c r="W77" i="146"/>
  <c r="AC76" i="146"/>
  <c r="AB76" i="146"/>
  <c r="AA76" i="146"/>
  <c r="Z76" i="146"/>
  <c r="Y76" i="146"/>
  <c r="X76" i="146"/>
  <c r="W76" i="146"/>
  <c r="AC75" i="146"/>
  <c r="AB75" i="146"/>
  <c r="AA75" i="146"/>
  <c r="Z75" i="146"/>
  <c r="Y75" i="146"/>
  <c r="X75" i="146"/>
  <c r="W75" i="146"/>
  <c r="AC74" i="146"/>
  <c r="AB74" i="146"/>
  <c r="AA74" i="146"/>
  <c r="Z74" i="146"/>
  <c r="Y74" i="146"/>
  <c r="X74" i="146"/>
  <c r="W74" i="146"/>
  <c r="AC73" i="146"/>
  <c r="AB73" i="146"/>
  <c r="AA73" i="146"/>
  <c r="Z73" i="146"/>
  <c r="Y73" i="146"/>
  <c r="X73" i="146"/>
  <c r="W73" i="146"/>
  <c r="AC72" i="146"/>
  <c r="AB72" i="146"/>
  <c r="AA72" i="146"/>
  <c r="Z72" i="146"/>
  <c r="Y72" i="146"/>
  <c r="X72" i="146"/>
  <c r="W72" i="146"/>
  <c r="AC71" i="146"/>
  <c r="AB71" i="146"/>
  <c r="AA71" i="146"/>
  <c r="Z71" i="146"/>
  <c r="Y71" i="146"/>
  <c r="X71" i="146"/>
  <c r="W71" i="146"/>
  <c r="AC70" i="146"/>
  <c r="AB70" i="146"/>
  <c r="AA70" i="146"/>
  <c r="Z70" i="146"/>
  <c r="Y70" i="146"/>
  <c r="X70" i="146"/>
  <c r="W70" i="146"/>
  <c r="AC69" i="146"/>
  <c r="AB69" i="146"/>
  <c r="AA69" i="146"/>
  <c r="Z69" i="146"/>
  <c r="Y69" i="146"/>
  <c r="X69" i="146"/>
  <c r="W69" i="146"/>
  <c r="AC68" i="146"/>
  <c r="AB68" i="146"/>
  <c r="AA68" i="146"/>
  <c r="Z68" i="146"/>
  <c r="Y68" i="146"/>
  <c r="X68" i="146"/>
  <c r="W68" i="146"/>
  <c r="AC67" i="146"/>
  <c r="AB67" i="146"/>
  <c r="AA67" i="146"/>
  <c r="Z67" i="146"/>
  <c r="Y67" i="146"/>
  <c r="X67" i="146"/>
  <c r="W67" i="146"/>
  <c r="AC66" i="146"/>
  <c r="AB66" i="146"/>
  <c r="AA66" i="146"/>
  <c r="Z66" i="146"/>
  <c r="Y66" i="146"/>
  <c r="X66" i="146"/>
  <c r="W66" i="146"/>
  <c r="AC65" i="146"/>
  <c r="AB65" i="146"/>
  <c r="AA65" i="146"/>
  <c r="Z65" i="146"/>
  <c r="Y65" i="146"/>
  <c r="X65" i="146"/>
  <c r="W65" i="146"/>
  <c r="AC64" i="146"/>
  <c r="AB64" i="146"/>
  <c r="AA64" i="146"/>
  <c r="Z64" i="146"/>
  <c r="Y64" i="146"/>
  <c r="X64" i="146"/>
  <c r="W64" i="146"/>
  <c r="AC63" i="146"/>
  <c r="AB63" i="146"/>
  <c r="AA63" i="146"/>
  <c r="Z63" i="146"/>
  <c r="Y63" i="146"/>
  <c r="X63" i="146"/>
  <c r="W63" i="146"/>
  <c r="AC62" i="146"/>
  <c r="AB62" i="146"/>
  <c r="AA62" i="146"/>
  <c r="Z62" i="146"/>
  <c r="Y62" i="146"/>
  <c r="X62" i="146"/>
  <c r="W62" i="146"/>
  <c r="AC61" i="146"/>
  <c r="AB61" i="146"/>
  <c r="AA61" i="146"/>
  <c r="Z61" i="146"/>
  <c r="Y61" i="146"/>
  <c r="X61" i="146"/>
  <c r="W61" i="146"/>
  <c r="AC60" i="146"/>
  <c r="AB60" i="146"/>
  <c r="AA60" i="146"/>
  <c r="Z60" i="146"/>
  <c r="Y60" i="146"/>
  <c r="X60" i="146"/>
  <c r="W60" i="146"/>
  <c r="AC59" i="146"/>
  <c r="AB59" i="146"/>
  <c r="AA59" i="146"/>
  <c r="Z59" i="146"/>
  <c r="Y59" i="146"/>
  <c r="X59" i="146"/>
  <c r="W59" i="146"/>
  <c r="AC58" i="146"/>
  <c r="AB58" i="146"/>
  <c r="AA58" i="146"/>
  <c r="Z58" i="146"/>
  <c r="Y58" i="146"/>
  <c r="X58" i="146"/>
  <c r="W58" i="146"/>
  <c r="AC57" i="146"/>
  <c r="AB57" i="146"/>
  <c r="AA57" i="146"/>
  <c r="Z57" i="146"/>
  <c r="Y57" i="146"/>
  <c r="X57" i="146"/>
  <c r="W57" i="146"/>
  <c r="AC56" i="146"/>
  <c r="AB56" i="146"/>
  <c r="AA56" i="146"/>
  <c r="Z56" i="146"/>
  <c r="Y56" i="146"/>
  <c r="X56" i="146"/>
  <c r="W56" i="146"/>
  <c r="AC55" i="146"/>
  <c r="AB55" i="146"/>
  <c r="AA55" i="146"/>
  <c r="Z55" i="146"/>
  <c r="Y55" i="146"/>
  <c r="X55" i="146"/>
  <c r="W55" i="146"/>
  <c r="AC54" i="146"/>
  <c r="AB54" i="146"/>
  <c r="AA54" i="146"/>
  <c r="Z54" i="146"/>
  <c r="Y54" i="146"/>
  <c r="X54" i="146"/>
  <c r="W54" i="146"/>
  <c r="AC53" i="146"/>
  <c r="AB53" i="146"/>
  <c r="AA53" i="146"/>
  <c r="Z53" i="146"/>
  <c r="Y53" i="146"/>
  <c r="X53" i="146"/>
  <c r="W53" i="146"/>
  <c r="AC52" i="146"/>
  <c r="AB52" i="146"/>
  <c r="AA52" i="146"/>
  <c r="Z52" i="146"/>
  <c r="Y52" i="146"/>
  <c r="X52" i="146"/>
  <c r="W52" i="146"/>
  <c r="AC51" i="146"/>
  <c r="AB51" i="146"/>
  <c r="AA51" i="146"/>
  <c r="Z51" i="146"/>
  <c r="Y51" i="146"/>
  <c r="X51" i="146"/>
  <c r="W51" i="146"/>
  <c r="AC50" i="146"/>
  <c r="AB50" i="146"/>
  <c r="AA50" i="146"/>
  <c r="Z50" i="146"/>
  <c r="Y50" i="146"/>
  <c r="X50" i="146"/>
  <c r="W50" i="146"/>
  <c r="AC49" i="146"/>
  <c r="AB49" i="146"/>
  <c r="AA49" i="146"/>
  <c r="Z49" i="146"/>
  <c r="Y49" i="146"/>
  <c r="X49" i="146"/>
  <c r="W49" i="146"/>
  <c r="AC48" i="146"/>
  <c r="AB48" i="146"/>
  <c r="AA48" i="146"/>
  <c r="Z48" i="146"/>
  <c r="Y48" i="146"/>
  <c r="X48" i="146"/>
  <c r="W48" i="146"/>
  <c r="AC47" i="146"/>
  <c r="AB47" i="146"/>
  <c r="AA47" i="146"/>
  <c r="Z47" i="146"/>
  <c r="Y47" i="146"/>
  <c r="X47" i="146"/>
  <c r="W47" i="146"/>
  <c r="AC46" i="146"/>
  <c r="AB46" i="146"/>
  <c r="AA46" i="146"/>
  <c r="Z46" i="146"/>
  <c r="Y46" i="146"/>
  <c r="X46" i="146"/>
  <c r="W46" i="146"/>
  <c r="AC45" i="146"/>
  <c r="AB45" i="146"/>
  <c r="AA45" i="146"/>
  <c r="Z45" i="146"/>
  <c r="Y45" i="146"/>
  <c r="X45" i="146"/>
  <c r="W45" i="146"/>
  <c r="AC44" i="146"/>
  <c r="AB44" i="146"/>
  <c r="AA44" i="146"/>
  <c r="Z44" i="146"/>
  <c r="Y44" i="146"/>
  <c r="X44" i="146"/>
  <c r="W44" i="146"/>
  <c r="AC43" i="146"/>
  <c r="AB43" i="146"/>
  <c r="AA43" i="146"/>
  <c r="Z43" i="146"/>
  <c r="Y43" i="146"/>
  <c r="X43" i="146"/>
  <c r="W43" i="146"/>
  <c r="AC42" i="146"/>
  <c r="AB42" i="146"/>
  <c r="AA42" i="146"/>
  <c r="Z42" i="146"/>
  <c r="Y42" i="146"/>
  <c r="X42" i="146"/>
  <c r="W42" i="146"/>
  <c r="AC41" i="146"/>
  <c r="AB41" i="146"/>
  <c r="AA41" i="146"/>
  <c r="Z41" i="146"/>
  <c r="Y41" i="146"/>
  <c r="X41" i="146"/>
  <c r="W41" i="146"/>
  <c r="AC40" i="146"/>
  <c r="AB40" i="146"/>
  <c r="AA40" i="146"/>
  <c r="Z40" i="146"/>
  <c r="Y40" i="146"/>
  <c r="X40" i="146"/>
  <c r="W40" i="146"/>
  <c r="AC38" i="146"/>
  <c r="AB38" i="146"/>
  <c r="AA38" i="146"/>
  <c r="Z38" i="146"/>
  <c r="Y38" i="146"/>
  <c r="X38" i="146"/>
  <c r="W38" i="146"/>
  <c r="AC36" i="146"/>
  <c r="AB36" i="146"/>
  <c r="AA36" i="146"/>
  <c r="Z36" i="146"/>
  <c r="Y36" i="146"/>
  <c r="X36" i="146"/>
  <c r="W36" i="146"/>
  <c r="AA5" i="158"/>
  <c r="Z5" i="158"/>
  <c r="Y5" i="158"/>
  <c r="X5" i="158"/>
  <c r="W5" i="158"/>
  <c r="V5" i="158"/>
  <c r="AJ5" i="158"/>
  <c r="AI5" i="158"/>
  <c r="AH5" i="158"/>
  <c r="AG5" i="158"/>
  <c r="AF5" i="158"/>
  <c r="AE5" i="158"/>
  <c r="AS5" i="158"/>
  <c r="AR5" i="158"/>
  <c r="AQ5" i="158"/>
  <c r="AP5" i="158"/>
  <c r="AO5" i="158"/>
  <c r="AN5" i="158"/>
  <c r="BB5" i="158"/>
  <c r="BA5" i="158"/>
  <c r="AZ5" i="158"/>
  <c r="AY5" i="158"/>
  <c r="AX5" i="158"/>
  <c r="AW5" i="158"/>
  <c r="BJ5" i="158"/>
  <c r="BI5" i="158"/>
  <c r="BH5" i="158"/>
  <c r="BG5" i="158"/>
  <c r="BF5" i="158"/>
  <c r="BS5" i="158"/>
  <c r="BR5" i="158"/>
  <c r="BQ5" i="158"/>
  <c r="BP5" i="158"/>
  <c r="BO5" i="158"/>
  <c r="BX5" i="158"/>
  <c r="BY5" i="158"/>
  <c r="BZ5" i="158"/>
  <c r="CA5" i="158"/>
  <c r="CB5" i="158"/>
  <c r="CC5" i="158"/>
  <c r="A63" i="158"/>
  <c r="BT5" i="158"/>
  <c r="BK5" i="158"/>
  <c r="E7" i="158" l="1"/>
  <c r="R7" i="158"/>
  <c r="E34" i="158"/>
  <c r="Q32" i="158"/>
  <c r="F33" i="158"/>
  <c r="H33" i="158"/>
  <c r="F57" i="158"/>
  <c r="O16" i="158"/>
  <c r="Q40" i="158"/>
  <c r="G17" i="158"/>
  <c r="I17" i="158"/>
  <c r="R18" i="158"/>
  <c r="R28" i="158"/>
  <c r="Q44" i="158"/>
  <c r="Q51" i="158"/>
  <c r="E15" i="158"/>
  <c r="Q17" i="158"/>
  <c r="F26" i="158"/>
  <c r="H28" i="158"/>
  <c r="P45" i="158"/>
  <c r="N51" i="158"/>
  <c r="Q14" i="158"/>
  <c r="N17" i="158"/>
  <c r="N27" i="158"/>
  <c r="G27" i="158"/>
  <c r="Q42" i="158"/>
  <c r="F43" i="158"/>
  <c r="H45" i="158"/>
  <c r="F50" i="158"/>
  <c r="Q50" i="158"/>
  <c r="M50" i="158"/>
  <c r="F58" i="158"/>
  <c r="E59" i="158"/>
  <c r="G59" i="158"/>
  <c r="I59" i="158"/>
  <c r="M9" i="158"/>
  <c r="F12" i="158"/>
  <c r="Q26" i="158"/>
  <c r="H27" i="158"/>
  <c r="P38" i="158"/>
  <c r="N40" i="158"/>
  <c r="I53" i="158"/>
  <c r="N55" i="158"/>
  <c r="R57" i="158"/>
  <c r="M25" i="158"/>
  <c r="O28" i="158"/>
  <c r="F32" i="158"/>
  <c r="E36" i="158"/>
  <c r="G55" i="158"/>
  <c r="I20" i="158"/>
  <c r="E20" i="158"/>
  <c r="N21" i="158"/>
  <c r="G21" i="158"/>
  <c r="E22" i="158"/>
  <c r="N33" i="158"/>
  <c r="G33" i="158"/>
  <c r="Q34" i="158"/>
  <c r="H21" i="158"/>
  <c r="F7" i="158"/>
  <c r="F19" i="158"/>
  <c r="N7" i="158"/>
  <c r="O14" i="158"/>
  <c r="H14" i="158"/>
  <c r="H30" i="158"/>
  <c r="H36" i="158"/>
  <c r="O41" i="158"/>
  <c r="Q41" i="158"/>
  <c r="R43" i="158"/>
  <c r="F45" i="158"/>
  <c r="H47" i="158"/>
  <c r="H48" i="158"/>
  <c r="P54" i="158"/>
  <c r="R54" i="158"/>
  <c r="F60" i="158"/>
  <c r="P15" i="158"/>
  <c r="Q20" i="158"/>
  <c r="F21" i="158"/>
  <c r="E9" i="158"/>
  <c r="I15" i="158"/>
  <c r="E17" i="158"/>
  <c r="H19" i="158"/>
  <c r="Q9" i="158"/>
  <c r="M12" i="158"/>
  <c r="R13" i="158"/>
  <c r="D15" i="158"/>
  <c r="O15" i="158"/>
  <c r="F17" i="158"/>
  <c r="E18" i="158"/>
  <c r="N20" i="158"/>
  <c r="R22" i="158"/>
  <c r="G23" i="158"/>
  <c r="R23" i="158"/>
  <c r="N23" i="158"/>
  <c r="N24" i="158"/>
  <c r="F35" i="158"/>
  <c r="H35" i="158"/>
  <c r="O39" i="158"/>
  <c r="P41" i="158"/>
  <c r="R41" i="158"/>
  <c r="P46" i="158"/>
  <c r="I47" i="158"/>
  <c r="P47" i="158"/>
  <c r="O52" i="158"/>
  <c r="Q52" i="158"/>
  <c r="G60" i="158"/>
  <c r="I60" i="158"/>
  <c r="E60" i="158"/>
  <c r="Q22" i="158"/>
  <c r="O30" i="158"/>
  <c r="G35" i="158"/>
  <c r="I35" i="158"/>
  <c r="Q36" i="158"/>
  <c r="M40" i="158"/>
  <c r="D47" i="158"/>
  <c r="P52" i="158"/>
  <c r="F59" i="158"/>
  <c r="R11" i="158"/>
  <c r="G58" i="158"/>
  <c r="I58" i="158"/>
  <c r="E58" i="158"/>
  <c r="G7" i="158"/>
  <c r="D9" i="158"/>
  <c r="Q15" i="158"/>
  <c r="E16" i="158"/>
  <c r="G16" i="158"/>
  <c r="P18" i="158"/>
  <c r="R20" i="158"/>
  <c r="P21" i="158"/>
  <c r="I21" i="158"/>
  <c r="P27" i="158"/>
  <c r="R32" i="158"/>
  <c r="P33" i="158"/>
  <c r="Q39" i="158"/>
  <c r="R45" i="158"/>
  <c r="F56" i="158"/>
  <c r="H7" i="158"/>
  <c r="G9" i="158"/>
  <c r="Q25" i="158"/>
  <c r="D32" i="158"/>
  <c r="F37" i="158"/>
  <c r="P43" i="158"/>
  <c r="G56" i="158"/>
  <c r="I56" i="158"/>
  <c r="E56" i="158"/>
  <c r="E57" i="158"/>
  <c r="G57" i="158"/>
  <c r="I57" i="158"/>
  <c r="F16" i="158"/>
  <c r="F25" i="158"/>
  <c r="P19" i="158"/>
  <c r="E19" i="158"/>
  <c r="P31" i="158"/>
  <c r="I31" i="158"/>
  <c r="D38" i="158"/>
  <c r="O38" i="158"/>
  <c r="H43" i="158"/>
  <c r="N44" i="158"/>
  <c r="E48" i="158"/>
  <c r="G48" i="158"/>
  <c r="N11" i="158"/>
  <c r="I11" i="158"/>
  <c r="G12" i="158"/>
  <c r="I12" i="158"/>
  <c r="E12" i="158"/>
  <c r="E13" i="158"/>
  <c r="G14" i="158"/>
  <c r="I14" i="158"/>
  <c r="N14" i="158"/>
  <c r="H15" i="158"/>
  <c r="I32" i="158"/>
  <c r="M17" i="158"/>
  <c r="O18" i="158"/>
  <c r="Q18" i="158"/>
  <c r="R19" i="158"/>
  <c r="I22" i="158"/>
  <c r="Q23" i="158"/>
  <c r="F24" i="158"/>
  <c r="P25" i="158"/>
  <c r="I25" i="158"/>
  <c r="E26" i="158"/>
  <c r="Q29" i="158"/>
  <c r="F30" i="158"/>
  <c r="H31" i="158"/>
  <c r="O31" i="158"/>
  <c r="Q37" i="158"/>
  <c r="N38" i="158"/>
  <c r="R39" i="158"/>
  <c r="H41" i="158"/>
  <c r="E46" i="158"/>
  <c r="F48" i="158"/>
  <c r="M49" i="158"/>
  <c r="O49" i="158"/>
  <c r="P50" i="158"/>
  <c r="I50" i="158"/>
  <c r="H52" i="158"/>
  <c r="H54" i="158"/>
  <c r="O54" i="158"/>
  <c r="D54" i="158"/>
  <c r="M55" i="158"/>
  <c r="F55" i="158"/>
  <c r="H55" i="158"/>
  <c r="H56" i="158"/>
  <c r="H58" i="158"/>
  <c r="H60" i="158"/>
  <c r="I7" i="158"/>
  <c r="Q16" i="158"/>
  <c r="I18" i="158"/>
  <c r="I19" i="158"/>
  <c r="D19" i="158"/>
  <c r="P20" i="158"/>
  <c r="Q27" i="158"/>
  <c r="F28" i="158"/>
  <c r="I29" i="158"/>
  <c r="P29" i="158"/>
  <c r="E30" i="158"/>
  <c r="G30" i="158"/>
  <c r="N34" i="158"/>
  <c r="P34" i="158"/>
  <c r="I34" i="158"/>
  <c r="R35" i="158"/>
  <c r="N36" i="158"/>
  <c r="P36" i="158"/>
  <c r="R37" i="158"/>
  <c r="F38" i="158"/>
  <c r="H39" i="158"/>
  <c r="E40" i="158"/>
  <c r="F42" i="158"/>
  <c r="F44" i="158"/>
  <c r="F46" i="158"/>
  <c r="H46" i="158"/>
  <c r="D46" i="158"/>
  <c r="N49" i="158"/>
  <c r="E53" i="158"/>
  <c r="I54" i="158"/>
  <c r="E55" i="158"/>
  <c r="N59" i="158"/>
  <c r="R60" i="158"/>
  <c r="D7" i="158"/>
  <c r="O7" i="158"/>
  <c r="R9" i="158"/>
  <c r="O11" i="158"/>
  <c r="D12" i="158"/>
  <c r="O13" i="158"/>
  <c r="Q13" i="158"/>
  <c r="F14" i="158"/>
  <c r="N15" i="158"/>
  <c r="G15" i="158"/>
  <c r="R16" i="158"/>
  <c r="D17" i="158"/>
  <c r="O20" i="158"/>
  <c r="H20" i="158"/>
  <c r="E21" i="158"/>
  <c r="R21" i="158"/>
  <c r="N22" i="158"/>
  <c r="P22" i="158"/>
  <c r="G25" i="158"/>
  <c r="I27" i="158"/>
  <c r="E27" i="158"/>
  <c r="E28" i="158"/>
  <c r="G28" i="158"/>
  <c r="G31" i="158"/>
  <c r="E32" i="158"/>
  <c r="P32" i="158"/>
  <c r="R33" i="158"/>
  <c r="E33" i="158"/>
  <c r="O34" i="158"/>
  <c r="O36" i="158"/>
  <c r="H37" i="158"/>
  <c r="O40" i="158"/>
  <c r="H40" i="158"/>
  <c r="F41" i="158"/>
  <c r="G42" i="158"/>
  <c r="I42" i="158"/>
  <c r="E42" i="158"/>
  <c r="E43" i="158"/>
  <c r="I43" i="158"/>
  <c r="G44" i="158"/>
  <c r="I44" i="158"/>
  <c r="E44" i="158"/>
  <c r="E45" i="158"/>
  <c r="I45" i="158"/>
  <c r="G46" i="158"/>
  <c r="M47" i="158"/>
  <c r="O47" i="158"/>
  <c r="Q48" i="158"/>
  <c r="F49" i="158"/>
  <c r="G50" i="158"/>
  <c r="F53" i="158"/>
  <c r="H53" i="158"/>
  <c r="D53" i="158"/>
  <c r="G54" i="158"/>
  <c r="N56" i="158"/>
  <c r="M56" i="158"/>
  <c r="O57" i="158"/>
  <c r="Q57" i="158"/>
  <c r="N58" i="158"/>
  <c r="O59" i="158"/>
  <c r="Q59" i="158"/>
  <c r="N60" i="158"/>
  <c r="E50" i="158"/>
  <c r="P11" i="158"/>
  <c r="N12" i="158"/>
  <c r="P13" i="158"/>
  <c r="I13" i="158"/>
  <c r="E14" i="158"/>
  <c r="H16" i="158"/>
  <c r="O22" i="158"/>
  <c r="H22" i="158"/>
  <c r="E23" i="158"/>
  <c r="P24" i="158"/>
  <c r="I24" i="158"/>
  <c r="O26" i="158"/>
  <c r="H29" i="158"/>
  <c r="R31" i="158"/>
  <c r="N31" i="158"/>
  <c r="O32" i="158"/>
  <c r="H32" i="158"/>
  <c r="I33" i="158"/>
  <c r="P35" i="158"/>
  <c r="G36" i="158"/>
  <c r="O37" i="158"/>
  <c r="H38" i="158"/>
  <c r="G40" i="158"/>
  <c r="I40" i="158"/>
  <c r="E41" i="158"/>
  <c r="I41" i="158"/>
  <c r="H42" i="158"/>
  <c r="H44" i="158"/>
  <c r="N47" i="158"/>
  <c r="R48" i="158"/>
  <c r="F51" i="158"/>
  <c r="F52" i="158"/>
  <c r="E52" i="158"/>
  <c r="R52" i="158"/>
  <c r="G53" i="158"/>
  <c r="N54" i="158"/>
  <c r="P55" i="158"/>
  <c r="R55" i="158"/>
  <c r="Q56" i="158"/>
  <c r="P57" i="158"/>
  <c r="Q58" i="158"/>
  <c r="P59" i="158"/>
  <c r="Q60" i="158"/>
  <c r="H13" i="158"/>
  <c r="O17" i="158"/>
  <c r="H17" i="158"/>
  <c r="F18" i="158"/>
  <c r="N19" i="158"/>
  <c r="G19" i="158"/>
  <c r="D23" i="158"/>
  <c r="F23" i="158"/>
  <c r="H23" i="158"/>
  <c r="H24" i="158"/>
  <c r="O24" i="158"/>
  <c r="R25" i="158"/>
  <c r="E25" i="158"/>
  <c r="G26" i="158"/>
  <c r="I26" i="158"/>
  <c r="N26" i="158"/>
  <c r="M29" i="158"/>
  <c r="O29" i="158"/>
  <c r="Q30" i="158"/>
  <c r="D31" i="158"/>
  <c r="F31" i="158"/>
  <c r="D37" i="158"/>
  <c r="I38" i="158"/>
  <c r="G38" i="158"/>
  <c r="E39" i="158"/>
  <c r="G39" i="158"/>
  <c r="R46" i="158"/>
  <c r="F47" i="158"/>
  <c r="H49" i="158"/>
  <c r="R50" i="158"/>
  <c r="N50" i="158"/>
  <c r="G51" i="158"/>
  <c r="I51" i="158"/>
  <c r="E51" i="158"/>
  <c r="M54" i="158"/>
  <c r="F54" i="158"/>
  <c r="Q55" i="158"/>
  <c r="D56" i="158"/>
  <c r="H57" i="158"/>
  <c r="H26" i="158"/>
  <c r="D27" i="158"/>
  <c r="O27" i="158"/>
  <c r="Q28" i="158"/>
  <c r="N29" i="158"/>
  <c r="G29" i="158"/>
  <c r="R30" i="158"/>
  <c r="R34" i="158"/>
  <c r="E35" i="158"/>
  <c r="I36" i="158"/>
  <c r="E37" i="158"/>
  <c r="G37" i="158"/>
  <c r="F39" i="158"/>
  <c r="F40" i="158"/>
  <c r="O43" i="158"/>
  <c r="Q43" i="158"/>
  <c r="O45" i="158"/>
  <c r="Q45" i="158"/>
  <c r="I46" i="158"/>
  <c r="O48" i="158"/>
  <c r="I49" i="158"/>
  <c r="G49" i="158"/>
  <c r="D50" i="158"/>
  <c r="H51" i="158"/>
  <c r="R53" i="158"/>
  <c r="I55" i="158"/>
  <c r="N42" i="158"/>
  <c r="H9" i="158"/>
  <c r="O9" i="158"/>
  <c r="E11" i="158"/>
  <c r="M11" i="158"/>
  <c r="Q12" i="158"/>
  <c r="G13" i="158"/>
  <c r="M13" i="158"/>
  <c r="F15" i="158"/>
  <c r="I16" i="158"/>
  <c r="G18" i="158"/>
  <c r="D18" i="158"/>
  <c r="F20" i="158"/>
  <c r="F22" i="158"/>
  <c r="I23" i="158"/>
  <c r="H25" i="158"/>
  <c r="D25" i="158"/>
  <c r="F27" i="158"/>
  <c r="I28" i="158"/>
  <c r="E29" i="158"/>
  <c r="I30" i="158"/>
  <c r="G32" i="158"/>
  <c r="F34" i="158"/>
  <c r="N35" i="158"/>
  <c r="F36" i="158"/>
  <c r="R36" i="158"/>
  <c r="I37" i="158"/>
  <c r="E38" i="158"/>
  <c r="Q38" i="158"/>
  <c r="I39" i="158"/>
  <c r="D40" i="158"/>
  <c r="G41" i="158"/>
  <c r="D41" i="158"/>
  <c r="O42" i="158"/>
  <c r="G43" i="158"/>
  <c r="M43" i="158"/>
  <c r="O44" i="158"/>
  <c r="G45" i="158"/>
  <c r="M45" i="158"/>
  <c r="N46" i="158"/>
  <c r="E47" i="158"/>
  <c r="Q47" i="158"/>
  <c r="I48" i="158"/>
  <c r="E49" i="158"/>
  <c r="Q49" i="158"/>
  <c r="H50" i="158"/>
  <c r="O51" i="158"/>
  <c r="G52" i="158"/>
  <c r="M52" i="158"/>
  <c r="N53" i="158"/>
  <c r="E54" i="158"/>
  <c r="O56" i="158"/>
  <c r="M57" i="158"/>
  <c r="O58" i="158"/>
  <c r="D59" i="158"/>
  <c r="O60" i="158"/>
  <c r="Q7" i="158"/>
  <c r="I9" i="158"/>
  <c r="P9" i="158"/>
  <c r="F11" i="158"/>
  <c r="O12" i="158"/>
  <c r="P14" i="158"/>
  <c r="R15" i="158"/>
  <c r="N16" i="158"/>
  <c r="P17" i="158"/>
  <c r="H18" i="158"/>
  <c r="O19" i="158"/>
  <c r="G20" i="158"/>
  <c r="D20" i="158"/>
  <c r="O21" i="158"/>
  <c r="G22" i="158"/>
  <c r="M22" i="158"/>
  <c r="M23" i="158"/>
  <c r="E24" i="158"/>
  <c r="Q24" i="158"/>
  <c r="P26" i="158"/>
  <c r="R27" i="158"/>
  <c r="N28" i="158"/>
  <c r="F29" i="158"/>
  <c r="R29" i="158"/>
  <c r="N30" i="158"/>
  <c r="E31" i="158"/>
  <c r="Q31" i="158"/>
  <c r="O33" i="158"/>
  <c r="G34" i="158"/>
  <c r="M34" i="158"/>
  <c r="O35" i="158"/>
  <c r="M36" i="158"/>
  <c r="N37" i="158"/>
  <c r="R38" i="158"/>
  <c r="N39" i="158"/>
  <c r="P40" i="158"/>
  <c r="P42" i="158"/>
  <c r="P44" i="158"/>
  <c r="O46" i="158"/>
  <c r="R47" i="158"/>
  <c r="N48" i="158"/>
  <c r="R49" i="158"/>
  <c r="P51" i="158"/>
  <c r="O53" i="158"/>
  <c r="Q54" i="158"/>
  <c r="P56" i="158"/>
  <c r="P58" i="158"/>
  <c r="H59" i="158"/>
  <c r="P60" i="158"/>
  <c r="P49" i="158"/>
  <c r="G11" i="158"/>
  <c r="P12" i="158"/>
  <c r="H34" i="158"/>
  <c r="G47" i="158"/>
  <c r="I52" i="158"/>
  <c r="M7" i="158"/>
  <c r="N9" i="158"/>
  <c r="R12" i="158"/>
  <c r="N13" i="158"/>
  <c r="R14" i="158"/>
  <c r="P16" i="158"/>
  <c r="R17" i="158"/>
  <c r="N18" i="158"/>
  <c r="Q19" i="158"/>
  <c r="Q21" i="158"/>
  <c r="O23" i="158"/>
  <c r="M24" i="158"/>
  <c r="N25" i="158"/>
  <c r="R26" i="158"/>
  <c r="P28" i="158"/>
  <c r="P30" i="158"/>
  <c r="M31" i="158"/>
  <c r="M32" i="158"/>
  <c r="Q33" i="158"/>
  <c r="Q35" i="158"/>
  <c r="P37" i="158"/>
  <c r="P39" i="158"/>
  <c r="R40" i="158"/>
  <c r="N41" i="158"/>
  <c r="R42" i="158"/>
  <c r="N43" i="158"/>
  <c r="R44" i="158"/>
  <c r="N45" i="158"/>
  <c r="Q46" i="158"/>
  <c r="P48" i="158"/>
  <c r="R51" i="158"/>
  <c r="N52" i="158"/>
  <c r="Q53" i="158"/>
  <c r="O55" i="158"/>
  <c r="R56" i="158"/>
  <c r="N57" i="158"/>
  <c r="R58" i="158"/>
  <c r="Q11" i="158"/>
  <c r="M14" i="158"/>
  <c r="M15" i="158"/>
  <c r="P23" i="158"/>
  <c r="O25" i="158"/>
  <c r="M26" i="158"/>
  <c r="M27" i="158"/>
  <c r="D28" i="158"/>
  <c r="N32" i="158"/>
  <c r="D42" i="158"/>
  <c r="M44" i="158"/>
  <c r="O50" i="158"/>
  <c r="M51" i="158"/>
  <c r="M58" i="158"/>
  <c r="M60" i="158"/>
  <c r="M19" i="158"/>
  <c r="D21" i="158"/>
  <c r="D33" i="158"/>
  <c r="M35" i="158"/>
  <c r="M46" i="158"/>
  <c r="M53" i="158"/>
  <c r="D55" i="158"/>
  <c r="P7" i="158"/>
  <c r="M16" i="158"/>
  <c r="M28" i="158"/>
  <c r="M30" i="158"/>
  <c r="M37" i="158"/>
  <c r="M39" i="158"/>
  <c r="D48" i="158"/>
  <c r="D11" i="158"/>
  <c r="D13" i="158"/>
  <c r="D14" i="158"/>
  <c r="D16" i="158"/>
  <c r="M18" i="158"/>
  <c r="M20" i="158"/>
  <c r="M21" i="158"/>
  <c r="D22" i="158"/>
  <c r="D26" i="158"/>
  <c r="D29" i="158"/>
  <c r="D30" i="158"/>
  <c r="M33" i="158"/>
  <c r="D36" i="158"/>
  <c r="M38" i="158"/>
  <c r="D39" i="158"/>
  <c r="M41" i="158"/>
  <c r="D43" i="158"/>
  <c r="D45" i="158"/>
  <c r="M48" i="158"/>
  <c r="D52" i="158"/>
  <c r="D57" i="158"/>
  <c r="D58" i="158"/>
  <c r="M59" i="158"/>
  <c r="D60" i="158"/>
  <c r="D34" i="158"/>
  <c r="M42" i="158"/>
  <c r="D44" i="158"/>
  <c r="D49" i="158"/>
  <c r="H11" i="158"/>
  <c r="D24" i="158"/>
  <c r="D35" i="158"/>
  <c r="D51" i="158"/>
  <c r="H12" i="158"/>
  <c r="F9" i="158"/>
  <c r="Q5" i="158"/>
  <c r="G5" i="158"/>
  <c r="M5" i="158"/>
  <c r="H5" i="158"/>
  <c r="I5" i="158"/>
  <c r="R5" i="158"/>
  <c r="D5" i="158"/>
  <c r="E5" i="158"/>
  <c r="N5" i="158"/>
  <c r="F5" i="158"/>
  <c r="P5" i="158"/>
  <c r="O5" i="158"/>
  <c r="D105" i="149" l="1"/>
  <c r="U61" i="97" l="1"/>
  <c r="I29" i="156" l="1"/>
  <c r="H29" i="156"/>
  <c r="G28" i="156"/>
  <c r="G27" i="156"/>
  <c r="G26" i="156"/>
  <c r="G25" i="156"/>
  <c r="G24" i="156"/>
  <c r="G23" i="156"/>
  <c r="G22" i="156"/>
  <c r="B23" i="156"/>
  <c r="B24" i="156"/>
  <c r="B25" i="156"/>
  <c r="B26" i="156"/>
  <c r="B27" i="156"/>
  <c r="B28" i="156"/>
  <c r="B22" i="156"/>
  <c r="C29" i="156"/>
  <c r="D29" i="156"/>
  <c r="I19" i="156"/>
  <c r="H19" i="156"/>
  <c r="G19" i="156"/>
  <c r="C19" i="156"/>
  <c r="D19" i="156"/>
  <c r="B7" i="156"/>
  <c r="B8" i="156"/>
  <c r="B9" i="156"/>
  <c r="B10" i="156"/>
  <c r="B11" i="156"/>
  <c r="B12" i="156"/>
  <c r="B13" i="156"/>
  <c r="B14" i="156"/>
  <c r="B15" i="156"/>
  <c r="B16" i="156"/>
  <c r="B17" i="156"/>
  <c r="B18" i="156"/>
  <c r="B6" i="156"/>
  <c r="C38" i="149"/>
  <c r="B19" i="156" l="1"/>
  <c r="G29" i="156"/>
  <c r="B29" i="156"/>
  <c r="AA12" i="73"/>
  <c r="B5" i="58" l="1"/>
  <c r="F17" i="130"/>
  <c r="E17" i="130"/>
  <c r="AE89" i="146"/>
  <c r="B89" i="146"/>
  <c r="E88" i="146"/>
  <c r="D88" i="146"/>
  <c r="C88" i="146"/>
  <c r="AE88" i="146" s="1"/>
  <c r="B88" i="146"/>
  <c r="E87" i="146"/>
  <c r="D87" i="146"/>
  <c r="C87" i="146"/>
  <c r="AE87" i="146" s="1"/>
  <c r="B87" i="146"/>
  <c r="E86" i="146"/>
  <c r="D86" i="146"/>
  <c r="C86" i="146"/>
  <c r="AE86" i="146" s="1"/>
  <c r="B86" i="146"/>
  <c r="E85" i="146"/>
  <c r="D85" i="146"/>
  <c r="C85" i="146"/>
  <c r="AE85" i="146" s="1"/>
  <c r="B85" i="146"/>
  <c r="E84" i="146"/>
  <c r="D84" i="146"/>
  <c r="C84" i="146"/>
  <c r="AE84" i="146" s="1"/>
  <c r="B84" i="146"/>
  <c r="E83" i="146"/>
  <c r="D83" i="146"/>
  <c r="C83" i="146"/>
  <c r="AE83" i="146" s="1"/>
  <c r="B83" i="146"/>
  <c r="E82" i="146"/>
  <c r="D82" i="146"/>
  <c r="C82" i="146"/>
  <c r="AE82" i="146" s="1"/>
  <c r="B82" i="146"/>
  <c r="E81" i="146"/>
  <c r="D81" i="146"/>
  <c r="C81" i="146"/>
  <c r="AE81" i="146" s="1"/>
  <c r="B81" i="146"/>
  <c r="E80" i="146"/>
  <c r="D80" i="146"/>
  <c r="C80" i="146"/>
  <c r="AE80" i="146" s="1"/>
  <c r="B80" i="146"/>
  <c r="E79" i="146"/>
  <c r="D79" i="146"/>
  <c r="C79" i="146"/>
  <c r="AE79" i="146" s="1"/>
  <c r="B79" i="146"/>
  <c r="E78" i="146"/>
  <c r="D78" i="146"/>
  <c r="C78" i="146"/>
  <c r="AE78" i="146" s="1"/>
  <c r="B78" i="146"/>
  <c r="E77" i="146"/>
  <c r="D77" i="146"/>
  <c r="C77" i="146"/>
  <c r="AE77" i="146" s="1"/>
  <c r="B77" i="146"/>
  <c r="E76" i="146"/>
  <c r="D76" i="146"/>
  <c r="C76" i="146"/>
  <c r="AE76" i="146" s="1"/>
  <c r="B76" i="146"/>
  <c r="E75" i="146"/>
  <c r="D75" i="146"/>
  <c r="C75" i="146"/>
  <c r="AE75" i="146" s="1"/>
  <c r="B75" i="146"/>
  <c r="E74" i="146"/>
  <c r="D74" i="146"/>
  <c r="C74" i="146"/>
  <c r="AE74" i="146" s="1"/>
  <c r="B74" i="146"/>
  <c r="E73" i="146"/>
  <c r="D73" i="146"/>
  <c r="C73" i="146"/>
  <c r="AE73" i="146" s="1"/>
  <c r="B73" i="146"/>
  <c r="E72" i="146"/>
  <c r="D72" i="146"/>
  <c r="C72" i="146"/>
  <c r="AE72" i="146" s="1"/>
  <c r="B72" i="146"/>
  <c r="E71" i="146"/>
  <c r="D71" i="146"/>
  <c r="C71" i="146"/>
  <c r="AE71" i="146" s="1"/>
  <c r="B71" i="146"/>
  <c r="E70" i="146"/>
  <c r="D70" i="146"/>
  <c r="C70" i="146"/>
  <c r="AE70" i="146" s="1"/>
  <c r="B70" i="146"/>
  <c r="E69" i="146"/>
  <c r="D69" i="146"/>
  <c r="C69" i="146"/>
  <c r="AE69" i="146" s="1"/>
  <c r="B69" i="146"/>
  <c r="E68" i="146"/>
  <c r="D68" i="146"/>
  <c r="C68" i="146"/>
  <c r="AE68" i="146" s="1"/>
  <c r="B68" i="146"/>
  <c r="E67" i="146"/>
  <c r="D67" i="146"/>
  <c r="C67" i="146"/>
  <c r="AE67" i="146" s="1"/>
  <c r="B67" i="146"/>
  <c r="E66" i="146"/>
  <c r="D66" i="146"/>
  <c r="C66" i="146"/>
  <c r="AE66" i="146" s="1"/>
  <c r="B66" i="146"/>
  <c r="E65" i="146"/>
  <c r="D65" i="146"/>
  <c r="C65" i="146"/>
  <c r="AE65" i="146" s="1"/>
  <c r="B65" i="146"/>
  <c r="E64" i="146"/>
  <c r="D64" i="146"/>
  <c r="C64" i="146"/>
  <c r="AE64" i="146" s="1"/>
  <c r="B64" i="146"/>
  <c r="E63" i="146"/>
  <c r="D63" i="146"/>
  <c r="C63" i="146"/>
  <c r="AE63" i="146" s="1"/>
  <c r="B63" i="146"/>
  <c r="E62" i="146"/>
  <c r="D62" i="146"/>
  <c r="C62" i="146"/>
  <c r="AE62" i="146" s="1"/>
  <c r="B62" i="146"/>
  <c r="E61" i="146"/>
  <c r="D61" i="146"/>
  <c r="C61" i="146"/>
  <c r="AE61" i="146" s="1"/>
  <c r="B61" i="146"/>
  <c r="E60" i="146"/>
  <c r="D60" i="146"/>
  <c r="C60" i="146"/>
  <c r="AE60" i="146" s="1"/>
  <c r="B60" i="146"/>
  <c r="E59" i="146"/>
  <c r="D59" i="146"/>
  <c r="C59" i="146"/>
  <c r="AE59" i="146" s="1"/>
  <c r="B59" i="146"/>
  <c r="E58" i="146"/>
  <c r="D58" i="146"/>
  <c r="C58" i="146"/>
  <c r="AE58" i="146" s="1"/>
  <c r="B58" i="146"/>
  <c r="E57" i="146"/>
  <c r="D57" i="146"/>
  <c r="C57" i="146"/>
  <c r="AE57" i="146" s="1"/>
  <c r="B57" i="146"/>
  <c r="E56" i="146"/>
  <c r="D56" i="146"/>
  <c r="C56" i="146"/>
  <c r="AE56" i="146" s="1"/>
  <c r="B56" i="146"/>
  <c r="E55" i="146"/>
  <c r="D55" i="146"/>
  <c r="C55" i="146"/>
  <c r="AE55" i="146" s="1"/>
  <c r="B55" i="146"/>
  <c r="E54" i="146"/>
  <c r="D54" i="146"/>
  <c r="C54" i="146"/>
  <c r="AE54" i="146" s="1"/>
  <c r="B54" i="146"/>
  <c r="E53" i="146"/>
  <c r="D53" i="146"/>
  <c r="C53" i="146"/>
  <c r="AE53" i="146" s="1"/>
  <c r="B53" i="146"/>
  <c r="E52" i="146"/>
  <c r="D52" i="146"/>
  <c r="C52" i="146"/>
  <c r="AE52" i="146" s="1"/>
  <c r="B52" i="146"/>
  <c r="E51" i="146"/>
  <c r="D51" i="146"/>
  <c r="C51" i="146"/>
  <c r="AE51" i="146" s="1"/>
  <c r="B51" i="146"/>
  <c r="E50" i="146"/>
  <c r="D50" i="146"/>
  <c r="C50" i="146"/>
  <c r="AE50" i="146" s="1"/>
  <c r="B50" i="146"/>
  <c r="E49" i="146"/>
  <c r="D49" i="146"/>
  <c r="C49" i="146"/>
  <c r="AE49" i="146" s="1"/>
  <c r="B49" i="146"/>
  <c r="E48" i="146"/>
  <c r="D48" i="146"/>
  <c r="C48" i="146"/>
  <c r="AE48" i="146" s="1"/>
  <c r="B48" i="146"/>
  <c r="E47" i="146"/>
  <c r="D47" i="146"/>
  <c r="C47" i="146"/>
  <c r="AE47" i="146" s="1"/>
  <c r="B47" i="146"/>
  <c r="E46" i="146"/>
  <c r="D46" i="146"/>
  <c r="C46" i="146"/>
  <c r="AE46" i="146" s="1"/>
  <c r="B46" i="146"/>
  <c r="E45" i="146"/>
  <c r="D45" i="146"/>
  <c r="C45" i="146"/>
  <c r="AE45" i="146" s="1"/>
  <c r="B45" i="146"/>
  <c r="E44" i="146"/>
  <c r="D44" i="146"/>
  <c r="C44" i="146"/>
  <c r="AE44" i="146" s="1"/>
  <c r="B44" i="146"/>
  <c r="E43" i="146"/>
  <c r="D43" i="146"/>
  <c r="C43" i="146"/>
  <c r="AE43" i="146" s="1"/>
  <c r="B43" i="146"/>
  <c r="E42" i="146"/>
  <c r="D42" i="146"/>
  <c r="C42" i="146"/>
  <c r="AE42" i="146" s="1"/>
  <c r="B42" i="146"/>
  <c r="E41" i="146"/>
  <c r="D41" i="146"/>
  <c r="C41" i="146"/>
  <c r="AE41" i="146" s="1"/>
  <c r="B41" i="146"/>
  <c r="E40" i="146"/>
  <c r="D40" i="146"/>
  <c r="C40" i="146"/>
  <c r="AE40" i="146" s="1"/>
  <c r="B40" i="146"/>
  <c r="E38" i="146"/>
  <c r="D38" i="146"/>
  <c r="C38" i="146"/>
  <c r="AE38" i="146" s="1"/>
  <c r="E36" i="146"/>
  <c r="D36" i="146"/>
  <c r="C36" i="146"/>
  <c r="AE36" i="146" s="1"/>
  <c r="B36" i="146"/>
  <c r="E34" i="146"/>
  <c r="D34" i="146"/>
  <c r="A99" i="146"/>
  <c r="A100" i="146" s="1"/>
  <c r="A101" i="146" s="1"/>
  <c r="A102" i="146" s="1"/>
  <c r="A103" i="146" s="1"/>
  <c r="A104" i="146" s="1"/>
  <c r="A105" i="146" s="1"/>
  <c r="A106" i="146" s="1"/>
  <c r="A107" i="146" s="1"/>
  <c r="A108" i="146" s="1"/>
  <c r="A109" i="146" s="1"/>
  <c r="A110" i="146" s="1"/>
  <c r="A111" i="146" s="1"/>
  <c r="A112" i="146" s="1"/>
  <c r="A113" i="146" s="1"/>
  <c r="A114" i="146" s="1"/>
  <c r="A115" i="146" s="1"/>
  <c r="A116" i="146" s="1"/>
  <c r="A117" i="146" s="1"/>
  <c r="A118" i="146" s="1"/>
  <c r="A119" i="146" s="1"/>
  <c r="A120" i="146" s="1"/>
  <c r="A121" i="146" s="1"/>
  <c r="A122" i="146" s="1"/>
  <c r="A123" i="146" s="1"/>
  <c r="A124" i="146" s="1"/>
  <c r="A125" i="146" s="1"/>
  <c r="A126" i="146" s="1"/>
  <c r="A127" i="146" s="1"/>
  <c r="A128" i="146" s="1"/>
  <c r="A129" i="146" s="1"/>
  <c r="A130" i="146" s="1"/>
  <c r="A131" i="146" s="1"/>
  <c r="A132" i="146" s="1"/>
  <c r="A133" i="146" s="1"/>
  <c r="A134" i="146" s="1"/>
  <c r="A135" i="146" s="1"/>
  <c r="A136" i="146" s="1"/>
  <c r="A137" i="146" s="1"/>
  <c r="A138" i="146" s="1"/>
  <c r="A139" i="146" s="1"/>
  <c r="A140" i="146" s="1"/>
  <c r="A141" i="146" s="1"/>
  <c r="A142" i="146" s="1"/>
  <c r="A143" i="146" s="1"/>
  <c r="A144" i="146" s="1"/>
  <c r="A145" i="146" s="1"/>
  <c r="A146" i="146" s="1"/>
  <c r="A147" i="146" s="1"/>
  <c r="A148" i="146" s="1"/>
  <c r="A149" i="146" s="1"/>
  <c r="A150" i="146" s="1"/>
  <c r="A151" i="146" s="1"/>
  <c r="A152" i="146" s="1"/>
  <c r="A153" i="146" s="1"/>
  <c r="AH40" i="146" l="1"/>
  <c r="T11" i="158"/>
  <c r="AU11" i="158"/>
  <c r="AC11" i="158"/>
  <c r="BD11" i="158"/>
  <c r="AK40" i="146"/>
  <c r="AL40" i="146"/>
  <c r="BV11" i="158"/>
  <c r="AJ40" i="146"/>
  <c r="AM40" i="146"/>
  <c r="AI40" i="146"/>
  <c r="BM11" i="158"/>
  <c r="AL11" i="158"/>
  <c r="AC17" i="158"/>
  <c r="AI46" i="146"/>
  <c r="AH46" i="146"/>
  <c r="AG46" i="146" s="1"/>
  <c r="AO46" i="146" s="1"/>
  <c r="BM17" i="158"/>
  <c r="AL46" i="146"/>
  <c r="BV17" i="158"/>
  <c r="AM46" i="146"/>
  <c r="BD17" i="158"/>
  <c r="AK46" i="146"/>
  <c r="AJ46" i="146"/>
  <c r="T17" i="158"/>
  <c r="AL17" i="158"/>
  <c r="AU17" i="158"/>
  <c r="BV25" i="158"/>
  <c r="AM54" i="146"/>
  <c r="AU25" i="158"/>
  <c r="AH54" i="146"/>
  <c r="AL25" i="158"/>
  <c r="T25" i="158"/>
  <c r="AL54" i="146"/>
  <c r="AK54" i="146"/>
  <c r="BD25" i="158"/>
  <c r="AC25" i="158"/>
  <c r="AJ54" i="146"/>
  <c r="BM25" i="158"/>
  <c r="AI54" i="146"/>
  <c r="AU31" i="158"/>
  <c r="AL60" i="146"/>
  <c r="AK60" i="146"/>
  <c r="AJ60" i="146"/>
  <c r="BV31" i="158"/>
  <c r="BD31" i="158"/>
  <c r="BM31" i="158"/>
  <c r="AH60" i="146"/>
  <c r="AL31" i="158"/>
  <c r="T31" i="158"/>
  <c r="AM60" i="146"/>
  <c r="AC31" i="158"/>
  <c r="AI60" i="146"/>
  <c r="AC37" i="158"/>
  <c r="AJ66" i="146"/>
  <c r="BV37" i="158"/>
  <c r="BD37" i="158"/>
  <c r="T37" i="158"/>
  <c r="AI66" i="146"/>
  <c r="AM66" i="146"/>
  <c r="AL66" i="146"/>
  <c r="AH66" i="146"/>
  <c r="AU37" i="158"/>
  <c r="BM37" i="158"/>
  <c r="AL37" i="158"/>
  <c r="AK66" i="146"/>
  <c r="AH74" i="146"/>
  <c r="AK74" i="146"/>
  <c r="BD45" i="158"/>
  <c r="AL74" i="146"/>
  <c r="AL45" i="158"/>
  <c r="AC45" i="158"/>
  <c r="BV45" i="158"/>
  <c r="T45" i="158"/>
  <c r="AI74" i="146"/>
  <c r="AM74" i="146"/>
  <c r="AU45" i="158"/>
  <c r="BM45" i="158"/>
  <c r="AJ74" i="146"/>
  <c r="AI80" i="146"/>
  <c r="BM51" i="158"/>
  <c r="AM80" i="146"/>
  <c r="AJ80" i="146"/>
  <c r="T51" i="158"/>
  <c r="AH80" i="146"/>
  <c r="AC51" i="158"/>
  <c r="AL51" i="158"/>
  <c r="BD51" i="158"/>
  <c r="AL80" i="146"/>
  <c r="AU51" i="158"/>
  <c r="BV51" i="158"/>
  <c r="AK80" i="146"/>
  <c r="AC59" i="158"/>
  <c r="AK88" i="146"/>
  <c r="BM59" i="158"/>
  <c r="AM88" i="146"/>
  <c r="AH88" i="146"/>
  <c r="AL59" i="158"/>
  <c r="T59" i="158"/>
  <c r="AI88" i="146"/>
  <c r="AJ88" i="146"/>
  <c r="BV59" i="158"/>
  <c r="AU59" i="158"/>
  <c r="BD59" i="158"/>
  <c r="AL88" i="146"/>
  <c r="AK42" i="146"/>
  <c r="BD13" i="158"/>
  <c r="AJ42" i="146"/>
  <c r="AL42" i="146"/>
  <c r="BM13" i="158"/>
  <c r="AC13" i="158"/>
  <c r="AI42" i="146"/>
  <c r="AU13" i="158"/>
  <c r="BV13" i="158"/>
  <c r="AM42" i="146"/>
  <c r="AH42" i="146"/>
  <c r="AL13" i="158"/>
  <c r="T13" i="158"/>
  <c r="AI48" i="146"/>
  <c r="BD19" i="158"/>
  <c r="AM48" i="146"/>
  <c r="AJ48" i="146"/>
  <c r="BM19" i="158"/>
  <c r="AK48" i="146"/>
  <c r="AL48" i="146"/>
  <c r="AL19" i="158"/>
  <c r="BV19" i="158"/>
  <c r="AH48" i="146"/>
  <c r="AC19" i="158"/>
  <c r="AU19" i="158"/>
  <c r="T19" i="158"/>
  <c r="AM52" i="146"/>
  <c r="BD23" i="158"/>
  <c r="AL23" i="158"/>
  <c r="AJ52" i="146"/>
  <c r="AL52" i="146"/>
  <c r="BV23" i="158"/>
  <c r="T23" i="158"/>
  <c r="BM23" i="158"/>
  <c r="AU23" i="158"/>
  <c r="AC23" i="158"/>
  <c r="AH52" i="146"/>
  <c r="AK52" i="146"/>
  <c r="AI52" i="146"/>
  <c r="AH56" i="146"/>
  <c r="AU27" i="158"/>
  <c r="AK56" i="146"/>
  <c r="BV27" i="158"/>
  <c r="AC27" i="158"/>
  <c r="AJ56" i="146"/>
  <c r="AL56" i="146"/>
  <c r="BM27" i="158"/>
  <c r="AI56" i="146"/>
  <c r="AG56" i="146" s="1"/>
  <c r="BD27" i="158"/>
  <c r="AM56" i="146"/>
  <c r="AL27" i="158"/>
  <c r="T27" i="158"/>
  <c r="AU33" i="158"/>
  <c r="AC33" i="158"/>
  <c r="AK62" i="146"/>
  <c r="AI62" i="146"/>
  <c r="BM33" i="158"/>
  <c r="AL62" i="146"/>
  <c r="AM62" i="146"/>
  <c r="AH62" i="146"/>
  <c r="T33" i="158"/>
  <c r="AJ62" i="146"/>
  <c r="BV33" i="158"/>
  <c r="AL33" i="158"/>
  <c r="BD33" i="158"/>
  <c r="AM68" i="146"/>
  <c r="AC39" i="158"/>
  <c r="BD39" i="158"/>
  <c r="AL68" i="146"/>
  <c r="AI68" i="146"/>
  <c r="T39" i="158"/>
  <c r="AL39" i="158"/>
  <c r="AU39" i="158"/>
  <c r="AJ68" i="146"/>
  <c r="AK68" i="146"/>
  <c r="BM39" i="158"/>
  <c r="AH68" i="146"/>
  <c r="BV39" i="158"/>
  <c r="AH72" i="146"/>
  <c r="AU43" i="158"/>
  <c r="AK72" i="146"/>
  <c r="AC43" i="158"/>
  <c r="BM43" i="158"/>
  <c r="BD43" i="158"/>
  <c r="AI72" i="146"/>
  <c r="AL72" i="146"/>
  <c r="BV43" i="158"/>
  <c r="AL43" i="158"/>
  <c r="T43" i="158"/>
  <c r="AM72" i="146"/>
  <c r="AJ72" i="146"/>
  <c r="AL78" i="146"/>
  <c r="AU49" i="158"/>
  <c r="AC49" i="158"/>
  <c r="T49" i="158"/>
  <c r="AK78" i="146"/>
  <c r="AI78" i="146"/>
  <c r="AH78" i="146"/>
  <c r="BM49" i="158"/>
  <c r="AM78" i="146"/>
  <c r="AL49" i="158"/>
  <c r="BD49" i="158"/>
  <c r="BV49" i="158"/>
  <c r="AJ78" i="146"/>
  <c r="AC55" i="158"/>
  <c r="AJ84" i="146"/>
  <c r="AM84" i="146"/>
  <c r="AI84" i="146"/>
  <c r="BD55" i="158"/>
  <c r="AU55" i="158"/>
  <c r="AL55" i="158"/>
  <c r="AK84" i="146"/>
  <c r="BV55" i="158"/>
  <c r="AH84" i="146"/>
  <c r="BM55" i="158"/>
  <c r="T55" i="158"/>
  <c r="AL84" i="146"/>
  <c r="BV7" i="158"/>
  <c r="AM36" i="146"/>
  <c r="AL7" i="158"/>
  <c r="AU7" i="158"/>
  <c r="AK36" i="146"/>
  <c r="AC7" i="158"/>
  <c r="BD7" i="158"/>
  <c r="AL36" i="146"/>
  <c r="BM7" i="158"/>
  <c r="AH36" i="146"/>
  <c r="T7" i="158"/>
  <c r="AJ36" i="146"/>
  <c r="AI36" i="146"/>
  <c r="AU15" i="158"/>
  <c r="AK44" i="146"/>
  <c r="AI44" i="146"/>
  <c r="BV15" i="158"/>
  <c r="AL44" i="146"/>
  <c r="AC15" i="158"/>
  <c r="AM44" i="146"/>
  <c r="BM15" i="158"/>
  <c r="AJ44" i="146"/>
  <c r="AL15" i="158"/>
  <c r="BD15" i="158"/>
  <c r="AH44" i="146"/>
  <c r="T15" i="158"/>
  <c r="AC21" i="158"/>
  <c r="AJ50" i="146"/>
  <c r="BV21" i="158"/>
  <c r="AI50" i="146"/>
  <c r="AM50" i="146"/>
  <c r="AU21" i="158"/>
  <c r="AH50" i="146"/>
  <c r="BM21" i="158"/>
  <c r="BD21" i="158"/>
  <c r="AL50" i="146"/>
  <c r="AK50" i="146"/>
  <c r="AL21" i="158"/>
  <c r="T21" i="158"/>
  <c r="AK58" i="146"/>
  <c r="BM29" i="158"/>
  <c r="AL29" i="158"/>
  <c r="AM58" i="146"/>
  <c r="AC29" i="158"/>
  <c r="BV29" i="158"/>
  <c r="AH58" i="146"/>
  <c r="AI58" i="146"/>
  <c r="AU29" i="158"/>
  <c r="BD29" i="158"/>
  <c r="AL58" i="146"/>
  <c r="T29" i="158"/>
  <c r="AJ58" i="146"/>
  <c r="AI64" i="146"/>
  <c r="AM64" i="146"/>
  <c r="BM35" i="158"/>
  <c r="AL64" i="146"/>
  <c r="AL35" i="158"/>
  <c r="BV35" i="158"/>
  <c r="T35" i="158"/>
  <c r="AH64" i="146"/>
  <c r="AC35" i="158"/>
  <c r="AU35" i="158"/>
  <c r="AJ64" i="146"/>
  <c r="BD35" i="158"/>
  <c r="AK64" i="146"/>
  <c r="BV41" i="158"/>
  <c r="AM70" i="146"/>
  <c r="AU41" i="158"/>
  <c r="AL70" i="146"/>
  <c r="BM41" i="158"/>
  <c r="T41" i="158"/>
  <c r="AK70" i="146"/>
  <c r="AI70" i="146"/>
  <c r="AL41" i="158"/>
  <c r="BD41" i="158"/>
  <c r="AJ70" i="146"/>
  <c r="AC41" i="158"/>
  <c r="AH70" i="146"/>
  <c r="AU47" i="158"/>
  <c r="AL76" i="146"/>
  <c r="AK76" i="146"/>
  <c r="AL47" i="158"/>
  <c r="BV47" i="158"/>
  <c r="BD47" i="158"/>
  <c r="AC47" i="158"/>
  <c r="AJ76" i="146"/>
  <c r="AI76" i="146"/>
  <c r="BM47" i="158"/>
  <c r="T47" i="158"/>
  <c r="AM76" i="146"/>
  <c r="AH76" i="146"/>
  <c r="AC53" i="158"/>
  <c r="AJ82" i="146"/>
  <c r="BV53" i="158"/>
  <c r="AI82" i="146"/>
  <c r="AM82" i="146"/>
  <c r="AU53" i="158"/>
  <c r="AH82" i="146"/>
  <c r="BD53" i="158"/>
  <c r="AL53" i="158"/>
  <c r="BM53" i="158"/>
  <c r="AL82" i="146"/>
  <c r="AK82" i="146"/>
  <c r="T53" i="158"/>
  <c r="BV57" i="158"/>
  <c r="AH86" i="146"/>
  <c r="AM86" i="146"/>
  <c r="BD57" i="158"/>
  <c r="AJ86" i="146"/>
  <c r="BM57" i="158"/>
  <c r="AC57" i="158"/>
  <c r="AK86" i="146"/>
  <c r="AI86" i="146"/>
  <c r="AL57" i="158"/>
  <c r="T57" i="158"/>
  <c r="AL86" i="146"/>
  <c r="AU57" i="158"/>
  <c r="BD9" i="158"/>
  <c r="AJ38" i="146"/>
  <c r="AL38" i="146"/>
  <c r="AC9" i="158"/>
  <c r="AU9" i="158"/>
  <c r="AL9" i="158"/>
  <c r="AH38" i="146"/>
  <c r="AM38" i="146"/>
  <c r="BM9" i="158"/>
  <c r="BV9" i="158"/>
  <c r="T9" i="158"/>
  <c r="AI38" i="146"/>
  <c r="AK38" i="146"/>
  <c r="AC12" i="158"/>
  <c r="AM41" i="146"/>
  <c r="AI41" i="146"/>
  <c r="AH41" i="146"/>
  <c r="BD12" i="158"/>
  <c r="AK41" i="146"/>
  <c r="AL41" i="146"/>
  <c r="BV12" i="158"/>
  <c r="BM12" i="158"/>
  <c r="T12" i="158"/>
  <c r="AL12" i="158"/>
  <c r="AJ41" i="146"/>
  <c r="AU12" i="158"/>
  <c r="AC14" i="158"/>
  <c r="AM43" i="146"/>
  <c r="AU14" i="158"/>
  <c r="BD14" i="158"/>
  <c r="AI43" i="146"/>
  <c r="AL43" i="146"/>
  <c r="T14" i="158"/>
  <c r="AH43" i="146"/>
  <c r="BV14" i="158"/>
  <c r="AK43" i="146"/>
  <c r="AL14" i="158"/>
  <c r="AJ43" i="146"/>
  <c r="AG43" i="146" s="1"/>
  <c r="AO43" i="146" s="1"/>
  <c r="BM14" i="158"/>
  <c r="AL16" i="158"/>
  <c r="AH45" i="146"/>
  <c r="AJ45" i="146"/>
  <c r="BV16" i="158"/>
  <c r="AL45" i="146"/>
  <c r="AU16" i="158"/>
  <c r="AC16" i="158"/>
  <c r="BM16" i="158"/>
  <c r="AK45" i="146"/>
  <c r="AI45" i="146"/>
  <c r="BD16" i="158"/>
  <c r="T16" i="158"/>
  <c r="AM45" i="146"/>
  <c r="BV18" i="158"/>
  <c r="AK47" i="146"/>
  <c r="AM47" i="146"/>
  <c r="AC18" i="158"/>
  <c r="AJ47" i="146"/>
  <c r="BD18" i="158"/>
  <c r="BM18" i="158"/>
  <c r="AI47" i="146"/>
  <c r="AH47" i="146"/>
  <c r="AL18" i="158"/>
  <c r="AU18" i="158"/>
  <c r="AL47" i="146"/>
  <c r="T18" i="158"/>
  <c r="AL20" i="158"/>
  <c r="BV20" i="158"/>
  <c r="BM20" i="158"/>
  <c r="BD20" i="158"/>
  <c r="AM49" i="146"/>
  <c r="AH49" i="146"/>
  <c r="AU20" i="158"/>
  <c r="AL49" i="146"/>
  <c r="AC20" i="158"/>
  <c r="AK49" i="146"/>
  <c r="AJ49" i="146"/>
  <c r="AI49" i="146"/>
  <c r="T20" i="158"/>
  <c r="AH51" i="146"/>
  <c r="AM51" i="146"/>
  <c r="AU22" i="158"/>
  <c r="AI51" i="146"/>
  <c r="AJ51" i="146"/>
  <c r="AK51" i="146"/>
  <c r="AL22" i="158"/>
  <c r="T22" i="158"/>
  <c r="BV22" i="158"/>
  <c r="AC22" i="158"/>
  <c r="BD22" i="158"/>
  <c r="AL51" i="146"/>
  <c r="BM22" i="158"/>
  <c r="AI53" i="146"/>
  <c r="BM24" i="158"/>
  <c r="AH53" i="146"/>
  <c r="AG53" i="146" s="1"/>
  <c r="AL53" i="146"/>
  <c r="AU24" i="158"/>
  <c r="AL24" i="158"/>
  <c r="AK53" i="146"/>
  <c r="BV24" i="158"/>
  <c r="AJ53" i="146"/>
  <c r="AM53" i="146"/>
  <c r="AC24" i="158"/>
  <c r="BD24" i="158"/>
  <c r="T24" i="158"/>
  <c r="AI55" i="146"/>
  <c r="AU26" i="158"/>
  <c r="BM26" i="158"/>
  <c r="AL55" i="146"/>
  <c r="AM55" i="146"/>
  <c r="AH55" i="146"/>
  <c r="T26" i="158"/>
  <c r="BV26" i="158"/>
  <c r="AL26" i="158"/>
  <c r="AC26" i="158"/>
  <c r="AJ55" i="146"/>
  <c r="BD26" i="158"/>
  <c r="AK55" i="146"/>
  <c r="AM57" i="146"/>
  <c r="AC28" i="158"/>
  <c r="AU28" i="158"/>
  <c r="AH57" i="146"/>
  <c r="AL57" i="146"/>
  <c r="BD28" i="158"/>
  <c r="BM28" i="158"/>
  <c r="T28" i="158"/>
  <c r="BV28" i="158"/>
  <c r="AL28" i="158"/>
  <c r="AK57" i="146"/>
  <c r="AI57" i="146"/>
  <c r="AJ57" i="146"/>
  <c r="AC30" i="158"/>
  <c r="AI59" i="146"/>
  <c r="BD30" i="158"/>
  <c r="BV30" i="158"/>
  <c r="AK59" i="146"/>
  <c r="AM59" i="146"/>
  <c r="AH59" i="146"/>
  <c r="AL30" i="158"/>
  <c r="AU30" i="158"/>
  <c r="BM30" i="158"/>
  <c r="AL59" i="146"/>
  <c r="T30" i="158"/>
  <c r="AJ59" i="146"/>
  <c r="AL32" i="158"/>
  <c r="BV32" i="158"/>
  <c r="AJ61" i="146"/>
  <c r="AL61" i="146"/>
  <c r="AC32" i="158"/>
  <c r="BM32" i="158"/>
  <c r="AM61" i="146"/>
  <c r="BD32" i="158"/>
  <c r="T32" i="158"/>
  <c r="AI61" i="146"/>
  <c r="AH61" i="146"/>
  <c r="AU32" i="158"/>
  <c r="AK61" i="146"/>
  <c r="BV34" i="158"/>
  <c r="AL63" i="146"/>
  <c r="AI63" i="146"/>
  <c r="AK63" i="146"/>
  <c r="AM63" i="146"/>
  <c r="AJ63" i="146"/>
  <c r="BD34" i="158"/>
  <c r="BM34" i="158"/>
  <c r="AH63" i="146"/>
  <c r="AC34" i="158"/>
  <c r="AL34" i="158"/>
  <c r="AU34" i="158"/>
  <c r="T34" i="158"/>
  <c r="AL36" i="158"/>
  <c r="AU36" i="158"/>
  <c r="BV36" i="158"/>
  <c r="BD36" i="158"/>
  <c r="T36" i="158"/>
  <c r="AK65" i="146"/>
  <c r="AH65" i="146"/>
  <c r="AL65" i="146"/>
  <c r="BM36" i="158"/>
  <c r="AM65" i="146"/>
  <c r="AJ65" i="146"/>
  <c r="AC36" i="158"/>
  <c r="AI65" i="146"/>
  <c r="AU38" i="158"/>
  <c r="AJ67" i="146"/>
  <c r="BV38" i="158"/>
  <c r="AC38" i="158"/>
  <c r="AI67" i="146"/>
  <c r="AL38" i="158"/>
  <c r="BM38" i="158"/>
  <c r="T38" i="158"/>
  <c r="AL67" i="146"/>
  <c r="AH67" i="146"/>
  <c r="AK67" i="146"/>
  <c r="BD38" i="158"/>
  <c r="AM67" i="146"/>
  <c r="AU40" i="158"/>
  <c r="AI69" i="146"/>
  <c r="AK69" i="146"/>
  <c r="BM40" i="158"/>
  <c r="AH69" i="146"/>
  <c r="BV40" i="158"/>
  <c r="T40" i="158"/>
  <c r="AL40" i="158"/>
  <c r="AM69" i="146"/>
  <c r="BD40" i="158"/>
  <c r="AL69" i="146"/>
  <c r="AJ69" i="146"/>
  <c r="AC40" i="158"/>
  <c r="T42" i="158"/>
  <c r="BD42" i="158"/>
  <c r="AC42" i="158"/>
  <c r="AU42" i="158"/>
  <c r="AM71" i="146"/>
  <c r="BM42" i="158"/>
  <c r="AH71" i="146"/>
  <c r="AL71" i="146"/>
  <c r="BV42" i="158"/>
  <c r="AK71" i="146"/>
  <c r="AL42" i="158"/>
  <c r="AJ71" i="146"/>
  <c r="AI71" i="146"/>
  <c r="AM73" i="146"/>
  <c r="AC44" i="158"/>
  <c r="AH73" i="146"/>
  <c r="AL73" i="146"/>
  <c r="BM44" i="158"/>
  <c r="BV44" i="158"/>
  <c r="AL44" i="158"/>
  <c r="T44" i="158"/>
  <c r="AJ73" i="146"/>
  <c r="AU44" i="158"/>
  <c r="AK73" i="146"/>
  <c r="BD44" i="158"/>
  <c r="AI73" i="146"/>
  <c r="AM75" i="146"/>
  <c r="T46" i="158"/>
  <c r="AC46" i="158"/>
  <c r="BD46" i="158"/>
  <c r="BV46" i="158"/>
  <c r="BM46" i="158"/>
  <c r="AJ75" i="146"/>
  <c r="AI75" i="146"/>
  <c r="AL46" i="158"/>
  <c r="AK75" i="146"/>
  <c r="AL75" i="146"/>
  <c r="AH75" i="146"/>
  <c r="AU46" i="158"/>
  <c r="AL48" i="158"/>
  <c r="BV48" i="158"/>
  <c r="AJ77" i="146"/>
  <c r="AL77" i="146"/>
  <c r="AC48" i="158"/>
  <c r="AM77" i="146"/>
  <c r="T48" i="158"/>
  <c r="AU48" i="158"/>
  <c r="AK77" i="146"/>
  <c r="BM48" i="158"/>
  <c r="AH77" i="146"/>
  <c r="BD48" i="158"/>
  <c r="AI77" i="146"/>
  <c r="AK79" i="146"/>
  <c r="BV50" i="158"/>
  <c r="AC50" i="158"/>
  <c r="AJ79" i="146"/>
  <c r="BD50" i="158"/>
  <c r="AM79" i="146"/>
  <c r="BM50" i="158"/>
  <c r="AL79" i="146"/>
  <c r="AH79" i="146"/>
  <c r="AI79" i="146"/>
  <c r="AU50" i="158"/>
  <c r="T50" i="158"/>
  <c r="AL50" i="158"/>
  <c r="AL52" i="158"/>
  <c r="BV52" i="158"/>
  <c r="AH81" i="146"/>
  <c r="AL81" i="146"/>
  <c r="T52" i="158"/>
  <c r="AU52" i="158"/>
  <c r="AC52" i="158"/>
  <c r="AJ81" i="146"/>
  <c r="AK81" i="146"/>
  <c r="BD52" i="158"/>
  <c r="AM81" i="146"/>
  <c r="AI81" i="146"/>
  <c r="BM52" i="158"/>
  <c r="AU54" i="158"/>
  <c r="AJ83" i="146"/>
  <c r="T54" i="158"/>
  <c r="AC54" i="158"/>
  <c r="AL54" i="158"/>
  <c r="BM54" i="158"/>
  <c r="AI83" i="146"/>
  <c r="AH83" i="146"/>
  <c r="AK83" i="146"/>
  <c r="BV54" i="158"/>
  <c r="AM83" i="146"/>
  <c r="BD54" i="158"/>
  <c r="AL83" i="146"/>
  <c r="AL56" i="158"/>
  <c r="AI85" i="146"/>
  <c r="T56" i="158"/>
  <c r="AU56" i="158"/>
  <c r="AJ85" i="146"/>
  <c r="BM56" i="158"/>
  <c r="AH85" i="146"/>
  <c r="BV56" i="158"/>
  <c r="AM85" i="146"/>
  <c r="BD56" i="158"/>
  <c r="AC56" i="158"/>
  <c r="AL85" i="146"/>
  <c r="AK85" i="146"/>
  <c r="AC58" i="158"/>
  <c r="AI87" i="146"/>
  <c r="AL87" i="146"/>
  <c r="AM87" i="146"/>
  <c r="AK87" i="146"/>
  <c r="BD58" i="158"/>
  <c r="AU58" i="158"/>
  <c r="BV58" i="158"/>
  <c r="AL58" i="158"/>
  <c r="AJ87" i="146"/>
  <c r="AH87" i="146"/>
  <c r="T58" i="158"/>
  <c r="BM58" i="158"/>
  <c r="BV60" i="158"/>
  <c r="AL60" i="158"/>
  <c r="AM89" i="146"/>
  <c r="AJ89" i="146"/>
  <c r="BM60" i="158"/>
  <c r="BD60" i="158"/>
  <c r="AH89" i="146"/>
  <c r="AK89" i="146"/>
  <c r="AL89" i="146"/>
  <c r="T60" i="158"/>
  <c r="AI89" i="146"/>
  <c r="AU60" i="158"/>
  <c r="AC60" i="158"/>
  <c r="E93" i="146"/>
  <c r="B93" i="146"/>
  <c r="C93" i="146"/>
  <c r="D93" i="146"/>
  <c r="BO14" i="89"/>
  <c r="BP14" i="89"/>
  <c r="BQ14" i="89"/>
  <c r="BR14" i="89"/>
  <c r="BS14" i="89"/>
  <c r="BT14" i="89"/>
  <c r="BO15" i="89"/>
  <c r="BP15" i="89"/>
  <c r="BQ15" i="89"/>
  <c r="BR15" i="89"/>
  <c r="BS15" i="89"/>
  <c r="BT15" i="89"/>
  <c r="BO16" i="89"/>
  <c r="BP16" i="89"/>
  <c r="BQ16" i="89"/>
  <c r="BR16" i="89"/>
  <c r="BS16" i="89"/>
  <c r="BT16" i="89"/>
  <c r="BO17" i="89"/>
  <c r="BP17" i="89"/>
  <c r="BQ17" i="89"/>
  <c r="BR17" i="89"/>
  <c r="BS17" i="89"/>
  <c r="BT17" i="89"/>
  <c r="BO18" i="89"/>
  <c r="BP18" i="89"/>
  <c r="BQ18" i="89"/>
  <c r="BR18" i="89"/>
  <c r="BS18" i="89"/>
  <c r="BT18" i="89"/>
  <c r="BO19" i="89"/>
  <c r="BP19" i="89"/>
  <c r="BQ19" i="89"/>
  <c r="BR19" i="89"/>
  <c r="BS19" i="89"/>
  <c r="BT19" i="89"/>
  <c r="BO20" i="89"/>
  <c r="BP20" i="89"/>
  <c r="BQ20" i="89"/>
  <c r="BR20" i="89"/>
  <c r="BS20" i="89"/>
  <c r="BT20" i="89"/>
  <c r="BO21" i="89"/>
  <c r="BP21" i="89"/>
  <c r="BQ21" i="89"/>
  <c r="BR21" i="89"/>
  <c r="BS21" i="89"/>
  <c r="BT21" i="89"/>
  <c r="BO22" i="89"/>
  <c r="BP22" i="89"/>
  <c r="BQ22" i="89"/>
  <c r="BR22" i="89"/>
  <c r="BS22" i="89"/>
  <c r="BT22" i="89"/>
  <c r="BO23" i="89"/>
  <c r="BP23" i="89"/>
  <c r="BQ23" i="89"/>
  <c r="BR23" i="89"/>
  <c r="BS23" i="89"/>
  <c r="BT23" i="89"/>
  <c r="BO24" i="89"/>
  <c r="BP24" i="89"/>
  <c r="BQ24" i="89"/>
  <c r="BR24" i="89"/>
  <c r="BS24" i="89"/>
  <c r="BT24" i="89"/>
  <c r="BO25" i="89"/>
  <c r="BP25" i="89"/>
  <c r="BQ25" i="89"/>
  <c r="BR25" i="89"/>
  <c r="BS25" i="89"/>
  <c r="BT25" i="89"/>
  <c r="BO26" i="89"/>
  <c r="BP26" i="89"/>
  <c r="BQ26" i="89"/>
  <c r="BR26" i="89"/>
  <c r="BS26" i="89"/>
  <c r="BT26" i="89"/>
  <c r="BO27" i="89"/>
  <c r="BP27" i="89"/>
  <c r="BQ27" i="89"/>
  <c r="BR27" i="89"/>
  <c r="BS27" i="89"/>
  <c r="BT27" i="89"/>
  <c r="BO28" i="89"/>
  <c r="BP28" i="89"/>
  <c r="BQ28" i="89"/>
  <c r="BR28" i="89"/>
  <c r="BS28" i="89"/>
  <c r="BT28" i="89"/>
  <c r="BO29" i="89"/>
  <c r="BP29" i="89"/>
  <c r="BQ29" i="89"/>
  <c r="BR29" i="89"/>
  <c r="BS29" i="89"/>
  <c r="BT29" i="89"/>
  <c r="BO30" i="89"/>
  <c r="BP30" i="89"/>
  <c r="BQ30" i="89"/>
  <c r="BR30" i="89"/>
  <c r="BS30" i="89"/>
  <c r="BT30" i="89"/>
  <c r="BO31" i="89"/>
  <c r="BP31" i="89"/>
  <c r="BQ31" i="89"/>
  <c r="BR31" i="89"/>
  <c r="BS31" i="89"/>
  <c r="BT31" i="89"/>
  <c r="BO32" i="89"/>
  <c r="BP32" i="89"/>
  <c r="BQ32" i="89"/>
  <c r="BR32" i="89"/>
  <c r="BS32" i="89"/>
  <c r="BT32" i="89"/>
  <c r="BO33" i="89"/>
  <c r="BP33" i="89"/>
  <c r="BQ33" i="89"/>
  <c r="BR33" i="89"/>
  <c r="BS33" i="89"/>
  <c r="BT33" i="89"/>
  <c r="BO34" i="89"/>
  <c r="BP34" i="89"/>
  <c r="BQ34" i="89"/>
  <c r="BR34" i="89"/>
  <c r="BS34" i="89"/>
  <c r="BT34" i="89"/>
  <c r="BO35" i="89"/>
  <c r="BP35" i="89"/>
  <c r="BQ35" i="89"/>
  <c r="BR35" i="89"/>
  <c r="BS35" i="89"/>
  <c r="BT35" i="89"/>
  <c r="BO36" i="89"/>
  <c r="BP36" i="89"/>
  <c r="BQ36" i="89"/>
  <c r="BR36" i="89"/>
  <c r="BS36" i="89"/>
  <c r="BT36" i="89"/>
  <c r="BO37" i="89"/>
  <c r="BP37" i="89"/>
  <c r="BQ37" i="89"/>
  <c r="BR37" i="89"/>
  <c r="BS37" i="89"/>
  <c r="BT37" i="89"/>
  <c r="BO38" i="89"/>
  <c r="BP38" i="89"/>
  <c r="BQ38" i="89"/>
  <c r="BR38" i="89"/>
  <c r="BS38" i="89"/>
  <c r="BT38" i="89"/>
  <c r="BO39" i="89"/>
  <c r="BP39" i="89"/>
  <c r="BQ39" i="89"/>
  <c r="BR39" i="89"/>
  <c r="BS39" i="89"/>
  <c r="BT39" i="89"/>
  <c r="BO40" i="89"/>
  <c r="BP40" i="89"/>
  <c r="BQ40" i="89"/>
  <c r="BR40" i="89"/>
  <c r="BS40" i="89"/>
  <c r="BT40" i="89"/>
  <c r="BO41" i="89"/>
  <c r="BP41" i="89"/>
  <c r="BQ41" i="89"/>
  <c r="BR41" i="89"/>
  <c r="BS41" i="89"/>
  <c r="BT41" i="89"/>
  <c r="BO42" i="89"/>
  <c r="BP42" i="89"/>
  <c r="BQ42" i="89"/>
  <c r="BR42" i="89"/>
  <c r="BS42" i="89"/>
  <c r="BT42" i="89"/>
  <c r="BO43" i="89"/>
  <c r="BP43" i="89"/>
  <c r="BQ43" i="89"/>
  <c r="BR43" i="89"/>
  <c r="BS43" i="89"/>
  <c r="BT43" i="89"/>
  <c r="BO44" i="89"/>
  <c r="BP44" i="89"/>
  <c r="BQ44" i="89"/>
  <c r="BR44" i="89"/>
  <c r="BS44" i="89"/>
  <c r="BT44" i="89"/>
  <c r="BO45" i="89"/>
  <c r="BP45" i="89"/>
  <c r="BQ45" i="89"/>
  <c r="BR45" i="89"/>
  <c r="BS45" i="89"/>
  <c r="BT45" i="89"/>
  <c r="BO46" i="89"/>
  <c r="BP46" i="89"/>
  <c r="BQ46" i="89"/>
  <c r="BR46" i="89"/>
  <c r="BS46" i="89"/>
  <c r="BT46" i="89"/>
  <c r="BO47" i="89"/>
  <c r="BP47" i="89"/>
  <c r="BQ47" i="89"/>
  <c r="BR47" i="89"/>
  <c r="BS47" i="89"/>
  <c r="BT47" i="89"/>
  <c r="BO48" i="89"/>
  <c r="BP48" i="89"/>
  <c r="BQ48" i="89"/>
  <c r="BR48" i="89"/>
  <c r="BS48" i="89"/>
  <c r="BT48" i="89"/>
  <c r="BO49" i="89"/>
  <c r="BP49" i="89"/>
  <c r="BQ49" i="89"/>
  <c r="BR49" i="89"/>
  <c r="BS49" i="89"/>
  <c r="BT49" i="89"/>
  <c r="BO50" i="89"/>
  <c r="BP50" i="89"/>
  <c r="BQ50" i="89"/>
  <c r="BR50" i="89"/>
  <c r="BS50" i="89"/>
  <c r="BT50" i="89"/>
  <c r="BO51" i="89"/>
  <c r="BP51" i="89"/>
  <c r="BQ51" i="89"/>
  <c r="BR51" i="89"/>
  <c r="BS51" i="89"/>
  <c r="BT51" i="89"/>
  <c r="BO52" i="89"/>
  <c r="BP52" i="89"/>
  <c r="BQ52" i="89"/>
  <c r="BR52" i="89"/>
  <c r="BS52" i="89"/>
  <c r="BT52" i="89"/>
  <c r="BO53" i="89"/>
  <c r="BP53" i="89"/>
  <c r="BQ53" i="89"/>
  <c r="BR53" i="89"/>
  <c r="BS53" i="89"/>
  <c r="BT53" i="89"/>
  <c r="BO54" i="89"/>
  <c r="BP54" i="89"/>
  <c r="BQ54" i="89"/>
  <c r="BR54" i="89"/>
  <c r="BS54" i="89"/>
  <c r="BT54" i="89"/>
  <c r="BO55" i="89"/>
  <c r="BP55" i="89"/>
  <c r="BQ55" i="89"/>
  <c r="BR55" i="89"/>
  <c r="BS55" i="89"/>
  <c r="BT55" i="89"/>
  <c r="BO56" i="89"/>
  <c r="BP56" i="89"/>
  <c r="BQ56" i="89"/>
  <c r="BR56" i="89"/>
  <c r="BS56" i="89"/>
  <c r="BT56" i="89"/>
  <c r="BO57" i="89"/>
  <c r="BP57" i="89"/>
  <c r="BQ57" i="89"/>
  <c r="BR57" i="89"/>
  <c r="BS57" i="89"/>
  <c r="BT57" i="89"/>
  <c r="BO58" i="89"/>
  <c r="BP58" i="89"/>
  <c r="BQ58" i="89"/>
  <c r="BR58" i="89"/>
  <c r="BS58" i="89"/>
  <c r="BT58" i="89"/>
  <c r="BO59" i="89"/>
  <c r="BP59" i="89"/>
  <c r="BQ59" i="89"/>
  <c r="BR59" i="89"/>
  <c r="BS59" i="89"/>
  <c r="BT59" i="89"/>
  <c r="BO60" i="89"/>
  <c r="BP60" i="89"/>
  <c r="BQ60" i="89"/>
  <c r="BR60" i="89"/>
  <c r="BS60" i="89"/>
  <c r="BT60" i="89"/>
  <c r="BO61" i="89"/>
  <c r="BP61" i="89"/>
  <c r="BQ61" i="89"/>
  <c r="BR61" i="89"/>
  <c r="BS61" i="89"/>
  <c r="BT61" i="89"/>
  <c r="BO62" i="89"/>
  <c r="BP62" i="89"/>
  <c r="BQ62" i="89"/>
  <c r="BR62" i="89"/>
  <c r="BS62" i="89"/>
  <c r="BT62" i="89"/>
  <c r="BT13" i="89"/>
  <c r="BS13" i="89"/>
  <c r="BR13" i="89"/>
  <c r="BQ13" i="89"/>
  <c r="BP13" i="89"/>
  <c r="BO13" i="89"/>
  <c r="BT11" i="89"/>
  <c r="BS11" i="89"/>
  <c r="BR11" i="89"/>
  <c r="BQ11" i="89"/>
  <c r="BP11" i="89"/>
  <c r="BO11" i="89"/>
  <c r="BO9" i="89"/>
  <c r="BP9" i="89"/>
  <c r="BQ9" i="89"/>
  <c r="BR9" i="89"/>
  <c r="BS9" i="89"/>
  <c r="BT9" i="89"/>
  <c r="AG50" i="146" l="1"/>
  <c r="AG82" i="146"/>
  <c r="AG44" i="146"/>
  <c r="AO44" i="146" s="1"/>
  <c r="AG36" i="146"/>
  <c r="AO36" i="146" s="1"/>
  <c r="K56" i="158"/>
  <c r="B56" i="158"/>
  <c r="K36" i="158"/>
  <c r="B36" i="158"/>
  <c r="K22" i="158"/>
  <c r="B22" i="158"/>
  <c r="B20" i="158"/>
  <c r="K20" i="158"/>
  <c r="B29" i="158"/>
  <c r="K29" i="158"/>
  <c r="K15" i="158"/>
  <c r="B15" i="158"/>
  <c r="AG52" i="146"/>
  <c r="AG80" i="146"/>
  <c r="AG81" i="146"/>
  <c r="AG48" i="146"/>
  <c r="AO48" i="146" s="1"/>
  <c r="AG55" i="146"/>
  <c r="AG51" i="146"/>
  <c r="K9" i="158"/>
  <c r="B9" i="158"/>
  <c r="AG84" i="146"/>
  <c r="AG68" i="146"/>
  <c r="AG66" i="146"/>
  <c r="AG85" i="146"/>
  <c r="AG77" i="146"/>
  <c r="B41" i="158"/>
  <c r="K41" i="158"/>
  <c r="K21" i="158"/>
  <c r="B21" i="158"/>
  <c r="K55" i="158"/>
  <c r="B55" i="158"/>
  <c r="AG62" i="146"/>
  <c r="K27" i="158"/>
  <c r="B27" i="158"/>
  <c r="B52" i="158"/>
  <c r="K52" i="158"/>
  <c r="K48" i="158"/>
  <c r="B48" i="158"/>
  <c r="B30" i="158"/>
  <c r="K30" i="158"/>
  <c r="K44" i="158"/>
  <c r="B44" i="158"/>
  <c r="AG89" i="146"/>
  <c r="AG71" i="146"/>
  <c r="B47" i="158"/>
  <c r="K47" i="158"/>
  <c r="AG54" i="146"/>
  <c r="B16" i="158"/>
  <c r="K16" i="158"/>
  <c r="AG72" i="146"/>
  <c r="B33" i="158"/>
  <c r="K33" i="158"/>
  <c r="B13" i="158"/>
  <c r="K13" i="158"/>
  <c r="AG61" i="146"/>
  <c r="AG75" i="146"/>
  <c r="K42" i="158"/>
  <c r="B42" i="158"/>
  <c r="B18" i="158"/>
  <c r="K18" i="158"/>
  <c r="K14" i="158"/>
  <c r="B14" i="158"/>
  <c r="AG41" i="146"/>
  <c r="AO41" i="146" s="1"/>
  <c r="AG70" i="146"/>
  <c r="AG58" i="146"/>
  <c r="AG42" i="146"/>
  <c r="AO42" i="146" s="1"/>
  <c r="B51" i="158"/>
  <c r="K51" i="158"/>
  <c r="AG40" i="146"/>
  <c r="AO40" i="146" s="1"/>
  <c r="AG83" i="146"/>
  <c r="B50" i="158"/>
  <c r="K50" i="158"/>
  <c r="AG79" i="146"/>
  <c r="AG73" i="146"/>
  <c r="AG69" i="146"/>
  <c r="AG67" i="146"/>
  <c r="AG65" i="146"/>
  <c r="B32" i="158"/>
  <c r="K32" i="158"/>
  <c r="B24" i="158"/>
  <c r="K24" i="158"/>
  <c r="AG64" i="146"/>
  <c r="AG78" i="146"/>
  <c r="K19" i="158"/>
  <c r="B19" i="158"/>
  <c r="K59" i="158"/>
  <c r="B59" i="158"/>
  <c r="AG74" i="146"/>
  <c r="B11" i="158"/>
  <c r="K11" i="158"/>
  <c r="B38" i="158"/>
  <c r="K38" i="158"/>
  <c r="K57" i="158"/>
  <c r="B57" i="158"/>
  <c r="K35" i="158"/>
  <c r="B35" i="158"/>
  <c r="B7" i="158"/>
  <c r="K7" i="158"/>
  <c r="AG88" i="146"/>
  <c r="B25" i="158"/>
  <c r="K25" i="158"/>
  <c r="B17" i="158"/>
  <c r="K17" i="158"/>
  <c r="K28" i="158"/>
  <c r="B28" i="158"/>
  <c r="AG86" i="146"/>
  <c r="B49" i="158"/>
  <c r="K49" i="158"/>
  <c r="K39" i="158"/>
  <c r="B39" i="158"/>
  <c r="B58" i="158"/>
  <c r="K58" i="158"/>
  <c r="B46" i="158"/>
  <c r="K46" i="158"/>
  <c r="K53" i="158"/>
  <c r="B53" i="158"/>
  <c r="AG76" i="146"/>
  <c r="AG87" i="146"/>
  <c r="B40" i="158"/>
  <c r="K40" i="158"/>
  <c r="AG63" i="146"/>
  <c r="B54" i="158"/>
  <c r="K54" i="158"/>
  <c r="B34" i="158"/>
  <c r="K34" i="158"/>
  <c r="AG57" i="146"/>
  <c r="AG47" i="146"/>
  <c r="AO47" i="146" s="1"/>
  <c r="AG45" i="146"/>
  <c r="AO45" i="146" s="1"/>
  <c r="B60" i="158"/>
  <c r="K60" i="158"/>
  <c r="AG59" i="146"/>
  <c r="B26" i="158"/>
  <c r="K26" i="158"/>
  <c r="AG49" i="146"/>
  <c r="AO49" i="146" s="1"/>
  <c r="B12" i="158"/>
  <c r="K12" i="158"/>
  <c r="AG38" i="146"/>
  <c r="AO38" i="146" s="1"/>
  <c r="B43" i="158"/>
  <c r="K43" i="158"/>
  <c r="B23" i="158"/>
  <c r="K23" i="158"/>
  <c r="K45" i="158"/>
  <c r="B45" i="158"/>
  <c r="K37" i="158"/>
  <c r="B37" i="158"/>
  <c r="K31" i="158"/>
  <c r="B31" i="158"/>
  <c r="AG60" i="146"/>
  <c r="T36" i="146" l="1"/>
  <c r="B6" i="57"/>
  <c r="B5" i="57"/>
  <c r="CK64" i="69" l="1"/>
  <c r="CJ64" i="69"/>
  <c r="CK63" i="69"/>
  <c r="CJ63" i="69"/>
  <c r="CK62" i="69"/>
  <c r="CJ62" i="69"/>
  <c r="CK61" i="69"/>
  <c r="CJ61" i="69"/>
  <c r="CK60" i="69"/>
  <c r="CJ60" i="69"/>
  <c r="CK59" i="69"/>
  <c r="CJ59" i="69"/>
  <c r="CK58" i="69"/>
  <c r="CJ58" i="69"/>
  <c r="CK57" i="69"/>
  <c r="CJ57" i="69"/>
  <c r="CK56" i="69"/>
  <c r="CJ56" i="69"/>
  <c r="CK55" i="69"/>
  <c r="CJ55" i="69"/>
  <c r="CK54" i="69"/>
  <c r="CJ54" i="69"/>
  <c r="CK53" i="69"/>
  <c r="CJ53" i="69"/>
  <c r="CK52" i="69"/>
  <c r="CJ52" i="69"/>
  <c r="CK51" i="69"/>
  <c r="CJ51" i="69"/>
  <c r="CK50" i="69"/>
  <c r="CJ50" i="69"/>
  <c r="CK49" i="69"/>
  <c r="CJ49" i="69"/>
  <c r="CK48" i="69"/>
  <c r="CJ48" i="69"/>
  <c r="CK47" i="69"/>
  <c r="CJ47" i="69"/>
  <c r="CK46" i="69"/>
  <c r="CJ46" i="69"/>
  <c r="CK45" i="69"/>
  <c r="CJ45" i="69"/>
  <c r="CK44" i="69"/>
  <c r="CJ44" i="69"/>
  <c r="CK43" i="69"/>
  <c r="CJ43" i="69"/>
  <c r="CK42" i="69"/>
  <c r="CJ42" i="69"/>
  <c r="CK41" i="69"/>
  <c r="CJ41" i="69"/>
  <c r="CK40" i="69"/>
  <c r="CJ40" i="69"/>
  <c r="CK39" i="69"/>
  <c r="CJ39" i="69"/>
  <c r="CK38" i="69"/>
  <c r="CJ38" i="69"/>
  <c r="CK37" i="69"/>
  <c r="CJ37" i="69"/>
  <c r="CK36" i="69"/>
  <c r="CJ36" i="69"/>
  <c r="CK35" i="69"/>
  <c r="CJ35" i="69"/>
  <c r="CK34" i="69"/>
  <c r="CJ34" i="69"/>
  <c r="CK33" i="69"/>
  <c r="CJ33" i="69"/>
  <c r="CK32" i="69"/>
  <c r="CJ32" i="69"/>
  <c r="CK31" i="69"/>
  <c r="CJ31" i="69"/>
  <c r="CK30" i="69"/>
  <c r="CJ30" i="69"/>
  <c r="CK29" i="69"/>
  <c r="CJ29" i="69"/>
  <c r="CK28" i="69"/>
  <c r="CJ28" i="69"/>
  <c r="CK27" i="69"/>
  <c r="CJ27" i="69"/>
  <c r="CK26" i="69"/>
  <c r="CJ26" i="69"/>
  <c r="CK25" i="69"/>
  <c r="CJ25" i="69"/>
  <c r="CK24" i="69"/>
  <c r="CJ24" i="69"/>
  <c r="CK23" i="69"/>
  <c r="CJ23" i="69"/>
  <c r="CK22" i="69"/>
  <c r="CJ22" i="69"/>
  <c r="CK21" i="69"/>
  <c r="CJ21" i="69"/>
  <c r="CK20" i="69"/>
  <c r="CJ20" i="69"/>
  <c r="CK19" i="69"/>
  <c r="CJ19" i="69"/>
  <c r="CK18" i="69"/>
  <c r="CJ18" i="69"/>
  <c r="CK17" i="69"/>
  <c r="CJ17" i="69"/>
  <c r="CK16" i="69"/>
  <c r="CJ16" i="69"/>
  <c r="CK15" i="69"/>
  <c r="CJ15" i="69"/>
  <c r="CK13" i="69"/>
  <c r="CJ13" i="69"/>
  <c r="CK11" i="69"/>
  <c r="CJ11" i="69"/>
  <c r="CK9" i="69"/>
  <c r="CJ9" i="69"/>
  <c r="CD64" i="69"/>
  <c r="CC64" i="69"/>
  <c r="CD63" i="69"/>
  <c r="CC63" i="69"/>
  <c r="CD62" i="69"/>
  <c r="CC62" i="69"/>
  <c r="CD61" i="69"/>
  <c r="CC61" i="69"/>
  <c r="CD60" i="69"/>
  <c r="CC60" i="69"/>
  <c r="CD59" i="69"/>
  <c r="CC59" i="69"/>
  <c r="CD58" i="69"/>
  <c r="CC58" i="69"/>
  <c r="CD57" i="69"/>
  <c r="CC57" i="69"/>
  <c r="CD56" i="69"/>
  <c r="CC56" i="69"/>
  <c r="CD55" i="69"/>
  <c r="CC55" i="69"/>
  <c r="CD54" i="69"/>
  <c r="CC54" i="69"/>
  <c r="CD53" i="69"/>
  <c r="CC53" i="69"/>
  <c r="CD52" i="69"/>
  <c r="CC52" i="69"/>
  <c r="CD51" i="69"/>
  <c r="CC51" i="69"/>
  <c r="CD50" i="69"/>
  <c r="CC50" i="69"/>
  <c r="CD49" i="69"/>
  <c r="CC49" i="69"/>
  <c r="CD48" i="69"/>
  <c r="CC48" i="69"/>
  <c r="CD47" i="69"/>
  <c r="CC47" i="69"/>
  <c r="CD46" i="69"/>
  <c r="CC46" i="69"/>
  <c r="CD45" i="69"/>
  <c r="CC45" i="69"/>
  <c r="CD44" i="69"/>
  <c r="CC44" i="69"/>
  <c r="CD43" i="69"/>
  <c r="CC43" i="69"/>
  <c r="CD42" i="69"/>
  <c r="CC42" i="69"/>
  <c r="CD41" i="69"/>
  <c r="CC41" i="69"/>
  <c r="CD40" i="69"/>
  <c r="CC40" i="69"/>
  <c r="CD39" i="69"/>
  <c r="CC39" i="69"/>
  <c r="CD38" i="69"/>
  <c r="CC38" i="69"/>
  <c r="CD37" i="69"/>
  <c r="CC37" i="69"/>
  <c r="CD36" i="69"/>
  <c r="CC36" i="69"/>
  <c r="CD35" i="69"/>
  <c r="CC35" i="69"/>
  <c r="CD34" i="69"/>
  <c r="CC34" i="69"/>
  <c r="CD33" i="69"/>
  <c r="CC33" i="69"/>
  <c r="CD32" i="69"/>
  <c r="CC32" i="69"/>
  <c r="CD31" i="69"/>
  <c r="CC31" i="69"/>
  <c r="CD30" i="69"/>
  <c r="CC30" i="69"/>
  <c r="CD29" i="69"/>
  <c r="CC29" i="69"/>
  <c r="CD28" i="69"/>
  <c r="CC28" i="69"/>
  <c r="CD27" i="69"/>
  <c r="CC27" i="69"/>
  <c r="CD26" i="69"/>
  <c r="CC26" i="69"/>
  <c r="CD25" i="69"/>
  <c r="CC25" i="69"/>
  <c r="CD24" i="69"/>
  <c r="CC24" i="69"/>
  <c r="CD23" i="69"/>
  <c r="CC23" i="69"/>
  <c r="CD22" i="69"/>
  <c r="CC22" i="69"/>
  <c r="CD21" i="69"/>
  <c r="CC21" i="69"/>
  <c r="CD20" i="69"/>
  <c r="CC20" i="69"/>
  <c r="CD19" i="69"/>
  <c r="CC19" i="69"/>
  <c r="CD18" i="69"/>
  <c r="CC18" i="69"/>
  <c r="CD17" i="69"/>
  <c r="CC17" i="69"/>
  <c r="CD16" i="69"/>
  <c r="CC16" i="69"/>
  <c r="CD15" i="69"/>
  <c r="CC15" i="69"/>
  <c r="CD13" i="69"/>
  <c r="CC13" i="69"/>
  <c r="CD11" i="69"/>
  <c r="CC11" i="69"/>
  <c r="CD9" i="69"/>
  <c r="CC9" i="69"/>
  <c r="BW16" i="69" l="1"/>
  <c r="BW17" i="69"/>
  <c r="BW18" i="69"/>
  <c r="BW19" i="69"/>
  <c r="BW20" i="69"/>
  <c r="BW21" i="69"/>
  <c r="BW22" i="69"/>
  <c r="BW23" i="69"/>
  <c r="BW24" i="69"/>
  <c r="BW25" i="69"/>
  <c r="BW26" i="69"/>
  <c r="BW27" i="69"/>
  <c r="BW28" i="69"/>
  <c r="BW29" i="69"/>
  <c r="BW30" i="69"/>
  <c r="BW31" i="69"/>
  <c r="BW32" i="69"/>
  <c r="BW33" i="69"/>
  <c r="BW34" i="69"/>
  <c r="BW35" i="69"/>
  <c r="BW36" i="69"/>
  <c r="BW37" i="69"/>
  <c r="BW38" i="69"/>
  <c r="BW39" i="69"/>
  <c r="BW40" i="69"/>
  <c r="BW41" i="69"/>
  <c r="BW42" i="69"/>
  <c r="BW43" i="69"/>
  <c r="BW44" i="69"/>
  <c r="BW45" i="69"/>
  <c r="BW46" i="69"/>
  <c r="BW47" i="69"/>
  <c r="BW48" i="69"/>
  <c r="BW49" i="69"/>
  <c r="BW50" i="69"/>
  <c r="BW51" i="69"/>
  <c r="BW52" i="69"/>
  <c r="BW53" i="69"/>
  <c r="BW54" i="69"/>
  <c r="BW55" i="69"/>
  <c r="BW56" i="69"/>
  <c r="BW57" i="69"/>
  <c r="BW58" i="69"/>
  <c r="BW59" i="69"/>
  <c r="BW60" i="69"/>
  <c r="BW61" i="69"/>
  <c r="BW62" i="69"/>
  <c r="BW63" i="69"/>
  <c r="BW64" i="69"/>
  <c r="BW15" i="69"/>
  <c r="BW13" i="69"/>
  <c r="BW11" i="69"/>
  <c r="BV9" i="69"/>
  <c r="BW9" i="69"/>
  <c r="BV64" i="69" l="1"/>
  <c r="BV63" i="69"/>
  <c r="BV62" i="69"/>
  <c r="BV61" i="69"/>
  <c r="BV60" i="69"/>
  <c r="BV59" i="69"/>
  <c r="BV58" i="69"/>
  <c r="BV57" i="69"/>
  <c r="BV56" i="69"/>
  <c r="BV55" i="69"/>
  <c r="BV54" i="69"/>
  <c r="BV53" i="69"/>
  <c r="BV52" i="69"/>
  <c r="BV51" i="69"/>
  <c r="BV50" i="69"/>
  <c r="BV49" i="69"/>
  <c r="BV48" i="69"/>
  <c r="BV47" i="69"/>
  <c r="BV46" i="69"/>
  <c r="BV45" i="69"/>
  <c r="BV44" i="69"/>
  <c r="BV43" i="69"/>
  <c r="BV42" i="69"/>
  <c r="BV41" i="69"/>
  <c r="BV40" i="69"/>
  <c r="BV39" i="69"/>
  <c r="BV38" i="69"/>
  <c r="BV37" i="69"/>
  <c r="BV36" i="69"/>
  <c r="BV35" i="69"/>
  <c r="BV34" i="69"/>
  <c r="BV33" i="69"/>
  <c r="BV32" i="69"/>
  <c r="BV31" i="69"/>
  <c r="BV30" i="69"/>
  <c r="BV29" i="69"/>
  <c r="BV28" i="69"/>
  <c r="BV27" i="69"/>
  <c r="BV26" i="69"/>
  <c r="BV25" i="69"/>
  <c r="BV24" i="69"/>
  <c r="BV23" i="69"/>
  <c r="BV22" i="69"/>
  <c r="BV21" i="69"/>
  <c r="BV20" i="69"/>
  <c r="BV19" i="69"/>
  <c r="BV18" i="69"/>
  <c r="BV17" i="69"/>
  <c r="BV16" i="69"/>
  <c r="BV15" i="69"/>
  <c r="BV13" i="69"/>
  <c r="BV11" i="69"/>
  <c r="C6" i="96" l="1"/>
  <c r="P6" i="73" l="1"/>
  <c r="P8" i="73"/>
  <c r="P10" i="73"/>
  <c r="P12" i="73"/>
  <c r="P13" i="73"/>
  <c r="P14" i="73"/>
  <c r="P15" i="73"/>
  <c r="P16" i="73"/>
  <c r="P17" i="73"/>
  <c r="P18" i="73"/>
  <c r="P19" i="73"/>
  <c r="P20" i="73"/>
  <c r="P21" i="73"/>
  <c r="P22" i="73"/>
  <c r="P23" i="73"/>
  <c r="P24" i="73"/>
  <c r="P25" i="73"/>
  <c r="P26" i="73"/>
  <c r="P27" i="73"/>
  <c r="P28" i="73"/>
  <c r="P29" i="73"/>
  <c r="P30" i="73"/>
  <c r="P31" i="73"/>
  <c r="P32" i="73"/>
  <c r="P33" i="73"/>
  <c r="P34" i="73"/>
  <c r="P35" i="73"/>
  <c r="P36" i="73"/>
  <c r="P37" i="73"/>
  <c r="P38" i="73"/>
  <c r="P39" i="73"/>
  <c r="P40" i="73"/>
  <c r="P41" i="73"/>
  <c r="P42" i="73"/>
  <c r="P43" i="73"/>
  <c r="P44" i="73"/>
  <c r="P45" i="73"/>
  <c r="P46" i="73"/>
  <c r="P47" i="73"/>
  <c r="P48" i="73"/>
  <c r="P49" i="73"/>
  <c r="P50" i="73"/>
  <c r="P51" i="73"/>
  <c r="P52" i="73"/>
  <c r="P53" i="73"/>
  <c r="P54" i="73"/>
  <c r="P55" i="73"/>
  <c r="P56" i="73"/>
  <c r="P57" i="73"/>
  <c r="P58" i="73"/>
  <c r="P59" i="73"/>
  <c r="P60" i="73"/>
  <c r="P61" i="73"/>
  <c r="U11" i="114"/>
  <c r="V11" i="114" s="1"/>
  <c r="AH11" i="114"/>
  <c r="X95" i="149" l="1"/>
  <c r="X96" i="149"/>
  <c r="X34" i="149"/>
  <c r="X65" i="149"/>
  <c r="X64" i="149"/>
  <c r="V33" i="149"/>
  <c r="F23" i="130"/>
  <c r="F21" i="130"/>
  <c r="E23" i="130" l="1"/>
  <c r="E21" i="130"/>
  <c r="E84" i="127" l="1"/>
  <c r="E78" i="127"/>
  <c r="C82" i="127"/>
  <c r="C85" i="127" s="1"/>
  <c r="D78" i="127"/>
  <c r="C77" i="127"/>
  <c r="C78" i="127"/>
  <c r="D83" i="127"/>
  <c r="D77" i="127" s="1"/>
  <c r="E77" i="127" s="1"/>
  <c r="C83" i="127"/>
  <c r="D136" i="127"/>
  <c r="D137" i="127"/>
  <c r="C137" i="127"/>
  <c r="C136" i="127"/>
  <c r="D134" i="127"/>
  <c r="D135" i="127"/>
  <c r="C135" i="127"/>
  <c r="C134" i="127"/>
  <c r="D82" i="127" l="1"/>
  <c r="C76" i="127"/>
  <c r="E82" i="127"/>
  <c r="E83" i="127"/>
  <c r="C79" i="127" l="1"/>
  <c r="D85" i="127"/>
  <c r="E85" i="127" s="1"/>
  <c r="D76" i="127"/>
  <c r="D79" i="127" s="1"/>
  <c r="E79" i="127" l="1"/>
  <c r="E76" i="127"/>
  <c r="D6" i="57"/>
  <c r="C6" i="57"/>
  <c r="D5" i="57"/>
  <c r="C5" i="57"/>
  <c r="F5" i="57" l="1"/>
  <c r="F6" i="57"/>
  <c r="J5" i="57"/>
  <c r="H6" i="57"/>
  <c r="H5" i="57"/>
  <c r="J6" i="57"/>
  <c r="T37" i="146"/>
  <c r="U37" i="146"/>
  <c r="T38" i="146"/>
  <c r="U38" i="146"/>
  <c r="T39" i="146"/>
  <c r="U39" i="146"/>
  <c r="T40" i="146"/>
  <c r="U40" i="146"/>
  <c r="T41" i="146"/>
  <c r="U41" i="146"/>
  <c r="T42" i="146"/>
  <c r="U42" i="146"/>
  <c r="T43" i="146"/>
  <c r="U43" i="146"/>
  <c r="T44" i="146"/>
  <c r="U44" i="146"/>
  <c r="T45" i="146"/>
  <c r="U45" i="146"/>
  <c r="T46" i="146"/>
  <c r="U46" i="146"/>
  <c r="T47" i="146"/>
  <c r="U47" i="146"/>
  <c r="T48" i="146"/>
  <c r="U48" i="146"/>
  <c r="T49" i="146"/>
  <c r="U49" i="146"/>
  <c r="T50" i="146"/>
  <c r="U50" i="146"/>
  <c r="T51" i="146"/>
  <c r="U51" i="146"/>
  <c r="T52" i="146"/>
  <c r="U52" i="146"/>
  <c r="T53" i="146"/>
  <c r="U53" i="146"/>
  <c r="T54" i="146"/>
  <c r="U54" i="146"/>
  <c r="T55" i="146"/>
  <c r="U55" i="146"/>
  <c r="T56" i="146"/>
  <c r="U56" i="146"/>
  <c r="T57" i="146"/>
  <c r="U57" i="146"/>
  <c r="T58" i="146"/>
  <c r="U58" i="146"/>
  <c r="T59" i="146"/>
  <c r="U59" i="146"/>
  <c r="T60" i="146"/>
  <c r="U60" i="146"/>
  <c r="T61" i="146"/>
  <c r="U61" i="146"/>
  <c r="T62" i="146"/>
  <c r="U62" i="146"/>
  <c r="T63" i="146"/>
  <c r="U63" i="146"/>
  <c r="T64" i="146"/>
  <c r="U64" i="146"/>
  <c r="T65" i="146"/>
  <c r="U65" i="146"/>
  <c r="T66" i="146"/>
  <c r="U66" i="146"/>
  <c r="T67" i="146"/>
  <c r="U67" i="146"/>
  <c r="T68" i="146"/>
  <c r="U68" i="146"/>
  <c r="T69" i="146"/>
  <c r="U69" i="146"/>
  <c r="T70" i="146"/>
  <c r="U70" i="146"/>
  <c r="T71" i="146"/>
  <c r="U71" i="146"/>
  <c r="T72" i="146"/>
  <c r="U72" i="146"/>
  <c r="T73" i="146"/>
  <c r="U73" i="146"/>
  <c r="T74" i="146"/>
  <c r="U74" i="146"/>
  <c r="T75" i="146"/>
  <c r="U75" i="146"/>
  <c r="T76" i="146"/>
  <c r="U76" i="146"/>
  <c r="T77" i="146"/>
  <c r="U77" i="146"/>
  <c r="T78" i="146"/>
  <c r="U78" i="146"/>
  <c r="T79" i="146"/>
  <c r="U79" i="146"/>
  <c r="T80" i="146"/>
  <c r="U80" i="146"/>
  <c r="T81" i="146"/>
  <c r="U81" i="146"/>
  <c r="T82" i="146"/>
  <c r="U82" i="146"/>
  <c r="T83" i="146"/>
  <c r="U83" i="146"/>
  <c r="T84" i="146"/>
  <c r="U84" i="146"/>
  <c r="T85" i="146"/>
  <c r="U85" i="146"/>
  <c r="T86" i="146"/>
  <c r="U86" i="146"/>
  <c r="T87" i="146"/>
  <c r="U87" i="146"/>
  <c r="T88" i="146"/>
  <c r="U88" i="146"/>
  <c r="U36" i="146"/>
  <c r="H146" i="126" l="1"/>
  <c r="I146" i="126"/>
  <c r="H145" i="126"/>
  <c r="C146" i="126"/>
  <c r="X155" i="126"/>
  <c r="H155" i="126"/>
  <c r="X152" i="126" l="1"/>
  <c r="G146" i="126"/>
  <c r="G145" i="126"/>
  <c r="BO9" i="69" l="1"/>
  <c r="BO11" i="69"/>
  <c r="BO16" i="69"/>
  <c r="BO18" i="69"/>
  <c r="BO20" i="69"/>
  <c r="BO21" i="69"/>
  <c r="BO22" i="69"/>
  <c r="BO23" i="69"/>
  <c r="BO24" i="69"/>
  <c r="BO26" i="69"/>
  <c r="BO27" i="69"/>
  <c r="BO28" i="69"/>
  <c r="BO29" i="69"/>
  <c r="BO30" i="69"/>
  <c r="BO32" i="69"/>
  <c r="BO33" i="69"/>
  <c r="BO34" i="69"/>
  <c r="BO37" i="69"/>
  <c r="BO38" i="69"/>
  <c r="BO39" i="69"/>
  <c r="BO40" i="69"/>
  <c r="BO41" i="69"/>
  <c r="BO42" i="69"/>
  <c r="BO44" i="69"/>
  <c r="BO46" i="69"/>
  <c r="BO47" i="69"/>
  <c r="BO48" i="69"/>
  <c r="BO49" i="69"/>
  <c r="BO50" i="69"/>
  <c r="BO51" i="69"/>
  <c r="BO52" i="69"/>
  <c r="BO53" i="69"/>
  <c r="BO54" i="69"/>
  <c r="BO56" i="69"/>
  <c r="BO57" i="69"/>
  <c r="BO58" i="69"/>
  <c r="BO60" i="69"/>
  <c r="BO61" i="69"/>
  <c r="BO62" i="69"/>
  <c r="BO63" i="69"/>
  <c r="BO64" i="69"/>
  <c r="BO19" i="69"/>
  <c r="BO31" i="69"/>
  <c r="BO35" i="69"/>
  <c r="BO36" i="69"/>
  <c r="BO45" i="69"/>
  <c r="BO55" i="69" l="1"/>
  <c r="BO43" i="69"/>
  <c r="BO15" i="69"/>
  <c r="BO13" i="69"/>
  <c r="BO59" i="69"/>
  <c r="BO25" i="69"/>
  <c r="BO17" i="69"/>
  <c r="B7" i="151"/>
  <c r="B8" i="151"/>
  <c r="B9" i="151"/>
  <c r="B10" i="151"/>
  <c r="B11" i="151"/>
  <c r="B12" i="151"/>
  <c r="B13" i="151"/>
  <c r="B14" i="151"/>
  <c r="B15" i="151"/>
  <c r="B16" i="151"/>
  <c r="B17" i="151"/>
  <c r="A8" i="151"/>
  <c r="A9" i="151"/>
  <c r="A10" i="151"/>
  <c r="A11" i="151"/>
  <c r="A12" i="151"/>
  <c r="A13" i="151"/>
  <c r="A14" i="151"/>
  <c r="A15" i="151"/>
  <c r="A16" i="151"/>
  <c r="A17" i="151"/>
  <c r="A7" i="151"/>
  <c r="A22" i="151"/>
  <c r="B22" i="151"/>
  <c r="A23" i="151"/>
  <c r="B23" i="151"/>
  <c r="A24" i="151"/>
  <c r="B24" i="151"/>
  <c r="A25" i="151"/>
  <c r="B25" i="151"/>
  <c r="A26" i="151"/>
  <c r="B26" i="151"/>
  <c r="B21" i="151"/>
  <c r="A21" i="151"/>
  <c r="B92" i="146" l="1"/>
  <c r="F94" i="99" l="1"/>
  <c r="E94" i="99" l="1"/>
  <c r="C92" i="146" l="1"/>
  <c r="D92" i="146"/>
  <c r="E92" i="146"/>
  <c r="L89" i="152" l="1"/>
  <c r="L88" i="152"/>
  <c r="L87" i="152"/>
  <c r="L86" i="152"/>
  <c r="L85" i="152"/>
  <c r="L84" i="152"/>
  <c r="L83" i="152"/>
  <c r="L82" i="152"/>
  <c r="L81" i="152"/>
  <c r="L80" i="152"/>
  <c r="L79" i="152"/>
  <c r="L78" i="152"/>
  <c r="L77" i="152"/>
  <c r="L76" i="152"/>
  <c r="L75" i="152"/>
  <c r="L74" i="152"/>
  <c r="L73" i="152"/>
  <c r="L72" i="152"/>
  <c r="L71" i="152"/>
  <c r="L70" i="152"/>
  <c r="L69" i="152"/>
  <c r="L68" i="152"/>
  <c r="L67" i="152"/>
  <c r="L66" i="152"/>
  <c r="L65" i="152"/>
  <c r="L64" i="152"/>
  <c r="L63" i="152"/>
  <c r="L62" i="152"/>
  <c r="L61" i="152"/>
  <c r="L60" i="152"/>
  <c r="L59" i="152"/>
  <c r="L58" i="152"/>
  <c r="L57" i="152"/>
  <c r="L56" i="152"/>
  <c r="L55" i="152"/>
  <c r="L54" i="152"/>
  <c r="L53" i="152"/>
  <c r="L52" i="152"/>
  <c r="L51" i="152"/>
  <c r="L50" i="152"/>
  <c r="L49" i="152"/>
  <c r="L48" i="152"/>
  <c r="L47" i="152"/>
  <c r="L46" i="152"/>
  <c r="L45" i="152"/>
  <c r="L44" i="152"/>
  <c r="L43" i="152"/>
  <c r="L42" i="152"/>
  <c r="L41" i="152"/>
  <c r="L40" i="152"/>
  <c r="L39" i="152"/>
  <c r="L38" i="152"/>
  <c r="L37" i="152"/>
  <c r="L36" i="152"/>
  <c r="A36" i="152"/>
  <c r="A37" i="152" s="1"/>
  <c r="A38" i="152" s="1"/>
  <c r="A39" i="152" s="1"/>
  <c r="A40" i="152" s="1"/>
  <c r="A41" i="152" s="1"/>
  <c r="A42" i="152" s="1"/>
  <c r="A43" i="152" s="1"/>
  <c r="A44" i="152" s="1"/>
  <c r="A45" i="152" s="1"/>
  <c r="A46" i="152" s="1"/>
  <c r="A47" i="152" s="1"/>
  <c r="A48" i="152" s="1"/>
  <c r="A49" i="152" s="1"/>
  <c r="A50" i="152" s="1"/>
  <c r="A51" i="152" s="1"/>
  <c r="A52" i="152" s="1"/>
  <c r="A53" i="152" s="1"/>
  <c r="A54" i="152" s="1"/>
  <c r="A55" i="152" s="1"/>
  <c r="A56" i="152" s="1"/>
  <c r="A57" i="152" s="1"/>
  <c r="A58" i="152" s="1"/>
  <c r="A59" i="152" s="1"/>
  <c r="A60" i="152" s="1"/>
  <c r="A61" i="152" s="1"/>
  <c r="A62" i="152" s="1"/>
  <c r="A63" i="152" s="1"/>
  <c r="A64" i="152" s="1"/>
  <c r="A65" i="152" s="1"/>
  <c r="A66" i="152" s="1"/>
  <c r="A67" i="152" s="1"/>
  <c r="A68" i="152" s="1"/>
  <c r="A69" i="152" s="1"/>
  <c r="A70" i="152" s="1"/>
  <c r="A71" i="152" s="1"/>
  <c r="A72" i="152" s="1"/>
  <c r="A73" i="152" s="1"/>
  <c r="A74" i="152" s="1"/>
  <c r="A75" i="152" s="1"/>
  <c r="A76" i="152" s="1"/>
  <c r="A77" i="152" s="1"/>
  <c r="A78" i="152" s="1"/>
  <c r="A79" i="152" s="1"/>
  <c r="A80" i="152" s="1"/>
  <c r="A81" i="152" s="1"/>
  <c r="A82" i="152" s="1"/>
  <c r="A83" i="152" s="1"/>
  <c r="A84" i="152" s="1"/>
  <c r="A85" i="152" s="1"/>
  <c r="A86" i="152" s="1"/>
  <c r="A87" i="152" s="1"/>
  <c r="A88" i="152" s="1"/>
  <c r="A89" i="152" s="1"/>
  <c r="L35" i="152"/>
  <c r="A35" i="152"/>
  <c r="L34" i="152"/>
  <c r="F18" i="130" l="1"/>
  <c r="E18" i="130"/>
  <c r="E13" i="130" l="1"/>
  <c r="E9" i="130"/>
  <c r="E8" i="130"/>
  <c r="E7" i="130"/>
  <c r="E27" i="141" l="1"/>
  <c r="E28" i="141"/>
  <c r="E6" i="141" s="1"/>
  <c r="E29" i="141"/>
  <c r="E7" i="141" s="1"/>
  <c r="E30" i="141"/>
  <c r="E8" i="141" s="1"/>
  <c r="E31" i="141"/>
  <c r="E9" i="141" s="1"/>
  <c r="E32" i="141"/>
  <c r="E10" i="141" s="1"/>
  <c r="E33" i="141"/>
  <c r="E11" i="141" s="1"/>
  <c r="E34" i="141"/>
  <c r="E12" i="141" s="1"/>
  <c r="E35" i="141"/>
  <c r="E36" i="141"/>
  <c r="E37" i="141"/>
  <c r="E15" i="141" s="1"/>
  <c r="E38" i="141"/>
  <c r="E16" i="141" s="1"/>
  <c r="E39" i="141"/>
  <c r="E17" i="141" s="1"/>
  <c r="E40" i="141"/>
  <c r="E18" i="141" s="1"/>
  <c r="E41" i="141"/>
  <c r="E19" i="141" s="1"/>
  <c r="E26" i="141"/>
  <c r="E42" i="141" s="1"/>
  <c r="E13" i="141"/>
  <c r="E14" i="141"/>
  <c r="C7" i="141"/>
  <c r="C8" i="141"/>
  <c r="C9" i="141"/>
  <c r="C10" i="141"/>
  <c r="C11" i="141"/>
  <c r="C12" i="141"/>
  <c r="C13" i="141"/>
  <c r="C14" i="141"/>
  <c r="C15" i="141"/>
  <c r="C16" i="141"/>
  <c r="C17" i="141"/>
  <c r="C18" i="141"/>
  <c r="C19" i="141"/>
  <c r="C6" i="141"/>
  <c r="C5" i="141"/>
  <c r="C63" i="141"/>
  <c r="D63" i="141"/>
  <c r="E63" i="141"/>
  <c r="J49" i="141" s="1"/>
  <c r="B49" i="141"/>
  <c r="B50" i="141" s="1"/>
  <c r="B51" i="141" s="1"/>
  <c r="B52" i="141" s="1"/>
  <c r="B53" i="141" s="1"/>
  <c r="B54" i="141" s="1"/>
  <c r="B55" i="141" s="1"/>
  <c r="B56" i="141" s="1"/>
  <c r="B57" i="141" s="1"/>
  <c r="B58" i="141" s="1"/>
  <c r="B59" i="141" s="1"/>
  <c r="B60" i="141" s="1"/>
  <c r="B61" i="141" s="1"/>
  <c r="B62" i="141" s="1"/>
  <c r="I30" i="141" l="1"/>
  <c r="I34" i="141"/>
  <c r="I38" i="141"/>
  <c r="J26" i="141"/>
  <c r="J37" i="141"/>
  <c r="J30" i="141"/>
  <c r="J34" i="141"/>
  <c r="J38" i="141"/>
  <c r="I26" i="141"/>
  <c r="I37" i="141"/>
  <c r="I27" i="141"/>
  <c r="I31" i="141"/>
  <c r="I35" i="141"/>
  <c r="I39" i="141"/>
  <c r="L39" i="141" s="1"/>
  <c r="J36" i="141"/>
  <c r="J33" i="141"/>
  <c r="J27" i="141"/>
  <c r="J31" i="141"/>
  <c r="J35" i="141"/>
  <c r="J39" i="141"/>
  <c r="J28" i="141"/>
  <c r="I41" i="141"/>
  <c r="L41" i="141" s="1"/>
  <c r="I28" i="141"/>
  <c r="I32" i="141"/>
  <c r="L32" i="141" s="1"/>
  <c r="I36" i="141"/>
  <c r="I40" i="141"/>
  <c r="J32" i="141"/>
  <c r="I29" i="141"/>
  <c r="J41" i="141"/>
  <c r="J40" i="141"/>
  <c r="I33" i="141"/>
  <c r="J29" i="141"/>
  <c r="J56" i="141"/>
  <c r="C42" i="141"/>
  <c r="I60" i="141"/>
  <c r="I52" i="141"/>
  <c r="I59" i="141"/>
  <c r="I51" i="141"/>
  <c r="J50" i="141"/>
  <c r="I62" i="141"/>
  <c r="I58" i="141"/>
  <c r="I54" i="141"/>
  <c r="I50" i="141"/>
  <c r="I61" i="141"/>
  <c r="I57" i="141"/>
  <c r="I53" i="141"/>
  <c r="I49" i="141"/>
  <c r="I48" i="141"/>
  <c r="J60" i="141"/>
  <c r="J52" i="141"/>
  <c r="I47" i="141"/>
  <c r="I56" i="141"/>
  <c r="J48" i="141"/>
  <c r="J59" i="141"/>
  <c r="J55" i="141"/>
  <c r="J51" i="141"/>
  <c r="J47" i="141"/>
  <c r="I55" i="141"/>
  <c r="J62" i="141"/>
  <c r="J58" i="141"/>
  <c r="J54" i="141"/>
  <c r="J61" i="141"/>
  <c r="J57" i="141"/>
  <c r="J53" i="141"/>
  <c r="L28" i="141" l="1"/>
  <c r="L38" i="141"/>
  <c r="L37" i="141"/>
  <c r="L40" i="141"/>
  <c r="L47" i="141"/>
  <c r="L36" i="141"/>
  <c r="L26" i="141"/>
  <c r="L49" i="141"/>
  <c r="D20" i="141" l="1"/>
  <c r="H14" i="141" l="1"/>
  <c r="C20" i="141"/>
  <c r="G5" i="141" s="1"/>
  <c r="B6" i="141"/>
  <c r="B7" i="141" s="1"/>
  <c r="B8" i="141" s="1"/>
  <c r="B9" i="141" s="1"/>
  <c r="B10" i="141" s="1"/>
  <c r="B11" i="141" s="1"/>
  <c r="B12" i="141" s="1"/>
  <c r="B13" i="141" s="1"/>
  <c r="B14" i="141" s="1"/>
  <c r="B15" i="141" s="1"/>
  <c r="B16" i="141" s="1"/>
  <c r="B17" i="141" s="1"/>
  <c r="B18" i="141" s="1"/>
  <c r="B19" i="141" s="1"/>
  <c r="G12" i="141" l="1"/>
  <c r="G19" i="141"/>
  <c r="G10" i="141"/>
  <c r="G9" i="141"/>
  <c r="G16" i="141"/>
  <c r="G15" i="141"/>
  <c r="G7" i="141"/>
  <c r="G14" i="141"/>
  <c r="G6" i="141"/>
  <c r="G11" i="141"/>
  <c r="G18" i="141"/>
  <c r="G17" i="141"/>
  <c r="G8" i="141"/>
  <c r="G13" i="141"/>
  <c r="H13" i="141"/>
  <c r="H7" i="141"/>
  <c r="H19" i="141"/>
  <c r="H18" i="141"/>
  <c r="H6" i="141"/>
  <c r="H16" i="141"/>
  <c r="H11" i="141"/>
  <c r="H15" i="141"/>
  <c r="H10" i="141"/>
  <c r="H5" i="141"/>
  <c r="H9" i="141"/>
  <c r="H17" i="141"/>
  <c r="H12" i="141"/>
  <c r="H8" i="141"/>
  <c r="G20" i="141" l="1"/>
  <c r="H20" i="141"/>
  <c r="B42" i="131" l="1"/>
  <c r="X15" i="119" l="1"/>
  <c r="G16" i="110"/>
  <c r="CW12" i="74" l="1"/>
  <c r="CR7" i="74"/>
  <c r="CR8" i="74"/>
  <c r="CR9" i="74"/>
  <c r="CR10" i="74"/>
  <c r="CR11" i="74"/>
  <c r="CR12" i="74"/>
  <c r="L16" i="111" s="1"/>
  <c r="CR13" i="74"/>
  <c r="CR14" i="74"/>
  <c r="CR15" i="74"/>
  <c r="CR16" i="74"/>
  <c r="CR17" i="74"/>
  <c r="CR18" i="74"/>
  <c r="CR19" i="74"/>
  <c r="CR20" i="74"/>
  <c r="CR21" i="74"/>
  <c r="CR22" i="74"/>
  <c r="CR23" i="74"/>
  <c r="CR24" i="74"/>
  <c r="CR25" i="74"/>
  <c r="CR26" i="74"/>
  <c r="CR27" i="74"/>
  <c r="CR28" i="74"/>
  <c r="CR29" i="74"/>
  <c r="CR30" i="74"/>
  <c r="CR31" i="74"/>
  <c r="CR32" i="74"/>
  <c r="CR33" i="74"/>
  <c r="CR34" i="74"/>
  <c r="CR35" i="74"/>
  <c r="CR36" i="74"/>
  <c r="CR37" i="74"/>
  <c r="CR38" i="74"/>
  <c r="CR39" i="74"/>
  <c r="CR40" i="74"/>
  <c r="CR41" i="74"/>
  <c r="CR42" i="74"/>
  <c r="CR43" i="74"/>
  <c r="CR44" i="74"/>
  <c r="CR45" i="74"/>
  <c r="CR46" i="74"/>
  <c r="CR47" i="74"/>
  <c r="CR48" i="74"/>
  <c r="CR49" i="74"/>
  <c r="CR50" i="74"/>
  <c r="CR51" i="74"/>
  <c r="CR52" i="74"/>
  <c r="CR53" i="74"/>
  <c r="CR54" i="74"/>
  <c r="CR55" i="74"/>
  <c r="CR57" i="74"/>
  <c r="CR58" i="74"/>
  <c r="CR59" i="74"/>
  <c r="CR60" i="74"/>
  <c r="CR61" i="74"/>
  <c r="CR6" i="74"/>
  <c r="AG61" i="110"/>
  <c r="AG60" i="110"/>
  <c r="CR56" i="74" s="1"/>
  <c r="X16" i="119"/>
  <c r="X17" i="119"/>
  <c r="X18" i="119"/>
  <c r="X19" i="119"/>
  <c r="X20" i="119"/>
  <c r="X21" i="119"/>
  <c r="X22" i="119"/>
  <c r="X23" i="119"/>
  <c r="X24" i="119"/>
  <c r="X25" i="119"/>
  <c r="X26" i="119"/>
  <c r="X27" i="119"/>
  <c r="X28" i="119"/>
  <c r="X29" i="119"/>
  <c r="X30" i="119"/>
  <c r="X31" i="119"/>
  <c r="X32" i="119"/>
  <c r="X33" i="119"/>
  <c r="X34" i="119"/>
  <c r="X35" i="119"/>
  <c r="X36" i="119"/>
  <c r="X37" i="119"/>
  <c r="X38" i="119"/>
  <c r="X39" i="119"/>
  <c r="X40" i="119"/>
  <c r="X41" i="119"/>
  <c r="X42" i="119"/>
  <c r="X43" i="119"/>
  <c r="X44" i="119"/>
  <c r="X45" i="119"/>
  <c r="X46" i="119"/>
  <c r="X47" i="119"/>
  <c r="X48" i="119"/>
  <c r="X49" i="119"/>
  <c r="X50" i="119"/>
  <c r="X51" i="119"/>
  <c r="X52" i="119"/>
  <c r="X53" i="119"/>
  <c r="X54" i="119"/>
  <c r="X55" i="119"/>
  <c r="X56" i="119"/>
  <c r="X57" i="119"/>
  <c r="X58" i="119"/>
  <c r="X59" i="119"/>
  <c r="X60" i="119"/>
  <c r="X61" i="119"/>
  <c r="X62" i="119"/>
  <c r="X63" i="119"/>
  <c r="X64" i="119"/>
  <c r="X65" i="119"/>
  <c r="D123" i="149" l="1"/>
  <c r="C123" i="149"/>
  <c r="D122" i="149"/>
  <c r="C122" i="149"/>
  <c r="D121" i="149"/>
  <c r="C121" i="149"/>
  <c r="D120" i="149"/>
  <c r="C120" i="149"/>
  <c r="D119" i="149"/>
  <c r="C119" i="149"/>
  <c r="D118" i="149"/>
  <c r="C118" i="149"/>
  <c r="D114" i="149"/>
  <c r="C114" i="149"/>
  <c r="D113" i="149"/>
  <c r="C113" i="149"/>
  <c r="D112" i="149"/>
  <c r="C112" i="149"/>
  <c r="D111" i="149"/>
  <c r="C111" i="149"/>
  <c r="D110" i="149"/>
  <c r="C110" i="149"/>
  <c r="D109" i="149"/>
  <c r="C109" i="149"/>
  <c r="D108" i="149"/>
  <c r="C108" i="149"/>
  <c r="D107" i="149"/>
  <c r="C107" i="149"/>
  <c r="D106" i="149"/>
  <c r="C106" i="149"/>
  <c r="C105" i="149"/>
  <c r="D104" i="149"/>
  <c r="C104" i="149"/>
  <c r="D103" i="149"/>
  <c r="C103" i="149"/>
  <c r="D102" i="149"/>
  <c r="C102" i="149"/>
  <c r="D101" i="149"/>
  <c r="C101" i="149"/>
  <c r="D100" i="149"/>
  <c r="C100" i="149"/>
  <c r="D92" i="149"/>
  <c r="C92" i="149"/>
  <c r="D91" i="149"/>
  <c r="C91" i="149"/>
  <c r="D90" i="149"/>
  <c r="C90" i="149"/>
  <c r="D89" i="149"/>
  <c r="C89" i="149"/>
  <c r="D88" i="149"/>
  <c r="C88" i="149"/>
  <c r="D87" i="149"/>
  <c r="C87" i="149"/>
  <c r="D83" i="149"/>
  <c r="C83" i="149"/>
  <c r="D82" i="149"/>
  <c r="C82" i="149"/>
  <c r="D81" i="149"/>
  <c r="C81" i="149"/>
  <c r="D80" i="149"/>
  <c r="C80" i="149"/>
  <c r="D79" i="149"/>
  <c r="C79" i="149"/>
  <c r="D78" i="149"/>
  <c r="C78" i="149"/>
  <c r="D77" i="149"/>
  <c r="C77" i="149"/>
  <c r="D76" i="149"/>
  <c r="C76" i="149"/>
  <c r="D75" i="149"/>
  <c r="C75" i="149"/>
  <c r="D74" i="149"/>
  <c r="C74" i="149"/>
  <c r="D73" i="149"/>
  <c r="C73" i="149"/>
  <c r="D72" i="149"/>
  <c r="C72" i="149"/>
  <c r="D71" i="149"/>
  <c r="C71" i="149"/>
  <c r="D70" i="149"/>
  <c r="C70" i="149"/>
  <c r="D69" i="149"/>
  <c r="C69" i="149"/>
  <c r="D61" i="149"/>
  <c r="C61" i="149"/>
  <c r="D60" i="149"/>
  <c r="C60" i="149"/>
  <c r="D59" i="149"/>
  <c r="C59" i="149"/>
  <c r="D58" i="149"/>
  <c r="C58" i="149"/>
  <c r="D57" i="149"/>
  <c r="C57" i="149"/>
  <c r="D56" i="149"/>
  <c r="C56" i="149"/>
  <c r="D52" i="149"/>
  <c r="C52" i="149"/>
  <c r="D51" i="149"/>
  <c r="C51" i="149"/>
  <c r="D50" i="149"/>
  <c r="C50" i="149"/>
  <c r="D49" i="149"/>
  <c r="C49" i="149"/>
  <c r="D48" i="149"/>
  <c r="C48" i="149"/>
  <c r="D47" i="149"/>
  <c r="C47" i="149"/>
  <c r="D46" i="149"/>
  <c r="C46" i="149"/>
  <c r="D45" i="149"/>
  <c r="C45" i="149"/>
  <c r="D44" i="149"/>
  <c r="C44" i="149"/>
  <c r="D43" i="149"/>
  <c r="C43" i="149"/>
  <c r="D42" i="149"/>
  <c r="C42" i="149"/>
  <c r="D41" i="149"/>
  <c r="C41" i="149"/>
  <c r="D40" i="149"/>
  <c r="C40" i="149"/>
  <c r="D39" i="149"/>
  <c r="C39" i="149"/>
  <c r="D38" i="149"/>
  <c r="W33" i="149"/>
  <c r="U33" i="149"/>
  <c r="M36" i="149"/>
  <c r="T33" i="149" l="1"/>
  <c r="E87" i="149"/>
  <c r="D24" i="149" s="1"/>
  <c r="E91" i="149"/>
  <c r="D25" i="149" s="1"/>
  <c r="E121" i="149"/>
  <c r="C21" i="149" s="1"/>
  <c r="E89" i="149"/>
  <c r="D22" i="149" s="1"/>
  <c r="D22" i="151" s="1"/>
  <c r="D22" i="143" s="1"/>
  <c r="E90" i="149"/>
  <c r="D21" i="149" s="1"/>
  <c r="X33" i="149"/>
  <c r="E43" i="149"/>
  <c r="E46" i="149"/>
  <c r="E59" i="149"/>
  <c r="E21" i="149" s="1"/>
  <c r="E61" i="149"/>
  <c r="E26" i="149" s="1"/>
  <c r="E44" i="149"/>
  <c r="E49" i="149"/>
  <c r="E9" i="149" s="1"/>
  <c r="E9" i="151" s="1"/>
  <c r="E9" i="143" s="1"/>
  <c r="E45" i="149"/>
  <c r="E10" i="149" s="1"/>
  <c r="E10" i="151" s="1"/>
  <c r="E10" i="143" s="1"/>
  <c r="E48" i="149"/>
  <c r="E15" i="149" s="1"/>
  <c r="E15" i="151" s="1"/>
  <c r="E15" i="143" s="1"/>
  <c r="E42" i="149"/>
  <c r="E52" i="149"/>
  <c r="E16" i="149" s="1"/>
  <c r="E16" i="151" s="1"/>
  <c r="E16" i="143" s="1"/>
  <c r="E40" i="149"/>
  <c r="E14" i="149" s="1"/>
  <c r="E14" i="151" s="1"/>
  <c r="E14" i="143" s="1"/>
  <c r="E57" i="149"/>
  <c r="E23" i="149" s="1"/>
  <c r="E47" i="149"/>
  <c r="E12" i="149" s="1"/>
  <c r="E12" i="151" s="1"/>
  <c r="E12" i="143" s="1"/>
  <c r="E41" i="149"/>
  <c r="E60" i="149"/>
  <c r="E25" i="149" s="1"/>
  <c r="E50" i="149"/>
  <c r="E7" i="149" s="1"/>
  <c r="E7" i="151" s="1"/>
  <c r="E7" i="143" s="1"/>
  <c r="E92" i="149"/>
  <c r="D26" i="149" s="1"/>
  <c r="E83" i="149"/>
  <c r="D16" i="149" s="1"/>
  <c r="D16" i="151" s="1"/>
  <c r="D16" i="143" s="1"/>
  <c r="E77" i="149"/>
  <c r="E82" i="149"/>
  <c r="D17" i="149" s="1"/>
  <c r="D17" i="151" s="1"/>
  <c r="D17" i="143" s="1"/>
  <c r="E78" i="149"/>
  <c r="D12" i="149" s="1"/>
  <c r="D12" i="151" s="1"/>
  <c r="D12" i="143" s="1"/>
  <c r="E72" i="149"/>
  <c r="E76" i="149"/>
  <c r="D10" i="149" s="1"/>
  <c r="D10" i="151" s="1"/>
  <c r="D10" i="143" s="1"/>
  <c r="E70" i="149"/>
  <c r="D11" i="149" s="1"/>
  <c r="D11" i="151" s="1"/>
  <c r="D11" i="143" s="1"/>
  <c r="E80" i="149"/>
  <c r="D9" i="149" s="1"/>
  <c r="D9" i="151" s="1"/>
  <c r="D9" i="143" s="1"/>
  <c r="E74" i="149"/>
  <c r="E75" i="149"/>
  <c r="E71" i="149"/>
  <c r="D14" i="149" s="1"/>
  <c r="D14" i="151" s="1"/>
  <c r="D14" i="143" s="1"/>
  <c r="E81" i="149"/>
  <c r="D7" i="149" s="1"/>
  <c r="D7" i="151" s="1"/>
  <c r="D7" i="143" s="1"/>
  <c r="E73" i="149"/>
  <c r="E79" i="149"/>
  <c r="D15" i="149" s="1"/>
  <c r="D15" i="151" s="1"/>
  <c r="D15" i="143" s="1"/>
  <c r="E120" i="149"/>
  <c r="C22" i="149" s="1"/>
  <c r="E123" i="149"/>
  <c r="C26" i="149" s="1"/>
  <c r="E119" i="149"/>
  <c r="C23" i="149" s="1"/>
  <c r="E108" i="149"/>
  <c r="E100" i="149"/>
  <c r="C13" i="149" s="1"/>
  <c r="C13" i="151" s="1"/>
  <c r="C13" i="143" s="1"/>
  <c r="E109" i="149"/>
  <c r="C12" i="149" s="1"/>
  <c r="C12" i="151" s="1"/>
  <c r="C12" i="143" s="1"/>
  <c r="E101" i="149"/>
  <c r="C11" i="149" s="1"/>
  <c r="C11" i="151" s="1"/>
  <c r="C11" i="143" s="1"/>
  <c r="E105" i="149"/>
  <c r="E111" i="149"/>
  <c r="C9" i="149" s="1"/>
  <c r="C9" i="151" s="1"/>
  <c r="C9" i="143" s="1"/>
  <c r="E106" i="149"/>
  <c r="E114" i="149"/>
  <c r="C16" i="149" s="1"/>
  <c r="C16" i="151" s="1"/>
  <c r="C16" i="143" s="1"/>
  <c r="E113" i="149"/>
  <c r="C17" i="149" s="1"/>
  <c r="C17" i="151" s="1"/>
  <c r="C17" i="143" s="1"/>
  <c r="E102" i="149"/>
  <c r="C14" i="149" s="1"/>
  <c r="C14" i="151" s="1"/>
  <c r="C14" i="143" s="1"/>
  <c r="E110" i="149"/>
  <c r="C15" i="149" s="1"/>
  <c r="C15" i="151" s="1"/>
  <c r="C15" i="143" s="1"/>
  <c r="E122" i="149"/>
  <c r="C25" i="149" s="1"/>
  <c r="E104" i="149"/>
  <c r="E107" i="149"/>
  <c r="C10" i="149" s="1"/>
  <c r="C10" i="151" s="1"/>
  <c r="C10" i="143" s="1"/>
  <c r="E112" i="149"/>
  <c r="C7" i="149" s="1"/>
  <c r="C53" i="149"/>
  <c r="D84" i="149"/>
  <c r="E58" i="149"/>
  <c r="C62" i="149"/>
  <c r="D115" i="149"/>
  <c r="E88" i="149"/>
  <c r="C93" i="149"/>
  <c r="D62" i="149"/>
  <c r="E56" i="149"/>
  <c r="D53" i="149"/>
  <c r="C84" i="149"/>
  <c r="E69" i="149"/>
  <c r="C124" i="149"/>
  <c r="E38" i="149"/>
  <c r="D93" i="149"/>
  <c r="D124" i="149"/>
  <c r="E39" i="149"/>
  <c r="E103" i="149"/>
  <c r="E118" i="149"/>
  <c r="C115" i="149"/>
  <c r="E51" i="149"/>
  <c r="W28" i="119"/>
  <c r="F28" i="119"/>
  <c r="C8" i="149" l="1"/>
  <c r="C7" i="151"/>
  <c r="C7" i="143" s="1"/>
  <c r="D24" i="151"/>
  <c r="D24" i="143" s="1"/>
  <c r="D21" i="151"/>
  <c r="D21" i="143" s="1"/>
  <c r="E26" i="151"/>
  <c r="E26" i="143" s="1"/>
  <c r="C26" i="151"/>
  <c r="C26" i="143" s="1"/>
  <c r="F14" i="149"/>
  <c r="F14" i="151" s="1"/>
  <c r="F14" i="143" s="1"/>
  <c r="D26" i="151"/>
  <c r="D26" i="143" s="1"/>
  <c r="E23" i="151"/>
  <c r="E23" i="143" s="1"/>
  <c r="D25" i="151"/>
  <c r="D25" i="143" s="1"/>
  <c r="C21" i="151"/>
  <c r="C21" i="143" s="1"/>
  <c r="E25" i="151"/>
  <c r="E25" i="143" s="1"/>
  <c r="C23" i="151"/>
  <c r="C23" i="143" s="1"/>
  <c r="E21" i="151"/>
  <c r="E21" i="143" s="1"/>
  <c r="C22" i="151"/>
  <c r="C22" i="143" s="1"/>
  <c r="C25" i="151"/>
  <c r="C25" i="143" s="1"/>
  <c r="E8" i="149"/>
  <c r="E8" i="151" s="1"/>
  <c r="E8" i="143" s="1"/>
  <c r="F16" i="149"/>
  <c r="F16" i="151" s="1"/>
  <c r="F16" i="143" s="1"/>
  <c r="G26" i="149"/>
  <c r="F26" i="149"/>
  <c r="G10" i="149"/>
  <c r="G10" i="151" s="1"/>
  <c r="G10" i="143" s="1"/>
  <c r="G16" i="149"/>
  <c r="G16" i="151" s="1"/>
  <c r="G16" i="143" s="1"/>
  <c r="F12" i="149"/>
  <c r="F12" i="151" s="1"/>
  <c r="F12" i="143" s="1"/>
  <c r="G12" i="149"/>
  <c r="G12" i="151" s="1"/>
  <c r="G12" i="143" s="1"/>
  <c r="D8" i="149"/>
  <c r="D8" i="151" s="1"/>
  <c r="D8" i="143" s="1"/>
  <c r="E115" i="149"/>
  <c r="E17" i="149"/>
  <c r="E17" i="151" s="1"/>
  <c r="E17" i="143" s="1"/>
  <c r="E53" i="149"/>
  <c r="E13" i="149"/>
  <c r="E13" i="151" s="1"/>
  <c r="E13" i="143" s="1"/>
  <c r="G25" i="149"/>
  <c r="F25" i="149"/>
  <c r="G9" i="149"/>
  <c r="G9" i="151" s="1"/>
  <c r="G9" i="143" s="1"/>
  <c r="F9" i="149"/>
  <c r="F9" i="151" s="1"/>
  <c r="F9" i="143" s="1"/>
  <c r="C8" i="151"/>
  <c r="C8" i="143" s="1"/>
  <c r="D23" i="149"/>
  <c r="E93" i="149"/>
  <c r="G14" i="149"/>
  <c r="G14" i="151" s="1"/>
  <c r="G14" i="143" s="1"/>
  <c r="E84" i="149"/>
  <c r="D13" i="149"/>
  <c r="D13" i="151" s="1"/>
  <c r="D13" i="143" s="1"/>
  <c r="G21" i="149"/>
  <c r="F21" i="149"/>
  <c r="G15" i="149"/>
  <c r="G15" i="151" s="1"/>
  <c r="G15" i="143" s="1"/>
  <c r="F15" i="149"/>
  <c r="F15" i="151" s="1"/>
  <c r="F15" i="143" s="1"/>
  <c r="C24" i="149"/>
  <c r="E124" i="149"/>
  <c r="E11" i="149"/>
  <c r="E11" i="151" s="1"/>
  <c r="E11" i="143" s="1"/>
  <c r="G7" i="149"/>
  <c r="G7" i="151" s="1"/>
  <c r="G7" i="143" s="1"/>
  <c r="F7" i="149"/>
  <c r="F7" i="151" s="1"/>
  <c r="F7" i="143" s="1"/>
  <c r="F10" i="149"/>
  <c r="F10" i="151" s="1"/>
  <c r="F10" i="143" s="1"/>
  <c r="E62" i="149"/>
  <c r="E24" i="149"/>
  <c r="E22" i="149"/>
  <c r="G23" i="149"/>
  <c r="E24" i="151" l="1"/>
  <c r="E24" i="143" s="1"/>
  <c r="F25" i="151"/>
  <c r="F25" i="143" s="1"/>
  <c r="G25" i="151"/>
  <c r="G25" i="143" s="1"/>
  <c r="C24" i="151"/>
  <c r="C24" i="143" s="1"/>
  <c r="D23" i="151"/>
  <c r="D23" i="143" s="1"/>
  <c r="F21" i="151"/>
  <c r="F21" i="143" s="1"/>
  <c r="F26" i="151"/>
  <c r="F26" i="143" s="1"/>
  <c r="G23" i="151"/>
  <c r="G23" i="143" s="1"/>
  <c r="E22" i="151"/>
  <c r="E22" i="143" s="1"/>
  <c r="G21" i="151"/>
  <c r="G21" i="143" s="1"/>
  <c r="G26" i="151"/>
  <c r="G26" i="143" s="1"/>
  <c r="F8" i="149"/>
  <c r="F8" i="151" s="1"/>
  <c r="F8" i="143" s="1"/>
  <c r="F23" i="149"/>
  <c r="G8" i="149"/>
  <c r="G8" i="151" s="1"/>
  <c r="G8" i="143" s="1"/>
  <c r="G13" i="149"/>
  <c r="G13" i="151" s="1"/>
  <c r="G13" i="143" s="1"/>
  <c r="F13" i="149"/>
  <c r="F13" i="151" s="1"/>
  <c r="F13" i="143" s="1"/>
  <c r="G11" i="149"/>
  <c r="G11" i="151" s="1"/>
  <c r="G11" i="143" s="1"/>
  <c r="F11" i="149"/>
  <c r="F11" i="151" s="1"/>
  <c r="F11" i="143" s="1"/>
  <c r="G17" i="149"/>
  <c r="G17" i="151" s="1"/>
  <c r="G17" i="143" s="1"/>
  <c r="F17" i="149"/>
  <c r="F17" i="151" s="1"/>
  <c r="F17" i="143" s="1"/>
  <c r="F24" i="149"/>
  <c r="G24" i="149"/>
  <c r="F22" i="149"/>
  <c r="G22" i="149"/>
  <c r="F22" i="151" l="1"/>
  <c r="F22" i="143" s="1"/>
  <c r="G24" i="151"/>
  <c r="G24" i="143" s="1"/>
  <c r="F24" i="151"/>
  <c r="F24" i="143" s="1"/>
  <c r="G22" i="151"/>
  <c r="G22" i="143" s="1"/>
  <c r="F23" i="151"/>
  <c r="F23" i="143" s="1"/>
  <c r="L37" i="146"/>
  <c r="L38" i="146"/>
  <c r="L39" i="146"/>
  <c r="L40" i="146"/>
  <c r="L41" i="146"/>
  <c r="L42" i="146"/>
  <c r="L43" i="146"/>
  <c r="L44" i="146"/>
  <c r="L45" i="146"/>
  <c r="L46" i="146"/>
  <c r="L47" i="146"/>
  <c r="L48" i="146"/>
  <c r="L49" i="146"/>
  <c r="L50" i="146"/>
  <c r="L51" i="146"/>
  <c r="L52" i="146"/>
  <c r="L53" i="146"/>
  <c r="L54" i="146"/>
  <c r="L55" i="146"/>
  <c r="L56" i="146"/>
  <c r="L57" i="146"/>
  <c r="L58" i="146"/>
  <c r="L59" i="146"/>
  <c r="L60" i="146"/>
  <c r="L61" i="146"/>
  <c r="L62" i="146"/>
  <c r="L63" i="146"/>
  <c r="L64" i="146"/>
  <c r="L65" i="146"/>
  <c r="L66" i="146"/>
  <c r="L67" i="146"/>
  <c r="L68" i="146"/>
  <c r="L69" i="146"/>
  <c r="L70" i="146"/>
  <c r="L71" i="146"/>
  <c r="L72" i="146"/>
  <c r="L73" i="146"/>
  <c r="L74" i="146"/>
  <c r="L75" i="146"/>
  <c r="L76" i="146"/>
  <c r="L77" i="146"/>
  <c r="L78" i="146"/>
  <c r="L79" i="146"/>
  <c r="L80" i="146"/>
  <c r="L81" i="146"/>
  <c r="L82" i="146"/>
  <c r="L83" i="146"/>
  <c r="L84" i="146"/>
  <c r="L85" i="146"/>
  <c r="L86" i="146"/>
  <c r="L87" i="146"/>
  <c r="L88" i="146"/>
  <c r="L89" i="146"/>
  <c r="L35" i="146"/>
  <c r="L36" i="146"/>
  <c r="A35" i="146"/>
  <c r="A36" i="146" s="1"/>
  <c r="A37" i="146" s="1"/>
  <c r="A38" i="146" s="1"/>
  <c r="A39" i="146" s="1"/>
  <c r="A40" i="146" s="1"/>
  <c r="A41" i="146" s="1"/>
  <c r="A42" i="146" s="1"/>
  <c r="A43" i="146" s="1"/>
  <c r="A44" i="146" s="1"/>
  <c r="A45" i="146" s="1"/>
  <c r="A46" i="146" s="1"/>
  <c r="A47" i="146" s="1"/>
  <c r="A48" i="146" s="1"/>
  <c r="A49" i="146" s="1"/>
  <c r="A50" i="146" s="1"/>
  <c r="A51" i="146" s="1"/>
  <c r="A52" i="146" s="1"/>
  <c r="A53" i="146" s="1"/>
  <c r="A54" i="146" s="1"/>
  <c r="A55" i="146" s="1"/>
  <c r="A56" i="146" s="1"/>
  <c r="A57" i="146" s="1"/>
  <c r="A58" i="146" s="1"/>
  <c r="A59" i="146" s="1"/>
  <c r="A60" i="146" s="1"/>
  <c r="A61" i="146" s="1"/>
  <c r="A62" i="146" s="1"/>
  <c r="A63" i="146" s="1"/>
  <c r="A64" i="146" s="1"/>
  <c r="A65" i="146" s="1"/>
  <c r="A66" i="146" s="1"/>
  <c r="A67" i="146" s="1"/>
  <c r="A68" i="146" s="1"/>
  <c r="A69" i="146" s="1"/>
  <c r="A70" i="146" s="1"/>
  <c r="A71" i="146" s="1"/>
  <c r="A72" i="146" s="1"/>
  <c r="A73" i="146" s="1"/>
  <c r="A74" i="146" s="1"/>
  <c r="A75" i="146" s="1"/>
  <c r="A76" i="146" s="1"/>
  <c r="A77" i="146" s="1"/>
  <c r="A78" i="146" s="1"/>
  <c r="A79" i="146" s="1"/>
  <c r="A80" i="146" s="1"/>
  <c r="A81" i="146" s="1"/>
  <c r="A82" i="146" s="1"/>
  <c r="A83" i="146" s="1"/>
  <c r="A84" i="146" s="1"/>
  <c r="A85" i="146" s="1"/>
  <c r="A86" i="146" s="1"/>
  <c r="A87" i="146" s="1"/>
  <c r="A88" i="146" s="1"/>
  <c r="A89" i="146" s="1"/>
  <c r="L34" i="146" l="1"/>
  <c r="AF6" i="145" l="1"/>
  <c r="AF8" i="145"/>
  <c r="AF10" i="145"/>
  <c r="C68" i="127"/>
  <c r="C69" i="127"/>
  <c r="C67" i="127"/>
  <c r="N138" i="145"/>
  <c r="M138" i="145"/>
  <c r="L138" i="145"/>
  <c r="K138" i="145"/>
  <c r="J138" i="145"/>
  <c r="I138" i="145"/>
  <c r="H138" i="145"/>
  <c r="G138" i="145"/>
  <c r="F138" i="145"/>
  <c r="E138" i="145"/>
  <c r="D138" i="145"/>
  <c r="C138" i="145"/>
  <c r="N135" i="145"/>
  <c r="M135" i="145"/>
  <c r="L135" i="145"/>
  <c r="K135" i="145"/>
  <c r="J135" i="145"/>
  <c r="I135" i="145"/>
  <c r="H135" i="145"/>
  <c r="G135" i="145"/>
  <c r="F135" i="145"/>
  <c r="E135" i="145"/>
  <c r="D135" i="145"/>
  <c r="C135" i="145"/>
  <c r="AH129" i="145"/>
  <c r="AC129" i="145"/>
  <c r="N60" i="145" s="1"/>
  <c r="AB129" i="145"/>
  <c r="M60" i="145" s="1"/>
  <c r="AA129" i="145"/>
  <c r="Z129" i="145"/>
  <c r="K60" i="145" s="1"/>
  <c r="Y129" i="145"/>
  <c r="X129" i="145"/>
  <c r="I60" i="145" s="1"/>
  <c r="W129" i="145"/>
  <c r="H60" i="145" s="1"/>
  <c r="V129" i="145"/>
  <c r="U129" i="145"/>
  <c r="F60" i="145" s="1"/>
  <c r="T129" i="145"/>
  <c r="E60" i="145" s="1"/>
  <c r="S129" i="145"/>
  <c r="R129" i="145"/>
  <c r="C60" i="145" s="1"/>
  <c r="A129" i="145"/>
  <c r="AH128" i="145"/>
  <c r="AC128" i="145"/>
  <c r="N59" i="145" s="1"/>
  <c r="AB128" i="145"/>
  <c r="AA128" i="145"/>
  <c r="Z128" i="145"/>
  <c r="K59" i="145" s="1"/>
  <c r="Y128" i="145"/>
  <c r="X128" i="145"/>
  <c r="W128" i="145"/>
  <c r="H59" i="145" s="1"/>
  <c r="V128" i="145"/>
  <c r="U128" i="145"/>
  <c r="F59" i="145" s="1"/>
  <c r="T128" i="145"/>
  <c r="S128" i="145"/>
  <c r="R128" i="145"/>
  <c r="A128" i="145"/>
  <c r="AH127" i="145"/>
  <c r="AC127" i="145"/>
  <c r="N58" i="145" s="1"/>
  <c r="AB127" i="145"/>
  <c r="M58" i="145" s="1"/>
  <c r="AA127" i="145"/>
  <c r="L58" i="145" s="1"/>
  <c r="Z127" i="145"/>
  <c r="Y127" i="145"/>
  <c r="X127" i="145"/>
  <c r="I58" i="145" s="1"/>
  <c r="W127" i="145"/>
  <c r="H58" i="145" s="1"/>
  <c r="V127" i="145"/>
  <c r="U127" i="145"/>
  <c r="F58" i="145" s="1"/>
  <c r="T127" i="145"/>
  <c r="E58" i="145" s="1"/>
  <c r="S127" i="145"/>
  <c r="D58" i="145" s="1"/>
  <c r="R127" i="145"/>
  <c r="AH126" i="145"/>
  <c r="L57" i="145" s="1"/>
  <c r="AC126" i="145"/>
  <c r="AB126" i="145"/>
  <c r="AA126" i="145"/>
  <c r="Z126" i="145"/>
  <c r="Y126" i="145"/>
  <c r="X126" i="145"/>
  <c r="I57" i="145" s="1"/>
  <c r="W126" i="145"/>
  <c r="V126" i="145"/>
  <c r="G57" i="145" s="1"/>
  <c r="U126" i="145"/>
  <c r="T126" i="145"/>
  <c r="S126" i="145"/>
  <c r="R126" i="145"/>
  <c r="AH125" i="145"/>
  <c r="AC125" i="145"/>
  <c r="N56" i="145" s="1"/>
  <c r="AB125" i="145"/>
  <c r="AA125" i="145"/>
  <c r="Z125" i="145"/>
  <c r="K56" i="145" s="1"/>
  <c r="Y125" i="145"/>
  <c r="X125" i="145"/>
  <c r="W125" i="145"/>
  <c r="V125" i="145"/>
  <c r="G56" i="145" s="1"/>
  <c r="U125" i="145"/>
  <c r="F56" i="145" s="1"/>
  <c r="T125" i="145"/>
  <c r="S125" i="145"/>
  <c r="R125" i="145"/>
  <c r="C56" i="145" s="1"/>
  <c r="AH124" i="145"/>
  <c r="AC124" i="145"/>
  <c r="AB124" i="145"/>
  <c r="AA124" i="145"/>
  <c r="Z124" i="145"/>
  <c r="K55" i="145" s="1"/>
  <c r="Y124" i="145"/>
  <c r="X124" i="145"/>
  <c r="W124" i="145"/>
  <c r="V124" i="145"/>
  <c r="U124" i="145"/>
  <c r="T124" i="145"/>
  <c r="S124" i="145"/>
  <c r="R124" i="145"/>
  <c r="C55" i="145" s="1"/>
  <c r="AH123" i="145"/>
  <c r="AC123" i="145"/>
  <c r="AB123" i="145"/>
  <c r="AA123" i="145"/>
  <c r="Z123" i="145"/>
  <c r="Y123" i="145"/>
  <c r="X123" i="145"/>
  <c r="W123" i="145"/>
  <c r="V123" i="145"/>
  <c r="U123" i="145"/>
  <c r="T123" i="145"/>
  <c r="S123" i="145"/>
  <c r="R123" i="145"/>
  <c r="AH122" i="145"/>
  <c r="AC122" i="145"/>
  <c r="AB122" i="145"/>
  <c r="M53" i="145" s="1"/>
  <c r="AA122" i="145"/>
  <c r="Z122" i="145"/>
  <c r="Y122" i="145"/>
  <c r="X122" i="145"/>
  <c r="W122" i="145"/>
  <c r="V122" i="145"/>
  <c r="U122" i="145"/>
  <c r="T122" i="145"/>
  <c r="E53" i="145" s="1"/>
  <c r="S122" i="145"/>
  <c r="R122" i="145"/>
  <c r="AH121" i="145"/>
  <c r="AC121" i="145"/>
  <c r="AB121" i="145"/>
  <c r="AA121" i="145"/>
  <c r="Z121" i="145"/>
  <c r="Y121" i="145"/>
  <c r="J52" i="145" s="1"/>
  <c r="X121" i="145"/>
  <c r="W121" i="145"/>
  <c r="H52" i="145" s="1"/>
  <c r="V121" i="145"/>
  <c r="G52" i="145" s="1"/>
  <c r="U121" i="145"/>
  <c r="T121" i="145"/>
  <c r="S121" i="145"/>
  <c r="R121" i="145"/>
  <c r="AH120" i="145"/>
  <c r="M51" i="145" s="1"/>
  <c r="AC120" i="145"/>
  <c r="AB120" i="145"/>
  <c r="AA120" i="145"/>
  <c r="Z120" i="145"/>
  <c r="Y120" i="145"/>
  <c r="X120" i="145"/>
  <c r="W120" i="145"/>
  <c r="V120" i="145"/>
  <c r="U120" i="145"/>
  <c r="T120" i="145"/>
  <c r="S120" i="145"/>
  <c r="R120" i="145"/>
  <c r="AH119" i="145"/>
  <c r="AC119" i="145"/>
  <c r="AB119" i="145"/>
  <c r="M50" i="145" s="1"/>
  <c r="AA119" i="145"/>
  <c r="L50" i="145" s="1"/>
  <c r="Z119" i="145"/>
  <c r="K50" i="145" s="1"/>
  <c r="Y119" i="145"/>
  <c r="X119" i="145"/>
  <c r="W119" i="145"/>
  <c r="H50" i="145" s="1"/>
  <c r="V119" i="145"/>
  <c r="U119" i="145"/>
  <c r="F50" i="145" s="1"/>
  <c r="T119" i="145"/>
  <c r="E50" i="145" s="1"/>
  <c r="S119" i="145"/>
  <c r="R119" i="145"/>
  <c r="AH118" i="145"/>
  <c r="Q118" i="145" s="1"/>
  <c r="P118" i="145" s="1"/>
  <c r="AC118" i="145"/>
  <c r="AB118" i="145"/>
  <c r="AA118" i="145"/>
  <c r="Z118" i="145"/>
  <c r="Y118" i="145"/>
  <c r="X118" i="145"/>
  <c r="W118" i="145"/>
  <c r="V118" i="145"/>
  <c r="G49" i="145" s="1"/>
  <c r="U118" i="145"/>
  <c r="T118" i="145"/>
  <c r="S118" i="145"/>
  <c r="R118" i="145"/>
  <c r="AH117" i="145"/>
  <c r="I48" i="145" s="1"/>
  <c r="AC117" i="145"/>
  <c r="AB117" i="145"/>
  <c r="AA117" i="145"/>
  <c r="Z117" i="145"/>
  <c r="Y117" i="145"/>
  <c r="X117" i="145"/>
  <c r="W117" i="145"/>
  <c r="V117" i="145"/>
  <c r="U117" i="145"/>
  <c r="T117" i="145"/>
  <c r="S117" i="145"/>
  <c r="R117" i="145"/>
  <c r="AH116" i="145"/>
  <c r="AC116" i="145"/>
  <c r="N47" i="145" s="1"/>
  <c r="AB116" i="145"/>
  <c r="M47" i="145" s="1"/>
  <c r="AA116" i="145"/>
  <c r="L47" i="145" s="1"/>
  <c r="Z116" i="145"/>
  <c r="Y116" i="145"/>
  <c r="J47" i="145" s="1"/>
  <c r="X116" i="145"/>
  <c r="W116" i="145"/>
  <c r="H47" i="145" s="1"/>
  <c r="V116" i="145"/>
  <c r="U116" i="145"/>
  <c r="T116" i="145"/>
  <c r="S116" i="145"/>
  <c r="D47" i="145" s="1"/>
  <c r="R116" i="145"/>
  <c r="AH115" i="145"/>
  <c r="AC115" i="145"/>
  <c r="AB115" i="145"/>
  <c r="AA115" i="145"/>
  <c r="Z115" i="145"/>
  <c r="Y115" i="145"/>
  <c r="X115" i="145"/>
  <c r="I46" i="145" s="1"/>
  <c r="W115" i="145"/>
  <c r="V115" i="145"/>
  <c r="G46" i="145" s="1"/>
  <c r="U115" i="145"/>
  <c r="T115" i="145"/>
  <c r="S115" i="145"/>
  <c r="R115" i="145"/>
  <c r="AH114" i="145"/>
  <c r="AC114" i="145"/>
  <c r="N45" i="145" s="1"/>
  <c r="AB114" i="145"/>
  <c r="AA114" i="145"/>
  <c r="L45" i="145" s="1"/>
  <c r="Z114" i="145"/>
  <c r="Y114" i="145"/>
  <c r="X114" i="145"/>
  <c r="W114" i="145"/>
  <c r="H45" i="145" s="1"/>
  <c r="V114" i="145"/>
  <c r="U114" i="145"/>
  <c r="F45" i="145" s="1"/>
  <c r="T114" i="145"/>
  <c r="S114" i="145"/>
  <c r="D45" i="145" s="1"/>
  <c r="R114" i="145"/>
  <c r="AH113" i="145"/>
  <c r="Q113" i="145" s="1"/>
  <c r="P113" i="145" s="1"/>
  <c r="AC113" i="145"/>
  <c r="AB113" i="145"/>
  <c r="AA113" i="145"/>
  <c r="Z113" i="145"/>
  <c r="Z32" i="145" s="1"/>
  <c r="Y113" i="145"/>
  <c r="X113" i="145"/>
  <c r="W113" i="145"/>
  <c r="V113" i="145"/>
  <c r="G44" i="145" s="1"/>
  <c r="U113" i="145"/>
  <c r="T113" i="145"/>
  <c r="S113" i="145"/>
  <c r="R113" i="145"/>
  <c r="R40" i="145" s="1"/>
  <c r="AH112" i="145"/>
  <c r="AC112" i="145"/>
  <c r="AB112" i="145"/>
  <c r="AA112" i="145"/>
  <c r="Z112" i="145"/>
  <c r="Y112" i="145"/>
  <c r="X112" i="145"/>
  <c r="X43" i="145" s="1"/>
  <c r="W112" i="145"/>
  <c r="V112" i="145"/>
  <c r="V43" i="145" s="1"/>
  <c r="U112" i="145"/>
  <c r="T112" i="145"/>
  <c r="S112" i="145"/>
  <c r="R112" i="145"/>
  <c r="AH111" i="145"/>
  <c r="AC111" i="145"/>
  <c r="AC42" i="145" s="1"/>
  <c r="AB111" i="145"/>
  <c r="AA111" i="145"/>
  <c r="Z111" i="145"/>
  <c r="Y111" i="145"/>
  <c r="X111" i="145"/>
  <c r="W111" i="145"/>
  <c r="V111" i="145"/>
  <c r="U111" i="145"/>
  <c r="F42" i="145" s="1"/>
  <c r="T111" i="145"/>
  <c r="S111" i="145"/>
  <c r="R111" i="145"/>
  <c r="AH110" i="145"/>
  <c r="AC110" i="145"/>
  <c r="AB110" i="145"/>
  <c r="AA110" i="145"/>
  <c r="Z110" i="145"/>
  <c r="Z41" i="145" s="1"/>
  <c r="Y110" i="145"/>
  <c r="X110" i="145"/>
  <c r="W110" i="145"/>
  <c r="V110" i="145"/>
  <c r="U110" i="145"/>
  <c r="T110" i="145"/>
  <c r="S110" i="145"/>
  <c r="R110" i="145"/>
  <c r="R41" i="145" s="1"/>
  <c r="AH109" i="145"/>
  <c r="AC109" i="145"/>
  <c r="N40" i="145" s="1"/>
  <c r="AB109" i="145"/>
  <c r="AA109" i="145"/>
  <c r="Z109" i="145"/>
  <c r="Y109" i="145"/>
  <c r="X109" i="145"/>
  <c r="W109" i="145"/>
  <c r="V109" i="145"/>
  <c r="U109" i="145"/>
  <c r="T109" i="145"/>
  <c r="S109" i="145"/>
  <c r="R109" i="145"/>
  <c r="AH108" i="145"/>
  <c r="AC108" i="145"/>
  <c r="AB108" i="145"/>
  <c r="AB39" i="145" s="1"/>
  <c r="AA108" i="145"/>
  <c r="Z108" i="145"/>
  <c r="K39" i="145" s="1"/>
  <c r="Y108" i="145"/>
  <c r="X108" i="145"/>
  <c r="W108" i="145"/>
  <c r="V108" i="145"/>
  <c r="U108" i="145"/>
  <c r="T108" i="145"/>
  <c r="T39" i="145" s="1"/>
  <c r="S108" i="145"/>
  <c r="R108" i="145"/>
  <c r="C39" i="145" s="1"/>
  <c r="AH107" i="145"/>
  <c r="AC107" i="145"/>
  <c r="AB107" i="145"/>
  <c r="AA107" i="145"/>
  <c r="Z107" i="145"/>
  <c r="Y107" i="145"/>
  <c r="Y38" i="145" s="1"/>
  <c r="X107" i="145"/>
  <c r="W107" i="145"/>
  <c r="V107" i="145"/>
  <c r="G38" i="145" s="1"/>
  <c r="U107" i="145"/>
  <c r="T107" i="145"/>
  <c r="S107" i="145"/>
  <c r="R107" i="145"/>
  <c r="Q107" i="145"/>
  <c r="P107" i="145" s="1"/>
  <c r="AH106" i="145"/>
  <c r="AC106" i="145"/>
  <c r="N37" i="145" s="1"/>
  <c r="AB106" i="145"/>
  <c r="AA106" i="145"/>
  <c r="AA37" i="145" s="1"/>
  <c r="Z106" i="145"/>
  <c r="Y106" i="145"/>
  <c r="X106" i="145"/>
  <c r="W106" i="145"/>
  <c r="H37" i="145" s="1"/>
  <c r="V106" i="145"/>
  <c r="U106" i="145"/>
  <c r="T106" i="145"/>
  <c r="S106" i="145"/>
  <c r="S37" i="145" s="1"/>
  <c r="R106" i="145"/>
  <c r="AH105" i="145"/>
  <c r="AC105" i="145"/>
  <c r="AB105" i="145"/>
  <c r="AA105" i="145"/>
  <c r="Z105" i="145"/>
  <c r="Y105" i="145"/>
  <c r="X105" i="145"/>
  <c r="W105" i="145"/>
  <c r="V105" i="145"/>
  <c r="U105" i="145"/>
  <c r="T105" i="145"/>
  <c r="T36" i="145" s="1"/>
  <c r="S105" i="145"/>
  <c r="R105" i="145"/>
  <c r="AH104" i="145"/>
  <c r="AC104" i="145"/>
  <c r="AB104" i="145"/>
  <c r="AA104" i="145"/>
  <c r="Z104" i="145"/>
  <c r="Y104" i="145"/>
  <c r="Y35" i="145" s="1"/>
  <c r="X104" i="145"/>
  <c r="W104" i="145"/>
  <c r="V104" i="145"/>
  <c r="U104" i="145"/>
  <c r="T104" i="145"/>
  <c r="S104" i="145"/>
  <c r="R104" i="145"/>
  <c r="AH103" i="145"/>
  <c r="X34" i="145" s="1"/>
  <c r="AC103" i="145"/>
  <c r="AB103" i="145"/>
  <c r="AA103" i="145"/>
  <c r="Z103" i="145"/>
  <c r="Y103" i="145"/>
  <c r="X103" i="145"/>
  <c r="W103" i="145"/>
  <c r="V103" i="145"/>
  <c r="V34" i="145" s="1"/>
  <c r="U103" i="145"/>
  <c r="T103" i="145"/>
  <c r="S103" i="145"/>
  <c r="R103" i="145"/>
  <c r="AH102" i="145"/>
  <c r="AC102" i="145"/>
  <c r="AB102" i="145"/>
  <c r="AA102" i="145"/>
  <c r="L33" i="145" s="1"/>
  <c r="Z102" i="145"/>
  <c r="Y102" i="145"/>
  <c r="X102" i="145"/>
  <c r="W102" i="145"/>
  <c r="V102" i="145"/>
  <c r="G33" i="145" s="1"/>
  <c r="U102" i="145"/>
  <c r="T102" i="145"/>
  <c r="S102" i="145"/>
  <c r="R102" i="145"/>
  <c r="AH101" i="145"/>
  <c r="AC101" i="145"/>
  <c r="AB101" i="145"/>
  <c r="AA101" i="145"/>
  <c r="Z101" i="145"/>
  <c r="Y101" i="145"/>
  <c r="X101" i="145"/>
  <c r="X32" i="145" s="1"/>
  <c r="W101" i="145"/>
  <c r="V101" i="145"/>
  <c r="U101" i="145"/>
  <c r="T101" i="145"/>
  <c r="S101" i="145"/>
  <c r="R101" i="145"/>
  <c r="AH100" i="145"/>
  <c r="AC100" i="145"/>
  <c r="AC31" i="145" s="1"/>
  <c r="AB100" i="145"/>
  <c r="AA100" i="145"/>
  <c r="Z100" i="145"/>
  <c r="Y100" i="145"/>
  <c r="X100" i="145"/>
  <c r="W100" i="145"/>
  <c r="V100" i="145"/>
  <c r="U100" i="145"/>
  <c r="F31" i="145" s="1"/>
  <c r="T100" i="145"/>
  <c r="S100" i="145"/>
  <c r="R100" i="145"/>
  <c r="C31" i="145" s="1"/>
  <c r="AH99" i="145"/>
  <c r="AC99" i="145"/>
  <c r="AB99" i="145"/>
  <c r="AA99" i="145"/>
  <c r="L30" i="145" s="1"/>
  <c r="Z99" i="145"/>
  <c r="Y99" i="145"/>
  <c r="X99" i="145"/>
  <c r="W99" i="145"/>
  <c r="V99" i="145"/>
  <c r="U99" i="145"/>
  <c r="T99" i="145"/>
  <c r="S99" i="145"/>
  <c r="S30" i="145" s="1"/>
  <c r="R99" i="145"/>
  <c r="AH98" i="145"/>
  <c r="AC98" i="145"/>
  <c r="AB98" i="145"/>
  <c r="AA98" i="145"/>
  <c r="Z98" i="145"/>
  <c r="Y98" i="145"/>
  <c r="X98" i="145"/>
  <c r="X29" i="145" s="1"/>
  <c r="W98" i="145"/>
  <c r="V98" i="145"/>
  <c r="U98" i="145"/>
  <c r="T98" i="145"/>
  <c r="S98" i="145"/>
  <c r="R98" i="145"/>
  <c r="AH97" i="145"/>
  <c r="AC97" i="145"/>
  <c r="N28" i="145" s="1"/>
  <c r="AB97" i="145"/>
  <c r="AA97" i="145"/>
  <c r="Z97" i="145"/>
  <c r="Y97" i="145"/>
  <c r="X97" i="145"/>
  <c r="W97" i="145"/>
  <c r="V97" i="145"/>
  <c r="U97" i="145"/>
  <c r="F28" i="145" s="1"/>
  <c r="T97" i="145"/>
  <c r="S97" i="145"/>
  <c r="R97" i="145"/>
  <c r="AH96" i="145"/>
  <c r="Q96" i="145" s="1"/>
  <c r="P96" i="145" s="1"/>
  <c r="AC96" i="145"/>
  <c r="AB96" i="145"/>
  <c r="AA96" i="145"/>
  <c r="Z96" i="145"/>
  <c r="Z27" i="145" s="1"/>
  <c r="Y96" i="145"/>
  <c r="X96" i="145"/>
  <c r="W96" i="145"/>
  <c r="V96" i="145"/>
  <c r="U96" i="145"/>
  <c r="T96" i="145"/>
  <c r="S96" i="145"/>
  <c r="R96" i="145"/>
  <c r="R27" i="145" s="1"/>
  <c r="AH95" i="145"/>
  <c r="AC95" i="145"/>
  <c r="AB95" i="145"/>
  <c r="AA95" i="145"/>
  <c r="Z95" i="145"/>
  <c r="Y95" i="145"/>
  <c r="X95" i="145"/>
  <c r="I26" i="145" s="1"/>
  <c r="W95" i="145"/>
  <c r="V95" i="145"/>
  <c r="U95" i="145"/>
  <c r="T95" i="145"/>
  <c r="S95" i="145"/>
  <c r="R95" i="145"/>
  <c r="AH94" i="145"/>
  <c r="AC94" i="145"/>
  <c r="AC25" i="145" s="1"/>
  <c r="AB94" i="145"/>
  <c r="AA94" i="145"/>
  <c r="AA25" i="145" s="1"/>
  <c r="Z94" i="145"/>
  <c r="Y94" i="145"/>
  <c r="X94" i="145"/>
  <c r="W94" i="145"/>
  <c r="V94" i="145"/>
  <c r="U94" i="145"/>
  <c r="F25" i="145" s="1"/>
  <c r="T94" i="145"/>
  <c r="S94" i="145"/>
  <c r="S25" i="145" s="1"/>
  <c r="R94" i="145"/>
  <c r="AH93" i="145"/>
  <c r="AC93" i="145"/>
  <c r="AB93" i="145"/>
  <c r="AA93" i="145"/>
  <c r="Z93" i="145"/>
  <c r="K24" i="145" s="1"/>
  <c r="Y93" i="145"/>
  <c r="X93" i="145"/>
  <c r="W93" i="145"/>
  <c r="V93" i="145"/>
  <c r="U93" i="145"/>
  <c r="T93" i="145"/>
  <c r="S93" i="145"/>
  <c r="R93" i="145"/>
  <c r="C24" i="145" s="1"/>
  <c r="AH92" i="145"/>
  <c r="AC92" i="145"/>
  <c r="AB92" i="145"/>
  <c r="AA92" i="145"/>
  <c r="Z92" i="145"/>
  <c r="Y92" i="145"/>
  <c r="X92" i="145"/>
  <c r="W92" i="145"/>
  <c r="W23" i="145" s="1"/>
  <c r="V92" i="145"/>
  <c r="U92" i="145"/>
  <c r="T92" i="145"/>
  <c r="S92" i="145"/>
  <c r="R92" i="145"/>
  <c r="AH91" i="145"/>
  <c r="AC91" i="145"/>
  <c r="AB91" i="145"/>
  <c r="M22" i="145" s="1"/>
  <c r="AA91" i="145"/>
  <c r="Z91" i="145"/>
  <c r="Y91" i="145"/>
  <c r="X91" i="145"/>
  <c r="W91" i="145"/>
  <c r="V91" i="145"/>
  <c r="U91" i="145"/>
  <c r="T91" i="145"/>
  <c r="T22" i="145" s="1"/>
  <c r="S91" i="145"/>
  <c r="R91" i="145"/>
  <c r="AH90" i="145"/>
  <c r="AC90" i="145"/>
  <c r="N21" i="145" s="1"/>
  <c r="AB90" i="145"/>
  <c r="AA90" i="145"/>
  <c r="Z90" i="145"/>
  <c r="Y90" i="145"/>
  <c r="Y21" i="145" s="1"/>
  <c r="X90" i="145"/>
  <c r="W90" i="145"/>
  <c r="V90" i="145"/>
  <c r="U90" i="145"/>
  <c r="F21" i="145" s="1"/>
  <c r="T90" i="145"/>
  <c r="S90" i="145"/>
  <c r="R90" i="145"/>
  <c r="AH89" i="145"/>
  <c r="K20" i="145" s="1"/>
  <c r="AC89" i="145"/>
  <c r="AB89" i="145"/>
  <c r="AA89" i="145"/>
  <c r="Z89" i="145"/>
  <c r="Y89" i="145"/>
  <c r="X89" i="145"/>
  <c r="W89" i="145"/>
  <c r="V89" i="145"/>
  <c r="V20" i="145" s="1"/>
  <c r="U89" i="145"/>
  <c r="T89" i="145"/>
  <c r="S89" i="145"/>
  <c r="R89" i="145"/>
  <c r="AH88" i="145"/>
  <c r="AC88" i="145"/>
  <c r="N19" i="145" s="1"/>
  <c r="AB88" i="145"/>
  <c r="AA88" i="145"/>
  <c r="Z88" i="145"/>
  <c r="Y88" i="145"/>
  <c r="X88" i="145"/>
  <c r="X19" i="145" s="1"/>
  <c r="W88" i="145"/>
  <c r="V88" i="145"/>
  <c r="U88" i="145"/>
  <c r="F19" i="145" s="1"/>
  <c r="T88" i="145"/>
  <c r="S88" i="145"/>
  <c r="Q88" i="145" s="1"/>
  <c r="P88" i="145" s="1"/>
  <c r="R88" i="145"/>
  <c r="AH87" i="145"/>
  <c r="AC87" i="145"/>
  <c r="AB87" i="145"/>
  <c r="AA87" i="145"/>
  <c r="Z87" i="145"/>
  <c r="Y87" i="145"/>
  <c r="X87" i="145"/>
  <c r="X18" i="145" s="1"/>
  <c r="W87" i="145"/>
  <c r="V87" i="145"/>
  <c r="U87" i="145"/>
  <c r="T87" i="145"/>
  <c r="S87" i="145"/>
  <c r="R87" i="145"/>
  <c r="AH86" i="145"/>
  <c r="AC86" i="145"/>
  <c r="AC17" i="145" s="1"/>
  <c r="AB86" i="145"/>
  <c r="AA86" i="145"/>
  <c r="L17" i="145" s="1"/>
  <c r="Z86" i="145"/>
  <c r="Y86" i="145"/>
  <c r="X86" i="145"/>
  <c r="W86" i="145"/>
  <c r="V86" i="145"/>
  <c r="U86" i="145"/>
  <c r="U17" i="145" s="1"/>
  <c r="T86" i="145"/>
  <c r="S86" i="145"/>
  <c r="R86" i="145"/>
  <c r="AH85" i="145"/>
  <c r="AC85" i="145"/>
  <c r="AB85" i="145"/>
  <c r="AA85" i="145"/>
  <c r="Z85" i="145"/>
  <c r="K16" i="145" s="1"/>
  <c r="Y85" i="145"/>
  <c r="X85" i="145"/>
  <c r="W85" i="145"/>
  <c r="V85" i="145"/>
  <c r="V16" i="145" s="1"/>
  <c r="U85" i="145"/>
  <c r="T85" i="145"/>
  <c r="S85" i="145"/>
  <c r="R85" i="145"/>
  <c r="C16" i="145" s="1"/>
  <c r="AH84" i="145"/>
  <c r="AC84" i="145"/>
  <c r="AB84" i="145"/>
  <c r="M15" i="145" s="1"/>
  <c r="AA84" i="145"/>
  <c r="Z84" i="145"/>
  <c r="Y84" i="145"/>
  <c r="X84" i="145"/>
  <c r="X15" i="145" s="1"/>
  <c r="W84" i="145"/>
  <c r="V84" i="145"/>
  <c r="U84" i="145"/>
  <c r="T84" i="145"/>
  <c r="E15" i="145" s="1"/>
  <c r="S84" i="145"/>
  <c r="R84" i="145"/>
  <c r="AH83" i="145"/>
  <c r="AC83" i="145"/>
  <c r="N14" i="145" s="1"/>
  <c r="AB83" i="145"/>
  <c r="AA83" i="145"/>
  <c r="Z83" i="145"/>
  <c r="Y83" i="145"/>
  <c r="X83" i="145"/>
  <c r="W83" i="145"/>
  <c r="V83" i="145"/>
  <c r="U83" i="145"/>
  <c r="F14" i="145" s="1"/>
  <c r="T83" i="145"/>
  <c r="S83" i="145"/>
  <c r="R83" i="145"/>
  <c r="AH82" i="145"/>
  <c r="AC82" i="145"/>
  <c r="AB82" i="145"/>
  <c r="AA82" i="145"/>
  <c r="Z82" i="145"/>
  <c r="Z13" i="145" s="1"/>
  <c r="Y82" i="145"/>
  <c r="X82" i="145"/>
  <c r="W82" i="145"/>
  <c r="V82" i="145"/>
  <c r="U82" i="145"/>
  <c r="T82" i="145"/>
  <c r="S82" i="145"/>
  <c r="R82" i="145"/>
  <c r="R13" i="145" s="1"/>
  <c r="AH81" i="145"/>
  <c r="AC81" i="145"/>
  <c r="AB81" i="145"/>
  <c r="AA81" i="145"/>
  <c r="Z81" i="145"/>
  <c r="Y81" i="145"/>
  <c r="X81" i="145"/>
  <c r="W81" i="145"/>
  <c r="H12" i="145" s="1"/>
  <c r="V81" i="145"/>
  <c r="U81" i="145"/>
  <c r="T81" i="145"/>
  <c r="S81" i="145"/>
  <c r="R81" i="145"/>
  <c r="AH80" i="145"/>
  <c r="AC80" i="145"/>
  <c r="AB80" i="145"/>
  <c r="AB11" i="145" s="1"/>
  <c r="AA80" i="145"/>
  <c r="Z80" i="145"/>
  <c r="Y80" i="145"/>
  <c r="X80" i="145"/>
  <c r="W80" i="145"/>
  <c r="V80" i="145"/>
  <c r="U80" i="145"/>
  <c r="T80" i="145"/>
  <c r="S80" i="145"/>
  <c r="R80" i="145"/>
  <c r="AH79" i="145"/>
  <c r="AH78" i="145"/>
  <c r="AC78" i="145"/>
  <c r="AB78" i="145"/>
  <c r="AA78" i="145"/>
  <c r="Z78" i="145"/>
  <c r="Z9" i="145" s="1"/>
  <c r="Y78" i="145"/>
  <c r="X78" i="145"/>
  <c r="W78" i="145"/>
  <c r="V78" i="145"/>
  <c r="U78" i="145"/>
  <c r="T78" i="145"/>
  <c r="S78" i="145"/>
  <c r="R78" i="145"/>
  <c r="C9" i="145" s="1"/>
  <c r="AH77" i="145"/>
  <c r="AH76" i="145"/>
  <c r="AC76" i="145"/>
  <c r="AB76" i="145"/>
  <c r="AA76" i="145"/>
  <c r="Z76" i="145"/>
  <c r="Y76" i="145"/>
  <c r="X76" i="145"/>
  <c r="W76" i="145"/>
  <c r="V76" i="145"/>
  <c r="U76" i="145"/>
  <c r="T76" i="145"/>
  <c r="S76" i="145"/>
  <c r="R76" i="145"/>
  <c r="A76" i="145"/>
  <c r="A77" i="145" s="1"/>
  <c r="A78" i="145" s="1"/>
  <c r="A79" i="145" s="1"/>
  <c r="AH75" i="145"/>
  <c r="A75" i="145"/>
  <c r="AH74" i="145"/>
  <c r="L60" i="145"/>
  <c r="J60" i="145"/>
  <c r="G60" i="145"/>
  <c r="D60" i="145"/>
  <c r="M59" i="145"/>
  <c r="L59" i="145"/>
  <c r="J59" i="145"/>
  <c r="I59" i="145"/>
  <c r="G59" i="145"/>
  <c r="E59" i="145"/>
  <c r="D59" i="145"/>
  <c r="J58" i="145"/>
  <c r="G58" i="145"/>
  <c r="L56" i="145"/>
  <c r="I56" i="145"/>
  <c r="H56" i="145"/>
  <c r="D56" i="145"/>
  <c r="N55" i="145"/>
  <c r="M55" i="145"/>
  <c r="L55" i="145"/>
  <c r="I55" i="145"/>
  <c r="G55" i="145"/>
  <c r="F55" i="145"/>
  <c r="E55" i="145"/>
  <c r="D55" i="145"/>
  <c r="H54" i="145"/>
  <c r="F54" i="145"/>
  <c r="C54" i="145"/>
  <c r="K53" i="145"/>
  <c r="J53" i="145"/>
  <c r="G53" i="145"/>
  <c r="C53" i="145"/>
  <c r="M52" i="145"/>
  <c r="E52" i="145"/>
  <c r="D52" i="145"/>
  <c r="G51" i="145"/>
  <c r="N50" i="145"/>
  <c r="J50" i="145"/>
  <c r="I50" i="145"/>
  <c r="G50" i="145"/>
  <c r="D50" i="145"/>
  <c r="N49" i="145"/>
  <c r="L49" i="145"/>
  <c r="K49" i="145"/>
  <c r="F49" i="145"/>
  <c r="C49" i="145"/>
  <c r="N48" i="145"/>
  <c r="K47" i="145"/>
  <c r="I47" i="145"/>
  <c r="G47" i="145"/>
  <c r="F47" i="145"/>
  <c r="E47" i="145"/>
  <c r="C47" i="145"/>
  <c r="AD46" i="145"/>
  <c r="AB46" i="145" s="1"/>
  <c r="AC46" i="145"/>
  <c r="AA46" i="145"/>
  <c r="Z46" i="145"/>
  <c r="Y46" i="145"/>
  <c r="W46" i="145"/>
  <c r="V46" i="145"/>
  <c r="U46" i="145"/>
  <c r="S46" i="145"/>
  <c r="R46" i="145"/>
  <c r="Q46" i="145"/>
  <c r="N46" i="145"/>
  <c r="K46" i="145"/>
  <c r="J46" i="145"/>
  <c r="H46" i="145"/>
  <c r="F46" i="145"/>
  <c r="E46" i="145"/>
  <c r="C46" i="145"/>
  <c r="AC45" i="145"/>
  <c r="AB45" i="145"/>
  <c r="AA45" i="145"/>
  <c r="Z45" i="145"/>
  <c r="Y45" i="145"/>
  <c r="X45" i="145"/>
  <c r="W45" i="145"/>
  <c r="V45" i="145"/>
  <c r="U45" i="145"/>
  <c r="T45" i="145"/>
  <c r="S45" i="145"/>
  <c r="R45" i="145"/>
  <c r="Q45" i="145"/>
  <c r="M45" i="145"/>
  <c r="K45" i="145"/>
  <c r="J45" i="145"/>
  <c r="I45" i="145"/>
  <c r="G45" i="145"/>
  <c r="E45" i="145"/>
  <c r="N44" i="145"/>
  <c r="M44" i="145"/>
  <c r="L44" i="145"/>
  <c r="I44" i="145"/>
  <c r="F44" i="145"/>
  <c r="E44" i="145"/>
  <c r="D44" i="145"/>
  <c r="M43" i="145"/>
  <c r="L43" i="145"/>
  <c r="G43" i="145"/>
  <c r="AB42" i="145"/>
  <c r="AA42" i="145"/>
  <c r="X42" i="145"/>
  <c r="V42" i="145"/>
  <c r="U42" i="145"/>
  <c r="S42" i="145"/>
  <c r="L42" i="145"/>
  <c r="J42" i="145"/>
  <c r="I42" i="145"/>
  <c r="H42" i="145"/>
  <c r="G42" i="145"/>
  <c r="D42" i="145"/>
  <c r="AB41" i="145"/>
  <c r="AA41" i="145"/>
  <c r="X41" i="145"/>
  <c r="V41" i="145"/>
  <c r="T41" i="145"/>
  <c r="S41" i="145"/>
  <c r="N41" i="145"/>
  <c r="L41" i="145"/>
  <c r="J41" i="145"/>
  <c r="I41" i="145"/>
  <c r="H41" i="145"/>
  <c r="G41" i="145"/>
  <c r="F41" i="145"/>
  <c r="E41" i="145"/>
  <c r="AB40" i="145"/>
  <c r="S40" i="145"/>
  <c r="K40" i="145"/>
  <c r="AA39" i="145"/>
  <c r="Z39" i="145"/>
  <c r="X39" i="145"/>
  <c r="W39" i="145"/>
  <c r="V39" i="145"/>
  <c r="S39" i="145"/>
  <c r="N39" i="145"/>
  <c r="M39" i="145"/>
  <c r="L39" i="145"/>
  <c r="J39" i="145"/>
  <c r="I39" i="145"/>
  <c r="H39" i="145"/>
  <c r="G39" i="145"/>
  <c r="F39" i="145"/>
  <c r="D39" i="145"/>
  <c r="AC38" i="145"/>
  <c r="W38" i="145"/>
  <c r="V38" i="145"/>
  <c r="U38" i="145"/>
  <c r="S38" i="145"/>
  <c r="K38" i="145"/>
  <c r="I38" i="145"/>
  <c r="H38" i="145"/>
  <c r="F38" i="145"/>
  <c r="AC37" i="145"/>
  <c r="AB37" i="145"/>
  <c r="V37" i="145"/>
  <c r="U37" i="145"/>
  <c r="T37" i="145"/>
  <c r="M37" i="145"/>
  <c r="L37" i="145"/>
  <c r="K37" i="145"/>
  <c r="J37" i="145"/>
  <c r="G37" i="145"/>
  <c r="F37" i="145"/>
  <c r="E37" i="145"/>
  <c r="D37" i="145"/>
  <c r="C37" i="145"/>
  <c r="J36" i="145"/>
  <c r="AC35" i="145"/>
  <c r="AB35" i="145"/>
  <c r="AA35" i="145"/>
  <c r="W35" i="145"/>
  <c r="V35" i="145"/>
  <c r="U35" i="145"/>
  <c r="T35" i="145"/>
  <c r="S35" i="145"/>
  <c r="N35" i="145"/>
  <c r="M35" i="145"/>
  <c r="L35" i="145"/>
  <c r="K35" i="145"/>
  <c r="H35" i="145"/>
  <c r="G35" i="145"/>
  <c r="F35" i="145"/>
  <c r="E35" i="145"/>
  <c r="D35" i="145"/>
  <c r="C35" i="145"/>
  <c r="AC34" i="145"/>
  <c r="T34" i="145"/>
  <c r="F34" i="145"/>
  <c r="AC33" i="145"/>
  <c r="Y33" i="145"/>
  <c r="X33" i="145"/>
  <c r="W33" i="145"/>
  <c r="V33" i="145"/>
  <c r="T33" i="145"/>
  <c r="N33" i="145"/>
  <c r="K33" i="145"/>
  <c r="H33" i="145"/>
  <c r="F33" i="145"/>
  <c r="E33" i="145"/>
  <c r="D33" i="145"/>
  <c r="C33" i="145"/>
  <c r="AC32" i="145"/>
  <c r="AB32" i="145"/>
  <c r="AA32" i="145"/>
  <c r="Y32" i="145"/>
  <c r="V32" i="145"/>
  <c r="U32" i="145"/>
  <c r="T32" i="145"/>
  <c r="N32" i="145"/>
  <c r="M32" i="145"/>
  <c r="L32" i="145"/>
  <c r="J32" i="145"/>
  <c r="I32" i="145"/>
  <c r="H32" i="145"/>
  <c r="G32" i="145"/>
  <c r="F32" i="145"/>
  <c r="E32" i="145"/>
  <c r="D32" i="145"/>
  <c r="AB31" i="145"/>
  <c r="AA31" i="145"/>
  <c r="Y31" i="145"/>
  <c r="X31" i="145"/>
  <c r="V31" i="145"/>
  <c r="T31" i="145"/>
  <c r="S31" i="145"/>
  <c r="M31" i="145"/>
  <c r="L31" i="145"/>
  <c r="J31" i="145"/>
  <c r="I31" i="145"/>
  <c r="H31" i="145"/>
  <c r="G31" i="145"/>
  <c r="E31" i="145"/>
  <c r="D31" i="145"/>
  <c r="AC30" i="145"/>
  <c r="AB30" i="145"/>
  <c r="V30" i="145"/>
  <c r="U30" i="145"/>
  <c r="T30" i="145"/>
  <c r="R30" i="145"/>
  <c r="N30" i="145"/>
  <c r="K30" i="145"/>
  <c r="J30" i="145"/>
  <c r="I30" i="145"/>
  <c r="H30" i="145"/>
  <c r="G30" i="145"/>
  <c r="D30" i="145"/>
  <c r="C30" i="145"/>
  <c r="AB29" i="145"/>
  <c r="Y29" i="145"/>
  <c r="V29" i="145"/>
  <c r="T29" i="145"/>
  <c r="R29" i="145"/>
  <c r="M29" i="145"/>
  <c r="L29" i="145"/>
  <c r="K29" i="145"/>
  <c r="J29" i="145"/>
  <c r="H29" i="145"/>
  <c r="G29" i="145"/>
  <c r="E29" i="145"/>
  <c r="D29" i="145"/>
  <c r="C29" i="145"/>
  <c r="AA28" i="145"/>
  <c r="Y28" i="145"/>
  <c r="X28" i="145"/>
  <c r="V28" i="145"/>
  <c r="T28" i="145"/>
  <c r="S28" i="145"/>
  <c r="M28" i="145"/>
  <c r="L28" i="145"/>
  <c r="K28" i="145"/>
  <c r="J28" i="145"/>
  <c r="I28" i="145"/>
  <c r="H28" i="145"/>
  <c r="G28" i="145"/>
  <c r="E28" i="145"/>
  <c r="D28" i="145"/>
  <c r="C28" i="145"/>
  <c r="AC27" i="145"/>
  <c r="AA27" i="145"/>
  <c r="V27" i="145"/>
  <c r="U27" i="145"/>
  <c r="T27" i="145"/>
  <c r="K27" i="145"/>
  <c r="J27" i="145"/>
  <c r="I27" i="145"/>
  <c r="G27" i="145"/>
  <c r="F27" i="145"/>
  <c r="AC26" i="145"/>
  <c r="AB26" i="145"/>
  <c r="AA26" i="145"/>
  <c r="Z26" i="145"/>
  <c r="W26" i="145"/>
  <c r="V26" i="145"/>
  <c r="U26" i="145"/>
  <c r="T26" i="145"/>
  <c r="S26" i="145"/>
  <c r="N26" i="145"/>
  <c r="M26" i="145"/>
  <c r="L26" i="145"/>
  <c r="K26" i="145"/>
  <c r="J26" i="145"/>
  <c r="H26" i="145"/>
  <c r="G26" i="145"/>
  <c r="F26" i="145"/>
  <c r="E26" i="145"/>
  <c r="D26" i="145"/>
  <c r="C26" i="145"/>
  <c r="Y25" i="145"/>
  <c r="X25" i="145"/>
  <c r="V25" i="145"/>
  <c r="U25" i="145"/>
  <c r="T25" i="145"/>
  <c r="K25" i="145"/>
  <c r="J25" i="145"/>
  <c r="I25" i="145"/>
  <c r="H25" i="145"/>
  <c r="G25" i="145"/>
  <c r="C25" i="145"/>
  <c r="AC24" i="145"/>
  <c r="AB24" i="145"/>
  <c r="AA24" i="145"/>
  <c r="Y24" i="145"/>
  <c r="X24" i="145"/>
  <c r="W24" i="145"/>
  <c r="V24" i="145"/>
  <c r="U24" i="145"/>
  <c r="T24" i="145"/>
  <c r="S24" i="145"/>
  <c r="N24" i="145"/>
  <c r="M24" i="145"/>
  <c r="L24" i="145"/>
  <c r="J24" i="145"/>
  <c r="I24" i="145"/>
  <c r="H24" i="145"/>
  <c r="G24" i="145"/>
  <c r="F24" i="145"/>
  <c r="E24" i="145"/>
  <c r="D24" i="145"/>
  <c r="AC23" i="145"/>
  <c r="AB23" i="145"/>
  <c r="AA23" i="145"/>
  <c r="Y23" i="145"/>
  <c r="X23" i="145"/>
  <c r="V23" i="145"/>
  <c r="U23" i="145"/>
  <c r="T23" i="145"/>
  <c r="S23" i="145"/>
  <c r="N23" i="145"/>
  <c r="M23" i="145"/>
  <c r="L23" i="145"/>
  <c r="K23" i="145"/>
  <c r="J23" i="145"/>
  <c r="I23" i="145"/>
  <c r="G23" i="145"/>
  <c r="F23" i="145"/>
  <c r="E23" i="145"/>
  <c r="D23" i="145"/>
  <c r="C23" i="145"/>
  <c r="AC22" i="145"/>
  <c r="AB22" i="145"/>
  <c r="Y22" i="145"/>
  <c r="X22" i="145"/>
  <c r="W22" i="145"/>
  <c r="V22" i="145"/>
  <c r="U22" i="145"/>
  <c r="R22" i="145"/>
  <c r="N22" i="145"/>
  <c r="L22" i="145"/>
  <c r="K22" i="145"/>
  <c r="J22" i="145"/>
  <c r="H22" i="145"/>
  <c r="G22" i="145"/>
  <c r="F22" i="145"/>
  <c r="D22" i="145"/>
  <c r="C22" i="145"/>
  <c r="AB21" i="145"/>
  <c r="AA21" i="145"/>
  <c r="X21" i="145"/>
  <c r="V21" i="145"/>
  <c r="T21" i="145"/>
  <c r="S21" i="145"/>
  <c r="M21" i="145"/>
  <c r="L21" i="145"/>
  <c r="K21" i="145"/>
  <c r="J21" i="145"/>
  <c r="I21" i="145"/>
  <c r="H21" i="145"/>
  <c r="G21" i="145"/>
  <c r="E21" i="145"/>
  <c r="D21" i="145"/>
  <c r="C21" i="145"/>
  <c r="AB20" i="145"/>
  <c r="S20" i="145"/>
  <c r="H20" i="145"/>
  <c r="AC19" i="145"/>
  <c r="AB19" i="145"/>
  <c r="AA19" i="145"/>
  <c r="V19" i="145"/>
  <c r="U19" i="145"/>
  <c r="T19" i="145"/>
  <c r="M19" i="145"/>
  <c r="L19" i="145"/>
  <c r="K19" i="145"/>
  <c r="J19" i="145"/>
  <c r="H19" i="145"/>
  <c r="G19" i="145"/>
  <c r="E19" i="145"/>
  <c r="C19" i="145"/>
  <c r="AC18" i="145"/>
  <c r="AB18" i="145"/>
  <c r="AA18" i="145"/>
  <c r="Y18" i="145"/>
  <c r="V18" i="145"/>
  <c r="U18" i="145"/>
  <c r="T18" i="145"/>
  <c r="S18" i="145"/>
  <c r="N18" i="145"/>
  <c r="M18" i="145"/>
  <c r="L18" i="145"/>
  <c r="K18" i="145"/>
  <c r="J18" i="145"/>
  <c r="I18" i="145"/>
  <c r="H18" i="145"/>
  <c r="G18" i="145"/>
  <c r="F18" i="145"/>
  <c r="E18" i="145"/>
  <c r="D18" i="145"/>
  <c r="C18" i="145"/>
  <c r="AB17" i="145"/>
  <c r="AA17" i="145"/>
  <c r="Y17" i="145"/>
  <c r="X17" i="145"/>
  <c r="W17" i="145"/>
  <c r="V17" i="145"/>
  <c r="T17" i="145"/>
  <c r="S17" i="145"/>
  <c r="M17" i="145"/>
  <c r="K17" i="145"/>
  <c r="J17" i="145"/>
  <c r="I17" i="145"/>
  <c r="H17" i="145"/>
  <c r="G17" i="145"/>
  <c r="E17" i="145"/>
  <c r="C17" i="145"/>
  <c r="AC16" i="145"/>
  <c r="AB16" i="145"/>
  <c r="Y16" i="145"/>
  <c r="X16" i="145"/>
  <c r="W16" i="145"/>
  <c r="U16" i="145"/>
  <c r="T16" i="145"/>
  <c r="N16" i="145"/>
  <c r="M16" i="145"/>
  <c r="J16" i="145"/>
  <c r="G16" i="145"/>
  <c r="F16" i="145"/>
  <c r="E16" i="145"/>
  <c r="AC15" i="145"/>
  <c r="AB15" i="145"/>
  <c r="AA15" i="145"/>
  <c r="Y15" i="145"/>
  <c r="V15" i="145"/>
  <c r="U15" i="145"/>
  <c r="T15" i="145"/>
  <c r="S15" i="145"/>
  <c r="N15" i="145"/>
  <c r="L15" i="145"/>
  <c r="K15" i="145"/>
  <c r="J15" i="145"/>
  <c r="G15" i="145"/>
  <c r="F15" i="145"/>
  <c r="D15" i="145"/>
  <c r="C15" i="145"/>
  <c r="AC14" i="145"/>
  <c r="AB14" i="145"/>
  <c r="AA14" i="145"/>
  <c r="Y14" i="145"/>
  <c r="X14" i="145"/>
  <c r="W14" i="145"/>
  <c r="V14" i="145"/>
  <c r="U14" i="145"/>
  <c r="T14" i="145"/>
  <c r="S14" i="145"/>
  <c r="M14" i="145"/>
  <c r="L14" i="145"/>
  <c r="K14" i="145"/>
  <c r="J14" i="145"/>
  <c r="I14" i="145"/>
  <c r="H14" i="145"/>
  <c r="G14" i="145"/>
  <c r="E14" i="145"/>
  <c r="D14" i="145"/>
  <c r="C14" i="145"/>
  <c r="AC13" i="145"/>
  <c r="AB13" i="145"/>
  <c r="AA13" i="145"/>
  <c r="Y13" i="145"/>
  <c r="X13" i="145"/>
  <c r="W13" i="145"/>
  <c r="V13" i="145"/>
  <c r="U13" i="145"/>
  <c r="T13" i="145"/>
  <c r="S13" i="145"/>
  <c r="N13" i="145"/>
  <c r="M13" i="145"/>
  <c r="L13" i="145"/>
  <c r="J13" i="145"/>
  <c r="I13" i="145"/>
  <c r="H13" i="145"/>
  <c r="G13" i="145"/>
  <c r="F13" i="145"/>
  <c r="E13" i="145"/>
  <c r="D13" i="145"/>
  <c r="AC12" i="145"/>
  <c r="AB12" i="145"/>
  <c r="AA12" i="145"/>
  <c r="Y12" i="145"/>
  <c r="X12" i="145"/>
  <c r="V12" i="145"/>
  <c r="U12" i="145"/>
  <c r="T12" i="145"/>
  <c r="S12" i="145"/>
  <c r="N12" i="145"/>
  <c r="M12" i="145"/>
  <c r="L12" i="145"/>
  <c r="J12" i="145"/>
  <c r="I12" i="145"/>
  <c r="G12" i="145"/>
  <c r="F12" i="145"/>
  <c r="E12" i="145"/>
  <c r="D12" i="145"/>
  <c r="A12" i="145"/>
  <c r="A13" i="145" s="1"/>
  <c r="AA11" i="145"/>
  <c r="Y11" i="145"/>
  <c r="X11" i="145"/>
  <c r="V11" i="145"/>
  <c r="T11" i="145"/>
  <c r="S11" i="145"/>
  <c r="N11" i="145"/>
  <c r="L11" i="145"/>
  <c r="K11" i="145"/>
  <c r="J11" i="145"/>
  <c r="I11" i="145"/>
  <c r="G11" i="145"/>
  <c r="F11" i="145"/>
  <c r="D11" i="145"/>
  <c r="C11" i="145"/>
  <c r="AC9" i="145"/>
  <c r="AA9" i="145"/>
  <c r="Y9" i="145"/>
  <c r="X9" i="145"/>
  <c r="V9" i="145"/>
  <c r="U9" i="145"/>
  <c r="S9" i="145"/>
  <c r="N9" i="145"/>
  <c r="L9" i="145"/>
  <c r="J9" i="145"/>
  <c r="I9" i="145"/>
  <c r="H9" i="145"/>
  <c r="G9" i="145"/>
  <c r="F9" i="145"/>
  <c r="D9" i="145"/>
  <c r="J7" i="145"/>
  <c r="J5" i="145" s="1"/>
  <c r="S2" i="145"/>
  <c r="T2" i="145" s="1"/>
  <c r="U2" i="145" s="1"/>
  <c r="V2" i="145" s="1"/>
  <c r="W2" i="145" s="1"/>
  <c r="X2" i="145" s="1"/>
  <c r="Y2" i="145" s="1"/>
  <c r="Z2" i="145" s="1"/>
  <c r="AA2" i="145" s="1"/>
  <c r="AB2" i="145" s="1"/>
  <c r="AC2" i="145" s="1"/>
  <c r="B28" i="141"/>
  <c r="B29" i="141" s="1"/>
  <c r="B30" i="141" s="1"/>
  <c r="B31" i="141" s="1"/>
  <c r="B32" i="141" s="1"/>
  <c r="B33" i="141" s="1"/>
  <c r="B34" i="141" s="1"/>
  <c r="B35" i="141" s="1"/>
  <c r="B36" i="141" s="1"/>
  <c r="B37" i="141" s="1"/>
  <c r="B38" i="141" s="1"/>
  <c r="B39" i="141" s="1"/>
  <c r="B40" i="141" s="1"/>
  <c r="B41" i="141" s="1"/>
  <c r="W20" i="145" l="1"/>
  <c r="R28" i="145"/>
  <c r="U31" i="145"/>
  <c r="Z33" i="145"/>
  <c r="L34" i="145"/>
  <c r="Y34" i="145"/>
  <c r="Q85" i="145"/>
  <c r="P85" i="145" s="1"/>
  <c r="Q100" i="145"/>
  <c r="P100" i="145" s="1"/>
  <c r="Q110" i="145"/>
  <c r="P110" i="145" s="1"/>
  <c r="M46" i="145"/>
  <c r="I53" i="145"/>
  <c r="E57" i="145"/>
  <c r="M57" i="145"/>
  <c r="B14" i="145"/>
  <c r="D20" i="145"/>
  <c r="L20" i="145"/>
  <c r="R21" i="145"/>
  <c r="Z23" i="145"/>
  <c r="Z25" i="145"/>
  <c r="R9" i="145"/>
  <c r="R14" i="145"/>
  <c r="Q14" i="145" s="1"/>
  <c r="Z14" i="145"/>
  <c r="I15" i="145"/>
  <c r="N17" i="145"/>
  <c r="Z18" i="145"/>
  <c r="E20" i="145"/>
  <c r="M20" i="145"/>
  <c r="X20" i="145"/>
  <c r="R23" i="145"/>
  <c r="Q23" i="145" s="1"/>
  <c r="N25" i="145"/>
  <c r="AC28" i="145"/>
  <c r="Z29" i="145"/>
  <c r="AA30" i="145"/>
  <c r="R32" i="145"/>
  <c r="N34" i="145"/>
  <c r="Z34" i="145"/>
  <c r="Z37" i="145"/>
  <c r="N42" i="145"/>
  <c r="W9" i="145"/>
  <c r="N29" i="145"/>
  <c r="X30" i="145"/>
  <c r="K31" i="145"/>
  <c r="B31" i="145" s="1"/>
  <c r="T38" i="145"/>
  <c r="W41" i="145"/>
  <c r="C45" i="145"/>
  <c r="H55" i="145"/>
  <c r="F17" i="145"/>
  <c r="R17" i="145"/>
  <c r="Z17" i="145"/>
  <c r="R18" i="145"/>
  <c r="F20" i="145"/>
  <c r="N20" i="145"/>
  <c r="Z20" i="145"/>
  <c r="R25" i="145"/>
  <c r="C34" i="145"/>
  <c r="R34" i="145"/>
  <c r="AA34" i="145"/>
  <c r="R42" i="145"/>
  <c r="D51" i="145"/>
  <c r="Q76" i="145"/>
  <c r="P76" i="145" s="1"/>
  <c r="Q86" i="145"/>
  <c r="P86" i="145" s="1"/>
  <c r="E34" i="145"/>
  <c r="M34" i="145"/>
  <c r="W12" i="145"/>
  <c r="Z19" i="145"/>
  <c r="G20" i="145"/>
  <c r="R20" i="145"/>
  <c r="AA20" i="145"/>
  <c r="E22" i="145"/>
  <c r="Z22" i="145"/>
  <c r="X26" i="145"/>
  <c r="U28" i="145"/>
  <c r="D34" i="145"/>
  <c r="S34" i="145"/>
  <c r="AB34" i="145"/>
  <c r="K44" i="145"/>
  <c r="X46" i="145"/>
  <c r="AD47" i="145"/>
  <c r="E51" i="145"/>
  <c r="W15" i="145"/>
  <c r="W18" i="145"/>
  <c r="Q18" i="145" s="1"/>
  <c r="E25" i="145"/>
  <c r="M25" i="145"/>
  <c r="Y27" i="145"/>
  <c r="Q97" i="145"/>
  <c r="P97" i="145" s="1"/>
  <c r="AB28" i="145"/>
  <c r="W29" i="145"/>
  <c r="I35" i="145"/>
  <c r="E42" i="145"/>
  <c r="M42" i="145"/>
  <c r="F51" i="145"/>
  <c r="N51" i="145"/>
  <c r="D53" i="145"/>
  <c r="B53" i="145" s="1"/>
  <c r="L53" i="145"/>
  <c r="J55" i="145"/>
  <c r="K58" i="145"/>
  <c r="G48" i="145"/>
  <c r="Z15" i="145"/>
  <c r="I20" i="145"/>
  <c r="B20" i="145" s="1"/>
  <c r="T20" i="145"/>
  <c r="AC20" i="145"/>
  <c r="R26" i="145"/>
  <c r="N31" i="145"/>
  <c r="G34" i="145"/>
  <c r="U34" i="145"/>
  <c r="Z35" i="145"/>
  <c r="R37" i="145"/>
  <c r="I51" i="145"/>
  <c r="U11" i="145"/>
  <c r="AC11" i="145"/>
  <c r="AB33" i="145"/>
  <c r="W34" i="145"/>
  <c r="U39" i="145"/>
  <c r="AC39" i="145"/>
  <c r="D41" i="145"/>
  <c r="Q116" i="145"/>
  <c r="P116" i="145" s="1"/>
  <c r="J49" i="145"/>
  <c r="C52" i="145"/>
  <c r="K52" i="145"/>
  <c r="F53" i="145"/>
  <c r="N53" i="145"/>
  <c r="F69" i="127"/>
  <c r="E69" i="127"/>
  <c r="K9" i="145"/>
  <c r="D19" i="145"/>
  <c r="R19" i="145"/>
  <c r="J20" i="145"/>
  <c r="U20" i="145"/>
  <c r="Z21" i="145"/>
  <c r="R24" i="145"/>
  <c r="Z24" i="145"/>
  <c r="J34" i="145"/>
  <c r="R39" i="145"/>
  <c r="C44" i="145"/>
  <c r="L51" i="145"/>
  <c r="E9" i="145"/>
  <c r="M9" i="145"/>
  <c r="Q84" i="145"/>
  <c r="P84" i="145" s="1"/>
  <c r="C32" i="145"/>
  <c r="B32" i="145" s="1"/>
  <c r="K32" i="145"/>
  <c r="I34" i="145"/>
  <c r="M41" i="145"/>
  <c r="R43" i="145"/>
  <c r="E68" i="127"/>
  <c r="F68" i="127"/>
  <c r="R15" i="145"/>
  <c r="C13" i="145"/>
  <c r="B13" i="145" s="1"/>
  <c r="AF13" i="145" s="1"/>
  <c r="K13" i="145"/>
  <c r="S19" i="145"/>
  <c r="C20" i="145"/>
  <c r="Z28" i="145"/>
  <c r="I29" i="145"/>
  <c r="K34" i="145"/>
  <c r="R35" i="145"/>
  <c r="T46" i="145"/>
  <c r="S29" i="145"/>
  <c r="AA29" i="145"/>
  <c r="S32" i="145"/>
  <c r="D46" i="145"/>
  <c r="L46" i="145"/>
  <c r="J51" i="145"/>
  <c r="H53" i="145"/>
  <c r="B60" i="145"/>
  <c r="E67" i="127"/>
  <c r="F67" i="127"/>
  <c r="A14" i="145"/>
  <c r="AF14" i="145" s="1"/>
  <c r="AA7" i="145"/>
  <c r="AA5" i="145" s="1"/>
  <c r="S7" i="145"/>
  <c r="S5" i="145" s="1"/>
  <c r="Z7" i="145"/>
  <c r="Z5" i="145" s="1"/>
  <c r="H7" i="145"/>
  <c r="H5" i="145" s="1"/>
  <c r="Y7" i="145"/>
  <c r="Y5" i="145" s="1"/>
  <c r="R7" i="145"/>
  <c r="L7" i="145"/>
  <c r="L5" i="145" s="1"/>
  <c r="D7" i="145"/>
  <c r="D5" i="145" s="1"/>
  <c r="AC7" i="145"/>
  <c r="AC5" i="145" s="1"/>
  <c r="U7" i="145"/>
  <c r="U5" i="145" s="1"/>
  <c r="K7" i="145"/>
  <c r="K5" i="145" s="1"/>
  <c r="C7" i="145"/>
  <c r="X7" i="145"/>
  <c r="X5" i="145" s="1"/>
  <c r="Q15" i="145"/>
  <c r="B21" i="145"/>
  <c r="L25" i="145"/>
  <c r="Q32" i="145"/>
  <c r="V36" i="145"/>
  <c r="G36" i="145"/>
  <c r="Q105" i="145"/>
  <c r="P105" i="145" s="1"/>
  <c r="F36" i="145"/>
  <c r="Y36" i="145"/>
  <c r="N36" i="145"/>
  <c r="D36" i="145"/>
  <c r="X36" i="145"/>
  <c r="L36" i="145"/>
  <c r="S36" i="145"/>
  <c r="AC36" i="145"/>
  <c r="K36" i="145"/>
  <c r="R36" i="145"/>
  <c r="AB36" i="145"/>
  <c r="H36" i="145"/>
  <c r="U36" i="145"/>
  <c r="E7" i="145"/>
  <c r="E5" i="145" s="1"/>
  <c r="AB7" i="145"/>
  <c r="AB5" i="145" s="1"/>
  <c r="D25" i="145"/>
  <c r="B25" i="145" s="1"/>
  <c r="R12" i="145"/>
  <c r="Q12" i="145" s="1"/>
  <c r="Q81" i="145"/>
  <c r="P81" i="145" s="1"/>
  <c r="C12" i="145"/>
  <c r="B12" i="145" s="1"/>
  <c r="AF12" i="145" s="1"/>
  <c r="Z12" i="145"/>
  <c r="K12" i="145"/>
  <c r="F7" i="145"/>
  <c r="F5" i="145" s="1"/>
  <c r="B9" i="145"/>
  <c r="AF9" i="145" s="1"/>
  <c r="B18" i="145"/>
  <c r="B26" i="145"/>
  <c r="B28" i="145"/>
  <c r="I36" i="145"/>
  <c r="U29" i="145"/>
  <c r="F29" i="145"/>
  <c r="B29" i="145" s="1"/>
  <c r="Q129" i="145"/>
  <c r="P129" i="145" s="1"/>
  <c r="N7" i="145"/>
  <c r="N5" i="145" s="1"/>
  <c r="T7" i="145"/>
  <c r="T5" i="145" s="1"/>
  <c r="Q13" i="145"/>
  <c r="B24" i="145"/>
  <c r="G7" i="145"/>
  <c r="G5" i="145" s="1"/>
  <c r="V7" i="145"/>
  <c r="V5" i="145" s="1"/>
  <c r="M7" i="145"/>
  <c r="M5" i="145" s="1"/>
  <c r="AA36" i="145"/>
  <c r="I7" i="145"/>
  <c r="I5" i="145" s="1"/>
  <c r="W7" i="145"/>
  <c r="W5" i="145" s="1"/>
  <c r="Q17" i="145"/>
  <c r="AC29" i="145"/>
  <c r="G40" i="145"/>
  <c r="V40" i="145"/>
  <c r="Y40" i="145"/>
  <c r="Q109" i="145"/>
  <c r="P109" i="145" s="1"/>
  <c r="M40" i="145"/>
  <c r="J40" i="145"/>
  <c r="I40" i="145"/>
  <c r="T40" i="145"/>
  <c r="H40" i="145"/>
  <c r="K43" i="145"/>
  <c r="C43" i="145"/>
  <c r="Q112" i="145"/>
  <c r="P112" i="145" s="1"/>
  <c r="J43" i="145"/>
  <c r="AB43" i="145"/>
  <c r="E43" i="145"/>
  <c r="Z43" i="145"/>
  <c r="B45" i="145"/>
  <c r="AC21" i="145"/>
  <c r="Z31" i="145"/>
  <c r="X35" i="145"/>
  <c r="Q35" i="145" s="1"/>
  <c r="L40" i="145"/>
  <c r="AC40" i="145"/>
  <c r="H43" i="145"/>
  <c r="Y43" i="145"/>
  <c r="B47" i="145"/>
  <c r="Q80" i="145"/>
  <c r="P80" i="145" s="1"/>
  <c r="W27" i="145"/>
  <c r="M27" i="145"/>
  <c r="E27" i="145"/>
  <c r="Q104" i="145"/>
  <c r="P104" i="145" s="1"/>
  <c r="E36" i="145"/>
  <c r="M36" i="145"/>
  <c r="Q108" i="145"/>
  <c r="P108" i="145" s="1"/>
  <c r="E39" i="145"/>
  <c r="B39" i="145" s="1"/>
  <c r="Y42" i="145"/>
  <c r="J44" i="145"/>
  <c r="Y41" i="145"/>
  <c r="Y37" i="145"/>
  <c r="T9" i="145"/>
  <c r="Q9" i="145" s="1"/>
  <c r="AB9" i="145"/>
  <c r="H11" i="145"/>
  <c r="R11" i="145"/>
  <c r="Z11" i="145"/>
  <c r="H15" i="145"/>
  <c r="B15" i="145" s="1"/>
  <c r="D16" i="145"/>
  <c r="L16" i="145"/>
  <c r="I19" i="145"/>
  <c r="B19" i="145" s="1"/>
  <c r="Y20" i="145"/>
  <c r="Q20" i="145" s="1"/>
  <c r="U21" i="145"/>
  <c r="H23" i="145"/>
  <c r="B23" i="145" s="1"/>
  <c r="H27" i="145"/>
  <c r="S27" i="145"/>
  <c r="AB27" i="145"/>
  <c r="R31" i="145"/>
  <c r="I43" i="145"/>
  <c r="Q78" i="145"/>
  <c r="P78" i="145" s="1"/>
  <c r="Q83" i="145"/>
  <c r="P83" i="145" s="1"/>
  <c r="Q99" i="145"/>
  <c r="P99" i="145" s="1"/>
  <c r="W30" i="145"/>
  <c r="Z30" i="145"/>
  <c r="F30" i="145"/>
  <c r="AA33" i="145"/>
  <c r="S33" i="145"/>
  <c r="I33" i="145"/>
  <c r="U33" i="145"/>
  <c r="J33" i="145"/>
  <c r="Q102" i="145"/>
  <c r="P102" i="145" s="1"/>
  <c r="R33" i="145"/>
  <c r="I37" i="145"/>
  <c r="B37" i="145" s="1"/>
  <c r="X37" i="145"/>
  <c r="Q120" i="145"/>
  <c r="P120" i="145" s="1"/>
  <c r="D57" i="145"/>
  <c r="Q98" i="145"/>
  <c r="P98" i="145" s="1"/>
  <c r="W40" i="145"/>
  <c r="D40" i="145"/>
  <c r="AA43" i="145"/>
  <c r="M54" i="145"/>
  <c r="E54" i="145"/>
  <c r="Q123" i="145"/>
  <c r="P123" i="145" s="1"/>
  <c r="N54" i="145"/>
  <c r="K54" i="145"/>
  <c r="H16" i="145"/>
  <c r="R16" i="145"/>
  <c r="Z16" i="145"/>
  <c r="D17" i="145"/>
  <c r="B17" i="145" s="1"/>
  <c r="Y26" i="145"/>
  <c r="Q26" i="145" s="1"/>
  <c r="C27" i="145"/>
  <c r="L27" i="145"/>
  <c r="X27" i="145"/>
  <c r="J35" i="145"/>
  <c r="B35" i="145" s="1"/>
  <c r="E40" i="145"/>
  <c r="Z40" i="145"/>
  <c r="T43" i="145"/>
  <c r="J54" i="145"/>
  <c r="Q91" i="145"/>
  <c r="P91" i="145" s="1"/>
  <c r="AA22" i="145"/>
  <c r="S22" i="145"/>
  <c r="I22" i="145"/>
  <c r="B22" i="145" s="1"/>
  <c r="Q94" i="145"/>
  <c r="P94" i="145" s="1"/>
  <c r="W25" i="145"/>
  <c r="Q25" i="145" s="1"/>
  <c r="Z38" i="145"/>
  <c r="N38" i="145"/>
  <c r="AB38" i="145"/>
  <c r="R38" i="145"/>
  <c r="D38" i="145"/>
  <c r="AA38" i="145"/>
  <c r="M38" i="145"/>
  <c r="C38" i="145"/>
  <c r="X38" i="145"/>
  <c r="L38" i="145"/>
  <c r="Y39" i="145"/>
  <c r="Q39" i="145" s="1"/>
  <c r="J48" i="145"/>
  <c r="Q117" i="145"/>
  <c r="P117" i="145" s="1"/>
  <c r="M48" i="145"/>
  <c r="E48" i="145"/>
  <c r="H48" i="145"/>
  <c r="F48" i="145"/>
  <c r="D48" i="145"/>
  <c r="C48" i="145"/>
  <c r="M33" i="145"/>
  <c r="H34" i="145"/>
  <c r="B34" i="145" s="1"/>
  <c r="C40" i="145"/>
  <c r="S43" i="145"/>
  <c r="D43" i="145"/>
  <c r="G54" i="145"/>
  <c r="K57" i="145"/>
  <c r="Q126" i="145"/>
  <c r="P126" i="145" s="1"/>
  <c r="C57" i="145"/>
  <c r="F57" i="145"/>
  <c r="E11" i="145"/>
  <c r="M11" i="145"/>
  <c r="W11" i="145"/>
  <c r="I16" i="145"/>
  <c r="S16" i="145"/>
  <c r="AA16" i="145"/>
  <c r="Y19" i="145"/>
  <c r="AB25" i="145"/>
  <c r="D27" i="145"/>
  <c r="N27" i="145"/>
  <c r="Y30" i="145"/>
  <c r="J38" i="145"/>
  <c r="F40" i="145"/>
  <c r="AA40" i="145"/>
  <c r="T42" i="145"/>
  <c r="W43" i="145"/>
  <c r="K48" i="145"/>
  <c r="N57" i="145"/>
  <c r="C36" i="145"/>
  <c r="B36" i="145" s="1"/>
  <c r="Z36" i="145"/>
  <c r="U40" i="145"/>
  <c r="Q111" i="145"/>
  <c r="P111" i="145" s="1"/>
  <c r="C42" i="145"/>
  <c r="B42" i="145" s="1"/>
  <c r="K42" i="145"/>
  <c r="Z42" i="145"/>
  <c r="U43" i="145"/>
  <c r="F43" i="145"/>
  <c r="AC43" i="145"/>
  <c r="N43" i="145"/>
  <c r="W32" i="145"/>
  <c r="W28" i="145"/>
  <c r="Q28" i="145" s="1"/>
  <c r="H44" i="145"/>
  <c r="W42" i="145"/>
  <c r="W37" i="145"/>
  <c r="W31" i="145"/>
  <c r="W21" i="145"/>
  <c r="W19" i="145"/>
  <c r="B46" i="145"/>
  <c r="Q92" i="145"/>
  <c r="P92" i="145" s="1"/>
  <c r="W36" i="145"/>
  <c r="X40" i="145"/>
  <c r="Q115" i="145"/>
  <c r="P115" i="145" s="1"/>
  <c r="L48" i="145"/>
  <c r="Q124" i="145"/>
  <c r="P124" i="145" s="1"/>
  <c r="H57" i="145"/>
  <c r="C59" i="145"/>
  <c r="B59" i="145" s="1"/>
  <c r="Q128" i="145"/>
  <c r="P128" i="145" s="1"/>
  <c r="B55" i="145"/>
  <c r="Q82" i="145"/>
  <c r="P82" i="145" s="1"/>
  <c r="Q95" i="145"/>
  <c r="P95" i="145" s="1"/>
  <c r="E38" i="145"/>
  <c r="D49" i="145"/>
  <c r="I49" i="145"/>
  <c r="I54" i="145"/>
  <c r="Q127" i="145"/>
  <c r="P127" i="145" s="1"/>
  <c r="C58" i="145"/>
  <c r="B58" i="145" s="1"/>
  <c r="Q87" i="145"/>
  <c r="P87" i="145" s="1"/>
  <c r="Q89" i="145"/>
  <c r="P89" i="145" s="1"/>
  <c r="Q93" i="145"/>
  <c r="P93" i="145" s="1"/>
  <c r="E30" i="145"/>
  <c r="B30" i="145" s="1"/>
  <c r="M30" i="145"/>
  <c r="Q114" i="145"/>
  <c r="P114" i="145" s="1"/>
  <c r="Q119" i="145"/>
  <c r="P119" i="145" s="1"/>
  <c r="C50" i="145"/>
  <c r="B50" i="145" s="1"/>
  <c r="N52" i="145"/>
  <c r="F52" i="145"/>
  <c r="I52" i="145"/>
  <c r="Q121" i="145"/>
  <c r="P121" i="145" s="1"/>
  <c r="L52" i="145"/>
  <c r="J56" i="145"/>
  <c r="Q125" i="145"/>
  <c r="P125" i="145" s="1"/>
  <c r="M56" i="145"/>
  <c r="E56" i="145"/>
  <c r="Q90" i="145"/>
  <c r="P90" i="145" s="1"/>
  <c r="H49" i="145"/>
  <c r="Q122" i="145"/>
  <c r="P122" i="145" s="1"/>
  <c r="Q106" i="145"/>
  <c r="P106" i="145" s="1"/>
  <c r="K51" i="145"/>
  <c r="C51" i="145"/>
  <c r="H51" i="145"/>
  <c r="D54" i="145"/>
  <c r="L54" i="145"/>
  <c r="J57" i="145"/>
  <c r="Q101" i="145"/>
  <c r="P101" i="145" s="1"/>
  <c r="Q103" i="145"/>
  <c r="P103" i="145" s="1"/>
  <c r="AC41" i="145"/>
  <c r="U41" i="145"/>
  <c r="Q41" i="145" s="1"/>
  <c r="K41" i="145"/>
  <c r="C41" i="145"/>
  <c r="E49" i="145"/>
  <c r="M49" i="145"/>
  <c r="T47" i="145"/>
  <c r="AB47" i="145"/>
  <c r="Q47" i="145"/>
  <c r="Q24" i="145" l="1"/>
  <c r="Q19" i="145"/>
  <c r="B54" i="145"/>
  <c r="Q21" i="145"/>
  <c r="Q34" i="145"/>
  <c r="B33" i="145"/>
  <c r="Q40" i="145"/>
  <c r="B49" i="145"/>
  <c r="Q37" i="145"/>
  <c r="Q42" i="145"/>
  <c r="B16" i="145"/>
  <c r="Q29" i="145"/>
  <c r="Y47" i="145"/>
  <c r="X47" i="145"/>
  <c r="AD48" i="145"/>
  <c r="W47" i="145"/>
  <c r="V47" i="145"/>
  <c r="U47" i="145"/>
  <c r="S47" i="145"/>
  <c r="AC47" i="145"/>
  <c r="R47" i="145"/>
  <c r="AA47" i="145"/>
  <c r="Z47" i="145"/>
  <c r="Q30" i="145"/>
  <c r="B41" i="145"/>
  <c r="B56" i="145"/>
  <c r="B44" i="145"/>
  <c r="Q22" i="145"/>
  <c r="Q11" i="145"/>
  <c r="B38" i="145"/>
  <c r="Q38" i="145"/>
  <c r="B48" i="145"/>
  <c r="Q33" i="145"/>
  <c r="Q27" i="145"/>
  <c r="Q43" i="145"/>
  <c r="B27" i="145"/>
  <c r="Q7" i="145"/>
  <c r="Q5" i="145" s="1"/>
  <c r="R5" i="145"/>
  <c r="A15" i="145"/>
  <c r="AF15" i="145" s="1"/>
  <c r="Q36" i="145"/>
  <c r="B40" i="145"/>
  <c r="Q16" i="145"/>
  <c r="B52" i="145"/>
  <c r="C5" i="145"/>
  <c r="B7" i="145"/>
  <c r="B11" i="145"/>
  <c r="AF11" i="145" s="1"/>
  <c r="B43" i="145"/>
  <c r="B51" i="145"/>
  <c r="B57" i="145"/>
  <c r="Q31" i="145"/>
  <c r="S48" i="145" l="1"/>
  <c r="AC48" i="145"/>
  <c r="Q48" i="145"/>
  <c r="Y48" i="145"/>
  <c r="W48" i="145"/>
  <c r="AA48" i="145"/>
  <c r="V48" i="145"/>
  <c r="U48" i="145"/>
  <c r="AD49" i="145"/>
  <c r="R48" i="145"/>
  <c r="AB48" i="145"/>
  <c r="Z48" i="145"/>
  <c r="T48" i="145"/>
  <c r="X48" i="145"/>
  <c r="B5" i="145"/>
  <c r="AF7" i="145"/>
  <c r="AD5" i="145"/>
  <c r="A16" i="145"/>
  <c r="AF16" i="145" s="1"/>
  <c r="AF5" i="145" l="1"/>
  <c r="P382" i="87"/>
  <c r="T49" i="145"/>
  <c r="U49" i="145"/>
  <c r="Y49" i="145"/>
  <c r="S49" i="145"/>
  <c r="X49" i="145"/>
  <c r="Z49" i="145"/>
  <c r="V49" i="145"/>
  <c r="AC49" i="145"/>
  <c r="AD50" i="145"/>
  <c r="AB49" i="145"/>
  <c r="R49" i="145"/>
  <c r="W49" i="145"/>
  <c r="Q49" i="145"/>
  <c r="AA49" i="145"/>
  <c r="A17" i="145"/>
  <c r="AF17" i="145" s="1"/>
  <c r="T50" i="145" l="1"/>
  <c r="V50" i="145"/>
  <c r="W50" i="145"/>
  <c r="U50" i="145"/>
  <c r="AD51" i="145"/>
  <c r="Z50" i="145"/>
  <c r="Q50" i="145"/>
  <c r="R50" i="145"/>
  <c r="S50" i="145"/>
  <c r="AA50" i="145"/>
  <c r="AC50" i="145"/>
  <c r="AB50" i="145"/>
  <c r="Y50" i="145"/>
  <c r="X50" i="145"/>
  <c r="A18" i="145"/>
  <c r="AF18" i="145" s="1"/>
  <c r="V51" i="145" l="1"/>
  <c r="AC51" i="145"/>
  <c r="U51" i="145"/>
  <c r="S51" i="145"/>
  <c r="Z51" i="145"/>
  <c r="X51" i="145"/>
  <c r="T51" i="145"/>
  <c r="AD52" i="145"/>
  <c r="AA51" i="145"/>
  <c r="Y51" i="145"/>
  <c r="R51" i="145"/>
  <c r="AB51" i="145"/>
  <c r="Q51" i="145"/>
  <c r="W51" i="145"/>
  <c r="A19" i="145"/>
  <c r="AF19" i="145" s="1"/>
  <c r="U52" i="145" l="1"/>
  <c r="W52" i="145"/>
  <c r="AD53" i="145"/>
  <c r="T52" i="145"/>
  <c r="AA52" i="145"/>
  <c r="Q52" i="145"/>
  <c r="R52" i="145"/>
  <c r="V52" i="145"/>
  <c r="Z52" i="145"/>
  <c r="AB52" i="145"/>
  <c r="S52" i="145"/>
  <c r="X52" i="145"/>
  <c r="AC52" i="145"/>
  <c r="Y52" i="145"/>
  <c r="A20" i="145"/>
  <c r="AF20" i="145" s="1"/>
  <c r="S53" i="145" l="1"/>
  <c r="T53" i="145"/>
  <c r="R53" i="145"/>
  <c r="AB53" i="145"/>
  <c r="Z53" i="145"/>
  <c r="X53" i="145"/>
  <c r="Q53" i="145"/>
  <c r="V53" i="145"/>
  <c r="Y53" i="145"/>
  <c r="U53" i="145"/>
  <c r="W53" i="145"/>
  <c r="AC53" i="145"/>
  <c r="AD54" i="145"/>
  <c r="AA53" i="145"/>
  <c r="A21" i="145"/>
  <c r="AF21" i="145" s="1"/>
  <c r="AD55" i="145" l="1"/>
  <c r="U54" i="145"/>
  <c r="AB54" i="145"/>
  <c r="AA54" i="145"/>
  <c r="Z54" i="145"/>
  <c r="S54" i="145"/>
  <c r="X54" i="145"/>
  <c r="Y54" i="145"/>
  <c r="W54" i="145"/>
  <c r="AC54" i="145"/>
  <c r="V54" i="145"/>
  <c r="R54" i="145"/>
  <c r="Q54" i="145"/>
  <c r="T54" i="145"/>
  <c r="A22" i="145"/>
  <c r="AF22" i="145" s="1"/>
  <c r="V55" i="145" l="1"/>
  <c r="AA55" i="145"/>
  <c r="AB55" i="145"/>
  <c r="Z55" i="145"/>
  <c r="Y55" i="145"/>
  <c r="W55" i="145"/>
  <c r="S55" i="145"/>
  <c r="AD56" i="145"/>
  <c r="AC55" i="145"/>
  <c r="T55" i="145"/>
  <c r="X55" i="145"/>
  <c r="Q55" i="145"/>
  <c r="U55" i="145"/>
  <c r="R55" i="145"/>
  <c r="A23" i="145"/>
  <c r="AF23" i="145" s="1"/>
  <c r="T56" i="145" l="1"/>
  <c r="S56" i="145"/>
  <c r="Y56" i="145"/>
  <c r="R56" i="145"/>
  <c r="X56" i="145"/>
  <c r="AD57" i="145"/>
  <c r="Q56" i="145"/>
  <c r="AA56" i="145"/>
  <c r="Z56" i="145"/>
  <c r="AC56" i="145"/>
  <c r="V56" i="145"/>
  <c r="W56" i="145"/>
  <c r="U56" i="145"/>
  <c r="AB56" i="145"/>
  <c r="A24" i="145"/>
  <c r="AF24" i="145" s="1"/>
  <c r="T57" i="145" l="1"/>
  <c r="AD58" i="145"/>
  <c r="V57" i="145"/>
  <c r="Z57" i="145"/>
  <c r="AC57" i="145"/>
  <c r="R57" i="145"/>
  <c r="U57" i="145"/>
  <c r="Y57" i="145"/>
  <c r="S57" i="145"/>
  <c r="Q57" i="145"/>
  <c r="W57" i="145"/>
  <c r="AA57" i="145"/>
  <c r="X57" i="145"/>
  <c r="AB57" i="145"/>
  <c r="A25" i="145"/>
  <c r="AF25" i="145" s="1"/>
  <c r="R58" i="145" l="1"/>
  <c r="X58" i="145"/>
  <c r="AD59" i="145"/>
  <c r="V58" i="145"/>
  <c r="Q58" i="145"/>
  <c r="Z58" i="145"/>
  <c r="Y58" i="145"/>
  <c r="W58" i="145"/>
  <c r="S58" i="145"/>
  <c r="AC58" i="145"/>
  <c r="T58" i="145"/>
  <c r="U58" i="145"/>
  <c r="AA58" i="145"/>
  <c r="AB58" i="145"/>
  <c r="A26" i="145"/>
  <c r="AF26" i="145" s="1"/>
  <c r="Z59" i="145" l="1"/>
  <c r="V59" i="145"/>
  <c r="X59" i="145"/>
  <c r="AA59" i="145"/>
  <c r="Y59" i="145"/>
  <c r="R59" i="145"/>
  <c r="T59" i="145"/>
  <c r="S59" i="145"/>
  <c r="AB59" i="145"/>
  <c r="AC59" i="145"/>
  <c r="Q59" i="145"/>
  <c r="W59" i="145"/>
  <c r="U59" i="145"/>
  <c r="A27" i="145"/>
  <c r="AF27" i="145" s="1"/>
  <c r="A28" i="145" l="1"/>
  <c r="AF28" i="145" s="1"/>
  <c r="A29" i="145" l="1"/>
  <c r="AF29" i="145" s="1"/>
  <c r="A30" i="145" l="1"/>
  <c r="AF30" i="145" s="1"/>
  <c r="A31" i="145" l="1"/>
  <c r="AF31" i="145" s="1"/>
  <c r="A32" i="145" l="1"/>
  <c r="AF32" i="145" s="1"/>
  <c r="A33" i="145" l="1"/>
  <c r="AF33" i="145" s="1"/>
  <c r="A34" i="145" l="1"/>
  <c r="AF34" i="145" s="1"/>
  <c r="A35" i="145" l="1"/>
  <c r="AF35" i="145" s="1"/>
  <c r="A36" i="145" l="1"/>
  <c r="AF36" i="145" s="1"/>
  <c r="A37" i="145" l="1"/>
  <c r="AF37" i="145" s="1"/>
  <c r="A38" i="145" l="1"/>
  <c r="AF38" i="145" s="1"/>
  <c r="A39" i="145" l="1"/>
  <c r="AF39" i="145" s="1"/>
  <c r="A40" i="145" l="1"/>
  <c r="AF40" i="145" s="1"/>
  <c r="A41" i="145" l="1"/>
  <c r="AF41" i="145" s="1"/>
  <c r="A42" i="145" l="1"/>
  <c r="AF42" i="145" s="1"/>
  <c r="A43" i="145" l="1"/>
  <c r="AF43" i="145" s="1"/>
  <c r="A44" i="145" l="1"/>
  <c r="AF44" i="145" s="1"/>
  <c r="A45" i="145" l="1"/>
  <c r="AF45" i="145" s="1"/>
  <c r="A46" i="145" l="1"/>
  <c r="AF46" i="145" s="1"/>
  <c r="A47" i="145" l="1"/>
  <c r="AF47" i="145" s="1"/>
  <c r="A48" i="145" l="1"/>
  <c r="AF48" i="145" s="1"/>
  <c r="A49" i="145" l="1"/>
  <c r="AF49" i="145" s="1"/>
  <c r="A50" i="145" l="1"/>
  <c r="AF50" i="145" s="1"/>
  <c r="A51" i="145" l="1"/>
  <c r="AF51" i="145" s="1"/>
  <c r="A52" i="145" l="1"/>
  <c r="AF52" i="145" s="1"/>
  <c r="A53" i="145" l="1"/>
  <c r="AF53" i="145" s="1"/>
  <c r="A54" i="145" l="1"/>
  <c r="AF54" i="145" s="1"/>
  <c r="A55" i="145" l="1"/>
  <c r="AF55" i="145" s="1"/>
  <c r="A56" i="145" l="1"/>
  <c r="AF56" i="145" s="1"/>
  <c r="A57" i="145" l="1"/>
  <c r="AF57" i="145" s="1"/>
  <c r="A58" i="145" l="1"/>
  <c r="AF58" i="145" s="1"/>
  <c r="A59" i="145" l="1"/>
  <c r="AF59" i="145" s="1"/>
  <c r="A60" i="145" l="1"/>
  <c r="AF60" i="145" s="1"/>
  <c r="C71" i="126" l="1"/>
  <c r="A325" i="87"/>
  <c r="T2" i="133"/>
  <c r="U2" i="133" s="1"/>
  <c r="V2" i="133" s="1"/>
  <c r="W2" i="133" s="1"/>
  <c r="X2" i="133" s="1"/>
  <c r="R2" i="133"/>
  <c r="S2" i="133" s="1"/>
  <c r="I32" i="131" l="1"/>
  <c r="H32" i="131"/>
  <c r="G32" i="131"/>
  <c r="F32" i="131"/>
  <c r="E32" i="131"/>
  <c r="D32" i="131"/>
  <c r="C32" i="131"/>
  <c r="B32" i="131"/>
  <c r="I31" i="131"/>
  <c r="H31" i="131"/>
  <c r="G31" i="131"/>
  <c r="F31" i="131"/>
  <c r="E31" i="131"/>
  <c r="D31" i="131"/>
  <c r="C31" i="131"/>
  <c r="B31" i="131"/>
  <c r="I29" i="131"/>
  <c r="H29" i="131"/>
  <c r="G29" i="131"/>
  <c r="F29" i="131"/>
  <c r="E29" i="131"/>
  <c r="D29" i="131"/>
  <c r="C29" i="131"/>
  <c r="B29" i="131"/>
  <c r="I28" i="131"/>
  <c r="H28" i="131"/>
  <c r="G28" i="131"/>
  <c r="F28" i="131"/>
  <c r="E28" i="131"/>
  <c r="D28" i="131"/>
  <c r="C28" i="131"/>
  <c r="B28" i="131"/>
  <c r="I26" i="131"/>
  <c r="H26" i="131"/>
  <c r="G26" i="131"/>
  <c r="F26" i="131"/>
  <c r="E26" i="131"/>
  <c r="D26" i="131"/>
  <c r="C26" i="131"/>
  <c r="B26" i="131"/>
  <c r="I25" i="131"/>
  <c r="H25" i="131"/>
  <c r="G25" i="131"/>
  <c r="F25" i="131"/>
  <c r="E25" i="131"/>
  <c r="D25" i="131"/>
  <c r="C25" i="131"/>
  <c r="B25" i="131"/>
  <c r="I23" i="131"/>
  <c r="H23" i="131"/>
  <c r="G23" i="131"/>
  <c r="F23" i="131"/>
  <c r="E23" i="131"/>
  <c r="D23" i="131"/>
  <c r="C23" i="131"/>
  <c r="B23" i="131"/>
  <c r="I22" i="131"/>
  <c r="H22" i="131"/>
  <c r="G22" i="131"/>
  <c r="F22" i="131"/>
  <c r="E22" i="131"/>
  <c r="D22" i="131"/>
  <c r="C22" i="131"/>
  <c r="B22" i="131"/>
  <c r="I20" i="131"/>
  <c r="H20" i="131"/>
  <c r="G20" i="131"/>
  <c r="F20" i="131"/>
  <c r="E20" i="131"/>
  <c r="D20" i="131"/>
  <c r="C20" i="131"/>
  <c r="B20" i="131"/>
  <c r="I19" i="131"/>
  <c r="H19" i="131"/>
  <c r="G19" i="131"/>
  <c r="F19" i="131"/>
  <c r="E19" i="131"/>
  <c r="D19" i="131"/>
  <c r="C19" i="131"/>
  <c r="B19" i="131"/>
  <c r="I17" i="131"/>
  <c r="H17" i="131"/>
  <c r="G17" i="131"/>
  <c r="F17" i="131"/>
  <c r="E17" i="131"/>
  <c r="D17" i="131"/>
  <c r="C17" i="131"/>
  <c r="B17" i="131"/>
  <c r="I16" i="131"/>
  <c r="H16" i="131"/>
  <c r="G16" i="131"/>
  <c r="F16" i="131"/>
  <c r="E16" i="131"/>
  <c r="D16" i="131"/>
  <c r="C16" i="131"/>
  <c r="B16" i="131"/>
  <c r="I14" i="131"/>
  <c r="H14" i="131"/>
  <c r="G14" i="131"/>
  <c r="F14" i="131"/>
  <c r="E14" i="131"/>
  <c r="D14" i="131"/>
  <c r="C14" i="131"/>
  <c r="B14" i="131"/>
  <c r="I13" i="131"/>
  <c r="H13" i="131"/>
  <c r="G13" i="131"/>
  <c r="F13" i="131"/>
  <c r="E13" i="131"/>
  <c r="D13" i="131"/>
  <c r="C13" i="131"/>
  <c r="B13" i="131"/>
  <c r="I11" i="131"/>
  <c r="H11" i="131"/>
  <c r="G11" i="131"/>
  <c r="F11" i="131"/>
  <c r="E11" i="131"/>
  <c r="D11" i="131"/>
  <c r="C11" i="131"/>
  <c r="B11" i="131"/>
  <c r="I10" i="131"/>
  <c r="H10" i="131"/>
  <c r="G10" i="131"/>
  <c r="F10" i="131"/>
  <c r="E10" i="131"/>
  <c r="D10" i="131"/>
  <c r="C10" i="131"/>
  <c r="B10" i="131"/>
  <c r="I8" i="131"/>
  <c r="H8" i="131"/>
  <c r="G8" i="131"/>
  <c r="F8" i="131"/>
  <c r="E8" i="131"/>
  <c r="D8" i="131"/>
  <c r="C8" i="131"/>
  <c r="B8" i="131"/>
  <c r="I7" i="131"/>
  <c r="H7" i="131"/>
  <c r="G7" i="131"/>
  <c r="F7" i="131"/>
  <c r="E7" i="131"/>
  <c r="D7" i="131"/>
  <c r="C7" i="131"/>
  <c r="B7" i="131"/>
  <c r="E77" i="131"/>
  <c r="D77" i="131"/>
  <c r="C77" i="131"/>
  <c r="B77" i="131"/>
  <c r="E76" i="131"/>
  <c r="D76" i="131"/>
  <c r="C76" i="131"/>
  <c r="B76" i="131"/>
  <c r="E75" i="131"/>
  <c r="D75" i="131"/>
  <c r="C75" i="131"/>
  <c r="B75" i="131"/>
  <c r="E74" i="131"/>
  <c r="D74" i="131"/>
  <c r="C74" i="131"/>
  <c r="B74" i="131"/>
  <c r="E73" i="131"/>
  <c r="D73" i="131"/>
  <c r="C73" i="131"/>
  <c r="B73" i="131"/>
  <c r="E72" i="131"/>
  <c r="D72" i="131"/>
  <c r="C72" i="131"/>
  <c r="B72" i="131"/>
  <c r="E71" i="131"/>
  <c r="D71" i="131"/>
  <c r="C71" i="131"/>
  <c r="B71" i="131"/>
  <c r="E70" i="131"/>
  <c r="D70" i="131"/>
  <c r="C70" i="131"/>
  <c r="B70" i="131"/>
  <c r="E42" i="131"/>
  <c r="D42" i="131"/>
  <c r="C42" i="131"/>
  <c r="I40" i="131"/>
  <c r="I77" i="131" s="1"/>
  <c r="H40" i="131"/>
  <c r="G40" i="131"/>
  <c r="G42" i="131" s="1"/>
  <c r="F40" i="131"/>
  <c r="F76" i="131" s="1"/>
  <c r="F42" i="131" l="1"/>
  <c r="F71" i="131"/>
  <c r="G70" i="131"/>
  <c r="G71" i="131"/>
  <c r="G72" i="131"/>
  <c r="G73" i="131"/>
  <c r="G74" i="131"/>
  <c r="G75" i="131"/>
  <c r="G76" i="131"/>
  <c r="G77" i="131"/>
  <c r="F70" i="131"/>
  <c r="F73" i="131"/>
  <c r="F74" i="131"/>
  <c r="F75" i="131"/>
  <c r="F77" i="131"/>
  <c r="H70" i="131"/>
  <c r="H71" i="131"/>
  <c r="H72" i="131"/>
  <c r="H73" i="131"/>
  <c r="H74" i="131"/>
  <c r="H75" i="131"/>
  <c r="H76" i="131"/>
  <c r="H77" i="131"/>
  <c r="F72" i="131"/>
  <c r="H42" i="131"/>
  <c r="I42" i="131"/>
  <c r="I70" i="131"/>
  <c r="I71" i="131"/>
  <c r="I72" i="131"/>
  <c r="I73" i="131"/>
  <c r="I74" i="131"/>
  <c r="I75" i="131"/>
  <c r="I76" i="131"/>
  <c r="BY7" i="74" l="1"/>
  <c r="BY8" i="74"/>
  <c r="BY9" i="74"/>
  <c r="BY10" i="74"/>
  <c r="BY11" i="74"/>
  <c r="BY12" i="74"/>
  <c r="BY13" i="74"/>
  <c r="BY14" i="74"/>
  <c r="BY15" i="74"/>
  <c r="BY16" i="74"/>
  <c r="BY17" i="74"/>
  <c r="BY18" i="74"/>
  <c r="BY19" i="74"/>
  <c r="BY20" i="74"/>
  <c r="BY21" i="74"/>
  <c r="BY22" i="74"/>
  <c r="BY23" i="74"/>
  <c r="BY24" i="74"/>
  <c r="BY25" i="74"/>
  <c r="BY26" i="74"/>
  <c r="BY27" i="74"/>
  <c r="BY28" i="74"/>
  <c r="BY29" i="74"/>
  <c r="BY30" i="74"/>
  <c r="BY31" i="74"/>
  <c r="BY32" i="74"/>
  <c r="BY33" i="74"/>
  <c r="BY34" i="74"/>
  <c r="BY35" i="74"/>
  <c r="BY36" i="74"/>
  <c r="BY37" i="74"/>
  <c r="BY38" i="74"/>
  <c r="BY39" i="74"/>
  <c r="BY40" i="74"/>
  <c r="BY41" i="74"/>
  <c r="BY42" i="74"/>
  <c r="BY43" i="74"/>
  <c r="BY44" i="74"/>
  <c r="BY45" i="74"/>
  <c r="BY46" i="74"/>
  <c r="BY47" i="74"/>
  <c r="BY48" i="74"/>
  <c r="BY49" i="74"/>
  <c r="BY50" i="74"/>
  <c r="BY51" i="74"/>
  <c r="BY52" i="74"/>
  <c r="BY53" i="74"/>
  <c r="BY54" i="74"/>
  <c r="BY55" i="74"/>
  <c r="BY56" i="74"/>
  <c r="BY57" i="74"/>
  <c r="BY58" i="74"/>
  <c r="BY59" i="74"/>
  <c r="BY60" i="74"/>
  <c r="BY61" i="74"/>
  <c r="BY62" i="74"/>
  <c r="BY6" i="74"/>
  <c r="I444" i="87"/>
  <c r="I445" i="87"/>
  <c r="I388" i="87"/>
  <c r="H445" i="87"/>
  <c r="H444" i="87"/>
  <c r="H443" i="87"/>
  <c r="H442" i="87"/>
  <c r="H441" i="87"/>
  <c r="H440" i="87"/>
  <c r="H439" i="87"/>
  <c r="H438" i="87"/>
  <c r="H437" i="87"/>
  <c r="H436" i="87"/>
  <c r="H435" i="87"/>
  <c r="H434" i="87"/>
  <c r="H433" i="87"/>
  <c r="H432" i="87"/>
  <c r="H431" i="87"/>
  <c r="H430" i="87"/>
  <c r="H429" i="87"/>
  <c r="H428" i="87"/>
  <c r="H427" i="87"/>
  <c r="H426" i="87"/>
  <c r="H425" i="87"/>
  <c r="H424" i="87"/>
  <c r="H423" i="87"/>
  <c r="H422" i="87"/>
  <c r="H421" i="87"/>
  <c r="H420" i="87"/>
  <c r="H419" i="87"/>
  <c r="H418" i="87"/>
  <c r="H417" i="87"/>
  <c r="H416" i="87"/>
  <c r="H415" i="87"/>
  <c r="H414" i="87"/>
  <c r="H413" i="87"/>
  <c r="H412" i="87"/>
  <c r="H411" i="87"/>
  <c r="H410" i="87"/>
  <c r="H409" i="87"/>
  <c r="H408" i="87"/>
  <c r="H407" i="87"/>
  <c r="H406" i="87"/>
  <c r="H405" i="87"/>
  <c r="H404" i="87"/>
  <c r="H403" i="87"/>
  <c r="H402" i="87"/>
  <c r="H401" i="87"/>
  <c r="H400" i="87"/>
  <c r="H399" i="87"/>
  <c r="H398" i="87"/>
  <c r="H397" i="87"/>
  <c r="H396" i="87"/>
  <c r="H395" i="87"/>
  <c r="H394" i="87"/>
  <c r="I64" i="134" l="1"/>
  <c r="G64" i="134"/>
  <c r="K64" i="132" s="1"/>
  <c r="I63" i="134"/>
  <c r="G63" i="134"/>
  <c r="K63" i="132" s="1"/>
  <c r="I62" i="134"/>
  <c r="G62" i="134"/>
  <c r="K62" i="132" s="1"/>
  <c r="I61" i="134"/>
  <c r="G61" i="134"/>
  <c r="K61" i="132" s="1"/>
  <c r="I60" i="134"/>
  <c r="G60" i="134"/>
  <c r="K60" i="132" s="1"/>
  <c r="I59" i="134"/>
  <c r="G59" i="134"/>
  <c r="K59" i="132" s="1"/>
  <c r="I58" i="134"/>
  <c r="G58" i="134"/>
  <c r="K58" i="132" s="1"/>
  <c r="I57" i="134"/>
  <c r="G57" i="134"/>
  <c r="K57" i="132" s="1"/>
  <c r="I56" i="134"/>
  <c r="G56" i="134"/>
  <c r="K56" i="132" s="1"/>
  <c r="I55" i="134"/>
  <c r="G55" i="134"/>
  <c r="K55" i="132" s="1"/>
  <c r="I54" i="134"/>
  <c r="G54" i="134"/>
  <c r="K54" i="132" s="1"/>
  <c r="I53" i="134"/>
  <c r="G53" i="134"/>
  <c r="K53" i="132" s="1"/>
  <c r="I52" i="134"/>
  <c r="G52" i="134"/>
  <c r="K52" i="132" s="1"/>
  <c r="I51" i="134"/>
  <c r="G51" i="134"/>
  <c r="K51" i="132" s="1"/>
  <c r="I50" i="134"/>
  <c r="G50" i="134"/>
  <c r="K50" i="132" s="1"/>
  <c r="I49" i="134"/>
  <c r="G49" i="134"/>
  <c r="K49" i="132" s="1"/>
  <c r="I48" i="134"/>
  <c r="G48" i="134"/>
  <c r="K48" i="132" s="1"/>
  <c r="I47" i="134"/>
  <c r="G47" i="134"/>
  <c r="K47" i="132" s="1"/>
  <c r="I46" i="134"/>
  <c r="G46" i="134"/>
  <c r="K46" i="132" s="1"/>
  <c r="I45" i="134"/>
  <c r="G45" i="134"/>
  <c r="K45" i="132" s="1"/>
  <c r="I44" i="134"/>
  <c r="G44" i="134"/>
  <c r="K44" i="132" s="1"/>
  <c r="I43" i="134"/>
  <c r="G43" i="134"/>
  <c r="K43" i="132" s="1"/>
  <c r="I42" i="134"/>
  <c r="G42" i="134"/>
  <c r="K42" i="132" s="1"/>
  <c r="I41" i="134"/>
  <c r="G41" i="134"/>
  <c r="K41" i="132" s="1"/>
  <c r="I40" i="134"/>
  <c r="G40" i="134"/>
  <c r="K40" i="132" s="1"/>
  <c r="I39" i="134"/>
  <c r="G39" i="134"/>
  <c r="K39" i="132" s="1"/>
  <c r="I38" i="134"/>
  <c r="G38" i="134"/>
  <c r="K38" i="132" s="1"/>
  <c r="I37" i="134"/>
  <c r="G37" i="134"/>
  <c r="K37" i="132" s="1"/>
  <c r="I36" i="134"/>
  <c r="G36" i="134"/>
  <c r="K36" i="132" s="1"/>
  <c r="I35" i="134"/>
  <c r="G35" i="134"/>
  <c r="K35" i="132" s="1"/>
  <c r="I34" i="134"/>
  <c r="G34" i="134"/>
  <c r="K34" i="132" s="1"/>
  <c r="I33" i="134"/>
  <c r="G33" i="134"/>
  <c r="K33" i="132" s="1"/>
  <c r="I32" i="134"/>
  <c r="G32" i="134"/>
  <c r="K32" i="132" s="1"/>
  <c r="I31" i="134"/>
  <c r="G31" i="134"/>
  <c r="K31" i="132" s="1"/>
  <c r="I30" i="134"/>
  <c r="G30" i="134"/>
  <c r="K30" i="132" s="1"/>
  <c r="I29" i="134"/>
  <c r="G29" i="134"/>
  <c r="K29" i="132" s="1"/>
  <c r="I28" i="134"/>
  <c r="G28" i="134"/>
  <c r="K28" i="132" s="1"/>
  <c r="I27" i="134"/>
  <c r="G27" i="134"/>
  <c r="K27" i="132" s="1"/>
  <c r="I26" i="134"/>
  <c r="G26" i="134"/>
  <c r="K26" i="132" s="1"/>
  <c r="I25" i="134"/>
  <c r="G25" i="134"/>
  <c r="K25" i="132" s="1"/>
  <c r="I24" i="134"/>
  <c r="G24" i="134"/>
  <c r="K24" i="132" s="1"/>
  <c r="I23" i="134"/>
  <c r="G23" i="134"/>
  <c r="K23" i="132" s="1"/>
  <c r="I22" i="134"/>
  <c r="G22" i="134"/>
  <c r="K22" i="132" s="1"/>
  <c r="I21" i="134"/>
  <c r="G21" i="134"/>
  <c r="K21" i="132" s="1"/>
  <c r="I20" i="134"/>
  <c r="G20" i="134"/>
  <c r="K20" i="132" s="1"/>
  <c r="I19" i="134"/>
  <c r="G19" i="134"/>
  <c r="K19" i="132" s="1"/>
  <c r="I18" i="134"/>
  <c r="G18" i="134"/>
  <c r="K18" i="132" s="1"/>
  <c r="I17" i="134"/>
  <c r="G17" i="134"/>
  <c r="K17" i="132" s="1"/>
  <c r="I16" i="134"/>
  <c r="G16" i="134"/>
  <c r="K16" i="132" s="1"/>
  <c r="I15" i="134"/>
  <c r="G15" i="134"/>
  <c r="K15" i="132" s="1"/>
  <c r="I13" i="134"/>
  <c r="G13" i="134"/>
  <c r="K13" i="132" s="1"/>
  <c r="G11" i="134"/>
  <c r="K11" i="132" s="1"/>
  <c r="I11" i="134"/>
  <c r="G9" i="134"/>
  <c r="K9" i="132" s="1"/>
  <c r="B22" i="134"/>
  <c r="M22" i="134"/>
  <c r="B22" i="132"/>
  <c r="L22" i="132" l="1"/>
  <c r="BL61" i="97"/>
  <c r="BK61" i="97"/>
  <c r="BJ61" i="97"/>
  <c r="BI61" i="97"/>
  <c r="BH61" i="97"/>
  <c r="BG61" i="97"/>
  <c r="BF61" i="97"/>
  <c r="BL60" i="97"/>
  <c r="BK60" i="97"/>
  <c r="BJ60" i="97"/>
  <c r="BI60" i="97"/>
  <c r="BH60" i="97"/>
  <c r="BG60" i="97"/>
  <c r="BF60" i="97"/>
  <c r="BL59" i="97"/>
  <c r="BK59" i="97"/>
  <c r="BJ59" i="97"/>
  <c r="BI59" i="97"/>
  <c r="BH59" i="97"/>
  <c r="BG59" i="97"/>
  <c r="BF59" i="97"/>
  <c r="BL58" i="97"/>
  <c r="BK58" i="97"/>
  <c r="BJ58" i="97"/>
  <c r="BI58" i="97"/>
  <c r="BH58" i="97"/>
  <c r="BG58" i="97"/>
  <c r="BF58" i="97"/>
  <c r="BL57" i="97"/>
  <c r="BK57" i="97"/>
  <c r="BJ57" i="97"/>
  <c r="BI57" i="97"/>
  <c r="BH57" i="97"/>
  <c r="BG57" i="97"/>
  <c r="BF57" i="97"/>
  <c r="BL56" i="97"/>
  <c r="BK56" i="97"/>
  <c r="BJ56" i="97"/>
  <c r="BI56" i="97"/>
  <c r="BH56" i="97"/>
  <c r="BG56" i="97"/>
  <c r="BF56" i="97"/>
  <c r="BL55" i="97"/>
  <c r="BK55" i="97"/>
  <c r="BJ55" i="97"/>
  <c r="BI55" i="97"/>
  <c r="BH55" i="97"/>
  <c r="BG55" i="97"/>
  <c r="BF55" i="97"/>
  <c r="BL54" i="97"/>
  <c r="BK54" i="97"/>
  <c r="BJ54" i="97"/>
  <c r="BI54" i="97"/>
  <c r="BH54" i="97"/>
  <c r="BG54" i="97"/>
  <c r="BF54" i="97"/>
  <c r="BL53" i="97"/>
  <c r="BK53" i="97"/>
  <c r="BJ53" i="97"/>
  <c r="BI53" i="97"/>
  <c r="BH53" i="97"/>
  <c r="BG53" i="97"/>
  <c r="BF53" i="97"/>
  <c r="BL52" i="97"/>
  <c r="BK52" i="97"/>
  <c r="BJ52" i="97"/>
  <c r="BI52" i="97"/>
  <c r="BH52" i="97"/>
  <c r="BG52" i="97"/>
  <c r="BF52" i="97"/>
  <c r="BL51" i="97"/>
  <c r="BK51" i="97"/>
  <c r="BJ51" i="97"/>
  <c r="BI51" i="97"/>
  <c r="BH51" i="97"/>
  <c r="BG51" i="97"/>
  <c r="BF51" i="97"/>
  <c r="BL50" i="97"/>
  <c r="BK50" i="97"/>
  <c r="BJ50" i="97"/>
  <c r="BI50" i="97"/>
  <c r="BH50" i="97"/>
  <c r="BG50" i="97"/>
  <c r="BF50" i="97"/>
  <c r="BL49" i="97"/>
  <c r="BK49" i="97"/>
  <c r="BJ49" i="97"/>
  <c r="BI49" i="97"/>
  <c r="BH49" i="97"/>
  <c r="BG49" i="97"/>
  <c r="BF49" i="97"/>
  <c r="BL48" i="97"/>
  <c r="BK48" i="97"/>
  <c r="BJ48" i="97"/>
  <c r="BI48" i="97"/>
  <c r="BH48" i="97"/>
  <c r="BG48" i="97"/>
  <c r="BF48" i="97"/>
  <c r="BL47" i="97"/>
  <c r="BK47" i="97"/>
  <c r="BJ47" i="97"/>
  <c r="BI47" i="97"/>
  <c r="BH47" i="97"/>
  <c r="BG47" i="97"/>
  <c r="BF47" i="97"/>
  <c r="BL46" i="97"/>
  <c r="BK46" i="97"/>
  <c r="BJ46" i="97"/>
  <c r="BI46" i="97"/>
  <c r="BH46" i="97"/>
  <c r="BG46" i="97"/>
  <c r="BF46" i="97"/>
  <c r="BL45" i="97"/>
  <c r="BK45" i="97"/>
  <c r="BJ45" i="97"/>
  <c r="BI45" i="97"/>
  <c r="BH45" i="97"/>
  <c r="BG45" i="97"/>
  <c r="BF45" i="97"/>
  <c r="BL44" i="97"/>
  <c r="BK44" i="97"/>
  <c r="BJ44" i="97"/>
  <c r="BI44" i="97"/>
  <c r="BH44" i="97"/>
  <c r="BG44" i="97"/>
  <c r="BF44" i="97"/>
  <c r="BL43" i="97"/>
  <c r="BK43" i="97"/>
  <c r="BJ43" i="97"/>
  <c r="BI43" i="97"/>
  <c r="BH43" i="97"/>
  <c r="BG43" i="97"/>
  <c r="BF43" i="97"/>
  <c r="BL42" i="97"/>
  <c r="BK42" i="97"/>
  <c r="BJ42" i="97"/>
  <c r="BI42" i="97"/>
  <c r="BH42" i="97"/>
  <c r="BG42" i="97"/>
  <c r="BF42" i="97"/>
  <c r="BL41" i="97"/>
  <c r="BK41" i="97"/>
  <c r="BJ41" i="97"/>
  <c r="BI41" i="97"/>
  <c r="BH41" i="97"/>
  <c r="BG41" i="97"/>
  <c r="BF41" i="97"/>
  <c r="BL40" i="97"/>
  <c r="BK40" i="97"/>
  <c r="BJ40" i="97"/>
  <c r="BI40" i="97"/>
  <c r="BH40" i="97"/>
  <c r="BG40" i="97"/>
  <c r="BF40" i="97"/>
  <c r="BL39" i="97"/>
  <c r="BK39" i="97"/>
  <c r="BJ39" i="97"/>
  <c r="BI39" i="97"/>
  <c r="BH39" i="97"/>
  <c r="BG39" i="97"/>
  <c r="BF39" i="97"/>
  <c r="BL38" i="97"/>
  <c r="BK38" i="97"/>
  <c r="BJ38" i="97"/>
  <c r="BI38" i="97"/>
  <c r="BH38" i="97"/>
  <c r="BG38" i="97"/>
  <c r="BF38" i="97"/>
  <c r="BL37" i="97"/>
  <c r="BK37" i="97"/>
  <c r="BJ37" i="97"/>
  <c r="BI37" i="97"/>
  <c r="BH37" i="97"/>
  <c r="BG37" i="97"/>
  <c r="BF37" i="97"/>
  <c r="BL36" i="97"/>
  <c r="BK36" i="97"/>
  <c r="BJ36" i="97"/>
  <c r="BI36" i="97"/>
  <c r="BH36" i="97"/>
  <c r="BG36" i="97"/>
  <c r="BF36" i="97"/>
  <c r="BL35" i="97"/>
  <c r="BK35" i="97"/>
  <c r="BJ35" i="97"/>
  <c r="BI35" i="97"/>
  <c r="BH35" i="97"/>
  <c r="BG35" i="97"/>
  <c r="BF35" i="97"/>
  <c r="BL34" i="97"/>
  <c r="BK34" i="97"/>
  <c r="BJ34" i="97"/>
  <c r="BI34" i="97"/>
  <c r="BH34" i="97"/>
  <c r="BG34" i="97"/>
  <c r="BF34" i="97"/>
  <c r="BL33" i="97"/>
  <c r="BK33" i="97"/>
  <c r="BJ33" i="97"/>
  <c r="BI33" i="97"/>
  <c r="BH33" i="97"/>
  <c r="BG33" i="97"/>
  <c r="BF33" i="97"/>
  <c r="BL32" i="97"/>
  <c r="BK32" i="97"/>
  <c r="BJ32" i="97"/>
  <c r="BI32" i="97"/>
  <c r="BH32" i="97"/>
  <c r="BG32" i="97"/>
  <c r="BF32" i="97"/>
  <c r="BL31" i="97"/>
  <c r="BK31" i="97"/>
  <c r="BJ31" i="97"/>
  <c r="BI31" i="97"/>
  <c r="BH31" i="97"/>
  <c r="BG31" i="97"/>
  <c r="BF31" i="97"/>
  <c r="BL30" i="97"/>
  <c r="BK30" i="97"/>
  <c r="BJ30" i="97"/>
  <c r="BI30" i="97"/>
  <c r="BH30" i="97"/>
  <c r="BG30" i="97"/>
  <c r="BF30" i="97"/>
  <c r="BL29" i="97"/>
  <c r="BK29" i="97"/>
  <c r="BJ29" i="97"/>
  <c r="BI29" i="97"/>
  <c r="BH29" i="97"/>
  <c r="BG29" i="97"/>
  <c r="BF29" i="97"/>
  <c r="BL28" i="97"/>
  <c r="BK28" i="97"/>
  <c r="BJ28" i="97"/>
  <c r="BI28" i="97"/>
  <c r="BH28" i="97"/>
  <c r="BG28" i="97"/>
  <c r="BF28" i="97"/>
  <c r="BL27" i="97"/>
  <c r="BK27" i="97"/>
  <c r="BJ27" i="97"/>
  <c r="BI27" i="97"/>
  <c r="BH27" i="97"/>
  <c r="BG27" i="97"/>
  <c r="BF27" i="97"/>
  <c r="BL26" i="97"/>
  <c r="BK26" i="97"/>
  <c r="BJ26" i="97"/>
  <c r="BI26" i="97"/>
  <c r="BH26" i="97"/>
  <c r="BG26" i="97"/>
  <c r="BF26" i="97"/>
  <c r="BL25" i="97"/>
  <c r="BK25" i="97"/>
  <c r="BJ25" i="97"/>
  <c r="BI25" i="97"/>
  <c r="BH25" i="97"/>
  <c r="BG25" i="97"/>
  <c r="BF25" i="97"/>
  <c r="BL24" i="97"/>
  <c r="BK24" i="97"/>
  <c r="BJ24" i="97"/>
  <c r="BI24" i="97"/>
  <c r="BH24" i="97"/>
  <c r="BG24" i="97"/>
  <c r="BF24" i="97"/>
  <c r="BL23" i="97"/>
  <c r="BK23" i="97"/>
  <c r="BJ23" i="97"/>
  <c r="BI23" i="97"/>
  <c r="BH23" i="97"/>
  <c r="BG23" i="97"/>
  <c r="BF23" i="97"/>
  <c r="BL22" i="97"/>
  <c r="BK22" i="97"/>
  <c r="BJ22" i="97"/>
  <c r="BI22" i="97"/>
  <c r="BH22" i="97"/>
  <c r="BG22" i="97"/>
  <c r="BF22" i="97"/>
  <c r="BL21" i="97"/>
  <c r="BK21" i="97"/>
  <c r="BJ21" i="97"/>
  <c r="BI21" i="97"/>
  <c r="BH21" i="97"/>
  <c r="BG21" i="97"/>
  <c r="BF21" i="97"/>
  <c r="BL20" i="97"/>
  <c r="BK20" i="97"/>
  <c r="BJ20" i="97"/>
  <c r="BI20" i="97"/>
  <c r="BH20" i="97"/>
  <c r="BG20" i="97"/>
  <c r="BF20" i="97"/>
  <c r="BL19" i="97"/>
  <c r="BK19" i="97"/>
  <c r="BJ19" i="97"/>
  <c r="BI19" i="97"/>
  <c r="BH19" i="97"/>
  <c r="BG19" i="97"/>
  <c r="BF19" i="97"/>
  <c r="BL18" i="97"/>
  <c r="BK18" i="97"/>
  <c r="BJ18" i="97"/>
  <c r="BI18" i="97"/>
  <c r="BH18" i="97"/>
  <c r="BG18" i="97"/>
  <c r="BF18" i="97"/>
  <c r="BL17" i="97"/>
  <c r="BK17" i="97"/>
  <c r="BJ17" i="97"/>
  <c r="BI17" i="97"/>
  <c r="BH17" i="97"/>
  <c r="BG17" i="97"/>
  <c r="BF17" i="97"/>
  <c r="BL16" i="97"/>
  <c r="BK16" i="97"/>
  <c r="BJ16" i="97"/>
  <c r="BI16" i="97"/>
  <c r="BH16" i="97"/>
  <c r="BG16" i="97"/>
  <c r="BF16" i="97"/>
  <c r="BL15" i="97"/>
  <c r="BK15" i="97"/>
  <c r="BJ15" i="97"/>
  <c r="BI15" i="97"/>
  <c r="BH15" i="97"/>
  <c r="BG15" i="97"/>
  <c r="BF15" i="97"/>
  <c r="BL14" i="97"/>
  <c r="BK14" i="97"/>
  <c r="BJ14" i="97"/>
  <c r="BI14" i="97"/>
  <c r="BH14" i="97"/>
  <c r="BG14" i="97"/>
  <c r="BF14" i="97"/>
  <c r="BL13" i="97"/>
  <c r="BK13" i="97"/>
  <c r="BJ13" i="97"/>
  <c r="BI13" i="97"/>
  <c r="BH13" i="97"/>
  <c r="BG13" i="97"/>
  <c r="BF13" i="97"/>
  <c r="BL12" i="97"/>
  <c r="BK12" i="97"/>
  <c r="BJ12" i="97"/>
  <c r="BI12" i="97"/>
  <c r="BH12" i="97"/>
  <c r="BG12" i="97"/>
  <c r="BF12" i="97"/>
  <c r="BL10" i="97"/>
  <c r="BK10" i="97"/>
  <c r="BJ10" i="97"/>
  <c r="BI10" i="97"/>
  <c r="BH10" i="97"/>
  <c r="BG10" i="97"/>
  <c r="BF10" i="97"/>
  <c r="BL8" i="97"/>
  <c r="BK8" i="97"/>
  <c r="BJ8" i="97"/>
  <c r="BI8" i="97"/>
  <c r="BH8" i="97"/>
  <c r="BG8" i="97"/>
  <c r="BF8" i="97"/>
  <c r="BL6" i="97"/>
  <c r="BK6" i="97"/>
  <c r="BJ6" i="97"/>
  <c r="BI6" i="97"/>
  <c r="BH6" i="97"/>
  <c r="C134" i="54" l="1"/>
  <c r="E134" i="54"/>
  <c r="BK8" i="74" l="1"/>
  <c r="AH6" i="97" l="1"/>
  <c r="AI6" i="97"/>
  <c r="AJ6" i="97"/>
  <c r="AK6" i="97"/>
  <c r="AL6" i="97"/>
  <c r="AM6" i="97"/>
  <c r="AN6" i="97"/>
  <c r="AH8" i="97"/>
  <c r="AI8" i="97"/>
  <c r="AJ8" i="97"/>
  <c r="AK8" i="97"/>
  <c r="AL8" i="97"/>
  <c r="AM8" i="97"/>
  <c r="AN8" i="97"/>
  <c r="AH10" i="97"/>
  <c r="AI10" i="97"/>
  <c r="AJ10" i="97"/>
  <c r="AK10" i="97"/>
  <c r="AL10" i="97"/>
  <c r="AM10" i="97"/>
  <c r="AN10" i="97"/>
  <c r="AH12" i="97"/>
  <c r="AI12" i="97"/>
  <c r="AJ12" i="97"/>
  <c r="AK12" i="97"/>
  <c r="AL12" i="97"/>
  <c r="AM12" i="97"/>
  <c r="AN12" i="97"/>
  <c r="AH13" i="97"/>
  <c r="AI13" i="97"/>
  <c r="AJ13" i="97"/>
  <c r="AK13" i="97"/>
  <c r="AL13" i="97"/>
  <c r="AM13" i="97"/>
  <c r="AN13" i="97"/>
  <c r="AH14" i="97"/>
  <c r="AI14" i="97"/>
  <c r="AJ14" i="97"/>
  <c r="AK14" i="97"/>
  <c r="AL14" i="97"/>
  <c r="AM14" i="97"/>
  <c r="AN14" i="97"/>
  <c r="AH15" i="97"/>
  <c r="AI15" i="97"/>
  <c r="AJ15" i="97"/>
  <c r="AK15" i="97"/>
  <c r="AL15" i="97"/>
  <c r="AM15" i="97"/>
  <c r="AN15" i="97"/>
  <c r="AH16" i="97"/>
  <c r="AI16" i="97"/>
  <c r="AJ16" i="97"/>
  <c r="AK16" i="97"/>
  <c r="AL16" i="97"/>
  <c r="AM16" i="97"/>
  <c r="AN16" i="97"/>
  <c r="AH17" i="97"/>
  <c r="AI17" i="97"/>
  <c r="AJ17" i="97"/>
  <c r="AK17" i="97"/>
  <c r="AL17" i="97"/>
  <c r="AM17" i="97"/>
  <c r="AN17" i="97"/>
  <c r="AH18" i="97"/>
  <c r="AI18" i="97"/>
  <c r="AJ18" i="97"/>
  <c r="AK18" i="97"/>
  <c r="AL18" i="97"/>
  <c r="AM18" i="97"/>
  <c r="AN18" i="97"/>
  <c r="AH19" i="97"/>
  <c r="AI19" i="97"/>
  <c r="AJ19" i="97"/>
  <c r="AK19" i="97"/>
  <c r="AL19" i="97"/>
  <c r="AM19" i="97"/>
  <c r="AN19" i="97"/>
  <c r="AH20" i="97"/>
  <c r="AI20" i="97"/>
  <c r="AJ20" i="97"/>
  <c r="AK20" i="97"/>
  <c r="AL20" i="97"/>
  <c r="AM20" i="97"/>
  <c r="AN20" i="97"/>
  <c r="AH21" i="97"/>
  <c r="AI21" i="97"/>
  <c r="AJ21" i="97"/>
  <c r="AK21" i="97"/>
  <c r="AL21" i="97"/>
  <c r="AM21" i="97"/>
  <c r="AN21" i="97"/>
  <c r="AH22" i="97"/>
  <c r="AI22" i="97"/>
  <c r="AJ22" i="97"/>
  <c r="AK22" i="97"/>
  <c r="AL22" i="97"/>
  <c r="AM22" i="97"/>
  <c r="AN22" i="97"/>
  <c r="AH23" i="97"/>
  <c r="AI23" i="97"/>
  <c r="AJ23" i="97"/>
  <c r="AK23" i="97"/>
  <c r="AL23" i="97"/>
  <c r="AM23" i="97"/>
  <c r="AN23" i="97"/>
  <c r="AH24" i="97"/>
  <c r="AI24" i="97"/>
  <c r="AJ24" i="97"/>
  <c r="AK24" i="97"/>
  <c r="AL24" i="97"/>
  <c r="AM24" i="97"/>
  <c r="AN24" i="97"/>
  <c r="AH25" i="97"/>
  <c r="AI25" i="97"/>
  <c r="AJ25" i="97"/>
  <c r="AK25" i="97"/>
  <c r="AL25" i="97"/>
  <c r="AM25" i="97"/>
  <c r="AN25" i="97"/>
  <c r="AH26" i="97"/>
  <c r="AI26" i="97"/>
  <c r="AJ26" i="97"/>
  <c r="AK26" i="97"/>
  <c r="AL26" i="97"/>
  <c r="AM26" i="97"/>
  <c r="AN26" i="97"/>
  <c r="AH27" i="97"/>
  <c r="AI27" i="97"/>
  <c r="AJ27" i="97"/>
  <c r="AK27" i="97"/>
  <c r="AL27" i="97"/>
  <c r="AM27" i="97"/>
  <c r="AN27" i="97"/>
  <c r="AH28" i="97"/>
  <c r="AI28" i="97"/>
  <c r="AJ28" i="97"/>
  <c r="AK28" i="97"/>
  <c r="AL28" i="97"/>
  <c r="AM28" i="97"/>
  <c r="AN28" i="97"/>
  <c r="AH29" i="97"/>
  <c r="AI29" i="97"/>
  <c r="AJ29" i="97"/>
  <c r="AK29" i="97"/>
  <c r="AL29" i="97"/>
  <c r="AM29" i="97"/>
  <c r="AN29" i="97"/>
  <c r="AH30" i="97"/>
  <c r="AI30" i="97"/>
  <c r="AJ30" i="97"/>
  <c r="AK30" i="97"/>
  <c r="AL30" i="97"/>
  <c r="AM30" i="97"/>
  <c r="AN30" i="97"/>
  <c r="AH31" i="97"/>
  <c r="AI31" i="97"/>
  <c r="AJ31" i="97"/>
  <c r="AK31" i="97"/>
  <c r="AL31" i="97"/>
  <c r="AM31" i="97"/>
  <c r="AN31" i="97"/>
  <c r="AH32" i="97"/>
  <c r="AI32" i="97"/>
  <c r="AJ32" i="97"/>
  <c r="AK32" i="97"/>
  <c r="AL32" i="97"/>
  <c r="AM32" i="97"/>
  <c r="AN32" i="97"/>
  <c r="AH33" i="97"/>
  <c r="AI33" i="97"/>
  <c r="AJ33" i="97"/>
  <c r="AK33" i="97"/>
  <c r="AL33" i="97"/>
  <c r="AM33" i="97"/>
  <c r="AN33" i="97"/>
  <c r="AH34" i="97"/>
  <c r="AI34" i="97"/>
  <c r="AJ34" i="97"/>
  <c r="AK34" i="97"/>
  <c r="AL34" i="97"/>
  <c r="AM34" i="97"/>
  <c r="AN34" i="97"/>
  <c r="AH35" i="97"/>
  <c r="AI35" i="97"/>
  <c r="AJ35" i="97"/>
  <c r="AK35" i="97"/>
  <c r="AL35" i="97"/>
  <c r="AM35" i="97"/>
  <c r="AN35" i="97"/>
  <c r="AH36" i="97"/>
  <c r="AI36" i="97"/>
  <c r="AJ36" i="97"/>
  <c r="AK36" i="97"/>
  <c r="AL36" i="97"/>
  <c r="AM36" i="97"/>
  <c r="AN36" i="97"/>
  <c r="AH37" i="97"/>
  <c r="AI37" i="97"/>
  <c r="AJ37" i="97"/>
  <c r="AK37" i="97"/>
  <c r="AL37" i="97"/>
  <c r="AM37" i="97"/>
  <c r="AN37" i="97"/>
  <c r="AH38" i="97"/>
  <c r="AI38" i="97"/>
  <c r="AJ38" i="97"/>
  <c r="AK38" i="97"/>
  <c r="AL38" i="97"/>
  <c r="AM38" i="97"/>
  <c r="AN38" i="97"/>
  <c r="AH39" i="97"/>
  <c r="AI39" i="97"/>
  <c r="AJ39" i="97"/>
  <c r="AK39" i="97"/>
  <c r="AL39" i="97"/>
  <c r="AM39" i="97"/>
  <c r="AN39" i="97"/>
  <c r="AH40" i="97"/>
  <c r="AI40" i="97"/>
  <c r="AJ40" i="97"/>
  <c r="AK40" i="97"/>
  <c r="AL40" i="97"/>
  <c r="AM40" i="97"/>
  <c r="AN40" i="97"/>
  <c r="AH41" i="97"/>
  <c r="AI41" i="97"/>
  <c r="AJ41" i="97"/>
  <c r="AK41" i="97"/>
  <c r="AL41" i="97"/>
  <c r="AM41" i="97"/>
  <c r="AN41" i="97"/>
  <c r="AH42" i="97"/>
  <c r="AI42" i="97"/>
  <c r="AJ42" i="97"/>
  <c r="AK42" i="97"/>
  <c r="AL42" i="97"/>
  <c r="AM42" i="97"/>
  <c r="AN42" i="97"/>
  <c r="AH43" i="97"/>
  <c r="AI43" i="97"/>
  <c r="AJ43" i="97"/>
  <c r="AK43" i="97"/>
  <c r="AL43" i="97"/>
  <c r="AM43" i="97"/>
  <c r="AN43" i="97"/>
  <c r="AH44" i="97"/>
  <c r="AI44" i="97"/>
  <c r="AJ44" i="97"/>
  <c r="AK44" i="97"/>
  <c r="AL44" i="97"/>
  <c r="AM44" i="97"/>
  <c r="AN44" i="97"/>
  <c r="AH45" i="97"/>
  <c r="AI45" i="97"/>
  <c r="AJ45" i="97"/>
  <c r="AK45" i="97"/>
  <c r="AL45" i="97"/>
  <c r="AM45" i="97"/>
  <c r="AN45" i="97"/>
  <c r="AH46" i="97"/>
  <c r="AI46" i="97"/>
  <c r="AJ46" i="97"/>
  <c r="AK46" i="97"/>
  <c r="AL46" i="97"/>
  <c r="AM46" i="97"/>
  <c r="AN46" i="97"/>
  <c r="AH47" i="97"/>
  <c r="AI47" i="97"/>
  <c r="AJ47" i="97"/>
  <c r="AK47" i="97"/>
  <c r="AL47" i="97"/>
  <c r="AM47" i="97"/>
  <c r="AN47" i="97"/>
  <c r="AH48" i="97"/>
  <c r="AI48" i="97"/>
  <c r="AJ48" i="97"/>
  <c r="AK48" i="97"/>
  <c r="AL48" i="97"/>
  <c r="AM48" i="97"/>
  <c r="AN48" i="97"/>
  <c r="AH49" i="97"/>
  <c r="AI49" i="97"/>
  <c r="AJ49" i="97"/>
  <c r="AK49" i="97"/>
  <c r="AL49" i="97"/>
  <c r="AM49" i="97"/>
  <c r="AN49" i="97"/>
  <c r="AH50" i="97"/>
  <c r="AI50" i="97"/>
  <c r="AJ50" i="97"/>
  <c r="AK50" i="97"/>
  <c r="AL50" i="97"/>
  <c r="AM50" i="97"/>
  <c r="AN50" i="97"/>
  <c r="AH51" i="97"/>
  <c r="AI51" i="97"/>
  <c r="AJ51" i="97"/>
  <c r="AK51" i="97"/>
  <c r="AL51" i="97"/>
  <c r="AM51" i="97"/>
  <c r="AN51" i="97"/>
  <c r="AH52" i="97"/>
  <c r="AI52" i="97"/>
  <c r="AJ52" i="97"/>
  <c r="AK52" i="97"/>
  <c r="AL52" i="97"/>
  <c r="AM52" i="97"/>
  <c r="AN52" i="97"/>
  <c r="AH53" i="97"/>
  <c r="AI53" i="97"/>
  <c r="AJ53" i="97"/>
  <c r="AK53" i="97"/>
  <c r="AL53" i="97"/>
  <c r="AM53" i="97"/>
  <c r="AN53" i="97"/>
  <c r="AH54" i="97"/>
  <c r="AI54" i="97"/>
  <c r="AJ54" i="97"/>
  <c r="AK54" i="97"/>
  <c r="AL54" i="97"/>
  <c r="AM54" i="97"/>
  <c r="AN54" i="97"/>
  <c r="AH55" i="97"/>
  <c r="AI55" i="97"/>
  <c r="AJ55" i="97"/>
  <c r="AK55" i="97"/>
  <c r="AL55" i="97"/>
  <c r="AM55" i="97"/>
  <c r="AN55" i="97"/>
  <c r="AH56" i="97"/>
  <c r="AI56" i="97"/>
  <c r="AJ56" i="97"/>
  <c r="AK56" i="97"/>
  <c r="AL56" i="97"/>
  <c r="AM56" i="97"/>
  <c r="AN56" i="97"/>
  <c r="AH57" i="97"/>
  <c r="AI57" i="97"/>
  <c r="AJ57" i="97"/>
  <c r="AK57" i="97"/>
  <c r="AL57" i="97"/>
  <c r="AM57" i="97"/>
  <c r="AN57" i="97"/>
  <c r="AH58" i="97"/>
  <c r="AI58" i="97"/>
  <c r="AJ58" i="97"/>
  <c r="AK58" i="97"/>
  <c r="AL58" i="97"/>
  <c r="AM58" i="97"/>
  <c r="AN58" i="97"/>
  <c r="AH59" i="97"/>
  <c r="AI59" i="97"/>
  <c r="AJ59" i="97"/>
  <c r="AK59" i="97"/>
  <c r="AL59" i="97"/>
  <c r="AM59" i="97"/>
  <c r="AN59" i="97"/>
  <c r="AH60" i="97"/>
  <c r="AI60" i="97"/>
  <c r="AJ60" i="97"/>
  <c r="AK60" i="97"/>
  <c r="AL60" i="97"/>
  <c r="AM60" i="97"/>
  <c r="AN60" i="97"/>
  <c r="AH61" i="97"/>
  <c r="AI61" i="97"/>
  <c r="AJ61" i="97"/>
  <c r="AK61" i="97"/>
  <c r="AL61" i="97"/>
  <c r="AM61" i="97"/>
  <c r="AN61" i="97"/>
  <c r="AX6" i="97"/>
  <c r="AY6" i="97"/>
  <c r="AZ6" i="97"/>
  <c r="BA6" i="97"/>
  <c r="BB6" i="97"/>
  <c r="BC6" i="97"/>
  <c r="BD6" i="97"/>
  <c r="BF6" i="97"/>
  <c r="BG6" i="97"/>
  <c r="AX8" i="97"/>
  <c r="AY8" i="97"/>
  <c r="AZ8" i="97"/>
  <c r="BA8" i="97"/>
  <c r="BB8" i="97"/>
  <c r="BC8" i="97"/>
  <c r="BD8" i="97"/>
  <c r="AX10" i="97"/>
  <c r="AY10" i="97"/>
  <c r="AZ10" i="97"/>
  <c r="BA10" i="97"/>
  <c r="BB10" i="97"/>
  <c r="BC10" i="97"/>
  <c r="BD10" i="97"/>
  <c r="AX12" i="97"/>
  <c r="AY12" i="97"/>
  <c r="AZ12" i="97"/>
  <c r="BA12" i="97"/>
  <c r="BB12" i="97"/>
  <c r="BC12" i="97"/>
  <c r="BD12" i="97"/>
  <c r="AX13" i="97"/>
  <c r="AY13" i="97"/>
  <c r="AZ13" i="97"/>
  <c r="BA13" i="97"/>
  <c r="BB13" i="97"/>
  <c r="BC13" i="97"/>
  <c r="BD13" i="97"/>
  <c r="AX14" i="97"/>
  <c r="AY14" i="97"/>
  <c r="AZ14" i="97"/>
  <c r="BA14" i="97"/>
  <c r="BB14" i="97"/>
  <c r="BC14" i="97"/>
  <c r="BD14" i="97"/>
  <c r="AX15" i="97"/>
  <c r="AY15" i="97"/>
  <c r="AZ15" i="97"/>
  <c r="BA15" i="97"/>
  <c r="BB15" i="97"/>
  <c r="BC15" i="97"/>
  <c r="BD15" i="97"/>
  <c r="AX16" i="97"/>
  <c r="AY16" i="97"/>
  <c r="AZ16" i="97"/>
  <c r="BA16" i="97"/>
  <c r="BB16" i="97"/>
  <c r="BC16" i="97"/>
  <c r="BD16" i="97"/>
  <c r="AX17" i="97"/>
  <c r="AY17" i="97"/>
  <c r="AZ17" i="97"/>
  <c r="BA17" i="97"/>
  <c r="BB17" i="97"/>
  <c r="BC17" i="97"/>
  <c r="BD17" i="97"/>
  <c r="AX18" i="97"/>
  <c r="AY18" i="97"/>
  <c r="AZ18" i="97"/>
  <c r="BA18" i="97"/>
  <c r="BB18" i="97"/>
  <c r="BC18" i="97"/>
  <c r="BD18" i="97"/>
  <c r="AX19" i="97"/>
  <c r="AY19" i="97"/>
  <c r="AZ19" i="97"/>
  <c r="BA19" i="97"/>
  <c r="BB19" i="97"/>
  <c r="BC19" i="97"/>
  <c r="BD19" i="97"/>
  <c r="AX20" i="97"/>
  <c r="AY20" i="97"/>
  <c r="AZ20" i="97"/>
  <c r="BA20" i="97"/>
  <c r="BB20" i="97"/>
  <c r="BC20" i="97"/>
  <c r="BD20" i="97"/>
  <c r="AX21" i="97"/>
  <c r="AY21" i="97"/>
  <c r="AZ21" i="97"/>
  <c r="BA21" i="97"/>
  <c r="BB21" i="97"/>
  <c r="BC21" i="97"/>
  <c r="BD21" i="97"/>
  <c r="AX22" i="97"/>
  <c r="AY22" i="97"/>
  <c r="AZ22" i="97"/>
  <c r="BA22" i="97"/>
  <c r="BB22" i="97"/>
  <c r="BC22" i="97"/>
  <c r="BD22" i="97"/>
  <c r="AX23" i="97"/>
  <c r="AY23" i="97"/>
  <c r="AZ23" i="97"/>
  <c r="BA23" i="97"/>
  <c r="BB23" i="97"/>
  <c r="BC23" i="97"/>
  <c r="BD23" i="97"/>
  <c r="AX24" i="97"/>
  <c r="AY24" i="97"/>
  <c r="AZ24" i="97"/>
  <c r="BA24" i="97"/>
  <c r="BB24" i="97"/>
  <c r="BC24" i="97"/>
  <c r="BD24" i="97"/>
  <c r="AX25" i="97"/>
  <c r="AY25" i="97"/>
  <c r="AZ25" i="97"/>
  <c r="BA25" i="97"/>
  <c r="BB25" i="97"/>
  <c r="BC25" i="97"/>
  <c r="BD25" i="97"/>
  <c r="AX26" i="97"/>
  <c r="AY26" i="97"/>
  <c r="AZ26" i="97"/>
  <c r="BA26" i="97"/>
  <c r="BB26" i="97"/>
  <c r="BC26" i="97"/>
  <c r="BD26" i="97"/>
  <c r="AX27" i="97"/>
  <c r="AY27" i="97"/>
  <c r="AZ27" i="97"/>
  <c r="BA27" i="97"/>
  <c r="BB27" i="97"/>
  <c r="BC27" i="97"/>
  <c r="BD27" i="97"/>
  <c r="AX28" i="97"/>
  <c r="AY28" i="97"/>
  <c r="AZ28" i="97"/>
  <c r="BA28" i="97"/>
  <c r="BB28" i="97"/>
  <c r="BC28" i="97"/>
  <c r="BD28" i="97"/>
  <c r="AX29" i="97"/>
  <c r="AY29" i="97"/>
  <c r="AZ29" i="97"/>
  <c r="BA29" i="97"/>
  <c r="BB29" i="97"/>
  <c r="BC29" i="97"/>
  <c r="BD29" i="97"/>
  <c r="AX30" i="97"/>
  <c r="AY30" i="97"/>
  <c r="AZ30" i="97"/>
  <c r="BA30" i="97"/>
  <c r="BB30" i="97"/>
  <c r="BC30" i="97"/>
  <c r="BD30" i="97"/>
  <c r="AX31" i="97"/>
  <c r="AY31" i="97"/>
  <c r="AZ31" i="97"/>
  <c r="BA31" i="97"/>
  <c r="BB31" i="97"/>
  <c r="BC31" i="97"/>
  <c r="BD31" i="97"/>
  <c r="AX32" i="97"/>
  <c r="AY32" i="97"/>
  <c r="AZ32" i="97"/>
  <c r="BA32" i="97"/>
  <c r="BB32" i="97"/>
  <c r="BC32" i="97"/>
  <c r="BD32" i="97"/>
  <c r="AX33" i="97"/>
  <c r="AY33" i="97"/>
  <c r="AZ33" i="97"/>
  <c r="BA33" i="97"/>
  <c r="BB33" i="97"/>
  <c r="BC33" i="97"/>
  <c r="BD33" i="97"/>
  <c r="AX34" i="97"/>
  <c r="AY34" i="97"/>
  <c r="AZ34" i="97"/>
  <c r="BA34" i="97"/>
  <c r="BB34" i="97"/>
  <c r="BC34" i="97"/>
  <c r="BD34" i="97"/>
  <c r="AX35" i="97"/>
  <c r="AY35" i="97"/>
  <c r="AZ35" i="97"/>
  <c r="BA35" i="97"/>
  <c r="BB35" i="97"/>
  <c r="BC35" i="97"/>
  <c r="BD35" i="97"/>
  <c r="AX36" i="97"/>
  <c r="AY36" i="97"/>
  <c r="AZ36" i="97"/>
  <c r="BA36" i="97"/>
  <c r="BB36" i="97"/>
  <c r="BC36" i="97"/>
  <c r="BD36" i="97"/>
  <c r="AX37" i="97"/>
  <c r="AY37" i="97"/>
  <c r="AZ37" i="97"/>
  <c r="BA37" i="97"/>
  <c r="BB37" i="97"/>
  <c r="BC37" i="97"/>
  <c r="BD37" i="97"/>
  <c r="AX38" i="97"/>
  <c r="AY38" i="97"/>
  <c r="AZ38" i="97"/>
  <c r="BA38" i="97"/>
  <c r="BB38" i="97"/>
  <c r="BC38" i="97"/>
  <c r="BD38" i="97"/>
  <c r="AX39" i="97"/>
  <c r="AY39" i="97"/>
  <c r="AZ39" i="97"/>
  <c r="BA39" i="97"/>
  <c r="BB39" i="97"/>
  <c r="BC39" i="97"/>
  <c r="BD39" i="97"/>
  <c r="AX40" i="97"/>
  <c r="AY40" i="97"/>
  <c r="AZ40" i="97"/>
  <c r="BA40" i="97"/>
  <c r="BB40" i="97"/>
  <c r="BC40" i="97"/>
  <c r="BD40" i="97"/>
  <c r="AX41" i="97"/>
  <c r="AY41" i="97"/>
  <c r="AZ41" i="97"/>
  <c r="BA41" i="97"/>
  <c r="BB41" i="97"/>
  <c r="BC41" i="97"/>
  <c r="BD41" i="97"/>
  <c r="AX42" i="97"/>
  <c r="AY42" i="97"/>
  <c r="AZ42" i="97"/>
  <c r="BA42" i="97"/>
  <c r="BB42" i="97"/>
  <c r="BC42" i="97"/>
  <c r="BD42" i="97"/>
  <c r="AX43" i="97"/>
  <c r="AY43" i="97"/>
  <c r="AZ43" i="97"/>
  <c r="BA43" i="97"/>
  <c r="BB43" i="97"/>
  <c r="BC43" i="97"/>
  <c r="BD43" i="97"/>
  <c r="AX44" i="97"/>
  <c r="AY44" i="97"/>
  <c r="AZ44" i="97"/>
  <c r="BA44" i="97"/>
  <c r="BB44" i="97"/>
  <c r="BC44" i="97"/>
  <c r="BD44" i="97"/>
  <c r="AX45" i="97"/>
  <c r="AY45" i="97"/>
  <c r="AZ45" i="97"/>
  <c r="BA45" i="97"/>
  <c r="BB45" i="97"/>
  <c r="BC45" i="97"/>
  <c r="BD45" i="97"/>
  <c r="AX46" i="97"/>
  <c r="AY46" i="97"/>
  <c r="AZ46" i="97"/>
  <c r="BA46" i="97"/>
  <c r="BB46" i="97"/>
  <c r="BC46" i="97"/>
  <c r="BD46" i="97"/>
  <c r="AX47" i="97"/>
  <c r="AY47" i="97"/>
  <c r="AZ47" i="97"/>
  <c r="BA47" i="97"/>
  <c r="BB47" i="97"/>
  <c r="BC47" i="97"/>
  <c r="BD47" i="97"/>
  <c r="AX48" i="97"/>
  <c r="AY48" i="97"/>
  <c r="AZ48" i="97"/>
  <c r="BA48" i="97"/>
  <c r="BB48" i="97"/>
  <c r="BC48" i="97"/>
  <c r="BD48" i="97"/>
  <c r="AX49" i="97"/>
  <c r="AY49" i="97"/>
  <c r="AZ49" i="97"/>
  <c r="BA49" i="97"/>
  <c r="BB49" i="97"/>
  <c r="BC49" i="97"/>
  <c r="BD49" i="97"/>
  <c r="AX50" i="97"/>
  <c r="AY50" i="97"/>
  <c r="AZ50" i="97"/>
  <c r="BA50" i="97"/>
  <c r="BB50" i="97"/>
  <c r="BC50" i="97"/>
  <c r="BD50" i="97"/>
  <c r="AX51" i="97"/>
  <c r="AY51" i="97"/>
  <c r="AZ51" i="97"/>
  <c r="BA51" i="97"/>
  <c r="BB51" i="97"/>
  <c r="BC51" i="97"/>
  <c r="BD51" i="97"/>
  <c r="AX52" i="97"/>
  <c r="AY52" i="97"/>
  <c r="AZ52" i="97"/>
  <c r="BA52" i="97"/>
  <c r="BB52" i="97"/>
  <c r="BC52" i="97"/>
  <c r="BD52" i="97"/>
  <c r="AX53" i="97"/>
  <c r="AY53" i="97"/>
  <c r="AZ53" i="97"/>
  <c r="BA53" i="97"/>
  <c r="BB53" i="97"/>
  <c r="BC53" i="97"/>
  <c r="BD53" i="97"/>
  <c r="AX54" i="97"/>
  <c r="AY54" i="97"/>
  <c r="AZ54" i="97"/>
  <c r="BA54" i="97"/>
  <c r="BB54" i="97"/>
  <c r="BC54" i="97"/>
  <c r="BD54" i="97"/>
  <c r="AX55" i="97"/>
  <c r="AY55" i="97"/>
  <c r="AZ55" i="97"/>
  <c r="BA55" i="97"/>
  <c r="BB55" i="97"/>
  <c r="BC55" i="97"/>
  <c r="BD55" i="97"/>
  <c r="AX56" i="97"/>
  <c r="AY56" i="97"/>
  <c r="AZ56" i="97"/>
  <c r="BA56" i="97"/>
  <c r="BB56" i="97"/>
  <c r="BC56" i="97"/>
  <c r="BD56" i="97"/>
  <c r="AX57" i="97"/>
  <c r="AY57" i="97"/>
  <c r="AZ57" i="97"/>
  <c r="BA57" i="97"/>
  <c r="BB57" i="97"/>
  <c r="BC57" i="97"/>
  <c r="BD57" i="97"/>
  <c r="AX58" i="97"/>
  <c r="AY58" i="97"/>
  <c r="AZ58" i="97"/>
  <c r="BA58" i="97"/>
  <c r="BB58" i="97"/>
  <c r="BC58" i="97"/>
  <c r="BD58" i="97"/>
  <c r="AX59" i="97"/>
  <c r="AY59" i="97"/>
  <c r="AZ59" i="97"/>
  <c r="BA59" i="97"/>
  <c r="BB59" i="97"/>
  <c r="BC59" i="97"/>
  <c r="BD59" i="97"/>
  <c r="AX60" i="97"/>
  <c r="AY60" i="97"/>
  <c r="AZ60" i="97"/>
  <c r="BA60" i="97"/>
  <c r="BB60" i="97"/>
  <c r="BC60" i="97"/>
  <c r="BD60" i="97"/>
  <c r="AY61" i="97"/>
  <c r="AZ61" i="97"/>
  <c r="BA61" i="97"/>
  <c r="BB61" i="97"/>
  <c r="BC61" i="97"/>
  <c r="BD61" i="97"/>
  <c r="AA6" i="96"/>
  <c r="Z6" i="96" s="1"/>
  <c r="AB6" i="96"/>
  <c r="AC6" i="96"/>
  <c r="AD6" i="96"/>
  <c r="AE6" i="96"/>
  <c r="AF6" i="96"/>
  <c r="AA8" i="96"/>
  <c r="Z8" i="96" s="1"/>
  <c r="AB8" i="96"/>
  <c r="AC8" i="96"/>
  <c r="AD8" i="96"/>
  <c r="AE8" i="96"/>
  <c r="AF8" i="96"/>
  <c r="AA10" i="96"/>
  <c r="Z10" i="96" s="1"/>
  <c r="AB10" i="96"/>
  <c r="AC10" i="96"/>
  <c r="AD10" i="96"/>
  <c r="AE10" i="96"/>
  <c r="AF10" i="96"/>
  <c r="AA12" i="96"/>
  <c r="Z12" i="96" s="1"/>
  <c r="AB12" i="96"/>
  <c r="AC12" i="96"/>
  <c r="AD12" i="96"/>
  <c r="AE12" i="96"/>
  <c r="AF12" i="96"/>
  <c r="AA13" i="96"/>
  <c r="Z13" i="96" s="1"/>
  <c r="AB13" i="96"/>
  <c r="AC13" i="96"/>
  <c r="AD13" i="96"/>
  <c r="AE13" i="96"/>
  <c r="AF13" i="96"/>
  <c r="AA14" i="96"/>
  <c r="Z14" i="96" s="1"/>
  <c r="AB14" i="96"/>
  <c r="AC14" i="96"/>
  <c r="AD14" i="96"/>
  <c r="AE14" i="96"/>
  <c r="AF14" i="96"/>
  <c r="AA15" i="96"/>
  <c r="Z15" i="96" s="1"/>
  <c r="AB15" i="96"/>
  <c r="AC15" i="96"/>
  <c r="AD15" i="96"/>
  <c r="AE15" i="96"/>
  <c r="AF15" i="96"/>
  <c r="AA16" i="96"/>
  <c r="Z16" i="96" s="1"/>
  <c r="AB16" i="96"/>
  <c r="AC16" i="96"/>
  <c r="AD16" i="96"/>
  <c r="AE16" i="96"/>
  <c r="AF16" i="96"/>
  <c r="AA17" i="96"/>
  <c r="Z17" i="96" s="1"/>
  <c r="AB17" i="96"/>
  <c r="AC17" i="96"/>
  <c r="AD17" i="96"/>
  <c r="AE17" i="96"/>
  <c r="AF17" i="96"/>
  <c r="AA18" i="96"/>
  <c r="Z18" i="96" s="1"/>
  <c r="AB18" i="96"/>
  <c r="AC18" i="96"/>
  <c r="AD18" i="96"/>
  <c r="AE18" i="96"/>
  <c r="AF18" i="96"/>
  <c r="AA19" i="96"/>
  <c r="Z19" i="96" s="1"/>
  <c r="AB19" i="96"/>
  <c r="AC19" i="96"/>
  <c r="AD19" i="96"/>
  <c r="AE19" i="96"/>
  <c r="AF19" i="96"/>
  <c r="AA20" i="96"/>
  <c r="Z20" i="96" s="1"/>
  <c r="AB20" i="96"/>
  <c r="AC20" i="96"/>
  <c r="AD20" i="96"/>
  <c r="AE20" i="96"/>
  <c r="AF20" i="96"/>
  <c r="AA21" i="96"/>
  <c r="Z21" i="96" s="1"/>
  <c r="AB21" i="96"/>
  <c r="AC21" i="96"/>
  <c r="AD21" i="96"/>
  <c r="AE21" i="96"/>
  <c r="AF21" i="96"/>
  <c r="AA22" i="96"/>
  <c r="Z22" i="96" s="1"/>
  <c r="AB22" i="96"/>
  <c r="AC22" i="96"/>
  <c r="AD22" i="96"/>
  <c r="AE22" i="96"/>
  <c r="AF22" i="96"/>
  <c r="AA23" i="96"/>
  <c r="Z23" i="96" s="1"/>
  <c r="AB23" i="96"/>
  <c r="AC23" i="96"/>
  <c r="AD23" i="96"/>
  <c r="AE23" i="96"/>
  <c r="AF23" i="96"/>
  <c r="AA24" i="96"/>
  <c r="Z24" i="96" s="1"/>
  <c r="AB24" i="96"/>
  <c r="AC24" i="96"/>
  <c r="AD24" i="96"/>
  <c r="AE24" i="96"/>
  <c r="AF24" i="96"/>
  <c r="AA25" i="96"/>
  <c r="Z25" i="96" s="1"/>
  <c r="AB25" i="96"/>
  <c r="AC25" i="96"/>
  <c r="AD25" i="96"/>
  <c r="AE25" i="96"/>
  <c r="AF25" i="96"/>
  <c r="AA26" i="96"/>
  <c r="Z26" i="96" s="1"/>
  <c r="AB26" i="96"/>
  <c r="AC26" i="96"/>
  <c r="AD26" i="96"/>
  <c r="AE26" i="96"/>
  <c r="AF26" i="96"/>
  <c r="AA27" i="96"/>
  <c r="Z27" i="96" s="1"/>
  <c r="AB27" i="96"/>
  <c r="AC27" i="96"/>
  <c r="AD27" i="96"/>
  <c r="AE27" i="96"/>
  <c r="AF27" i="96"/>
  <c r="AA28" i="96"/>
  <c r="Z28" i="96" s="1"/>
  <c r="AB28" i="96"/>
  <c r="AC28" i="96"/>
  <c r="AD28" i="96"/>
  <c r="AE28" i="96"/>
  <c r="AF28" i="96"/>
  <c r="AA29" i="96"/>
  <c r="Z29" i="96" s="1"/>
  <c r="AB29" i="96"/>
  <c r="AC29" i="96"/>
  <c r="AD29" i="96"/>
  <c r="AE29" i="96"/>
  <c r="AF29" i="96"/>
  <c r="AA30" i="96"/>
  <c r="Z30" i="96" s="1"/>
  <c r="AB30" i="96"/>
  <c r="AC30" i="96"/>
  <c r="AD30" i="96"/>
  <c r="AE30" i="96"/>
  <c r="AF30" i="96"/>
  <c r="AA31" i="96"/>
  <c r="Z31" i="96" s="1"/>
  <c r="AB31" i="96"/>
  <c r="AC31" i="96"/>
  <c r="AD31" i="96"/>
  <c r="AE31" i="96"/>
  <c r="AF31" i="96"/>
  <c r="AA32" i="96"/>
  <c r="Z32" i="96" s="1"/>
  <c r="AB32" i="96"/>
  <c r="AC32" i="96"/>
  <c r="AD32" i="96"/>
  <c r="AE32" i="96"/>
  <c r="AF32" i="96"/>
  <c r="AA33" i="96"/>
  <c r="Z33" i="96" s="1"/>
  <c r="AB33" i="96"/>
  <c r="AC33" i="96"/>
  <c r="AD33" i="96"/>
  <c r="AE33" i="96"/>
  <c r="AF33" i="96"/>
  <c r="AA34" i="96"/>
  <c r="Z34" i="96" s="1"/>
  <c r="AB34" i="96"/>
  <c r="AC34" i="96"/>
  <c r="AD34" i="96"/>
  <c r="AE34" i="96"/>
  <c r="AF34" i="96"/>
  <c r="AA35" i="96"/>
  <c r="Z35" i="96" s="1"/>
  <c r="AB35" i="96"/>
  <c r="AC35" i="96"/>
  <c r="AD35" i="96"/>
  <c r="AE35" i="96"/>
  <c r="AF35" i="96"/>
  <c r="AA36" i="96"/>
  <c r="Z36" i="96" s="1"/>
  <c r="AB36" i="96"/>
  <c r="AC36" i="96"/>
  <c r="AD36" i="96"/>
  <c r="AE36" i="96"/>
  <c r="AF36" i="96"/>
  <c r="AA37" i="96"/>
  <c r="Z37" i="96" s="1"/>
  <c r="AB37" i="96"/>
  <c r="AC37" i="96"/>
  <c r="AD37" i="96"/>
  <c r="AE37" i="96"/>
  <c r="AF37" i="96"/>
  <c r="AA38" i="96"/>
  <c r="Z38" i="96" s="1"/>
  <c r="AB38" i="96"/>
  <c r="AC38" i="96"/>
  <c r="AD38" i="96"/>
  <c r="AE38" i="96"/>
  <c r="AF38" i="96"/>
  <c r="AA39" i="96"/>
  <c r="Z39" i="96" s="1"/>
  <c r="AB39" i="96"/>
  <c r="AC39" i="96"/>
  <c r="AD39" i="96"/>
  <c r="AE39" i="96"/>
  <c r="AF39" i="96"/>
  <c r="AA40" i="96"/>
  <c r="Z40" i="96" s="1"/>
  <c r="AB40" i="96"/>
  <c r="AC40" i="96"/>
  <c r="AD40" i="96"/>
  <c r="AE40" i="96"/>
  <c r="AF40" i="96"/>
  <c r="AA41" i="96"/>
  <c r="Z41" i="96" s="1"/>
  <c r="AB41" i="96"/>
  <c r="AC41" i="96"/>
  <c r="AD41" i="96"/>
  <c r="AE41" i="96"/>
  <c r="AF41" i="96"/>
  <c r="AA42" i="96"/>
  <c r="Z42" i="96" s="1"/>
  <c r="AB42" i="96"/>
  <c r="AC42" i="96"/>
  <c r="AD42" i="96"/>
  <c r="AE42" i="96"/>
  <c r="AF42" i="96"/>
  <c r="AA43" i="96"/>
  <c r="Z43" i="96" s="1"/>
  <c r="AB43" i="96"/>
  <c r="AC43" i="96"/>
  <c r="AD43" i="96"/>
  <c r="AE43" i="96"/>
  <c r="AF43" i="96"/>
  <c r="AA44" i="96"/>
  <c r="Z44" i="96" s="1"/>
  <c r="AB44" i="96"/>
  <c r="AC44" i="96"/>
  <c r="AD44" i="96"/>
  <c r="AE44" i="96"/>
  <c r="AF44" i="96"/>
  <c r="AA45" i="96"/>
  <c r="Z45" i="96" s="1"/>
  <c r="AB45" i="96"/>
  <c r="AC45" i="96"/>
  <c r="AD45" i="96"/>
  <c r="AE45" i="96"/>
  <c r="AF45" i="96"/>
  <c r="AA46" i="96"/>
  <c r="Z46" i="96" s="1"/>
  <c r="AB46" i="96"/>
  <c r="AC46" i="96"/>
  <c r="AD46" i="96"/>
  <c r="AE46" i="96"/>
  <c r="AF46" i="96"/>
  <c r="AA47" i="96"/>
  <c r="Z47" i="96" s="1"/>
  <c r="AB47" i="96"/>
  <c r="AC47" i="96"/>
  <c r="AD47" i="96"/>
  <c r="AE47" i="96"/>
  <c r="AF47" i="96"/>
  <c r="AA48" i="96"/>
  <c r="Z48" i="96" s="1"/>
  <c r="AB48" i="96"/>
  <c r="AC48" i="96"/>
  <c r="AD48" i="96"/>
  <c r="AE48" i="96"/>
  <c r="AF48" i="96"/>
  <c r="AA49" i="96"/>
  <c r="Z49" i="96" s="1"/>
  <c r="AB49" i="96"/>
  <c r="AC49" i="96"/>
  <c r="AD49" i="96"/>
  <c r="AE49" i="96"/>
  <c r="AF49" i="96"/>
  <c r="AA50" i="96"/>
  <c r="Z50" i="96" s="1"/>
  <c r="AB50" i="96"/>
  <c r="AC50" i="96"/>
  <c r="AD50" i="96"/>
  <c r="AE50" i="96"/>
  <c r="AF50" i="96"/>
  <c r="AA51" i="96"/>
  <c r="Z51" i="96" s="1"/>
  <c r="AB51" i="96"/>
  <c r="AC51" i="96"/>
  <c r="AD51" i="96"/>
  <c r="AE51" i="96"/>
  <c r="AF51" i="96"/>
  <c r="AA52" i="96"/>
  <c r="Z52" i="96" s="1"/>
  <c r="AB52" i="96"/>
  <c r="AC52" i="96"/>
  <c r="AD52" i="96"/>
  <c r="AE52" i="96"/>
  <c r="AF52" i="96"/>
  <c r="AA53" i="96"/>
  <c r="Z53" i="96" s="1"/>
  <c r="AB53" i="96"/>
  <c r="AC53" i="96"/>
  <c r="AD53" i="96"/>
  <c r="AE53" i="96"/>
  <c r="AF53" i="96"/>
  <c r="AA54" i="96"/>
  <c r="Z54" i="96" s="1"/>
  <c r="AB54" i="96"/>
  <c r="AC54" i="96"/>
  <c r="AD54" i="96"/>
  <c r="AE54" i="96"/>
  <c r="AF54" i="96"/>
  <c r="AA55" i="96"/>
  <c r="Z55" i="96" s="1"/>
  <c r="AB55" i="96"/>
  <c r="AC55" i="96"/>
  <c r="AD55" i="96"/>
  <c r="AE55" i="96"/>
  <c r="AF55" i="96"/>
  <c r="AA56" i="96"/>
  <c r="Z56" i="96" s="1"/>
  <c r="AB56" i="96"/>
  <c r="AC56" i="96"/>
  <c r="AD56" i="96"/>
  <c r="AE56" i="96"/>
  <c r="AF56" i="96"/>
  <c r="AA57" i="96"/>
  <c r="Z57" i="96" s="1"/>
  <c r="AB57" i="96"/>
  <c r="AC57" i="96"/>
  <c r="AD57" i="96"/>
  <c r="AE57" i="96"/>
  <c r="AF57" i="96"/>
  <c r="AA58" i="96"/>
  <c r="Z58" i="96" s="1"/>
  <c r="AB58" i="96"/>
  <c r="AC58" i="96"/>
  <c r="AD58" i="96"/>
  <c r="AE58" i="96"/>
  <c r="AF58" i="96"/>
  <c r="AA59" i="96"/>
  <c r="Z59" i="96" s="1"/>
  <c r="AB59" i="96"/>
  <c r="AC59" i="96"/>
  <c r="AD59" i="96"/>
  <c r="AE59" i="96"/>
  <c r="AF59" i="96"/>
  <c r="AA60" i="96"/>
  <c r="Z60" i="96" s="1"/>
  <c r="AB60" i="96"/>
  <c r="AC60" i="96"/>
  <c r="AD60" i="96"/>
  <c r="AE60" i="96"/>
  <c r="AF60" i="96"/>
  <c r="AA61" i="96"/>
  <c r="Z61" i="96" s="1"/>
  <c r="AB61" i="96"/>
  <c r="AC61" i="96"/>
  <c r="AD61" i="96"/>
  <c r="AE61" i="96"/>
  <c r="AF61" i="96"/>
  <c r="AQ6" i="96"/>
  <c r="AP6" i="96" s="1"/>
  <c r="AR6" i="96"/>
  <c r="AS6" i="96"/>
  <c r="AT6" i="96"/>
  <c r="AU6" i="96"/>
  <c r="AV6" i="96"/>
  <c r="AY6" i="96"/>
  <c r="AX6" i="96" s="1"/>
  <c r="AZ6" i="96"/>
  <c r="BA6" i="96"/>
  <c r="BB6" i="96"/>
  <c r="BC6" i="96"/>
  <c r="BD6" i="96"/>
  <c r="AQ8" i="96"/>
  <c r="AP8" i="96" s="1"/>
  <c r="AR8" i="96"/>
  <c r="AS8" i="96"/>
  <c r="AT8" i="96"/>
  <c r="AU8" i="96"/>
  <c r="AV8" i="96"/>
  <c r="AY8" i="96"/>
  <c r="AX8" i="96" s="1"/>
  <c r="AZ8" i="96"/>
  <c r="BA8" i="96"/>
  <c r="BB8" i="96"/>
  <c r="BC8" i="96"/>
  <c r="BD8" i="96"/>
  <c r="AQ10" i="96"/>
  <c r="AP10" i="96" s="1"/>
  <c r="AR10" i="96"/>
  <c r="AS10" i="96"/>
  <c r="AT10" i="96"/>
  <c r="AU10" i="96"/>
  <c r="AV10" i="96"/>
  <c r="AY10" i="96"/>
  <c r="AX10" i="96" s="1"/>
  <c r="AZ10" i="96"/>
  <c r="BA10" i="96"/>
  <c r="BB10" i="96"/>
  <c r="BC10" i="96"/>
  <c r="BD10" i="96"/>
  <c r="AQ12" i="96"/>
  <c r="AP12" i="96" s="1"/>
  <c r="AR12" i="96"/>
  <c r="AS12" i="96"/>
  <c r="AT12" i="96"/>
  <c r="AU12" i="96"/>
  <c r="AV12" i="96"/>
  <c r="AY12" i="96"/>
  <c r="AX12" i="96" s="1"/>
  <c r="AZ12" i="96"/>
  <c r="BA12" i="96"/>
  <c r="BB12" i="96"/>
  <c r="BC12" i="96"/>
  <c r="BD12" i="96"/>
  <c r="AQ13" i="96"/>
  <c r="AP13" i="96" s="1"/>
  <c r="AR13" i="96"/>
  <c r="AS13" i="96"/>
  <c r="AT13" i="96"/>
  <c r="AU13" i="96"/>
  <c r="AV13" i="96"/>
  <c r="AY13" i="96"/>
  <c r="AX13" i="96" s="1"/>
  <c r="AZ13" i="96"/>
  <c r="BA13" i="96"/>
  <c r="BB13" i="96"/>
  <c r="BC13" i="96"/>
  <c r="BD13" i="96"/>
  <c r="AQ14" i="96"/>
  <c r="AP14" i="96" s="1"/>
  <c r="AR14" i="96"/>
  <c r="AS14" i="96"/>
  <c r="AT14" i="96"/>
  <c r="AU14" i="96"/>
  <c r="AV14" i="96"/>
  <c r="AY14" i="96"/>
  <c r="AX14" i="96" s="1"/>
  <c r="AZ14" i="96"/>
  <c r="BA14" i="96"/>
  <c r="BB14" i="96"/>
  <c r="BC14" i="96"/>
  <c r="BD14" i="96"/>
  <c r="AQ15" i="96"/>
  <c r="AP15" i="96" s="1"/>
  <c r="AR15" i="96"/>
  <c r="AS15" i="96"/>
  <c r="AT15" i="96"/>
  <c r="AU15" i="96"/>
  <c r="AV15" i="96"/>
  <c r="AY15" i="96"/>
  <c r="AX15" i="96" s="1"/>
  <c r="AZ15" i="96"/>
  <c r="BA15" i="96"/>
  <c r="BB15" i="96"/>
  <c r="BC15" i="96"/>
  <c r="BD15" i="96"/>
  <c r="AQ16" i="96"/>
  <c r="AP16" i="96" s="1"/>
  <c r="AR16" i="96"/>
  <c r="AS16" i="96"/>
  <c r="AT16" i="96"/>
  <c r="AU16" i="96"/>
  <c r="AV16" i="96"/>
  <c r="AY16" i="96"/>
  <c r="AX16" i="96" s="1"/>
  <c r="AZ16" i="96"/>
  <c r="BA16" i="96"/>
  <c r="BB16" i="96"/>
  <c r="BC16" i="96"/>
  <c r="BD16" i="96"/>
  <c r="AQ17" i="96"/>
  <c r="AP17" i="96" s="1"/>
  <c r="AR17" i="96"/>
  <c r="AS17" i="96"/>
  <c r="AT17" i="96"/>
  <c r="AU17" i="96"/>
  <c r="AV17" i="96"/>
  <c r="AY17" i="96"/>
  <c r="AX17" i="96" s="1"/>
  <c r="AZ17" i="96"/>
  <c r="BA17" i="96"/>
  <c r="BB17" i="96"/>
  <c r="BC17" i="96"/>
  <c r="BD17" i="96"/>
  <c r="AQ18" i="96"/>
  <c r="AP18" i="96" s="1"/>
  <c r="AR18" i="96"/>
  <c r="AS18" i="96"/>
  <c r="AT18" i="96"/>
  <c r="AU18" i="96"/>
  <c r="AV18" i="96"/>
  <c r="AY18" i="96"/>
  <c r="AX18" i="96" s="1"/>
  <c r="AZ18" i="96"/>
  <c r="BA18" i="96"/>
  <c r="BB18" i="96"/>
  <c r="BC18" i="96"/>
  <c r="BD18" i="96"/>
  <c r="AQ19" i="96"/>
  <c r="AP19" i="96" s="1"/>
  <c r="AR19" i="96"/>
  <c r="AS19" i="96"/>
  <c r="AT19" i="96"/>
  <c r="AU19" i="96"/>
  <c r="AV19" i="96"/>
  <c r="AY19" i="96"/>
  <c r="AX19" i="96" s="1"/>
  <c r="AZ19" i="96"/>
  <c r="BA19" i="96"/>
  <c r="BB19" i="96"/>
  <c r="BC19" i="96"/>
  <c r="BD19" i="96"/>
  <c r="AQ20" i="96"/>
  <c r="AP20" i="96" s="1"/>
  <c r="AR20" i="96"/>
  <c r="AS20" i="96"/>
  <c r="AT20" i="96"/>
  <c r="AU20" i="96"/>
  <c r="AV20" i="96"/>
  <c r="AY20" i="96"/>
  <c r="AX20" i="96" s="1"/>
  <c r="AZ20" i="96"/>
  <c r="BA20" i="96"/>
  <c r="BB20" i="96"/>
  <c r="BC20" i="96"/>
  <c r="BD20" i="96"/>
  <c r="AQ21" i="96"/>
  <c r="AP21" i="96" s="1"/>
  <c r="AR21" i="96"/>
  <c r="AS21" i="96"/>
  <c r="AT21" i="96"/>
  <c r="AU21" i="96"/>
  <c r="AV21" i="96"/>
  <c r="AY21" i="96"/>
  <c r="AX21" i="96" s="1"/>
  <c r="AZ21" i="96"/>
  <c r="BA21" i="96"/>
  <c r="BB21" i="96"/>
  <c r="BC21" i="96"/>
  <c r="BD21" i="96"/>
  <c r="AQ22" i="96"/>
  <c r="AP22" i="96" s="1"/>
  <c r="AR22" i="96"/>
  <c r="AS22" i="96"/>
  <c r="AT22" i="96"/>
  <c r="AU22" i="96"/>
  <c r="AV22" i="96"/>
  <c r="AY22" i="96"/>
  <c r="AX22" i="96" s="1"/>
  <c r="AZ22" i="96"/>
  <c r="BA22" i="96"/>
  <c r="BB22" i="96"/>
  <c r="BC22" i="96"/>
  <c r="BD22" i="96"/>
  <c r="AQ23" i="96"/>
  <c r="AP23" i="96" s="1"/>
  <c r="AR23" i="96"/>
  <c r="AS23" i="96"/>
  <c r="AT23" i="96"/>
  <c r="AU23" i="96"/>
  <c r="AV23" i="96"/>
  <c r="AY23" i="96"/>
  <c r="AX23" i="96" s="1"/>
  <c r="AZ23" i="96"/>
  <c r="BA23" i="96"/>
  <c r="BB23" i="96"/>
  <c r="BC23" i="96"/>
  <c r="BD23" i="96"/>
  <c r="AQ24" i="96"/>
  <c r="AP24" i="96" s="1"/>
  <c r="AR24" i="96"/>
  <c r="AS24" i="96"/>
  <c r="AT24" i="96"/>
  <c r="AU24" i="96"/>
  <c r="AV24" i="96"/>
  <c r="AY24" i="96"/>
  <c r="AX24" i="96" s="1"/>
  <c r="AZ24" i="96"/>
  <c r="BA24" i="96"/>
  <c r="BB24" i="96"/>
  <c r="BC24" i="96"/>
  <c r="BD24" i="96"/>
  <c r="AQ25" i="96"/>
  <c r="AP25" i="96" s="1"/>
  <c r="AR25" i="96"/>
  <c r="AS25" i="96"/>
  <c r="AT25" i="96"/>
  <c r="AU25" i="96"/>
  <c r="AV25" i="96"/>
  <c r="AY25" i="96"/>
  <c r="AX25" i="96" s="1"/>
  <c r="AZ25" i="96"/>
  <c r="BA25" i="96"/>
  <c r="BB25" i="96"/>
  <c r="BC25" i="96"/>
  <c r="BD25" i="96"/>
  <c r="AQ26" i="96"/>
  <c r="AP26" i="96" s="1"/>
  <c r="AR26" i="96"/>
  <c r="AS26" i="96"/>
  <c r="AT26" i="96"/>
  <c r="AU26" i="96"/>
  <c r="AV26" i="96"/>
  <c r="AY26" i="96"/>
  <c r="AX26" i="96" s="1"/>
  <c r="AZ26" i="96"/>
  <c r="BA26" i="96"/>
  <c r="BB26" i="96"/>
  <c r="BC26" i="96"/>
  <c r="BD26" i="96"/>
  <c r="AQ27" i="96"/>
  <c r="AP27" i="96" s="1"/>
  <c r="AR27" i="96"/>
  <c r="AS27" i="96"/>
  <c r="AT27" i="96"/>
  <c r="AU27" i="96"/>
  <c r="AV27" i="96"/>
  <c r="AY27" i="96"/>
  <c r="AX27" i="96" s="1"/>
  <c r="AZ27" i="96"/>
  <c r="BA27" i="96"/>
  <c r="BB27" i="96"/>
  <c r="BC27" i="96"/>
  <c r="BD27" i="96"/>
  <c r="AQ28" i="96"/>
  <c r="AP28" i="96" s="1"/>
  <c r="AR28" i="96"/>
  <c r="AS28" i="96"/>
  <c r="AT28" i="96"/>
  <c r="AU28" i="96"/>
  <c r="AV28" i="96"/>
  <c r="AY28" i="96"/>
  <c r="AX28" i="96" s="1"/>
  <c r="AZ28" i="96"/>
  <c r="BA28" i="96"/>
  <c r="BB28" i="96"/>
  <c r="BC28" i="96"/>
  <c r="BD28" i="96"/>
  <c r="AQ29" i="96"/>
  <c r="AP29" i="96" s="1"/>
  <c r="AR29" i="96"/>
  <c r="AS29" i="96"/>
  <c r="AT29" i="96"/>
  <c r="AU29" i="96"/>
  <c r="AV29" i="96"/>
  <c r="AY29" i="96"/>
  <c r="AX29" i="96" s="1"/>
  <c r="AZ29" i="96"/>
  <c r="BA29" i="96"/>
  <c r="BB29" i="96"/>
  <c r="BC29" i="96"/>
  <c r="BD29" i="96"/>
  <c r="AQ30" i="96"/>
  <c r="AP30" i="96" s="1"/>
  <c r="AR30" i="96"/>
  <c r="AS30" i="96"/>
  <c r="AT30" i="96"/>
  <c r="AU30" i="96"/>
  <c r="AV30" i="96"/>
  <c r="AY30" i="96"/>
  <c r="AX30" i="96" s="1"/>
  <c r="AZ30" i="96"/>
  <c r="BA30" i="96"/>
  <c r="BB30" i="96"/>
  <c r="BC30" i="96"/>
  <c r="BD30" i="96"/>
  <c r="AQ31" i="96"/>
  <c r="AP31" i="96" s="1"/>
  <c r="AR31" i="96"/>
  <c r="AS31" i="96"/>
  <c r="AT31" i="96"/>
  <c r="AU31" i="96"/>
  <c r="AV31" i="96"/>
  <c r="AY31" i="96"/>
  <c r="AX31" i="96" s="1"/>
  <c r="AZ31" i="96"/>
  <c r="BA31" i="96"/>
  <c r="BB31" i="96"/>
  <c r="BC31" i="96"/>
  <c r="BD31" i="96"/>
  <c r="AQ32" i="96"/>
  <c r="AP32" i="96" s="1"/>
  <c r="AR32" i="96"/>
  <c r="AS32" i="96"/>
  <c r="AT32" i="96"/>
  <c r="AU32" i="96"/>
  <c r="AV32" i="96"/>
  <c r="AY32" i="96"/>
  <c r="AX32" i="96" s="1"/>
  <c r="AZ32" i="96"/>
  <c r="BA32" i="96"/>
  <c r="BB32" i="96"/>
  <c r="BC32" i="96"/>
  <c r="BD32" i="96"/>
  <c r="AQ33" i="96"/>
  <c r="AP33" i="96" s="1"/>
  <c r="AR33" i="96"/>
  <c r="AS33" i="96"/>
  <c r="AT33" i="96"/>
  <c r="AU33" i="96"/>
  <c r="AV33" i="96"/>
  <c r="AY33" i="96"/>
  <c r="AX33" i="96" s="1"/>
  <c r="AZ33" i="96"/>
  <c r="BA33" i="96"/>
  <c r="BB33" i="96"/>
  <c r="BC33" i="96"/>
  <c r="BD33" i="96"/>
  <c r="AQ34" i="96"/>
  <c r="AP34" i="96" s="1"/>
  <c r="AR34" i="96"/>
  <c r="AS34" i="96"/>
  <c r="AT34" i="96"/>
  <c r="AU34" i="96"/>
  <c r="AV34" i="96"/>
  <c r="AY34" i="96"/>
  <c r="AX34" i="96" s="1"/>
  <c r="AZ34" i="96"/>
  <c r="BA34" i="96"/>
  <c r="BB34" i="96"/>
  <c r="BC34" i="96"/>
  <c r="BD34" i="96"/>
  <c r="AQ35" i="96"/>
  <c r="AP35" i="96" s="1"/>
  <c r="AR35" i="96"/>
  <c r="AS35" i="96"/>
  <c r="AT35" i="96"/>
  <c r="AU35" i="96"/>
  <c r="AV35" i="96"/>
  <c r="AY35" i="96"/>
  <c r="AX35" i="96" s="1"/>
  <c r="AZ35" i="96"/>
  <c r="BA35" i="96"/>
  <c r="BB35" i="96"/>
  <c r="BC35" i="96"/>
  <c r="BD35" i="96"/>
  <c r="AQ36" i="96"/>
  <c r="AP36" i="96" s="1"/>
  <c r="AR36" i="96"/>
  <c r="AS36" i="96"/>
  <c r="AT36" i="96"/>
  <c r="AU36" i="96"/>
  <c r="AV36" i="96"/>
  <c r="AY36" i="96"/>
  <c r="AX36" i="96" s="1"/>
  <c r="AZ36" i="96"/>
  <c r="BA36" i="96"/>
  <c r="BB36" i="96"/>
  <c r="BC36" i="96"/>
  <c r="BD36" i="96"/>
  <c r="AQ37" i="96"/>
  <c r="AP37" i="96" s="1"/>
  <c r="AR37" i="96"/>
  <c r="AS37" i="96"/>
  <c r="AT37" i="96"/>
  <c r="AU37" i="96"/>
  <c r="AV37" i="96"/>
  <c r="AY37" i="96"/>
  <c r="AX37" i="96" s="1"/>
  <c r="AZ37" i="96"/>
  <c r="BA37" i="96"/>
  <c r="BB37" i="96"/>
  <c r="BC37" i="96"/>
  <c r="BD37" i="96"/>
  <c r="AQ38" i="96"/>
  <c r="AP38" i="96" s="1"/>
  <c r="AR38" i="96"/>
  <c r="AS38" i="96"/>
  <c r="AT38" i="96"/>
  <c r="AU38" i="96"/>
  <c r="AV38" i="96"/>
  <c r="AY38" i="96"/>
  <c r="AX38" i="96" s="1"/>
  <c r="AZ38" i="96"/>
  <c r="BA38" i="96"/>
  <c r="BB38" i="96"/>
  <c r="BC38" i="96"/>
  <c r="BD38" i="96"/>
  <c r="AQ39" i="96"/>
  <c r="AP39" i="96" s="1"/>
  <c r="AR39" i="96"/>
  <c r="AS39" i="96"/>
  <c r="AT39" i="96"/>
  <c r="AU39" i="96"/>
  <c r="AV39" i="96"/>
  <c r="AY39" i="96"/>
  <c r="AX39" i="96" s="1"/>
  <c r="AZ39" i="96"/>
  <c r="BA39" i="96"/>
  <c r="BB39" i="96"/>
  <c r="BC39" i="96"/>
  <c r="BD39" i="96"/>
  <c r="AQ40" i="96"/>
  <c r="AP40" i="96" s="1"/>
  <c r="AR40" i="96"/>
  <c r="AS40" i="96"/>
  <c r="AT40" i="96"/>
  <c r="AU40" i="96"/>
  <c r="AV40" i="96"/>
  <c r="AY40" i="96"/>
  <c r="AX40" i="96" s="1"/>
  <c r="AZ40" i="96"/>
  <c r="BA40" i="96"/>
  <c r="BB40" i="96"/>
  <c r="BC40" i="96"/>
  <c r="BD40" i="96"/>
  <c r="AQ41" i="96"/>
  <c r="AP41" i="96" s="1"/>
  <c r="AR41" i="96"/>
  <c r="AS41" i="96"/>
  <c r="AT41" i="96"/>
  <c r="AU41" i="96"/>
  <c r="AV41" i="96"/>
  <c r="AY41" i="96"/>
  <c r="AX41" i="96" s="1"/>
  <c r="AZ41" i="96"/>
  <c r="BA41" i="96"/>
  <c r="BB41" i="96"/>
  <c r="BC41" i="96"/>
  <c r="BD41" i="96"/>
  <c r="AQ42" i="96"/>
  <c r="AP42" i="96" s="1"/>
  <c r="AR42" i="96"/>
  <c r="AS42" i="96"/>
  <c r="AT42" i="96"/>
  <c r="AU42" i="96"/>
  <c r="AV42" i="96"/>
  <c r="AY42" i="96"/>
  <c r="AX42" i="96" s="1"/>
  <c r="AZ42" i="96"/>
  <c r="BA42" i="96"/>
  <c r="BB42" i="96"/>
  <c r="BC42" i="96"/>
  <c r="BD42" i="96"/>
  <c r="AQ43" i="96"/>
  <c r="AP43" i="96" s="1"/>
  <c r="AR43" i="96"/>
  <c r="AS43" i="96"/>
  <c r="AT43" i="96"/>
  <c r="AU43" i="96"/>
  <c r="AV43" i="96"/>
  <c r="AY43" i="96"/>
  <c r="AX43" i="96" s="1"/>
  <c r="AZ43" i="96"/>
  <c r="BA43" i="96"/>
  <c r="BB43" i="96"/>
  <c r="BC43" i="96"/>
  <c r="BD43" i="96"/>
  <c r="AQ44" i="96"/>
  <c r="AP44" i="96" s="1"/>
  <c r="AR44" i="96"/>
  <c r="AS44" i="96"/>
  <c r="AT44" i="96"/>
  <c r="AU44" i="96"/>
  <c r="AV44" i="96"/>
  <c r="AY44" i="96"/>
  <c r="AX44" i="96" s="1"/>
  <c r="AZ44" i="96"/>
  <c r="BA44" i="96"/>
  <c r="BB44" i="96"/>
  <c r="BC44" i="96"/>
  <c r="BD44" i="96"/>
  <c r="AQ45" i="96"/>
  <c r="AP45" i="96" s="1"/>
  <c r="AR45" i="96"/>
  <c r="AS45" i="96"/>
  <c r="AT45" i="96"/>
  <c r="AU45" i="96"/>
  <c r="AV45" i="96"/>
  <c r="AY45" i="96"/>
  <c r="AX45" i="96" s="1"/>
  <c r="AZ45" i="96"/>
  <c r="BA45" i="96"/>
  <c r="BB45" i="96"/>
  <c r="BC45" i="96"/>
  <c r="BD45" i="96"/>
  <c r="AQ46" i="96"/>
  <c r="AP46" i="96" s="1"/>
  <c r="AR46" i="96"/>
  <c r="AS46" i="96"/>
  <c r="AT46" i="96"/>
  <c r="AU46" i="96"/>
  <c r="AV46" i="96"/>
  <c r="AY46" i="96"/>
  <c r="AX46" i="96" s="1"/>
  <c r="AZ46" i="96"/>
  <c r="BA46" i="96"/>
  <c r="BB46" i="96"/>
  <c r="BC46" i="96"/>
  <c r="BD46" i="96"/>
  <c r="AQ47" i="96"/>
  <c r="AP47" i="96" s="1"/>
  <c r="AR47" i="96"/>
  <c r="AS47" i="96"/>
  <c r="AT47" i="96"/>
  <c r="AU47" i="96"/>
  <c r="AV47" i="96"/>
  <c r="AY47" i="96"/>
  <c r="AX47" i="96" s="1"/>
  <c r="AZ47" i="96"/>
  <c r="BA47" i="96"/>
  <c r="BB47" i="96"/>
  <c r="BC47" i="96"/>
  <c r="BD47" i="96"/>
  <c r="AQ48" i="96"/>
  <c r="AP48" i="96" s="1"/>
  <c r="AR48" i="96"/>
  <c r="AS48" i="96"/>
  <c r="AT48" i="96"/>
  <c r="AU48" i="96"/>
  <c r="AV48" i="96"/>
  <c r="AY48" i="96"/>
  <c r="AX48" i="96" s="1"/>
  <c r="AZ48" i="96"/>
  <c r="BA48" i="96"/>
  <c r="BB48" i="96"/>
  <c r="BC48" i="96"/>
  <c r="BD48" i="96"/>
  <c r="AQ49" i="96"/>
  <c r="AP49" i="96" s="1"/>
  <c r="AR49" i="96"/>
  <c r="AS49" i="96"/>
  <c r="AT49" i="96"/>
  <c r="AU49" i="96"/>
  <c r="AV49" i="96"/>
  <c r="AY49" i="96"/>
  <c r="AX49" i="96" s="1"/>
  <c r="AZ49" i="96"/>
  <c r="BA49" i="96"/>
  <c r="BB49" i="96"/>
  <c r="BC49" i="96"/>
  <c r="BD49" i="96"/>
  <c r="AQ50" i="96"/>
  <c r="AP50" i="96" s="1"/>
  <c r="AR50" i="96"/>
  <c r="AS50" i="96"/>
  <c r="AT50" i="96"/>
  <c r="AU50" i="96"/>
  <c r="AV50" i="96"/>
  <c r="AY50" i="96"/>
  <c r="AX50" i="96" s="1"/>
  <c r="AZ50" i="96"/>
  <c r="BA50" i="96"/>
  <c r="BB50" i="96"/>
  <c r="BC50" i="96"/>
  <c r="BD50" i="96"/>
  <c r="AQ51" i="96"/>
  <c r="AP51" i="96" s="1"/>
  <c r="AR51" i="96"/>
  <c r="AS51" i="96"/>
  <c r="AT51" i="96"/>
  <c r="AU51" i="96"/>
  <c r="AV51" i="96"/>
  <c r="AY51" i="96"/>
  <c r="AX51" i="96" s="1"/>
  <c r="AZ51" i="96"/>
  <c r="BA51" i="96"/>
  <c r="BB51" i="96"/>
  <c r="BC51" i="96"/>
  <c r="BD51" i="96"/>
  <c r="AQ52" i="96"/>
  <c r="AP52" i="96" s="1"/>
  <c r="AR52" i="96"/>
  <c r="AS52" i="96"/>
  <c r="AT52" i="96"/>
  <c r="AU52" i="96"/>
  <c r="AV52" i="96"/>
  <c r="AY52" i="96"/>
  <c r="AX52" i="96" s="1"/>
  <c r="AZ52" i="96"/>
  <c r="BA52" i="96"/>
  <c r="BB52" i="96"/>
  <c r="BC52" i="96"/>
  <c r="BD52" i="96"/>
  <c r="AQ53" i="96"/>
  <c r="AP53" i="96" s="1"/>
  <c r="AR53" i="96"/>
  <c r="AS53" i="96"/>
  <c r="AT53" i="96"/>
  <c r="AU53" i="96"/>
  <c r="AV53" i="96"/>
  <c r="AY53" i="96"/>
  <c r="AX53" i="96" s="1"/>
  <c r="AZ53" i="96"/>
  <c r="BA53" i="96"/>
  <c r="BB53" i="96"/>
  <c r="BC53" i="96"/>
  <c r="BD53" i="96"/>
  <c r="AQ54" i="96"/>
  <c r="AP54" i="96" s="1"/>
  <c r="AR54" i="96"/>
  <c r="AS54" i="96"/>
  <c r="AT54" i="96"/>
  <c r="AU54" i="96"/>
  <c r="AV54" i="96"/>
  <c r="AY54" i="96"/>
  <c r="AX54" i="96" s="1"/>
  <c r="AZ54" i="96"/>
  <c r="BA54" i="96"/>
  <c r="BB54" i="96"/>
  <c r="BC54" i="96"/>
  <c r="BD54" i="96"/>
  <c r="AQ55" i="96"/>
  <c r="AP55" i="96" s="1"/>
  <c r="AR55" i="96"/>
  <c r="AS55" i="96"/>
  <c r="AT55" i="96"/>
  <c r="AU55" i="96"/>
  <c r="AV55" i="96"/>
  <c r="AY55" i="96"/>
  <c r="AX55" i="96" s="1"/>
  <c r="AZ55" i="96"/>
  <c r="BA55" i="96"/>
  <c r="BB55" i="96"/>
  <c r="BC55" i="96"/>
  <c r="BD55" i="96"/>
  <c r="AQ56" i="96"/>
  <c r="AP56" i="96" s="1"/>
  <c r="AR56" i="96"/>
  <c r="AS56" i="96"/>
  <c r="AT56" i="96"/>
  <c r="AU56" i="96"/>
  <c r="AV56" i="96"/>
  <c r="AY56" i="96"/>
  <c r="AX56" i="96" s="1"/>
  <c r="AZ56" i="96"/>
  <c r="BA56" i="96"/>
  <c r="BB56" i="96"/>
  <c r="BC56" i="96"/>
  <c r="BD56" i="96"/>
  <c r="AQ57" i="96"/>
  <c r="AP57" i="96" s="1"/>
  <c r="AR57" i="96"/>
  <c r="AS57" i="96"/>
  <c r="AT57" i="96"/>
  <c r="AU57" i="96"/>
  <c r="AV57" i="96"/>
  <c r="AY57" i="96"/>
  <c r="AX57" i="96" s="1"/>
  <c r="AZ57" i="96"/>
  <c r="BA57" i="96"/>
  <c r="BB57" i="96"/>
  <c r="BC57" i="96"/>
  <c r="BD57" i="96"/>
  <c r="AQ58" i="96"/>
  <c r="AP58" i="96" s="1"/>
  <c r="AR58" i="96"/>
  <c r="AS58" i="96"/>
  <c r="AT58" i="96"/>
  <c r="AU58" i="96"/>
  <c r="AV58" i="96"/>
  <c r="AY58" i="96"/>
  <c r="AX58" i="96" s="1"/>
  <c r="AZ58" i="96"/>
  <c r="BA58" i="96"/>
  <c r="BB58" i="96"/>
  <c r="BC58" i="96"/>
  <c r="BD58" i="96"/>
  <c r="AQ59" i="96"/>
  <c r="AP59" i="96" s="1"/>
  <c r="AR59" i="96"/>
  <c r="AS59" i="96"/>
  <c r="AT59" i="96"/>
  <c r="AU59" i="96"/>
  <c r="AV59" i="96"/>
  <c r="AY59" i="96"/>
  <c r="AX59" i="96" s="1"/>
  <c r="AZ59" i="96"/>
  <c r="BA59" i="96"/>
  <c r="BB59" i="96"/>
  <c r="BC59" i="96"/>
  <c r="BD59" i="96"/>
  <c r="AQ60" i="96"/>
  <c r="AP60" i="96" s="1"/>
  <c r="AR60" i="96"/>
  <c r="AS60" i="96"/>
  <c r="AT60" i="96"/>
  <c r="AU60" i="96"/>
  <c r="AV60" i="96"/>
  <c r="AY60" i="96"/>
  <c r="AX60" i="96" s="1"/>
  <c r="AZ60" i="96"/>
  <c r="BA60" i="96"/>
  <c r="BB60" i="96"/>
  <c r="BC60" i="96"/>
  <c r="BD60" i="96"/>
  <c r="AQ61" i="96"/>
  <c r="AP61" i="96" s="1"/>
  <c r="AR61" i="96"/>
  <c r="AS61" i="96"/>
  <c r="AT61" i="96"/>
  <c r="AU61" i="96"/>
  <c r="AV61" i="96"/>
  <c r="AY61" i="96"/>
  <c r="AX61" i="96" s="1"/>
  <c r="AZ61" i="96"/>
  <c r="BA61" i="96"/>
  <c r="BB61" i="96"/>
  <c r="BC61" i="96"/>
  <c r="BD61" i="96"/>
  <c r="F83" i="141" l="1"/>
  <c r="D83" i="141"/>
  <c r="B60" i="75" l="1"/>
  <c r="C60" i="75"/>
  <c r="D60" i="75"/>
  <c r="E60" i="75"/>
  <c r="F60" i="75"/>
  <c r="G60" i="75"/>
  <c r="H60" i="75"/>
  <c r="B61" i="75"/>
  <c r="C61" i="75"/>
  <c r="D61" i="75"/>
  <c r="E61" i="75"/>
  <c r="F61" i="75"/>
  <c r="G61" i="75"/>
  <c r="H61" i="75"/>
  <c r="B62" i="75"/>
  <c r="C62" i="75"/>
  <c r="D62" i="75"/>
  <c r="E62" i="75"/>
  <c r="F62" i="75"/>
  <c r="G62" i="75"/>
  <c r="H62" i="75"/>
  <c r="B63" i="75"/>
  <c r="C63" i="75"/>
  <c r="D63" i="75"/>
  <c r="E63" i="75"/>
  <c r="F63" i="75"/>
  <c r="G63" i="75"/>
  <c r="H63" i="75"/>
  <c r="B64" i="75"/>
  <c r="C64" i="75"/>
  <c r="D64" i="75"/>
  <c r="E64" i="75"/>
  <c r="F64" i="75"/>
  <c r="G64" i="75"/>
  <c r="H64" i="75"/>
  <c r="B65" i="75"/>
  <c r="C65" i="75"/>
  <c r="D65" i="75"/>
  <c r="E65" i="75"/>
  <c r="F65" i="75"/>
  <c r="G65" i="75"/>
  <c r="H65" i="75"/>
  <c r="B66" i="75"/>
  <c r="C66" i="75"/>
  <c r="D66" i="75"/>
  <c r="E66" i="75"/>
  <c r="F66" i="75"/>
  <c r="G66" i="75"/>
  <c r="H66" i="75"/>
  <c r="B67" i="75"/>
  <c r="C67" i="75"/>
  <c r="D67" i="75"/>
  <c r="E67" i="75"/>
  <c r="F67" i="75"/>
  <c r="G67" i="75"/>
  <c r="H67" i="75"/>
  <c r="B68" i="75"/>
  <c r="C68" i="75"/>
  <c r="D68" i="75"/>
  <c r="E68" i="75"/>
  <c r="F68" i="75"/>
  <c r="G68" i="75"/>
  <c r="H68" i="75"/>
  <c r="B69" i="75"/>
  <c r="C69" i="75"/>
  <c r="D69" i="75"/>
  <c r="E69" i="75"/>
  <c r="F69" i="75"/>
  <c r="G69" i="75"/>
  <c r="H69" i="75"/>
  <c r="B70" i="75"/>
  <c r="C70" i="75"/>
  <c r="D70" i="75"/>
  <c r="E70" i="75"/>
  <c r="F70" i="75"/>
  <c r="G70" i="75"/>
  <c r="H70" i="75"/>
  <c r="B71" i="75"/>
  <c r="C71" i="75"/>
  <c r="D71" i="75"/>
  <c r="E71" i="75"/>
  <c r="F71" i="75"/>
  <c r="G71" i="75"/>
  <c r="H71" i="75"/>
  <c r="B72" i="75"/>
  <c r="C72" i="75"/>
  <c r="D72" i="75"/>
  <c r="E72" i="75"/>
  <c r="F72" i="75"/>
  <c r="G72" i="75"/>
  <c r="H72" i="75"/>
  <c r="B73" i="75"/>
  <c r="C73" i="75"/>
  <c r="D73" i="75"/>
  <c r="E73" i="75"/>
  <c r="F73" i="75"/>
  <c r="G73" i="75"/>
  <c r="H73" i="75"/>
  <c r="B74" i="75"/>
  <c r="C74" i="75"/>
  <c r="D74" i="75"/>
  <c r="E74" i="75"/>
  <c r="F74" i="75"/>
  <c r="G74" i="75"/>
  <c r="H74" i="75"/>
  <c r="B75" i="75"/>
  <c r="C75" i="75"/>
  <c r="D75" i="75"/>
  <c r="E75" i="75"/>
  <c r="F75" i="75"/>
  <c r="G75" i="75"/>
  <c r="H75" i="75"/>
  <c r="B76" i="75"/>
  <c r="C76" i="75"/>
  <c r="D76" i="75"/>
  <c r="E76" i="75"/>
  <c r="F76" i="75"/>
  <c r="G76" i="75"/>
  <c r="H76" i="75"/>
  <c r="B77" i="75"/>
  <c r="C77" i="75"/>
  <c r="D77" i="75"/>
  <c r="E77" i="75"/>
  <c r="F77" i="75"/>
  <c r="G77" i="75"/>
  <c r="H77" i="75"/>
  <c r="B78" i="75"/>
  <c r="C78" i="75"/>
  <c r="D78" i="75"/>
  <c r="E78" i="75"/>
  <c r="F78" i="75"/>
  <c r="G78" i="75"/>
  <c r="H78" i="75"/>
  <c r="B79" i="75"/>
  <c r="C79" i="75"/>
  <c r="D79" i="75"/>
  <c r="E79" i="75"/>
  <c r="F79" i="75"/>
  <c r="G79" i="75"/>
  <c r="H79" i="75"/>
  <c r="B80" i="75"/>
  <c r="C80" i="75"/>
  <c r="D80" i="75"/>
  <c r="E80" i="75"/>
  <c r="F80" i="75"/>
  <c r="G80" i="75"/>
  <c r="H80" i="75"/>
  <c r="B81" i="75"/>
  <c r="C81" i="75"/>
  <c r="D81" i="75"/>
  <c r="E81" i="75"/>
  <c r="F81" i="75"/>
  <c r="G81" i="75"/>
  <c r="H81" i="75"/>
  <c r="B82" i="75"/>
  <c r="C82" i="75"/>
  <c r="D82" i="75"/>
  <c r="E82" i="75"/>
  <c r="F82" i="75"/>
  <c r="G82" i="75"/>
  <c r="H82" i="75"/>
  <c r="B83" i="75"/>
  <c r="C83" i="75"/>
  <c r="D83" i="75"/>
  <c r="E83" i="75"/>
  <c r="F83" i="75"/>
  <c r="G83" i="75"/>
  <c r="H83" i="75"/>
  <c r="B84" i="75"/>
  <c r="C84" i="75"/>
  <c r="D84" i="75"/>
  <c r="E84" i="75"/>
  <c r="F84" i="75"/>
  <c r="G84" i="75"/>
  <c r="H84" i="75"/>
  <c r="B85" i="75"/>
  <c r="C85" i="75"/>
  <c r="D85" i="75"/>
  <c r="E85" i="75"/>
  <c r="F85" i="75"/>
  <c r="G85" i="75"/>
  <c r="H85" i="75"/>
  <c r="B86" i="75"/>
  <c r="C86" i="75"/>
  <c r="D86" i="75"/>
  <c r="E86" i="75"/>
  <c r="F86" i="75"/>
  <c r="G86" i="75"/>
  <c r="H86" i="75"/>
  <c r="B87" i="75"/>
  <c r="C87" i="75"/>
  <c r="D87" i="75"/>
  <c r="E87" i="75"/>
  <c r="F87" i="75"/>
  <c r="G87" i="75"/>
  <c r="H87" i="75"/>
  <c r="B88" i="75"/>
  <c r="C88" i="75"/>
  <c r="D88" i="75"/>
  <c r="E88" i="75"/>
  <c r="F88" i="75"/>
  <c r="G88" i="75"/>
  <c r="H88" i="75"/>
  <c r="C89" i="75"/>
  <c r="D89" i="75"/>
  <c r="E89" i="75"/>
  <c r="F89" i="75"/>
  <c r="G89" i="75"/>
  <c r="H89" i="75"/>
  <c r="B89" i="75"/>
  <c r="B41" i="75"/>
  <c r="B42" i="75"/>
  <c r="B43" i="75"/>
  <c r="B44" i="75"/>
  <c r="B45" i="75"/>
  <c r="B46" i="75"/>
  <c r="B47" i="75"/>
  <c r="B48" i="75"/>
  <c r="B49" i="75"/>
  <c r="B50" i="75"/>
  <c r="B51" i="75"/>
  <c r="B52" i="75"/>
  <c r="B53" i="75"/>
  <c r="B54" i="75"/>
  <c r="B55" i="75"/>
  <c r="B56" i="75"/>
  <c r="B57" i="75"/>
  <c r="B58" i="75"/>
  <c r="B59" i="75"/>
  <c r="L110" i="121" l="1"/>
  <c r="L111" i="121"/>
  <c r="L112" i="121"/>
  <c r="L113" i="121"/>
  <c r="L114" i="121"/>
  <c r="L115" i="121"/>
  <c r="L116" i="121"/>
  <c r="L117" i="121"/>
  <c r="L118" i="121"/>
  <c r="L119" i="121"/>
  <c r="L120" i="121"/>
  <c r="L121" i="121"/>
  <c r="L122" i="121"/>
  <c r="L123" i="121"/>
  <c r="L124" i="121"/>
  <c r="L125" i="121"/>
  <c r="L126" i="121"/>
  <c r="L127" i="121"/>
  <c r="L128" i="121"/>
  <c r="L129" i="121"/>
  <c r="L109" i="121"/>
  <c r="L107" i="121"/>
  <c r="B13" i="74"/>
  <c r="B14" i="74"/>
  <c r="B15" i="74"/>
  <c r="B16" i="74"/>
  <c r="B17" i="74"/>
  <c r="B18" i="74"/>
  <c r="B19" i="74"/>
  <c r="B20" i="74"/>
  <c r="B21" i="74"/>
  <c r="B22" i="74"/>
  <c r="B23" i="74"/>
  <c r="B24" i="74"/>
  <c r="B25" i="74"/>
  <c r="B26" i="74"/>
  <c r="B27" i="74"/>
  <c r="B28" i="74"/>
  <c r="B29" i="74"/>
  <c r="B30" i="74"/>
  <c r="B31" i="74"/>
  <c r="B32" i="74"/>
  <c r="B12" i="74"/>
  <c r="B10" i="74"/>
  <c r="B8" i="74"/>
  <c r="B6" i="74"/>
  <c r="I9" i="134" s="1"/>
  <c r="J105" i="121"/>
  <c r="L105" i="121"/>
  <c r="L103" i="121"/>
  <c r="B129" i="121"/>
  <c r="C129" i="121"/>
  <c r="E129" i="121"/>
  <c r="F129" i="121"/>
  <c r="H129" i="121"/>
  <c r="I129" i="121"/>
  <c r="AB129" i="121"/>
  <c r="AE129" i="121"/>
  <c r="AE107" i="121"/>
  <c r="AB107" i="121"/>
  <c r="AE105" i="121"/>
  <c r="AB105" i="121"/>
  <c r="X105" i="121"/>
  <c r="AN64" i="132"/>
  <c r="AB103" i="121" l="1"/>
  <c r="AE103" i="121"/>
  <c r="U57" i="119" l="1"/>
  <c r="D33" i="74"/>
  <c r="D34" i="74"/>
  <c r="D35" i="74"/>
  <c r="D36" i="74"/>
  <c r="D37" i="74"/>
  <c r="D38" i="74"/>
  <c r="D39" i="74"/>
  <c r="D40" i="74"/>
  <c r="D41" i="74"/>
  <c r="D42" i="74"/>
  <c r="D43" i="74"/>
  <c r="D44" i="74"/>
  <c r="D45" i="74"/>
  <c r="D46" i="74"/>
  <c r="D47" i="74"/>
  <c r="D48" i="74"/>
  <c r="D49" i="74"/>
  <c r="D50" i="74"/>
  <c r="D51" i="74"/>
  <c r="D52" i="74"/>
  <c r="D53" i="74"/>
  <c r="D54" i="74"/>
  <c r="D55" i="74"/>
  <c r="D56" i="74"/>
  <c r="D57" i="74"/>
  <c r="D58" i="74"/>
  <c r="D59" i="74"/>
  <c r="D60" i="74"/>
  <c r="D61" i="74"/>
  <c r="AN36" i="132" l="1"/>
  <c r="AN37" i="132"/>
  <c r="AN38" i="132"/>
  <c r="AN39" i="132"/>
  <c r="AN40" i="132"/>
  <c r="AN41" i="132"/>
  <c r="AN42" i="132"/>
  <c r="AN43" i="132"/>
  <c r="AN44" i="132"/>
  <c r="AN45" i="132"/>
  <c r="AN46" i="132"/>
  <c r="AN47" i="132"/>
  <c r="AN48" i="132"/>
  <c r="AN49" i="132"/>
  <c r="AN50" i="132"/>
  <c r="AN51" i="132"/>
  <c r="AN52" i="132"/>
  <c r="AN53" i="132"/>
  <c r="AN54" i="132"/>
  <c r="AN55" i="132"/>
  <c r="AN56" i="132"/>
  <c r="AN57" i="132"/>
  <c r="AN58" i="132"/>
  <c r="AN59" i="132"/>
  <c r="AN60" i="132"/>
  <c r="AN61" i="132"/>
  <c r="AN62" i="132"/>
  <c r="AN63" i="132"/>
  <c r="L130" i="121" l="1"/>
  <c r="L131" i="121"/>
  <c r="L132" i="121"/>
  <c r="L133" i="121"/>
  <c r="L134" i="121"/>
  <c r="L135" i="121"/>
  <c r="L136" i="121"/>
  <c r="L137" i="121"/>
  <c r="L138" i="121"/>
  <c r="L139" i="121"/>
  <c r="L140" i="121"/>
  <c r="L141" i="121"/>
  <c r="L142" i="121"/>
  <c r="L143" i="121"/>
  <c r="L144" i="121"/>
  <c r="L145" i="121"/>
  <c r="L146" i="121"/>
  <c r="L147" i="121"/>
  <c r="L148" i="121"/>
  <c r="L149" i="121"/>
  <c r="L150" i="121"/>
  <c r="L151" i="121"/>
  <c r="L152" i="121"/>
  <c r="L153" i="121"/>
  <c r="L154" i="121"/>
  <c r="L155" i="121"/>
  <c r="L156" i="121"/>
  <c r="L157" i="121"/>
  <c r="L158" i="121"/>
  <c r="L61" i="141" l="1"/>
  <c r="L62" i="141" l="1"/>
  <c r="L57" i="141"/>
  <c r="L60" i="141"/>
  <c r="L59" i="141"/>
  <c r="J63" i="141"/>
  <c r="L58" i="141"/>
  <c r="L53" i="141" l="1"/>
  <c r="I63" i="141"/>
  <c r="AH7" i="39" l="1"/>
  <c r="AI7" i="39"/>
  <c r="AJ7" i="39"/>
  <c r="C33" i="62" s="1"/>
  <c r="AK7" i="39"/>
  <c r="AL7" i="39"/>
  <c r="AM7" i="39"/>
  <c r="AH8" i="39"/>
  <c r="AI8" i="39"/>
  <c r="AJ8" i="39"/>
  <c r="C34" i="62" s="1"/>
  <c r="AK8" i="39"/>
  <c r="AL8" i="39"/>
  <c r="AM8" i="39"/>
  <c r="AH9" i="39"/>
  <c r="AI9" i="39"/>
  <c r="AJ9" i="39"/>
  <c r="C35" i="62" s="1"/>
  <c r="AK9" i="39"/>
  <c r="AL9" i="39"/>
  <c r="AM9" i="39"/>
  <c r="AH10" i="39"/>
  <c r="AI10" i="39"/>
  <c r="AJ10" i="39"/>
  <c r="C36" i="62" s="1"/>
  <c r="AK10" i="39"/>
  <c r="AL10" i="39"/>
  <c r="AM10" i="39"/>
  <c r="AH11" i="39"/>
  <c r="AI11" i="39"/>
  <c r="AJ11" i="39"/>
  <c r="C37" i="62" s="1"/>
  <c r="AK11" i="39"/>
  <c r="AL11" i="39"/>
  <c r="AM11" i="39"/>
  <c r="AH12" i="39"/>
  <c r="AI12" i="39"/>
  <c r="AJ12" i="39"/>
  <c r="C38" i="62" s="1"/>
  <c r="AK12" i="39"/>
  <c r="AL12" i="39"/>
  <c r="AM12" i="39"/>
  <c r="AH13" i="39"/>
  <c r="AI13" i="39"/>
  <c r="AJ13" i="39"/>
  <c r="C39" i="62" s="1"/>
  <c r="AK13" i="39"/>
  <c r="AL13" i="39"/>
  <c r="AM13" i="39"/>
  <c r="AH14" i="39"/>
  <c r="AI14" i="39"/>
  <c r="AJ14" i="39"/>
  <c r="C40" i="62" s="1"/>
  <c r="AK14" i="39"/>
  <c r="AL14" i="39"/>
  <c r="AM14" i="39"/>
  <c r="AH15" i="39"/>
  <c r="AI15" i="39"/>
  <c r="AJ15" i="39"/>
  <c r="C41" i="62" s="1"/>
  <c r="AK15" i="39"/>
  <c r="AL15" i="39"/>
  <c r="AM15" i="39"/>
  <c r="AH16" i="39"/>
  <c r="AI16" i="39"/>
  <c r="AJ16" i="39"/>
  <c r="C42" i="62" s="1"/>
  <c r="AK16" i="39"/>
  <c r="AL16" i="39"/>
  <c r="AM16" i="39"/>
  <c r="AH17" i="39"/>
  <c r="AI17" i="39"/>
  <c r="AJ17" i="39"/>
  <c r="C43" i="62" s="1"/>
  <c r="AK17" i="39"/>
  <c r="AL17" i="39"/>
  <c r="AM17" i="39"/>
  <c r="AH18" i="39"/>
  <c r="AI18" i="39"/>
  <c r="AJ18" i="39"/>
  <c r="C44" i="62" s="1"/>
  <c r="AK18" i="39"/>
  <c r="AL18" i="39"/>
  <c r="AM18" i="39"/>
  <c r="AH19" i="39"/>
  <c r="AI19" i="39"/>
  <c r="AJ19" i="39"/>
  <c r="C45" i="62" s="1"/>
  <c r="AK19" i="39"/>
  <c r="AL19" i="39"/>
  <c r="AM19" i="39"/>
  <c r="AH20" i="39"/>
  <c r="AI20" i="39"/>
  <c r="AJ20" i="39"/>
  <c r="C46" i="62" s="1"/>
  <c r="AK20" i="39"/>
  <c r="AL20" i="39"/>
  <c r="AM20" i="39"/>
  <c r="AH21" i="39"/>
  <c r="AI21" i="39"/>
  <c r="AJ21" i="39"/>
  <c r="C47" i="62" s="1"/>
  <c r="AK21" i="39"/>
  <c r="AL21" i="39"/>
  <c r="AM21" i="39"/>
  <c r="AH22" i="39"/>
  <c r="AI22" i="39"/>
  <c r="AJ22" i="39"/>
  <c r="C48" i="62" s="1"/>
  <c r="AK22" i="39"/>
  <c r="AL22" i="39"/>
  <c r="AM22" i="39"/>
  <c r="AH23" i="39"/>
  <c r="AI23" i="39"/>
  <c r="AJ23" i="39"/>
  <c r="C49" i="62" s="1"/>
  <c r="AK23" i="39"/>
  <c r="AL23" i="39"/>
  <c r="AM23" i="39"/>
  <c r="AH24" i="39"/>
  <c r="AI24" i="39"/>
  <c r="AJ24" i="39"/>
  <c r="C50" i="62" s="1"/>
  <c r="AK24" i="39"/>
  <c r="AL24" i="39"/>
  <c r="AM24" i="39"/>
  <c r="AH25" i="39"/>
  <c r="AI25" i="39"/>
  <c r="AJ25" i="39"/>
  <c r="AK25" i="39"/>
  <c r="AL25" i="39"/>
  <c r="AM25" i="39"/>
  <c r="AH26" i="39"/>
  <c r="AI26" i="39"/>
  <c r="AJ26" i="39"/>
  <c r="C52" i="62" s="1"/>
  <c r="AK26" i="39"/>
  <c r="AL26" i="39"/>
  <c r="AM26" i="39"/>
  <c r="AH27" i="39"/>
  <c r="AI27" i="39"/>
  <c r="AJ27" i="39"/>
  <c r="C53" i="62" s="1"/>
  <c r="AK27" i="39"/>
  <c r="AL27" i="39"/>
  <c r="AM27" i="39"/>
  <c r="AH28" i="39"/>
  <c r="AI28" i="39"/>
  <c r="AJ28" i="39"/>
  <c r="C54" i="62" s="1"/>
  <c r="AK28" i="39"/>
  <c r="AL28" i="39"/>
  <c r="AM28" i="39"/>
  <c r="AH29" i="39"/>
  <c r="AI29" i="39"/>
  <c r="AJ29" i="39"/>
  <c r="C55" i="62" s="1"/>
  <c r="AK29" i="39"/>
  <c r="AL29" i="39"/>
  <c r="AM29" i="39"/>
  <c r="AH30" i="39"/>
  <c r="AI30" i="39"/>
  <c r="AJ30" i="39"/>
  <c r="C56" i="62" s="1"/>
  <c r="AK30" i="39"/>
  <c r="AL30" i="39"/>
  <c r="AM30" i="39"/>
  <c r="AH31" i="39"/>
  <c r="AI31" i="39"/>
  <c r="AJ31" i="39"/>
  <c r="AK31" i="39"/>
  <c r="AL31" i="39"/>
  <c r="AM31" i="39"/>
  <c r="AH32" i="39"/>
  <c r="AI32" i="39"/>
  <c r="AJ32" i="39"/>
  <c r="C58" i="62" s="1"/>
  <c r="AK32" i="39"/>
  <c r="AL32" i="39"/>
  <c r="AM32" i="39"/>
  <c r="AH33" i="39"/>
  <c r="AI33" i="39"/>
  <c r="AJ33" i="39"/>
  <c r="C59" i="62" s="1"/>
  <c r="AK33" i="39"/>
  <c r="AL33" i="39"/>
  <c r="AM33" i="39"/>
  <c r="AH34" i="39"/>
  <c r="AI34" i="39"/>
  <c r="AJ34" i="39"/>
  <c r="C60" i="62" s="1"/>
  <c r="AK34" i="39"/>
  <c r="AL34" i="39"/>
  <c r="AM34" i="39"/>
  <c r="AH35" i="39"/>
  <c r="AI35" i="39"/>
  <c r="AJ35" i="39"/>
  <c r="AK35" i="39"/>
  <c r="AL35" i="39"/>
  <c r="AM35" i="39"/>
  <c r="AH36" i="39"/>
  <c r="AI36" i="39"/>
  <c r="AJ36" i="39"/>
  <c r="C62" i="62" s="1"/>
  <c r="AK36" i="39"/>
  <c r="AL36" i="39"/>
  <c r="AM36" i="39"/>
  <c r="AH37" i="39"/>
  <c r="AI37" i="39"/>
  <c r="AJ37" i="39"/>
  <c r="C63" i="62" s="1"/>
  <c r="AK37" i="39"/>
  <c r="AL37" i="39"/>
  <c r="AM37" i="39"/>
  <c r="AH38" i="39"/>
  <c r="AI38" i="39"/>
  <c r="AJ38" i="39"/>
  <c r="C64" i="62" s="1"/>
  <c r="AK38" i="39"/>
  <c r="AL38" i="39"/>
  <c r="AM38" i="39"/>
  <c r="AH39" i="39"/>
  <c r="AI39" i="39"/>
  <c r="AJ39" i="39"/>
  <c r="C65" i="62" s="1"/>
  <c r="AK39" i="39"/>
  <c r="AL39" i="39"/>
  <c r="AM39" i="39"/>
  <c r="AH40" i="39"/>
  <c r="AI40" i="39"/>
  <c r="AJ40" i="39"/>
  <c r="C66" i="62" s="1"/>
  <c r="AK40" i="39"/>
  <c r="AL40" i="39"/>
  <c r="AM40" i="39"/>
  <c r="AH41" i="39"/>
  <c r="AI41" i="39"/>
  <c r="AJ41" i="39"/>
  <c r="C67" i="62" s="1"/>
  <c r="AK41" i="39"/>
  <c r="AL41" i="39"/>
  <c r="AM41" i="39"/>
  <c r="AH42" i="39"/>
  <c r="AI42" i="39"/>
  <c r="AJ42" i="39"/>
  <c r="C68" i="62" s="1"/>
  <c r="AK42" i="39"/>
  <c r="AL42" i="39"/>
  <c r="AM42" i="39"/>
  <c r="AH43" i="39"/>
  <c r="AI43" i="39"/>
  <c r="AJ43" i="39"/>
  <c r="C69" i="62" s="1"/>
  <c r="AK43" i="39"/>
  <c r="AL43" i="39"/>
  <c r="AM43" i="39"/>
  <c r="AH44" i="39"/>
  <c r="AI44" i="39"/>
  <c r="AJ44" i="39"/>
  <c r="C70" i="62" s="1"/>
  <c r="AK44" i="39"/>
  <c r="AL44" i="39"/>
  <c r="AM44" i="39"/>
  <c r="AH45" i="39"/>
  <c r="AI45" i="39"/>
  <c r="AJ45" i="39"/>
  <c r="C71" i="62" s="1"/>
  <c r="AK45" i="39"/>
  <c r="AL45" i="39"/>
  <c r="AM45" i="39"/>
  <c r="AH46" i="39"/>
  <c r="AI46" i="39"/>
  <c r="AJ46" i="39"/>
  <c r="C72" i="62" s="1"/>
  <c r="AK46" i="39"/>
  <c r="AL46" i="39"/>
  <c r="AM46" i="39"/>
  <c r="AH47" i="39"/>
  <c r="AI47" i="39"/>
  <c r="AJ47" i="39"/>
  <c r="C73" i="62" s="1"/>
  <c r="AK47" i="39"/>
  <c r="AL47" i="39"/>
  <c r="AM47" i="39"/>
  <c r="AH48" i="39"/>
  <c r="AI48" i="39"/>
  <c r="AJ48" i="39"/>
  <c r="C74" i="62" s="1"/>
  <c r="AK48" i="39"/>
  <c r="AL48" i="39"/>
  <c r="AM48" i="39"/>
  <c r="AH49" i="39"/>
  <c r="AI49" i="39"/>
  <c r="AJ49" i="39"/>
  <c r="C75" i="62" s="1"/>
  <c r="AK49" i="39"/>
  <c r="AL49" i="39"/>
  <c r="AM49" i="39"/>
  <c r="AH50" i="39"/>
  <c r="AI50" i="39"/>
  <c r="AJ50" i="39"/>
  <c r="C76" i="62" s="1"/>
  <c r="AK50" i="39"/>
  <c r="AL50" i="39"/>
  <c r="AM50" i="39"/>
  <c r="AH51" i="39"/>
  <c r="AI51" i="39"/>
  <c r="AJ51" i="39"/>
  <c r="C77" i="62" s="1"/>
  <c r="AK51" i="39"/>
  <c r="AL51" i="39"/>
  <c r="AM51" i="39"/>
  <c r="AH52" i="39"/>
  <c r="AI52" i="39"/>
  <c r="AJ52" i="39"/>
  <c r="C78" i="62" s="1"/>
  <c r="AK52" i="39"/>
  <c r="AL52" i="39"/>
  <c r="AM52" i="39"/>
  <c r="AH53" i="39"/>
  <c r="AI53" i="39"/>
  <c r="AJ53" i="39"/>
  <c r="C79" i="62" s="1"/>
  <c r="AK53" i="39"/>
  <c r="AL53" i="39"/>
  <c r="AM53" i="39"/>
  <c r="AH54" i="39"/>
  <c r="AI54" i="39"/>
  <c r="AJ54" i="39"/>
  <c r="C80" i="62" s="1"/>
  <c r="AK54" i="39"/>
  <c r="AL54" i="39"/>
  <c r="AM54" i="39"/>
  <c r="AH55" i="39"/>
  <c r="AI55" i="39"/>
  <c r="AJ55" i="39"/>
  <c r="C81" i="62" s="1"/>
  <c r="AK55" i="39"/>
  <c r="AL55" i="39"/>
  <c r="AM55" i="39"/>
  <c r="AH56" i="39"/>
  <c r="AI56" i="39"/>
  <c r="AJ56" i="39"/>
  <c r="C82" i="62" s="1"/>
  <c r="AK56" i="39"/>
  <c r="AL56" i="39"/>
  <c r="AM56" i="39"/>
  <c r="AH57" i="39"/>
  <c r="AI57" i="39"/>
  <c r="AJ57" i="39"/>
  <c r="C83" i="62" s="1"/>
  <c r="AK57" i="39"/>
  <c r="AL57" i="39"/>
  <c r="AM57" i="39"/>
  <c r="AH58" i="39"/>
  <c r="AI58" i="39"/>
  <c r="AJ58" i="39"/>
  <c r="C84" i="62" s="1"/>
  <c r="AK58" i="39"/>
  <c r="AL58" i="39"/>
  <c r="AM58" i="39"/>
  <c r="AH59" i="39"/>
  <c r="AI59" i="39"/>
  <c r="AJ59" i="39"/>
  <c r="C85" i="62" s="1"/>
  <c r="AK59" i="39"/>
  <c r="AL59" i="39"/>
  <c r="AM59" i="39"/>
  <c r="AH60" i="39"/>
  <c r="AI60" i="39"/>
  <c r="AJ60" i="39"/>
  <c r="C86" i="62" s="1"/>
  <c r="AK60" i="39"/>
  <c r="AL60" i="39"/>
  <c r="AM60" i="39"/>
  <c r="AH61" i="39"/>
  <c r="AI61" i="39"/>
  <c r="AJ61" i="39"/>
  <c r="AK61" i="39"/>
  <c r="AL61" i="39"/>
  <c r="AM61" i="39"/>
  <c r="AI6" i="39"/>
  <c r="AJ6" i="39"/>
  <c r="C32" i="62" s="1"/>
  <c r="AK6" i="39"/>
  <c r="AL6" i="39"/>
  <c r="AM6" i="39"/>
  <c r="AH6" i="39"/>
  <c r="AH3" i="39"/>
  <c r="F9" i="58" l="1"/>
  <c r="C87" i="62"/>
  <c r="E9" i="58"/>
  <c r="C61" i="62"/>
  <c r="D9" i="58"/>
  <c r="C57" i="62"/>
  <c r="C9" i="58"/>
  <c r="C51" i="62"/>
  <c r="B9" i="58"/>
  <c r="M33" i="136" l="1"/>
  <c r="EX7" i="39"/>
  <c r="EY7" i="39"/>
  <c r="EZ7" i="39"/>
  <c r="FA7" i="39"/>
  <c r="FB7" i="39"/>
  <c r="FC7" i="39"/>
  <c r="EX8" i="39"/>
  <c r="EY8" i="39"/>
  <c r="EZ8" i="39"/>
  <c r="FA8" i="39"/>
  <c r="FB8" i="39"/>
  <c r="FC8" i="39"/>
  <c r="EX9" i="39"/>
  <c r="EY9" i="39"/>
  <c r="EZ9" i="39"/>
  <c r="FA9" i="39"/>
  <c r="FB9" i="39"/>
  <c r="FC9" i="39"/>
  <c r="EX10" i="39"/>
  <c r="EY10" i="39"/>
  <c r="EZ10" i="39"/>
  <c r="FA10" i="39"/>
  <c r="FB10" i="39"/>
  <c r="FC10" i="39"/>
  <c r="EX11" i="39"/>
  <c r="EY11" i="39"/>
  <c r="EZ11" i="39"/>
  <c r="FA11" i="39"/>
  <c r="FB11" i="39"/>
  <c r="FC11" i="39"/>
  <c r="EX12" i="39"/>
  <c r="EY12" i="39"/>
  <c r="EZ12" i="39"/>
  <c r="FA12" i="39"/>
  <c r="FB12" i="39"/>
  <c r="FC12" i="39"/>
  <c r="EX13" i="39"/>
  <c r="EY13" i="39"/>
  <c r="EZ13" i="39"/>
  <c r="FA13" i="39"/>
  <c r="FB13" i="39"/>
  <c r="FC13" i="39"/>
  <c r="EX14" i="39"/>
  <c r="EY14" i="39"/>
  <c r="EZ14" i="39"/>
  <c r="FA14" i="39"/>
  <c r="FB14" i="39"/>
  <c r="FC14" i="39"/>
  <c r="EX15" i="39"/>
  <c r="EY15" i="39"/>
  <c r="EZ15" i="39"/>
  <c r="FA15" i="39"/>
  <c r="FB15" i="39"/>
  <c r="FC15" i="39"/>
  <c r="EX16" i="39"/>
  <c r="EY16" i="39"/>
  <c r="EZ16" i="39"/>
  <c r="FA16" i="39"/>
  <c r="FB16" i="39"/>
  <c r="FC16" i="39"/>
  <c r="EX17" i="39"/>
  <c r="EY17" i="39"/>
  <c r="EZ17" i="39"/>
  <c r="FA17" i="39"/>
  <c r="FB17" i="39"/>
  <c r="FC17" i="39"/>
  <c r="EX18" i="39"/>
  <c r="EY18" i="39"/>
  <c r="EZ18" i="39"/>
  <c r="FA18" i="39"/>
  <c r="FB18" i="39"/>
  <c r="FC18" i="39"/>
  <c r="EX19" i="39"/>
  <c r="EY19" i="39"/>
  <c r="EZ19" i="39"/>
  <c r="FA19" i="39"/>
  <c r="FB19" i="39"/>
  <c r="FC19" i="39"/>
  <c r="EX20" i="39"/>
  <c r="EY20" i="39"/>
  <c r="EZ20" i="39"/>
  <c r="FA20" i="39"/>
  <c r="FB20" i="39"/>
  <c r="FC20" i="39"/>
  <c r="EX21" i="39"/>
  <c r="EY21" i="39"/>
  <c r="EZ21" i="39"/>
  <c r="FA21" i="39"/>
  <c r="FB21" i="39"/>
  <c r="FC21" i="39"/>
  <c r="EX22" i="39"/>
  <c r="EY22" i="39"/>
  <c r="EZ22" i="39"/>
  <c r="FA22" i="39"/>
  <c r="FB22" i="39"/>
  <c r="FC22" i="39"/>
  <c r="EX23" i="39"/>
  <c r="EY23" i="39"/>
  <c r="EZ23" i="39"/>
  <c r="FA23" i="39"/>
  <c r="FB23" i="39"/>
  <c r="FC23" i="39"/>
  <c r="EX24" i="39"/>
  <c r="EY24" i="39"/>
  <c r="EZ24" i="39"/>
  <c r="FA24" i="39"/>
  <c r="FB24" i="39"/>
  <c r="FC24" i="39"/>
  <c r="EX25" i="39"/>
  <c r="EY25" i="39"/>
  <c r="EZ25" i="39"/>
  <c r="FA25" i="39"/>
  <c r="FB25" i="39"/>
  <c r="FC25" i="39"/>
  <c r="EX26" i="39"/>
  <c r="EY26" i="39"/>
  <c r="EZ26" i="39"/>
  <c r="FA26" i="39"/>
  <c r="FB26" i="39"/>
  <c r="FC26" i="39"/>
  <c r="EX27" i="39"/>
  <c r="EY27" i="39"/>
  <c r="EZ27" i="39"/>
  <c r="FA27" i="39"/>
  <c r="FB27" i="39"/>
  <c r="FC27" i="39"/>
  <c r="EX28" i="39"/>
  <c r="EY28" i="39"/>
  <c r="EZ28" i="39"/>
  <c r="FA28" i="39"/>
  <c r="FB28" i="39"/>
  <c r="FC28" i="39"/>
  <c r="EX29" i="39"/>
  <c r="EY29" i="39"/>
  <c r="EZ29" i="39"/>
  <c r="FA29" i="39"/>
  <c r="FB29" i="39"/>
  <c r="FC29" i="39"/>
  <c r="EX30" i="39"/>
  <c r="EY30" i="39"/>
  <c r="EZ30" i="39"/>
  <c r="FA30" i="39"/>
  <c r="FB30" i="39"/>
  <c r="FC30" i="39"/>
  <c r="EX31" i="39"/>
  <c r="EY31" i="39"/>
  <c r="EZ31" i="39"/>
  <c r="FA31" i="39"/>
  <c r="FB31" i="39"/>
  <c r="FC31" i="39"/>
  <c r="EX32" i="39"/>
  <c r="EY32" i="39"/>
  <c r="EZ32" i="39"/>
  <c r="FA32" i="39"/>
  <c r="FB32" i="39"/>
  <c r="FC32" i="39"/>
  <c r="EX33" i="39"/>
  <c r="EY33" i="39"/>
  <c r="EZ33" i="39"/>
  <c r="FA33" i="39"/>
  <c r="FB33" i="39"/>
  <c r="FC33" i="39"/>
  <c r="EX34" i="39"/>
  <c r="EY34" i="39"/>
  <c r="EZ34" i="39"/>
  <c r="FA34" i="39"/>
  <c r="FB34" i="39"/>
  <c r="FC34" i="39"/>
  <c r="EX35" i="39"/>
  <c r="EY35" i="39"/>
  <c r="EZ35" i="39"/>
  <c r="FA35" i="39"/>
  <c r="FB35" i="39"/>
  <c r="FC35" i="39"/>
  <c r="EX36" i="39"/>
  <c r="EY36" i="39"/>
  <c r="EZ36" i="39"/>
  <c r="FA36" i="39"/>
  <c r="FB36" i="39"/>
  <c r="FC36" i="39"/>
  <c r="EX37" i="39"/>
  <c r="EY37" i="39"/>
  <c r="EZ37" i="39"/>
  <c r="FA37" i="39"/>
  <c r="FB37" i="39"/>
  <c r="FC37" i="39"/>
  <c r="EX38" i="39"/>
  <c r="EY38" i="39"/>
  <c r="EZ38" i="39"/>
  <c r="FA38" i="39"/>
  <c r="FB38" i="39"/>
  <c r="FC38" i="39"/>
  <c r="EX39" i="39"/>
  <c r="EY39" i="39"/>
  <c r="EZ39" i="39"/>
  <c r="FA39" i="39"/>
  <c r="FB39" i="39"/>
  <c r="FC39" i="39"/>
  <c r="EX40" i="39"/>
  <c r="EY40" i="39"/>
  <c r="EZ40" i="39"/>
  <c r="FA40" i="39"/>
  <c r="FB40" i="39"/>
  <c r="FC40" i="39"/>
  <c r="EX41" i="39"/>
  <c r="EY41" i="39"/>
  <c r="EZ41" i="39"/>
  <c r="FA41" i="39"/>
  <c r="FB41" i="39"/>
  <c r="FC41" i="39"/>
  <c r="EX42" i="39"/>
  <c r="EY42" i="39"/>
  <c r="EZ42" i="39"/>
  <c r="FA42" i="39"/>
  <c r="FB42" i="39"/>
  <c r="FC42" i="39"/>
  <c r="EX43" i="39"/>
  <c r="EY43" i="39"/>
  <c r="EZ43" i="39"/>
  <c r="FA43" i="39"/>
  <c r="FB43" i="39"/>
  <c r="FC43" i="39"/>
  <c r="EX44" i="39"/>
  <c r="EY44" i="39"/>
  <c r="EZ44" i="39"/>
  <c r="FA44" i="39"/>
  <c r="FB44" i="39"/>
  <c r="FC44" i="39"/>
  <c r="EX45" i="39"/>
  <c r="EY45" i="39"/>
  <c r="EZ45" i="39"/>
  <c r="FA45" i="39"/>
  <c r="FB45" i="39"/>
  <c r="FC45" i="39"/>
  <c r="EX46" i="39"/>
  <c r="EY46" i="39"/>
  <c r="EZ46" i="39"/>
  <c r="FA46" i="39"/>
  <c r="FB46" i="39"/>
  <c r="FC46" i="39"/>
  <c r="EX47" i="39"/>
  <c r="EY47" i="39"/>
  <c r="EZ47" i="39"/>
  <c r="FA47" i="39"/>
  <c r="FB47" i="39"/>
  <c r="FC47" i="39"/>
  <c r="EX48" i="39"/>
  <c r="EY48" i="39"/>
  <c r="EZ48" i="39"/>
  <c r="FA48" i="39"/>
  <c r="FB48" i="39"/>
  <c r="FC48" i="39"/>
  <c r="EX49" i="39"/>
  <c r="EY49" i="39"/>
  <c r="EZ49" i="39"/>
  <c r="FA49" i="39"/>
  <c r="FB49" i="39"/>
  <c r="FC49" i="39"/>
  <c r="EX50" i="39"/>
  <c r="EY50" i="39"/>
  <c r="EZ50" i="39"/>
  <c r="FA50" i="39"/>
  <c r="FB50" i="39"/>
  <c r="FC50" i="39"/>
  <c r="EX51" i="39"/>
  <c r="EY51" i="39"/>
  <c r="EZ51" i="39"/>
  <c r="FA51" i="39"/>
  <c r="FB51" i="39"/>
  <c r="FC51" i="39"/>
  <c r="EX52" i="39"/>
  <c r="EY52" i="39"/>
  <c r="EZ52" i="39"/>
  <c r="FA52" i="39"/>
  <c r="FB52" i="39"/>
  <c r="FC52" i="39"/>
  <c r="EX53" i="39"/>
  <c r="EY53" i="39"/>
  <c r="EZ53" i="39"/>
  <c r="FA53" i="39"/>
  <c r="FB53" i="39"/>
  <c r="FC53" i="39"/>
  <c r="EX54" i="39"/>
  <c r="EY54" i="39"/>
  <c r="EZ54" i="39"/>
  <c r="FA54" i="39"/>
  <c r="FB54" i="39"/>
  <c r="FC54" i="39"/>
  <c r="EX55" i="39"/>
  <c r="EY55" i="39"/>
  <c r="EZ55" i="39"/>
  <c r="FA55" i="39"/>
  <c r="FB55" i="39"/>
  <c r="FC55" i="39"/>
  <c r="EX56" i="39"/>
  <c r="EY56" i="39"/>
  <c r="EZ56" i="39"/>
  <c r="FA56" i="39"/>
  <c r="FB56" i="39"/>
  <c r="FC56" i="39"/>
  <c r="EX57" i="39"/>
  <c r="EY57" i="39"/>
  <c r="EZ57" i="39"/>
  <c r="FA57" i="39"/>
  <c r="FB57" i="39"/>
  <c r="FC57" i="39"/>
  <c r="EX58" i="39"/>
  <c r="EY58" i="39"/>
  <c r="EZ58" i="39"/>
  <c r="FA58" i="39"/>
  <c r="FB58" i="39"/>
  <c r="FC58" i="39"/>
  <c r="EX59" i="39"/>
  <c r="EY59" i="39"/>
  <c r="EZ59" i="39"/>
  <c r="FA59" i="39"/>
  <c r="FB59" i="39"/>
  <c r="FC59" i="39"/>
  <c r="EX60" i="39"/>
  <c r="EY60" i="39"/>
  <c r="EZ60" i="39"/>
  <c r="FA60" i="39"/>
  <c r="FB60" i="39"/>
  <c r="FC60" i="39"/>
  <c r="EX61" i="39"/>
  <c r="EY61" i="39"/>
  <c r="EZ61" i="39"/>
  <c r="FA61" i="39"/>
  <c r="FB61" i="39"/>
  <c r="FC61" i="39"/>
  <c r="EY6" i="39"/>
  <c r="EZ6" i="39"/>
  <c r="FA6" i="39"/>
  <c r="FB6" i="39"/>
  <c r="FC6" i="39"/>
  <c r="EX6" i="39"/>
  <c r="IQ3" i="39"/>
  <c r="B34" i="68"/>
  <c r="B35" i="68"/>
  <c r="B36" i="68"/>
  <c r="B37" i="68"/>
  <c r="B38" i="68"/>
  <c r="B39" i="68"/>
  <c r="B40" i="68"/>
  <c r="B41" i="68"/>
  <c r="B42" i="68"/>
  <c r="B43" i="68"/>
  <c r="B44" i="68"/>
  <c r="B45" i="68"/>
  <c r="B46" i="68"/>
  <c r="B47" i="68"/>
  <c r="B48" i="68"/>
  <c r="B49" i="68"/>
  <c r="B50" i="68"/>
  <c r="B51" i="68"/>
  <c r="B52" i="68"/>
  <c r="B53" i="68"/>
  <c r="B54" i="68"/>
  <c r="B55" i="68"/>
  <c r="B56" i="68"/>
  <c r="B57" i="68"/>
  <c r="B58" i="68"/>
  <c r="B59" i="68"/>
  <c r="B60" i="68"/>
  <c r="B61" i="68"/>
  <c r="B62" i="68"/>
  <c r="B63" i="68"/>
  <c r="B64" i="68"/>
  <c r="B65" i="68"/>
  <c r="B66" i="68"/>
  <c r="B67" i="68"/>
  <c r="B68" i="68"/>
  <c r="B69" i="68"/>
  <c r="B70" i="68"/>
  <c r="B71" i="68"/>
  <c r="B72" i="68"/>
  <c r="B73" i="68"/>
  <c r="B74" i="68"/>
  <c r="B75" i="68"/>
  <c r="B76" i="68"/>
  <c r="B77" i="68"/>
  <c r="B78" i="68"/>
  <c r="B79" i="68"/>
  <c r="B80" i="68"/>
  <c r="B81" i="68"/>
  <c r="B82" i="68"/>
  <c r="B83" i="68"/>
  <c r="B84" i="68"/>
  <c r="B85" i="68"/>
  <c r="B86" i="68"/>
  <c r="B87" i="68"/>
  <c r="B88" i="68"/>
  <c r="B89" i="68"/>
  <c r="B33" i="68"/>
  <c r="I113" i="140" l="1"/>
  <c r="B85" i="102"/>
  <c r="B77" i="102"/>
  <c r="I105" i="140"/>
  <c r="I97" i="140"/>
  <c r="B69" i="102"/>
  <c r="B61" i="102"/>
  <c r="I89" i="140"/>
  <c r="B57" i="102"/>
  <c r="I85" i="140"/>
  <c r="I77" i="140"/>
  <c r="B49" i="102"/>
  <c r="I69" i="140"/>
  <c r="B41" i="102"/>
  <c r="I114" i="140"/>
  <c r="B86" i="102"/>
  <c r="I110" i="140"/>
  <c r="B82" i="102"/>
  <c r="I106" i="140"/>
  <c r="B78" i="102"/>
  <c r="I102" i="140"/>
  <c r="B74" i="102"/>
  <c r="I98" i="140"/>
  <c r="B70" i="102"/>
  <c r="I90" i="140"/>
  <c r="B62" i="102"/>
  <c r="I78" i="140"/>
  <c r="B50" i="102"/>
  <c r="I70" i="140"/>
  <c r="B42" i="102"/>
  <c r="I62" i="140"/>
  <c r="B34" i="102"/>
  <c r="I111" i="140"/>
  <c r="B83" i="102"/>
  <c r="I103" i="140"/>
  <c r="B75" i="102"/>
  <c r="B67" i="102"/>
  <c r="I95" i="140"/>
  <c r="B55" i="102"/>
  <c r="I83" i="140"/>
  <c r="I75" i="140"/>
  <c r="B47" i="102"/>
  <c r="B35" i="102"/>
  <c r="I63" i="140"/>
  <c r="I116" i="140"/>
  <c r="B88" i="102"/>
  <c r="I112" i="140"/>
  <c r="B84" i="102"/>
  <c r="I108" i="140"/>
  <c r="B80" i="102"/>
  <c r="I104" i="140"/>
  <c r="B76" i="102"/>
  <c r="I100" i="140"/>
  <c r="B72" i="102"/>
  <c r="I96" i="140"/>
  <c r="B68" i="102"/>
  <c r="I92" i="140"/>
  <c r="B64" i="102"/>
  <c r="I88" i="140"/>
  <c r="B60" i="102"/>
  <c r="I84" i="140"/>
  <c r="B56" i="102"/>
  <c r="I80" i="140"/>
  <c r="B52" i="102"/>
  <c r="I76" i="140"/>
  <c r="B48" i="102"/>
  <c r="I72" i="140"/>
  <c r="B44" i="102"/>
  <c r="I68" i="140"/>
  <c r="B40" i="102"/>
  <c r="I64" i="140"/>
  <c r="B36" i="102"/>
  <c r="B81" i="102"/>
  <c r="I109" i="140"/>
  <c r="I101" i="140"/>
  <c r="B73" i="102"/>
  <c r="B65" i="102"/>
  <c r="I93" i="140"/>
  <c r="B53" i="102"/>
  <c r="I81" i="140"/>
  <c r="B45" i="102"/>
  <c r="I73" i="140"/>
  <c r="B37" i="102"/>
  <c r="I65" i="140"/>
  <c r="I61" i="140"/>
  <c r="B33" i="102"/>
  <c r="I94" i="140"/>
  <c r="B66" i="102"/>
  <c r="I86" i="140"/>
  <c r="B58" i="102"/>
  <c r="I82" i="140"/>
  <c r="B54" i="102"/>
  <c r="I74" i="140"/>
  <c r="B46" i="102"/>
  <c r="I66" i="140"/>
  <c r="B38" i="102"/>
  <c r="I115" i="140"/>
  <c r="B87" i="102"/>
  <c r="I107" i="140"/>
  <c r="B79" i="102"/>
  <c r="I99" i="140"/>
  <c r="B71" i="102"/>
  <c r="I91" i="140"/>
  <c r="B63" i="102"/>
  <c r="B59" i="102"/>
  <c r="I87" i="140"/>
  <c r="B51" i="102"/>
  <c r="I79" i="140"/>
  <c r="B43" i="102"/>
  <c r="I71" i="140"/>
  <c r="I67" i="140"/>
  <c r="B39" i="102"/>
  <c r="B27" i="58"/>
  <c r="C72" i="126" l="1"/>
  <c r="C73" i="126"/>
  <c r="C74" i="126"/>
  <c r="C75" i="126"/>
  <c r="C76" i="126"/>
  <c r="C77" i="126"/>
  <c r="C78" i="126"/>
  <c r="C79" i="126"/>
  <c r="C80" i="126"/>
  <c r="C81" i="126"/>
  <c r="C82" i="126"/>
  <c r="C83" i="126"/>
  <c r="C84" i="126"/>
  <c r="C85" i="126"/>
  <c r="C86" i="126"/>
  <c r="C87" i="126"/>
  <c r="C88" i="126"/>
  <c r="C89" i="126"/>
  <c r="C90" i="126"/>
  <c r="C91" i="126"/>
  <c r="C92" i="126"/>
  <c r="C93" i="126"/>
  <c r="C94" i="126"/>
  <c r="C95" i="126"/>
  <c r="C96" i="126"/>
  <c r="C97" i="126"/>
  <c r="C98" i="126"/>
  <c r="C99" i="126"/>
  <c r="C100" i="126"/>
  <c r="C101" i="126"/>
  <c r="C102" i="126"/>
  <c r="C103" i="126"/>
  <c r="C104" i="126"/>
  <c r="C105" i="126"/>
  <c r="C106" i="126"/>
  <c r="C107" i="126"/>
  <c r="C108" i="126"/>
  <c r="C109" i="126"/>
  <c r="C110" i="126"/>
  <c r="C111" i="126"/>
  <c r="C112" i="126"/>
  <c r="C113" i="126"/>
  <c r="C114" i="126"/>
  <c r="C115" i="126"/>
  <c r="C116" i="126"/>
  <c r="C117" i="126"/>
  <c r="C118" i="126"/>
  <c r="C119" i="126"/>
  <c r="C120" i="126"/>
  <c r="C121" i="126"/>
  <c r="C122" i="126"/>
  <c r="C123" i="126"/>
  <c r="C124" i="126"/>
  <c r="C125" i="126"/>
  <c r="J124" i="126" l="1"/>
  <c r="J71" i="126"/>
  <c r="N13" i="74" l="1"/>
  <c r="N14" i="74"/>
  <c r="N15" i="74"/>
  <c r="N16" i="74"/>
  <c r="N17" i="74"/>
  <c r="N18" i="74"/>
  <c r="N19" i="74"/>
  <c r="N20" i="74"/>
  <c r="N21" i="74"/>
  <c r="N22" i="74"/>
  <c r="N23" i="74"/>
  <c r="N24" i="74"/>
  <c r="N25" i="74"/>
  <c r="N26" i="74"/>
  <c r="N27" i="74"/>
  <c r="N28" i="74"/>
  <c r="N29" i="74"/>
  <c r="N30" i="74"/>
  <c r="N31" i="74"/>
  <c r="N32" i="74"/>
  <c r="N33" i="74"/>
  <c r="N34" i="74"/>
  <c r="N35" i="74"/>
  <c r="N36" i="74"/>
  <c r="N37" i="74"/>
  <c r="N38" i="74"/>
  <c r="N39" i="74"/>
  <c r="N40" i="74"/>
  <c r="N41" i="74"/>
  <c r="N42" i="74"/>
  <c r="N43" i="74"/>
  <c r="N44" i="74"/>
  <c r="N45" i="74"/>
  <c r="N46" i="74"/>
  <c r="N47" i="74"/>
  <c r="N48" i="74"/>
  <c r="N49" i="74"/>
  <c r="N50" i="74"/>
  <c r="N51" i="74"/>
  <c r="N52" i="74"/>
  <c r="N53" i="74"/>
  <c r="N54" i="74"/>
  <c r="N55" i="74"/>
  <c r="N56" i="74"/>
  <c r="N57" i="74"/>
  <c r="N58" i="74"/>
  <c r="N59" i="74"/>
  <c r="N60" i="74"/>
  <c r="N61" i="74"/>
  <c r="N12" i="74"/>
  <c r="N10" i="74"/>
  <c r="N8" i="74"/>
  <c r="N6" i="74"/>
  <c r="J72" i="126"/>
  <c r="J73" i="126"/>
  <c r="J74" i="126"/>
  <c r="J75" i="126"/>
  <c r="J76" i="126"/>
  <c r="J77" i="126"/>
  <c r="J78" i="126"/>
  <c r="J79" i="126"/>
  <c r="J80" i="126"/>
  <c r="J81" i="126"/>
  <c r="J82" i="126"/>
  <c r="J83" i="126"/>
  <c r="J84" i="126"/>
  <c r="J85" i="126"/>
  <c r="J86" i="126"/>
  <c r="J87" i="126"/>
  <c r="J88" i="126"/>
  <c r="J89" i="126"/>
  <c r="J90" i="126"/>
  <c r="J91" i="126"/>
  <c r="J92" i="126"/>
  <c r="J93" i="126"/>
  <c r="J94" i="126"/>
  <c r="J95" i="126"/>
  <c r="J96" i="126"/>
  <c r="J97" i="126"/>
  <c r="J98" i="126"/>
  <c r="J99" i="126"/>
  <c r="J100" i="126"/>
  <c r="J101" i="126"/>
  <c r="J102" i="126"/>
  <c r="J103" i="126"/>
  <c r="J104" i="126"/>
  <c r="J105" i="126"/>
  <c r="J106" i="126"/>
  <c r="J107" i="126"/>
  <c r="J108" i="126"/>
  <c r="J109" i="126"/>
  <c r="J110" i="126"/>
  <c r="J111" i="126"/>
  <c r="J112" i="126"/>
  <c r="J113" i="126"/>
  <c r="J114" i="126"/>
  <c r="J115" i="126"/>
  <c r="J116" i="126"/>
  <c r="J117" i="126"/>
  <c r="J118" i="126"/>
  <c r="J119" i="126"/>
  <c r="J120" i="126"/>
  <c r="J121" i="126"/>
  <c r="J122" i="126"/>
  <c r="J123" i="126"/>
  <c r="J125" i="126"/>
  <c r="F123" i="141" l="1"/>
  <c r="D123" i="141"/>
  <c r="H123" i="141" s="1"/>
  <c r="F118" i="141"/>
  <c r="D118" i="141"/>
  <c r="E118" i="141" s="1"/>
  <c r="F113" i="141"/>
  <c r="D113" i="141"/>
  <c r="H113" i="141" s="1"/>
  <c r="F108" i="141"/>
  <c r="D108" i="141"/>
  <c r="H108" i="141" s="1"/>
  <c r="F103" i="141"/>
  <c r="D103" i="141"/>
  <c r="H103" i="141" s="1"/>
  <c r="F98" i="141"/>
  <c r="D98" i="141"/>
  <c r="H98" i="141" s="1"/>
  <c r="F93" i="141"/>
  <c r="D93" i="141"/>
  <c r="E93" i="141" s="1"/>
  <c r="F88" i="141"/>
  <c r="D88" i="141"/>
  <c r="E88" i="141" s="1"/>
  <c r="E83" i="141"/>
  <c r="E123" i="141" l="1"/>
  <c r="F126" i="141"/>
  <c r="G108" i="141" s="1"/>
  <c r="H83" i="141"/>
  <c r="E98" i="141"/>
  <c r="H93" i="141"/>
  <c r="H88" i="141"/>
  <c r="E113" i="141"/>
  <c r="E108" i="141"/>
  <c r="E103" i="141"/>
  <c r="H118" i="141"/>
  <c r="G83" i="141" l="1"/>
  <c r="G123" i="141"/>
  <c r="D71" i="141" s="1"/>
  <c r="G118" i="141"/>
  <c r="G88" i="141"/>
  <c r="G103" i="141"/>
  <c r="G113" i="141"/>
  <c r="G98" i="141"/>
  <c r="G93" i="141"/>
  <c r="H126" i="141"/>
  <c r="C71" i="141" l="1"/>
  <c r="B71" i="141"/>
  <c r="I98" i="141"/>
  <c r="J98" i="141" s="1"/>
  <c r="I103" i="141"/>
  <c r="J103" i="141" s="1"/>
  <c r="I83" i="141"/>
  <c r="J83" i="141" s="1"/>
  <c r="I108" i="141"/>
  <c r="J108" i="141" s="1"/>
  <c r="I113" i="141"/>
  <c r="I88" i="141"/>
  <c r="J88" i="141" s="1"/>
  <c r="I93" i="141"/>
  <c r="J93" i="141" s="1"/>
  <c r="I123" i="141"/>
  <c r="I118" i="141"/>
  <c r="D72" i="141" l="1"/>
  <c r="J123" i="141"/>
  <c r="J113" i="141"/>
  <c r="B72" i="141"/>
  <c r="J118" i="141"/>
  <c r="C72" i="141"/>
  <c r="B67" i="127" l="1"/>
  <c r="B66" i="127"/>
  <c r="B65" i="127"/>
  <c r="B64" i="127"/>
  <c r="B63" i="127"/>
  <c r="B62" i="127"/>
  <c r="B61" i="127"/>
  <c r="B70" i="127" s="1"/>
  <c r="B59" i="127"/>
  <c r="C60" i="127"/>
  <c r="C61" i="127"/>
  <c r="C62" i="127"/>
  <c r="C63" i="127"/>
  <c r="C64" i="127"/>
  <c r="C65" i="127"/>
  <c r="C66" i="127"/>
  <c r="C59" i="127"/>
  <c r="F60" i="127" l="1"/>
  <c r="E60" i="127"/>
  <c r="F66" i="127"/>
  <c r="E66" i="127"/>
  <c r="F65" i="127"/>
  <c r="E65" i="127"/>
  <c r="F64" i="127"/>
  <c r="E64" i="127"/>
  <c r="F62" i="127"/>
  <c r="E62" i="127"/>
  <c r="E59" i="127"/>
  <c r="F59" i="127"/>
  <c r="F63" i="127"/>
  <c r="E63" i="127"/>
  <c r="F61" i="127"/>
  <c r="E61" i="127"/>
  <c r="C70" i="127"/>
  <c r="F70" i="127" l="1"/>
  <c r="AY4" i="69" l="1"/>
  <c r="AR4" i="69"/>
  <c r="AK4" i="69"/>
  <c r="G19" i="110" l="1"/>
  <c r="E135" i="54"/>
  <c r="E133" i="54"/>
  <c r="AV135" i="54"/>
  <c r="AV134" i="54"/>
  <c r="AV133" i="54"/>
  <c r="AN135" i="54"/>
  <c r="AN134" i="54"/>
  <c r="AN133" i="54"/>
  <c r="AX104" i="54"/>
  <c r="AY103" i="54"/>
  <c r="AM103" i="54"/>
  <c r="AK102" i="54"/>
  <c r="AX98" i="54"/>
  <c r="AT96" i="54"/>
  <c r="AO94" i="54"/>
  <c r="AV93" i="54"/>
  <c r="AT92" i="54"/>
  <c r="AS91" i="54"/>
  <c r="AV89" i="54"/>
  <c r="AK88" i="54"/>
  <c r="AM84" i="54"/>
  <c r="AN82" i="54"/>
  <c r="AM82" i="54"/>
  <c r="AK80" i="54"/>
  <c r="AL78" i="54"/>
  <c r="AM77" i="54"/>
  <c r="AX75" i="54"/>
  <c r="AQ72" i="54"/>
  <c r="AV71" i="54"/>
  <c r="AX70" i="54"/>
  <c r="AV69" i="54"/>
  <c r="AT69" i="54"/>
  <c r="AW68" i="54"/>
  <c r="AX67" i="54"/>
  <c r="AX80" i="54"/>
  <c r="AQ80" i="54"/>
  <c r="AO80" i="54"/>
  <c r="AQ105" i="54"/>
  <c r="AL67" i="54"/>
  <c r="AY104" i="54"/>
  <c r="AV104" i="54"/>
  <c r="AT104" i="54"/>
  <c r="AS104" i="54"/>
  <c r="AP104" i="54"/>
  <c r="AM104" i="54"/>
  <c r="AK104" i="54"/>
  <c r="AW104" i="54"/>
  <c r="AT103" i="54"/>
  <c r="AQ103" i="54"/>
  <c r="AP103" i="54"/>
  <c r="AK103" i="54"/>
  <c r="AW102" i="54"/>
  <c r="AU68" i="54"/>
  <c r="AT81" i="54"/>
  <c r="AO81" i="54"/>
  <c r="AL81" i="54"/>
  <c r="AX99" i="54"/>
  <c r="AY71" i="54"/>
  <c r="AY78" i="54"/>
  <c r="AW97" i="54"/>
  <c r="AM97" i="54"/>
  <c r="AX97" i="54"/>
  <c r="AU97" i="54"/>
  <c r="AM69" i="54"/>
  <c r="AX95" i="54"/>
  <c r="AW95" i="54"/>
  <c r="AV95" i="54"/>
  <c r="AO95" i="54"/>
  <c r="AN95" i="54"/>
  <c r="AM95" i="54"/>
  <c r="AV94" i="54"/>
  <c r="AT73" i="54"/>
  <c r="AS73" i="54"/>
  <c r="AK94" i="54"/>
  <c r="AW93" i="54"/>
  <c r="AT93" i="54"/>
  <c r="AS93" i="54"/>
  <c r="AQ93" i="54"/>
  <c r="AN93" i="54"/>
  <c r="AK93" i="54"/>
  <c r="AU92" i="54"/>
  <c r="AL76" i="54"/>
  <c r="AK92" i="54"/>
  <c r="AX91" i="54"/>
  <c r="AW91" i="54"/>
  <c r="AV91" i="54"/>
  <c r="AO91" i="54"/>
  <c r="AN91" i="54"/>
  <c r="AY75" i="54"/>
  <c r="AX90" i="54"/>
  <c r="AQ74" i="54"/>
  <c r="AP90" i="54"/>
  <c r="AK75" i="54"/>
  <c r="AW89" i="54"/>
  <c r="AT89" i="54"/>
  <c r="AS89" i="54"/>
  <c r="AQ89" i="54"/>
  <c r="AP89" i="54"/>
  <c r="AN89" i="54"/>
  <c r="AM89" i="54"/>
  <c r="AK89" i="54"/>
  <c r="AY88" i="54"/>
  <c r="AX88" i="54"/>
  <c r="AU88" i="54"/>
  <c r="AQ88" i="54"/>
  <c r="AP88" i="54"/>
  <c r="AO88" i="54"/>
  <c r="AN88" i="54"/>
  <c r="AL88" i="54"/>
  <c r="AS88" i="54"/>
  <c r="AY80" i="54"/>
  <c r="AW74" i="54"/>
  <c r="AP80" i="54"/>
  <c r="AN75" i="54"/>
  <c r="AM81" i="54"/>
  <c r="AX72" i="54"/>
  <c r="AV73" i="54"/>
  <c r="AT68" i="54"/>
  <c r="AK68" i="54"/>
  <c r="AU70" i="54"/>
  <c r="AY66" i="54"/>
  <c r="AW66" i="54"/>
  <c r="AT66" i="54"/>
  <c r="AN66" i="54"/>
  <c r="AM91" i="54" l="1"/>
  <c r="AM92" i="54"/>
  <c r="AX83" i="54"/>
  <c r="AX92" i="54"/>
  <c r="AX93" i="54"/>
  <c r="AQ76" i="54"/>
  <c r="AQ97" i="54"/>
  <c r="AQ70" i="54"/>
  <c r="AQ98" i="54"/>
  <c r="AQ77" i="54"/>
  <c r="AV79" i="54"/>
  <c r="AX81" i="54"/>
  <c r="AM105" i="54"/>
  <c r="AM67" i="54"/>
  <c r="AK66" i="54"/>
  <c r="AV99" i="54"/>
  <c r="AL90" i="54"/>
  <c r="AL75" i="54"/>
  <c r="AL74" i="54"/>
  <c r="AL84" i="54"/>
  <c r="AU90" i="54"/>
  <c r="AU75" i="54"/>
  <c r="AU74" i="54"/>
  <c r="AP92" i="54"/>
  <c r="AP83" i="54"/>
  <c r="AY92" i="54"/>
  <c r="AY82" i="54"/>
  <c r="AL94" i="54"/>
  <c r="AL73" i="54"/>
  <c r="AU94" i="54"/>
  <c r="AU73" i="54"/>
  <c r="AP96" i="54"/>
  <c r="AY96" i="54"/>
  <c r="AY69" i="54"/>
  <c r="AS97" i="54"/>
  <c r="AS70" i="54"/>
  <c r="AS84" i="54"/>
  <c r="AS77" i="54"/>
  <c r="AS76" i="54"/>
  <c r="AL98" i="54"/>
  <c r="AL71" i="54"/>
  <c r="AL72" i="54"/>
  <c r="AU98" i="54"/>
  <c r="AU71" i="54"/>
  <c r="AN99" i="54"/>
  <c r="AM66" i="54"/>
  <c r="AW71" i="54"/>
  <c r="AX73" i="54"/>
  <c r="AM80" i="54"/>
  <c r="AP84" i="54"/>
  <c r="AU91" i="54"/>
  <c r="AS94" i="54"/>
  <c r="AX96" i="54"/>
  <c r="AK72" i="54"/>
  <c r="AK98" i="54"/>
  <c r="AK71" i="54"/>
  <c r="AT98" i="54"/>
  <c r="AT71" i="54"/>
  <c r="AT72" i="54"/>
  <c r="AV105" i="54"/>
  <c r="AV66" i="54"/>
  <c r="AK69" i="54"/>
  <c r="AM90" i="54"/>
  <c r="AM75" i="54"/>
  <c r="AM74" i="54"/>
  <c r="AV74" i="54"/>
  <c r="AV75" i="54"/>
  <c r="AV90" i="54"/>
  <c r="AQ82" i="54"/>
  <c r="AM73" i="54"/>
  <c r="AM94" i="54"/>
  <c r="AQ96" i="54"/>
  <c r="AQ69" i="54"/>
  <c r="AK76" i="54"/>
  <c r="AK84" i="54"/>
  <c r="AK70" i="54"/>
  <c r="AK97" i="54"/>
  <c r="AT70" i="54"/>
  <c r="AT97" i="54"/>
  <c r="AT77" i="54"/>
  <c r="AT84" i="54"/>
  <c r="AM98" i="54"/>
  <c r="AM72" i="54"/>
  <c r="AM71" i="54"/>
  <c r="AV72" i="54"/>
  <c r="AO99" i="54"/>
  <c r="AO79" i="54"/>
  <c r="AO78" i="54"/>
  <c r="AX79" i="54"/>
  <c r="AX78" i="54"/>
  <c r="AQ81" i="54"/>
  <c r="AQ102" i="54"/>
  <c r="AO105" i="54"/>
  <c r="AO67" i="54"/>
  <c r="AX105" i="54"/>
  <c r="AO66" i="54"/>
  <c r="AW69" i="54"/>
  <c r="AK74" i="54"/>
  <c r="AN78" i="54"/>
  <c r="AP82" i="54"/>
  <c r="AQ84" i="54"/>
  <c r="AQ92" i="54"/>
  <c r="AT94" i="54"/>
  <c r="AY91" i="54"/>
  <c r="AL93" i="54"/>
  <c r="AS80" i="54"/>
  <c r="AQ68" i="54"/>
  <c r="AP70" i="54"/>
  <c r="AT74" i="54"/>
  <c r="AT76" i="54"/>
  <c r="AV78" i="54"/>
  <c r="AX82" i="54"/>
  <c r="AW94" i="54"/>
  <c r="AK105" i="54"/>
  <c r="AO75" i="54"/>
  <c r="AO73" i="54"/>
  <c r="AV84" i="54"/>
  <c r="AQ78" i="54"/>
  <c r="AX66" i="54"/>
  <c r="AU72" i="54"/>
  <c r="AY76" i="54"/>
  <c r="AM83" i="54"/>
  <c r="AT95" i="54"/>
  <c r="AX102" i="54"/>
  <c r="AL105" i="54"/>
  <c r="AO69" i="54"/>
  <c r="AO96" i="54"/>
  <c r="AM78" i="54"/>
  <c r="AM99" i="54"/>
  <c r="AM102" i="54"/>
  <c r="AV67" i="54"/>
  <c r="AX77" i="54"/>
  <c r="AS81" i="54"/>
  <c r="AP75" i="54"/>
  <c r="AP74" i="54"/>
  <c r="AY90" i="54"/>
  <c r="AL83" i="54"/>
  <c r="AL92" i="54"/>
  <c r="AL82" i="54"/>
  <c r="AU83" i="54"/>
  <c r="AU82" i="54"/>
  <c r="AP73" i="54"/>
  <c r="AP94" i="54"/>
  <c r="AY73" i="54"/>
  <c r="AY95" i="54"/>
  <c r="AY94" i="54"/>
  <c r="AS95" i="54"/>
  <c r="AS96" i="54"/>
  <c r="AL69" i="54"/>
  <c r="AL96" i="54"/>
  <c r="AU96" i="54"/>
  <c r="AU69" i="54"/>
  <c r="AN84" i="54"/>
  <c r="AN76" i="54"/>
  <c r="AN97" i="54"/>
  <c r="AN70" i="54"/>
  <c r="AN77" i="54"/>
  <c r="AW84" i="54"/>
  <c r="AW76" i="54"/>
  <c r="AW70" i="54"/>
  <c r="AW77" i="54"/>
  <c r="AP98" i="54"/>
  <c r="AP72" i="54"/>
  <c r="AY72" i="54"/>
  <c r="AS78" i="54"/>
  <c r="AS102" i="54"/>
  <c r="AS99" i="54"/>
  <c r="AS79" i="54"/>
  <c r="AL102" i="54"/>
  <c r="AL68" i="54"/>
  <c r="AU81" i="54"/>
  <c r="AU102" i="54"/>
  <c r="AN103" i="54"/>
  <c r="AN104" i="54"/>
  <c r="AS105" i="54"/>
  <c r="AS66" i="54"/>
  <c r="AL80" i="54"/>
  <c r="AU80" i="54"/>
  <c r="AV70" i="54"/>
  <c r="AY74" i="54"/>
  <c r="AK77" i="54"/>
  <c r="AM79" i="54"/>
  <c r="AO83" i="54"/>
  <c r="AQ90" i="54"/>
  <c r="AU95" i="54"/>
  <c r="AV98" i="54"/>
  <c r="AL103" i="54"/>
  <c r="AY105" i="54"/>
  <c r="AV88" i="54"/>
  <c r="AK91" i="54"/>
  <c r="AV83" i="54"/>
  <c r="AO93" i="54"/>
  <c r="AK95" i="54"/>
  <c r="AT99" i="54"/>
  <c r="AV81" i="54"/>
  <c r="AO103" i="54"/>
  <c r="AQ104" i="54"/>
  <c r="AX68" i="54"/>
  <c r="AK73" i="54"/>
  <c r="AN79" i="54"/>
  <c r="AQ83" i="54"/>
  <c r="AT90" i="54"/>
  <c r="AU93" i="54"/>
  <c r="AK83" i="54"/>
  <c r="AK82" i="54"/>
  <c r="AK90" i="54"/>
  <c r="AO82" i="54"/>
  <c r="AO92" i="54"/>
  <c r="AO76" i="54"/>
  <c r="AX69" i="54"/>
  <c r="AO102" i="54"/>
  <c r="AO68" i="54"/>
  <c r="AO89" i="54"/>
  <c r="AV96" i="54"/>
  <c r="AW88" i="54"/>
  <c r="AY89" i="54"/>
  <c r="AS74" i="54"/>
  <c r="AS90" i="54"/>
  <c r="AS75" i="54"/>
  <c r="AS83" i="54"/>
  <c r="AL91" i="54"/>
  <c r="AN83" i="54"/>
  <c r="AN92" i="54"/>
  <c r="AW83" i="54"/>
  <c r="AW82" i="54"/>
  <c r="AW92" i="54"/>
  <c r="AP93" i="54"/>
  <c r="AY93" i="54"/>
  <c r="AL95" i="54"/>
  <c r="AN96" i="54"/>
  <c r="AN69" i="54"/>
  <c r="AW96" i="54"/>
  <c r="AP77" i="54"/>
  <c r="AP97" i="54"/>
  <c r="AP76" i="54"/>
  <c r="AP79" i="54"/>
  <c r="AY77" i="54"/>
  <c r="AY97" i="54"/>
  <c r="AY84" i="54"/>
  <c r="AY70" i="54"/>
  <c r="AS72" i="54"/>
  <c r="AS98" i="54"/>
  <c r="AS71" i="54"/>
  <c r="AL79" i="54"/>
  <c r="AL99" i="54"/>
  <c r="AU79" i="54"/>
  <c r="AU78" i="54"/>
  <c r="AU99" i="54"/>
  <c r="AN81" i="54"/>
  <c r="AN102" i="54"/>
  <c r="AN68" i="54"/>
  <c r="AL66" i="54"/>
  <c r="AU66" i="54"/>
  <c r="AU67" i="54"/>
  <c r="AU105" i="54"/>
  <c r="AN80" i="54"/>
  <c r="AW80" i="54"/>
  <c r="AS67" i="54"/>
  <c r="AP69" i="54"/>
  <c r="AP71" i="54"/>
  <c r="AT75" i="54"/>
  <c r="AU77" i="54"/>
  <c r="AW79" i="54"/>
  <c r="AW81" i="54"/>
  <c r="AY83" i="54"/>
  <c r="AL89" i="54"/>
  <c r="AP91" i="54"/>
  <c r="AY98" i="54"/>
  <c r="AW103" i="54"/>
  <c r="AU89" i="54"/>
  <c r="AN74" i="54"/>
  <c r="AW90" i="54"/>
  <c r="AW75" i="54"/>
  <c r="AS82" i="54"/>
  <c r="AS92" i="54"/>
  <c r="AN94" i="54"/>
  <c r="AW73" i="54"/>
  <c r="AP95" i="54"/>
  <c r="AS69" i="54"/>
  <c r="AL97" i="54"/>
  <c r="AL77" i="54"/>
  <c r="AU76" i="54"/>
  <c r="AU84" i="54"/>
  <c r="AN72" i="54"/>
  <c r="AN71" i="54"/>
  <c r="AW72" i="54"/>
  <c r="AW98" i="54"/>
  <c r="AP78" i="54"/>
  <c r="AY99" i="54"/>
  <c r="AY79" i="54"/>
  <c r="AS68" i="54"/>
  <c r="AU103" i="54"/>
  <c r="AP105" i="54"/>
  <c r="AP67" i="54"/>
  <c r="AY67" i="54"/>
  <c r="AP66" i="54"/>
  <c r="AL70" i="54"/>
  <c r="AN73" i="54"/>
  <c r="AO74" i="54"/>
  <c r="AN98" i="54"/>
  <c r="AT88" i="54"/>
  <c r="AO90" i="54"/>
  <c r="AX74" i="54"/>
  <c r="AQ91" i="54"/>
  <c r="AT82" i="54"/>
  <c r="AT83" i="54"/>
  <c r="AM93" i="54"/>
  <c r="AX94" i="54"/>
  <c r="AK96" i="54"/>
  <c r="AM70" i="54"/>
  <c r="AM76" i="54"/>
  <c r="AV97" i="54"/>
  <c r="AV77" i="54"/>
  <c r="AO72" i="54"/>
  <c r="AX71" i="54"/>
  <c r="AQ99" i="54"/>
  <c r="AQ79" i="54"/>
  <c r="AK81" i="54"/>
  <c r="AT102" i="54"/>
  <c r="AO104" i="54"/>
  <c r="AQ66" i="54"/>
  <c r="AT80" i="54"/>
  <c r="AQ67" i="54"/>
  <c r="AO71" i="54"/>
  <c r="AQ75" i="54"/>
  <c r="AT78" i="54"/>
  <c r="AT79" i="54"/>
  <c r="AX84" i="54"/>
  <c r="AO98" i="54"/>
  <c r="AP99" i="54"/>
  <c r="AM88" i="54"/>
  <c r="AX89" i="54"/>
  <c r="AT91" i="54"/>
  <c r="AV92" i="54"/>
  <c r="AV82" i="54"/>
  <c r="AQ73" i="54"/>
  <c r="AQ94" i="54"/>
  <c r="AM96" i="54"/>
  <c r="AO97" i="54"/>
  <c r="AO77" i="54"/>
  <c r="AO84" i="54"/>
  <c r="AO70" i="54"/>
  <c r="AX76" i="54"/>
  <c r="AQ71" i="54"/>
  <c r="AK78" i="54"/>
  <c r="AK99" i="54"/>
  <c r="AK79" i="54"/>
  <c r="AM68" i="54"/>
  <c r="AV68" i="54"/>
  <c r="AV102" i="54"/>
  <c r="AX103" i="54"/>
  <c r="AK67" i="54"/>
  <c r="AT105" i="54"/>
  <c r="AT67" i="54"/>
  <c r="AV80" i="54"/>
  <c r="AV76" i="54"/>
  <c r="AN90" i="54"/>
  <c r="AQ95" i="54"/>
  <c r="AV103" i="54"/>
  <c r="AW78" i="54"/>
  <c r="AW99" i="54"/>
  <c r="AP102" i="54"/>
  <c r="AP81" i="54"/>
  <c r="AY102" i="54"/>
  <c r="AY81" i="54"/>
  <c r="AS103" i="54"/>
  <c r="AL104" i="54"/>
  <c r="AU104" i="54"/>
  <c r="AN105" i="54"/>
  <c r="AW105" i="54"/>
  <c r="AN67" i="54"/>
  <c r="AW67" i="54"/>
  <c r="AP68" i="54"/>
  <c r="AY68" i="54"/>
  <c r="CF29" i="74" l="1"/>
  <c r="CE29" i="74"/>
  <c r="CC29" i="74"/>
  <c r="CG29" i="74" l="1"/>
  <c r="G64" i="110" l="1"/>
  <c r="M8" i="126"/>
  <c r="N8" i="126"/>
  <c r="O8" i="126"/>
  <c r="P8" i="126"/>
  <c r="Q8" i="126"/>
  <c r="R8" i="126"/>
  <c r="S8" i="126"/>
  <c r="M9" i="126"/>
  <c r="N9" i="126"/>
  <c r="O9" i="126"/>
  <c r="P9" i="126"/>
  <c r="Q9" i="126"/>
  <c r="R9" i="126"/>
  <c r="S9" i="126"/>
  <c r="M10" i="126"/>
  <c r="N10" i="126"/>
  <c r="O10" i="126"/>
  <c r="P10" i="126"/>
  <c r="Q10" i="126"/>
  <c r="R10" i="126"/>
  <c r="S10" i="126"/>
  <c r="M11" i="126"/>
  <c r="N11" i="126"/>
  <c r="O11" i="126"/>
  <c r="P11" i="126"/>
  <c r="Q11" i="126"/>
  <c r="R11" i="126"/>
  <c r="S11" i="126"/>
  <c r="M12" i="126"/>
  <c r="N12" i="126"/>
  <c r="O12" i="126"/>
  <c r="P12" i="126"/>
  <c r="Q12" i="126"/>
  <c r="R12" i="126"/>
  <c r="S12" i="126"/>
  <c r="M13" i="126"/>
  <c r="N13" i="126"/>
  <c r="O13" i="126"/>
  <c r="P13" i="126"/>
  <c r="Q13" i="126"/>
  <c r="R13" i="126"/>
  <c r="S13" i="126"/>
  <c r="M14" i="126"/>
  <c r="N14" i="126"/>
  <c r="O14" i="126"/>
  <c r="P14" i="126"/>
  <c r="Q14" i="126"/>
  <c r="R14" i="126"/>
  <c r="S14" i="126"/>
  <c r="M15" i="126"/>
  <c r="N15" i="126"/>
  <c r="O15" i="126"/>
  <c r="P15" i="126"/>
  <c r="Q15" i="126"/>
  <c r="R15" i="126"/>
  <c r="S15" i="126"/>
  <c r="M16" i="126"/>
  <c r="N16" i="126"/>
  <c r="O16" i="126"/>
  <c r="P16" i="126"/>
  <c r="Q16" i="126"/>
  <c r="R16" i="126"/>
  <c r="S16" i="126"/>
  <c r="M17" i="126"/>
  <c r="N17" i="126"/>
  <c r="O17" i="126"/>
  <c r="P17" i="126"/>
  <c r="Q17" i="126"/>
  <c r="R17" i="126"/>
  <c r="S17" i="126"/>
  <c r="M18" i="126"/>
  <c r="N18" i="126"/>
  <c r="O18" i="126"/>
  <c r="P18" i="126"/>
  <c r="Q18" i="126"/>
  <c r="R18" i="126"/>
  <c r="S18" i="126"/>
  <c r="M19" i="126"/>
  <c r="N19" i="126"/>
  <c r="O19" i="126"/>
  <c r="P19" i="126"/>
  <c r="Q19" i="126"/>
  <c r="R19" i="126"/>
  <c r="S19" i="126"/>
  <c r="M20" i="126"/>
  <c r="N20" i="126"/>
  <c r="O20" i="126"/>
  <c r="P20" i="126"/>
  <c r="Q20" i="126"/>
  <c r="R20" i="126"/>
  <c r="S20" i="126"/>
  <c r="M21" i="126"/>
  <c r="N21" i="126"/>
  <c r="O21" i="126"/>
  <c r="P21" i="126"/>
  <c r="Q21" i="126"/>
  <c r="R21" i="126"/>
  <c r="S21" i="126"/>
  <c r="M22" i="126"/>
  <c r="N22" i="126"/>
  <c r="O22" i="126"/>
  <c r="P22" i="126"/>
  <c r="Q22" i="126"/>
  <c r="R22" i="126"/>
  <c r="S22" i="126"/>
  <c r="M23" i="126"/>
  <c r="N23" i="126"/>
  <c r="O23" i="126"/>
  <c r="P23" i="126"/>
  <c r="Q23" i="126"/>
  <c r="R23" i="126"/>
  <c r="S23" i="126"/>
  <c r="M24" i="126"/>
  <c r="N24" i="126"/>
  <c r="O24" i="126"/>
  <c r="P24" i="126"/>
  <c r="Q24" i="126"/>
  <c r="R24" i="126"/>
  <c r="S24" i="126"/>
  <c r="M25" i="126"/>
  <c r="N25" i="126"/>
  <c r="O25" i="126"/>
  <c r="P25" i="126"/>
  <c r="Q25" i="126"/>
  <c r="R25" i="126"/>
  <c r="S25" i="126"/>
  <c r="M26" i="126"/>
  <c r="N26" i="126"/>
  <c r="O26" i="126"/>
  <c r="P26" i="126"/>
  <c r="Q26" i="126"/>
  <c r="R26" i="126"/>
  <c r="S26" i="126"/>
  <c r="M27" i="126"/>
  <c r="N27" i="126"/>
  <c r="O27" i="126"/>
  <c r="P27" i="126"/>
  <c r="Q27" i="126"/>
  <c r="R27" i="126"/>
  <c r="S27" i="126"/>
  <c r="M28" i="126"/>
  <c r="N28" i="126"/>
  <c r="O28" i="126"/>
  <c r="P28" i="126"/>
  <c r="Q28" i="126"/>
  <c r="R28" i="126"/>
  <c r="S28" i="126"/>
  <c r="M29" i="126"/>
  <c r="N29" i="126"/>
  <c r="O29" i="126"/>
  <c r="P29" i="126"/>
  <c r="Q29" i="126"/>
  <c r="R29" i="126"/>
  <c r="S29" i="126"/>
  <c r="M30" i="126"/>
  <c r="N30" i="126"/>
  <c r="O30" i="126"/>
  <c r="P30" i="126"/>
  <c r="Q30" i="126"/>
  <c r="R30" i="126"/>
  <c r="S30" i="126"/>
  <c r="M31" i="126"/>
  <c r="N31" i="126"/>
  <c r="O31" i="126"/>
  <c r="P31" i="126"/>
  <c r="Q31" i="126"/>
  <c r="R31" i="126"/>
  <c r="S31" i="126"/>
  <c r="M32" i="126"/>
  <c r="N32" i="126"/>
  <c r="O32" i="126"/>
  <c r="P32" i="126"/>
  <c r="Q32" i="126"/>
  <c r="R32" i="126"/>
  <c r="S32" i="126"/>
  <c r="M33" i="126"/>
  <c r="N33" i="126"/>
  <c r="O33" i="126"/>
  <c r="P33" i="126"/>
  <c r="Q33" i="126"/>
  <c r="R33" i="126"/>
  <c r="S33" i="126"/>
  <c r="M34" i="126"/>
  <c r="N34" i="126"/>
  <c r="O34" i="126"/>
  <c r="P34" i="126"/>
  <c r="Q34" i="126"/>
  <c r="R34" i="126"/>
  <c r="S34" i="126"/>
  <c r="M35" i="126"/>
  <c r="N35" i="126"/>
  <c r="O35" i="126"/>
  <c r="P35" i="126"/>
  <c r="Q35" i="126"/>
  <c r="R35" i="126"/>
  <c r="S35" i="126"/>
  <c r="M36" i="126"/>
  <c r="N36" i="126"/>
  <c r="O36" i="126"/>
  <c r="P36" i="126"/>
  <c r="Q36" i="126"/>
  <c r="R36" i="126"/>
  <c r="S36" i="126"/>
  <c r="M37" i="126"/>
  <c r="N37" i="126"/>
  <c r="O37" i="126"/>
  <c r="P37" i="126"/>
  <c r="Q37" i="126"/>
  <c r="R37" i="126"/>
  <c r="S37" i="126"/>
  <c r="M38" i="126"/>
  <c r="N38" i="126"/>
  <c r="O38" i="126"/>
  <c r="P38" i="126"/>
  <c r="Q38" i="126"/>
  <c r="R38" i="126"/>
  <c r="S38" i="126"/>
  <c r="M39" i="126"/>
  <c r="N39" i="126"/>
  <c r="O39" i="126"/>
  <c r="P39" i="126"/>
  <c r="Q39" i="126"/>
  <c r="R39" i="126"/>
  <c r="S39" i="126"/>
  <c r="M40" i="126"/>
  <c r="N40" i="126"/>
  <c r="O40" i="126"/>
  <c r="P40" i="126"/>
  <c r="Q40" i="126"/>
  <c r="R40" i="126"/>
  <c r="S40" i="126"/>
  <c r="M41" i="126"/>
  <c r="N41" i="126"/>
  <c r="O41" i="126"/>
  <c r="P41" i="126"/>
  <c r="Q41" i="126"/>
  <c r="R41" i="126"/>
  <c r="S41" i="126"/>
  <c r="M42" i="126"/>
  <c r="N42" i="126"/>
  <c r="O42" i="126"/>
  <c r="P42" i="126"/>
  <c r="Q42" i="126"/>
  <c r="R42" i="126"/>
  <c r="S42" i="126"/>
  <c r="M43" i="126"/>
  <c r="N43" i="126"/>
  <c r="O43" i="126"/>
  <c r="P43" i="126"/>
  <c r="Q43" i="126"/>
  <c r="R43" i="126"/>
  <c r="S43" i="126"/>
  <c r="M44" i="126"/>
  <c r="N44" i="126"/>
  <c r="O44" i="126"/>
  <c r="P44" i="126"/>
  <c r="Q44" i="126"/>
  <c r="R44" i="126"/>
  <c r="S44" i="126"/>
  <c r="M45" i="126"/>
  <c r="N45" i="126"/>
  <c r="O45" i="126"/>
  <c r="P45" i="126"/>
  <c r="Q45" i="126"/>
  <c r="R45" i="126"/>
  <c r="S45" i="126"/>
  <c r="M46" i="126"/>
  <c r="N46" i="126"/>
  <c r="O46" i="126"/>
  <c r="P46" i="126"/>
  <c r="Q46" i="126"/>
  <c r="R46" i="126"/>
  <c r="S46" i="126"/>
  <c r="M47" i="126"/>
  <c r="N47" i="126"/>
  <c r="O47" i="126"/>
  <c r="P47" i="126"/>
  <c r="Q47" i="126"/>
  <c r="R47" i="126"/>
  <c r="S47" i="126"/>
  <c r="M48" i="126"/>
  <c r="N48" i="126"/>
  <c r="O48" i="126"/>
  <c r="P48" i="126"/>
  <c r="Q48" i="126"/>
  <c r="R48" i="126"/>
  <c r="S48" i="126"/>
  <c r="M49" i="126"/>
  <c r="N49" i="126"/>
  <c r="O49" i="126"/>
  <c r="P49" i="126"/>
  <c r="Q49" i="126"/>
  <c r="R49" i="126"/>
  <c r="S49" i="126"/>
  <c r="M50" i="126"/>
  <c r="N50" i="126"/>
  <c r="O50" i="126"/>
  <c r="P50" i="126"/>
  <c r="Q50" i="126"/>
  <c r="R50" i="126"/>
  <c r="S50" i="126"/>
  <c r="M51" i="126"/>
  <c r="N51" i="126"/>
  <c r="O51" i="126"/>
  <c r="P51" i="126"/>
  <c r="Q51" i="126"/>
  <c r="R51" i="126"/>
  <c r="S51" i="126"/>
  <c r="M52" i="126"/>
  <c r="N52" i="126"/>
  <c r="O52" i="126"/>
  <c r="P52" i="126"/>
  <c r="Q52" i="126"/>
  <c r="R52" i="126"/>
  <c r="S52" i="126"/>
  <c r="M53" i="126"/>
  <c r="N53" i="126"/>
  <c r="O53" i="126"/>
  <c r="P53" i="126"/>
  <c r="Q53" i="126"/>
  <c r="R53" i="126"/>
  <c r="S53" i="126"/>
  <c r="M54" i="126"/>
  <c r="N54" i="126"/>
  <c r="O54" i="126"/>
  <c r="P54" i="126"/>
  <c r="Q54" i="126"/>
  <c r="R54" i="126"/>
  <c r="S54" i="126"/>
  <c r="M55" i="126"/>
  <c r="N55" i="126"/>
  <c r="O55" i="126"/>
  <c r="P55" i="126"/>
  <c r="Q55" i="126"/>
  <c r="R55" i="126"/>
  <c r="S55" i="126"/>
  <c r="M56" i="126"/>
  <c r="N56" i="126"/>
  <c r="O56" i="126"/>
  <c r="P56" i="126"/>
  <c r="Q56" i="126"/>
  <c r="R56" i="126"/>
  <c r="S56" i="126"/>
  <c r="M57" i="126"/>
  <c r="N57" i="126"/>
  <c r="O57" i="126"/>
  <c r="P57" i="126"/>
  <c r="Q57" i="126"/>
  <c r="R57" i="126"/>
  <c r="S57" i="126"/>
  <c r="M58" i="126"/>
  <c r="N58" i="126"/>
  <c r="O58" i="126"/>
  <c r="X58" i="126" s="1"/>
  <c r="P58" i="126"/>
  <c r="Q58" i="126"/>
  <c r="R58" i="126"/>
  <c r="S58" i="126"/>
  <c r="M59" i="126"/>
  <c r="N59" i="126"/>
  <c r="O59" i="126"/>
  <c r="P59" i="126"/>
  <c r="Q59" i="126"/>
  <c r="R59" i="126"/>
  <c r="S59" i="126"/>
  <c r="S7" i="126"/>
  <c r="N7" i="126"/>
  <c r="O7" i="126"/>
  <c r="P7" i="126"/>
  <c r="Q7" i="126"/>
  <c r="R7" i="126"/>
  <c r="M7" i="126"/>
  <c r="L7" i="126" l="1"/>
  <c r="G10" i="110" l="1"/>
  <c r="AC7" i="129" l="1"/>
  <c r="AC10" i="129"/>
  <c r="AC42" i="129"/>
  <c r="AC45" i="129"/>
  <c r="AC46" i="129"/>
  <c r="AC47" i="129"/>
  <c r="AC48" i="129"/>
  <c r="AC49" i="129"/>
  <c r="AC50" i="129"/>
  <c r="AC51" i="129"/>
  <c r="AC52" i="129"/>
  <c r="AC53" i="129"/>
  <c r="AC54" i="129"/>
  <c r="AC55" i="129"/>
  <c r="AC56" i="129"/>
  <c r="AC57" i="129"/>
  <c r="AC58" i="129"/>
  <c r="AC5" i="129"/>
  <c r="G65" i="110" l="1"/>
  <c r="BL14" i="74" l="1"/>
  <c r="BO14" i="74" s="1"/>
  <c r="AE158" i="121"/>
  <c r="B100" i="121" l="1"/>
  <c r="V100" i="121"/>
  <c r="U100" i="121"/>
  <c r="A34" i="138" l="1"/>
  <c r="A35" i="138" s="1"/>
  <c r="A36" i="138" s="1"/>
  <c r="A37" i="138" s="1"/>
  <c r="A38" i="138" s="1"/>
  <c r="A39" i="138" s="1"/>
  <c r="A40" i="138" s="1"/>
  <c r="A41" i="138" s="1"/>
  <c r="A42" i="138" s="1"/>
  <c r="A43" i="138" s="1"/>
  <c r="A44" i="138" s="1"/>
  <c r="A45" i="138" s="1"/>
  <c r="A46" i="138" s="1"/>
  <c r="A47" i="138" s="1"/>
  <c r="A48" i="138" s="1"/>
  <c r="A49" i="138" s="1"/>
  <c r="A50" i="138" s="1"/>
  <c r="A51" i="138" s="1"/>
  <c r="A52" i="138" s="1"/>
  <c r="A53" i="138" s="1"/>
  <c r="A54" i="138" s="1"/>
  <c r="A55" i="138" s="1"/>
  <c r="A56" i="138" s="1"/>
  <c r="A57" i="138" s="1"/>
  <c r="A58" i="138" s="1"/>
  <c r="A59" i="138" s="1"/>
  <c r="A60" i="138" s="1"/>
  <c r="A61" i="138" s="1"/>
  <c r="A62" i="138" s="1"/>
  <c r="A63" i="138" s="1"/>
  <c r="A64" i="138" s="1"/>
  <c r="A65" i="138" s="1"/>
  <c r="A66" i="138" s="1"/>
  <c r="A67" i="138" s="1"/>
  <c r="A68" i="138" s="1"/>
  <c r="A69" i="138" s="1"/>
  <c r="A70" i="138" s="1"/>
  <c r="A71" i="138" s="1"/>
  <c r="A72" i="138" s="1"/>
  <c r="A73" i="138" s="1"/>
  <c r="A74" i="138" s="1"/>
  <c r="A75" i="138" s="1"/>
  <c r="A76" i="138" s="1"/>
  <c r="A77" i="138" s="1"/>
  <c r="A78" i="138" s="1"/>
  <c r="A79" i="138" s="1"/>
  <c r="A80" i="138" s="1"/>
  <c r="A81" i="138" s="1"/>
  <c r="A82" i="138" s="1"/>
  <c r="A83" i="138" s="1"/>
  <c r="A84" i="138" s="1"/>
  <c r="A85" i="138" s="1"/>
  <c r="A86" i="138" s="1"/>
  <c r="A87" i="138" s="1"/>
  <c r="A88" i="138" s="1"/>
  <c r="EU61" i="39"/>
  <c r="ET61" i="39"/>
  <c r="ES61" i="39"/>
  <c r="ER61" i="39"/>
  <c r="F26" i="58" s="1"/>
  <c r="EQ61" i="39"/>
  <c r="EP61" i="39"/>
  <c r="EU60" i="39"/>
  <c r="ET60" i="39"/>
  <c r="ES60" i="39"/>
  <c r="ER60" i="39"/>
  <c r="EQ60" i="39"/>
  <c r="EP60" i="39"/>
  <c r="EU59" i="39"/>
  <c r="ET59" i="39"/>
  <c r="ES59" i="39"/>
  <c r="ER59" i="39"/>
  <c r="EQ59" i="39"/>
  <c r="EP59" i="39"/>
  <c r="EU58" i="39"/>
  <c r="ET58" i="39"/>
  <c r="ES58" i="39"/>
  <c r="ER58" i="39"/>
  <c r="EQ58" i="39"/>
  <c r="EP58" i="39"/>
  <c r="EU57" i="39"/>
  <c r="ET57" i="39"/>
  <c r="ES57" i="39"/>
  <c r="ER57" i="39"/>
  <c r="EQ57" i="39"/>
  <c r="EP57" i="39"/>
  <c r="EU56" i="39"/>
  <c r="ET56" i="39"/>
  <c r="ES56" i="39"/>
  <c r="ER56" i="39"/>
  <c r="EQ56" i="39"/>
  <c r="EP56" i="39"/>
  <c r="EU55" i="39"/>
  <c r="ET55" i="39"/>
  <c r="ES55" i="39"/>
  <c r="ER55" i="39"/>
  <c r="EQ55" i="39"/>
  <c r="EP55" i="39"/>
  <c r="EU54" i="39"/>
  <c r="ET54" i="39"/>
  <c r="ES54" i="39"/>
  <c r="ER54" i="39"/>
  <c r="EQ54" i="39"/>
  <c r="EP54" i="39"/>
  <c r="EU53" i="39"/>
  <c r="ET53" i="39"/>
  <c r="ES53" i="39"/>
  <c r="ER53" i="39"/>
  <c r="EQ53" i="39"/>
  <c r="EP53" i="39"/>
  <c r="EU52" i="39"/>
  <c r="ET52" i="39"/>
  <c r="ES52" i="39"/>
  <c r="ER52" i="39"/>
  <c r="EQ52" i="39"/>
  <c r="EP52" i="39"/>
  <c r="EU51" i="39"/>
  <c r="ET51" i="39"/>
  <c r="ES51" i="39"/>
  <c r="ER51" i="39"/>
  <c r="EQ51" i="39"/>
  <c r="EP51" i="39"/>
  <c r="EU50" i="39"/>
  <c r="ET50" i="39"/>
  <c r="ES50" i="39"/>
  <c r="ER50" i="39"/>
  <c r="EQ50" i="39"/>
  <c r="EP50" i="39"/>
  <c r="EU49" i="39"/>
  <c r="ET49" i="39"/>
  <c r="ES49" i="39"/>
  <c r="ER49" i="39"/>
  <c r="EQ49" i="39"/>
  <c r="EP49" i="39"/>
  <c r="EU48" i="39"/>
  <c r="ET48" i="39"/>
  <c r="ES48" i="39"/>
  <c r="ER48" i="39"/>
  <c r="EQ48" i="39"/>
  <c r="EP48" i="39"/>
  <c r="EU47" i="39"/>
  <c r="ET47" i="39"/>
  <c r="ES47" i="39"/>
  <c r="ER47" i="39"/>
  <c r="EQ47" i="39"/>
  <c r="EP47" i="39"/>
  <c r="EU46" i="39"/>
  <c r="ET46" i="39"/>
  <c r="ES46" i="39"/>
  <c r="ER46" i="39"/>
  <c r="EQ46" i="39"/>
  <c r="EP46" i="39"/>
  <c r="EU45" i="39"/>
  <c r="ET45" i="39"/>
  <c r="ES45" i="39"/>
  <c r="ER45" i="39"/>
  <c r="EQ45" i="39"/>
  <c r="EP45" i="39"/>
  <c r="EU44" i="39"/>
  <c r="ET44" i="39"/>
  <c r="ES44" i="39"/>
  <c r="ER44" i="39"/>
  <c r="EQ44" i="39"/>
  <c r="EP44" i="39"/>
  <c r="EU43" i="39"/>
  <c r="ET43" i="39"/>
  <c r="ES43" i="39"/>
  <c r="ER43" i="39"/>
  <c r="EQ43" i="39"/>
  <c r="EP43" i="39"/>
  <c r="EU42" i="39"/>
  <c r="ET42" i="39"/>
  <c r="ES42" i="39"/>
  <c r="ER42" i="39"/>
  <c r="EQ42" i="39"/>
  <c r="EP42" i="39"/>
  <c r="EU41" i="39"/>
  <c r="ET41" i="39"/>
  <c r="ES41" i="39"/>
  <c r="ER41" i="39"/>
  <c r="EQ41" i="39"/>
  <c r="EP41" i="39"/>
  <c r="EU40" i="39"/>
  <c r="ET40" i="39"/>
  <c r="ES40" i="39"/>
  <c r="ER40" i="39"/>
  <c r="EQ40" i="39"/>
  <c r="EP40" i="39"/>
  <c r="EU39" i="39"/>
  <c r="ET39" i="39"/>
  <c r="ES39" i="39"/>
  <c r="ER39" i="39"/>
  <c r="EQ39" i="39"/>
  <c r="EP39" i="39"/>
  <c r="EU38" i="39"/>
  <c r="ET38" i="39"/>
  <c r="ES38" i="39"/>
  <c r="ER38" i="39"/>
  <c r="EQ38" i="39"/>
  <c r="EP38" i="39"/>
  <c r="EU37" i="39"/>
  <c r="ET37" i="39"/>
  <c r="ES37" i="39"/>
  <c r="ER37" i="39"/>
  <c r="EQ37" i="39"/>
  <c r="EP37" i="39"/>
  <c r="EU36" i="39"/>
  <c r="ET36" i="39"/>
  <c r="ES36" i="39"/>
  <c r="ER36" i="39"/>
  <c r="EQ36" i="39"/>
  <c r="EP36" i="39"/>
  <c r="EU35" i="39"/>
  <c r="ET35" i="39"/>
  <c r="ES35" i="39"/>
  <c r="ER35" i="39"/>
  <c r="E26" i="58" s="1"/>
  <c r="EQ35" i="39"/>
  <c r="EP35" i="39"/>
  <c r="EU34" i="39"/>
  <c r="ET34" i="39"/>
  <c r="ES34" i="39"/>
  <c r="ER34" i="39"/>
  <c r="EQ34" i="39"/>
  <c r="EP34" i="39"/>
  <c r="EU33" i="39"/>
  <c r="ET33" i="39"/>
  <c r="ES33" i="39"/>
  <c r="ER33" i="39"/>
  <c r="EQ33" i="39"/>
  <c r="EP33" i="39"/>
  <c r="EU32" i="39"/>
  <c r="ET32" i="39"/>
  <c r="ES32" i="39"/>
  <c r="ER32" i="39"/>
  <c r="EQ32" i="39"/>
  <c r="EP32" i="39"/>
  <c r="EU31" i="39"/>
  <c r="ET31" i="39"/>
  <c r="ES31" i="39"/>
  <c r="ER31" i="39"/>
  <c r="D26" i="58" s="1"/>
  <c r="EQ31" i="39"/>
  <c r="EP31" i="39"/>
  <c r="EU30" i="39"/>
  <c r="ET30" i="39"/>
  <c r="ES30" i="39"/>
  <c r="ER30" i="39"/>
  <c r="EQ30" i="39"/>
  <c r="EP30" i="39"/>
  <c r="EU29" i="39"/>
  <c r="ET29" i="39"/>
  <c r="ES29" i="39"/>
  <c r="ER29" i="39"/>
  <c r="EQ29" i="39"/>
  <c r="EP29" i="39"/>
  <c r="EU28" i="39"/>
  <c r="ET28" i="39"/>
  <c r="ES28" i="39"/>
  <c r="ER28" i="39"/>
  <c r="EQ28" i="39"/>
  <c r="EP28" i="39"/>
  <c r="EU27" i="39"/>
  <c r="ET27" i="39"/>
  <c r="ES27" i="39"/>
  <c r="ER27" i="39"/>
  <c r="EQ27" i="39"/>
  <c r="EP27" i="39"/>
  <c r="EU26" i="39"/>
  <c r="ET26" i="39"/>
  <c r="ES26" i="39"/>
  <c r="ER26" i="39"/>
  <c r="EQ26" i="39"/>
  <c r="EP26" i="39"/>
  <c r="EU25" i="39"/>
  <c r="ET25" i="39"/>
  <c r="ES25" i="39"/>
  <c r="ER25" i="39"/>
  <c r="C26" i="58" s="1"/>
  <c r="EQ25" i="39"/>
  <c r="EP25" i="39"/>
  <c r="EU24" i="39"/>
  <c r="ET24" i="39"/>
  <c r="ES24" i="39"/>
  <c r="ER24" i="39"/>
  <c r="EQ24" i="39"/>
  <c r="EP24" i="39"/>
  <c r="EU23" i="39"/>
  <c r="ET23" i="39"/>
  <c r="ES23" i="39"/>
  <c r="ER23" i="39"/>
  <c r="EQ23" i="39"/>
  <c r="EP23" i="39"/>
  <c r="EU22" i="39"/>
  <c r="ET22" i="39"/>
  <c r="ES22" i="39"/>
  <c r="ER22" i="39"/>
  <c r="EQ22" i="39"/>
  <c r="EP22" i="39"/>
  <c r="EU21" i="39"/>
  <c r="ET21" i="39"/>
  <c r="ES21" i="39"/>
  <c r="ER21" i="39"/>
  <c r="EQ21" i="39"/>
  <c r="EP21" i="39"/>
  <c r="EU20" i="39"/>
  <c r="ET20" i="39"/>
  <c r="ES20" i="39"/>
  <c r="ER20" i="39"/>
  <c r="EQ20" i="39"/>
  <c r="EP20" i="39"/>
  <c r="EU19" i="39"/>
  <c r="ET19" i="39"/>
  <c r="ES19" i="39"/>
  <c r="ER19" i="39"/>
  <c r="EQ19" i="39"/>
  <c r="EP19" i="39"/>
  <c r="EU18" i="39"/>
  <c r="ET18" i="39"/>
  <c r="ES18" i="39"/>
  <c r="ER18" i="39"/>
  <c r="EQ18" i="39"/>
  <c r="EP18" i="39"/>
  <c r="EU17" i="39"/>
  <c r="ET17" i="39"/>
  <c r="ES17" i="39"/>
  <c r="ER17" i="39"/>
  <c r="EQ17" i="39"/>
  <c r="EP17" i="39"/>
  <c r="EU16" i="39"/>
  <c r="ET16" i="39"/>
  <c r="ES16" i="39"/>
  <c r="ER16" i="39"/>
  <c r="EQ16" i="39"/>
  <c r="EP16" i="39"/>
  <c r="EU15" i="39"/>
  <c r="ET15" i="39"/>
  <c r="ES15" i="39"/>
  <c r="ER15" i="39"/>
  <c r="EQ15" i="39"/>
  <c r="EP15" i="39"/>
  <c r="EU14" i="39"/>
  <c r="ET14" i="39"/>
  <c r="ES14" i="39"/>
  <c r="ER14" i="39"/>
  <c r="EQ14" i="39"/>
  <c r="EP14" i="39"/>
  <c r="EU13" i="39"/>
  <c r="ET13" i="39"/>
  <c r="ES13" i="39"/>
  <c r="ER13" i="39"/>
  <c r="EQ13" i="39"/>
  <c r="EP13" i="39"/>
  <c r="EU12" i="39"/>
  <c r="ET12" i="39"/>
  <c r="ES12" i="39"/>
  <c r="ER12" i="39"/>
  <c r="EQ12" i="39"/>
  <c r="EP12" i="39"/>
  <c r="EU11" i="39"/>
  <c r="ET11" i="39"/>
  <c r="ES11" i="39"/>
  <c r="ER11" i="39"/>
  <c r="EQ11" i="39"/>
  <c r="EP11" i="39"/>
  <c r="EU10" i="39"/>
  <c r="ET10" i="39"/>
  <c r="ES10" i="39"/>
  <c r="ER10" i="39"/>
  <c r="EQ10" i="39"/>
  <c r="EP10" i="39"/>
  <c r="EU9" i="39"/>
  <c r="ET9" i="39"/>
  <c r="ES9" i="39"/>
  <c r="ER9" i="39"/>
  <c r="EQ9" i="39"/>
  <c r="EP9" i="39"/>
  <c r="EU8" i="39"/>
  <c r="ET8" i="39"/>
  <c r="ES8" i="39"/>
  <c r="ER8" i="39"/>
  <c r="EQ8" i="39"/>
  <c r="EP8" i="39"/>
  <c r="EU7" i="39"/>
  <c r="ET7" i="39"/>
  <c r="ES7" i="39"/>
  <c r="ER7" i="39"/>
  <c r="EQ7" i="39"/>
  <c r="EP7" i="39"/>
  <c r="EU6" i="39"/>
  <c r="ET6" i="39"/>
  <c r="ES6" i="39"/>
  <c r="ER6" i="39"/>
  <c r="B26" i="58" s="1"/>
  <c r="EQ6" i="39"/>
  <c r="EP6" i="39"/>
  <c r="EP3" i="39"/>
  <c r="O11" i="111" l="1"/>
  <c r="O12" i="111"/>
  <c r="O13" i="111"/>
  <c r="O14" i="111"/>
  <c r="O15" i="111"/>
  <c r="O16" i="111"/>
  <c r="O17" i="111"/>
  <c r="O18" i="111"/>
  <c r="O19" i="111"/>
  <c r="O20" i="111"/>
  <c r="O21" i="111"/>
  <c r="O22" i="111"/>
  <c r="O23" i="111"/>
  <c r="O24" i="111"/>
  <c r="O25" i="111"/>
  <c r="O26" i="111"/>
  <c r="O27" i="111"/>
  <c r="O28" i="111"/>
  <c r="O29" i="111"/>
  <c r="O30" i="111"/>
  <c r="O31" i="111"/>
  <c r="O32" i="111"/>
  <c r="O33" i="111"/>
  <c r="O34" i="111"/>
  <c r="O35" i="111"/>
  <c r="O36" i="111"/>
  <c r="O37" i="111"/>
  <c r="O38" i="111"/>
  <c r="O39" i="111"/>
  <c r="O40" i="111"/>
  <c r="O41" i="111"/>
  <c r="O42" i="111"/>
  <c r="O43" i="111"/>
  <c r="O44" i="111"/>
  <c r="O45" i="111"/>
  <c r="O46" i="111"/>
  <c r="O47" i="111"/>
  <c r="O48" i="111"/>
  <c r="O49" i="111"/>
  <c r="O50" i="111"/>
  <c r="O51" i="111"/>
  <c r="O52" i="111"/>
  <c r="O53" i="111"/>
  <c r="O54" i="111"/>
  <c r="O55" i="111"/>
  <c r="O56" i="111"/>
  <c r="O57" i="111"/>
  <c r="O58" i="111"/>
  <c r="O59" i="111"/>
  <c r="O60" i="111"/>
  <c r="O61" i="111"/>
  <c r="O62" i="111"/>
  <c r="O63" i="111"/>
  <c r="O64" i="111"/>
  <c r="O65" i="111"/>
  <c r="O10" i="111"/>
  <c r="I11" i="111" l="1"/>
  <c r="I12" i="111"/>
  <c r="I13" i="111"/>
  <c r="I14" i="111"/>
  <c r="I15" i="111"/>
  <c r="I16" i="111"/>
  <c r="I17" i="111"/>
  <c r="I18" i="111"/>
  <c r="I19" i="111"/>
  <c r="I20" i="111"/>
  <c r="I21" i="111"/>
  <c r="I22" i="111"/>
  <c r="I23" i="111"/>
  <c r="I24" i="111"/>
  <c r="I25" i="111"/>
  <c r="I26" i="111"/>
  <c r="I27" i="111"/>
  <c r="I28" i="111"/>
  <c r="I29" i="111"/>
  <c r="I30" i="111"/>
  <c r="I31" i="111"/>
  <c r="I32" i="111"/>
  <c r="I33" i="111"/>
  <c r="I34" i="111"/>
  <c r="I35" i="111"/>
  <c r="I36" i="111"/>
  <c r="I37" i="111"/>
  <c r="I38" i="111"/>
  <c r="I39" i="111"/>
  <c r="I40" i="111"/>
  <c r="I41" i="111"/>
  <c r="I42" i="111"/>
  <c r="I43" i="111"/>
  <c r="I44" i="111"/>
  <c r="I45" i="111"/>
  <c r="I46" i="111"/>
  <c r="I47" i="111"/>
  <c r="I48" i="111"/>
  <c r="I49" i="111"/>
  <c r="I50" i="111"/>
  <c r="I51" i="111"/>
  <c r="I52" i="111"/>
  <c r="I53" i="111"/>
  <c r="I54" i="111"/>
  <c r="I55" i="111"/>
  <c r="I56" i="111"/>
  <c r="I57" i="111"/>
  <c r="I58" i="111"/>
  <c r="I59" i="111"/>
  <c r="I60" i="111"/>
  <c r="I61" i="111"/>
  <c r="I62" i="111"/>
  <c r="I63" i="111"/>
  <c r="I64" i="111"/>
  <c r="I65" i="111"/>
  <c r="I10" i="111"/>
  <c r="CT6" i="74"/>
  <c r="BX6" i="74"/>
  <c r="CU4" i="74"/>
  <c r="CF7" i="74"/>
  <c r="CF8" i="74"/>
  <c r="CF9" i="74"/>
  <c r="CF10" i="74"/>
  <c r="CF11" i="74"/>
  <c r="CF12" i="74"/>
  <c r="CF13" i="74"/>
  <c r="CF14" i="74"/>
  <c r="CF15" i="74"/>
  <c r="CF16" i="74"/>
  <c r="CF17" i="74"/>
  <c r="CF18" i="74"/>
  <c r="CF19" i="74"/>
  <c r="CF20" i="74"/>
  <c r="CF21" i="74"/>
  <c r="CF22" i="74"/>
  <c r="CF23" i="74"/>
  <c r="CF24" i="74"/>
  <c r="CF25" i="74"/>
  <c r="CF26" i="74"/>
  <c r="CF27" i="74"/>
  <c r="CF28" i="74"/>
  <c r="CF30" i="74"/>
  <c r="CF31" i="74"/>
  <c r="CF32" i="74"/>
  <c r="CF33" i="74"/>
  <c r="CF34" i="74"/>
  <c r="CF35" i="74"/>
  <c r="CF36" i="74"/>
  <c r="CF37" i="74"/>
  <c r="CF38" i="74"/>
  <c r="CF39" i="74"/>
  <c r="CF40" i="74"/>
  <c r="CF41" i="74"/>
  <c r="CF42" i="74"/>
  <c r="CF43" i="74"/>
  <c r="CF44" i="74"/>
  <c r="CF45" i="74"/>
  <c r="CF46" i="74"/>
  <c r="CF47" i="74"/>
  <c r="CF48" i="74"/>
  <c r="CF49" i="74"/>
  <c r="CF50" i="74"/>
  <c r="CF51" i="74"/>
  <c r="CF52" i="74"/>
  <c r="CF53" i="74"/>
  <c r="CF54" i="74"/>
  <c r="CF55" i="74"/>
  <c r="CF56" i="74"/>
  <c r="CF57" i="74"/>
  <c r="CF58" i="74"/>
  <c r="CF59" i="74"/>
  <c r="CF60" i="74"/>
  <c r="CF61" i="74"/>
  <c r="CF6" i="74"/>
  <c r="CF5" i="74"/>
  <c r="CD6" i="74"/>
  <c r="I226" i="136" l="1"/>
  <c r="I224" i="136"/>
  <c r="I222" i="136"/>
  <c r="I221" i="136"/>
  <c r="I215" i="136"/>
  <c r="I214" i="136" s="1"/>
  <c r="I208" i="136"/>
  <c r="M208" i="136" s="1"/>
  <c r="M207" i="136"/>
  <c r="I206" i="136"/>
  <c r="M205" i="136"/>
  <c r="I204" i="136"/>
  <c r="M204" i="136" s="1"/>
  <c r="I203" i="136"/>
  <c r="M202" i="136"/>
  <c r="M201" i="136"/>
  <c r="M200" i="136"/>
  <c r="M199" i="136"/>
  <c r="M198" i="136"/>
  <c r="I197" i="136"/>
  <c r="M168" i="136"/>
  <c r="F17" i="136" s="1"/>
  <c r="M167" i="136"/>
  <c r="F16" i="136" s="1"/>
  <c r="M166" i="136"/>
  <c r="F15" i="136" s="1"/>
  <c r="M165" i="136"/>
  <c r="F14" i="136" s="1"/>
  <c r="M164" i="136"/>
  <c r="F13" i="136" s="1"/>
  <c r="M163" i="136"/>
  <c r="F12" i="136" s="1"/>
  <c r="M162" i="136"/>
  <c r="F11" i="136" s="1"/>
  <c r="M161" i="136"/>
  <c r="M160" i="136"/>
  <c r="F9" i="136" s="1"/>
  <c r="M159" i="136"/>
  <c r="F8" i="136" s="1"/>
  <c r="M158" i="136"/>
  <c r="F7" i="136" s="1"/>
  <c r="I7" i="136" s="1"/>
  <c r="M157" i="136"/>
  <c r="F6" i="136" s="1"/>
  <c r="M156" i="136"/>
  <c r="F5" i="136" s="1"/>
  <c r="F19" i="136" s="1"/>
  <c r="M127" i="136"/>
  <c r="M126" i="136"/>
  <c r="D16" i="136" s="1"/>
  <c r="M125" i="136"/>
  <c r="D15" i="136" s="1"/>
  <c r="M124" i="136"/>
  <c r="D14" i="136" s="1"/>
  <c r="M123" i="136"/>
  <c r="D13" i="136" s="1"/>
  <c r="M122" i="136"/>
  <c r="D12" i="136" s="1"/>
  <c r="M121" i="136"/>
  <c r="D11" i="136" s="1"/>
  <c r="M120" i="136"/>
  <c r="D10" i="136" s="1"/>
  <c r="M119" i="136"/>
  <c r="E9" i="136" s="1"/>
  <c r="M118" i="136"/>
  <c r="D8" i="136" s="1"/>
  <c r="M117" i="136"/>
  <c r="M116" i="136"/>
  <c r="D6" i="136" s="1"/>
  <c r="M115" i="136"/>
  <c r="D5" i="136" s="1"/>
  <c r="M86" i="136"/>
  <c r="C17" i="136" s="1"/>
  <c r="M85" i="136"/>
  <c r="C16" i="136" s="1"/>
  <c r="M84" i="136"/>
  <c r="C15" i="136" s="1"/>
  <c r="M83" i="136"/>
  <c r="M82" i="136"/>
  <c r="M81" i="136"/>
  <c r="C12" i="136" s="1"/>
  <c r="M80" i="136"/>
  <c r="C11" i="136" s="1"/>
  <c r="M79" i="136"/>
  <c r="C10" i="136" s="1"/>
  <c r="M78" i="136"/>
  <c r="C9" i="136" s="1"/>
  <c r="M77" i="136"/>
  <c r="C8" i="136" s="1"/>
  <c r="M76" i="136"/>
  <c r="C7" i="136" s="1"/>
  <c r="M75" i="136"/>
  <c r="M74" i="136"/>
  <c r="E17" i="136"/>
  <c r="D17" i="136"/>
  <c r="M45" i="136"/>
  <c r="B17" i="136" s="1"/>
  <c r="E16" i="136"/>
  <c r="M44" i="136"/>
  <c r="B16" i="136" s="1"/>
  <c r="E15" i="136"/>
  <c r="M43" i="136"/>
  <c r="B15" i="136" s="1"/>
  <c r="C14" i="136"/>
  <c r="M42" i="136"/>
  <c r="B14" i="136" s="1"/>
  <c r="C13" i="136"/>
  <c r="M41" i="136"/>
  <c r="B13" i="136" s="1"/>
  <c r="M40" i="136"/>
  <c r="B12" i="136" s="1"/>
  <c r="M39" i="136"/>
  <c r="B11" i="136" s="1"/>
  <c r="F10" i="136"/>
  <c r="M38" i="136"/>
  <c r="B10" i="136" s="1"/>
  <c r="D9" i="136"/>
  <c r="M37" i="136"/>
  <c r="B9" i="136" s="1"/>
  <c r="E8" i="136"/>
  <c r="M36" i="136"/>
  <c r="B8" i="136" s="1"/>
  <c r="E7" i="136"/>
  <c r="D7" i="136"/>
  <c r="M35" i="136"/>
  <c r="B7" i="136" s="1"/>
  <c r="C6" i="136"/>
  <c r="M34" i="136"/>
  <c r="B6" i="136" s="1"/>
  <c r="C5" i="136"/>
  <c r="C19" i="136" s="1"/>
  <c r="B5" i="136"/>
  <c r="A7" i="136" l="1"/>
  <c r="I15" i="136"/>
  <c r="A15" i="136" s="1"/>
  <c r="I8" i="136"/>
  <c r="I16" i="136"/>
  <c r="M203" i="136"/>
  <c r="E10" i="136"/>
  <c r="I10" i="136" s="1"/>
  <c r="A10" i="136" s="1"/>
  <c r="M206" i="136"/>
  <c r="I19" i="136"/>
  <c r="I9" i="136"/>
  <c r="A9" i="136" s="1"/>
  <c r="I196" i="136"/>
  <c r="I17" i="136"/>
  <c r="A17" i="136" s="1"/>
  <c r="M196" i="136"/>
  <c r="A8" i="136"/>
  <c r="A16" i="136"/>
  <c r="D19" i="136"/>
  <c r="E19" i="136"/>
  <c r="E5" i="136"/>
  <c r="I5" i="136" s="1"/>
  <c r="A5" i="136" s="1"/>
  <c r="E6" i="136"/>
  <c r="I6" i="136" s="1"/>
  <c r="A6" i="136" s="1"/>
  <c r="E11" i="136"/>
  <c r="I11" i="136" s="1"/>
  <c r="A11" i="136" s="1"/>
  <c r="E12" i="136"/>
  <c r="I12" i="136" s="1"/>
  <c r="A12" i="136" s="1"/>
  <c r="E13" i="136"/>
  <c r="I13" i="136" s="1"/>
  <c r="A13" i="136" s="1"/>
  <c r="E14" i="136"/>
  <c r="I14" i="136" s="1"/>
  <c r="A14" i="136" s="1"/>
  <c r="M197" i="136"/>
  <c r="G17" i="110" l="1"/>
  <c r="G18" i="110"/>
  <c r="G20" i="110"/>
  <c r="G21" i="110"/>
  <c r="G22" i="110"/>
  <c r="G23" i="110"/>
  <c r="G24" i="110"/>
  <c r="G25" i="110"/>
  <c r="G26" i="110"/>
  <c r="G27" i="110"/>
  <c r="G28" i="110"/>
  <c r="G29" i="110"/>
  <c r="G30" i="110"/>
  <c r="G31" i="110"/>
  <c r="G32" i="110"/>
  <c r="G33" i="110"/>
  <c r="G34" i="110"/>
  <c r="G35" i="110"/>
  <c r="G36" i="110"/>
  <c r="G37" i="110"/>
  <c r="G38" i="110"/>
  <c r="G39" i="110"/>
  <c r="G40" i="110"/>
  <c r="G41" i="110"/>
  <c r="G42" i="110"/>
  <c r="G43" i="110"/>
  <c r="G44" i="110"/>
  <c r="G45" i="110"/>
  <c r="G46" i="110"/>
  <c r="G47" i="110"/>
  <c r="G48" i="110"/>
  <c r="G49" i="110"/>
  <c r="G50" i="110"/>
  <c r="G51" i="110"/>
  <c r="G52" i="110"/>
  <c r="G53" i="110"/>
  <c r="G54" i="110"/>
  <c r="G55" i="110"/>
  <c r="G56" i="110"/>
  <c r="G57" i="110"/>
  <c r="G58" i="110"/>
  <c r="G59" i="110"/>
  <c r="G60" i="110"/>
  <c r="G61" i="110"/>
  <c r="G62" i="110"/>
  <c r="G63" i="110"/>
  <c r="G14" i="110"/>
  <c r="G12" i="110"/>
  <c r="Z10" i="110" l="1"/>
  <c r="Z11" i="110"/>
  <c r="Z12" i="110"/>
  <c r="AE12" i="110" s="1"/>
  <c r="Z13" i="110"/>
  <c r="Z14" i="110"/>
  <c r="AE14" i="110" s="1"/>
  <c r="Z15" i="110"/>
  <c r="Z16" i="110"/>
  <c r="AE16" i="110" s="1"/>
  <c r="Z17" i="110"/>
  <c r="AE17" i="110" s="1"/>
  <c r="Z18" i="110"/>
  <c r="Z19" i="110"/>
  <c r="AE19" i="110" s="1"/>
  <c r="Z20" i="110"/>
  <c r="AE20" i="110" s="1"/>
  <c r="Z21" i="110"/>
  <c r="AE21" i="110" s="1"/>
  <c r="Z22" i="110"/>
  <c r="AE22" i="110" s="1"/>
  <c r="Z23" i="110"/>
  <c r="AE23" i="110" s="1"/>
  <c r="Z24" i="110"/>
  <c r="AE24" i="110" s="1"/>
  <c r="Z25" i="110"/>
  <c r="AE25" i="110" s="1"/>
  <c r="Z26" i="110"/>
  <c r="AE26" i="110" s="1"/>
  <c r="Z27" i="110"/>
  <c r="AE27" i="110" s="1"/>
  <c r="Z28" i="110"/>
  <c r="AE28" i="110" s="1"/>
  <c r="Z29" i="110"/>
  <c r="AE29" i="110" s="1"/>
  <c r="Z30" i="110"/>
  <c r="AE30" i="110" s="1"/>
  <c r="Z31" i="110"/>
  <c r="AE31" i="110" s="1"/>
  <c r="Z32" i="110"/>
  <c r="AE32" i="110" s="1"/>
  <c r="Z33" i="110"/>
  <c r="AE33" i="110" s="1"/>
  <c r="Z34" i="110"/>
  <c r="AE34" i="110" s="1"/>
  <c r="Z35" i="110"/>
  <c r="AE35" i="110" s="1"/>
  <c r="Z36" i="110"/>
  <c r="AE36" i="110" s="1"/>
  <c r="Z37" i="110"/>
  <c r="AE37" i="110" s="1"/>
  <c r="Z38" i="110"/>
  <c r="AE38" i="110" s="1"/>
  <c r="Z39" i="110"/>
  <c r="AE39" i="110" s="1"/>
  <c r="Z40" i="110"/>
  <c r="AE40" i="110" s="1"/>
  <c r="Z41" i="110"/>
  <c r="AE41" i="110" s="1"/>
  <c r="Z42" i="110"/>
  <c r="AE42" i="110" s="1"/>
  <c r="Z43" i="110"/>
  <c r="AE43" i="110" s="1"/>
  <c r="Z44" i="110"/>
  <c r="AE44" i="110" s="1"/>
  <c r="Z45" i="110"/>
  <c r="AE45" i="110" s="1"/>
  <c r="Z46" i="110"/>
  <c r="AE46" i="110" s="1"/>
  <c r="Z47" i="110"/>
  <c r="AE47" i="110" s="1"/>
  <c r="Z48" i="110"/>
  <c r="AE48" i="110" s="1"/>
  <c r="Z49" i="110"/>
  <c r="AE49" i="110" s="1"/>
  <c r="Z50" i="110"/>
  <c r="AE50" i="110" s="1"/>
  <c r="Z51" i="110"/>
  <c r="AE51" i="110" s="1"/>
  <c r="Z52" i="110"/>
  <c r="AE52" i="110" s="1"/>
  <c r="Z53" i="110"/>
  <c r="AE53" i="110" s="1"/>
  <c r="Z54" i="110"/>
  <c r="AE54" i="110" s="1"/>
  <c r="Z55" i="110"/>
  <c r="AE55" i="110" s="1"/>
  <c r="Z56" i="110"/>
  <c r="AE56" i="110" s="1"/>
  <c r="Z57" i="110"/>
  <c r="AE57" i="110" s="1"/>
  <c r="Z58" i="110"/>
  <c r="AE58" i="110" s="1"/>
  <c r="Z59" i="110"/>
  <c r="AE59" i="110" s="1"/>
  <c r="Z60" i="110"/>
  <c r="AE60" i="110" s="1"/>
  <c r="Z61" i="110"/>
  <c r="AE61" i="110" s="1"/>
  <c r="Z62" i="110"/>
  <c r="AE62" i="110" s="1"/>
  <c r="Z63" i="110"/>
  <c r="AE63" i="110" s="1"/>
  <c r="Z64" i="110"/>
  <c r="AE64" i="110" s="1"/>
  <c r="Z65" i="110"/>
  <c r="J11" i="110"/>
  <c r="J13" i="110"/>
  <c r="J15" i="110"/>
  <c r="AQ8" i="132"/>
  <c r="S64" i="134"/>
  <c r="BA10" i="132"/>
  <c r="P11" i="111" s="1"/>
  <c r="BA11" i="132"/>
  <c r="BA12" i="132"/>
  <c r="P13" i="111" s="1"/>
  <c r="BA13" i="132"/>
  <c r="BA14" i="132"/>
  <c r="P15" i="111" s="1"/>
  <c r="BA15" i="132"/>
  <c r="BA16" i="132"/>
  <c r="BA17" i="132"/>
  <c r="BA18" i="132"/>
  <c r="BA19" i="132"/>
  <c r="BA20" i="132"/>
  <c r="BA21" i="132"/>
  <c r="BA22" i="132"/>
  <c r="BA23" i="132"/>
  <c r="BA24" i="132"/>
  <c r="BA25" i="132"/>
  <c r="BA26" i="132"/>
  <c r="BA27" i="132"/>
  <c r="BA28" i="132"/>
  <c r="BA29" i="132"/>
  <c r="BA30" i="132"/>
  <c r="BA31" i="132"/>
  <c r="BA32" i="132"/>
  <c r="BA33" i="132"/>
  <c r="BA34" i="132"/>
  <c r="BA35" i="132"/>
  <c r="BA36" i="132"/>
  <c r="BA37" i="132"/>
  <c r="BA38" i="132"/>
  <c r="BA39" i="132"/>
  <c r="BA40" i="132"/>
  <c r="BA41" i="132"/>
  <c r="BA42" i="132"/>
  <c r="BA43" i="132"/>
  <c r="BA44" i="132"/>
  <c r="BA45" i="132"/>
  <c r="BA46" i="132"/>
  <c r="BA47" i="132"/>
  <c r="BA48" i="132"/>
  <c r="BA49" i="132"/>
  <c r="BA50" i="132"/>
  <c r="BA51" i="132"/>
  <c r="BA52" i="132"/>
  <c r="BA53" i="132"/>
  <c r="BA54" i="132"/>
  <c r="BA55" i="132"/>
  <c r="BA56" i="132"/>
  <c r="BA57" i="132"/>
  <c r="BA58" i="132"/>
  <c r="BA59" i="132"/>
  <c r="BA60" i="132"/>
  <c r="BA61" i="132"/>
  <c r="BA62" i="132"/>
  <c r="BA63" i="132"/>
  <c r="BA64" i="132"/>
  <c r="BA9" i="132"/>
  <c r="DJ9" i="132"/>
  <c r="B63" i="134"/>
  <c r="B62" i="134"/>
  <c r="B61" i="134"/>
  <c r="B60" i="134"/>
  <c r="B59" i="134"/>
  <c r="B58" i="134"/>
  <c r="B57" i="134"/>
  <c r="B56" i="134"/>
  <c r="B55" i="134"/>
  <c r="B54" i="134"/>
  <c r="B53" i="134"/>
  <c r="B52" i="134"/>
  <c r="B51" i="134"/>
  <c r="B50" i="134"/>
  <c r="B49" i="134"/>
  <c r="B48" i="134"/>
  <c r="B47" i="134"/>
  <c r="B46" i="134"/>
  <c r="B45" i="134"/>
  <c r="B44" i="134"/>
  <c r="B43" i="134"/>
  <c r="B42" i="134"/>
  <c r="B41" i="134"/>
  <c r="B40" i="134"/>
  <c r="B39" i="134"/>
  <c r="B38" i="134"/>
  <c r="B37" i="134"/>
  <c r="B36" i="134"/>
  <c r="B35" i="134"/>
  <c r="B34" i="134"/>
  <c r="B33" i="134"/>
  <c r="B32" i="134"/>
  <c r="B31" i="134"/>
  <c r="B30" i="134"/>
  <c r="B29" i="134"/>
  <c r="B28" i="134"/>
  <c r="B27" i="134"/>
  <c r="B26" i="134"/>
  <c r="B25" i="134"/>
  <c r="B24" i="134"/>
  <c r="B23" i="134"/>
  <c r="B21" i="134"/>
  <c r="B20" i="134"/>
  <c r="B19" i="134"/>
  <c r="B18" i="134"/>
  <c r="B17" i="134"/>
  <c r="B16" i="134"/>
  <c r="B15" i="134"/>
  <c r="B14" i="134"/>
  <c r="B13" i="134"/>
  <c r="B12" i="134"/>
  <c r="B11" i="134"/>
  <c r="B10" i="134"/>
  <c r="B9" i="134"/>
  <c r="B64" i="134"/>
  <c r="B9" i="132"/>
  <c r="B10" i="132"/>
  <c r="B11" i="132"/>
  <c r="D12" i="110" s="1"/>
  <c r="B12" i="132"/>
  <c r="B13" i="132"/>
  <c r="D14" i="110" s="1"/>
  <c r="B14" i="132"/>
  <c r="B15" i="132"/>
  <c r="D15" i="119" s="1"/>
  <c r="B16" i="132"/>
  <c r="D16" i="119" s="1"/>
  <c r="B17" i="132"/>
  <c r="D17" i="119" s="1"/>
  <c r="B18" i="132"/>
  <c r="D19" i="110" s="1"/>
  <c r="B19" i="132"/>
  <c r="D20" i="110" s="1"/>
  <c r="B20" i="132"/>
  <c r="D20" i="119" s="1"/>
  <c r="B21" i="132"/>
  <c r="D22" i="110" s="1"/>
  <c r="D23" i="110"/>
  <c r="B23" i="132"/>
  <c r="D24" i="110" s="1"/>
  <c r="B24" i="132"/>
  <c r="D25" i="110" s="1"/>
  <c r="B25" i="132"/>
  <c r="D25" i="119" s="1"/>
  <c r="B26" i="132"/>
  <c r="D27" i="110" s="1"/>
  <c r="B27" i="132"/>
  <c r="D28" i="110" s="1"/>
  <c r="B28" i="132"/>
  <c r="B29" i="132"/>
  <c r="D30" i="110" s="1"/>
  <c r="B30" i="132"/>
  <c r="D31" i="110" s="1"/>
  <c r="B31" i="132"/>
  <c r="D31" i="119" s="1"/>
  <c r="B32" i="132"/>
  <c r="D33" i="110" s="1"/>
  <c r="B33" i="132"/>
  <c r="D33" i="119" s="1"/>
  <c r="B34" i="132"/>
  <c r="D35" i="110" s="1"/>
  <c r="B35" i="132"/>
  <c r="D36" i="110" s="1"/>
  <c r="B36" i="132"/>
  <c r="D36" i="119" s="1"/>
  <c r="B37" i="132"/>
  <c r="D38" i="110" s="1"/>
  <c r="B38" i="132"/>
  <c r="D39" i="110" s="1"/>
  <c r="B39" i="132"/>
  <c r="D40" i="110" s="1"/>
  <c r="B40" i="132"/>
  <c r="D41" i="110" s="1"/>
  <c r="B41" i="132"/>
  <c r="D41" i="119" s="1"/>
  <c r="B42" i="132"/>
  <c r="D43" i="110" s="1"/>
  <c r="B43" i="132"/>
  <c r="D44" i="110" s="1"/>
  <c r="B44" i="132"/>
  <c r="D44" i="119" s="1"/>
  <c r="B45" i="132"/>
  <c r="D46" i="110" s="1"/>
  <c r="B46" i="132"/>
  <c r="D47" i="110" s="1"/>
  <c r="B47" i="132"/>
  <c r="D47" i="119" s="1"/>
  <c r="B48" i="132"/>
  <c r="D48" i="119" s="1"/>
  <c r="B49" i="132"/>
  <c r="D49" i="119" s="1"/>
  <c r="B50" i="132"/>
  <c r="D51" i="110" s="1"/>
  <c r="B51" i="132"/>
  <c r="D52" i="110" s="1"/>
  <c r="B52" i="132"/>
  <c r="D52" i="119" s="1"/>
  <c r="B53" i="132"/>
  <c r="D54" i="110" s="1"/>
  <c r="B54" i="132"/>
  <c r="D54" i="119" s="1"/>
  <c r="B55" i="132"/>
  <c r="D55" i="119" s="1"/>
  <c r="B56" i="132"/>
  <c r="D56" i="119" s="1"/>
  <c r="B57" i="132"/>
  <c r="D57" i="119" s="1"/>
  <c r="B58" i="132"/>
  <c r="D59" i="110" s="1"/>
  <c r="B59" i="132"/>
  <c r="D60" i="110" s="1"/>
  <c r="B60" i="132"/>
  <c r="D60" i="119" s="1"/>
  <c r="B61" i="132"/>
  <c r="D62" i="110" s="1"/>
  <c r="B62" i="132"/>
  <c r="D63" i="110" s="1"/>
  <c r="B63" i="132"/>
  <c r="D63" i="119" s="1"/>
  <c r="B64" i="132"/>
  <c r="BK13" i="74"/>
  <c r="BK14" i="74"/>
  <c r="BK15" i="74"/>
  <c r="BK16" i="74"/>
  <c r="BK17" i="74"/>
  <c r="BK18" i="74"/>
  <c r="BK19" i="74"/>
  <c r="BK20" i="74"/>
  <c r="BK21" i="74"/>
  <c r="BK22" i="74"/>
  <c r="BK23" i="74"/>
  <c r="BK24" i="74"/>
  <c r="BK25" i="74"/>
  <c r="BK26" i="74"/>
  <c r="BK27" i="74"/>
  <c r="BK28" i="74"/>
  <c r="BK29" i="74"/>
  <c r="BK30" i="74"/>
  <c r="BK31" i="74"/>
  <c r="BK32" i="74"/>
  <c r="BK33" i="74"/>
  <c r="BK34" i="74"/>
  <c r="BK35" i="74"/>
  <c r="BK36" i="74"/>
  <c r="BK37" i="74"/>
  <c r="BK38" i="74"/>
  <c r="BK39" i="74"/>
  <c r="BK40" i="74"/>
  <c r="BK41" i="74"/>
  <c r="BK42" i="74"/>
  <c r="BK43" i="74"/>
  <c r="BK44" i="74"/>
  <c r="BK45" i="74"/>
  <c r="BK46" i="74"/>
  <c r="BK47" i="74"/>
  <c r="BK48" i="74"/>
  <c r="BK49" i="74"/>
  <c r="BK50" i="74"/>
  <c r="BK51" i="74"/>
  <c r="BK52" i="74"/>
  <c r="BK53" i="74"/>
  <c r="BK54" i="74"/>
  <c r="BK55" i="74"/>
  <c r="BK56" i="74"/>
  <c r="BK57" i="74"/>
  <c r="BK58" i="74"/>
  <c r="BK59" i="74"/>
  <c r="BK60" i="74"/>
  <c r="BK61" i="74"/>
  <c r="BK12" i="74"/>
  <c r="BK10" i="74"/>
  <c r="BK6" i="74"/>
  <c r="P44" i="111" l="1"/>
  <c r="CU40" i="74" s="1"/>
  <c r="P59" i="111"/>
  <c r="CU55" i="74" s="1"/>
  <c r="P35" i="111"/>
  <c r="CU31" i="74" s="1"/>
  <c r="P42" i="111"/>
  <c r="CU38" i="74" s="1"/>
  <c r="P41" i="111"/>
  <c r="CU37" i="74" s="1"/>
  <c r="P61" i="111"/>
  <c r="CU57" i="74" s="1"/>
  <c r="P53" i="111"/>
  <c r="CU49" i="74" s="1"/>
  <c r="P45" i="111"/>
  <c r="CU41" i="74" s="1"/>
  <c r="P37" i="111"/>
  <c r="CU33" i="74" s="1"/>
  <c r="P29" i="111"/>
  <c r="CU25" i="74" s="1"/>
  <c r="P21" i="111"/>
  <c r="CU17" i="74" s="1"/>
  <c r="P52" i="111"/>
  <c r="CU48" i="74" s="1"/>
  <c r="P28" i="111"/>
  <c r="CU24" i="74" s="1"/>
  <c r="P12" i="111"/>
  <c r="CU8" i="74" s="1"/>
  <c r="P34" i="111"/>
  <c r="CU30" i="74" s="1"/>
  <c r="P64" i="111"/>
  <c r="CU60" i="74" s="1"/>
  <c r="P56" i="111"/>
  <c r="CU52" i="74" s="1"/>
  <c r="P48" i="111"/>
  <c r="CU44" i="74" s="1"/>
  <c r="P40" i="111"/>
  <c r="CU36" i="74" s="1"/>
  <c r="P32" i="111"/>
  <c r="CU28" i="74" s="1"/>
  <c r="P24" i="111"/>
  <c r="CU20" i="74" s="1"/>
  <c r="P16" i="111"/>
  <c r="CU12" i="74" s="1"/>
  <c r="P36" i="111"/>
  <c r="CU32" i="74" s="1"/>
  <c r="P27" i="111"/>
  <c r="CU23" i="74" s="1"/>
  <c r="P58" i="111"/>
  <c r="CU54" i="74" s="1"/>
  <c r="P26" i="111"/>
  <c r="CU22" i="74" s="1"/>
  <c r="P65" i="111"/>
  <c r="CU61" i="74" s="1"/>
  <c r="P49" i="111"/>
  <c r="CU45" i="74" s="1"/>
  <c r="P33" i="111"/>
  <c r="CU29" i="74" s="1"/>
  <c r="P17" i="111"/>
  <c r="CU13" i="74" s="1"/>
  <c r="P63" i="111"/>
  <c r="CU59" i="74" s="1"/>
  <c r="P55" i="111"/>
  <c r="CU51" i="74" s="1"/>
  <c r="P47" i="111"/>
  <c r="CU43" i="74" s="1"/>
  <c r="P39" i="111"/>
  <c r="CU35" i="74" s="1"/>
  <c r="P31" i="111"/>
  <c r="CU27" i="74" s="1"/>
  <c r="P23" i="111"/>
  <c r="CU19" i="74" s="1"/>
  <c r="P60" i="111"/>
  <c r="CU56" i="74" s="1"/>
  <c r="P20" i="111"/>
  <c r="CU16" i="74" s="1"/>
  <c r="P51" i="111"/>
  <c r="CU47" i="74" s="1"/>
  <c r="P43" i="111"/>
  <c r="CU39" i="74" s="1"/>
  <c r="P19" i="111"/>
  <c r="CU15" i="74" s="1"/>
  <c r="P10" i="111"/>
  <c r="CU6" i="74" s="1"/>
  <c r="P50" i="111"/>
  <c r="CU46" i="74" s="1"/>
  <c r="P18" i="111"/>
  <c r="CU14" i="74" s="1"/>
  <c r="P57" i="111"/>
  <c r="CU53" i="74" s="1"/>
  <c r="P25" i="111"/>
  <c r="CU21" i="74" s="1"/>
  <c r="P62" i="111"/>
  <c r="CU58" i="74" s="1"/>
  <c r="P54" i="111"/>
  <c r="CU50" i="74" s="1"/>
  <c r="P46" i="111"/>
  <c r="CU42" i="74" s="1"/>
  <c r="P38" i="111"/>
  <c r="CU34" i="74" s="1"/>
  <c r="P30" i="111"/>
  <c r="CU26" i="74" s="1"/>
  <c r="P22" i="111"/>
  <c r="CU18" i="74" s="1"/>
  <c r="P14" i="111"/>
  <c r="CU10" i="74" s="1"/>
  <c r="DA6" i="74"/>
  <c r="AE10" i="110"/>
  <c r="D28" i="119"/>
  <c r="D10" i="110"/>
  <c r="AE65" i="110"/>
  <c r="DA61" i="74"/>
  <c r="AE18" i="110"/>
  <c r="DA14" i="74"/>
  <c r="D64" i="119"/>
  <c r="D53" i="110"/>
  <c r="D45" i="110"/>
  <c r="D59" i="119"/>
  <c r="D43" i="119"/>
  <c r="D46" i="119"/>
  <c r="D27" i="119"/>
  <c r="D26" i="110"/>
  <c r="D18" i="110"/>
  <c r="D42" i="110"/>
  <c r="D30" i="119"/>
  <c r="D37" i="110"/>
  <c r="D13" i="119"/>
  <c r="D32" i="110"/>
  <c r="D11" i="119"/>
  <c r="D34" i="110"/>
  <c r="D62" i="119"/>
  <c r="D61" i="110"/>
  <c r="D29" i="110"/>
  <c r="D57" i="110"/>
  <c r="D56" i="110"/>
  <c r="D40" i="119"/>
  <c r="D24" i="119"/>
  <c r="D16" i="110"/>
  <c r="D55" i="110"/>
  <c r="D39" i="119"/>
  <c r="D23" i="119"/>
  <c r="D65" i="110"/>
  <c r="D38" i="119"/>
  <c r="D22" i="119"/>
  <c r="D64" i="110"/>
  <c r="D50" i="110"/>
  <c r="D17" i="110"/>
  <c r="D51" i="119"/>
  <c r="D35" i="119"/>
  <c r="D19" i="119"/>
  <c r="D49" i="110"/>
  <c r="D32" i="119"/>
  <c r="D48" i="110"/>
  <c r="D58" i="110"/>
  <c r="D21" i="110"/>
  <c r="D61" i="119"/>
  <c r="D53" i="119"/>
  <c r="D45" i="119"/>
  <c r="D37" i="119"/>
  <c r="D29" i="119"/>
  <c r="D21" i="119"/>
  <c r="D9" i="119"/>
  <c r="D58" i="119"/>
  <c r="D50" i="119"/>
  <c r="D42" i="119"/>
  <c r="D34" i="119"/>
  <c r="D26" i="119"/>
  <c r="D18" i="119"/>
  <c r="F27" i="58"/>
  <c r="E27" i="58"/>
  <c r="D27" i="58"/>
  <c r="C27" i="58"/>
  <c r="EX3" i="39"/>
  <c r="B28" i="58" l="1"/>
  <c r="B5" i="91" s="1"/>
  <c r="H27" i="58"/>
  <c r="I27" i="58"/>
  <c r="C28" i="58"/>
  <c r="C5" i="91" s="1"/>
  <c r="L27" i="58"/>
  <c r="F28" i="58"/>
  <c r="F5" i="91" s="1"/>
  <c r="J27" i="58"/>
  <c r="D28" i="58"/>
  <c r="D5" i="91" s="1"/>
  <c r="E28" i="58"/>
  <c r="E5" i="91" s="1"/>
  <c r="K27" i="58"/>
  <c r="AK6" i="74"/>
  <c r="S37" i="134" l="1"/>
  <c r="S45" i="134"/>
  <c r="S49" i="134"/>
  <c r="S50" i="134"/>
  <c r="S61" i="134"/>
  <c r="E61" i="74"/>
  <c r="H233" i="87"/>
  <c r="E47" i="74"/>
  <c r="E42" i="74" l="1"/>
  <c r="E58" i="74"/>
  <c r="E34" i="74"/>
  <c r="E57" i="74"/>
  <c r="S60" i="134"/>
  <c r="E56" i="74"/>
  <c r="S59" i="134"/>
  <c r="E54" i="74"/>
  <c r="S57" i="134"/>
  <c r="E38" i="74"/>
  <c r="S41" i="134"/>
  <c r="E41" i="74"/>
  <c r="S44" i="134"/>
  <c r="E53" i="74"/>
  <c r="S56" i="134"/>
  <c r="E52" i="74"/>
  <c r="S55" i="134"/>
  <c r="E44" i="74"/>
  <c r="S47" i="134"/>
  <c r="E36" i="74"/>
  <c r="S39" i="134"/>
  <c r="E49" i="74"/>
  <c r="S52" i="134"/>
  <c r="E48" i="74"/>
  <c r="S51" i="134"/>
  <c r="E55" i="74"/>
  <c r="S58" i="134"/>
  <c r="E39" i="74"/>
  <c r="S42" i="134"/>
  <c r="E45" i="74"/>
  <c r="S48" i="134"/>
  <c r="E60" i="74"/>
  <c r="S63" i="134"/>
  <c r="E59" i="74"/>
  <c r="S62" i="134"/>
  <c r="E51" i="74"/>
  <c r="S54" i="134"/>
  <c r="E43" i="74"/>
  <c r="S46" i="134"/>
  <c r="E35" i="74"/>
  <c r="S38" i="134"/>
  <c r="E40" i="74"/>
  <c r="S43" i="134"/>
  <c r="E33" i="74"/>
  <c r="S36" i="134"/>
  <c r="E37" i="74"/>
  <c r="S40" i="134"/>
  <c r="E46" i="74"/>
  <c r="E50" i="74"/>
  <c r="S53" i="134"/>
  <c r="H32" i="93"/>
  <c r="I32" i="93"/>
  <c r="J32" i="93"/>
  <c r="H33" i="93"/>
  <c r="I33" i="93"/>
  <c r="J33" i="93"/>
  <c r="H34" i="93"/>
  <c r="I34" i="93"/>
  <c r="J34" i="93"/>
  <c r="H35" i="93"/>
  <c r="I35" i="93"/>
  <c r="J35" i="93"/>
  <c r="H36" i="93"/>
  <c r="I36" i="93"/>
  <c r="J36" i="93"/>
  <c r="H37" i="93"/>
  <c r="I37" i="93"/>
  <c r="J37" i="93"/>
  <c r="H38" i="93"/>
  <c r="I38" i="93"/>
  <c r="J38" i="93"/>
  <c r="H39" i="93"/>
  <c r="I39" i="93"/>
  <c r="J39" i="93"/>
  <c r="H40" i="93"/>
  <c r="I40" i="93"/>
  <c r="J40" i="93"/>
  <c r="H41" i="93"/>
  <c r="I41" i="93"/>
  <c r="J41" i="93"/>
  <c r="H42" i="93"/>
  <c r="I42" i="93"/>
  <c r="J42" i="93"/>
  <c r="H43" i="93"/>
  <c r="I43" i="93"/>
  <c r="J43" i="93"/>
  <c r="H44" i="93"/>
  <c r="I44" i="93"/>
  <c r="J44" i="93"/>
  <c r="H45" i="93"/>
  <c r="I45" i="93"/>
  <c r="J45" i="93"/>
  <c r="S7" i="74"/>
  <c r="S8" i="74"/>
  <c r="P105" i="121" s="1"/>
  <c r="S9" i="74"/>
  <c r="S10" i="74"/>
  <c r="P107" i="121" s="1"/>
  <c r="S11" i="74"/>
  <c r="S12" i="74"/>
  <c r="P109" i="121" s="1"/>
  <c r="S13" i="74"/>
  <c r="P110" i="121" s="1"/>
  <c r="S14" i="74"/>
  <c r="P111" i="121" s="1"/>
  <c r="S15" i="74"/>
  <c r="P112" i="121" s="1"/>
  <c r="S16" i="74"/>
  <c r="P113" i="121" s="1"/>
  <c r="S17" i="74"/>
  <c r="P114" i="121" s="1"/>
  <c r="S18" i="74"/>
  <c r="P115" i="121" s="1"/>
  <c r="S19" i="74"/>
  <c r="P116" i="121" s="1"/>
  <c r="S20" i="74"/>
  <c r="P117" i="121" s="1"/>
  <c r="S21" i="74"/>
  <c r="P118" i="121" s="1"/>
  <c r="S22" i="74"/>
  <c r="P119" i="121" s="1"/>
  <c r="S23" i="74"/>
  <c r="P120" i="121" s="1"/>
  <c r="S24" i="74"/>
  <c r="P121" i="121" s="1"/>
  <c r="S25" i="74"/>
  <c r="P122" i="121" s="1"/>
  <c r="S26" i="74"/>
  <c r="P123" i="121" s="1"/>
  <c r="S27" i="74"/>
  <c r="P124" i="121" s="1"/>
  <c r="S28" i="74"/>
  <c r="P125" i="121" s="1"/>
  <c r="S29" i="74"/>
  <c r="P126" i="121" s="1"/>
  <c r="S30" i="74"/>
  <c r="P127" i="121" s="1"/>
  <c r="S31" i="74"/>
  <c r="P128" i="121" s="1"/>
  <c r="S32" i="74"/>
  <c r="P129" i="121" s="1"/>
  <c r="S33" i="74"/>
  <c r="P130" i="121" s="1"/>
  <c r="S34" i="74"/>
  <c r="P131" i="121" s="1"/>
  <c r="S35" i="74"/>
  <c r="P132" i="121" s="1"/>
  <c r="S36" i="74"/>
  <c r="P133" i="121" s="1"/>
  <c r="S37" i="74"/>
  <c r="P134" i="121" s="1"/>
  <c r="S38" i="74"/>
  <c r="P135" i="121" s="1"/>
  <c r="S39" i="74"/>
  <c r="P136" i="121" s="1"/>
  <c r="S40" i="74"/>
  <c r="P137" i="121" s="1"/>
  <c r="S41" i="74"/>
  <c r="P138" i="121" s="1"/>
  <c r="S42" i="74"/>
  <c r="P139" i="121" s="1"/>
  <c r="S43" i="74"/>
  <c r="P140" i="121" s="1"/>
  <c r="S44" i="74"/>
  <c r="P141" i="121" s="1"/>
  <c r="S45" i="74"/>
  <c r="P142" i="121" s="1"/>
  <c r="S46" i="74"/>
  <c r="P143" i="121" s="1"/>
  <c r="S47" i="74"/>
  <c r="P144" i="121" s="1"/>
  <c r="S48" i="74"/>
  <c r="P145" i="121" s="1"/>
  <c r="S49" i="74"/>
  <c r="P146" i="121" s="1"/>
  <c r="S50" i="74"/>
  <c r="P147" i="121" s="1"/>
  <c r="S51" i="74"/>
  <c r="P148" i="121" s="1"/>
  <c r="S52" i="74"/>
  <c r="P149" i="121" s="1"/>
  <c r="S53" i="74"/>
  <c r="P150" i="121" s="1"/>
  <c r="S54" i="74"/>
  <c r="P151" i="121" s="1"/>
  <c r="S55" i="74"/>
  <c r="P152" i="121" s="1"/>
  <c r="S56" i="74"/>
  <c r="P153" i="121" s="1"/>
  <c r="S57" i="74"/>
  <c r="P154" i="121" s="1"/>
  <c r="S58" i="74"/>
  <c r="P155" i="121" s="1"/>
  <c r="S59" i="74"/>
  <c r="P156" i="121" s="1"/>
  <c r="S60" i="74"/>
  <c r="S61" i="74"/>
  <c r="P158" i="121" s="1"/>
  <c r="S6" i="74"/>
  <c r="P103" i="121" s="1"/>
  <c r="AA61" i="74"/>
  <c r="AA7" i="74"/>
  <c r="AA8" i="74"/>
  <c r="AA9" i="74"/>
  <c r="AA10" i="74"/>
  <c r="AA11" i="74"/>
  <c r="AA12" i="74"/>
  <c r="AA13" i="74"/>
  <c r="AA14" i="74"/>
  <c r="AA15" i="74"/>
  <c r="AA16" i="74"/>
  <c r="AA17" i="74"/>
  <c r="AA18" i="74"/>
  <c r="AA19" i="74"/>
  <c r="AA20" i="74"/>
  <c r="AA21" i="74"/>
  <c r="AA22" i="74"/>
  <c r="AA23" i="74"/>
  <c r="AA24" i="74"/>
  <c r="AA25" i="74"/>
  <c r="AA26" i="74"/>
  <c r="AA27" i="74"/>
  <c r="AA28" i="74"/>
  <c r="AA29" i="74"/>
  <c r="AA30" i="74"/>
  <c r="AA31" i="74"/>
  <c r="AA32" i="74"/>
  <c r="AA33" i="74"/>
  <c r="AA34" i="74"/>
  <c r="AA35" i="74"/>
  <c r="AA36" i="74"/>
  <c r="AA37" i="74"/>
  <c r="AA38" i="74"/>
  <c r="AA39" i="74"/>
  <c r="AA40" i="74"/>
  <c r="AA41" i="74"/>
  <c r="AA42" i="74"/>
  <c r="AA43" i="74"/>
  <c r="AA44" i="74"/>
  <c r="AA45" i="74"/>
  <c r="AA46" i="74"/>
  <c r="AA47" i="74"/>
  <c r="AA48" i="74"/>
  <c r="AA49" i="74"/>
  <c r="AA50" i="74"/>
  <c r="AA51" i="74"/>
  <c r="AA52" i="74"/>
  <c r="AA53" i="74"/>
  <c r="AA54" i="74"/>
  <c r="AA55" i="74"/>
  <c r="AA56" i="74"/>
  <c r="AA57" i="74"/>
  <c r="AA58" i="74"/>
  <c r="AA59" i="74"/>
  <c r="AA60" i="74"/>
  <c r="AA6" i="74"/>
  <c r="AA10" i="132"/>
  <c r="K11" i="111" s="1"/>
  <c r="AA11" i="132"/>
  <c r="K12" i="111" s="1"/>
  <c r="AA12" i="132"/>
  <c r="K13" i="111" s="1"/>
  <c r="AA13" i="132"/>
  <c r="AA14" i="132"/>
  <c r="K15" i="111" s="1"/>
  <c r="AA15" i="132"/>
  <c r="K16" i="111" s="1"/>
  <c r="AA16" i="132"/>
  <c r="K17" i="111" s="1"/>
  <c r="AA17" i="132"/>
  <c r="K18" i="111" s="1"/>
  <c r="AA18" i="132"/>
  <c r="K19" i="111" s="1"/>
  <c r="AA19" i="132"/>
  <c r="K20" i="111" s="1"/>
  <c r="AA20" i="132"/>
  <c r="K21" i="111" s="1"/>
  <c r="AA21" i="132"/>
  <c r="K22" i="111" s="1"/>
  <c r="AA22" i="132"/>
  <c r="K23" i="111" s="1"/>
  <c r="AA23" i="132"/>
  <c r="K24" i="111" s="1"/>
  <c r="AA24" i="132"/>
  <c r="K25" i="111" s="1"/>
  <c r="AA25" i="132"/>
  <c r="K26" i="111" s="1"/>
  <c r="AA26" i="132"/>
  <c r="K27" i="111" s="1"/>
  <c r="AA27" i="132"/>
  <c r="K28" i="111" s="1"/>
  <c r="AA28" i="132"/>
  <c r="K29" i="111" s="1"/>
  <c r="AA29" i="132"/>
  <c r="K30" i="111" s="1"/>
  <c r="AA30" i="132"/>
  <c r="K31" i="111" s="1"/>
  <c r="AA31" i="132"/>
  <c r="K32" i="111" s="1"/>
  <c r="AA32" i="132"/>
  <c r="K33" i="111" s="1"/>
  <c r="AA33" i="132"/>
  <c r="K34" i="111" s="1"/>
  <c r="AA34" i="132"/>
  <c r="K35" i="111" s="1"/>
  <c r="AA35" i="132"/>
  <c r="K36" i="111" s="1"/>
  <c r="AA36" i="132"/>
  <c r="K37" i="111" s="1"/>
  <c r="AA37" i="132"/>
  <c r="K38" i="111" s="1"/>
  <c r="AA38" i="132"/>
  <c r="K39" i="111" s="1"/>
  <c r="AA39" i="132"/>
  <c r="K40" i="111" s="1"/>
  <c r="AA40" i="132"/>
  <c r="K41" i="111" s="1"/>
  <c r="AA41" i="132"/>
  <c r="K42" i="111" s="1"/>
  <c r="AA42" i="132"/>
  <c r="K43" i="111" s="1"/>
  <c r="AA43" i="132"/>
  <c r="K44" i="111" s="1"/>
  <c r="AA44" i="132"/>
  <c r="K45" i="111" s="1"/>
  <c r="AA45" i="132"/>
  <c r="K46" i="111" s="1"/>
  <c r="AA46" i="132"/>
  <c r="K47" i="111" s="1"/>
  <c r="AA47" i="132"/>
  <c r="K48" i="111" s="1"/>
  <c r="AA48" i="132"/>
  <c r="K49" i="111" s="1"/>
  <c r="AA49" i="132"/>
  <c r="K50" i="111" s="1"/>
  <c r="AA50" i="132"/>
  <c r="K51" i="111" s="1"/>
  <c r="AA51" i="132"/>
  <c r="K52" i="111" s="1"/>
  <c r="AA52" i="132"/>
  <c r="K53" i="111" s="1"/>
  <c r="AA53" i="132"/>
  <c r="K54" i="111" s="1"/>
  <c r="AA54" i="132"/>
  <c r="K55" i="111" s="1"/>
  <c r="AA55" i="132"/>
  <c r="K56" i="111" s="1"/>
  <c r="AA56" i="132"/>
  <c r="K57" i="111" s="1"/>
  <c r="AA57" i="132"/>
  <c r="K58" i="111" s="1"/>
  <c r="AA58" i="132"/>
  <c r="K59" i="111" s="1"/>
  <c r="AA59" i="132"/>
  <c r="K60" i="111" s="1"/>
  <c r="AA60" i="132"/>
  <c r="K61" i="111" s="1"/>
  <c r="AA61" i="132"/>
  <c r="K62" i="111" s="1"/>
  <c r="AA62" i="132"/>
  <c r="K63" i="111" s="1"/>
  <c r="AA63" i="132"/>
  <c r="K64" i="111" s="1"/>
  <c r="AA64" i="132"/>
  <c r="K65" i="111" s="1"/>
  <c r="AA9" i="132"/>
  <c r="K10" i="111" s="1"/>
  <c r="AB7" i="74"/>
  <c r="AB8" i="74"/>
  <c r="AB9" i="74"/>
  <c r="AB10" i="74"/>
  <c r="AB19" i="74"/>
  <c r="AB20" i="74"/>
  <c r="U10" i="132"/>
  <c r="AT7" i="74" s="1"/>
  <c r="U11" i="132"/>
  <c r="AT8" i="74" s="1"/>
  <c r="U12" i="132"/>
  <c r="AT9" i="74" s="1"/>
  <c r="U13" i="132"/>
  <c r="AT10" i="74" s="1"/>
  <c r="U14" i="132"/>
  <c r="AT11" i="74" s="1"/>
  <c r="U15" i="132"/>
  <c r="AT12" i="74" s="1"/>
  <c r="U16" i="132"/>
  <c r="AT13" i="74" s="1"/>
  <c r="U17" i="132"/>
  <c r="AT14" i="74" s="1"/>
  <c r="U18" i="132"/>
  <c r="AT15" i="74" s="1"/>
  <c r="U19" i="132"/>
  <c r="AT16" i="74" s="1"/>
  <c r="U20" i="132"/>
  <c r="AT17" i="74" s="1"/>
  <c r="U21" i="132"/>
  <c r="AT18" i="74" s="1"/>
  <c r="U22" i="132"/>
  <c r="AT19" i="74" s="1"/>
  <c r="U23" i="132"/>
  <c r="AT20" i="74" s="1"/>
  <c r="U24" i="132"/>
  <c r="AT21" i="74" s="1"/>
  <c r="U25" i="132"/>
  <c r="AT22" i="74" s="1"/>
  <c r="U26" i="132"/>
  <c r="AT23" i="74" s="1"/>
  <c r="U27" i="132"/>
  <c r="AT24" i="74" s="1"/>
  <c r="U28" i="132"/>
  <c r="AT25" i="74" s="1"/>
  <c r="U29" i="132"/>
  <c r="AT26" i="74" s="1"/>
  <c r="U30" i="132"/>
  <c r="AT27" i="74" s="1"/>
  <c r="U31" i="132"/>
  <c r="AT28" i="74" s="1"/>
  <c r="U32" i="132"/>
  <c r="AT29" i="74" s="1"/>
  <c r="U33" i="132"/>
  <c r="AT30" i="74" s="1"/>
  <c r="U34" i="132"/>
  <c r="AT31" i="74" s="1"/>
  <c r="U35" i="132"/>
  <c r="AT32" i="74" s="1"/>
  <c r="U36" i="132"/>
  <c r="AT33" i="74" s="1"/>
  <c r="U37" i="132"/>
  <c r="AT34" i="74" s="1"/>
  <c r="U38" i="132"/>
  <c r="AT35" i="74" s="1"/>
  <c r="U39" i="132"/>
  <c r="AT36" i="74" s="1"/>
  <c r="U40" i="132"/>
  <c r="AT37" i="74" s="1"/>
  <c r="U41" i="132"/>
  <c r="AT38" i="74" s="1"/>
  <c r="U42" i="132"/>
  <c r="AT39" i="74" s="1"/>
  <c r="U43" i="132"/>
  <c r="AT40" i="74" s="1"/>
  <c r="U44" i="132"/>
  <c r="AT41" i="74" s="1"/>
  <c r="U45" i="132"/>
  <c r="AT42" i="74" s="1"/>
  <c r="U46" i="132"/>
  <c r="AT43" i="74" s="1"/>
  <c r="U47" i="132"/>
  <c r="AT44" i="74" s="1"/>
  <c r="U48" i="132"/>
  <c r="AT45" i="74" s="1"/>
  <c r="U49" i="132"/>
  <c r="AT46" i="74" s="1"/>
  <c r="U50" i="132"/>
  <c r="AT47" i="74" s="1"/>
  <c r="U51" i="132"/>
  <c r="AT48" i="74" s="1"/>
  <c r="U52" i="132"/>
  <c r="AT49" i="74" s="1"/>
  <c r="U53" i="132"/>
  <c r="AT50" i="74" s="1"/>
  <c r="U54" i="132"/>
  <c r="AT51" i="74" s="1"/>
  <c r="U55" i="132"/>
  <c r="AT52" i="74" s="1"/>
  <c r="U56" i="132"/>
  <c r="AT53" i="74" s="1"/>
  <c r="U57" i="132"/>
  <c r="AT54" i="74" s="1"/>
  <c r="U58" i="132"/>
  <c r="AT55" i="74" s="1"/>
  <c r="U59" i="132"/>
  <c r="AT56" i="74" s="1"/>
  <c r="U60" i="132"/>
  <c r="AT57" i="74" s="1"/>
  <c r="U61" i="132"/>
  <c r="AT58" i="74" s="1"/>
  <c r="U62" i="132"/>
  <c r="AT59" i="74" s="1"/>
  <c r="U63" i="132"/>
  <c r="AT60" i="74" s="1"/>
  <c r="U64" i="132"/>
  <c r="AT61" i="74" s="1"/>
  <c r="U9" i="132"/>
  <c r="AT6" i="74" s="1"/>
  <c r="AU7" i="74"/>
  <c r="AU8" i="74"/>
  <c r="AU9" i="74"/>
  <c r="AU10" i="74"/>
  <c r="AU11" i="74"/>
  <c r="AU12" i="74"/>
  <c r="AU13" i="74"/>
  <c r="AU14" i="74"/>
  <c r="AU15" i="74"/>
  <c r="AU16" i="74"/>
  <c r="AU17" i="74"/>
  <c r="AU18" i="74"/>
  <c r="AU19" i="74"/>
  <c r="AU20" i="74"/>
  <c r="AU21" i="74"/>
  <c r="AU22" i="74"/>
  <c r="AU23" i="74"/>
  <c r="AU24" i="74"/>
  <c r="AU25" i="74"/>
  <c r="AU26" i="74"/>
  <c r="AU27" i="74"/>
  <c r="AU28" i="74"/>
  <c r="AU29" i="74"/>
  <c r="AU30" i="74"/>
  <c r="AU31" i="74"/>
  <c r="AU32" i="74"/>
  <c r="AU33" i="74"/>
  <c r="AU34" i="74"/>
  <c r="AU35" i="74"/>
  <c r="AU36" i="74"/>
  <c r="AU37" i="74"/>
  <c r="AU38" i="74"/>
  <c r="AU39" i="74"/>
  <c r="AU40" i="74"/>
  <c r="AU41" i="74"/>
  <c r="AU42" i="74"/>
  <c r="AU43" i="74"/>
  <c r="AU44" i="74"/>
  <c r="AU45" i="74"/>
  <c r="AU46" i="74"/>
  <c r="AU47" i="74"/>
  <c r="AU48" i="74"/>
  <c r="AU49" i="74"/>
  <c r="AU50" i="74"/>
  <c r="AU51" i="74"/>
  <c r="AU52" i="74"/>
  <c r="AU53" i="74"/>
  <c r="AU54" i="74"/>
  <c r="AU55" i="74"/>
  <c r="AU56" i="74"/>
  <c r="AU57" i="74"/>
  <c r="AU58" i="74"/>
  <c r="AU59" i="74"/>
  <c r="AU60" i="74"/>
  <c r="AU61" i="74"/>
  <c r="AU6" i="74"/>
  <c r="I64" i="132"/>
  <c r="AY61" i="74" s="1"/>
  <c r="I10" i="132"/>
  <c r="AY7" i="74" s="1"/>
  <c r="I11" i="132"/>
  <c r="AY8" i="74" s="1"/>
  <c r="I12" i="132"/>
  <c r="AY9" i="74" s="1"/>
  <c r="I13" i="132"/>
  <c r="AY10" i="74" s="1"/>
  <c r="I14" i="132"/>
  <c r="AY11" i="74" s="1"/>
  <c r="I15" i="132"/>
  <c r="AY12" i="74" s="1"/>
  <c r="I16" i="132"/>
  <c r="AY13" i="74" s="1"/>
  <c r="I17" i="132"/>
  <c r="AY14" i="74" s="1"/>
  <c r="I18" i="132"/>
  <c r="AY15" i="74" s="1"/>
  <c r="I19" i="132"/>
  <c r="AY16" i="74" s="1"/>
  <c r="I20" i="132"/>
  <c r="AY17" i="74" s="1"/>
  <c r="I21" i="132"/>
  <c r="AY18" i="74" s="1"/>
  <c r="I22" i="132"/>
  <c r="AY19" i="74" s="1"/>
  <c r="I23" i="132"/>
  <c r="AY20" i="74" s="1"/>
  <c r="I24" i="132"/>
  <c r="AY21" i="74" s="1"/>
  <c r="I25" i="132"/>
  <c r="AY22" i="74" s="1"/>
  <c r="I26" i="132"/>
  <c r="AY23" i="74" s="1"/>
  <c r="I27" i="132"/>
  <c r="AY24" i="74" s="1"/>
  <c r="I28" i="132"/>
  <c r="AY25" i="74" s="1"/>
  <c r="I29" i="132"/>
  <c r="AY26" i="74" s="1"/>
  <c r="I30" i="132"/>
  <c r="AY27" i="74" s="1"/>
  <c r="I31" i="132"/>
  <c r="AY28" i="74" s="1"/>
  <c r="I32" i="132"/>
  <c r="AY29" i="74" s="1"/>
  <c r="I33" i="132"/>
  <c r="AY30" i="74" s="1"/>
  <c r="I34" i="132"/>
  <c r="AY31" i="74" s="1"/>
  <c r="I35" i="132"/>
  <c r="AY32" i="74" s="1"/>
  <c r="I36" i="132"/>
  <c r="AY33" i="74" s="1"/>
  <c r="I37" i="132"/>
  <c r="AY34" i="74" s="1"/>
  <c r="I38" i="132"/>
  <c r="AY35" i="74" s="1"/>
  <c r="I39" i="132"/>
  <c r="AY36" i="74" s="1"/>
  <c r="I40" i="132"/>
  <c r="AY37" i="74" s="1"/>
  <c r="I41" i="132"/>
  <c r="AY38" i="74" s="1"/>
  <c r="I42" i="132"/>
  <c r="AY39" i="74" s="1"/>
  <c r="I43" i="132"/>
  <c r="AY40" i="74" s="1"/>
  <c r="I44" i="132"/>
  <c r="AY41" i="74" s="1"/>
  <c r="I45" i="132"/>
  <c r="AY42" i="74" s="1"/>
  <c r="I46" i="132"/>
  <c r="AY43" i="74" s="1"/>
  <c r="I47" i="132"/>
  <c r="AY44" i="74" s="1"/>
  <c r="I48" i="132"/>
  <c r="AY45" i="74" s="1"/>
  <c r="I49" i="132"/>
  <c r="AY46" i="74" s="1"/>
  <c r="I50" i="132"/>
  <c r="AY47" i="74" s="1"/>
  <c r="I51" i="132"/>
  <c r="AY48" i="74" s="1"/>
  <c r="I52" i="132"/>
  <c r="AY49" i="74" s="1"/>
  <c r="I53" i="132"/>
  <c r="AY50" i="74" s="1"/>
  <c r="I54" i="132"/>
  <c r="AY51" i="74" s="1"/>
  <c r="I55" i="132"/>
  <c r="AY52" i="74" s="1"/>
  <c r="I56" i="132"/>
  <c r="AY53" i="74" s="1"/>
  <c r="I57" i="132"/>
  <c r="AY54" i="74" s="1"/>
  <c r="I58" i="132"/>
  <c r="AY55" i="74" s="1"/>
  <c r="I59" i="132"/>
  <c r="AY56" i="74" s="1"/>
  <c r="I60" i="132"/>
  <c r="AY57" i="74" s="1"/>
  <c r="I61" i="132"/>
  <c r="AY58" i="74" s="1"/>
  <c r="I62" i="132"/>
  <c r="AY59" i="74" s="1"/>
  <c r="I63" i="132"/>
  <c r="AY60" i="74" s="1"/>
  <c r="CZ9" i="132"/>
  <c r="BF6" i="74"/>
  <c r="DW9" i="132"/>
  <c r="I9" i="132"/>
  <c r="AY6" i="74" s="1"/>
  <c r="BW13" i="74"/>
  <c r="BW14" i="74"/>
  <c r="BW15" i="74"/>
  <c r="BW16" i="74"/>
  <c r="BW17" i="74"/>
  <c r="BW18" i="74"/>
  <c r="BW19" i="74"/>
  <c r="BW20" i="74"/>
  <c r="BW21" i="74"/>
  <c r="BW22" i="74"/>
  <c r="BW23" i="74"/>
  <c r="BW24" i="74"/>
  <c r="BW25" i="74"/>
  <c r="BW26" i="74"/>
  <c r="BW27" i="74"/>
  <c r="BW28" i="74"/>
  <c r="BW29" i="74"/>
  <c r="BW30" i="74"/>
  <c r="BW31" i="74"/>
  <c r="BW32" i="74"/>
  <c r="X129" i="121" s="1"/>
  <c r="BW33" i="74"/>
  <c r="BW34" i="74"/>
  <c r="BW35" i="74"/>
  <c r="BW36" i="74"/>
  <c r="BW37" i="74"/>
  <c r="BW38" i="74"/>
  <c r="BW39" i="74"/>
  <c r="BW40" i="74"/>
  <c r="BW41" i="74"/>
  <c r="BW42" i="74"/>
  <c r="BW43" i="74"/>
  <c r="BW44" i="74"/>
  <c r="BW45" i="74"/>
  <c r="BW46" i="74"/>
  <c r="BW47" i="74"/>
  <c r="BW48" i="74"/>
  <c r="BW49" i="74"/>
  <c r="BW50" i="74"/>
  <c r="BW51" i="74"/>
  <c r="BW52" i="74"/>
  <c r="BW53" i="74"/>
  <c r="BW54" i="74"/>
  <c r="BW55" i="74"/>
  <c r="BW56" i="74"/>
  <c r="BW57" i="74"/>
  <c r="BW58" i="74"/>
  <c r="BW59" i="74"/>
  <c r="BW60" i="74"/>
  <c r="BW61" i="74"/>
  <c r="BW62" i="74"/>
  <c r="BW12" i="74"/>
  <c r="CC61" i="74"/>
  <c r="CC7" i="74"/>
  <c r="CC8" i="74"/>
  <c r="CC9" i="74"/>
  <c r="CC10" i="74"/>
  <c r="CC11" i="74"/>
  <c r="CC12" i="74"/>
  <c r="CC13" i="74"/>
  <c r="CC14" i="74"/>
  <c r="CC15" i="74"/>
  <c r="CC16" i="74"/>
  <c r="CC17" i="74"/>
  <c r="CC18" i="74"/>
  <c r="CC19" i="74"/>
  <c r="CC20" i="74"/>
  <c r="CC21" i="74"/>
  <c r="CC22" i="74"/>
  <c r="CC23" i="74"/>
  <c r="CC24" i="74"/>
  <c r="CC25" i="74"/>
  <c r="CC26" i="74"/>
  <c r="CC27" i="74"/>
  <c r="CC28" i="74"/>
  <c r="CC30" i="74"/>
  <c r="CC31" i="74"/>
  <c r="CC32" i="74"/>
  <c r="CC33" i="74"/>
  <c r="CC34" i="74"/>
  <c r="CC35" i="74"/>
  <c r="CC36" i="74"/>
  <c r="CC37" i="74"/>
  <c r="CC38" i="74"/>
  <c r="CC39" i="74"/>
  <c r="CC40" i="74"/>
  <c r="CC41" i="74"/>
  <c r="CC42" i="74"/>
  <c r="CC43" i="74"/>
  <c r="CC44" i="74"/>
  <c r="CC45" i="74"/>
  <c r="CC46" i="74"/>
  <c r="CC47" i="74"/>
  <c r="CC48" i="74"/>
  <c r="CC49" i="74"/>
  <c r="CC50" i="74"/>
  <c r="CC51" i="74"/>
  <c r="CC52" i="74"/>
  <c r="CC53" i="74"/>
  <c r="CC54" i="74"/>
  <c r="CC55" i="74"/>
  <c r="CC56" i="74"/>
  <c r="CC57" i="74"/>
  <c r="CC58" i="74"/>
  <c r="CC59" i="74"/>
  <c r="CC60" i="74"/>
  <c r="CC6" i="74"/>
  <c r="CH7" i="74"/>
  <c r="CH8" i="74"/>
  <c r="CH9" i="74"/>
  <c r="CH10" i="74"/>
  <c r="CH11" i="74"/>
  <c r="CH12" i="74"/>
  <c r="CH13" i="74"/>
  <c r="CJ13" i="74" s="1"/>
  <c r="CH14" i="74"/>
  <c r="CH15" i="74"/>
  <c r="CH16" i="74"/>
  <c r="CH17" i="74"/>
  <c r="CH18" i="74"/>
  <c r="CH19" i="74"/>
  <c r="CH20" i="74"/>
  <c r="CH21" i="74"/>
  <c r="CH22" i="74"/>
  <c r="CH23" i="74"/>
  <c r="CH24" i="74"/>
  <c r="CH25" i="74"/>
  <c r="CH26" i="74"/>
  <c r="CH27" i="74"/>
  <c r="CH28" i="74"/>
  <c r="CH29" i="74"/>
  <c r="CH30" i="74"/>
  <c r="CH31" i="74"/>
  <c r="CH32" i="74"/>
  <c r="CH33" i="74"/>
  <c r="CH34" i="74"/>
  <c r="CH35" i="74"/>
  <c r="CH36" i="74"/>
  <c r="CH37" i="74"/>
  <c r="CH38" i="74"/>
  <c r="CH39" i="74"/>
  <c r="CH40" i="74"/>
  <c r="CH41" i="74"/>
  <c r="CH42" i="74"/>
  <c r="CH43" i="74"/>
  <c r="CH44" i="74"/>
  <c r="CH45" i="74"/>
  <c r="CH46" i="74"/>
  <c r="CH47" i="74"/>
  <c r="CH48" i="74"/>
  <c r="CH49" i="74"/>
  <c r="CH50" i="74"/>
  <c r="CH51" i="74"/>
  <c r="CH52" i="74"/>
  <c r="CH53" i="74"/>
  <c r="CH54" i="74"/>
  <c r="CH55" i="74"/>
  <c r="CH56" i="74"/>
  <c r="CH57" i="74"/>
  <c r="CH58" i="74"/>
  <c r="CH59" i="74"/>
  <c r="CH60" i="74"/>
  <c r="CH61" i="74"/>
  <c r="CH6" i="74"/>
  <c r="CJ6" i="74" s="1"/>
  <c r="CP7" i="74"/>
  <c r="CP8" i="74"/>
  <c r="CP9" i="74"/>
  <c r="CP10" i="74"/>
  <c r="CP11" i="74"/>
  <c r="CP12" i="74"/>
  <c r="CP13" i="74"/>
  <c r="CP14" i="74"/>
  <c r="CP15" i="74"/>
  <c r="CP16" i="74"/>
  <c r="CP17" i="74"/>
  <c r="CP18" i="74"/>
  <c r="CP19" i="74"/>
  <c r="CP20" i="74"/>
  <c r="CP21" i="74"/>
  <c r="CP22" i="74"/>
  <c r="CP23" i="74"/>
  <c r="CP24" i="74"/>
  <c r="CP25" i="74"/>
  <c r="CP26" i="74"/>
  <c r="CP27" i="74"/>
  <c r="CP28" i="74"/>
  <c r="CP29" i="74"/>
  <c r="CP30" i="74"/>
  <c r="CP31" i="74"/>
  <c r="CP32" i="74"/>
  <c r="CP33" i="74"/>
  <c r="CP34" i="74"/>
  <c r="CP35" i="74"/>
  <c r="CP36" i="74"/>
  <c r="CP37" i="74"/>
  <c r="CP38" i="74"/>
  <c r="CP39" i="74"/>
  <c r="CP40" i="74"/>
  <c r="CP41" i="74"/>
  <c r="CP42" i="74"/>
  <c r="CP43" i="74"/>
  <c r="CP44" i="74"/>
  <c r="CP45" i="74"/>
  <c r="CP46" i="74"/>
  <c r="CP47" i="74"/>
  <c r="CP48" i="74"/>
  <c r="CP49" i="74"/>
  <c r="CP50" i="74"/>
  <c r="CP51" i="74"/>
  <c r="CP52" i="74"/>
  <c r="CP53" i="74"/>
  <c r="CP54" i="74"/>
  <c r="CP55" i="74"/>
  <c r="CP56" i="74"/>
  <c r="CP57" i="74"/>
  <c r="CP58" i="74"/>
  <c r="CP59" i="74"/>
  <c r="CP60" i="74"/>
  <c r="CP61" i="74"/>
  <c r="CP6" i="74"/>
  <c r="M8" i="74"/>
  <c r="M13" i="74"/>
  <c r="M14" i="74"/>
  <c r="M15" i="74"/>
  <c r="M16" i="74"/>
  <c r="M17" i="74"/>
  <c r="M18" i="74"/>
  <c r="M19" i="74"/>
  <c r="M20" i="74"/>
  <c r="M21" i="74"/>
  <c r="M22" i="74"/>
  <c r="M23" i="74"/>
  <c r="M24" i="74"/>
  <c r="M25" i="74"/>
  <c r="M26" i="74"/>
  <c r="M27" i="74"/>
  <c r="M28" i="74"/>
  <c r="M29" i="74"/>
  <c r="M30" i="74"/>
  <c r="M31" i="74"/>
  <c r="M32" i="74"/>
  <c r="M33" i="74"/>
  <c r="M34" i="74"/>
  <c r="M35" i="74"/>
  <c r="M36" i="74"/>
  <c r="M37" i="74"/>
  <c r="M38" i="74"/>
  <c r="M39" i="74"/>
  <c r="M40" i="74"/>
  <c r="M41" i="74"/>
  <c r="M42" i="74"/>
  <c r="M43" i="74"/>
  <c r="M44" i="74"/>
  <c r="M45" i="74"/>
  <c r="M46" i="74"/>
  <c r="M47" i="74"/>
  <c r="M48" i="74"/>
  <c r="M49" i="74"/>
  <c r="M50" i="74"/>
  <c r="M51" i="74"/>
  <c r="M52" i="74"/>
  <c r="M53" i="74"/>
  <c r="M54" i="74"/>
  <c r="M55" i="74"/>
  <c r="M56" i="74"/>
  <c r="M57" i="74"/>
  <c r="M58" i="74"/>
  <c r="M59" i="74"/>
  <c r="M60" i="74"/>
  <c r="M61" i="74"/>
  <c r="M12" i="74"/>
  <c r="M10" i="74"/>
  <c r="M6" i="74"/>
  <c r="K6" i="74"/>
  <c r="K14" i="111" l="1"/>
  <c r="P157" i="121"/>
  <c r="AZ53" i="74"/>
  <c r="AZ21" i="74"/>
  <c r="AZ36" i="74"/>
  <c r="AZ12" i="74"/>
  <c r="AZ59" i="74"/>
  <c r="AZ35" i="74"/>
  <c r="AZ50" i="74"/>
  <c r="AZ42" i="74"/>
  <c r="AZ18" i="74"/>
  <c r="AZ33" i="74"/>
  <c r="AZ37" i="74"/>
  <c r="AZ60" i="74"/>
  <c r="AZ28" i="74"/>
  <c r="AZ10" i="74"/>
  <c r="AZ49" i="74"/>
  <c r="AZ41" i="74"/>
  <c r="AZ17" i="74"/>
  <c r="AZ6" i="74"/>
  <c r="AZ56" i="74"/>
  <c r="AZ48" i="74"/>
  <c r="AZ40" i="74"/>
  <c r="AZ24" i="74"/>
  <c r="AZ16" i="74"/>
  <c r="AZ45" i="74"/>
  <c r="AZ13" i="74"/>
  <c r="AZ52" i="74"/>
  <c r="AZ20" i="74"/>
  <c r="AZ51" i="74"/>
  <c r="AZ27" i="74"/>
  <c r="AZ58" i="74"/>
  <c r="AZ34" i="74"/>
  <c r="AZ57" i="74"/>
  <c r="AZ25" i="74"/>
  <c r="AZ55" i="74"/>
  <c r="AZ47" i="74"/>
  <c r="AZ39" i="74"/>
  <c r="AZ31" i="74"/>
  <c r="AZ23" i="74"/>
  <c r="AZ15" i="74"/>
  <c r="AZ29" i="74"/>
  <c r="AZ44" i="74"/>
  <c r="AZ43" i="74"/>
  <c r="AZ19" i="74"/>
  <c r="AZ26" i="74"/>
  <c r="AZ54" i="74"/>
  <c r="AZ46" i="74"/>
  <c r="AZ38" i="74"/>
  <c r="AZ30" i="74"/>
  <c r="AZ22" i="74"/>
  <c r="AZ14" i="74"/>
  <c r="DX9" i="132"/>
  <c r="DZ9" i="132" s="1"/>
  <c r="AZ8" i="74"/>
  <c r="R105" i="121"/>
  <c r="AZ32" i="74"/>
  <c r="R129" i="121"/>
  <c r="CV6" i="74"/>
  <c r="BI52" i="74"/>
  <c r="BI20" i="74"/>
  <c r="BI59" i="74"/>
  <c r="BI51" i="74"/>
  <c r="BI19" i="74"/>
  <c r="BI58" i="74"/>
  <c r="BI42" i="74"/>
  <c r="BI26" i="74"/>
  <c r="BI10" i="74"/>
  <c r="BI57" i="74"/>
  <c r="BI49" i="74"/>
  <c r="BI41" i="74"/>
  <c r="BI33" i="74"/>
  <c r="BI25" i="74"/>
  <c r="BI17" i="74"/>
  <c r="BI9" i="74"/>
  <c r="BI44" i="74"/>
  <c r="BI35" i="74"/>
  <c r="BI50" i="74"/>
  <c r="BI34" i="74"/>
  <c r="BI18" i="74"/>
  <c r="BI56" i="74"/>
  <c r="BI48" i="74"/>
  <c r="BI40" i="74"/>
  <c r="BI32" i="74"/>
  <c r="BI24" i="74"/>
  <c r="BI16" i="74"/>
  <c r="BI8" i="74"/>
  <c r="BI60" i="74"/>
  <c r="BI28" i="74"/>
  <c r="BI55" i="74"/>
  <c r="BI39" i="74"/>
  <c r="BI23" i="74"/>
  <c r="BI6" i="74"/>
  <c r="BI46" i="74"/>
  <c r="BI38" i="74"/>
  <c r="BI30" i="74"/>
  <c r="BI22" i="74"/>
  <c r="BI14" i="74"/>
  <c r="BI36" i="74"/>
  <c r="BI12" i="74"/>
  <c r="BI43" i="74"/>
  <c r="BI11" i="74"/>
  <c r="BI47" i="74"/>
  <c r="BI31" i="74"/>
  <c r="BI15" i="74"/>
  <c r="BI7" i="74"/>
  <c r="BI61" i="74"/>
  <c r="BI53" i="74"/>
  <c r="BI45" i="74"/>
  <c r="BI37" i="74"/>
  <c r="BI29" i="74"/>
  <c r="BI21" i="74"/>
  <c r="BI13" i="74"/>
  <c r="Z61" i="74"/>
  <c r="AB48" i="74"/>
  <c r="AC48" i="74" s="1"/>
  <c r="AB59" i="74"/>
  <c r="AC59" i="74" s="1"/>
  <c r="Z55" i="74"/>
  <c r="Z47" i="74"/>
  <c r="Z39" i="74"/>
  <c r="Z31" i="74"/>
  <c r="Z23" i="74"/>
  <c r="BI54" i="74"/>
  <c r="Z6" i="74"/>
  <c r="Z54" i="74"/>
  <c r="Z46" i="74"/>
  <c r="Z38" i="74"/>
  <c r="Z30" i="74"/>
  <c r="Z22" i="74"/>
  <c r="Z14" i="74"/>
  <c r="AB44" i="74"/>
  <c r="AC44" i="74" s="1"/>
  <c r="Z53" i="74"/>
  <c r="Z45" i="74"/>
  <c r="Z37" i="74"/>
  <c r="Z29" i="74"/>
  <c r="Z21" i="74"/>
  <c r="Z13" i="74"/>
  <c r="Z60" i="74"/>
  <c r="Z36" i="74"/>
  <c r="Z12" i="74"/>
  <c r="Z51" i="74"/>
  <c r="Z35" i="74"/>
  <c r="Z19" i="74"/>
  <c r="Z58" i="74"/>
  <c r="Z50" i="74"/>
  <c r="Z42" i="74"/>
  <c r="Z34" i="74"/>
  <c r="Z26" i="74"/>
  <c r="Z18" i="74"/>
  <c r="Z10" i="74"/>
  <c r="Z15" i="74"/>
  <c r="Z52" i="74"/>
  <c r="Z28" i="74"/>
  <c r="Z59" i="74"/>
  <c r="Z43" i="74"/>
  <c r="Z27" i="74"/>
  <c r="AC8" i="74"/>
  <c r="Q105" i="121" s="1"/>
  <c r="Z57" i="74"/>
  <c r="Z49" i="74"/>
  <c r="Z41" i="74"/>
  <c r="Z33" i="74"/>
  <c r="Z25" i="74"/>
  <c r="Z17" i="74"/>
  <c r="Z44" i="74"/>
  <c r="Z20" i="74"/>
  <c r="AB27" i="74"/>
  <c r="AC27" i="74" s="1"/>
  <c r="BI27" i="74"/>
  <c r="AZ61" i="74"/>
  <c r="Z56" i="74"/>
  <c r="Z48" i="74"/>
  <c r="Z40" i="74"/>
  <c r="Z32" i="74"/>
  <c r="Z24" i="74"/>
  <c r="Z16" i="74"/>
  <c r="Z8" i="74"/>
  <c r="AB11" i="74"/>
  <c r="AC11" i="74" s="1"/>
  <c r="CK11" i="74" s="1"/>
  <c r="AB17" i="74"/>
  <c r="AC17" i="74" s="1"/>
  <c r="AB32" i="74"/>
  <c r="AC32" i="74" s="1"/>
  <c r="Q129" i="121" s="1"/>
  <c r="AB43" i="74"/>
  <c r="AC43" i="74" s="1"/>
  <c r="AB55" i="74"/>
  <c r="AC55" i="74" s="1"/>
  <c r="AB51" i="74"/>
  <c r="AC51" i="74" s="1"/>
  <c r="AB38" i="74"/>
  <c r="AC38" i="74" s="1"/>
  <c r="AB22" i="74"/>
  <c r="AC22" i="74" s="1"/>
  <c r="AB14" i="74"/>
  <c r="AC14" i="74" s="1"/>
  <c r="AB61" i="74"/>
  <c r="AC61" i="74" s="1"/>
  <c r="CK61" i="74" s="1"/>
  <c r="AB53" i="74"/>
  <c r="AC53" i="74" s="1"/>
  <c r="AB45" i="74"/>
  <c r="AC45" i="74" s="1"/>
  <c r="AB37" i="74"/>
  <c r="AC37" i="74" s="1"/>
  <c r="AB29" i="74"/>
  <c r="AC29" i="74" s="1"/>
  <c r="AB21" i="74"/>
  <c r="AC21" i="74" s="1"/>
  <c r="AB13" i="74"/>
  <c r="AC13" i="74" s="1"/>
  <c r="AB25" i="74"/>
  <c r="AC25" i="74" s="1"/>
  <c r="AB35" i="74"/>
  <c r="AC35" i="74" s="1"/>
  <c r="AB30" i="74"/>
  <c r="AC30" i="74" s="1"/>
  <c r="AB52" i="74"/>
  <c r="AC52" i="74" s="1"/>
  <c r="AB36" i="74"/>
  <c r="AC36" i="74" s="1"/>
  <c r="AB28" i="74"/>
  <c r="AC28" i="74" s="1"/>
  <c r="AB60" i="74"/>
  <c r="AC60" i="74" s="1"/>
  <c r="AB40" i="74"/>
  <c r="AC40" i="74" s="1"/>
  <c r="AB24" i="74"/>
  <c r="AC24" i="74" s="1"/>
  <c r="AB16" i="74"/>
  <c r="AC16" i="74" s="1"/>
  <c r="AB56" i="74"/>
  <c r="AC56" i="74" s="1"/>
  <c r="AB12" i="74"/>
  <c r="AC12" i="74" s="1"/>
  <c r="AC9" i="74"/>
  <c r="CK9" i="74" s="1"/>
  <c r="AB58" i="74"/>
  <c r="AC58" i="74" s="1"/>
  <c r="AB50" i="74"/>
  <c r="AC50" i="74" s="1"/>
  <c r="AB42" i="74"/>
  <c r="AC42" i="74" s="1"/>
  <c r="AB34" i="74"/>
  <c r="AC34" i="74" s="1"/>
  <c r="AB26" i="74"/>
  <c r="AC26" i="74" s="1"/>
  <c r="AB18" i="74"/>
  <c r="AC18" i="74" s="1"/>
  <c r="AB57" i="74"/>
  <c r="AC57" i="74" s="1"/>
  <c r="AB49" i="74"/>
  <c r="AC49" i="74" s="1"/>
  <c r="AB41" i="74"/>
  <c r="AC41" i="74" s="1"/>
  <c r="AB33" i="74"/>
  <c r="AC33" i="74" s="1"/>
  <c r="AB47" i="74"/>
  <c r="AC47" i="74" s="1"/>
  <c r="AB31" i="74"/>
  <c r="AC31" i="74" s="1"/>
  <c r="AB15" i="74"/>
  <c r="AC15" i="74" s="1"/>
  <c r="AB46" i="74"/>
  <c r="AC46" i="74" s="1"/>
  <c r="AB39" i="74"/>
  <c r="AC39" i="74" s="1"/>
  <c r="AB23" i="74"/>
  <c r="AC23" i="74" s="1"/>
  <c r="AB6" i="74"/>
  <c r="AC6" i="74" s="1"/>
  <c r="CK6" i="74" s="1"/>
  <c r="CL6" i="74" s="1"/>
  <c r="AB54" i="74"/>
  <c r="AC54" i="74" s="1"/>
  <c r="AC7" i="74"/>
  <c r="CK7" i="74" s="1"/>
  <c r="AC20" i="74"/>
  <c r="AC19" i="74"/>
  <c r="AC10" i="74"/>
  <c r="N16" i="132"/>
  <c r="N17" i="132"/>
  <c r="N18" i="132"/>
  <c r="N19" i="132"/>
  <c r="N20" i="132"/>
  <c r="N21" i="132"/>
  <c r="N23" i="132"/>
  <c r="N24" i="132"/>
  <c r="N25" i="132"/>
  <c r="N26" i="132"/>
  <c r="N27" i="132"/>
  <c r="N28" i="132"/>
  <c r="N29" i="132"/>
  <c r="N30" i="132"/>
  <c r="N31" i="132"/>
  <c r="N32" i="132"/>
  <c r="N33" i="132"/>
  <c r="N34" i="132"/>
  <c r="N35" i="132"/>
  <c r="N36" i="132"/>
  <c r="N37" i="132"/>
  <c r="N38" i="132"/>
  <c r="N39" i="132"/>
  <c r="N40" i="132"/>
  <c r="N41" i="132"/>
  <c r="N42" i="132"/>
  <c r="N43" i="132"/>
  <c r="N44" i="132"/>
  <c r="N45" i="132"/>
  <c r="N46" i="132"/>
  <c r="N47" i="132"/>
  <c r="N48" i="132"/>
  <c r="N49" i="132"/>
  <c r="N50" i="132"/>
  <c r="N51" i="132"/>
  <c r="N52" i="132"/>
  <c r="N53" i="132"/>
  <c r="N54" i="132"/>
  <c r="N55" i="132"/>
  <c r="N56" i="132"/>
  <c r="N57" i="132"/>
  <c r="N58" i="132"/>
  <c r="N59" i="132"/>
  <c r="N60" i="132"/>
  <c r="N61" i="132"/>
  <c r="N62" i="132"/>
  <c r="N63" i="132"/>
  <c r="N15" i="132"/>
  <c r="N13" i="132"/>
  <c r="N11" i="132"/>
  <c r="N22" i="132" l="1"/>
  <c r="Q113" i="121"/>
  <c r="CK16" i="74"/>
  <c r="Q121" i="121"/>
  <c r="CK24" i="74"/>
  <c r="Q111" i="121"/>
  <c r="CK14" i="74"/>
  <c r="Q140" i="121"/>
  <c r="CK43" i="74"/>
  <c r="Q128" i="121"/>
  <c r="CK31" i="74"/>
  <c r="Q130" i="121"/>
  <c r="CK33" i="74"/>
  <c r="Q123" i="121"/>
  <c r="CK26" i="74"/>
  <c r="Q127" i="121"/>
  <c r="CK30" i="74"/>
  <c r="Q118" i="121"/>
  <c r="CK21" i="74"/>
  <c r="Q119" i="121"/>
  <c r="CK22" i="74"/>
  <c r="Q156" i="121"/>
  <c r="CK59" i="74"/>
  <c r="Q152" i="121"/>
  <c r="CK55" i="74"/>
  <c r="Q124" i="121"/>
  <c r="CK27" i="74"/>
  <c r="Q112" i="121"/>
  <c r="CK15" i="74"/>
  <c r="Q110" i="121"/>
  <c r="CK13" i="74"/>
  <c r="Q120" i="121"/>
  <c r="CK23" i="74"/>
  <c r="Q144" i="121"/>
  <c r="CK47" i="74"/>
  <c r="Q126" i="121"/>
  <c r="CK29" i="74"/>
  <c r="Q141" i="121"/>
  <c r="CK44" i="74"/>
  <c r="Q136" i="121"/>
  <c r="CK39" i="74"/>
  <c r="Q146" i="121"/>
  <c r="CK49" i="74"/>
  <c r="Q139" i="121"/>
  <c r="CK42" i="74"/>
  <c r="Q109" i="121"/>
  <c r="CK12" i="74"/>
  <c r="Q132" i="121"/>
  <c r="CK35" i="74"/>
  <c r="Q134" i="121"/>
  <c r="CK37" i="74"/>
  <c r="Q143" i="121"/>
  <c r="CK46" i="74"/>
  <c r="Q137" i="121"/>
  <c r="CK40" i="74"/>
  <c r="Q115" i="121"/>
  <c r="CK18" i="74"/>
  <c r="Q133" i="121"/>
  <c r="CK36" i="74"/>
  <c r="Q114" i="121"/>
  <c r="CK17" i="74"/>
  <c r="Q131" i="121"/>
  <c r="CK34" i="74"/>
  <c r="Q135" i="121"/>
  <c r="CK38" i="74"/>
  <c r="Q107" i="121"/>
  <c r="CK10" i="74"/>
  <c r="Q154" i="121"/>
  <c r="CK57" i="74"/>
  <c r="Q147" i="121"/>
  <c r="CK50" i="74"/>
  <c r="Q153" i="121"/>
  <c r="CK56" i="74"/>
  <c r="Q122" i="121"/>
  <c r="CK25" i="74"/>
  <c r="Q142" i="121"/>
  <c r="CK45" i="74"/>
  <c r="Q148" i="121"/>
  <c r="CK51" i="74"/>
  <c r="CK32" i="74"/>
  <c r="Q117" i="121"/>
  <c r="CK20" i="74"/>
  <c r="Q149" i="121"/>
  <c r="CK52" i="74"/>
  <c r="Q151" i="121"/>
  <c r="CK54" i="74"/>
  <c r="Q157" i="121"/>
  <c r="CK60" i="74"/>
  <c r="CK8" i="74"/>
  <c r="Q138" i="121"/>
  <c r="CK41" i="74"/>
  <c r="Q145" i="121"/>
  <c r="CK48" i="74"/>
  <c r="Q116" i="121"/>
  <c r="CK19" i="74"/>
  <c r="Q155" i="121"/>
  <c r="CK58" i="74"/>
  <c r="Q125" i="121"/>
  <c r="CK28" i="74"/>
  <c r="Q150" i="121"/>
  <c r="CK53" i="74"/>
  <c r="AD61" i="74"/>
  <c r="Q158" i="121"/>
  <c r="AD6" i="74"/>
  <c r="Q103" i="121"/>
  <c r="N64" i="132"/>
  <c r="C151" i="133"/>
  <c r="C150" i="133"/>
  <c r="C123" i="133"/>
  <c r="D119" i="133" s="1"/>
  <c r="C145" i="133"/>
  <c r="D144" i="133" s="1"/>
  <c r="G122" i="133" s="1"/>
  <c r="C132" i="133"/>
  <c r="C130" i="133"/>
  <c r="C134" i="133"/>
  <c r="L50" i="133"/>
  <c r="L51" i="133"/>
  <c r="L52" i="133"/>
  <c r="L53" i="133"/>
  <c r="L54" i="133"/>
  <c r="L55" i="133"/>
  <c r="L56" i="133"/>
  <c r="L57" i="133"/>
  <c r="L58" i="133"/>
  <c r="L49" i="133"/>
  <c r="L44" i="133"/>
  <c r="L46" i="133"/>
  <c r="L4" i="133"/>
  <c r="Q64" i="134"/>
  <c r="Q63" i="134"/>
  <c r="Q62" i="134"/>
  <c r="Q61" i="134"/>
  <c r="Q60" i="134"/>
  <c r="Q59" i="134"/>
  <c r="Q58" i="134"/>
  <c r="Q57" i="134"/>
  <c r="Q56" i="134"/>
  <c r="Q55" i="134"/>
  <c r="Q54" i="134"/>
  <c r="Q53" i="134"/>
  <c r="Q52" i="134"/>
  <c r="Q51" i="134"/>
  <c r="Q50" i="134"/>
  <c r="Q49" i="134"/>
  <c r="Q48" i="134"/>
  <c r="Q47" i="134"/>
  <c r="Q46" i="134"/>
  <c r="Q45" i="134"/>
  <c r="Q44" i="134"/>
  <c r="Q43" i="134"/>
  <c r="Q42" i="134"/>
  <c r="Q41" i="134"/>
  <c r="Q40" i="134"/>
  <c r="Q39" i="134"/>
  <c r="Q38" i="134"/>
  <c r="Q37" i="134"/>
  <c r="Q36" i="134"/>
  <c r="Q35" i="134"/>
  <c r="Q34" i="134"/>
  <c r="Q33" i="134"/>
  <c r="Q32" i="134"/>
  <c r="Q31" i="134"/>
  <c r="Q30" i="134"/>
  <c r="Q29" i="134"/>
  <c r="Q28" i="134"/>
  <c r="Q27" i="134"/>
  <c r="Q26" i="134"/>
  <c r="Q25" i="134"/>
  <c r="Q24" i="134"/>
  <c r="Q23" i="134"/>
  <c r="Q22" i="134"/>
  <c r="Q21" i="134"/>
  <c r="Q20" i="134"/>
  <c r="Q19" i="134"/>
  <c r="Q18" i="134"/>
  <c r="Q16" i="134"/>
  <c r="Q15" i="134"/>
  <c r="Q13" i="134"/>
  <c r="Q11" i="134"/>
  <c r="Q9" i="134"/>
  <c r="J9" i="134" s="1"/>
  <c r="W64" i="134"/>
  <c r="U64" i="134" s="1"/>
  <c r="O64" i="134"/>
  <c r="M64" i="134"/>
  <c r="W63" i="134"/>
  <c r="U63" i="134" s="1"/>
  <c r="O63" i="134"/>
  <c r="M63" i="134"/>
  <c r="W62" i="134"/>
  <c r="U62" i="134" s="1"/>
  <c r="O62" i="134"/>
  <c r="M62" i="134"/>
  <c r="W61" i="134"/>
  <c r="U61" i="134" s="1"/>
  <c r="O61" i="134"/>
  <c r="M61" i="134"/>
  <c r="W60" i="134"/>
  <c r="U60" i="134" s="1"/>
  <c r="O60" i="134"/>
  <c r="M60" i="134"/>
  <c r="A60" i="134"/>
  <c r="A61" i="134" s="1"/>
  <c r="A62" i="134" s="1"/>
  <c r="A63" i="134" s="1"/>
  <c r="A64" i="134" s="1"/>
  <c r="W59" i="134"/>
  <c r="U59" i="134" s="1"/>
  <c r="O59" i="134"/>
  <c r="M59" i="134"/>
  <c r="W58" i="134"/>
  <c r="U58" i="134" s="1"/>
  <c r="O58" i="134"/>
  <c r="M58" i="134"/>
  <c r="W57" i="134"/>
  <c r="U57" i="134" s="1"/>
  <c r="O57" i="134"/>
  <c r="M57" i="134"/>
  <c r="W56" i="134"/>
  <c r="U56" i="134" s="1"/>
  <c r="O56" i="134"/>
  <c r="M56" i="134"/>
  <c r="W55" i="134"/>
  <c r="U55" i="134" s="1"/>
  <c r="O55" i="134"/>
  <c r="M55" i="134"/>
  <c r="W54" i="134"/>
  <c r="U54" i="134" s="1"/>
  <c r="O54" i="134"/>
  <c r="M54" i="134"/>
  <c r="W53" i="134"/>
  <c r="U53" i="134" s="1"/>
  <c r="O53" i="134"/>
  <c r="M53" i="134"/>
  <c r="W52" i="134"/>
  <c r="U52" i="134" s="1"/>
  <c r="O52" i="134"/>
  <c r="M52" i="134"/>
  <c r="A52" i="134"/>
  <c r="A53" i="134" s="1"/>
  <c r="W51" i="134"/>
  <c r="U51" i="134" s="1"/>
  <c r="O51" i="134"/>
  <c r="M51" i="134"/>
  <c r="W50" i="134"/>
  <c r="U50" i="134" s="1"/>
  <c r="O50" i="134"/>
  <c r="M50" i="134"/>
  <c r="W49" i="134"/>
  <c r="U49" i="134" s="1"/>
  <c r="O49" i="134"/>
  <c r="M49" i="134"/>
  <c r="W48" i="134"/>
  <c r="U48" i="134" s="1"/>
  <c r="O48" i="134"/>
  <c r="M48" i="134"/>
  <c r="W47" i="134"/>
  <c r="U47" i="134" s="1"/>
  <c r="O47" i="134"/>
  <c r="M47" i="134"/>
  <c r="W46" i="134"/>
  <c r="U46" i="134" s="1"/>
  <c r="O46" i="134"/>
  <c r="M46" i="134"/>
  <c r="W45" i="134"/>
  <c r="U45" i="134" s="1"/>
  <c r="O45" i="134"/>
  <c r="M45" i="134"/>
  <c r="W44" i="134"/>
  <c r="U44" i="134" s="1"/>
  <c r="O44" i="134"/>
  <c r="M44" i="134"/>
  <c r="W43" i="134"/>
  <c r="U43" i="134" s="1"/>
  <c r="O43" i="134"/>
  <c r="M43" i="134"/>
  <c r="W42" i="134"/>
  <c r="U42" i="134" s="1"/>
  <c r="O42" i="134"/>
  <c r="M42" i="134"/>
  <c r="W41" i="134"/>
  <c r="U41" i="134" s="1"/>
  <c r="O41" i="134"/>
  <c r="M41" i="134"/>
  <c r="W40" i="134"/>
  <c r="U40" i="134" s="1"/>
  <c r="O40" i="134"/>
  <c r="M40" i="134"/>
  <c r="W39" i="134"/>
  <c r="U39" i="134" s="1"/>
  <c r="O39" i="134"/>
  <c r="M39" i="134"/>
  <c r="W38" i="134"/>
  <c r="U38" i="134" s="1"/>
  <c r="O38" i="134"/>
  <c r="M38" i="134"/>
  <c r="W37" i="134"/>
  <c r="U37" i="134" s="1"/>
  <c r="O37" i="134"/>
  <c r="M37" i="134"/>
  <c r="W36" i="134"/>
  <c r="U36" i="134" s="1"/>
  <c r="O36" i="134"/>
  <c r="M36" i="134"/>
  <c r="W35" i="134"/>
  <c r="U35" i="134" s="1"/>
  <c r="O35" i="134"/>
  <c r="M35" i="134"/>
  <c r="W34" i="134"/>
  <c r="U34" i="134" s="1"/>
  <c r="O34" i="134"/>
  <c r="M34" i="134"/>
  <c r="W33" i="134"/>
  <c r="U33" i="134" s="1"/>
  <c r="O33" i="134"/>
  <c r="M33" i="134"/>
  <c r="W32" i="134"/>
  <c r="U32" i="134" s="1"/>
  <c r="O32" i="134"/>
  <c r="M32" i="134"/>
  <c r="W31" i="134"/>
  <c r="U31" i="134" s="1"/>
  <c r="O31" i="134"/>
  <c r="M31" i="134"/>
  <c r="W30" i="134"/>
  <c r="U30" i="134" s="1"/>
  <c r="O30" i="134"/>
  <c r="M30" i="134"/>
  <c r="W29" i="134"/>
  <c r="U29" i="134" s="1"/>
  <c r="O29" i="134"/>
  <c r="M29" i="134"/>
  <c r="W28" i="134"/>
  <c r="U28" i="134" s="1"/>
  <c r="O28" i="134"/>
  <c r="M28" i="134"/>
  <c r="W27" i="134"/>
  <c r="U27" i="134" s="1"/>
  <c r="O27" i="134"/>
  <c r="M27" i="134"/>
  <c r="W26" i="134"/>
  <c r="U26" i="134" s="1"/>
  <c r="O26" i="134"/>
  <c r="M26" i="134"/>
  <c r="W25" i="134"/>
  <c r="U25" i="134" s="1"/>
  <c r="O25" i="134"/>
  <c r="M25" i="134"/>
  <c r="W24" i="134"/>
  <c r="U24" i="134" s="1"/>
  <c r="O24" i="134"/>
  <c r="M24" i="134"/>
  <c r="W23" i="134"/>
  <c r="U23" i="134" s="1"/>
  <c r="O23" i="134"/>
  <c r="M23" i="134"/>
  <c r="W22" i="134"/>
  <c r="U22" i="134" s="1"/>
  <c r="O22" i="134"/>
  <c r="W21" i="134"/>
  <c r="U21" i="134" s="1"/>
  <c r="O21" i="134"/>
  <c r="M21" i="134"/>
  <c r="W20" i="134"/>
  <c r="U20" i="134" s="1"/>
  <c r="O20" i="134"/>
  <c r="M20" i="134"/>
  <c r="W19" i="134"/>
  <c r="U19" i="134" s="1"/>
  <c r="O19" i="134"/>
  <c r="M19" i="134"/>
  <c r="W18" i="134"/>
  <c r="U18" i="134" s="1"/>
  <c r="O18" i="134"/>
  <c r="M18" i="134"/>
  <c r="W17" i="134"/>
  <c r="U17" i="134" s="1"/>
  <c r="O17" i="134"/>
  <c r="M17" i="134"/>
  <c r="W16" i="134"/>
  <c r="U16" i="134" s="1"/>
  <c r="O16" i="134"/>
  <c r="M16" i="134"/>
  <c r="W15" i="134"/>
  <c r="U15" i="134" s="1"/>
  <c r="O15" i="134"/>
  <c r="M15" i="134"/>
  <c r="W13" i="134"/>
  <c r="O13" i="134"/>
  <c r="M13" i="134"/>
  <c r="W11" i="134"/>
  <c r="W9" i="134" s="1"/>
  <c r="O11" i="134"/>
  <c r="M11" i="134"/>
  <c r="O9" i="134"/>
  <c r="M9" i="134"/>
  <c r="AU9" i="132" l="1"/>
  <c r="C155" i="133"/>
  <c r="D142" i="133"/>
  <c r="G120" i="133" s="1"/>
  <c r="D143" i="133"/>
  <c r="G121" i="133" s="1"/>
  <c r="D141" i="133"/>
  <c r="G119" i="133" s="1"/>
  <c r="D140" i="133"/>
  <c r="G118" i="133" s="1"/>
  <c r="D145" i="133"/>
  <c r="D123" i="133"/>
  <c r="D118" i="133"/>
  <c r="D122" i="133"/>
  <c r="D121" i="133"/>
  <c r="D120" i="133"/>
  <c r="C135" i="133"/>
  <c r="L5" i="133"/>
  <c r="L6" i="133" s="1"/>
  <c r="Q17" i="134"/>
  <c r="O9" i="132" l="1"/>
  <c r="D154" i="133"/>
  <c r="H122" i="133" s="1"/>
  <c r="D155" i="133"/>
  <c r="D151" i="133"/>
  <c r="H119" i="133" s="1"/>
  <c r="D152" i="133"/>
  <c r="H120" i="133" s="1"/>
  <c r="D153" i="133"/>
  <c r="H121" i="133" s="1"/>
  <c r="D150" i="133"/>
  <c r="H118" i="133" s="1"/>
  <c r="L7" i="133"/>
  <c r="L8" i="133" s="1"/>
  <c r="D133" i="133"/>
  <c r="F121" i="133" s="1"/>
  <c r="D131" i="133"/>
  <c r="F119" i="133" s="1"/>
  <c r="D134" i="133"/>
  <c r="F122" i="133" s="1"/>
  <c r="D132" i="133"/>
  <c r="F120" i="133" s="1"/>
  <c r="D135" i="133"/>
  <c r="D130" i="133"/>
  <c r="F118" i="133" s="1"/>
  <c r="L9" i="133" l="1"/>
  <c r="A4" i="133"/>
  <c r="A5" i="133" s="1"/>
  <c r="L78" i="133"/>
  <c r="L79" i="133"/>
  <c r="L80" i="133"/>
  <c r="L81" i="133"/>
  <c r="L82" i="133"/>
  <c r="L83" i="133"/>
  <c r="L84" i="133"/>
  <c r="L85" i="133"/>
  <c r="L86" i="133"/>
  <c r="I70" i="133"/>
  <c r="K70" i="133" s="1"/>
  <c r="I71" i="133"/>
  <c r="N71" i="133" s="1"/>
  <c r="I72" i="133"/>
  <c r="Q72" i="133" s="1"/>
  <c r="I73" i="133"/>
  <c r="A94" i="133"/>
  <c r="A95" i="133" s="1"/>
  <c r="A96" i="133" s="1"/>
  <c r="H86" i="133"/>
  <c r="Q86" i="133" s="1"/>
  <c r="H87" i="133"/>
  <c r="P86" i="133"/>
  <c r="O86" i="133"/>
  <c r="N86" i="133"/>
  <c r="M86" i="133"/>
  <c r="K86" i="133"/>
  <c r="P85" i="133"/>
  <c r="O85" i="133"/>
  <c r="N85" i="133"/>
  <c r="M85" i="133"/>
  <c r="K85" i="133"/>
  <c r="H85" i="133"/>
  <c r="Q85" i="133" s="1"/>
  <c r="P84" i="133"/>
  <c r="O84" i="133"/>
  <c r="N84" i="133"/>
  <c r="M84" i="133"/>
  <c r="K84" i="133"/>
  <c r="H84" i="133"/>
  <c r="Q84" i="133" s="1"/>
  <c r="P83" i="133"/>
  <c r="O83" i="133"/>
  <c r="N83" i="133"/>
  <c r="M83" i="133"/>
  <c r="K83" i="133"/>
  <c r="H83" i="133"/>
  <c r="Q83" i="133" s="1"/>
  <c r="P82" i="133"/>
  <c r="O82" i="133"/>
  <c r="N82" i="133"/>
  <c r="M82" i="133"/>
  <c r="K82" i="133"/>
  <c r="H82" i="133"/>
  <c r="Q82" i="133" s="1"/>
  <c r="P81" i="133"/>
  <c r="O81" i="133"/>
  <c r="N81" i="133"/>
  <c r="M81" i="133"/>
  <c r="K81" i="133"/>
  <c r="H81" i="133"/>
  <c r="Q81" i="133" s="1"/>
  <c r="P80" i="133"/>
  <c r="O80" i="133"/>
  <c r="N80" i="133"/>
  <c r="M80" i="133"/>
  <c r="K80" i="133"/>
  <c r="H80" i="133"/>
  <c r="Q80" i="133" s="1"/>
  <c r="A80" i="133"/>
  <c r="A81" i="133" s="1"/>
  <c r="A82" i="133" s="1"/>
  <c r="A83" i="133" s="1"/>
  <c r="A84" i="133" s="1"/>
  <c r="A85" i="133" s="1"/>
  <c r="A86" i="133" s="1"/>
  <c r="A87" i="133" s="1"/>
  <c r="P79" i="133"/>
  <c r="O79" i="133"/>
  <c r="N79" i="133"/>
  <c r="M79" i="133"/>
  <c r="K79" i="133"/>
  <c r="H79" i="133"/>
  <c r="Q79" i="133" s="1"/>
  <c r="P78" i="133"/>
  <c r="O78" i="133"/>
  <c r="N78" i="133"/>
  <c r="M78" i="133"/>
  <c r="K78" i="133"/>
  <c r="H78" i="133"/>
  <c r="Q78" i="133" s="1"/>
  <c r="A65" i="133"/>
  <c r="A66" i="133" s="1"/>
  <c r="A67" i="133" s="1"/>
  <c r="A68" i="133" s="1"/>
  <c r="A69" i="133" s="1"/>
  <c r="A70" i="133" s="1"/>
  <c r="A71" i="133" s="1"/>
  <c r="A72" i="133" s="1"/>
  <c r="A73" i="133" s="1"/>
  <c r="A98" i="133"/>
  <c r="A99" i="133" s="1"/>
  <c r="A100" i="133" s="1"/>
  <c r="A101" i="133" s="1"/>
  <c r="A102" i="133" s="1"/>
  <c r="A103" i="133" s="1"/>
  <c r="A104" i="133" s="1"/>
  <c r="A105" i="133" s="1"/>
  <c r="A106" i="133" s="1"/>
  <c r="A107" i="133" s="1"/>
  <c r="A108" i="133" s="1"/>
  <c r="A109" i="133" s="1"/>
  <c r="A110" i="133" s="1"/>
  <c r="A111" i="133" s="1"/>
  <c r="A112" i="133" s="1"/>
  <c r="L10" i="133" l="1"/>
  <c r="A6" i="133"/>
  <c r="L88" i="133"/>
  <c r="C58" i="133" s="1"/>
  <c r="L70" i="133"/>
  <c r="L71" i="133"/>
  <c r="L72" i="133"/>
  <c r="O70" i="133"/>
  <c r="M70" i="133"/>
  <c r="N70" i="133"/>
  <c r="P70" i="133"/>
  <c r="P71" i="133"/>
  <c r="O72" i="133"/>
  <c r="Q70" i="133"/>
  <c r="M72" i="133"/>
  <c r="N72" i="133"/>
  <c r="O71" i="133"/>
  <c r="Q71" i="133"/>
  <c r="K88" i="133"/>
  <c r="B58" i="133" s="1"/>
  <c r="M88" i="133"/>
  <c r="D58" i="133" s="1"/>
  <c r="N88" i="133"/>
  <c r="E58" i="133" s="1"/>
  <c r="O88" i="133"/>
  <c r="F58" i="133" s="1"/>
  <c r="P88" i="133"/>
  <c r="G58" i="133" s="1"/>
  <c r="Q88" i="133"/>
  <c r="H58" i="133" s="1"/>
  <c r="K72" i="133"/>
  <c r="K71" i="133"/>
  <c r="M71" i="133"/>
  <c r="P72" i="133"/>
  <c r="AP9" i="132"/>
  <c r="AP10" i="132"/>
  <c r="AP11" i="132"/>
  <c r="AP12" i="132"/>
  <c r="AP13" i="132"/>
  <c r="AP14" i="132"/>
  <c r="AP15" i="132"/>
  <c r="AP16" i="132"/>
  <c r="AP17" i="132"/>
  <c r="AP18" i="132"/>
  <c r="AP19" i="132"/>
  <c r="AP20" i="132"/>
  <c r="AP21" i="132"/>
  <c r="AP22" i="132"/>
  <c r="AP23" i="132"/>
  <c r="AP24" i="132"/>
  <c r="AP25" i="132"/>
  <c r="AP26" i="132"/>
  <c r="AP27" i="132"/>
  <c r="AP28" i="132"/>
  <c r="AP29" i="132"/>
  <c r="AP30" i="132"/>
  <c r="AP31" i="132"/>
  <c r="AP32" i="132"/>
  <c r="AP33" i="132"/>
  <c r="AP34" i="132"/>
  <c r="AP35" i="132"/>
  <c r="AP36" i="132"/>
  <c r="AP37" i="132"/>
  <c r="AP38" i="132"/>
  <c r="AP39" i="132"/>
  <c r="AP40" i="132"/>
  <c r="AP41" i="132"/>
  <c r="AP42" i="132"/>
  <c r="AP43" i="132"/>
  <c r="AP44" i="132"/>
  <c r="AP45" i="132"/>
  <c r="AP46" i="132"/>
  <c r="AP47" i="132"/>
  <c r="AP48" i="132"/>
  <c r="AP49" i="132"/>
  <c r="AP50" i="132"/>
  <c r="AP51" i="132"/>
  <c r="AP52" i="132"/>
  <c r="AP53" i="132"/>
  <c r="AP54" i="132"/>
  <c r="AP55" i="132"/>
  <c r="AP56" i="132"/>
  <c r="AP57" i="132"/>
  <c r="AP58" i="132"/>
  <c r="AP59" i="132"/>
  <c r="AP60" i="132"/>
  <c r="AP61" i="132"/>
  <c r="AP62" i="132"/>
  <c r="AP63" i="132"/>
  <c r="AS9" i="132"/>
  <c r="AS10" i="132"/>
  <c r="AS11" i="132"/>
  <c r="AS12" i="132"/>
  <c r="AS13" i="132"/>
  <c r="AS14" i="132"/>
  <c r="AS15" i="132"/>
  <c r="AS16" i="132"/>
  <c r="AS17" i="132"/>
  <c r="AS18" i="132"/>
  <c r="AS19" i="132"/>
  <c r="AS20" i="132"/>
  <c r="AS21" i="132"/>
  <c r="AS22" i="132"/>
  <c r="AS23" i="132"/>
  <c r="AS24" i="132"/>
  <c r="AS25" i="132"/>
  <c r="AS26" i="132"/>
  <c r="AS27" i="132"/>
  <c r="AS28" i="132"/>
  <c r="AS29" i="132"/>
  <c r="AS30" i="132"/>
  <c r="AS31" i="132"/>
  <c r="AS32" i="132"/>
  <c r="AS33" i="132"/>
  <c r="AS34" i="132"/>
  <c r="AS35" i="132"/>
  <c r="AS36" i="132"/>
  <c r="AS37" i="132"/>
  <c r="AS38" i="132"/>
  <c r="AS39" i="132"/>
  <c r="AS40" i="132"/>
  <c r="AS41" i="132"/>
  <c r="AS42" i="132"/>
  <c r="AS43" i="132"/>
  <c r="AS44" i="132"/>
  <c r="AS45" i="132"/>
  <c r="AS46" i="132"/>
  <c r="AS47" i="132"/>
  <c r="AS48" i="132"/>
  <c r="AS49" i="132"/>
  <c r="AS50" i="132"/>
  <c r="AS51" i="132"/>
  <c r="AS52" i="132"/>
  <c r="AS53" i="132"/>
  <c r="AS54" i="132"/>
  <c r="AS55" i="132"/>
  <c r="AS56" i="132"/>
  <c r="AS57" i="132"/>
  <c r="AS58" i="132"/>
  <c r="AS59" i="132"/>
  <c r="AS60" i="132"/>
  <c r="AS61" i="132"/>
  <c r="AS62" i="132"/>
  <c r="AS63" i="132"/>
  <c r="BE10" i="132"/>
  <c r="BG10" i="132"/>
  <c r="BE11" i="132"/>
  <c r="BG11" i="132"/>
  <c r="BE12" i="132"/>
  <c r="BG12" i="132"/>
  <c r="BE13" i="132"/>
  <c r="BG13" i="132"/>
  <c r="BE14" i="132"/>
  <c r="BG14" i="132"/>
  <c r="BE15" i="132"/>
  <c r="BG15" i="132"/>
  <c r="BE16" i="132"/>
  <c r="BG16" i="132"/>
  <c r="BE17" i="132"/>
  <c r="BG17" i="132"/>
  <c r="BE18" i="132"/>
  <c r="BG18" i="132"/>
  <c r="BE19" i="132"/>
  <c r="BG19" i="132"/>
  <c r="BE20" i="132"/>
  <c r="BG20" i="132"/>
  <c r="BE21" i="132"/>
  <c r="BG21" i="132"/>
  <c r="BE22" i="132"/>
  <c r="BG22" i="132"/>
  <c r="BE23" i="132"/>
  <c r="BG23" i="132"/>
  <c r="BE24" i="132"/>
  <c r="BG24" i="132"/>
  <c r="BE25" i="132"/>
  <c r="BG25" i="132"/>
  <c r="BE26" i="132"/>
  <c r="BG26" i="132"/>
  <c r="BE27" i="132"/>
  <c r="BG27" i="132"/>
  <c r="BE28" i="132"/>
  <c r="BG28" i="132"/>
  <c r="BE29" i="132"/>
  <c r="BG29" i="132"/>
  <c r="BE30" i="132"/>
  <c r="BG30" i="132"/>
  <c r="BE31" i="132"/>
  <c r="BG31" i="132"/>
  <c r="BE32" i="132"/>
  <c r="BG32" i="132"/>
  <c r="BE33" i="132"/>
  <c r="BG33" i="132"/>
  <c r="BE34" i="132"/>
  <c r="BG34" i="132"/>
  <c r="BE35" i="132"/>
  <c r="BG35" i="132"/>
  <c r="BE36" i="132"/>
  <c r="BG36" i="132"/>
  <c r="BE37" i="132"/>
  <c r="BG37" i="132"/>
  <c r="BE38" i="132"/>
  <c r="BG38" i="132"/>
  <c r="BE39" i="132"/>
  <c r="BG39" i="132"/>
  <c r="BE40" i="132"/>
  <c r="BG40" i="132"/>
  <c r="BE41" i="132"/>
  <c r="BG41" i="132"/>
  <c r="BE42" i="132"/>
  <c r="BG42" i="132"/>
  <c r="BE43" i="132"/>
  <c r="BG43" i="132"/>
  <c r="BE44" i="132"/>
  <c r="BG44" i="132"/>
  <c r="BE45" i="132"/>
  <c r="BG45" i="132"/>
  <c r="BE46" i="132"/>
  <c r="BG46" i="132"/>
  <c r="BE47" i="132"/>
  <c r="BG47" i="132"/>
  <c r="BE48" i="132"/>
  <c r="BG48" i="132"/>
  <c r="BE49" i="132"/>
  <c r="BG49" i="132"/>
  <c r="BE50" i="132"/>
  <c r="BG50" i="132"/>
  <c r="BE51" i="132"/>
  <c r="BG51" i="132"/>
  <c r="BE52" i="132"/>
  <c r="BG52" i="132"/>
  <c r="BE53" i="132"/>
  <c r="BG53" i="132"/>
  <c r="BE54" i="132"/>
  <c r="BG54" i="132"/>
  <c r="BE55" i="132"/>
  <c r="BG55" i="132"/>
  <c r="BE56" i="132"/>
  <c r="BG56" i="132"/>
  <c r="BE57" i="132"/>
  <c r="BG57" i="132"/>
  <c r="BE58" i="132"/>
  <c r="BG58" i="132"/>
  <c r="BE59" i="132"/>
  <c r="BG59" i="132"/>
  <c r="BE60" i="132"/>
  <c r="BG60" i="132"/>
  <c r="BE61" i="132"/>
  <c r="BG61" i="132"/>
  <c r="BE62" i="132"/>
  <c r="BG62" i="132"/>
  <c r="BE63" i="132"/>
  <c r="BG63" i="132"/>
  <c r="BE64" i="132"/>
  <c r="BG64" i="132"/>
  <c r="BE65" i="132"/>
  <c r="BG65" i="132"/>
  <c r="BG9" i="132"/>
  <c r="BE9" i="132"/>
  <c r="BC10" i="132"/>
  <c r="BC11" i="132"/>
  <c r="BC12" i="132"/>
  <c r="BG9" i="74" s="1"/>
  <c r="BC13" i="132"/>
  <c r="BC14" i="132"/>
  <c r="BC15" i="132"/>
  <c r="BC16" i="132"/>
  <c r="BC17" i="132"/>
  <c r="BC18" i="132"/>
  <c r="BC19" i="132"/>
  <c r="BC20" i="132"/>
  <c r="BG17" i="74" s="1"/>
  <c r="BC21" i="132"/>
  <c r="BC22" i="132"/>
  <c r="BC23" i="132"/>
  <c r="BC24" i="132"/>
  <c r="BC25" i="132"/>
  <c r="BC26" i="132"/>
  <c r="BC27" i="132"/>
  <c r="BC28" i="132"/>
  <c r="BG25" i="74" s="1"/>
  <c r="BC29" i="132"/>
  <c r="BC30" i="132"/>
  <c r="BC31" i="132"/>
  <c r="BC32" i="132"/>
  <c r="BC33" i="132"/>
  <c r="BC34" i="132"/>
  <c r="BC35" i="132"/>
  <c r="BC36" i="132"/>
  <c r="BG33" i="74" s="1"/>
  <c r="BC37" i="132"/>
  <c r="BC38" i="132"/>
  <c r="BC39" i="132"/>
  <c r="BC40" i="132"/>
  <c r="BC41" i="132"/>
  <c r="BC42" i="132"/>
  <c r="BC43" i="132"/>
  <c r="BC44" i="132"/>
  <c r="BG41" i="74" s="1"/>
  <c r="BC45" i="132"/>
  <c r="BC46" i="132"/>
  <c r="BC47" i="132"/>
  <c r="BC48" i="132"/>
  <c r="BC49" i="132"/>
  <c r="BC50" i="132"/>
  <c r="BC51" i="132"/>
  <c r="BC52" i="132"/>
  <c r="BG49" i="74" s="1"/>
  <c r="BC53" i="132"/>
  <c r="BC54" i="132"/>
  <c r="BC55" i="132"/>
  <c r="BC56" i="132"/>
  <c r="BC57" i="132"/>
  <c r="BC58" i="132"/>
  <c r="BC59" i="132"/>
  <c r="BC60" i="132"/>
  <c r="BG57" i="74" s="1"/>
  <c r="BC61" i="132"/>
  <c r="BC62" i="132"/>
  <c r="BC63" i="132"/>
  <c r="BC64" i="132"/>
  <c r="BC65" i="132"/>
  <c r="BC9" i="132"/>
  <c r="BG53" i="74" l="1"/>
  <c r="BG37" i="74"/>
  <c r="BG13" i="74"/>
  <c r="BG45" i="74"/>
  <c r="BG29" i="74"/>
  <c r="BG21" i="74"/>
  <c r="BG56" i="74"/>
  <c r="BG48" i="74"/>
  <c r="BG40" i="74"/>
  <c r="BG32" i="74"/>
  <c r="BG24" i="74"/>
  <c r="BG16" i="74"/>
  <c r="BG8" i="74"/>
  <c r="BG6" i="74"/>
  <c r="BG55" i="74"/>
  <c r="BG47" i="74"/>
  <c r="BG39" i="74"/>
  <c r="BG31" i="74"/>
  <c r="BG23" i="74"/>
  <c r="BG15" i="74"/>
  <c r="BG7" i="74"/>
  <c r="BG59" i="74"/>
  <c r="BG43" i="74"/>
  <c r="BG35" i="74"/>
  <c r="BG27" i="74"/>
  <c r="BG19" i="74"/>
  <c r="BG11" i="74"/>
  <c r="BG51" i="74"/>
  <c r="BG61" i="74"/>
  <c r="BG54" i="74"/>
  <c r="BG38" i="74"/>
  <c r="BG22" i="74"/>
  <c r="BG46" i="74"/>
  <c r="BG30" i="74"/>
  <c r="BG14" i="74"/>
  <c r="BG60" i="74"/>
  <c r="BG52" i="74"/>
  <c r="BG44" i="74"/>
  <c r="BG36" i="74"/>
  <c r="BG28" i="74"/>
  <c r="BG20" i="74"/>
  <c r="BG12" i="74"/>
  <c r="BG58" i="74"/>
  <c r="BG50" i="74"/>
  <c r="BG42" i="74"/>
  <c r="BG34" i="74"/>
  <c r="BG26" i="74"/>
  <c r="BG18" i="74"/>
  <c r="BG10" i="74"/>
  <c r="N58" i="133"/>
  <c r="L11" i="133"/>
  <c r="A7" i="133"/>
  <c r="O58" i="133"/>
  <c r="AS64" i="132"/>
  <c r="AP64" i="132"/>
  <c r="BW64" i="132" s="1"/>
  <c r="DJ10" i="132"/>
  <c r="BF7" i="74" s="1"/>
  <c r="DJ11" i="132"/>
  <c r="BF8" i="74" s="1"/>
  <c r="DJ12" i="132"/>
  <c r="BF9" i="74" s="1"/>
  <c r="DJ13" i="132"/>
  <c r="BF10" i="74" s="1"/>
  <c r="DJ14" i="132"/>
  <c r="BF11" i="74" s="1"/>
  <c r="DJ15" i="132"/>
  <c r="BF12" i="74" s="1"/>
  <c r="DJ16" i="132"/>
  <c r="BF13" i="74" s="1"/>
  <c r="DJ17" i="132"/>
  <c r="BF14" i="74" s="1"/>
  <c r="DJ18" i="132"/>
  <c r="BF15" i="74" s="1"/>
  <c r="DJ19" i="132"/>
  <c r="BF16" i="74" s="1"/>
  <c r="DJ20" i="132"/>
  <c r="BF17" i="74" s="1"/>
  <c r="DJ21" i="132"/>
  <c r="BF18" i="74" s="1"/>
  <c r="DJ22" i="132"/>
  <c r="BF19" i="74" s="1"/>
  <c r="DJ23" i="132"/>
  <c r="BF20" i="74" s="1"/>
  <c r="DJ24" i="132"/>
  <c r="BF21" i="74" s="1"/>
  <c r="DJ25" i="132"/>
  <c r="BF22" i="74" s="1"/>
  <c r="DJ26" i="132"/>
  <c r="BF23" i="74" s="1"/>
  <c r="DJ27" i="132"/>
  <c r="BF24" i="74" s="1"/>
  <c r="DJ28" i="132"/>
  <c r="BF25" i="74" s="1"/>
  <c r="DJ29" i="132"/>
  <c r="BF26" i="74" s="1"/>
  <c r="DJ30" i="132"/>
  <c r="BF27" i="74" s="1"/>
  <c r="DJ31" i="132"/>
  <c r="BF28" i="74" s="1"/>
  <c r="DJ32" i="132"/>
  <c r="BF29" i="74" s="1"/>
  <c r="DJ33" i="132"/>
  <c r="BF30" i="74" s="1"/>
  <c r="DJ34" i="132"/>
  <c r="BF31" i="74" s="1"/>
  <c r="DJ35" i="132"/>
  <c r="BF32" i="74" s="1"/>
  <c r="DJ36" i="132"/>
  <c r="BF33" i="74" s="1"/>
  <c r="DJ37" i="132"/>
  <c r="BF34" i="74" s="1"/>
  <c r="DJ38" i="132"/>
  <c r="BF35" i="74" s="1"/>
  <c r="DJ39" i="132"/>
  <c r="BF36" i="74" s="1"/>
  <c r="DJ40" i="132"/>
  <c r="BF37" i="74" s="1"/>
  <c r="DJ41" i="132"/>
  <c r="BF38" i="74" s="1"/>
  <c r="DJ42" i="132"/>
  <c r="BF39" i="74" s="1"/>
  <c r="DJ43" i="132"/>
  <c r="BF40" i="74" s="1"/>
  <c r="DJ44" i="132"/>
  <c r="BF41" i="74" s="1"/>
  <c r="DJ45" i="132"/>
  <c r="BF42" i="74" s="1"/>
  <c r="DJ46" i="132"/>
  <c r="BF43" i="74" s="1"/>
  <c r="DJ47" i="132"/>
  <c r="BF44" i="74" s="1"/>
  <c r="DJ48" i="132"/>
  <c r="BF45" i="74" s="1"/>
  <c r="DJ49" i="132"/>
  <c r="BF46" i="74" s="1"/>
  <c r="DJ50" i="132"/>
  <c r="BF47" i="74" s="1"/>
  <c r="DJ51" i="132"/>
  <c r="BF48" i="74" s="1"/>
  <c r="DJ52" i="132"/>
  <c r="BF49" i="74" s="1"/>
  <c r="DJ53" i="132"/>
  <c r="BF50" i="74" s="1"/>
  <c r="DJ54" i="132"/>
  <c r="BF51" i="74" s="1"/>
  <c r="DJ55" i="132"/>
  <c r="BF52" i="74" s="1"/>
  <c r="DJ56" i="132"/>
  <c r="BF53" i="74" s="1"/>
  <c r="DJ57" i="132"/>
  <c r="BF54" i="74" s="1"/>
  <c r="DJ58" i="132"/>
  <c r="BF55" i="74" s="1"/>
  <c r="DJ59" i="132"/>
  <c r="BF56" i="74" s="1"/>
  <c r="DJ60" i="132"/>
  <c r="BF57" i="74" s="1"/>
  <c r="DJ61" i="132"/>
  <c r="BF58" i="74" s="1"/>
  <c r="DJ62" i="132"/>
  <c r="BF59" i="74" s="1"/>
  <c r="DJ63" i="132"/>
  <c r="BF60" i="74" s="1"/>
  <c r="DJ64" i="132"/>
  <c r="BF61" i="74" s="1"/>
  <c r="DJ65" i="132"/>
  <c r="CV53" i="74" l="1"/>
  <c r="CV21" i="74"/>
  <c r="CV54" i="74"/>
  <c r="CV46" i="74"/>
  <c r="CV38" i="74"/>
  <c r="CV30" i="74"/>
  <c r="CV22" i="74"/>
  <c r="CV14" i="74"/>
  <c r="CV29" i="74"/>
  <c r="CV44" i="74"/>
  <c r="CV28" i="74"/>
  <c r="CV12" i="74"/>
  <c r="CV45" i="74"/>
  <c r="CV60" i="74"/>
  <c r="CV52" i="74"/>
  <c r="CV36" i="74"/>
  <c r="CV20" i="74"/>
  <c r="CV59" i="74"/>
  <c r="CV51" i="74"/>
  <c r="CV43" i="74"/>
  <c r="CV35" i="74"/>
  <c r="CV27" i="74"/>
  <c r="CV19" i="74"/>
  <c r="CV61" i="74"/>
  <c r="CV37" i="74"/>
  <c r="CV58" i="74"/>
  <c r="CV42" i="74"/>
  <c r="CV34" i="74"/>
  <c r="CV18" i="74"/>
  <c r="CV10" i="74"/>
  <c r="CV57" i="74"/>
  <c r="CV41" i="74"/>
  <c r="CV33" i="74"/>
  <c r="CV17" i="74"/>
  <c r="CV56" i="74"/>
  <c r="CV48" i="74"/>
  <c r="CV40" i="74"/>
  <c r="CV32" i="74"/>
  <c r="CV24" i="74"/>
  <c r="CV16" i="74"/>
  <c r="CV8" i="74"/>
  <c r="CV13" i="74"/>
  <c r="CV50" i="74"/>
  <c r="CV26" i="74"/>
  <c r="CV49" i="74"/>
  <c r="CV25" i="74"/>
  <c r="CV55" i="74"/>
  <c r="CV47" i="74"/>
  <c r="CV39" i="74"/>
  <c r="CV31" i="74"/>
  <c r="CV23" i="74"/>
  <c r="CV15" i="74"/>
  <c r="L12" i="133"/>
  <c r="A8" i="133"/>
  <c r="L13" i="133" l="1"/>
  <c r="A9" i="133"/>
  <c r="L14" i="133" l="1"/>
  <c r="A10" i="133"/>
  <c r="CZ65" i="132"/>
  <c r="DX64" i="132"/>
  <c r="AG64" i="132" s="1"/>
  <c r="DW64" i="132"/>
  <c r="CZ64" i="132"/>
  <c r="BS64" i="132"/>
  <c r="AZ64" i="132"/>
  <c r="AU64" i="132"/>
  <c r="AQ64" i="132" s="1"/>
  <c r="AH62" i="89" s="1"/>
  <c r="AC64" i="132"/>
  <c r="Z62" i="89" s="1"/>
  <c r="V64" i="132"/>
  <c r="S64" i="132"/>
  <c r="G64" i="132"/>
  <c r="BO64" i="132"/>
  <c r="BP64" i="132" s="1"/>
  <c r="DX63" i="132"/>
  <c r="AG63" i="132" s="1"/>
  <c r="DW63" i="132"/>
  <c r="CZ63" i="132"/>
  <c r="BS63" i="132"/>
  <c r="AZ63" i="132"/>
  <c r="AU63" i="132"/>
  <c r="AQ63" i="132" s="1"/>
  <c r="AH61" i="89" s="1"/>
  <c r="BW63" i="132"/>
  <c r="AO63" i="132" s="1"/>
  <c r="AC63" i="132"/>
  <c r="Z61" i="89" s="1"/>
  <c r="V63" i="132"/>
  <c r="S63" i="132"/>
  <c r="T63" i="132" s="1"/>
  <c r="AO60" i="74" s="1"/>
  <c r="L63" i="132"/>
  <c r="G63" i="132"/>
  <c r="BO63" i="132"/>
  <c r="BP63" i="132" s="1"/>
  <c r="DZ62" i="132"/>
  <c r="DX62" i="132"/>
  <c r="AG62" i="132" s="1"/>
  <c r="DW62" i="132"/>
  <c r="CZ62" i="132"/>
  <c r="BS62" i="132"/>
  <c r="AZ62" i="132"/>
  <c r="AU62" i="132"/>
  <c r="AQ62" i="132" s="1"/>
  <c r="AH60" i="89" s="1"/>
  <c r="AC62" i="132"/>
  <c r="Z60" i="89" s="1"/>
  <c r="V62" i="132"/>
  <c r="S62" i="132"/>
  <c r="T62" i="132" s="1"/>
  <c r="AO59" i="74" s="1"/>
  <c r="L62" i="132"/>
  <c r="G62" i="132"/>
  <c r="BO62" i="132"/>
  <c r="BP62" i="132" s="1"/>
  <c r="DZ61" i="132"/>
  <c r="DX61" i="132"/>
  <c r="AG61" i="132" s="1"/>
  <c r="DW61" i="132"/>
  <c r="CZ61" i="132"/>
  <c r="BS61" i="132"/>
  <c r="AZ61" i="132"/>
  <c r="AU61" i="132"/>
  <c r="AQ61" i="132" s="1"/>
  <c r="AH59" i="89" s="1"/>
  <c r="AC61" i="132"/>
  <c r="Z59" i="89" s="1"/>
  <c r="V61" i="132"/>
  <c r="S61" i="132"/>
  <c r="T61" i="132" s="1"/>
  <c r="AO58" i="74" s="1"/>
  <c r="L61" i="132"/>
  <c r="G61" i="132"/>
  <c r="BO61" i="132"/>
  <c r="BP61" i="132" s="1"/>
  <c r="DZ60" i="132"/>
  <c r="DX60" i="132"/>
  <c r="AG60" i="132" s="1"/>
  <c r="DW60" i="132"/>
  <c r="CZ60" i="132"/>
  <c r="BS60" i="132"/>
  <c r="AZ60" i="132"/>
  <c r="AU60" i="132"/>
  <c r="AQ60" i="132" s="1"/>
  <c r="AH58" i="89" s="1"/>
  <c r="AC60" i="132"/>
  <c r="Z58" i="89" s="1"/>
  <c r="V60" i="132"/>
  <c r="S60" i="132"/>
  <c r="T60" i="132" s="1"/>
  <c r="AO57" i="74" s="1"/>
  <c r="L60" i="132"/>
  <c r="G60" i="132"/>
  <c r="BO60" i="132"/>
  <c r="BP60" i="132" s="1"/>
  <c r="A60" i="132"/>
  <c r="DZ59" i="132"/>
  <c r="DX59" i="132"/>
  <c r="AG59" i="132" s="1"/>
  <c r="DW59" i="132"/>
  <c r="CZ59" i="132"/>
  <c r="BS59" i="132"/>
  <c r="AZ59" i="132"/>
  <c r="AU59" i="132"/>
  <c r="AQ59" i="132" s="1"/>
  <c r="AH57" i="89" s="1"/>
  <c r="BW59" i="132"/>
  <c r="AO59" i="132" s="1"/>
  <c r="AC59" i="132"/>
  <c r="Z57" i="89" s="1"/>
  <c r="V59" i="132"/>
  <c r="S59" i="132"/>
  <c r="T59" i="132" s="1"/>
  <c r="AO56" i="74" s="1"/>
  <c r="L59" i="132"/>
  <c r="G59" i="132"/>
  <c r="BO59" i="132"/>
  <c r="BP59" i="132" s="1"/>
  <c r="DZ58" i="132"/>
  <c r="DX58" i="132"/>
  <c r="AG58" i="132" s="1"/>
  <c r="DW58" i="132"/>
  <c r="CZ58" i="132"/>
  <c r="BS58" i="132"/>
  <c r="AZ58" i="132"/>
  <c r="AU58" i="132"/>
  <c r="AQ58" i="132" s="1"/>
  <c r="AH56" i="89" s="1"/>
  <c r="AC58" i="132"/>
  <c r="Z56" i="89" s="1"/>
  <c r="V58" i="132"/>
  <c r="S58" i="132"/>
  <c r="T58" i="132" s="1"/>
  <c r="AO55" i="74" s="1"/>
  <c r="L58" i="132"/>
  <c r="G58" i="132"/>
  <c r="BO58" i="132"/>
  <c r="BP58" i="132" s="1"/>
  <c r="DZ57" i="132"/>
  <c r="DX57" i="132"/>
  <c r="AG57" i="132" s="1"/>
  <c r="DW57" i="132"/>
  <c r="CZ57" i="132"/>
  <c r="BS57" i="132"/>
  <c r="AZ57" i="132"/>
  <c r="AU57" i="132"/>
  <c r="AQ57" i="132" s="1"/>
  <c r="AH55" i="89" s="1"/>
  <c r="BW57" i="132"/>
  <c r="AC57" i="132"/>
  <c r="Z55" i="89" s="1"/>
  <c r="V57" i="132"/>
  <c r="S57" i="132"/>
  <c r="T57" i="132" s="1"/>
  <c r="AO54" i="74" s="1"/>
  <c r="L57" i="132"/>
  <c r="G57" i="132"/>
  <c r="BO57" i="132"/>
  <c r="BP57" i="132" s="1"/>
  <c r="DZ56" i="132"/>
  <c r="DX56" i="132"/>
  <c r="AG56" i="132" s="1"/>
  <c r="DW56" i="132"/>
  <c r="CZ56" i="132"/>
  <c r="BS56" i="132"/>
  <c r="AZ56" i="132"/>
  <c r="AU56" i="132"/>
  <c r="AQ56" i="132" s="1"/>
  <c r="AH54" i="89" s="1"/>
  <c r="BW56" i="132"/>
  <c r="AO56" i="132" s="1"/>
  <c r="AC56" i="132"/>
  <c r="Z54" i="89" s="1"/>
  <c r="V56" i="132"/>
  <c r="S56" i="132"/>
  <c r="T56" i="132" s="1"/>
  <c r="AO53" i="74" s="1"/>
  <c r="L56" i="132"/>
  <c r="G56" i="132"/>
  <c r="BO56" i="132"/>
  <c r="BP56" i="132" s="1"/>
  <c r="DZ55" i="132"/>
  <c r="DX55" i="132"/>
  <c r="AG55" i="132" s="1"/>
  <c r="DW55" i="132"/>
  <c r="CZ55" i="132"/>
  <c r="BS55" i="132"/>
  <c r="AZ55" i="132"/>
  <c r="AU55" i="132"/>
  <c r="AQ55" i="132" s="1"/>
  <c r="AH53" i="89" s="1"/>
  <c r="BW55" i="132"/>
  <c r="AO55" i="132" s="1"/>
  <c r="AC55" i="132"/>
  <c r="Z53" i="89" s="1"/>
  <c r="V55" i="132"/>
  <c r="S55" i="132"/>
  <c r="T55" i="132" s="1"/>
  <c r="AO52" i="74" s="1"/>
  <c r="L55" i="132"/>
  <c r="G55" i="132"/>
  <c r="BO55" i="132"/>
  <c r="BP55" i="132" s="1"/>
  <c r="DZ54" i="132"/>
  <c r="DX54" i="132"/>
  <c r="AG54" i="132" s="1"/>
  <c r="DW54" i="132"/>
  <c r="CZ54" i="132"/>
  <c r="BS54" i="132"/>
  <c r="AZ54" i="132"/>
  <c r="AU54" i="132"/>
  <c r="AQ54" i="132" s="1"/>
  <c r="AH52" i="89" s="1"/>
  <c r="AC54" i="132"/>
  <c r="Z52" i="89" s="1"/>
  <c r="V54" i="132"/>
  <c r="S54" i="132"/>
  <c r="T54" i="132" s="1"/>
  <c r="AO51" i="74" s="1"/>
  <c r="L54" i="132"/>
  <c r="G54" i="132"/>
  <c r="BO54" i="132"/>
  <c r="BP54" i="132" s="1"/>
  <c r="DZ53" i="132"/>
  <c r="DX53" i="132"/>
  <c r="AG53" i="132" s="1"/>
  <c r="DW53" i="132"/>
  <c r="CZ53" i="132"/>
  <c r="BS53" i="132"/>
  <c r="AZ53" i="132"/>
  <c r="AU53" i="132"/>
  <c r="AQ53" i="132" s="1"/>
  <c r="AH51" i="89" s="1"/>
  <c r="BW53" i="132"/>
  <c r="AO53" i="132" s="1"/>
  <c r="AC53" i="132"/>
  <c r="Z51" i="89" s="1"/>
  <c r="V53" i="132"/>
  <c r="S53" i="132"/>
  <c r="T53" i="132" s="1"/>
  <c r="AO50" i="74" s="1"/>
  <c r="L53" i="132"/>
  <c r="G53" i="132"/>
  <c r="BO53" i="132"/>
  <c r="BP53" i="132" s="1"/>
  <c r="DZ52" i="132"/>
  <c r="DX52" i="132"/>
  <c r="AG52" i="132" s="1"/>
  <c r="DW52" i="132"/>
  <c r="CZ52" i="132"/>
  <c r="BS52" i="132"/>
  <c r="AZ52" i="132"/>
  <c r="AU52" i="132"/>
  <c r="AQ52" i="132" s="1"/>
  <c r="AH50" i="89" s="1"/>
  <c r="AC52" i="132"/>
  <c r="Z50" i="89" s="1"/>
  <c r="V52" i="132"/>
  <c r="S52" i="132"/>
  <c r="T52" i="132" s="1"/>
  <c r="AO49" i="74" s="1"/>
  <c r="L52" i="132"/>
  <c r="G52" i="132"/>
  <c r="BO52" i="132"/>
  <c r="BP52" i="132" s="1"/>
  <c r="A52" i="132"/>
  <c r="DZ51" i="132"/>
  <c r="DX51" i="132"/>
  <c r="AG51" i="132" s="1"/>
  <c r="DW51" i="132"/>
  <c r="CZ51" i="132"/>
  <c r="BS51" i="132"/>
  <c r="AZ51" i="132"/>
  <c r="AU51" i="132"/>
  <c r="AQ51" i="132" s="1"/>
  <c r="AH49" i="89" s="1"/>
  <c r="BW51" i="132"/>
  <c r="AO51" i="132" s="1"/>
  <c r="AC51" i="132"/>
  <c r="Z49" i="89" s="1"/>
  <c r="V51" i="132"/>
  <c r="S51" i="132"/>
  <c r="T51" i="132" s="1"/>
  <c r="AO48" i="74" s="1"/>
  <c r="L51" i="132"/>
  <c r="G51" i="132"/>
  <c r="BO51" i="132"/>
  <c r="BP51" i="132" s="1"/>
  <c r="DZ50" i="132"/>
  <c r="DX50" i="132"/>
  <c r="AG50" i="132" s="1"/>
  <c r="DW50" i="132"/>
  <c r="CZ50" i="132"/>
  <c r="BS50" i="132"/>
  <c r="AZ50" i="132"/>
  <c r="AU50" i="132"/>
  <c r="AQ50" i="132" s="1"/>
  <c r="AH48" i="89" s="1"/>
  <c r="BW50" i="132"/>
  <c r="AO50" i="132" s="1"/>
  <c r="AC50" i="132"/>
  <c r="Z48" i="89" s="1"/>
  <c r="V50" i="132"/>
  <c r="S50" i="132"/>
  <c r="T50" i="132" s="1"/>
  <c r="AO47" i="74" s="1"/>
  <c r="L50" i="132"/>
  <c r="G50" i="132"/>
  <c r="BO50" i="132"/>
  <c r="BP50" i="132" s="1"/>
  <c r="DZ49" i="132"/>
  <c r="DX49" i="132"/>
  <c r="AG49" i="132" s="1"/>
  <c r="DW49" i="132"/>
  <c r="CZ49" i="132"/>
  <c r="BS49" i="132"/>
  <c r="AZ49" i="132"/>
  <c r="AU49" i="132"/>
  <c r="AQ49" i="132" s="1"/>
  <c r="AH47" i="89" s="1"/>
  <c r="BW49" i="132"/>
  <c r="AO49" i="132" s="1"/>
  <c r="AC49" i="132"/>
  <c r="Z47" i="89" s="1"/>
  <c r="V49" i="132"/>
  <c r="S49" i="132"/>
  <c r="T49" i="132" s="1"/>
  <c r="AO46" i="74" s="1"/>
  <c r="L49" i="132"/>
  <c r="G49" i="132"/>
  <c r="BO49" i="132"/>
  <c r="BP49" i="132" s="1"/>
  <c r="DZ48" i="132"/>
  <c r="DX48" i="132"/>
  <c r="AG48" i="132" s="1"/>
  <c r="DW48" i="132"/>
  <c r="CZ48" i="132"/>
  <c r="BS48" i="132"/>
  <c r="AZ48" i="132"/>
  <c r="AU48" i="132"/>
  <c r="AQ48" i="132" s="1"/>
  <c r="AH46" i="89" s="1"/>
  <c r="BW48" i="132"/>
  <c r="AO48" i="132" s="1"/>
  <c r="AC48" i="132"/>
  <c r="Z46" i="89" s="1"/>
  <c r="V48" i="132"/>
  <c r="S48" i="132"/>
  <c r="T48" i="132" s="1"/>
  <c r="AO45" i="74" s="1"/>
  <c r="L48" i="132"/>
  <c r="G48" i="132"/>
  <c r="BO48" i="132"/>
  <c r="BP48" i="132" s="1"/>
  <c r="DZ47" i="132"/>
  <c r="DX47" i="132"/>
  <c r="AG47" i="132" s="1"/>
  <c r="DW47" i="132"/>
  <c r="CZ47" i="132"/>
  <c r="BS47" i="132"/>
  <c r="AZ47" i="132"/>
  <c r="AU47" i="132"/>
  <c r="AQ47" i="132" s="1"/>
  <c r="AH45" i="89" s="1"/>
  <c r="AC47" i="132"/>
  <c r="Z45" i="89" s="1"/>
  <c r="V47" i="132"/>
  <c r="S47" i="132"/>
  <c r="T47" i="132" s="1"/>
  <c r="AO44" i="74" s="1"/>
  <c r="L47" i="132"/>
  <c r="G47" i="132"/>
  <c r="BO47" i="132"/>
  <c r="BP47" i="132" s="1"/>
  <c r="DZ46" i="132"/>
  <c r="DX46" i="132"/>
  <c r="AG46" i="132" s="1"/>
  <c r="DW46" i="132"/>
  <c r="CZ46" i="132"/>
  <c r="BS46" i="132"/>
  <c r="AZ46" i="132"/>
  <c r="AU46" i="132"/>
  <c r="AQ46" i="132" s="1"/>
  <c r="AH44" i="89" s="1"/>
  <c r="AC46" i="132"/>
  <c r="Z44" i="89" s="1"/>
  <c r="V46" i="132"/>
  <c r="S46" i="132"/>
  <c r="T46" i="132" s="1"/>
  <c r="AO43" i="74" s="1"/>
  <c r="L46" i="132"/>
  <c r="G46" i="132"/>
  <c r="BO46" i="132"/>
  <c r="BP46" i="132" s="1"/>
  <c r="DZ45" i="132"/>
  <c r="DX45" i="132"/>
  <c r="AG45" i="132" s="1"/>
  <c r="DW45" i="132"/>
  <c r="CZ45" i="132"/>
  <c r="BS45" i="132"/>
  <c r="AZ45" i="132"/>
  <c r="AU45" i="132"/>
  <c r="AQ45" i="132" s="1"/>
  <c r="AH43" i="89" s="1"/>
  <c r="BW45" i="132"/>
  <c r="AC45" i="132"/>
  <c r="Z43" i="89" s="1"/>
  <c r="V45" i="132"/>
  <c r="S45" i="132"/>
  <c r="T45" i="132" s="1"/>
  <c r="AO42" i="74" s="1"/>
  <c r="L45" i="132"/>
  <c r="G45" i="132"/>
  <c r="BO45" i="132"/>
  <c r="BP45" i="132" s="1"/>
  <c r="DZ44" i="132"/>
  <c r="DX44" i="132"/>
  <c r="AG44" i="132" s="1"/>
  <c r="DW44" i="132"/>
  <c r="CZ44" i="132"/>
  <c r="BS44" i="132"/>
  <c r="AZ44" i="132"/>
  <c r="AU44" i="132"/>
  <c r="AQ44" i="132" s="1"/>
  <c r="AH42" i="89" s="1"/>
  <c r="AC44" i="132"/>
  <c r="Z42" i="89" s="1"/>
  <c r="V44" i="132"/>
  <c r="S44" i="132"/>
  <c r="T44" i="132" s="1"/>
  <c r="AO41" i="74" s="1"/>
  <c r="L44" i="132"/>
  <c r="G44" i="132"/>
  <c r="BO44" i="132"/>
  <c r="BP44" i="132" s="1"/>
  <c r="DZ43" i="132"/>
  <c r="DX43" i="132"/>
  <c r="AG43" i="132" s="1"/>
  <c r="DW43" i="132"/>
  <c r="CZ43" i="132"/>
  <c r="BS43" i="132"/>
  <c r="AZ43" i="132"/>
  <c r="AU43" i="132"/>
  <c r="AQ43" i="132" s="1"/>
  <c r="AH41" i="89" s="1"/>
  <c r="BW43" i="132"/>
  <c r="AO43" i="132" s="1"/>
  <c r="AC43" i="132"/>
  <c r="Z41" i="89" s="1"/>
  <c r="V43" i="132"/>
  <c r="S43" i="132"/>
  <c r="T43" i="132" s="1"/>
  <c r="AO40" i="74" s="1"/>
  <c r="L43" i="132"/>
  <c r="G43" i="132"/>
  <c r="BO43" i="132"/>
  <c r="BP43" i="132" s="1"/>
  <c r="DZ42" i="132"/>
  <c r="DX42" i="132"/>
  <c r="AG42" i="132" s="1"/>
  <c r="DW42" i="132"/>
  <c r="CZ42" i="132"/>
  <c r="BS42" i="132"/>
  <c r="AZ42" i="132"/>
  <c r="AU42" i="132"/>
  <c r="AQ42" i="132" s="1"/>
  <c r="AH40" i="89" s="1"/>
  <c r="BW42" i="132"/>
  <c r="AO42" i="132" s="1"/>
  <c r="AC42" i="132"/>
  <c r="Z40" i="89" s="1"/>
  <c r="V42" i="132"/>
  <c r="S42" i="132"/>
  <c r="T42" i="132" s="1"/>
  <c r="AO39" i="74" s="1"/>
  <c r="L42" i="132"/>
  <c r="G42" i="132"/>
  <c r="BO42" i="132"/>
  <c r="BP42" i="132" s="1"/>
  <c r="DZ41" i="132"/>
  <c r="DX41" i="132"/>
  <c r="AG41" i="132" s="1"/>
  <c r="DW41" i="132"/>
  <c r="CZ41" i="132"/>
  <c r="BS41" i="132"/>
  <c r="AZ41" i="132"/>
  <c r="AU41" i="132"/>
  <c r="AQ41" i="132" s="1"/>
  <c r="AH39" i="89" s="1"/>
  <c r="BW41" i="132"/>
  <c r="AO41" i="132" s="1"/>
  <c r="AC41" i="132"/>
  <c r="Z39" i="89" s="1"/>
  <c r="V41" i="132"/>
  <c r="S41" i="132"/>
  <c r="T41" i="132" s="1"/>
  <c r="AO38" i="74" s="1"/>
  <c r="L41" i="132"/>
  <c r="G41" i="132"/>
  <c r="BO41" i="132"/>
  <c r="BP41" i="132" s="1"/>
  <c r="DZ40" i="132"/>
  <c r="DX40" i="132"/>
  <c r="AG40" i="132" s="1"/>
  <c r="DW40" i="132"/>
  <c r="CZ40" i="132"/>
  <c r="BS40" i="132"/>
  <c r="AZ40" i="132"/>
  <c r="AU40" i="132"/>
  <c r="AQ40" i="132" s="1"/>
  <c r="AH38" i="89" s="1"/>
  <c r="BW40" i="132"/>
  <c r="AO40" i="132" s="1"/>
  <c r="AC40" i="132"/>
  <c r="Z38" i="89" s="1"/>
  <c r="V40" i="132"/>
  <c r="S40" i="132"/>
  <c r="T40" i="132" s="1"/>
  <c r="AO37" i="74" s="1"/>
  <c r="L40" i="132"/>
  <c r="G40" i="132"/>
  <c r="BO40" i="132"/>
  <c r="BP40" i="132" s="1"/>
  <c r="DX39" i="132"/>
  <c r="DZ39" i="132" s="1"/>
  <c r="DW39" i="132"/>
  <c r="CZ39" i="132"/>
  <c r="BS39" i="132"/>
  <c r="AZ39" i="132"/>
  <c r="AU39" i="132"/>
  <c r="AQ39" i="132" s="1"/>
  <c r="AH37" i="89" s="1"/>
  <c r="AC39" i="132"/>
  <c r="Z37" i="89" s="1"/>
  <c r="V39" i="132"/>
  <c r="S39" i="132"/>
  <c r="T39" i="132" s="1"/>
  <c r="AO36" i="74" s="1"/>
  <c r="L39" i="132"/>
  <c r="G39" i="132"/>
  <c r="BO39" i="132"/>
  <c r="BP39" i="132" s="1"/>
  <c r="DX38" i="132"/>
  <c r="DW38" i="132"/>
  <c r="CZ38" i="132"/>
  <c r="BS38" i="132"/>
  <c r="AZ38" i="132"/>
  <c r="AU38" i="132"/>
  <c r="AQ38" i="132" s="1"/>
  <c r="AH36" i="89" s="1"/>
  <c r="AC38" i="132"/>
  <c r="Z36" i="89" s="1"/>
  <c r="V38" i="132"/>
  <c r="S38" i="132"/>
  <c r="T38" i="132" s="1"/>
  <c r="AO35" i="74" s="1"/>
  <c r="L38" i="132"/>
  <c r="G38" i="132"/>
  <c r="BO38" i="132"/>
  <c r="BP38" i="132" s="1"/>
  <c r="DX37" i="132"/>
  <c r="AG37" i="132" s="1"/>
  <c r="DW37" i="132"/>
  <c r="CZ37" i="132"/>
  <c r="BS37" i="132"/>
  <c r="AZ37" i="132"/>
  <c r="AU37" i="132"/>
  <c r="AQ37" i="132" s="1"/>
  <c r="AH35" i="89" s="1"/>
  <c r="BW37" i="132"/>
  <c r="AC37" i="132"/>
  <c r="Z35" i="89" s="1"/>
  <c r="V37" i="132"/>
  <c r="S37" i="132"/>
  <c r="T37" i="132" s="1"/>
  <c r="AO34" i="74" s="1"/>
  <c r="L37" i="132"/>
  <c r="G37" i="132"/>
  <c r="BO37" i="132"/>
  <c r="BP37" i="132" s="1"/>
  <c r="DX36" i="132"/>
  <c r="DW36" i="132"/>
  <c r="CZ36" i="132"/>
  <c r="BS36" i="132"/>
  <c r="AZ36" i="132"/>
  <c r="AU36" i="132"/>
  <c r="AQ36" i="132" s="1"/>
  <c r="AH34" i="89" s="1"/>
  <c r="BW36" i="132"/>
  <c r="AO36" i="132" s="1"/>
  <c r="C33" i="74" s="1"/>
  <c r="AC36" i="132"/>
  <c r="Z34" i="89" s="1"/>
  <c r="V36" i="132"/>
  <c r="S36" i="132"/>
  <c r="T36" i="132" s="1"/>
  <c r="AO33" i="74" s="1"/>
  <c r="L36" i="132"/>
  <c r="G36" i="132"/>
  <c r="BO36" i="132"/>
  <c r="BP36" i="132" s="1"/>
  <c r="DX35" i="132"/>
  <c r="DZ35" i="132" s="1"/>
  <c r="DW35" i="132"/>
  <c r="CZ35" i="132"/>
  <c r="BS35" i="132"/>
  <c r="AZ35" i="132"/>
  <c r="AU35" i="132"/>
  <c r="AQ35" i="132" s="1"/>
  <c r="AN35" i="132"/>
  <c r="AC35" i="132"/>
  <c r="Z33" i="89" s="1"/>
  <c r="V35" i="132"/>
  <c r="S35" i="132"/>
  <c r="T35" i="132" s="1"/>
  <c r="AO32" i="74" s="1"/>
  <c r="L35" i="132"/>
  <c r="G35" i="132"/>
  <c r="BO35" i="132"/>
  <c r="BP35" i="132" s="1"/>
  <c r="DX34" i="132"/>
  <c r="DW34" i="132"/>
  <c r="CZ34" i="132"/>
  <c r="BS34" i="132"/>
  <c r="AZ34" i="132"/>
  <c r="AU34" i="132"/>
  <c r="AQ34" i="132" s="1"/>
  <c r="AN34" i="132"/>
  <c r="AC34" i="132"/>
  <c r="Z32" i="89" s="1"/>
  <c r="V34" i="132"/>
  <c r="S34" i="132"/>
  <c r="T34" i="132" s="1"/>
  <c r="AO31" i="74" s="1"/>
  <c r="L34" i="132"/>
  <c r="G34" i="132"/>
  <c r="BO34" i="132"/>
  <c r="BP34" i="132" s="1"/>
  <c r="DX33" i="132"/>
  <c r="AG33" i="132" s="1"/>
  <c r="DW33" i="132"/>
  <c r="CZ33" i="132"/>
  <c r="BS33" i="132"/>
  <c r="AZ33" i="132"/>
  <c r="AU33" i="132"/>
  <c r="AQ33" i="132" s="1"/>
  <c r="AN33" i="132"/>
  <c r="AC33" i="132"/>
  <c r="Z31" i="89" s="1"/>
  <c r="V33" i="132"/>
  <c r="S33" i="132"/>
  <c r="T33" i="132" s="1"/>
  <c r="AO30" i="74" s="1"/>
  <c r="L33" i="132"/>
  <c r="G33" i="132"/>
  <c r="BO33" i="132"/>
  <c r="BP33" i="132" s="1"/>
  <c r="DX32" i="132"/>
  <c r="DZ32" i="132" s="1"/>
  <c r="DW32" i="132"/>
  <c r="CZ32" i="132"/>
  <c r="BS32" i="132"/>
  <c r="AZ32" i="132"/>
  <c r="AU32" i="132"/>
  <c r="AQ32" i="132" s="1"/>
  <c r="AN32" i="132"/>
  <c r="AC32" i="132"/>
  <c r="Z30" i="89" s="1"/>
  <c r="V32" i="132"/>
  <c r="S32" i="132"/>
  <c r="T32" i="132" s="1"/>
  <c r="AO29" i="74" s="1"/>
  <c r="L32" i="132"/>
  <c r="G32" i="132"/>
  <c r="BO32" i="132"/>
  <c r="BP32" i="132" s="1"/>
  <c r="DX31" i="132"/>
  <c r="DW31" i="132"/>
  <c r="CZ31" i="132"/>
  <c r="BS31" i="132"/>
  <c r="AZ31" i="132"/>
  <c r="AU31" i="132"/>
  <c r="AQ31" i="132" s="1"/>
  <c r="AN31" i="132"/>
  <c r="AC31" i="132"/>
  <c r="Z29" i="89" s="1"/>
  <c r="V31" i="132"/>
  <c r="S31" i="132"/>
  <c r="T31" i="132" s="1"/>
  <c r="AO28" i="74" s="1"/>
  <c r="L31" i="132"/>
  <c r="G31" i="132"/>
  <c r="BO31" i="132"/>
  <c r="BP31" i="132" s="1"/>
  <c r="DX30" i="132"/>
  <c r="AG30" i="132" s="1"/>
  <c r="DW30" i="132"/>
  <c r="CZ30" i="132"/>
  <c r="BS30" i="132"/>
  <c r="AZ30" i="132"/>
  <c r="AU30" i="132"/>
  <c r="AQ30" i="132" s="1"/>
  <c r="AN30" i="132"/>
  <c r="AC30" i="132"/>
  <c r="Z28" i="89" s="1"/>
  <c r="V30" i="132"/>
  <c r="S30" i="132"/>
  <c r="T30" i="132" s="1"/>
  <c r="AO27" i="74" s="1"/>
  <c r="L30" i="132"/>
  <c r="G30" i="132"/>
  <c r="BO30" i="132"/>
  <c r="BP30" i="132" s="1"/>
  <c r="DX29" i="132"/>
  <c r="AG29" i="132" s="1"/>
  <c r="DW29" i="132"/>
  <c r="CZ29" i="132"/>
  <c r="BS29" i="132"/>
  <c r="AZ29" i="132"/>
  <c r="AU29" i="132"/>
  <c r="AQ29" i="132" s="1"/>
  <c r="AN29" i="132"/>
  <c r="AC29" i="132"/>
  <c r="Z27" i="89" s="1"/>
  <c r="V29" i="132"/>
  <c r="S29" i="132"/>
  <c r="T29" i="132" s="1"/>
  <c r="AO26" i="74" s="1"/>
  <c r="L29" i="132"/>
  <c r="G29" i="132"/>
  <c r="BO29" i="132"/>
  <c r="BP29" i="132" s="1"/>
  <c r="DX28" i="132"/>
  <c r="AG28" i="132" s="1"/>
  <c r="DW28" i="132"/>
  <c r="CZ28" i="132"/>
  <c r="BS28" i="132"/>
  <c r="AZ28" i="132"/>
  <c r="AU28" i="132"/>
  <c r="AQ28" i="132" s="1"/>
  <c r="AN28" i="132"/>
  <c r="AC28" i="132"/>
  <c r="Z26" i="89" s="1"/>
  <c r="V28" i="132"/>
  <c r="S28" i="132"/>
  <c r="T28" i="132" s="1"/>
  <c r="AO25" i="74" s="1"/>
  <c r="L28" i="132"/>
  <c r="G28" i="132"/>
  <c r="BO28" i="132"/>
  <c r="BP28" i="132" s="1"/>
  <c r="DX27" i="132"/>
  <c r="DW27" i="132"/>
  <c r="CZ27" i="132"/>
  <c r="BS27" i="132"/>
  <c r="AZ27" i="132"/>
  <c r="AU27" i="132"/>
  <c r="AQ27" i="132" s="1"/>
  <c r="AN27" i="132"/>
  <c r="AC27" i="132"/>
  <c r="Z25" i="89" s="1"/>
  <c r="V27" i="132"/>
  <c r="S27" i="132"/>
  <c r="T27" i="132" s="1"/>
  <c r="AO24" i="74" s="1"/>
  <c r="L27" i="132"/>
  <c r="G27" i="132"/>
  <c r="BO27" i="132"/>
  <c r="BP27" i="132" s="1"/>
  <c r="DX26" i="132"/>
  <c r="DW26" i="132"/>
  <c r="CZ26" i="132"/>
  <c r="BS26" i="132"/>
  <c r="AZ26" i="132"/>
  <c r="AU26" i="132"/>
  <c r="AQ26" i="132" s="1"/>
  <c r="AN26" i="132"/>
  <c r="AC26" i="132"/>
  <c r="Z24" i="89" s="1"/>
  <c r="V26" i="132"/>
  <c r="S26" i="132"/>
  <c r="T26" i="132" s="1"/>
  <c r="AO23" i="74" s="1"/>
  <c r="L26" i="132"/>
  <c r="G26" i="132"/>
  <c r="BO26" i="132"/>
  <c r="BP26" i="132" s="1"/>
  <c r="DX25" i="132"/>
  <c r="AG25" i="132" s="1"/>
  <c r="DW25" i="132"/>
  <c r="CZ25" i="132"/>
  <c r="BS25" i="132"/>
  <c r="AZ25" i="132"/>
  <c r="AU25" i="132"/>
  <c r="AQ25" i="132" s="1"/>
  <c r="AN25" i="132"/>
  <c r="AC25" i="132"/>
  <c r="Z23" i="89" s="1"/>
  <c r="V25" i="132"/>
  <c r="S25" i="132"/>
  <c r="T25" i="132" s="1"/>
  <c r="AO22" i="74" s="1"/>
  <c r="L25" i="132"/>
  <c r="G25" i="132"/>
  <c r="BO25" i="132"/>
  <c r="BP25" i="132" s="1"/>
  <c r="DX24" i="132"/>
  <c r="DZ24" i="132" s="1"/>
  <c r="DW24" i="132"/>
  <c r="CZ24" i="132"/>
  <c r="BS24" i="132"/>
  <c r="AZ24" i="132"/>
  <c r="AU24" i="132"/>
  <c r="AQ24" i="132" s="1"/>
  <c r="AN24" i="132"/>
  <c r="AC24" i="132"/>
  <c r="Z22" i="89" s="1"/>
  <c r="V24" i="132"/>
  <c r="S24" i="132"/>
  <c r="T24" i="132" s="1"/>
  <c r="AO21" i="74" s="1"/>
  <c r="L24" i="132"/>
  <c r="G24" i="132"/>
  <c r="BO24" i="132"/>
  <c r="BP24" i="132" s="1"/>
  <c r="DX23" i="132"/>
  <c r="DZ23" i="132" s="1"/>
  <c r="DW23" i="132"/>
  <c r="CZ23" i="132"/>
  <c r="AZ23" i="132"/>
  <c r="AU23" i="132"/>
  <c r="AQ23" i="132" s="1"/>
  <c r="AN23" i="132"/>
  <c r="AC23" i="132"/>
  <c r="Z21" i="89" s="1"/>
  <c r="V23" i="132"/>
  <c r="S23" i="132"/>
  <c r="T23" i="132" s="1"/>
  <c r="AO20" i="74" s="1"/>
  <c r="L23" i="132"/>
  <c r="G23" i="132"/>
  <c r="BO23" i="132"/>
  <c r="BP23" i="132" s="1"/>
  <c r="DX22" i="132"/>
  <c r="AG22" i="132" s="1"/>
  <c r="DW22" i="132"/>
  <c r="CZ22" i="132"/>
  <c r="AZ22" i="132"/>
  <c r="AU22" i="132"/>
  <c r="AQ22" i="132" s="1"/>
  <c r="AN22" i="132"/>
  <c r="AC22" i="132"/>
  <c r="Z20" i="89" s="1"/>
  <c r="V22" i="132"/>
  <c r="S22" i="132"/>
  <c r="T22" i="132" s="1"/>
  <c r="AO19" i="74" s="1"/>
  <c r="G22" i="132"/>
  <c r="BO22" i="132"/>
  <c r="BP22" i="132" s="1"/>
  <c r="DX21" i="132"/>
  <c r="AG21" i="132" s="1"/>
  <c r="DW21" i="132"/>
  <c r="CZ21" i="132"/>
  <c r="AZ21" i="132"/>
  <c r="AU21" i="132"/>
  <c r="AQ21" i="132" s="1"/>
  <c r="AN21" i="132"/>
  <c r="AC21" i="132"/>
  <c r="Z19" i="89" s="1"/>
  <c r="V21" i="132"/>
  <c r="S21" i="132"/>
  <c r="T21" i="132" s="1"/>
  <c r="AO18" i="74" s="1"/>
  <c r="L21" i="132"/>
  <c r="G21" i="132"/>
  <c r="BO21" i="132"/>
  <c r="BP21" i="132" s="1"/>
  <c r="DX20" i="132"/>
  <c r="AG20" i="132" s="1"/>
  <c r="DW20" i="132"/>
  <c r="CZ20" i="132"/>
  <c r="AZ20" i="132"/>
  <c r="AU20" i="132"/>
  <c r="AQ20" i="132" s="1"/>
  <c r="AN20" i="132"/>
  <c r="AC20" i="132"/>
  <c r="Z18" i="89" s="1"/>
  <c r="V20" i="132"/>
  <c r="S20" i="132"/>
  <c r="T20" i="132" s="1"/>
  <c r="AO17" i="74" s="1"/>
  <c r="L20" i="132"/>
  <c r="G20" i="132"/>
  <c r="BO20" i="132"/>
  <c r="BP20" i="132" s="1"/>
  <c r="DX19" i="132"/>
  <c r="DZ19" i="132" s="1"/>
  <c r="DW19" i="132"/>
  <c r="CZ19" i="132"/>
  <c r="AZ19" i="132"/>
  <c r="AU19" i="132"/>
  <c r="AQ19" i="132" s="1"/>
  <c r="AN19" i="132"/>
  <c r="AC19" i="132"/>
  <c r="Z17" i="89" s="1"/>
  <c r="S19" i="132"/>
  <c r="T19" i="132" s="1"/>
  <c r="AO16" i="74" s="1"/>
  <c r="L19" i="132"/>
  <c r="G19" i="132"/>
  <c r="BO19" i="132"/>
  <c r="BP19" i="132" s="1"/>
  <c r="DX18" i="132"/>
  <c r="DW18" i="132"/>
  <c r="CZ18" i="132"/>
  <c r="AZ18" i="132"/>
  <c r="AU18" i="132"/>
  <c r="AQ18" i="132" s="1"/>
  <c r="AN18" i="132"/>
  <c r="AC18" i="132"/>
  <c r="Z16" i="89" s="1"/>
  <c r="S18" i="132"/>
  <c r="T18" i="132" s="1"/>
  <c r="AO15" i="74" s="1"/>
  <c r="L18" i="132"/>
  <c r="G18" i="132"/>
  <c r="BO18" i="132"/>
  <c r="BP18" i="132" s="1"/>
  <c r="DW17" i="132"/>
  <c r="CZ17" i="132"/>
  <c r="AZ17" i="132"/>
  <c r="AU17" i="132"/>
  <c r="AQ17" i="132" s="1"/>
  <c r="AN17" i="132"/>
  <c r="AC17" i="132"/>
  <c r="Z15" i="89" s="1"/>
  <c r="S17" i="132"/>
  <c r="T17" i="132" s="1"/>
  <c r="AO14" i="74" s="1"/>
  <c r="L17" i="132"/>
  <c r="G17" i="132"/>
  <c r="BO17" i="132"/>
  <c r="BP17" i="132" s="1"/>
  <c r="DX16" i="132"/>
  <c r="AG16" i="132" s="1"/>
  <c r="DW16" i="132"/>
  <c r="CZ16" i="132"/>
  <c r="AZ16" i="132"/>
  <c r="AU16" i="132"/>
  <c r="AQ16" i="132" s="1"/>
  <c r="AN16" i="132"/>
  <c r="AC16" i="132"/>
  <c r="Z14" i="89" s="1"/>
  <c r="S16" i="132"/>
  <c r="T16" i="132" s="1"/>
  <c r="AO13" i="74" s="1"/>
  <c r="L16" i="132"/>
  <c r="G16" i="132"/>
  <c r="BO16" i="132"/>
  <c r="BP16" i="132" s="1"/>
  <c r="DX15" i="132"/>
  <c r="AG15" i="132" s="1"/>
  <c r="DW15" i="132"/>
  <c r="CZ15" i="132"/>
  <c r="AZ15" i="132"/>
  <c r="AU15" i="132"/>
  <c r="AQ15" i="132" s="1"/>
  <c r="AN15" i="132"/>
  <c r="AC15" i="132"/>
  <c r="Z13" i="89" s="1"/>
  <c r="S15" i="132"/>
  <c r="T15" i="132" s="1"/>
  <c r="AO12" i="74" s="1"/>
  <c r="L15" i="132"/>
  <c r="G15" i="132"/>
  <c r="BO15" i="132"/>
  <c r="BP15" i="132" s="1"/>
  <c r="CZ14" i="132"/>
  <c r="AZ14" i="132"/>
  <c r="G14" i="132"/>
  <c r="BT14" i="132" s="1"/>
  <c r="DW13" i="132"/>
  <c r="CZ13" i="132"/>
  <c r="AZ13" i="132"/>
  <c r="AU13" i="132"/>
  <c r="AN13" i="132"/>
  <c r="AC13" i="132"/>
  <c r="Z11" i="89" s="1"/>
  <c r="S13" i="132"/>
  <c r="T13" i="132" s="1"/>
  <c r="AO10" i="74" s="1"/>
  <c r="L13" i="132"/>
  <c r="G13" i="132"/>
  <c r="BO13" i="132"/>
  <c r="BP13" i="132" s="1"/>
  <c r="CZ12" i="132"/>
  <c r="AZ12" i="132"/>
  <c r="G12" i="132"/>
  <c r="BT12" i="132" s="1"/>
  <c r="DW11" i="132"/>
  <c r="CZ11" i="132"/>
  <c r="AZ11" i="132"/>
  <c r="AU11" i="132"/>
  <c r="AN11" i="132"/>
  <c r="AC11" i="132"/>
  <c r="Z9" i="89" s="1"/>
  <c r="S11" i="132"/>
  <c r="T11" i="132" s="1"/>
  <c r="AO8" i="74" s="1"/>
  <c r="L11" i="132"/>
  <c r="G11" i="132"/>
  <c r="BO11" i="132"/>
  <c r="BP11" i="132" s="1"/>
  <c r="CZ10" i="132"/>
  <c r="AZ10" i="132"/>
  <c r="G10" i="132"/>
  <c r="BT10" i="132" s="1"/>
  <c r="AG9" i="132"/>
  <c r="AZ9" i="132"/>
  <c r="AN9" i="132"/>
  <c r="AC9" i="132"/>
  <c r="Z7" i="89" s="1"/>
  <c r="S9" i="132"/>
  <c r="T9" i="132" s="1"/>
  <c r="AO6" i="74" s="1"/>
  <c r="L9" i="132"/>
  <c r="AM6" i="74" s="1"/>
  <c r="G9" i="132"/>
  <c r="BO9" i="132"/>
  <c r="BP9" i="132" s="1"/>
  <c r="AH13" i="89" l="1"/>
  <c r="S24" i="134"/>
  <c r="AH22" i="89"/>
  <c r="S20" i="134"/>
  <c r="AH18" i="89"/>
  <c r="AM24" i="74"/>
  <c r="S31" i="134"/>
  <c r="AH29" i="89"/>
  <c r="AM32" i="74"/>
  <c r="AM42" i="74"/>
  <c r="AM43" i="74"/>
  <c r="AM10" i="74"/>
  <c r="AM13" i="74"/>
  <c r="S17" i="134"/>
  <c r="AH15" i="89"/>
  <c r="S23" i="134"/>
  <c r="AH21" i="89"/>
  <c r="AM23" i="74"/>
  <c r="S30" i="134"/>
  <c r="AH28" i="89"/>
  <c r="AM31" i="74"/>
  <c r="AM37" i="74"/>
  <c r="AM38" i="74"/>
  <c r="AM39" i="74"/>
  <c r="AM40" i="74"/>
  <c r="AM41" i="74"/>
  <c r="AM49" i="74"/>
  <c r="AM15" i="74"/>
  <c r="S19" i="134"/>
  <c r="AH17" i="89"/>
  <c r="AM18" i="74"/>
  <c r="AM22" i="74"/>
  <c r="S29" i="134"/>
  <c r="AH27" i="89"/>
  <c r="AM30" i="74"/>
  <c r="AM60" i="74"/>
  <c r="AM21" i="74"/>
  <c r="S28" i="134"/>
  <c r="AH26" i="89"/>
  <c r="AM29" i="74"/>
  <c r="AM36" i="74"/>
  <c r="AM59" i="74"/>
  <c r="AM25" i="74"/>
  <c r="S32" i="134"/>
  <c r="AH30" i="89"/>
  <c r="AM12" i="74"/>
  <c r="S16" i="134"/>
  <c r="AH14" i="89"/>
  <c r="AM17" i="74"/>
  <c r="S27" i="134"/>
  <c r="AH25" i="89"/>
  <c r="AM28" i="74"/>
  <c r="S35" i="134"/>
  <c r="AH33" i="89"/>
  <c r="AM56" i="74"/>
  <c r="AM58" i="74"/>
  <c r="AM16" i="74"/>
  <c r="S18" i="134"/>
  <c r="AH16" i="89"/>
  <c r="AM20" i="74"/>
  <c r="S26" i="134"/>
  <c r="AH24" i="89"/>
  <c r="AM27" i="74"/>
  <c r="S34" i="134"/>
  <c r="AH32" i="89"/>
  <c r="AM35" i="74"/>
  <c r="AM52" i="74"/>
  <c r="AM53" i="74"/>
  <c r="AM54" i="74"/>
  <c r="AM55" i="74"/>
  <c r="AM57" i="74"/>
  <c r="AM33" i="74"/>
  <c r="AM44" i="74"/>
  <c r="S22" i="134"/>
  <c r="AH20" i="89"/>
  <c r="AM8" i="74"/>
  <c r="AM14" i="74"/>
  <c r="S21" i="134"/>
  <c r="AH19" i="89"/>
  <c r="S25" i="134"/>
  <c r="AH23" i="89"/>
  <c r="AM26" i="74"/>
  <c r="S33" i="134"/>
  <c r="AH31" i="89"/>
  <c r="AM34" i="74"/>
  <c r="AM45" i="74"/>
  <c r="AM46" i="74"/>
  <c r="AM47" i="74"/>
  <c r="AM48" i="74"/>
  <c r="AM50" i="74"/>
  <c r="AM51" i="74"/>
  <c r="S11" i="134"/>
  <c r="B36" i="75"/>
  <c r="S15" i="134"/>
  <c r="B40" i="75"/>
  <c r="S9" i="134"/>
  <c r="B34" i="75"/>
  <c r="S13" i="134"/>
  <c r="B38" i="75"/>
  <c r="J11" i="134"/>
  <c r="J19" i="134"/>
  <c r="J56" i="134"/>
  <c r="J57" i="134"/>
  <c r="J29" i="134"/>
  <c r="J52" i="134"/>
  <c r="J36" i="134"/>
  <c r="J46" i="134"/>
  <c r="J13" i="134"/>
  <c r="J18" i="134"/>
  <c r="J27" i="134"/>
  <c r="J35" i="134"/>
  <c r="J44" i="134"/>
  <c r="J45" i="134"/>
  <c r="J55" i="134"/>
  <c r="J47" i="134"/>
  <c r="J50" i="134"/>
  <c r="J28" i="134"/>
  <c r="J64" i="134"/>
  <c r="J21" i="134"/>
  <c r="J26" i="134"/>
  <c r="J34" i="134"/>
  <c r="J40" i="134"/>
  <c r="J41" i="134"/>
  <c r="J42" i="134"/>
  <c r="J43" i="134"/>
  <c r="J37" i="134"/>
  <c r="J48" i="134"/>
  <c r="J51" i="134"/>
  <c r="J15" i="134"/>
  <c r="J25" i="134"/>
  <c r="J33" i="134"/>
  <c r="J20" i="134"/>
  <c r="J24" i="134"/>
  <c r="J32" i="134"/>
  <c r="J61" i="134"/>
  <c r="J30" i="134"/>
  <c r="J54" i="134"/>
  <c r="J22" i="134"/>
  <c r="J49" i="134"/>
  <c r="J53" i="134"/>
  <c r="J16" i="134"/>
  <c r="J39" i="134"/>
  <c r="J62" i="134"/>
  <c r="J63" i="134"/>
  <c r="J17" i="134"/>
  <c r="J23" i="134"/>
  <c r="J31" i="134"/>
  <c r="J38" i="134"/>
  <c r="J58" i="134"/>
  <c r="J59" i="134"/>
  <c r="J60" i="134"/>
  <c r="AM19" i="74"/>
  <c r="A61" i="132"/>
  <c r="A53" i="132"/>
  <c r="BT39" i="132"/>
  <c r="BA36" i="74"/>
  <c r="BT62" i="132"/>
  <c r="BA59" i="74"/>
  <c r="BT9" i="132"/>
  <c r="BA6" i="74"/>
  <c r="BB6" i="74" s="1"/>
  <c r="BT31" i="132"/>
  <c r="BA28" i="74"/>
  <c r="BB28" i="74" s="1"/>
  <c r="BT59" i="132"/>
  <c r="BA56" i="74"/>
  <c r="BT61" i="132"/>
  <c r="BA58" i="74"/>
  <c r="BT11" i="132"/>
  <c r="BA8" i="74"/>
  <c r="BT17" i="132"/>
  <c r="BA14" i="74"/>
  <c r="BB14" i="74" s="1"/>
  <c r="BT23" i="132"/>
  <c r="BA20" i="74"/>
  <c r="BB20" i="74" s="1"/>
  <c r="BT30" i="132"/>
  <c r="BA27" i="74"/>
  <c r="BB27" i="74" s="1"/>
  <c r="BT38" i="132"/>
  <c r="BA35" i="74"/>
  <c r="BT55" i="132"/>
  <c r="BA52" i="74"/>
  <c r="BT56" i="132"/>
  <c r="BA53" i="74"/>
  <c r="BT57" i="132"/>
  <c r="BA54" i="74"/>
  <c r="BT58" i="132"/>
  <c r="BA55" i="74"/>
  <c r="BT60" i="132"/>
  <c r="BA57" i="74"/>
  <c r="BT32" i="132"/>
  <c r="BA29" i="74"/>
  <c r="BB29" i="74" s="1"/>
  <c r="BT49" i="132"/>
  <c r="BA46" i="74"/>
  <c r="BT28" i="132"/>
  <c r="BA25" i="74"/>
  <c r="BB25" i="74" s="1"/>
  <c r="BT52" i="132"/>
  <c r="BA49" i="74"/>
  <c r="BT13" i="132"/>
  <c r="BA10" i="74"/>
  <c r="BB10" i="74" s="1"/>
  <c r="BT16" i="132"/>
  <c r="BA13" i="74"/>
  <c r="BB13" i="74" s="1"/>
  <c r="BT27" i="132"/>
  <c r="BA24" i="74"/>
  <c r="BB24" i="74" s="1"/>
  <c r="BT35" i="132"/>
  <c r="BA32" i="74"/>
  <c r="BT45" i="132"/>
  <c r="BA42" i="74"/>
  <c r="BT46" i="132"/>
  <c r="BA43" i="74"/>
  <c r="BT48" i="132"/>
  <c r="BA45" i="74"/>
  <c r="BT51" i="132"/>
  <c r="BA48" i="74"/>
  <c r="BT53" i="132"/>
  <c r="BA50" i="74"/>
  <c r="BT36" i="132"/>
  <c r="BA33" i="74"/>
  <c r="BT47" i="132"/>
  <c r="BA44" i="74"/>
  <c r="BT18" i="132"/>
  <c r="BA15" i="74"/>
  <c r="BB15" i="74" s="1"/>
  <c r="BT21" i="132"/>
  <c r="BA18" i="74"/>
  <c r="BB18" i="74" s="1"/>
  <c r="BT34" i="132"/>
  <c r="BA31" i="74"/>
  <c r="BB31" i="74" s="1"/>
  <c r="BT40" i="132"/>
  <c r="BA37" i="74"/>
  <c r="BT41" i="132"/>
  <c r="BA38" i="74"/>
  <c r="BT42" i="132"/>
  <c r="BA39" i="74"/>
  <c r="BT43" i="132"/>
  <c r="BA40" i="74"/>
  <c r="BT44" i="132"/>
  <c r="BA41" i="74"/>
  <c r="BT64" i="132"/>
  <c r="BA61" i="74"/>
  <c r="BT15" i="132"/>
  <c r="BA12" i="74"/>
  <c r="BB12" i="74" s="1"/>
  <c r="BT20" i="132"/>
  <c r="BA17" i="74"/>
  <c r="BB17" i="74" s="1"/>
  <c r="BT24" i="132"/>
  <c r="BA21" i="74"/>
  <c r="BB21" i="74" s="1"/>
  <c r="BT19" i="132"/>
  <c r="BA16" i="74"/>
  <c r="BB16" i="74" s="1"/>
  <c r="BT29" i="132"/>
  <c r="BA26" i="74"/>
  <c r="BB26" i="74" s="1"/>
  <c r="BT37" i="132"/>
  <c r="BA34" i="74"/>
  <c r="BT50" i="132"/>
  <c r="BA47" i="74"/>
  <c r="BT54" i="132"/>
  <c r="BA51" i="74"/>
  <c r="BT22" i="132"/>
  <c r="BA19" i="74"/>
  <c r="BB19" i="74" s="1"/>
  <c r="BT26" i="132"/>
  <c r="BA23" i="74"/>
  <c r="BB23" i="74" s="1"/>
  <c r="BT25" i="132"/>
  <c r="BA22" i="74"/>
  <c r="BB22" i="74" s="1"/>
  <c r="BT33" i="132"/>
  <c r="BA30" i="74"/>
  <c r="BB30" i="74" s="1"/>
  <c r="BT63" i="132"/>
  <c r="BA60" i="74"/>
  <c r="DX11" i="132"/>
  <c r="DZ11" i="132" s="1"/>
  <c r="DX13" i="132"/>
  <c r="AG13" i="132" s="1"/>
  <c r="D6" i="74"/>
  <c r="BW9" i="132"/>
  <c r="AO9" i="132" s="1"/>
  <c r="C6" i="74" s="1"/>
  <c r="BW16" i="132"/>
  <c r="AO16" i="132" s="1"/>
  <c r="C13" i="74" s="1"/>
  <c r="D13" i="74"/>
  <c r="BW20" i="132"/>
  <c r="AO20" i="132" s="1"/>
  <c r="C17" i="74" s="1"/>
  <c r="D17" i="74"/>
  <c r="BW19" i="132"/>
  <c r="AO19" i="132" s="1"/>
  <c r="C16" i="74" s="1"/>
  <c r="D16" i="74"/>
  <c r="BW15" i="132"/>
  <c r="AO15" i="132" s="1"/>
  <c r="C12" i="74" s="1"/>
  <c r="D12" i="74"/>
  <c r="BW11" i="132"/>
  <c r="AO11" i="132" s="1"/>
  <c r="C8" i="74" s="1"/>
  <c r="D8" i="74"/>
  <c r="K105" i="121" s="1"/>
  <c r="BW26" i="132"/>
  <c r="AO26" i="132" s="1"/>
  <c r="C23" i="74" s="1"/>
  <c r="D23" i="74"/>
  <c r="BW29" i="132"/>
  <c r="AO29" i="132" s="1"/>
  <c r="C26" i="74" s="1"/>
  <c r="D26" i="74"/>
  <c r="BW31" i="132"/>
  <c r="AO31" i="132" s="1"/>
  <c r="C28" i="74" s="1"/>
  <c r="D28" i="74"/>
  <c r="BW33" i="132"/>
  <c r="AO33" i="132" s="1"/>
  <c r="C30" i="74" s="1"/>
  <c r="D30" i="74"/>
  <c r="BW23" i="132"/>
  <c r="AO23" i="132" s="1"/>
  <c r="C20" i="74" s="1"/>
  <c r="D20" i="74"/>
  <c r="BW17" i="132"/>
  <c r="AO17" i="132" s="1"/>
  <c r="C14" i="74" s="1"/>
  <c r="D14" i="74"/>
  <c r="BW22" i="132"/>
  <c r="AO22" i="132" s="1"/>
  <c r="C19" i="74" s="1"/>
  <c r="D19" i="74"/>
  <c r="BW18" i="132"/>
  <c r="AO18" i="132" s="1"/>
  <c r="C15" i="74" s="1"/>
  <c r="D15" i="74"/>
  <c r="BW24" i="132"/>
  <c r="AO24" i="132" s="1"/>
  <c r="C21" i="74" s="1"/>
  <c r="D21" i="74"/>
  <c r="BW25" i="132"/>
  <c r="AO25" i="132" s="1"/>
  <c r="C22" i="74" s="1"/>
  <c r="D22" i="74"/>
  <c r="BW27" i="132"/>
  <c r="AO27" i="132" s="1"/>
  <c r="C24" i="74" s="1"/>
  <c r="D24" i="74"/>
  <c r="BW28" i="132"/>
  <c r="AO28" i="132" s="1"/>
  <c r="C25" i="74" s="1"/>
  <c r="D25" i="74"/>
  <c r="BW30" i="132"/>
  <c r="AO30" i="132" s="1"/>
  <c r="C27" i="74" s="1"/>
  <c r="D27" i="74"/>
  <c r="BW32" i="132"/>
  <c r="AO32" i="132" s="1"/>
  <c r="C29" i="74" s="1"/>
  <c r="D29" i="74"/>
  <c r="BW34" i="132"/>
  <c r="AO34" i="132" s="1"/>
  <c r="C31" i="74" s="1"/>
  <c r="D31" i="74"/>
  <c r="BW35" i="132"/>
  <c r="AO35" i="132" s="1"/>
  <c r="C32" i="74" s="1"/>
  <c r="D32" i="74"/>
  <c r="K129" i="121" s="1"/>
  <c r="BW13" i="132"/>
  <c r="AO13" i="132" s="1"/>
  <c r="C10" i="74" s="1"/>
  <c r="D10" i="74"/>
  <c r="BW21" i="132"/>
  <c r="AO21" i="132" s="1"/>
  <c r="C18" i="74" s="1"/>
  <c r="D18" i="74"/>
  <c r="BX62" i="132"/>
  <c r="AR62" i="132" s="1"/>
  <c r="BX27" i="132"/>
  <c r="AR27" i="132" s="1"/>
  <c r="BX54" i="132"/>
  <c r="AR54" i="132" s="1"/>
  <c r="BX48" i="132"/>
  <c r="AR48" i="132" s="1"/>
  <c r="AW48" i="132" s="1"/>
  <c r="BY48" i="132" s="1"/>
  <c r="AV48" i="132" s="1"/>
  <c r="BX59" i="132"/>
  <c r="AR59" i="132" s="1"/>
  <c r="AW59" i="132" s="1"/>
  <c r="BY59" i="132" s="1"/>
  <c r="AV59" i="132" s="1"/>
  <c r="AH48" i="132"/>
  <c r="AP45" i="74" s="1"/>
  <c r="BX25" i="132"/>
  <c r="AR25" i="132" s="1"/>
  <c r="BX51" i="132"/>
  <c r="AR51" i="132" s="1"/>
  <c r="AW51" i="132" s="1"/>
  <c r="BY51" i="132" s="1"/>
  <c r="AV51" i="132" s="1"/>
  <c r="AH61" i="132"/>
  <c r="AP58" i="74" s="1"/>
  <c r="BX15" i="132"/>
  <c r="AR15" i="132" s="1"/>
  <c r="BX17" i="132"/>
  <c r="AR17" i="132" s="1"/>
  <c r="BX45" i="132"/>
  <c r="AR45" i="132" s="1"/>
  <c r="BX42" i="132"/>
  <c r="AR42" i="132" s="1"/>
  <c r="AW42" i="132" s="1"/>
  <c r="BY42" i="132" s="1"/>
  <c r="AV42" i="132" s="1"/>
  <c r="BX20" i="132"/>
  <c r="AR20" i="132" s="1"/>
  <c r="AH46" i="132"/>
  <c r="AP43" i="74" s="1"/>
  <c r="BX57" i="132"/>
  <c r="AR57" i="132" s="1"/>
  <c r="BX60" i="132"/>
  <c r="AR60" i="132" s="1"/>
  <c r="BX33" i="132"/>
  <c r="AR33" i="132" s="1"/>
  <c r="BX37" i="132"/>
  <c r="AR37" i="132" s="1"/>
  <c r="BX39" i="132"/>
  <c r="AR39" i="132" s="1"/>
  <c r="BX44" i="132"/>
  <c r="AR44" i="132" s="1"/>
  <c r="BX50" i="132"/>
  <c r="AR50" i="132" s="1"/>
  <c r="AW50" i="132" s="1"/>
  <c r="BY50" i="132" s="1"/>
  <c r="AV50" i="132" s="1"/>
  <c r="BX56" i="132"/>
  <c r="AR56" i="132" s="1"/>
  <c r="AW56" i="132" s="1"/>
  <c r="BY56" i="132" s="1"/>
  <c r="AV56" i="132" s="1"/>
  <c r="BX41" i="132"/>
  <c r="AR41" i="132" s="1"/>
  <c r="AW41" i="132" s="1"/>
  <c r="BY41" i="132" s="1"/>
  <c r="AV41" i="132" s="1"/>
  <c r="BX47" i="132"/>
  <c r="AR47" i="132" s="1"/>
  <c r="BX53" i="132"/>
  <c r="AR53" i="132" s="1"/>
  <c r="AW53" i="132" s="1"/>
  <c r="BY53" i="132" s="1"/>
  <c r="AV53" i="132" s="1"/>
  <c r="BX58" i="132"/>
  <c r="AR58" i="132" s="1"/>
  <c r="BX61" i="132"/>
  <c r="AR61" i="132" s="1"/>
  <c r="BX19" i="132"/>
  <c r="AR19" i="132" s="1"/>
  <c r="BX24" i="132"/>
  <c r="AR24" i="132" s="1"/>
  <c r="BX43" i="132"/>
  <c r="AR43" i="132" s="1"/>
  <c r="AW43" i="132" s="1"/>
  <c r="BY43" i="132" s="1"/>
  <c r="AV43" i="132" s="1"/>
  <c r="BX49" i="132"/>
  <c r="AR49" i="132" s="1"/>
  <c r="AW49" i="132" s="1"/>
  <c r="BY49" i="132" s="1"/>
  <c r="AV49" i="132" s="1"/>
  <c r="BX55" i="132"/>
  <c r="AR55" i="132" s="1"/>
  <c r="AW55" i="132" s="1"/>
  <c r="BY55" i="132" s="1"/>
  <c r="AV55" i="132" s="1"/>
  <c r="BX36" i="132"/>
  <c r="AR36" i="132" s="1"/>
  <c r="AW36" i="132" s="1"/>
  <c r="BY36" i="132" s="1"/>
  <c r="AV36" i="132" s="1"/>
  <c r="BX38" i="132"/>
  <c r="AR38" i="132" s="1"/>
  <c r="BX40" i="132"/>
  <c r="AR40" i="132" s="1"/>
  <c r="AW40" i="132" s="1"/>
  <c r="BY40" i="132" s="1"/>
  <c r="AV40" i="132" s="1"/>
  <c r="BX46" i="132"/>
  <c r="AR46" i="132" s="1"/>
  <c r="BX52" i="132"/>
  <c r="AR52" i="132" s="1"/>
  <c r="BX63" i="132"/>
  <c r="AR63" i="132" s="1"/>
  <c r="AW63" i="132" s="1"/>
  <c r="BY63" i="132" s="1"/>
  <c r="AV63" i="132" s="1"/>
  <c r="BX35" i="132"/>
  <c r="AR35" i="132" s="1"/>
  <c r="L15" i="133"/>
  <c r="A11" i="133"/>
  <c r="AO37" i="132"/>
  <c r="C34" i="74" s="1"/>
  <c r="BX22" i="132"/>
  <c r="AR22" i="132" s="1"/>
  <c r="BX28" i="132"/>
  <c r="AR28" i="132" s="1"/>
  <c r="BW52" i="132"/>
  <c r="AO52" i="132" s="1"/>
  <c r="AO57" i="132"/>
  <c r="BW61" i="132"/>
  <c r="AO61" i="132" s="1"/>
  <c r="BW62" i="132"/>
  <c r="AO62" i="132" s="1"/>
  <c r="BX21" i="132"/>
  <c r="AR21" i="132" s="1"/>
  <c r="BX26" i="132"/>
  <c r="AR26" i="132" s="1"/>
  <c r="BX18" i="132"/>
  <c r="AR18" i="132" s="1"/>
  <c r="BW54" i="132"/>
  <c r="AO54" i="132" s="1"/>
  <c r="BW58" i="132"/>
  <c r="AO58" i="132" s="1"/>
  <c r="BW60" i="132"/>
  <c r="AO60" i="132" s="1"/>
  <c r="BX34" i="132"/>
  <c r="AR34" i="132" s="1"/>
  <c r="BX16" i="132"/>
  <c r="BX29" i="132"/>
  <c r="AR29" i="132" s="1"/>
  <c r="BW44" i="132"/>
  <c r="AO44" i="132" s="1"/>
  <c r="BX32" i="132"/>
  <c r="AR32" i="132" s="1"/>
  <c r="BW39" i="132"/>
  <c r="AO39" i="132" s="1"/>
  <c r="C36" i="74" s="1"/>
  <c r="AO45" i="132"/>
  <c r="BX23" i="132"/>
  <c r="AR23" i="132" s="1"/>
  <c r="BX30" i="132"/>
  <c r="AR30" i="132" s="1"/>
  <c r="BX31" i="132"/>
  <c r="AR31" i="132" s="1"/>
  <c r="BW38" i="132"/>
  <c r="AO38" i="132" s="1"/>
  <c r="C35" i="74" s="1"/>
  <c r="BW46" i="132"/>
  <c r="AO46" i="132" s="1"/>
  <c r="BW47" i="132"/>
  <c r="AO47" i="132" s="1"/>
  <c r="AH55" i="132"/>
  <c r="AP52" i="74" s="1"/>
  <c r="AH59" i="132"/>
  <c r="AP56" i="74" s="1"/>
  <c r="AH44" i="132"/>
  <c r="AP41" i="74" s="1"/>
  <c r="AO64" i="132"/>
  <c r="L64" i="132"/>
  <c r="T64" i="132"/>
  <c r="AO61" i="74" s="1"/>
  <c r="DZ37" i="132"/>
  <c r="AH37" i="132" s="1"/>
  <c r="AP34" i="74" s="1"/>
  <c r="AG32" i="132"/>
  <c r="AG19" i="132"/>
  <c r="AH19" i="132" s="1"/>
  <c r="AP16" i="74" s="1"/>
  <c r="DZ63" i="132"/>
  <c r="AH63" i="132" s="1"/>
  <c r="AP60" i="74" s="1"/>
  <c r="AG24" i="132"/>
  <c r="AG35" i="132"/>
  <c r="AH43" i="132"/>
  <c r="AP40" i="74" s="1"/>
  <c r="AH62" i="132"/>
  <c r="AP59" i="74" s="1"/>
  <c r="DZ25" i="132"/>
  <c r="AH25" i="132" s="1"/>
  <c r="AP22" i="74" s="1"/>
  <c r="DZ33" i="132"/>
  <c r="AH33" i="132" s="1"/>
  <c r="AP30" i="74" s="1"/>
  <c r="DX17" i="132"/>
  <c r="AG17" i="132" s="1"/>
  <c r="AH57" i="132"/>
  <c r="AP54" i="74" s="1"/>
  <c r="AH45" i="132"/>
  <c r="AP42" i="74" s="1"/>
  <c r="DZ64" i="132"/>
  <c r="AG23" i="132"/>
  <c r="DZ16" i="132"/>
  <c r="DZ28" i="132"/>
  <c r="AH28" i="132" s="1"/>
  <c r="AP25" i="74" s="1"/>
  <c r="AG39" i="132"/>
  <c r="AH39" i="132" s="1"/>
  <c r="AP36" i="74" s="1"/>
  <c r="AH53" i="132"/>
  <c r="AP50" i="74" s="1"/>
  <c r="AG27" i="132"/>
  <c r="DZ27" i="132"/>
  <c r="DZ22" i="132"/>
  <c r="AH22" i="132" s="1"/>
  <c r="AP19" i="74" s="1"/>
  <c r="DZ15" i="132"/>
  <c r="AH15" i="132" s="1"/>
  <c r="AP12" i="74" s="1"/>
  <c r="AH50" i="132"/>
  <c r="AP47" i="74" s="1"/>
  <c r="AH9" i="132"/>
  <c r="AP6" i="74" s="1"/>
  <c r="DZ21" i="132"/>
  <c r="AH21" i="132" s="1"/>
  <c r="AP18" i="74" s="1"/>
  <c r="DZ31" i="132"/>
  <c r="AG31" i="132"/>
  <c r="DZ20" i="132"/>
  <c r="AH20" i="132" s="1"/>
  <c r="AP17" i="74" s="1"/>
  <c r="DZ29" i="132"/>
  <c r="AH29" i="132" s="1"/>
  <c r="AP26" i="74" s="1"/>
  <c r="AH30" i="132"/>
  <c r="AP27" i="74" s="1"/>
  <c r="DZ38" i="132"/>
  <c r="AG38" i="132"/>
  <c r="AH60" i="132"/>
  <c r="AP57" i="74" s="1"/>
  <c r="DZ26" i="132"/>
  <c r="AG26" i="132"/>
  <c r="AH42" i="132"/>
  <c r="AP39" i="74" s="1"/>
  <c r="AH56" i="132"/>
  <c r="AP53" i="74" s="1"/>
  <c r="DZ18" i="132"/>
  <c r="AG18" i="132"/>
  <c r="AH40" i="132"/>
  <c r="AP37" i="74" s="1"/>
  <c r="AH58" i="132"/>
  <c r="AP55" i="74" s="1"/>
  <c r="AH41" i="132"/>
  <c r="AP38" i="74" s="1"/>
  <c r="AH54" i="132"/>
  <c r="AP51" i="74" s="1"/>
  <c r="DZ36" i="132"/>
  <c r="AG36" i="132"/>
  <c r="AH49" i="132"/>
  <c r="AP46" i="74" s="1"/>
  <c r="AH51" i="132"/>
  <c r="AP48" i="74" s="1"/>
  <c r="AH52" i="132"/>
  <c r="AP49" i="74" s="1"/>
  <c r="DZ34" i="132"/>
  <c r="AG34" i="132"/>
  <c r="AH47" i="132"/>
  <c r="AP44" i="74" s="1"/>
  <c r="O30" i="132" l="1"/>
  <c r="O26" i="132"/>
  <c r="O29" i="132"/>
  <c r="O60" i="132"/>
  <c r="O62" i="132"/>
  <c r="O61" i="132"/>
  <c r="O48" i="132"/>
  <c r="O21" i="132"/>
  <c r="O35" i="132"/>
  <c r="O57" i="132"/>
  <c r="O59" i="132"/>
  <c r="O39" i="132"/>
  <c r="O32" i="132"/>
  <c r="O37" i="132"/>
  <c r="O64" i="132"/>
  <c r="O27" i="132"/>
  <c r="O56" i="132"/>
  <c r="O58" i="132"/>
  <c r="O16" i="132"/>
  <c r="O24" i="132"/>
  <c r="O43" i="132"/>
  <c r="O28" i="132"/>
  <c r="O18" i="132"/>
  <c r="O19" i="132"/>
  <c r="O38" i="132"/>
  <c r="O53" i="132"/>
  <c r="O20" i="132"/>
  <c r="O42" i="132"/>
  <c r="O50" i="132"/>
  <c r="O13" i="132"/>
  <c r="O11" i="132"/>
  <c r="O63" i="132"/>
  <c r="O51" i="132"/>
  <c r="O44" i="132"/>
  <c r="O31" i="132"/>
  <c r="O49" i="132"/>
  <c r="O33" i="132"/>
  <c r="O41" i="132"/>
  <c r="O47" i="132"/>
  <c r="O46" i="132"/>
  <c r="O23" i="132"/>
  <c r="O22" i="132"/>
  <c r="O25" i="132"/>
  <c r="O40" i="132"/>
  <c r="O55" i="132"/>
  <c r="O36" i="132"/>
  <c r="O17" i="132"/>
  <c r="O54" i="132"/>
  <c r="O15" i="132"/>
  <c r="O34" i="132"/>
  <c r="O45" i="132"/>
  <c r="O52" i="132"/>
  <c r="AM61" i="74"/>
  <c r="AH16" i="132"/>
  <c r="AP13" i="74" s="1"/>
  <c r="AH64" i="132"/>
  <c r="AP61" i="74" s="1"/>
  <c r="BB8" i="74"/>
  <c r="S105" i="121"/>
  <c r="BB32" i="74"/>
  <c r="S129" i="121"/>
  <c r="BB39" i="74"/>
  <c r="BB50" i="74"/>
  <c r="BB51" i="74"/>
  <c r="BB61" i="74"/>
  <c r="BB38" i="74"/>
  <c r="BB48" i="74"/>
  <c r="BB49" i="74"/>
  <c r="BB57" i="74"/>
  <c r="BB52" i="74"/>
  <c r="BB53" i="74"/>
  <c r="BB47" i="74"/>
  <c r="BB41" i="74"/>
  <c r="BB37" i="74"/>
  <c r="BB44" i="74"/>
  <c r="BB45" i="74"/>
  <c r="BB55" i="74"/>
  <c r="BB35" i="74"/>
  <c r="BB36" i="74"/>
  <c r="BB60" i="74"/>
  <c r="BB42" i="74"/>
  <c r="BB56" i="74"/>
  <c r="BB34" i="74"/>
  <c r="BB40" i="74"/>
  <c r="BB33" i="74"/>
  <c r="BB43" i="74"/>
  <c r="BB46" i="74"/>
  <c r="BB54" i="74"/>
  <c r="BB58" i="74"/>
  <c r="BB59" i="74"/>
  <c r="A62" i="132"/>
  <c r="AW34" i="132"/>
  <c r="BY34" i="132" s="1"/>
  <c r="AV34" i="132" s="1"/>
  <c r="DZ13" i="132"/>
  <c r="AH13" i="132" s="1"/>
  <c r="AP10" i="74" s="1"/>
  <c r="AG11" i="132"/>
  <c r="AW26" i="132"/>
  <c r="BY26" i="132" s="1"/>
  <c r="AV26" i="132" s="1"/>
  <c r="AW24" i="132"/>
  <c r="BY24" i="132" s="1"/>
  <c r="AV24" i="132" s="1"/>
  <c r="AW23" i="132"/>
  <c r="BY23" i="132" s="1"/>
  <c r="AV23" i="132" s="1"/>
  <c r="BX64" i="132"/>
  <c r="AR64" i="132" s="1"/>
  <c r="AW64" i="132" s="1"/>
  <c r="AW18" i="132"/>
  <c r="BY18" i="132" s="1"/>
  <c r="AV18" i="132" s="1"/>
  <c r="AW31" i="132"/>
  <c r="BY31" i="132" s="1"/>
  <c r="AV31" i="132" s="1"/>
  <c r="AW30" i="132"/>
  <c r="AW20" i="132"/>
  <c r="AW28" i="132"/>
  <c r="BY28" i="132" s="1"/>
  <c r="AV28" i="132" s="1"/>
  <c r="AW22" i="132"/>
  <c r="AW33" i="132"/>
  <c r="AW19" i="132"/>
  <c r="BY19" i="132" s="1"/>
  <c r="AV19" i="132" s="1"/>
  <c r="AW35" i="132"/>
  <c r="BY35" i="132" s="1"/>
  <c r="AV35" i="132" s="1"/>
  <c r="AW21" i="132"/>
  <c r="AW25" i="132"/>
  <c r="BY25" i="132" s="1"/>
  <c r="AV25" i="132" s="1"/>
  <c r="AW29" i="132"/>
  <c r="AW17" i="132"/>
  <c r="BY17" i="132" s="1"/>
  <c r="AV17" i="132" s="1"/>
  <c r="AW32" i="132"/>
  <c r="BY32" i="132" s="1"/>
  <c r="AV32" i="132" s="1"/>
  <c r="AW15" i="132"/>
  <c r="BY15" i="132" s="1"/>
  <c r="AV15" i="132" s="1"/>
  <c r="AW27" i="132"/>
  <c r="BY27" i="132" s="1"/>
  <c r="AV27" i="132" s="1"/>
  <c r="AW62" i="132"/>
  <c r="AW54" i="132"/>
  <c r="BY54" i="132" s="1"/>
  <c r="AV54" i="132" s="1"/>
  <c r="AW57" i="132"/>
  <c r="AW61" i="132"/>
  <c r="AW38" i="132"/>
  <c r="BY38" i="132" s="1"/>
  <c r="AV38" i="132" s="1"/>
  <c r="AW45" i="132"/>
  <c r="AW58" i="132"/>
  <c r="AW39" i="132"/>
  <c r="BY39" i="132" s="1"/>
  <c r="AV39" i="132" s="1"/>
  <c r="AW60" i="132"/>
  <c r="AW52" i="132"/>
  <c r="AW47" i="132"/>
  <c r="BY47" i="132" s="1"/>
  <c r="AV47" i="132" s="1"/>
  <c r="AW44" i="132"/>
  <c r="AW37" i="132"/>
  <c r="BY37" i="132" s="1"/>
  <c r="AV37" i="132" s="1"/>
  <c r="AW46" i="132"/>
  <c r="L16" i="133"/>
  <c r="A12" i="133"/>
  <c r="AR16" i="132"/>
  <c r="AW16" i="132" s="1"/>
  <c r="BY16" i="132" s="1"/>
  <c r="AV16" i="132" s="1"/>
  <c r="AH32" i="132"/>
  <c r="AP29" i="74" s="1"/>
  <c r="AH35" i="132"/>
  <c r="AP32" i="74" s="1"/>
  <c r="AH24" i="132"/>
  <c r="AH23" i="132"/>
  <c r="AP20" i="74" s="1"/>
  <c r="AH38" i="132"/>
  <c r="AP35" i="74" s="1"/>
  <c r="DZ17" i="132"/>
  <c r="AH17" i="132" s="1"/>
  <c r="AP14" i="74" s="1"/>
  <c r="AH26" i="132"/>
  <c r="AP23" i="74" s="1"/>
  <c r="AH27" i="132"/>
  <c r="AP24" i="74" s="1"/>
  <c r="AH34" i="132"/>
  <c r="AP31" i="74" s="1"/>
  <c r="AH18" i="132"/>
  <c r="AP15" i="74" s="1"/>
  <c r="AH31" i="132"/>
  <c r="AP28" i="74" s="1"/>
  <c r="AH36" i="132"/>
  <c r="AP33" i="74" s="1"/>
  <c r="A63" i="132" l="1"/>
  <c r="AH11" i="132"/>
  <c r="BY61" i="132"/>
  <c r="AV61" i="132" s="1"/>
  <c r="BY60" i="132"/>
  <c r="AV60" i="132" s="1"/>
  <c r="BY21" i="132"/>
  <c r="AV21" i="132" s="1"/>
  <c r="BY46" i="132"/>
  <c r="AV46" i="132" s="1"/>
  <c r="BY52" i="132"/>
  <c r="AV52" i="132" s="1"/>
  <c r="BY33" i="132"/>
  <c r="AV33" i="132" s="1"/>
  <c r="BY29" i="132"/>
  <c r="AV29" i="132" s="1"/>
  <c r="BY30" i="132"/>
  <c r="AV30" i="132" s="1"/>
  <c r="BY22" i="132"/>
  <c r="AV22" i="132" s="1"/>
  <c r="BY20" i="132"/>
  <c r="AV20" i="132" s="1"/>
  <c r="BY57" i="132"/>
  <c r="AV57" i="132" s="1"/>
  <c r="BY44" i="132"/>
  <c r="AV44" i="132" s="1"/>
  <c r="BY58" i="132"/>
  <c r="AV58" i="132" s="1"/>
  <c r="BY45" i="132"/>
  <c r="AV45" i="132" s="1"/>
  <c r="BY62" i="132"/>
  <c r="AV62" i="132" s="1"/>
  <c r="AP21" i="74"/>
  <c r="L17" i="133"/>
  <c r="A13" i="133"/>
  <c r="A64" i="132" l="1"/>
  <c r="AP8" i="74"/>
  <c r="L18" i="133"/>
  <c r="A14" i="133"/>
  <c r="L19" i="133" l="1"/>
  <c r="A15" i="133"/>
  <c r="A16" i="133" l="1"/>
  <c r="A17" i="133" l="1"/>
  <c r="A18" i="133" l="1"/>
  <c r="A19" i="133" l="1"/>
  <c r="A20" i="133" l="1"/>
  <c r="A21" i="133" l="1"/>
  <c r="A22" i="133" l="1"/>
  <c r="A23" i="133" l="1"/>
  <c r="A24" i="133" l="1"/>
  <c r="A25" i="133" l="1"/>
  <c r="A26" i="133" s="1"/>
  <c r="A27" i="133" s="1"/>
  <c r="A28" i="133" s="1"/>
  <c r="A29" i="133" s="1"/>
  <c r="A30" i="133" s="1"/>
  <c r="A31" i="133" s="1"/>
  <c r="A32" i="133" s="1"/>
  <c r="A33" i="133" s="1"/>
  <c r="A34" i="133" s="1"/>
  <c r="A35" i="133" s="1"/>
  <c r="A36" i="133" s="1"/>
  <c r="A37" i="133" s="1"/>
  <c r="A38" i="133" s="1"/>
  <c r="A39" i="133" s="1"/>
  <c r="A40" i="133" s="1"/>
  <c r="A41" i="133" s="1"/>
  <c r="A42" i="133" s="1"/>
  <c r="A43" i="133" s="1"/>
  <c r="A44" i="133" s="1"/>
  <c r="A45" i="133" s="1"/>
  <c r="A46" i="133" s="1"/>
  <c r="A47" i="133" s="1"/>
  <c r="A48" i="133" s="1"/>
  <c r="A49" i="133" s="1"/>
  <c r="A50" i="133" l="1"/>
  <c r="A51" i="133" s="1"/>
  <c r="A52" i="133" s="1"/>
  <c r="A53" i="133" s="1"/>
  <c r="A54" i="133" s="1"/>
  <c r="A55" i="133" s="1"/>
  <c r="A56" i="133" s="1"/>
  <c r="A57" i="133" s="1"/>
  <c r="A58" i="133" s="1"/>
  <c r="S58" i="133" s="1"/>
  <c r="T58" i="133" l="1"/>
  <c r="Q58" i="133"/>
  <c r="R58" i="133"/>
  <c r="V58" i="133"/>
  <c r="U58" i="133"/>
  <c r="W58" i="133"/>
  <c r="X58" i="133"/>
  <c r="L74" i="131"/>
  <c r="K40" i="131"/>
  <c r="K71" i="131" s="1"/>
  <c r="L40" i="131"/>
  <c r="L75" i="131" s="1"/>
  <c r="M40" i="131"/>
  <c r="J40" i="131"/>
  <c r="J42" i="131" s="1"/>
  <c r="AG32" i="131"/>
  <c r="AF32" i="131"/>
  <c r="AE32" i="131"/>
  <c r="AD32" i="131"/>
  <c r="AC32" i="131"/>
  <c r="AB32" i="131"/>
  <c r="AA32" i="131"/>
  <c r="Z32" i="131"/>
  <c r="Y32" i="131"/>
  <c r="X32" i="131"/>
  <c r="W32" i="131"/>
  <c r="V32" i="131"/>
  <c r="U32" i="131"/>
  <c r="T32" i="131"/>
  <c r="S32" i="131"/>
  <c r="R32" i="131"/>
  <c r="Q32" i="131"/>
  <c r="P32" i="131"/>
  <c r="O32" i="131"/>
  <c r="N32" i="131"/>
  <c r="M32" i="131"/>
  <c r="L32" i="131"/>
  <c r="K32" i="131"/>
  <c r="J32" i="131"/>
  <c r="AG31" i="131"/>
  <c r="AF31" i="131"/>
  <c r="AE31" i="131"/>
  <c r="AD31" i="131"/>
  <c r="AC31" i="131"/>
  <c r="AB31" i="131"/>
  <c r="AA31" i="131"/>
  <c r="Z31" i="131"/>
  <c r="Y31" i="131"/>
  <c r="X31" i="131"/>
  <c r="W31" i="131"/>
  <c r="V31" i="131"/>
  <c r="U31" i="131"/>
  <c r="T31" i="131"/>
  <c r="S31" i="131"/>
  <c r="R31" i="131"/>
  <c r="Q31" i="131"/>
  <c r="P31" i="131"/>
  <c r="O31" i="131"/>
  <c r="N31" i="131"/>
  <c r="M31" i="131"/>
  <c r="L31" i="131"/>
  <c r="K31" i="131"/>
  <c r="J31" i="131"/>
  <c r="AG29" i="131"/>
  <c r="AF29" i="131"/>
  <c r="AE29" i="131"/>
  <c r="AD29" i="131"/>
  <c r="AC29" i="131"/>
  <c r="AB29" i="131"/>
  <c r="AA29" i="131"/>
  <c r="Z29" i="131"/>
  <c r="Y29" i="131"/>
  <c r="X29" i="131"/>
  <c r="W29" i="131"/>
  <c r="V29" i="131"/>
  <c r="U29" i="131"/>
  <c r="T29" i="131"/>
  <c r="S29" i="131"/>
  <c r="R29" i="131"/>
  <c r="Q29" i="131"/>
  <c r="P29" i="131"/>
  <c r="O29" i="131"/>
  <c r="N29" i="131"/>
  <c r="M29" i="131"/>
  <c r="L29" i="131"/>
  <c r="K29" i="131"/>
  <c r="J29" i="131"/>
  <c r="AG28" i="131"/>
  <c r="AF28" i="131"/>
  <c r="AE28" i="131"/>
  <c r="AD28" i="131"/>
  <c r="AC28" i="131"/>
  <c r="AB28" i="131"/>
  <c r="AA28" i="131"/>
  <c r="Z28" i="131"/>
  <c r="Y28" i="131"/>
  <c r="X28" i="131"/>
  <c r="W28" i="131"/>
  <c r="V28" i="131"/>
  <c r="U28" i="131"/>
  <c r="T28" i="131"/>
  <c r="S28" i="131"/>
  <c r="R28" i="131"/>
  <c r="Q28" i="131"/>
  <c r="P28" i="131"/>
  <c r="O28" i="131"/>
  <c r="N28" i="131"/>
  <c r="M28" i="131"/>
  <c r="L28" i="131"/>
  <c r="K28" i="131"/>
  <c r="J28" i="131"/>
  <c r="AG26" i="131"/>
  <c r="AF26" i="131"/>
  <c r="AE26" i="131"/>
  <c r="AD26" i="131"/>
  <c r="AC26" i="131"/>
  <c r="AB26" i="131"/>
  <c r="AA26" i="131"/>
  <c r="Z26" i="131"/>
  <c r="Y26" i="131"/>
  <c r="X26" i="131"/>
  <c r="W26" i="131"/>
  <c r="V26" i="131"/>
  <c r="U26" i="131"/>
  <c r="T26" i="131"/>
  <c r="S26" i="131"/>
  <c r="R26" i="131"/>
  <c r="Q26" i="131"/>
  <c r="P26" i="131"/>
  <c r="O26" i="131"/>
  <c r="N26" i="131"/>
  <c r="M26" i="131"/>
  <c r="L26" i="131"/>
  <c r="K26" i="131"/>
  <c r="J26" i="131"/>
  <c r="AG25" i="131"/>
  <c r="AF25" i="131"/>
  <c r="AE25" i="131"/>
  <c r="AD25" i="131"/>
  <c r="AC25" i="131"/>
  <c r="AB25" i="131"/>
  <c r="AA25" i="131"/>
  <c r="Z25" i="131"/>
  <c r="Y25" i="131"/>
  <c r="X25" i="131"/>
  <c r="W25" i="131"/>
  <c r="V25" i="131"/>
  <c r="U25" i="131"/>
  <c r="T25" i="131"/>
  <c r="S25" i="131"/>
  <c r="R25" i="131"/>
  <c r="Q25" i="131"/>
  <c r="P25" i="131"/>
  <c r="O25" i="131"/>
  <c r="N25" i="131"/>
  <c r="M25" i="131"/>
  <c r="L25" i="131"/>
  <c r="K25" i="131"/>
  <c r="J25" i="131"/>
  <c r="AG23" i="131"/>
  <c r="AF23" i="131"/>
  <c r="AE23" i="131"/>
  <c r="AD23" i="131"/>
  <c r="AC23" i="131"/>
  <c r="AB23" i="131"/>
  <c r="AA23" i="131"/>
  <c r="Z23" i="131"/>
  <c r="Y23" i="131"/>
  <c r="X23" i="131"/>
  <c r="W23" i="131"/>
  <c r="V23" i="131"/>
  <c r="U23" i="131"/>
  <c r="T23" i="131"/>
  <c r="S23" i="131"/>
  <c r="R23" i="131"/>
  <c r="Q23" i="131"/>
  <c r="P23" i="131"/>
  <c r="O23" i="131"/>
  <c r="N23" i="131"/>
  <c r="M23" i="131"/>
  <c r="L23" i="131"/>
  <c r="K23" i="131"/>
  <c r="J23" i="131"/>
  <c r="AG22" i="131"/>
  <c r="AF22" i="131"/>
  <c r="AE22" i="131"/>
  <c r="AD22" i="131"/>
  <c r="AC22" i="131"/>
  <c r="AB22" i="131"/>
  <c r="AA22" i="131"/>
  <c r="Z22" i="131"/>
  <c r="Y22" i="131"/>
  <c r="X22" i="131"/>
  <c r="W22" i="131"/>
  <c r="V22" i="131"/>
  <c r="U22" i="131"/>
  <c r="T22" i="131"/>
  <c r="S22" i="131"/>
  <c r="R22" i="131"/>
  <c r="Q22" i="131"/>
  <c r="P22" i="131"/>
  <c r="O22" i="131"/>
  <c r="N22" i="131"/>
  <c r="M22" i="131"/>
  <c r="L22" i="131"/>
  <c r="K22" i="131"/>
  <c r="J22" i="131"/>
  <c r="AG20" i="131"/>
  <c r="AF20" i="131"/>
  <c r="AE20" i="131"/>
  <c r="AD20" i="131"/>
  <c r="AC20" i="131"/>
  <c r="AB20" i="131"/>
  <c r="AA20" i="131"/>
  <c r="Z20" i="131"/>
  <c r="Y20" i="131"/>
  <c r="X20" i="131"/>
  <c r="W20" i="131"/>
  <c r="V20" i="131"/>
  <c r="U20" i="131"/>
  <c r="T20" i="131"/>
  <c r="S20" i="131"/>
  <c r="R20" i="131"/>
  <c r="Q20" i="131"/>
  <c r="P20" i="131"/>
  <c r="O20" i="131"/>
  <c r="N20" i="131"/>
  <c r="M20" i="131"/>
  <c r="L20" i="131"/>
  <c r="K20" i="131"/>
  <c r="J20" i="131"/>
  <c r="AG19" i="131"/>
  <c r="AF19" i="131"/>
  <c r="AE19" i="131"/>
  <c r="AD19" i="131"/>
  <c r="AC19" i="131"/>
  <c r="AB19" i="131"/>
  <c r="AA19" i="131"/>
  <c r="Z19" i="131"/>
  <c r="Y19" i="131"/>
  <c r="X19" i="131"/>
  <c r="W19" i="131"/>
  <c r="V19" i="131"/>
  <c r="U19" i="131"/>
  <c r="T19" i="131"/>
  <c r="S19" i="131"/>
  <c r="R19" i="131"/>
  <c r="Q19" i="131"/>
  <c r="P19" i="131"/>
  <c r="O19" i="131"/>
  <c r="N19" i="131"/>
  <c r="M19" i="131"/>
  <c r="L19" i="131"/>
  <c r="K19" i="131"/>
  <c r="J19" i="131"/>
  <c r="AG17" i="131"/>
  <c r="AF17" i="131"/>
  <c r="AE17" i="131"/>
  <c r="AD17" i="131"/>
  <c r="AC17" i="131"/>
  <c r="AB17" i="131"/>
  <c r="AA17" i="131"/>
  <c r="Z17" i="131"/>
  <c r="Y17" i="131"/>
  <c r="X17" i="131"/>
  <c r="W17" i="131"/>
  <c r="V17" i="131"/>
  <c r="U17" i="131"/>
  <c r="T17" i="131"/>
  <c r="S17" i="131"/>
  <c r="R17" i="131"/>
  <c r="Q17" i="131"/>
  <c r="P17" i="131"/>
  <c r="O17" i="131"/>
  <c r="N17" i="131"/>
  <c r="M17" i="131"/>
  <c r="L17" i="131"/>
  <c r="K17" i="131"/>
  <c r="J17" i="131"/>
  <c r="AG16" i="131"/>
  <c r="AF16" i="131"/>
  <c r="AE16" i="131"/>
  <c r="AD16" i="131"/>
  <c r="AC16" i="131"/>
  <c r="AB16" i="131"/>
  <c r="AA16" i="131"/>
  <c r="Z16" i="131"/>
  <c r="Y16" i="131"/>
  <c r="X16" i="131"/>
  <c r="W16" i="131"/>
  <c r="V16" i="131"/>
  <c r="U16" i="131"/>
  <c r="T16" i="131"/>
  <c r="S16" i="131"/>
  <c r="R16" i="131"/>
  <c r="Q16" i="131"/>
  <c r="P16" i="131"/>
  <c r="O16" i="131"/>
  <c r="N16" i="131"/>
  <c r="M16" i="131"/>
  <c r="L16" i="131"/>
  <c r="K16" i="131"/>
  <c r="J16" i="131"/>
  <c r="AG14" i="131"/>
  <c r="AF14" i="131"/>
  <c r="AE14" i="131"/>
  <c r="AD14" i="131"/>
  <c r="AC14" i="131"/>
  <c r="AB14" i="131"/>
  <c r="AA14" i="131"/>
  <c r="Z14" i="131"/>
  <c r="Y14" i="131"/>
  <c r="X14" i="131"/>
  <c r="W14" i="131"/>
  <c r="V14" i="131"/>
  <c r="U14" i="131"/>
  <c r="T14" i="131"/>
  <c r="S14" i="131"/>
  <c r="R14" i="131"/>
  <c r="Q14" i="131"/>
  <c r="P14" i="131"/>
  <c r="O14" i="131"/>
  <c r="N14" i="131"/>
  <c r="M14" i="131"/>
  <c r="L14" i="131"/>
  <c r="K14" i="131"/>
  <c r="J14" i="131"/>
  <c r="AG13" i="131"/>
  <c r="AF13" i="131"/>
  <c r="AE13" i="131"/>
  <c r="AD13" i="131"/>
  <c r="AC13" i="131"/>
  <c r="AB13" i="131"/>
  <c r="AA13" i="131"/>
  <c r="Z13" i="131"/>
  <c r="Y13" i="131"/>
  <c r="X13" i="131"/>
  <c r="W13" i="131"/>
  <c r="V13" i="131"/>
  <c r="U13" i="131"/>
  <c r="T13" i="131"/>
  <c r="S13" i="131"/>
  <c r="R13" i="131"/>
  <c r="Q13" i="131"/>
  <c r="P13" i="131"/>
  <c r="O13" i="131"/>
  <c r="N13" i="131"/>
  <c r="M13" i="131"/>
  <c r="L13" i="131"/>
  <c r="K13" i="131"/>
  <c r="J13" i="131"/>
  <c r="AG11" i="131"/>
  <c r="AF11" i="131"/>
  <c r="AE11" i="131"/>
  <c r="AD11" i="131"/>
  <c r="AC11" i="131"/>
  <c r="AB11" i="131"/>
  <c r="AA11" i="131"/>
  <c r="Z11" i="131"/>
  <c r="Y11" i="131"/>
  <c r="X11" i="131"/>
  <c r="W11" i="131"/>
  <c r="V11" i="131"/>
  <c r="U11" i="131"/>
  <c r="T11" i="131"/>
  <c r="S11" i="131"/>
  <c r="R11" i="131"/>
  <c r="Q11" i="131"/>
  <c r="P11" i="131"/>
  <c r="O11" i="131"/>
  <c r="N11" i="131"/>
  <c r="M11" i="131"/>
  <c r="L11" i="131"/>
  <c r="K11" i="131"/>
  <c r="J11" i="131"/>
  <c r="AG10" i="131"/>
  <c r="AF10" i="131"/>
  <c r="AE10" i="131"/>
  <c r="AD10" i="131"/>
  <c r="AC10" i="131"/>
  <c r="AB10" i="131"/>
  <c r="AA10" i="131"/>
  <c r="Z10" i="131"/>
  <c r="Y10" i="131"/>
  <c r="X10" i="131"/>
  <c r="W10" i="131"/>
  <c r="V10" i="131"/>
  <c r="U10" i="131"/>
  <c r="T10" i="131"/>
  <c r="S10" i="131"/>
  <c r="R10" i="131"/>
  <c r="Q10" i="131"/>
  <c r="P10" i="131"/>
  <c r="O10" i="131"/>
  <c r="N10" i="131"/>
  <c r="M10" i="131"/>
  <c r="L10" i="131"/>
  <c r="K10" i="131"/>
  <c r="J10" i="131"/>
  <c r="AG8" i="131"/>
  <c r="AF8" i="131"/>
  <c r="AE8" i="131"/>
  <c r="AD8" i="131"/>
  <c r="AC8" i="131"/>
  <c r="AB8" i="131"/>
  <c r="AA8" i="131"/>
  <c r="Z8" i="131"/>
  <c r="Y8" i="131"/>
  <c r="X8" i="131"/>
  <c r="W8" i="131"/>
  <c r="V8" i="131"/>
  <c r="U8" i="131"/>
  <c r="T8" i="131"/>
  <c r="S8" i="131"/>
  <c r="R8" i="131"/>
  <c r="Q8" i="131"/>
  <c r="P8" i="131"/>
  <c r="O8" i="131"/>
  <c r="N8" i="131"/>
  <c r="M8" i="131"/>
  <c r="L8" i="131"/>
  <c r="K8" i="131"/>
  <c r="J8" i="131"/>
  <c r="A8" i="131"/>
  <c r="AG7" i="131"/>
  <c r="AF7" i="131"/>
  <c r="AE7" i="131"/>
  <c r="AD7" i="131"/>
  <c r="AC7" i="131"/>
  <c r="AB7" i="131"/>
  <c r="AA7" i="131"/>
  <c r="Z7" i="131"/>
  <c r="Y7" i="131"/>
  <c r="X7" i="131"/>
  <c r="W7" i="131"/>
  <c r="V7" i="131"/>
  <c r="U7" i="131"/>
  <c r="T7" i="131"/>
  <c r="S7" i="131"/>
  <c r="R7" i="131"/>
  <c r="Q7" i="131"/>
  <c r="P7" i="131"/>
  <c r="O7" i="131"/>
  <c r="N7" i="131"/>
  <c r="M7" i="131"/>
  <c r="L7" i="131"/>
  <c r="K7" i="131"/>
  <c r="J7" i="131"/>
  <c r="A7" i="131"/>
  <c r="P40" i="131" l="1"/>
  <c r="L77" i="131"/>
  <c r="J77" i="131"/>
  <c r="L73" i="131"/>
  <c r="L76" i="131"/>
  <c r="L72" i="131"/>
  <c r="J72" i="131"/>
  <c r="E43" i="131"/>
  <c r="D43" i="131"/>
  <c r="C43" i="131"/>
  <c r="I43" i="131"/>
  <c r="G43" i="131"/>
  <c r="B43" i="131"/>
  <c r="H43" i="131"/>
  <c r="F43" i="131"/>
  <c r="L42" i="131"/>
  <c r="A9" i="131"/>
  <c r="E44" i="131"/>
  <c r="F44" i="131"/>
  <c r="I44" i="131"/>
  <c r="C44" i="131"/>
  <c r="B44" i="131"/>
  <c r="H44" i="131"/>
  <c r="D44" i="131"/>
  <c r="G44" i="131"/>
  <c r="K43" i="131"/>
  <c r="K72" i="131"/>
  <c r="K73" i="131"/>
  <c r="K74" i="131"/>
  <c r="K75" i="131"/>
  <c r="K76" i="131"/>
  <c r="K77" i="131"/>
  <c r="K42" i="131"/>
  <c r="O40" i="131"/>
  <c r="K44" i="131"/>
  <c r="M43" i="131"/>
  <c r="M44" i="131"/>
  <c r="M45" i="131"/>
  <c r="M70" i="131"/>
  <c r="M71" i="131"/>
  <c r="M72" i="131"/>
  <c r="M73" i="131"/>
  <c r="M74" i="131"/>
  <c r="M75" i="131"/>
  <c r="M76" i="131"/>
  <c r="M77" i="131"/>
  <c r="M42" i="131"/>
  <c r="K45" i="131"/>
  <c r="J43" i="131"/>
  <c r="J44" i="131"/>
  <c r="J45" i="131"/>
  <c r="J70" i="131"/>
  <c r="J71" i="131"/>
  <c r="N40" i="131"/>
  <c r="J73" i="131"/>
  <c r="K70" i="131"/>
  <c r="J74" i="131"/>
  <c r="Q40" i="131"/>
  <c r="J75" i="131"/>
  <c r="J76" i="131"/>
  <c r="L43" i="131"/>
  <c r="L44" i="131"/>
  <c r="L45" i="131"/>
  <c r="L70" i="131"/>
  <c r="L71" i="131"/>
  <c r="P45" i="131" l="1"/>
  <c r="P70" i="131"/>
  <c r="P44" i="131"/>
  <c r="P71" i="131"/>
  <c r="P43" i="131"/>
  <c r="T40" i="131"/>
  <c r="T44" i="131" s="1"/>
  <c r="A10" i="131"/>
  <c r="D45" i="131"/>
  <c r="C45" i="131"/>
  <c r="B45" i="131"/>
  <c r="E45" i="131"/>
  <c r="H45" i="131"/>
  <c r="I45" i="131"/>
  <c r="F45" i="131"/>
  <c r="G45" i="131"/>
  <c r="P74" i="131"/>
  <c r="P75" i="131"/>
  <c r="P42" i="131"/>
  <c r="P72" i="131"/>
  <c r="P76" i="131"/>
  <c r="P77" i="131"/>
  <c r="P73" i="131"/>
  <c r="U40" i="131"/>
  <c r="Q46" i="131"/>
  <c r="Q45" i="131"/>
  <c r="Q44" i="131"/>
  <c r="Q43" i="131"/>
  <c r="Q72" i="131"/>
  <c r="Q71" i="131"/>
  <c r="Q74" i="131"/>
  <c r="Q42" i="131"/>
  <c r="Q77" i="131"/>
  <c r="Q76" i="131"/>
  <c r="Q73" i="131"/>
  <c r="Q70" i="131"/>
  <c r="Q75" i="131"/>
  <c r="X40" i="131"/>
  <c r="T43" i="131"/>
  <c r="T45" i="131"/>
  <c r="T46" i="131"/>
  <c r="T70" i="131"/>
  <c r="T74" i="131"/>
  <c r="T73" i="131"/>
  <c r="T72" i="131"/>
  <c r="T71" i="131"/>
  <c r="T76" i="131"/>
  <c r="T42" i="131"/>
  <c r="T77" i="131"/>
  <c r="N44" i="131"/>
  <c r="N43" i="131"/>
  <c r="N71" i="131"/>
  <c r="N72" i="131"/>
  <c r="N73" i="131"/>
  <c r="N74" i="131"/>
  <c r="N75" i="131"/>
  <c r="N76" i="131"/>
  <c r="N77" i="131"/>
  <c r="N42" i="131"/>
  <c r="N45" i="131"/>
  <c r="N46" i="131"/>
  <c r="R40" i="131"/>
  <c r="N70" i="131"/>
  <c r="S40" i="131"/>
  <c r="O45" i="131"/>
  <c r="O44" i="131"/>
  <c r="O43" i="131"/>
  <c r="O70" i="131"/>
  <c r="O46" i="131"/>
  <c r="O42" i="131"/>
  <c r="O77" i="131"/>
  <c r="O72" i="131"/>
  <c r="O76" i="131"/>
  <c r="O74" i="131"/>
  <c r="O73" i="131"/>
  <c r="O75" i="131"/>
  <c r="O71" i="131"/>
  <c r="F13" i="130"/>
  <c r="A11" i="131" l="1"/>
  <c r="E46" i="131"/>
  <c r="G46" i="131"/>
  <c r="F46" i="131"/>
  <c r="I46" i="131"/>
  <c r="C46" i="131"/>
  <c r="B46" i="131"/>
  <c r="H46" i="131"/>
  <c r="D46" i="131"/>
  <c r="K46" i="131"/>
  <c r="J46" i="131"/>
  <c r="M46" i="131"/>
  <c r="L46" i="131"/>
  <c r="T75" i="131"/>
  <c r="P46" i="131"/>
  <c r="AB40" i="131"/>
  <c r="X43" i="131"/>
  <c r="X44" i="131"/>
  <c r="X76" i="131"/>
  <c r="X47" i="131"/>
  <c r="X70" i="131"/>
  <c r="X75" i="131"/>
  <c r="X74" i="131"/>
  <c r="X73" i="131"/>
  <c r="X72" i="131"/>
  <c r="X71" i="131"/>
  <c r="X42" i="131"/>
  <c r="X46" i="131"/>
  <c r="X77" i="131"/>
  <c r="X45" i="131"/>
  <c r="Y40" i="131"/>
  <c r="U43" i="131"/>
  <c r="U44" i="131"/>
  <c r="U45" i="131"/>
  <c r="U46" i="131"/>
  <c r="U47" i="131"/>
  <c r="U71" i="131"/>
  <c r="U72" i="131"/>
  <c r="U73" i="131"/>
  <c r="U74" i="131"/>
  <c r="U75" i="131"/>
  <c r="U76" i="131"/>
  <c r="U77" i="131"/>
  <c r="U42" i="131"/>
  <c r="U70" i="131"/>
  <c r="W40" i="131"/>
  <c r="S71" i="131"/>
  <c r="S72" i="131"/>
  <c r="S73" i="131"/>
  <c r="S74" i="131"/>
  <c r="S75" i="131"/>
  <c r="S76" i="131"/>
  <c r="S77" i="131"/>
  <c r="S42" i="131"/>
  <c r="S46" i="131"/>
  <c r="S45" i="131"/>
  <c r="S47" i="131"/>
  <c r="S43" i="131"/>
  <c r="S44" i="131"/>
  <c r="S70" i="131"/>
  <c r="V40" i="131"/>
  <c r="R43" i="131"/>
  <c r="R44" i="131"/>
  <c r="R45" i="131"/>
  <c r="R46" i="131"/>
  <c r="R47" i="131"/>
  <c r="R70" i="131"/>
  <c r="R73" i="131"/>
  <c r="R72" i="131"/>
  <c r="R75" i="131"/>
  <c r="R71" i="131"/>
  <c r="R42" i="131"/>
  <c r="R77" i="131"/>
  <c r="R74" i="131"/>
  <c r="R76" i="131"/>
  <c r="AO12" i="114"/>
  <c r="AO13" i="114"/>
  <c r="AO14" i="114"/>
  <c r="AO15" i="114"/>
  <c r="AO16" i="114"/>
  <c r="AO17" i="114"/>
  <c r="AO18" i="114"/>
  <c r="AO19" i="114"/>
  <c r="AO20" i="114"/>
  <c r="AO21" i="114"/>
  <c r="AO22" i="114"/>
  <c r="AO23" i="114"/>
  <c r="AO24" i="114"/>
  <c r="AO25" i="114"/>
  <c r="AO26" i="114"/>
  <c r="AO27" i="114"/>
  <c r="AO28" i="114"/>
  <c r="AO29" i="114"/>
  <c r="AO30" i="114"/>
  <c r="AO31" i="114"/>
  <c r="AO32" i="114"/>
  <c r="AO33" i="114"/>
  <c r="AO34" i="114"/>
  <c r="AO35" i="114"/>
  <c r="AO36" i="114"/>
  <c r="AO37" i="114"/>
  <c r="AO38" i="114"/>
  <c r="AO39" i="114"/>
  <c r="AO40" i="114"/>
  <c r="AO41" i="114"/>
  <c r="AO42" i="114"/>
  <c r="AO43" i="114"/>
  <c r="AO44" i="114"/>
  <c r="AO45" i="114"/>
  <c r="AO46" i="114"/>
  <c r="AO47" i="114"/>
  <c r="AO48" i="114"/>
  <c r="AO49" i="114"/>
  <c r="AO50" i="114"/>
  <c r="AO51" i="114"/>
  <c r="AO52" i="114"/>
  <c r="AO53" i="114"/>
  <c r="AO54" i="114"/>
  <c r="AO55" i="114"/>
  <c r="AO56" i="114"/>
  <c r="AO57" i="114"/>
  <c r="AO58" i="114"/>
  <c r="AO59" i="114"/>
  <c r="AO60" i="114"/>
  <c r="AO61" i="114"/>
  <c r="AO62" i="114"/>
  <c r="AO63" i="114"/>
  <c r="AO64" i="114"/>
  <c r="AO65" i="114"/>
  <c r="AO66" i="114"/>
  <c r="A12" i="131" l="1"/>
  <c r="D47" i="131"/>
  <c r="G47" i="131"/>
  <c r="B47" i="131"/>
  <c r="I47" i="131"/>
  <c r="E47" i="131"/>
  <c r="C47" i="131"/>
  <c r="H47" i="131"/>
  <c r="F47" i="131"/>
  <c r="J47" i="131"/>
  <c r="K47" i="131"/>
  <c r="M47" i="131"/>
  <c r="L47" i="131"/>
  <c r="P47" i="131"/>
  <c r="O47" i="131"/>
  <c r="Q47" i="131"/>
  <c r="N47" i="131"/>
  <c r="T47" i="131"/>
  <c r="Z40" i="131"/>
  <c r="V47" i="131"/>
  <c r="V46" i="131"/>
  <c r="V71" i="131"/>
  <c r="V72" i="131"/>
  <c r="V73" i="131"/>
  <c r="V74" i="131"/>
  <c r="V75" i="131"/>
  <c r="V76" i="131"/>
  <c r="V77" i="131"/>
  <c r="V42" i="131"/>
  <c r="V48" i="131"/>
  <c r="V70" i="131"/>
  <c r="V45" i="131"/>
  <c r="V43" i="131"/>
  <c r="V44" i="131"/>
  <c r="AF40" i="131"/>
  <c r="AB43" i="131"/>
  <c r="AB44" i="131"/>
  <c r="AB45" i="131"/>
  <c r="AB46" i="131"/>
  <c r="AB47" i="131"/>
  <c r="AB70" i="131"/>
  <c r="AB71" i="131"/>
  <c r="AB42" i="131"/>
  <c r="AB73" i="131"/>
  <c r="AB77" i="131"/>
  <c r="AB76" i="131"/>
  <c r="AB72" i="131"/>
  <c r="AB75" i="131"/>
  <c r="AB74" i="131"/>
  <c r="AA40" i="131"/>
  <c r="W70" i="131"/>
  <c r="W47" i="131"/>
  <c r="W43" i="131"/>
  <c r="W44" i="131"/>
  <c r="W75" i="131"/>
  <c r="W74" i="131"/>
  <c r="W77" i="131"/>
  <c r="W46" i="131"/>
  <c r="W73" i="131"/>
  <c r="W72" i="131"/>
  <c r="W71" i="131"/>
  <c r="W45" i="131"/>
  <c r="W76" i="131"/>
  <c r="W42" i="131"/>
  <c r="AC40" i="131"/>
  <c r="Y44" i="131"/>
  <c r="Y43" i="131"/>
  <c r="Y70" i="131"/>
  <c r="Y45" i="131"/>
  <c r="Y77" i="131"/>
  <c r="Y48" i="131"/>
  <c r="Y76" i="131"/>
  <c r="Y71" i="131"/>
  <c r="Y47" i="131"/>
  <c r="Y75" i="131"/>
  <c r="Y73" i="131"/>
  <c r="Y74" i="131"/>
  <c r="Y46" i="131"/>
  <c r="Y42" i="131"/>
  <c r="Y72" i="131"/>
  <c r="A13" i="131" l="1"/>
  <c r="E48" i="131"/>
  <c r="D48" i="131"/>
  <c r="C48" i="131"/>
  <c r="B48" i="131"/>
  <c r="H48" i="131"/>
  <c r="I48" i="131"/>
  <c r="G48" i="131"/>
  <c r="F48" i="131"/>
  <c r="K48" i="131"/>
  <c r="J48" i="131"/>
  <c r="M48" i="131"/>
  <c r="L48" i="131"/>
  <c r="O48" i="131"/>
  <c r="Q48" i="131"/>
  <c r="P48" i="131"/>
  <c r="T48" i="131"/>
  <c r="N48" i="131"/>
  <c r="S48" i="131"/>
  <c r="U48" i="131"/>
  <c r="X48" i="131"/>
  <c r="R48" i="131"/>
  <c r="W48" i="131"/>
  <c r="AB48" i="131"/>
  <c r="AG40" i="131"/>
  <c r="AC43" i="131"/>
  <c r="AC44" i="131"/>
  <c r="AC45" i="131"/>
  <c r="AC46" i="131"/>
  <c r="AC47" i="131"/>
  <c r="AC48" i="131"/>
  <c r="AC49" i="131"/>
  <c r="AC71" i="131"/>
  <c r="AC72" i="131"/>
  <c r="AC73" i="131"/>
  <c r="AC74" i="131"/>
  <c r="AC75" i="131"/>
  <c r="AC76" i="131"/>
  <c r="AC77" i="131"/>
  <c r="AC42" i="131"/>
  <c r="AC70" i="131"/>
  <c r="AD40" i="131"/>
  <c r="Z43" i="131"/>
  <c r="Z44" i="131"/>
  <c r="Z45" i="131"/>
  <c r="Z46" i="131"/>
  <c r="Z47" i="131"/>
  <c r="Z48" i="131"/>
  <c r="Z49" i="131"/>
  <c r="Z70" i="131"/>
  <c r="Z42" i="131"/>
  <c r="Z77" i="131"/>
  <c r="Z72" i="131"/>
  <c r="Z76" i="131"/>
  <c r="Z74" i="131"/>
  <c r="Z75" i="131"/>
  <c r="Z71" i="131"/>
  <c r="Z73" i="131"/>
  <c r="AF48" i="131"/>
  <c r="AF46" i="131"/>
  <c r="AF45" i="131"/>
  <c r="AF49" i="131"/>
  <c r="AF73" i="131"/>
  <c r="AF44" i="131"/>
  <c r="AF72" i="131"/>
  <c r="AF75" i="131"/>
  <c r="AF71" i="131"/>
  <c r="AF42" i="131"/>
  <c r="AF43" i="131"/>
  <c r="AF47" i="131"/>
  <c r="AF77" i="131"/>
  <c r="AF74" i="131"/>
  <c r="AF70" i="131"/>
  <c r="AF76" i="131"/>
  <c r="AE40" i="131"/>
  <c r="AA45" i="131"/>
  <c r="AA71" i="131"/>
  <c r="AA72" i="131"/>
  <c r="AA73" i="131"/>
  <c r="AA74" i="131"/>
  <c r="AA75" i="131"/>
  <c r="AA76" i="131"/>
  <c r="AA77" i="131"/>
  <c r="AA42" i="131"/>
  <c r="AA44" i="131"/>
  <c r="AA43" i="131"/>
  <c r="AA70" i="131"/>
  <c r="AA46" i="131"/>
  <c r="AA49" i="131"/>
  <c r="AA48" i="131"/>
  <c r="AA47" i="131"/>
  <c r="H179" i="87"/>
  <c r="H180" i="87"/>
  <c r="H181" i="87"/>
  <c r="H182" i="87"/>
  <c r="H183" i="87"/>
  <c r="H184" i="87"/>
  <c r="H185" i="87"/>
  <c r="H186" i="87"/>
  <c r="H187" i="87"/>
  <c r="H188" i="87"/>
  <c r="H189" i="87"/>
  <c r="H190" i="87"/>
  <c r="H191" i="87"/>
  <c r="H192" i="87"/>
  <c r="H193" i="87"/>
  <c r="H194" i="87"/>
  <c r="H195" i="87"/>
  <c r="H196" i="87"/>
  <c r="H197" i="87"/>
  <c r="H198" i="87"/>
  <c r="H199" i="87"/>
  <c r="H200" i="87"/>
  <c r="H201" i="87"/>
  <c r="H202" i="87"/>
  <c r="H203" i="87"/>
  <c r="H204" i="87"/>
  <c r="H205" i="87"/>
  <c r="H206" i="87"/>
  <c r="H207" i="87"/>
  <c r="H208" i="87"/>
  <c r="H209" i="87"/>
  <c r="H210" i="87"/>
  <c r="H211" i="87"/>
  <c r="H212" i="87"/>
  <c r="H213" i="87"/>
  <c r="H214" i="87"/>
  <c r="H215" i="87"/>
  <c r="H216" i="87"/>
  <c r="H217" i="87"/>
  <c r="H218" i="87"/>
  <c r="H219" i="87"/>
  <c r="H220" i="87"/>
  <c r="H221" i="87"/>
  <c r="H222" i="87"/>
  <c r="H223" i="87"/>
  <c r="H224" i="87"/>
  <c r="H225" i="87"/>
  <c r="H226" i="87"/>
  <c r="H227" i="87"/>
  <c r="H228" i="87"/>
  <c r="H229" i="87"/>
  <c r="H230" i="87"/>
  <c r="H231" i="87"/>
  <c r="H232" i="87"/>
  <c r="H178" i="87"/>
  <c r="A14" i="131" l="1"/>
  <c r="E49" i="131"/>
  <c r="C49" i="131"/>
  <c r="D49" i="131"/>
  <c r="F49" i="131"/>
  <c r="G49" i="131"/>
  <c r="B49" i="131"/>
  <c r="H49" i="131"/>
  <c r="I49" i="131"/>
  <c r="J49" i="131"/>
  <c r="M49" i="131"/>
  <c r="L49" i="131"/>
  <c r="K49" i="131"/>
  <c r="N49" i="131"/>
  <c r="P49" i="131"/>
  <c r="Q49" i="131"/>
  <c r="T49" i="131"/>
  <c r="O49" i="131"/>
  <c r="U49" i="131"/>
  <c r="X49" i="131"/>
  <c r="S49" i="131"/>
  <c r="R49" i="131"/>
  <c r="AB49" i="131"/>
  <c r="Y49" i="131"/>
  <c r="V49" i="131"/>
  <c r="W49" i="131"/>
  <c r="AE47" i="131"/>
  <c r="AE46" i="131"/>
  <c r="AE45" i="131"/>
  <c r="AE44" i="131"/>
  <c r="AE48" i="131"/>
  <c r="AE72" i="131"/>
  <c r="AE71" i="131"/>
  <c r="AE74" i="131"/>
  <c r="AE50" i="131"/>
  <c r="AE42" i="131"/>
  <c r="AE77" i="131"/>
  <c r="AE70" i="131"/>
  <c r="AE43" i="131"/>
  <c r="AE49" i="131"/>
  <c r="AE76" i="131"/>
  <c r="AE73" i="131"/>
  <c r="AE75" i="131"/>
  <c r="AD46" i="131"/>
  <c r="A243" i="87" s="1"/>
  <c r="AD45" i="131"/>
  <c r="A242" i="87" s="1"/>
  <c r="AD44" i="131"/>
  <c r="A241" i="87" s="1"/>
  <c r="AD43" i="131"/>
  <c r="A240" i="87" s="1"/>
  <c r="AD71" i="131"/>
  <c r="AD72" i="131"/>
  <c r="AD73" i="131"/>
  <c r="AD74" i="131"/>
  <c r="AD75" i="131"/>
  <c r="AD76" i="131"/>
  <c r="AD77" i="131"/>
  <c r="AD42" i="131"/>
  <c r="A239" i="87" s="1"/>
  <c r="AD47" i="131"/>
  <c r="A244" i="87" s="1"/>
  <c r="AD50" i="131"/>
  <c r="AD49" i="131"/>
  <c r="AD70" i="131"/>
  <c r="AD48" i="131"/>
  <c r="A245" i="87" s="1"/>
  <c r="AG49" i="131"/>
  <c r="AG70" i="131"/>
  <c r="AG47" i="131"/>
  <c r="AG46" i="131"/>
  <c r="AG50" i="131"/>
  <c r="AG74" i="131"/>
  <c r="AG73" i="131"/>
  <c r="AG48" i="131"/>
  <c r="AG76" i="131"/>
  <c r="AG44" i="131"/>
  <c r="AG72" i="131"/>
  <c r="AG71" i="131"/>
  <c r="AG42" i="131"/>
  <c r="AG45" i="131"/>
  <c r="AG75" i="131"/>
  <c r="AG43" i="131"/>
  <c r="AG77" i="131"/>
  <c r="AY66" i="114"/>
  <c r="AP66" i="114" s="1"/>
  <c r="A15" i="131" l="1"/>
  <c r="D50" i="131"/>
  <c r="C50" i="131"/>
  <c r="E50" i="131"/>
  <c r="F50" i="131"/>
  <c r="G50" i="131"/>
  <c r="H50" i="131"/>
  <c r="I50" i="131"/>
  <c r="B50" i="131"/>
  <c r="M50" i="131"/>
  <c r="L50" i="131"/>
  <c r="K50" i="131"/>
  <c r="J50" i="131"/>
  <c r="N50" i="131"/>
  <c r="Q50" i="131"/>
  <c r="P50" i="131"/>
  <c r="T50" i="131"/>
  <c r="O50" i="131"/>
  <c r="S50" i="131"/>
  <c r="R50" i="131"/>
  <c r="U50" i="131"/>
  <c r="X50" i="131"/>
  <c r="W50" i="131"/>
  <c r="AB50" i="131"/>
  <c r="Y50" i="131"/>
  <c r="V50" i="131"/>
  <c r="Z50" i="131"/>
  <c r="AF50" i="131"/>
  <c r="AA50" i="131"/>
  <c r="AC50" i="131"/>
  <c r="A246" i="87"/>
  <c r="S26" i="119"/>
  <c r="AO51" i="146" s="1"/>
  <c r="S27" i="119"/>
  <c r="AO52" i="146" s="1"/>
  <c r="S28" i="119"/>
  <c r="AO53" i="146" s="1"/>
  <c r="S29" i="119"/>
  <c r="AO54" i="146" s="1"/>
  <c r="S30" i="119"/>
  <c r="AO55" i="146" s="1"/>
  <c r="S31" i="119"/>
  <c r="AO56" i="146" s="1"/>
  <c r="S32" i="119"/>
  <c r="AO57" i="146" s="1"/>
  <c r="S33" i="119"/>
  <c r="AO58" i="146" s="1"/>
  <c r="S34" i="119"/>
  <c r="AO59" i="146" s="1"/>
  <c r="S35" i="119"/>
  <c r="AO60" i="146" s="1"/>
  <c r="S36" i="119"/>
  <c r="AO61" i="146" s="1"/>
  <c r="S37" i="119"/>
  <c r="AO62" i="146" s="1"/>
  <c r="S38" i="119"/>
  <c r="AO63" i="146" s="1"/>
  <c r="S39" i="119"/>
  <c r="AO64" i="146" s="1"/>
  <c r="S40" i="119"/>
  <c r="AO65" i="146" s="1"/>
  <c r="S41" i="119"/>
  <c r="AO66" i="146" s="1"/>
  <c r="S42" i="119"/>
  <c r="AO67" i="146" s="1"/>
  <c r="S43" i="119"/>
  <c r="AO68" i="146" s="1"/>
  <c r="S44" i="119"/>
  <c r="AO69" i="146" s="1"/>
  <c r="S45" i="119"/>
  <c r="AO70" i="146" s="1"/>
  <c r="S46" i="119"/>
  <c r="AO71" i="146" s="1"/>
  <c r="S47" i="119"/>
  <c r="AO72" i="146" s="1"/>
  <c r="S48" i="119"/>
  <c r="AO73" i="146" s="1"/>
  <c r="S49" i="119"/>
  <c r="AO74" i="146" s="1"/>
  <c r="S50" i="119"/>
  <c r="AO75" i="146" s="1"/>
  <c r="S51" i="119"/>
  <c r="AO76" i="146" s="1"/>
  <c r="S52" i="119"/>
  <c r="AO77" i="146" s="1"/>
  <c r="S53" i="119"/>
  <c r="AO78" i="146" s="1"/>
  <c r="S54" i="119"/>
  <c r="AO79" i="146" s="1"/>
  <c r="S55" i="119"/>
  <c r="AO80" i="146" s="1"/>
  <c r="S56" i="119"/>
  <c r="AO81" i="146" s="1"/>
  <c r="S58" i="119"/>
  <c r="AO83" i="146" s="1"/>
  <c r="S59" i="119"/>
  <c r="AO84" i="146" s="1"/>
  <c r="S60" i="119"/>
  <c r="AO85" i="146" s="1"/>
  <c r="S61" i="119"/>
  <c r="AO86" i="146" s="1"/>
  <c r="S62" i="119"/>
  <c r="AO87" i="146" s="1"/>
  <c r="S63" i="119"/>
  <c r="AO88" i="146" s="1"/>
  <c r="S64" i="119"/>
  <c r="AO89" i="146" s="1"/>
  <c r="S65" i="119"/>
  <c r="S25" i="119"/>
  <c r="AO50" i="146" s="1"/>
  <c r="BT6" i="74"/>
  <c r="A247" i="87" l="1"/>
  <c r="A16" i="131"/>
  <c r="B51" i="131"/>
  <c r="E51" i="131"/>
  <c r="D51" i="131"/>
  <c r="C51" i="131"/>
  <c r="I51" i="131"/>
  <c r="G51" i="131"/>
  <c r="F51" i="131"/>
  <c r="H51" i="131"/>
  <c r="M51" i="131"/>
  <c r="L51" i="131"/>
  <c r="K51" i="131"/>
  <c r="J51" i="131"/>
  <c r="N51" i="131"/>
  <c r="T51" i="131"/>
  <c r="O51" i="131"/>
  <c r="Q51" i="131"/>
  <c r="P51" i="131"/>
  <c r="X51" i="131"/>
  <c r="S51" i="131"/>
  <c r="R51" i="131"/>
  <c r="U51" i="131"/>
  <c r="V51" i="131"/>
  <c r="AB51" i="131"/>
  <c r="W51" i="131"/>
  <c r="Y51" i="131"/>
  <c r="AA51" i="131"/>
  <c r="Z51" i="131"/>
  <c r="AF51" i="131"/>
  <c r="AC51" i="131"/>
  <c r="AE51" i="131"/>
  <c r="AG51" i="131"/>
  <c r="AD51" i="131"/>
  <c r="I13" i="73"/>
  <c r="I14" i="73"/>
  <c r="I15" i="73"/>
  <c r="I16" i="73"/>
  <c r="I17" i="73"/>
  <c r="I18" i="73"/>
  <c r="I19" i="73"/>
  <c r="I20" i="73"/>
  <c r="I21" i="73"/>
  <c r="I22" i="73"/>
  <c r="I23" i="73"/>
  <c r="I24" i="73"/>
  <c r="I25" i="73"/>
  <c r="I26" i="73"/>
  <c r="I27" i="73"/>
  <c r="I28" i="73"/>
  <c r="I29" i="73"/>
  <c r="I30" i="73"/>
  <c r="I31" i="73"/>
  <c r="I32" i="73"/>
  <c r="I12" i="73"/>
  <c r="I10" i="73"/>
  <c r="I8" i="73"/>
  <c r="I6" i="73"/>
  <c r="A248" i="87" l="1"/>
  <c r="A17" i="131"/>
  <c r="E52" i="131"/>
  <c r="C52" i="131"/>
  <c r="D52" i="131"/>
  <c r="H52" i="131"/>
  <c r="I52" i="131"/>
  <c r="F52" i="131"/>
  <c r="G52" i="131"/>
  <c r="B52" i="131"/>
  <c r="M52" i="131"/>
  <c r="L52" i="131"/>
  <c r="J52" i="131"/>
  <c r="K52" i="131"/>
  <c r="P52" i="131"/>
  <c r="O52" i="131"/>
  <c r="Q52" i="131"/>
  <c r="N52" i="131"/>
  <c r="X52" i="131"/>
  <c r="R52" i="131"/>
  <c r="S52" i="131"/>
  <c r="T52" i="131"/>
  <c r="U52" i="131"/>
  <c r="W52" i="131"/>
  <c r="AB52" i="131"/>
  <c r="V52" i="131"/>
  <c r="Y52" i="131"/>
  <c r="AC52" i="131"/>
  <c r="AF52" i="131"/>
  <c r="AA52" i="131"/>
  <c r="Z52" i="131"/>
  <c r="AE52" i="131"/>
  <c r="AD52" i="131"/>
  <c r="AG52" i="131"/>
  <c r="BV7" i="39"/>
  <c r="BW7" i="39"/>
  <c r="BX7" i="39"/>
  <c r="C62" i="140" s="1"/>
  <c r="BY7" i="39"/>
  <c r="BZ7" i="39"/>
  <c r="CA7" i="39"/>
  <c r="BV8" i="39"/>
  <c r="BW8" i="39"/>
  <c r="BX8" i="39"/>
  <c r="C63" i="140" s="1"/>
  <c r="BY8" i="39"/>
  <c r="BZ8" i="39"/>
  <c r="CA8" i="39"/>
  <c r="BV9" i="39"/>
  <c r="BW9" i="39"/>
  <c r="BX9" i="39"/>
  <c r="C64" i="140" s="1"/>
  <c r="BY9" i="39"/>
  <c r="BZ9" i="39"/>
  <c r="CA9" i="39"/>
  <c r="BV10" i="39"/>
  <c r="BW10" i="39"/>
  <c r="BX10" i="39"/>
  <c r="C65" i="140" s="1"/>
  <c r="BY10" i="39"/>
  <c r="BZ10" i="39"/>
  <c r="CA10" i="39"/>
  <c r="BV11" i="39"/>
  <c r="BW11" i="39"/>
  <c r="BX11" i="39"/>
  <c r="C66" i="140" s="1"/>
  <c r="BY11" i="39"/>
  <c r="BZ11" i="39"/>
  <c r="CA11" i="39"/>
  <c r="BV12" i="39"/>
  <c r="BW12" i="39"/>
  <c r="BX12" i="39"/>
  <c r="C67" i="140" s="1"/>
  <c r="BY12" i="39"/>
  <c r="BZ12" i="39"/>
  <c r="CA12" i="39"/>
  <c r="BV13" i="39"/>
  <c r="BW13" i="39"/>
  <c r="BX13" i="39"/>
  <c r="C68" i="140" s="1"/>
  <c r="BY13" i="39"/>
  <c r="BZ13" i="39"/>
  <c r="CA13" i="39"/>
  <c r="BV14" i="39"/>
  <c r="BW14" i="39"/>
  <c r="BX14" i="39"/>
  <c r="C69" i="140" s="1"/>
  <c r="BY14" i="39"/>
  <c r="BZ14" i="39"/>
  <c r="CA14" i="39"/>
  <c r="BV15" i="39"/>
  <c r="BW15" i="39"/>
  <c r="BX15" i="39"/>
  <c r="C70" i="140" s="1"/>
  <c r="BY15" i="39"/>
  <c r="BZ15" i="39"/>
  <c r="CA15" i="39"/>
  <c r="BV16" i="39"/>
  <c r="BW16" i="39"/>
  <c r="BX16" i="39"/>
  <c r="C71" i="140" s="1"/>
  <c r="BY16" i="39"/>
  <c r="BZ16" i="39"/>
  <c r="CA16" i="39"/>
  <c r="BV17" i="39"/>
  <c r="BW17" i="39"/>
  <c r="BX17" i="39"/>
  <c r="C72" i="140" s="1"/>
  <c r="BY17" i="39"/>
  <c r="BZ17" i="39"/>
  <c r="CA17" i="39"/>
  <c r="BV18" i="39"/>
  <c r="BW18" i="39"/>
  <c r="BX18" i="39"/>
  <c r="C73" i="140" s="1"/>
  <c r="BY18" i="39"/>
  <c r="BZ18" i="39"/>
  <c r="CA18" i="39"/>
  <c r="BV19" i="39"/>
  <c r="BW19" i="39"/>
  <c r="BX19" i="39"/>
  <c r="C74" i="140" s="1"/>
  <c r="BY19" i="39"/>
  <c r="BZ19" i="39"/>
  <c r="CA19" i="39"/>
  <c r="BV20" i="39"/>
  <c r="BW20" i="39"/>
  <c r="BX20" i="39"/>
  <c r="C75" i="140" s="1"/>
  <c r="BY20" i="39"/>
  <c r="BZ20" i="39"/>
  <c r="CA20" i="39"/>
  <c r="BV21" i="39"/>
  <c r="BW21" i="39"/>
  <c r="BX21" i="39"/>
  <c r="C76" i="140" s="1"/>
  <c r="BY21" i="39"/>
  <c r="BZ21" i="39"/>
  <c r="CA21" i="39"/>
  <c r="BV22" i="39"/>
  <c r="BW22" i="39"/>
  <c r="BX22" i="39"/>
  <c r="C77" i="140" s="1"/>
  <c r="BY22" i="39"/>
  <c r="BZ22" i="39"/>
  <c r="CA22" i="39"/>
  <c r="BV23" i="39"/>
  <c r="BW23" i="39"/>
  <c r="BX23" i="39"/>
  <c r="C78" i="140" s="1"/>
  <c r="BY23" i="39"/>
  <c r="BZ23" i="39"/>
  <c r="CA23" i="39"/>
  <c r="BV24" i="39"/>
  <c r="BW24" i="39"/>
  <c r="BX24" i="39"/>
  <c r="C79" i="140" s="1"/>
  <c r="BY24" i="39"/>
  <c r="BZ24" i="39"/>
  <c r="CA24" i="39"/>
  <c r="BV25" i="39"/>
  <c r="BW25" i="39"/>
  <c r="BX25" i="39"/>
  <c r="BY25" i="39"/>
  <c r="BZ25" i="39"/>
  <c r="CA25" i="39"/>
  <c r="BV26" i="39"/>
  <c r="BW26" i="39"/>
  <c r="BX26" i="39"/>
  <c r="C81" i="140" s="1"/>
  <c r="BY26" i="39"/>
  <c r="BZ26" i="39"/>
  <c r="CA26" i="39"/>
  <c r="BV27" i="39"/>
  <c r="BW27" i="39"/>
  <c r="BX27" i="39"/>
  <c r="C82" i="140" s="1"/>
  <c r="BY27" i="39"/>
  <c r="BZ27" i="39"/>
  <c r="CA27" i="39"/>
  <c r="BV28" i="39"/>
  <c r="BW28" i="39"/>
  <c r="BX28" i="39"/>
  <c r="C83" i="140" s="1"/>
  <c r="BY28" i="39"/>
  <c r="BZ28" i="39"/>
  <c r="CA28" i="39"/>
  <c r="BV29" i="39"/>
  <c r="BW29" i="39"/>
  <c r="BX29" i="39"/>
  <c r="C84" i="140" s="1"/>
  <c r="BY29" i="39"/>
  <c r="BZ29" i="39"/>
  <c r="CA29" i="39"/>
  <c r="BV30" i="39"/>
  <c r="BW30" i="39"/>
  <c r="BX30" i="39"/>
  <c r="C85" i="140" s="1"/>
  <c r="BY30" i="39"/>
  <c r="BZ30" i="39"/>
  <c r="CA30" i="39"/>
  <c r="BV31" i="39"/>
  <c r="BW31" i="39"/>
  <c r="BX31" i="39"/>
  <c r="BY31" i="39"/>
  <c r="BZ31" i="39"/>
  <c r="CA31" i="39"/>
  <c r="BV32" i="39"/>
  <c r="BW32" i="39"/>
  <c r="BX32" i="39"/>
  <c r="C87" i="140" s="1"/>
  <c r="BY32" i="39"/>
  <c r="BZ32" i="39"/>
  <c r="CA32" i="39"/>
  <c r="BV33" i="39"/>
  <c r="BW33" i="39"/>
  <c r="BX33" i="39"/>
  <c r="C88" i="140" s="1"/>
  <c r="BY33" i="39"/>
  <c r="BZ33" i="39"/>
  <c r="CA33" i="39"/>
  <c r="BV34" i="39"/>
  <c r="BW34" i="39"/>
  <c r="BX34" i="39"/>
  <c r="C89" i="140" s="1"/>
  <c r="BY34" i="39"/>
  <c r="BZ34" i="39"/>
  <c r="CA34" i="39"/>
  <c r="BV35" i="39"/>
  <c r="BW35" i="39"/>
  <c r="BX35" i="39"/>
  <c r="BY35" i="39"/>
  <c r="BZ35" i="39"/>
  <c r="CA35" i="39"/>
  <c r="BV36" i="39"/>
  <c r="BW36" i="39"/>
  <c r="BX36" i="39"/>
  <c r="C91" i="140" s="1"/>
  <c r="BY36" i="39"/>
  <c r="BZ36" i="39"/>
  <c r="CA36" i="39"/>
  <c r="BV37" i="39"/>
  <c r="BW37" i="39"/>
  <c r="BX37" i="39"/>
  <c r="C92" i="140" s="1"/>
  <c r="BY37" i="39"/>
  <c r="BZ37" i="39"/>
  <c r="CA37" i="39"/>
  <c r="BV38" i="39"/>
  <c r="BW38" i="39"/>
  <c r="BX38" i="39"/>
  <c r="C93" i="140" s="1"/>
  <c r="BY38" i="39"/>
  <c r="BZ38" i="39"/>
  <c r="CA38" i="39"/>
  <c r="BV39" i="39"/>
  <c r="BW39" i="39"/>
  <c r="BX39" i="39"/>
  <c r="C94" i="140" s="1"/>
  <c r="BY39" i="39"/>
  <c r="BZ39" i="39"/>
  <c r="CA39" i="39"/>
  <c r="BV40" i="39"/>
  <c r="BW40" i="39"/>
  <c r="BX40" i="39"/>
  <c r="C95" i="140" s="1"/>
  <c r="BY40" i="39"/>
  <c r="BZ40" i="39"/>
  <c r="CA40" i="39"/>
  <c r="BV41" i="39"/>
  <c r="BW41" i="39"/>
  <c r="BX41" i="39"/>
  <c r="C96" i="140" s="1"/>
  <c r="BY41" i="39"/>
  <c r="BZ41" i="39"/>
  <c r="CA41" i="39"/>
  <c r="BV42" i="39"/>
  <c r="BW42" i="39"/>
  <c r="BX42" i="39"/>
  <c r="C97" i="140" s="1"/>
  <c r="BY42" i="39"/>
  <c r="BZ42" i="39"/>
  <c r="CA42" i="39"/>
  <c r="BV43" i="39"/>
  <c r="BW43" i="39"/>
  <c r="BX43" i="39"/>
  <c r="C98" i="140" s="1"/>
  <c r="BY43" i="39"/>
  <c r="BZ43" i="39"/>
  <c r="CA43" i="39"/>
  <c r="BV44" i="39"/>
  <c r="BW44" i="39"/>
  <c r="BX44" i="39"/>
  <c r="C99" i="140" s="1"/>
  <c r="BY44" i="39"/>
  <c r="BZ44" i="39"/>
  <c r="CA44" i="39"/>
  <c r="BV45" i="39"/>
  <c r="BW45" i="39"/>
  <c r="BX45" i="39"/>
  <c r="C100" i="140" s="1"/>
  <c r="BY45" i="39"/>
  <c r="BZ45" i="39"/>
  <c r="CA45" i="39"/>
  <c r="BV46" i="39"/>
  <c r="BW46" i="39"/>
  <c r="BX46" i="39"/>
  <c r="C101" i="140" s="1"/>
  <c r="BY46" i="39"/>
  <c r="BZ46" i="39"/>
  <c r="CA46" i="39"/>
  <c r="BV47" i="39"/>
  <c r="BW47" i="39"/>
  <c r="BX47" i="39"/>
  <c r="C102" i="140" s="1"/>
  <c r="BY47" i="39"/>
  <c r="BZ47" i="39"/>
  <c r="CA47" i="39"/>
  <c r="BV48" i="39"/>
  <c r="BW48" i="39"/>
  <c r="BX48" i="39"/>
  <c r="C103" i="140" s="1"/>
  <c r="BY48" i="39"/>
  <c r="BZ48" i="39"/>
  <c r="CA48" i="39"/>
  <c r="BV49" i="39"/>
  <c r="BW49" i="39"/>
  <c r="BX49" i="39"/>
  <c r="C104" i="140" s="1"/>
  <c r="BY49" i="39"/>
  <c r="BZ49" i="39"/>
  <c r="CA49" i="39"/>
  <c r="BV50" i="39"/>
  <c r="BW50" i="39"/>
  <c r="BX50" i="39"/>
  <c r="C105" i="140" s="1"/>
  <c r="BY50" i="39"/>
  <c r="BZ50" i="39"/>
  <c r="CA50" i="39"/>
  <c r="BV51" i="39"/>
  <c r="BW51" i="39"/>
  <c r="BX51" i="39"/>
  <c r="C106" i="140" s="1"/>
  <c r="BY51" i="39"/>
  <c r="BZ51" i="39"/>
  <c r="CA51" i="39"/>
  <c r="BV52" i="39"/>
  <c r="BW52" i="39"/>
  <c r="BX52" i="39"/>
  <c r="C107" i="140" s="1"/>
  <c r="BY52" i="39"/>
  <c r="BZ52" i="39"/>
  <c r="CA52" i="39"/>
  <c r="BV53" i="39"/>
  <c r="BW53" i="39"/>
  <c r="BX53" i="39"/>
  <c r="C108" i="140" s="1"/>
  <c r="BY53" i="39"/>
  <c r="BZ53" i="39"/>
  <c r="CA53" i="39"/>
  <c r="BV54" i="39"/>
  <c r="BW54" i="39"/>
  <c r="BX54" i="39"/>
  <c r="C109" i="140" s="1"/>
  <c r="BY54" i="39"/>
  <c r="BZ54" i="39"/>
  <c r="CA54" i="39"/>
  <c r="BV55" i="39"/>
  <c r="BW55" i="39"/>
  <c r="BX55" i="39"/>
  <c r="C110" i="140" s="1"/>
  <c r="BY55" i="39"/>
  <c r="BZ55" i="39"/>
  <c r="CA55" i="39"/>
  <c r="BV56" i="39"/>
  <c r="BW56" i="39"/>
  <c r="BX56" i="39"/>
  <c r="C111" i="140" s="1"/>
  <c r="BY56" i="39"/>
  <c r="BZ56" i="39"/>
  <c r="CA56" i="39"/>
  <c r="BV57" i="39"/>
  <c r="BW57" i="39"/>
  <c r="BX57" i="39"/>
  <c r="C112" i="140" s="1"/>
  <c r="BY57" i="39"/>
  <c r="BZ57" i="39"/>
  <c r="CA57" i="39"/>
  <c r="BV58" i="39"/>
  <c r="BW58" i="39"/>
  <c r="BX58" i="39"/>
  <c r="C113" i="140" s="1"/>
  <c r="BY58" i="39"/>
  <c r="BZ58" i="39"/>
  <c r="CA58" i="39"/>
  <c r="BV59" i="39"/>
  <c r="BW59" i="39"/>
  <c r="BX59" i="39"/>
  <c r="C114" i="140" s="1"/>
  <c r="BY59" i="39"/>
  <c r="BZ59" i="39"/>
  <c r="CA59" i="39"/>
  <c r="BV60" i="39"/>
  <c r="BW60" i="39"/>
  <c r="BX60" i="39"/>
  <c r="C115" i="140" s="1"/>
  <c r="BY60" i="39"/>
  <c r="BZ60" i="39"/>
  <c r="CA60" i="39"/>
  <c r="BV61" i="39"/>
  <c r="BW61" i="39"/>
  <c r="BX61" i="39"/>
  <c r="BY61" i="39"/>
  <c r="BZ61" i="39"/>
  <c r="CA61" i="39"/>
  <c r="BW6" i="39"/>
  <c r="BX6" i="39"/>
  <c r="C61" i="140" s="1"/>
  <c r="BY6" i="39"/>
  <c r="BZ6" i="39"/>
  <c r="CA6" i="39"/>
  <c r="BV6" i="39"/>
  <c r="A249" i="87" l="1"/>
  <c r="A18" i="131"/>
  <c r="C53" i="131"/>
  <c r="E53" i="131"/>
  <c r="D53" i="131"/>
  <c r="B53" i="131"/>
  <c r="F53" i="131"/>
  <c r="H53" i="131"/>
  <c r="I53" i="131"/>
  <c r="G53" i="131"/>
  <c r="K53" i="131"/>
  <c r="L53" i="131"/>
  <c r="M53" i="131"/>
  <c r="J53" i="131"/>
  <c r="T53" i="131"/>
  <c r="O53" i="131"/>
  <c r="Q53" i="131"/>
  <c r="N53" i="131"/>
  <c r="P53" i="131"/>
  <c r="S53" i="131"/>
  <c r="R53" i="131"/>
  <c r="X53" i="131"/>
  <c r="U53" i="131"/>
  <c r="V53" i="131"/>
  <c r="W53" i="131"/>
  <c r="Y53" i="131"/>
  <c r="AB53" i="131"/>
  <c r="AC53" i="131"/>
  <c r="AF53" i="131"/>
  <c r="Z53" i="131"/>
  <c r="AA53" i="131"/>
  <c r="AG53" i="131"/>
  <c r="AD53" i="131"/>
  <c r="AE53" i="131"/>
  <c r="C17" i="58"/>
  <c r="C80" i="140"/>
  <c r="F17" i="58"/>
  <c r="C116" i="140"/>
  <c r="E17" i="58"/>
  <c r="C90" i="140"/>
  <c r="D17" i="58"/>
  <c r="C86" i="140"/>
  <c r="N9" i="132"/>
  <c r="B182" i="87"/>
  <c r="C182" i="87"/>
  <c r="B185" i="87"/>
  <c r="C185" i="87"/>
  <c r="B180" i="87"/>
  <c r="A181" i="87"/>
  <c r="A182" i="87" l="1"/>
  <c r="H122" i="87"/>
  <c r="I389" i="87"/>
  <c r="A326" i="87"/>
  <c r="A250" i="87"/>
  <c r="A19" i="131"/>
  <c r="C54" i="131"/>
  <c r="B54" i="131"/>
  <c r="A251" i="87" s="1"/>
  <c r="E54" i="131"/>
  <c r="D54" i="131"/>
  <c r="F54" i="131"/>
  <c r="G54" i="131"/>
  <c r="I54" i="131"/>
  <c r="H54" i="131"/>
  <c r="J54" i="131"/>
  <c r="M54" i="131"/>
  <c r="L54" i="131"/>
  <c r="K54" i="131"/>
  <c r="N54" i="131"/>
  <c r="T54" i="131"/>
  <c r="P54" i="131"/>
  <c r="O54" i="131"/>
  <c r="Q54" i="131"/>
  <c r="R54" i="131"/>
  <c r="X54" i="131"/>
  <c r="S54" i="131"/>
  <c r="U54" i="131"/>
  <c r="W54" i="131"/>
  <c r="V54" i="131"/>
  <c r="Y54" i="131"/>
  <c r="AB54" i="131"/>
  <c r="Z54" i="131"/>
  <c r="AC54" i="131"/>
  <c r="AA54" i="131"/>
  <c r="AF54" i="131"/>
  <c r="AG54" i="131"/>
  <c r="AE54" i="131"/>
  <c r="AD54" i="131"/>
  <c r="A20" i="131" l="1"/>
  <c r="B55" i="131"/>
  <c r="C55" i="131"/>
  <c r="G55" i="131"/>
  <c r="F55" i="131"/>
  <c r="D55" i="131"/>
  <c r="E55" i="131"/>
  <c r="H55" i="131"/>
  <c r="I55" i="131"/>
  <c r="J55" i="131"/>
  <c r="K55" i="131"/>
  <c r="L55" i="131"/>
  <c r="M55" i="131"/>
  <c r="N55" i="131"/>
  <c r="Q55" i="131"/>
  <c r="T55" i="131"/>
  <c r="P55" i="131"/>
  <c r="O55" i="131"/>
  <c r="X55" i="131"/>
  <c r="U55" i="131"/>
  <c r="R55" i="131"/>
  <c r="S55" i="131"/>
  <c r="W55" i="131"/>
  <c r="V55" i="131"/>
  <c r="AB55" i="131"/>
  <c r="Y55" i="131"/>
  <c r="Z55" i="131"/>
  <c r="AC55" i="131"/>
  <c r="AF55" i="131"/>
  <c r="AA55" i="131"/>
  <c r="AE55" i="131"/>
  <c r="AD55" i="131"/>
  <c r="AG55" i="131"/>
  <c r="A183" i="87"/>
  <c r="I390" i="87"/>
  <c r="A327" i="87"/>
  <c r="S5" i="129"/>
  <c r="N5" i="129" s="1"/>
  <c r="F5" i="129"/>
  <c r="AA7" i="73"/>
  <c r="M35" i="152" s="1"/>
  <c r="AA8" i="73"/>
  <c r="M36" i="152" s="1"/>
  <c r="AA9" i="73"/>
  <c r="M37" i="152" s="1"/>
  <c r="AA10" i="73"/>
  <c r="M38" i="152" s="1"/>
  <c r="AA11" i="73"/>
  <c r="M39" i="152" s="1"/>
  <c r="M40" i="152"/>
  <c r="AA13" i="73"/>
  <c r="M41" i="152" s="1"/>
  <c r="AA14" i="73"/>
  <c r="M42" i="152" s="1"/>
  <c r="AA15" i="73"/>
  <c r="M43" i="152" s="1"/>
  <c r="AA16" i="73"/>
  <c r="M44" i="152" s="1"/>
  <c r="AA17" i="73"/>
  <c r="M45" i="152" s="1"/>
  <c r="AA18" i="73"/>
  <c r="M46" i="152" s="1"/>
  <c r="AA19" i="73"/>
  <c r="M47" i="152" s="1"/>
  <c r="AA20" i="73"/>
  <c r="M48" i="152" s="1"/>
  <c r="AA21" i="73"/>
  <c r="M49" i="152" s="1"/>
  <c r="AA22" i="73"/>
  <c r="M50" i="152" s="1"/>
  <c r="AA23" i="73"/>
  <c r="M51" i="152" s="1"/>
  <c r="AA24" i="73"/>
  <c r="M52" i="152" s="1"/>
  <c r="AA25" i="73"/>
  <c r="M53" i="152" s="1"/>
  <c r="AA26" i="73"/>
  <c r="M54" i="152" s="1"/>
  <c r="AA27" i="73"/>
  <c r="M55" i="152" s="1"/>
  <c r="AA28" i="73"/>
  <c r="M56" i="152" s="1"/>
  <c r="AA29" i="73"/>
  <c r="M57" i="152" s="1"/>
  <c r="AA30" i="73"/>
  <c r="M58" i="152" s="1"/>
  <c r="AA31" i="73"/>
  <c r="M59" i="152" s="1"/>
  <c r="AA32" i="73"/>
  <c r="M60" i="152" s="1"/>
  <c r="AA33" i="73"/>
  <c r="M61" i="152" s="1"/>
  <c r="AA34" i="73"/>
  <c r="M62" i="152" s="1"/>
  <c r="AA35" i="73"/>
  <c r="M63" i="152" s="1"/>
  <c r="AA36" i="73"/>
  <c r="M64" i="152" s="1"/>
  <c r="AA37" i="73"/>
  <c r="M65" i="152" s="1"/>
  <c r="AA38" i="73"/>
  <c r="M66" i="152" s="1"/>
  <c r="AA39" i="73"/>
  <c r="M67" i="152" s="1"/>
  <c r="AA40" i="73"/>
  <c r="M68" i="152" s="1"/>
  <c r="AA41" i="73"/>
  <c r="M69" i="152" s="1"/>
  <c r="AA42" i="73"/>
  <c r="M70" i="152" s="1"/>
  <c r="AA43" i="73"/>
  <c r="M71" i="152" s="1"/>
  <c r="AA44" i="73"/>
  <c r="M72" i="152" s="1"/>
  <c r="AA45" i="73"/>
  <c r="M73" i="152" s="1"/>
  <c r="AA46" i="73"/>
  <c r="M74" i="152" s="1"/>
  <c r="AA47" i="73"/>
  <c r="M75" i="152" s="1"/>
  <c r="AA48" i="73"/>
  <c r="M76" i="152" s="1"/>
  <c r="AA49" i="73"/>
  <c r="M77" i="152" s="1"/>
  <c r="AA50" i="73"/>
  <c r="M78" i="152" s="1"/>
  <c r="AA51" i="73"/>
  <c r="M79" i="152" s="1"/>
  <c r="AA52" i="73"/>
  <c r="M80" i="152" s="1"/>
  <c r="AA53" i="73"/>
  <c r="M81" i="152" s="1"/>
  <c r="AA54" i="73"/>
  <c r="M82" i="152" s="1"/>
  <c r="AA55" i="73"/>
  <c r="M83" i="152" s="1"/>
  <c r="AA56" i="73"/>
  <c r="M84" i="152" s="1"/>
  <c r="AA57" i="73"/>
  <c r="M85" i="152" s="1"/>
  <c r="AA58" i="73"/>
  <c r="M86" i="152" s="1"/>
  <c r="AA59" i="73"/>
  <c r="M87" i="152" s="1"/>
  <c r="AA60" i="73"/>
  <c r="M88" i="152" s="1"/>
  <c r="AA61" i="73"/>
  <c r="M89" i="152" s="1"/>
  <c r="AA6" i="73"/>
  <c r="K12" i="114"/>
  <c r="K13" i="114"/>
  <c r="K14" i="114"/>
  <c r="K15" i="114"/>
  <c r="K16" i="114"/>
  <c r="K17" i="114"/>
  <c r="K18" i="114"/>
  <c r="K19" i="114"/>
  <c r="K20" i="114"/>
  <c r="K21" i="114"/>
  <c r="K22" i="114"/>
  <c r="K23" i="114"/>
  <c r="K24" i="114"/>
  <c r="K25" i="114"/>
  <c r="K26" i="114"/>
  <c r="K27" i="114"/>
  <c r="K28" i="114"/>
  <c r="K29" i="114"/>
  <c r="K30" i="114"/>
  <c r="K31" i="114"/>
  <c r="K32" i="114"/>
  <c r="K33" i="114"/>
  <c r="K34" i="114"/>
  <c r="K35" i="114"/>
  <c r="K36" i="114"/>
  <c r="K37" i="114"/>
  <c r="K38" i="114"/>
  <c r="K39" i="114"/>
  <c r="K40" i="114"/>
  <c r="K41" i="114"/>
  <c r="K42" i="114"/>
  <c r="K43" i="114"/>
  <c r="K44" i="114"/>
  <c r="K45" i="114"/>
  <c r="K46" i="114"/>
  <c r="K47" i="114"/>
  <c r="K48" i="114"/>
  <c r="K49" i="114"/>
  <c r="K50" i="114"/>
  <c r="K51" i="114"/>
  <c r="K52" i="114"/>
  <c r="K53" i="114"/>
  <c r="K54" i="114"/>
  <c r="K55" i="114"/>
  <c r="K56" i="114"/>
  <c r="K57" i="114"/>
  <c r="K58" i="114"/>
  <c r="K59" i="114"/>
  <c r="K60" i="114"/>
  <c r="K61" i="114"/>
  <c r="K62" i="114"/>
  <c r="K63" i="114"/>
  <c r="K64" i="114"/>
  <c r="K65" i="114"/>
  <c r="K66" i="114"/>
  <c r="K67" i="114"/>
  <c r="K11" i="114"/>
  <c r="AA11" i="129"/>
  <c r="AA12" i="129"/>
  <c r="AA13" i="129"/>
  <c r="AA14" i="129"/>
  <c r="AA15" i="129"/>
  <c r="AA16" i="129"/>
  <c r="AA17" i="129"/>
  <c r="AA18" i="129"/>
  <c r="AA19" i="129"/>
  <c r="AA20" i="129"/>
  <c r="AA21" i="129"/>
  <c r="AA22" i="129"/>
  <c r="AA23" i="129"/>
  <c r="AA24" i="129"/>
  <c r="AA25" i="129"/>
  <c r="AA26" i="129"/>
  <c r="AA27" i="129"/>
  <c r="AA28" i="129"/>
  <c r="AA29" i="129"/>
  <c r="AA30" i="129"/>
  <c r="AA31" i="129"/>
  <c r="AA32" i="129"/>
  <c r="AA33" i="129"/>
  <c r="AA34" i="129"/>
  <c r="AA35" i="129"/>
  <c r="AA36" i="129"/>
  <c r="AA37" i="129"/>
  <c r="AA38" i="129"/>
  <c r="AA39" i="129"/>
  <c r="AA40" i="129"/>
  <c r="AA41" i="129"/>
  <c r="AA42" i="129"/>
  <c r="AA43" i="129"/>
  <c r="AA44" i="129"/>
  <c r="AA45" i="129"/>
  <c r="AA46" i="129"/>
  <c r="AA47" i="129"/>
  <c r="AA48" i="129"/>
  <c r="AA49" i="129"/>
  <c r="AA50" i="129"/>
  <c r="AA51" i="129"/>
  <c r="AA52" i="129"/>
  <c r="AA53" i="129"/>
  <c r="AA54" i="129"/>
  <c r="AA55" i="129"/>
  <c r="AA56" i="129"/>
  <c r="AA57" i="129"/>
  <c r="AA58" i="129"/>
  <c r="AA59" i="129"/>
  <c r="AA60" i="129"/>
  <c r="D53" i="80"/>
  <c r="D49" i="80"/>
  <c r="D45" i="80"/>
  <c r="AH128" i="80"/>
  <c r="AG128" i="80" s="1"/>
  <c r="AH127" i="80"/>
  <c r="AG127" i="80" s="1"/>
  <c r="AH126" i="80"/>
  <c r="AG126" i="80" s="1"/>
  <c r="AH125" i="80"/>
  <c r="AG125" i="80" s="1"/>
  <c r="AH124" i="80"/>
  <c r="AG124" i="80" s="1"/>
  <c r="AH123" i="80"/>
  <c r="AG123" i="80" s="1"/>
  <c r="AH122" i="80"/>
  <c r="AG122" i="80"/>
  <c r="D55" i="80" s="1"/>
  <c r="AH121" i="80"/>
  <c r="AG121" i="80"/>
  <c r="D54" i="80" s="1"/>
  <c r="AH120" i="80"/>
  <c r="AG120" i="80" s="1"/>
  <c r="AH119" i="80"/>
  <c r="AG119" i="80" s="1"/>
  <c r="AH118" i="80"/>
  <c r="AG118" i="80" s="1"/>
  <c r="AH117" i="80"/>
  <c r="AG117" i="80" s="1"/>
  <c r="AH116" i="80"/>
  <c r="AG116" i="80" s="1"/>
  <c r="AH115" i="80"/>
  <c r="AG115" i="80"/>
  <c r="D48" i="80" s="1"/>
  <c r="AH114" i="80"/>
  <c r="AG114" i="80" s="1"/>
  <c r="AH113" i="80"/>
  <c r="AG113" i="80"/>
  <c r="D46" i="80" s="1"/>
  <c r="AH112" i="80"/>
  <c r="AG112" i="80" s="1"/>
  <c r="AH111" i="80"/>
  <c r="AG111" i="80" s="1"/>
  <c r="AH110" i="80"/>
  <c r="AG110" i="80" s="1"/>
  <c r="AH109" i="80"/>
  <c r="AG109" i="80" s="1"/>
  <c r="D58" i="80" l="1"/>
  <c r="D60" i="80"/>
  <c r="D52" i="80"/>
  <c r="D47" i="80"/>
  <c r="D43" i="80"/>
  <c r="D59" i="80"/>
  <c r="D5" i="80"/>
  <c r="D13" i="80"/>
  <c r="D22" i="80"/>
  <c r="D31" i="80"/>
  <c r="D39" i="80"/>
  <c r="D16" i="80"/>
  <c r="D38" i="80"/>
  <c r="D6" i="80"/>
  <c r="D14" i="80"/>
  <c r="D23" i="80"/>
  <c r="D32" i="80"/>
  <c r="D40" i="80"/>
  <c r="D26" i="80"/>
  <c r="D25" i="80"/>
  <c r="D7" i="80"/>
  <c r="D15" i="80"/>
  <c r="D24" i="80"/>
  <c r="D33" i="80"/>
  <c r="D41" i="80"/>
  <c r="D8" i="80"/>
  <c r="D42" i="80"/>
  <c r="D21" i="80"/>
  <c r="D20" i="80"/>
  <c r="D34" i="80"/>
  <c r="D12" i="80"/>
  <c r="D9" i="80"/>
  <c r="D17" i="80"/>
  <c r="D27" i="80"/>
  <c r="D35" i="80"/>
  <c r="D30" i="80"/>
  <c r="D10" i="80"/>
  <c r="D18" i="80"/>
  <c r="D28" i="80"/>
  <c r="D36" i="80"/>
  <c r="D11" i="80"/>
  <c r="D19" i="80"/>
  <c r="D29" i="80"/>
  <c r="D37" i="80"/>
  <c r="D44" i="80"/>
  <c r="D50" i="80"/>
  <c r="D56" i="80"/>
  <c r="D51" i="80"/>
  <c r="D57" i="80"/>
  <c r="A184" i="87"/>
  <c r="I391" i="87"/>
  <c r="A328" i="87"/>
  <c r="A252" i="87"/>
  <c r="A21" i="131"/>
  <c r="B56" i="131"/>
  <c r="E56" i="131"/>
  <c r="H56" i="131"/>
  <c r="G56" i="131"/>
  <c r="F56" i="131"/>
  <c r="D56" i="131"/>
  <c r="I56" i="131"/>
  <c r="C56" i="131"/>
  <c r="J56" i="131"/>
  <c r="K56" i="131"/>
  <c r="M56" i="131"/>
  <c r="L56" i="131"/>
  <c r="O56" i="131"/>
  <c r="P56" i="131"/>
  <c r="Q56" i="131"/>
  <c r="N56" i="131"/>
  <c r="T56" i="131"/>
  <c r="U56" i="131"/>
  <c r="S56" i="131"/>
  <c r="X56" i="131"/>
  <c r="R56" i="131"/>
  <c r="AB56" i="131"/>
  <c r="W56" i="131"/>
  <c r="Y56" i="131"/>
  <c r="V56" i="131"/>
  <c r="AA56" i="131"/>
  <c r="Z56" i="131"/>
  <c r="AF56" i="131"/>
  <c r="AC56" i="131"/>
  <c r="AG56" i="131"/>
  <c r="AD56" i="131"/>
  <c r="AE56" i="131"/>
  <c r="AI9" i="69"/>
  <c r="M34" i="152"/>
  <c r="M76" i="146"/>
  <c r="M45" i="133"/>
  <c r="K45" i="133"/>
  <c r="M52" i="146"/>
  <c r="M21" i="133"/>
  <c r="K21" i="133"/>
  <c r="M75" i="146"/>
  <c r="M44" i="133"/>
  <c r="K44" i="133"/>
  <c r="M51" i="146"/>
  <c r="M20" i="133"/>
  <c r="K20" i="133"/>
  <c r="M74" i="146"/>
  <c r="M43" i="133"/>
  <c r="K43" i="133"/>
  <c r="M42" i="146"/>
  <c r="F132" i="133"/>
  <c r="F130" i="133"/>
  <c r="F131" i="133"/>
  <c r="G132" i="133"/>
  <c r="G133" i="133"/>
  <c r="G131" i="133"/>
  <c r="F133" i="133"/>
  <c r="F134" i="133"/>
  <c r="G130" i="133"/>
  <c r="K11" i="133"/>
  <c r="M11" i="133"/>
  <c r="M81" i="146"/>
  <c r="M50" i="133"/>
  <c r="K50" i="133"/>
  <c r="M57" i="146"/>
  <c r="M26" i="133"/>
  <c r="K26" i="133"/>
  <c r="M72" i="146"/>
  <c r="M41" i="133"/>
  <c r="K41" i="133"/>
  <c r="M40" i="146"/>
  <c r="K9" i="133"/>
  <c r="M9" i="133"/>
  <c r="M87" i="146"/>
  <c r="M56" i="133"/>
  <c r="K56" i="133"/>
  <c r="M79" i="146"/>
  <c r="M48" i="133"/>
  <c r="K48" i="133"/>
  <c r="M71" i="146"/>
  <c r="M40" i="133"/>
  <c r="K40" i="133"/>
  <c r="M63" i="146"/>
  <c r="M32" i="133"/>
  <c r="K32" i="133"/>
  <c r="M55" i="146"/>
  <c r="M24" i="133"/>
  <c r="K24" i="133"/>
  <c r="M47" i="146"/>
  <c r="K16" i="133"/>
  <c r="M16" i="133"/>
  <c r="M39" i="146"/>
  <c r="M8" i="133"/>
  <c r="K8" i="133"/>
  <c r="M68" i="146"/>
  <c r="M37" i="133"/>
  <c r="K37" i="133"/>
  <c r="M44" i="146"/>
  <c r="K13" i="133"/>
  <c r="M13" i="133"/>
  <c r="M83" i="146"/>
  <c r="M52" i="133"/>
  <c r="K52" i="133"/>
  <c r="M67" i="146"/>
  <c r="M36" i="133"/>
  <c r="K36" i="133"/>
  <c r="M43" i="146"/>
  <c r="K12" i="133"/>
  <c r="M12" i="133"/>
  <c r="M82" i="146"/>
  <c r="M51" i="133"/>
  <c r="K51" i="133"/>
  <c r="M50" i="146"/>
  <c r="K19" i="133"/>
  <c r="M19" i="133"/>
  <c r="M89" i="146"/>
  <c r="M58" i="133"/>
  <c r="K58" i="133"/>
  <c r="M73" i="146"/>
  <c r="M42" i="133"/>
  <c r="K42" i="133"/>
  <c r="M41" i="146"/>
  <c r="K10" i="133"/>
  <c r="M10" i="133"/>
  <c r="M80" i="146"/>
  <c r="G150" i="133"/>
  <c r="F150" i="133"/>
  <c r="F154" i="133"/>
  <c r="F152" i="133"/>
  <c r="G152" i="133"/>
  <c r="F153" i="133"/>
  <c r="F151" i="133"/>
  <c r="G151" i="133"/>
  <c r="G153" i="133"/>
  <c r="M49" i="133"/>
  <c r="K49" i="133"/>
  <c r="M56" i="146"/>
  <c r="M25" i="133"/>
  <c r="K25" i="133"/>
  <c r="M86" i="146"/>
  <c r="M55" i="133"/>
  <c r="K55" i="133"/>
  <c r="M78" i="146"/>
  <c r="M47" i="133"/>
  <c r="K47" i="133"/>
  <c r="M70" i="146"/>
  <c r="M39" i="133"/>
  <c r="K39" i="133"/>
  <c r="M62" i="146"/>
  <c r="M31" i="133"/>
  <c r="K31" i="133"/>
  <c r="M54" i="146"/>
  <c r="M23" i="133"/>
  <c r="K23" i="133"/>
  <c r="M46" i="146"/>
  <c r="K15" i="133"/>
  <c r="M15" i="133"/>
  <c r="M38" i="146"/>
  <c r="M7" i="133"/>
  <c r="K7" i="133"/>
  <c r="M84" i="146"/>
  <c r="M53" i="133"/>
  <c r="K53" i="133"/>
  <c r="M60" i="146"/>
  <c r="M29" i="133"/>
  <c r="K29" i="133"/>
  <c r="M36" i="146"/>
  <c r="M5" i="133"/>
  <c r="K5" i="133"/>
  <c r="M59" i="146"/>
  <c r="M28" i="133"/>
  <c r="K28" i="133"/>
  <c r="M35" i="146"/>
  <c r="M4" i="133"/>
  <c r="K4" i="133"/>
  <c r="M34" i="146"/>
  <c r="K3" i="133"/>
  <c r="M3" i="133"/>
  <c r="M66" i="146"/>
  <c r="M35" i="133"/>
  <c r="K35" i="133"/>
  <c r="M58" i="146"/>
  <c r="M27" i="133"/>
  <c r="K27" i="133"/>
  <c r="M65" i="146"/>
  <c r="M34" i="133"/>
  <c r="K34" i="133"/>
  <c r="M49" i="146"/>
  <c r="K18" i="133"/>
  <c r="M18" i="133"/>
  <c r="M88" i="146"/>
  <c r="M57" i="133"/>
  <c r="K57" i="133"/>
  <c r="M64" i="146"/>
  <c r="M33" i="133"/>
  <c r="K33" i="133"/>
  <c r="M48" i="146"/>
  <c r="K17" i="133"/>
  <c r="M17" i="133"/>
  <c r="M85" i="146"/>
  <c r="M54" i="133"/>
  <c r="K54" i="133"/>
  <c r="M77" i="146"/>
  <c r="M46" i="133"/>
  <c r="K46" i="133"/>
  <c r="M69" i="146"/>
  <c r="G142" i="133"/>
  <c r="F143" i="133"/>
  <c r="F140" i="133"/>
  <c r="M38" i="133"/>
  <c r="F142" i="133"/>
  <c r="G143" i="133"/>
  <c r="G140" i="133"/>
  <c r="F144" i="133"/>
  <c r="F141" i="133"/>
  <c r="G141" i="133"/>
  <c r="K38" i="133"/>
  <c r="M61" i="146"/>
  <c r="M30" i="133"/>
  <c r="K30" i="133"/>
  <c r="M53" i="146"/>
  <c r="M22" i="133"/>
  <c r="K22" i="133"/>
  <c r="M45" i="146"/>
  <c r="K14" i="133"/>
  <c r="M14" i="133"/>
  <c r="M37" i="146"/>
  <c r="M6" i="133"/>
  <c r="K6" i="133"/>
  <c r="K27" i="129"/>
  <c r="L28" i="129"/>
  <c r="L29" i="129" s="1"/>
  <c r="L30" i="129" s="1"/>
  <c r="L31" i="129" s="1"/>
  <c r="L32" i="129" s="1"/>
  <c r="L33" i="129" s="1"/>
  <c r="L34" i="129" s="1"/>
  <c r="L35" i="129" s="1"/>
  <c r="L36" i="129" s="1"/>
  <c r="L37" i="129" s="1"/>
  <c r="L38" i="129" s="1"/>
  <c r="L39" i="129" s="1"/>
  <c r="L40" i="129" s="1"/>
  <c r="L41" i="129" s="1"/>
  <c r="L20" i="129"/>
  <c r="L21" i="129" s="1"/>
  <c r="L22" i="129" s="1"/>
  <c r="L23" i="129" s="1"/>
  <c r="L24" i="129" s="1"/>
  <c r="L25" i="129" s="1"/>
  <c r="L26" i="129" s="1"/>
  <c r="J27" i="129"/>
  <c r="I27" i="129"/>
  <c r="H27" i="129"/>
  <c r="E27" i="129"/>
  <c r="D27" i="129"/>
  <c r="C27" i="129"/>
  <c r="B27" i="129"/>
  <c r="S27" i="129" s="1"/>
  <c r="A253" i="87" l="1"/>
  <c r="A22" i="131"/>
  <c r="D57" i="131"/>
  <c r="C57" i="131"/>
  <c r="B57" i="131"/>
  <c r="E57" i="131"/>
  <c r="F57" i="131"/>
  <c r="H57" i="131"/>
  <c r="G57" i="131"/>
  <c r="I57" i="131"/>
  <c r="J57" i="131"/>
  <c r="K57" i="131"/>
  <c r="M57" i="131"/>
  <c r="L57" i="131"/>
  <c r="Q57" i="131"/>
  <c r="T57" i="131"/>
  <c r="P57" i="131"/>
  <c r="N57" i="131"/>
  <c r="O57" i="131"/>
  <c r="U57" i="131"/>
  <c r="R57" i="131"/>
  <c r="X57" i="131"/>
  <c r="S57" i="131"/>
  <c r="Y57" i="131"/>
  <c r="AB57" i="131"/>
  <c r="V57" i="131"/>
  <c r="W57" i="131"/>
  <c r="Z57" i="131"/>
  <c r="AF57" i="131"/>
  <c r="AC57" i="131"/>
  <c r="AA57" i="131"/>
  <c r="AE57" i="131"/>
  <c r="AG57" i="131"/>
  <c r="AD57" i="131"/>
  <c r="A185" i="87"/>
  <c r="I392" i="87"/>
  <c r="A329" i="87"/>
  <c r="I28" i="129"/>
  <c r="AC27" i="129"/>
  <c r="W27" i="129"/>
  <c r="F27" i="129"/>
  <c r="P27" i="129"/>
  <c r="I20" i="129"/>
  <c r="O27" i="129"/>
  <c r="Q27" i="129"/>
  <c r="N27" i="129"/>
  <c r="T27" i="129" s="1"/>
  <c r="Q28" i="74" s="1"/>
  <c r="A254" i="87" l="1"/>
  <c r="I21" i="129"/>
  <c r="I22" i="129" s="1"/>
  <c r="AC20" i="129"/>
  <c r="I29" i="129"/>
  <c r="AC28" i="129"/>
  <c r="A186" i="87"/>
  <c r="I393" i="87"/>
  <c r="A330" i="87"/>
  <c r="A23" i="131"/>
  <c r="F58" i="131"/>
  <c r="D58" i="131"/>
  <c r="B58" i="131"/>
  <c r="E58" i="131"/>
  <c r="G58" i="131"/>
  <c r="I58" i="131"/>
  <c r="H58" i="131"/>
  <c r="C58" i="131"/>
  <c r="M58" i="131"/>
  <c r="L58" i="131"/>
  <c r="J58" i="131"/>
  <c r="K58" i="131"/>
  <c r="T58" i="131"/>
  <c r="P58" i="131"/>
  <c r="N58" i="131"/>
  <c r="O58" i="131"/>
  <c r="Q58" i="131"/>
  <c r="X58" i="131"/>
  <c r="U58" i="131"/>
  <c r="S58" i="131"/>
  <c r="R58" i="131"/>
  <c r="V58" i="131"/>
  <c r="W58" i="131"/>
  <c r="AB58" i="131"/>
  <c r="Y58" i="131"/>
  <c r="AF58" i="131"/>
  <c r="Z58" i="131"/>
  <c r="AC58" i="131"/>
  <c r="AA58" i="131"/>
  <c r="AD58" i="131"/>
  <c r="AG58" i="131"/>
  <c r="AE58" i="131"/>
  <c r="U27" i="129"/>
  <c r="A187" i="87" l="1"/>
  <c r="I394" i="87"/>
  <c r="A331" i="87"/>
  <c r="A255" i="87"/>
  <c r="I30" i="129"/>
  <c r="AC29" i="129"/>
  <c r="I23" i="129"/>
  <c r="I24" i="129" s="1"/>
  <c r="AC22" i="129"/>
  <c r="A24" i="131"/>
  <c r="E59" i="131"/>
  <c r="D59" i="131"/>
  <c r="C59" i="131"/>
  <c r="I59" i="131"/>
  <c r="G59" i="131"/>
  <c r="B59" i="131"/>
  <c r="F59" i="131"/>
  <c r="H59" i="131"/>
  <c r="M59" i="131"/>
  <c r="L59" i="131"/>
  <c r="K59" i="131"/>
  <c r="J59" i="131"/>
  <c r="P59" i="131"/>
  <c r="O59" i="131"/>
  <c r="N59" i="131"/>
  <c r="Q59" i="131"/>
  <c r="T59" i="131"/>
  <c r="X59" i="131"/>
  <c r="R59" i="131"/>
  <c r="S59" i="131"/>
  <c r="U59" i="131"/>
  <c r="Y59" i="131"/>
  <c r="V59" i="131"/>
  <c r="AB59" i="131"/>
  <c r="W59" i="131"/>
  <c r="AA59" i="131"/>
  <c r="Z59" i="131"/>
  <c r="AC59" i="131"/>
  <c r="AF59" i="131"/>
  <c r="AE59" i="131"/>
  <c r="AD59" i="131"/>
  <c r="AG59" i="131"/>
  <c r="S15" i="129"/>
  <c r="N15" i="129" s="1"/>
  <c r="I25" i="129" l="1"/>
  <c r="AC24" i="129"/>
  <c r="I31" i="129"/>
  <c r="AC30" i="129"/>
  <c r="A256" i="87"/>
  <c r="A25" i="131"/>
  <c r="B60" i="131"/>
  <c r="E60" i="131"/>
  <c r="D60" i="131"/>
  <c r="C60" i="131"/>
  <c r="H60" i="131"/>
  <c r="I60" i="131"/>
  <c r="G60" i="131"/>
  <c r="F60" i="131"/>
  <c r="M60" i="131"/>
  <c r="L60" i="131"/>
  <c r="J60" i="131"/>
  <c r="K60" i="131"/>
  <c r="O60" i="131"/>
  <c r="P60" i="131"/>
  <c r="N60" i="131"/>
  <c r="Q60" i="131"/>
  <c r="S60" i="131"/>
  <c r="R60" i="131"/>
  <c r="T60" i="131"/>
  <c r="X60" i="131"/>
  <c r="U60" i="131"/>
  <c r="W60" i="131"/>
  <c r="Y60" i="131"/>
  <c r="V60" i="131"/>
  <c r="AB60" i="131"/>
  <c r="AC60" i="131"/>
  <c r="AF60" i="131"/>
  <c r="AA60" i="131"/>
  <c r="Z60" i="131"/>
  <c r="AE60" i="131"/>
  <c r="AG60" i="131"/>
  <c r="AD60" i="131"/>
  <c r="A188" i="87"/>
  <c r="I395" i="87"/>
  <c r="A332" i="87"/>
  <c r="E60" i="93"/>
  <c r="W47" i="129"/>
  <c r="W48" i="129"/>
  <c r="W49" i="129"/>
  <c r="W50" i="129"/>
  <c r="W51" i="129"/>
  <c r="W52" i="129"/>
  <c r="W53" i="129"/>
  <c r="W54" i="129"/>
  <c r="W55" i="129"/>
  <c r="W56" i="129"/>
  <c r="W57" i="129"/>
  <c r="W58" i="129"/>
  <c r="W45" i="129"/>
  <c r="W46" i="129"/>
  <c r="W42" i="129"/>
  <c r="W19" i="129"/>
  <c r="W15" i="129"/>
  <c r="W10" i="129"/>
  <c r="W7" i="129"/>
  <c r="W5" i="129"/>
  <c r="A26" i="131" l="1"/>
  <c r="I61" i="131"/>
  <c r="C61" i="131"/>
  <c r="H61" i="131"/>
  <c r="B61" i="131"/>
  <c r="F61" i="131"/>
  <c r="D61" i="131"/>
  <c r="E61" i="131"/>
  <c r="G61" i="131"/>
  <c r="L61" i="131"/>
  <c r="M61" i="131"/>
  <c r="K61" i="131"/>
  <c r="J61" i="131"/>
  <c r="Q61" i="131"/>
  <c r="N61" i="131"/>
  <c r="T61" i="131"/>
  <c r="P61" i="131"/>
  <c r="O61" i="131"/>
  <c r="R61" i="131"/>
  <c r="S61" i="131"/>
  <c r="U61" i="131"/>
  <c r="X61" i="131"/>
  <c r="W61" i="131"/>
  <c r="V61" i="131"/>
  <c r="AB61" i="131"/>
  <c r="Y61" i="131"/>
  <c r="AF61" i="131"/>
  <c r="AA61" i="131"/>
  <c r="AC61" i="131"/>
  <c r="Z61" i="131"/>
  <c r="AE61" i="131"/>
  <c r="AG61" i="131"/>
  <c r="AD61" i="131"/>
  <c r="A257" i="87"/>
  <c r="I32" i="129"/>
  <c r="AC31" i="129"/>
  <c r="A189" i="87"/>
  <c r="I396" i="87"/>
  <c r="A333" i="87"/>
  <c r="I26" i="129"/>
  <c r="AC26" i="129" s="1"/>
  <c r="AC25" i="129"/>
  <c r="A190" i="87" l="1"/>
  <c r="I397" i="87"/>
  <c r="A334" i="87"/>
  <c r="A258" i="87"/>
  <c r="I33" i="129"/>
  <c r="AC32" i="129"/>
  <c r="A27" i="131"/>
  <c r="G62" i="131"/>
  <c r="I62" i="131"/>
  <c r="C62" i="131"/>
  <c r="H62" i="131"/>
  <c r="B62" i="131"/>
  <c r="F62" i="131"/>
  <c r="D62" i="131"/>
  <c r="E62" i="131"/>
  <c r="J62" i="131"/>
  <c r="M62" i="131"/>
  <c r="L62" i="131"/>
  <c r="K62" i="131"/>
  <c r="O62" i="131"/>
  <c r="P62" i="131"/>
  <c r="Q62" i="131"/>
  <c r="T62" i="131"/>
  <c r="N62" i="131"/>
  <c r="R62" i="131"/>
  <c r="X62" i="131"/>
  <c r="S62" i="131"/>
  <c r="U62" i="131"/>
  <c r="W62" i="131"/>
  <c r="V62" i="131"/>
  <c r="AB62" i="131"/>
  <c r="Y62" i="131"/>
  <c r="AC62" i="131"/>
  <c r="AA62" i="131"/>
  <c r="Z62" i="131"/>
  <c r="AF62" i="131"/>
  <c r="AD62" i="131"/>
  <c r="AE62" i="131"/>
  <c r="AG62" i="131"/>
  <c r="I59" i="129"/>
  <c r="L59" i="129"/>
  <c r="L60" i="129" s="1"/>
  <c r="L43" i="129"/>
  <c r="L44" i="129" s="1"/>
  <c r="I43" i="129"/>
  <c r="I16" i="129"/>
  <c r="I17" i="129" s="1"/>
  <c r="L16" i="129"/>
  <c r="L17" i="129" s="1"/>
  <c r="L18" i="129" s="1"/>
  <c r="I11" i="129"/>
  <c r="L11" i="129"/>
  <c r="L12" i="129" s="1"/>
  <c r="L13" i="129" s="1"/>
  <c r="L14" i="129" s="1"/>
  <c r="I8" i="129"/>
  <c r="L8" i="129"/>
  <c r="I6" i="129"/>
  <c r="L6" i="129"/>
  <c r="B181" i="87" s="1"/>
  <c r="S7" i="129"/>
  <c r="S10" i="129"/>
  <c r="S19" i="129"/>
  <c r="S42" i="129"/>
  <c r="S45" i="129"/>
  <c r="S46" i="129"/>
  <c r="S47" i="129"/>
  <c r="S48" i="129"/>
  <c r="S49" i="129"/>
  <c r="S50" i="129"/>
  <c r="S51" i="129"/>
  <c r="S52" i="129"/>
  <c r="S53" i="129"/>
  <c r="S54" i="129"/>
  <c r="S55" i="129"/>
  <c r="S56" i="129"/>
  <c r="S57" i="129"/>
  <c r="S58" i="129"/>
  <c r="B17" i="58"/>
  <c r="BV3" i="39"/>
  <c r="A28" i="131" l="1"/>
  <c r="D63" i="131"/>
  <c r="C63" i="131"/>
  <c r="B63" i="131"/>
  <c r="E63" i="131"/>
  <c r="G63" i="131"/>
  <c r="I63" i="131"/>
  <c r="H63" i="131"/>
  <c r="F63" i="131"/>
  <c r="K63" i="131"/>
  <c r="J63" i="131"/>
  <c r="M63" i="131"/>
  <c r="L63" i="131"/>
  <c r="O63" i="131"/>
  <c r="P63" i="131"/>
  <c r="N63" i="131"/>
  <c r="T63" i="131"/>
  <c r="Q63" i="131"/>
  <c r="U63" i="131"/>
  <c r="X63" i="131"/>
  <c r="R63" i="131"/>
  <c r="S63" i="131"/>
  <c r="AB63" i="131"/>
  <c r="W63" i="131"/>
  <c r="V63" i="131"/>
  <c r="Y63" i="131"/>
  <c r="Z63" i="131"/>
  <c r="AA63" i="131"/>
  <c r="AC63" i="131"/>
  <c r="AF63" i="131"/>
  <c r="AE63" i="131"/>
  <c r="AD63" i="131"/>
  <c r="AG63" i="131"/>
  <c r="AC6" i="129"/>
  <c r="C181" i="87"/>
  <c r="L9" i="129"/>
  <c r="B184" i="87" s="1"/>
  <c r="B183" i="87"/>
  <c r="I9" i="129"/>
  <c r="AC8" i="129"/>
  <c r="C183" i="87"/>
  <c r="I60" i="129"/>
  <c r="AC60" i="129" s="1"/>
  <c r="AC59" i="129"/>
  <c r="I34" i="129"/>
  <c r="AC33" i="129"/>
  <c r="A259" i="87"/>
  <c r="I12" i="129"/>
  <c r="I13" i="129" s="1"/>
  <c r="I14" i="129" s="1"/>
  <c r="AC11" i="129"/>
  <c r="I44" i="129"/>
  <c r="AC44" i="129" s="1"/>
  <c r="AC43" i="129"/>
  <c r="I18" i="129"/>
  <c r="AC18" i="129" s="1"/>
  <c r="AC17" i="129"/>
  <c r="A191" i="87"/>
  <c r="I398" i="87"/>
  <c r="A335" i="87"/>
  <c r="P58" i="129"/>
  <c r="F58" i="129"/>
  <c r="F57" i="129"/>
  <c r="Q57" i="129" s="1"/>
  <c r="A56" i="129"/>
  <c r="A57" i="129" s="1"/>
  <c r="A58" i="129" s="1"/>
  <c r="A59" i="129" s="1"/>
  <c r="A60" i="129" s="1"/>
  <c r="F55" i="129"/>
  <c r="F54" i="129"/>
  <c r="O53" i="129"/>
  <c r="F53" i="129"/>
  <c r="F52" i="129"/>
  <c r="F51" i="129"/>
  <c r="F50" i="129"/>
  <c r="F48" i="129"/>
  <c r="A48" i="129"/>
  <c r="A49" i="129" s="1"/>
  <c r="F47" i="129"/>
  <c r="P46" i="129"/>
  <c r="F46" i="129"/>
  <c r="Q46" i="129" s="1"/>
  <c r="F45" i="129"/>
  <c r="F42" i="129"/>
  <c r="F15" i="129"/>
  <c r="F10" i="129"/>
  <c r="F7" i="129"/>
  <c r="AC9" i="129" l="1"/>
  <c r="C184" i="87"/>
  <c r="A260" i="87"/>
  <c r="I35" i="129"/>
  <c r="AC34" i="129"/>
  <c r="A192" i="87"/>
  <c r="I399" i="87"/>
  <c r="A336" i="87"/>
  <c r="A29" i="131"/>
  <c r="E64" i="131"/>
  <c r="I64" i="131"/>
  <c r="G64" i="131"/>
  <c r="C64" i="131"/>
  <c r="F64" i="131"/>
  <c r="H64" i="131"/>
  <c r="B64" i="131"/>
  <c r="A261" i="87" s="1"/>
  <c r="D64" i="131"/>
  <c r="J64" i="131"/>
  <c r="K64" i="131"/>
  <c r="M64" i="131"/>
  <c r="L64" i="131"/>
  <c r="Q64" i="131"/>
  <c r="N64" i="131"/>
  <c r="O64" i="131"/>
  <c r="P64" i="131"/>
  <c r="T64" i="131"/>
  <c r="X64" i="131"/>
  <c r="U64" i="131"/>
  <c r="S64" i="131"/>
  <c r="R64" i="131"/>
  <c r="AB64" i="131"/>
  <c r="Y64" i="131"/>
  <c r="V64" i="131"/>
  <c r="W64" i="131"/>
  <c r="AA64" i="131"/>
  <c r="Z64" i="131"/>
  <c r="AF64" i="131"/>
  <c r="AC64" i="131"/>
  <c r="AG64" i="131"/>
  <c r="AD64" i="131"/>
  <c r="AE64" i="131"/>
  <c r="Q51" i="129"/>
  <c r="Q50" i="129"/>
  <c r="P50" i="129"/>
  <c r="O50" i="129"/>
  <c r="N50" i="129"/>
  <c r="P45" i="129"/>
  <c r="O45" i="129"/>
  <c r="N45" i="129"/>
  <c r="Q45" i="129"/>
  <c r="N47" i="129"/>
  <c r="Q47" i="129"/>
  <c r="Q54" i="129"/>
  <c r="P54" i="129"/>
  <c r="F56" i="129"/>
  <c r="N58" i="129"/>
  <c r="Q58" i="129"/>
  <c r="O55" i="129"/>
  <c r="P55" i="129"/>
  <c r="N55" i="129"/>
  <c r="Q55" i="129"/>
  <c r="N53" i="129"/>
  <c r="Q53" i="129"/>
  <c r="N54" i="129"/>
  <c r="N48" i="129"/>
  <c r="F49" i="129"/>
  <c r="P51" i="129"/>
  <c r="O51" i="129"/>
  <c r="N51" i="129"/>
  <c r="P53" i="129"/>
  <c r="O46" i="129"/>
  <c r="N46" i="129"/>
  <c r="O54" i="129"/>
  <c r="O58" i="129"/>
  <c r="Q42" i="129"/>
  <c r="Q28" i="129" s="1"/>
  <c r="Q29" i="129" s="1"/>
  <c r="Q30" i="129" s="1"/>
  <c r="Q31" i="129" s="1"/>
  <c r="Q32" i="129" s="1"/>
  <c r="Q33" i="129" s="1"/>
  <c r="Q34" i="129" s="1"/>
  <c r="Q35" i="129" s="1"/>
  <c r="Q36" i="129" s="1"/>
  <c r="Q37" i="129" s="1"/>
  <c r="Q38" i="129" s="1"/>
  <c r="Q39" i="129" s="1"/>
  <c r="Q40" i="129" s="1"/>
  <c r="Q41" i="129" s="1"/>
  <c r="P42" i="129"/>
  <c r="O42" i="129"/>
  <c r="O28" i="129" s="1"/>
  <c r="O29" i="129" s="1"/>
  <c r="O30" i="129" s="1"/>
  <c r="O31" i="129" s="1"/>
  <c r="O32" i="129" s="1"/>
  <c r="O33" i="129" s="1"/>
  <c r="O34" i="129" s="1"/>
  <c r="O35" i="129" s="1"/>
  <c r="O36" i="129" s="1"/>
  <c r="O37" i="129" s="1"/>
  <c r="O38" i="129" s="1"/>
  <c r="O39" i="129" s="1"/>
  <c r="O40" i="129" s="1"/>
  <c r="O41" i="129" s="1"/>
  <c r="N42" i="129"/>
  <c r="T42" i="129" s="1"/>
  <c r="Q43" i="74" s="1"/>
  <c r="O52" i="129"/>
  <c r="N52" i="129"/>
  <c r="Q7" i="129"/>
  <c r="P7" i="129"/>
  <c r="O7" i="129"/>
  <c r="N7" i="129"/>
  <c r="Q48" i="129"/>
  <c r="O48" i="129"/>
  <c r="P48" i="129"/>
  <c r="O47" i="129"/>
  <c r="F19" i="129"/>
  <c r="P47" i="129"/>
  <c r="P52" i="129"/>
  <c r="Q52" i="129"/>
  <c r="P57" i="129"/>
  <c r="O57" i="129"/>
  <c r="N57" i="129"/>
  <c r="A193" i="87" l="1"/>
  <c r="I400" i="87"/>
  <c r="A337" i="87"/>
  <c r="I36" i="129"/>
  <c r="AC35" i="129"/>
  <c r="A30" i="131"/>
  <c r="D65" i="131"/>
  <c r="F65" i="131"/>
  <c r="E65" i="131"/>
  <c r="C65" i="131"/>
  <c r="H65" i="131"/>
  <c r="G65" i="131"/>
  <c r="I65" i="131"/>
  <c r="B65" i="131"/>
  <c r="K65" i="131"/>
  <c r="J65" i="131"/>
  <c r="M65" i="131"/>
  <c r="L65" i="131"/>
  <c r="Q65" i="131"/>
  <c r="O65" i="131"/>
  <c r="T65" i="131"/>
  <c r="N65" i="131"/>
  <c r="P65" i="131"/>
  <c r="U65" i="131"/>
  <c r="S65" i="131"/>
  <c r="R65" i="131"/>
  <c r="X65" i="131"/>
  <c r="V65" i="131"/>
  <c r="Y65" i="131"/>
  <c r="W65" i="131"/>
  <c r="AB65" i="131"/>
  <c r="Z65" i="131"/>
  <c r="AF65" i="131"/>
  <c r="AC65" i="131"/>
  <c r="AA65" i="131"/>
  <c r="AD65" i="131"/>
  <c r="AE65" i="131"/>
  <c r="AG65" i="131"/>
  <c r="T47" i="129"/>
  <c r="Q48" i="74" s="1"/>
  <c r="R48" i="74" s="1"/>
  <c r="T52" i="129"/>
  <c r="T48" i="129"/>
  <c r="Q49" i="74" s="1"/>
  <c r="T45" i="129"/>
  <c r="T53" i="129"/>
  <c r="Q54" i="74" s="1"/>
  <c r="R54" i="74" s="1"/>
  <c r="T7" i="129"/>
  <c r="T51" i="129"/>
  <c r="Q52" i="74" s="1"/>
  <c r="R52" i="74" s="1"/>
  <c r="T55" i="129"/>
  <c r="Q56" i="74" s="1"/>
  <c r="R56" i="74" s="1"/>
  <c r="T50" i="129"/>
  <c r="T57" i="129"/>
  <c r="Q58" i="74" s="1"/>
  <c r="R58" i="74" s="1"/>
  <c r="T46" i="129"/>
  <c r="T54" i="129"/>
  <c r="T58" i="129"/>
  <c r="R49" i="74"/>
  <c r="R43" i="74"/>
  <c r="N28" i="129"/>
  <c r="T28" i="129" s="1"/>
  <c r="Q29" i="74" s="1"/>
  <c r="P28" i="129"/>
  <c r="P29" i="129" s="1"/>
  <c r="P30" i="129" s="1"/>
  <c r="P31" i="129" s="1"/>
  <c r="P32" i="129" s="1"/>
  <c r="P33" i="129" s="1"/>
  <c r="P34" i="129" s="1"/>
  <c r="P35" i="129" s="1"/>
  <c r="P36" i="129" s="1"/>
  <c r="P37" i="129" s="1"/>
  <c r="P38" i="129" s="1"/>
  <c r="P39" i="129" s="1"/>
  <c r="P40" i="129" s="1"/>
  <c r="P41" i="129" s="1"/>
  <c r="U42" i="129"/>
  <c r="U55" i="129"/>
  <c r="A166" i="87"/>
  <c r="A173" i="87"/>
  <c r="A162" i="87"/>
  <c r="U57" i="129"/>
  <c r="U53" i="129"/>
  <c r="U47" i="129"/>
  <c r="P43" i="129"/>
  <c r="U48" i="129"/>
  <c r="A168" i="87"/>
  <c r="A167" i="87"/>
  <c r="A169" i="87"/>
  <c r="A174" i="87"/>
  <c r="A161" i="87"/>
  <c r="A171" i="87"/>
  <c r="N43" i="129"/>
  <c r="A158" i="87"/>
  <c r="A164" i="87"/>
  <c r="A163" i="87"/>
  <c r="A123" i="87"/>
  <c r="O43" i="129"/>
  <c r="O44" i="129" s="1"/>
  <c r="A170" i="87"/>
  <c r="N19" i="129"/>
  <c r="Q19" i="129"/>
  <c r="Q20" i="129" s="1"/>
  <c r="Q21" i="129" s="1"/>
  <c r="Q22" i="129" s="1"/>
  <c r="Q23" i="129" s="1"/>
  <c r="Q24" i="129" s="1"/>
  <c r="Q25" i="129" s="1"/>
  <c r="Q26" i="129" s="1"/>
  <c r="P19" i="129"/>
  <c r="O19" i="129"/>
  <c r="O20" i="129" s="1"/>
  <c r="O21" i="129" s="1"/>
  <c r="O22" i="129" s="1"/>
  <c r="O23" i="129" s="1"/>
  <c r="O24" i="129" s="1"/>
  <c r="O25" i="129" s="1"/>
  <c r="O26" i="129" s="1"/>
  <c r="Q43" i="129"/>
  <c r="Q44" i="129" s="1"/>
  <c r="Q56" i="129"/>
  <c r="Q59" i="129" s="1"/>
  <c r="Q60" i="129" s="1"/>
  <c r="P56" i="129"/>
  <c r="O56" i="129"/>
  <c r="O59" i="129" s="1"/>
  <c r="O60" i="129" s="1"/>
  <c r="N56" i="129"/>
  <c r="O10" i="129"/>
  <c r="N10" i="129"/>
  <c r="Q10" i="129"/>
  <c r="P10" i="129"/>
  <c r="O15" i="129"/>
  <c r="P15" i="129"/>
  <c r="Q15" i="129"/>
  <c r="O49" i="129"/>
  <c r="Q49" i="129"/>
  <c r="P49" i="129"/>
  <c r="N49" i="129"/>
  <c r="U50" i="129" l="1"/>
  <c r="Q51" i="74"/>
  <c r="R51" i="74" s="1"/>
  <c r="A262" i="87"/>
  <c r="A31" i="131"/>
  <c r="B66" i="131"/>
  <c r="E66" i="131"/>
  <c r="D66" i="131"/>
  <c r="C66" i="131"/>
  <c r="G66" i="131"/>
  <c r="F66" i="131"/>
  <c r="I66" i="131"/>
  <c r="H66" i="131"/>
  <c r="M66" i="131"/>
  <c r="K66" i="131"/>
  <c r="L66" i="131"/>
  <c r="J66" i="131"/>
  <c r="P66" i="131"/>
  <c r="Q66" i="131"/>
  <c r="T66" i="131"/>
  <c r="N66" i="131"/>
  <c r="O66" i="131"/>
  <c r="X66" i="131"/>
  <c r="S66" i="131"/>
  <c r="U66" i="131"/>
  <c r="R66" i="131"/>
  <c r="AB66" i="131"/>
  <c r="W66" i="131"/>
  <c r="V66" i="131"/>
  <c r="Y66" i="131"/>
  <c r="AA66" i="131"/>
  <c r="AF66" i="131"/>
  <c r="Z66" i="131"/>
  <c r="AC66" i="131"/>
  <c r="AE66" i="131"/>
  <c r="AD66" i="131"/>
  <c r="AG66" i="131"/>
  <c r="U7" i="129"/>
  <c r="Q8" i="74"/>
  <c r="U58" i="129"/>
  <c r="Q59" i="74"/>
  <c r="R59" i="74" s="1"/>
  <c r="I37" i="129"/>
  <c r="AC36" i="129"/>
  <c r="U52" i="129"/>
  <c r="Q53" i="74"/>
  <c r="R53" i="74" s="1"/>
  <c r="U54" i="129"/>
  <c r="Q55" i="74"/>
  <c r="R55" i="74" s="1"/>
  <c r="U46" i="129"/>
  <c r="Q47" i="74"/>
  <c r="R47" i="74" s="1"/>
  <c r="U45" i="129"/>
  <c r="Q46" i="74"/>
  <c r="R46" i="74" s="1"/>
  <c r="U51" i="129"/>
  <c r="A194" i="87"/>
  <c r="I401" i="87"/>
  <c r="A338" i="87"/>
  <c r="T49" i="129"/>
  <c r="Q50" i="74" s="1"/>
  <c r="R50" i="74" s="1"/>
  <c r="T10" i="129"/>
  <c r="T15" i="129"/>
  <c r="T43" i="129"/>
  <c r="Q44" i="74" s="1"/>
  <c r="R44" i="74" s="1"/>
  <c r="T56" i="129"/>
  <c r="T19" i="129"/>
  <c r="Q20" i="74" s="1"/>
  <c r="R20" i="74" s="1"/>
  <c r="N29" i="129"/>
  <c r="T29" i="129" s="1"/>
  <c r="Q30" i="74" s="1"/>
  <c r="U49" i="129"/>
  <c r="P20" i="129"/>
  <c r="P21" i="129" s="1"/>
  <c r="P22" i="129" s="1"/>
  <c r="P23" i="129" s="1"/>
  <c r="P24" i="129" s="1"/>
  <c r="P25" i="129" s="1"/>
  <c r="P26" i="129" s="1"/>
  <c r="N20" i="129"/>
  <c r="T20" i="129" s="1"/>
  <c r="Q21" i="74" s="1"/>
  <c r="N59" i="129"/>
  <c r="P59" i="129"/>
  <c r="P60" i="129" s="1"/>
  <c r="P44" i="129"/>
  <c r="O11" i="129"/>
  <c r="O12" i="129" s="1"/>
  <c r="O13" i="129" s="1"/>
  <c r="O14" i="129" s="1"/>
  <c r="A126" i="87"/>
  <c r="A165" i="87"/>
  <c r="A172" i="87"/>
  <c r="N16" i="129"/>
  <c r="A131" i="87"/>
  <c r="A135" i="87"/>
  <c r="N44" i="129"/>
  <c r="A159" i="87"/>
  <c r="P11" i="129"/>
  <c r="N11" i="129"/>
  <c r="Q16" i="129"/>
  <c r="Q17" i="129" s="1"/>
  <c r="Q18" i="129" s="1"/>
  <c r="O16" i="129"/>
  <c r="O17" i="129" s="1"/>
  <c r="O18" i="129" s="1"/>
  <c r="Q11" i="129"/>
  <c r="Q12" i="129" s="1"/>
  <c r="Q13" i="129" s="1"/>
  <c r="Q14" i="129" s="1"/>
  <c r="P16" i="129"/>
  <c r="U11" i="134" l="1"/>
  <c r="R8" i="74"/>
  <c r="U56" i="129"/>
  <c r="Q57" i="74"/>
  <c r="R57" i="74" s="1"/>
  <c r="A263" i="87"/>
  <c r="A195" i="87"/>
  <c r="I402" i="87"/>
  <c r="A339" i="87"/>
  <c r="A32" i="131"/>
  <c r="B67" i="131"/>
  <c r="D67" i="131"/>
  <c r="E67" i="131"/>
  <c r="C67" i="131"/>
  <c r="I67" i="131"/>
  <c r="H67" i="131"/>
  <c r="G67" i="131"/>
  <c r="F67" i="131"/>
  <c r="M67" i="131"/>
  <c r="L67" i="131"/>
  <c r="J67" i="131"/>
  <c r="K67" i="131"/>
  <c r="Q67" i="131"/>
  <c r="O67" i="131"/>
  <c r="T67" i="131"/>
  <c r="P67" i="131"/>
  <c r="N67" i="131"/>
  <c r="S67" i="131"/>
  <c r="X67" i="131"/>
  <c r="R67" i="131"/>
  <c r="U67" i="131"/>
  <c r="Y67" i="131"/>
  <c r="AB67" i="131"/>
  <c r="V67" i="131"/>
  <c r="W67" i="131"/>
  <c r="AF67" i="131"/>
  <c r="Z67" i="131"/>
  <c r="AA67" i="131"/>
  <c r="AC67" i="131"/>
  <c r="AD67" i="131"/>
  <c r="AE67" i="131"/>
  <c r="AG67" i="131"/>
  <c r="U19" i="129"/>
  <c r="U15" i="129"/>
  <c r="Q16" i="74"/>
  <c r="R16" i="74" s="1"/>
  <c r="I38" i="129"/>
  <c r="AC37" i="129"/>
  <c r="T59" i="129"/>
  <c r="Q60" i="74" s="1"/>
  <c r="R60" i="74" s="1"/>
  <c r="T11" i="129"/>
  <c r="Q12" i="74" s="1"/>
  <c r="R12" i="74" s="1"/>
  <c r="T16" i="129"/>
  <c r="Q17" i="74" s="1"/>
  <c r="R17" i="74" s="1"/>
  <c r="T44" i="129"/>
  <c r="Q45" i="74" s="1"/>
  <c r="R45" i="74" s="1"/>
  <c r="N21" i="129"/>
  <c r="T21" i="129" s="1"/>
  <c r="Q22" i="74" s="1"/>
  <c r="N30" i="129"/>
  <c r="T30" i="129" s="1"/>
  <c r="Q31" i="74" s="1"/>
  <c r="R21" i="74"/>
  <c r="A160" i="87"/>
  <c r="N60" i="129"/>
  <c r="P12" i="129"/>
  <c r="P17" i="129"/>
  <c r="A136" i="87"/>
  <c r="N12" i="129"/>
  <c r="A127" i="87"/>
  <c r="N17" i="129"/>
  <c r="A132" i="87"/>
  <c r="A175" i="87"/>
  <c r="G13" i="73"/>
  <c r="G14" i="73"/>
  <c r="G15" i="73"/>
  <c r="G16" i="73"/>
  <c r="G17" i="73"/>
  <c r="G18" i="73"/>
  <c r="G19" i="73"/>
  <c r="G20" i="73"/>
  <c r="G21" i="73"/>
  <c r="G22" i="73"/>
  <c r="G23" i="73"/>
  <c r="G24" i="73"/>
  <c r="G25" i="73"/>
  <c r="G26" i="73"/>
  <c r="G27" i="73"/>
  <c r="G28" i="73"/>
  <c r="G29" i="73"/>
  <c r="G30" i="73"/>
  <c r="G31" i="73"/>
  <c r="G32" i="73"/>
  <c r="G33" i="73"/>
  <c r="G34" i="73"/>
  <c r="G35" i="73"/>
  <c r="G36" i="73"/>
  <c r="G37" i="73"/>
  <c r="G38" i="73"/>
  <c r="G39" i="73"/>
  <c r="G40" i="73"/>
  <c r="G41" i="73"/>
  <c r="G42" i="73"/>
  <c r="G43" i="73"/>
  <c r="G44" i="73"/>
  <c r="G45" i="73"/>
  <c r="G46" i="73"/>
  <c r="G47" i="73"/>
  <c r="G48" i="73"/>
  <c r="G49" i="73"/>
  <c r="G50" i="73"/>
  <c r="G51" i="73"/>
  <c r="G52" i="73"/>
  <c r="G53" i="73"/>
  <c r="G54" i="73"/>
  <c r="G55" i="73"/>
  <c r="G56" i="73"/>
  <c r="G57" i="73"/>
  <c r="G58" i="73"/>
  <c r="G59" i="73"/>
  <c r="G60" i="73"/>
  <c r="G61" i="73"/>
  <c r="G12" i="73"/>
  <c r="G10" i="73"/>
  <c r="G8" i="73"/>
  <c r="G6" i="73"/>
  <c r="AN8" i="73"/>
  <c r="AN6" i="73"/>
  <c r="A196" i="87" l="1"/>
  <c r="I403" i="87"/>
  <c r="A340" i="87"/>
  <c r="I39" i="129"/>
  <c r="AC38" i="129"/>
  <c r="A264" i="87"/>
  <c r="A33" i="131"/>
  <c r="D68" i="131"/>
  <c r="E68" i="131"/>
  <c r="C68" i="131"/>
  <c r="B68" i="131"/>
  <c r="I68" i="131"/>
  <c r="H68" i="131"/>
  <c r="G68" i="131"/>
  <c r="F68" i="131"/>
  <c r="M68" i="131"/>
  <c r="L68" i="131"/>
  <c r="K68" i="131"/>
  <c r="J68" i="131"/>
  <c r="O68" i="131"/>
  <c r="N68" i="131"/>
  <c r="P68" i="131"/>
  <c r="Q68" i="131"/>
  <c r="T68" i="131"/>
  <c r="S68" i="131"/>
  <c r="R68" i="131"/>
  <c r="X68" i="131"/>
  <c r="U68" i="131"/>
  <c r="Y68" i="131"/>
  <c r="W68" i="131"/>
  <c r="V68" i="131"/>
  <c r="AB68" i="131"/>
  <c r="AC68" i="131"/>
  <c r="AF68" i="131"/>
  <c r="AA68" i="131"/>
  <c r="Z68" i="131"/>
  <c r="AG68" i="131"/>
  <c r="AE68" i="131"/>
  <c r="AD68" i="131"/>
  <c r="AQ11" i="132"/>
  <c r="T60" i="129"/>
  <c r="Q61" i="74" s="1"/>
  <c r="T12" i="129"/>
  <c r="Q13" i="74" s="1"/>
  <c r="R13" i="74" s="1"/>
  <c r="T17" i="129"/>
  <c r="Q18" i="74" s="1"/>
  <c r="R18" i="74" s="1"/>
  <c r="N31" i="129"/>
  <c r="T31" i="129" s="1"/>
  <c r="Q32" i="74" s="1"/>
  <c r="N22" i="129"/>
  <c r="T22" i="129" s="1"/>
  <c r="Q23" i="74" s="1"/>
  <c r="R22" i="74"/>
  <c r="A176" i="87"/>
  <c r="P13" i="129"/>
  <c r="P18" i="129"/>
  <c r="N18" i="129"/>
  <c r="A133" i="87"/>
  <c r="N13" i="129"/>
  <c r="A128" i="87"/>
  <c r="A137" i="87"/>
  <c r="B69" i="131" l="1"/>
  <c r="E69" i="131"/>
  <c r="D69" i="131"/>
  <c r="C69" i="131"/>
  <c r="I69" i="131"/>
  <c r="F69" i="131"/>
  <c r="G69" i="131"/>
  <c r="H69" i="131"/>
  <c r="L69" i="131"/>
  <c r="M69" i="131"/>
  <c r="K69" i="131"/>
  <c r="J69" i="131"/>
  <c r="T69" i="131"/>
  <c r="Q69" i="131"/>
  <c r="P69" i="131"/>
  <c r="N69" i="131"/>
  <c r="O69" i="131"/>
  <c r="R69" i="131"/>
  <c r="S69" i="131"/>
  <c r="X69" i="131"/>
  <c r="U69" i="131"/>
  <c r="Y69" i="131"/>
  <c r="V69" i="131"/>
  <c r="AB69" i="131"/>
  <c r="W69" i="131"/>
  <c r="AF69" i="131"/>
  <c r="AC69" i="131"/>
  <c r="AA69" i="131"/>
  <c r="Z69" i="131"/>
  <c r="AE69" i="131"/>
  <c r="AD69" i="131"/>
  <c r="AG69" i="131"/>
  <c r="I40" i="129"/>
  <c r="AC39" i="129"/>
  <c r="A265" i="87"/>
  <c r="AH9" i="89"/>
  <c r="BX11" i="132"/>
  <c r="A197" i="87"/>
  <c r="I404" i="87"/>
  <c r="A341" i="87"/>
  <c r="R61" i="74"/>
  <c r="T13" i="129"/>
  <c r="Q14" i="74" s="1"/>
  <c r="R14" i="74" s="1"/>
  <c r="T18" i="129"/>
  <c r="Q19" i="74" s="1"/>
  <c r="R19" i="74" s="1"/>
  <c r="N23" i="129"/>
  <c r="T23" i="129" s="1"/>
  <c r="Q24" i="74" s="1"/>
  <c r="R23" i="74"/>
  <c r="N32" i="129"/>
  <c r="T32" i="129" s="1"/>
  <c r="Q33" i="74" s="1"/>
  <c r="R33" i="74" s="1"/>
  <c r="A134" i="87"/>
  <c r="P14" i="129"/>
  <c r="N14" i="129"/>
  <c r="A129" i="87"/>
  <c r="A138" i="87"/>
  <c r="F6" i="73"/>
  <c r="F8" i="73"/>
  <c r="F10" i="73"/>
  <c r="F12" i="73"/>
  <c r="F13" i="73"/>
  <c r="F14" i="73"/>
  <c r="F15" i="73"/>
  <c r="F16" i="73"/>
  <c r="F17" i="73"/>
  <c r="F18" i="73"/>
  <c r="F19" i="73"/>
  <c r="F20" i="73"/>
  <c r="F21" i="73"/>
  <c r="A198" i="87" l="1"/>
  <c r="I405" i="87"/>
  <c r="A342" i="87"/>
  <c r="AR11" i="132"/>
  <c r="AW11" i="132" s="1"/>
  <c r="BY11" i="132" s="1"/>
  <c r="AV11" i="132" s="1"/>
  <c r="I41" i="129"/>
  <c r="AC41" i="129" s="1"/>
  <c r="AC40" i="129"/>
  <c r="A266" i="87"/>
  <c r="T14" i="129"/>
  <c r="Q15" i="74" s="1"/>
  <c r="R15" i="74" s="1"/>
  <c r="N33" i="129"/>
  <c r="T33" i="129" s="1"/>
  <c r="Q34" i="74" s="1"/>
  <c r="N24" i="129"/>
  <c r="T24" i="129" s="1"/>
  <c r="Q25" i="74" s="1"/>
  <c r="R24" i="74"/>
  <c r="A130" i="87"/>
  <c r="A139" i="87"/>
  <c r="A199" i="87" l="1"/>
  <c r="I406" i="87"/>
  <c r="A343" i="87"/>
  <c r="N25" i="129"/>
  <c r="T25" i="129" s="1"/>
  <c r="Q26" i="74" s="1"/>
  <c r="N34" i="129"/>
  <c r="T34" i="129" s="1"/>
  <c r="Q35" i="74" s="1"/>
  <c r="R25" i="74"/>
  <c r="A140" i="87"/>
  <c r="AH61" i="100"/>
  <c r="A200" i="87" l="1"/>
  <c r="I407" i="87"/>
  <c r="A344" i="87"/>
  <c r="N35" i="129"/>
  <c r="T35" i="129" s="1"/>
  <c r="Q36" i="74" s="1"/>
  <c r="N26" i="129"/>
  <c r="R26" i="74"/>
  <c r="A141" i="87"/>
  <c r="A201" i="87" l="1"/>
  <c r="I408" i="87"/>
  <c r="A345" i="87"/>
  <c r="T26" i="129"/>
  <c r="Q27" i="74" s="1"/>
  <c r="N36" i="129"/>
  <c r="T36" i="129" s="1"/>
  <c r="Q37" i="74" s="1"/>
  <c r="R27" i="74"/>
  <c r="A142" i="87"/>
  <c r="T58" i="39"/>
  <c r="A202" i="87" l="1"/>
  <c r="I409" i="87"/>
  <c r="A346" i="87"/>
  <c r="N37" i="129"/>
  <c r="T37" i="129" s="1"/>
  <c r="Q38" i="74" s="1"/>
  <c r="R28" i="74"/>
  <c r="A143" i="87"/>
  <c r="A203" i="87" l="1"/>
  <c r="I410" i="87"/>
  <c r="A347" i="87"/>
  <c r="N38" i="129"/>
  <c r="T38" i="129" s="1"/>
  <c r="Q39" i="74" s="1"/>
  <c r="R29" i="74"/>
  <c r="A144" i="87"/>
  <c r="A204" i="87" l="1"/>
  <c r="I411" i="87"/>
  <c r="A348" i="87"/>
  <c r="N39" i="129"/>
  <c r="T39" i="129" s="1"/>
  <c r="Q40" i="74" s="1"/>
  <c r="R30" i="74"/>
  <c r="A145" i="87"/>
  <c r="AU7" i="39"/>
  <c r="AT7" i="39"/>
  <c r="AS7" i="39"/>
  <c r="AR7" i="39"/>
  <c r="D33" i="62" s="1"/>
  <c r="AQ7" i="39"/>
  <c r="AP7" i="39"/>
  <c r="AU6" i="39"/>
  <c r="AT6" i="39"/>
  <c r="AS6" i="39"/>
  <c r="AR6" i="39"/>
  <c r="AQ6" i="39"/>
  <c r="AP6" i="39"/>
  <c r="A205" i="87" l="1"/>
  <c r="I412" i="87"/>
  <c r="A349" i="87"/>
  <c r="B10" i="58"/>
  <c r="D32" i="62"/>
  <c r="N40" i="129"/>
  <c r="T40" i="129" s="1"/>
  <c r="Q41" i="74" s="1"/>
  <c r="R31" i="74"/>
  <c r="A146" i="87"/>
  <c r="N62" i="128"/>
  <c r="N61" i="128"/>
  <c r="N60" i="128"/>
  <c r="N59" i="128"/>
  <c r="N58" i="128"/>
  <c r="N57" i="128"/>
  <c r="N56" i="128"/>
  <c r="N55" i="128"/>
  <c r="N54" i="128"/>
  <c r="N53" i="128"/>
  <c r="N52" i="128"/>
  <c r="N51" i="128"/>
  <c r="N50" i="128"/>
  <c r="N49" i="128"/>
  <c r="N48" i="128"/>
  <c r="N47" i="128"/>
  <c r="N46" i="128"/>
  <c r="N45" i="128"/>
  <c r="N44" i="128"/>
  <c r="N43" i="128"/>
  <c r="N42" i="128"/>
  <c r="N41" i="128"/>
  <c r="N40" i="128"/>
  <c r="N39" i="128"/>
  <c r="N38" i="128"/>
  <c r="N37" i="128"/>
  <c r="N36" i="128"/>
  <c r="N35" i="128"/>
  <c r="N34" i="128"/>
  <c r="N33" i="128"/>
  <c r="N32" i="128"/>
  <c r="N31" i="128"/>
  <c r="N30" i="128"/>
  <c r="N29" i="128"/>
  <c r="N28" i="128"/>
  <c r="N27" i="128"/>
  <c r="N26" i="128"/>
  <c r="N25" i="128"/>
  <c r="N24" i="128"/>
  <c r="N23" i="128"/>
  <c r="N22" i="128"/>
  <c r="N21" i="128"/>
  <c r="N20" i="128"/>
  <c r="N19" i="128"/>
  <c r="N18" i="128"/>
  <c r="N17" i="128"/>
  <c r="N16" i="128"/>
  <c r="N15" i="128"/>
  <c r="N14" i="128"/>
  <c r="N13" i="128"/>
  <c r="N12" i="128"/>
  <c r="N11" i="128"/>
  <c r="N10" i="128"/>
  <c r="N9" i="128"/>
  <c r="N8" i="128"/>
  <c r="N7" i="128"/>
  <c r="N6" i="128"/>
  <c r="A206" i="87" l="1"/>
  <c r="I413" i="87"/>
  <c r="A350" i="87"/>
  <c r="N41" i="129"/>
  <c r="R32" i="74"/>
  <c r="A147" i="87"/>
  <c r="A207" i="87" l="1"/>
  <c r="I414" i="87"/>
  <c r="A351" i="87"/>
  <c r="T41" i="129"/>
  <c r="Q42" i="74" s="1"/>
  <c r="A148" i="87"/>
  <c r="IY7" i="39"/>
  <c r="IZ7" i="39"/>
  <c r="JA7" i="39"/>
  <c r="JB7" i="39"/>
  <c r="JC7" i="39"/>
  <c r="JD7" i="39"/>
  <c r="IY8" i="39"/>
  <c r="IZ8" i="39"/>
  <c r="JA8" i="39"/>
  <c r="JB8" i="39"/>
  <c r="JC8" i="39"/>
  <c r="JD8" i="39"/>
  <c r="IY9" i="39"/>
  <c r="IZ9" i="39"/>
  <c r="JA9" i="39"/>
  <c r="JB9" i="39"/>
  <c r="JC9" i="39"/>
  <c r="JD9" i="39"/>
  <c r="IY10" i="39"/>
  <c r="IZ10" i="39"/>
  <c r="JA10" i="39"/>
  <c r="JB10" i="39"/>
  <c r="JC10" i="39"/>
  <c r="JD10" i="39"/>
  <c r="IY11" i="39"/>
  <c r="IZ11" i="39"/>
  <c r="JA11" i="39"/>
  <c r="JB11" i="39"/>
  <c r="JC11" i="39"/>
  <c r="JD11" i="39"/>
  <c r="IY12" i="39"/>
  <c r="IZ12" i="39"/>
  <c r="JA12" i="39"/>
  <c r="JB12" i="39"/>
  <c r="JC12" i="39"/>
  <c r="JD12" i="39"/>
  <c r="IY13" i="39"/>
  <c r="IZ13" i="39"/>
  <c r="JA13" i="39"/>
  <c r="JB13" i="39"/>
  <c r="JC13" i="39"/>
  <c r="JD13" i="39"/>
  <c r="IY14" i="39"/>
  <c r="IZ14" i="39"/>
  <c r="JA14" i="39"/>
  <c r="JB14" i="39"/>
  <c r="JC14" i="39"/>
  <c r="JD14" i="39"/>
  <c r="IY15" i="39"/>
  <c r="IZ15" i="39"/>
  <c r="JA15" i="39"/>
  <c r="JB15" i="39"/>
  <c r="JC15" i="39"/>
  <c r="JD15" i="39"/>
  <c r="IY16" i="39"/>
  <c r="IZ16" i="39"/>
  <c r="JA16" i="39"/>
  <c r="JB16" i="39"/>
  <c r="JC16" i="39"/>
  <c r="JD16" i="39"/>
  <c r="IY17" i="39"/>
  <c r="IZ17" i="39"/>
  <c r="JA17" i="39"/>
  <c r="JB17" i="39"/>
  <c r="JC17" i="39"/>
  <c r="JD17" i="39"/>
  <c r="IY18" i="39"/>
  <c r="IZ18" i="39"/>
  <c r="JA18" i="39"/>
  <c r="JB18" i="39"/>
  <c r="JC18" i="39"/>
  <c r="JD18" i="39"/>
  <c r="IY19" i="39"/>
  <c r="IZ19" i="39"/>
  <c r="JA19" i="39"/>
  <c r="JB19" i="39"/>
  <c r="JC19" i="39"/>
  <c r="JD19" i="39"/>
  <c r="IY20" i="39"/>
  <c r="IZ20" i="39"/>
  <c r="JA20" i="39"/>
  <c r="JB20" i="39"/>
  <c r="JC20" i="39"/>
  <c r="JD20" i="39"/>
  <c r="IY21" i="39"/>
  <c r="IZ21" i="39"/>
  <c r="JA21" i="39"/>
  <c r="JB21" i="39"/>
  <c r="JC21" i="39"/>
  <c r="JD21" i="39"/>
  <c r="IY22" i="39"/>
  <c r="IZ22" i="39"/>
  <c r="JA22" i="39"/>
  <c r="JB22" i="39"/>
  <c r="JC22" i="39"/>
  <c r="JD22" i="39"/>
  <c r="IY23" i="39"/>
  <c r="IZ23" i="39"/>
  <c r="JA23" i="39"/>
  <c r="JB23" i="39"/>
  <c r="JC23" i="39"/>
  <c r="JD23" i="39"/>
  <c r="IY24" i="39"/>
  <c r="IZ24" i="39"/>
  <c r="JA24" i="39"/>
  <c r="JB24" i="39"/>
  <c r="JC24" i="39"/>
  <c r="JD24" i="39"/>
  <c r="IY25" i="39"/>
  <c r="IZ25" i="39"/>
  <c r="JA25" i="39"/>
  <c r="C25" i="91" s="1"/>
  <c r="JB25" i="39"/>
  <c r="JC25" i="39"/>
  <c r="JD25" i="39"/>
  <c r="IY26" i="39"/>
  <c r="IZ26" i="39"/>
  <c r="JA26" i="39"/>
  <c r="JB26" i="39"/>
  <c r="JC26" i="39"/>
  <c r="JD26" i="39"/>
  <c r="IY27" i="39"/>
  <c r="IZ27" i="39"/>
  <c r="JA27" i="39"/>
  <c r="JB27" i="39"/>
  <c r="JC27" i="39"/>
  <c r="JD27" i="39"/>
  <c r="IY28" i="39"/>
  <c r="IZ28" i="39"/>
  <c r="JA28" i="39"/>
  <c r="JB28" i="39"/>
  <c r="JC28" i="39"/>
  <c r="JD28" i="39"/>
  <c r="IY29" i="39"/>
  <c r="IZ29" i="39"/>
  <c r="JA29" i="39"/>
  <c r="JB29" i="39"/>
  <c r="JC29" i="39"/>
  <c r="JD29" i="39"/>
  <c r="IY30" i="39"/>
  <c r="IZ30" i="39"/>
  <c r="JA30" i="39"/>
  <c r="JB30" i="39"/>
  <c r="JC30" i="39"/>
  <c r="JD30" i="39"/>
  <c r="IY31" i="39"/>
  <c r="IZ31" i="39"/>
  <c r="JA31" i="39"/>
  <c r="D25" i="91" s="1"/>
  <c r="JB31" i="39"/>
  <c r="JC31" i="39"/>
  <c r="JD31" i="39"/>
  <c r="IY32" i="39"/>
  <c r="IZ32" i="39"/>
  <c r="JA32" i="39"/>
  <c r="JB32" i="39"/>
  <c r="JC32" i="39"/>
  <c r="JD32" i="39"/>
  <c r="IY33" i="39"/>
  <c r="IZ33" i="39"/>
  <c r="JA33" i="39"/>
  <c r="JB33" i="39"/>
  <c r="JC33" i="39"/>
  <c r="JD33" i="39"/>
  <c r="IY34" i="39"/>
  <c r="IZ34" i="39"/>
  <c r="JA34" i="39"/>
  <c r="JB34" i="39"/>
  <c r="JC34" i="39"/>
  <c r="JD34" i="39"/>
  <c r="IY35" i="39"/>
  <c r="IZ35" i="39"/>
  <c r="JA35" i="39"/>
  <c r="E25" i="91" s="1"/>
  <c r="JB35" i="39"/>
  <c r="JC35" i="39"/>
  <c r="JD35" i="39"/>
  <c r="IY36" i="39"/>
  <c r="IZ36" i="39"/>
  <c r="JA36" i="39"/>
  <c r="JB36" i="39"/>
  <c r="JC36" i="39"/>
  <c r="JD36" i="39"/>
  <c r="IY37" i="39"/>
  <c r="IZ37" i="39"/>
  <c r="JA37" i="39"/>
  <c r="JB37" i="39"/>
  <c r="JC37" i="39"/>
  <c r="JD37" i="39"/>
  <c r="IY38" i="39"/>
  <c r="IZ38" i="39"/>
  <c r="JA38" i="39"/>
  <c r="JB38" i="39"/>
  <c r="JC38" i="39"/>
  <c r="JD38" i="39"/>
  <c r="IY39" i="39"/>
  <c r="IZ39" i="39"/>
  <c r="JA39" i="39"/>
  <c r="JB39" i="39"/>
  <c r="JC39" i="39"/>
  <c r="JD39" i="39"/>
  <c r="IY40" i="39"/>
  <c r="IZ40" i="39"/>
  <c r="JA40" i="39"/>
  <c r="JB40" i="39"/>
  <c r="JC40" i="39"/>
  <c r="JD40" i="39"/>
  <c r="IY41" i="39"/>
  <c r="IZ41" i="39"/>
  <c r="JA41" i="39"/>
  <c r="JB41" i="39"/>
  <c r="JC41" i="39"/>
  <c r="JD41" i="39"/>
  <c r="IY42" i="39"/>
  <c r="IZ42" i="39"/>
  <c r="JA42" i="39"/>
  <c r="JB42" i="39"/>
  <c r="JC42" i="39"/>
  <c r="JD42" i="39"/>
  <c r="IY43" i="39"/>
  <c r="IZ43" i="39"/>
  <c r="JA43" i="39"/>
  <c r="JB43" i="39"/>
  <c r="JC43" i="39"/>
  <c r="JD43" i="39"/>
  <c r="IY44" i="39"/>
  <c r="IZ44" i="39"/>
  <c r="JA44" i="39"/>
  <c r="JB44" i="39"/>
  <c r="JC44" i="39"/>
  <c r="JD44" i="39"/>
  <c r="IY45" i="39"/>
  <c r="IZ45" i="39"/>
  <c r="JA45" i="39"/>
  <c r="JB45" i="39"/>
  <c r="JC45" i="39"/>
  <c r="JD45" i="39"/>
  <c r="IY46" i="39"/>
  <c r="IZ46" i="39"/>
  <c r="JA46" i="39"/>
  <c r="JB46" i="39"/>
  <c r="JC46" i="39"/>
  <c r="JD46" i="39"/>
  <c r="IY47" i="39"/>
  <c r="IZ47" i="39"/>
  <c r="JA47" i="39"/>
  <c r="JB47" i="39"/>
  <c r="JC47" i="39"/>
  <c r="JD47" i="39"/>
  <c r="IY48" i="39"/>
  <c r="IZ48" i="39"/>
  <c r="JA48" i="39"/>
  <c r="JB48" i="39"/>
  <c r="JC48" i="39"/>
  <c r="JD48" i="39"/>
  <c r="IY49" i="39"/>
  <c r="IZ49" i="39"/>
  <c r="JA49" i="39"/>
  <c r="JB49" i="39"/>
  <c r="JC49" i="39"/>
  <c r="JD49" i="39"/>
  <c r="IY50" i="39"/>
  <c r="IZ50" i="39"/>
  <c r="JA50" i="39"/>
  <c r="JB50" i="39"/>
  <c r="JC50" i="39"/>
  <c r="JD50" i="39"/>
  <c r="IY51" i="39"/>
  <c r="IZ51" i="39"/>
  <c r="JA51" i="39"/>
  <c r="JB51" i="39"/>
  <c r="JC51" i="39"/>
  <c r="JD51" i="39"/>
  <c r="IY52" i="39"/>
  <c r="IZ52" i="39"/>
  <c r="JA52" i="39"/>
  <c r="JB52" i="39"/>
  <c r="JC52" i="39"/>
  <c r="JD52" i="39"/>
  <c r="IY53" i="39"/>
  <c r="IZ53" i="39"/>
  <c r="JA53" i="39"/>
  <c r="JB53" i="39"/>
  <c r="JC53" i="39"/>
  <c r="JD53" i="39"/>
  <c r="IY54" i="39"/>
  <c r="IZ54" i="39"/>
  <c r="JA54" i="39"/>
  <c r="JB54" i="39"/>
  <c r="JC54" i="39"/>
  <c r="JD54" i="39"/>
  <c r="IY55" i="39"/>
  <c r="IZ55" i="39"/>
  <c r="JA55" i="39"/>
  <c r="JB55" i="39"/>
  <c r="JC55" i="39"/>
  <c r="JD55" i="39"/>
  <c r="IY56" i="39"/>
  <c r="IZ56" i="39"/>
  <c r="JA56" i="39"/>
  <c r="JB56" i="39"/>
  <c r="JC56" i="39"/>
  <c r="JD56" i="39"/>
  <c r="IY57" i="39"/>
  <c r="IZ57" i="39"/>
  <c r="JA57" i="39"/>
  <c r="JB57" i="39"/>
  <c r="JC57" i="39"/>
  <c r="JD57" i="39"/>
  <c r="IY58" i="39"/>
  <c r="IZ58" i="39"/>
  <c r="JA58" i="39"/>
  <c r="JB58" i="39"/>
  <c r="JC58" i="39"/>
  <c r="JD58" i="39"/>
  <c r="IY59" i="39"/>
  <c r="IZ59" i="39"/>
  <c r="JA59" i="39"/>
  <c r="JB59" i="39"/>
  <c r="JC59" i="39"/>
  <c r="JD59" i="39"/>
  <c r="IY60" i="39"/>
  <c r="IZ60" i="39"/>
  <c r="JA60" i="39"/>
  <c r="JB60" i="39"/>
  <c r="JC60" i="39"/>
  <c r="JD60" i="39"/>
  <c r="IY61" i="39"/>
  <c r="IZ61" i="39"/>
  <c r="JA61" i="39"/>
  <c r="F25" i="91" s="1"/>
  <c r="JB61" i="39"/>
  <c r="JC61" i="39"/>
  <c r="JD61" i="39"/>
  <c r="IZ6" i="39"/>
  <c r="JA6" i="39"/>
  <c r="B25" i="91" s="1"/>
  <c r="JB6" i="39"/>
  <c r="JC6" i="39"/>
  <c r="JD6" i="39"/>
  <c r="IY6" i="39"/>
  <c r="DA13" i="74"/>
  <c r="DA15" i="74"/>
  <c r="DA16" i="74"/>
  <c r="DA17" i="74"/>
  <c r="DA18" i="74"/>
  <c r="DA19" i="74"/>
  <c r="DA20" i="74"/>
  <c r="DA21" i="74"/>
  <c r="DA22" i="74"/>
  <c r="DA23" i="74"/>
  <c r="DA24" i="74"/>
  <c r="DA25" i="74"/>
  <c r="DA26" i="74"/>
  <c r="DA27" i="74"/>
  <c r="DA28" i="74"/>
  <c r="DA29" i="74"/>
  <c r="DA30" i="74"/>
  <c r="DA31" i="74"/>
  <c r="DA32" i="74"/>
  <c r="DA33" i="74"/>
  <c r="DA34" i="74"/>
  <c r="DA35" i="74"/>
  <c r="DA36" i="74"/>
  <c r="DA37" i="74"/>
  <c r="DA38" i="74"/>
  <c r="DA39" i="74"/>
  <c r="DA40" i="74"/>
  <c r="DA41" i="74"/>
  <c r="DA42" i="74"/>
  <c r="DA43" i="74"/>
  <c r="DA44" i="74"/>
  <c r="DA45" i="74"/>
  <c r="DA46" i="74"/>
  <c r="DA47" i="74"/>
  <c r="DA48" i="74"/>
  <c r="DA49" i="74"/>
  <c r="DA50" i="74"/>
  <c r="DA51" i="74"/>
  <c r="DA52" i="74"/>
  <c r="DA53" i="74"/>
  <c r="DA54" i="74"/>
  <c r="DA55" i="74"/>
  <c r="DA56" i="74"/>
  <c r="DA57" i="74"/>
  <c r="DA58" i="74"/>
  <c r="DA59" i="74"/>
  <c r="DA60" i="74"/>
  <c r="DA12" i="74"/>
  <c r="DA10" i="74"/>
  <c r="DA8" i="74"/>
  <c r="A208" i="87" l="1"/>
  <c r="I415" i="87"/>
  <c r="A352" i="87"/>
  <c r="B26" i="91"/>
  <c r="H26" i="91"/>
  <c r="E26" i="91"/>
  <c r="K26" i="91"/>
  <c r="D26" i="91"/>
  <c r="J26" i="91"/>
  <c r="F26" i="91"/>
  <c r="L26" i="91"/>
  <c r="I26" i="91"/>
  <c r="C26" i="91"/>
  <c r="R34" i="74"/>
  <c r="A149" i="87"/>
  <c r="B36" i="127"/>
  <c r="C18" i="127"/>
  <c r="B18" i="127"/>
  <c r="D17" i="127"/>
  <c r="D16" i="127"/>
  <c r="D15" i="127"/>
  <c r="D14" i="127"/>
  <c r="D13" i="127"/>
  <c r="D12" i="127"/>
  <c r="D11" i="127"/>
  <c r="D10" i="127"/>
  <c r="D9" i="127"/>
  <c r="D8" i="127"/>
  <c r="D7" i="127"/>
  <c r="D6" i="127"/>
  <c r="D5" i="127"/>
  <c r="A209" i="87" l="1"/>
  <c r="I416" i="87"/>
  <c r="A353" i="87"/>
  <c r="R35" i="74"/>
  <c r="A150" i="87"/>
  <c r="B52" i="127"/>
  <c r="D18" i="127"/>
  <c r="A210" i="87" l="1"/>
  <c r="I417" i="87"/>
  <c r="A354" i="87"/>
  <c r="R36" i="74"/>
  <c r="A151" i="87"/>
  <c r="J8" i="126"/>
  <c r="J9" i="126"/>
  <c r="AB9" i="126" s="1"/>
  <c r="J10" i="126"/>
  <c r="AB10" i="126" s="1"/>
  <c r="J11" i="126"/>
  <c r="AB11" i="126" s="1"/>
  <c r="J12" i="126"/>
  <c r="AB12" i="126" s="1"/>
  <c r="J13" i="126"/>
  <c r="AB13" i="126" s="1"/>
  <c r="J14" i="126"/>
  <c r="J15" i="126"/>
  <c r="J16" i="126"/>
  <c r="AB16" i="126" s="1"/>
  <c r="J17" i="126"/>
  <c r="J18" i="126"/>
  <c r="AB18" i="126" s="1"/>
  <c r="J19" i="126"/>
  <c r="AB19" i="126" s="1"/>
  <c r="J20" i="126"/>
  <c r="AB20" i="126" s="1"/>
  <c r="J21" i="126"/>
  <c r="J22" i="126"/>
  <c r="J23" i="126"/>
  <c r="J24" i="126"/>
  <c r="AB24" i="126" s="1"/>
  <c r="J25" i="126"/>
  <c r="AB25" i="126" s="1"/>
  <c r="J26" i="126"/>
  <c r="AB26" i="126" s="1"/>
  <c r="J27" i="126"/>
  <c r="AB27" i="126" s="1"/>
  <c r="J28" i="126"/>
  <c r="AB28" i="126" s="1"/>
  <c r="J29" i="126"/>
  <c r="J30" i="126"/>
  <c r="J31" i="126"/>
  <c r="J32" i="126"/>
  <c r="J33" i="126"/>
  <c r="AB33" i="126" s="1"/>
  <c r="J34" i="126"/>
  <c r="AB34" i="126" s="1"/>
  <c r="J35" i="126"/>
  <c r="AB35" i="126" s="1"/>
  <c r="J36" i="126"/>
  <c r="AB36" i="126" s="1"/>
  <c r="J37" i="126"/>
  <c r="AB37" i="126" s="1"/>
  <c r="J38" i="126"/>
  <c r="J39" i="126"/>
  <c r="J40" i="126"/>
  <c r="AB40" i="126" s="1"/>
  <c r="J41" i="126"/>
  <c r="AB41" i="126" s="1"/>
  <c r="J42" i="126"/>
  <c r="AB42" i="126" s="1"/>
  <c r="J43" i="126"/>
  <c r="AB43" i="126" s="1"/>
  <c r="J44" i="126"/>
  <c r="AB44" i="126" s="1"/>
  <c r="J45" i="126"/>
  <c r="J46" i="126"/>
  <c r="J47" i="126"/>
  <c r="J48" i="126"/>
  <c r="AB48" i="126" s="1"/>
  <c r="J49" i="126"/>
  <c r="AB49" i="126" s="1"/>
  <c r="J50" i="126"/>
  <c r="AB50" i="126" s="1"/>
  <c r="J51" i="126"/>
  <c r="AB51" i="126" s="1"/>
  <c r="J52" i="126"/>
  <c r="AB52" i="126" s="1"/>
  <c r="J53" i="126"/>
  <c r="AB53" i="126" s="1"/>
  <c r="J54" i="126"/>
  <c r="AB54" i="126" s="1"/>
  <c r="J55" i="126"/>
  <c r="J56" i="126"/>
  <c r="AB56" i="126" s="1"/>
  <c r="J57" i="126"/>
  <c r="AB57" i="126" s="1"/>
  <c r="J58" i="126"/>
  <c r="AB58" i="126" s="1"/>
  <c r="J59" i="126"/>
  <c r="AB59" i="126" s="1"/>
  <c r="J7" i="126"/>
  <c r="AA59" i="126"/>
  <c r="Z59" i="126"/>
  <c r="Y59" i="126"/>
  <c r="X59" i="126"/>
  <c r="W59" i="126"/>
  <c r="V59" i="126"/>
  <c r="AA58" i="126"/>
  <c r="Z58" i="126"/>
  <c r="Y58" i="126"/>
  <c r="W58" i="126"/>
  <c r="V58" i="126"/>
  <c r="AA57" i="126"/>
  <c r="Z57" i="126"/>
  <c r="Y57" i="126"/>
  <c r="X57" i="126"/>
  <c r="W57" i="126"/>
  <c r="V57" i="126"/>
  <c r="AA56" i="126"/>
  <c r="Z56" i="126"/>
  <c r="Y56" i="126"/>
  <c r="X56" i="126"/>
  <c r="W56" i="126"/>
  <c r="V56" i="126"/>
  <c r="AB55" i="126"/>
  <c r="AA55" i="126"/>
  <c r="Z55" i="126"/>
  <c r="Y55" i="126"/>
  <c r="X55" i="126"/>
  <c r="W55" i="126"/>
  <c r="V55" i="126"/>
  <c r="AA54" i="126"/>
  <c r="Z54" i="126"/>
  <c r="Y54" i="126"/>
  <c r="X54" i="126"/>
  <c r="W54" i="126"/>
  <c r="V54" i="126"/>
  <c r="AA53" i="126"/>
  <c r="Z53" i="126"/>
  <c r="Y53" i="126"/>
  <c r="X53" i="126"/>
  <c r="W53" i="126"/>
  <c r="V53" i="126"/>
  <c r="AA52" i="126"/>
  <c r="Z52" i="126"/>
  <c r="Y52" i="126"/>
  <c r="X52" i="126"/>
  <c r="W52" i="126"/>
  <c r="V52" i="126"/>
  <c r="AA51" i="126"/>
  <c r="Z51" i="126"/>
  <c r="Y51" i="126"/>
  <c r="X51" i="126"/>
  <c r="W51" i="126"/>
  <c r="V51" i="126"/>
  <c r="AA50" i="126"/>
  <c r="Z50" i="126"/>
  <c r="Y50" i="126"/>
  <c r="X50" i="126"/>
  <c r="W50" i="126"/>
  <c r="V50" i="126"/>
  <c r="AA49" i="126"/>
  <c r="Z49" i="126"/>
  <c r="Y49" i="126"/>
  <c r="X49" i="126"/>
  <c r="W49" i="126"/>
  <c r="V49" i="126"/>
  <c r="AA48" i="126"/>
  <c r="Z48" i="126"/>
  <c r="Y48" i="126"/>
  <c r="X48" i="126"/>
  <c r="W48" i="126"/>
  <c r="V48" i="126"/>
  <c r="AA47" i="126"/>
  <c r="Z47" i="126"/>
  <c r="Y47" i="126"/>
  <c r="X47" i="126"/>
  <c r="W47" i="126"/>
  <c r="V47" i="126"/>
  <c r="AA46" i="126"/>
  <c r="Z46" i="126"/>
  <c r="Y46" i="126"/>
  <c r="X46" i="126"/>
  <c r="W46" i="126"/>
  <c r="V46" i="126"/>
  <c r="AA45" i="126"/>
  <c r="Z45" i="126"/>
  <c r="Y45" i="126"/>
  <c r="X45" i="126"/>
  <c r="W45" i="126"/>
  <c r="V45" i="126"/>
  <c r="AA44" i="126"/>
  <c r="Z44" i="126"/>
  <c r="Y44" i="126"/>
  <c r="X44" i="126"/>
  <c r="W44" i="126"/>
  <c r="V44" i="126"/>
  <c r="AA43" i="126"/>
  <c r="Z43" i="126"/>
  <c r="Y43" i="126"/>
  <c r="X43" i="126"/>
  <c r="W43" i="126"/>
  <c r="V43" i="126"/>
  <c r="AA42" i="126"/>
  <c r="Z42" i="126"/>
  <c r="Y42" i="126"/>
  <c r="X42" i="126"/>
  <c r="W42" i="126"/>
  <c r="V42" i="126"/>
  <c r="AA41" i="126"/>
  <c r="Z41" i="126"/>
  <c r="Y41" i="126"/>
  <c r="X41" i="126"/>
  <c r="W41" i="126"/>
  <c r="V41" i="126"/>
  <c r="AA40" i="126"/>
  <c r="Z40" i="126"/>
  <c r="Y40" i="126"/>
  <c r="X40" i="126"/>
  <c r="W40" i="126"/>
  <c r="V40" i="126"/>
  <c r="AB39" i="126"/>
  <c r="AA39" i="126"/>
  <c r="Z39" i="126"/>
  <c r="Y39" i="126"/>
  <c r="X39" i="126"/>
  <c r="W39" i="126"/>
  <c r="V39" i="126"/>
  <c r="AB38" i="126"/>
  <c r="AA38" i="126"/>
  <c r="Z38" i="126"/>
  <c r="Y38" i="126"/>
  <c r="X38" i="126"/>
  <c r="W38" i="126"/>
  <c r="V38" i="126"/>
  <c r="AA37" i="126"/>
  <c r="Z37" i="126"/>
  <c r="Y37" i="126"/>
  <c r="X37" i="126"/>
  <c r="W37" i="126"/>
  <c r="V37" i="126"/>
  <c r="AA36" i="126"/>
  <c r="Z36" i="126"/>
  <c r="Y36" i="126"/>
  <c r="X36" i="126"/>
  <c r="W36" i="126"/>
  <c r="V36" i="126"/>
  <c r="AA35" i="126"/>
  <c r="Z35" i="126"/>
  <c r="Y35" i="126"/>
  <c r="X35" i="126"/>
  <c r="W35" i="126"/>
  <c r="V35" i="126"/>
  <c r="AA34" i="126"/>
  <c r="Z34" i="126"/>
  <c r="Y34" i="126"/>
  <c r="X34" i="126"/>
  <c r="W34" i="126"/>
  <c r="V34" i="126"/>
  <c r="AA33" i="126"/>
  <c r="Z33" i="126"/>
  <c r="Y33" i="126"/>
  <c r="X33" i="126"/>
  <c r="W33" i="126"/>
  <c r="V33" i="126"/>
  <c r="AB32" i="126"/>
  <c r="AA32" i="126"/>
  <c r="Z32" i="126"/>
  <c r="Y32" i="126"/>
  <c r="X32" i="126"/>
  <c r="W32" i="126"/>
  <c r="V32" i="126"/>
  <c r="AB31" i="126"/>
  <c r="AA31" i="126"/>
  <c r="Z31" i="126"/>
  <c r="Y31" i="126"/>
  <c r="X31" i="126"/>
  <c r="W31" i="126"/>
  <c r="V31" i="126"/>
  <c r="AA30" i="126"/>
  <c r="Z30" i="126"/>
  <c r="Y30" i="126"/>
  <c r="X30" i="126"/>
  <c r="W30" i="126"/>
  <c r="V30" i="126"/>
  <c r="AA29" i="126"/>
  <c r="Z29" i="126"/>
  <c r="Y29" i="126"/>
  <c r="X29" i="126"/>
  <c r="W29" i="126"/>
  <c r="V29" i="126"/>
  <c r="AA28" i="126"/>
  <c r="Z28" i="126"/>
  <c r="Y28" i="126"/>
  <c r="X28" i="126"/>
  <c r="W28" i="126"/>
  <c r="V28" i="126"/>
  <c r="AA27" i="126"/>
  <c r="Z27" i="126"/>
  <c r="Y27" i="126"/>
  <c r="X27" i="126"/>
  <c r="W27" i="126"/>
  <c r="V27" i="126"/>
  <c r="AA26" i="126"/>
  <c r="Z26" i="126"/>
  <c r="Y26" i="126"/>
  <c r="X26" i="126"/>
  <c r="W26" i="126"/>
  <c r="V26" i="126"/>
  <c r="AA25" i="126"/>
  <c r="Z25" i="126"/>
  <c r="Y25" i="126"/>
  <c r="X25" i="126"/>
  <c r="W25" i="126"/>
  <c r="V25" i="126"/>
  <c r="AA24" i="126"/>
  <c r="Z24" i="126"/>
  <c r="Y24" i="126"/>
  <c r="X24" i="126"/>
  <c r="W24" i="126"/>
  <c r="V24" i="126"/>
  <c r="AA23" i="126"/>
  <c r="Z23" i="126"/>
  <c r="Y23" i="126"/>
  <c r="X23" i="126"/>
  <c r="W23" i="126"/>
  <c r="V23" i="126"/>
  <c r="AA22" i="126"/>
  <c r="Z22" i="126"/>
  <c r="Y22" i="126"/>
  <c r="X22" i="126"/>
  <c r="W22" i="126"/>
  <c r="V22" i="126"/>
  <c r="AA21" i="126"/>
  <c r="Z21" i="126"/>
  <c r="Y21" i="126"/>
  <c r="X21" i="126"/>
  <c r="W21" i="126"/>
  <c r="V21" i="126"/>
  <c r="AA20" i="126"/>
  <c r="Z20" i="126"/>
  <c r="Y20" i="126"/>
  <c r="X20" i="126"/>
  <c r="W20" i="126"/>
  <c r="V20" i="126"/>
  <c r="AA19" i="126"/>
  <c r="Z19" i="126"/>
  <c r="Y19" i="126"/>
  <c r="X19" i="126"/>
  <c r="W19" i="126"/>
  <c r="V19" i="126"/>
  <c r="AA18" i="126"/>
  <c r="Z18" i="126"/>
  <c r="Y18" i="126"/>
  <c r="X18" i="126"/>
  <c r="W18" i="126"/>
  <c r="V18" i="126"/>
  <c r="AB17" i="126"/>
  <c r="AA17" i="126"/>
  <c r="Z17" i="126"/>
  <c r="Y17" i="126"/>
  <c r="X17" i="126"/>
  <c r="W17" i="126"/>
  <c r="V17" i="126"/>
  <c r="AA16" i="126"/>
  <c r="Z16" i="126"/>
  <c r="Y16" i="126"/>
  <c r="X16" i="126"/>
  <c r="W16" i="126"/>
  <c r="V16" i="126"/>
  <c r="AB15" i="126"/>
  <c r="AA15" i="126"/>
  <c r="Z15" i="126"/>
  <c r="Y15" i="126"/>
  <c r="X15" i="126"/>
  <c r="W15" i="126"/>
  <c r="V15" i="126"/>
  <c r="AB14" i="126"/>
  <c r="AA14" i="126"/>
  <c r="Z14" i="126"/>
  <c r="Y14" i="126"/>
  <c r="X14" i="126"/>
  <c r="W14" i="126"/>
  <c r="V14" i="126"/>
  <c r="AA13" i="126"/>
  <c r="Z13" i="126"/>
  <c r="Y13" i="126"/>
  <c r="X13" i="126"/>
  <c r="W13" i="126"/>
  <c r="V13" i="126"/>
  <c r="AA12" i="126"/>
  <c r="Z12" i="126"/>
  <c r="Y12" i="126"/>
  <c r="X12" i="126"/>
  <c r="W12" i="126"/>
  <c r="V12" i="126"/>
  <c r="AA11" i="126"/>
  <c r="Z11" i="126"/>
  <c r="Y11" i="126"/>
  <c r="X11" i="126"/>
  <c r="W11" i="126"/>
  <c r="V11" i="126"/>
  <c r="AA10" i="126"/>
  <c r="Z10" i="126"/>
  <c r="Y10" i="126"/>
  <c r="X10" i="126"/>
  <c r="W10" i="126"/>
  <c r="V10" i="126"/>
  <c r="AA9" i="126"/>
  <c r="Z9" i="126"/>
  <c r="Y9" i="126"/>
  <c r="X9" i="126"/>
  <c r="W9" i="126"/>
  <c r="V9" i="126"/>
  <c r="AB8" i="126"/>
  <c r="AA8" i="126"/>
  <c r="Z8" i="126"/>
  <c r="Y8" i="126"/>
  <c r="X8" i="126"/>
  <c r="W8" i="126"/>
  <c r="V8" i="126"/>
  <c r="AA7" i="126"/>
  <c r="Z7" i="126"/>
  <c r="Y7" i="126"/>
  <c r="X7" i="126"/>
  <c r="W7" i="126"/>
  <c r="V7" i="126"/>
  <c r="A211" i="87" l="1"/>
  <c r="I418" i="87"/>
  <c r="A355" i="87"/>
  <c r="AG59" i="126"/>
  <c r="AG60" i="126" s="1"/>
  <c r="R37" i="74"/>
  <c r="A152" i="87"/>
  <c r="AF18" i="126"/>
  <c r="L59" i="126"/>
  <c r="L23" i="126"/>
  <c r="U23" i="126" s="1"/>
  <c r="L47" i="126"/>
  <c r="U47" i="126" s="1"/>
  <c r="L22" i="126"/>
  <c r="U22" i="126" s="1"/>
  <c r="L30" i="126"/>
  <c r="U30" i="126" s="1"/>
  <c r="L46" i="126"/>
  <c r="U46" i="126" s="1"/>
  <c r="AB46" i="126"/>
  <c r="AI46" i="126" s="1"/>
  <c r="L21" i="126"/>
  <c r="U21" i="126" s="1"/>
  <c r="L29" i="126"/>
  <c r="U29" i="126" s="1"/>
  <c r="L45" i="126"/>
  <c r="U45" i="126" s="1"/>
  <c r="L53" i="126"/>
  <c r="U53" i="126" s="1"/>
  <c r="AD53" i="126" s="1"/>
  <c r="AB45" i="126"/>
  <c r="AE45" i="126" s="1"/>
  <c r="AB30" i="126"/>
  <c r="AF30" i="126" s="1"/>
  <c r="AB47" i="126"/>
  <c r="AE47" i="126" s="1"/>
  <c r="AB29" i="126"/>
  <c r="AJ29" i="126" s="1"/>
  <c r="AB23" i="126"/>
  <c r="AG23" i="126" s="1"/>
  <c r="AB22" i="126"/>
  <c r="AF22" i="126" s="1"/>
  <c r="AB21" i="126"/>
  <c r="AH21" i="126" s="1"/>
  <c r="L8" i="126"/>
  <c r="U8" i="126" s="1"/>
  <c r="AD8" i="126" s="1"/>
  <c r="L9" i="126"/>
  <c r="U9" i="126" s="1"/>
  <c r="AD9" i="126" s="1"/>
  <c r="L10" i="126"/>
  <c r="U10" i="126" s="1"/>
  <c r="AD10" i="126" s="1"/>
  <c r="L11" i="126"/>
  <c r="U11" i="126" s="1"/>
  <c r="AD11" i="126" s="1"/>
  <c r="L12" i="126"/>
  <c r="U12" i="126" s="1"/>
  <c r="AD12" i="126" s="1"/>
  <c r="L13" i="126"/>
  <c r="U13" i="126" s="1"/>
  <c r="AD13" i="126" s="1"/>
  <c r="L14" i="126"/>
  <c r="U14" i="126" s="1"/>
  <c r="AD14" i="126" s="1"/>
  <c r="L15" i="126"/>
  <c r="U15" i="126" s="1"/>
  <c r="AD15" i="126" s="1"/>
  <c r="L16" i="126"/>
  <c r="U16" i="126" s="1"/>
  <c r="AD16" i="126" s="1"/>
  <c r="L17" i="126"/>
  <c r="U17" i="126" s="1"/>
  <c r="AD17" i="126" s="1"/>
  <c r="L18" i="126"/>
  <c r="U18" i="126" s="1"/>
  <c r="AD18" i="126" s="1"/>
  <c r="L19" i="126"/>
  <c r="U19" i="126" s="1"/>
  <c r="AD19" i="126" s="1"/>
  <c r="L20" i="126"/>
  <c r="U20" i="126" s="1"/>
  <c r="AD20" i="126" s="1"/>
  <c r="L24" i="126"/>
  <c r="U24" i="126" s="1"/>
  <c r="AD24" i="126" s="1"/>
  <c r="L25" i="126"/>
  <c r="U25" i="126" s="1"/>
  <c r="AD25" i="126" s="1"/>
  <c r="L26" i="126"/>
  <c r="U26" i="126" s="1"/>
  <c r="AD26" i="126" s="1"/>
  <c r="L27" i="126"/>
  <c r="U27" i="126" s="1"/>
  <c r="AD27" i="126" s="1"/>
  <c r="L28" i="126"/>
  <c r="U28" i="126" s="1"/>
  <c r="AD28" i="126" s="1"/>
  <c r="L31" i="126"/>
  <c r="U31" i="126" s="1"/>
  <c r="AD31" i="126" s="1"/>
  <c r="L32" i="126"/>
  <c r="U32" i="126" s="1"/>
  <c r="AD32" i="126" s="1"/>
  <c r="L33" i="126"/>
  <c r="U33" i="126" s="1"/>
  <c r="AD33" i="126" s="1"/>
  <c r="L34" i="126"/>
  <c r="U34" i="126" s="1"/>
  <c r="AD34" i="126" s="1"/>
  <c r="L35" i="126"/>
  <c r="U35" i="126" s="1"/>
  <c r="AD35" i="126" s="1"/>
  <c r="L36" i="126"/>
  <c r="U36" i="126" s="1"/>
  <c r="AD36" i="126" s="1"/>
  <c r="L37" i="126"/>
  <c r="U37" i="126" s="1"/>
  <c r="AD37" i="126" s="1"/>
  <c r="L38" i="126"/>
  <c r="U38" i="126" s="1"/>
  <c r="AD38" i="126" s="1"/>
  <c r="L39" i="126"/>
  <c r="U39" i="126" s="1"/>
  <c r="AD39" i="126" s="1"/>
  <c r="L40" i="126"/>
  <c r="U40" i="126" s="1"/>
  <c r="AD40" i="126" s="1"/>
  <c r="L41" i="126"/>
  <c r="U41" i="126" s="1"/>
  <c r="AD41" i="126" s="1"/>
  <c r="L42" i="126"/>
  <c r="U42" i="126" s="1"/>
  <c r="AD42" i="126" s="1"/>
  <c r="L43" i="126"/>
  <c r="U43" i="126" s="1"/>
  <c r="AD43" i="126" s="1"/>
  <c r="L44" i="126"/>
  <c r="U44" i="126" s="1"/>
  <c r="AD44" i="126" s="1"/>
  <c r="L48" i="126"/>
  <c r="U48" i="126" s="1"/>
  <c r="AD48" i="126" s="1"/>
  <c r="L49" i="126"/>
  <c r="U49" i="126" s="1"/>
  <c r="AD49" i="126" s="1"/>
  <c r="L50" i="126"/>
  <c r="U50" i="126" s="1"/>
  <c r="AD50" i="126" s="1"/>
  <c r="L51" i="126"/>
  <c r="U51" i="126" s="1"/>
  <c r="AD51" i="126" s="1"/>
  <c r="L52" i="126"/>
  <c r="U52" i="126" s="1"/>
  <c r="AD52" i="126" s="1"/>
  <c r="L54" i="126"/>
  <c r="U54" i="126" s="1"/>
  <c r="AD54" i="126" s="1"/>
  <c r="L55" i="126"/>
  <c r="U55" i="126" s="1"/>
  <c r="AD55" i="126" s="1"/>
  <c r="L56" i="126"/>
  <c r="U56" i="126" s="1"/>
  <c r="AD56" i="126" s="1"/>
  <c r="L57" i="126"/>
  <c r="U57" i="126" s="1"/>
  <c r="AD57" i="126" s="1"/>
  <c r="L58" i="126"/>
  <c r="U58" i="126" s="1"/>
  <c r="AD58" i="126" s="1"/>
  <c r="U7" i="126"/>
  <c r="AB7" i="126"/>
  <c r="AH54" i="126"/>
  <c r="AH39" i="126"/>
  <c r="AJ33" i="126"/>
  <c r="AF42" i="126"/>
  <c r="AE42" i="126"/>
  <c r="AE51" i="126"/>
  <c r="AE48" i="126"/>
  <c r="AF48" i="126"/>
  <c r="AG48" i="126"/>
  <c r="AH48" i="126"/>
  <c r="AE43" i="126"/>
  <c r="AF43" i="126"/>
  <c r="AE41" i="126"/>
  <c r="AF41" i="126"/>
  <c r="AF38" i="126"/>
  <c r="AE38" i="126"/>
  <c r="AG38" i="126"/>
  <c r="AH38" i="126"/>
  <c r="AE35" i="126"/>
  <c r="AF35" i="126"/>
  <c r="AE31" i="126"/>
  <c r="AF31" i="126"/>
  <c r="AG31" i="126"/>
  <c r="AH31" i="126"/>
  <c r="AI31" i="126"/>
  <c r="AF26" i="126"/>
  <c r="AE26" i="126"/>
  <c r="AF14" i="126"/>
  <c r="AE14" i="126"/>
  <c r="AG14" i="126"/>
  <c r="AH14" i="126"/>
  <c r="AF10" i="126"/>
  <c r="AE10" i="126"/>
  <c r="AJ48" i="126"/>
  <c r="AJ54" i="126"/>
  <c r="AJ51" i="126"/>
  <c r="AJ49" i="126"/>
  <c r="AJ43" i="126"/>
  <c r="AJ41" i="126"/>
  <c r="AJ38" i="126"/>
  <c r="AJ36" i="126"/>
  <c r="AJ34" i="126"/>
  <c r="AJ32" i="126"/>
  <c r="AJ27" i="126"/>
  <c r="AJ25" i="126"/>
  <c r="AJ20" i="126"/>
  <c r="AJ17" i="126"/>
  <c r="AJ9" i="126"/>
  <c r="AI54" i="126"/>
  <c r="AF58" i="126"/>
  <c r="AE58" i="126"/>
  <c r="AG56" i="126"/>
  <c r="AE56" i="126"/>
  <c r="AH56" i="126"/>
  <c r="AF56" i="126"/>
  <c r="AI56" i="126"/>
  <c r="AF55" i="126"/>
  <c r="AE55" i="126"/>
  <c r="AG55" i="126"/>
  <c r="AH55" i="126"/>
  <c r="AI55" i="126"/>
  <c r="AE53" i="126"/>
  <c r="AF53" i="126"/>
  <c r="AG53" i="126"/>
  <c r="AH53" i="126"/>
  <c r="AF50" i="126"/>
  <c r="AE50" i="126"/>
  <c r="AE49" i="126"/>
  <c r="AF49" i="126"/>
  <c r="AE44" i="126"/>
  <c r="AF44" i="126"/>
  <c r="AG44" i="126"/>
  <c r="AH40" i="126"/>
  <c r="AE40" i="126"/>
  <c r="AF40" i="126"/>
  <c r="AG40" i="126"/>
  <c r="AI40" i="126"/>
  <c r="AH32" i="126"/>
  <c r="AE32" i="126"/>
  <c r="AG32" i="126"/>
  <c r="AF32" i="126"/>
  <c r="AI32" i="126"/>
  <c r="AE25" i="126"/>
  <c r="AF25" i="126"/>
  <c r="AE19" i="126"/>
  <c r="AF19" i="126"/>
  <c r="AE17" i="126"/>
  <c r="AF17" i="126"/>
  <c r="AF15" i="126"/>
  <c r="AG15" i="126"/>
  <c r="AE15" i="126"/>
  <c r="AI15" i="126"/>
  <c r="AE13" i="126"/>
  <c r="AF13" i="126"/>
  <c r="AG13" i="126"/>
  <c r="AH13" i="126"/>
  <c r="AE11" i="126"/>
  <c r="AF11" i="126"/>
  <c r="AE8" i="126"/>
  <c r="AH8" i="126"/>
  <c r="AI8" i="126"/>
  <c r="AF8" i="126"/>
  <c r="AG8" i="126"/>
  <c r="AJ57" i="126"/>
  <c r="AJ58" i="126"/>
  <c r="AJ55" i="126"/>
  <c r="AJ53" i="126"/>
  <c r="AJ50" i="126"/>
  <c r="AJ44" i="126"/>
  <c r="AJ42" i="126"/>
  <c r="AJ40" i="126"/>
  <c r="AJ37" i="126"/>
  <c r="AJ35" i="126"/>
  <c r="AJ31" i="126"/>
  <c r="AJ28" i="126"/>
  <c r="AJ26" i="126"/>
  <c r="AJ24" i="126"/>
  <c r="AJ19" i="126"/>
  <c r="AJ18" i="126"/>
  <c r="AJ16" i="126"/>
  <c r="AJ15" i="126"/>
  <c r="AJ14" i="126"/>
  <c r="AJ12" i="126"/>
  <c r="AJ11" i="126"/>
  <c r="AJ10" i="126"/>
  <c r="AJ8" i="126"/>
  <c r="AI48" i="126"/>
  <c r="AI39" i="126"/>
  <c r="AE18" i="126"/>
  <c r="AI38" i="126"/>
  <c r="AF27" i="126"/>
  <c r="AH15" i="126"/>
  <c r="AE59" i="126"/>
  <c r="AE60" i="126" s="1"/>
  <c r="AF59" i="126"/>
  <c r="AF60" i="126" s="1"/>
  <c r="AE57" i="126"/>
  <c r="AF57" i="126"/>
  <c r="AF54" i="126"/>
  <c r="AE54" i="126"/>
  <c r="AF52" i="126"/>
  <c r="AG52" i="126"/>
  <c r="AF39" i="126"/>
  <c r="AE39" i="126"/>
  <c r="AG39" i="126"/>
  <c r="AE37" i="126"/>
  <c r="AF37" i="126"/>
  <c r="AG37" i="126"/>
  <c r="AH37" i="126"/>
  <c r="AF34" i="126"/>
  <c r="AE34" i="126"/>
  <c r="AE33" i="126"/>
  <c r="AF33" i="126"/>
  <c r="AE28" i="126"/>
  <c r="AF28" i="126"/>
  <c r="AG28" i="126"/>
  <c r="AE24" i="126"/>
  <c r="AF24" i="126"/>
  <c r="AG24" i="126"/>
  <c r="AH24" i="126"/>
  <c r="AE20" i="126"/>
  <c r="AF20" i="126"/>
  <c r="AG20" i="126"/>
  <c r="AG16" i="126"/>
  <c r="AE16" i="126"/>
  <c r="AF16" i="126"/>
  <c r="AH16" i="126"/>
  <c r="AI16" i="126"/>
  <c r="AG12" i="126"/>
  <c r="AE9" i="126"/>
  <c r="AF9" i="126"/>
  <c r="AJ59" i="126"/>
  <c r="AJ60" i="126" s="1"/>
  <c r="AJ56" i="126"/>
  <c r="AJ52" i="126"/>
  <c r="AJ39" i="126"/>
  <c r="AJ13" i="126"/>
  <c r="AG54" i="126"/>
  <c r="AG36" i="126"/>
  <c r="AE27" i="126"/>
  <c r="AI14" i="126"/>
  <c r="AE52" i="126"/>
  <c r="AF36" i="126"/>
  <c r="AI24" i="126"/>
  <c r="AF12" i="126"/>
  <c r="AF51" i="126"/>
  <c r="AE36" i="126"/>
  <c r="AE12" i="126"/>
  <c r="AI59" i="126"/>
  <c r="AI60" i="126" s="1"/>
  <c r="AI58" i="126"/>
  <c r="AI57" i="126"/>
  <c r="AI53" i="126"/>
  <c r="AI52" i="126"/>
  <c r="AI51" i="126"/>
  <c r="AI50" i="126"/>
  <c r="AI49" i="126"/>
  <c r="AI44" i="126"/>
  <c r="AI43" i="126"/>
  <c r="AI42" i="126"/>
  <c r="AI41" i="126"/>
  <c r="AI37" i="126"/>
  <c r="AI36" i="126"/>
  <c r="AI35" i="126"/>
  <c r="AI34" i="126"/>
  <c r="AI33" i="126"/>
  <c r="AI28" i="126"/>
  <c r="AI27" i="126"/>
  <c r="AI26" i="126"/>
  <c r="AI25" i="126"/>
  <c r="AI20" i="126"/>
  <c r="AI19" i="126"/>
  <c r="AI18" i="126"/>
  <c r="AI17" i="126"/>
  <c r="AI13" i="126"/>
  <c r="AI12" i="126"/>
  <c r="AI11" i="126"/>
  <c r="AI10" i="126"/>
  <c r="AI9" i="126"/>
  <c r="AH59" i="126"/>
  <c r="AH60" i="126" s="1"/>
  <c r="AH58" i="126"/>
  <c r="AH57" i="126"/>
  <c r="AH52" i="126"/>
  <c r="AH51" i="126"/>
  <c r="AH50" i="126"/>
  <c r="AH49" i="126"/>
  <c r="AH44" i="126"/>
  <c r="AH43" i="126"/>
  <c r="AH42" i="126"/>
  <c r="AH41" i="126"/>
  <c r="AH36" i="126"/>
  <c r="AH35" i="126"/>
  <c r="AH34" i="126"/>
  <c r="AH33" i="126"/>
  <c r="AH28" i="126"/>
  <c r="AH27" i="126"/>
  <c r="AH26" i="126"/>
  <c r="AH25" i="126"/>
  <c r="AH20" i="126"/>
  <c r="AH19" i="126"/>
  <c r="AH18" i="126"/>
  <c r="AH17" i="126"/>
  <c r="AH12" i="126"/>
  <c r="AH11" i="126"/>
  <c r="AH10" i="126"/>
  <c r="AH9" i="126"/>
  <c r="AG58" i="126"/>
  <c r="AG57" i="126"/>
  <c r="AG51" i="126"/>
  <c r="AG50" i="126"/>
  <c r="AG49" i="126"/>
  <c r="AG43" i="126"/>
  <c r="AG42" i="126"/>
  <c r="AG41" i="126"/>
  <c r="AG35" i="126"/>
  <c r="AG34" i="126"/>
  <c r="AG33" i="126"/>
  <c r="AG27" i="126"/>
  <c r="AG26" i="126"/>
  <c r="AG25" i="126"/>
  <c r="AG19" i="126"/>
  <c r="AG18" i="126"/>
  <c r="AG17" i="126"/>
  <c r="AG11" i="126"/>
  <c r="AG10" i="126"/>
  <c r="AG9" i="126"/>
  <c r="A212" i="87" l="1"/>
  <c r="I419" i="87"/>
  <c r="A356" i="87"/>
  <c r="H144" i="87"/>
  <c r="H125" i="87"/>
  <c r="H153" i="87"/>
  <c r="H143" i="87"/>
  <c r="H132" i="87"/>
  <c r="H124" i="87"/>
  <c r="H152" i="87"/>
  <c r="H142" i="87"/>
  <c r="H131" i="87"/>
  <c r="H141" i="87"/>
  <c r="H140" i="87"/>
  <c r="H149" i="87"/>
  <c r="H136" i="87"/>
  <c r="H128" i="87"/>
  <c r="H151" i="87"/>
  <c r="H150" i="87"/>
  <c r="H148" i="87"/>
  <c r="H135" i="87"/>
  <c r="H127" i="87"/>
  <c r="H133" i="87"/>
  <c r="H130" i="87"/>
  <c r="H129" i="87"/>
  <c r="H147" i="87"/>
  <c r="H134" i="87"/>
  <c r="H126" i="87"/>
  <c r="U59" i="126"/>
  <c r="AD59" i="126" s="1"/>
  <c r="R38" i="74"/>
  <c r="A153" i="87"/>
  <c r="AI45" i="126"/>
  <c r="AE46" i="126"/>
  <c r="AD29" i="126"/>
  <c r="AJ23" i="126"/>
  <c r="AG29" i="126"/>
  <c r="AD46" i="126"/>
  <c r="AD21" i="126"/>
  <c r="AF21" i="126"/>
  <c r="AE21" i="126"/>
  <c r="AF23" i="126"/>
  <c r="AH46" i="126"/>
  <c r="AD23" i="126"/>
  <c r="AI23" i="126"/>
  <c r="AJ22" i="126"/>
  <c r="AH23" i="126"/>
  <c r="AE29" i="126"/>
  <c r="AE23" i="126"/>
  <c r="AH22" i="126"/>
  <c r="AD47" i="126"/>
  <c r="AI29" i="126"/>
  <c r="AJ46" i="126"/>
  <c r="AD22" i="126"/>
  <c r="AH45" i="126"/>
  <c r="AE22" i="126"/>
  <c r="AF45" i="126"/>
  <c r="AG46" i="126"/>
  <c r="AI22" i="126"/>
  <c r="AH29" i="126"/>
  <c r="AE30" i="126"/>
  <c r="AF46" i="126"/>
  <c r="AG22" i="126"/>
  <c r="AF29" i="126"/>
  <c r="AD7" i="126"/>
  <c r="AG45" i="126"/>
  <c r="AJ45" i="126"/>
  <c r="AD45" i="126"/>
  <c r="AG47" i="126"/>
  <c r="AJ47" i="126"/>
  <c r="AF47" i="126"/>
  <c r="AG21" i="126"/>
  <c r="AH30" i="126"/>
  <c r="AI21" i="126"/>
  <c r="AI30" i="126"/>
  <c r="AI47" i="126"/>
  <c r="AJ21" i="126"/>
  <c r="AJ30" i="126"/>
  <c r="AD30" i="126"/>
  <c r="AH47" i="126"/>
  <c r="AG30" i="126"/>
  <c r="A213" i="87" l="1"/>
  <c r="I420" i="87"/>
  <c r="A357" i="87"/>
  <c r="H146" i="87"/>
  <c r="H137" i="87"/>
  <c r="H139" i="87"/>
  <c r="H145" i="87"/>
  <c r="H138" i="87"/>
  <c r="AD60" i="126"/>
  <c r="R39" i="74"/>
  <c r="A154" i="87"/>
  <c r="AD5" i="126"/>
  <c r="AG7" i="126"/>
  <c r="AG5" i="126" s="1"/>
  <c r="AE7" i="126"/>
  <c r="AI7" i="126"/>
  <c r="AI5" i="126" s="1"/>
  <c r="AJ7" i="126"/>
  <c r="AJ5" i="126" s="1"/>
  <c r="AF7" i="126"/>
  <c r="AF5" i="126" s="1"/>
  <c r="AH7" i="126"/>
  <c r="AH5" i="126" s="1"/>
  <c r="A214" i="87" l="1"/>
  <c r="I421" i="87"/>
  <c r="A358" i="87"/>
  <c r="H154" i="87"/>
  <c r="H123" i="87"/>
  <c r="R40" i="74"/>
  <c r="A155" i="87"/>
  <c r="AE5" i="126"/>
  <c r="H121" i="87" s="1"/>
  <c r="A215" i="87" l="1"/>
  <c r="I422" i="87"/>
  <c r="A359" i="87"/>
  <c r="H155" i="87"/>
  <c r="R41" i="74"/>
  <c r="A156" i="87"/>
  <c r="CW61" i="74"/>
  <c r="CX61" i="74" s="1"/>
  <c r="CW60" i="74"/>
  <c r="CX60" i="74" s="1"/>
  <c r="CW59" i="74"/>
  <c r="CX59" i="74" s="1"/>
  <c r="CW58" i="74"/>
  <c r="CX58" i="74" s="1"/>
  <c r="CW57" i="74"/>
  <c r="CX57" i="74" s="1"/>
  <c r="CW56" i="74"/>
  <c r="CX56" i="74" s="1"/>
  <c r="CW55" i="74"/>
  <c r="CX55" i="74" s="1"/>
  <c r="CW54" i="74"/>
  <c r="CX54" i="74" s="1"/>
  <c r="CW53" i="74"/>
  <c r="CX53" i="74" s="1"/>
  <c r="CW52" i="74"/>
  <c r="CX52" i="74" s="1"/>
  <c r="CW51" i="74"/>
  <c r="CX51" i="74" s="1"/>
  <c r="CW50" i="74"/>
  <c r="CX50" i="74" s="1"/>
  <c r="CW49" i="74"/>
  <c r="CX49" i="74" s="1"/>
  <c r="CW48" i="74"/>
  <c r="CX48" i="74" s="1"/>
  <c r="CW47" i="74"/>
  <c r="CX47" i="74" s="1"/>
  <c r="CW46" i="74"/>
  <c r="CX46" i="74" s="1"/>
  <c r="CW45" i="74"/>
  <c r="CX45" i="74" s="1"/>
  <c r="CW44" i="74"/>
  <c r="CX44" i="74" s="1"/>
  <c r="CW43" i="74"/>
  <c r="CX43" i="74" s="1"/>
  <c r="CW42" i="74"/>
  <c r="CX42" i="74" s="1"/>
  <c r="CW41" i="74"/>
  <c r="CX41" i="74" s="1"/>
  <c r="CW40" i="74"/>
  <c r="CX40" i="74" s="1"/>
  <c r="CW39" i="74"/>
  <c r="CX39" i="74" s="1"/>
  <c r="CW38" i="74"/>
  <c r="CX38" i="74" s="1"/>
  <c r="CW37" i="74"/>
  <c r="CX37" i="74" s="1"/>
  <c r="CW36" i="74"/>
  <c r="CX36" i="74" s="1"/>
  <c r="CW35" i="74"/>
  <c r="CX35" i="74" s="1"/>
  <c r="CW34" i="74"/>
  <c r="CX34" i="74" s="1"/>
  <c r="CW33" i="74"/>
  <c r="CX33" i="74" s="1"/>
  <c r="CW32" i="74"/>
  <c r="CX32" i="74" s="1"/>
  <c r="CW31" i="74"/>
  <c r="CX31" i="74" s="1"/>
  <c r="CW30" i="74"/>
  <c r="CX30" i="74" s="1"/>
  <c r="CW29" i="74"/>
  <c r="CX29" i="74" s="1"/>
  <c r="CW28" i="74"/>
  <c r="CX28" i="74" s="1"/>
  <c r="CW27" i="74"/>
  <c r="CX27" i="74" s="1"/>
  <c r="CW26" i="74"/>
  <c r="CX26" i="74" s="1"/>
  <c r="CW25" i="74"/>
  <c r="CX25" i="74" s="1"/>
  <c r="CW24" i="74"/>
  <c r="CX24" i="74" s="1"/>
  <c r="CW23" i="74"/>
  <c r="CX23" i="74" s="1"/>
  <c r="CW22" i="74"/>
  <c r="CX22" i="74" s="1"/>
  <c r="CW21" i="74"/>
  <c r="CX21" i="74" s="1"/>
  <c r="CW20" i="74"/>
  <c r="CX20" i="74" s="1"/>
  <c r="CW19" i="74"/>
  <c r="CX19" i="74" s="1"/>
  <c r="CW18" i="74"/>
  <c r="CX18" i="74" s="1"/>
  <c r="CW17" i="74"/>
  <c r="CX17" i="74" s="1"/>
  <c r="CW16" i="74"/>
  <c r="CX16" i="74" s="1"/>
  <c r="CW15" i="74"/>
  <c r="CX15" i="74" s="1"/>
  <c r="CW14" i="74"/>
  <c r="CX14" i="74" s="1"/>
  <c r="CW13" i="74"/>
  <c r="CX13" i="74" s="1"/>
  <c r="CX12" i="74"/>
  <c r="CW10" i="74"/>
  <c r="CX10" i="74" s="1"/>
  <c r="CW8" i="74"/>
  <c r="CX8" i="74" s="1"/>
  <c r="CW6" i="74"/>
  <c r="CX6" i="74" s="1"/>
  <c r="E131" i="54"/>
  <c r="F131" i="54"/>
  <c r="G131" i="54"/>
  <c r="H131" i="54"/>
  <c r="E128" i="54"/>
  <c r="F128" i="54"/>
  <c r="G128" i="54"/>
  <c r="H128" i="54"/>
  <c r="E129" i="54"/>
  <c r="F129" i="54"/>
  <c r="G129" i="54"/>
  <c r="H129" i="54"/>
  <c r="D128" i="54"/>
  <c r="D129" i="54"/>
  <c r="D131" i="54"/>
  <c r="C128" i="54"/>
  <c r="C129" i="54"/>
  <c r="C131" i="54"/>
  <c r="B131" i="54"/>
  <c r="B129" i="54"/>
  <c r="B128" i="54"/>
  <c r="B66" i="54"/>
  <c r="AH6" i="54"/>
  <c r="AH7" i="54"/>
  <c r="AH8" i="54"/>
  <c r="AH9" i="54"/>
  <c r="AH10" i="54"/>
  <c r="AH11" i="54"/>
  <c r="AH12" i="54"/>
  <c r="AH13" i="54"/>
  <c r="AH14" i="54"/>
  <c r="AH15" i="54"/>
  <c r="AH16" i="54"/>
  <c r="AH17" i="54"/>
  <c r="AH18" i="54"/>
  <c r="AH19" i="54"/>
  <c r="AH20" i="54"/>
  <c r="AH21" i="54"/>
  <c r="AH22" i="54"/>
  <c r="AH23" i="54"/>
  <c r="AH24" i="54"/>
  <c r="AH25" i="54"/>
  <c r="AH26" i="54"/>
  <c r="AH27" i="54"/>
  <c r="AH28" i="54"/>
  <c r="AH29" i="54"/>
  <c r="AH30" i="54"/>
  <c r="AH31" i="54"/>
  <c r="AH32" i="54"/>
  <c r="AH33" i="54"/>
  <c r="AH34" i="54"/>
  <c r="AH35" i="54"/>
  <c r="AH36" i="54"/>
  <c r="AH37" i="54"/>
  <c r="AH38" i="54"/>
  <c r="AH39" i="54"/>
  <c r="AH40" i="54"/>
  <c r="AH41" i="54"/>
  <c r="AH42" i="54"/>
  <c r="AH43" i="54"/>
  <c r="AH44" i="54"/>
  <c r="AH45" i="54"/>
  <c r="AH46" i="54"/>
  <c r="AH47" i="54"/>
  <c r="AH48" i="54"/>
  <c r="AH49" i="54"/>
  <c r="AH50" i="54"/>
  <c r="AH51" i="54"/>
  <c r="AH52" i="54"/>
  <c r="AH53" i="54"/>
  <c r="AH54" i="54"/>
  <c r="AH55" i="54"/>
  <c r="AH56" i="54"/>
  <c r="AH57" i="54"/>
  <c r="AH58" i="54"/>
  <c r="AH59" i="54"/>
  <c r="AH60" i="54"/>
  <c r="AH61" i="54"/>
  <c r="AI6" i="54"/>
  <c r="AI7" i="54"/>
  <c r="AI8" i="54"/>
  <c r="AI9" i="54"/>
  <c r="AI10" i="54"/>
  <c r="AI11" i="54"/>
  <c r="AI12" i="54"/>
  <c r="AI13" i="54"/>
  <c r="AI14" i="54"/>
  <c r="AI15" i="54"/>
  <c r="AI16" i="54"/>
  <c r="AI17" i="54"/>
  <c r="AI18" i="54"/>
  <c r="AI19" i="54"/>
  <c r="AI20" i="54"/>
  <c r="AI21" i="54"/>
  <c r="AI22" i="54"/>
  <c r="AI23" i="54"/>
  <c r="AI24" i="54"/>
  <c r="AI25" i="54"/>
  <c r="AI26" i="54"/>
  <c r="AI27" i="54"/>
  <c r="AI28" i="54"/>
  <c r="AI29" i="54"/>
  <c r="AI30" i="54"/>
  <c r="AI31" i="54"/>
  <c r="AI32" i="54"/>
  <c r="AI33" i="54"/>
  <c r="AI34" i="54"/>
  <c r="AI35" i="54"/>
  <c r="AI36" i="54"/>
  <c r="AI37" i="54"/>
  <c r="AI38" i="54"/>
  <c r="AI39" i="54"/>
  <c r="AI40" i="54"/>
  <c r="AI41" i="54"/>
  <c r="AI42" i="54"/>
  <c r="AI43" i="54"/>
  <c r="AI44" i="54"/>
  <c r="AI45" i="54"/>
  <c r="AI46" i="54"/>
  <c r="AI47" i="54"/>
  <c r="AI48" i="54"/>
  <c r="AI49" i="54"/>
  <c r="AI50" i="54"/>
  <c r="AI51" i="54"/>
  <c r="AI52" i="54"/>
  <c r="AI53" i="54"/>
  <c r="AI54" i="54"/>
  <c r="AI55" i="54"/>
  <c r="AI56" i="54"/>
  <c r="AI57" i="54"/>
  <c r="AI58" i="54"/>
  <c r="AI59" i="54"/>
  <c r="AI60" i="54"/>
  <c r="AI61" i="54"/>
  <c r="B66" i="114"/>
  <c r="B65" i="114"/>
  <c r="G11" i="111"/>
  <c r="J11" i="111"/>
  <c r="G12" i="111"/>
  <c r="J12" i="111"/>
  <c r="G13" i="111"/>
  <c r="J13" i="111"/>
  <c r="G14" i="111"/>
  <c r="J14" i="111"/>
  <c r="G15" i="111"/>
  <c r="J15" i="111"/>
  <c r="G16" i="111"/>
  <c r="J16" i="111"/>
  <c r="G17" i="111"/>
  <c r="J17" i="111"/>
  <c r="G18" i="111"/>
  <c r="J18" i="111"/>
  <c r="G19" i="111"/>
  <c r="J19" i="111"/>
  <c r="G20" i="111"/>
  <c r="J20" i="111"/>
  <c r="G21" i="111"/>
  <c r="J21" i="111"/>
  <c r="G22" i="111"/>
  <c r="J22" i="111"/>
  <c r="G23" i="111"/>
  <c r="J23" i="111"/>
  <c r="G24" i="111"/>
  <c r="J24" i="111"/>
  <c r="G25" i="111"/>
  <c r="J25" i="111"/>
  <c r="G26" i="111"/>
  <c r="J26" i="111"/>
  <c r="G27" i="111"/>
  <c r="J27" i="111"/>
  <c r="G28" i="111"/>
  <c r="J28" i="111"/>
  <c r="G29" i="111"/>
  <c r="J29" i="111"/>
  <c r="G30" i="111"/>
  <c r="J30" i="111"/>
  <c r="G31" i="111"/>
  <c r="J31" i="111"/>
  <c r="G32" i="111"/>
  <c r="J32" i="111"/>
  <c r="G33" i="111"/>
  <c r="J33" i="111"/>
  <c r="G34" i="111"/>
  <c r="J34" i="111"/>
  <c r="G35" i="111"/>
  <c r="J35" i="111"/>
  <c r="G36" i="111"/>
  <c r="J36" i="111"/>
  <c r="G37" i="111"/>
  <c r="J37" i="111"/>
  <c r="G38" i="111"/>
  <c r="J38" i="111"/>
  <c r="G39" i="111"/>
  <c r="J39" i="111"/>
  <c r="G40" i="111"/>
  <c r="J40" i="111"/>
  <c r="G41" i="111"/>
  <c r="J41" i="111"/>
  <c r="G42" i="111"/>
  <c r="J42" i="111"/>
  <c r="G43" i="111"/>
  <c r="J43" i="111"/>
  <c r="G44" i="111"/>
  <c r="J44" i="111"/>
  <c r="G45" i="111"/>
  <c r="J45" i="111"/>
  <c r="G46" i="111"/>
  <c r="J46" i="111"/>
  <c r="G47" i="111"/>
  <c r="J47" i="111"/>
  <c r="G48" i="111"/>
  <c r="J48" i="111"/>
  <c r="G49" i="111"/>
  <c r="J49" i="111"/>
  <c r="G50" i="111"/>
  <c r="J50" i="111"/>
  <c r="G51" i="111"/>
  <c r="J51" i="111"/>
  <c r="G52" i="111"/>
  <c r="J52" i="111"/>
  <c r="G53" i="111"/>
  <c r="J53" i="111"/>
  <c r="G54" i="111"/>
  <c r="J54" i="111"/>
  <c r="G55" i="111"/>
  <c r="J55" i="111"/>
  <c r="G56" i="111"/>
  <c r="J56" i="111"/>
  <c r="G57" i="111"/>
  <c r="J57" i="111"/>
  <c r="G58" i="111"/>
  <c r="J58" i="111"/>
  <c r="G59" i="111"/>
  <c r="J59" i="111"/>
  <c r="G60" i="111"/>
  <c r="J60" i="111"/>
  <c r="G61" i="111"/>
  <c r="J61" i="111"/>
  <c r="G62" i="111"/>
  <c r="J62" i="111"/>
  <c r="G63" i="111"/>
  <c r="J63" i="111"/>
  <c r="G64" i="111"/>
  <c r="J64" i="111"/>
  <c r="G65" i="111"/>
  <c r="J65" i="111"/>
  <c r="L11" i="111"/>
  <c r="L12" i="111"/>
  <c r="L13" i="111"/>
  <c r="L14" i="111"/>
  <c r="L15" i="111"/>
  <c r="L17" i="111"/>
  <c r="L18" i="111"/>
  <c r="L19" i="111"/>
  <c r="L20" i="111"/>
  <c r="L21" i="111"/>
  <c r="L22" i="111"/>
  <c r="L23" i="111"/>
  <c r="L24" i="111"/>
  <c r="L25" i="111"/>
  <c r="L26" i="111"/>
  <c r="L27" i="111"/>
  <c r="L28" i="111"/>
  <c r="L29" i="111"/>
  <c r="L30" i="111"/>
  <c r="L31" i="111"/>
  <c r="L32" i="111"/>
  <c r="L33" i="111"/>
  <c r="L34" i="111"/>
  <c r="L35" i="111"/>
  <c r="L36" i="111"/>
  <c r="L37" i="111"/>
  <c r="L38" i="111"/>
  <c r="L39" i="111"/>
  <c r="L40" i="111"/>
  <c r="L41" i="111"/>
  <c r="L42" i="111"/>
  <c r="L43" i="111"/>
  <c r="L44" i="111"/>
  <c r="L45" i="111"/>
  <c r="L46" i="111"/>
  <c r="L47" i="111"/>
  <c r="L48" i="111"/>
  <c r="L49" i="111"/>
  <c r="L50" i="111"/>
  <c r="L51" i="111"/>
  <c r="L52" i="111"/>
  <c r="L53" i="111"/>
  <c r="L54" i="111"/>
  <c r="L55" i="111"/>
  <c r="L56" i="111"/>
  <c r="L57" i="111"/>
  <c r="L58" i="111"/>
  <c r="L59" i="111"/>
  <c r="L62" i="111"/>
  <c r="L63" i="111"/>
  <c r="L64" i="111"/>
  <c r="L10" i="111"/>
  <c r="G10" i="111"/>
  <c r="W9" i="119"/>
  <c r="I25" i="119"/>
  <c r="I26" i="119"/>
  <c r="I27" i="119"/>
  <c r="I28" i="119"/>
  <c r="I29" i="119"/>
  <c r="I30" i="119"/>
  <c r="I31" i="119"/>
  <c r="I32" i="119"/>
  <c r="I33" i="119"/>
  <c r="I34" i="119"/>
  <c r="I35" i="119"/>
  <c r="I36" i="119"/>
  <c r="I37" i="119"/>
  <c r="I38" i="119"/>
  <c r="I40" i="119"/>
  <c r="I41" i="119"/>
  <c r="I42" i="119"/>
  <c r="I43" i="119"/>
  <c r="I45" i="119"/>
  <c r="I46" i="119"/>
  <c r="I47" i="119"/>
  <c r="I48" i="119"/>
  <c r="I49" i="119"/>
  <c r="I50" i="119"/>
  <c r="I51" i="119"/>
  <c r="I52" i="119"/>
  <c r="I53" i="119"/>
  <c r="I54" i="119"/>
  <c r="I55" i="119"/>
  <c r="I56" i="119"/>
  <c r="I58" i="119"/>
  <c r="I60" i="119"/>
  <c r="I61" i="119"/>
  <c r="I62" i="119"/>
  <c r="I63" i="119"/>
  <c r="E63" i="119" s="1"/>
  <c r="I64" i="119"/>
  <c r="I65" i="119"/>
  <c r="I10" i="119"/>
  <c r="I11" i="119"/>
  <c r="I12" i="119"/>
  <c r="I13" i="119"/>
  <c r="I14" i="119"/>
  <c r="I15" i="119"/>
  <c r="E15" i="119" s="1"/>
  <c r="I16" i="119"/>
  <c r="I17" i="119"/>
  <c r="I18" i="119"/>
  <c r="I19" i="119"/>
  <c r="I20" i="119"/>
  <c r="I21" i="119"/>
  <c r="I22" i="119"/>
  <c r="I23" i="119"/>
  <c r="I24" i="119"/>
  <c r="I9" i="119"/>
  <c r="I39" i="119"/>
  <c r="I44" i="119"/>
  <c r="R103" i="121"/>
  <c r="X103" i="121"/>
  <c r="BQ13" i="100"/>
  <c r="BQ14" i="100"/>
  <c r="BQ15" i="100"/>
  <c r="BQ16" i="100"/>
  <c r="BQ17" i="100"/>
  <c r="BQ18" i="100"/>
  <c r="BQ19" i="100"/>
  <c r="BQ20" i="100"/>
  <c r="BQ21" i="100"/>
  <c r="BQ22" i="100"/>
  <c r="BQ23" i="100"/>
  <c r="BQ24" i="100"/>
  <c r="BQ25" i="100"/>
  <c r="BQ26" i="100"/>
  <c r="BQ27" i="100"/>
  <c r="BQ28" i="100"/>
  <c r="BQ29" i="100"/>
  <c r="BQ30" i="100"/>
  <c r="BQ31" i="100"/>
  <c r="BQ32" i="100"/>
  <c r="BQ33" i="100"/>
  <c r="BQ34" i="100"/>
  <c r="BQ35" i="100"/>
  <c r="BQ36" i="100"/>
  <c r="BQ37" i="100"/>
  <c r="BQ38" i="100"/>
  <c r="BQ39" i="100"/>
  <c r="BQ40" i="100"/>
  <c r="BQ41" i="100"/>
  <c r="BQ42" i="100"/>
  <c r="BQ43" i="100"/>
  <c r="BQ44" i="100"/>
  <c r="BQ45" i="100"/>
  <c r="BQ46" i="100"/>
  <c r="BQ47" i="100"/>
  <c r="BQ48" i="100"/>
  <c r="BQ49" i="100"/>
  <c r="BQ50" i="100"/>
  <c r="BQ51" i="100"/>
  <c r="BQ52" i="100"/>
  <c r="BQ53" i="100"/>
  <c r="BQ54" i="100"/>
  <c r="BQ55" i="100"/>
  <c r="BQ56" i="100"/>
  <c r="BQ57" i="100"/>
  <c r="BQ58" i="100"/>
  <c r="BQ59" i="100"/>
  <c r="BQ60" i="100"/>
  <c r="BQ61" i="100"/>
  <c r="BQ12" i="100"/>
  <c r="BQ10" i="100"/>
  <c r="BG13" i="100"/>
  <c r="BG14" i="100"/>
  <c r="BG15" i="100"/>
  <c r="BG16" i="100"/>
  <c r="BG17" i="100"/>
  <c r="BG18" i="100"/>
  <c r="BG19" i="100"/>
  <c r="BG20" i="100"/>
  <c r="BG21" i="100"/>
  <c r="BG22" i="100"/>
  <c r="BG23" i="100"/>
  <c r="BG24" i="100"/>
  <c r="BG25" i="100"/>
  <c r="BG26" i="100"/>
  <c r="BG27" i="100"/>
  <c r="BG28" i="100"/>
  <c r="BG29" i="100"/>
  <c r="BG30" i="100"/>
  <c r="BG31" i="100"/>
  <c r="BG32" i="100"/>
  <c r="BG33" i="100"/>
  <c r="BG34" i="100"/>
  <c r="BG35" i="100"/>
  <c r="BG36" i="100"/>
  <c r="BG37" i="100"/>
  <c r="BG38" i="100"/>
  <c r="BG39" i="100"/>
  <c r="BG40" i="100"/>
  <c r="BG41" i="100"/>
  <c r="BG42" i="100"/>
  <c r="BG43" i="100"/>
  <c r="BG44" i="100"/>
  <c r="BG45" i="100"/>
  <c r="BG46" i="100"/>
  <c r="BG47" i="100"/>
  <c r="BG48" i="100"/>
  <c r="BG49" i="100"/>
  <c r="BG50" i="100"/>
  <c r="BG51" i="100"/>
  <c r="BG52" i="100"/>
  <c r="BG53" i="100"/>
  <c r="BG54" i="100"/>
  <c r="BG55" i="100"/>
  <c r="BG56" i="100"/>
  <c r="BG57" i="100"/>
  <c r="BG58" i="100"/>
  <c r="BG59" i="100"/>
  <c r="BG60" i="100"/>
  <c r="BG61" i="100"/>
  <c r="BG12" i="100"/>
  <c r="BG10"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W43" i="100"/>
  <c r="AW44" i="100"/>
  <c r="AW45" i="100"/>
  <c r="AW46" i="100"/>
  <c r="AW47" i="100"/>
  <c r="AW48" i="100"/>
  <c r="AW49" i="100"/>
  <c r="AW50" i="100"/>
  <c r="AW51" i="100"/>
  <c r="AW52" i="100"/>
  <c r="AW53" i="100"/>
  <c r="AW54" i="100"/>
  <c r="AW55" i="100"/>
  <c r="AW56" i="100"/>
  <c r="AW57" i="100"/>
  <c r="AW58" i="100"/>
  <c r="AW59" i="100"/>
  <c r="AW60" i="100"/>
  <c r="AW61" i="100"/>
  <c r="AW12" i="100"/>
  <c r="AW10" i="100"/>
  <c r="BQ8" i="100"/>
  <c r="BG8" i="100"/>
  <c r="AW8" i="100"/>
  <c r="AM13" i="100"/>
  <c r="AM14"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M43" i="100"/>
  <c r="AM44" i="100"/>
  <c r="AM45" i="100"/>
  <c r="AM46" i="100"/>
  <c r="AM47" i="100"/>
  <c r="AM48" i="100"/>
  <c r="AM49" i="100"/>
  <c r="AM50" i="100"/>
  <c r="AM51" i="100"/>
  <c r="AM52" i="100"/>
  <c r="AM53" i="100"/>
  <c r="AM54" i="100"/>
  <c r="AM55" i="100"/>
  <c r="AM56" i="100"/>
  <c r="AM57" i="100"/>
  <c r="AM58" i="100"/>
  <c r="AM59" i="100"/>
  <c r="AM60" i="100"/>
  <c r="AM61" i="100"/>
  <c r="AM12" i="100"/>
  <c r="AM10" i="100"/>
  <c r="AC13" i="100"/>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C38" i="100"/>
  <c r="AC39" i="100"/>
  <c r="AC40" i="100"/>
  <c r="AC41" i="100"/>
  <c r="AC42" i="100"/>
  <c r="AC43" i="100"/>
  <c r="AC44" i="100"/>
  <c r="AC45" i="100"/>
  <c r="AC46" i="100"/>
  <c r="AC47" i="100"/>
  <c r="AC48" i="100"/>
  <c r="AC49" i="100"/>
  <c r="AC50" i="100"/>
  <c r="AC51" i="100"/>
  <c r="AC52" i="100"/>
  <c r="AC53" i="100"/>
  <c r="AC54" i="100"/>
  <c r="AC55" i="100"/>
  <c r="AC56" i="100"/>
  <c r="AC57" i="100"/>
  <c r="AC58" i="100"/>
  <c r="AC59" i="100"/>
  <c r="AC60" i="100"/>
  <c r="AC61" i="100"/>
  <c r="AC12" i="100"/>
  <c r="AC10" i="100"/>
  <c r="AM8" i="100"/>
  <c r="AC8" i="100"/>
  <c r="S13" i="100"/>
  <c r="S14" i="100"/>
  <c r="S15" i="100"/>
  <c r="S16" i="100"/>
  <c r="S17" i="100"/>
  <c r="S18" i="100"/>
  <c r="S19" i="100"/>
  <c r="S20" i="100"/>
  <c r="S21" i="100"/>
  <c r="S22" i="100"/>
  <c r="S23" i="100"/>
  <c r="S24" i="100"/>
  <c r="S25" i="100"/>
  <c r="S26" i="100"/>
  <c r="S27" i="100"/>
  <c r="S28" i="100"/>
  <c r="S29" i="100"/>
  <c r="S30" i="100"/>
  <c r="S31" i="100"/>
  <c r="S32" i="100"/>
  <c r="S33" i="100"/>
  <c r="S34" i="100"/>
  <c r="S35" i="100"/>
  <c r="S36" i="100"/>
  <c r="S37" i="100"/>
  <c r="S38" i="100"/>
  <c r="S39" i="100"/>
  <c r="S40" i="100"/>
  <c r="S41" i="100"/>
  <c r="S42" i="100"/>
  <c r="S43" i="100"/>
  <c r="S44" i="100"/>
  <c r="S45" i="100"/>
  <c r="S46" i="100"/>
  <c r="S47" i="100"/>
  <c r="S48" i="100"/>
  <c r="S49" i="100"/>
  <c r="S50" i="100"/>
  <c r="S51" i="100"/>
  <c r="S52" i="100"/>
  <c r="S53" i="100"/>
  <c r="S54" i="100"/>
  <c r="S55" i="100"/>
  <c r="S56" i="100"/>
  <c r="S57" i="100"/>
  <c r="S58" i="100"/>
  <c r="S59" i="100"/>
  <c r="S60" i="100"/>
  <c r="S61" i="100"/>
  <c r="S12" i="100"/>
  <c r="S10" i="100"/>
  <c r="S8" i="100"/>
  <c r="BJ6" i="100"/>
  <c r="AZ6" i="100"/>
  <c r="AP6" i="100"/>
  <c r="AF6" i="100"/>
  <c r="V6" i="100"/>
  <c r="L6" i="100"/>
  <c r="B6" i="100"/>
  <c r="BB13" i="72"/>
  <c r="BB14" i="72"/>
  <c r="BB15" i="72"/>
  <c r="BB16" i="72"/>
  <c r="BB17" i="72"/>
  <c r="BB18" i="72"/>
  <c r="BB19" i="72"/>
  <c r="BB20" i="72"/>
  <c r="BB21" i="72"/>
  <c r="BB22" i="72"/>
  <c r="BB23" i="72"/>
  <c r="BB24" i="72"/>
  <c r="BB25" i="72"/>
  <c r="BB26" i="72"/>
  <c r="BB27" i="72"/>
  <c r="BB28" i="72"/>
  <c r="BB29" i="72"/>
  <c r="BB30" i="72"/>
  <c r="BB31" i="72"/>
  <c r="BB32" i="72"/>
  <c r="BB33" i="72"/>
  <c r="BB34" i="72"/>
  <c r="BB35" i="72"/>
  <c r="BB36" i="72"/>
  <c r="BB37" i="72"/>
  <c r="BB38" i="72"/>
  <c r="BB39" i="72"/>
  <c r="BB40" i="72"/>
  <c r="BB41" i="72"/>
  <c r="BB42" i="72"/>
  <c r="BB43" i="72"/>
  <c r="BB44" i="72"/>
  <c r="BB45" i="72"/>
  <c r="BB46" i="72"/>
  <c r="BB47" i="72"/>
  <c r="BB48" i="72"/>
  <c r="BB49" i="72"/>
  <c r="BB50" i="72"/>
  <c r="BB51" i="72"/>
  <c r="BB52" i="72"/>
  <c r="BB53" i="72"/>
  <c r="BB54" i="72"/>
  <c r="BB55" i="72"/>
  <c r="BB56" i="72"/>
  <c r="BB57" i="72"/>
  <c r="BB58" i="72"/>
  <c r="BB59" i="72"/>
  <c r="BB60" i="72"/>
  <c r="BB61" i="72"/>
  <c r="BB12" i="72"/>
  <c r="BB10" i="72"/>
  <c r="AS13" i="72"/>
  <c r="AS14" i="72"/>
  <c r="AS15" i="72"/>
  <c r="AS16" i="72"/>
  <c r="AS17" i="72"/>
  <c r="AS18" i="72"/>
  <c r="AS19" i="72"/>
  <c r="AS20" i="72"/>
  <c r="AS21" i="72"/>
  <c r="AS22" i="72"/>
  <c r="AS23" i="72"/>
  <c r="AS24" i="72"/>
  <c r="AS25" i="72"/>
  <c r="AS26" i="72"/>
  <c r="AS27" i="72"/>
  <c r="AS28" i="72"/>
  <c r="AS29" i="72"/>
  <c r="AS30" i="72"/>
  <c r="AS31" i="72"/>
  <c r="AS32" i="72"/>
  <c r="AS33" i="72"/>
  <c r="AS34" i="72"/>
  <c r="AS35" i="72"/>
  <c r="AS36" i="72"/>
  <c r="AS37" i="72"/>
  <c r="AS38" i="72"/>
  <c r="AS39" i="72"/>
  <c r="AS40" i="72"/>
  <c r="AS41" i="72"/>
  <c r="AS42" i="72"/>
  <c r="AS43" i="72"/>
  <c r="AS44" i="72"/>
  <c r="AS45" i="72"/>
  <c r="AS46" i="72"/>
  <c r="AS47" i="72"/>
  <c r="AS48" i="72"/>
  <c r="AS49" i="72"/>
  <c r="AS50" i="72"/>
  <c r="AS51" i="72"/>
  <c r="AS52" i="72"/>
  <c r="AS53" i="72"/>
  <c r="AS54" i="72"/>
  <c r="AS55" i="72"/>
  <c r="AS56" i="72"/>
  <c r="AS57" i="72"/>
  <c r="AS58" i="72"/>
  <c r="AS59" i="72"/>
  <c r="AS60" i="72"/>
  <c r="AS61" i="72"/>
  <c r="AS12" i="72"/>
  <c r="AS10" i="72"/>
  <c r="AJ13" i="72"/>
  <c r="AJ14" i="72"/>
  <c r="AJ15" i="72"/>
  <c r="AJ16" i="72"/>
  <c r="AJ17" i="72"/>
  <c r="AJ18" i="72"/>
  <c r="AJ19" i="72"/>
  <c r="AJ20" i="72"/>
  <c r="AJ21" i="72"/>
  <c r="AJ22" i="72"/>
  <c r="AJ23" i="72"/>
  <c r="AJ24" i="72"/>
  <c r="AJ25" i="72"/>
  <c r="AJ26" i="72"/>
  <c r="AJ27" i="72"/>
  <c r="AJ28" i="72"/>
  <c r="AJ29" i="72"/>
  <c r="AJ30" i="72"/>
  <c r="AJ31" i="72"/>
  <c r="AJ32" i="72"/>
  <c r="AJ33" i="72"/>
  <c r="AJ34" i="72"/>
  <c r="AJ35" i="72"/>
  <c r="AJ36" i="72"/>
  <c r="AJ37" i="72"/>
  <c r="AJ38" i="72"/>
  <c r="AJ39" i="72"/>
  <c r="AJ40" i="72"/>
  <c r="AJ41" i="72"/>
  <c r="AJ42" i="72"/>
  <c r="AJ43" i="72"/>
  <c r="AJ44" i="72"/>
  <c r="AJ45" i="72"/>
  <c r="AJ46" i="72"/>
  <c r="AJ47" i="72"/>
  <c r="AJ48" i="72"/>
  <c r="AJ49" i="72"/>
  <c r="AJ50" i="72"/>
  <c r="AJ51" i="72"/>
  <c r="AJ52" i="72"/>
  <c r="AJ53" i="72"/>
  <c r="AJ54" i="72"/>
  <c r="AJ55" i="72"/>
  <c r="AJ56" i="72"/>
  <c r="AJ57" i="72"/>
  <c r="AJ58" i="72"/>
  <c r="AJ59" i="72"/>
  <c r="AJ60" i="72"/>
  <c r="AJ61" i="72"/>
  <c r="AJ12" i="72"/>
  <c r="AJ10" i="72"/>
  <c r="AA13" i="72"/>
  <c r="AA14" i="72"/>
  <c r="AA15" i="72"/>
  <c r="AA16" i="72"/>
  <c r="AA17" i="72"/>
  <c r="AA18" i="72"/>
  <c r="AA19" i="72"/>
  <c r="AA20" i="72"/>
  <c r="AA21" i="72"/>
  <c r="AA22" i="72"/>
  <c r="AA23" i="72"/>
  <c r="AA24" i="72"/>
  <c r="AA25" i="72"/>
  <c r="AA26" i="72"/>
  <c r="AA27" i="72"/>
  <c r="AA28" i="72"/>
  <c r="AA29" i="72"/>
  <c r="AA30" i="72"/>
  <c r="AA31" i="72"/>
  <c r="AA32" i="72"/>
  <c r="AA33" i="72"/>
  <c r="AA34" i="72"/>
  <c r="AA35" i="72"/>
  <c r="AA36" i="72"/>
  <c r="AA37" i="72"/>
  <c r="AA38" i="72"/>
  <c r="AA39" i="72"/>
  <c r="AA40" i="72"/>
  <c r="AA41" i="72"/>
  <c r="AA42" i="72"/>
  <c r="AA43" i="72"/>
  <c r="AA44" i="72"/>
  <c r="AA45" i="72"/>
  <c r="AA46" i="72"/>
  <c r="AA47" i="72"/>
  <c r="AA48" i="72"/>
  <c r="AA49" i="72"/>
  <c r="AA50" i="72"/>
  <c r="AA51" i="72"/>
  <c r="AA52" i="72"/>
  <c r="AA53" i="72"/>
  <c r="AA54" i="72"/>
  <c r="AA55" i="72"/>
  <c r="AA56" i="72"/>
  <c r="AA57" i="72"/>
  <c r="AA58" i="72"/>
  <c r="AA59" i="72"/>
  <c r="AA60" i="72"/>
  <c r="AA61" i="72"/>
  <c r="AA12" i="72"/>
  <c r="AA10" i="72"/>
  <c r="R13" i="72"/>
  <c r="R14" i="72"/>
  <c r="R15" i="72"/>
  <c r="R16" i="72"/>
  <c r="R17" i="72"/>
  <c r="R18" i="72"/>
  <c r="R19" i="72"/>
  <c r="R20" i="72"/>
  <c r="R21" i="72"/>
  <c r="R22" i="72"/>
  <c r="R23" i="72"/>
  <c r="R24" i="72"/>
  <c r="R25" i="72"/>
  <c r="R26" i="72"/>
  <c r="R27" i="72"/>
  <c r="R28" i="72"/>
  <c r="R29" i="72"/>
  <c r="R30" i="72"/>
  <c r="R31" i="72"/>
  <c r="R32" i="72"/>
  <c r="R33" i="72"/>
  <c r="R34" i="72"/>
  <c r="R35" i="72"/>
  <c r="R36" i="72"/>
  <c r="R37" i="72"/>
  <c r="R38" i="72"/>
  <c r="R39" i="72"/>
  <c r="R40" i="72"/>
  <c r="R41" i="72"/>
  <c r="R42" i="72"/>
  <c r="R43" i="72"/>
  <c r="R44" i="72"/>
  <c r="R45" i="72"/>
  <c r="R46" i="72"/>
  <c r="R47" i="72"/>
  <c r="R48" i="72"/>
  <c r="R49" i="72"/>
  <c r="R50" i="72"/>
  <c r="R51" i="72"/>
  <c r="R52" i="72"/>
  <c r="R53" i="72"/>
  <c r="R54" i="72"/>
  <c r="R55" i="72"/>
  <c r="R56" i="72"/>
  <c r="R57" i="72"/>
  <c r="R58" i="72"/>
  <c r="R59" i="72"/>
  <c r="R60" i="72"/>
  <c r="R61" i="72"/>
  <c r="R12" i="72"/>
  <c r="R10" i="72"/>
  <c r="BA13" i="72"/>
  <c r="BA14" i="72"/>
  <c r="BA15" i="72"/>
  <c r="BA16" i="72"/>
  <c r="BA17" i="72"/>
  <c r="BA18" i="72"/>
  <c r="BA19" i="72"/>
  <c r="BA20" i="72"/>
  <c r="BA21" i="72"/>
  <c r="BA22" i="72"/>
  <c r="BA23" i="72"/>
  <c r="BA24" i="72"/>
  <c r="BA25" i="72"/>
  <c r="BA26" i="72"/>
  <c r="BA27" i="72"/>
  <c r="BA28" i="72"/>
  <c r="BA29" i="72"/>
  <c r="BA30" i="72"/>
  <c r="BA31" i="72"/>
  <c r="BA32" i="72"/>
  <c r="BA33" i="72"/>
  <c r="BA34" i="72"/>
  <c r="BA35" i="72"/>
  <c r="BA36" i="72"/>
  <c r="BA37" i="72"/>
  <c r="BA38" i="72"/>
  <c r="BA39" i="72"/>
  <c r="BA40" i="72"/>
  <c r="BA41" i="72"/>
  <c r="BA42" i="72"/>
  <c r="BA43" i="72"/>
  <c r="BA44" i="72"/>
  <c r="BA45" i="72"/>
  <c r="BA46" i="72"/>
  <c r="BA47" i="72"/>
  <c r="BA48" i="72"/>
  <c r="BA49" i="72"/>
  <c r="BA50" i="72"/>
  <c r="BA51" i="72"/>
  <c r="BA52" i="72"/>
  <c r="BA53" i="72"/>
  <c r="BA54" i="72"/>
  <c r="BA55" i="72"/>
  <c r="BA56" i="72"/>
  <c r="BA57" i="72"/>
  <c r="BA58" i="72"/>
  <c r="BA59" i="72"/>
  <c r="BA60" i="72"/>
  <c r="BA61" i="72"/>
  <c r="BA12" i="72"/>
  <c r="BA10" i="72"/>
  <c r="BA8" i="72"/>
  <c r="AR13" i="72"/>
  <c r="AR14" i="72"/>
  <c r="AR15" i="72"/>
  <c r="AR16" i="72"/>
  <c r="AR17" i="72"/>
  <c r="AR18" i="72"/>
  <c r="AR19" i="72"/>
  <c r="AR20" i="72"/>
  <c r="AR21" i="72"/>
  <c r="AR22" i="72"/>
  <c r="AR23" i="72"/>
  <c r="AR24" i="72"/>
  <c r="AR25" i="72"/>
  <c r="AR26" i="72"/>
  <c r="AR27" i="72"/>
  <c r="AR28" i="72"/>
  <c r="AR29" i="72"/>
  <c r="AR30" i="72"/>
  <c r="AR31" i="72"/>
  <c r="AR32" i="72"/>
  <c r="AR33" i="72"/>
  <c r="AR34" i="72"/>
  <c r="AR35" i="72"/>
  <c r="AR36" i="72"/>
  <c r="AR37" i="72"/>
  <c r="AR38" i="72"/>
  <c r="AR39" i="72"/>
  <c r="AR40" i="72"/>
  <c r="AR41" i="72"/>
  <c r="AR42" i="72"/>
  <c r="AR43" i="72"/>
  <c r="AR44" i="72"/>
  <c r="AR45" i="72"/>
  <c r="AR46" i="72"/>
  <c r="AR47" i="72"/>
  <c r="AR48" i="72"/>
  <c r="AR49" i="72"/>
  <c r="AR50" i="72"/>
  <c r="AR51" i="72"/>
  <c r="AR52" i="72"/>
  <c r="AR53" i="72"/>
  <c r="AR54" i="72"/>
  <c r="AR55" i="72"/>
  <c r="AR56" i="72"/>
  <c r="AR57" i="72"/>
  <c r="AR58" i="72"/>
  <c r="AR59" i="72"/>
  <c r="AR60" i="72"/>
  <c r="AR61" i="72"/>
  <c r="AR12" i="72"/>
  <c r="AR10" i="72"/>
  <c r="AR8" i="72"/>
  <c r="AI13" i="72"/>
  <c r="AI14" i="72"/>
  <c r="AI15" i="72"/>
  <c r="AI16" i="72"/>
  <c r="AI17" i="72"/>
  <c r="AI18" i="72"/>
  <c r="AI19" i="72"/>
  <c r="AI20" i="72"/>
  <c r="AI21" i="72"/>
  <c r="AI22" i="72"/>
  <c r="AI23" i="72"/>
  <c r="AI24" i="72"/>
  <c r="AI25" i="72"/>
  <c r="AI26" i="72"/>
  <c r="AI27" i="72"/>
  <c r="AI28" i="72"/>
  <c r="AI29" i="72"/>
  <c r="AI30" i="72"/>
  <c r="AI31" i="72"/>
  <c r="AI32" i="72"/>
  <c r="AI33" i="72"/>
  <c r="AI34" i="72"/>
  <c r="AI35" i="72"/>
  <c r="AI36" i="72"/>
  <c r="AI37" i="72"/>
  <c r="AI38" i="72"/>
  <c r="AI39" i="72"/>
  <c r="AI40" i="72"/>
  <c r="AI41" i="72"/>
  <c r="AI42" i="72"/>
  <c r="AI43" i="72"/>
  <c r="AI44" i="72"/>
  <c r="AI45" i="72"/>
  <c r="AI46" i="72"/>
  <c r="AI47" i="72"/>
  <c r="AI48" i="72"/>
  <c r="AI49" i="72"/>
  <c r="AI50" i="72"/>
  <c r="AI51" i="72"/>
  <c r="AI52" i="72"/>
  <c r="AI53" i="72"/>
  <c r="AI54" i="72"/>
  <c r="AI55" i="72"/>
  <c r="AI56" i="72"/>
  <c r="AI57" i="72"/>
  <c r="AI58" i="72"/>
  <c r="AI59" i="72"/>
  <c r="AI60" i="72"/>
  <c r="AI61" i="72"/>
  <c r="AI12" i="72"/>
  <c r="AI10" i="72"/>
  <c r="AI8" i="72"/>
  <c r="Z13" i="72"/>
  <c r="Z14" i="72"/>
  <c r="Z15" i="72"/>
  <c r="Z16" i="72"/>
  <c r="Z17" i="72"/>
  <c r="Z18" i="72"/>
  <c r="Z19" i="72"/>
  <c r="Z20" i="72"/>
  <c r="Z21" i="72"/>
  <c r="Z22" i="72"/>
  <c r="Z23" i="72"/>
  <c r="Z24" i="72"/>
  <c r="Z25" i="72"/>
  <c r="Z26" i="72"/>
  <c r="Z27" i="72"/>
  <c r="Z28" i="72"/>
  <c r="Z29" i="72"/>
  <c r="Z30" i="72"/>
  <c r="Z31" i="72"/>
  <c r="Z32" i="72"/>
  <c r="Z33" i="72"/>
  <c r="Z34" i="72"/>
  <c r="Z35" i="72"/>
  <c r="Z36" i="72"/>
  <c r="Z37" i="72"/>
  <c r="Z38" i="72"/>
  <c r="Z39" i="72"/>
  <c r="Z40" i="72"/>
  <c r="Z41" i="72"/>
  <c r="Z42" i="72"/>
  <c r="Z43" i="72"/>
  <c r="Z44" i="72"/>
  <c r="Z45" i="72"/>
  <c r="Z46" i="72"/>
  <c r="Z47" i="72"/>
  <c r="Z48" i="72"/>
  <c r="Z49" i="72"/>
  <c r="Z50" i="72"/>
  <c r="Z51" i="72"/>
  <c r="Z52" i="72"/>
  <c r="Z53" i="72"/>
  <c r="Z54" i="72"/>
  <c r="Z55" i="72"/>
  <c r="Z56" i="72"/>
  <c r="Z57" i="72"/>
  <c r="Z58" i="72"/>
  <c r="Z59" i="72"/>
  <c r="Z60" i="72"/>
  <c r="Z61" i="72"/>
  <c r="Z12" i="72"/>
  <c r="Z10" i="72"/>
  <c r="Z8" i="72"/>
  <c r="Q13" i="72"/>
  <c r="Q14" i="72"/>
  <c r="Q15" i="72"/>
  <c r="Q16" i="72"/>
  <c r="Q17" i="72"/>
  <c r="Q18" i="72"/>
  <c r="Q19" i="72"/>
  <c r="Q20" i="72"/>
  <c r="Q21" i="72"/>
  <c r="Q22" i="72"/>
  <c r="Q23" i="72"/>
  <c r="Q24" i="72"/>
  <c r="Q25" i="72"/>
  <c r="Q26" i="72"/>
  <c r="Q27" i="72"/>
  <c r="Q28" i="72"/>
  <c r="Q29" i="72"/>
  <c r="Q30" i="72"/>
  <c r="Q31" i="72"/>
  <c r="Q32" i="72"/>
  <c r="Q33" i="72"/>
  <c r="Q34" i="72"/>
  <c r="Q35" i="72"/>
  <c r="Q36" i="72"/>
  <c r="Q37" i="72"/>
  <c r="Q38" i="72"/>
  <c r="Q39" i="72"/>
  <c r="Q40" i="72"/>
  <c r="Q41" i="72"/>
  <c r="Q42" i="72"/>
  <c r="Q43" i="72"/>
  <c r="Q44" i="72"/>
  <c r="Q45" i="72"/>
  <c r="Q46" i="72"/>
  <c r="Q47" i="72"/>
  <c r="Q48" i="72"/>
  <c r="Q49" i="72"/>
  <c r="Q50" i="72"/>
  <c r="Q51" i="72"/>
  <c r="Q52" i="72"/>
  <c r="Q53" i="72"/>
  <c r="Q54" i="72"/>
  <c r="Q55" i="72"/>
  <c r="Q56" i="72"/>
  <c r="Q57" i="72"/>
  <c r="Q58" i="72"/>
  <c r="Q59" i="72"/>
  <c r="Q60" i="72"/>
  <c r="Q61" i="72"/>
  <c r="Q12" i="72"/>
  <c r="Q10" i="72"/>
  <c r="Q8" i="72"/>
  <c r="AS8" i="72"/>
  <c r="BB8" i="72"/>
  <c r="AJ8" i="72"/>
  <c r="AA8" i="72"/>
  <c r="R8" i="72"/>
  <c r="I8" i="72"/>
  <c r="I13" i="72"/>
  <c r="I14" i="72"/>
  <c r="I15" i="72"/>
  <c r="I16" i="72"/>
  <c r="I17" i="72"/>
  <c r="I18" i="72"/>
  <c r="I19" i="72"/>
  <c r="I20" i="72"/>
  <c r="I21" i="72"/>
  <c r="I22" i="72"/>
  <c r="I23" i="72"/>
  <c r="I24" i="72"/>
  <c r="I25" i="72"/>
  <c r="I26" i="72"/>
  <c r="I27" i="72"/>
  <c r="I28" i="72"/>
  <c r="I29" i="72"/>
  <c r="I30" i="72"/>
  <c r="I31" i="72"/>
  <c r="I32" i="72"/>
  <c r="I33" i="72"/>
  <c r="I34" i="72"/>
  <c r="I35" i="72"/>
  <c r="I36" i="72"/>
  <c r="I37" i="72"/>
  <c r="I38" i="72"/>
  <c r="I39" i="72"/>
  <c r="I40" i="72"/>
  <c r="I41" i="72"/>
  <c r="I42" i="72"/>
  <c r="I43" i="72"/>
  <c r="I44" i="72"/>
  <c r="I45" i="72"/>
  <c r="I46" i="72"/>
  <c r="I47" i="72"/>
  <c r="I48" i="72"/>
  <c r="I49" i="72"/>
  <c r="I50" i="72"/>
  <c r="I51" i="72"/>
  <c r="I52" i="72"/>
  <c r="I53" i="72"/>
  <c r="I54" i="72"/>
  <c r="I55" i="72"/>
  <c r="I56" i="72"/>
  <c r="I57" i="72"/>
  <c r="I58" i="72"/>
  <c r="I59" i="72"/>
  <c r="I60" i="72"/>
  <c r="I61" i="72"/>
  <c r="I12" i="72"/>
  <c r="I10" i="72"/>
  <c r="H8" i="72"/>
  <c r="B64" i="69"/>
  <c r="X60" i="73"/>
  <c r="Y60" i="73"/>
  <c r="X61" i="73"/>
  <c r="Y61" i="73"/>
  <c r="A216" i="87" l="1"/>
  <c r="I423" i="87"/>
  <c r="A360" i="87"/>
  <c r="H156" i="87"/>
  <c r="I59" i="119"/>
  <c r="BT56" i="74"/>
  <c r="R42" i="74"/>
  <c r="A157" i="87"/>
  <c r="AC60" i="54"/>
  <c r="X60" i="54"/>
  <c r="O60" i="54"/>
  <c r="Z60" i="54"/>
  <c r="T60" i="54"/>
  <c r="P60" i="54"/>
  <c r="L61" i="54"/>
  <c r="AC61" i="54"/>
  <c r="R60" i="54"/>
  <c r="T61" i="54"/>
  <c r="K60" i="54"/>
  <c r="K61" i="54"/>
  <c r="S61" i="54"/>
  <c r="AA61" i="54"/>
  <c r="W60" i="54"/>
  <c r="Z61" i="54"/>
  <c r="P61" i="54"/>
  <c r="AE60" i="54"/>
  <c r="V60" i="54"/>
  <c r="M60" i="54"/>
  <c r="AB61" i="54"/>
  <c r="J61" i="54"/>
  <c r="R61" i="54"/>
  <c r="AF60" i="54"/>
  <c r="N60" i="54"/>
  <c r="X61" i="54"/>
  <c r="O61" i="54"/>
  <c r="AD60" i="54"/>
  <c r="U60" i="54"/>
  <c r="L60" i="54"/>
  <c r="AF61" i="54"/>
  <c r="W61" i="54"/>
  <c r="N61" i="54"/>
  <c r="AE61" i="54"/>
  <c r="V61" i="54"/>
  <c r="M61" i="54"/>
  <c r="AB60" i="54"/>
  <c r="S60" i="54"/>
  <c r="J60" i="54"/>
  <c r="AD61" i="54"/>
  <c r="U61" i="54"/>
  <c r="AA60" i="54"/>
  <c r="E25" i="119"/>
  <c r="A217" i="87" l="1"/>
  <c r="I424" i="87"/>
  <c r="A361" i="87"/>
  <c r="H157" i="87"/>
  <c r="CY54" i="74"/>
  <c r="CZ54" i="74" s="1"/>
  <c r="CY15" i="74"/>
  <c r="CZ15" i="74" s="1"/>
  <c r="CY12" i="74"/>
  <c r="CZ12" i="74" s="1"/>
  <c r="CY37" i="74"/>
  <c r="CZ37" i="74" s="1"/>
  <c r="CY49" i="74"/>
  <c r="CZ49" i="74" s="1"/>
  <c r="CY56" i="74"/>
  <c r="CZ56" i="74" s="1"/>
  <c r="CY57" i="74"/>
  <c r="CZ57" i="74" s="1"/>
  <c r="CY13" i="74"/>
  <c r="CZ13" i="74" s="1"/>
  <c r="CY28" i="74"/>
  <c r="CZ28" i="74" s="1"/>
  <c r="CY45" i="74"/>
  <c r="CZ45" i="74" s="1"/>
  <c r="CY34" i="74"/>
  <c r="CZ34" i="74" s="1"/>
  <c r="CY29" i="74"/>
  <c r="CZ29" i="74" s="1"/>
  <c r="CY59" i="74"/>
  <c r="CZ59" i="74" s="1"/>
  <c r="CY52" i="74"/>
  <c r="CZ52" i="74" s="1"/>
  <c r="CY16" i="74"/>
  <c r="CZ16" i="74" s="1"/>
  <c r="CY40" i="74"/>
  <c r="CZ40" i="74" s="1"/>
  <c r="CY33" i="74"/>
  <c r="CZ33" i="74" s="1"/>
  <c r="CY8" i="74"/>
  <c r="CZ8" i="74" s="1"/>
  <c r="CY42" i="74"/>
  <c r="CZ42" i="74" s="1"/>
  <c r="CY36" i="74"/>
  <c r="CZ36" i="74" s="1"/>
  <c r="CY10" i="74"/>
  <c r="CZ10" i="74" s="1"/>
  <c r="CY53" i="74"/>
  <c r="CZ53" i="74" s="1"/>
  <c r="CY17" i="74"/>
  <c r="CZ17" i="74" s="1"/>
  <c r="CY51" i="74"/>
  <c r="CZ51" i="74" s="1"/>
  <c r="CY50" i="74"/>
  <c r="CZ50" i="74" s="1"/>
  <c r="CY18" i="74"/>
  <c r="CZ18" i="74" s="1"/>
  <c r="CY38" i="74"/>
  <c r="CZ38" i="74" s="1"/>
  <c r="CY19" i="74"/>
  <c r="CZ19" i="74" s="1"/>
  <c r="CY58" i="74"/>
  <c r="CZ58" i="74" s="1"/>
  <c r="CY39" i="74"/>
  <c r="CZ39" i="74" s="1"/>
  <c r="CY14" i="74"/>
  <c r="CZ14" i="74" s="1"/>
  <c r="CY55" i="74"/>
  <c r="CZ55" i="74" s="1"/>
  <c r="CY20" i="74"/>
  <c r="CZ20" i="74" s="1"/>
  <c r="CY43" i="74"/>
  <c r="CZ43" i="74" s="1"/>
  <c r="CY21" i="74"/>
  <c r="CZ21" i="74" s="1"/>
  <c r="CY41" i="74"/>
  <c r="CZ41" i="74" s="1"/>
  <c r="CY30" i="74"/>
  <c r="CZ30" i="74" s="1"/>
  <c r="CY31" i="74"/>
  <c r="CZ31" i="74" s="1"/>
  <c r="CY24" i="74"/>
  <c r="CZ24" i="74" s="1"/>
  <c r="CY27" i="74"/>
  <c r="CZ27" i="74" s="1"/>
  <c r="CY44" i="74"/>
  <c r="CZ44" i="74" s="1"/>
  <c r="CY61" i="74"/>
  <c r="CZ61" i="74" s="1"/>
  <c r="CY26" i="74"/>
  <c r="CZ26" i="74" s="1"/>
  <c r="CY47" i="74"/>
  <c r="CZ47" i="74" s="1"/>
  <c r="CY46" i="74"/>
  <c r="CZ46" i="74" s="1"/>
  <c r="CY32" i="74"/>
  <c r="CZ32" i="74" s="1"/>
  <c r="CY60" i="74"/>
  <c r="CZ60" i="74" s="1"/>
  <c r="CY25" i="74"/>
  <c r="CZ25" i="74" s="1"/>
  <c r="CY6" i="74"/>
  <c r="CZ6" i="74" s="1"/>
  <c r="CY35" i="74"/>
  <c r="CZ35" i="74" s="1"/>
  <c r="CY22" i="74"/>
  <c r="CZ22" i="74" s="1"/>
  <c r="CY48" i="74"/>
  <c r="CZ48" i="74" s="1"/>
  <c r="CY23" i="74"/>
  <c r="CZ23" i="74" s="1"/>
  <c r="A218" i="87" l="1"/>
  <c r="I425" i="87"/>
  <c r="A362" i="87"/>
  <c r="H158" i="87"/>
  <c r="A6" i="122"/>
  <c r="A7" i="122" s="1"/>
  <c r="A8" i="122" s="1"/>
  <c r="A9" i="122" s="1"/>
  <c r="A10" i="122" s="1"/>
  <c r="A11" i="122" s="1"/>
  <c r="A12" i="122" s="1"/>
  <c r="A13" i="122" s="1"/>
  <c r="A14" i="122" s="1"/>
  <c r="A15" i="122" s="1"/>
  <c r="A16" i="122" s="1"/>
  <c r="A17" i="122" s="1"/>
  <c r="A18" i="122" s="1"/>
  <c r="A19" i="122" s="1"/>
  <c r="A20" i="122" s="1"/>
  <c r="A21" i="122" s="1"/>
  <c r="A22" i="122" s="1"/>
  <c r="A23" i="122" s="1"/>
  <c r="A24" i="122" s="1"/>
  <c r="A25" i="122" s="1"/>
  <c r="A26" i="122" s="1"/>
  <c r="A27" i="122" s="1"/>
  <c r="A28" i="122" s="1"/>
  <c r="A29" i="122" s="1"/>
  <c r="A30" i="122" s="1"/>
  <c r="A31" i="122" s="1"/>
  <c r="A32" i="122" s="1"/>
  <c r="A33" i="122" s="1"/>
  <c r="A34" i="122" s="1"/>
  <c r="A35" i="122" s="1"/>
  <c r="A36" i="122" s="1"/>
  <c r="A37" i="122" s="1"/>
  <c r="A38" i="122" s="1"/>
  <c r="A39" i="122" s="1"/>
  <c r="A40" i="122" s="1"/>
  <c r="A41" i="122" s="1"/>
  <c r="A42" i="122" s="1"/>
  <c r="A43" i="122" s="1"/>
  <c r="A44" i="122" s="1"/>
  <c r="A45" i="122" s="1"/>
  <c r="A46" i="122" s="1"/>
  <c r="A47" i="122" s="1"/>
  <c r="A48" i="122" s="1"/>
  <c r="A49" i="122" s="1"/>
  <c r="A50" i="122" s="1"/>
  <c r="A51" i="122" s="1"/>
  <c r="A52" i="122" s="1"/>
  <c r="A53" i="122" s="1"/>
  <c r="A54" i="122" s="1"/>
  <c r="A55" i="122" s="1"/>
  <c r="A56" i="122" s="1"/>
  <c r="A57" i="122" s="1"/>
  <c r="A58" i="122" s="1"/>
  <c r="A59" i="122" s="1"/>
  <c r="A60" i="122" s="1"/>
  <c r="I103" i="121"/>
  <c r="I105" i="121"/>
  <c r="I107" i="121"/>
  <c r="I109" i="121"/>
  <c r="I110" i="121"/>
  <c r="I111" i="121"/>
  <c r="I112" i="121"/>
  <c r="I113" i="121"/>
  <c r="I114" i="121"/>
  <c r="I115" i="121"/>
  <c r="I116" i="121"/>
  <c r="I117" i="121"/>
  <c r="I118" i="121"/>
  <c r="I119" i="121"/>
  <c r="I120" i="121"/>
  <c r="I121" i="121"/>
  <c r="I122" i="121"/>
  <c r="I123" i="121"/>
  <c r="I124" i="121"/>
  <c r="I125" i="121"/>
  <c r="I126" i="121"/>
  <c r="I127" i="121"/>
  <c r="I128" i="121"/>
  <c r="I130" i="121"/>
  <c r="I131" i="121"/>
  <c r="I132" i="121"/>
  <c r="I133" i="121"/>
  <c r="I134" i="121"/>
  <c r="I135" i="121"/>
  <c r="I136" i="121"/>
  <c r="I137" i="121"/>
  <c r="I138" i="121"/>
  <c r="I139" i="121"/>
  <c r="I140" i="121"/>
  <c r="I141" i="121"/>
  <c r="I142" i="121"/>
  <c r="I143" i="121"/>
  <c r="I144" i="121"/>
  <c r="I145" i="121"/>
  <c r="I146" i="121"/>
  <c r="I147" i="121"/>
  <c r="I148" i="121"/>
  <c r="I149" i="121"/>
  <c r="I150" i="121"/>
  <c r="I151" i="121"/>
  <c r="I152" i="121"/>
  <c r="I153" i="121"/>
  <c r="I154" i="121"/>
  <c r="I155" i="121"/>
  <c r="I156" i="121"/>
  <c r="I157" i="121"/>
  <c r="I158" i="121"/>
  <c r="H158" i="121"/>
  <c r="H110" i="121"/>
  <c r="H111" i="121"/>
  <c r="H112" i="121"/>
  <c r="H113" i="121"/>
  <c r="H114" i="121"/>
  <c r="H115" i="121"/>
  <c r="H116" i="121"/>
  <c r="H117" i="121"/>
  <c r="H118" i="121"/>
  <c r="H119" i="121"/>
  <c r="H120" i="121"/>
  <c r="H121" i="121"/>
  <c r="H122" i="121"/>
  <c r="H123" i="121"/>
  <c r="H124" i="121"/>
  <c r="H125" i="121"/>
  <c r="H126" i="121"/>
  <c r="H127" i="121"/>
  <c r="H128" i="121"/>
  <c r="H130" i="121"/>
  <c r="H131" i="121"/>
  <c r="H132" i="121"/>
  <c r="H133" i="121"/>
  <c r="H134" i="121"/>
  <c r="H135" i="121"/>
  <c r="H136" i="121"/>
  <c r="H137" i="121"/>
  <c r="H138" i="121"/>
  <c r="H139" i="121"/>
  <c r="H140" i="121"/>
  <c r="H141" i="121"/>
  <c r="H142" i="121"/>
  <c r="H143" i="121"/>
  <c r="H144" i="121"/>
  <c r="H145" i="121"/>
  <c r="H146" i="121"/>
  <c r="H147" i="121"/>
  <c r="H148" i="121"/>
  <c r="H149" i="121"/>
  <c r="H150" i="121"/>
  <c r="H151" i="121"/>
  <c r="H152" i="121"/>
  <c r="H153" i="121"/>
  <c r="H154" i="121"/>
  <c r="H155" i="121"/>
  <c r="H156" i="121"/>
  <c r="H157" i="121"/>
  <c r="H109" i="121"/>
  <c r="H107" i="121"/>
  <c r="H105" i="121"/>
  <c r="F110" i="121"/>
  <c r="F111" i="121"/>
  <c r="F112" i="121"/>
  <c r="F113" i="121"/>
  <c r="F114" i="121"/>
  <c r="F115" i="121"/>
  <c r="F116" i="121"/>
  <c r="F117" i="121"/>
  <c r="F118" i="121"/>
  <c r="F119" i="121"/>
  <c r="F120" i="121"/>
  <c r="F121" i="121"/>
  <c r="F122" i="121"/>
  <c r="F123" i="121"/>
  <c r="F124" i="121"/>
  <c r="F125" i="121"/>
  <c r="F126" i="121"/>
  <c r="F127" i="121"/>
  <c r="F128" i="121"/>
  <c r="F130" i="121"/>
  <c r="F131" i="121"/>
  <c r="F132" i="121"/>
  <c r="F133" i="121"/>
  <c r="F134" i="121"/>
  <c r="F135" i="121"/>
  <c r="F136" i="121"/>
  <c r="F137" i="121"/>
  <c r="F138" i="121"/>
  <c r="F139" i="121"/>
  <c r="F140" i="121"/>
  <c r="F141" i="121"/>
  <c r="F142" i="121"/>
  <c r="F143" i="121"/>
  <c r="F144" i="121"/>
  <c r="F145" i="121"/>
  <c r="F146" i="121"/>
  <c r="F147" i="121"/>
  <c r="F148" i="121"/>
  <c r="F149" i="121"/>
  <c r="F150" i="121"/>
  <c r="F151" i="121"/>
  <c r="F152" i="121"/>
  <c r="F153" i="121"/>
  <c r="F154" i="121"/>
  <c r="F155" i="121"/>
  <c r="F156" i="121"/>
  <c r="F157" i="121"/>
  <c r="F158" i="121"/>
  <c r="F109" i="121"/>
  <c r="F107" i="121"/>
  <c r="F105" i="121"/>
  <c r="E110" i="121"/>
  <c r="E111" i="121"/>
  <c r="E112" i="121"/>
  <c r="E113" i="121"/>
  <c r="E114" i="121"/>
  <c r="E115" i="121"/>
  <c r="E116" i="121"/>
  <c r="E117" i="121"/>
  <c r="E118" i="121"/>
  <c r="E119" i="121"/>
  <c r="E120" i="121"/>
  <c r="E121" i="121"/>
  <c r="E122" i="121"/>
  <c r="E123" i="121"/>
  <c r="E124" i="121"/>
  <c r="E125" i="121"/>
  <c r="E126" i="121"/>
  <c r="E127" i="121"/>
  <c r="E128" i="121"/>
  <c r="E130" i="121"/>
  <c r="E131" i="121"/>
  <c r="E132" i="121"/>
  <c r="E133" i="121"/>
  <c r="E134" i="121"/>
  <c r="E135" i="121"/>
  <c r="E136" i="121"/>
  <c r="E137" i="121"/>
  <c r="E138" i="121"/>
  <c r="E139" i="121"/>
  <c r="E140" i="121"/>
  <c r="E141" i="121"/>
  <c r="E142" i="121"/>
  <c r="E143" i="121"/>
  <c r="E144" i="121"/>
  <c r="E145" i="121"/>
  <c r="E146" i="121"/>
  <c r="E147" i="121"/>
  <c r="E148" i="121"/>
  <c r="E149" i="121"/>
  <c r="E150" i="121"/>
  <c r="E151" i="121"/>
  <c r="E152" i="121"/>
  <c r="E153" i="121"/>
  <c r="E154" i="121"/>
  <c r="E155" i="121"/>
  <c r="E156" i="121"/>
  <c r="E157" i="121"/>
  <c r="E158" i="121"/>
  <c r="E109" i="121"/>
  <c r="E107" i="121"/>
  <c r="E105" i="121"/>
  <c r="E103" i="121"/>
  <c r="C110" i="121"/>
  <c r="C111" i="121"/>
  <c r="C112" i="121"/>
  <c r="C113" i="121"/>
  <c r="C114" i="121"/>
  <c r="C115" i="121"/>
  <c r="C116" i="121"/>
  <c r="C117" i="121"/>
  <c r="C118" i="121"/>
  <c r="C119" i="121"/>
  <c r="C120" i="121"/>
  <c r="C121" i="121"/>
  <c r="C122" i="121"/>
  <c r="C123" i="121"/>
  <c r="C124" i="121"/>
  <c r="C125" i="121"/>
  <c r="C126" i="121"/>
  <c r="C127" i="121"/>
  <c r="C128" i="121"/>
  <c r="C130" i="121"/>
  <c r="C131" i="121"/>
  <c r="C132" i="121"/>
  <c r="C133" i="121"/>
  <c r="C134" i="121"/>
  <c r="C135" i="121"/>
  <c r="C136" i="121"/>
  <c r="C137" i="121"/>
  <c r="C138" i="121"/>
  <c r="C139" i="121"/>
  <c r="C140" i="121"/>
  <c r="C141" i="121"/>
  <c r="C142" i="121"/>
  <c r="C143" i="121"/>
  <c r="C144" i="121"/>
  <c r="C145" i="121"/>
  <c r="C146" i="121"/>
  <c r="C147" i="121"/>
  <c r="C148" i="121"/>
  <c r="C149" i="121"/>
  <c r="C150" i="121"/>
  <c r="C151" i="121"/>
  <c r="C152" i="121"/>
  <c r="C153" i="121"/>
  <c r="C154" i="121"/>
  <c r="C155" i="121"/>
  <c r="C156" i="121"/>
  <c r="C157" i="121"/>
  <c r="C158" i="121"/>
  <c r="C109" i="121"/>
  <c r="C107" i="121"/>
  <c r="C105" i="121"/>
  <c r="C103" i="121"/>
  <c r="CI8" i="74"/>
  <c r="CI10" i="74"/>
  <c r="CI12" i="74"/>
  <c r="CI18" i="74"/>
  <c r="CI19" i="74"/>
  <c r="CI21" i="74"/>
  <c r="CI23" i="74"/>
  <c r="B157" i="121"/>
  <c r="R157" i="121"/>
  <c r="X157" i="121"/>
  <c r="AB157" i="121"/>
  <c r="AE157" i="121"/>
  <c r="B158" i="121"/>
  <c r="R158" i="121"/>
  <c r="X158" i="121"/>
  <c r="AB158" i="121"/>
  <c r="AE156" i="121"/>
  <c r="AB156" i="121"/>
  <c r="X156" i="121"/>
  <c r="R156" i="121"/>
  <c r="B156" i="121"/>
  <c r="AE155" i="121"/>
  <c r="AB155" i="121"/>
  <c r="X155" i="121"/>
  <c r="R155" i="121"/>
  <c r="B155" i="121"/>
  <c r="AE154" i="121"/>
  <c r="AB154" i="121"/>
  <c r="X154" i="121"/>
  <c r="R154" i="121"/>
  <c r="B154" i="121"/>
  <c r="AE153" i="121"/>
  <c r="AB153" i="121"/>
  <c r="X153" i="121"/>
  <c r="R153" i="121"/>
  <c r="B153" i="121"/>
  <c r="AE152" i="121"/>
  <c r="AB152" i="121"/>
  <c r="X152" i="121"/>
  <c r="R152" i="121"/>
  <c r="B152" i="121"/>
  <c r="AE151" i="121"/>
  <c r="AB151" i="121"/>
  <c r="X151" i="121"/>
  <c r="R151" i="121"/>
  <c r="B151" i="121"/>
  <c r="AE150" i="121"/>
  <c r="AB150" i="121"/>
  <c r="X150" i="121"/>
  <c r="R150" i="121"/>
  <c r="B150" i="121"/>
  <c r="AE149" i="121"/>
  <c r="AB149" i="121"/>
  <c r="X149" i="121"/>
  <c r="R149" i="121"/>
  <c r="B149" i="121"/>
  <c r="AE148" i="121"/>
  <c r="AB148" i="121"/>
  <c r="X148" i="121"/>
  <c r="R148" i="121"/>
  <c r="B148" i="121"/>
  <c r="AE147" i="121"/>
  <c r="AB147" i="121"/>
  <c r="X147" i="121"/>
  <c r="R147" i="121"/>
  <c r="B147" i="121"/>
  <c r="AE146" i="121"/>
  <c r="AB146" i="121"/>
  <c r="X146" i="121"/>
  <c r="R146" i="121"/>
  <c r="B146" i="121"/>
  <c r="AE145" i="121"/>
  <c r="AB145" i="121"/>
  <c r="X145" i="121"/>
  <c r="R145" i="121"/>
  <c r="B145" i="121"/>
  <c r="AE144" i="121"/>
  <c r="AB144" i="121"/>
  <c r="X144" i="121"/>
  <c r="R144" i="121"/>
  <c r="B144" i="121"/>
  <c r="AE143" i="121"/>
  <c r="AB143" i="121"/>
  <c r="X143" i="121"/>
  <c r="R143" i="121"/>
  <c r="B143" i="121"/>
  <c r="AE142" i="121"/>
  <c r="AB142" i="121"/>
  <c r="X142" i="121"/>
  <c r="R142" i="121"/>
  <c r="B142" i="121"/>
  <c r="AE141" i="121"/>
  <c r="AB141" i="121"/>
  <c r="X141" i="121"/>
  <c r="R141" i="121"/>
  <c r="B141" i="121"/>
  <c r="AE140" i="121"/>
  <c r="AB140" i="121"/>
  <c r="X140" i="121"/>
  <c r="R140" i="121"/>
  <c r="B140" i="121"/>
  <c r="AE139" i="121"/>
  <c r="AB139" i="121"/>
  <c r="X139" i="121"/>
  <c r="R139" i="121"/>
  <c r="B139" i="121"/>
  <c r="AE138" i="121"/>
  <c r="AB138" i="121"/>
  <c r="X138" i="121"/>
  <c r="R138" i="121"/>
  <c r="B138" i="121"/>
  <c r="AE137" i="121"/>
  <c r="AB137" i="121"/>
  <c r="X137" i="121"/>
  <c r="R137" i="121"/>
  <c r="B137" i="121"/>
  <c r="AE136" i="121"/>
  <c r="AB136" i="121"/>
  <c r="X136" i="121"/>
  <c r="R136" i="121"/>
  <c r="B136" i="121"/>
  <c r="AE135" i="121"/>
  <c r="AB135" i="121"/>
  <c r="X135" i="121"/>
  <c r="R135" i="121"/>
  <c r="B135" i="121"/>
  <c r="AE134" i="121"/>
  <c r="AB134" i="121"/>
  <c r="X134" i="121"/>
  <c r="R134" i="121"/>
  <c r="B134" i="121"/>
  <c r="AE133" i="121"/>
  <c r="AB133" i="121"/>
  <c r="X133" i="121"/>
  <c r="R133" i="121"/>
  <c r="B133" i="121"/>
  <c r="AE132" i="121"/>
  <c r="AB132" i="121"/>
  <c r="X132" i="121"/>
  <c r="R132" i="121"/>
  <c r="B132" i="121"/>
  <c r="AE131" i="121"/>
  <c r="AB131" i="121"/>
  <c r="X131" i="121"/>
  <c r="R131" i="121"/>
  <c r="B131" i="121"/>
  <c r="AE130" i="121"/>
  <c r="AB130" i="121"/>
  <c r="X130" i="121"/>
  <c r="R130" i="121"/>
  <c r="B130" i="121"/>
  <c r="AE128" i="121"/>
  <c r="AB128" i="121"/>
  <c r="X128" i="121"/>
  <c r="R128" i="121"/>
  <c r="B128" i="121"/>
  <c r="AE127" i="121"/>
  <c r="AB127" i="121"/>
  <c r="X127" i="121"/>
  <c r="R127" i="121"/>
  <c r="B127" i="121"/>
  <c r="AE126" i="121"/>
  <c r="AB126" i="121"/>
  <c r="X126" i="121"/>
  <c r="R126" i="121"/>
  <c r="B126" i="121"/>
  <c r="AE125" i="121"/>
  <c r="AB125" i="121"/>
  <c r="X125" i="121"/>
  <c r="R125" i="121"/>
  <c r="B125" i="121"/>
  <c r="AE124" i="121"/>
  <c r="AB124" i="121"/>
  <c r="X124" i="121"/>
  <c r="R124" i="121"/>
  <c r="B124" i="121"/>
  <c r="AE123" i="121"/>
  <c r="AB123" i="121"/>
  <c r="X123" i="121"/>
  <c r="R123" i="121"/>
  <c r="B123" i="121"/>
  <c r="AE122" i="121"/>
  <c r="AB122" i="121"/>
  <c r="X122" i="121"/>
  <c r="R122" i="121"/>
  <c r="B122" i="121"/>
  <c r="AE121" i="121"/>
  <c r="AB121" i="121"/>
  <c r="X121" i="121"/>
  <c r="R121" i="121"/>
  <c r="B121" i="121"/>
  <c r="AE120" i="121"/>
  <c r="AB120" i="121"/>
  <c r="X120" i="121"/>
  <c r="R120" i="121"/>
  <c r="B120" i="121"/>
  <c r="AE119" i="121"/>
  <c r="AB119" i="121"/>
  <c r="X119" i="121"/>
  <c r="R119" i="121"/>
  <c r="B119" i="121"/>
  <c r="AE118" i="121"/>
  <c r="AB118" i="121"/>
  <c r="X118" i="121"/>
  <c r="R118" i="121"/>
  <c r="B118" i="121"/>
  <c r="AE117" i="121"/>
  <c r="AB117" i="121"/>
  <c r="X117" i="121"/>
  <c r="R117" i="121"/>
  <c r="B117" i="121"/>
  <c r="AE116" i="121"/>
  <c r="AB116" i="121"/>
  <c r="X116" i="121"/>
  <c r="R116" i="121"/>
  <c r="B116" i="121"/>
  <c r="AE115" i="121"/>
  <c r="AB115" i="121"/>
  <c r="X115" i="121"/>
  <c r="R115" i="121"/>
  <c r="B115" i="121"/>
  <c r="AE114" i="121"/>
  <c r="AB114" i="121"/>
  <c r="X114" i="121"/>
  <c r="R114" i="121"/>
  <c r="B114" i="121"/>
  <c r="AE113" i="121"/>
  <c r="AB113" i="121"/>
  <c r="X113" i="121"/>
  <c r="R113" i="121"/>
  <c r="B113" i="121"/>
  <c r="AE112" i="121"/>
  <c r="AB112" i="121"/>
  <c r="X112" i="121"/>
  <c r="R112" i="121"/>
  <c r="B112" i="121"/>
  <c r="AE111" i="121"/>
  <c r="AB111" i="121"/>
  <c r="X111" i="121"/>
  <c r="R111" i="121"/>
  <c r="B111" i="121"/>
  <c r="AE110" i="121"/>
  <c r="AB110" i="121"/>
  <c r="X110" i="121"/>
  <c r="R110" i="121"/>
  <c r="B110" i="121"/>
  <c r="AE109" i="121"/>
  <c r="AB109" i="121"/>
  <c r="X109" i="121"/>
  <c r="R109" i="121"/>
  <c r="B109" i="121"/>
  <c r="X107" i="121"/>
  <c r="R107" i="121"/>
  <c r="B107" i="121"/>
  <c r="B105" i="121"/>
  <c r="B103" i="121"/>
  <c r="B93" i="99"/>
  <c r="C93" i="99"/>
  <c r="E93" i="99"/>
  <c r="F93" i="99"/>
  <c r="B94" i="99"/>
  <c r="C94" i="99"/>
  <c r="A219" i="87" l="1"/>
  <c r="I426" i="87"/>
  <c r="A363" i="87"/>
  <c r="H159" i="87"/>
  <c r="H59" i="121"/>
  <c r="C62" i="121"/>
  <c r="R42" i="121"/>
  <c r="F103" i="121"/>
  <c r="H44" i="121"/>
  <c r="L89" i="75"/>
  <c r="F96" i="121"/>
  <c r="O88" i="75"/>
  <c r="N89" i="75"/>
  <c r="R86" i="121"/>
  <c r="E50" i="121"/>
  <c r="E58" i="121"/>
  <c r="I49" i="121"/>
  <c r="H52" i="121"/>
  <c r="I54" i="121"/>
  <c r="F57" i="121"/>
  <c r="C73" i="121"/>
  <c r="C75" i="121"/>
  <c r="I78" i="121"/>
  <c r="H84" i="121"/>
  <c r="E87" i="121"/>
  <c r="F90" i="121"/>
  <c r="E97" i="121"/>
  <c r="R67" i="121"/>
  <c r="P88" i="75"/>
  <c r="N88" i="75"/>
  <c r="M88" i="75"/>
  <c r="L88" i="75"/>
  <c r="K88" i="75"/>
  <c r="P89" i="75"/>
  <c r="O89" i="75"/>
  <c r="M89" i="75"/>
  <c r="K89" i="75"/>
  <c r="H88" i="121"/>
  <c r="I61" i="121"/>
  <c r="I93" i="121"/>
  <c r="I80" i="121"/>
  <c r="I72" i="121"/>
  <c r="H71" i="121"/>
  <c r="H70" i="121"/>
  <c r="F88" i="121"/>
  <c r="F92" i="121"/>
  <c r="E56" i="121"/>
  <c r="F58" i="121"/>
  <c r="R97" i="121"/>
  <c r="E65" i="121"/>
  <c r="H58" i="121"/>
  <c r="I75" i="121"/>
  <c r="R55" i="121"/>
  <c r="F87" i="121"/>
  <c r="C87" i="121"/>
  <c r="C48" i="121"/>
  <c r="H48" i="121"/>
  <c r="I71" i="121"/>
  <c r="E71" i="121"/>
  <c r="I48" i="121"/>
  <c r="H89" i="121"/>
  <c r="X78" i="121"/>
  <c r="C83" i="121"/>
  <c r="F50" i="121"/>
  <c r="I66" i="121"/>
  <c r="R95" i="121"/>
  <c r="I59" i="121"/>
  <c r="C54" i="121"/>
  <c r="X66" i="121"/>
  <c r="F65" i="121"/>
  <c r="I96" i="121"/>
  <c r="E95" i="121"/>
  <c r="H96" i="121"/>
  <c r="C52" i="121"/>
  <c r="C68" i="121"/>
  <c r="F77" i="121"/>
  <c r="F95" i="121"/>
  <c r="F93" i="121"/>
  <c r="H87" i="121"/>
  <c r="X68" i="121"/>
  <c r="H95" i="121"/>
  <c r="E52" i="121"/>
  <c r="I95" i="121"/>
  <c r="C46" i="121"/>
  <c r="C65" i="121"/>
  <c r="R82" i="121"/>
  <c r="H91" i="121"/>
  <c r="R90" i="121"/>
  <c r="I89" i="121"/>
  <c r="X81" i="121"/>
  <c r="F46" i="121"/>
  <c r="X59" i="121"/>
  <c r="C67" i="121"/>
  <c r="X89" i="121"/>
  <c r="X46" i="121"/>
  <c r="E46" i="121"/>
  <c r="H46" i="121"/>
  <c r="I46" i="121"/>
  <c r="C59" i="121"/>
  <c r="X62" i="121"/>
  <c r="I73" i="121"/>
  <c r="C82" i="121"/>
  <c r="I88" i="121"/>
  <c r="F81" i="121"/>
  <c r="E54" i="121"/>
  <c r="F59" i="121"/>
  <c r="E89" i="121"/>
  <c r="E59" i="121"/>
  <c r="I44" i="121"/>
  <c r="C55" i="121"/>
  <c r="F89" i="121"/>
  <c r="R59" i="121"/>
  <c r="X71" i="121"/>
  <c r="X87" i="121"/>
  <c r="I70" i="121"/>
  <c r="H50" i="121"/>
  <c r="E80" i="121"/>
  <c r="X50" i="121"/>
  <c r="I65" i="121"/>
  <c r="E78" i="121"/>
  <c r="F80" i="121"/>
  <c r="F94" i="121"/>
  <c r="I42" i="121"/>
  <c r="R52" i="121"/>
  <c r="X77" i="121"/>
  <c r="I58" i="121"/>
  <c r="F83" i="121"/>
  <c r="I50" i="121"/>
  <c r="I83" i="121"/>
  <c r="X44" i="121"/>
  <c r="X54" i="121"/>
  <c r="X58" i="121"/>
  <c r="H72" i="121"/>
  <c r="F78" i="121"/>
  <c r="X61" i="121"/>
  <c r="F97" i="121"/>
  <c r="H54" i="121"/>
  <c r="F44" i="121"/>
  <c r="C58" i="121"/>
  <c r="F66" i="121"/>
  <c r="H78" i="121"/>
  <c r="H66" i="121"/>
  <c r="C49" i="121"/>
  <c r="F69" i="121"/>
  <c r="E69" i="121"/>
  <c r="C69" i="121"/>
  <c r="F74" i="121"/>
  <c r="E53" i="121"/>
  <c r="C56" i="121"/>
  <c r="I76" i="121"/>
  <c r="C96" i="121"/>
  <c r="R96" i="121"/>
  <c r="E96" i="121"/>
  <c r="F53" i="121"/>
  <c r="I77" i="121"/>
  <c r="F61" i="121"/>
  <c r="R61" i="121"/>
  <c r="H61" i="121"/>
  <c r="I92" i="121"/>
  <c r="H92" i="121"/>
  <c r="R56" i="121"/>
  <c r="I56" i="121"/>
  <c r="H60" i="121"/>
  <c r="X53" i="121"/>
  <c r="H62" i="121"/>
  <c r="H56" i="121"/>
  <c r="E62" i="121"/>
  <c r="E42" i="121"/>
  <c r="F62" i="121"/>
  <c r="E75" i="121"/>
  <c r="X65" i="121"/>
  <c r="R65" i="121"/>
  <c r="H65" i="121"/>
  <c r="F56" i="121"/>
  <c r="R62" i="121"/>
  <c r="I62" i="121"/>
  <c r="F75" i="121"/>
  <c r="H103" i="121"/>
  <c r="H42" i="121" s="1"/>
  <c r="F52" i="121"/>
  <c r="F68" i="121"/>
  <c r="E82" i="121"/>
  <c r="H83" i="121"/>
  <c r="I84" i="121"/>
  <c r="F84" i="121"/>
  <c r="R83" i="121"/>
  <c r="X95" i="121"/>
  <c r="X96" i="121"/>
  <c r="C71" i="121"/>
  <c r="I87" i="121"/>
  <c r="R84" i="121"/>
  <c r="F71" i="121"/>
  <c r="H93" i="121"/>
  <c r="X75" i="121"/>
  <c r="X83" i="121"/>
  <c r="C95" i="121"/>
  <c r="C97" i="121"/>
  <c r="X82" i="121"/>
  <c r="R58" i="121"/>
  <c r="R71" i="121"/>
  <c r="E60" i="121"/>
  <c r="C79" i="121"/>
  <c r="F79" i="121"/>
  <c r="I79" i="121"/>
  <c r="H79" i="121"/>
  <c r="E79" i="121"/>
  <c r="F72" i="121"/>
  <c r="E72" i="121"/>
  <c r="C72" i="121"/>
  <c r="C63" i="121"/>
  <c r="I63" i="121"/>
  <c r="H67" i="121"/>
  <c r="F67" i="121"/>
  <c r="E67" i="121"/>
  <c r="H49" i="121"/>
  <c r="F49" i="121"/>
  <c r="E49" i="121"/>
  <c r="R49" i="121"/>
  <c r="C53" i="121"/>
  <c r="I53" i="121"/>
  <c r="H53" i="121"/>
  <c r="F91" i="121"/>
  <c r="E91" i="121"/>
  <c r="R91" i="121"/>
  <c r="I91" i="121"/>
  <c r="C91" i="121"/>
  <c r="R44" i="121"/>
  <c r="H74" i="121"/>
  <c r="H80" i="121"/>
  <c r="R79" i="121"/>
  <c r="X42" i="121"/>
  <c r="F54" i="121"/>
  <c r="C61" i="121"/>
  <c r="H68" i="121"/>
  <c r="I74" i="121"/>
  <c r="H75" i="121"/>
  <c r="R53" i="121"/>
  <c r="R80" i="121"/>
  <c r="R72" i="121"/>
  <c r="C44" i="121"/>
  <c r="X72" i="121"/>
  <c r="R92" i="121"/>
  <c r="C50" i="121"/>
  <c r="R54" i="121"/>
  <c r="E61" i="121"/>
  <c r="X49" i="121"/>
  <c r="X73" i="121"/>
  <c r="R75" i="121"/>
  <c r="X79" i="121"/>
  <c r="X85" i="121"/>
  <c r="R87" i="121"/>
  <c r="X91" i="121"/>
  <c r="X97" i="121"/>
  <c r="E68" i="121"/>
  <c r="I68" i="121"/>
  <c r="R50" i="121"/>
  <c r="R68" i="121"/>
  <c r="C42" i="121"/>
  <c r="E44" i="121"/>
  <c r="E83" i="121"/>
  <c r="R46" i="121"/>
  <c r="R69" i="121"/>
  <c r="X74" i="121"/>
  <c r="R88" i="121"/>
  <c r="I97" i="121"/>
  <c r="H97" i="121"/>
  <c r="I94" i="121"/>
  <c r="H94" i="121"/>
  <c r="E94" i="121"/>
  <c r="X94" i="121"/>
  <c r="C94" i="121"/>
  <c r="R51" i="121"/>
  <c r="I51" i="121"/>
  <c r="F55" i="121"/>
  <c r="I55" i="121"/>
  <c r="I81" i="121"/>
  <c r="H81" i="121"/>
  <c r="E81" i="121"/>
  <c r="C81" i="121"/>
  <c r="I64" i="121"/>
  <c r="I85" i="121"/>
  <c r="F85" i="121"/>
  <c r="C85" i="121"/>
  <c r="H85" i="121"/>
  <c r="E48" i="121"/>
  <c r="F48" i="121"/>
  <c r="R48" i="121"/>
  <c r="H76" i="121"/>
  <c r="F76" i="121"/>
  <c r="E76" i="121"/>
  <c r="C76" i="121"/>
  <c r="R57" i="121"/>
  <c r="C57" i="121"/>
  <c r="H57" i="121"/>
  <c r="E57" i="121"/>
  <c r="X57" i="121"/>
  <c r="I57" i="121"/>
  <c r="E85" i="121"/>
  <c r="E51" i="121"/>
  <c r="I90" i="121"/>
  <c r="H90" i="121"/>
  <c r="E77" i="121"/>
  <c r="C77" i="121"/>
  <c r="I86" i="121"/>
  <c r="H86" i="121"/>
  <c r="F86" i="121"/>
  <c r="X63" i="121"/>
  <c r="C70" i="121"/>
  <c r="R76" i="121"/>
  <c r="I69" i="121"/>
  <c r="H69" i="121"/>
  <c r="C78" i="121"/>
  <c r="E92" i="121"/>
  <c r="C92" i="121"/>
  <c r="X93" i="121"/>
  <c r="X70" i="121"/>
  <c r="C86" i="121"/>
  <c r="C90" i="121"/>
  <c r="H73" i="121"/>
  <c r="F73" i="121"/>
  <c r="E73" i="121"/>
  <c r="I82" i="121"/>
  <c r="H82" i="121"/>
  <c r="F82" i="121"/>
  <c r="E86" i="121"/>
  <c r="E90" i="121"/>
  <c r="X60" i="121"/>
  <c r="E66" i="121"/>
  <c r="C66" i="121"/>
  <c r="R66" i="121"/>
  <c r="R74" i="121"/>
  <c r="E74" i="121"/>
  <c r="C74" i="121"/>
  <c r="E88" i="121"/>
  <c r="C88" i="121"/>
  <c r="F70" i="121"/>
  <c r="R70" i="121"/>
  <c r="E70" i="121"/>
  <c r="C84" i="121"/>
  <c r="X90" i="121"/>
  <c r="C93" i="121"/>
  <c r="F63" i="121"/>
  <c r="H77" i="121"/>
  <c r="E84" i="121"/>
  <c r="E93" i="121"/>
  <c r="X48" i="121"/>
  <c r="X55" i="121"/>
  <c r="C60" i="121"/>
  <c r="C80" i="121"/>
  <c r="X86" i="121"/>
  <c r="C89" i="121"/>
  <c r="R63" i="121"/>
  <c r="R73" i="121"/>
  <c r="R77" i="121"/>
  <c r="R81" i="121"/>
  <c r="R85" i="121"/>
  <c r="R89" i="121"/>
  <c r="R93" i="121"/>
  <c r="X56" i="121"/>
  <c r="R60" i="121"/>
  <c r="X76" i="121"/>
  <c r="X80" i="121"/>
  <c r="X84" i="121"/>
  <c r="X88" i="121"/>
  <c r="X92" i="121"/>
  <c r="X69" i="121"/>
  <c r="R78" i="121"/>
  <c r="R94" i="121"/>
  <c r="C51" i="121"/>
  <c r="C64" i="121"/>
  <c r="R64" i="121"/>
  <c r="F51" i="121"/>
  <c r="F64" i="121"/>
  <c r="E64" i="121"/>
  <c r="X64" i="121"/>
  <c r="X52" i="121"/>
  <c r="I52" i="121"/>
  <c r="H55" i="121"/>
  <c r="E55" i="121"/>
  <c r="H63" i="121"/>
  <c r="E63" i="121"/>
  <c r="H51" i="121"/>
  <c r="X51" i="121"/>
  <c r="H64" i="121"/>
  <c r="I60" i="121"/>
  <c r="F60" i="121"/>
  <c r="X67" i="121"/>
  <c r="I67" i="121"/>
  <c r="A220" i="87" l="1"/>
  <c r="I427" i="87"/>
  <c r="A364" i="87"/>
  <c r="H160" i="87"/>
  <c r="H43" i="121"/>
  <c r="I47" i="121"/>
  <c r="X43" i="121"/>
  <c r="H47" i="121"/>
  <c r="F42" i="121"/>
  <c r="F43" i="121" s="1"/>
  <c r="C47" i="121"/>
  <c r="R47" i="121"/>
  <c r="I45" i="121"/>
  <c r="E45" i="121"/>
  <c r="X47" i="121"/>
  <c r="C45" i="121"/>
  <c r="F47" i="121"/>
  <c r="E47" i="121"/>
  <c r="I43" i="121"/>
  <c r="H45" i="121"/>
  <c r="F45" i="121"/>
  <c r="X45" i="121"/>
  <c r="C43" i="121"/>
  <c r="R45" i="121"/>
  <c r="E43" i="121"/>
  <c r="R43" i="121"/>
  <c r="A221" i="87" l="1"/>
  <c r="I428" i="87"/>
  <c r="A365" i="87"/>
  <c r="H161" i="87"/>
  <c r="S57" i="119"/>
  <c r="AO82" i="146" s="1"/>
  <c r="CJ60" i="74"/>
  <c r="CJ61" i="74"/>
  <c r="CS6" i="74"/>
  <c r="CS8" i="74"/>
  <c r="CS10" i="74"/>
  <c r="CS12" i="74"/>
  <c r="CS13" i="74"/>
  <c r="CS14" i="74"/>
  <c r="CS15" i="74"/>
  <c r="CS16" i="74"/>
  <c r="CS17" i="74"/>
  <c r="CS18" i="74"/>
  <c r="CS19" i="74"/>
  <c r="CS20" i="74"/>
  <c r="CS21" i="74"/>
  <c r="CS22" i="74"/>
  <c r="CS23" i="74"/>
  <c r="CS24" i="74"/>
  <c r="CS25" i="74"/>
  <c r="CS26" i="74"/>
  <c r="CS27" i="74"/>
  <c r="CS28" i="74"/>
  <c r="CS29" i="74"/>
  <c r="CS30" i="74"/>
  <c r="CS31" i="74"/>
  <c r="CS32" i="74"/>
  <c r="CS33" i="74"/>
  <c r="CS34" i="74"/>
  <c r="CS35" i="74"/>
  <c r="CS36" i="74"/>
  <c r="CS37" i="74"/>
  <c r="CS38" i="74"/>
  <c r="CS39" i="74"/>
  <c r="CS40" i="74"/>
  <c r="CS41" i="74"/>
  <c r="CS42" i="74"/>
  <c r="CS43" i="74"/>
  <c r="CS44" i="74"/>
  <c r="CS45" i="74"/>
  <c r="CS46" i="74"/>
  <c r="CS47" i="74"/>
  <c r="CS48" i="74"/>
  <c r="CS49" i="74"/>
  <c r="CS50" i="74"/>
  <c r="CS51" i="74"/>
  <c r="CS52" i="74"/>
  <c r="CS53" i="74"/>
  <c r="CS54" i="74"/>
  <c r="CS55" i="74"/>
  <c r="CS56" i="74"/>
  <c r="CS57" i="74"/>
  <c r="CS58" i="74"/>
  <c r="CS59" i="74"/>
  <c r="CS60" i="74"/>
  <c r="CS61" i="74"/>
  <c r="CN6" i="74"/>
  <c r="CN8" i="74"/>
  <c r="CN10" i="74"/>
  <c r="CN12" i="74"/>
  <c r="CN13" i="74"/>
  <c r="CN14" i="74"/>
  <c r="CN15" i="74"/>
  <c r="CN16" i="74"/>
  <c r="CN17" i="74"/>
  <c r="CN18" i="74"/>
  <c r="CN19" i="74"/>
  <c r="CN20" i="74"/>
  <c r="CN21" i="74"/>
  <c r="CN22" i="74"/>
  <c r="CN23" i="74"/>
  <c r="CN24" i="74"/>
  <c r="CN25" i="74"/>
  <c r="CN26" i="74"/>
  <c r="CN27" i="74"/>
  <c r="CN28" i="74"/>
  <c r="CN29" i="74"/>
  <c r="CN30" i="74"/>
  <c r="CN31" i="74"/>
  <c r="CN32" i="74"/>
  <c r="CN33" i="74"/>
  <c r="CN34" i="74"/>
  <c r="CN35" i="74"/>
  <c r="CN36" i="74"/>
  <c r="CN37" i="74"/>
  <c r="CN38" i="74"/>
  <c r="CN39" i="74"/>
  <c r="CN40" i="74"/>
  <c r="CN41" i="74"/>
  <c r="CN42" i="74"/>
  <c r="CN43" i="74"/>
  <c r="CN44" i="74"/>
  <c r="CN45" i="74"/>
  <c r="CN46" i="74"/>
  <c r="CN47" i="74"/>
  <c r="CN48" i="74"/>
  <c r="CN49" i="74"/>
  <c r="CN50" i="74"/>
  <c r="CN51" i="74"/>
  <c r="CN52" i="74"/>
  <c r="CN53" i="74"/>
  <c r="CN54" i="74"/>
  <c r="CN55" i="74"/>
  <c r="CN56" i="74"/>
  <c r="CN57" i="74"/>
  <c r="CN58" i="74"/>
  <c r="CN59" i="74"/>
  <c r="CN60" i="74"/>
  <c r="CN61" i="74"/>
  <c r="CI25" i="74"/>
  <c r="CI26" i="74"/>
  <c r="CI27" i="74"/>
  <c r="CI28" i="74"/>
  <c r="CI29" i="74"/>
  <c r="CI30" i="74"/>
  <c r="CI31" i="74"/>
  <c r="CI32" i="74"/>
  <c r="CI33" i="74"/>
  <c r="CI34" i="74"/>
  <c r="CI35" i="74"/>
  <c r="CI36" i="74"/>
  <c r="CI37" i="74"/>
  <c r="CI38" i="74"/>
  <c r="CI39" i="74"/>
  <c r="CI40" i="74"/>
  <c r="CI41" i="74"/>
  <c r="CI42" i="74"/>
  <c r="CI43" i="74"/>
  <c r="CI44" i="74"/>
  <c r="CI45" i="74"/>
  <c r="CI46" i="74"/>
  <c r="CI47" i="74"/>
  <c r="CI48" i="74"/>
  <c r="CI49" i="74"/>
  <c r="CI50" i="74"/>
  <c r="CI51" i="74"/>
  <c r="CI52" i="74"/>
  <c r="CI53" i="74"/>
  <c r="CI54" i="74"/>
  <c r="CI55" i="74"/>
  <c r="CI56" i="74"/>
  <c r="CI57" i="74"/>
  <c r="CI58" i="74"/>
  <c r="CI59" i="74"/>
  <c r="CI60" i="74"/>
  <c r="CI61" i="74"/>
  <c r="CD8" i="74"/>
  <c r="CD10" i="74"/>
  <c r="CD12" i="74"/>
  <c r="CD13" i="74"/>
  <c r="CD14" i="74"/>
  <c r="CD15" i="74"/>
  <c r="CD16" i="74"/>
  <c r="CD17" i="74"/>
  <c r="CD18" i="74"/>
  <c r="CD19" i="74"/>
  <c r="CD20" i="74"/>
  <c r="CD21" i="74"/>
  <c r="CD22" i="74"/>
  <c r="CD23" i="74"/>
  <c r="CD24" i="74"/>
  <c r="CD25" i="74"/>
  <c r="CD26" i="74"/>
  <c r="CD27" i="74"/>
  <c r="CD28" i="74"/>
  <c r="CD29" i="74"/>
  <c r="CD30" i="74"/>
  <c r="CD31" i="74"/>
  <c r="CD32" i="74"/>
  <c r="CD33" i="74"/>
  <c r="CD34" i="74"/>
  <c r="CD35" i="74"/>
  <c r="CD36" i="74"/>
  <c r="CD37" i="74"/>
  <c r="CD38" i="74"/>
  <c r="CD39" i="74"/>
  <c r="CD40" i="74"/>
  <c r="CD41" i="74"/>
  <c r="CD42" i="74"/>
  <c r="CD43" i="74"/>
  <c r="CD44" i="74"/>
  <c r="CD45" i="74"/>
  <c r="CD46" i="74"/>
  <c r="CD47" i="74"/>
  <c r="CD48" i="74"/>
  <c r="CD49" i="74"/>
  <c r="CD50" i="74"/>
  <c r="CD51" i="74"/>
  <c r="CD52" i="74"/>
  <c r="CD53" i="74"/>
  <c r="CD54" i="74"/>
  <c r="CD55" i="74"/>
  <c r="CD56" i="74"/>
  <c r="CD57" i="74"/>
  <c r="CD58" i="74"/>
  <c r="CD59" i="74"/>
  <c r="CD60" i="74"/>
  <c r="CD61" i="74"/>
  <c r="CE6" i="74"/>
  <c r="CG6" i="74" s="1"/>
  <c r="CE8" i="74"/>
  <c r="CG8" i="74" s="1"/>
  <c r="CE10" i="74"/>
  <c r="CG10" i="74" s="1"/>
  <c r="CE12" i="74"/>
  <c r="CG12" i="74" s="1"/>
  <c r="CE13" i="74"/>
  <c r="CG13" i="74" s="1"/>
  <c r="CE14" i="74"/>
  <c r="CG14" i="74" s="1"/>
  <c r="CE15" i="74"/>
  <c r="CG15" i="74" s="1"/>
  <c r="CE16" i="74"/>
  <c r="CG16" i="74" s="1"/>
  <c r="CE17" i="74"/>
  <c r="CG17" i="74" s="1"/>
  <c r="CE18" i="74"/>
  <c r="CG18" i="74" s="1"/>
  <c r="CE19" i="74"/>
  <c r="CG19" i="74" s="1"/>
  <c r="CE20" i="74"/>
  <c r="CG20" i="74" s="1"/>
  <c r="CE21" i="74"/>
  <c r="CG21" i="74" s="1"/>
  <c r="CE22" i="74"/>
  <c r="CG22" i="74" s="1"/>
  <c r="CE23" i="74"/>
  <c r="CG23" i="74" s="1"/>
  <c r="CE24" i="74"/>
  <c r="CG24" i="74" s="1"/>
  <c r="CE25" i="74"/>
  <c r="CG25" i="74" s="1"/>
  <c r="CE26" i="74"/>
  <c r="CG26" i="74" s="1"/>
  <c r="CE27" i="74"/>
  <c r="CG27" i="74" s="1"/>
  <c r="CE28" i="74"/>
  <c r="CG28" i="74" s="1"/>
  <c r="CE30" i="74"/>
  <c r="CG30" i="74" s="1"/>
  <c r="CE31" i="74"/>
  <c r="CG31" i="74" s="1"/>
  <c r="CE32" i="74"/>
  <c r="CG32" i="74" s="1"/>
  <c r="CE33" i="74"/>
  <c r="CG33" i="74" s="1"/>
  <c r="CE34" i="74"/>
  <c r="CG34" i="74" s="1"/>
  <c r="CE35" i="74"/>
  <c r="CG35" i="74" s="1"/>
  <c r="CE36" i="74"/>
  <c r="CG36" i="74" s="1"/>
  <c r="CE37" i="74"/>
  <c r="CG37" i="74" s="1"/>
  <c r="CE38" i="74"/>
  <c r="CG38" i="74" s="1"/>
  <c r="CE39" i="74"/>
  <c r="CG39" i="74" s="1"/>
  <c r="CE40" i="74"/>
  <c r="CG40" i="74" s="1"/>
  <c r="CE41" i="74"/>
  <c r="CG41" i="74" s="1"/>
  <c r="CE42" i="74"/>
  <c r="CG42" i="74" s="1"/>
  <c r="CE43" i="74"/>
  <c r="CG43" i="74" s="1"/>
  <c r="CE44" i="74"/>
  <c r="CG44" i="74" s="1"/>
  <c r="CE45" i="74"/>
  <c r="CG45" i="74" s="1"/>
  <c r="CE46" i="74"/>
  <c r="CG46" i="74" s="1"/>
  <c r="CE47" i="74"/>
  <c r="CG47" i="74" s="1"/>
  <c r="CE48" i="74"/>
  <c r="CG48" i="74" s="1"/>
  <c r="CE49" i="74"/>
  <c r="CG49" i="74" s="1"/>
  <c r="CE50" i="74"/>
  <c r="CG50" i="74" s="1"/>
  <c r="CE51" i="74"/>
  <c r="CG51" i="74" s="1"/>
  <c r="CE52" i="74"/>
  <c r="CG52" i="74" s="1"/>
  <c r="CE53" i="74"/>
  <c r="CG53" i="74" s="1"/>
  <c r="CE54" i="74"/>
  <c r="CG54" i="74" s="1"/>
  <c r="CE55" i="74"/>
  <c r="CG55" i="74" s="1"/>
  <c r="CE56" i="74"/>
  <c r="CG56" i="74" s="1"/>
  <c r="CE57" i="74"/>
  <c r="CG57" i="74" s="1"/>
  <c r="CE58" i="74"/>
  <c r="CG58" i="74" s="1"/>
  <c r="CE59" i="74"/>
  <c r="CG59" i="74" s="1"/>
  <c r="CE60" i="74"/>
  <c r="CG60" i="74" s="1"/>
  <c r="CE61" i="74"/>
  <c r="CG61" i="74" s="1"/>
  <c r="BR27" i="74"/>
  <c r="BR28" i="74"/>
  <c r="BR29" i="74"/>
  <c r="BR30" i="74"/>
  <c r="BR31" i="74"/>
  <c r="BR32" i="74"/>
  <c r="BR33" i="74"/>
  <c r="BR34" i="74"/>
  <c r="BR35" i="74"/>
  <c r="BR36" i="74"/>
  <c r="BR37" i="74"/>
  <c r="BR38" i="74"/>
  <c r="BR39" i="74"/>
  <c r="BR40" i="74"/>
  <c r="BR41" i="74"/>
  <c r="BR42" i="74"/>
  <c r="BR43" i="74"/>
  <c r="BR44" i="74"/>
  <c r="BR45" i="74"/>
  <c r="BR46" i="74"/>
  <c r="BR47" i="74"/>
  <c r="BR48" i="74"/>
  <c r="BR49" i="74"/>
  <c r="BR50" i="74"/>
  <c r="BR51" i="74"/>
  <c r="BR52" i="74"/>
  <c r="BR53" i="74"/>
  <c r="BR54" i="74"/>
  <c r="BR55" i="74"/>
  <c r="BR56" i="74"/>
  <c r="BR57" i="74"/>
  <c r="BR58" i="74"/>
  <c r="BR59" i="74"/>
  <c r="BR60" i="74"/>
  <c r="BR61" i="74"/>
  <c r="BM31" i="74"/>
  <c r="BM32" i="74"/>
  <c r="BM33" i="74"/>
  <c r="BM34" i="74"/>
  <c r="BM35" i="74"/>
  <c r="BM36" i="74"/>
  <c r="BM37" i="74"/>
  <c r="BM38" i="74"/>
  <c r="BM39" i="74"/>
  <c r="BM40" i="74"/>
  <c r="BM41" i="74"/>
  <c r="BM42" i="74"/>
  <c r="BM43" i="74"/>
  <c r="BM44" i="74"/>
  <c r="BM45" i="74"/>
  <c r="BM46" i="74"/>
  <c r="BM47" i="74"/>
  <c r="BM48" i="74"/>
  <c r="BM49" i="74"/>
  <c r="BM50" i="74"/>
  <c r="BM51" i="74"/>
  <c r="BM52" i="74"/>
  <c r="BM53" i="74"/>
  <c r="BM54" i="74"/>
  <c r="BM55" i="74"/>
  <c r="BM56" i="74"/>
  <c r="BM57" i="74"/>
  <c r="BM58" i="74"/>
  <c r="BM59" i="74"/>
  <c r="BM60" i="74"/>
  <c r="BM61" i="74"/>
  <c r="W10" i="119"/>
  <c r="W11" i="119"/>
  <c r="W12" i="119"/>
  <c r="W13" i="119"/>
  <c r="W14" i="119"/>
  <c r="W15" i="119"/>
  <c r="F15" i="119" s="1"/>
  <c r="G15" i="119" s="1"/>
  <c r="W16" i="119"/>
  <c r="W17" i="119"/>
  <c r="W18" i="119"/>
  <c r="W19" i="119"/>
  <c r="W20" i="119"/>
  <c r="W21" i="119"/>
  <c r="W22" i="119"/>
  <c r="W23" i="119"/>
  <c r="W24" i="119"/>
  <c r="W25" i="119"/>
  <c r="W26" i="119"/>
  <c r="W27" i="119"/>
  <c r="W29" i="119"/>
  <c r="W30" i="119"/>
  <c r="W31" i="119"/>
  <c r="W32" i="119"/>
  <c r="W33" i="119"/>
  <c r="W34" i="119"/>
  <c r="W35" i="119"/>
  <c r="W36" i="119"/>
  <c r="W37" i="119"/>
  <c r="W38" i="119"/>
  <c r="W39" i="119"/>
  <c r="W40" i="119"/>
  <c r="W41" i="119"/>
  <c r="W42" i="119"/>
  <c r="W43" i="119"/>
  <c r="W44" i="119"/>
  <c r="W45" i="119"/>
  <c r="W46" i="119"/>
  <c r="W47" i="119"/>
  <c r="W48" i="119"/>
  <c r="W49" i="119"/>
  <c r="W50" i="119"/>
  <c r="W51" i="119"/>
  <c r="W52" i="119"/>
  <c r="W53" i="119"/>
  <c r="W54" i="119"/>
  <c r="W55" i="119"/>
  <c r="W56" i="119"/>
  <c r="W57" i="119"/>
  <c r="W58" i="119"/>
  <c r="W59" i="119"/>
  <c r="W60" i="119"/>
  <c r="W61" i="119"/>
  <c r="W62" i="119"/>
  <c r="W63" i="119"/>
  <c r="W64" i="119"/>
  <c r="W65" i="119"/>
  <c r="BT13" i="74"/>
  <c r="BT14" i="74"/>
  <c r="BT15" i="74"/>
  <c r="BT16" i="74"/>
  <c r="BT17" i="74"/>
  <c r="BT18" i="74"/>
  <c r="BT19" i="74"/>
  <c r="BT20" i="74"/>
  <c r="BT21" i="74"/>
  <c r="BT62" i="74"/>
  <c r="BT12" i="74"/>
  <c r="BT10" i="74"/>
  <c r="BT8" i="74"/>
  <c r="BS7" i="74"/>
  <c r="BS8" i="74"/>
  <c r="BS9" i="74"/>
  <c r="BS10" i="74"/>
  <c r="BS11" i="74"/>
  <c r="BS12" i="74"/>
  <c r="BS13" i="74"/>
  <c r="BS14" i="74"/>
  <c r="BS15" i="74"/>
  <c r="BS16" i="74"/>
  <c r="BS17" i="74"/>
  <c r="BS18" i="74"/>
  <c r="BS19" i="74"/>
  <c r="BS20" i="74"/>
  <c r="BS21" i="74"/>
  <c r="BS22" i="74"/>
  <c r="BS23" i="74"/>
  <c r="BS24" i="74"/>
  <c r="BS25" i="74"/>
  <c r="BS26" i="74"/>
  <c r="BS27" i="74"/>
  <c r="BS28" i="74"/>
  <c r="BS29" i="74"/>
  <c r="BS30" i="74"/>
  <c r="BS31" i="74"/>
  <c r="BS32" i="74"/>
  <c r="BS33" i="74"/>
  <c r="BS34" i="74"/>
  <c r="BS35" i="74"/>
  <c r="BS36" i="74"/>
  <c r="BS37" i="74"/>
  <c r="BS38" i="74"/>
  <c r="BS39" i="74"/>
  <c r="BS40" i="74"/>
  <c r="BS41" i="74"/>
  <c r="BS42" i="74"/>
  <c r="BS43" i="74"/>
  <c r="BS44" i="74"/>
  <c r="BS45" i="74"/>
  <c r="BS46" i="74"/>
  <c r="BS47" i="74"/>
  <c r="BS48" i="74"/>
  <c r="BS49" i="74"/>
  <c r="BS50" i="74"/>
  <c r="BS51" i="74"/>
  <c r="BS52" i="74"/>
  <c r="BS53" i="74"/>
  <c r="BS54" i="74"/>
  <c r="BS55" i="74"/>
  <c r="BS56" i="74"/>
  <c r="BU56" i="74" s="1"/>
  <c r="BS57" i="74"/>
  <c r="BS58" i="74"/>
  <c r="BS59" i="74"/>
  <c r="BS60" i="74"/>
  <c r="BS61" i="74"/>
  <c r="BS62" i="74"/>
  <c r="BS6" i="74"/>
  <c r="BL62" i="74"/>
  <c r="BP7" i="74"/>
  <c r="BP8" i="74"/>
  <c r="BP9" i="74"/>
  <c r="BP10" i="74"/>
  <c r="BP11" i="74"/>
  <c r="BP12" i="74"/>
  <c r="BP13" i="74"/>
  <c r="BP14" i="74"/>
  <c r="BP15" i="74"/>
  <c r="BP16" i="74"/>
  <c r="BP17" i="74"/>
  <c r="BP18" i="74"/>
  <c r="BP19" i="74"/>
  <c r="BP20" i="74"/>
  <c r="BP21" i="74"/>
  <c r="BP22" i="74"/>
  <c r="BP23" i="74"/>
  <c r="BP24" i="74"/>
  <c r="BP25" i="74"/>
  <c r="BP26" i="74"/>
  <c r="BP27" i="74"/>
  <c r="BP28" i="74"/>
  <c r="BP29" i="74"/>
  <c r="BP30" i="74"/>
  <c r="BP31" i="74"/>
  <c r="BP32" i="74"/>
  <c r="BP33" i="74"/>
  <c r="BP34" i="74"/>
  <c r="BP35" i="74"/>
  <c r="BP36" i="74"/>
  <c r="BP37" i="74"/>
  <c r="BP38" i="74"/>
  <c r="BP39" i="74"/>
  <c r="BP40" i="74"/>
  <c r="BP41" i="74"/>
  <c r="BP42" i="74"/>
  <c r="BP43" i="74"/>
  <c r="BP44" i="74"/>
  <c r="BP45" i="74"/>
  <c r="BP46" i="74"/>
  <c r="BP47" i="74"/>
  <c r="BP48" i="74"/>
  <c r="BP49" i="74"/>
  <c r="BP50" i="74"/>
  <c r="BP51" i="74"/>
  <c r="BP52" i="74"/>
  <c r="BP53" i="74"/>
  <c r="BP54" i="74"/>
  <c r="BP55" i="74"/>
  <c r="BP56" i="74"/>
  <c r="BP57" i="74"/>
  <c r="BP58" i="74"/>
  <c r="BP59" i="74"/>
  <c r="BP60" i="74"/>
  <c r="BP61" i="74"/>
  <c r="BP62" i="74"/>
  <c r="BP6" i="74"/>
  <c r="BL13" i="74"/>
  <c r="BL15" i="74"/>
  <c r="BL16" i="74"/>
  <c r="BL17" i="74"/>
  <c r="BL18" i="74"/>
  <c r="BL19" i="74"/>
  <c r="BL20" i="74"/>
  <c r="BL21" i="74"/>
  <c r="BL22" i="74"/>
  <c r="BL23" i="74"/>
  <c r="BL24" i="74"/>
  <c r="BL25" i="74"/>
  <c r="BL26" i="74"/>
  <c r="BL27" i="74"/>
  <c r="BL28" i="74"/>
  <c r="BL29" i="74"/>
  <c r="BL30" i="74"/>
  <c r="BL31" i="74"/>
  <c r="BL32" i="74"/>
  <c r="W129" i="121" s="1"/>
  <c r="BL33" i="74"/>
  <c r="BL34" i="74"/>
  <c r="BL35" i="74"/>
  <c r="BL36" i="74"/>
  <c r="BL37" i="74"/>
  <c r="BL38" i="74"/>
  <c r="BL39" i="74"/>
  <c r="BL40" i="74"/>
  <c r="BL41" i="74"/>
  <c r="BL42" i="74"/>
  <c r="BL43" i="74"/>
  <c r="BL44" i="74"/>
  <c r="BL45" i="74"/>
  <c r="BL46" i="74"/>
  <c r="BL47" i="74"/>
  <c r="BL48" i="74"/>
  <c r="BL49" i="74"/>
  <c r="BL50" i="74"/>
  <c r="BL51" i="74"/>
  <c r="BL52" i="74"/>
  <c r="BL53" i="74"/>
  <c r="BL54" i="74"/>
  <c r="BL55" i="74"/>
  <c r="BL56" i="74"/>
  <c r="BL57" i="74"/>
  <c r="BL58" i="74"/>
  <c r="BL59" i="74"/>
  <c r="BL60" i="74"/>
  <c r="BL61" i="74"/>
  <c r="BL12" i="74"/>
  <c r="BL10" i="74"/>
  <c r="BL8" i="74"/>
  <c r="W105" i="121" s="1"/>
  <c r="BL6" i="74"/>
  <c r="BO6" i="74" s="1"/>
  <c r="S112" i="121"/>
  <c r="S51" i="121" s="1"/>
  <c r="S113" i="121"/>
  <c r="S52" i="121" s="1"/>
  <c r="AX6" i="74"/>
  <c r="AX8" i="74"/>
  <c r="AX10" i="74"/>
  <c r="AX12" i="74"/>
  <c r="AX13" i="74"/>
  <c r="AX14" i="74"/>
  <c r="AX15" i="74"/>
  <c r="AX16" i="74"/>
  <c r="AX17" i="74"/>
  <c r="AX18" i="74"/>
  <c r="AX19" i="74"/>
  <c r="AX20" i="74"/>
  <c r="AX21" i="74"/>
  <c r="AX22" i="74"/>
  <c r="AX23" i="74"/>
  <c r="AX24" i="74"/>
  <c r="AX25" i="74"/>
  <c r="AX26" i="74"/>
  <c r="AX27" i="74"/>
  <c r="AX28" i="74"/>
  <c r="AX29" i="74"/>
  <c r="AX30" i="74"/>
  <c r="AX31" i="74"/>
  <c r="AX32" i="74"/>
  <c r="AX33" i="74"/>
  <c r="AX34" i="74"/>
  <c r="AX35" i="74"/>
  <c r="AX36" i="74"/>
  <c r="AX37" i="74"/>
  <c r="AX38" i="74"/>
  <c r="AX39" i="74"/>
  <c r="AX40" i="74"/>
  <c r="AX41" i="74"/>
  <c r="AX42" i="74"/>
  <c r="AX43" i="74"/>
  <c r="AX44" i="74"/>
  <c r="AX45" i="74"/>
  <c r="AX46" i="74"/>
  <c r="AX47" i="74"/>
  <c r="AX48" i="74"/>
  <c r="AX49" i="74"/>
  <c r="AX50" i="74"/>
  <c r="AX51" i="74"/>
  <c r="AX52" i="74"/>
  <c r="AX53" i="74"/>
  <c r="AX54" i="74"/>
  <c r="AX55" i="74"/>
  <c r="AX56" i="74"/>
  <c r="AX57" i="74"/>
  <c r="AX58" i="74"/>
  <c r="AX59" i="74"/>
  <c r="A222" i="87" l="1"/>
  <c r="I429" i="87"/>
  <c r="A366" i="87"/>
  <c r="H162" i="87"/>
  <c r="B15" i="119"/>
  <c r="D16" i="111" s="1"/>
  <c r="BZ19" i="74"/>
  <c r="W143" i="121"/>
  <c r="W82" i="121" s="1"/>
  <c r="BO46" i="74"/>
  <c r="W127" i="121"/>
  <c r="W66" i="121" s="1"/>
  <c r="BO30" i="74"/>
  <c r="W158" i="121"/>
  <c r="W97" i="121" s="1"/>
  <c r="BO61" i="74"/>
  <c r="W110" i="121"/>
  <c r="W49" i="121" s="1"/>
  <c r="BO13" i="74"/>
  <c r="W133" i="121"/>
  <c r="W72" i="121" s="1"/>
  <c r="BO36" i="74"/>
  <c r="W156" i="121"/>
  <c r="W95" i="121" s="1"/>
  <c r="BO59" i="74"/>
  <c r="W148" i="121"/>
  <c r="W87" i="121" s="1"/>
  <c r="BO51" i="74"/>
  <c r="W140" i="121"/>
  <c r="W79" i="121" s="1"/>
  <c r="BO43" i="74"/>
  <c r="W132" i="121"/>
  <c r="W71" i="121" s="1"/>
  <c r="BO35" i="74"/>
  <c r="W124" i="121"/>
  <c r="W63" i="121" s="1"/>
  <c r="BO27" i="74"/>
  <c r="W116" i="121"/>
  <c r="W55" i="121" s="1"/>
  <c r="BO19" i="74"/>
  <c r="W119" i="121"/>
  <c r="W58" i="121" s="1"/>
  <c r="BO22" i="74"/>
  <c r="W126" i="121"/>
  <c r="W65" i="121" s="1"/>
  <c r="BO29" i="74"/>
  <c r="W117" i="121"/>
  <c r="W56" i="121" s="1"/>
  <c r="BO20" i="74"/>
  <c r="W155" i="121"/>
  <c r="W94" i="121" s="1"/>
  <c r="BO58" i="74"/>
  <c r="W147" i="121"/>
  <c r="W86" i="121" s="1"/>
  <c r="BO50" i="74"/>
  <c r="W139" i="121"/>
  <c r="W78" i="121" s="1"/>
  <c r="BO42" i="74"/>
  <c r="W131" i="121"/>
  <c r="W70" i="121" s="1"/>
  <c r="BO34" i="74"/>
  <c r="W123" i="121"/>
  <c r="W62" i="121" s="1"/>
  <c r="BO26" i="74"/>
  <c r="W115" i="121"/>
  <c r="W54" i="121" s="1"/>
  <c r="BO18" i="74"/>
  <c r="W135" i="121"/>
  <c r="W74" i="121" s="1"/>
  <c r="BO38" i="74"/>
  <c r="W150" i="121"/>
  <c r="W89" i="121" s="1"/>
  <c r="BO53" i="74"/>
  <c r="W118" i="121"/>
  <c r="W57" i="121" s="1"/>
  <c r="BO21" i="74"/>
  <c r="W149" i="121"/>
  <c r="W88" i="121" s="1"/>
  <c r="BO52" i="74"/>
  <c r="W125" i="121"/>
  <c r="W64" i="121" s="1"/>
  <c r="BO28" i="74"/>
  <c r="W154" i="121"/>
  <c r="W93" i="121" s="1"/>
  <c r="BO57" i="74"/>
  <c r="W146" i="121"/>
  <c r="W85" i="121" s="1"/>
  <c r="BO49" i="74"/>
  <c r="W138" i="121"/>
  <c r="W77" i="121" s="1"/>
  <c r="BO41" i="74"/>
  <c r="W130" i="121"/>
  <c r="W69" i="121" s="1"/>
  <c r="BO33" i="74"/>
  <c r="W122" i="121"/>
  <c r="W61" i="121" s="1"/>
  <c r="BO25" i="74"/>
  <c r="W114" i="121"/>
  <c r="W53" i="121" s="1"/>
  <c r="BO17" i="74"/>
  <c r="W109" i="121"/>
  <c r="W48" i="121" s="1"/>
  <c r="BO12" i="74"/>
  <c r="W111" i="121"/>
  <c r="W50" i="121" s="1"/>
  <c r="W142" i="121"/>
  <c r="W81" i="121" s="1"/>
  <c r="BO45" i="74"/>
  <c r="W141" i="121"/>
  <c r="W80" i="121" s="1"/>
  <c r="BO44" i="74"/>
  <c r="W44" i="121"/>
  <c r="BO8" i="74"/>
  <c r="W153" i="121"/>
  <c r="W92" i="121" s="1"/>
  <c r="BO56" i="74"/>
  <c r="W145" i="121"/>
  <c r="W84" i="121" s="1"/>
  <c r="BO48" i="74"/>
  <c r="W137" i="121"/>
  <c r="W76" i="121" s="1"/>
  <c r="BO40" i="74"/>
  <c r="W68" i="121"/>
  <c r="BO32" i="74"/>
  <c r="W121" i="121"/>
  <c r="W60" i="121" s="1"/>
  <c r="BO24" i="74"/>
  <c r="W113" i="121"/>
  <c r="W52" i="121" s="1"/>
  <c r="BO16" i="74"/>
  <c r="W151" i="121"/>
  <c r="W90" i="121" s="1"/>
  <c r="BO54" i="74"/>
  <c r="W134" i="121"/>
  <c r="W73" i="121" s="1"/>
  <c r="BO37" i="74"/>
  <c r="W157" i="121"/>
  <c r="W96" i="121" s="1"/>
  <c r="BO60" i="74"/>
  <c r="W107" i="121"/>
  <c r="W46" i="121" s="1"/>
  <c r="BO10" i="74"/>
  <c r="W152" i="121"/>
  <c r="W91" i="121" s="1"/>
  <c r="BO55" i="74"/>
  <c r="W144" i="121"/>
  <c r="W83" i="121" s="1"/>
  <c r="BO47" i="74"/>
  <c r="W136" i="121"/>
  <c r="W75" i="121" s="1"/>
  <c r="BO39" i="74"/>
  <c r="W128" i="121"/>
  <c r="W67" i="121" s="1"/>
  <c r="BO31" i="74"/>
  <c r="W120" i="121"/>
  <c r="W59" i="121" s="1"/>
  <c r="BO23" i="74"/>
  <c r="W112" i="121"/>
  <c r="W51" i="121" s="1"/>
  <c r="BO15" i="74"/>
  <c r="BZ6" i="74"/>
  <c r="CA6" i="74" s="1"/>
  <c r="K10" i="110"/>
  <c r="J10" i="110" s="1"/>
  <c r="H54" i="111"/>
  <c r="K54" i="110"/>
  <c r="J54" i="110" s="1"/>
  <c r="H22" i="111"/>
  <c r="K22" i="110"/>
  <c r="J22" i="110" s="1"/>
  <c r="H60" i="111"/>
  <c r="K60" i="110"/>
  <c r="J60" i="110" s="1"/>
  <c r="H20" i="111"/>
  <c r="K20" i="110"/>
  <c r="J20" i="110" s="1"/>
  <c r="H59" i="111"/>
  <c r="K59" i="110"/>
  <c r="J59" i="110" s="1"/>
  <c r="H51" i="111"/>
  <c r="K51" i="110"/>
  <c r="J51" i="110" s="1"/>
  <c r="H43" i="111"/>
  <c r="K43" i="110"/>
  <c r="J43" i="110" s="1"/>
  <c r="H35" i="111"/>
  <c r="K35" i="110"/>
  <c r="J35" i="110" s="1"/>
  <c r="H27" i="111"/>
  <c r="K27" i="110"/>
  <c r="J27" i="110" s="1"/>
  <c r="H19" i="111"/>
  <c r="K19" i="110"/>
  <c r="J19" i="110" s="1"/>
  <c r="H12" i="111"/>
  <c r="K12" i="110"/>
  <c r="J12" i="110" s="1"/>
  <c r="H53" i="111"/>
  <c r="K53" i="110"/>
  <c r="J53" i="110" s="1"/>
  <c r="H29" i="111"/>
  <c r="K29" i="110"/>
  <c r="J29" i="110" s="1"/>
  <c r="H52" i="111"/>
  <c r="K52" i="110"/>
  <c r="J52" i="110" s="1"/>
  <c r="H28" i="111"/>
  <c r="K28" i="110"/>
  <c r="J28" i="110" s="1"/>
  <c r="H58" i="111"/>
  <c r="K58" i="110"/>
  <c r="J58" i="110" s="1"/>
  <c r="H50" i="111"/>
  <c r="K50" i="110"/>
  <c r="J50" i="110" s="1"/>
  <c r="H42" i="111"/>
  <c r="K42" i="110"/>
  <c r="J42" i="110" s="1"/>
  <c r="H34" i="111"/>
  <c r="K34" i="110"/>
  <c r="J34" i="110" s="1"/>
  <c r="H26" i="111"/>
  <c r="K26" i="110"/>
  <c r="J26" i="110" s="1"/>
  <c r="H18" i="111"/>
  <c r="K18" i="110"/>
  <c r="J18" i="110" s="1"/>
  <c r="H62" i="111"/>
  <c r="K62" i="110"/>
  <c r="J62" i="110" s="1"/>
  <c r="H38" i="111"/>
  <c r="K38" i="110"/>
  <c r="J38" i="110" s="1"/>
  <c r="H61" i="111"/>
  <c r="K61" i="110"/>
  <c r="J61" i="110" s="1"/>
  <c r="H21" i="111"/>
  <c r="K21" i="110"/>
  <c r="J21" i="110" s="1"/>
  <c r="H36" i="111"/>
  <c r="K36" i="110"/>
  <c r="J36" i="110" s="1"/>
  <c r="H65" i="111"/>
  <c r="K65" i="110"/>
  <c r="J65" i="110" s="1"/>
  <c r="H57" i="111"/>
  <c r="K57" i="110"/>
  <c r="J57" i="110" s="1"/>
  <c r="H49" i="111"/>
  <c r="K49" i="110"/>
  <c r="J49" i="110" s="1"/>
  <c r="H41" i="111"/>
  <c r="K41" i="110"/>
  <c r="J41" i="110" s="1"/>
  <c r="H33" i="111"/>
  <c r="K33" i="110"/>
  <c r="J33" i="110" s="1"/>
  <c r="H25" i="111"/>
  <c r="K25" i="110"/>
  <c r="J25" i="110" s="1"/>
  <c r="H17" i="111"/>
  <c r="K17" i="110"/>
  <c r="J17" i="110" s="1"/>
  <c r="H30" i="111"/>
  <c r="K30" i="110"/>
  <c r="J30" i="110" s="1"/>
  <c r="H45" i="111"/>
  <c r="K45" i="110"/>
  <c r="J45" i="110" s="1"/>
  <c r="H44" i="111"/>
  <c r="K44" i="110"/>
  <c r="J44" i="110" s="1"/>
  <c r="H64" i="111"/>
  <c r="K64" i="110"/>
  <c r="J64" i="110" s="1"/>
  <c r="H56" i="111"/>
  <c r="K56" i="110"/>
  <c r="J56" i="110" s="1"/>
  <c r="H48" i="111"/>
  <c r="K48" i="110"/>
  <c r="J48" i="110" s="1"/>
  <c r="H40" i="111"/>
  <c r="K40" i="110"/>
  <c r="J40" i="110" s="1"/>
  <c r="H32" i="111"/>
  <c r="K32" i="110"/>
  <c r="J32" i="110" s="1"/>
  <c r="H24" i="111"/>
  <c r="K24" i="110"/>
  <c r="J24" i="110" s="1"/>
  <c r="H16" i="111"/>
  <c r="K16" i="110"/>
  <c r="J16" i="110" s="1"/>
  <c r="H46" i="111"/>
  <c r="K46" i="110"/>
  <c r="J46" i="110" s="1"/>
  <c r="H37" i="111"/>
  <c r="K37" i="110"/>
  <c r="J37" i="110" s="1"/>
  <c r="H63" i="111"/>
  <c r="K63" i="110"/>
  <c r="J63" i="110" s="1"/>
  <c r="H55" i="111"/>
  <c r="K55" i="110"/>
  <c r="J55" i="110" s="1"/>
  <c r="H47" i="111"/>
  <c r="K47" i="110"/>
  <c r="J47" i="110" s="1"/>
  <c r="H39" i="111"/>
  <c r="K39" i="110"/>
  <c r="J39" i="110" s="1"/>
  <c r="H31" i="111"/>
  <c r="K31" i="110"/>
  <c r="J31" i="110" s="1"/>
  <c r="H23" i="111"/>
  <c r="K23" i="110"/>
  <c r="J23" i="110" s="1"/>
  <c r="H14" i="111"/>
  <c r="K14" i="110"/>
  <c r="J14" i="110" s="1"/>
  <c r="S115" i="121"/>
  <c r="S54" i="121" s="1"/>
  <c r="S116" i="121"/>
  <c r="S55" i="121" s="1"/>
  <c r="S117" i="121"/>
  <c r="S56" i="121" s="1"/>
  <c r="H10" i="111"/>
  <c r="I57" i="119"/>
  <c r="BT54" i="74"/>
  <c r="S114" i="121"/>
  <c r="S53" i="121" s="1"/>
  <c r="S141" i="121"/>
  <c r="S80" i="121" s="1"/>
  <c r="S153" i="121"/>
  <c r="S92" i="121" s="1"/>
  <c r="S140" i="121"/>
  <c r="S79" i="121" s="1"/>
  <c r="S139" i="121"/>
  <c r="S78" i="121" s="1"/>
  <c r="S107" i="121"/>
  <c r="S46" i="121" s="1"/>
  <c r="S137" i="121"/>
  <c r="S76" i="121" s="1"/>
  <c r="S44" i="121"/>
  <c r="S152" i="121"/>
  <c r="S91" i="121" s="1"/>
  <c r="S144" i="121"/>
  <c r="S83" i="121" s="1"/>
  <c r="S136" i="121"/>
  <c r="S75" i="121" s="1"/>
  <c r="S128" i="121"/>
  <c r="S67" i="121" s="1"/>
  <c r="S120" i="121"/>
  <c r="S59" i="121" s="1"/>
  <c r="S155" i="121"/>
  <c r="S94" i="121" s="1"/>
  <c r="S123" i="121"/>
  <c r="S62" i="121" s="1"/>
  <c r="S154" i="121"/>
  <c r="S93" i="121" s="1"/>
  <c r="S130" i="121"/>
  <c r="S69" i="121" s="1"/>
  <c r="S68" i="121"/>
  <c r="S143" i="121"/>
  <c r="S82" i="121" s="1"/>
  <c r="S111" i="121"/>
  <c r="S50" i="121" s="1"/>
  <c r="S132" i="121"/>
  <c r="S71" i="121" s="1"/>
  <c r="S150" i="121"/>
  <c r="S89" i="121" s="1"/>
  <c r="S142" i="121"/>
  <c r="S81" i="121" s="1"/>
  <c r="S134" i="121"/>
  <c r="S73" i="121" s="1"/>
  <c r="S126" i="121"/>
  <c r="S65" i="121" s="1"/>
  <c r="S118" i="121"/>
  <c r="S57" i="121" s="1"/>
  <c r="S110" i="121"/>
  <c r="S49" i="121" s="1"/>
  <c r="S146" i="121"/>
  <c r="S85" i="121" s="1"/>
  <c r="S138" i="121"/>
  <c r="S77" i="121" s="1"/>
  <c r="S122" i="121"/>
  <c r="S61" i="121" s="1"/>
  <c r="S151" i="121"/>
  <c r="S90" i="121" s="1"/>
  <c r="S135" i="121"/>
  <c r="S74" i="121" s="1"/>
  <c r="S119" i="121"/>
  <c r="S58" i="121" s="1"/>
  <c r="S157" i="121"/>
  <c r="S96" i="121" s="1"/>
  <c r="S149" i="121"/>
  <c r="S88" i="121" s="1"/>
  <c r="S133" i="121"/>
  <c r="S72" i="121" s="1"/>
  <c r="S125" i="121"/>
  <c r="S64" i="121" s="1"/>
  <c r="S109" i="121"/>
  <c r="S48" i="121" s="1"/>
  <c r="S147" i="121"/>
  <c r="S86" i="121" s="1"/>
  <c r="S131" i="121"/>
  <c r="S70" i="121" s="1"/>
  <c r="S145" i="121"/>
  <c r="S84" i="121" s="1"/>
  <c r="S121" i="121"/>
  <c r="S60" i="121" s="1"/>
  <c r="S127" i="121"/>
  <c r="S66" i="121" s="1"/>
  <c r="S148" i="121"/>
  <c r="S87" i="121" s="1"/>
  <c r="S124" i="121"/>
  <c r="S63" i="121" s="1"/>
  <c r="BT60" i="74"/>
  <c r="BU60" i="74" s="1"/>
  <c r="BV60" i="74" s="1"/>
  <c r="W103" i="121"/>
  <c r="W42" i="121" s="1"/>
  <c r="W43" i="121" s="1"/>
  <c r="S103" i="121"/>
  <c r="S42" i="121" s="1"/>
  <c r="BU20" i="74"/>
  <c r="BV20" i="74" s="1"/>
  <c r="BU14" i="74"/>
  <c r="BV14" i="74" s="1"/>
  <c r="BU6" i="74"/>
  <c r="BV6" i="74" s="1"/>
  <c r="BU15" i="74"/>
  <c r="BV15" i="74" s="1"/>
  <c r="BU12" i="74"/>
  <c r="BV12" i="74" s="1"/>
  <c r="BU10" i="74"/>
  <c r="BV10" i="74" s="1"/>
  <c r="BU16" i="74"/>
  <c r="BV16" i="74" s="1"/>
  <c r="BU19" i="74"/>
  <c r="BV19" i="74" s="1"/>
  <c r="BU17" i="74"/>
  <c r="BV17" i="74" s="1"/>
  <c r="BU21" i="74"/>
  <c r="BV21" i="74" s="1"/>
  <c r="BU13" i="74"/>
  <c r="BV13" i="74" s="1"/>
  <c r="BU18" i="74"/>
  <c r="BV18" i="74" s="1"/>
  <c r="BU8" i="74"/>
  <c r="BV8" i="74" s="1"/>
  <c r="AV6" i="74"/>
  <c r="AV8" i="74"/>
  <c r="AV10" i="74"/>
  <c r="AV12" i="74"/>
  <c r="AV13" i="74"/>
  <c r="AV14" i="74"/>
  <c r="AV15" i="74"/>
  <c r="AV16" i="74"/>
  <c r="AV17" i="74"/>
  <c r="AV18" i="74"/>
  <c r="AV19" i="74"/>
  <c r="AV20" i="74"/>
  <c r="AV21" i="74"/>
  <c r="AV22" i="74"/>
  <c r="AV23" i="74"/>
  <c r="AV24" i="74"/>
  <c r="AV25" i="74"/>
  <c r="AV26" i="74"/>
  <c r="AV27" i="74"/>
  <c r="AV28" i="74"/>
  <c r="AV29" i="74"/>
  <c r="AV30" i="74"/>
  <c r="AV31" i="74"/>
  <c r="AV32" i="74"/>
  <c r="AV33" i="74"/>
  <c r="AV34" i="74"/>
  <c r="AV35" i="74"/>
  <c r="AV36" i="74"/>
  <c r="AV37" i="74"/>
  <c r="AV38" i="74"/>
  <c r="AV39" i="74"/>
  <c r="AV40" i="74"/>
  <c r="AV41" i="74"/>
  <c r="AV42" i="74"/>
  <c r="AV43" i="74"/>
  <c r="AV44" i="74"/>
  <c r="AV45" i="74"/>
  <c r="AV46" i="74"/>
  <c r="AV47" i="74"/>
  <c r="AV48" i="74"/>
  <c r="AV49" i="74"/>
  <c r="AV50" i="74"/>
  <c r="AV51" i="74"/>
  <c r="AV52" i="74"/>
  <c r="AV53" i="74"/>
  <c r="AV54" i="74"/>
  <c r="AV55" i="74"/>
  <c r="AV56" i="74"/>
  <c r="AV57" i="74"/>
  <c r="AV58" i="74"/>
  <c r="AV59" i="74"/>
  <c r="AV60" i="74"/>
  <c r="AV61" i="74"/>
  <c r="F64" i="119"/>
  <c r="F63" i="119"/>
  <c r="G63" i="119" s="1"/>
  <c r="F62" i="119"/>
  <c r="BT59" i="74"/>
  <c r="BU59" i="74" s="1"/>
  <c r="BV59" i="74" s="1"/>
  <c r="F61" i="119"/>
  <c r="F60" i="119"/>
  <c r="BT57" i="74"/>
  <c r="BU57" i="74" s="1"/>
  <c r="BV57" i="74" s="1"/>
  <c r="E60" i="119"/>
  <c r="G60" i="119" s="1"/>
  <c r="A60" i="119"/>
  <c r="A61" i="119" s="1"/>
  <c r="A62" i="119" s="1"/>
  <c r="A63" i="119" s="1"/>
  <c r="A64" i="119" s="1"/>
  <c r="F59" i="119"/>
  <c r="F58" i="119"/>
  <c r="BT55" i="74"/>
  <c r="BU55" i="74" s="1"/>
  <c r="BV55" i="74" s="1"/>
  <c r="F57" i="119"/>
  <c r="F56" i="119"/>
  <c r="F55" i="119"/>
  <c r="BT52" i="74"/>
  <c r="BU52" i="74" s="1"/>
  <c r="BV52" i="74" s="1"/>
  <c r="F54" i="119"/>
  <c r="F53" i="119"/>
  <c r="BT50" i="74"/>
  <c r="BU50" i="74" s="1"/>
  <c r="BV50" i="74" s="1"/>
  <c r="F52" i="119"/>
  <c r="A52" i="119"/>
  <c r="A53" i="119" s="1"/>
  <c r="F51" i="119"/>
  <c r="F50" i="119"/>
  <c r="F49" i="119"/>
  <c r="F48" i="119"/>
  <c r="BT45" i="74"/>
  <c r="BU45" i="74" s="1"/>
  <c r="BV45" i="74" s="1"/>
  <c r="E48" i="119"/>
  <c r="F47" i="119"/>
  <c r="BT44" i="74"/>
  <c r="BU44" i="74" s="1"/>
  <c r="BV44" i="74" s="1"/>
  <c r="F46" i="119"/>
  <c r="BT43" i="74"/>
  <c r="BU43" i="74" s="1"/>
  <c r="BV43" i="74" s="1"/>
  <c r="E46" i="119"/>
  <c r="G46" i="119" s="1"/>
  <c r="F45" i="119"/>
  <c r="F44" i="119"/>
  <c r="F43" i="119"/>
  <c r="BT40" i="74"/>
  <c r="BU40" i="74" s="1"/>
  <c r="BV40" i="74" s="1"/>
  <c r="E43" i="119"/>
  <c r="G43" i="119" s="1"/>
  <c r="F42" i="119"/>
  <c r="F41" i="119"/>
  <c r="F40" i="119"/>
  <c r="BT37" i="74"/>
  <c r="BU37" i="74" s="1"/>
  <c r="BV37" i="74" s="1"/>
  <c r="F39" i="119"/>
  <c r="BT36" i="74"/>
  <c r="BU36" i="74" s="1"/>
  <c r="BV36" i="74" s="1"/>
  <c r="F38" i="119"/>
  <c r="BT35" i="74"/>
  <c r="BU35" i="74" s="1"/>
  <c r="BV35" i="74" s="1"/>
  <c r="F37" i="119"/>
  <c r="F36" i="119"/>
  <c r="BT33" i="74"/>
  <c r="BU33" i="74" s="1"/>
  <c r="BV33" i="74" s="1"/>
  <c r="E36" i="119"/>
  <c r="G36" i="119" s="1"/>
  <c r="F35" i="119"/>
  <c r="BT32" i="74"/>
  <c r="BU32" i="74" s="1"/>
  <c r="BV32" i="74" s="1"/>
  <c r="F34" i="119"/>
  <c r="F33" i="119"/>
  <c r="BT30" i="74"/>
  <c r="BU30" i="74" s="1"/>
  <c r="BV30" i="74" s="1"/>
  <c r="F32" i="119"/>
  <c r="F31" i="119"/>
  <c r="BT28" i="74"/>
  <c r="BU28" i="74" s="1"/>
  <c r="BV28" i="74" s="1"/>
  <c r="F30" i="119"/>
  <c r="F29" i="119"/>
  <c r="BT25" i="74"/>
  <c r="BU25" i="74" s="1"/>
  <c r="BV25" i="74" s="1"/>
  <c r="F27" i="119"/>
  <c r="BT24" i="74"/>
  <c r="BU24" i="74" s="1"/>
  <c r="BV24" i="74" s="1"/>
  <c r="F26" i="119"/>
  <c r="F25" i="119"/>
  <c r="G25" i="119" s="1"/>
  <c r="BT22" i="74"/>
  <c r="BU22" i="74" s="1"/>
  <c r="BV22" i="74" s="1"/>
  <c r="F24" i="119"/>
  <c r="E24" i="119"/>
  <c r="G24" i="119" s="1"/>
  <c r="F23" i="119"/>
  <c r="E23" i="119"/>
  <c r="G23" i="119" s="1"/>
  <c r="F22" i="119"/>
  <c r="E22" i="119"/>
  <c r="F21" i="119"/>
  <c r="E21" i="119"/>
  <c r="G21" i="119" s="1"/>
  <c r="F20" i="119"/>
  <c r="E20" i="119"/>
  <c r="G20" i="119" s="1"/>
  <c r="F19" i="119"/>
  <c r="E19" i="119"/>
  <c r="G19" i="119" s="1"/>
  <c r="F18" i="119"/>
  <c r="E18" i="119"/>
  <c r="F17" i="119"/>
  <c r="E17" i="119"/>
  <c r="G17" i="119" s="1"/>
  <c r="F16" i="119"/>
  <c r="E16" i="119"/>
  <c r="G16" i="119" s="1"/>
  <c r="F14" i="119"/>
  <c r="E14" i="119"/>
  <c r="G14" i="119" s="1"/>
  <c r="F13" i="119"/>
  <c r="E13" i="119"/>
  <c r="F12" i="119"/>
  <c r="E12" i="119"/>
  <c r="G12" i="119" s="1"/>
  <c r="F11" i="119"/>
  <c r="E11" i="119"/>
  <c r="G11" i="119" s="1"/>
  <c r="F10" i="119"/>
  <c r="E10" i="119"/>
  <c r="G10" i="119" s="1"/>
  <c r="N64" i="87" s="1"/>
  <c r="E9" i="119"/>
  <c r="AS6" i="74"/>
  <c r="AW6" i="74" s="1"/>
  <c r="AK13" i="74"/>
  <c r="AK14" i="74"/>
  <c r="AK15" i="74"/>
  <c r="AK16" i="74"/>
  <c r="AK17" i="74"/>
  <c r="AK18" i="74"/>
  <c r="AK19" i="74"/>
  <c r="AK20" i="74"/>
  <c r="AK21" i="74"/>
  <c r="AK22" i="74"/>
  <c r="AK23" i="74"/>
  <c r="AK24" i="74"/>
  <c r="AK25" i="74"/>
  <c r="AK26" i="74"/>
  <c r="AK27" i="74"/>
  <c r="AK28" i="74"/>
  <c r="AK29" i="74"/>
  <c r="AK30" i="74"/>
  <c r="AK31" i="74"/>
  <c r="AK32" i="74"/>
  <c r="AK33" i="74"/>
  <c r="AK34" i="74"/>
  <c r="AK35" i="74"/>
  <c r="AK36" i="74"/>
  <c r="AK37" i="74"/>
  <c r="AK38" i="74"/>
  <c r="AK39" i="74"/>
  <c r="AK40" i="74"/>
  <c r="AK41" i="74"/>
  <c r="AK42" i="74"/>
  <c r="AK43" i="74"/>
  <c r="AK44" i="74"/>
  <c r="AK45" i="74"/>
  <c r="AK46" i="74"/>
  <c r="AK47" i="74"/>
  <c r="AK48" i="74"/>
  <c r="AK49" i="74"/>
  <c r="AK50" i="74"/>
  <c r="AK51" i="74"/>
  <c r="AK52" i="74"/>
  <c r="AK53" i="74"/>
  <c r="AK54" i="74"/>
  <c r="AK55" i="74"/>
  <c r="AK56" i="74"/>
  <c r="AK57" i="74"/>
  <c r="AK58" i="74"/>
  <c r="AK59" i="74"/>
  <c r="AK60" i="74"/>
  <c r="AK61" i="74"/>
  <c r="AK12" i="74"/>
  <c r="AK10" i="74"/>
  <c r="AK8" i="74"/>
  <c r="CT60" i="74"/>
  <c r="CQ60" i="74"/>
  <c r="CQ61" i="74"/>
  <c r="BX60" i="74"/>
  <c r="BX61" i="74"/>
  <c r="BQ60" i="74"/>
  <c r="BQ61" i="74"/>
  <c r="A64" i="87"/>
  <c r="A66" i="87"/>
  <c r="A68" i="87"/>
  <c r="G13" i="119" l="1"/>
  <c r="G18" i="119"/>
  <c r="F19" i="110" s="1"/>
  <c r="G22" i="119"/>
  <c r="G48" i="119"/>
  <c r="A223" i="87"/>
  <c r="I430" i="87"/>
  <c r="A367" i="87"/>
  <c r="H163" i="87"/>
  <c r="BZ54" i="74"/>
  <c r="CA54" i="74" s="1"/>
  <c r="W45" i="121"/>
  <c r="W47" i="121"/>
  <c r="A63" i="87"/>
  <c r="S158" i="121"/>
  <c r="S97" i="121" s="1"/>
  <c r="BU54" i="74"/>
  <c r="BV54" i="74" s="1"/>
  <c r="S156" i="121"/>
  <c r="S95" i="121" s="1"/>
  <c r="F26" i="110"/>
  <c r="S45" i="121"/>
  <c r="S43" i="121"/>
  <c r="S47" i="121"/>
  <c r="F64" i="110"/>
  <c r="F12" i="110"/>
  <c r="N66" i="87"/>
  <c r="F16" i="110"/>
  <c r="F20" i="110"/>
  <c r="F24" i="110"/>
  <c r="F44" i="110"/>
  <c r="F17" i="110"/>
  <c r="F21" i="110"/>
  <c r="F25" i="110"/>
  <c r="F49" i="110"/>
  <c r="F14" i="110"/>
  <c r="F18" i="110"/>
  <c r="F22" i="110"/>
  <c r="F37" i="110"/>
  <c r="N68" i="87"/>
  <c r="F23" i="110"/>
  <c r="F47" i="110"/>
  <c r="F61" i="110"/>
  <c r="E33" i="119"/>
  <c r="E47" i="119"/>
  <c r="E39" i="119"/>
  <c r="E62" i="119"/>
  <c r="O103" i="121"/>
  <c r="O42" i="121" s="1"/>
  <c r="BZ25" i="74"/>
  <c r="Y122" i="121" s="1"/>
  <c r="Y61" i="121" s="1"/>
  <c r="AB61" i="121" s="1"/>
  <c r="AF61" i="121" s="1"/>
  <c r="BT41" i="74"/>
  <c r="BU41" i="74" s="1"/>
  <c r="BV41" i="74" s="1"/>
  <c r="BT47" i="74"/>
  <c r="BU47" i="74" s="1"/>
  <c r="BV47" i="74" s="1"/>
  <c r="BV56" i="74"/>
  <c r="BT29" i="74"/>
  <c r="BU29" i="74" s="1"/>
  <c r="BV29" i="74" s="1"/>
  <c r="BT38" i="74"/>
  <c r="BU38" i="74" s="1"/>
  <c r="BV38" i="74" s="1"/>
  <c r="BT53" i="74"/>
  <c r="BU53" i="74" s="1"/>
  <c r="BV53" i="74" s="1"/>
  <c r="BT23" i="74"/>
  <c r="BU23" i="74" s="1"/>
  <c r="BV23" i="74" s="1"/>
  <c r="BT26" i="74"/>
  <c r="BU26" i="74" s="1"/>
  <c r="BV26" i="74" s="1"/>
  <c r="BT49" i="74"/>
  <c r="BU49" i="74" s="1"/>
  <c r="BV49" i="74" s="1"/>
  <c r="BT39" i="74"/>
  <c r="BU39" i="74" s="1"/>
  <c r="BV39" i="74" s="1"/>
  <c r="BT42" i="74"/>
  <c r="BU42" i="74" s="1"/>
  <c r="BV42" i="74" s="1"/>
  <c r="BT48" i="74"/>
  <c r="BU48" i="74" s="1"/>
  <c r="BV48" i="74" s="1"/>
  <c r="E57" i="119"/>
  <c r="G57" i="119" s="1"/>
  <c r="BT27" i="74"/>
  <c r="BU27" i="74" s="1"/>
  <c r="BV27" i="74" s="1"/>
  <c r="BT51" i="74"/>
  <c r="BU51" i="74" s="1"/>
  <c r="BV51" i="74" s="1"/>
  <c r="BT31" i="74"/>
  <c r="BU31" i="74" s="1"/>
  <c r="BV31" i="74" s="1"/>
  <c r="BT34" i="74"/>
  <c r="BU34" i="74" s="1"/>
  <c r="BV34" i="74" s="1"/>
  <c r="BT46" i="74"/>
  <c r="BU46" i="74" s="1"/>
  <c r="BV46" i="74" s="1"/>
  <c r="BT58" i="74"/>
  <c r="BU58" i="74" s="1"/>
  <c r="BV58" i="74" s="1"/>
  <c r="BT61" i="74"/>
  <c r="BU61" i="74" s="1"/>
  <c r="BV61" i="74" s="1"/>
  <c r="L18" i="74"/>
  <c r="L19" i="74"/>
  <c r="L20" i="74"/>
  <c r="L21" i="74"/>
  <c r="L22" i="74"/>
  <c r="L23" i="74"/>
  <c r="L24" i="74"/>
  <c r="L25" i="74"/>
  <c r="L26" i="74"/>
  <c r="L27" i="74"/>
  <c r="L28" i="74"/>
  <c r="L29" i="74"/>
  <c r="L30" i="74"/>
  <c r="L31" i="74"/>
  <c r="L32" i="74"/>
  <c r="L33" i="74"/>
  <c r="L34" i="74"/>
  <c r="L35" i="74"/>
  <c r="L36" i="74"/>
  <c r="L37" i="74"/>
  <c r="L38" i="74"/>
  <c r="L39" i="74"/>
  <c r="L40" i="74"/>
  <c r="L41" i="74"/>
  <c r="L42" i="74"/>
  <c r="L43" i="74"/>
  <c r="L44" i="74"/>
  <c r="L45" i="74"/>
  <c r="L46" i="74"/>
  <c r="L47" i="74"/>
  <c r="L48" i="74"/>
  <c r="L49" i="74"/>
  <c r="L50" i="74"/>
  <c r="L51" i="74"/>
  <c r="L52" i="74"/>
  <c r="L53" i="74"/>
  <c r="L54" i="74"/>
  <c r="L55" i="74"/>
  <c r="L56" i="74"/>
  <c r="L57" i="74"/>
  <c r="L58" i="74"/>
  <c r="L59" i="74"/>
  <c r="L60" i="74"/>
  <c r="L61" i="74"/>
  <c r="L17" i="74"/>
  <c r="K13" i="74"/>
  <c r="K14" i="74"/>
  <c r="K15" i="74"/>
  <c r="K16" i="74"/>
  <c r="K17" i="74"/>
  <c r="K18" i="74"/>
  <c r="K19" i="74"/>
  <c r="K20" i="74"/>
  <c r="K21" i="74"/>
  <c r="K22" i="74"/>
  <c r="K23" i="74"/>
  <c r="K24" i="74"/>
  <c r="K25" i="74"/>
  <c r="K26" i="74"/>
  <c r="K27" i="74"/>
  <c r="K28" i="74"/>
  <c r="K29" i="74"/>
  <c r="K30" i="74"/>
  <c r="K31" i="74"/>
  <c r="K32" i="74"/>
  <c r="K33" i="74"/>
  <c r="K34" i="74"/>
  <c r="K35" i="74"/>
  <c r="K36" i="74"/>
  <c r="K37" i="74"/>
  <c r="K38" i="74"/>
  <c r="K39" i="74"/>
  <c r="K40" i="74"/>
  <c r="K41" i="74"/>
  <c r="K42" i="74"/>
  <c r="K43" i="74"/>
  <c r="K44" i="74"/>
  <c r="K45" i="74"/>
  <c r="K46" i="74"/>
  <c r="K47" i="74"/>
  <c r="K48" i="74"/>
  <c r="K49" i="74"/>
  <c r="K50" i="74"/>
  <c r="K51" i="74"/>
  <c r="K52" i="74"/>
  <c r="K53" i="74"/>
  <c r="K54" i="74"/>
  <c r="K55" i="74"/>
  <c r="K56" i="74"/>
  <c r="K57" i="74"/>
  <c r="K58" i="74"/>
  <c r="K59" i="74"/>
  <c r="K60" i="74"/>
  <c r="K61" i="74"/>
  <c r="K12" i="74"/>
  <c r="K10" i="74"/>
  <c r="K8" i="74"/>
  <c r="J18" i="74"/>
  <c r="J19" i="74"/>
  <c r="J20" i="74"/>
  <c r="J21" i="74"/>
  <c r="J22" i="74"/>
  <c r="J23" i="74"/>
  <c r="J24" i="74"/>
  <c r="J25" i="74"/>
  <c r="J26" i="74"/>
  <c r="J27" i="74"/>
  <c r="J28" i="74"/>
  <c r="J29" i="74"/>
  <c r="J30" i="74"/>
  <c r="J31" i="74"/>
  <c r="J32" i="74"/>
  <c r="J33" i="74"/>
  <c r="J34" i="74"/>
  <c r="J35" i="74"/>
  <c r="J36" i="74"/>
  <c r="J37" i="74"/>
  <c r="J38" i="74"/>
  <c r="J39" i="74"/>
  <c r="J40" i="74"/>
  <c r="J41" i="74"/>
  <c r="J42" i="74"/>
  <c r="J43" i="74"/>
  <c r="J44" i="74"/>
  <c r="J45" i="74"/>
  <c r="J46" i="74"/>
  <c r="J47" i="74"/>
  <c r="J48" i="74"/>
  <c r="J49" i="74"/>
  <c r="J50" i="74"/>
  <c r="J51" i="74"/>
  <c r="J52" i="74"/>
  <c r="J53" i="74"/>
  <c r="J54" i="74"/>
  <c r="J55" i="74"/>
  <c r="J56" i="74"/>
  <c r="J57" i="74"/>
  <c r="J58" i="74"/>
  <c r="J59" i="74"/>
  <c r="J60" i="74"/>
  <c r="J61" i="74"/>
  <c r="J17" i="74"/>
  <c r="H19" i="74"/>
  <c r="H20" i="74"/>
  <c r="H21" i="74"/>
  <c r="H22" i="74"/>
  <c r="H23" i="74"/>
  <c r="H24" i="74"/>
  <c r="H25" i="74"/>
  <c r="H26" i="74"/>
  <c r="H27" i="74"/>
  <c r="H28" i="74"/>
  <c r="H29" i="74"/>
  <c r="H30" i="74"/>
  <c r="H31" i="74"/>
  <c r="H32" i="74"/>
  <c r="H33" i="74"/>
  <c r="H34" i="74"/>
  <c r="H35" i="74"/>
  <c r="H36" i="74"/>
  <c r="H37" i="74"/>
  <c r="H38" i="74"/>
  <c r="H39" i="74"/>
  <c r="H40" i="74"/>
  <c r="H41" i="74"/>
  <c r="H42" i="74"/>
  <c r="H43" i="74"/>
  <c r="H44" i="74"/>
  <c r="H45" i="74"/>
  <c r="H46" i="74"/>
  <c r="H47" i="74"/>
  <c r="H48" i="74"/>
  <c r="H49" i="74"/>
  <c r="H50" i="74"/>
  <c r="H51" i="74"/>
  <c r="H52" i="74"/>
  <c r="H53" i="74"/>
  <c r="H54" i="74"/>
  <c r="H55" i="74"/>
  <c r="H56" i="74"/>
  <c r="H57" i="74"/>
  <c r="H58" i="74"/>
  <c r="H59" i="74"/>
  <c r="H60" i="74"/>
  <c r="H61" i="74"/>
  <c r="H18" i="74"/>
  <c r="F32" i="74"/>
  <c r="F31" i="74"/>
  <c r="F30" i="74"/>
  <c r="F29" i="74"/>
  <c r="F28" i="74"/>
  <c r="F27" i="74"/>
  <c r="F26" i="74"/>
  <c r="F25" i="74"/>
  <c r="F24" i="74"/>
  <c r="F23" i="74"/>
  <c r="F22" i="74"/>
  <c r="F21" i="74"/>
  <c r="F20" i="74"/>
  <c r="F19" i="74"/>
  <c r="F18" i="74"/>
  <c r="F17" i="74"/>
  <c r="F16" i="74"/>
  <c r="F15" i="74"/>
  <c r="O15" i="74" s="1"/>
  <c r="F14" i="74"/>
  <c r="F13" i="74"/>
  <c r="O13" i="74" s="1"/>
  <c r="F12" i="74"/>
  <c r="F10" i="74"/>
  <c r="O10" i="74" s="1"/>
  <c r="F8" i="74"/>
  <c r="O8" i="74" s="1"/>
  <c r="F6" i="74"/>
  <c r="I22" i="74"/>
  <c r="I23" i="74"/>
  <c r="I24" i="74"/>
  <c r="I25" i="74"/>
  <c r="I26" i="74"/>
  <c r="I27" i="74"/>
  <c r="I28" i="74"/>
  <c r="I29" i="74"/>
  <c r="I30" i="74"/>
  <c r="I31" i="74"/>
  <c r="I32" i="74"/>
  <c r="I33" i="74"/>
  <c r="I34" i="74"/>
  <c r="I35" i="74"/>
  <c r="I36" i="74"/>
  <c r="I37" i="74"/>
  <c r="I38" i="74"/>
  <c r="I39" i="74"/>
  <c r="I40" i="74"/>
  <c r="I41" i="74"/>
  <c r="I42" i="74"/>
  <c r="I43" i="74"/>
  <c r="I44" i="74"/>
  <c r="I45" i="74"/>
  <c r="I46" i="74"/>
  <c r="I47" i="74"/>
  <c r="I48" i="74"/>
  <c r="I49" i="74"/>
  <c r="I50" i="74"/>
  <c r="I51" i="74"/>
  <c r="I52" i="74"/>
  <c r="I53" i="74"/>
  <c r="I54" i="74"/>
  <c r="I55" i="74"/>
  <c r="I56" i="74"/>
  <c r="I57" i="74"/>
  <c r="I58" i="74"/>
  <c r="I59" i="74"/>
  <c r="I60" i="74"/>
  <c r="I61" i="74"/>
  <c r="I21" i="74"/>
  <c r="A224" i="87" l="1"/>
  <c r="I431" i="87"/>
  <c r="A368" i="87"/>
  <c r="H164" i="87"/>
  <c r="G62" i="119"/>
  <c r="F63" i="110" s="1"/>
  <c r="G39" i="119"/>
  <c r="F40" i="110" s="1"/>
  <c r="G47" i="119"/>
  <c r="F48" i="110" s="1"/>
  <c r="G33" i="119"/>
  <c r="F34" i="110" s="1"/>
  <c r="O14" i="74"/>
  <c r="O16" i="74"/>
  <c r="P16" i="74" s="1"/>
  <c r="P8" i="74"/>
  <c r="M105" i="121"/>
  <c r="P15" i="74"/>
  <c r="M112" i="121"/>
  <c r="P14" i="74"/>
  <c r="M111" i="121"/>
  <c r="P10" i="74"/>
  <c r="P13" i="74"/>
  <c r="M110" i="121"/>
  <c r="O21" i="74"/>
  <c r="O29" i="74"/>
  <c r="O58" i="74"/>
  <c r="O50" i="74"/>
  <c r="O42" i="74"/>
  <c r="O34" i="74"/>
  <c r="O22" i="74"/>
  <c r="O41" i="74"/>
  <c r="O56" i="74"/>
  <c r="O47" i="74"/>
  <c r="O6" i="74"/>
  <c r="O25" i="74"/>
  <c r="O54" i="74"/>
  <c r="O46" i="74"/>
  <c r="O38" i="74"/>
  <c r="O30" i="74"/>
  <c r="O49" i="74"/>
  <c r="O23" i="74"/>
  <c r="O48" i="74"/>
  <c r="O24" i="74"/>
  <c r="O55" i="74"/>
  <c r="O17" i="74"/>
  <c r="O18" i="74"/>
  <c r="O26" i="74"/>
  <c r="O61" i="74"/>
  <c r="O53" i="74"/>
  <c r="O45" i="74"/>
  <c r="O37" i="74"/>
  <c r="O57" i="74"/>
  <c r="O33" i="74"/>
  <c r="O31" i="74"/>
  <c r="O40" i="74"/>
  <c r="O32" i="74"/>
  <c r="O39" i="74"/>
  <c r="O19" i="74"/>
  <c r="O27" i="74"/>
  <c r="O60" i="74"/>
  <c r="O52" i="74"/>
  <c r="O44" i="74"/>
  <c r="O36" i="74"/>
  <c r="O12" i="74"/>
  <c r="O20" i="74"/>
  <c r="O28" i="74"/>
  <c r="O59" i="74"/>
  <c r="O51" i="74"/>
  <c r="O43" i="74"/>
  <c r="O35" i="74"/>
  <c r="F58" i="110"/>
  <c r="E56" i="119"/>
  <c r="E28" i="119"/>
  <c r="E30" i="119"/>
  <c r="E26" i="119"/>
  <c r="E38" i="119"/>
  <c r="E64" i="119"/>
  <c r="G64" i="119" s="1"/>
  <c r="E35" i="119"/>
  <c r="E61" i="119"/>
  <c r="E34" i="119"/>
  <c r="E53" i="119"/>
  <c r="E50" i="119"/>
  <c r="E58" i="119"/>
  <c r="E37" i="119"/>
  <c r="E27" i="119"/>
  <c r="E59" i="119"/>
  <c r="E55" i="119"/>
  <c r="E31" i="119"/>
  <c r="E52" i="119"/>
  <c r="E42" i="119"/>
  <c r="E51" i="119"/>
  <c r="E41" i="119"/>
  <c r="E44" i="119"/>
  <c r="E49" i="119"/>
  <c r="E54" i="119"/>
  <c r="E29" i="119"/>
  <c r="E40" i="119"/>
  <c r="E45" i="119"/>
  <c r="E32" i="119"/>
  <c r="B63" i="119"/>
  <c r="G49" i="119" l="1"/>
  <c r="F50" i="110" s="1"/>
  <c r="G59" i="119"/>
  <c r="F60" i="110" s="1"/>
  <c r="G35" i="119"/>
  <c r="F36" i="110" s="1"/>
  <c r="G44" i="119"/>
  <c r="F45" i="110" s="1"/>
  <c r="G27" i="119"/>
  <c r="F28" i="110" s="1"/>
  <c r="G41" i="119"/>
  <c r="F42" i="110" s="1"/>
  <c r="G37" i="119"/>
  <c r="F38" i="110" s="1"/>
  <c r="G38" i="119"/>
  <c r="F39" i="110" s="1"/>
  <c r="G55" i="119"/>
  <c r="F56" i="110" s="1"/>
  <c r="G32" i="119"/>
  <c r="F33" i="110" s="1"/>
  <c r="G58" i="119"/>
  <c r="F59" i="110" s="1"/>
  <c r="G50" i="119"/>
  <c r="F51" i="110" s="1"/>
  <c r="G54" i="119"/>
  <c r="F55" i="110" s="1"/>
  <c r="G61" i="119"/>
  <c r="F62" i="110" s="1"/>
  <c r="G51" i="119"/>
  <c r="F52" i="110" s="1"/>
  <c r="G26" i="119"/>
  <c r="F27" i="110" s="1"/>
  <c r="G45" i="119"/>
  <c r="F46" i="110" s="1"/>
  <c r="G42" i="119"/>
  <c r="F43" i="110" s="1"/>
  <c r="G30" i="119"/>
  <c r="F31" i="110" s="1"/>
  <c r="G40" i="119"/>
  <c r="F41" i="110" s="1"/>
  <c r="G52" i="119"/>
  <c r="F53" i="110" s="1"/>
  <c r="G53" i="119"/>
  <c r="F54" i="110" s="1"/>
  <c r="G28" i="119"/>
  <c r="F29" i="110" s="1"/>
  <c r="F30" i="110"/>
  <c r="G29" i="119"/>
  <c r="G31" i="119"/>
  <c r="F32" i="110" s="1"/>
  <c r="F35" i="110"/>
  <c r="G34" i="119"/>
  <c r="F57" i="110"/>
  <c r="G56" i="119"/>
  <c r="A225" i="87"/>
  <c r="I432" i="87"/>
  <c r="A369" i="87"/>
  <c r="H165" i="87"/>
  <c r="M113" i="121"/>
  <c r="F65" i="110"/>
  <c r="B64" i="119"/>
  <c r="CB61" i="74" s="1"/>
  <c r="P27" i="74"/>
  <c r="M124" i="121"/>
  <c r="P25" i="74"/>
  <c r="M122" i="121"/>
  <c r="P19" i="74"/>
  <c r="M116" i="121"/>
  <c r="P6" i="74"/>
  <c r="P39" i="74"/>
  <c r="M136" i="121"/>
  <c r="P29" i="74"/>
  <c r="M126" i="121"/>
  <c r="P36" i="74"/>
  <c r="M133" i="121"/>
  <c r="P59" i="74"/>
  <c r="M156" i="121"/>
  <c r="P24" i="74"/>
  <c r="M121" i="121"/>
  <c r="P45" i="74"/>
  <c r="M142" i="121"/>
  <c r="P58" i="74"/>
  <c r="M155" i="121"/>
  <c r="P20" i="74"/>
  <c r="M117" i="121"/>
  <c r="P23" i="74"/>
  <c r="M120" i="121"/>
  <c r="P12" i="74"/>
  <c r="M109" i="121"/>
  <c r="P61" i="74"/>
  <c r="M158" i="121"/>
  <c r="P56" i="74"/>
  <c r="M153" i="121"/>
  <c r="P40" i="74"/>
  <c r="M137" i="121"/>
  <c r="P30" i="74"/>
  <c r="M127" i="121"/>
  <c r="P35" i="74"/>
  <c r="M132" i="121"/>
  <c r="P31" i="74"/>
  <c r="M128" i="121"/>
  <c r="P38" i="74"/>
  <c r="M135" i="121"/>
  <c r="P43" i="74"/>
  <c r="M140" i="121"/>
  <c r="P33" i="74"/>
  <c r="M130" i="121"/>
  <c r="P17" i="74"/>
  <c r="M114" i="121"/>
  <c r="P46" i="74"/>
  <c r="M143" i="121"/>
  <c r="P34" i="74"/>
  <c r="M131" i="121"/>
  <c r="P37" i="74"/>
  <c r="M134" i="121"/>
  <c r="P50" i="74"/>
  <c r="M147" i="121"/>
  <c r="P28" i="74"/>
  <c r="M125" i="121"/>
  <c r="P48" i="74"/>
  <c r="M145" i="121"/>
  <c r="P53" i="74"/>
  <c r="M150" i="121"/>
  <c r="P47" i="74"/>
  <c r="M144" i="121"/>
  <c r="P32" i="74"/>
  <c r="M129" i="121"/>
  <c r="P49" i="74"/>
  <c r="M146" i="121"/>
  <c r="P21" i="74"/>
  <c r="M118" i="121"/>
  <c r="P26" i="74"/>
  <c r="M123" i="121"/>
  <c r="P41" i="74"/>
  <c r="M138" i="121"/>
  <c r="P44" i="74"/>
  <c r="M141" i="121"/>
  <c r="P18" i="74"/>
  <c r="M115" i="121"/>
  <c r="P22" i="74"/>
  <c r="M119" i="121"/>
  <c r="P52" i="74"/>
  <c r="M149" i="121"/>
  <c r="P51" i="74"/>
  <c r="M148" i="121"/>
  <c r="P60" i="74"/>
  <c r="M157" i="121"/>
  <c r="P57" i="74"/>
  <c r="M154" i="121"/>
  <c r="P55" i="74"/>
  <c r="M152" i="121"/>
  <c r="P54" i="74"/>
  <c r="M151" i="121"/>
  <c r="P42" i="74"/>
  <c r="M139" i="121"/>
  <c r="D64" i="111"/>
  <c r="CB60" i="74"/>
  <c r="B57" i="119"/>
  <c r="CB54" i="74" s="1"/>
  <c r="AI63" i="119"/>
  <c r="A226" i="87" l="1"/>
  <c r="I433" i="87"/>
  <c r="A370" i="87"/>
  <c r="H166" i="87"/>
  <c r="B28" i="119"/>
  <c r="AI57" i="119"/>
  <c r="D58" i="111"/>
  <c r="AI64" i="119"/>
  <c r="D65" i="111"/>
  <c r="BZ13" i="74"/>
  <c r="Y110" i="121" s="1"/>
  <c r="Y49" i="121" s="1"/>
  <c r="AB49" i="121" s="1"/>
  <c r="AF49" i="121" s="1"/>
  <c r="BZ14" i="74"/>
  <c r="Y111" i="121" s="1"/>
  <c r="Y50" i="121" s="1"/>
  <c r="AB50" i="121" s="1"/>
  <c r="AF50" i="121" s="1"/>
  <c r="BZ15" i="74"/>
  <c r="Y112" i="121" s="1"/>
  <c r="Y51" i="121" s="1"/>
  <c r="AB51" i="121" s="1"/>
  <c r="AF51" i="121" s="1"/>
  <c r="BZ16" i="74"/>
  <c r="Y113" i="121" s="1"/>
  <c r="Y52" i="121" s="1"/>
  <c r="AB52" i="121" s="1"/>
  <c r="AF52" i="121" s="1"/>
  <c r="BZ17" i="74"/>
  <c r="Y114" i="121" s="1"/>
  <c r="Y53" i="121" s="1"/>
  <c r="AB53" i="121" s="1"/>
  <c r="AF53" i="121" s="1"/>
  <c r="BZ18" i="74"/>
  <c r="Y115" i="121" s="1"/>
  <c r="Y54" i="121" s="1"/>
  <c r="AB54" i="121" s="1"/>
  <c r="AF54" i="121" s="1"/>
  <c r="Y116" i="121"/>
  <c r="Y55" i="121" s="1"/>
  <c r="AB55" i="121" s="1"/>
  <c r="AF55" i="121" s="1"/>
  <c r="BZ20" i="74"/>
  <c r="Y117" i="121" s="1"/>
  <c r="Y56" i="121" s="1"/>
  <c r="AB56" i="121" s="1"/>
  <c r="AF56" i="121" s="1"/>
  <c r="BZ21" i="74"/>
  <c r="Y118" i="121" s="1"/>
  <c r="Y57" i="121" s="1"/>
  <c r="AB57" i="121" s="1"/>
  <c r="AF57" i="121" s="1"/>
  <c r="BZ22" i="74"/>
  <c r="Y119" i="121" s="1"/>
  <c r="Y58" i="121" s="1"/>
  <c r="AB58" i="121" s="1"/>
  <c r="AF58" i="121" s="1"/>
  <c r="BZ23" i="74"/>
  <c r="Y120" i="121" s="1"/>
  <c r="Y59" i="121" s="1"/>
  <c r="AB59" i="121" s="1"/>
  <c r="AF59" i="121" s="1"/>
  <c r="BZ24" i="74"/>
  <c r="Y121" i="121" s="1"/>
  <c r="Y60" i="121" s="1"/>
  <c r="AB60" i="121" s="1"/>
  <c r="AF60" i="121" s="1"/>
  <c r="BZ26" i="74"/>
  <c r="Y123" i="121" s="1"/>
  <c r="Y62" i="121" s="1"/>
  <c r="AB62" i="121" s="1"/>
  <c r="AF62" i="121" s="1"/>
  <c r="BZ27" i="74"/>
  <c r="Y124" i="121" s="1"/>
  <c r="Y63" i="121" s="1"/>
  <c r="AB63" i="121" s="1"/>
  <c r="AF63" i="121" s="1"/>
  <c r="BZ28" i="74"/>
  <c r="Y125" i="121" s="1"/>
  <c r="Y64" i="121" s="1"/>
  <c r="AB64" i="121" s="1"/>
  <c r="AF64" i="121" s="1"/>
  <c r="BZ29" i="74"/>
  <c r="Y126" i="121" s="1"/>
  <c r="Y65" i="121" s="1"/>
  <c r="AB65" i="121" s="1"/>
  <c r="AF65" i="121" s="1"/>
  <c r="BZ30" i="74"/>
  <c r="Y127" i="121" s="1"/>
  <c r="Y66" i="121" s="1"/>
  <c r="AB66" i="121" s="1"/>
  <c r="AF66" i="121" s="1"/>
  <c r="BZ31" i="74"/>
  <c r="Y128" i="121" s="1"/>
  <c r="Y67" i="121" s="1"/>
  <c r="AB67" i="121" s="1"/>
  <c r="AF67" i="121" s="1"/>
  <c r="BZ32" i="74"/>
  <c r="BZ33" i="74"/>
  <c r="Y130" i="121" s="1"/>
  <c r="Y69" i="121" s="1"/>
  <c r="AB69" i="121" s="1"/>
  <c r="AF69" i="121" s="1"/>
  <c r="BZ34" i="74"/>
  <c r="Y131" i="121" s="1"/>
  <c r="Y70" i="121" s="1"/>
  <c r="AB70" i="121" s="1"/>
  <c r="AF70" i="121" s="1"/>
  <c r="BZ35" i="74"/>
  <c r="Y132" i="121" s="1"/>
  <c r="Y71" i="121" s="1"/>
  <c r="AB71" i="121" s="1"/>
  <c r="AF71" i="121" s="1"/>
  <c r="BZ36" i="74"/>
  <c r="Y133" i="121" s="1"/>
  <c r="Y72" i="121" s="1"/>
  <c r="AB72" i="121" s="1"/>
  <c r="AF72" i="121" s="1"/>
  <c r="BZ37" i="74"/>
  <c r="Y134" i="121" s="1"/>
  <c r="Y73" i="121" s="1"/>
  <c r="AB73" i="121" s="1"/>
  <c r="AF73" i="121" s="1"/>
  <c r="BZ38" i="74"/>
  <c r="Y135" i="121" s="1"/>
  <c r="Y74" i="121" s="1"/>
  <c r="AB74" i="121" s="1"/>
  <c r="AF74" i="121" s="1"/>
  <c r="BZ39" i="74"/>
  <c r="Y136" i="121" s="1"/>
  <c r="Y75" i="121" s="1"/>
  <c r="AB75" i="121" s="1"/>
  <c r="AF75" i="121" s="1"/>
  <c r="BZ40" i="74"/>
  <c r="Y137" i="121" s="1"/>
  <c r="Y76" i="121" s="1"/>
  <c r="AB76" i="121" s="1"/>
  <c r="AF76" i="121" s="1"/>
  <c r="BZ41" i="74"/>
  <c r="Y138" i="121" s="1"/>
  <c r="Y77" i="121" s="1"/>
  <c r="AB77" i="121" s="1"/>
  <c r="AF77" i="121" s="1"/>
  <c r="BZ42" i="74"/>
  <c r="Y139" i="121" s="1"/>
  <c r="Y78" i="121" s="1"/>
  <c r="AB78" i="121" s="1"/>
  <c r="AF78" i="121" s="1"/>
  <c r="BZ43" i="74"/>
  <c r="Y140" i="121" s="1"/>
  <c r="Y79" i="121" s="1"/>
  <c r="AB79" i="121" s="1"/>
  <c r="AF79" i="121" s="1"/>
  <c r="BZ44" i="74"/>
  <c r="Y141" i="121" s="1"/>
  <c r="Y80" i="121" s="1"/>
  <c r="AB80" i="121" s="1"/>
  <c r="AF80" i="121" s="1"/>
  <c r="BZ45" i="74"/>
  <c r="Y142" i="121" s="1"/>
  <c r="Y81" i="121" s="1"/>
  <c r="AB81" i="121" s="1"/>
  <c r="AF81" i="121" s="1"/>
  <c r="BZ46" i="74"/>
  <c r="Y143" i="121" s="1"/>
  <c r="Y82" i="121" s="1"/>
  <c r="AB82" i="121" s="1"/>
  <c r="AF82" i="121" s="1"/>
  <c r="BZ47" i="74"/>
  <c r="Y144" i="121" s="1"/>
  <c r="Y83" i="121" s="1"/>
  <c r="AB83" i="121" s="1"/>
  <c r="AF83" i="121" s="1"/>
  <c r="BZ48" i="74"/>
  <c r="Y145" i="121" s="1"/>
  <c r="Y84" i="121" s="1"/>
  <c r="AB84" i="121" s="1"/>
  <c r="AF84" i="121" s="1"/>
  <c r="BZ49" i="74"/>
  <c r="Y146" i="121" s="1"/>
  <c r="Y85" i="121" s="1"/>
  <c r="AB85" i="121" s="1"/>
  <c r="AF85" i="121" s="1"/>
  <c r="BZ50" i="74"/>
  <c r="Y147" i="121" s="1"/>
  <c r="Y86" i="121" s="1"/>
  <c r="AB86" i="121" s="1"/>
  <c r="AF86" i="121" s="1"/>
  <c r="BZ51" i="74"/>
  <c r="Y148" i="121" s="1"/>
  <c r="Y87" i="121" s="1"/>
  <c r="AB87" i="121" s="1"/>
  <c r="AF87" i="121" s="1"/>
  <c r="BZ52" i="74"/>
  <c r="Y149" i="121" s="1"/>
  <c r="Y88" i="121" s="1"/>
  <c r="AB88" i="121" s="1"/>
  <c r="AF88" i="121" s="1"/>
  <c r="BZ53" i="74"/>
  <c r="Y150" i="121" s="1"/>
  <c r="Y89" i="121" s="1"/>
  <c r="AB89" i="121" s="1"/>
  <c r="AF89" i="121" s="1"/>
  <c r="BZ55" i="74"/>
  <c r="Y152" i="121" s="1"/>
  <c r="Y91" i="121" s="1"/>
  <c r="AB91" i="121" s="1"/>
  <c r="AF91" i="121" s="1"/>
  <c r="BZ56" i="74"/>
  <c r="BZ57" i="74"/>
  <c r="Y154" i="121" s="1"/>
  <c r="Y93" i="121" s="1"/>
  <c r="AB93" i="121" s="1"/>
  <c r="AF93" i="121" s="1"/>
  <c r="BZ58" i="74"/>
  <c r="Y155" i="121" s="1"/>
  <c r="Y94" i="121" s="1"/>
  <c r="AB94" i="121" s="1"/>
  <c r="AF94" i="121" s="1"/>
  <c r="BZ59" i="74"/>
  <c r="Y156" i="121" s="1"/>
  <c r="Y95" i="121" s="1"/>
  <c r="AB95" i="121" s="1"/>
  <c r="AF95" i="121" s="1"/>
  <c r="BZ12" i="74"/>
  <c r="Y109" i="121" s="1"/>
  <c r="Y48" i="121" s="1"/>
  <c r="AB48" i="121" s="1"/>
  <c r="AF48" i="121" s="1"/>
  <c r="BZ10" i="74"/>
  <c r="Y107" i="121" s="1"/>
  <c r="Y46" i="121" s="1"/>
  <c r="BZ8" i="74"/>
  <c r="E58" i="73"/>
  <c r="E59" i="73"/>
  <c r="D59" i="73"/>
  <c r="P59" i="128" s="1"/>
  <c r="Q59" i="128" s="1"/>
  <c r="E33" i="73"/>
  <c r="E34" i="73"/>
  <c r="E35" i="73"/>
  <c r="E36" i="73"/>
  <c r="E37" i="73"/>
  <c r="E38" i="73"/>
  <c r="E39" i="73"/>
  <c r="E40" i="73"/>
  <c r="E41" i="73"/>
  <c r="E42" i="73"/>
  <c r="E43" i="73"/>
  <c r="E44" i="73"/>
  <c r="E45" i="73"/>
  <c r="E46" i="73"/>
  <c r="E47" i="73"/>
  <c r="E48" i="73"/>
  <c r="E49" i="73"/>
  <c r="E50" i="73"/>
  <c r="E51" i="73"/>
  <c r="E52" i="73"/>
  <c r="E53" i="73"/>
  <c r="E54" i="73"/>
  <c r="E55" i="73"/>
  <c r="E56" i="73"/>
  <c r="E57" i="73"/>
  <c r="D58" i="73"/>
  <c r="P58" i="128" s="1"/>
  <c r="Q58" i="128" s="1"/>
  <c r="D57" i="73"/>
  <c r="P57" i="128" s="1"/>
  <c r="Q57" i="128" s="1"/>
  <c r="D56" i="73"/>
  <c r="P56" i="128" s="1"/>
  <c r="Q56" i="128" s="1"/>
  <c r="D34" i="73"/>
  <c r="P34" i="128" s="1"/>
  <c r="Q34" i="128" s="1"/>
  <c r="D35" i="73"/>
  <c r="P35" i="128" s="1"/>
  <c r="Q35" i="128" s="1"/>
  <c r="D36" i="73"/>
  <c r="P36" i="128" s="1"/>
  <c r="Q36" i="128" s="1"/>
  <c r="D37" i="73"/>
  <c r="P37" i="128" s="1"/>
  <c r="Q37" i="128" s="1"/>
  <c r="D38" i="73"/>
  <c r="P38" i="128" s="1"/>
  <c r="Q38" i="128" s="1"/>
  <c r="D39" i="73"/>
  <c r="P39" i="128" s="1"/>
  <c r="Q39" i="128" s="1"/>
  <c r="D40" i="73"/>
  <c r="P40" i="128" s="1"/>
  <c r="Q40" i="128" s="1"/>
  <c r="D41" i="73"/>
  <c r="P41" i="128" s="1"/>
  <c r="Q41" i="128" s="1"/>
  <c r="D42" i="73"/>
  <c r="P42" i="128" s="1"/>
  <c r="Q42" i="128" s="1"/>
  <c r="D43" i="73"/>
  <c r="P43" i="128" s="1"/>
  <c r="Q43" i="128" s="1"/>
  <c r="D44" i="73"/>
  <c r="P44" i="128" s="1"/>
  <c r="Q44" i="128" s="1"/>
  <c r="D45" i="73"/>
  <c r="P45" i="128" s="1"/>
  <c r="Q45" i="128" s="1"/>
  <c r="D46" i="73"/>
  <c r="P46" i="128" s="1"/>
  <c r="Q46" i="128" s="1"/>
  <c r="D47" i="73"/>
  <c r="P47" i="128" s="1"/>
  <c r="Q47" i="128" s="1"/>
  <c r="D48" i="73"/>
  <c r="P48" i="128" s="1"/>
  <c r="Q48" i="128" s="1"/>
  <c r="D49" i="73"/>
  <c r="P49" i="128" s="1"/>
  <c r="Q49" i="128" s="1"/>
  <c r="D50" i="73"/>
  <c r="P50" i="128" s="1"/>
  <c r="Q50" i="128" s="1"/>
  <c r="D51" i="73"/>
  <c r="P51" i="128" s="1"/>
  <c r="Q51" i="128" s="1"/>
  <c r="D52" i="73"/>
  <c r="P52" i="128" s="1"/>
  <c r="Q52" i="128" s="1"/>
  <c r="D53" i="73"/>
  <c r="P53" i="128" s="1"/>
  <c r="Q53" i="128" s="1"/>
  <c r="D54" i="73"/>
  <c r="P54" i="128" s="1"/>
  <c r="Q54" i="128" s="1"/>
  <c r="D55" i="73"/>
  <c r="P55" i="128" s="1"/>
  <c r="Q55" i="128" s="1"/>
  <c r="D60" i="73"/>
  <c r="P60" i="128" s="1"/>
  <c r="Q60" i="128" s="1"/>
  <c r="D61" i="73"/>
  <c r="P61" i="128" s="1"/>
  <c r="Q61" i="128" s="1"/>
  <c r="D33" i="73"/>
  <c r="P33" i="128" s="1"/>
  <c r="Q33" i="128" s="1"/>
  <c r="D26" i="73"/>
  <c r="D27" i="73"/>
  <c r="D28" i="73"/>
  <c r="D29" i="73"/>
  <c r="D30" i="73"/>
  <c r="D31" i="73"/>
  <c r="D32" i="73"/>
  <c r="D25" i="73"/>
  <c r="E60" i="73"/>
  <c r="E61" i="73"/>
  <c r="I61" i="73" s="1"/>
  <c r="F61" i="73"/>
  <c r="F60" i="73"/>
  <c r="F59" i="73"/>
  <c r="F58" i="73"/>
  <c r="F57" i="73"/>
  <c r="F56" i="73"/>
  <c r="F55" i="73"/>
  <c r="F54" i="73"/>
  <c r="F53" i="73"/>
  <c r="F52" i="73"/>
  <c r="F51" i="73"/>
  <c r="F50" i="73"/>
  <c r="F49" i="73"/>
  <c r="F48" i="73"/>
  <c r="F47" i="73"/>
  <c r="F46" i="73"/>
  <c r="F45" i="73"/>
  <c r="F44" i="73"/>
  <c r="F43" i="73"/>
  <c r="F42" i="73"/>
  <c r="F41" i="73"/>
  <c r="F40" i="73"/>
  <c r="F39" i="73"/>
  <c r="F38" i="73"/>
  <c r="F37" i="73"/>
  <c r="F36" i="73"/>
  <c r="F35" i="73"/>
  <c r="F34" i="73"/>
  <c r="F33" i="73"/>
  <c r="F32" i="73"/>
  <c r="F31" i="73"/>
  <c r="F30" i="73"/>
  <c r="F29" i="73"/>
  <c r="F28" i="73"/>
  <c r="F27" i="73"/>
  <c r="F26" i="73"/>
  <c r="F25" i="73"/>
  <c r="F24" i="73"/>
  <c r="F23" i="73"/>
  <c r="F22" i="73"/>
  <c r="D13" i="73"/>
  <c r="D14" i="73"/>
  <c r="D15" i="73"/>
  <c r="D16" i="73"/>
  <c r="D17" i="73"/>
  <c r="D18" i="73"/>
  <c r="D19" i="73"/>
  <c r="D20" i="73"/>
  <c r="D21" i="73"/>
  <c r="D22" i="73"/>
  <c r="D23" i="73"/>
  <c r="D24" i="73"/>
  <c r="D12" i="73"/>
  <c r="D10" i="73"/>
  <c r="D8" i="73"/>
  <c r="D6" i="73"/>
  <c r="DF6" i="74"/>
  <c r="DF7" i="74"/>
  <c r="DF8" i="74"/>
  <c r="DF9" i="74"/>
  <c r="DF10" i="74"/>
  <c r="DF11" i="74"/>
  <c r="DF12" i="74"/>
  <c r="DF13" i="74"/>
  <c r="DF14" i="74"/>
  <c r="DF15" i="74"/>
  <c r="DF16" i="74"/>
  <c r="DF17" i="74"/>
  <c r="DF18" i="74"/>
  <c r="DF19" i="74"/>
  <c r="DF20" i="74"/>
  <c r="DF21" i="74"/>
  <c r="DF22" i="74"/>
  <c r="DF23" i="74"/>
  <c r="DF24" i="74"/>
  <c r="DF25" i="74"/>
  <c r="DF26" i="74"/>
  <c r="DF27" i="74"/>
  <c r="DF28" i="74"/>
  <c r="DF29" i="74"/>
  <c r="DF30" i="74"/>
  <c r="DF31" i="74"/>
  <c r="DF32" i="74"/>
  <c r="DF33" i="74"/>
  <c r="DF34" i="74"/>
  <c r="DF35" i="74"/>
  <c r="DF36" i="74"/>
  <c r="DF37" i="74"/>
  <c r="DF38" i="74"/>
  <c r="DF39" i="74"/>
  <c r="DF40" i="74"/>
  <c r="DF41" i="74"/>
  <c r="DF42" i="74"/>
  <c r="DF43" i="74"/>
  <c r="DF44" i="74"/>
  <c r="DF45" i="74"/>
  <c r="DF46" i="74"/>
  <c r="DF47" i="74"/>
  <c r="DF48" i="74"/>
  <c r="DF49" i="74"/>
  <c r="DF50" i="74"/>
  <c r="DF51" i="74"/>
  <c r="DF52" i="74"/>
  <c r="DF53" i="74"/>
  <c r="DF54" i="74"/>
  <c r="DF55" i="74"/>
  <c r="DF56" i="74"/>
  <c r="DF57" i="74"/>
  <c r="DF58" i="74"/>
  <c r="DF59" i="74"/>
  <c r="DF60" i="74"/>
  <c r="DF61" i="74"/>
  <c r="DC7" i="74"/>
  <c r="DD7" i="74"/>
  <c r="DC8" i="74"/>
  <c r="DD8" i="74"/>
  <c r="DC9" i="74"/>
  <c r="DD9" i="74"/>
  <c r="DC10" i="74"/>
  <c r="DD10" i="74"/>
  <c r="DC11" i="74"/>
  <c r="DD11" i="74"/>
  <c r="DC12" i="74"/>
  <c r="DD12" i="74"/>
  <c r="DC13" i="74"/>
  <c r="DD13" i="74"/>
  <c r="DC14" i="74"/>
  <c r="DD14" i="74"/>
  <c r="DC15" i="74"/>
  <c r="DD15" i="74"/>
  <c r="DC16" i="74"/>
  <c r="DD16" i="74"/>
  <c r="DC17" i="74"/>
  <c r="DD17" i="74"/>
  <c r="DC18" i="74"/>
  <c r="DD18" i="74"/>
  <c r="DC19" i="74"/>
  <c r="DD19" i="74"/>
  <c r="DC20" i="74"/>
  <c r="DD20" i="74"/>
  <c r="DC21" i="74"/>
  <c r="DD21" i="74"/>
  <c r="DC22" i="74"/>
  <c r="DD22" i="74"/>
  <c r="DC23" i="74"/>
  <c r="DD23" i="74"/>
  <c r="DC24" i="74"/>
  <c r="DD24" i="74"/>
  <c r="DC25" i="74"/>
  <c r="DD25" i="74"/>
  <c r="DC26" i="74"/>
  <c r="DD26" i="74"/>
  <c r="DC27" i="74"/>
  <c r="DD27" i="74"/>
  <c r="DC28" i="74"/>
  <c r="DD28" i="74"/>
  <c r="DC29" i="74"/>
  <c r="DD29" i="74"/>
  <c r="DC30" i="74"/>
  <c r="DD30" i="74"/>
  <c r="DC31" i="74"/>
  <c r="DD31" i="74"/>
  <c r="DC32" i="74"/>
  <c r="DD32" i="74"/>
  <c r="DC33" i="74"/>
  <c r="DD33" i="74"/>
  <c r="DC34" i="74"/>
  <c r="DD34" i="74"/>
  <c r="DC35" i="74"/>
  <c r="DD35" i="74"/>
  <c r="DC36" i="74"/>
  <c r="DD36" i="74"/>
  <c r="DC37" i="74"/>
  <c r="DD37" i="74"/>
  <c r="DC38" i="74"/>
  <c r="DD38" i="74"/>
  <c r="DC39" i="74"/>
  <c r="DD39" i="74"/>
  <c r="DC40" i="74"/>
  <c r="DD40" i="74"/>
  <c r="DC41" i="74"/>
  <c r="DD41" i="74"/>
  <c r="DC42" i="74"/>
  <c r="DD42" i="74"/>
  <c r="DC43" i="74"/>
  <c r="DD43" i="74"/>
  <c r="DC44" i="74"/>
  <c r="DD44" i="74"/>
  <c r="DC45" i="74"/>
  <c r="DD45" i="74"/>
  <c r="DC46" i="74"/>
  <c r="DD46" i="74"/>
  <c r="DC47" i="74"/>
  <c r="DD47" i="74"/>
  <c r="DC48" i="74"/>
  <c r="DD48" i="74"/>
  <c r="DC49" i="74"/>
  <c r="DD49" i="74"/>
  <c r="DC50" i="74"/>
  <c r="DD50" i="74"/>
  <c r="DC51" i="74"/>
  <c r="DD51" i="74"/>
  <c r="DC52" i="74"/>
  <c r="DD52" i="74"/>
  <c r="DC53" i="74"/>
  <c r="DD53" i="74"/>
  <c r="DC54" i="74"/>
  <c r="DD54" i="74"/>
  <c r="DC55" i="74"/>
  <c r="DD55" i="74"/>
  <c r="DC56" i="74"/>
  <c r="DD56" i="74"/>
  <c r="DC57" i="74"/>
  <c r="DD57" i="74"/>
  <c r="DC58" i="74"/>
  <c r="DD58" i="74"/>
  <c r="DC59" i="74"/>
  <c r="DD59" i="74"/>
  <c r="DC60" i="74"/>
  <c r="DD60" i="74"/>
  <c r="DC61" i="74"/>
  <c r="DD61" i="74"/>
  <c r="DD6" i="74"/>
  <c r="DC6" i="74"/>
  <c r="AX61" i="74"/>
  <c r="AX60" i="74"/>
  <c r="Z60" i="39"/>
  <c r="AA60" i="39"/>
  <c r="AB60" i="39"/>
  <c r="AC60" i="39"/>
  <c r="AD60" i="39"/>
  <c r="J88" i="64" s="1"/>
  <c r="AE60" i="39"/>
  <c r="Z61" i="39"/>
  <c r="AA61" i="39"/>
  <c r="AB61" i="39"/>
  <c r="AC61" i="39"/>
  <c r="AD61" i="39"/>
  <c r="J89" i="64" s="1"/>
  <c r="AE61" i="39"/>
  <c r="DR60" i="39"/>
  <c r="DS60" i="39"/>
  <c r="DT60" i="39"/>
  <c r="DU60" i="39"/>
  <c r="DV60" i="39"/>
  <c r="DW60" i="39"/>
  <c r="DR61" i="39"/>
  <c r="DS61" i="39"/>
  <c r="DT61" i="39"/>
  <c r="DU61" i="39"/>
  <c r="DV61" i="39"/>
  <c r="DW61" i="39"/>
  <c r="H88" i="68"/>
  <c r="F5" i="58"/>
  <c r="L28" i="58" s="1"/>
  <c r="DJ7" i="39"/>
  <c r="DK7" i="39"/>
  <c r="DL7" i="39"/>
  <c r="DM7" i="39"/>
  <c r="DN7" i="39"/>
  <c r="DO7" i="39"/>
  <c r="DJ8" i="39"/>
  <c r="DK8" i="39"/>
  <c r="DL8" i="39"/>
  <c r="DM8" i="39"/>
  <c r="DN8" i="39"/>
  <c r="DO8" i="39"/>
  <c r="DJ9" i="39"/>
  <c r="DK9" i="39"/>
  <c r="DL9" i="39"/>
  <c r="DM9" i="39"/>
  <c r="DN9" i="39"/>
  <c r="DO9" i="39"/>
  <c r="DJ10" i="39"/>
  <c r="DK10" i="39"/>
  <c r="DL10" i="39"/>
  <c r="DM10" i="39"/>
  <c r="DN10" i="39"/>
  <c r="DO10" i="39"/>
  <c r="DJ11" i="39"/>
  <c r="DK11" i="39"/>
  <c r="DL11" i="39"/>
  <c r="DM11" i="39"/>
  <c r="DN11" i="39"/>
  <c r="DO11" i="39"/>
  <c r="DJ12" i="39"/>
  <c r="DK12" i="39"/>
  <c r="DL12" i="39"/>
  <c r="DM12" i="39"/>
  <c r="DN12" i="39"/>
  <c r="DO12" i="39"/>
  <c r="DJ13" i="39"/>
  <c r="DK13" i="39"/>
  <c r="DL13" i="39"/>
  <c r="DM13" i="39"/>
  <c r="DN13" i="39"/>
  <c r="DO13" i="39"/>
  <c r="DJ14" i="39"/>
  <c r="DK14" i="39"/>
  <c r="DL14" i="39"/>
  <c r="DM14" i="39"/>
  <c r="DN14" i="39"/>
  <c r="DO14" i="39"/>
  <c r="DJ15" i="39"/>
  <c r="DK15" i="39"/>
  <c r="DL15" i="39"/>
  <c r="DM15" i="39"/>
  <c r="DN15" i="39"/>
  <c r="DO15" i="39"/>
  <c r="DJ16" i="39"/>
  <c r="DK16" i="39"/>
  <c r="DL16" i="39"/>
  <c r="DM16" i="39"/>
  <c r="DN16" i="39"/>
  <c r="DO16" i="39"/>
  <c r="DJ17" i="39"/>
  <c r="DK17" i="39"/>
  <c r="DL17" i="39"/>
  <c r="DM17" i="39"/>
  <c r="DN17" i="39"/>
  <c r="DO17" i="39"/>
  <c r="DJ18" i="39"/>
  <c r="DK18" i="39"/>
  <c r="DL18" i="39"/>
  <c r="DM18" i="39"/>
  <c r="DN18" i="39"/>
  <c r="DO18" i="39"/>
  <c r="DJ19" i="39"/>
  <c r="DK19" i="39"/>
  <c r="DL19" i="39"/>
  <c r="DM19" i="39"/>
  <c r="DN19" i="39"/>
  <c r="DO19" i="39"/>
  <c r="DJ20" i="39"/>
  <c r="DK20" i="39"/>
  <c r="DL20" i="39"/>
  <c r="DM20" i="39"/>
  <c r="DN20" i="39"/>
  <c r="DO20" i="39"/>
  <c r="DJ21" i="39"/>
  <c r="DK21" i="39"/>
  <c r="DL21" i="39"/>
  <c r="DM21" i="39"/>
  <c r="DN21" i="39"/>
  <c r="DO21" i="39"/>
  <c r="DJ22" i="39"/>
  <c r="DK22" i="39"/>
  <c r="DL22" i="39"/>
  <c r="DM22" i="39"/>
  <c r="DN22" i="39"/>
  <c r="DO22" i="39"/>
  <c r="DJ23" i="39"/>
  <c r="DK23" i="39"/>
  <c r="DL23" i="39"/>
  <c r="DM23" i="39"/>
  <c r="DN23" i="39"/>
  <c r="DO23" i="39"/>
  <c r="DJ24" i="39"/>
  <c r="DK24" i="39"/>
  <c r="DL24" i="39"/>
  <c r="DM24" i="39"/>
  <c r="DN24" i="39"/>
  <c r="DO24" i="39"/>
  <c r="DJ25" i="39"/>
  <c r="DK25" i="39"/>
  <c r="DL25" i="39"/>
  <c r="DM25" i="39"/>
  <c r="DN25" i="39"/>
  <c r="DO25" i="39"/>
  <c r="DJ26" i="39"/>
  <c r="DK26" i="39"/>
  <c r="DL26" i="39"/>
  <c r="DM26" i="39"/>
  <c r="DN26" i="39"/>
  <c r="DO26" i="39"/>
  <c r="DJ27" i="39"/>
  <c r="DK27" i="39"/>
  <c r="DL27" i="39"/>
  <c r="DM27" i="39"/>
  <c r="DN27" i="39"/>
  <c r="DO27" i="39"/>
  <c r="DJ28" i="39"/>
  <c r="DK28" i="39"/>
  <c r="DL28" i="39"/>
  <c r="DM28" i="39"/>
  <c r="DN28" i="39"/>
  <c r="DO28" i="39"/>
  <c r="DJ29" i="39"/>
  <c r="DK29" i="39"/>
  <c r="DL29" i="39"/>
  <c r="DM29" i="39"/>
  <c r="DN29" i="39"/>
  <c r="DO29" i="39"/>
  <c r="DJ30" i="39"/>
  <c r="DK30" i="39"/>
  <c r="DL30" i="39"/>
  <c r="DM30" i="39"/>
  <c r="DN30" i="39"/>
  <c r="DO30" i="39"/>
  <c r="DJ31" i="39"/>
  <c r="DK31" i="39"/>
  <c r="DL31" i="39"/>
  <c r="DM31" i="39"/>
  <c r="DN31" i="39"/>
  <c r="DO31" i="39"/>
  <c r="DJ32" i="39"/>
  <c r="DK32" i="39"/>
  <c r="DL32" i="39"/>
  <c r="DM32" i="39"/>
  <c r="DN32" i="39"/>
  <c r="DO32" i="39"/>
  <c r="DJ33" i="39"/>
  <c r="DK33" i="39"/>
  <c r="DL33" i="39"/>
  <c r="DM33" i="39"/>
  <c r="DN33" i="39"/>
  <c r="DO33" i="39"/>
  <c r="DJ34" i="39"/>
  <c r="DK34" i="39"/>
  <c r="DL34" i="39"/>
  <c r="DM34" i="39"/>
  <c r="DN34" i="39"/>
  <c r="DO34" i="39"/>
  <c r="DJ35" i="39"/>
  <c r="DK35" i="39"/>
  <c r="DL35" i="39"/>
  <c r="DM35" i="39"/>
  <c r="DN35" i="39"/>
  <c r="DO35" i="39"/>
  <c r="DJ36" i="39"/>
  <c r="DK36" i="39"/>
  <c r="DL36" i="39"/>
  <c r="DM36" i="39"/>
  <c r="DN36" i="39"/>
  <c r="DO36" i="39"/>
  <c r="DJ37" i="39"/>
  <c r="DK37" i="39"/>
  <c r="DL37" i="39"/>
  <c r="DM37" i="39"/>
  <c r="DN37" i="39"/>
  <c r="DO37" i="39"/>
  <c r="DJ38" i="39"/>
  <c r="DK38" i="39"/>
  <c r="DL38" i="39"/>
  <c r="DM38" i="39"/>
  <c r="DN38" i="39"/>
  <c r="DO38" i="39"/>
  <c r="DJ39" i="39"/>
  <c r="DK39" i="39"/>
  <c r="DL39" i="39"/>
  <c r="DM39" i="39"/>
  <c r="DN39" i="39"/>
  <c r="DO39" i="39"/>
  <c r="DJ40" i="39"/>
  <c r="DK40" i="39"/>
  <c r="DL40" i="39"/>
  <c r="DM40" i="39"/>
  <c r="DN40" i="39"/>
  <c r="DO40" i="39"/>
  <c r="DJ41" i="39"/>
  <c r="DK41" i="39"/>
  <c r="DL41" i="39"/>
  <c r="DM41" i="39"/>
  <c r="DN41" i="39"/>
  <c r="DO41" i="39"/>
  <c r="DJ42" i="39"/>
  <c r="DK42" i="39"/>
  <c r="DL42" i="39"/>
  <c r="DM42" i="39"/>
  <c r="DN42" i="39"/>
  <c r="DO42" i="39"/>
  <c r="DJ43" i="39"/>
  <c r="DK43" i="39"/>
  <c r="DL43" i="39"/>
  <c r="DM43" i="39"/>
  <c r="DN43" i="39"/>
  <c r="DO43" i="39"/>
  <c r="DJ44" i="39"/>
  <c r="DK44" i="39"/>
  <c r="DL44" i="39"/>
  <c r="DM44" i="39"/>
  <c r="DN44" i="39"/>
  <c r="DO44" i="39"/>
  <c r="DJ45" i="39"/>
  <c r="DK45" i="39"/>
  <c r="DL45" i="39"/>
  <c r="DM45" i="39"/>
  <c r="DN45" i="39"/>
  <c r="DO45" i="39"/>
  <c r="DJ46" i="39"/>
  <c r="DK46" i="39"/>
  <c r="DL46" i="39"/>
  <c r="DM46" i="39"/>
  <c r="DN46" i="39"/>
  <c r="DO46" i="39"/>
  <c r="DJ47" i="39"/>
  <c r="DK47" i="39"/>
  <c r="DL47" i="39"/>
  <c r="DM47" i="39"/>
  <c r="DN47" i="39"/>
  <c r="DO47" i="39"/>
  <c r="DJ48" i="39"/>
  <c r="DK48" i="39"/>
  <c r="DL48" i="39"/>
  <c r="DM48" i="39"/>
  <c r="DN48" i="39"/>
  <c r="DO48" i="39"/>
  <c r="DJ49" i="39"/>
  <c r="DK49" i="39"/>
  <c r="DL49" i="39"/>
  <c r="DM49" i="39"/>
  <c r="DN49" i="39"/>
  <c r="DO49" i="39"/>
  <c r="DJ50" i="39"/>
  <c r="DK50" i="39"/>
  <c r="DL50" i="39"/>
  <c r="DM50" i="39"/>
  <c r="DN50" i="39"/>
  <c r="DO50" i="39"/>
  <c r="DJ51" i="39"/>
  <c r="DK51" i="39"/>
  <c r="DL51" i="39"/>
  <c r="DM51" i="39"/>
  <c r="DN51" i="39"/>
  <c r="DO51" i="39"/>
  <c r="DJ52" i="39"/>
  <c r="DK52" i="39"/>
  <c r="DL52" i="39"/>
  <c r="DM52" i="39"/>
  <c r="DN52" i="39"/>
  <c r="DO52" i="39"/>
  <c r="DJ53" i="39"/>
  <c r="DK53" i="39"/>
  <c r="DL53" i="39"/>
  <c r="DM53" i="39"/>
  <c r="DN53" i="39"/>
  <c r="DO53" i="39"/>
  <c r="DJ54" i="39"/>
  <c r="DK54" i="39"/>
  <c r="DL54" i="39"/>
  <c r="DM54" i="39"/>
  <c r="DN54" i="39"/>
  <c r="DO54" i="39"/>
  <c r="DJ55" i="39"/>
  <c r="DK55" i="39"/>
  <c r="DL55" i="39"/>
  <c r="DM55" i="39"/>
  <c r="DN55" i="39"/>
  <c r="DO55" i="39"/>
  <c r="DJ56" i="39"/>
  <c r="DK56" i="39"/>
  <c r="DL56" i="39"/>
  <c r="DM56" i="39"/>
  <c r="DN56" i="39"/>
  <c r="DO56" i="39"/>
  <c r="DJ57" i="39"/>
  <c r="DK57" i="39"/>
  <c r="DL57" i="39"/>
  <c r="DM57" i="39"/>
  <c r="DN57" i="39"/>
  <c r="DO57" i="39"/>
  <c r="DJ58" i="39"/>
  <c r="DK58" i="39"/>
  <c r="DL58" i="39"/>
  <c r="DM58" i="39"/>
  <c r="DN58" i="39"/>
  <c r="DO58" i="39"/>
  <c r="DJ59" i="39"/>
  <c r="DK59" i="39"/>
  <c r="DL59" i="39"/>
  <c r="DM59" i="39"/>
  <c r="DN59" i="39"/>
  <c r="DO59" i="39"/>
  <c r="DJ60" i="39"/>
  <c r="DK60" i="39"/>
  <c r="DL60" i="39"/>
  <c r="DM60" i="39"/>
  <c r="DN60" i="39"/>
  <c r="DO60" i="39"/>
  <c r="DJ61" i="39"/>
  <c r="DK61" i="39"/>
  <c r="DL61" i="39"/>
  <c r="DM61" i="39"/>
  <c r="DN61" i="39"/>
  <c r="DO61" i="39"/>
  <c r="DK6" i="39"/>
  <c r="DL6" i="39"/>
  <c r="DM6" i="39"/>
  <c r="DN6" i="39"/>
  <c r="DO6" i="39"/>
  <c r="DB7" i="39"/>
  <c r="DC7" i="39"/>
  <c r="DD7" i="39"/>
  <c r="F62" i="140" s="1"/>
  <c r="DE7" i="39"/>
  <c r="DF7" i="39"/>
  <c r="DG7" i="39"/>
  <c r="DB8" i="39"/>
  <c r="DC8" i="39"/>
  <c r="DD8" i="39"/>
  <c r="F63" i="140" s="1"/>
  <c r="DE8" i="39"/>
  <c r="DF8" i="39"/>
  <c r="DG8" i="39"/>
  <c r="DB9" i="39"/>
  <c r="DC9" i="39"/>
  <c r="DD9" i="39"/>
  <c r="F64" i="140" s="1"/>
  <c r="DE9" i="39"/>
  <c r="DF9" i="39"/>
  <c r="DG9" i="39"/>
  <c r="DB10" i="39"/>
  <c r="DC10" i="39"/>
  <c r="DD10" i="39"/>
  <c r="F65" i="140" s="1"/>
  <c r="DE10" i="39"/>
  <c r="DF10" i="39"/>
  <c r="DG10" i="39"/>
  <c r="DB11" i="39"/>
  <c r="DC11" i="39"/>
  <c r="DD11" i="39"/>
  <c r="F66" i="140" s="1"/>
  <c r="DE11" i="39"/>
  <c r="DF11" i="39"/>
  <c r="DG11" i="39"/>
  <c r="DB12" i="39"/>
  <c r="DC12" i="39"/>
  <c r="DD12" i="39"/>
  <c r="F67" i="140" s="1"/>
  <c r="DE12" i="39"/>
  <c r="DF12" i="39"/>
  <c r="DG12" i="39"/>
  <c r="DB13" i="39"/>
  <c r="DC13" i="39"/>
  <c r="DD13" i="39"/>
  <c r="F68" i="140" s="1"/>
  <c r="DE13" i="39"/>
  <c r="DF13" i="39"/>
  <c r="DG13" i="39"/>
  <c r="DB14" i="39"/>
  <c r="DC14" i="39"/>
  <c r="DD14" i="39"/>
  <c r="F69" i="140" s="1"/>
  <c r="DE14" i="39"/>
  <c r="DF14" i="39"/>
  <c r="DG14" i="39"/>
  <c r="DB15" i="39"/>
  <c r="DC15" i="39"/>
  <c r="DD15" i="39"/>
  <c r="F70" i="140" s="1"/>
  <c r="DE15" i="39"/>
  <c r="DF15" i="39"/>
  <c r="DG15" i="39"/>
  <c r="DB16" i="39"/>
  <c r="DC16" i="39"/>
  <c r="DD16" i="39"/>
  <c r="F71" i="140" s="1"/>
  <c r="DE16" i="39"/>
  <c r="DF16" i="39"/>
  <c r="DG16" i="39"/>
  <c r="DB17" i="39"/>
  <c r="DC17" i="39"/>
  <c r="DD17" i="39"/>
  <c r="F72" i="140" s="1"/>
  <c r="DE17" i="39"/>
  <c r="DF17" i="39"/>
  <c r="DG17" i="39"/>
  <c r="DB18" i="39"/>
  <c r="DC18" i="39"/>
  <c r="DD18" i="39"/>
  <c r="F73" i="140" s="1"/>
  <c r="DE18" i="39"/>
  <c r="DF18" i="39"/>
  <c r="DG18" i="39"/>
  <c r="DB19" i="39"/>
  <c r="DC19" i="39"/>
  <c r="DD19" i="39"/>
  <c r="F74" i="140" s="1"/>
  <c r="DE19" i="39"/>
  <c r="DF19" i="39"/>
  <c r="DG19" i="39"/>
  <c r="DB20" i="39"/>
  <c r="DC20" i="39"/>
  <c r="DD20" i="39"/>
  <c r="F75" i="140" s="1"/>
  <c r="DE20" i="39"/>
  <c r="DF20" i="39"/>
  <c r="DG20" i="39"/>
  <c r="DB21" i="39"/>
  <c r="DC21" i="39"/>
  <c r="DD21" i="39"/>
  <c r="F76" i="140" s="1"/>
  <c r="DE21" i="39"/>
  <c r="DF21" i="39"/>
  <c r="DG21" i="39"/>
  <c r="DB22" i="39"/>
  <c r="DC22" i="39"/>
  <c r="DD22" i="39"/>
  <c r="F77" i="140" s="1"/>
  <c r="DE22" i="39"/>
  <c r="DF22" i="39"/>
  <c r="DG22" i="39"/>
  <c r="DB23" i="39"/>
  <c r="DC23" i="39"/>
  <c r="DD23" i="39"/>
  <c r="F78" i="140" s="1"/>
  <c r="DE23" i="39"/>
  <c r="DF23" i="39"/>
  <c r="DG23" i="39"/>
  <c r="DB24" i="39"/>
  <c r="DC24" i="39"/>
  <c r="DD24" i="39"/>
  <c r="F79" i="140" s="1"/>
  <c r="DE24" i="39"/>
  <c r="DF24" i="39"/>
  <c r="DG24" i="39"/>
  <c r="DB25" i="39"/>
  <c r="DC25" i="39"/>
  <c r="DD25" i="39"/>
  <c r="F80" i="140" s="1"/>
  <c r="DE25" i="39"/>
  <c r="DF25" i="39"/>
  <c r="DG25" i="39"/>
  <c r="DB26" i="39"/>
  <c r="DC26" i="39"/>
  <c r="DD26" i="39"/>
  <c r="F81" i="140" s="1"/>
  <c r="DE26" i="39"/>
  <c r="DF26" i="39"/>
  <c r="DG26" i="39"/>
  <c r="DB27" i="39"/>
  <c r="DC27" i="39"/>
  <c r="DD27" i="39"/>
  <c r="F82" i="140" s="1"/>
  <c r="DE27" i="39"/>
  <c r="DF27" i="39"/>
  <c r="DG27" i="39"/>
  <c r="DB28" i="39"/>
  <c r="DC28" i="39"/>
  <c r="DD28" i="39"/>
  <c r="F83" i="140" s="1"/>
  <c r="DE28" i="39"/>
  <c r="DF28" i="39"/>
  <c r="DG28" i="39"/>
  <c r="DB29" i="39"/>
  <c r="DC29" i="39"/>
  <c r="DD29" i="39"/>
  <c r="F84" i="140" s="1"/>
  <c r="DE29" i="39"/>
  <c r="DF29" i="39"/>
  <c r="DG29" i="39"/>
  <c r="DB30" i="39"/>
  <c r="DC30" i="39"/>
  <c r="DD30" i="39"/>
  <c r="F85" i="140" s="1"/>
  <c r="DE30" i="39"/>
  <c r="DF30" i="39"/>
  <c r="DG30" i="39"/>
  <c r="DB31" i="39"/>
  <c r="DC31" i="39"/>
  <c r="DD31" i="39"/>
  <c r="F86" i="140" s="1"/>
  <c r="DE31" i="39"/>
  <c r="DF31" i="39"/>
  <c r="DG31" i="39"/>
  <c r="DB32" i="39"/>
  <c r="DC32" i="39"/>
  <c r="DD32" i="39"/>
  <c r="F87" i="140" s="1"/>
  <c r="DE32" i="39"/>
  <c r="DF32" i="39"/>
  <c r="DG32" i="39"/>
  <c r="DB33" i="39"/>
  <c r="DC33" i="39"/>
  <c r="DD33" i="39"/>
  <c r="F88" i="140" s="1"/>
  <c r="DE33" i="39"/>
  <c r="DF33" i="39"/>
  <c r="DG33" i="39"/>
  <c r="DB34" i="39"/>
  <c r="DC34" i="39"/>
  <c r="DD34" i="39"/>
  <c r="F89" i="140" s="1"/>
  <c r="DE34" i="39"/>
  <c r="DF34" i="39"/>
  <c r="DG34" i="39"/>
  <c r="DB35" i="39"/>
  <c r="DC35" i="39"/>
  <c r="DD35" i="39"/>
  <c r="F90" i="140" s="1"/>
  <c r="DE35" i="39"/>
  <c r="DF35" i="39"/>
  <c r="DG35" i="39"/>
  <c r="DB36" i="39"/>
  <c r="DC36" i="39"/>
  <c r="DD36" i="39"/>
  <c r="F91" i="140" s="1"/>
  <c r="DE36" i="39"/>
  <c r="DF36" i="39"/>
  <c r="DG36" i="39"/>
  <c r="DB37" i="39"/>
  <c r="DC37" i="39"/>
  <c r="DD37" i="39"/>
  <c r="F92" i="140" s="1"/>
  <c r="DE37" i="39"/>
  <c r="DF37" i="39"/>
  <c r="DG37" i="39"/>
  <c r="DB38" i="39"/>
  <c r="DC38" i="39"/>
  <c r="DD38" i="39"/>
  <c r="F93" i="140" s="1"/>
  <c r="DE38" i="39"/>
  <c r="DF38" i="39"/>
  <c r="DG38" i="39"/>
  <c r="DB39" i="39"/>
  <c r="DC39" i="39"/>
  <c r="DD39" i="39"/>
  <c r="F94" i="140" s="1"/>
  <c r="DE39" i="39"/>
  <c r="DF39" i="39"/>
  <c r="DG39" i="39"/>
  <c r="DB40" i="39"/>
  <c r="DC40" i="39"/>
  <c r="DD40" i="39"/>
  <c r="F95" i="140" s="1"/>
  <c r="DE40" i="39"/>
  <c r="DF40" i="39"/>
  <c r="DG40" i="39"/>
  <c r="DB41" i="39"/>
  <c r="DC41" i="39"/>
  <c r="DD41" i="39"/>
  <c r="F96" i="140" s="1"/>
  <c r="DE41" i="39"/>
  <c r="DF41" i="39"/>
  <c r="DG41" i="39"/>
  <c r="DB42" i="39"/>
  <c r="DC42" i="39"/>
  <c r="DD42" i="39"/>
  <c r="F97" i="140" s="1"/>
  <c r="DE42" i="39"/>
  <c r="DF42" i="39"/>
  <c r="DG42" i="39"/>
  <c r="DB43" i="39"/>
  <c r="DC43" i="39"/>
  <c r="DD43" i="39"/>
  <c r="F98" i="140" s="1"/>
  <c r="DE43" i="39"/>
  <c r="DF43" i="39"/>
  <c r="DG43" i="39"/>
  <c r="DB44" i="39"/>
  <c r="DC44" i="39"/>
  <c r="DD44" i="39"/>
  <c r="F99" i="140" s="1"/>
  <c r="DE44" i="39"/>
  <c r="DF44" i="39"/>
  <c r="DG44" i="39"/>
  <c r="DB45" i="39"/>
  <c r="DC45" i="39"/>
  <c r="DD45" i="39"/>
  <c r="F100" i="140" s="1"/>
  <c r="DE45" i="39"/>
  <c r="DF45" i="39"/>
  <c r="DG45" i="39"/>
  <c r="DB46" i="39"/>
  <c r="DC46" i="39"/>
  <c r="DD46" i="39"/>
  <c r="F101" i="140" s="1"/>
  <c r="DE46" i="39"/>
  <c r="DF46" i="39"/>
  <c r="DG46" i="39"/>
  <c r="DB47" i="39"/>
  <c r="DC47" i="39"/>
  <c r="DD47" i="39"/>
  <c r="F102" i="140" s="1"/>
  <c r="DE47" i="39"/>
  <c r="DF47" i="39"/>
  <c r="DG47" i="39"/>
  <c r="DB48" i="39"/>
  <c r="DC48" i="39"/>
  <c r="DD48" i="39"/>
  <c r="F103" i="140" s="1"/>
  <c r="DE48" i="39"/>
  <c r="DF48" i="39"/>
  <c r="DG48" i="39"/>
  <c r="DB49" i="39"/>
  <c r="DC49" i="39"/>
  <c r="DD49" i="39"/>
  <c r="F104" i="140" s="1"/>
  <c r="DE49" i="39"/>
  <c r="DF49" i="39"/>
  <c r="DG49" i="39"/>
  <c r="DB50" i="39"/>
  <c r="DC50" i="39"/>
  <c r="DD50" i="39"/>
  <c r="F105" i="140" s="1"/>
  <c r="DE50" i="39"/>
  <c r="DF50" i="39"/>
  <c r="DG50" i="39"/>
  <c r="DB51" i="39"/>
  <c r="DC51" i="39"/>
  <c r="DD51" i="39"/>
  <c r="F106" i="140" s="1"/>
  <c r="DE51" i="39"/>
  <c r="DF51" i="39"/>
  <c r="DG51" i="39"/>
  <c r="DB52" i="39"/>
  <c r="DC52" i="39"/>
  <c r="DD52" i="39"/>
  <c r="F107" i="140" s="1"/>
  <c r="DE52" i="39"/>
  <c r="DF52" i="39"/>
  <c r="DG52" i="39"/>
  <c r="DB53" i="39"/>
  <c r="DC53" i="39"/>
  <c r="DD53" i="39"/>
  <c r="F108" i="140" s="1"/>
  <c r="DE53" i="39"/>
  <c r="DF53" i="39"/>
  <c r="DG53" i="39"/>
  <c r="DB54" i="39"/>
  <c r="DC54" i="39"/>
  <c r="DD54" i="39"/>
  <c r="F109" i="140" s="1"/>
  <c r="DE54" i="39"/>
  <c r="DF54" i="39"/>
  <c r="DG54" i="39"/>
  <c r="DB55" i="39"/>
  <c r="DC55" i="39"/>
  <c r="DD55" i="39"/>
  <c r="F110" i="140" s="1"/>
  <c r="DE55" i="39"/>
  <c r="DF55" i="39"/>
  <c r="DG55" i="39"/>
  <c r="DB56" i="39"/>
  <c r="DC56" i="39"/>
  <c r="DD56" i="39"/>
  <c r="F111" i="140" s="1"/>
  <c r="DE56" i="39"/>
  <c r="DF56" i="39"/>
  <c r="DG56" i="39"/>
  <c r="DB57" i="39"/>
  <c r="DC57" i="39"/>
  <c r="DD57" i="39"/>
  <c r="F112" i="140" s="1"/>
  <c r="DE57" i="39"/>
  <c r="DF57" i="39"/>
  <c r="DG57" i="39"/>
  <c r="DB58" i="39"/>
  <c r="DC58" i="39"/>
  <c r="DD58" i="39"/>
  <c r="F113" i="140" s="1"/>
  <c r="DE58" i="39"/>
  <c r="DF58" i="39"/>
  <c r="DG58" i="39"/>
  <c r="DB59" i="39"/>
  <c r="DC59" i="39"/>
  <c r="DD59" i="39"/>
  <c r="F114" i="140" s="1"/>
  <c r="DE59" i="39"/>
  <c r="DF59" i="39"/>
  <c r="DG59" i="39"/>
  <c r="DB60" i="39"/>
  <c r="DC60" i="39"/>
  <c r="DD60" i="39"/>
  <c r="F115" i="140" s="1"/>
  <c r="DE60" i="39"/>
  <c r="DF60" i="39"/>
  <c r="DG60" i="39"/>
  <c r="DB61" i="39"/>
  <c r="DC61" i="39"/>
  <c r="DD61" i="39"/>
  <c r="F116" i="140" s="1"/>
  <c r="DE61" i="39"/>
  <c r="DF61" i="39"/>
  <c r="DG61" i="39"/>
  <c r="DC6" i="39"/>
  <c r="DD6" i="39"/>
  <c r="F61" i="140" s="1"/>
  <c r="DE6" i="39"/>
  <c r="DF6" i="39"/>
  <c r="DG6" i="39"/>
  <c r="DJ6" i="39"/>
  <c r="DB6" i="39"/>
  <c r="DJ3" i="39"/>
  <c r="DB3" i="39"/>
  <c r="A227" i="87" l="1"/>
  <c r="I434" i="87"/>
  <c r="A371" i="87"/>
  <c r="H167" i="87"/>
  <c r="D11" i="57"/>
  <c r="D12" i="130"/>
  <c r="D22" i="130"/>
  <c r="E88" i="64"/>
  <c r="D88" i="152"/>
  <c r="E89" i="64"/>
  <c r="D89" i="152"/>
  <c r="D16" i="130"/>
  <c r="G116" i="140"/>
  <c r="G115" i="140"/>
  <c r="Y129" i="121"/>
  <c r="Y68" i="121" s="1"/>
  <c r="AB68" i="121" s="1"/>
  <c r="AF68" i="121" s="1"/>
  <c r="Y105" i="121"/>
  <c r="E87" i="138"/>
  <c r="DE6" i="74"/>
  <c r="F21" i="58"/>
  <c r="E21" i="58"/>
  <c r="D21" i="58"/>
  <c r="C21" i="58"/>
  <c r="B21" i="58"/>
  <c r="E88" i="138"/>
  <c r="B22" i="58"/>
  <c r="E22" i="58"/>
  <c r="D22" i="58"/>
  <c r="F22" i="58"/>
  <c r="C22" i="58"/>
  <c r="P32" i="128"/>
  <c r="Q32" i="128" s="1"/>
  <c r="J32" i="73"/>
  <c r="J24" i="73"/>
  <c r="P31" i="128"/>
  <c r="Q31" i="128" s="1"/>
  <c r="J31" i="73"/>
  <c r="J23" i="73"/>
  <c r="J22" i="73"/>
  <c r="J14" i="73"/>
  <c r="P29" i="128"/>
  <c r="Q29" i="128" s="1"/>
  <c r="J29" i="73"/>
  <c r="J21" i="73"/>
  <c r="J13" i="73"/>
  <c r="P28" i="128"/>
  <c r="Q28" i="128" s="1"/>
  <c r="J28" i="73"/>
  <c r="J12" i="73"/>
  <c r="J15" i="73"/>
  <c r="P30" i="128"/>
  <c r="Q30" i="128" s="1"/>
  <c r="J30" i="73"/>
  <c r="J20" i="73"/>
  <c r="J8" i="73"/>
  <c r="J19" i="73"/>
  <c r="P26" i="128"/>
  <c r="Q26" i="128" s="1"/>
  <c r="J26" i="73"/>
  <c r="J17" i="73"/>
  <c r="J16" i="73"/>
  <c r="J6" i="73"/>
  <c r="AH6" i="73" s="1"/>
  <c r="P27" i="128"/>
  <c r="Q27" i="128" s="1"/>
  <c r="J27" i="73"/>
  <c r="J10" i="73"/>
  <c r="J18" i="73"/>
  <c r="P25" i="128"/>
  <c r="Q25" i="128" s="1"/>
  <c r="J25" i="73"/>
  <c r="Y153" i="121"/>
  <c r="Y92" i="121" s="1"/>
  <c r="AB92" i="121" s="1"/>
  <c r="AF92" i="121" s="1"/>
  <c r="Y151" i="121"/>
  <c r="Y90" i="121" s="1"/>
  <c r="AB90" i="121" s="1"/>
  <c r="AF90" i="121" s="1"/>
  <c r="J55" i="73"/>
  <c r="J54" i="73"/>
  <c r="J48" i="73"/>
  <c r="J57" i="73"/>
  <c r="J47" i="73"/>
  <c r="J46" i="73"/>
  <c r="S21" i="128"/>
  <c r="S13" i="128"/>
  <c r="J53" i="73"/>
  <c r="J45" i="73"/>
  <c r="J37" i="73"/>
  <c r="S15" i="128"/>
  <c r="J58" i="73"/>
  <c r="S14" i="128"/>
  <c r="J38" i="73"/>
  <c r="S20" i="128"/>
  <c r="J52" i="73"/>
  <c r="J44" i="73"/>
  <c r="J36" i="73"/>
  <c r="S16" i="128"/>
  <c r="J40" i="73"/>
  <c r="S23" i="128"/>
  <c r="J39" i="73"/>
  <c r="S22" i="128"/>
  <c r="S8" i="128"/>
  <c r="S19" i="128"/>
  <c r="J51" i="73"/>
  <c r="J43" i="73"/>
  <c r="J35" i="73"/>
  <c r="S24" i="128"/>
  <c r="S10" i="128"/>
  <c r="S18" i="128"/>
  <c r="J33" i="73"/>
  <c r="J50" i="73"/>
  <c r="J42" i="73"/>
  <c r="J34" i="73"/>
  <c r="S12" i="128"/>
  <c r="S17" i="128"/>
  <c r="J49" i="73"/>
  <c r="J41" i="73"/>
  <c r="J56" i="73"/>
  <c r="S6" i="128"/>
  <c r="P85" i="121"/>
  <c r="P61" i="121"/>
  <c r="P44" i="121"/>
  <c r="P60" i="121"/>
  <c r="P46" i="121"/>
  <c r="P91" i="121"/>
  <c r="P83" i="121"/>
  <c r="P75" i="121"/>
  <c r="P67" i="121"/>
  <c r="P59" i="121"/>
  <c r="P51" i="121"/>
  <c r="P77" i="121"/>
  <c r="P53" i="121"/>
  <c r="P76" i="121"/>
  <c r="P90" i="121"/>
  <c r="P82" i="121"/>
  <c r="P74" i="121"/>
  <c r="P66" i="121"/>
  <c r="P58" i="121"/>
  <c r="P50" i="121"/>
  <c r="P93" i="121"/>
  <c r="P69" i="121"/>
  <c r="P84" i="121"/>
  <c r="P97" i="121"/>
  <c r="P89" i="121"/>
  <c r="P81" i="121"/>
  <c r="P73" i="121"/>
  <c r="P65" i="121"/>
  <c r="P57" i="121"/>
  <c r="P49" i="121"/>
  <c r="P92" i="121"/>
  <c r="P68" i="121"/>
  <c r="P52" i="121"/>
  <c r="P96" i="121"/>
  <c r="P88" i="121"/>
  <c r="P80" i="121"/>
  <c r="P72" i="121"/>
  <c r="P64" i="121"/>
  <c r="P56" i="121"/>
  <c r="P95" i="121"/>
  <c r="P87" i="121"/>
  <c r="P79" i="121"/>
  <c r="P71" i="121"/>
  <c r="P63" i="121"/>
  <c r="P55" i="121"/>
  <c r="P94" i="121"/>
  <c r="P86" i="121"/>
  <c r="P78" i="121"/>
  <c r="P70" i="121"/>
  <c r="P62" i="121"/>
  <c r="P54" i="121"/>
  <c r="Y47" i="121"/>
  <c r="AB47" i="121" s="1"/>
  <c r="AB46" i="121"/>
  <c r="AF46" i="121" s="1"/>
  <c r="Y103" i="121"/>
  <c r="Y42" i="121" s="1"/>
  <c r="P48" i="121"/>
  <c r="I59" i="122"/>
  <c r="I60" i="122"/>
  <c r="E87" i="66"/>
  <c r="H59" i="122"/>
  <c r="E88" i="66"/>
  <c r="H60" i="122"/>
  <c r="BZ60" i="74"/>
  <c r="BZ61" i="74"/>
  <c r="DE54" i="74"/>
  <c r="DE61" i="74"/>
  <c r="DE53" i="74"/>
  <c r="DE59" i="74"/>
  <c r="DE43" i="74"/>
  <c r="DE11" i="74"/>
  <c r="H68" i="87" s="1"/>
  <c r="DE27" i="74"/>
  <c r="DE38" i="74"/>
  <c r="DE14" i="74"/>
  <c r="DE36" i="74"/>
  <c r="DE37" i="74"/>
  <c r="DE44" i="74"/>
  <c r="DE28" i="74"/>
  <c r="DE52" i="74"/>
  <c r="DE12" i="74"/>
  <c r="DE22" i="74"/>
  <c r="DE21" i="74"/>
  <c r="DE20" i="74"/>
  <c r="DE51" i="74"/>
  <c r="DE35" i="74"/>
  <c r="DE19" i="74"/>
  <c r="DE13" i="74"/>
  <c r="DE58" i="74"/>
  <c r="DE50" i="74"/>
  <c r="DE26" i="74"/>
  <c r="DE18" i="74"/>
  <c r="DE57" i="74"/>
  <c r="DE33" i="74"/>
  <c r="DE25" i="74"/>
  <c r="DE17" i="74"/>
  <c r="DE9" i="74"/>
  <c r="H66" i="87" s="1"/>
  <c r="DE30" i="74"/>
  <c r="DE45" i="74"/>
  <c r="DE29" i="74"/>
  <c r="DE56" i="74"/>
  <c r="DE48" i="74"/>
  <c r="DE40" i="74"/>
  <c r="DE32" i="74"/>
  <c r="DE24" i="74"/>
  <c r="DE16" i="74"/>
  <c r="DE8" i="74"/>
  <c r="DE10" i="74"/>
  <c r="DE49" i="74"/>
  <c r="DE41" i="74"/>
  <c r="DE46" i="74"/>
  <c r="DE60" i="74"/>
  <c r="DE55" i="74"/>
  <c r="DE47" i="74"/>
  <c r="DE39" i="74"/>
  <c r="DE31" i="74"/>
  <c r="DE23" i="74"/>
  <c r="DE15" i="74"/>
  <c r="DE7" i="74"/>
  <c r="H64" i="87" s="1"/>
  <c r="DE42" i="74"/>
  <c r="DE34" i="74"/>
  <c r="E88" i="68"/>
  <c r="A228" i="87" l="1"/>
  <c r="I435" i="87"/>
  <c r="A372" i="87"/>
  <c r="H168" i="87"/>
  <c r="K22" i="58"/>
  <c r="Y44" i="121"/>
  <c r="Y43" i="121" s="1"/>
  <c r="AB43" i="121" s="1"/>
  <c r="I22" i="58"/>
  <c r="L22" i="58"/>
  <c r="J22" i="58"/>
  <c r="Q6" i="128"/>
  <c r="P6" i="128" s="1"/>
  <c r="Q14" i="128"/>
  <c r="P14" i="128" s="1"/>
  <c r="Q18" i="128"/>
  <c r="P18" i="128" s="1"/>
  <c r="Q22" i="128"/>
  <c r="P22" i="128" s="1"/>
  <c r="Q8" i="128"/>
  <c r="P8" i="128" s="1"/>
  <c r="Q23" i="128"/>
  <c r="P23" i="128" s="1"/>
  <c r="Q11" i="128"/>
  <c r="P11" i="128" s="1"/>
  <c r="Q7" i="128"/>
  <c r="P7" i="128" s="1"/>
  <c r="Q17" i="128"/>
  <c r="P17" i="128" s="1"/>
  <c r="Q16" i="128"/>
  <c r="P16" i="128" s="1"/>
  <c r="Q21" i="128"/>
  <c r="P21" i="128" s="1"/>
  <c r="Q20" i="128"/>
  <c r="P20" i="128" s="1"/>
  <c r="Q10" i="128"/>
  <c r="P10" i="128" s="1"/>
  <c r="Q15" i="128"/>
  <c r="P15" i="128" s="1"/>
  <c r="Q19" i="128"/>
  <c r="P19" i="128" s="1"/>
  <c r="Q13" i="128"/>
  <c r="P13" i="128" s="1"/>
  <c r="Q12" i="128"/>
  <c r="P12" i="128" s="1"/>
  <c r="Q24" i="128"/>
  <c r="P24" i="128" s="1"/>
  <c r="Q9" i="128"/>
  <c r="P9" i="128" s="1"/>
  <c r="Q6" i="73"/>
  <c r="L6" i="73" s="1"/>
  <c r="P47" i="121"/>
  <c r="P45" i="121"/>
  <c r="CA61" i="74"/>
  <c r="Y158" i="121"/>
  <c r="Y97" i="121" s="1"/>
  <c r="AB97" i="121" s="1"/>
  <c r="AF97" i="121" s="1"/>
  <c r="CA60" i="74"/>
  <c r="Y157" i="121"/>
  <c r="Y96" i="121" s="1"/>
  <c r="AB96" i="121" s="1"/>
  <c r="AF96" i="121" s="1"/>
  <c r="AB42" i="121"/>
  <c r="AF42" i="121" s="1"/>
  <c r="A229" i="87" l="1"/>
  <c r="I436" i="87"/>
  <c r="A373" i="87"/>
  <c r="H169" i="87"/>
  <c r="AB44" i="121"/>
  <c r="AF44" i="121" s="1"/>
  <c r="Y45" i="121"/>
  <c r="AB45" i="121" s="1"/>
  <c r="B60" i="39"/>
  <c r="C60" i="39"/>
  <c r="D60" i="39"/>
  <c r="B86" i="62" s="1"/>
  <c r="E60" i="39"/>
  <c r="F60" i="39"/>
  <c r="G60" i="39"/>
  <c r="J60" i="39"/>
  <c r="K60" i="39"/>
  <c r="L60" i="39"/>
  <c r="M60" i="39"/>
  <c r="N60" i="39"/>
  <c r="H88" i="64" s="1"/>
  <c r="O60" i="39"/>
  <c r="R60" i="39"/>
  <c r="S60" i="39"/>
  <c r="T60" i="39"/>
  <c r="U60" i="39"/>
  <c r="V60" i="39"/>
  <c r="I88" i="64" s="1"/>
  <c r="W60" i="39"/>
  <c r="AX60" i="39"/>
  <c r="AY60" i="39"/>
  <c r="AZ60" i="39"/>
  <c r="E86" i="62" s="1"/>
  <c r="BA60" i="39"/>
  <c r="BB60" i="39"/>
  <c r="BC60" i="39"/>
  <c r="BF60" i="39"/>
  <c r="BG60" i="39"/>
  <c r="BH60" i="39"/>
  <c r="F86" i="62" s="1"/>
  <c r="BI60" i="39"/>
  <c r="BJ60" i="39"/>
  <c r="BK60" i="39"/>
  <c r="BN60" i="39"/>
  <c r="BO60" i="39"/>
  <c r="BP60" i="39"/>
  <c r="BQ60" i="39"/>
  <c r="BR60" i="39"/>
  <c r="BS60" i="39"/>
  <c r="CD60" i="39"/>
  <c r="CE60" i="39"/>
  <c r="CF60" i="39"/>
  <c r="D115" i="140" s="1"/>
  <c r="CG60" i="39"/>
  <c r="CH60" i="39"/>
  <c r="CI60" i="39"/>
  <c r="CL60" i="39"/>
  <c r="CM60" i="39"/>
  <c r="CN60" i="39"/>
  <c r="E115" i="140" s="1"/>
  <c r="CO60" i="39"/>
  <c r="CP60" i="39"/>
  <c r="CQ60" i="39"/>
  <c r="CT60" i="39"/>
  <c r="CU60" i="39"/>
  <c r="CV60" i="39"/>
  <c r="CW60" i="39"/>
  <c r="CX60" i="39"/>
  <c r="CY60" i="39"/>
  <c r="DZ60" i="39"/>
  <c r="EA60" i="39"/>
  <c r="EB60" i="39"/>
  <c r="EC60" i="39"/>
  <c r="ED60" i="39"/>
  <c r="EE60" i="39"/>
  <c r="EH60" i="39"/>
  <c r="EI60" i="39"/>
  <c r="EJ60" i="39"/>
  <c r="H115" i="140" s="1"/>
  <c r="EK60" i="39"/>
  <c r="EL60" i="39"/>
  <c r="EM60" i="39"/>
  <c r="FF60" i="39"/>
  <c r="FG60" i="39"/>
  <c r="FH60" i="39"/>
  <c r="C87" i="102" s="1"/>
  <c r="FI60" i="39"/>
  <c r="FJ60" i="39"/>
  <c r="FK60" i="39"/>
  <c r="FN60" i="39"/>
  <c r="FO60" i="39"/>
  <c r="FP60" i="39"/>
  <c r="FQ60" i="39"/>
  <c r="FR60" i="39"/>
  <c r="FS60" i="39"/>
  <c r="FV60" i="39"/>
  <c r="FW60" i="39"/>
  <c r="FX60" i="39"/>
  <c r="D87" i="102" s="1"/>
  <c r="FY60" i="39"/>
  <c r="FZ60" i="39"/>
  <c r="GA60" i="39"/>
  <c r="GE60" i="39"/>
  <c r="GF60" i="39"/>
  <c r="GG60" i="39"/>
  <c r="E87" i="102" s="1"/>
  <c r="GH60" i="39"/>
  <c r="GI60" i="39"/>
  <c r="GJ60" i="39"/>
  <c r="GM60" i="39"/>
  <c r="GN60" i="39"/>
  <c r="GO60" i="39"/>
  <c r="GP60" i="39"/>
  <c r="GQ60" i="39"/>
  <c r="GR60" i="39"/>
  <c r="GU60" i="39"/>
  <c r="GV60" i="39"/>
  <c r="GW60" i="39"/>
  <c r="C89" i="63" s="1"/>
  <c r="GX60" i="39"/>
  <c r="GY60" i="39"/>
  <c r="GZ60" i="39"/>
  <c r="HC60" i="39"/>
  <c r="HD60" i="39"/>
  <c r="HE60" i="39"/>
  <c r="D89" i="63" s="1"/>
  <c r="HF60" i="39"/>
  <c r="HG60" i="39"/>
  <c r="HH60" i="39"/>
  <c r="HK60" i="39"/>
  <c r="HL60" i="39"/>
  <c r="HM60" i="39"/>
  <c r="E89" i="63" s="1"/>
  <c r="HN60" i="39"/>
  <c r="HO60" i="39"/>
  <c r="HP60" i="39"/>
  <c r="HS60" i="39"/>
  <c r="HT60" i="39"/>
  <c r="HU60" i="39"/>
  <c r="F89" i="63" s="1"/>
  <c r="HV60" i="39"/>
  <c r="HW60" i="39"/>
  <c r="HX60" i="39"/>
  <c r="IA60" i="39"/>
  <c r="IB60" i="39"/>
  <c r="IC60" i="39"/>
  <c r="G89" i="63" s="1"/>
  <c r="ID60" i="39"/>
  <c r="IE60" i="39"/>
  <c r="IF60" i="39"/>
  <c r="II60" i="39"/>
  <c r="E88" i="152" s="1"/>
  <c r="IJ60" i="39"/>
  <c r="IK60" i="39"/>
  <c r="H89" i="63" s="1"/>
  <c r="IL60" i="39"/>
  <c r="IM60" i="39"/>
  <c r="IN60" i="39"/>
  <c r="B61" i="39"/>
  <c r="C61" i="39"/>
  <c r="D61" i="39"/>
  <c r="E61" i="39"/>
  <c r="F61" i="39"/>
  <c r="G61" i="39"/>
  <c r="J61" i="39"/>
  <c r="K61" i="39"/>
  <c r="L61" i="39"/>
  <c r="D6" i="130" s="1"/>
  <c r="M61" i="39"/>
  <c r="N61" i="39"/>
  <c r="H89" i="64" s="1"/>
  <c r="O61" i="39"/>
  <c r="R61" i="39"/>
  <c r="S61" i="39"/>
  <c r="T61" i="39"/>
  <c r="U61" i="39"/>
  <c r="V61" i="39"/>
  <c r="I89" i="64" s="1"/>
  <c r="W61" i="39"/>
  <c r="AX61" i="39"/>
  <c r="AY61" i="39"/>
  <c r="AZ61" i="39"/>
  <c r="BA61" i="39"/>
  <c r="BB61" i="39"/>
  <c r="BC61" i="39"/>
  <c r="BF61" i="39"/>
  <c r="BG61" i="39"/>
  <c r="BH61" i="39"/>
  <c r="BI61" i="39"/>
  <c r="BJ61" i="39"/>
  <c r="BK61" i="39"/>
  <c r="BN61" i="39"/>
  <c r="BO61" i="39"/>
  <c r="BP61" i="39"/>
  <c r="BQ61" i="39"/>
  <c r="BR61" i="39"/>
  <c r="BS61" i="39"/>
  <c r="CD61" i="39"/>
  <c r="CE61" i="39"/>
  <c r="CF61" i="39"/>
  <c r="CG61" i="39"/>
  <c r="CH61" i="39"/>
  <c r="CI61" i="39"/>
  <c r="CL61" i="39"/>
  <c r="CM61" i="39"/>
  <c r="CN61" i="39"/>
  <c r="CO61" i="39"/>
  <c r="CP61" i="39"/>
  <c r="CQ61" i="39"/>
  <c r="CT61" i="39"/>
  <c r="CU61" i="39"/>
  <c r="CV61" i="39"/>
  <c r="CW61" i="39"/>
  <c r="CX61" i="39"/>
  <c r="CY61" i="39"/>
  <c r="F23" i="58"/>
  <c r="L23" i="58" s="1"/>
  <c r="DZ61" i="39"/>
  <c r="EA61" i="39"/>
  <c r="EB61" i="39"/>
  <c r="F24" i="58" s="1"/>
  <c r="EC61" i="39"/>
  <c r="ED61" i="39"/>
  <c r="EE61" i="39"/>
  <c r="EH61" i="39"/>
  <c r="EI61" i="39"/>
  <c r="EJ61" i="39"/>
  <c r="H116" i="140" s="1"/>
  <c r="EK61" i="39"/>
  <c r="EL61" i="39"/>
  <c r="EM61" i="39"/>
  <c r="FF61" i="39"/>
  <c r="FG61" i="39"/>
  <c r="FH61" i="39"/>
  <c r="FI61" i="39"/>
  <c r="FJ61" i="39"/>
  <c r="FK61" i="39"/>
  <c r="FN61" i="39"/>
  <c r="FO61" i="39"/>
  <c r="FP61" i="39"/>
  <c r="F9" i="91" s="1"/>
  <c r="FQ61" i="39"/>
  <c r="FR61" i="39"/>
  <c r="FS61" i="39"/>
  <c r="FV61" i="39"/>
  <c r="FW61" i="39"/>
  <c r="FX61" i="39"/>
  <c r="FY61" i="39"/>
  <c r="FZ61" i="39"/>
  <c r="GA61" i="39"/>
  <c r="GE61" i="39"/>
  <c r="GF61" i="39"/>
  <c r="GG61" i="39"/>
  <c r="GH61" i="39"/>
  <c r="GI61" i="39"/>
  <c r="GJ61" i="39"/>
  <c r="GM61" i="39"/>
  <c r="GN61" i="39"/>
  <c r="GO61" i="39"/>
  <c r="GP61" i="39"/>
  <c r="GQ61" i="39"/>
  <c r="GR61" i="39"/>
  <c r="GU61" i="39"/>
  <c r="GV61" i="39"/>
  <c r="GW61" i="39"/>
  <c r="GX61" i="39"/>
  <c r="GY61" i="39"/>
  <c r="GZ61" i="39"/>
  <c r="HC61" i="39"/>
  <c r="HD61" i="39"/>
  <c r="HE61" i="39"/>
  <c r="HF61" i="39"/>
  <c r="HG61" i="39"/>
  <c r="HH61" i="39"/>
  <c r="HK61" i="39"/>
  <c r="HL61" i="39"/>
  <c r="HM61" i="39"/>
  <c r="HN61" i="39"/>
  <c r="HO61" i="39"/>
  <c r="HP61" i="39"/>
  <c r="HS61" i="39"/>
  <c r="HT61" i="39"/>
  <c r="HU61" i="39"/>
  <c r="HV61" i="39"/>
  <c r="HW61" i="39"/>
  <c r="HX61" i="39"/>
  <c r="IA61" i="39"/>
  <c r="IB61" i="39"/>
  <c r="IC61" i="39"/>
  <c r="ID61" i="39"/>
  <c r="IE61" i="39"/>
  <c r="IF61" i="39"/>
  <c r="II61" i="39"/>
  <c r="E89" i="152" s="1"/>
  <c r="IJ61" i="39"/>
  <c r="IK61" i="39"/>
  <c r="H90" i="63" s="1"/>
  <c r="IL61" i="39"/>
  <c r="IM61" i="39"/>
  <c r="IN61" i="39"/>
  <c r="F24" i="91"/>
  <c r="A230" i="87" l="1"/>
  <c r="I437" i="87"/>
  <c r="A374" i="87"/>
  <c r="H170" i="87"/>
  <c r="D9" i="57"/>
  <c r="D10" i="57"/>
  <c r="C89" i="64"/>
  <c r="B89" i="152"/>
  <c r="D89" i="64"/>
  <c r="C89" i="152"/>
  <c r="X89" i="152" s="1"/>
  <c r="AF89" i="152" s="1"/>
  <c r="C88" i="64"/>
  <c r="B88" i="152"/>
  <c r="D88" i="64"/>
  <c r="C88" i="152"/>
  <c r="X88" i="152" s="1"/>
  <c r="AF88" i="152" s="1"/>
  <c r="AF98" i="121"/>
  <c r="AB98" i="121"/>
  <c r="F19" i="58"/>
  <c r="E116" i="140"/>
  <c r="F11" i="58"/>
  <c r="L11" i="58" s="1"/>
  <c r="E87" i="62"/>
  <c r="F12" i="58"/>
  <c r="F87" i="62"/>
  <c r="F6" i="58"/>
  <c r="L9" i="58" s="1"/>
  <c r="B87" i="62"/>
  <c r="F17" i="91"/>
  <c r="D90" i="63"/>
  <c r="F10" i="91"/>
  <c r="L10" i="91" s="1"/>
  <c r="D88" i="102"/>
  <c r="B115" i="140"/>
  <c r="G86" i="62"/>
  <c r="F13" i="58"/>
  <c r="F14" i="58" s="1"/>
  <c r="B116" i="140"/>
  <c r="G87" i="62"/>
  <c r="F11" i="91"/>
  <c r="E88" i="102"/>
  <c r="F20" i="91"/>
  <c r="G90" i="63"/>
  <c r="F16" i="91"/>
  <c r="C90" i="63"/>
  <c r="B89" i="63"/>
  <c r="F87" i="102"/>
  <c r="F18" i="91"/>
  <c r="E90" i="63"/>
  <c r="F18" i="58"/>
  <c r="L18" i="58" s="1"/>
  <c r="D116" i="140"/>
  <c r="F19" i="91"/>
  <c r="F90" i="63"/>
  <c r="F12" i="91"/>
  <c r="L13" i="91" s="1"/>
  <c r="F88" i="102"/>
  <c r="B90" i="63"/>
  <c r="F8" i="91"/>
  <c r="L8" i="91" s="1"/>
  <c r="C88" i="102"/>
  <c r="C87" i="138"/>
  <c r="F20" i="58"/>
  <c r="L25" i="91"/>
  <c r="F21" i="91"/>
  <c r="B60" i="122"/>
  <c r="C88" i="138"/>
  <c r="F25" i="58"/>
  <c r="E60" i="122"/>
  <c r="L24" i="58"/>
  <c r="C59" i="122"/>
  <c r="F59" i="122"/>
  <c r="C87" i="66"/>
  <c r="B59" i="122"/>
  <c r="C60" i="122"/>
  <c r="D87" i="66"/>
  <c r="E59" i="122"/>
  <c r="F60" i="122"/>
  <c r="C88" i="66"/>
  <c r="D88" i="66"/>
  <c r="R60" i="97"/>
  <c r="S60" i="97"/>
  <c r="T60" i="97"/>
  <c r="U60" i="97"/>
  <c r="V60" i="97"/>
  <c r="W60" i="97"/>
  <c r="X60" i="97"/>
  <c r="Z60" i="97"/>
  <c r="K95" i="98" s="1"/>
  <c r="AA60" i="97"/>
  <c r="AB60" i="97"/>
  <c r="AC60" i="97"/>
  <c r="D95" i="98" s="1"/>
  <c r="AD60" i="97"/>
  <c r="AE60" i="97"/>
  <c r="AF60" i="97"/>
  <c r="L95" i="98"/>
  <c r="E95" i="98"/>
  <c r="AP60" i="97"/>
  <c r="M95" i="98" s="1"/>
  <c r="AQ60" i="97"/>
  <c r="AR60" i="97"/>
  <c r="AS60" i="97"/>
  <c r="F95" i="98" s="1"/>
  <c r="AT60" i="97"/>
  <c r="AU60" i="97"/>
  <c r="AV60" i="97"/>
  <c r="BN60" i="97"/>
  <c r="BO60" i="97"/>
  <c r="BP60" i="97"/>
  <c r="BQ60" i="97"/>
  <c r="BR60" i="97"/>
  <c r="BS60" i="97"/>
  <c r="BT60" i="97"/>
  <c r="R61" i="97"/>
  <c r="S61" i="97"/>
  <c r="T61" i="97"/>
  <c r="V61" i="97"/>
  <c r="W61" i="97"/>
  <c r="X61" i="97"/>
  <c r="Z61" i="97"/>
  <c r="K96" i="98" s="1"/>
  <c r="AA61" i="97"/>
  <c r="AB61" i="97"/>
  <c r="AC61" i="97"/>
  <c r="AD61" i="97"/>
  <c r="AE61" i="97"/>
  <c r="AF61" i="97"/>
  <c r="L96" i="98"/>
  <c r="E96" i="98"/>
  <c r="AP61" i="97"/>
  <c r="M96" i="98" s="1"/>
  <c r="AQ61" i="97"/>
  <c r="AR61" i="97"/>
  <c r="AS61" i="97"/>
  <c r="F96" i="98" s="1"/>
  <c r="AT61" i="97"/>
  <c r="AU61" i="97"/>
  <c r="AV61" i="97"/>
  <c r="BN61" i="97"/>
  <c r="BO61" i="97"/>
  <c r="BP61" i="97"/>
  <c r="BQ61" i="97"/>
  <c r="BR61" i="97"/>
  <c r="BS61" i="97"/>
  <c r="BT61" i="97"/>
  <c r="C60" i="96"/>
  <c r="B60" i="96" s="1"/>
  <c r="D60" i="96"/>
  <c r="E60" i="96"/>
  <c r="F60" i="96"/>
  <c r="G60" i="96"/>
  <c r="H60" i="96"/>
  <c r="K60" i="96"/>
  <c r="J60" i="96" s="1"/>
  <c r="L60" i="96"/>
  <c r="M60" i="96"/>
  <c r="N60" i="96"/>
  <c r="O60" i="96"/>
  <c r="P60" i="96"/>
  <c r="S60" i="96"/>
  <c r="R60" i="96" s="1"/>
  <c r="T60" i="96"/>
  <c r="U60" i="96"/>
  <c r="V60" i="96"/>
  <c r="W60" i="96"/>
  <c r="X60" i="96"/>
  <c r="AI60" i="96"/>
  <c r="AH60" i="96" s="1"/>
  <c r="AJ60" i="96"/>
  <c r="AK60" i="96"/>
  <c r="AL60" i="96"/>
  <c r="AM60" i="96"/>
  <c r="AN60" i="96"/>
  <c r="BG60" i="96"/>
  <c r="BF60" i="96" s="1"/>
  <c r="BH60" i="96"/>
  <c r="BI60" i="96"/>
  <c r="BJ60" i="96"/>
  <c r="BK60" i="96"/>
  <c r="BL60" i="96"/>
  <c r="C61" i="96"/>
  <c r="B61" i="96" s="1"/>
  <c r="D61" i="96"/>
  <c r="E61" i="96"/>
  <c r="F61" i="96"/>
  <c r="G61" i="96"/>
  <c r="H61" i="96"/>
  <c r="K61" i="96"/>
  <c r="J61" i="96" s="1"/>
  <c r="L61" i="96"/>
  <c r="M61" i="96"/>
  <c r="N61" i="96"/>
  <c r="O61" i="96"/>
  <c r="P61" i="96"/>
  <c r="S61" i="96"/>
  <c r="R61" i="96" s="1"/>
  <c r="T61" i="96"/>
  <c r="U61" i="96"/>
  <c r="V61" i="96"/>
  <c r="W61" i="96"/>
  <c r="X61" i="96"/>
  <c r="AI61" i="96"/>
  <c r="AH61" i="96" s="1"/>
  <c r="AJ61" i="96"/>
  <c r="AK61" i="96"/>
  <c r="AL61" i="96"/>
  <c r="AM61" i="96"/>
  <c r="AN61" i="96"/>
  <c r="BG61" i="96"/>
  <c r="BF61" i="96" s="1"/>
  <c r="BH61" i="96"/>
  <c r="BI61" i="96"/>
  <c r="BJ61" i="96"/>
  <c r="BK61" i="96"/>
  <c r="BL61" i="96"/>
  <c r="C61" i="95"/>
  <c r="B61" i="95" s="1"/>
  <c r="D61" i="95"/>
  <c r="E61" i="95"/>
  <c r="F61" i="95"/>
  <c r="G61" i="95"/>
  <c r="H61" i="95"/>
  <c r="C62" i="95"/>
  <c r="B62" i="95" s="1"/>
  <c r="D62" i="95"/>
  <c r="E62" i="95"/>
  <c r="F62" i="95"/>
  <c r="G62" i="95"/>
  <c r="H62" i="95"/>
  <c r="S60" i="90"/>
  <c r="R60" i="90" s="1"/>
  <c r="T60" i="90"/>
  <c r="U60" i="90"/>
  <c r="V60" i="90"/>
  <c r="W60" i="90"/>
  <c r="X60" i="90"/>
  <c r="AA60" i="90"/>
  <c r="Z60" i="90" s="1"/>
  <c r="AB60" i="90"/>
  <c r="AC60" i="90"/>
  <c r="AD60" i="90"/>
  <c r="AE60" i="90"/>
  <c r="AF60" i="90"/>
  <c r="S61" i="90"/>
  <c r="R61" i="90" s="1"/>
  <c r="T61" i="90"/>
  <c r="U61" i="90"/>
  <c r="V61" i="90"/>
  <c r="W61" i="90"/>
  <c r="X61" i="90"/>
  <c r="AA61" i="90"/>
  <c r="Z61" i="90" s="1"/>
  <c r="AB61" i="90"/>
  <c r="AC61" i="90"/>
  <c r="AD61" i="90"/>
  <c r="AE61" i="90"/>
  <c r="AF61" i="90"/>
  <c r="E60" i="100"/>
  <c r="F60" i="100"/>
  <c r="M60" i="100"/>
  <c r="N60" i="100"/>
  <c r="O60" i="100"/>
  <c r="P60" i="100"/>
  <c r="Q60" i="100"/>
  <c r="R60" i="100"/>
  <c r="T60" i="100"/>
  <c r="W60" i="100"/>
  <c r="X60" i="100"/>
  <c r="Y60" i="100"/>
  <c r="Z60" i="100"/>
  <c r="AA60" i="100"/>
  <c r="AB60" i="100"/>
  <c r="AD60" i="100"/>
  <c r="AG60" i="100"/>
  <c r="AH60" i="100"/>
  <c r="AI60" i="100"/>
  <c r="AJ60" i="100"/>
  <c r="AK60" i="100"/>
  <c r="AL60" i="100"/>
  <c r="AN60" i="100"/>
  <c r="AQ60" i="100"/>
  <c r="AR60" i="100"/>
  <c r="AS60" i="100"/>
  <c r="AT60" i="100"/>
  <c r="AU60" i="100"/>
  <c r="AV60" i="100"/>
  <c r="AX60" i="100"/>
  <c r="BA60" i="100"/>
  <c r="BB60" i="100"/>
  <c r="BC60" i="100"/>
  <c r="BD60" i="100"/>
  <c r="BE60" i="100"/>
  <c r="BF60" i="100"/>
  <c r="BH60" i="100"/>
  <c r="BK60" i="100"/>
  <c r="BL60" i="100"/>
  <c r="BM60" i="100"/>
  <c r="BN60" i="100"/>
  <c r="BO60" i="100"/>
  <c r="BP60" i="100"/>
  <c r="BR60" i="100"/>
  <c r="E61" i="100"/>
  <c r="F61" i="100"/>
  <c r="M61" i="100"/>
  <c r="N61" i="100"/>
  <c r="O61" i="100"/>
  <c r="P61" i="100"/>
  <c r="Q61" i="100"/>
  <c r="R61" i="100"/>
  <c r="T61" i="100"/>
  <c r="W61" i="100"/>
  <c r="X61" i="100"/>
  <c r="Y61" i="100"/>
  <c r="Z61" i="100"/>
  <c r="AA61" i="100"/>
  <c r="AB61" i="100"/>
  <c r="AD61" i="100"/>
  <c r="AG61" i="100"/>
  <c r="AI61" i="100"/>
  <c r="AJ61" i="100"/>
  <c r="AK61" i="100"/>
  <c r="AL61" i="100"/>
  <c r="AN61" i="100"/>
  <c r="AQ61" i="100"/>
  <c r="AR61" i="100"/>
  <c r="AS61" i="100"/>
  <c r="AT61" i="100"/>
  <c r="AU61" i="100"/>
  <c r="AV61" i="100"/>
  <c r="AX61" i="100"/>
  <c r="BA61" i="100"/>
  <c r="BB61" i="100"/>
  <c r="BC61" i="100"/>
  <c r="BD61" i="100"/>
  <c r="BE61" i="100"/>
  <c r="BF61" i="100"/>
  <c r="BH61" i="100"/>
  <c r="BK61" i="100"/>
  <c r="BL61" i="100"/>
  <c r="BM61" i="100"/>
  <c r="BN61" i="100"/>
  <c r="BO61" i="100"/>
  <c r="BP61" i="100"/>
  <c r="BR61" i="100"/>
  <c r="B63" i="69"/>
  <c r="C63" i="69"/>
  <c r="D63" i="69"/>
  <c r="E63" i="69"/>
  <c r="F63" i="69"/>
  <c r="G63" i="69"/>
  <c r="AD63" i="69"/>
  <c r="AE63" i="69"/>
  <c r="AF63" i="69"/>
  <c r="BP63" i="69" s="1"/>
  <c r="AG63" i="69"/>
  <c r="AH63" i="69"/>
  <c r="AI63" i="69"/>
  <c r="C64" i="69"/>
  <c r="D64" i="69"/>
  <c r="E64" i="69"/>
  <c r="F64" i="69"/>
  <c r="G64" i="69"/>
  <c r="AD64" i="69"/>
  <c r="AE64" i="69"/>
  <c r="AF64" i="69"/>
  <c r="BP64" i="69" s="1"/>
  <c r="AG64" i="69"/>
  <c r="AH64" i="69"/>
  <c r="AI64" i="69"/>
  <c r="C60" i="72"/>
  <c r="D60" i="72"/>
  <c r="E60" i="72"/>
  <c r="F60" i="72"/>
  <c r="G60" i="72"/>
  <c r="H60" i="72"/>
  <c r="L60" i="72"/>
  <c r="M60" i="72"/>
  <c r="N60" i="72"/>
  <c r="O60" i="72"/>
  <c r="P60" i="72"/>
  <c r="U60" i="72"/>
  <c r="V60" i="72"/>
  <c r="W60" i="72"/>
  <c r="X60" i="72"/>
  <c r="Y60" i="72"/>
  <c r="AD60" i="72"/>
  <c r="AE60" i="72"/>
  <c r="AF60" i="72"/>
  <c r="AG60" i="72"/>
  <c r="AH60" i="72"/>
  <c r="AM60" i="72"/>
  <c r="AN60" i="72"/>
  <c r="AO60" i="72"/>
  <c r="AP60" i="72"/>
  <c r="AQ60" i="72"/>
  <c r="AV60" i="72"/>
  <c r="AW60" i="72"/>
  <c r="AX60" i="72"/>
  <c r="AY60" i="72"/>
  <c r="AZ60" i="72"/>
  <c r="C61" i="72"/>
  <c r="D61" i="72"/>
  <c r="E61" i="72"/>
  <c r="F61" i="72"/>
  <c r="G61" i="72"/>
  <c r="H61" i="72"/>
  <c r="L61" i="72"/>
  <c r="M61" i="72"/>
  <c r="N61" i="72"/>
  <c r="O61" i="72"/>
  <c r="P61" i="72"/>
  <c r="U61" i="72"/>
  <c r="V61" i="72"/>
  <c r="W61" i="72"/>
  <c r="X61" i="72"/>
  <c r="Y61" i="72"/>
  <c r="AD61" i="72"/>
  <c r="AE61" i="72"/>
  <c r="AF61" i="72"/>
  <c r="AG61" i="72"/>
  <c r="AH61" i="72"/>
  <c r="AM61" i="72"/>
  <c r="AN61" i="72"/>
  <c r="AO61" i="72"/>
  <c r="AP61" i="72"/>
  <c r="AQ61" i="72"/>
  <c r="AV61" i="72"/>
  <c r="AW61" i="72"/>
  <c r="AX61" i="72"/>
  <c r="AY61" i="72"/>
  <c r="AZ61" i="72"/>
  <c r="K158" i="121"/>
  <c r="J97" i="121" s="1"/>
  <c r="A231" i="87" l="1"/>
  <c r="I438" i="87"/>
  <c r="A375" i="87"/>
  <c r="H171" i="87"/>
  <c r="AE88" i="152"/>
  <c r="AC88" i="152"/>
  <c r="AB88" i="152"/>
  <c r="AA88" i="152"/>
  <c r="AD88" i="152"/>
  <c r="U59" i="158"/>
  <c r="AD59" i="158"/>
  <c r="AM59" i="158"/>
  <c r="BE59" i="158"/>
  <c r="AV59" i="158"/>
  <c r="BN59" i="158"/>
  <c r="BW59" i="158"/>
  <c r="AE89" i="152"/>
  <c r="AD89" i="152"/>
  <c r="AC89" i="152"/>
  <c r="AB89" i="152"/>
  <c r="AA89" i="152"/>
  <c r="AV60" i="158"/>
  <c r="BE60" i="158"/>
  <c r="BN60" i="158"/>
  <c r="U60" i="158"/>
  <c r="BW60" i="158"/>
  <c r="AD60" i="158"/>
  <c r="AM60" i="158"/>
  <c r="D96" i="98"/>
  <c r="E61" i="97"/>
  <c r="L17" i="58"/>
  <c r="G60" i="97"/>
  <c r="H61" i="97"/>
  <c r="F60" i="97"/>
  <c r="G61" i="97"/>
  <c r="E60" i="97"/>
  <c r="F61" i="97"/>
  <c r="D60" i="97"/>
  <c r="C60" i="97"/>
  <c r="D61" i="97"/>
  <c r="J60" i="97"/>
  <c r="B60" i="97"/>
  <c r="C61" i="97"/>
  <c r="B61" i="97"/>
  <c r="H60" i="97"/>
  <c r="L61" i="97"/>
  <c r="K61" i="97"/>
  <c r="P60" i="97"/>
  <c r="M61" i="97"/>
  <c r="K60" i="97"/>
  <c r="O60" i="97"/>
  <c r="P61" i="97"/>
  <c r="N60" i="97"/>
  <c r="O61" i="97"/>
  <c r="M60" i="97"/>
  <c r="J61" i="97"/>
  <c r="N61" i="97"/>
  <c r="L60" i="97"/>
  <c r="L16" i="91"/>
  <c r="L11" i="91"/>
  <c r="E18" i="149"/>
  <c r="L19" i="58"/>
  <c r="G96" i="98"/>
  <c r="L12" i="58"/>
  <c r="G95" i="98"/>
  <c r="L24" i="91"/>
  <c r="L21" i="91"/>
  <c r="N96" i="98"/>
  <c r="N95" i="98"/>
  <c r="L13" i="58"/>
  <c r="F13" i="91"/>
  <c r="L12" i="91"/>
  <c r="L20" i="58"/>
  <c r="S61" i="72"/>
  <c r="L26" i="58"/>
  <c r="L25" i="58"/>
  <c r="C95" i="98"/>
  <c r="J95" i="98"/>
  <c r="J96" i="98"/>
  <c r="AB60" i="72"/>
  <c r="K157" i="121"/>
  <c r="J96" i="121" s="1"/>
  <c r="AB61" i="72"/>
  <c r="AT61" i="72"/>
  <c r="BC61" i="72"/>
  <c r="AK60" i="72"/>
  <c r="AK61" i="72"/>
  <c r="S60" i="72"/>
  <c r="BC60" i="72"/>
  <c r="AT60" i="72"/>
  <c r="J60" i="72"/>
  <c r="J61" i="72"/>
  <c r="AF61" i="100"/>
  <c r="V60" i="100"/>
  <c r="AZ61" i="100"/>
  <c r="AP60" i="100"/>
  <c r="BJ61" i="100"/>
  <c r="AZ60" i="100"/>
  <c r="AF60" i="100"/>
  <c r="BJ60" i="100"/>
  <c r="AP61" i="100"/>
  <c r="L61" i="100"/>
  <c r="V61" i="100"/>
  <c r="L60" i="100"/>
  <c r="C96" i="98"/>
  <c r="BZ62" i="74"/>
  <c r="BN60" i="74"/>
  <c r="BN61" i="74"/>
  <c r="O63" i="26"/>
  <c r="N63" i="26"/>
  <c r="G89" i="64" s="1"/>
  <c r="M63" i="26"/>
  <c r="L63" i="26"/>
  <c r="B88" i="66" s="1"/>
  <c r="K63" i="26"/>
  <c r="J63" i="26"/>
  <c r="B89" i="64" s="1"/>
  <c r="AD63" i="26"/>
  <c r="AC63" i="26"/>
  <c r="AB63" i="26"/>
  <c r="AA63" i="26"/>
  <c r="Z63" i="26"/>
  <c r="Y63" i="26"/>
  <c r="C59" i="73"/>
  <c r="J59" i="73" s="1"/>
  <c r="C60" i="73"/>
  <c r="J60" i="73" s="1"/>
  <c r="C61" i="73"/>
  <c r="J61" i="73" s="1"/>
  <c r="A232" i="87" l="1"/>
  <c r="I439" i="87"/>
  <c r="A376" i="87"/>
  <c r="H172" i="87"/>
  <c r="Z89" i="152"/>
  <c r="Z88" i="152"/>
  <c r="L59" i="158"/>
  <c r="C59" i="158"/>
  <c r="C60" i="158"/>
  <c r="L60" i="158"/>
  <c r="Q61" i="73"/>
  <c r="R61" i="73" s="1"/>
  <c r="E18" i="151"/>
  <c r="E18" i="143" s="1"/>
  <c r="I96" i="98"/>
  <c r="E27" i="149"/>
  <c r="B96" i="98"/>
  <c r="B95" i="98"/>
  <c r="I95" i="98"/>
  <c r="AD61" i="73"/>
  <c r="AH61" i="73"/>
  <c r="AC61" i="73"/>
  <c r="I60" i="73"/>
  <c r="Q60" i="73"/>
  <c r="K61" i="73"/>
  <c r="AE61" i="73" l="1"/>
  <c r="AI61" i="73" s="1"/>
  <c r="AJ61" i="73" s="1"/>
  <c r="A233" i="87"/>
  <c r="I440" i="87"/>
  <c r="A377" i="87"/>
  <c r="H173" i="87"/>
  <c r="L61" i="73"/>
  <c r="E27" i="151"/>
  <c r="E27" i="143" s="1"/>
  <c r="R60" i="73"/>
  <c r="N88" i="152" s="1"/>
  <c r="L60" i="73"/>
  <c r="AH60" i="73"/>
  <c r="AF61" i="73"/>
  <c r="D158" i="121" s="1"/>
  <c r="K60" i="73"/>
  <c r="N89" i="152"/>
  <c r="A234" i="87" l="1"/>
  <c r="I441" i="87"/>
  <c r="A378" i="87"/>
  <c r="H174" i="87"/>
  <c r="I88" i="152"/>
  <c r="J88" i="152"/>
  <c r="G88" i="152"/>
  <c r="H88" i="152"/>
  <c r="I89" i="152"/>
  <c r="J89" i="152"/>
  <c r="G89" i="152"/>
  <c r="H89" i="152"/>
  <c r="N88" i="146"/>
  <c r="I88" i="146" s="1"/>
  <c r="N89" i="146"/>
  <c r="BB63" i="69"/>
  <c r="AS63" i="69"/>
  <c r="BA63" i="69"/>
  <c r="AR63" i="69"/>
  <c r="AZ63" i="69"/>
  <c r="AP63" i="69"/>
  <c r="AW63" i="69"/>
  <c r="AN63" i="69"/>
  <c r="AV63" i="69"/>
  <c r="AU63" i="69"/>
  <c r="BD63" i="69"/>
  <c r="AL63" i="69"/>
  <c r="BC63" i="69"/>
  <c r="AK63" i="69"/>
  <c r="AT63" i="69"/>
  <c r="AO63" i="69"/>
  <c r="P63" i="69"/>
  <c r="Y63" i="69"/>
  <c r="I63" i="69"/>
  <c r="R63" i="69"/>
  <c r="AA63" i="69"/>
  <c r="K63" i="69"/>
  <c r="T63" i="69"/>
  <c r="U63" i="69"/>
  <c r="Q63" i="69"/>
  <c r="S63" i="69"/>
  <c r="W63" i="69"/>
  <c r="N63" i="69"/>
  <c r="J63" i="69"/>
  <c r="X63" i="69"/>
  <c r="L63" i="69"/>
  <c r="Z63" i="69"/>
  <c r="AY63" i="69"/>
  <c r="M63" i="69"/>
  <c r="AB63" i="69"/>
  <c r="AM63" i="69"/>
  <c r="AZ64" i="69"/>
  <c r="AP64" i="69"/>
  <c r="AY64" i="69"/>
  <c r="AO64" i="69"/>
  <c r="AW64" i="69"/>
  <c r="AN64" i="69"/>
  <c r="BD64" i="69"/>
  <c r="AU64" i="69"/>
  <c r="AL64" i="69"/>
  <c r="AT64" i="69"/>
  <c r="AS64" i="69"/>
  <c r="BB64" i="69"/>
  <c r="BA64" i="69"/>
  <c r="AK64" i="69"/>
  <c r="AV64" i="69"/>
  <c r="AR64" i="69"/>
  <c r="M64" i="69"/>
  <c r="W64" i="69"/>
  <c r="P64" i="69"/>
  <c r="Y64" i="69"/>
  <c r="BC64" i="69"/>
  <c r="I64" i="69"/>
  <c r="R64" i="69"/>
  <c r="AA64" i="69"/>
  <c r="AM64" i="69"/>
  <c r="N64" i="69"/>
  <c r="Q64" i="69"/>
  <c r="Z64" i="69"/>
  <c r="L64" i="69"/>
  <c r="S64" i="69"/>
  <c r="T64" i="69"/>
  <c r="J64" i="69"/>
  <c r="U64" i="69"/>
  <c r="X64" i="69"/>
  <c r="K64" i="69"/>
  <c r="AB64" i="69"/>
  <c r="T60" i="73"/>
  <c r="CB64" i="132"/>
  <c r="D97" i="121"/>
  <c r="G158" i="121"/>
  <c r="G97" i="121" s="1"/>
  <c r="T61" i="73"/>
  <c r="A235" i="87" l="1"/>
  <c r="I442" i="87"/>
  <c r="A379" i="87"/>
  <c r="H175" i="87"/>
  <c r="G88" i="146"/>
  <c r="G89" i="146"/>
  <c r="H89" i="146"/>
  <c r="J89" i="146"/>
  <c r="H88" i="146"/>
  <c r="J88" i="146"/>
  <c r="I89" i="146"/>
  <c r="CE64" i="132"/>
  <c r="CC64" i="132"/>
  <c r="C64" i="132" s="1"/>
  <c r="AC158" i="121"/>
  <c r="A380" i="87" l="1"/>
  <c r="I443" i="87"/>
  <c r="H176" i="87"/>
  <c r="Y64" i="134"/>
  <c r="CD64" i="132"/>
  <c r="D64" i="134"/>
  <c r="E64" i="132"/>
  <c r="J62" i="89" s="1"/>
  <c r="BI64" i="132"/>
  <c r="BJ64" i="132" s="1"/>
  <c r="BF6" i="39"/>
  <c r="BG6" i="39"/>
  <c r="BH6" i="39"/>
  <c r="BI6" i="39"/>
  <c r="BJ6" i="39"/>
  <c r="BK6" i="39"/>
  <c r="BF7" i="39"/>
  <c r="BG7" i="39"/>
  <c r="BH7" i="39"/>
  <c r="F33" i="62" s="1"/>
  <c r="BI7" i="39"/>
  <c r="BJ7" i="39"/>
  <c r="BK7" i="39"/>
  <c r="BF8" i="39"/>
  <c r="BG8" i="39"/>
  <c r="BH8" i="39"/>
  <c r="F34" i="62" s="1"/>
  <c r="BI8" i="39"/>
  <c r="BJ8" i="39"/>
  <c r="BK8" i="39"/>
  <c r="BF9" i="39"/>
  <c r="BG9" i="39"/>
  <c r="BH9" i="39"/>
  <c r="F35" i="62" s="1"/>
  <c r="BI9" i="39"/>
  <c r="BJ9" i="39"/>
  <c r="BK9" i="39"/>
  <c r="BF10" i="39"/>
  <c r="BG10" i="39"/>
  <c r="BH10" i="39"/>
  <c r="F36" i="62" s="1"/>
  <c r="BI10" i="39"/>
  <c r="BJ10" i="39"/>
  <c r="BK10" i="39"/>
  <c r="BF11" i="39"/>
  <c r="BG11" i="39"/>
  <c r="BH11" i="39"/>
  <c r="F37" i="62" s="1"/>
  <c r="BI11" i="39"/>
  <c r="BJ11" i="39"/>
  <c r="BK11" i="39"/>
  <c r="BF12" i="39"/>
  <c r="BG12" i="39"/>
  <c r="BH12" i="39"/>
  <c r="F38" i="62" s="1"/>
  <c r="BI12" i="39"/>
  <c r="BJ12" i="39"/>
  <c r="BK12" i="39"/>
  <c r="BF13" i="39"/>
  <c r="BG13" i="39"/>
  <c r="BH13" i="39"/>
  <c r="F39" i="62" s="1"/>
  <c r="BI13" i="39"/>
  <c r="BJ13" i="39"/>
  <c r="BK13" i="39"/>
  <c r="BF14" i="39"/>
  <c r="BG14" i="39"/>
  <c r="BH14" i="39"/>
  <c r="F40" i="62" s="1"/>
  <c r="BI14" i="39"/>
  <c r="BJ14" i="39"/>
  <c r="BK14" i="39"/>
  <c r="BF15" i="39"/>
  <c r="BG15" i="39"/>
  <c r="BH15" i="39"/>
  <c r="F41" i="62" s="1"/>
  <c r="BI15" i="39"/>
  <c r="BJ15" i="39"/>
  <c r="BK15" i="39"/>
  <c r="BF16" i="39"/>
  <c r="BG16" i="39"/>
  <c r="BH16" i="39"/>
  <c r="F42" i="62" s="1"/>
  <c r="BI16" i="39"/>
  <c r="BJ16" i="39"/>
  <c r="BK16" i="39"/>
  <c r="BF17" i="39"/>
  <c r="BG17" i="39"/>
  <c r="BH17" i="39"/>
  <c r="F43" i="62" s="1"/>
  <c r="BI17" i="39"/>
  <c r="BJ17" i="39"/>
  <c r="BK17" i="39"/>
  <c r="BF18" i="39"/>
  <c r="BG18" i="39"/>
  <c r="BH18" i="39"/>
  <c r="F44" i="62" s="1"/>
  <c r="BI18" i="39"/>
  <c r="BJ18" i="39"/>
  <c r="BK18" i="39"/>
  <c r="BF19" i="39"/>
  <c r="BG19" i="39"/>
  <c r="BH19" i="39"/>
  <c r="F45" i="62" s="1"/>
  <c r="BI19" i="39"/>
  <c r="BJ19" i="39"/>
  <c r="BK19" i="39"/>
  <c r="BF20" i="39"/>
  <c r="BG20" i="39"/>
  <c r="BH20" i="39"/>
  <c r="F46" i="62" s="1"/>
  <c r="BI20" i="39"/>
  <c r="BJ20" i="39"/>
  <c r="BK20" i="39"/>
  <c r="BF21" i="39"/>
  <c r="BG21" i="39"/>
  <c r="BH21" i="39"/>
  <c r="F47" i="62" s="1"/>
  <c r="BI21" i="39"/>
  <c r="BJ21" i="39"/>
  <c r="BK21" i="39"/>
  <c r="BF22" i="39"/>
  <c r="BG22" i="39"/>
  <c r="BH22" i="39"/>
  <c r="F48" i="62" s="1"/>
  <c r="BI22" i="39"/>
  <c r="BJ22" i="39"/>
  <c r="BK22" i="39"/>
  <c r="BF23" i="39"/>
  <c r="BG23" i="39"/>
  <c r="BH23" i="39"/>
  <c r="F49" i="62" s="1"/>
  <c r="BI23" i="39"/>
  <c r="BJ23" i="39"/>
  <c r="BK23" i="39"/>
  <c r="BF24" i="39"/>
  <c r="BG24" i="39"/>
  <c r="BH24" i="39"/>
  <c r="F50" i="62" s="1"/>
  <c r="BI24" i="39"/>
  <c r="BJ24" i="39"/>
  <c r="BK24" i="39"/>
  <c r="BF25" i="39"/>
  <c r="BG25" i="39"/>
  <c r="BH25" i="39"/>
  <c r="BI25" i="39"/>
  <c r="BJ25" i="39"/>
  <c r="BK25" i="39"/>
  <c r="BF26" i="39"/>
  <c r="BG26" i="39"/>
  <c r="BH26" i="39"/>
  <c r="F52" i="62" s="1"/>
  <c r="BI26" i="39"/>
  <c r="BJ26" i="39"/>
  <c r="BK26" i="39"/>
  <c r="BF27" i="39"/>
  <c r="BG27" i="39"/>
  <c r="BH27" i="39"/>
  <c r="F53" i="62" s="1"/>
  <c r="BI27" i="39"/>
  <c r="BJ27" i="39"/>
  <c r="BK27" i="39"/>
  <c r="BF28" i="39"/>
  <c r="BG28" i="39"/>
  <c r="BH28" i="39"/>
  <c r="F54" i="62" s="1"/>
  <c r="BI28" i="39"/>
  <c r="BJ28" i="39"/>
  <c r="BK28" i="39"/>
  <c r="BF29" i="39"/>
  <c r="BG29" i="39"/>
  <c r="BH29" i="39"/>
  <c r="F55" i="62" s="1"/>
  <c r="BI29" i="39"/>
  <c r="BJ29" i="39"/>
  <c r="BK29" i="39"/>
  <c r="BF30" i="39"/>
  <c r="BG30" i="39"/>
  <c r="BH30" i="39"/>
  <c r="F56" i="62" s="1"/>
  <c r="BI30" i="39"/>
  <c r="BJ30" i="39"/>
  <c r="BK30" i="39"/>
  <c r="BF31" i="39"/>
  <c r="BG31" i="39"/>
  <c r="BH31" i="39"/>
  <c r="BI31" i="39"/>
  <c r="BJ31" i="39"/>
  <c r="BK31" i="39"/>
  <c r="BF32" i="39"/>
  <c r="BG32" i="39"/>
  <c r="BH32" i="39"/>
  <c r="F58" i="62" s="1"/>
  <c r="BI32" i="39"/>
  <c r="BJ32" i="39"/>
  <c r="BK32" i="39"/>
  <c r="BF33" i="39"/>
  <c r="BG33" i="39"/>
  <c r="BH33" i="39"/>
  <c r="F59" i="62" s="1"/>
  <c r="BI33" i="39"/>
  <c r="BJ33" i="39"/>
  <c r="BK33" i="39"/>
  <c r="BF34" i="39"/>
  <c r="BG34" i="39"/>
  <c r="BH34" i="39"/>
  <c r="F60" i="62" s="1"/>
  <c r="BI34" i="39"/>
  <c r="BJ34" i="39"/>
  <c r="BK34" i="39"/>
  <c r="BF35" i="39"/>
  <c r="BG35" i="39"/>
  <c r="BH35" i="39"/>
  <c r="BI35" i="39"/>
  <c r="BJ35" i="39"/>
  <c r="BK35" i="39"/>
  <c r="BF36" i="39"/>
  <c r="BG36" i="39"/>
  <c r="BH36" i="39"/>
  <c r="F62" i="62" s="1"/>
  <c r="BI36" i="39"/>
  <c r="BJ36" i="39"/>
  <c r="BK36" i="39"/>
  <c r="BF37" i="39"/>
  <c r="BG37" i="39"/>
  <c r="BH37" i="39"/>
  <c r="F63" i="62" s="1"/>
  <c r="BI37" i="39"/>
  <c r="BJ37" i="39"/>
  <c r="BK37" i="39"/>
  <c r="BF38" i="39"/>
  <c r="BG38" i="39"/>
  <c r="BH38" i="39"/>
  <c r="F64" i="62" s="1"/>
  <c r="BI38" i="39"/>
  <c r="BJ38" i="39"/>
  <c r="BK38" i="39"/>
  <c r="BF39" i="39"/>
  <c r="BG39" i="39"/>
  <c r="BH39" i="39"/>
  <c r="F65" i="62" s="1"/>
  <c r="BI39" i="39"/>
  <c r="BJ39" i="39"/>
  <c r="BK39" i="39"/>
  <c r="BF40" i="39"/>
  <c r="BG40" i="39"/>
  <c r="BH40" i="39"/>
  <c r="F66" i="62" s="1"/>
  <c r="BI40" i="39"/>
  <c r="BJ40" i="39"/>
  <c r="BK40" i="39"/>
  <c r="BF41" i="39"/>
  <c r="BG41" i="39"/>
  <c r="BH41" i="39"/>
  <c r="F67" i="62" s="1"/>
  <c r="BI41" i="39"/>
  <c r="BJ41" i="39"/>
  <c r="BK41" i="39"/>
  <c r="BF42" i="39"/>
  <c r="BG42" i="39"/>
  <c r="BH42" i="39"/>
  <c r="F68" i="62" s="1"/>
  <c r="BI42" i="39"/>
  <c r="BJ42" i="39"/>
  <c r="BK42" i="39"/>
  <c r="BF43" i="39"/>
  <c r="BG43" i="39"/>
  <c r="BH43" i="39"/>
  <c r="F69" i="62" s="1"/>
  <c r="BI43" i="39"/>
  <c r="BJ43" i="39"/>
  <c r="BK43" i="39"/>
  <c r="BF44" i="39"/>
  <c r="BG44" i="39"/>
  <c r="BH44" i="39"/>
  <c r="F70" i="62" s="1"/>
  <c r="BI44" i="39"/>
  <c r="BJ44" i="39"/>
  <c r="BK44" i="39"/>
  <c r="BF45" i="39"/>
  <c r="BG45" i="39"/>
  <c r="BH45" i="39"/>
  <c r="F71" i="62" s="1"/>
  <c r="BI45" i="39"/>
  <c r="BJ45" i="39"/>
  <c r="BK45" i="39"/>
  <c r="BF46" i="39"/>
  <c r="BG46" i="39"/>
  <c r="BH46" i="39"/>
  <c r="F72" i="62" s="1"/>
  <c r="BI46" i="39"/>
  <c r="BJ46" i="39"/>
  <c r="BK46" i="39"/>
  <c r="BF47" i="39"/>
  <c r="BG47" i="39"/>
  <c r="BH47" i="39"/>
  <c r="F73" i="62" s="1"/>
  <c r="BI47" i="39"/>
  <c r="BJ47" i="39"/>
  <c r="BK47" i="39"/>
  <c r="BF48" i="39"/>
  <c r="BG48" i="39"/>
  <c r="BH48" i="39"/>
  <c r="F74" i="62" s="1"/>
  <c r="BI48" i="39"/>
  <c r="BJ48" i="39"/>
  <c r="BK48" i="39"/>
  <c r="BF49" i="39"/>
  <c r="BG49" i="39"/>
  <c r="BH49" i="39"/>
  <c r="F75" i="62" s="1"/>
  <c r="BI49" i="39"/>
  <c r="BJ49" i="39"/>
  <c r="BK49" i="39"/>
  <c r="BF50" i="39"/>
  <c r="BG50" i="39"/>
  <c r="BH50" i="39"/>
  <c r="F76" i="62" s="1"/>
  <c r="BI50" i="39"/>
  <c r="BJ50" i="39"/>
  <c r="BK50" i="39"/>
  <c r="BF51" i="39"/>
  <c r="BG51" i="39"/>
  <c r="BH51" i="39"/>
  <c r="F77" i="62" s="1"/>
  <c r="BI51" i="39"/>
  <c r="BJ51" i="39"/>
  <c r="BK51" i="39"/>
  <c r="BF52" i="39"/>
  <c r="BG52" i="39"/>
  <c r="BH52" i="39"/>
  <c r="F78" i="62" s="1"/>
  <c r="BI52" i="39"/>
  <c r="BJ52" i="39"/>
  <c r="BK52" i="39"/>
  <c r="BF53" i="39"/>
  <c r="BG53" i="39"/>
  <c r="BH53" i="39"/>
  <c r="F79" i="62" s="1"/>
  <c r="BI53" i="39"/>
  <c r="BJ53" i="39"/>
  <c r="BK53" i="39"/>
  <c r="BF54" i="39"/>
  <c r="BG54" i="39"/>
  <c r="BH54" i="39"/>
  <c r="F80" i="62" s="1"/>
  <c r="BI54" i="39"/>
  <c r="BJ54" i="39"/>
  <c r="BK54" i="39"/>
  <c r="BF55" i="39"/>
  <c r="BG55" i="39"/>
  <c r="BH55" i="39"/>
  <c r="F81" i="62" s="1"/>
  <c r="BI55" i="39"/>
  <c r="BJ55" i="39"/>
  <c r="BK55" i="39"/>
  <c r="BF56" i="39"/>
  <c r="BG56" i="39"/>
  <c r="BH56" i="39"/>
  <c r="F82" i="62" s="1"/>
  <c r="BI56" i="39"/>
  <c r="BJ56" i="39"/>
  <c r="BK56" i="39"/>
  <c r="BF57" i="39"/>
  <c r="BG57" i="39"/>
  <c r="BH57" i="39"/>
  <c r="F83" i="62" s="1"/>
  <c r="BI57" i="39"/>
  <c r="BJ57" i="39"/>
  <c r="BK57" i="39"/>
  <c r="BF58" i="39"/>
  <c r="BG58" i="39"/>
  <c r="BH58" i="39"/>
  <c r="F84" i="62" s="1"/>
  <c r="BI58" i="39"/>
  <c r="BJ58" i="39"/>
  <c r="BK58" i="39"/>
  <c r="BG59" i="39"/>
  <c r="BH59" i="39"/>
  <c r="F85" i="62" s="1"/>
  <c r="BI59" i="39"/>
  <c r="BJ59" i="39"/>
  <c r="BK59" i="39"/>
  <c r="BF59" i="39"/>
  <c r="BF3" i="39"/>
  <c r="G61" i="90" l="1"/>
  <c r="H61" i="90"/>
  <c r="C61" i="100"/>
  <c r="F61" i="90"/>
  <c r="C61" i="90"/>
  <c r="D61" i="90"/>
  <c r="E61" i="90"/>
  <c r="P64" i="132"/>
  <c r="E12" i="58"/>
  <c r="F61" i="62"/>
  <c r="D12" i="58"/>
  <c r="F57" i="62"/>
  <c r="B12" i="58"/>
  <c r="F32" i="62"/>
  <c r="C12" i="58"/>
  <c r="F51" i="62"/>
  <c r="K64" i="134"/>
  <c r="AA64" i="134" s="1"/>
  <c r="AE64" i="134" s="1"/>
  <c r="AL61" i="74"/>
  <c r="BD61" i="74"/>
  <c r="B61" i="90" l="1"/>
  <c r="Q64" i="132"/>
  <c r="AN61" i="74" s="1"/>
  <c r="V52" i="114"/>
  <c r="V53" i="114"/>
  <c r="V54" i="114"/>
  <c r="V55" i="114"/>
  <c r="V56" i="114"/>
  <c r="V57" i="114"/>
  <c r="V58" i="114"/>
  <c r="V59" i="114"/>
  <c r="V60" i="114"/>
  <c r="V61" i="114"/>
  <c r="V62" i="114"/>
  <c r="V63" i="114"/>
  <c r="V64" i="114"/>
  <c r="V65" i="114"/>
  <c r="V66" i="114"/>
  <c r="U12" i="114"/>
  <c r="V12" i="114" s="1"/>
  <c r="U13" i="114"/>
  <c r="V13" i="114" s="1"/>
  <c r="U14" i="114"/>
  <c r="V14" i="114" s="1"/>
  <c r="U15" i="114"/>
  <c r="V15" i="114" s="1"/>
  <c r="U16" i="114"/>
  <c r="V16" i="114" s="1"/>
  <c r="U17" i="114"/>
  <c r="V17" i="114" s="1"/>
  <c r="U18" i="114"/>
  <c r="V18" i="114" s="1"/>
  <c r="U19" i="114"/>
  <c r="V19" i="114" s="1"/>
  <c r="U20" i="114"/>
  <c r="V20" i="114" s="1"/>
  <c r="U21" i="114"/>
  <c r="V21" i="114" s="1"/>
  <c r="U22" i="114"/>
  <c r="V22" i="114" s="1"/>
  <c r="U23" i="114"/>
  <c r="V23" i="114" s="1"/>
  <c r="U24" i="114"/>
  <c r="V24" i="114" s="1"/>
  <c r="U25" i="114"/>
  <c r="V25" i="114" s="1"/>
  <c r="U26" i="114"/>
  <c r="V26" i="114" s="1"/>
  <c r="U27" i="114"/>
  <c r="V27" i="114" s="1"/>
  <c r="U28" i="114"/>
  <c r="V28" i="114" s="1"/>
  <c r="U29" i="114"/>
  <c r="V29" i="114" s="1"/>
  <c r="U30" i="114"/>
  <c r="V30" i="114" s="1"/>
  <c r="U31" i="114"/>
  <c r="V31" i="114" s="1"/>
  <c r="U32" i="114"/>
  <c r="V32" i="114" s="1"/>
  <c r="U33" i="114"/>
  <c r="V33" i="114" s="1"/>
  <c r="U34" i="114"/>
  <c r="V34" i="114" s="1"/>
  <c r="U35" i="114"/>
  <c r="V35" i="114" s="1"/>
  <c r="U36" i="114"/>
  <c r="V36" i="114" s="1"/>
  <c r="U37" i="114"/>
  <c r="V37" i="114" s="1"/>
  <c r="U38" i="114"/>
  <c r="V38" i="114" s="1"/>
  <c r="U39" i="114"/>
  <c r="V39" i="114" s="1"/>
  <c r="U40" i="114"/>
  <c r="V40" i="114" s="1"/>
  <c r="U41" i="114"/>
  <c r="V41" i="114" s="1"/>
  <c r="U42" i="114"/>
  <c r="V42" i="114" s="1"/>
  <c r="U43" i="114"/>
  <c r="V43" i="114" s="1"/>
  <c r="U44" i="114"/>
  <c r="V44" i="114" s="1"/>
  <c r="U45" i="114"/>
  <c r="V45" i="114" s="1"/>
  <c r="U46" i="114"/>
  <c r="V46" i="114" s="1"/>
  <c r="U47" i="114"/>
  <c r="V47" i="114" s="1"/>
  <c r="U48" i="114"/>
  <c r="V48" i="114" s="1"/>
  <c r="U49" i="114"/>
  <c r="V49" i="114" s="1"/>
  <c r="U50" i="114"/>
  <c r="V50" i="114" s="1"/>
  <c r="U51" i="114"/>
  <c r="V51" i="114" s="1"/>
  <c r="AL61" i="73" l="1"/>
  <c r="AK61" i="73" s="1"/>
  <c r="R62" i="89"/>
  <c r="O61" i="90" s="1"/>
  <c r="L61" i="90"/>
  <c r="M61" i="90"/>
  <c r="N61" i="90"/>
  <c r="Q29" i="114"/>
  <c r="P29" i="114"/>
  <c r="AY12" i="114"/>
  <c r="AY13" i="114"/>
  <c r="AY14" i="114"/>
  <c r="AY15" i="114"/>
  <c r="AY16" i="114"/>
  <c r="AY17" i="114"/>
  <c r="AY18" i="114"/>
  <c r="AY19" i="114"/>
  <c r="AY20" i="114"/>
  <c r="AY21" i="114"/>
  <c r="AY22" i="114"/>
  <c r="AY23" i="114"/>
  <c r="AY24" i="114"/>
  <c r="AY25" i="114"/>
  <c r="AY26" i="114"/>
  <c r="AY27" i="114"/>
  <c r="AY28" i="114"/>
  <c r="AY29" i="114"/>
  <c r="AY30" i="114"/>
  <c r="AY31" i="114"/>
  <c r="AY32" i="114"/>
  <c r="AY33" i="114"/>
  <c r="AY34" i="114"/>
  <c r="AY35" i="114"/>
  <c r="AY36" i="114"/>
  <c r="AY37" i="114"/>
  <c r="AY38" i="114"/>
  <c r="AY39" i="114"/>
  <c r="AY40" i="114"/>
  <c r="AY41" i="114"/>
  <c r="AY42" i="114"/>
  <c r="AY43" i="114"/>
  <c r="AY44" i="114"/>
  <c r="AY45" i="114"/>
  <c r="AY46" i="114"/>
  <c r="AY47" i="114"/>
  <c r="AY48" i="114"/>
  <c r="AY49" i="114"/>
  <c r="AY50" i="114"/>
  <c r="AY51" i="114"/>
  <c r="AY52" i="114"/>
  <c r="AY53" i="114"/>
  <c r="AY54" i="114"/>
  <c r="AY55" i="114"/>
  <c r="AY56" i="114"/>
  <c r="AY57" i="114"/>
  <c r="AY58" i="114"/>
  <c r="AY59" i="114"/>
  <c r="AY60" i="114"/>
  <c r="AY61" i="114"/>
  <c r="AP61" i="114" s="1"/>
  <c r="AY62" i="114"/>
  <c r="AP62" i="114" s="1"/>
  <c r="AY63" i="114"/>
  <c r="AP63" i="114" s="1"/>
  <c r="AY64" i="114"/>
  <c r="AP64" i="114" s="1"/>
  <c r="AY65" i="114"/>
  <c r="AP65" i="114" s="1"/>
  <c r="AY11" i="114"/>
  <c r="AH66" i="114"/>
  <c r="AD66" i="114"/>
  <c r="Z66" i="114"/>
  <c r="AH65" i="114"/>
  <c r="AD65" i="114"/>
  <c r="Z65" i="114"/>
  <c r="AH64" i="114"/>
  <c r="AD64" i="114"/>
  <c r="Z64" i="114"/>
  <c r="B64" i="114"/>
  <c r="AH63" i="114"/>
  <c r="AD63" i="114"/>
  <c r="Z63" i="114"/>
  <c r="B63" i="114"/>
  <c r="AH62" i="114"/>
  <c r="AD62" i="114"/>
  <c r="Z62" i="114"/>
  <c r="B62" i="114"/>
  <c r="A62" i="114"/>
  <c r="A63" i="114" s="1"/>
  <c r="A64" i="114" s="1"/>
  <c r="A65" i="114" s="1"/>
  <c r="A66" i="114" s="1"/>
  <c r="A67" i="114" s="1"/>
  <c r="AH61" i="114"/>
  <c r="AD61" i="114"/>
  <c r="Z61" i="114"/>
  <c r="B61" i="114"/>
  <c r="AH60" i="114"/>
  <c r="AD60" i="114"/>
  <c r="Z60" i="114"/>
  <c r="B60" i="114"/>
  <c r="AH59" i="114"/>
  <c r="AD59" i="114"/>
  <c r="Z59" i="114"/>
  <c r="B59" i="114"/>
  <c r="AH58" i="114"/>
  <c r="AD58" i="114"/>
  <c r="Z58" i="114"/>
  <c r="B58" i="114"/>
  <c r="AH57" i="114"/>
  <c r="AD57" i="114"/>
  <c r="Z57" i="114"/>
  <c r="B57" i="114"/>
  <c r="AH56" i="114"/>
  <c r="AD56" i="114"/>
  <c r="Z56" i="114"/>
  <c r="B56" i="114"/>
  <c r="AH55" i="114"/>
  <c r="AD55" i="114"/>
  <c r="Z55" i="114"/>
  <c r="B55" i="114"/>
  <c r="AH54" i="114"/>
  <c r="AD54" i="114"/>
  <c r="Z54" i="114"/>
  <c r="B54" i="114"/>
  <c r="A54" i="114"/>
  <c r="A55" i="114" s="1"/>
  <c r="AH53" i="114"/>
  <c r="AD53" i="114"/>
  <c r="Z53" i="114"/>
  <c r="B53" i="114"/>
  <c r="AH52" i="114"/>
  <c r="AD52" i="114"/>
  <c r="Z52" i="114"/>
  <c r="B52" i="114"/>
  <c r="AH51" i="114"/>
  <c r="AD51" i="114"/>
  <c r="Z51" i="114"/>
  <c r="B51" i="114"/>
  <c r="AH50" i="114"/>
  <c r="AD50" i="114"/>
  <c r="Z50" i="114"/>
  <c r="B50" i="114"/>
  <c r="AH49" i="114"/>
  <c r="AD49" i="114"/>
  <c r="Z49" i="114"/>
  <c r="B49" i="114"/>
  <c r="AH48" i="114"/>
  <c r="AD48" i="114"/>
  <c r="Z48" i="114"/>
  <c r="B48" i="114"/>
  <c r="AH47" i="114"/>
  <c r="AD47" i="114"/>
  <c r="Z47" i="114"/>
  <c r="B47" i="114"/>
  <c r="AH46" i="114"/>
  <c r="AD46" i="114"/>
  <c r="Z46" i="114"/>
  <c r="B46" i="114"/>
  <c r="AH45" i="114"/>
  <c r="AD45" i="114"/>
  <c r="Z45" i="114"/>
  <c r="B45" i="114"/>
  <c r="AH44" i="114"/>
  <c r="AD44" i="114"/>
  <c r="Z44" i="114"/>
  <c r="B44" i="114"/>
  <c r="AH43" i="114"/>
  <c r="AD43" i="114"/>
  <c r="Z43" i="114"/>
  <c r="B43" i="114"/>
  <c r="AH42" i="114"/>
  <c r="AD42" i="114"/>
  <c r="Z42" i="114"/>
  <c r="B42" i="114"/>
  <c r="AH41" i="114"/>
  <c r="AD41" i="114"/>
  <c r="Z41" i="114"/>
  <c r="B41" i="114"/>
  <c r="AH40" i="114"/>
  <c r="AD40" i="114"/>
  <c r="Z40" i="114"/>
  <c r="B40" i="114"/>
  <c r="AH39" i="114"/>
  <c r="AD39" i="114"/>
  <c r="Z39" i="114"/>
  <c r="B39" i="114"/>
  <c r="AH38" i="114"/>
  <c r="AD38" i="114"/>
  <c r="Z38" i="114"/>
  <c r="B38" i="114"/>
  <c r="AH37" i="114"/>
  <c r="AD37" i="114"/>
  <c r="Z37" i="114"/>
  <c r="B37" i="114"/>
  <c r="AH36" i="114"/>
  <c r="AD36" i="114"/>
  <c r="Z36" i="114"/>
  <c r="B36" i="114"/>
  <c r="AH35" i="114"/>
  <c r="AD35" i="114"/>
  <c r="Z35" i="114"/>
  <c r="B35" i="114"/>
  <c r="AH34" i="114"/>
  <c r="AD34" i="114"/>
  <c r="Z34" i="114"/>
  <c r="B34" i="114"/>
  <c r="AH33" i="114"/>
  <c r="AD33" i="114"/>
  <c r="Z33" i="114"/>
  <c r="B33" i="114"/>
  <c r="AH32" i="114"/>
  <c r="AD32" i="114"/>
  <c r="Z32" i="114"/>
  <c r="B32" i="114"/>
  <c r="AH31" i="114"/>
  <c r="AD31" i="114"/>
  <c r="Z31" i="114"/>
  <c r="B31" i="114"/>
  <c r="AH30" i="114"/>
  <c r="AD30" i="114"/>
  <c r="Z30" i="114"/>
  <c r="B30" i="114"/>
  <c r="AH29" i="114"/>
  <c r="AD29" i="114"/>
  <c r="Z29" i="114"/>
  <c r="B29" i="114"/>
  <c r="AH28" i="114"/>
  <c r="AD28" i="114"/>
  <c r="Z28" i="114"/>
  <c r="B28" i="114"/>
  <c r="AH27" i="114"/>
  <c r="AD27" i="114"/>
  <c r="Z27" i="114"/>
  <c r="B27" i="114"/>
  <c r="AH26" i="114"/>
  <c r="AD26" i="114"/>
  <c r="Z26" i="114"/>
  <c r="B26" i="114"/>
  <c r="AH25" i="114"/>
  <c r="AD25" i="114"/>
  <c r="Z25" i="114"/>
  <c r="B25" i="114"/>
  <c r="AH24" i="114"/>
  <c r="AD24" i="114"/>
  <c r="Z24" i="114"/>
  <c r="B24" i="114"/>
  <c r="AH23" i="114"/>
  <c r="AD23" i="114"/>
  <c r="Z23" i="114"/>
  <c r="B23" i="114"/>
  <c r="AH22" i="114"/>
  <c r="AD22" i="114"/>
  <c r="Z22" i="114"/>
  <c r="B22" i="114"/>
  <c r="AH21" i="114"/>
  <c r="AD21" i="114"/>
  <c r="Z21" i="114"/>
  <c r="B21" i="114"/>
  <c r="AH20" i="114"/>
  <c r="AD20" i="114"/>
  <c r="Z20" i="114"/>
  <c r="B20" i="114"/>
  <c r="AH19" i="114"/>
  <c r="AD19" i="114"/>
  <c r="Z19" i="114"/>
  <c r="B19" i="114"/>
  <c r="AH18" i="114"/>
  <c r="AD18" i="114"/>
  <c r="Z18" i="114"/>
  <c r="B18" i="114"/>
  <c r="AH17" i="114"/>
  <c r="AD17" i="114"/>
  <c r="Z17" i="114"/>
  <c r="B17" i="114"/>
  <c r="AH16" i="114"/>
  <c r="AD16" i="114"/>
  <c r="Z16" i="114"/>
  <c r="AH15" i="114"/>
  <c r="AD15" i="114"/>
  <c r="Z15" i="114"/>
  <c r="B15" i="114"/>
  <c r="AH14" i="114"/>
  <c r="AD14" i="114"/>
  <c r="Z14" i="114"/>
  <c r="AH13" i="114"/>
  <c r="AD13" i="114"/>
  <c r="Z13" i="114"/>
  <c r="B13" i="114"/>
  <c r="AH12" i="114"/>
  <c r="AD12" i="114"/>
  <c r="Z12" i="114"/>
  <c r="AD11" i="114"/>
  <c r="Z11" i="114"/>
  <c r="B11" i="114"/>
  <c r="K61" i="90" l="1"/>
  <c r="J61" i="90" s="1"/>
  <c r="D61" i="100"/>
  <c r="P61" i="90"/>
  <c r="P18" i="114"/>
  <c r="E18" i="114" s="1"/>
  <c r="H18" i="114" s="1"/>
  <c r="Q18" i="114"/>
  <c r="Q52" i="114"/>
  <c r="P52" i="114"/>
  <c r="E52" i="114" s="1"/>
  <c r="P15" i="114"/>
  <c r="E15" i="114" s="1"/>
  <c r="Q15" i="114"/>
  <c r="Q20" i="114"/>
  <c r="P20" i="114"/>
  <c r="E20" i="114" s="1"/>
  <c r="Q28" i="114"/>
  <c r="P28" i="114"/>
  <c r="E28" i="114" s="1"/>
  <c r="Q49" i="114"/>
  <c r="P49" i="114"/>
  <c r="E49" i="114" s="1"/>
  <c r="Q63" i="114"/>
  <c r="P63" i="114"/>
  <c r="E63" i="114" s="1"/>
  <c r="P17" i="114"/>
  <c r="E17" i="114" s="1"/>
  <c r="Q17" i="114"/>
  <c r="Q67" i="114"/>
  <c r="P67" i="114"/>
  <c r="P31" i="114"/>
  <c r="E31" i="114" s="1"/>
  <c r="Q31" i="114"/>
  <c r="P39" i="114"/>
  <c r="E39" i="114" s="1"/>
  <c r="Q39" i="114"/>
  <c r="P47" i="114"/>
  <c r="E47" i="114" s="1"/>
  <c r="Q47" i="114"/>
  <c r="P58" i="114"/>
  <c r="E58" i="114" s="1"/>
  <c r="Q58" i="114"/>
  <c r="P23" i="114"/>
  <c r="E23" i="114" s="1"/>
  <c r="Q23" i="114"/>
  <c r="Q36" i="114"/>
  <c r="P36" i="114"/>
  <c r="E36" i="114" s="1"/>
  <c r="Q44" i="114"/>
  <c r="P44" i="114"/>
  <c r="E44" i="114" s="1"/>
  <c r="P33" i="114"/>
  <c r="E33" i="114" s="1"/>
  <c r="Q33" i="114"/>
  <c r="Q41" i="114"/>
  <c r="P41" i="114"/>
  <c r="E41" i="114" s="1"/>
  <c r="P25" i="114"/>
  <c r="E25" i="114" s="1"/>
  <c r="Q25" i="114"/>
  <c r="P30" i="114"/>
  <c r="E30" i="114" s="1"/>
  <c r="Q30" i="114"/>
  <c r="P38" i="114"/>
  <c r="E38" i="114" s="1"/>
  <c r="Q38" i="114"/>
  <c r="P46" i="114"/>
  <c r="E46" i="114" s="1"/>
  <c r="Q46" i="114"/>
  <c r="Q65" i="114"/>
  <c r="P65" i="114"/>
  <c r="E65" i="114" s="1"/>
  <c r="Q12" i="114"/>
  <c r="P12" i="114"/>
  <c r="P35" i="114"/>
  <c r="E35" i="114" s="1"/>
  <c r="Q35" i="114"/>
  <c r="Q43" i="114"/>
  <c r="P43" i="114"/>
  <c r="E43" i="114" s="1"/>
  <c r="P51" i="114"/>
  <c r="E51" i="114" s="1"/>
  <c r="Q51" i="114"/>
  <c r="P19" i="114"/>
  <c r="E19" i="114" s="1"/>
  <c r="Q19" i="114"/>
  <c r="P32" i="114"/>
  <c r="E32" i="114" s="1"/>
  <c r="Q32" i="114"/>
  <c r="Q40" i="114"/>
  <c r="P40" i="114"/>
  <c r="E40" i="114" s="1"/>
  <c r="Q48" i="114"/>
  <c r="P48" i="114"/>
  <c r="E48" i="114" s="1"/>
  <c r="P59" i="114"/>
  <c r="E59" i="114" s="1"/>
  <c r="Q59" i="114"/>
  <c r="Q16" i="114"/>
  <c r="P16" i="114"/>
  <c r="P24" i="114"/>
  <c r="E24" i="114" s="1"/>
  <c r="Q24" i="114"/>
  <c r="P37" i="114"/>
  <c r="E37" i="114" s="1"/>
  <c r="Q37" i="114"/>
  <c r="Q45" i="114"/>
  <c r="P45" i="114"/>
  <c r="E45" i="114" s="1"/>
  <c r="Q53" i="114"/>
  <c r="P53" i="114"/>
  <c r="E53" i="114" s="1"/>
  <c r="Q56" i="114"/>
  <c r="P56" i="114"/>
  <c r="E56" i="114" s="1"/>
  <c r="D29" i="114"/>
  <c r="AH24" i="74" s="1"/>
  <c r="C29" i="114"/>
  <c r="Q11" i="114"/>
  <c r="P11" i="114"/>
  <c r="E11" i="114" s="1"/>
  <c r="P26" i="114"/>
  <c r="E26" i="114" s="1"/>
  <c r="Q26" i="114"/>
  <c r="Q13" i="114"/>
  <c r="P13" i="114"/>
  <c r="E13" i="114" s="1"/>
  <c r="P55" i="114"/>
  <c r="E55" i="114" s="1"/>
  <c r="Q55" i="114"/>
  <c r="Q60" i="114"/>
  <c r="P60" i="114"/>
  <c r="E60" i="114" s="1"/>
  <c r="P57" i="114"/>
  <c r="E57" i="114" s="1"/>
  <c r="Q57" i="114"/>
  <c r="P22" i="114"/>
  <c r="E22" i="114" s="1"/>
  <c r="Q22" i="114"/>
  <c r="P54" i="114"/>
  <c r="E54" i="114" s="1"/>
  <c r="Q54" i="114"/>
  <c r="P14" i="114"/>
  <c r="Q14" i="114"/>
  <c r="Q27" i="114"/>
  <c r="P27" i="114"/>
  <c r="E27" i="114" s="1"/>
  <c r="P62" i="114"/>
  <c r="E62" i="114" s="1"/>
  <c r="Q62" i="114"/>
  <c r="P21" i="114"/>
  <c r="E21" i="114" s="1"/>
  <c r="Q21" i="114"/>
  <c r="E29" i="114"/>
  <c r="AI24" i="74" s="1"/>
  <c r="P34" i="114"/>
  <c r="E34" i="114" s="1"/>
  <c r="Q34" i="114"/>
  <c r="P42" i="114"/>
  <c r="E42" i="114" s="1"/>
  <c r="Q42" i="114"/>
  <c r="P50" i="114"/>
  <c r="E50" i="114" s="1"/>
  <c r="Q50" i="114"/>
  <c r="P61" i="114"/>
  <c r="E61" i="114" s="1"/>
  <c r="Q61" i="114"/>
  <c r="P64" i="114"/>
  <c r="E64" i="114" s="1"/>
  <c r="Q64" i="114"/>
  <c r="P66" i="114"/>
  <c r="Q66" i="114"/>
  <c r="C66" i="114" s="1"/>
  <c r="AP58" i="114"/>
  <c r="AQ58" i="114" s="1"/>
  <c r="AP50" i="114"/>
  <c r="AQ50" i="114" s="1"/>
  <c r="AP42" i="114"/>
  <c r="AQ42" i="114" s="1"/>
  <c r="AP34" i="114"/>
  <c r="AP26" i="114"/>
  <c r="AQ26" i="114" s="1"/>
  <c r="AP18" i="114"/>
  <c r="AQ18" i="114" s="1"/>
  <c r="AP53" i="114"/>
  <c r="AQ53" i="114" s="1"/>
  <c r="AP45" i="114"/>
  <c r="AP37" i="114"/>
  <c r="AQ37" i="114" s="1"/>
  <c r="AP29" i="114"/>
  <c r="AQ29" i="114" s="1"/>
  <c r="AP21" i="114"/>
  <c r="AQ21" i="114" s="1"/>
  <c r="AP13" i="114"/>
  <c r="AQ13" i="114" s="1"/>
  <c r="AP28" i="114"/>
  <c r="AQ28" i="114" s="1"/>
  <c r="AP56" i="114"/>
  <c r="AQ56" i="114" s="1"/>
  <c r="AP48" i="114"/>
  <c r="AQ48" i="114" s="1"/>
  <c r="AP40" i="114"/>
  <c r="AQ40" i="114" s="1"/>
  <c r="AP32" i="114"/>
  <c r="AQ32" i="114" s="1"/>
  <c r="AP24" i="114"/>
  <c r="AQ24" i="114" s="1"/>
  <c r="AP16" i="114"/>
  <c r="AQ16" i="114" s="1"/>
  <c r="AP57" i="114"/>
  <c r="AQ57" i="114" s="1"/>
  <c r="AP49" i="114"/>
  <c r="AQ49" i="114" s="1"/>
  <c r="AP41" i="114"/>
  <c r="AQ41" i="114" s="1"/>
  <c r="AP33" i="114"/>
  <c r="AQ33" i="114" s="1"/>
  <c r="AP25" i="114"/>
  <c r="AQ25" i="114" s="1"/>
  <c r="AP17" i="114"/>
  <c r="AP60" i="114"/>
  <c r="AP36" i="114"/>
  <c r="AQ36" i="114" s="1"/>
  <c r="AP43" i="114"/>
  <c r="AQ43" i="114" s="1"/>
  <c r="AP27" i="114"/>
  <c r="AQ27" i="114" s="1"/>
  <c r="AP59" i="114"/>
  <c r="AP51" i="114"/>
  <c r="AQ51" i="114" s="1"/>
  <c r="AP35" i="114"/>
  <c r="AQ35" i="114" s="1"/>
  <c r="AP19" i="114"/>
  <c r="AP52" i="114"/>
  <c r="AQ52" i="114" s="1"/>
  <c r="AP44" i="114"/>
  <c r="AP20" i="114"/>
  <c r="AP12" i="114"/>
  <c r="AQ12" i="114" s="1"/>
  <c r="AP54" i="114"/>
  <c r="AP46" i="114"/>
  <c r="AQ46" i="114" s="1"/>
  <c r="AP38" i="114"/>
  <c r="AQ38" i="114" s="1"/>
  <c r="AP30" i="114"/>
  <c r="AP22" i="114"/>
  <c r="AQ22" i="114" s="1"/>
  <c r="AP14" i="114"/>
  <c r="AP55" i="114"/>
  <c r="AQ55" i="114" s="1"/>
  <c r="AP47" i="114"/>
  <c r="AQ47" i="114" s="1"/>
  <c r="AP39" i="114"/>
  <c r="AQ39" i="114" s="1"/>
  <c r="AP31" i="114"/>
  <c r="AQ31" i="114" s="1"/>
  <c r="AP23" i="114"/>
  <c r="AQ23" i="114" s="1"/>
  <c r="AP15" i="114"/>
  <c r="AQ15" i="114" s="1"/>
  <c r="AQ34" i="114" l="1"/>
  <c r="C11" i="114"/>
  <c r="D11" i="114"/>
  <c r="AQ63" i="114"/>
  <c r="AQ60" i="114"/>
  <c r="AQ65" i="114"/>
  <c r="AQ14" i="114"/>
  <c r="AQ30" i="114"/>
  <c r="AQ17" i="114"/>
  <c r="AQ61" i="114"/>
  <c r="AQ44" i="114"/>
  <c r="E66" i="114"/>
  <c r="AQ66" i="114"/>
  <c r="AQ62" i="114"/>
  <c r="AQ20" i="114"/>
  <c r="AQ19" i="114"/>
  <c r="AQ45" i="114"/>
  <c r="AQ54" i="114"/>
  <c r="AQ59" i="114"/>
  <c r="AQ64" i="114"/>
  <c r="C34" i="114"/>
  <c r="D34" i="114"/>
  <c r="AH29" i="74" s="1"/>
  <c r="D17" i="114"/>
  <c r="AH12" i="74" s="1"/>
  <c r="C17" i="114"/>
  <c r="D28" i="114"/>
  <c r="AH23" i="74" s="1"/>
  <c r="C28" i="114"/>
  <c r="D24" i="114"/>
  <c r="AH19" i="74" s="1"/>
  <c r="C24" i="114"/>
  <c r="D55" i="114"/>
  <c r="AH50" i="74" s="1"/>
  <c r="C55" i="114"/>
  <c r="D41" i="114"/>
  <c r="AH36" i="74" s="1"/>
  <c r="C41" i="114"/>
  <c r="D40" i="114"/>
  <c r="AH35" i="74" s="1"/>
  <c r="C40" i="114"/>
  <c r="C65" i="114"/>
  <c r="D65" i="114"/>
  <c r="AH60" i="74" s="1"/>
  <c r="D25" i="114"/>
  <c r="AH20" i="74" s="1"/>
  <c r="C25" i="114"/>
  <c r="D44" i="114"/>
  <c r="AH39" i="74" s="1"/>
  <c r="C44" i="114"/>
  <c r="D23" i="114"/>
  <c r="AH18" i="74" s="1"/>
  <c r="C23" i="114"/>
  <c r="C42" i="114"/>
  <c r="D42" i="114"/>
  <c r="AH37" i="74" s="1"/>
  <c r="D62" i="114"/>
  <c r="AH57" i="74" s="1"/>
  <c r="C62" i="114"/>
  <c r="C27" i="114"/>
  <c r="D27" i="114"/>
  <c r="AH22" i="74" s="1"/>
  <c r="D49" i="114"/>
  <c r="AH44" i="74" s="1"/>
  <c r="C49" i="114"/>
  <c r="D64" i="114"/>
  <c r="AH59" i="74" s="1"/>
  <c r="C64" i="114"/>
  <c r="D57" i="114"/>
  <c r="AH52" i="74" s="1"/>
  <c r="C57" i="114"/>
  <c r="D60" i="114"/>
  <c r="AH55" i="74" s="1"/>
  <c r="C60" i="114"/>
  <c r="AH6" i="74"/>
  <c r="C46" i="114"/>
  <c r="D46" i="114"/>
  <c r="AH41" i="74" s="1"/>
  <c r="D33" i="114"/>
  <c r="AH28" i="74" s="1"/>
  <c r="C33" i="114"/>
  <c r="C18" i="114"/>
  <c r="D18" i="114"/>
  <c r="AH13" i="74" s="1"/>
  <c r="C26" i="114"/>
  <c r="D26" i="114"/>
  <c r="AH21" i="74" s="1"/>
  <c r="D56" i="114"/>
  <c r="AH51" i="74" s="1"/>
  <c r="C56" i="114"/>
  <c r="D45" i="114"/>
  <c r="AH40" i="74" s="1"/>
  <c r="C45" i="114"/>
  <c r="D48" i="114"/>
  <c r="AH43" i="74" s="1"/>
  <c r="C48" i="114"/>
  <c r="C43" i="114"/>
  <c r="D43" i="114"/>
  <c r="AH38" i="74" s="1"/>
  <c r="C47" i="114"/>
  <c r="D47" i="114"/>
  <c r="AH42" i="74" s="1"/>
  <c r="C31" i="114"/>
  <c r="D31" i="114"/>
  <c r="AH26" i="74" s="1"/>
  <c r="D20" i="114"/>
  <c r="AH15" i="74" s="1"/>
  <c r="C20" i="114"/>
  <c r="C50" i="114"/>
  <c r="D50" i="114"/>
  <c r="AH45" i="74" s="1"/>
  <c r="C21" i="114"/>
  <c r="D21" i="114"/>
  <c r="D32" i="114"/>
  <c r="C32" i="114"/>
  <c r="C30" i="114"/>
  <c r="D30" i="114"/>
  <c r="AH25" i="74" s="1"/>
  <c r="D63" i="114"/>
  <c r="AH58" i="74" s="1"/>
  <c r="C63" i="114"/>
  <c r="D52" i="114"/>
  <c r="AH47" i="74" s="1"/>
  <c r="C52" i="114"/>
  <c r="D61" i="114"/>
  <c r="AH56" i="74" s="1"/>
  <c r="C61" i="114"/>
  <c r="C35" i="114"/>
  <c r="D35" i="114"/>
  <c r="AH30" i="74" s="1"/>
  <c r="D15" i="114"/>
  <c r="AH10" i="74" s="1"/>
  <c r="C15" i="114"/>
  <c r="C53" i="114"/>
  <c r="D53" i="114"/>
  <c r="AH48" i="74" s="1"/>
  <c r="C37" i="114"/>
  <c r="D37" i="114"/>
  <c r="AH32" i="74" s="1"/>
  <c r="C19" i="114"/>
  <c r="D19" i="114"/>
  <c r="AH14" i="74" s="1"/>
  <c r="D38" i="114"/>
  <c r="AH33" i="74" s="1"/>
  <c r="C38" i="114"/>
  <c r="C39" i="114"/>
  <c r="D39" i="114"/>
  <c r="AH34" i="74" s="1"/>
  <c r="D66" i="114"/>
  <c r="AH61" i="74" s="1"/>
  <c r="D54" i="114"/>
  <c r="AH49" i="74" s="1"/>
  <c r="C54" i="114"/>
  <c r="C13" i="114"/>
  <c r="D13" i="114"/>
  <c r="AH8" i="74" s="1"/>
  <c r="D22" i="114"/>
  <c r="AH17" i="74" s="1"/>
  <c r="C22" i="114"/>
  <c r="C59" i="114"/>
  <c r="D59" i="114"/>
  <c r="AH54" i="74" s="1"/>
  <c r="C51" i="114"/>
  <c r="D51" i="114"/>
  <c r="AH46" i="74" s="1"/>
  <c r="C36" i="114"/>
  <c r="D36" i="114"/>
  <c r="AH31" i="74" s="1"/>
  <c r="C58" i="114"/>
  <c r="D58" i="114"/>
  <c r="AH53" i="74" s="1"/>
  <c r="AH16" i="74"/>
  <c r="AH27" i="74"/>
  <c r="AI19" i="74"/>
  <c r="AG24" i="74"/>
  <c r="F29" i="114"/>
  <c r="AJ24" i="74" s="1"/>
  <c r="AI60" i="74"/>
  <c r="H65" i="114"/>
  <c r="AI6" i="74"/>
  <c r="AI16" i="74"/>
  <c r="AI31" i="74"/>
  <c r="AI8" i="74"/>
  <c r="AI34" i="74"/>
  <c r="AI12" i="74"/>
  <c r="AI30" i="74"/>
  <c r="AI13" i="74"/>
  <c r="H29" i="114"/>
  <c r="AI15" i="74"/>
  <c r="AI54" i="74"/>
  <c r="AI28" i="74"/>
  <c r="AI27" i="74"/>
  <c r="AI29" i="74"/>
  <c r="AI33" i="74"/>
  <c r="AI26" i="74"/>
  <c r="AI17" i="74"/>
  <c r="AI57" i="74"/>
  <c r="AI59" i="74"/>
  <c r="AI10" i="74"/>
  <c r="AI47" i="74"/>
  <c r="AI44" i="74"/>
  <c r="AI58" i="74"/>
  <c r="AI50" i="74"/>
  <c r="AI21" i="74"/>
  <c r="AI46" i="74"/>
  <c r="AI55" i="74"/>
  <c r="AI43" i="74"/>
  <c r="AI56" i="74"/>
  <c r="AI45" i="74"/>
  <c r="AI22" i="74"/>
  <c r="AI42" i="74"/>
  <c r="AI51" i="74"/>
  <c r="AI52" i="74"/>
  <c r="AI36" i="74"/>
  <c r="AI41" i="74"/>
  <c r="AI38" i="74"/>
  <c r="AI23" i="74"/>
  <c r="AI35" i="74"/>
  <c r="AI20" i="74"/>
  <c r="AI37" i="74"/>
  <c r="AI14" i="74"/>
  <c r="H71" i="87" l="1"/>
  <c r="H118" i="87"/>
  <c r="H81" i="87"/>
  <c r="H83" i="87"/>
  <c r="H105" i="87"/>
  <c r="H99" i="87"/>
  <c r="F11" i="114"/>
  <c r="H63" i="87" s="1"/>
  <c r="H24" i="114"/>
  <c r="H21" i="114"/>
  <c r="AG32" i="74"/>
  <c r="F37" i="114"/>
  <c r="AJ32" i="74" s="1"/>
  <c r="AG31" i="74"/>
  <c r="F36" i="114"/>
  <c r="AJ31" i="74" s="1"/>
  <c r="AG37" i="74"/>
  <c r="F42" i="114"/>
  <c r="AJ37" i="74" s="1"/>
  <c r="H45" i="114"/>
  <c r="AI40" i="74"/>
  <c r="H11" i="114"/>
  <c r="AR29" i="114"/>
  <c r="AG53" i="74"/>
  <c r="F58" i="114"/>
  <c r="AJ53" i="74" s="1"/>
  <c r="AG56" i="74"/>
  <c r="F61" i="114"/>
  <c r="AG12" i="74"/>
  <c r="F17" i="114"/>
  <c r="AJ12" i="74" s="1"/>
  <c r="AG35" i="74"/>
  <c r="F40" i="114"/>
  <c r="AJ35" i="74" s="1"/>
  <c r="AG8" i="74"/>
  <c r="F13" i="114"/>
  <c r="AJ8" i="74" s="1"/>
  <c r="AG33" i="74"/>
  <c r="F38" i="114"/>
  <c r="AJ33" i="74" s="1"/>
  <c r="AG6" i="74"/>
  <c r="AJ6" i="74"/>
  <c r="AG15" i="74"/>
  <c r="F20" i="114"/>
  <c r="AJ15" i="74" s="1"/>
  <c r="AG19" i="74"/>
  <c r="F24" i="114"/>
  <c r="AJ19" i="74" s="1"/>
  <c r="AG18" i="74"/>
  <c r="F23" i="114"/>
  <c r="AJ18" i="74" s="1"/>
  <c r="AG40" i="74"/>
  <c r="F45" i="114"/>
  <c r="AJ40" i="74" s="1"/>
  <c r="AG10" i="74"/>
  <c r="F15" i="114"/>
  <c r="AJ10" i="74" s="1"/>
  <c r="AG46" i="74"/>
  <c r="F51" i="114"/>
  <c r="AJ46" i="74" s="1"/>
  <c r="AG54" i="74"/>
  <c r="F59" i="114"/>
  <c r="AJ54" i="74" s="1"/>
  <c r="AG60" i="74"/>
  <c r="F65" i="114"/>
  <c r="AR65" i="114" s="1"/>
  <c r="AI61" i="74"/>
  <c r="H66" i="114"/>
  <c r="AG57" i="74"/>
  <c r="F62" i="114"/>
  <c r="H114" i="87" s="1"/>
  <c r="H23" i="114"/>
  <c r="AI18" i="74"/>
  <c r="AG13" i="74"/>
  <c r="F18" i="114"/>
  <c r="AJ13" i="74" s="1"/>
  <c r="AG50" i="74"/>
  <c r="F55" i="114"/>
  <c r="AJ50" i="74" s="1"/>
  <c r="AG20" i="74"/>
  <c r="F25" i="114"/>
  <c r="AJ20" i="74" s="1"/>
  <c r="AG26" i="74"/>
  <c r="F31" i="114"/>
  <c r="AJ26" i="74" s="1"/>
  <c r="H37" i="114"/>
  <c r="AI32" i="74"/>
  <c r="H58" i="114"/>
  <c r="AI53" i="74"/>
  <c r="AG49" i="74"/>
  <c r="F54" i="114"/>
  <c r="AJ49" i="74" s="1"/>
  <c r="AG17" i="74"/>
  <c r="F22" i="114"/>
  <c r="AJ17" i="74" s="1"/>
  <c r="AG47" i="74"/>
  <c r="F52" i="114"/>
  <c r="AJ47" i="74" s="1"/>
  <c r="AG59" i="74"/>
  <c r="F64" i="114"/>
  <c r="AG44" i="74"/>
  <c r="F49" i="114"/>
  <c r="AJ44" i="74" s="1"/>
  <c r="AG41" i="74"/>
  <c r="F46" i="114"/>
  <c r="AJ41" i="74" s="1"/>
  <c r="AG45" i="74"/>
  <c r="F50" i="114"/>
  <c r="AJ45" i="74" s="1"/>
  <c r="AG52" i="74"/>
  <c r="F57" i="114"/>
  <c r="AJ52" i="74" s="1"/>
  <c r="H44" i="114"/>
  <c r="AI39" i="74"/>
  <c r="H53" i="114"/>
  <c r="AI48" i="74"/>
  <c r="AG25" i="74"/>
  <c r="F30" i="114"/>
  <c r="AJ25" i="74" s="1"/>
  <c r="AG58" i="74"/>
  <c r="F63" i="114"/>
  <c r="AG30" i="74"/>
  <c r="F35" i="114"/>
  <c r="AJ30" i="74" s="1"/>
  <c r="AG23" i="74"/>
  <c r="F28" i="114"/>
  <c r="AJ23" i="74" s="1"/>
  <c r="AG38" i="74"/>
  <c r="F43" i="114"/>
  <c r="AJ38" i="74" s="1"/>
  <c r="AG48" i="74"/>
  <c r="F53" i="114"/>
  <c r="AJ48" i="74" s="1"/>
  <c r="AG21" i="74"/>
  <c r="F26" i="114"/>
  <c r="AJ21" i="74" s="1"/>
  <c r="AG61" i="74"/>
  <c r="F66" i="114"/>
  <c r="AR66" i="114" s="1"/>
  <c r="AG27" i="74"/>
  <c r="F32" i="114"/>
  <c r="AJ27" i="74" s="1"/>
  <c r="H30" i="114"/>
  <c r="AI25" i="74"/>
  <c r="AG39" i="74"/>
  <c r="F44" i="114"/>
  <c r="AJ39" i="74" s="1"/>
  <c r="AG43" i="74"/>
  <c r="F48" i="114"/>
  <c r="AJ43" i="74" s="1"/>
  <c r="AG34" i="74"/>
  <c r="F39" i="114"/>
  <c r="AJ34" i="74" s="1"/>
  <c r="AG16" i="74"/>
  <c r="F21" i="114"/>
  <c r="AJ16" i="74" s="1"/>
  <c r="H54" i="114"/>
  <c r="AI49" i="74"/>
  <c r="AG22" i="74"/>
  <c r="F27" i="114"/>
  <c r="AJ22" i="74" s="1"/>
  <c r="AG51" i="74"/>
  <c r="F56" i="114"/>
  <c r="AJ51" i="74" s="1"/>
  <c r="AG29" i="74"/>
  <c r="F34" i="114"/>
  <c r="AJ29" i="74" s="1"/>
  <c r="AG14" i="74"/>
  <c r="F19" i="114"/>
  <c r="AJ14" i="74" s="1"/>
  <c r="AG42" i="74"/>
  <c r="F47" i="114"/>
  <c r="AJ42" i="74" s="1"/>
  <c r="AG36" i="74"/>
  <c r="F41" i="114"/>
  <c r="AJ36" i="74" s="1"/>
  <c r="AG55" i="74"/>
  <c r="F60" i="114"/>
  <c r="AJ55" i="74" s="1"/>
  <c r="AG28" i="74"/>
  <c r="F33" i="114"/>
  <c r="AJ28" i="74" s="1"/>
  <c r="H40" i="114"/>
  <c r="H46" i="114"/>
  <c r="H50" i="114"/>
  <c r="H33" i="114"/>
  <c r="H22" i="114"/>
  <c r="H25" i="114"/>
  <c r="H17" i="114"/>
  <c r="H34" i="114"/>
  <c r="H63" i="114"/>
  <c r="H43" i="114"/>
  <c r="H64" i="114"/>
  <c r="H32" i="114"/>
  <c r="H48" i="114"/>
  <c r="H20" i="114"/>
  <c r="H39" i="114"/>
  <c r="H57" i="114"/>
  <c r="H31" i="114"/>
  <c r="H19" i="114"/>
  <c r="H51" i="114"/>
  <c r="H55" i="114"/>
  <c r="H61" i="114"/>
  <c r="H56" i="114"/>
  <c r="H15" i="114"/>
  <c r="H60" i="114"/>
  <c r="H26" i="114"/>
  <c r="H52" i="114"/>
  <c r="H49" i="114"/>
  <c r="H38" i="114"/>
  <c r="H59" i="114"/>
  <c r="H41" i="114"/>
  <c r="H28" i="114"/>
  <c r="H42" i="114"/>
  <c r="H35" i="114"/>
  <c r="H47" i="114"/>
  <c r="H62" i="114"/>
  <c r="H36" i="114"/>
  <c r="H27" i="114"/>
  <c r="H13" i="114"/>
  <c r="H69" i="87" l="1"/>
  <c r="H73" i="87"/>
  <c r="H94" i="87"/>
  <c r="H89" i="87"/>
  <c r="H107" i="87"/>
  <c r="H106" i="87"/>
  <c r="H93" i="87"/>
  <c r="H77" i="87"/>
  <c r="H79" i="87"/>
  <c r="H96" i="87"/>
  <c r="H108" i="87"/>
  <c r="H80" i="87"/>
  <c r="H91" i="87"/>
  <c r="H104" i="87"/>
  <c r="H86" i="87"/>
  <c r="H100" i="87"/>
  <c r="H112" i="87"/>
  <c r="AJ57" i="74"/>
  <c r="AR62" i="114"/>
  <c r="H92" i="87"/>
  <c r="H74" i="87"/>
  <c r="H111" i="87"/>
  <c r="H85" i="87"/>
  <c r="H109" i="87"/>
  <c r="H72" i="87"/>
  <c r="H78" i="87"/>
  <c r="H117" i="87"/>
  <c r="H75" i="87"/>
  <c r="H103" i="87"/>
  <c r="H90" i="87"/>
  <c r="H97" i="87"/>
  <c r="H70" i="87"/>
  <c r="H65" i="87"/>
  <c r="H95" i="87"/>
  <c r="AJ56" i="74"/>
  <c r="AR61" i="114"/>
  <c r="AJ58" i="74"/>
  <c r="AR63" i="114"/>
  <c r="AJ59" i="74"/>
  <c r="AR64" i="114"/>
  <c r="H101" i="87"/>
  <c r="H67" i="87"/>
  <c r="H76" i="87"/>
  <c r="H84" i="87"/>
  <c r="H82" i="87"/>
  <c r="H88" i="87"/>
  <c r="H102" i="87"/>
  <c r="H98" i="87"/>
  <c r="H116" i="87"/>
  <c r="H113" i="87"/>
  <c r="H87" i="87"/>
  <c r="H115" i="87"/>
  <c r="H110" i="87"/>
  <c r="AR17" i="114"/>
  <c r="AR36" i="114"/>
  <c r="AR25" i="114"/>
  <c r="AR57" i="114"/>
  <c r="AR26" i="114"/>
  <c r="AR42" i="114"/>
  <c r="AR13" i="114"/>
  <c r="AR22" i="114"/>
  <c r="AR40" i="114"/>
  <c r="AR15" i="114"/>
  <c r="AR60" i="114"/>
  <c r="AR32" i="114"/>
  <c r="AR48" i="114"/>
  <c r="AR52" i="114"/>
  <c r="AR46" i="114"/>
  <c r="AR33" i="114"/>
  <c r="AR34" i="114"/>
  <c r="AR47" i="114"/>
  <c r="AR55" i="114"/>
  <c r="AR51" i="114"/>
  <c r="AR21" i="114"/>
  <c r="AR49" i="114"/>
  <c r="AR59" i="114"/>
  <c r="AR19" i="114"/>
  <c r="AR35" i="114"/>
  <c r="AR20" i="114"/>
  <c r="AR24" i="114"/>
  <c r="AR50" i="114"/>
  <c r="AR56" i="114"/>
  <c r="AR18" i="114"/>
  <c r="AR39" i="114"/>
  <c r="AJ61" i="74"/>
  <c r="AJ60" i="74"/>
  <c r="AR41" i="114"/>
  <c r="AR54" i="114"/>
  <c r="AR53" i="114"/>
  <c r="AR58" i="114"/>
  <c r="AR30" i="114"/>
  <c r="AR23" i="114"/>
  <c r="AR31" i="114"/>
  <c r="AR37" i="114"/>
  <c r="AR28" i="114"/>
  <c r="AR38" i="114"/>
  <c r="AR43" i="114"/>
  <c r="AR45" i="114"/>
  <c r="AR27" i="114"/>
  <c r="AR44" i="114"/>
  <c r="A61" i="111" l="1"/>
  <c r="A62" i="111" s="1"/>
  <c r="A63" i="111" s="1"/>
  <c r="A64" i="111" s="1"/>
  <c r="A65" i="111" s="1"/>
  <c r="A53" i="111"/>
  <c r="A54" i="111" s="1"/>
  <c r="A61" i="110" l="1"/>
  <c r="A62" i="110" s="1"/>
  <c r="A63" i="110" s="1"/>
  <c r="A64" i="110" s="1"/>
  <c r="A65" i="110" s="1"/>
  <c r="A53" i="110"/>
  <c r="A54" i="110" s="1"/>
  <c r="AQ61" i="74" l="1"/>
  <c r="AR61" i="74" l="1"/>
  <c r="T158" i="121"/>
  <c r="T97" i="121" l="1"/>
  <c r="L60" i="111" l="1"/>
  <c r="Y9" i="26" l="1"/>
  <c r="Z9" i="26"/>
  <c r="AA9" i="26"/>
  <c r="AB9" i="26"/>
  <c r="AC9" i="26"/>
  <c r="AD9" i="26"/>
  <c r="Y10" i="26"/>
  <c r="Z10" i="26"/>
  <c r="AA10" i="26"/>
  <c r="AB10" i="26"/>
  <c r="AC10" i="26"/>
  <c r="AD10" i="26"/>
  <c r="Y11" i="26"/>
  <c r="Z11" i="26"/>
  <c r="AA11" i="26"/>
  <c r="AB11" i="26"/>
  <c r="AC11" i="26"/>
  <c r="AD11" i="26"/>
  <c r="Y12" i="26"/>
  <c r="Z12" i="26"/>
  <c r="AA12" i="26"/>
  <c r="AB12" i="26"/>
  <c r="AC12" i="26"/>
  <c r="AD12" i="26"/>
  <c r="Y13" i="26"/>
  <c r="Z13" i="26"/>
  <c r="AA13" i="26"/>
  <c r="AB13" i="26"/>
  <c r="AC13" i="26"/>
  <c r="AD13" i="26"/>
  <c r="Y14" i="26"/>
  <c r="Z14" i="26"/>
  <c r="AA14" i="26"/>
  <c r="AB14" i="26"/>
  <c r="AC14" i="26"/>
  <c r="AD14" i="26"/>
  <c r="Y15" i="26"/>
  <c r="Z15" i="26"/>
  <c r="AA15" i="26"/>
  <c r="AB15" i="26"/>
  <c r="AC15" i="26"/>
  <c r="AD15" i="26"/>
  <c r="Y16" i="26"/>
  <c r="Z16" i="26"/>
  <c r="AA16" i="26"/>
  <c r="AB16" i="26"/>
  <c r="AC16" i="26"/>
  <c r="AD16" i="26"/>
  <c r="Y17" i="26"/>
  <c r="Z17" i="26"/>
  <c r="AA17" i="26"/>
  <c r="AB17" i="26"/>
  <c r="AC17" i="26"/>
  <c r="AD17" i="26"/>
  <c r="Y18" i="26"/>
  <c r="Z18" i="26"/>
  <c r="AA18" i="26"/>
  <c r="AB18" i="26"/>
  <c r="AC18" i="26"/>
  <c r="AD18" i="26"/>
  <c r="Y19" i="26"/>
  <c r="Z19" i="26"/>
  <c r="AA19" i="26"/>
  <c r="AB19" i="26"/>
  <c r="AC19" i="26"/>
  <c r="AD19" i="26"/>
  <c r="Y20" i="26"/>
  <c r="Z20" i="26"/>
  <c r="AA20" i="26"/>
  <c r="AB20" i="26"/>
  <c r="AC20" i="26"/>
  <c r="AD20" i="26"/>
  <c r="Y21" i="26"/>
  <c r="Z21" i="26"/>
  <c r="AA21" i="26"/>
  <c r="AB21" i="26"/>
  <c r="AC21" i="26"/>
  <c r="AD21" i="26"/>
  <c r="Y22" i="26"/>
  <c r="Z22" i="26"/>
  <c r="AA22" i="26"/>
  <c r="AB22" i="26"/>
  <c r="AC22" i="26"/>
  <c r="AD22" i="26"/>
  <c r="Y23" i="26"/>
  <c r="Z23" i="26"/>
  <c r="AA23" i="26"/>
  <c r="AB23" i="26"/>
  <c r="AC23" i="26"/>
  <c r="AD23" i="26"/>
  <c r="Y24" i="26"/>
  <c r="Z24" i="26"/>
  <c r="AA24" i="26"/>
  <c r="AB24" i="26"/>
  <c r="AC24" i="26"/>
  <c r="AD24" i="26"/>
  <c r="Y25" i="26"/>
  <c r="Z25" i="26"/>
  <c r="AA25" i="26"/>
  <c r="AB25" i="26"/>
  <c r="AC25" i="26"/>
  <c r="AD25" i="26"/>
  <c r="Y26" i="26"/>
  <c r="Z26" i="26"/>
  <c r="AA26" i="26"/>
  <c r="AB26" i="26"/>
  <c r="AC26" i="26"/>
  <c r="AD26" i="26"/>
  <c r="Y27" i="26"/>
  <c r="Z27" i="26"/>
  <c r="AA27" i="26"/>
  <c r="AB27" i="26"/>
  <c r="AC27" i="26"/>
  <c r="AD27" i="26"/>
  <c r="Y28" i="26"/>
  <c r="Z28" i="26"/>
  <c r="AA28" i="26"/>
  <c r="AB28" i="26"/>
  <c r="AC28" i="26"/>
  <c r="AD28" i="26"/>
  <c r="Y29" i="26"/>
  <c r="Z29" i="26"/>
  <c r="AA29" i="26"/>
  <c r="AB29" i="26"/>
  <c r="AC29" i="26"/>
  <c r="AD29" i="26"/>
  <c r="Y30" i="26"/>
  <c r="Z30" i="26"/>
  <c r="AA30" i="26"/>
  <c r="AB30" i="26"/>
  <c r="AC30" i="26"/>
  <c r="AD30" i="26"/>
  <c r="Y31" i="26"/>
  <c r="Z31" i="26"/>
  <c r="AA31" i="26"/>
  <c r="AB31" i="26"/>
  <c r="AC31" i="26"/>
  <c r="AD31" i="26"/>
  <c r="Y32" i="26"/>
  <c r="Z32" i="26"/>
  <c r="AA32" i="26"/>
  <c r="AB32" i="26"/>
  <c r="AC32" i="26"/>
  <c r="AD32" i="26"/>
  <c r="Y33" i="26"/>
  <c r="Z33" i="26"/>
  <c r="AA33" i="26"/>
  <c r="AB33" i="26"/>
  <c r="AC33" i="26"/>
  <c r="AD33" i="26"/>
  <c r="Y34" i="26"/>
  <c r="Z34" i="26"/>
  <c r="AA34" i="26"/>
  <c r="AB34" i="26"/>
  <c r="AC34" i="26"/>
  <c r="AD34" i="26"/>
  <c r="Y35" i="26"/>
  <c r="Z35" i="26"/>
  <c r="AA35" i="26"/>
  <c r="AB35" i="26"/>
  <c r="AC35" i="26"/>
  <c r="AD35" i="26"/>
  <c r="Y36" i="26"/>
  <c r="Z36" i="26"/>
  <c r="AA36" i="26"/>
  <c r="AB36" i="26"/>
  <c r="AC36" i="26"/>
  <c r="AD36" i="26"/>
  <c r="Y37" i="26"/>
  <c r="Z37" i="26"/>
  <c r="AA37" i="26"/>
  <c r="AB37" i="26"/>
  <c r="AC37" i="26"/>
  <c r="AD37" i="26"/>
  <c r="Y38" i="26"/>
  <c r="Z38" i="26"/>
  <c r="AA38" i="26"/>
  <c r="AB38" i="26"/>
  <c r="AC38" i="26"/>
  <c r="AD38" i="26"/>
  <c r="Y39" i="26"/>
  <c r="Z39" i="26"/>
  <c r="AA39" i="26"/>
  <c r="AB39" i="26"/>
  <c r="AC39" i="26"/>
  <c r="AD39" i="26"/>
  <c r="Y40" i="26"/>
  <c r="Z40" i="26"/>
  <c r="AA40" i="26"/>
  <c r="AB40" i="26"/>
  <c r="AC40" i="26"/>
  <c r="AD40" i="26"/>
  <c r="Y41" i="26"/>
  <c r="Z41" i="26"/>
  <c r="AA41" i="26"/>
  <c r="AB41" i="26"/>
  <c r="AC41" i="26"/>
  <c r="AD41" i="26"/>
  <c r="Y42" i="26"/>
  <c r="Z42" i="26"/>
  <c r="AA42" i="26"/>
  <c r="AB42" i="26"/>
  <c r="AC42" i="26"/>
  <c r="AD42" i="26"/>
  <c r="Y43" i="26"/>
  <c r="Z43" i="26"/>
  <c r="AA43" i="26"/>
  <c r="AB43" i="26"/>
  <c r="AC43" i="26"/>
  <c r="AD43" i="26"/>
  <c r="Y44" i="26"/>
  <c r="Z44" i="26"/>
  <c r="AA44" i="26"/>
  <c r="AB44" i="26"/>
  <c r="AC44" i="26"/>
  <c r="AD44" i="26"/>
  <c r="Y45" i="26"/>
  <c r="Z45" i="26"/>
  <c r="AA45" i="26"/>
  <c r="AB45" i="26"/>
  <c r="AC45" i="26"/>
  <c r="AD45" i="26"/>
  <c r="Y46" i="26"/>
  <c r="Z46" i="26"/>
  <c r="AA46" i="26"/>
  <c r="AB46" i="26"/>
  <c r="AC46" i="26"/>
  <c r="AD46" i="26"/>
  <c r="Y47" i="26"/>
  <c r="Z47" i="26"/>
  <c r="AA47" i="26"/>
  <c r="AB47" i="26"/>
  <c r="AC47" i="26"/>
  <c r="AD47" i="26"/>
  <c r="Y48" i="26"/>
  <c r="Z48" i="26"/>
  <c r="AA48" i="26"/>
  <c r="AB48" i="26"/>
  <c r="AC48" i="26"/>
  <c r="AD48" i="26"/>
  <c r="Y49" i="26"/>
  <c r="Z49" i="26"/>
  <c r="AA49" i="26"/>
  <c r="AB49" i="26"/>
  <c r="AC49" i="26"/>
  <c r="AD49" i="26"/>
  <c r="Y50" i="26"/>
  <c r="Z50" i="26"/>
  <c r="AA50" i="26"/>
  <c r="AB50" i="26"/>
  <c r="AC50" i="26"/>
  <c r="AD50" i="26"/>
  <c r="Y51" i="26"/>
  <c r="Z51" i="26"/>
  <c r="AA51" i="26"/>
  <c r="AB51" i="26"/>
  <c r="AC51" i="26"/>
  <c r="AD51" i="26"/>
  <c r="Y52" i="26"/>
  <c r="Z52" i="26"/>
  <c r="AA52" i="26"/>
  <c r="AB52" i="26"/>
  <c r="AC52" i="26"/>
  <c r="AD52" i="26"/>
  <c r="Y53" i="26"/>
  <c r="Z53" i="26"/>
  <c r="AA53" i="26"/>
  <c r="AB53" i="26"/>
  <c r="AC53" i="26"/>
  <c r="AD53" i="26"/>
  <c r="Y54" i="26"/>
  <c r="Z54" i="26"/>
  <c r="AA54" i="26"/>
  <c r="AB54" i="26"/>
  <c r="AC54" i="26"/>
  <c r="AD54" i="26"/>
  <c r="Y55" i="26"/>
  <c r="Z55" i="26"/>
  <c r="AA55" i="26"/>
  <c r="AB55" i="26"/>
  <c r="AC55" i="26"/>
  <c r="AD55" i="26"/>
  <c r="Y56" i="26"/>
  <c r="Z56" i="26"/>
  <c r="AA56" i="26"/>
  <c r="AB56" i="26"/>
  <c r="AC56" i="26"/>
  <c r="AD56" i="26"/>
  <c r="Y57" i="26"/>
  <c r="Z57" i="26"/>
  <c r="AA57" i="26"/>
  <c r="AB57" i="26"/>
  <c r="AC57" i="26"/>
  <c r="AD57" i="26"/>
  <c r="Y58" i="26"/>
  <c r="Z58" i="26"/>
  <c r="AA58" i="26"/>
  <c r="AB58" i="26"/>
  <c r="AC58" i="26"/>
  <c r="AD58" i="26"/>
  <c r="Y59" i="26"/>
  <c r="Z59" i="26"/>
  <c r="AA59" i="26"/>
  <c r="AB59" i="26"/>
  <c r="AC59" i="26"/>
  <c r="AD59" i="26"/>
  <c r="Y60" i="26"/>
  <c r="Z60" i="26"/>
  <c r="AA60" i="26"/>
  <c r="AB60" i="26"/>
  <c r="AC60" i="26"/>
  <c r="AD60" i="26"/>
  <c r="Y61" i="26"/>
  <c r="Z61" i="26"/>
  <c r="AA61" i="26"/>
  <c r="AB61" i="26"/>
  <c r="AC61" i="26"/>
  <c r="AD61" i="26"/>
  <c r="Y62" i="26"/>
  <c r="Z62" i="26"/>
  <c r="AA62" i="26"/>
  <c r="AB62" i="26"/>
  <c r="AC62" i="26"/>
  <c r="AD62" i="26"/>
  <c r="Z8" i="26"/>
  <c r="AA8" i="26"/>
  <c r="AB8" i="26"/>
  <c r="AC8" i="26"/>
  <c r="AD8" i="26"/>
  <c r="Y8" i="26"/>
  <c r="Q59" i="26"/>
  <c r="Q60" i="26" s="1"/>
  <c r="Q61" i="26" s="1"/>
  <c r="Q51" i="26"/>
  <c r="Q52" i="26" s="1"/>
  <c r="E5" i="58" l="1"/>
  <c r="K28" i="58" s="1"/>
  <c r="BX13" i="74" l="1"/>
  <c r="BX14" i="74"/>
  <c r="BX15" i="74"/>
  <c r="BX16" i="74"/>
  <c r="BX17" i="74"/>
  <c r="BX18" i="74"/>
  <c r="BX19" i="74"/>
  <c r="BX20" i="74"/>
  <c r="BX21" i="74"/>
  <c r="BX22" i="74"/>
  <c r="BX23" i="74"/>
  <c r="BX24" i="74"/>
  <c r="BX25" i="74"/>
  <c r="BX26" i="74"/>
  <c r="BX27" i="74"/>
  <c r="BX28" i="74"/>
  <c r="BX29" i="74"/>
  <c r="BX30" i="74"/>
  <c r="BX31" i="74"/>
  <c r="BX32" i="74"/>
  <c r="BX33" i="74"/>
  <c r="BX34" i="74"/>
  <c r="BX35" i="74"/>
  <c r="BX36" i="74"/>
  <c r="BX37" i="74"/>
  <c r="BX38" i="74"/>
  <c r="BX39" i="74"/>
  <c r="BX40" i="74"/>
  <c r="BX41" i="74"/>
  <c r="BX42" i="74"/>
  <c r="BX43" i="74"/>
  <c r="BX44" i="74"/>
  <c r="BX45" i="74"/>
  <c r="BX46" i="74"/>
  <c r="BX47" i="74"/>
  <c r="BX48" i="74"/>
  <c r="BX49" i="74"/>
  <c r="BX50" i="74"/>
  <c r="BX51" i="74"/>
  <c r="BX52" i="74"/>
  <c r="BX53" i="74"/>
  <c r="BX54" i="74"/>
  <c r="BX55" i="74"/>
  <c r="BX56" i="74"/>
  <c r="BX57" i="74"/>
  <c r="BX58" i="74"/>
  <c r="BX59" i="74"/>
  <c r="BX12" i="74"/>
  <c r="BX10" i="74"/>
  <c r="BX8" i="74"/>
  <c r="I33" i="73"/>
  <c r="I34" i="73"/>
  <c r="I35" i="73"/>
  <c r="I36" i="73"/>
  <c r="I37" i="73"/>
  <c r="I38" i="73"/>
  <c r="I39" i="73"/>
  <c r="I40" i="73"/>
  <c r="I41" i="73"/>
  <c r="I42" i="73"/>
  <c r="I43" i="73"/>
  <c r="I44" i="73"/>
  <c r="I45" i="73"/>
  <c r="I46" i="73"/>
  <c r="I47" i="73"/>
  <c r="I48" i="73"/>
  <c r="I49" i="73"/>
  <c r="I50" i="73"/>
  <c r="I51" i="73"/>
  <c r="I52" i="73"/>
  <c r="I53" i="73"/>
  <c r="I54" i="73"/>
  <c r="I55" i="73"/>
  <c r="I56" i="73"/>
  <c r="I57" i="73"/>
  <c r="I58" i="73"/>
  <c r="I59" i="73"/>
  <c r="K6" i="73"/>
  <c r="G17" i="24" l="1"/>
  <c r="G16" i="24"/>
  <c r="G15" i="24"/>
  <c r="G13" i="24"/>
  <c r="G12" i="24"/>
  <c r="G11" i="24"/>
  <c r="G10" i="24"/>
  <c r="G9" i="24"/>
  <c r="G8" i="24"/>
  <c r="G7" i="24"/>
  <c r="K55" i="73" l="1"/>
  <c r="AH55" i="73"/>
  <c r="H16" i="24" l="1"/>
  <c r="I16" i="24" s="1"/>
  <c r="AC6" i="73"/>
  <c r="AE6" i="73" s="1"/>
  <c r="AI6" i="73" s="1"/>
  <c r="AJ6" i="73" l="1"/>
  <c r="R59" i="97"/>
  <c r="U59" i="97"/>
  <c r="CB9" i="132" l="1"/>
  <c r="DR7" i="39"/>
  <c r="DS7" i="39"/>
  <c r="DT7" i="39"/>
  <c r="DU7" i="39"/>
  <c r="DV7" i="39"/>
  <c r="DW7" i="39"/>
  <c r="DR8" i="39"/>
  <c r="DS8" i="39"/>
  <c r="DT8" i="39"/>
  <c r="DU8" i="39"/>
  <c r="DV8" i="39"/>
  <c r="DW8" i="39"/>
  <c r="DR9" i="39"/>
  <c r="DS9" i="39"/>
  <c r="DT9" i="39"/>
  <c r="DU9" i="39"/>
  <c r="DV9" i="39"/>
  <c r="DW9" i="39"/>
  <c r="DR10" i="39"/>
  <c r="DS10" i="39"/>
  <c r="DT10" i="39"/>
  <c r="DU10" i="39"/>
  <c r="DV10" i="39"/>
  <c r="DW10" i="39"/>
  <c r="DR11" i="39"/>
  <c r="DS11" i="39"/>
  <c r="DT11" i="39"/>
  <c r="DU11" i="39"/>
  <c r="DV11" i="39"/>
  <c r="DW11" i="39"/>
  <c r="DR12" i="39"/>
  <c r="DS12" i="39"/>
  <c r="DT12" i="39"/>
  <c r="DU12" i="39"/>
  <c r="DV12" i="39"/>
  <c r="DW12" i="39"/>
  <c r="DR13" i="39"/>
  <c r="DS13" i="39"/>
  <c r="DT13" i="39"/>
  <c r="DU13" i="39"/>
  <c r="DV13" i="39"/>
  <c r="DW13" i="39"/>
  <c r="DR14" i="39"/>
  <c r="DS14" i="39"/>
  <c r="DT14" i="39"/>
  <c r="DU14" i="39"/>
  <c r="DV14" i="39"/>
  <c r="DW14" i="39"/>
  <c r="DR15" i="39"/>
  <c r="DS15" i="39"/>
  <c r="DT15" i="39"/>
  <c r="DU15" i="39"/>
  <c r="DV15" i="39"/>
  <c r="DW15" i="39"/>
  <c r="DR16" i="39"/>
  <c r="DS16" i="39"/>
  <c r="DT16" i="39"/>
  <c r="DU16" i="39"/>
  <c r="DV16" i="39"/>
  <c r="DW16" i="39"/>
  <c r="DR17" i="39"/>
  <c r="DS17" i="39"/>
  <c r="DT17" i="39"/>
  <c r="DU17" i="39"/>
  <c r="DV17" i="39"/>
  <c r="DW17" i="39"/>
  <c r="DR18" i="39"/>
  <c r="DS18" i="39"/>
  <c r="DT18" i="39"/>
  <c r="DU18" i="39"/>
  <c r="DV18" i="39"/>
  <c r="DW18" i="39"/>
  <c r="DR19" i="39"/>
  <c r="DS19" i="39"/>
  <c r="DT19" i="39"/>
  <c r="DU19" i="39"/>
  <c r="DV19" i="39"/>
  <c r="DW19" i="39"/>
  <c r="DR20" i="39"/>
  <c r="DS20" i="39"/>
  <c r="DT20" i="39"/>
  <c r="DU20" i="39"/>
  <c r="DV20" i="39"/>
  <c r="DW20" i="39"/>
  <c r="DR21" i="39"/>
  <c r="DS21" i="39"/>
  <c r="DT21" i="39"/>
  <c r="DU21" i="39"/>
  <c r="DV21" i="39"/>
  <c r="DW21" i="39"/>
  <c r="DR22" i="39"/>
  <c r="DS22" i="39"/>
  <c r="DT22" i="39"/>
  <c r="DU22" i="39"/>
  <c r="DV22" i="39"/>
  <c r="DW22" i="39"/>
  <c r="DR23" i="39"/>
  <c r="DS23" i="39"/>
  <c r="DT23" i="39"/>
  <c r="DU23" i="39"/>
  <c r="DV23" i="39"/>
  <c r="DW23" i="39"/>
  <c r="DR24" i="39"/>
  <c r="DS24" i="39"/>
  <c r="DT24" i="39"/>
  <c r="DU24" i="39"/>
  <c r="DV24" i="39"/>
  <c r="DW24" i="39"/>
  <c r="DR25" i="39"/>
  <c r="DS25" i="39"/>
  <c r="DT25" i="39"/>
  <c r="DU25" i="39"/>
  <c r="DV25" i="39"/>
  <c r="DW25" i="39"/>
  <c r="DR26" i="39"/>
  <c r="DS26" i="39"/>
  <c r="DT26" i="39"/>
  <c r="DU26" i="39"/>
  <c r="DV26" i="39"/>
  <c r="DW26" i="39"/>
  <c r="DR27" i="39"/>
  <c r="DS27" i="39"/>
  <c r="DT27" i="39"/>
  <c r="DU27" i="39"/>
  <c r="DV27" i="39"/>
  <c r="DW27" i="39"/>
  <c r="DR28" i="39"/>
  <c r="DS28" i="39"/>
  <c r="DT28" i="39"/>
  <c r="DU28" i="39"/>
  <c r="DV28" i="39"/>
  <c r="DW28" i="39"/>
  <c r="DR29" i="39"/>
  <c r="DS29" i="39"/>
  <c r="DT29" i="39"/>
  <c r="DU29" i="39"/>
  <c r="DV29" i="39"/>
  <c r="DW29" i="39"/>
  <c r="DR30" i="39"/>
  <c r="DS30" i="39"/>
  <c r="DT30" i="39"/>
  <c r="DU30" i="39"/>
  <c r="DV30" i="39"/>
  <c r="DW30" i="39"/>
  <c r="DR31" i="39"/>
  <c r="DS31" i="39"/>
  <c r="DT31" i="39"/>
  <c r="DU31" i="39"/>
  <c r="DV31" i="39"/>
  <c r="DW31" i="39"/>
  <c r="DR32" i="39"/>
  <c r="DS32" i="39"/>
  <c r="DT32" i="39"/>
  <c r="DU32" i="39"/>
  <c r="DV32" i="39"/>
  <c r="DW32" i="39"/>
  <c r="DR33" i="39"/>
  <c r="DS33" i="39"/>
  <c r="DT33" i="39"/>
  <c r="DU33" i="39"/>
  <c r="DV33" i="39"/>
  <c r="DW33" i="39"/>
  <c r="DR34" i="39"/>
  <c r="DS34" i="39"/>
  <c r="DT34" i="39"/>
  <c r="DU34" i="39"/>
  <c r="DV34" i="39"/>
  <c r="DW34" i="39"/>
  <c r="DR35" i="39"/>
  <c r="DS35" i="39"/>
  <c r="DT35" i="39"/>
  <c r="DU35" i="39"/>
  <c r="DV35" i="39"/>
  <c r="DW35" i="39"/>
  <c r="DR36" i="39"/>
  <c r="DS36" i="39"/>
  <c r="DT36" i="39"/>
  <c r="DU36" i="39"/>
  <c r="DV36" i="39"/>
  <c r="DW36" i="39"/>
  <c r="DR37" i="39"/>
  <c r="DS37" i="39"/>
  <c r="DT37" i="39"/>
  <c r="DU37" i="39"/>
  <c r="DV37" i="39"/>
  <c r="DW37" i="39"/>
  <c r="DR38" i="39"/>
  <c r="DS38" i="39"/>
  <c r="DT38" i="39"/>
  <c r="DU38" i="39"/>
  <c r="DV38" i="39"/>
  <c r="DW38" i="39"/>
  <c r="DR39" i="39"/>
  <c r="DS39" i="39"/>
  <c r="DT39" i="39"/>
  <c r="DU39" i="39"/>
  <c r="DV39" i="39"/>
  <c r="DW39" i="39"/>
  <c r="DR40" i="39"/>
  <c r="DS40" i="39"/>
  <c r="DT40" i="39"/>
  <c r="DU40" i="39"/>
  <c r="DV40" i="39"/>
  <c r="DW40" i="39"/>
  <c r="DR41" i="39"/>
  <c r="DS41" i="39"/>
  <c r="DT41" i="39"/>
  <c r="DU41" i="39"/>
  <c r="DV41" i="39"/>
  <c r="DW41" i="39"/>
  <c r="DR42" i="39"/>
  <c r="DS42" i="39"/>
  <c r="DT42" i="39"/>
  <c r="DU42" i="39"/>
  <c r="DV42" i="39"/>
  <c r="DW42" i="39"/>
  <c r="DR43" i="39"/>
  <c r="DS43" i="39"/>
  <c r="DT43" i="39"/>
  <c r="DU43" i="39"/>
  <c r="DV43" i="39"/>
  <c r="DW43" i="39"/>
  <c r="DR44" i="39"/>
  <c r="DS44" i="39"/>
  <c r="DT44" i="39"/>
  <c r="DU44" i="39"/>
  <c r="DV44" i="39"/>
  <c r="DW44" i="39"/>
  <c r="DR45" i="39"/>
  <c r="DS45" i="39"/>
  <c r="DT45" i="39"/>
  <c r="DU45" i="39"/>
  <c r="DV45" i="39"/>
  <c r="DW45" i="39"/>
  <c r="DR46" i="39"/>
  <c r="DS46" i="39"/>
  <c r="DT46" i="39"/>
  <c r="DU46" i="39"/>
  <c r="DV46" i="39"/>
  <c r="DW46" i="39"/>
  <c r="DR47" i="39"/>
  <c r="DS47" i="39"/>
  <c r="DT47" i="39"/>
  <c r="DU47" i="39"/>
  <c r="DV47" i="39"/>
  <c r="DW47" i="39"/>
  <c r="DR48" i="39"/>
  <c r="DS48" i="39"/>
  <c r="DT48" i="39"/>
  <c r="DU48" i="39"/>
  <c r="DV48" i="39"/>
  <c r="DW48" i="39"/>
  <c r="DR49" i="39"/>
  <c r="DS49" i="39"/>
  <c r="DT49" i="39"/>
  <c r="DU49" i="39"/>
  <c r="DV49" i="39"/>
  <c r="DW49" i="39"/>
  <c r="DR50" i="39"/>
  <c r="DS50" i="39"/>
  <c r="DT50" i="39"/>
  <c r="DU50" i="39"/>
  <c r="DV50" i="39"/>
  <c r="DW50" i="39"/>
  <c r="DR51" i="39"/>
  <c r="DS51" i="39"/>
  <c r="DT51" i="39"/>
  <c r="DU51" i="39"/>
  <c r="DV51" i="39"/>
  <c r="DW51" i="39"/>
  <c r="DR52" i="39"/>
  <c r="DS52" i="39"/>
  <c r="DT52" i="39"/>
  <c r="DU52" i="39"/>
  <c r="DV52" i="39"/>
  <c r="DW52" i="39"/>
  <c r="DR53" i="39"/>
  <c r="DS53" i="39"/>
  <c r="DT53" i="39"/>
  <c r="DU53" i="39"/>
  <c r="DV53" i="39"/>
  <c r="DW53" i="39"/>
  <c r="DR54" i="39"/>
  <c r="DS54" i="39"/>
  <c r="DT54" i="39"/>
  <c r="DU54" i="39"/>
  <c r="DV54" i="39"/>
  <c r="DW54" i="39"/>
  <c r="DR55" i="39"/>
  <c r="DS55" i="39"/>
  <c r="DT55" i="39"/>
  <c r="DU55" i="39"/>
  <c r="DV55" i="39"/>
  <c r="DW55" i="39"/>
  <c r="DR56" i="39"/>
  <c r="DS56" i="39"/>
  <c r="DT56" i="39"/>
  <c r="DU56" i="39"/>
  <c r="DV56" i="39"/>
  <c r="DW56" i="39"/>
  <c r="DR57" i="39"/>
  <c r="DS57" i="39"/>
  <c r="DT57" i="39"/>
  <c r="DU57" i="39"/>
  <c r="DV57" i="39"/>
  <c r="DW57" i="39"/>
  <c r="DR58" i="39"/>
  <c r="DS58" i="39"/>
  <c r="DT58" i="39"/>
  <c r="DU58" i="39"/>
  <c r="DV58" i="39"/>
  <c r="DW58" i="39"/>
  <c r="DR59" i="39"/>
  <c r="DS59" i="39"/>
  <c r="DT59" i="39"/>
  <c r="DU59" i="39"/>
  <c r="DV59" i="39"/>
  <c r="DW59" i="39"/>
  <c r="DS6" i="39"/>
  <c r="DT6" i="39"/>
  <c r="DU6" i="39"/>
  <c r="DV6" i="39"/>
  <c r="DW6" i="39"/>
  <c r="DR6" i="39"/>
  <c r="CT7" i="39"/>
  <c r="CU7" i="39"/>
  <c r="CV7" i="39"/>
  <c r="CW7" i="39"/>
  <c r="CX7" i="39"/>
  <c r="CY7" i="39"/>
  <c r="CT8" i="39"/>
  <c r="CU8" i="39"/>
  <c r="CV8" i="39"/>
  <c r="CW8" i="39"/>
  <c r="CX8" i="39"/>
  <c r="CY8" i="39"/>
  <c r="CT9" i="39"/>
  <c r="CU9" i="39"/>
  <c r="CV9" i="39"/>
  <c r="CW9" i="39"/>
  <c r="CX9" i="39"/>
  <c r="CY9" i="39"/>
  <c r="CT10" i="39"/>
  <c r="CU10" i="39"/>
  <c r="CV10" i="39"/>
  <c r="CW10" i="39"/>
  <c r="CX10" i="39"/>
  <c r="CY10" i="39"/>
  <c r="CT11" i="39"/>
  <c r="CU11" i="39"/>
  <c r="CV11" i="39"/>
  <c r="CW11" i="39"/>
  <c r="CX11" i="39"/>
  <c r="CY11" i="39"/>
  <c r="CT12" i="39"/>
  <c r="CU12" i="39"/>
  <c r="CV12" i="39"/>
  <c r="CW12" i="39"/>
  <c r="CX12" i="39"/>
  <c r="CY12" i="39"/>
  <c r="CT13" i="39"/>
  <c r="CU13" i="39"/>
  <c r="CV13" i="39"/>
  <c r="CW13" i="39"/>
  <c r="CX13" i="39"/>
  <c r="CY13" i="39"/>
  <c r="CT14" i="39"/>
  <c r="CU14" i="39"/>
  <c r="CV14" i="39"/>
  <c r="CW14" i="39"/>
  <c r="CX14" i="39"/>
  <c r="CY14" i="39"/>
  <c r="CT15" i="39"/>
  <c r="CU15" i="39"/>
  <c r="CV15" i="39"/>
  <c r="CW15" i="39"/>
  <c r="CX15" i="39"/>
  <c r="CY15" i="39"/>
  <c r="CT16" i="39"/>
  <c r="CU16" i="39"/>
  <c r="CV16" i="39"/>
  <c r="CW16" i="39"/>
  <c r="CX16" i="39"/>
  <c r="CY16" i="39"/>
  <c r="CT17" i="39"/>
  <c r="CU17" i="39"/>
  <c r="CV17" i="39"/>
  <c r="CW17" i="39"/>
  <c r="CX17" i="39"/>
  <c r="CY17" i="39"/>
  <c r="CT18" i="39"/>
  <c r="CU18" i="39"/>
  <c r="CV18" i="39"/>
  <c r="CW18" i="39"/>
  <c r="CX18" i="39"/>
  <c r="CY18" i="39"/>
  <c r="CT19" i="39"/>
  <c r="CU19" i="39"/>
  <c r="CV19" i="39"/>
  <c r="CW19" i="39"/>
  <c r="CX19" i="39"/>
  <c r="CY19" i="39"/>
  <c r="CT20" i="39"/>
  <c r="CU20" i="39"/>
  <c r="CV20" i="39"/>
  <c r="CW20" i="39"/>
  <c r="CX20" i="39"/>
  <c r="CY20" i="39"/>
  <c r="CT21" i="39"/>
  <c r="CU21" i="39"/>
  <c r="CV21" i="39"/>
  <c r="CW21" i="39"/>
  <c r="CX21" i="39"/>
  <c r="CY21" i="39"/>
  <c r="CT22" i="39"/>
  <c r="CU22" i="39"/>
  <c r="CV22" i="39"/>
  <c r="CW22" i="39"/>
  <c r="CX22" i="39"/>
  <c r="CY22" i="39"/>
  <c r="CT23" i="39"/>
  <c r="CU23" i="39"/>
  <c r="CV23" i="39"/>
  <c r="CW23" i="39"/>
  <c r="CX23" i="39"/>
  <c r="CY23" i="39"/>
  <c r="CT24" i="39"/>
  <c r="CU24" i="39"/>
  <c r="CV24" i="39"/>
  <c r="CW24" i="39"/>
  <c r="CX24" i="39"/>
  <c r="CY24" i="39"/>
  <c r="CT25" i="39"/>
  <c r="CU25" i="39"/>
  <c r="CV25" i="39"/>
  <c r="CW25" i="39"/>
  <c r="CX25" i="39"/>
  <c r="CY25" i="39"/>
  <c r="CT26" i="39"/>
  <c r="CU26" i="39"/>
  <c r="CV26" i="39"/>
  <c r="CW26" i="39"/>
  <c r="CX26" i="39"/>
  <c r="CY26" i="39"/>
  <c r="CT27" i="39"/>
  <c r="CU27" i="39"/>
  <c r="CV27" i="39"/>
  <c r="CW27" i="39"/>
  <c r="CX27" i="39"/>
  <c r="CY27" i="39"/>
  <c r="CT28" i="39"/>
  <c r="CU28" i="39"/>
  <c r="CV28" i="39"/>
  <c r="CW28" i="39"/>
  <c r="CX28" i="39"/>
  <c r="CY28" i="39"/>
  <c r="CT29" i="39"/>
  <c r="CU29" i="39"/>
  <c r="CV29" i="39"/>
  <c r="CW29" i="39"/>
  <c r="CX29" i="39"/>
  <c r="CY29" i="39"/>
  <c r="CT30" i="39"/>
  <c r="CU30" i="39"/>
  <c r="CV30" i="39"/>
  <c r="CW30" i="39"/>
  <c r="CX30" i="39"/>
  <c r="CY30" i="39"/>
  <c r="CT31" i="39"/>
  <c r="CU31" i="39"/>
  <c r="CV31" i="39"/>
  <c r="CW31" i="39"/>
  <c r="CX31" i="39"/>
  <c r="CY31" i="39"/>
  <c r="CT32" i="39"/>
  <c r="CU32" i="39"/>
  <c r="CV32" i="39"/>
  <c r="CW32" i="39"/>
  <c r="CX32" i="39"/>
  <c r="CY32" i="39"/>
  <c r="CT33" i="39"/>
  <c r="CU33" i="39"/>
  <c r="CV33" i="39"/>
  <c r="CW33" i="39"/>
  <c r="CX33" i="39"/>
  <c r="CY33" i="39"/>
  <c r="CT34" i="39"/>
  <c r="CU34" i="39"/>
  <c r="CV34" i="39"/>
  <c r="CW34" i="39"/>
  <c r="CX34" i="39"/>
  <c r="CY34" i="39"/>
  <c r="CT35" i="39"/>
  <c r="CU35" i="39"/>
  <c r="CV35" i="39"/>
  <c r="CW35" i="39"/>
  <c r="CX35" i="39"/>
  <c r="CY35" i="39"/>
  <c r="CT36" i="39"/>
  <c r="CU36" i="39"/>
  <c r="CV36" i="39"/>
  <c r="CW36" i="39"/>
  <c r="CX36" i="39"/>
  <c r="CY36" i="39"/>
  <c r="CT37" i="39"/>
  <c r="CU37" i="39"/>
  <c r="CV37" i="39"/>
  <c r="CW37" i="39"/>
  <c r="CX37" i="39"/>
  <c r="CY37" i="39"/>
  <c r="CT38" i="39"/>
  <c r="CU38" i="39"/>
  <c r="CV38" i="39"/>
  <c r="CW38" i="39"/>
  <c r="CX38" i="39"/>
  <c r="CY38" i="39"/>
  <c r="CT39" i="39"/>
  <c r="CU39" i="39"/>
  <c r="CV39" i="39"/>
  <c r="CW39" i="39"/>
  <c r="CX39" i="39"/>
  <c r="CY39" i="39"/>
  <c r="CT40" i="39"/>
  <c r="CU40" i="39"/>
  <c r="CV40" i="39"/>
  <c r="CW40" i="39"/>
  <c r="CX40" i="39"/>
  <c r="CY40" i="39"/>
  <c r="CT41" i="39"/>
  <c r="CU41" i="39"/>
  <c r="CV41" i="39"/>
  <c r="CW41" i="39"/>
  <c r="CX41" i="39"/>
  <c r="CY41" i="39"/>
  <c r="CT42" i="39"/>
  <c r="CU42" i="39"/>
  <c r="CV42" i="39"/>
  <c r="CW42" i="39"/>
  <c r="CX42" i="39"/>
  <c r="CY42" i="39"/>
  <c r="CT43" i="39"/>
  <c r="CU43" i="39"/>
  <c r="CV43" i="39"/>
  <c r="CW43" i="39"/>
  <c r="CX43" i="39"/>
  <c r="CY43" i="39"/>
  <c r="CT44" i="39"/>
  <c r="CU44" i="39"/>
  <c r="CV44" i="39"/>
  <c r="CW44" i="39"/>
  <c r="CX44" i="39"/>
  <c r="CY44" i="39"/>
  <c r="CT45" i="39"/>
  <c r="CU45" i="39"/>
  <c r="CV45" i="39"/>
  <c r="CW45" i="39"/>
  <c r="CX45" i="39"/>
  <c r="CY45" i="39"/>
  <c r="CT46" i="39"/>
  <c r="CU46" i="39"/>
  <c r="CV46" i="39"/>
  <c r="CW46" i="39"/>
  <c r="CX46" i="39"/>
  <c r="CY46" i="39"/>
  <c r="CT47" i="39"/>
  <c r="CU47" i="39"/>
  <c r="CV47" i="39"/>
  <c r="CW47" i="39"/>
  <c r="CX47" i="39"/>
  <c r="CY47" i="39"/>
  <c r="CT48" i="39"/>
  <c r="CU48" i="39"/>
  <c r="CV48" i="39"/>
  <c r="CW48" i="39"/>
  <c r="CX48" i="39"/>
  <c r="CY48" i="39"/>
  <c r="CT49" i="39"/>
  <c r="CU49" i="39"/>
  <c r="CV49" i="39"/>
  <c r="CW49" i="39"/>
  <c r="CX49" i="39"/>
  <c r="CY49" i="39"/>
  <c r="CT50" i="39"/>
  <c r="CU50" i="39"/>
  <c r="CV50" i="39"/>
  <c r="CW50" i="39"/>
  <c r="CX50" i="39"/>
  <c r="CY50" i="39"/>
  <c r="CT51" i="39"/>
  <c r="CU51" i="39"/>
  <c r="CV51" i="39"/>
  <c r="CW51" i="39"/>
  <c r="CX51" i="39"/>
  <c r="CY51" i="39"/>
  <c r="CT52" i="39"/>
  <c r="CU52" i="39"/>
  <c r="CV52" i="39"/>
  <c r="CW52" i="39"/>
  <c r="CX52" i="39"/>
  <c r="CY52" i="39"/>
  <c r="CT53" i="39"/>
  <c r="CU53" i="39"/>
  <c r="CV53" i="39"/>
  <c r="CW53" i="39"/>
  <c r="CX53" i="39"/>
  <c r="CY53" i="39"/>
  <c r="CT54" i="39"/>
  <c r="CU54" i="39"/>
  <c r="CV54" i="39"/>
  <c r="CW54" i="39"/>
  <c r="CX54" i="39"/>
  <c r="CY54" i="39"/>
  <c r="CT55" i="39"/>
  <c r="CU55" i="39"/>
  <c r="CV55" i="39"/>
  <c r="CW55" i="39"/>
  <c r="CX55" i="39"/>
  <c r="CY55" i="39"/>
  <c r="CT56" i="39"/>
  <c r="CU56" i="39"/>
  <c r="CV56" i="39"/>
  <c r="CW56" i="39"/>
  <c r="CX56" i="39"/>
  <c r="CY56" i="39"/>
  <c r="CT57" i="39"/>
  <c r="CU57" i="39"/>
  <c r="CV57" i="39"/>
  <c r="CW57" i="39"/>
  <c r="CX57" i="39"/>
  <c r="CY57" i="39"/>
  <c r="CT58" i="39"/>
  <c r="CU58" i="39"/>
  <c r="CV58" i="39"/>
  <c r="CW58" i="39"/>
  <c r="CX58" i="39"/>
  <c r="CY58" i="39"/>
  <c r="CT59" i="39"/>
  <c r="CU59" i="39"/>
  <c r="CV59" i="39"/>
  <c r="CW59" i="39"/>
  <c r="CX59" i="39"/>
  <c r="CY59" i="39"/>
  <c r="CU6" i="39"/>
  <c r="CV6" i="39"/>
  <c r="CW6" i="39"/>
  <c r="CX6" i="39"/>
  <c r="CY6" i="39"/>
  <c r="CT6" i="39"/>
  <c r="BN7" i="39"/>
  <c r="BO7" i="39"/>
  <c r="BP7" i="39"/>
  <c r="BQ7" i="39"/>
  <c r="BR7" i="39"/>
  <c r="BS7" i="39"/>
  <c r="BN8" i="39"/>
  <c r="BO8" i="39"/>
  <c r="BP8" i="39"/>
  <c r="BQ8" i="39"/>
  <c r="BR8" i="39"/>
  <c r="BS8" i="39"/>
  <c r="BN9" i="39"/>
  <c r="BO9" i="39"/>
  <c r="BP9" i="39"/>
  <c r="BQ9" i="39"/>
  <c r="BR9" i="39"/>
  <c r="BS9" i="39"/>
  <c r="BN10" i="39"/>
  <c r="BO10" i="39"/>
  <c r="BP10" i="39"/>
  <c r="BQ10" i="39"/>
  <c r="BR10" i="39"/>
  <c r="BS10" i="39"/>
  <c r="BN11" i="39"/>
  <c r="BO11" i="39"/>
  <c r="BP11" i="39"/>
  <c r="BQ11" i="39"/>
  <c r="BR11" i="39"/>
  <c r="BS11" i="39"/>
  <c r="BN12" i="39"/>
  <c r="BO12" i="39"/>
  <c r="BP12" i="39"/>
  <c r="BQ12" i="39"/>
  <c r="BR12" i="39"/>
  <c r="BS12" i="39"/>
  <c r="BN13" i="39"/>
  <c r="BO13" i="39"/>
  <c r="BP13" i="39"/>
  <c r="BQ13" i="39"/>
  <c r="BR13" i="39"/>
  <c r="BS13" i="39"/>
  <c r="BN14" i="39"/>
  <c r="BO14" i="39"/>
  <c r="BP14" i="39"/>
  <c r="BQ14" i="39"/>
  <c r="BR14" i="39"/>
  <c r="BS14" i="39"/>
  <c r="BN15" i="39"/>
  <c r="BO15" i="39"/>
  <c r="BP15" i="39"/>
  <c r="BQ15" i="39"/>
  <c r="BR15" i="39"/>
  <c r="BS15" i="39"/>
  <c r="BN16" i="39"/>
  <c r="BO16" i="39"/>
  <c r="BP16" i="39"/>
  <c r="BQ16" i="39"/>
  <c r="BR16" i="39"/>
  <c r="BS16" i="39"/>
  <c r="BN17" i="39"/>
  <c r="BO17" i="39"/>
  <c r="BP17" i="39"/>
  <c r="BQ17" i="39"/>
  <c r="BR17" i="39"/>
  <c r="BS17" i="39"/>
  <c r="BN18" i="39"/>
  <c r="BO18" i="39"/>
  <c r="BP18" i="39"/>
  <c r="BQ18" i="39"/>
  <c r="BR18" i="39"/>
  <c r="BS18" i="39"/>
  <c r="BN19" i="39"/>
  <c r="BO19" i="39"/>
  <c r="BP19" i="39"/>
  <c r="BQ19" i="39"/>
  <c r="BR19" i="39"/>
  <c r="BS19" i="39"/>
  <c r="BN20" i="39"/>
  <c r="BO20" i="39"/>
  <c r="BP20" i="39"/>
  <c r="BQ20" i="39"/>
  <c r="BR20" i="39"/>
  <c r="BS20" i="39"/>
  <c r="BN21" i="39"/>
  <c r="BO21" i="39"/>
  <c r="BP21" i="39"/>
  <c r="BQ21" i="39"/>
  <c r="BR21" i="39"/>
  <c r="BS21" i="39"/>
  <c r="BN22" i="39"/>
  <c r="BO22" i="39"/>
  <c r="BP22" i="39"/>
  <c r="BQ22" i="39"/>
  <c r="BR22" i="39"/>
  <c r="BS22" i="39"/>
  <c r="BN23" i="39"/>
  <c r="BO23" i="39"/>
  <c r="BP23" i="39"/>
  <c r="BQ23" i="39"/>
  <c r="BR23" i="39"/>
  <c r="BS23" i="39"/>
  <c r="BN24" i="39"/>
  <c r="BO24" i="39"/>
  <c r="BP24" i="39"/>
  <c r="BQ24" i="39"/>
  <c r="BR24" i="39"/>
  <c r="BS24" i="39"/>
  <c r="BN25" i="39"/>
  <c r="BO25" i="39"/>
  <c r="BP25" i="39"/>
  <c r="BQ25" i="39"/>
  <c r="BR25" i="39"/>
  <c r="BS25" i="39"/>
  <c r="BN26" i="39"/>
  <c r="BO26" i="39"/>
  <c r="BP26" i="39"/>
  <c r="BQ26" i="39"/>
  <c r="BR26" i="39"/>
  <c r="BS26" i="39"/>
  <c r="BN27" i="39"/>
  <c r="BO27" i="39"/>
  <c r="BP27" i="39"/>
  <c r="BQ27" i="39"/>
  <c r="BR27" i="39"/>
  <c r="BS27" i="39"/>
  <c r="BN28" i="39"/>
  <c r="BO28" i="39"/>
  <c r="BP28" i="39"/>
  <c r="BQ28" i="39"/>
  <c r="BR28" i="39"/>
  <c r="BS28" i="39"/>
  <c r="BN29" i="39"/>
  <c r="BO29" i="39"/>
  <c r="BP29" i="39"/>
  <c r="BQ29" i="39"/>
  <c r="BR29" i="39"/>
  <c r="BS29" i="39"/>
  <c r="BN30" i="39"/>
  <c r="BO30" i="39"/>
  <c r="BP30" i="39"/>
  <c r="BQ30" i="39"/>
  <c r="BR30" i="39"/>
  <c r="BS30" i="39"/>
  <c r="BN31" i="39"/>
  <c r="BO31" i="39"/>
  <c r="BP31" i="39"/>
  <c r="BQ31" i="39"/>
  <c r="BR31" i="39"/>
  <c r="BS31" i="39"/>
  <c r="BN32" i="39"/>
  <c r="BO32" i="39"/>
  <c r="BP32" i="39"/>
  <c r="BQ32" i="39"/>
  <c r="BR32" i="39"/>
  <c r="BS32" i="39"/>
  <c r="BN33" i="39"/>
  <c r="BO33" i="39"/>
  <c r="BP33" i="39"/>
  <c r="BQ33" i="39"/>
  <c r="BR33" i="39"/>
  <c r="BS33" i="39"/>
  <c r="BN34" i="39"/>
  <c r="BO34" i="39"/>
  <c r="BP34" i="39"/>
  <c r="BQ34" i="39"/>
  <c r="BR34" i="39"/>
  <c r="BS34" i="39"/>
  <c r="BN35" i="39"/>
  <c r="BO35" i="39"/>
  <c r="BP35" i="39"/>
  <c r="BQ35" i="39"/>
  <c r="BR35" i="39"/>
  <c r="BS35" i="39"/>
  <c r="BN36" i="39"/>
  <c r="BO36" i="39"/>
  <c r="BP36" i="39"/>
  <c r="BQ36" i="39"/>
  <c r="BR36" i="39"/>
  <c r="BS36" i="39"/>
  <c r="BN37" i="39"/>
  <c r="BO37" i="39"/>
  <c r="BP37" i="39"/>
  <c r="BQ37" i="39"/>
  <c r="BR37" i="39"/>
  <c r="BS37" i="39"/>
  <c r="BN38" i="39"/>
  <c r="BO38" i="39"/>
  <c r="BP38" i="39"/>
  <c r="BQ38" i="39"/>
  <c r="BR38" i="39"/>
  <c r="BS38" i="39"/>
  <c r="BN39" i="39"/>
  <c r="BO39" i="39"/>
  <c r="BP39" i="39"/>
  <c r="BQ39" i="39"/>
  <c r="BR39" i="39"/>
  <c r="BS39" i="39"/>
  <c r="BN40" i="39"/>
  <c r="BO40" i="39"/>
  <c r="BP40" i="39"/>
  <c r="BQ40" i="39"/>
  <c r="BR40" i="39"/>
  <c r="BS40" i="39"/>
  <c r="BN41" i="39"/>
  <c r="BO41" i="39"/>
  <c r="BP41" i="39"/>
  <c r="BQ41" i="39"/>
  <c r="BR41" i="39"/>
  <c r="BS41" i="39"/>
  <c r="BN42" i="39"/>
  <c r="BO42" i="39"/>
  <c r="BP42" i="39"/>
  <c r="BQ42" i="39"/>
  <c r="BR42" i="39"/>
  <c r="BS42" i="39"/>
  <c r="BN43" i="39"/>
  <c r="BO43" i="39"/>
  <c r="BP43" i="39"/>
  <c r="BQ43" i="39"/>
  <c r="BR43" i="39"/>
  <c r="BS43" i="39"/>
  <c r="BN44" i="39"/>
  <c r="BO44" i="39"/>
  <c r="BP44" i="39"/>
  <c r="BQ44" i="39"/>
  <c r="BR44" i="39"/>
  <c r="BS44" i="39"/>
  <c r="BN45" i="39"/>
  <c r="BO45" i="39"/>
  <c r="BP45" i="39"/>
  <c r="BQ45" i="39"/>
  <c r="BR45" i="39"/>
  <c r="BS45" i="39"/>
  <c r="BN46" i="39"/>
  <c r="BO46" i="39"/>
  <c r="BP46" i="39"/>
  <c r="BQ46" i="39"/>
  <c r="BR46" i="39"/>
  <c r="BS46" i="39"/>
  <c r="BN47" i="39"/>
  <c r="BO47" i="39"/>
  <c r="BP47" i="39"/>
  <c r="BQ47" i="39"/>
  <c r="BR47" i="39"/>
  <c r="BS47" i="39"/>
  <c r="BN48" i="39"/>
  <c r="BO48" i="39"/>
  <c r="BP48" i="39"/>
  <c r="BQ48" i="39"/>
  <c r="BR48" i="39"/>
  <c r="BS48" i="39"/>
  <c r="BN49" i="39"/>
  <c r="BO49" i="39"/>
  <c r="BP49" i="39"/>
  <c r="BQ49" i="39"/>
  <c r="BR49" i="39"/>
  <c r="BS49" i="39"/>
  <c r="BN50" i="39"/>
  <c r="BO50" i="39"/>
  <c r="BP50" i="39"/>
  <c r="BQ50" i="39"/>
  <c r="BR50" i="39"/>
  <c r="BS50" i="39"/>
  <c r="BN51" i="39"/>
  <c r="BO51" i="39"/>
  <c r="BP51" i="39"/>
  <c r="BQ51" i="39"/>
  <c r="BR51" i="39"/>
  <c r="BS51" i="39"/>
  <c r="BN52" i="39"/>
  <c r="BO52" i="39"/>
  <c r="BP52" i="39"/>
  <c r="BQ52" i="39"/>
  <c r="BR52" i="39"/>
  <c r="BS52" i="39"/>
  <c r="BN53" i="39"/>
  <c r="BO53" i="39"/>
  <c r="BP53" i="39"/>
  <c r="BQ53" i="39"/>
  <c r="BR53" i="39"/>
  <c r="BS53" i="39"/>
  <c r="BN54" i="39"/>
  <c r="BO54" i="39"/>
  <c r="BP54" i="39"/>
  <c r="BQ54" i="39"/>
  <c r="BR54" i="39"/>
  <c r="BS54" i="39"/>
  <c r="BN55" i="39"/>
  <c r="BO55" i="39"/>
  <c r="BP55" i="39"/>
  <c r="BQ55" i="39"/>
  <c r="BR55" i="39"/>
  <c r="BS55" i="39"/>
  <c r="BN56" i="39"/>
  <c r="BO56" i="39"/>
  <c r="BP56" i="39"/>
  <c r="BQ56" i="39"/>
  <c r="BR56" i="39"/>
  <c r="BS56" i="39"/>
  <c r="BN57" i="39"/>
  <c r="BO57" i="39"/>
  <c r="BP57" i="39"/>
  <c r="BQ57" i="39"/>
  <c r="BR57" i="39"/>
  <c r="BS57" i="39"/>
  <c r="BN58" i="39"/>
  <c r="BO58" i="39"/>
  <c r="BP58" i="39"/>
  <c r="BQ58" i="39"/>
  <c r="BR58" i="39"/>
  <c r="BS58" i="39"/>
  <c r="BN59" i="39"/>
  <c r="BO59" i="39"/>
  <c r="BP59" i="39"/>
  <c r="BQ59" i="39"/>
  <c r="BR59" i="39"/>
  <c r="BS59" i="39"/>
  <c r="BO6" i="39"/>
  <c r="BP6" i="39"/>
  <c r="BQ6" i="39"/>
  <c r="BR6" i="39"/>
  <c r="BS6" i="39"/>
  <c r="G112" i="140" l="1"/>
  <c r="G104" i="140"/>
  <c r="G92" i="140"/>
  <c r="G88" i="140"/>
  <c r="G113" i="140"/>
  <c r="G105" i="140"/>
  <c r="G97" i="140"/>
  <c r="G89" i="140"/>
  <c r="G81" i="140"/>
  <c r="G77" i="140"/>
  <c r="G69" i="140"/>
  <c r="G114" i="140"/>
  <c r="G110" i="140"/>
  <c r="G106" i="140"/>
  <c r="G102" i="140"/>
  <c r="G98" i="140"/>
  <c r="G94" i="140"/>
  <c r="G86" i="140"/>
  <c r="G82" i="140"/>
  <c r="G78" i="140"/>
  <c r="G74" i="140"/>
  <c r="G70" i="140"/>
  <c r="G66" i="140"/>
  <c r="G62" i="140"/>
  <c r="G80" i="140"/>
  <c r="G76" i="140"/>
  <c r="G72" i="140"/>
  <c r="G68" i="140"/>
  <c r="G109" i="140"/>
  <c r="G101" i="140"/>
  <c r="G93" i="140"/>
  <c r="G85" i="140"/>
  <c r="G73" i="140"/>
  <c r="G65" i="140"/>
  <c r="G108" i="140"/>
  <c r="G100" i="140"/>
  <c r="G96" i="140"/>
  <c r="G84" i="140"/>
  <c r="G64" i="140"/>
  <c r="G111" i="140"/>
  <c r="G107" i="140"/>
  <c r="G103" i="140"/>
  <c r="G99" i="140"/>
  <c r="G95" i="140"/>
  <c r="G91" i="140"/>
  <c r="G87" i="140"/>
  <c r="G83" i="140"/>
  <c r="G79" i="140"/>
  <c r="G75" i="140"/>
  <c r="G71" i="140"/>
  <c r="G67" i="140"/>
  <c r="G63" i="140"/>
  <c r="G61" i="140"/>
  <c r="CC9" i="132"/>
  <c r="C9" i="132" s="1"/>
  <c r="CE9" i="132"/>
  <c r="B112" i="140"/>
  <c r="G83" i="62"/>
  <c r="B92" i="140"/>
  <c r="G63" i="62"/>
  <c r="B84" i="140"/>
  <c r="G55" i="62"/>
  <c r="B72" i="140"/>
  <c r="G43" i="62"/>
  <c r="B64" i="140"/>
  <c r="G35" i="62"/>
  <c r="B105" i="140"/>
  <c r="G76" i="62"/>
  <c r="B97" i="140"/>
  <c r="G68" i="62"/>
  <c r="B89" i="140"/>
  <c r="G60" i="62"/>
  <c r="B81" i="140"/>
  <c r="G52" i="62"/>
  <c r="B96" i="140"/>
  <c r="G67" i="62"/>
  <c r="B80" i="140"/>
  <c r="G51" i="62"/>
  <c r="B76" i="140"/>
  <c r="G47" i="62"/>
  <c r="B109" i="140"/>
  <c r="G80" i="62"/>
  <c r="B101" i="140"/>
  <c r="G72" i="62"/>
  <c r="B73" i="140"/>
  <c r="G44" i="62"/>
  <c r="B65" i="140"/>
  <c r="G36" i="62"/>
  <c r="B114" i="140"/>
  <c r="G85" i="62"/>
  <c r="E13" i="58"/>
  <c r="K17" i="58" s="1"/>
  <c r="B90" i="140"/>
  <c r="G61" i="62"/>
  <c r="B74" i="140"/>
  <c r="G45" i="62"/>
  <c r="B66" i="140"/>
  <c r="G37" i="62"/>
  <c r="B100" i="140"/>
  <c r="G71" i="62"/>
  <c r="B88" i="140"/>
  <c r="G59" i="62"/>
  <c r="B93" i="140"/>
  <c r="G64" i="62"/>
  <c r="B85" i="140"/>
  <c r="G56" i="62"/>
  <c r="B69" i="140"/>
  <c r="G40" i="62"/>
  <c r="B110" i="140"/>
  <c r="G81" i="62"/>
  <c r="B106" i="140"/>
  <c r="G77" i="62"/>
  <c r="B102" i="140"/>
  <c r="G73" i="62"/>
  <c r="B98" i="140"/>
  <c r="G69" i="62"/>
  <c r="B94" i="140"/>
  <c r="G65" i="62"/>
  <c r="B62" i="140"/>
  <c r="G33" i="62"/>
  <c r="B111" i="140"/>
  <c r="G82" i="62"/>
  <c r="B107" i="140"/>
  <c r="G78" i="62"/>
  <c r="B103" i="140"/>
  <c r="G74" i="62"/>
  <c r="B99" i="140"/>
  <c r="G70" i="62"/>
  <c r="B95" i="140"/>
  <c r="G66" i="62"/>
  <c r="B91" i="140"/>
  <c r="G62" i="62"/>
  <c r="B87" i="140"/>
  <c r="G58" i="62"/>
  <c r="B83" i="140"/>
  <c r="G54" i="62"/>
  <c r="B79" i="140"/>
  <c r="G50" i="62"/>
  <c r="B75" i="140"/>
  <c r="G46" i="62"/>
  <c r="B71" i="140"/>
  <c r="G42" i="62"/>
  <c r="B67" i="140"/>
  <c r="G38" i="62"/>
  <c r="B63" i="140"/>
  <c r="G34" i="62"/>
  <c r="B108" i="140"/>
  <c r="G79" i="62"/>
  <c r="B104" i="140"/>
  <c r="G75" i="62"/>
  <c r="B68" i="140"/>
  <c r="G39" i="62"/>
  <c r="B113" i="140"/>
  <c r="G84" i="62"/>
  <c r="B77" i="140"/>
  <c r="G48" i="62"/>
  <c r="B86" i="140"/>
  <c r="G57" i="62"/>
  <c r="B82" i="140"/>
  <c r="G53" i="62"/>
  <c r="B78" i="140"/>
  <c r="G49" i="62"/>
  <c r="B70" i="140"/>
  <c r="G41" i="62"/>
  <c r="E23" i="58"/>
  <c r="K23" i="58" s="1"/>
  <c r="G90" i="140"/>
  <c r="B61" i="140"/>
  <c r="G32" i="62"/>
  <c r="B20" i="58"/>
  <c r="H21" i="58" s="1"/>
  <c r="C20" i="58"/>
  <c r="I21" i="58" s="1"/>
  <c r="E20" i="58"/>
  <c r="K21" i="58" s="1"/>
  <c r="D20" i="58"/>
  <c r="J21" i="58" s="1"/>
  <c r="E14" i="58" l="1"/>
  <c r="D9" i="134"/>
  <c r="CD9" i="132"/>
  <c r="BR9" i="132"/>
  <c r="E9" i="132" s="1"/>
  <c r="BI9" i="132"/>
  <c r="Y9" i="134"/>
  <c r="P9" i="132" l="1"/>
  <c r="Q9" i="132" s="1"/>
  <c r="AN6" i="74" s="1"/>
  <c r="K9" i="134"/>
  <c r="BJ9" i="132"/>
  <c r="BD6" i="74" s="1"/>
  <c r="AD6" i="73"/>
  <c r="AD16" i="69"/>
  <c r="AE16" i="69"/>
  <c r="AF16" i="69"/>
  <c r="BP16" i="69" s="1"/>
  <c r="AG16" i="69"/>
  <c r="AH16" i="69"/>
  <c r="AI16" i="69"/>
  <c r="AD17" i="69"/>
  <c r="AE17" i="69"/>
  <c r="AF17" i="69"/>
  <c r="BP17" i="69" s="1"/>
  <c r="AG17" i="69"/>
  <c r="AH17" i="69"/>
  <c r="AI17" i="69"/>
  <c r="AD18" i="69"/>
  <c r="AE18" i="69"/>
  <c r="AF18" i="69"/>
  <c r="BP18" i="69" s="1"/>
  <c r="AG18" i="69"/>
  <c r="AH18" i="69"/>
  <c r="AI18" i="69"/>
  <c r="AD19" i="69"/>
  <c r="AE19" i="69"/>
  <c r="AF19" i="69"/>
  <c r="BP19" i="69" s="1"/>
  <c r="AG19" i="69"/>
  <c r="AH19" i="69"/>
  <c r="AI19" i="69"/>
  <c r="AD20" i="69"/>
  <c r="AE20" i="69"/>
  <c r="AF20" i="69"/>
  <c r="BP20" i="69" s="1"/>
  <c r="AG20" i="69"/>
  <c r="AH20" i="69"/>
  <c r="AI20" i="69"/>
  <c r="AD21" i="69"/>
  <c r="AE21" i="69"/>
  <c r="AF21" i="69"/>
  <c r="BP21" i="69" s="1"/>
  <c r="AG21" i="69"/>
  <c r="AH21" i="69"/>
  <c r="AI21" i="69"/>
  <c r="AD22" i="69"/>
  <c r="AE22" i="69"/>
  <c r="AF22" i="69"/>
  <c r="BP22" i="69" s="1"/>
  <c r="AG22" i="69"/>
  <c r="AH22" i="69"/>
  <c r="AI22" i="69"/>
  <c r="AD23" i="69"/>
  <c r="AE23" i="69"/>
  <c r="AF23" i="69"/>
  <c r="BP23" i="69" s="1"/>
  <c r="AG23" i="69"/>
  <c r="AH23" i="69"/>
  <c r="AI23" i="69"/>
  <c r="AD24" i="69"/>
  <c r="AE24" i="69"/>
  <c r="AF24" i="69"/>
  <c r="BP24" i="69" s="1"/>
  <c r="AG24" i="69"/>
  <c r="AH24" i="69"/>
  <c r="AI24" i="69"/>
  <c r="AD25" i="69"/>
  <c r="AE25" i="69"/>
  <c r="AF25" i="69"/>
  <c r="BP25" i="69" s="1"/>
  <c r="AG25" i="69"/>
  <c r="AH25" i="69"/>
  <c r="AI25" i="69"/>
  <c r="AD26" i="69"/>
  <c r="AE26" i="69"/>
  <c r="AF26" i="69"/>
  <c r="BP26" i="69" s="1"/>
  <c r="AG26" i="69"/>
  <c r="AH26" i="69"/>
  <c r="AI26" i="69"/>
  <c r="AD27" i="69"/>
  <c r="AE27" i="69"/>
  <c r="AF27" i="69"/>
  <c r="BP27" i="69" s="1"/>
  <c r="AG27" i="69"/>
  <c r="AH27" i="69"/>
  <c r="AI27" i="69"/>
  <c r="AD28" i="69"/>
  <c r="AE28" i="69"/>
  <c r="AF28" i="69"/>
  <c r="BP28" i="69" s="1"/>
  <c r="AG28" i="69"/>
  <c r="AH28" i="69"/>
  <c r="AI28" i="69"/>
  <c r="AD29" i="69"/>
  <c r="AE29" i="69"/>
  <c r="AF29" i="69"/>
  <c r="BP29" i="69" s="1"/>
  <c r="AG29" i="69"/>
  <c r="AH29" i="69"/>
  <c r="AI29" i="69"/>
  <c r="AD30" i="69"/>
  <c r="AE30" i="69"/>
  <c r="AF30" i="69"/>
  <c r="BP30" i="69" s="1"/>
  <c r="AG30" i="69"/>
  <c r="AH30" i="69"/>
  <c r="AI30" i="69"/>
  <c r="AD31" i="69"/>
  <c r="AE31" i="69"/>
  <c r="AF31" i="69"/>
  <c r="BP31" i="69" s="1"/>
  <c r="AG31" i="69"/>
  <c r="AH31" i="69"/>
  <c r="AI31" i="69"/>
  <c r="AD32" i="69"/>
  <c r="AE32" i="69"/>
  <c r="AF32" i="69"/>
  <c r="BP32" i="69" s="1"/>
  <c r="AG32" i="69"/>
  <c r="AH32" i="69"/>
  <c r="AI32" i="69"/>
  <c r="AD33" i="69"/>
  <c r="AE33" i="69"/>
  <c r="AF33" i="69"/>
  <c r="BP33" i="69" s="1"/>
  <c r="AG33" i="69"/>
  <c r="AH33" i="69"/>
  <c r="AI33" i="69"/>
  <c r="AD34" i="69"/>
  <c r="AE34" i="69"/>
  <c r="AF34" i="69"/>
  <c r="BP34" i="69" s="1"/>
  <c r="AG34" i="69"/>
  <c r="AH34" i="69"/>
  <c r="AI34" i="69"/>
  <c r="AD35" i="69"/>
  <c r="AE35" i="69"/>
  <c r="AF35" i="69"/>
  <c r="BP35" i="69" s="1"/>
  <c r="AG35" i="69"/>
  <c r="AH35" i="69"/>
  <c r="AI35" i="69"/>
  <c r="AD36" i="69"/>
  <c r="AE36" i="69"/>
  <c r="AF36" i="69"/>
  <c r="BP36" i="69" s="1"/>
  <c r="AG36" i="69"/>
  <c r="AH36" i="69"/>
  <c r="AI36" i="69"/>
  <c r="AD37" i="69"/>
  <c r="AE37" i="69"/>
  <c r="AF37" i="69"/>
  <c r="BP37" i="69" s="1"/>
  <c r="AG37" i="69"/>
  <c r="AH37" i="69"/>
  <c r="AI37" i="69"/>
  <c r="AD38" i="69"/>
  <c r="AE38" i="69"/>
  <c r="AF38" i="69"/>
  <c r="BP38" i="69" s="1"/>
  <c r="AG38" i="69"/>
  <c r="AH38" i="69"/>
  <c r="AI38" i="69"/>
  <c r="AD39" i="69"/>
  <c r="AE39" i="69"/>
  <c r="AF39" i="69"/>
  <c r="BP39" i="69" s="1"/>
  <c r="AG39" i="69"/>
  <c r="AH39" i="69"/>
  <c r="AI39" i="69"/>
  <c r="AD40" i="69"/>
  <c r="AE40" i="69"/>
  <c r="AF40" i="69"/>
  <c r="BP40" i="69" s="1"/>
  <c r="AG40" i="69"/>
  <c r="AH40" i="69"/>
  <c r="AI40" i="69"/>
  <c r="AD41" i="69"/>
  <c r="AE41" i="69"/>
  <c r="AF41" i="69"/>
  <c r="BP41" i="69" s="1"/>
  <c r="AG41" i="69"/>
  <c r="AH41" i="69"/>
  <c r="AI41" i="69"/>
  <c r="AD42" i="69"/>
  <c r="AE42" i="69"/>
  <c r="AF42" i="69"/>
  <c r="BP42" i="69" s="1"/>
  <c r="AG42" i="69"/>
  <c r="AH42" i="69"/>
  <c r="AI42" i="69"/>
  <c r="AD43" i="69"/>
  <c r="AE43" i="69"/>
  <c r="AF43" i="69"/>
  <c r="BP43" i="69" s="1"/>
  <c r="AG43" i="69"/>
  <c r="AH43" i="69"/>
  <c r="AI43" i="69"/>
  <c r="AD44" i="69"/>
  <c r="AE44" i="69"/>
  <c r="AF44" i="69"/>
  <c r="BP44" i="69" s="1"/>
  <c r="AG44" i="69"/>
  <c r="AH44" i="69"/>
  <c r="AI44" i="69"/>
  <c r="AD45" i="69"/>
  <c r="AE45" i="69"/>
  <c r="AF45" i="69"/>
  <c r="BP45" i="69" s="1"/>
  <c r="AG45" i="69"/>
  <c r="AH45" i="69"/>
  <c r="AI45" i="69"/>
  <c r="AD46" i="69"/>
  <c r="AE46" i="69"/>
  <c r="AF46" i="69"/>
  <c r="BP46" i="69" s="1"/>
  <c r="AG46" i="69"/>
  <c r="AH46" i="69"/>
  <c r="AI46" i="69"/>
  <c r="AD47" i="69"/>
  <c r="AE47" i="69"/>
  <c r="AF47" i="69"/>
  <c r="BP47" i="69" s="1"/>
  <c r="AG47" i="69"/>
  <c r="AH47" i="69"/>
  <c r="AI47" i="69"/>
  <c r="AD48" i="69"/>
  <c r="AE48" i="69"/>
  <c r="AF48" i="69"/>
  <c r="BP48" i="69" s="1"/>
  <c r="AG48" i="69"/>
  <c r="AH48" i="69"/>
  <c r="AI48" i="69"/>
  <c r="AD49" i="69"/>
  <c r="AE49" i="69"/>
  <c r="AF49" i="69"/>
  <c r="BP49" i="69" s="1"/>
  <c r="AG49" i="69"/>
  <c r="AH49" i="69"/>
  <c r="AI49" i="69"/>
  <c r="AD50" i="69"/>
  <c r="AE50" i="69"/>
  <c r="AF50" i="69"/>
  <c r="BP50" i="69" s="1"/>
  <c r="AG50" i="69"/>
  <c r="AH50" i="69"/>
  <c r="AI50" i="69"/>
  <c r="AD51" i="69"/>
  <c r="AE51" i="69"/>
  <c r="AF51" i="69"/>
  <c r="BP51" i="69" s="1"/>
  <c r="AG51" i="69"/>
  <c r="AH51" i="69"/>
  <c r="AI51" i="69"/>
  <c r="AD52" i="69"/>
  <c r="AE52" i="69"/>
  <c r="AF52" i="69"/>
  <c r="BP52" i="69" s="1"/>
  <c r="AG52" i="69"/>
  <c r="AH52" i="69"/>
  <c r="AI52" i="69"/>
  <c r="AD53" i="69"/>
  <c r="AE53" i="69"/>
  <c r="AF53" i="69"/>
  <c r="BP53" i="69" s="1"/>
  <c r="AG53" i="69"/>
  <c r="AH53" i="69"/>
  <c r="AI53" i="69"/>
  <c r="AD54" i="69"/>
  <c r="AE54" i="69"/>
  <c r="AF54" i="69"/>
  <c r="BP54" i="69" s="1"/>
  <c r="AG54" i="69"/>
  <c r="AH54" i="69"/>
  <c r="AI54" i="69"/>
  <c r="AD55" i="69"/>
  <c r="AE55" i="69"/>
  <c r="AF55" i="69"/>
  <c r="BP55" i="69" s="1"/>
  <c r="AG55" i="69"/>
  <c r="AH55" i="69"/>
  <c r="AI55" i="69"/>
  <c r="AD56" i="69"/>
  <c r="AE56" i="69"/>
  <c r="AF56" i="69"/>
  <c r="BP56" i="69" s="1"/>
  <c r="AG56" i="69"/>
  <c r="AH56" i="69"/>
  <c r="AI56" i="69"/>
  <c r="AD57" i="69"/>
  <c r="AE57" i="69"/>
  <c r="AF57" i="69"/>
  <c r="BP57" i="69" s="1"/>
  <c r="AG57" i="69"/>
  <c r="AH57" i="69"/>
  <c r="AI57" i="69"/>
  <c r="AD58" i="69"/>
  <c r="AE58" i="69"/>
  <c r="AF58" i="69"/>
  <c r="BP58" i="69" s="1"/>
  <c r="AG58" i="69"/>
  <c r="AH58" i="69"/>
  <c r="AI58" i="69"/>
  <c r="AD59" i="69"/>
  <c r="AE59" i="69"/>
  <c r="AF59" i="69"/>
  <c r="BP59" i="69" s="1"/>
  <c r="AG59" i="69"/>
  <c r="AH59" i="69"/>
  <c r="AI59" i="69"/>
  <c r="AD60" i="69"/>
  <c r="AE60" i="69"/>
  <c r="AF60" i="69"/>
  <c r="BP60" i="69" s="1"/>
  <c r="AG60" i="69"/>
  <c r="AH60" i="69"/>
  <c r="AI60" i="69"/>
  <c r="AD61" i="69"/>
  <c r="AE61" i="69"/>
  <c r="AF61" i="69"/>
  <c r="BP61" i="69" s="1"/>
  <c r="AG61" i="69"/>
  <c r="AH61" i="69"/>
  <c r="AI61" i="69"/>
  <c r="AD62" i="69"/>
  <c r="AE62" i="69"/>
  <c r="AF62" i="69"/>
  <c r="BP62" i="69" s="1"/>
  <c r="AG62" i="69"/>
  <c r="AH62" i="69"/>
  <c r="AI62" i="69"/>
  <c r="AI15" i="69"/>
  <c r="AH15" i="69"/>
  <c r="AG15" i="69"/>
  <c r="AF15" i="69"/>
  <c r="BP15" i="69" s="1"/>
  <c r="AE15" i="69"/>
  <c r="AD15" i="69"/>
  <c r="AI13" i="69"/>
  <c r="AH13" i="69"/>
  <c r="AG13" i="69"/>
  <c r="AF13" i="69"/>
  <c r="BP13" i="69" s="1"/>
  <c r="AE13" i="69"/>
  <c r="AD13" i="69"/>
  <c r="AI11" i="69"/>
  <c r="AH11" i="69"/>
  <c r="AG11" i="69"/>
  <c r="AF11" i="69"/>
  <c r="BP11" i="69" s="1"/>
  <c r="AE11" i="69"/>
  <c r="AD11" i="69"/>
  <c r="AE9" i="69"/>
  <c r="AF9" i="69"/>
  <c r="BP9" i="69" s="1"/>
  <c r="AG9" i="69"/>
  <c r="AH9" i="69"/>
  <c r="AD9" i="69"/>
  <c r="C9" i="69"/>
  <c r="B16" i="69"/>
  <c r="C16" i="69"/>
  <c r="D16" i="69"/>
  <c r="E16" i="69"/>
  <c r="F16" i="69"/>
  <c r="G16" i="69"/>
  <c r="B17" i="69"/>
  <c r="C17" i="69"/>
  <c r="D17" i="69"/>
  <c r="E17" i="69"/>
  <c r="F17" i="69"/>
  <c r="G17" i="69"/>
  <c r="B18" i="69"/>
  <c r="C18" i="69"/>
  <c r="D18" i="69"/>
  <c r="E18" i="69"/>
  <c r="F18" i="69"/>
  <c r="G18" i="69"/>
  <c r="B19" i="69"/>
  <c r="C19" i="69"/>
  <c r="D19" i="69"/>
  <c r="E19" i="69"/>
  <c r="F19" i="69"/>
  <c r="G19" i="69"/>
  <c r="B20" i="69"/>
  <c r="C20" i="69"/>
  <c r="D20" i="69"/>
  <c r="E20" i="69"/>
  <c r="F20" i="69"/>
  <c r="G20" i="69"/>
  <c r="B21" i="69"/>
  <c r="C21" i="69"/>
  <c r="D21" i="69"/>
  <c r="E21" i="69"/>
  <c r="F21" i="69"/>
  <c r="G21" i="69"/>
  <c r="B22" i="69"/>
  <c r="C22" i="69"/>
  <c r="D22" i="69"/>
  <c r="E22" i="69"/>
  <c r="F22" i="69"/>
  <c r="G22" i="69"/>
  <c r="B23" i="69"/>
  <c r="C23" i="69"/>
  <c r="D23" i="69"/>
  <c r="E23" i="69"/>
  <c r="F23" i="69"/>
  <c r="G23" i="69"/>
  <c r="B24" i="69"/>
  <c r="C24" i="69"/>
  <c r="D24" i="69"/>
  <c r="E24" i="69"/>
  <c r="F24" i="69"/>
  <c r="G24" i="69"/>
  <c r="B25" i="69"/>
  <c r="C25" i="69"/>
  <c r="D25" i="69"/>
  <c r="E25" i="69"/>
  <c r="F25" i="69"/>
  <c r="G25" i="69"/>
  <c r="B26" i="69"/>
  <c r="C26" i="69"/>
  <c r="D26" i="69"/>
  <c r="E26" i="69"/>
  <c r="F26" i="69"/>
  <c r="G26" i="69"/>
  <c r="B27" i="69"/>
  <c r="C27" i="69"/>
  <c r="D27" i="69"/>
  <c r="E27" i="69"/>
  <c r="F27" i="69"/>
  <c r="G27" i="69"/>
  <c r="B28" i="69"/>
  <c r="C28" i="69"/>
  <c r="D28" i="69"/>
  <c r="E28" i="69"/>
  <c r="F28" i="69"/>
  <c r="G28" i="69"/>
  <c r="B29" i="69"/>
  <c r="C29" i="69"/>
  <c r="D29" i="69"/>
  <c r="E29" i="69"/>
  <c r="F29" i="69"/>
  <c r="G29" i="69"/>
  <c r="B30" i="69"/>
  <c r="C30" i="69"/>
  <c r="D30" i="69"/>
  <c r="E30" i="69"/>
  <c r="F30" i="69"/>
  <c r="G30" i="69"/>
  <c r="B31" i="69"/>
  <c r="C31" i="69"/>
  <c r="D31" i="69"/>
  <c r="E31" i="69"/>
  <c r="F31" i="69"/>
  <c r="G31" i="69"/>
  <c r="B32" i="69"/>
  <c r="C32" i="69"/>
  <c r="D32" i="69"/>
  <c r="E32" i="69"/>
  <c r="F32" i="69"/>
  <c r="G32" i="69"/>
  <c r="B33" i="69"/>
  <c r="C33" i="69"/>
  <c r="D33" i="69"/>
  <c r="E33" i="69"/>
  <c r="F33" i="69"/>
  <c r="G33" i="69"/>
  <c r="B34" i="69"/>
  <c r="C34" i="69"/>
  <c r="D34" i="69"/>
  <c r="E34" i="69"/>
  <c r="F34" i="69"/>
  <c r="G34" i="69"/>
  <c r="B35" i="69"/>
  <c r="C35" i="69"/>
  <c r="D35" i="69"/>
  <c r="E35" i="69"/>
  <c r="F35" i="69"/>
  <c r="G35" i="69"/>
  <c r="B36" i="69"/>
  <c r="C36" i="69"/>
  <c r="D36" i="69"/>
  <c r="E36" i="69"/>
  <c r="F36" i="69"/>
  <c r="G36" i="69"/>
  <c r="B37" i="69"/>
  <c r="C37" i="69"/>
  <c r="D37" i="69"/>
  <c r="E37" i="69"/>
  <c r="F37" i="69"/>
  <c r="G37" i="69"/>
  <c r="B38" i="69"/>
  <c r="C38" i="69"/>
  <c r="D38" i="69"/>
  <c r="E38" i="69"/>
  <c r="F38" i="69"/>
  <c r="G38" i="69"/>
  <c r="B39" i="69"/>
  <c r="C39" i="69"/>
  <c r="D39" i="69"/>
  <c r="E39" i="69"/>
  <c r="F39" i="69"/>
  <c r="G39" i="69"/>
  <c r="B40" i="69"/>
  <c r="C40" i="69"/>
  <c r="D40" i="69"/>
  <c r="E40" i="69"/>
  <c r="F40" i="69"/>
  <c r="G40" i="69"/>
  <c r="B41" i="69"/>
  <c r="C41" i="69"/>
  <c r="D41" i="69"/>
  <c r="E41" i="69"/>
  <c r="F41" i="69"/>
  <c r="G41" i="69"/>
  <c r="B42" i="69"/>
  <c r="C42" i="69"/>
  <c r="D42" i="69"/>
  <c r="E42" i="69"/>
  <c r="F42" i="69"/>
  <c r="G42" i="69"/>
  <c r="B43" i="69"/>
  <c r="C43" i="69"/>
  <c r="D43" i="69"/>
  <c r="E43" i="69"/>
  <c r="F43" i="69"/>
  <c r="G43" i="69"/>
  <c r="B44" i="69"/>
  <c r="C44" i="69"/>
  <c r="D44" i="69"/>
  <c r="E44" i="69"/>
  <c r="F44" i="69"/>
  <c r="G44" i="69"/>
  <c r="B45" i="69"/>
  <c r="C45" i="69"/>
  <c r="D45" i="69"/>
  <c r="E45" i="69"/>
  <c r="F45" i="69"/>
  <c r="G45" i="69"/>
  <c r="B46" i="69"/>
  <c r="C46" i="69"/>
  <c r="D46" i="69"/>
  <c r="E46" i="69"/>
  <c r="F46" i="69"/>
  <c r="G46" i="69"/>
  <c r="B47" i="69"/>
  <c r="C47" i="69"/>
  <c r="D47" i="69"/>
  <c r="E47" i="69"/>
  <c r="F47" i="69"/>
  <c r="G47" i="69"/>
  <c r="B48" i="69"/>
  <c r="C48" i="69"/>
  <c r="D48" i="69"/>
  <c r="E48" i="69"/>
  <c r="F48" i="69"/>
  <c r="G48" i="69"/>
  <c r="B49" i="69"/>
  <c r="C49" i="69"/>
  <c r="D49" i="69"/>
  <c r="E49" i="69"/>
  <c r="F49" i="69"/>
  <c r="G49" i="69"/>
  <c r="B50" i="69"/>
  <c r="C50" i="69"/>
  <c r="D50" i="69"/>
  <c r="E50" i="69"/>
  <c r="F50" i="69"/>
  <c r="G50" i="69"/>
  <c r="B51" i="69"/>
  <c r="C51" i="69"/>
  <c r="D51" i="69"/>
  <c r="E51" i="69"/>
  <c r="F51" i="69"/>
  <c r="G51" i="69"/>
  <c r="B52" i="69"/>
  <c r="C52" i="69"/>
  <c r="D52" i="69"/>
  <c r="E52" i="69"/>
  <c r="F52" i="69"/>
  <c r="G52" i="69"/>
  <c r="B53" i="69"/>
  <c r="C53" i="69"/>
  <c r="D53" i="69"/>
  <c r="E53" i="69"/>
  <c r="F53" i="69"/>
  <c r="G53" i="69"/>
  <c r="B54" i="69"/>
  <c r="C54" i="69"/>
  <c r="D54" i="69"/>
  <c r="E54" i="69"/>
  <c r="F54" i="69"/>
  <c r="G54" i="69"/>
  <c r="B55" i="69"/>
  <c r="C55" i="69"/>
  <c r="D55" i="69"/>
  <c r="E55" i="69"/>
  <c r="F55" i="69"/>
  <c r="G55" i="69"/>
  <c r="B56" i="69"/>
  <c r="C56" i="69"/>
  <c r="D56" i="69"/>
  <c r="E56" i="69"/>
  <c r="F56" i="69"/>
  <c r="G56" i="69"/>
  <c r="B57" i="69"/>
  <c r="C57" i="69"/>
  <c r="D57" i="69"/>
  <c r="E57" i="69"/>
  <c r="F57" i="69"/>
  <c r="G57" i="69"/>
  <c r="B58" i="69"/>
  <c r="C58" i="69"/>
  <c r="D58" i="69"/>
  <c r="E58" i="69"/>
  <c r="F58" i="69"/>
  <c r="G58" i="69"/>
  <c r="B59" i="69"/>
  <c r="C59" i="69"/>
  <c r="D59" i="69"/>
  <c r="E59" i="69"/>
  <c r="F59" i="69"/>
  <c r="G59" i="69"/>
  <c r="B60" i="69"/>
  <c r="C60" i="69"/>
  <c r="D60" i="69"/>
  <c r="E60" i="69"/>
  <c r="F60" i="69"/>
  <c r="G60" i="69"/>
  <c r="B61" i="69"/>
  <c r="C61" i="69"/>
  <c r="D61" i="69"/>
  <c r="E61" i="69"/>
  <c r="F61" i="69"/>
  <c r="G61" i="69"/>
  <c r="B62" i="69"/>
  <c r="C62" i="69"/>
  <c r="D62" i="69"/>
  <c r="E62" i="69"/>
  <c r="F62" i="69"/>
  <c r="G62" i="69"/>
  <c r="G15" i="69"/>
  <c r="F15" i="69"/>
  <c r="E15" i="69"/>
  <c r="D15" i="69"/>
  <c r="C15" i="69"/>
  <c r="B15" i="69"/>
  <c r="G13" i="69"/>
  <c r="F13" i="69"/>
  <c r="E13" i="69"/>
  <c r="D13" i="69"/>
  <c r="C13" i="69"/>
  <c r="B13" i="69"/>
  <c r="G11" i="69"/>
  <c r="F11" i="69"/>
  <c r="E11" i="69"/>
  <c r="D11" i="69"/>
  <c r="C11" i="69"/>
  <c r="B11" i="69"/>
  <c r="G9" i="69"/>
  <c r="F9" i="69"/>
  <c r="E9" i="69"/>
  <c r="D9" i="69"/>
  <c r="B9" i="69"/>
  <c r="AN7" i="73"/>
  <c r="AL6" i="73" l="1"/>
  <c r="AL6" i="74"/>
  <c r="CQ8" i="74"/>
  <c r="CQ10" i="74"/>
  <c r="CQ12" i="74"/>
  <c r="CQ13" i="74"/>
  <c r="CQ14" i="74"/>
  <c r="CQ15" i="74"/>
  <c r="CQ16" i="74"/>
  <c r="CQ17" i="74"/>
  <c r="CQ18" i="74"/>
  <c r="CQ19" i="74"/>
  <c r="CQ20" i="74"/>
  <c r="CQ21" i="74"/>
  <c r="CQ22" i="74"/>
  <c r="CQ23" i="74"/>
  <c r="CQ24" i="74"/>
  <c r="CQ25" i="74"/>
  <c r="CQ26" i="74"/>
  <c r="CQ27" i="74"/>
  <c r="CQ28" i="74"/>
  <c r="CQ29" i="74"/>
  <c r="CQ30" i="74"/>
  <c r="CQ31" i="74"/>
  <c r="CQ32" i="74"/>
  <c r="CQ33" i="74"/>
  <c r="CQ34" i="74"/>
  <c r="CQ35" i="74"/>
  <c r="CQ36" i="74"/>
  <c r="CQ37" i="74"/>
  <c r="CQ38" i="74"/>
  <c r="CQ39" i="74"/>
  <c r="CQ40" i="74"/>
  <c r="CQ41" i="74"/>
  <c r="CQ42" i="74"/>
  <c r="CQ43" i="74"/>
  <c r="CQ44" i="74"/>
  <c r="CQ45" i="74"/>
  <c r="CQ46" i="74"/>
  <c r="CQ47" i="74"/>
  <c r="CQ48" i="74"/>
  <c r="CQ49" i="74"/>
  <c r="CQ50" i="74"/>
  <c r="CQ51" i="74"/>
  <c r="CQ52" i="74"/>
  <c r="CQ53" i="74"/>
  <c r="CQ54" i="74"/>
  <c r="CQ55" i="74"/>
  <c r="CQ56" i="74"/>
  <c r="CQ57" i="74"/>
  <c r="CQ58" i="74"/>
  <c r="CQ59" i="74"/>
  <c r="CM7" i="74" l="1"/>
  <c r="T6" i="87" s="1"/>
  <c r="CM8" i="74"/>
  <c r="T7" i="87" s="1"/>
  <c r="CM9" i="74"/>
  <c r="T8" i="87" s="1"/>
  <c r="CM10" i="74"/>
  <c r="T9" i="87" s="1"/>
  <c r="CM11" i="74"/>
  <c r="T10" i="87" s="1"/>
  <c r="CM12" i="74"/>
  <c r="T11" i="87" s="1"/>
  <c r="CM13" i="74"/>
  <c r="T12" i="87" s="1"/>
  <c r="CM14" i="74"/>
  <c r="T13" i="87" s="1"/>
  <c r="CM15" i="74"/>
  <c r="T14" i="87" s="1"/>
  <c r="CM16" i="74"/>
  <c r="T15" i="87" s="1"/>
  <c r="CM17" i="74"/>
  <c r="T16" i="87" s="1"/>
  <c r="CM18" i="74"/>
  <c r="T17" i="87" s="1"/>
  <c r="CM19" i="74"/>
  <c r="T18" i="87" s="1"/>
  <c r="CM20" i="74"/>
  <c r="T19" i="87" s="1"/>
  <c r="CM21" i="74"/>
  <c r="T20" i="87" s="1"/>
  <c r="CM22" i="74"/>
  <c r="T21" i="87" s="1"/>
  <c r="CM23" i="74"/>
  <c r="T22" i="87" s="1"/>
  <c r="CM24" i="74"/>
  <c r="T23" i="87" s="1"/>
  <c r="CM25" i="74"/>
  <c r="T24" i="87" s="1"/>
  <c r="CM26" i="74"/>
  <c r="T25" i="87" s="1"/>
  <c r="CM27" i="74"/>
  <c r="T26" i="87" s="1"/>
  <c r="CM28" i="74"/>
  <c r="T27" i="87" s="1"/>
  <c r="CM29" i="74"/>
  <c r="T28" i="87" s="1"/>
  <c r="CM30" i="74"/>
  <c r="T29" i="87" s="1"/>
  <c r="CM31" i="74"/>
  <c r="T30" i="87" s="1"/>
  <c r="CM32" i="74"/>
  <c r="T31" i="87" s="1"/>
  <c r="CM33" i="74"/>
  <c r="T32" i="87" s="1"/>
  <c r="CM34" i="74"/>
  <c r="T33" i="87" s="1"/>
  <c r="CM35" i="74"/>
  <c r="T34" i="87" s="1"/>
  <c r="CM36" i="74"/>
  <c r="T35" i="87" s="1"/>
  <c r="CM37" i="74"/>
  <c r="T36" i="87" s="1"/>
  <c r="CM38" i="74"/>
  <c r="T37" i="87" s="1"/>
  <c r="CM39" i="74"/>
  <c r="T38" i="87" s="1"/>
  <c r="CM40" i="74"/>
  <c r="T39" i="87" s="1"/>
  <c r="CM41" i="74"/>
  <c r="T40" i="87" s="1"/>
  <c r="CM42" i="74"/>
  <c r="T41" i="87" s="1"/>
  <c r="CM43" i="74"/>
  <c r="T42" i="87" s="1"/>
  <c r="CM44" i="74"/>
  <c r="T43" i="87" s="1"/>
  <c r="CM45" i="74"/>
  <c r="T44" i="87" s="1"/>
  <c r="CM46" i="74"/>
  <c r="T45" i="87" s="1"/>
  <c r="CM47" i="74"/>
  <c r="T46" i="87" s="1"/>
  <c r="CM48" i="74"/>
  <c r="T47" i="87" s="1"/>
  <c r="CM49" i="74"/>
  <c r="T48" i="87" s="1"/>
  <c r="CM50" i="74"/>
  <c r="T49" i="87" s="1"/>
  <c r="CM51" i="74"/>
  <c r="T50" i="87" s="1"/>
  <c r="CM52" i="74"/>
  <c r="T51" i="87" s="1"/>
  <c r="CM53" i="74"/>
  <c r="T52" i="87" s="1"/>
  <c r="CM54" i="74"/>
  <c r="T53" i="87" s="1"/>
  <c r="CM55" i="74"/>
  <c r="T54" i="87" s="1"/>
  <c r="CM56" i="74"/>
  <c r="T55" i="87" s="1"/>
  <c r="CM57" i="74"/>
  <c r="T56" i="87" s="1"/>
  <c r="CM58" i="74"/>
  <c r="T57" i="87" s="1"/>
  <c r="CM59" i="74"/>
  <c r="T58" i="87" s="1"/>
  <c r="CM60" i="74"/>
  <c r="T59" i="87" s="1"/>
  <c r="CM61" i="74"/>
  <c r="CM6" i="74"/>
  <c r="T5" i="87" s="1"/>
  <c r="D23" i="58"/>
  <c r="J23" i="58" s="1"/>
  <c r="C23" i="58"/>
  <c r="I23" i="58" s="1"/>
  <c r="B23" i="58"/>
  <c r="H23" i="58" s="1"/>
  <c r="DR3" i="39"/>
  <c r="T60" i="87" l="1"/>
  <c r="CO61" i="74"/>
  <c r="CO6" i="74"/>
  <c r="CO34" i="74"/>
  <c r="CO10" i="74"/>
  <c r="CO49" i="74"/>
  <c r="CO33" i="74"/>
  <c r="CO25" i="74"/>
  <c r="CO48" i="74"/>
  <c r="CO16" i="74"/>
  <c r="CO47" i="74"/>
  <c r="CO23" i="74"/>
  <c r="CO54" i="74"/>
  <c r="CO46" i="74"/>
  <c r="CO38" i="74"/>
  <c r="CO30" i="74"/>
  <c r="CO22" i="74"/>
  <c r="CO14" i="74"/>
  <c r="CO50" i="74"/>
  <c r="CO18" i="74"/>
  <c r="CO41" i="74"/>
  <c r="CO9" i="74"/>
  <c r="CO40" i="74"/>
  <c r="CO24" i="74"/>
  <c r="CO39" i="74"/>
  <c r="CO15" i="74"/>
  <c r="CO53" i="74"/>
  <c r="CO37" i="74"/>
  <c r="CO21" i="74"/>
  <c r="CO52" i="74"/>
  <c r="CO44" i="74"/>
  <c r="CO36" i="74"/>
  <c r="CO28" i="74"/>
  <c r="CO20" i="74"/>
  <c r="CO12" i="74"/>
  <c r="CO58" i="74"/>
  <c r="CO42" i="74"/>
  <c r="CO26" i="74"/>
  <c r="N61" i="111"/>
  <c r="CO57" i="74"/>
  <c r="CO17" i="74"/>
  <c r="CO56" i="74"/>
  <c r="CO32" i="74"/>
  <c r="CO8" i="74"/>
  <c r="CO55" i="74"/>
  <c r="CO31" i="74"/>
  <c r="CO7" i="74"/>
  <c r="CO45" i="74"/>
  <c r="CO29" i="74"/>
  <c r="CO13" i="74"/>
  <c r="CO60" i="74"/>
  <c r="CO59" i="74"/>
  <c r="CO51" i="74"/>
  <c r="CO43" i="74"/>
  <c r="CO35" i="74"/>
  <c r="CO27" i="74"/>
  <c r="CO19" i="74"/>
  <c r="CO11" i="74"/>
  <c r="N10" i="111"/>
  <c r="N26" i="111"/>
  <c r="N49" i="111"/>
  <c r="N64" i="111"/>
  <c r="N56" i="111"/>
  <c r="N48" i="111"/>
  <c r="N40" i="111"/>
  <c r="N32" i="111"/>
  <c r="N24" i="111"/>
  <c r="N16" i="111"/>
  <c r="N58" i="111"/>
  <c r="N18" i="111"/>
  <c r="N65" i="111"/>
  <c r="N41" i="111"/>
  <c r="N25" i="111"/>
  <c r="N63" i="111"/>
  <c r="N55" i="111"/>
  <c r="N47" i="111"/>
  <c r="N39" i="111"/>
  <c r="N31" i="111"/>
  <c r="N23" i="111"/>
  <c r="N15" i="111"/>
  <c r="N34" i="111"/>
  <c r="N33" i="111"/>
  <c r="N46" i="111"/>
  <c r="N53" i="111"/>
  <c r="N45" i="111"/>
  <c r="N37" i="111"/>
  <c r="N29" i="111"/>
  <c r="N21" i="111"/>
  <c r="N13" i="111"/>
  <c r="N50" i="111"/>
  <c r="N17" i="111"/>
  <c r="N62" i="111"/>
  <c r="N38" i="111"/>
  <c r="N30" i="111"/>
  <c r="N22" i="111"/>
  <c r="N14" i="111"/>
  <c r="N60" i="111"/>
  <c r="N52" i="111"/>
  <c r="N44" i="111"/>
  <c r="N36" i="111"/>
  <c r="N28" i="111"/>
  <c r="N20" i="111"/>
  <c r="N12" i="111"/>
  <c r="N42" i="111"/>
  <c r="N57" i="111"/>
  <c r="N54" i="111"/>
  <c r="N59" i="111"/>
  <c r="N51" i="111"/>
  <c r="N43" i="111"/>
  <c r="N35" i="111"/>
  <c r="N27" i="111"/>
  <c r="N19" i="111"/>
  <c r="N11" i="111"/>
  <c r="AC60" i="73" l="1"/>
  <c r="AE60" i="73" s="1"/>
  <c r="AI60" i="73" l="1"/>
  <c r="AJ60" i="73" s="1"/>
  <c r="BN6" i="39"/>
  <c r="D5" i="58"/>
  <c r="J28" i="58" s="1"/>
  <c r="C5" i="58"/>
  <c r="I28" i="58" s="1"/>
  <c r="H28" i="58"/>
  <c r="D13" i="58"/>
  <c r="BN3" i="39"/>
  <c r="J17" i="58" l="1"/>
  <c r="D14" i="58"/>
  <c r="CB63" i="132"/>
  <c r="K14" i="58"/>
  <c r="C13" i="58"/>
  <c r="C14" i="58" s="1"/>
  <c r="L14" i="58"/>
  <c r="B13" i="58"/>
  <c r="J14" i="58"/>
  <c r="CC63" i="132" l="1"/>
  <c r="CE63" i="132"/>
  <c r="H14" i="58"/>
  <c r="B14" i="58"/>
  <c r="H17" i="58"/>
  <c r="I14" i="58"/>
  <c r="I17" i="58"/>
  <c r="Y63" i="134" l="1"/>
  <c r="CD63" i="132"/>
  <c r="P63" i="132" s="1"/>
  <c r="D63" i="134"/>
  <c r="C63" i="132"/>
  <c r="BI63" i="132"/>
  <c r="E59" i="100"/>
  <c r="F59" i="100"/>
  <c r="M59" i="100"/>
  <c r="N59" i="100"/>
  <c r="O59" i="100"/>
  <c r="P59" i="100"/>
  <c r="Q59" i="100"/>
  <c r="R59" i="100"/>
  <c r="T59" i="100"/>
  <c r="W59" i="100"/>
  <c r="X59" i="100"/>
  <c r="Y59" i="100"/>
  <c r="Z59" i="100"/>
  <c r="AA59" i="100"/>
  <c r="AB59" i="100"/>
  <c r="AD59" i="100"/>
  <c r="AG59" i="100"/>
  <c r="AH59" i="100"/>
  <c r="AI59" i="100"/>
  <c r="AJ59" i="100"/>
  <c r="AK59" i="100"/>
  <c r="AL59" i="100"/>
  <c r="AN59" i="100"/>
  <c r="AQ59" i="100"/>
  <c r="AR59" i="100"/>
  <c r="AS59" i="100"/>
  <c r="AT59" i="100"/>
  <c r="AU59" i="100"/>
  <c r="AV59" i="100"/>
  <c r="AX59" i="100"/>
  <c r="BA59" i="100"/>
  <c r="BB59" i="100"/>
  <c r="BC59" i="100"/>
  <c r="BD59" i="100"/>
  <c r="BE59" i="100"/>
  <c r="BF59" i="100"/>
  <c r="BH59" i="100"/>
  <c r="BK59" i="100"/>
  <c r="BL59" i="100"/>
  <c r="BM59" i="100"/>
  <c r="BN59" i="100"/>
  <c r="BO59" i="100"/>
  <c r="BP59" i="100"/>
  <c r="BR59" i="100"/>
  <c r="E58" i="100"/>
  <c r="F58" i="100"/>
  <c r="M58" i="100"/>
  <c r="N58" i="100"/>
  <c r="O58" i="100"/>
  <c r="P58" i="100"/>
  <c r="Q58" i="100"/>
  <c r="R58" i="100"/>
  <c r="T58" i="100"/>
  <c r="W58" i="100"/>
  <c r="X58" i="100"/>
  <c r="Y58" i="100"/>
  <c r="Z58" i="100"/>
  <c r="AA58" i="100"/>
  <c r="AB58" i="100"/>
  <c r="AD58" i="100"/>
  <c r="AG58" i="100"/>
  <c r="AH58" i="100"/>
  <c r="AI58" i="100"/>
  <c r="AJ58" i="100"/>
  <c r="AK58" i="100"/>
  <c r="AL58" i="100"/>
  <c r="AN58" i="100"/>
  <c r="AQ58" i="100"/>
  <c r="AR58" i="100"/>
  <c r="AS58" i="100"/>
  <c r="AT58" i="100"/>
  <c r="AU58" i="100"/>
  <c r="AV58" i="100"/>
  <c r="AX58" i="100"/>
  <c r="BA58" i="100"/>
  <c r="BB58" i="100"/>
  <c r="BC58" i="100"/>
  <c r="BD58" i="100"/>
  <c r="BE58" i="100"/>
  <c r="BF58" i="100"/>
  <c r="BH58" i="100"/>
  <c r="BK58" i="100"/>
  <c r="BL58" i="100"/>
  <c r="BM58" i="100"/>
  <c r="BN58" i="100"/>
  <c r="BO58" i="100"/>
  <c r="BP58" i="100"/>
  <c r="BR58" i="100"/>
  <c r="E56" i="100"/>
  <c r="F56" i="100"/>
  <c r="M56" i="100"/>
  <c r="N56" i="100"/>
  <c r="O56" i="100"/>
  <c r="P56" i="100"/>
  <c r="Q56" i="100"/>
  <c r="R56" i="100"/>
  <c r="T56" i="100"/>
  <c r="W56" i="100"/>
  <c r="X56" i="100"/>
  <c r="Y56" i="100"/>
  <c r="Z56" i="100"/>
  <c r="AA56" i="100"/>
  <c r="AB56" i="100"/>
  <c r="AD56" i="100"/>
  <c r="AG56" i="100"/>
  <c r="AH56" i="100"/>
  <c r="AI56" i="100"/>
  <c r="AJ56" i="100"/>
  <c r="AK56" i="100"/>
  <c r="AL56" i="100"/>
  <c r="AN56" i="100"/>
  <c r="AQ56" i="100"/>
  <c r="AR56" i="100"/>
  <c r="AS56" i="100"/>
  <c r="AT56" i="100"/>
  <c r="AU56" i="100"/>
  <c r="AV56" i="100"/>
  <c r="AX56" i="100"/>
  <c r="BA56" i="100"/>
  <c r="BB56" i="100"/>
  <c r="BC56" i="100"/>
  <c r="BD56" i="100"/>
  <c r="BE56" i="100"/>
  <c r="BF56" i="100"/>
  <c r="BH56" i="100"/>
  <c r="BK56" i="100"/>
  <c r="BL56" i="100"/>
  <c r="BM56" i="100"/>
  <c r="BN56" i="100"/>
  <c r="BO56" i="100"/>
  <c r="BP56" i="100"/>
  <c r="BR56" i="100"/>
  <c r="E57" i="100"/>
  <c r="F57" i="100"/>
  <c r="M57" i="100"/>
  <c r="N57" i="100"/>
  <c r="O57" i="100"/>
  <c r="P57" i="100"/>
  <c r="Q57" i="100"/>
  <c r="R57" i="100"/>
  <c r="T57" i="100"/>
  <c r="W57" i="100"/>
  <c r="X57" i="100"/>
  <c r="Y57" i="100"/>
  <c r="Z57" i="100"/>
  <c r="AA57" i="100"/>
  <c r="AB57" i="100"/>
  <c r="AD57" i="100"/>
  <c r="AG57" i="100"/>
  <c r="AH57" i="100"/>
  <c r="AI57" i="100"/>
  <c r="AJ57" i="100"/>
  <c r="AK57" i="100"/>
  <c r="AL57" i="100"/>
  <c r="AN57" i="100"/>
  <c r="AQ57" i="100"/>
  <c r="AR57" i="100"/>
  <c r="AS57" i="100"/>
  <c r="AT57" i="100"/>
  <c r="AU57" i="100"/>
  <c r="AV57" i="100"/>
  <c r="AX57" i="100"/>
  <c r="BA57" i="100"/>
  <c r="BB57" i="100"/>
  <c r="BC57" i="100"/>
  <c r="BD57" i="100"/>
  <c r="BE57" i="100"/>
  <c r="BF57" i="100"/>
  <c r="BH57" i="100"/>
  <c r="BK57" i="100"/>
  <c r="BL57" i="100"/>
  <c r="BM57" i="100"/>
  <c r="BN57" i="100"/>
  <c r="BO57" i="100"/>
  <c r="BP57" i="100"/>
  <c r="BR57" i="100"/>
  <c r="E54" i="100"/>
  <c r="F54" i="100"/>
  <c r="M54" i="100"/>
  <c r="N54" i="100"/>
  <c r="O54" i="100"/>
  <c r="P54" i="100"/>
  <c r="Q54" i="100"/>
  <c r="R54" i="100"/>
  <c r="T54" i="100"/>
  <c r="W54" i="100"/>
  <c r="X54" i="100"/>
  <c r="Y54" i="100"/>
  <c r="Z54" i="100"/>
  <c r="AA54" i="100"/>
  <c r="AB54" i="100"/>
  <c r="AD54" i="100"/>
  <c r="AG54" i="100"/>
  <c r="AH54" i="100"/>
  <c r="AI54" i="100"/>
  <c r="AJ54" i="100"/>
  <c r="AK54" i="100"/>
  <c r="AL54" i="100"/>
  <c r="AN54" i="100"/>
  <c r="AQ54" i="100"/>
  <c r="AR54" i="100"/>
  <c r="AS54" i="100"/>
  <c r="AT54" i="100"/>
  <c r="AU54" i="100"/>
  <c r="AV54" i="100"/>
  <c r="AX54" i="100"/>
  <c r="BA54" i="100"/>
  <c r="BB54" i="100"/>
  <c r="BC54" i="100"/>
  <c r="BD54" i="100"/>
  <c r="BE54" i="100"/>
  <c r="BF54" i="100"/>
  <c r="BH54" i="100"/>
  <c r="BK54" i="100"/>
  <c r="BL54" i="100"/>
  <c r="BM54" i="100"/>
  <c r="BN54" i="100"/>
  <c r="BO54" i="100"/>
  <c r="BP54" i="100"/>
  <c r="BR54" i="100"/>
  <c r="E55" i="100"/>
  <c r="F55" i="100"/>
  <c r="M55" i="100"/>
  <c r="N55" i="100"/>
  <c r="O55" i="100"/>
  <c r="P55" i="100"/>
  <c r="Q55" i="100"/>
  <c r="R55" i="100"/>
  <c r="T55" i="100"/>
  <c r="W55" i="100"/>
  <c r="X55" i="100"/>
  <c r="Y55" i="100"/>
  <c r="Z55" i="100"/>
  <c r="AA55" i="100"/>
  <c r="AB55" i="100"/>
  <c r="AD55" i="100"/>
  <c r="AG55" i="100"/>
  <c r="AH55" i="100"/>
  <c r="AI55" i="100"/>
  <c r="AJ55" i="100"/>
  <c r="AK55" i="100"/>
  <c r="AL55" i="100"/>
  <c r="AN55" i="100"/>
  <c r="AQ55" i="100"/>
  <c r="AR55" i="100"/>
  <c r="AS55" i="100"/>
  <c r="AT55" i="100"/>
  <c r="AU55" i="100"/>
  <c r="AV55" i="100"/>
  <c r="AX55" i="100"/>
  <c r="BA55" i="100"/>
  <c r="BB55" i="100"/>
  <c r="BC55" i="100"/>
  <c r="BD55" i="100"/>
  <c r="BE55" i="100"/>
  <c r="BF55" i="100"/>
  <c r="BH55" i="100"/>
  <c r="BK55" i="100"/>
  <c r="BL55" i="100"/>
  <c r="BM55" i="100"/>
  <c r="BN55" i="100"/>
  <c r="BO55" i="100"/>
  <c r="BP55" i="100"/>
  <c r="BR55" i="100"/>
  <c r="E53" i="100"/>
  <c r="F53" i="100"/>
  <c r="M53" i="100"/>
  <c r="N53" i="100"/>
  <c r="O53" i="100"/>
  <c r="P53" i="100"/>
  <c r="Q53" i="100"/>
  <c r="R53" i="100"/>
  <c r="T53" i="100"/>
  <c r="W53" i="100"/>
  <c r="X53" i="100"/>
  <c r="Y53" i="100"/>
  <c r="Z53" i="100"/>
  <c r="AA53" i="100"/>
  <c r="AB53" i="100"/>
  <c r="AD53" i="100"/>
  <c r="AG53" i="100"/>
  <c r="AH53" i="100"/>
  <c r="AI53" i="100"/>
  <c r="AJ53" i="100"/>
  <c r="AK53" i="100"/>
  <c r="AL53" i="100"/>
  <c r="AN53" i="100"/>
  <c r="AQ53" i="100"/>
  <c r="AR53" i="100"/>
  <c r="AS53" i="100"/>
  <c r="AT53" i="100"/>
  <c r="AU53" i="100"/>
  <c r="AV53" i="100"/>
  <c r="AX53" i="100"/>
  <c r="BA53" i="100"/>
  <c r="BB53" i="100"/>
  <c r="BC53" i="100"/>
  <c r="BD53" i="100"/>
  <c r="BE53" i="100"/>
  <c r="BF53" i="100"/>
  <c r="BH53" i="100"/>
  <c r="BK53" i="100"/>
  <c r="BL53" i="100"/>
  <c r="BM53" i="100"/>
  <c r="BN53" i="100"/>
  <c r="BO53" i="100"/>
  <c r="BP53" i="100"/>
  <c r="BR53" i="100"/>
  <c r="E13" i="100"/>
  <c r="F13" i="100"/>
  <c r="M13" i="100"/>
  <c r="N13" i="100"/>
  <c r="O13" i="100"/>
  <c r="P13" i="100"/>
  <c r="Q13" i="100"/>
  <c r="R13" i="100"/>
  <c r="T13" i="100"/>
  <c r="W13" i="100"/>
  <c r="X13" i="100"/>
  <c r="Y13" i="100"/>
  <c r="Z13" i="100"/>
  <c r="AA13" i="100"/>
  <c r="AB13" i="100"/>
  <c r="AD13" i="100"/>
  <c r="AG13" i="100"/>
  <c r="AH13" i="100"/>
  <c r="AI13" i="100"/>
  <c r="AJ13" i="100"/>
  <c r="AK13" i="100"/>
  <c r="AL13" i="100"/>
  <c r="AN13" i="100"/>
  <c r="AQ13" i="100"/>
  <c r="AR13" i="100"/>
  <c r="AS13" i="100"/>
  <c r="AT13" i="100"/>
  <c r="AU13" i="100"/>
  <c r="AV13" i="100"/>
  <c r="AX13" i="100"/>
  <c r="BA13" i="100"/>
  <c r="BB13" i="100"/>
  <c r="BC13" i="100"/>
  <c r="BD13" i="100"/>
  <c r="BE13" i="100"/>
  <c r="BF13" i="100"/>
  <c r="BH13" i="100"/>
  <c r="BK13" i="100"/>
  <c r="BL13" i="100"/>
  <c r="BM13" i="100"/>
  <c r="BN13" i="100"/>
  <c r="BO13" i="100"/>
  <c r="BP13" i="100"/>
  <c r="BR13" i="100"/>
  <c r="E14" i="100"/>
  <c r="F14" i="100"/>
  <c r="M14" i="100"/>
  <c r="N14" i="100"/>
  <c r="O14" i="100"/>
  <c r="P14" i="100"/>
  <c r="Q14" i="100"/>
  <c r="R14" i="100"/>
  <c r="T14" i="100"/>
  <c r="W14" i="100"/>
  <c r="X14" i="100"/>
  <c r="Y14" i="100"/>
  <c r="Z14" i="100"/>
  <c r="AA14" i="100"/>
  <c r="AB14" i="100"/>
  <c r="AD14" i="100"/>
  <c r="AG14" i="100"/>
  <c r="AH14" i="100"/>
  <c r="AI14" i="100"/>
  <c r="AJ14" i="100"/>
  <c r="AK14" i="100"/>
  <c r="AL14" i="100"/>
  <c r="AN14" i="100"/>
  <c r="AQ14" i="100"/>
  <c r="AR14" i="100"/>
  <c r="AS14" i="100"/>
  <c r="AT14" i="100"/>
  <c r="AU14" i="100"/>
  <c r="AV14" i="100"/>
  <c r="AX14" i="100"/>
  <c r="BA14" i="100"/>
  <c r="BB14" i="100"/>
  <c r="BC14" i="100"/>
  <c r="BD14" i="100"/>
  <c r="BE14" i="100"/>
  <c r="BF14" i="100"/>
  <c r="BH14" i="100"/>
  <c r="BK14" i="100"/>
  <c r="BL14" i="100"/>
  <c r="BM14" i="100"/>
  <c r="BN14" i="100"/>
  <c r="BO14" i="100"/>
  <c r="BP14" i="100"/>
  <c r="BR14" i="100"/>
  <c r="E15" i="100"/>
  <c r="F15" i="100"/>
  <c r="M15" i="100"/>
  <c r="N15" i="100"/>
  <c r="O15" i="100"/>
  <c r="P15" i="100"/>
  <c r="Q15" i="100"/>
  <c r="R15" i="100"/>
  <c r="T15" i="100"/>
  <c r="W15" i="100"/>
  <c r="X15" i="100"/>
  <c r="Y15" i="100"/>
  <c r="Z15" i="100"/>
  <c r="AA15" i="100"/>
  <c r="AB15" i="100"/>
  <c r="AD15" i="100"/>
  <c r="AG15" i="100"/>
  <c r="AH15" i="100"/>
  <c r="AI15" i="100"/>
  <c r="AJ15" i="100"/>
  <c r="AK15" i="100"/>
  <c r="AL15" i="100"/>
  <c r="AN15" i="100"/>
  <c r="AQ15" i="100"/>
  <c r="AR15" i="100"/>
  <c r="AS15" i="100"/>
  <c r="AT15" i="100"/>
  <c r="AU15" i="100"/>
  <c r="AV15" i="100"/>
  <c r="AX15" i="100"/>
  <c r="BA15" i="100"/>
  <c r="BB15" i="100"/>
  <c r="BC15" i="100"/>
  <c r="BD15" i="100"/>
  <c r="BE15" i="100"/>
  <c r="BF15" i="100"/>
  <c r="BH15" i="100"/>
  <c r="BK15" i="100"/>
  <c r="BL15" i="100"/>
  <c r="BM15" i="100"/>
  <c r="BN15" i="100"/>
  <c r="BO15" i="100"/>
  <c r="BP15" i="100"/>
  <c r="BR15" i="100"/>
  <c r="E16" i="100"/>
  <c r="F16" i="100"/>
  <c r="M16" i="100"/>
  <c r="N16" i="100"/>
  <c r="O16" i="100"/>
  <c r="P16" i="100"/>
  <c r="Q16" i="100"/>
  <c r="R16" i="100"/>
  <c r="T16" i="100"/>
  <c r="W16" i="100"/>
  <c r="X16" i="100"/>
  <c r="Y16" i="100"/>
  <c r="Z16" i="100"/>
  <c r="AA16" i="100"/>
  <c r="AB16" i="100"/>
  <c r="AD16" i="100"/>
  <c r="AG16" i="100"/>
  <c r="AH16" i="100"/>
  <c r="AI16" i="100"/>
  <c r="AJ16" i="100"/>
  <c r="AK16" i="100"/>
  <c r="AL16" i="100"/>
  <c r="AN16" i="100"/>
  <c r="AQ16" i="100"/>
  <c r="AR16" i="100"/>
  <c r="AS16" i="100"/>
  <c r="AT16" i="100"/>
  <c r="AU16" i="100"/>
  <c r="AV16" i="100"/>
  <c r="AX16" i="100"/>
  <c r="BA16" i="100"/>
  <c r="BB16" i="100"/>
  <c r="BC16" i="100"/>
  <c r="BD16" i="100"/>
  <c r="BE16" i="100"/>
  <c r="BF16" i="100"/>
  <c r="BH16" i="100"/>
  <c r="BK16" i="100"/>
  <c r="BL16" i="100"/>
  <c r="BM16" i="100"/>
  <c r="BN16" i="100"/>
  <c r="BO16" i="100"/>
  <c r="BP16" i="100"/>
  <c r="BR16" i="100"/>
  <c r="E17" i="100"/>
  <c r="F17" i="100"/>
  <c r="M17" i="100"/>
  <c r="N17" i="100"/>
  <c r="O17" i="100"/>
  <c r="P17" i="100"/>
  <c r="Q17" i="100"/>
  <c r="R17" i="100"/>
  <c r="T17" i="100"/>
  <c r="W17" i="100"/>
  <c r="X17" i="100"/>
  <c r="Y17" i="100"/>
  <c r="Z17" i="100"/>
  <c r="AA17" i="100"/>
  <c r="AB17" i="100"/>
  <c r="AD17" i="100"/>
  <c r="AG17" i="100"/>
  <c r="AH17" i="100"/>
  <c r="AI17" i="100"/>
  <c r="AJ17" i="100"/>
  <c r="AK17" i="100"/>
  <c r="AL17" i="100"/>
  <c r="AN17" i="100"/>
  <c r="AQ17" i="100"/>
  <c r="AR17" i="100"/>
  <c r="AS17" i="100"/>
  <c r="AT17" i="100"/>
  <c r="AU17" i="100"/>
  <c r="AV17" i="100"/>
  <c r="AX17" i="100"/>
  <c r="BA17" i="100"/>
  <c r="BB17" i="100"/>
  <c r="BC17" i="100"/>
  <c r="BD17" i="100"/>
  <c r="BE17" i="100"/>
  <c r="BF17" i="100"/>
  <c r="BH17" i="100"/>
  <c r="BK17" i="100"/>
  <c r="BL17" i="100"/>
  <c r="BM17" i="100"/>
  <c r="BN17" i="100"/>
  <c r="BO17" i="100"/>
  <c r="BP17" i="100"/>
  <c r="BR17" i="100"/>
  <c r="E18" i="100"/>
  <c r="F18" i="100"/>
  <c r="M18" i="100"/>
  <c r="N18" i="100"/>
  <c r="O18" i="100"/>
  <c r="P18" i="100"/>
  <c r="Q18" i="100"/>
  <c r="R18" i="100"/>
  <c r="T18" i="100"/>
  <c r="W18" i="100"/>
  <c r="X18" i="100"/>
  <c r="Y18" i="100"/>
  <c r="Z18" i="100"/>
  <c r="AA18" i="100"/>
  <c r="AB18" i="100"/>
  <c r="AD18" i="100"/>
  <c r="AG18" i="100"/>
  <c r="AH18" i="100"/>
  <c r="AI18" i="100"/>
  <c r="AJ18" i="100"/>
  <c r="AK18" i="100"/>
  <c r="AL18" i="100"/>
  <c r="AN18" i="100"/>
  <c r="AQ18" i="100"/>
  <c r="AR18" i="100"/>
  <c r="AS18" i="100"/>
  <c r="AT18" i="100"/>
  <c r="AU18" i="100"/>
  <c r="AV18" i="100"/>
  <c r="AX18" i="100"/>
  <c r="BA18" i="100"/>
  <c r="BB18" i="100"/>
  <c r="BC18" i="100"/>
  <c r="BD18" i="100"/>
  <c r="BE18" i="100"/>
  <c r="BF18" i="100"/>
  <c r="BH18" i="100"/>
  <c r="BK18" i="100"/>
  <c r="BL18" i="100"/>
  <c r="BM18" i="100"/>
  <c r="BN18" i="100"/>
  <c r="BO18" i="100"/>
  <c r="BP18" i="100"/>
  <c r="BR18" i="100"/>
  <c r="E19" i="100"/>
  <c r="F19" i="100"/>
  <c r="M19" i="100"/>
  <c r="N19" i="100"/>
  <c r="O19" i="100"/>
  <c r="P19" i="100"/>
  <c r="Q19" i="100"/>
  <c r="R19" i="100"/>
  <c r="T19" i="100"/>
  <c r="W19" i="100"/>
  <c r="X19" i="100"/>
  <c r="Y19" i="100"/>
  <c r="Z19" i="100"/>
  <c r="AA19" i="100"/>
  <c r="AB19" i="100"/>
  <c r="AD19" i="100"/>
  <c r="AG19" i="100"/>
  <c r="AH19" i="100"/>
  <c r="AI19" i="100"/>
  <c r="AJ19" i="100"/>
  <c r="AK19" i="100"/>
  <c r="AL19" i="100"/>
  <c r="AN19" i="100"/>
  <c r="AQ19" i="100"/>
  <c r="AR19" i="100"/>
  <c r="AS19" i="100"/>
  <c r="AT19" i="100"/>
  <c r="AU19" i="100"/>
  <c r="AV19" i="100"/>
  <c r="AX19" i="100"/>
  <c r="BA19" i="100"/>
  <c r="BB19" i="100"/>
  <c r="BC19" i="100"/>
  <c r="BD19" i="100"/>
  <c r="BE19" i="100"/>
  <c r="BF19" i="100"/>
  <c r="BH19" i="100"/>
  <c r="BK19" i="100"/>
  <c r="BL19" i="100"/>
  <c r="BM19" i="100"/>
  <c r="BN19" i="100"/>
  <c r="BO19" i="100"/>
  <c r="BP19" i="100"/>
  <c r="BR19" i="100"/>
  <c r="E20" i="100"/>
  <c r="F20" i="100"/>
  <c r="M20" i="100"/>
  <c r="N20" i="100"/>
  <c r="O20" i="100"/>
  <c r="P20" i="100"/>
  <c r="Q20" i="100"/>
  <c r="R20" i="100"/>
  <c r="T20" i="100"/>
  <c r="W20" i="100"/>
  <c r="X20" i="100"/>
  <c r="Y20" i="100"/>
  <c r="Z20" i="100"/>
  <c r="AA20" i="100"/>
  <c r="AB20" i="100"/>
  <c r="AD20" i="100"/>
  <c r="AG20" i="100"/>
  <c r="AH20" i="100"/>
  <c r="AI20" i="100"/>
  <c r="AJ20" i="100"/>
  <c r="AK20" i="100"/>
  <c r="AL20" i="100"/>
  <c r="AN20" i="100"/>
  <c r="AQ20" i="100"/>
  <c r="AR20" i="100"/>
  <c r="AS20" i="100"/>
  <c r="AT20" i="100"/>
  <c r="AU20" i="100"/>
  <c r="AV20" i="100"/>
  <c r="AX20" i="100"/>
  <c r="BA20" i="100"/>
  <c r="BB20" i="100"/>
  <c r="BC20" i="100"/>
  <c r="BD20" i="100"/>
  <c r="BE20" i="100"/>
  <c r="BF20" i="100"/>
  <c r="BH20" i="100"/>
  <c r="BK20" i="100"/>
  <c r="BL20" i="100"/>
  <c r="BM20" i="100"/>
  <c r="BN20" i="100"/>
  <c r="BO20" i="100"/>
  <c r="BP20" i="100"/>
  <c r="BR20" i="100"/>
  <c r="E21" i="100"/>
  <c r="F21" i="100"/>
  <c r="M21" i="100"/>
  <c r="N21" i="100"/>
  <c r="O21" i="100"/>
  <c r="P21" i="100"/>
  <c r="Q21" i="100"/>
  <c r="R21" i="100"/>
  <c r="T21" i="100"/>
  <c r="W21" i="100"/>
  <c r="X21" i="100"/>
  <c r="Y21" i="100"/>
  <c r="Z21" i="100"/>
  <c r="AA21" i="100"/>
  <c r="AB21" i="100"/>
  <c r="AD21" i="100"/>
  <c r="AG21" i="100"/>
  <c r="AH21" i="100"/>
  <c r="AI21" i="100"/>
  <c r="AJ21" i="100"/>
  <c r="AK21" i="100"/>
  <c r="AL21" i="100"/>
  <c r="AN21" i="100"/>
  <c r="AQ21" i="100"/>
  <c r="AR21" i="100"/>
  <c r="AS21" i="100"/>
  <c r="AT21" i="100"/>
  <c r="AU21" i="100"/>
  <c r="AV21" i="100"/>
  <c r="AX21" i="100"/>
  <c r="BA21" i="100"/>
  <c r="BB21" i="100"/>
  <c r="BC21" i="100"/>
  <c r="BD21" i="100"/>
  <c r="BE21" i="100"/>
  <c r="BF21" i="100"/>
  <c r="BH21" i="100"/>
  <c r="BK21" i="100"/>
  <c r="BL21" i="100"/>
  <c r="BM21" i="100"/>
  <c r="BN21" i="100"/>
  <c r="BO21" i="100"/>
  <c r="BP21" i="100"/>
  <c r="BR21" i="100"/>
  <c r="E22" i="100"/>
  <c r="F22" i="100"/>
  <c r="M22" i="100"/>
  <c r="N22" i="100"/>
  <c r="O22" i="100"/>
  <c r="P22" i="100"/>
  <c r="Q22" i="100"/>
  <c r="R22" i="100"/>
  <c r="T22" i="100"/>
  <c r="W22" i="100"/>
  <c r="X22" i="100"/>
  <c r="Y22" i="100"/>
  <c r="Z22" i="100"/>
  <c r="AA22" i="100"/>
  <c r="AB22" i="100"/>
  <c r="AD22" i="100"/>
  <c r="AG22" i="100"/>
  <c r="AH22" i="100"/>
  <c r="AI22" i="100"/>
  <c r="AJ22" i="100"/>
  <c r="AK22" i="100"/>
  <c r="AL22" i="100"/>
  <c r="AN22" i="100"/>
  <c r="AQ22" i="100"/>
  <c r="AR22" i="100"/>
  <c r="AS22" i="100"/>
  <c r="AT22" i="100"/>
  <c r="AU22" i="100"/>
  <c r="AV22" i="100"/>
  <c r="AX22" i="100"/>
  <c r="BA22" i="100"/>
  <c r="BB22" i="100"/>
  <c r="BC22" i="100"/>
  <c r="BD22" i="100"/>
  <c r="BE22" i="100"/>
  <c r="BF22" i="100"/>
  <c r="BH22" i="100"/>
  <c r="BK22" i="100"/>
  <c r="BL22" i="100"/>
  <c r="BM22" i="100"/>
  <c r="BN22" i="100"/>
  <c r="BO22" i="100"/>
  <c r="BP22" i="100"/>
  <c r="BR22" i="100"/>
  <c r="E23" i="100"/>
  <c r="F23" i="100"/>
  <c r="M23" i="100"/>
  <c r="N23" i="100"/>
  <c r="O23" i="100"/>
  <c r="P23" i="100"/>
  <c r="Q23" i="100"/>
  <c r="R23" i="100"/>
  <c r="T23" i="100"/>
  <c r="W23" i="100"/>
  <c r="X23" i="100"/>
  <c r="Y23" i="100"/>
  <c r="Z23" i="100"/>
  <c r="AA23" i="100"/>
  <c r="AB23" i="100"/>
  <c r="AD23" i="100"/>
  <c r="AG23" i="100"/>
  <c r="AH23" i="100"/>
  <c r="AI23" i="100"/>
  <c r="AJ23" i="100"/>
  <c r="AK23" i="100"/>
  <c r="AL23" i="100"/>
  <c r="AN23" i="100"/>
  <c r="AQ23" i="100"/>
  <c r="AR23" i="100"/>
  <c r="AS23" i="100"/>
  <c r="AT23" i="100"/>
  <c r="AU23" i="100"/>
  <c r="AV23" i="100"/>
  <c r="AX23" i="100"/>
  <c r="BA23" i="100"/>
  <c r="BB23" i="100"/>
  <c r="BC23" i="100"/>
  <c r="BD23" i="100"/>
  <c r="BE23" i="100"/>
  <c r="BF23" i="100"/>
  <c r="BH23" i="100"/>
  <c r="BK23" i="100"/>
  <c r="BL23" i="100"/>
  <c r="BM23" i="100"/>
  <c r="BN23" i="100"/>
  <c r="BO23" i="100"/>
  <c r="BP23" i="100"/>
  <c r="BR23" i="100"/>
  <c r="E24" i="100"/>
  <c r="F24" i="100"/>
  <c r="M24" i="100"/>
  <c r="N24" i="100"/>
  <c r="O24" i="100"/>
  <c r="P24" i="100"/>
  <c r="Q24" i="100"/>
  <c r="R24" i="100"/>
  <c r="T24" i="100"/>
  <c r="W24" i="100"/>
  <c r="X24" i="100"/>
  <c r="Y24" i="100"/>
  <c r="Z24" i="100"/>
  <c r="AA24" i="100"/>
  <c r="AB24" i="100"/>
  <c r="AD24" i="100"/>
  <c r="AG24" i="100"/>
  <c r="AH24" i="100"/>
  <c r="AI24" i="100"/>
  <c r="AJ24" i="100"/>
  <c r="AK24" i="100"/>
  <c r="AL24" i="100"/>
  <c r="AN24" i="100"/>
  <c r="AQ24" i="100"/>
  <c r="AR24" i="100"/>
  <c r="AS24" i="100"/>
  <c r="AT24" i="100"/>
  <c r="AU24" i="100"/>
  <c r="AV24" i="100"/>
  <c r="AX24" i="100"/>
  <c r="BA24" i="100"/>
  <c r="BB24" i="100"/>
  <c r="BC24" i="100"/>
  <c r="BD24" i="100"/>
  <c r="BE24" i="100"/>
  <c r="BF24" i="100"/>
  <c r="BH24" i="100"/>
  <c r="BK24" i="100"/>
  <c r="BL24" i="100"/>
  <c r="BM24" i="100"/>
  <c r="BN24" i="100"/>
  <c r="BO24" i="100"/>
  <c r="BP24" i="100"/>
  <c r="BR24" i="100"/>
  <c r="E25" i="100"/>
  <c r="F25" i="100"/>
  <c r="M25" i="100"/>
  <c r="N25" i="100"/>
  <c r="O25" i="100"/>
  <c r="P25" i="100"/>
  <c r="Q25" i="100"/>
  <c r="R25" i="100"/>
  <c r="T25" i="100"/>
  <c r="W25" i="100"/>
  <c r="X25" i="100"/>
  <c r="Y25" i="100"/>
  <c r="Z25" i="100"/>
  <c r="AA25" i="100"/>
  <c r="AB25" i="100"/>
  <c r="AD25" i="100"/>
  <c r="AG25" i="100"/>
  <c r="AH25" i="100"/>
  <c r="AI25" i="100"/>
  <c r="AJ25" i="100"/>
  <c r="AK25" i="100"/>
  <c r="AL25" i="100"/>
  <c r="AN25" i="100"/>
  <c r="AQ25" i="100"/>
  <c r="AR25" i="100"/>
  <c r="AS25" i="100"/>
  <c r="AT25" i="100"/>
  <c r="AU25" i="100"/>
  <c r="AV25" i="100"/>
  <c r="AX25" i="100"/>
  <c r="BA25" i="100"/>
  <c r="BB25" i="100"/>
  <c r="BC25" i="100"/>
  <c r="BD25" i="100"/>
  <c r="BE25" i="100"/>
  <c r="BF25" i="100"/>
  <c r="BH25" i="100"/>
  <c r="BK25" i="100"/>
  <c r="BL25" i="100"/>
  <c r="BM25" i="100"/>
  <c r="BN25" i="100"/>
  <c r="BO25" i="100"/>
  <c r="BP25" i="100"/>
  <c r="BR25" i="100"/>
  <c r="E26" i="100"/>
  <c r="F26" i="100"/>
  <c r="M26" i="100"/>
  <c r="N26" i="100"/>
  <c r="O26" i="100"/>
  <c r="P26" i="100"/>
  <c r="Q26" i="100"/>
  <c r="R26" i="100"/>
  <c r="T26" i="100"/>
  <c r="W26" i="100"/>
  <c r="X26" i="100"/>
  <c r="Y26" i="100"/>
  <c r="Z26" i="100"/>
  <c r="AA26" i="100"/>
  <c r="AB26" i="100"/>
  <c r="AD26" i="100"/>
  <c r="AG26" i="100"/>
  <c r="AH26" i="100"/>
  <c r="AI26" i="100"/>
  <c r="AJ26" i="100"/>
  <c r="AK26" i="100"/>
  <c r="AL26" i="100"/>
  <c r="AN26" i="100"/>
  <c r="AQ26" i="100"/>
  <c r="AR26" i="100"/>
  <c r="AS26" i="100"/>
  <c r="AT26" i="100"/>
  <c r="AU26" i="100"/>
  <c r="AV26" i="100"/>
  <c r="AX26" i="100"/>
  <c r="BA26" i="100"/>
  <c r="BB26" i="100"/>
  <c r="BC26" i="100"/>
  <c r="BD26" i="100"/>
  <c r="BE26" i="100"/>
  <c r="BF26" i="100"/>
  <c r="BH26" i="100"/>
  <c r="BK26" i="100"/>
  <c r="BL26" i="100"/>
  <c r="BM26" i="100"/>
  <c r="BN26" i="100"/>
  <c r="BO26" i="100"/>
  <c r="BP26" i="100"/>
  <c r="BR26" i="100"/>
  <c r="E27" i="100"/>
  <c r="F27" i="100"/>
  <c r="M27" i="100"/>
  <c r="N27" i="100"/>
  <c r="O27" i="100"/>
  <c r="P27" i="100"/>
  <c r="Q27" i="100"/>
  <c r="R27" i="100"/>
  <c r="T27" i="100"/>
  <c r="W27" i="100"/>
  <c r="X27" i="100"/>
  <c r="Y27" i="100"/>
  <c r="Z27" i="100"/>
  <c r="AA27" i="100"/>
  <c r="AB27" i="100"/>
  <c r="AD27" i="100"/>
  <c r="AG27" i="100"/>
  <c r="AH27" i="100"/>
  <c r="AI27" i="100"/>
  <c r="AJ27" i="100"/>
  <c r="AK27" i="100"/>
  <c r="AL27" i="100"/>
  <c r="AN27" i="100"/>
  <c r="AQ27" i="100"/>
  <c r="AR27" i="100"/>
  <c r="AS27" i="100"/>
  <c r="AT27" i="100"/>
  <c r="AU27" i="100"/>
  <c r="AV27" i="100"/>
  <c r="AX27" i="100"/>
  <c r="BA27" i="100"/>
  <c r="BB27" i="100"/>
  <c r="BC27" i="100"/>
  <c r="BD27" i="100"/>
  <c r="BE27" i="100"/>
  <c r="BF27" i="100"/>
  <c r="BH27" i="100"/>
  <c r="BK27" i="100"/>
  <c r="BL27" i="100"/>
  <c r="BM27" i="100"/>
  <c r="BN27" i="100"/>
  <c r="BO27" i="100"/>
  <c r="BP27" i="100"/>
  <c r="BR27" i="100"/>
  <c r="E28" i="100"/>
  <c r="F28" i="100"/>
  <c r="M28" i="100"/>
  <c r="N28" i="100"/>
  <c r="O28" i="100"/>
  <c r="P28" i="100"/>
  <c r="Q28" i="100"/>
  <c r="R28" i="100"/>
  <c r="T28" i="100"/>
  <c r="W28" i="100"/>
  <c r="X28" i="100"/>
  <c r="Y28" i="100"/>
  <c r="Z28" i="100"/>
  <c r="AA28" i="100"/>
  <c r="AB28" i="100"/>
  <c r="AD28" i="100"/>
  <c r="AG28" i="100"/>
  <c r="AH28" i="100"/>
  <c r="AI28" i="100"/>
  <c r="AJ28" i="100"/>
  <c r="AK28" i="100"/>
  <c r="AL28" i="100"/>
  <c r="AN28" i="100"/>
  <c r="AQ28" i="100"/>
  <c r="AR28" i="100"/>
  <c r="AS28" i="100"/>
  <c r="AT28" i="100"/>
  <c r="AU28" i="100"/>
  <c r="AV28" i="100"/>
  <c r="AX28" i="100"/>
  <c r="BA28" i="100"/>
  <c r="BB28" i="100"/>
  <c r="BC28" i="100"/>
  <c r="BD28" i="100"/>
  <c r="BE28" i="100"/>
  <c r="BF28" i="100"/>
  <c r="BH28" i="100"/>
  <c r="BK28" i="100"/>
  <c r="BL28" i="100"/>
  <c r="BM28" i="100"/>
  <c r="BN28" i="100"/>
  <c r="BO28" i="100"/>
  <c r="BP28" i="100"/>
  <c r="BR28" i="100"/>
  <c r="E29" i="100"/>
  <c r="F29" i="100"/>
  <c r="M29" i="100"/>
  <c r="N29" i="100"/>
  <c r="O29" i="100"/>
  <c r="P29" i="100"/>
  <c r="Q29" i="100"/>
  <c r="R29" i="100"/>
  <c r="T29" i="100"/>
  <c r="W29" i="100"/>
  <c r="X29" i="100"/>
  <c r="Y29" i="100"/>
  <c r="Z29" i="100"/>
  <c r="AA29" i="100"/>
  <c r="AB29" i="100"/>
  <c r="AD29" i="100"/>
  <c r="AG29" i="100"/>
  <c r="AH29" i="100"/>
  <c r="AI29" i="100"/>
  <c r="AJ29" i="100"/>
  <c r="AK29" i="100"/>
  <c r="AL29" i="100"/>
  <c r="AN29" i="100"/>
  <c r="AQ29" i="100"/>
  <c r="AR29" i="100"/>
  <c r="AS29" i="100"/>
  <c r="AT29" i="100"/>
  <c r="AU29" i="100"/>
  <c r="AV29" i="100"/>
  <c r="AX29" i="100"/>
  <c r="BA29" i="100"/>
  <c r="BB29" i="100"/>
  <c r="BC29" i="100"/>
  <c r="BD29" i="100"/>
  <c r="BE29" i="100"/>
  <c r="BF29" i="100"/>
  <c r="BH29" i="100"/>
  <c r="BK29" i="100"/>
  <c r="BL29" i="100"/>
  <c r="BM29" i="100"/>
  <c r="BN29" i="100"/>
  <c r="BO29" i="100"/>
  <c r="BP29" i="100"/>
  <c r="BR29" i="100"/>
  <c r="E30" i="100"/>
  <c r="F30" i="100"/>
  <c r="M30" i="100"/>
  <c r="N30" i="100"/>
  <c r="O30" i="100"/>
  <c r="P30" i="100"/>
  <c r="Q30" i="100"/>
  <c r="R30" i="100"/>
  <c r="T30" i="100"/>
  <c r="W30" i="100"/>
  <c r="X30" i="100"/>
  <c r="Y30" i="100"/>
  <c r="Z30" i="100"/>
  <c r="AA30" i="100"/>
  <c r="AB30" i="100"/>
  <c r="AD30" i="100"/>
  <c r="AG30" i="100"/>
  <c r="AH30" i="100"/>
  <c r="AI30" i="100"/>
  <c r="AJ30" i="100"/>
  <c r="AK30" i="100"/>
  <c r="AL30" i="100"/>
  <c r="AN30" i="100"/>
  <c r="AQ30" i="100"/>
  <c r="AR30" i="100"/>
  <c r="AS30" i="100"/>
  <c r="AT30" i="100"/>
  <c r="AU30" i="100"/>
  <c r="AV30" i="100"/>
  <c r="AX30" i="100"/>
  <c r="BA30" i="100"/>
  <c r="BB30" i="100"/>
  <c r="BC30" i="100"/>
  <c r="BD30" i="100"/>
  <c r="BE30" i="100"/>
  <c r="BF30" i="100"/>
  <c r="BH30" i="100"/>
  <c r="BK30" i="100"/>
  <c r="BL30" i="100"/>
  <c r="BM30" i="100"/>
  <c r="BN30" i="100"/>
  <c r="BO30" i="100"/>
  <c r="BP30" i="100"/>
  <c r="BR30" i="100"/>
  <c r="E31" i="100"/>
  <c r="F31" i="100"/>
  <c r="M31" i="100"/>
  <c r="N31" i="100"/>
  <c r="O31" i="100"/>
  <c r="P31" i="100"/>
  <c r="Q31" i="100"/>
  <c r="R31" i="100"/>
  <c r="T31" i="100"/>
  <c r="W31" i="100"/>
  <c r="X31" i="100"/>
  <c r="Y31" i="100"/>
  <c r="Z31" i="100"/>
  <c r="AA31" i="100"/>
  <c r="AB31" i="100"/>
  <c r="AD31" i="100"/>
  <c r="AG31" i="100"/>
  <c r="AH31" i="100"/>
  <c r="AI31" i="100"/>
  <c r="AJ31" i="100"/>
  <c r="AK31" i="100"/>
  <c r="AL31" i="100"/>
  <c r="AN31" i="100"/>
  <c r="AQ31" i="100"/>
  <c r="AR31" i="100"/>
  <c r="AS31" i="100"/>
  <c r="AT31" i="100"/>
  <c r="AU31" i="100"/>
  <c r="AV31" i="100"/>
  <c r="AX31" i="100"/>
  <c r="BA31" i="100"/>
  <c r="BB31" i="100"/>
  <c r="BC31" i="100"/>
  <c r="BD31" i="100"/>
  <c r="BE31" i="100"/>
  <c r="BF31" i="100"/>
  <c r="BH31" i="100"/>
  <c r="BK31" i="100"/>
  <c r="BL31" i="100"/>
  <c r="BM31" i="100"/>
  <c r="BN31" i="100"/>
  <c r="BO31" i="100"/>
  <c r="BP31" i="100"/>
  <c r="BR31" i="100"/>
  <c r="E32" i="100"/>
  <c r="F32" i="100"/>
  <c r="M32" i="100"/>
  <c r="N32" i="100"/>
  <c r="O32" i="100"/>
  <c r="P32" i="100"/>
  <c r="Q32" i="100"/>
  <c r="R32" i="100"/>
  <c r="T32" i="100"/>
  <c r="W32" i="100"/>
  <c r="X32" i="100"/>
  <c r="Y32" i="100"/>
  <c r="Z32" i="100"/>
  <c r="AA32" i="100"/>
  <c r="AB32" i="100"/>
  <c r="AD32" i="100"/>
  <c r="AG32" i="100"/>
  <c r="AH32" i="100"/>
  <c r="AI32" i="100"/>
  <c r="AJ32" i="100"/>
  <c r="AK32" i="100"/>
  <c r="AL32" i="100"/>
  <c r="AN32" i="100"/>
  <c r="AQ32" i="100"/>
  <c r="AR32" i="100"/>
  <c r="AS32" i="100"/>
  <c r="AT32" i="100"/>
  <c r="AU32" i="100"/>
  <c r="AV32" i="100"/>
  <c r="AX32" i="100"/>
  <c r="BA32" i="100"/>
  <c r="BB32" i="100"/>
  <c r="BC32" i="100"/>
  <c r="BD32" i="100"/>
  <c r="BE32" i="100"/>
  <c r="BF32" i="100"/>
  <c r="BH32" i="100"/>
  <c r="BK32" i="100"/>
  <c r="BL32" i="100"/>
  <c r="BM32" i="100"/>
  <c r="BN32" i="100"/>
  <c r="BO32" i="100"/>
  <c r="BP32" i="100"/>
  <c r="BR32" i="100"/>
  <c r="E33" i="100"/>
  <c r="F33" i="100"/>
  <c r="M33" i="100"/>
  <c r="N33" i="100"/>
  <c r="O33" i="100"/>
  <c r="P33" i="100"/>
  <c r="Q33" i="100"/>
  <c r="R33" i="100"/>
  <c r="T33" i="100"/>
  <c r="W33" i="100"/>
  <c r="X33" i="100"/>
  <c r="Y33" i="100"/>
  <c r="Z33" i="100"/>
  <c r="AA33" i="100"/>
  <c r="AB33" i="100"/>
  <c r="AD33" i="100"/>
  <c r="AG33" i="100"/>
  <c r="AH33" i="100"/>
  <c r="AI33" i="100"/>
  <c r="AJ33" i="100"/>
  <c r="AK33" i="100"/>
  <c r="AL33" i="100"/>
  <c r="AN33" i="100"/>
  <c r="AQ33" i="100"/>
  <c r="AR33" i="100"/>
  <c r="AS33" i="100"/>
  <c r="AT33" i="100"/>
  <c r="AU33" i="100"/>
  <c r="AV33" i="100"/>
  <c r="AX33" i="100"/>
  <c r="BA33" i="100"/>
  <c r="BB33" i="100"/>
  <c r="BC33" i="100"/>
  <c r="BD33" i="100"/>
  <c r="BE33" i="100"/>
  <c r="BF33" i="100"/>
  <c r="BH33" i="100"/>
  <c r="BK33" i="100"/>
  <c r="BL33" i="100"/>
  <c r="BM33" i="100"/>
  <c r="BN33" i="100"/>
  <c r="BO33" i="100"/>
  <c r="BP33" i="100"/>
  <c r="BR33" i="100"/>
  <c r="E34" i="100"/>
  <c r="F34" i="100"/>
  <c r="M34" i="100"/>
  <c r="N34" i="100"/>
  <c r="O34" i="100"/>
  <c r="P34" i="100"/>
  <c r="Q34" i="100"/>
  <c r="R34" i="100"/>
  <c r="T34" i="100"/>
  <c r="W34" i="100"/>
  <c r="X34" i="100"/>
  <c r="Y34" i="100"/>
  <c r="Z34" i="100"/>
  <c r="AA34" i="100"/>
  <c r="AB34" i="100"/>
  <c r="AD34" i="100"/>
  <c r="AG34" i="100"/>
  <c r="AH34" i="100"/>
  <c r="AI34" i="100"/>
  <c r="AJ34" i="100"/>
  <c r="AK34" i="100"/>
  <c r="AL34" i="100"/>
  <c r="AN34" i="100"/>
  <c r="AQ34" i="100"/>
  <c r="AR34" i="100"/>
  <c r="AS34" i="100"/>
  <c r="AT34" i="100"/>
  <c r="AU34" i="100"/>
  <c r="AV34" i="100"/>
  <c r="AX34" i="100"/>
  <c r="BA34" i="100"/>
  <c r="BB34" i="100"/>
  <c r="BC34" i="100"/>
  <c r="BD34" i="100"/>
  <c r="BE34" i="100"/>
  <c r="BF34" i="100"/>
  <c r="BH34" i="100"/>
  <c r="BK34" i="100"/>
  <c r="BL34" i="100"/>
  <c r="BM34" i="100"/>
  <c r="BN34" i="100"/>
  <c r="BO34" i="100"/>
  <c r="BP34" i="100"/>
  <c r="BR34" i="100"/>
  <c r="E35" i="100"/>
  <c r="F35" i="100"/>
  <c r="M35" i="100"/>
  <c r="N35" i="100"/>
  <c r="O35" i="100"/>
  <c r="P35" i="100"/>
  <c r="Q35" i="100"/>
  <c r="R35" i="100"/>
  <c r="T35" i="100"/>
  <c r="W35" i="100"/>
  <c r="X35" i="100"/>
  <c r="Y35" i="100"/>
  <c r="Z35" i="100"/>
  <c r="AA35" i="100"/>
  <c r="AB35" i="100"/>
  <c r="AD35" i="100"/>
  <c r="AG35" i="100"/>
  <c r="AH35" i="100"/>
  <c r="AI35" i="100"/>
  <c r="AJ35" i="100"/>
  <c r="AK35" i="100"/>
  <c r="AL35" i="100"/>
  <c r="AN35" i="100"/>
  <c r="AQ35" i="100"/>
  <c r="AR35" i="100"/>
  <c r="AS35" i="100"/>
  <c r="AT35" i="100"/>
  <c r="AU35" i="100"/>
  <c r="AV35" i="100"/>
  <c r="AX35" i="100"/>
  <c r="BA35" i="100"/>
  <c r="BB35" i="100"/>
  <c r="BC35" i="100"/>
  <c r="BD35" i="100"/>
  <c r="BE35" i="100"/>
  <c r="BF35" i="100"/>
  <c r="BH35" i="100"/>
  <c r="BK35" i="100"/>
  <c r="BL35" i="100"/>
  <c r="BM35" i="100"/>
  <c r="BN35" i="100"/>
  <c r="BO35" i="100"/>
  <c r="BP35" i="100"/>
  <c r="BR35" i="100"/>
  <c r="E36" i="100"/>
  <c r="F36" i="100"/>
  <c r="M36" i="100"/>
  <c r="N36" i="100"/>
  <c r="O36" i="100"/>
  <c r="P36" i="100"/>
  <c r="Q36" i="100"/>
  <c r="R36" i="100"/>
  <c r="T36" i="100"/>
  <c r="W36" i="100"/>
  <c r="X36" i="100"/>
  <c r="Y36" i="100"/>
  <c r="Z36" i="100"/>
  <c r="AA36" i="100"/>
  <c r="AB36" i="100"/>
  <c r="AD36" i="100"/>
  <c r="AG36" i="100"/>
  <c r="AH36" i="100"/>
  <c r="AI36" i="100"/>
  <c r="AJ36" i="100"/>
  <c r="AK36" i="100"/>
  <c r="AL36" i="100"/>
  <c r="AN36" i="100"/>
  <c r="AQ36" i="100"/>
  <c r="AR36" i="100"/>
  <c r="AS36" i="100"/>
  <c r="AT36" i="100"/>
  <c r="AU36" i="100"/>
  <c r="AV36" i="100"/>
  <c r="AX36" i="100"/>
  <c r="BA36" i="100"/>
  <c r="BB36" i="100"/>
  <c r="BC36" i="100"/>
  <c r="BD36" i="100"/>
  <c r="BE36" i="100"/>
  <c r="BF36" i="100"/>
  <c r="BH36" i="100"/>
  <c r="BK36" i="100"/>
  <c r="BL36" i="100"/>
  <c r="BM36" i="100"/>
  <c r="BN36" i="100"/>
  <c r="BO36" i="100"/>
  <c r="BP36" i="100"/>
  <c r="BR36" i="100"/>
  <c r="E37" i="100"/>
  <c r="F37" i="100"/>
  <c r="M37" i="100"/>
  <c r="N37" i="100"/>
  <c r="O37" i="100"/>
  <c r="P37" i="100"/>
  <c r="Q37" i="100"/>
  <c r="R37" i="100"/>
  <c r="T37" i="100"/>
  <c r="W37" i="100"/>
  <c r="X37" i="100"/>
  <c r="Y37" i="100"/>
  <c r="Z37" i="100"/>
  <c r="AA37" i="100"/>
  <c r="AB37" i="100"/>
  <c r="AD37" i="100"/>
  <c r="AG37" i="100"/>
  <c r="AH37" i="100"/>
  <c r="AI37" i="100"/>
  <c r="AJ37" i="100"/>
  <c r="AK37" i="100"/>
  <c r="AL37" i="100"/>
  <c r="AN37" i="100"/>
  <c r="AQ37" i="100"/>
  <c r="AR37" i="100"/>
  <c r="AS37" i="100"/>
  <c r="AT37" i="100"/>
  <c r="AU37" i="100"/>
  <c r="AV37" i="100"/>
  <c r="AX37" i="100"/>
  <c r="BA37" i="100"/>
  <c r="BB37" i="100"/>
  <c r="BC37" i="100"/>
  <c r="BD37" i="100"/>
  <c r="BE37" i="100"/>
  <c r="BF37" i="100"/>
  <c r="BH37" i="100"/>
  <c r="BK37" i="100"/>
  <c r="BL37" i="100"/>
  <c r="BM37" i="100"/>
  <c r="BN37" i="100"/>
  <c r="BO37" i="100"/>
  <c r="BP37" i="100"/>
  <c r="BR37" i="100"/>
  <c r="E38" i="100"/>
  <c r="F38" i="100"/>
  <c r="M38" i="100"/>
  <c r="N38" i="100"/>
  <c r="O38" i="100"/>
  <c r="P38" i="100"/>
  <c r="Q38" i="100"/>
  <c r="R38" i="100"/>
  <c r="T38" i="100"/>
  <c r="W38" i="100"/>
  <c r="X38" i="100"/>
  <c r="Y38" i="100"/>
  <c r="Z38" i="100"/>
  <c r="AA38" i="100"/>
  <c r="AB38" i="100"/>
  <c r="AD38" i="100"/>
  <c r="AG38" i="100"/>
  <c r="AH38" i="100"/>
  <c r="AI38" i="100"/>
  <c r="AJ38" i="100"/>
  <c r="AK38" i="100"/>
  <c r="AL38" i="100"/>
  <c r="AN38" i="100"/>
  <c r="AQ38" i="100"/>
  <c r="AR38" i="100"/>
  <c r="AS38" i="100"/>
  <c r="AT38" i="100"/>
  <c r="AU38" i="100"/>
  <c r="AV38" i="100"/>
  <c r="AX38" i="100"/>
  <c r="BA38" i="100"/>
  <c r="BB38" i="100"/>
  <c r="BC38" i="100"/>
  <c r="BD38" i="100"/>
  <c r="BE38" i="100"/>
  <c r="BF38" i="100"/>
  <c r="BH38" i="100"/>
  <c r="BK38" i="100"/>
  <c r="BL38" i="100"/>
  <c r="BM38" i="100"/>
  <c r="BN38" i="100"/>
  <c r="BO38" i="100"/>
  <c r="BP38" i="100"/>
  <c r="BR38" i="100"/>
  <c r="E39" i="100"/>
  <c r="F39" i="100"/>
  <c r="M39" i="100"/>
  <c r="N39" i="100"/>
  <c r="O39" i="100"/>
  <c r="P39" i="100"/>
  <c r="Q39" i="100"/>
  <c r="R39" i="100"/>
  <c r="T39" i="100"/>
  <c r="W39" i="100"/>
  <c r="X39" i="100"/>
  <c r="Y39" i="100"/>
  <c r="Z39" i="100"/>
  <c r="AA39" i="100"/>
  <c r="AB39" i="100"/>
  <c r="AD39" i="100"/>
  <c r="AG39" i="100"/>
  <c r="AH39" i="100"/>
  <c r="AI39" i="100"/>
  <c r="AJ39" i="100"/>
  <c r="AK39" i="100"/>
  <c r="AL39" i="100"/>
  <c r="AN39" i="100"/>
  <c r="AQ39" i="100"/>
  <c r="AR39" i="100"/>
  <c r="AS39" i="100"/>
  <c r="AT39" i="100"/>
  <c r="AU39" i="100"/>
  <c r="AV39" i="100"/>
  <c r="AX39" i="100"/>
  <c r="BA39" i="100"/>
  <c r="BB39" i="100"/>
  <c r="BC39" i="100"/>
  <c r="BD39" i="100"/>
  <c r="BE39" i="100"/>
  <c r="BF39" i="100"/>
  <c r="BH39" i="100"/>
  <c r="BK39" i="100"/>
  <c r="BL39" i="100"/>
  <c r="BM39" i="100"/>
  <c r="BN39" i="100"/>
  <c r="BO39" i="100"/>
  <c r="BP39" i="100"/>
  <c r="BR39" i="100"/>
  <c r="E40" i="100"/>
  <c r="F40" i="100"/>
  <c r="M40" i="100"/>
  <c r="N40" i="100"/>
  <c r="O40" i="100"/>
  <c r="P40" i="100"/>
  <c r="Q40" i="100"/>
  <c r="R40" i="100"/>
  <c r="T40" i="100"/>
  <c r="W40" i="100"/>
  <c r="X40" i="100"/>
  <c r="Y40" i="100"/>
  <c r="Z40" i="100"/>
  <c r="AA40" i="100"/>
  <c r="AB40" i="100"/>
  <c r="AD40" i="100"/>
  <c r="AG40" i="100"/>
  <c r="AH40" i="100"/>
  <c r="AI40" i="100"/>
  <c r="AJ40" i="100"/>
  <c r="AK40" i="100"/>
  <c r="AL40" i="100"/>
  <c r="AN40" i="100"/>
  <c r="AQ40" i="100"/>
  <c r="AR40" i="100"/>
  <c r="AS40" i="100"/>
  <c r="AT40" i="100"/>
  <c r="AU40" i="100"/>
  <c r="AV40" i="100"/>
  <c r="AX40" i="100"/>
  <c r="BA40" i="100"/>
  <c r="BB40" i="100"/>
  <c r="BC40" i="100"/>
  <c r="BD40" i="100"/>
  <c r="BE40" i="100"/>
  <c r="BF40" i="100"/>
  <c r="BH40" i="100"/>
  <c r="BK40" i="100"/>
  <c r="BL40" i="100"/>
  <c r="BM40" i="100"/>
  <c r="BN40" i="100"/>
  <c r="BO40" i="100"/>
  <c r="BP40" i="100"/>
  <c r="BR40" i="100"/>
  <c r="E41" i="100"/>
  <c r="F41" i="100"/>
  <c r="M41" i="100"/>
  <c r="N41" i="100"/>
  <c r="O41" i="100"/>
  <c r="P41" i="100"/>
  <c r="Q41" i="100"/>
  <c r="R41" i="100"/>
  <c r="T41" i="100"/>
  <c r="W41" i="100"/>
  <c r="X41" i="100"/>
  <c r="Y41" i="100"/>
  <c r="Z41" i="100"/>
  <c r="AA41" i="100"/>
  <c r="AB41" i="100"/>
  <c r="AD41" i="100"/>
  <c r="AG41" i="100"/>
  <c r="AH41" i="100"/>
  <c r="AI41" i="100"/>
  <c r="AJ41" i="100"/>
  <c r="AK41" i="100"/>
  <c r="AL41" i="100"/>
  <c r="AN41" i="100"/>
  <c r="AQ41" i="100"/>
  <c r="AR41" i="100"/>
  <c r="AS41" i="100"/>
  <c r="AT41" i="100"/>
  <c r="AU41" i="100"/>
  <c r="AV41" i="100"/>
  <c r="AX41" i="100"/>
  <c r="BA41" i="100"/>
  <c r="BB41" i="100"/>
  <c r="BC41" i="100"/>
  <c r="BD41" i="100"/>
  <c r="BE41" i="100"/>
  <c r="BF41" i="100"/>
  <c r="BH41" i="100"/>
  <c r="BK41" i="100"/>
  <c r="BL41" i="100"/>
  <c r="BM41" i="100"/>
  <c r="BN41" i="100"/>
  <c r="BO41" i="100"/>
  <c r="BP41" i="100"/>
  <c r="BR41" i="100"/>
  <c r="E42" i="100"/>
  <c r="F42" i="100"/>
  <c r="M42" i="100"/>
  <c r="N42" i="100"/>
  <c r="O42" i="100"/>
  <c r="P42" i="100"/>
  <c r="Q42" i="100"/>
  <c r="R42" i="100"/>
  <c r="T42" i="100"/>
  <c r="W42" i="100"/>
  <c r="X42" i="100"/>
  <c r="Y42" i="100"/>
  <c r="Z42" i="100"/>
  <c r="AA42" i="100"/>
  <c r="AB42" i="100"/>
  <c r="AD42" i="100"/>
  <c r="AG42" i="100"/>
  <c r="AH42" i="100"/>
  <c r="AI42" i="100"/>
  <c r="AJ42" i="100"/>
  <c r="AK42" i="100"/>
  <c r="AL42" i="100"/>
  <c r="AN42" i="100"/>
  <c r="AQ42" i="100"/>
  <c r="AR42" i="100"/>
  <c r="AS42" i="100"/>
  <c r="AT42" i="100"/>
  <c r="AU42" i="100"/>
  <c r="AV42" i="100"/>
  <c r="AX42" i="100"/>
  <c r="BA42" i="100"/>
  <c r="BB42" i="100"/>
  <c r="BC42" i="100"/>
  <c r="BD42" i="100"/>
  <c r="BE42" i="100"/>
  <c r="BF42" i="100"/>
  <c r="BH42" i="100"/>
  <c r="BK42" i="100"/>
  <c r="BL42" i="100"/>
  <c r="BM42" i="100"/>
  <c r="BN42" i="100"/>
  <c r="BO42" i="100"/>
  <c r="BP42" i="100"/>
  <c r="BR42" i="100"/>
  <c r="E43" i="100"/>
  <c r="F43" i="100"/>
  <c r="M43" i="100"/>
  <c r="N43" i="100"/>
  <c r="O43" i="100"/>
  <c r="P43" i="100"/>
  <c r="Q43" i="100"/>
  <c r="R43" i="100"/>
  <c r="T43" i="100"/>
  <c r="W43" i="100"/>
  <c r="X43" i="100"/>
  <c r="Y43" i="100"/>
  <c r="Z43" i="100"/>
  <c r="AA43" i="100"/>
  <c r="AB43" i="100"/>
  <c r="AD43" i="100"/>
  <c r="AG43" i="100"/>
  <c r="AH43" i="100"/>
  <c r="AI43" i="100"/>
  <c r="AJ43" i="100"/>
  <c r="AK43" i="100"/>
  <c r="AL43" i="100"/>
  <c r="AN43" i="100"/>
  <c r="AQ43" i="100"/>
  <c r="AR43" i="100"/>
  <c r="AS43" i="100"/>
  <c r="AT43" i="100"/>
  <c r="AU43" i="100"/>
  <c r="AV43" i="100"/>
  <c r="AX43" i="100"/>
  <c r="BA43" i="100"/>
  <c r="BB43" i="100"/>
  <c r="BC43" i="100"/>
  <c r="BD43" i="100"/>
  <c r="BE43" i="100"/>
  <c r="BF43" i="100"/>
  <c r="BH43" i="100"/>
  <c r="BK43" i="100"/>
  <c r="BL43" i="100"/>
  <c r="BM43" i="100"/>
  <c r="BN43" i="100"/>
  <c r="BO43" i="100"/>
  <c r="BP43" i="100"/>
  <c r="BR43" i="100"/>
  <c r="E44" i="100"/>
  <c r="F44" i="100"/>
  <c r="M44" i="100"/>
  <c r="N44" i="100"/>
  <c r="O44" i="100"/>
  <c r="P44" i="100"/>
  <c r="Q44" i="100"/>
  <c r="R44" i="100"/>
  <c r="T44" i="100"/>
  <c r="W44" i="100"/>
  <c r="X44" i="100"/>
  <c r="Y44" i="100"/>
  <c r="Z44" i="100"/>
  <c r="AA44" i="100"/>
  <c r="AB44" i="100"/>
  <c r="AD44" i="100"/>
  <c r="AG44" i="100"/>
  <c r="AH44" i="100"/>
  <c r="AI44" i="100"/>
  <c r="AJ44" i="100"/>
  <c r="AK44" i="100"/>
  <c r="AL44" i="100"/>
  <c r="AN44" i="100"/>
  <c r="AQ44" i="100"/>
  <c r="AR44" i="100"/>
  <c r="AS44" i="100"/>
  <c r="AT44" i="100"/>
  <c r="AU44" i="100"/>
  <c r="AV44" i="100"/>
  <c r="AX44" i="100"/>
  <c r="BA44" i="100"/>
  <c r="BB44" i="100"/>
  <c r="BC44" i="100"/>
  <c r="BD44" i="100"/>
  <c r="BE44" i="100"/>
  <c r="BF44" i="100"/>
  <c r="BH44" i="100"/>
  <c r="BK44" i="100"/>
  <c r="BL44" i="100"/>
  <c r="BM44" i="100"/>
  <c r="BN44" i="100"/>
  <c r="BO44" i="100"/>
  <c r="BP44" i="100"/>
  <c r="BR44" i="100"/>
  <c r="E45" i="100"/>
  <c r="F45" i="100"/>
  <c r="M45" i="100"/>
  <c r="N45" i="100"/>
  <c r="O45" i="100"/>
  <c r="P45" i="100"/>
  <c r="Q45" i="100"/>
  <c r="R45" i="100"/>
  <c r="T45" i="100"/>
  <c r="W45" i="100"/>
  <c r="X45" i="100"/>
  <c r="Y45" i="100"/>
  <c r="Z45" i="100"/>
  <c r="AA45" i="100"/>
  <c r="AB45" i="100"/>
  <c r="AD45" i="100"/>
  <c r="AG45" i="100"/>
  <c r="AH45" i="100"/>
  <c r="AI45" i="100"/>
  <c r="AJ45" i="100"/>
  <c r="AK45" i="100"/>
  <c r="AL45" i="100"/>
  <c r="AN45" i="100"/>
  <c r="AQ45" i="100"/>
  <c r="AR45" i="100"/>
  <c r="AS45" i="100"/>
  <c r="AT45" i="100"/>
  <c r="AU45" i="100"/>
  <c r="AV45" i="100"/>
  <c r="AX45" i="100"/>
  <c r="BA45" i="100"/>
  <c r="BB45" i="100"/>
  <c r="BC45" i="100"/>
  <c r="BD45" i="100"/>
  <c r="BE45" i="100"/>
  <c r="BF45" i="100"/>
  <c r="BH45" i="100"/>
  <c r="BK45" i="100"/>
  <c r="BL45" i="100"/>
  <c r="BM45" i="100"/>
  <c r="BN45" i="100"/>
  <c r="BO45" i="100"/>
  <c r="BP45" i="100"/>
  <c r="BR45" i="100"/>
  <c r="E46" i="100"/>
  <c r="F46" i="100"/>
  <c r="M46" i="100"/>
  <c r="N46" i="100"/>
  <c r="O46" i="100"/>
  <c r="P46" i="100"/>
  <c r="Q46" i="100"/>
  <c r="R46" i="100"/>
  <c r="T46" i="100"/>
  <c r="W46" i="100"/>
  <c r="X46" i="100"/>
  <c r="Y46" i="100"/>
  <c r="Z46" i="100"/>
  <c r="AA46" i="100"/>
  <c r="AB46" i="100"/>
  <c r="AD46" i="100"/>
  <c r="AG46" i="100"/>
  <c r="AH46" i="100"/>
  <c r="AI46" i="100"/>
  <c r="AJ46" i="100"/>
  <c r="AK46" i="100"/>
  <c r="AL46" i="100"/>
  <c r="AN46" i="100"/>
  <c r="AQ46" i="100"/>
  <c r="AR46" i="100"/>
  <c r="AS46" i="100"/>
  <c r="AT46" i="100"/>
  <c r="AU46" i="100"/>
  <c r="AV46" i="100"/>
  <c r="AX46" i="100"/>
  <c r="BA46" i="100"/>
  <c r="BB46" i="100"/>
  <c r="BC46" i="100"/>
  <c r="BD46" i="100"/>
  <c r="BE46" i="100"/>
  <c r="BF46" i="100"/>
  <c r="BH46" i="100"/>
  <c r="BK46" i="100"/>
  <c r="BL46" i="100"/>
  <c r="BM46" i="100"/>
  <c r="BN46" i="100"/>
  <c r="BO46" i="100"/>
  <c r="BP46" i="100"/>
  <c r="BR46" i="100"/>
  <c r="E47" i="100"/>
  <c r="F47" i="100"/>
  <c r="M47" i="100"/>
  <c r="N47" i="100"/>
  <c r="O47" i="100"/>
  <c r="P47" i="100"/>
  <c r="Q47" i="100"/>
  <c r="R47" i="100"/>
  <c r="T47" i="100"/>
  <c r="W47" i="100"/>
  <c r="X47" i="100"/>
  <c r="Y47" i="100"/>
  <c r="Z47" i="100"/>
  <c r="AA47" i="100"/>
  <c r="AB47" i="100"/>
  <c r="AD47" i="100"/>
  <c r="AG47" i="100"/>
  <c r="AH47" i="100"/>
  <c r="AI47" i="100"/>
  <c r="AJ47" i="100"/>
  <c r="AK47" i="100"/>
  <c r="AL47" i="100"/>
  <c r="AN47" i="100"/>
  <c r="AQ47" i="100"/>
  <c r="AR47" i="100"/>
  <c r="AS47" i="100"/>
  <c r="AT47" i="100"/>
  <c r="AU47" i="100"/>
  <c r="AV47" i="100"/>
  <c r="AX47" i="100"/>
  <c r="BA47" i="100"/>
  <c r="BB47" i="100"/>
  <c r="BC47" i="100"/>
  <c r="BD47" i="100"/>
  <c r="BE47" i="100"/>
  <c r="BF47" i="100"/>
  <c r="BH47" i="100"/>
  <c r="BK47" i="100"/>
  <c r="BL47" i="100"/>
  <c r="BM47" i="100"/>
  <c r="BN47" i="100"/>
  <c r="BO47" i="100"/>
  <c r="BP47" i="100"/>
  <c r="BR47" i="100"/>
  <c r="E48" i="100"/>
  <c r="F48" i="100"/>
  <c r="M48" i="100"/>
  <c r="N48" i="100"/>
  <c r="O48" i="100"/>
  <c r="P48" i="100"/>
  <c r="Q48" i="100"/>
  <c r="R48" i="100"/>
  <c r="T48" i="100"/>
  <c r="W48" i="100"/>
  <c r="X48" i="100"/>
  <c r="Y48" i="100"/>
  <c r="Z48" i="100"/>
  <c r="AA48" i="100"/>
  <c r="AB48" i="100"/>
  <c r="AD48" i="100"/>
  <c r="AG48" i="100"/>
  <c r="AH48" i="100"/>
  <c r="AI48" i="100"/>
  <c r="AJ48" i="100"/>
  <c r="AK48" i="100"/>
  <c r="AL48" i="100"/>
  <c r="AN48" i="100"/>
  <c r="AQ48" i="100"/>
  <c r="AR48" i="100"/>
  <c r="AS48" i="100"/>
  <c r="AT48" i="100"/>
  <c r="AU48" i="100"/>
  <c r="AV48" i="100"/>
  <c r="AX48" i="100"/>
  <c r="BA48" i="100"/>
  <c r="BB48" i="100"/>
  <c r="BC48" i="100"/>
  <c r="BD48" i="100"/>
  <c r="BE48" i="100"/>
  <c r="BF48" i="100"/>
  <c r="BH48" i="100"/>
  <c r="BK48" i="100"/>
  <c r="BL48" i="100"/>
  <c r="BM48" i="100"/>
  <c r="BN48" i="100"/>
  <c r="BO48" i="100"/>
  <c r="BP48" i="100"/>
  <c r="BR48" i="100"/>
  <c r="E49" i="100"/>
  <c r="F49" i="100"/>
  <c r="M49" i="100"/>
  <c r="N49" i="100"/>
  <c r="O49" i="100"/>
  <c r="P49" i="100"/>
  <c r="Q49" i="100"/>
  <c r="R49" i="100"/>
  <c r="T49" i="100"/>
  <c r="W49" i="100"/>
  <c r="X49" i="100"/>
  <c r="Y49" i="100"/>
  <c r="Z49" i="100"/>
  <c r="AA49" i="100"/>
  <c r="AB49" i="100"/>
  <c r="AD49" i="100"/>
  <c r="AG49" i="100"/>
  <c r="AH49" i="100"/>
  <c r="AI49" i="100"/>
  <c r="AJ49" i="100"/>
  <c r="AK49" i="100"/>
  <c r="AL49" i="100"/>
  <c r="AN49" i="100"/>
  <c r="AQ49" i="100"/>
  <c r="AR49" i="100"/>
  <c r="AS49" i="100"/>
  <c r="AT49" i="100"/>
  <c r="AU49" i="100"/>
  <c r="AV49" i="100"/>
  <c r="AX49" i="100"/>
  <c r="BA49" i="100"/>
  <c r="BB49" i="100"/>
  <c r="BC49" i="100"/>
  <c r="BD49" i="100"/>
  <c r="BE49" i="100"/>
  <c r="BF49" i="100"/>
  <c r="BH49" i="100"/>
  <c r="BK49" i="100"/>
  <c r="BL49" i="100"/>
  <c r="BM49" i="100"/>
  <c r="BN49" i="100"/>
  <c r="BO49" i="100"/>
  <c r="BP49" i="100"/>
  <c r="BR49" i="100"/>
  <c r="E50" i="100"/>
  <c r="F50" i="100"/>
  <c r="M50" i="100"/>
  <c r="N50" i="100"/>
  <c r="O50" i="100"/>
  <c r="P50" i="100"/>
  <c r="Q50" i="100"/>
  <c r="R50" i="100"/>
  <c r="T50" i="100"/>
  <c r="W50" i="100"/>
  <c r="X50" i="100"/>
  <c r="Y50" i="100"/>
  <c r="Z50" i="100"/>
  <c r="AA50" i="100"/>
  <c r="AB50" i="100"/>
  <c r="AD50" i="100"/>
  <c r="AG50" i="100"/>
  <c r="AH50" i="100"/>
  <c r="AI50" i="100"/>
  <c r="AJ50" i="100"/>
  <c r="AK50" i="100"/>
  <c r="AL50" i="100"/>
  <c r="AN50" i="100"/>
  <c r="AQ50" i="100"/>
  <c r="AR50" i="100"/>
  <c r="AS50" i="100"/>
  <c r="AT50" i="100"/>
  <c r="AU50" i="100"/>
  <c r="AV50" i="100"/>
  <c r="AX50" i="100"/>
  <c r="BA50" i="100"/>
  <c r="BB50" i="100"/>
  <c r="BC50" i="100"/>
  <c r="BD50" i="100"/>
  <c r="BE50" i="100"/>
  <c r="BF50" i="100"/>
  <c r="BH50" i="100"/>
  <c r="BK50" i="100"/>
  <c r="BL50" i="100"/>
  <c r="BM50" i="100"/>
  <c r="BN50" i="100"/>
  <c r="BO50" i="100"/>
  <c r="BP50" i="100"/>
  <c r="BR50" i="100"/>
  <c r="E51" i="100"/>
  <c r="F51" i="100"/>
  <c r="M51" i="100"/>
  <c r="N51" i="100"/>
  <c r="O51" i="100"/>
  <c r="P51" i="100"/>
  <c r="Q51" i="100"/>
  <c r="R51" i="100"/>
  <c r="T51" i="100"/>
  <c r="W51" i="100"/>
  <c r="X51" i="100"/>
  <c r="Y51" i="100"/>
  <c r="Z51" i="100"/>
  <c r="AA51" i="100"/>
  <c r="AB51" i="100"/>
  <c r="AD51" i="100"/>
  <c r="AG51" i="100"/>
  <c r="AH51" i="100"/>
  <c r="AI51" i="100"/>
  <c r="AJ51" i="100"/>
  <c r="AK51" i="100"/>
  <c r="AL51" i="100"/>
  <c r="AN51" i="100"/>
  <c r="AQ51" i="100"/>
  <c r="AR51" i="100"/>
  <c r="AS51" i="100"/>
  <c r="AT51" i="100"/>
  <c r="AU51" i="100"/>
  <c r="AV51" i="100"/>
  <c r="AX51" i="100"/>
  <c r="BA51" i="100"/>
  <c r="BB51" i="100"/>
  <c r="BC51" i="100"/>
  <c r="BD51" i="100"/>
  <c r="BE51" i="100"/>
  <c r="BF51" i="100"/>
  <c r="BH51" i="100"/>
  <c r="BK51" i="100"/>
  <c r="BL51" i="100"/>
  <c r="BM51" i="100"/>
  <c r="BN51" i="100"/>
  <c r="BO51" i="100"/>
  <c r="BP51" i="100"/>
  <c r="BR51" i="100"/>
  <c r="E52" i="100"/>
  <c r="F52" i="100"/>
  <c r="M52" i="100"/>
  <c r="N52" i="100"/>
  <c r="O52" i="100"/>
  <c r="P52" i="100"/>
  <c r="Q52" i="100"/>
  <c r="R52" i="100"/>
  <c r="T52" i="100"/>
  <c r="W52" i="100"/>
  <c r="X52" i="100"/>
  <c r="Y52" i="100"/>
  <c r="Z52" i="100"/>
  <c r="AA52" i="100"/>
  <c r="AB52" i="100"/>
  <c r="AD52" i="100"/>
  <c r="AG52" i="100"/>
  <c r="AH52" i="100"/>
  <c r="AI52" i="100"/>
  <c r="AJ52" i="100"/>
  <c r="AK52" i="100"/>
  <c r="AL52" i="100"/>
  <c r="AN52" i="100"/>
  <c r="AQ52" i="100"/>
  <c r="AR52" i="100"/>
  <c r="AS52" i="100"/>
  <c r="AT52" i="100"/>
  <c r="AU52" i="100"/>
  <c r="AV52" i="100"/>
  <c r="AX52" i="100"/>
  <c r="BA52" i="100"/>
  <c r="BB52" i="100"/>
  <c r="BC52" i="100"/>
  <c r="BD52" i="100"/>
  <c r="BE52" i="100"/>
  <c r="BF52" i="100"/>
  <c r="BH52" i="100"/>
  <c r="BK52" i="100"/>
  <c r="BL52" i="100"/>
  <c r="BM52" i="100"/>
  <c r="BN52" i="100"/>
  <c r="BO52" i="100"/>
  <c r="BP52" i="100"/>
  <c r="BR52" i="100"/>
  <c r="AJ12" i="100"/>
  <c r="AJ10" i="100"/>
  <c r="AJ8" i="100"/>
  <c r="AT12" i="100"/>
  <c r="AT10" i="100"/>
  <c r="AT8" i="100"/>
  <c r="BD12" i="100"/>
  <c r="BD10" i="100"/>
  <c r="BM12" i="100"/>
  <c r="BM10" i="100"/>
  <c r="BN12" i="100"/>
  <c r="BN10" i="100"/>
  <c r="BD8" i="100"/>
  <c r="BN8" i="100"/>
  <c r="BM8" i="100"/>
  <c r="BR12" i="100"/>
  <c r="BP12" i="100"/>
  <c r="BO12" i="100"/>
  <c r="BL12" i="100"/>
  <c r="BK12" i="100"/>
  <c r="BH12" i="100"/>
  <c r="BF12" i="100"/>
  <c r="BE12" i="100"/>
  <c r="BC12" i="100"/>
  <c r="BB12" i="100"/>
  <c r="BA12" i="100"/>
  <c r="AX12" i="100"/>
  <c r="AV12" i="100"/>
  <c r="AU12" i="100"/>
  <c r="AS12" i="100"/>
  <c r="AR12" i="100"/>
  <c r="AQ12" i="100"/>
  <c r="AN12" i="100"/>
  <c r="AL12" i="100"/>
  <c r="AK12" i="100"/>
  <c r="AI12" i="100"/>
  <c r="AH12" i="100"/>
  <c r="AG12" i="100"/>
  <c r="BR10" i="100"/>
  <c r="BP10" i="100"/>
  <c r="BO10" i="100"/>
  <c r="BL10" i="100"/>
  <c r="BK10" i="100"/>
  <c r="BH10" i="100"/>
  <c r="BF10" i="100"/>
  <c r="BE10" i="100"/>
  <c r="BC10" i="100"/>
  <c r="BB10" i="100"/>
  <c r="BA10" i="100"/>
  <c r="AX10" i="100"/>
  <c r="AV10" i="100"/>
  <c r="AU10" i="100"/>
  <c r="AS10" i="100"/>
  <c r="AR10" i="100"/>
  <c r="AQ10" i="100"/>
  <c r="AN10" i="100"/>
  <c r="AL10" i="100"/>
  <c r="AK10" i="100"/>
  <c r="AI10" i="100"/>
  <c r="AH10" i="100"/>
  <c r="AG10" i="100"/>
  <c r="BR8" i="100"/>
  <c r="BP8" i="100"/>
  <c r="BO8" i="100"/>
  <c r="BL8" i="100"/>
  <c r="BK8" i="100"/>
  <c r="BE8" i="100"/>
  <c r="BH8" i="100"/>
  <c r="BF8" i="100"/>
  <c r="BC8" i="100"/>
  <c r="BB8" i="100"/>
  <c r="BA8" i="100"/>
  <c r="AV8" i="100"/>
  <c r="AX8" i="100"/>
  <c r="AU8" i="100"/>
  <c r="AS8" i="100"/>
  <c r="AR8" i="100"/>
  <c r="AQ8" i="100"/>
  <c r="AN8" i="100"/>
  <c r="AL8" i="100"/>
  <c r="AK8" i="100"/>
  <c r="AI8" i="100"/>
  <c r="AH8" i="100"/>
  <c r="AG8" i="100"/>
  <c r="AD12" i="100"/>
  <c r="AB12" i="100"/>
  <c r="AA12" i="100"/>
  <c r="Z12" i="100"/>
  <c r="Y12" i="100"/>
  <c r="X12" i="100"/>
  <c r="W12" i="100"/>
  <c r="AD10" i="100"/>
  <c r="AB10" i="100"/>
  <c r="AA10" i="100"/>
  <c r="Z10" i="100"/>
  <c r="Y10" i="100"/>
  <c r="X10" i="100"/>
  <c r="W10" i="100"/>
  <c r="AD8" i="100"/>
  <c r="AB8" i="100"/>
  <c r="AA8" i="100"/>
  <c r="Z8" i="100"/>
  <c r="Y8" i="100"/>
  <c r="X8" i="100"/>
  <c r="W8" i="100"/>
  <c r="M8" i="100"/>
  <c r="N8" i="100"/>
  <c r="O8" i="100"/>
  <c r="P8" i="100"/>
  <c r="Q8" i="100"/>
  <c r="R8" i="100"/>
  <c r="T8" i="100"/>
  <c r="T12" i="100"/>
  <c r="R12" i="100"/>
  <c r="Q12" i="100"/>
  <c r="P12" i="100"/>
  <c r="O12" i="100"/>
  <c r="N12" i="100"/>
  <c r="M12" i="100"/>
  <c r="T10" i="100"/>
  <c r="R10" i="100"/>
  <c r="Q10" i="100"/>
  <c r="P10" i="100"/>
  <c r="O10" i="100"/>
  <c r="N10" i="100"/>
  <c r="M10" i="100"/>
  <c r="F12" i="100"/>
  <c r="E12" i="100"/>
  <c r="E10" i="100"/>
  <c r="F8" i="100"/>
  <c r="E8" i="100"/>
  <c r="Q63" i="132" l="1"/>
  <c r="AN60" i="74" s="1"/>
  <c r="BJ63" i="132"/>
  <c r="BD60" i="74" s="1"/>
  <c r="P152" i="126"/>
  <c r="D147" i="126" s="1"/>
  <c r="C147" i="126" s="1"/>
  <c r="P155" i="126"/>
  <c r="K63" i="134"/>
  <c r="AA63" i="134" s="1"/>
  <c r="AE63" i="134" s="1"/>
  <c r="E63" i="132"/>
  <c r="J61" i="89" s="1"/>
  <c r="L10" i="100"/>
  <c r="V12" i="100"/>
  <c r="BJ12" i="100"/>
  <c r="L59" i="100"/>
  <c r="L8" i="100"/>
  <c r="AP12" i="100"/>
  <c r="V59" i="100"/>
  <c r="L12" i="100"/>
  <c r="AP8" i="100"/>
  <c r="AF59" i="100"/>
  <c r="AP59" i="100"/>
  <c r="AZ59" i="100"/>
  <c r="BJ59" i="100"/>
  <c r="AF12" i="100"/>
  <c r="AZ10" i="100"/>
  <c r="V8" i="100"/>
  <c r="AF8" i="100"/>
  <c r="V10" i="100"/>
  <c r="AZ8" i="100"/>
  <c r="BJ10" i="100"/>
  <c r="AF10" i="100"/>
  <c r="BJ53" i="100"/>
  <c r="AZ55" i="100"/>
  <c r="AP54" i="100"/>
  <c r="AF57" i="100"/>
  <c r="V56" i="100"/>
  <c r="L58" i="100"/>
  <c r="AF56" i="100"/>
  <c r="AP40" i="100"/>
  <c r="AF39" i="100"/>
  <c r="V38" i="100"/>
  <c r="AP32" i="100"/>
  <c r="V30" i="100"/>
  <c r="AF23" i="100"/>
  <c r="L21" i="100"/>
  <c r="BJ18" i="100"/>
  <c r="AF15" i="100"/>
  <c r="BJ54" i="100"/>
  <c r="AZ57" i="100"/>
  <c r="L53" i="100"/>
  <c r="AZ56" i="100"/>
  <c r="AP10" i="100"/>
  <c r="AF53" i="100"/>
  <c r="V55" i="100"/>
  <c r="L54" i="100"/>
  <c r="BJ58" i="100"/>
  <c r="BJ55" i="100"/>
  <c r="L45" i="100"/>
  <c r="BJ42" i="100"/>
  <c r="L37" i="100"/>
  <c r="AF31" i="100"/>
  <c r="AZ25" i="100"/>
  <c r="AZ17" i="100"/>
  <c r="BJ8" i="100"/>
  <c r="BJ57" i="100"/>
  <c r="BJ56" i="100"/>
  <c r="AP53" i="100"/>
  <c r="AF55" i="100"/>
  <c r="V54" i="100"/>
  <c r="L57" i="100"/>
  <c r="AZ54" i="100"/>
  <c r="AP57" i="100"/>
  <c r="V58" i="100"/>
  <c r="BJ50" i="100"/>
  <c r="AZ49" i="100"/>
  <c r="AP48" i="100"/>
  <c r="AF47" i="100"/>
  <c r="V46" i="100"/>
  <c r="AZ41" i="100"/>
  <c r="BJ34" i="100"/>
  <c r="AZ33" i="100"/>
  <c r="L29" i="100"/>
  <c r="BJ26" i="100"/>
  <c r="AP24" i="100"/>
  <c r="V22" i="100"/>
  <c r="AP16" i="100"/>
  <c r="V14" i="100"/>
  <c r="L13" i="100"/>
  <c r="AP56" i="100"/>
  <c r="AF58" i="100"/>
  <c r="AZ12" i="100"/>
  <c r="AP58" i="100"/>
  <c r="V53" i="100"/>
  <c r="L55" i="100"/>
  <c r="AZ58" i="100"/>
  <c r="AZ53" i="100"/>
  <c r="AP55" i="100"/>
  <c r="AF54" i="100"/>
  <c r="V57" i="100"/>
  <c r="L56" i="100"/>
  <c r="BJ41" i="100"/>
  <c r="AF38" i="100"/>
  <c r="AF30" i="100"/>
  <c r="AZ24" i="100"/>
  <c r="AP23" i="100"/>
  <c r="BJ17" i="100"/>
  <c r="AZ16" i="100"/>
  <c r="V13" i="100"/>
  <c r="AZ47" i="100"/>
  <c r="AP46" i="100"/>
  <c r="V44" i="100"/>
  <c r="AZ23" i="100"/>
  <c r="L19" i="100"/>
  <c r="BJ16" i="100"/>
  <c r="L50" i="100"/>
  <c r="AF44" i="100"/>
  <c r="L34" i="100"/>
  <c r="AZ22" i="100"/>
  <c r="V19" i="100"/>
  <c r="AZ14" i="100"/>
  <c r="AP52" i="100"/>
  <c r="AF51" i="100"/>
  <c r="V50" i="100"/>
  <c r="L49" i="100"/>
  <c r="BJ46" i="100"/>
  <c r="AZ45" i="100"/>
  <c r="AP44" i="100"/>
  <c r="AF43" i="100"/>
  <c r="V42" i="100"/>
  <c r="L41" i="100"/>
  <c r="BJ38" i="100"/>
  <c r="AZ37" i="100"/>
  <c r="AP36" i="100"/>
  <c r="AF35" i="100"/>
  <c r="V34" i="100"/>
  <c r="L33" i="100"/>
  <c r="BJ30" i="100"/>
  <c r="AZ29" i="100"/>
  <c r="AP28" i="100"/>
  <c r="AF27" i="100"/>
  <c r="V26" i="100"/>
  <c r="L25" i="100"/>
  <c r="BJ49" i="100"/>
  <c r="AZ40" i="100"/>
  <c r="AF14" i="100"/>
  <c r="V52" i="100"/>
  <c r="BJ40" i="100"/>
  <c r="AP38" i="100"/>
  <c r="V36" i="100"/>
  <c r="AP22" i="100"/>
  <c r="AZ15" i="100"/>
  <c r="V51" i="100"/>
  <c r="BJ47" i="100"/>
  <c r="L42" i="100"/>
  <c r="AF36" i="100"/>
  <c r="AZ30" i="100"/>
  <c r="AP29" i="100"/>
  <c r="AF28" i="100"/>
  <c r="L26" i="100"/>
  <c r="AF20" i="100"/>
  <c r="AZ52" i="100"/>
  <c r="AP51" i="100"/>
  <c r="AF50" i="100"/>
  <c r="V49" i="100"/>
  <c r="L48" i="100"/>
  <c r="BJ45" i="100"/>
  <c r="AZ44" i="100"/>
  <c r="AP43" i="100"/>
  <c r="AF42" i="100"/>
  <c r="V41" i="100"/>
  <c r="L40" i="100"/>
  <c r="BJ37" i="100"/>
  <c r="AZ36" i="100"/>
  <c r="AP35" i="100"/>
  <c r="AF34" i="100"/>
  <c r="V33" i="100"/>
  <c r="L32" i="100"/>
  <c r="BJ29" i="100"/>
  <c r="AZ28" i="100"/>
  <c r="AP27" i="100"/>
  <c r="AF26" i="100"/>
  <c r="V25" i="100"/>
  <c r="L52" i="100"/>
  <c r="AZ48" i="100"/>
  <c r="AF46" i="100"/>
  <c r="L44" i="100"/>
  <c r="L36" i="100"/>
  <c r="BJ33" i="100"/>
  <c r="AP31" i="100"/>
  <c r="L28" i="100"/>
  <c r="BJ25" i="100"/>
  <c r="BJ48" i="100"/>
  <c r="L43" i="100"/>
  <c r="AZ39" i="100"/>
  <c r="AF37" i="100"/>
  <c r="L35" i="100"/>
  <c r="BJ32" i="100"/>
  <c r="V28" i="100"/>
  <c r="BJ24" i="100"/>
  <c r="AZ46" i="100"/>
  <c r="BJ39" i="100"/>
  <c r="AP37" i="100"/>
  <c r="V35" i="100"/>
  <c r="V27" i="100"/>
  <c r="BJ23" i="100"/>
  <c r="BJ15" i="100"/>
  <c r="BJ52" i="100"/>
  <c r="AZ51" i="100"/>
  <c r="AP50" i="100"/>
  <c r="AF49" i="100"/>
  <c r="V48" i="100"/>
  <c r="L47" i="100"/>
  <c r="BJ44" i="100"/>
  <c r="AZ43" i="100"/>
  <c r="AP42" i="100"/>
  <c r="AF41" i="100"/>
  <c r="V40" i="100"/>
  <c r="L39" i="100"/>
  <c r="BJ36" i="100"/>
  <c r="AZ35" i="100"/>
  <c r="AP34" i="100"/>
  <c r="AF33" i="100"/>
  <c r="V32" i="100"/>
  <c r="L31" i="100"/>
  <c r="BJ28" i="100"/>
  <c r="AZ27" i="100"/>
  <c r="AP26" i="100"/>
  <c r="AF25" i="100"/>
  <c r="AP47" i="100"/>
  <c r="V45" i="100"/>
  <c r="AP39" i="100"/>
  <c r="V37" i="100"/>
  <c r="AZ32" i="100"/>
  <c r="V29" i="100"/>
  <c r="AF22" i="100"/>
  <c r="V21" i="100"/>
  <c r="L20" i="100"/>
  <c r="AP15" i="100"/>
  <c r="L51" i="100"/>
  <c r="AF45" i="100"/>
  <c r="AZ31" i="100"/>
  <c r="AP30" i="100"/>
  <c r="AF29" i="100"/>
  <c r="L27" i="100"/>
  <c r="AF21" i="100"/>
  <c r="V20" i="100"/>
  <c r="AP14" i="100"/>
  <c r="AF13" i="100"/>
  <c r="AF52" i="100"/>
  <c r="AP45" i="100"/>
  <c r="V43" i="100"/>
  <c r="AZ38" i="100"/>
  <c r="BJ31" i="100"/>
  <c r="AP21" i="100"/>
  <c r="L18" i="100"/>
  <c r="BJ51" i="100"/>
  <c r="AZ50" i="100"/>
  <c r="AP49" i="100"/>
  <c r="AF48" i="100"/>
  <c r="V47" i="100"/>
  <c r="L46" i="100"/>
  <c r="BJ43" i="100"/>
  <c r="AZ42" i="100"/>
  <c r="AP41" i="100"/>
  <c r="AF40" i="100"/>
  <c r="V39" i="100"/>
  <c r="L38" i="100"/>
  <c r="BJ35" i="100"/>
  <c r="AZ34" i="100"/>
  <c r="AP33" i="100"/>
  <c r="AF32" i="100"/>
  <c r="V31" i="100"/>
  <c r="L30" i="100"/>
  <c r="BJ27" i="100"/>
  <c r="AZ26" i="100"/>
  <c r="AP25" i="100"/>
  <c r="AP13" i="100"/>
  <c r="AZ21" i="100"/>
  <c r="V18" i="100"/>
  <c r="BJ14" i="100"/>
  <c r="L24" i="100"/>
  <c r="BJ21" i="100"/>
  <c r="AZ20" i="100"/>
  <c r="AP19" i="100"/>
  <c r="AF18" i="100"/>
  <c r="V17" i="100"/>
  <c r="L16" i="100"/>
  <c r="BJ13" i="100"/>
  <c r="AP20" i="100"/>
  <c r="AF19" i="100"/>
  <c r="AZ13" i="100"/>
  <c r="V24" i="100"/>
  <c r="L23" i="100"/>
  <c r="BJ20" i="100"/>
  <c r="AZ19" i="100"/>
  <c r="AP18" i="100"/>
  <c r="AF17" i="100"/>
  <c r="V16" i="100"/>
  <c r="L15" i="100"/>
  <c r="BJ22" i="100"/>
  <c r="L17" i="100"/>
  <c r="AF24" i="100"/>
  <c r="V23" i="100"/>
  <c r="L22" i="100"/>
  <c r="BJ19" i="100"/>
  <c r="AZ18" i="100"/>
  <c r="AP17" i="100"/>
  <c r="AF16" i="100"/>
  <c r="V15" i="100"/>
  <c r="L14" i="100"/>
  <c r="E5" i="93"/>
  <c r="R61" i="89" l="1"/>
  <c r="L60" i="90" s="1"/>
  <c r="C60" i="100"/>
  <c r="H60" i="90"/>
  <c r="C60" i="90"/>
  <c r="B60" i="90" s="1"/>
  <c r="D60" i="90"/>
  <c r="E60" i="90"/>
  <c r="F60" i="90"/>
  <c r="G60" i="90"/>
  <c r="K60" i="90"/>
  <c r="J60" i="90" s="1"/>
  <c r="AL60" i="74"/>
  <c r="AQ60" i="74" s="1"/>
  <c r="AL60" i="73"/>
  <c r="AK60" i="73" s="1"/>
  <c r="C34" i="75"/>
  <c r="K34" i="75" s="1"/>
  <c r="C41" i="75"/>
  <c r="D41" i="75"/>
  <c r="E41" i="75"/>
  <c r="F41" i="75"/>
  <c r="G41" i="75"/>
  <c r="H41" i="75"/>
  <c r="C42" i="75"/>
  <c r="D42" i="75"/>
  <c r="E42" i="75"/>
  <c r="F42" i="75"/>
  <c r="G42" i="75"/>
  <c r="H42" i="75"/>
  <c r="C43" i="75"/>
  <c r="D43" i="75"/>
  <c r="E43" i="75"/>
  <c r="F43" i="75"/>
  <c r="G43" i="75"/>
  <c r="H43" i="75"/>
  <c r="C44" i="75"/>
  <c r="D44" i="75"/>
  <c r="E44" i="75"/>
  <c r="F44" i="75"/>
  <c r="G44" i="75"/>
  <c r="H44" i="75"/>
  <c r="C45" i="75"/>
  <c r="D45" i="75"/>
  <c r="E45" i="75"/>
  <c r="F45" i="75"/>
  <c r="G45" i="75"/>
  <c r="H45" i="75"/>
  <c r="C46" i="75"/>
  <c r="D46" i="75"/>
  <c r="E46" i="75"/>
  <c r="F46" i="75"/>
  <c r="G46" i="75"/>
  <c r="H46" i="75"/>
  <c r="C47" i="75"/>
  <c r="D47" i="75"/>
  <c r="E47" i="75"/>
  <c r="F47" i="75"/>
  <c r="G47" i="75"/>
  <c r="H47" i="75"/>
  <c r="C48" i="75"/>
  <c r="D48" i="75"/>
  <c r="E48" i="75"/>
  <c r="F48" i="75"/>
  <c r="G48" i="75"/>
  <c r="H48" i="75"/>
  <c r="C49" i="75"/>
  <c r="D49" i="75"/>
  <c r="E49" i="75"/>
  <c r="F49" i="75"/>
  <c r="G49" i="75"/>
  <c r="H49" i="75"/>
  <c r="C50" i="75"/>
  <c r="D50" i="75"/>
  <c r="E50" i="75"/>
  <c r="F50" i="75"/>
  <c r="G50" i="75"/>
  <c r="H50" i="75"/>
  <c r="C51" i="75"/>
  <c r="D51" i="75"/>
  <c r="E51" i="75"/>
  <c r="F51" i="75"/>
  <c r="G51" i="75"/>
  <c r="H51" i="75"/>
  <c r="C52" i="75"/>
  <c r="D52" i="75"/>
  <c r="E52" i="75"/>
  <c r="F52" i="75"/>
  <c r="G52" i="75"/>
  <c r="H52" i="75"/>
  <c r="C53" i="75"/>
  <c r="D53" i="75"/>
  <c r="E53" i="75"/>
  <c r="F53" i="75"/>
  <c r="G53" i="75"/>
  <c r="H53" i="75"/>
  <c r="C54" i="75"/>
  <c r="D54" i="75"/>
  <c r="E54" i="75"/>
  <c r="F54" i="75"/>
  <c r="G54" i="75"/>
  <c r="H54" i="75"/>
  <c r="C55" i="75"/>
  <c r="D55" i="75"/>
  <c r="E55" i="75"/>
  <c r="F55" i="75"/>
  <c r="G55" i="75"/>
  <c r="H55" i="75"/>
  <c r="C56" i="75"/>
  <c r="D56" i="75"/>
  <c r="E56" i="75"/>
  <c r="F56" i="75"/>
  <c r="G56" i="75"/>
  <c r="H56" i="75"/>
  <c r="C57" i="75"/>
  <c r="D57" i="75"/>
  <c r="E57" i="75"/>
  <c r="F57" i="75"/>
  <c r="G57" i="75"/>
  <c r="H57" i="75"/>
  <c r="C58" i="75"/>
  <c r="D58" i="75"/>
  <c r="E58" i="75"/>
  <c r="F58" i="75"/>
  <c r="G58" i="75"/>
  <c r="H58" i="75"/>
  <c r="C59" i="75"/>
  <c r="D59" i="75"/>
  <c r="E59" i="75"/>
  <c r="F59" i="75"/>
  <c r="G59" i="75"/>
  <c r="H59" i="75"/>
  <c r="H40" i="75"/>
  <c r="G40" i="75"/>
  <c r="F40" i="75"/>
  <c r="E40" i="75"/>
  <c r="D40" i="75"/>
  <c r="C40" i="75"/>
  <c r="H38" i="75"/>
  <c r="G38" i="75"/>
  <c r="F38" i="75"/>
  <c r="E38" i="75"/>
  <c r="D38" i="75"/>
  <c r="C38" i="75"/>
  <c r="H36" i="75"/>
  <c r="G36" i="75"/>
  <c r="F36" i="75"/>
  <c r="E36" i="75"/>
  <c r="D36" i="75"/>
  <c r="C36" i="75"/>
  <c r="D34" i="75"/>
  <c r="E34" i="75"/>
  <c r="F34" i="75"/>
  <c r="G34" i="75"/>
  <c r="H34" i="75"/>
  <c r="AF59" i="54"/>
  <c r="AE59" i="54"/>
  <c r="AD59" i="54"/>
  <c r="AC59" i="54"/>
  <c r="AB59" i="54"/>
  <c r="AA59" i="54"/>
  <c r="Z59" i="54"/>
  <c r="AF58" i="54"/>
  <c r="AE58" i="54"/>
  <c r="AD58" i="54"/>
  <c r="AC58" i="54"/>
  <c r="AB58" i="54"/>
  <c r="AA58" i="54"/>
  <c r="Z58" i="54"/>
  <c r="AF57" i="54"/>
  <c r="AE57" i="54"/>
  <c r="AD57" i="54"/>
  <c r="AC57" i="54"/>
  <c r="AB57" i="54"/>
  <c r="AA57" i="54"/>
  <c r="Z57" i="54"/>
  <c r="AF56" i="54"/>
  <c r="AE56" i="54"/>
  <c r="AD56" i="54"/>
  <c r="AC56" i="54"/>
  <c r="AB56" i="54"/>
  <c r="AA56" i="54"/>
  <c r="Z56" i="54"/>
  <c r="AF55" i="54"/>
  <c r="AE55" i="54"/>
  <c r="AD55" i="54"/>
  <c r="AC55" i="54"/>
  <c r="AB55" i="54"/>
  <c r="AA55" i="54"/>
  <c r="Z55" i="54"/>
  <c r="AF54" i="54"/>
  <c r="AE54" i="54"/>
  <c r="AD54" i="54"/>
  <c r="AC54" i="54"/>
  <c r="AB54" i="54"/>
  <c r="AA54" i="54"/>
  <c r="Z54" i="54"/>
  <c r="AF53" i="54"/>
  <c r="AE53" i="54"/>
  <c r="AD53" i="54"/>
  <c r="AC53" i="54"/>
  <c r="AB53" i="54"/>
  <c r="AA53" i="54"/>
  <c r="Z53" i="54"/>
  <c r="AF52" i="54"/>
  <c r="AE52" i="54"/>
  <c r="AD52" i="54"/>
  <c r="AC52" i="54"/>
  <c r="AB52" i="54"/>
  <c r="AA52" i="54"/>
  <c r="Z52" i="54"/>
  <c r="AF51" i="54"/>
  <c r="AE51" i="54"/>
  <c r="AD51" i="54"/>
  <c r="AC51" i="54"/>
  <c r="AB51" i="54"/>
  <c r="AA51" i="54"/>
  <c r="Z51" i="54"/>
  <c r="AF50" i="54"/>
  <c r="AE50" i="54"/>
  <c r="AD50" i="54"/>
  <c r="AC50" i="54"/>
  <c r="AB50" i="54"/>
  <c r="AA50" i="54"/>
  <c r="Z50" i="54"/>
  <c r="AF49" i="54"/>
  <c r="AE49" i="54"/>
  <c r="AD49" i="54"/>
  <c r="AC49" i="54"/>
  <c r="AB49" i="54"/>
  <c r="AA49" i="54"/>
  <c r="Z49" i="54"/>
  <c r="AF48" i="54"/>
  <c r="AE48" i="54"/>
  <c r="AD48" i="54"/>
  <c r="AC48" i="54"/>
  <c r="AB48" i="54"/>
  <c r="AA48" i="54"/>
  <c r="Z48" i="54"/>
  <c r="AF47" i="54"/>
  <c r="AE47" i="54"/>
  <c r="AD47" i="54"/>
  <c r="AC47" i="54"/>
  <c r="AB47" i="54"/>
  <c r="AA47" i="54"/>
  <c r="Z47" i="54"/>
  <c r="AF46" i="54"/>
  <c r="AE46" i="54"/>
  <c r="AD46" i="54"/>
  <c r="AC46" i="54"/>
  <c r="AB46" i="54"/>
  <c r="AA46" i="54"/>
  <c r="Z46" i="54"/>
  <c r="AF45" i="54"/>
  <c r="AE45" i="54"/>
  <c r="AD45" i="54"/>
  <c r="AC45" i="54"/>
  <c r="AB45" i="54"/>
  <c r="AA45" i="54"/>
  <c r="Z45" i="54"/>
  <c r="AF44" i="54"/>
  <c r="AE44" i="54"/>
  <c r="AD44" i="54"/>
  <c r="AC44" i="54"/>
  <c r="AB44" i="54"/>
  <c r="AA44" i="54"/>
  <c r="Z44" i="54"/>
  <c r="AF43" i="54"/>
  <c r="AE43" i="54"/>
  <c r="AD43" i="54"/>
  <c r="AC43" i="54"/>
  <c r="AB43" i="54"/>
  <c r="AA43" i="54"/>
  <c r="Z43" i="54"/>
  <c r="AF42" i="54"/>
  <c r="AE42" i="54"/>
  <c r="AD42" i="54"/>
  <c r="AC42" i="54"/>
  <c r="AB42" i="54"/>
  <c r="AA42" i="54"/>
  <c r="Z42" i="54"/>
  <c r="AF41" i="54"/>
  <c r="AE41" i="54"/>
  <c r="AD41" i="54"/>
  <c r="AC41" i="54"/>
  <c r="AB41" i="54"/>
  <c r="AA41" i="54"/>
  <c r="Z41" i="54"/>
  <c r="AF40" i="54"/>
  <c r="AE40" i="54"/>
  <c r="AD40" i="54"/>
  <c r="AC40" i="54"/>
  <c r="AB40" i="54"/>
  <c r="AA40" i="54"/>
  <c r="Z40" i="54"/>
  <c r="AF39" i="54"/>
  <c r="AE39" i="54"/>
  <c r="AD39" i="54"/>
  <c r="AC39" i="54"/>
  <c r="AB39" i="54"/>
  <c r="AA39" i="54"/>
  <c r="Z39" i="54"/>
  <c r="AF38" i="54"/>
  <c r="AE38" i="54"/>
  <c r="AD38" i="54"/>
  <c r="AC38" i="54"/>
  <c r="AB38" i="54"/>
  <c r="AA38" i="54"/>
  <c r="Z38" i="54"/>
  <c r="AF37" i="54"/>
  <c r="AE37" i="54"/>
  <c r="AD37" i="54"/>
  <c r="AC37" i="54"/>
  <c r="AB37" i="54"/>
  <c r="AA37" i="54"/>
  <c r="Z37" i="54"/>
  <c r="AF36" i="54"/>
  <c r="AE36" i="54"/>
  <c r="AD36" i="54"/>
  <c r="AC36" i="54"/>
  <c r="AB36" i="54"/>
  <c r="AA36" i="54"/>
  <c r="Z36" i="54"/>
  <c r="AF35" i="54"/>
  <c r="AE35" i="54"/>
  <c r="AD35" i="54"/>
  <c r="AC35" i="54"/>
  <c r="AB35" i="54"/>
  <c r="AA35" i="54"/>
  <c r="Z35" i="54"/>
  <c r="AF34" i="54"/>
  <c r="AE34" i="54"/>
  <c r="AD34" i="54"/>
  <c r="AC34" i="54"/>
  <c r="AB34" i="54"/>
  <c r="AA34" i="54"/>
  <c r="Z34" i="54"/>
  <c r="AF33" i="54"/>
  <c r="AE33" i="54"/>
  <c r="AD33" i="54"/>
  <c r="AC33" i="54"/>
  <c r="AB33" i="54"/>
  <c r="AA33" i="54"/>
  <c r="Z33" i="54"/>
  <c r="AF32" i="54"/>
  <c r="AE32" i="54"/>
  <c r="AD32" i="54"/>
  <c r="AC32" i="54"/>
  <c r="AB32" i="54"/>
  <c r="AA32" i="54"/>
  <c r="Z32" i="54"/>
  <c r="AF31" i="54"/>
  <c r="AE31" i="54"/>
  <c r="AD31" i="54"/>
  <c r="AC31" i="54"/>
  <c r="AB31" i="54"/>
  <c r="AA31" i="54"/>
  <c r="Z31" i="54"/>
  <c r="AF30" i="54"/>
  <c r="AE30" i="54"/>
  <c r="AD30" i="54"/>
  <c r="AC30" i="54"/>
  <c r="AB30" i="54"/>
  <c r="AA30" i="54"/>
  <c r="Z30" i="54"/>
  <c r="AF29" i="54"/>
  <c r="AE29" i="54"/>
  <c r="AD29" i="54"/>
  <c r="AC29" i="54"/>
  <c r="AB29" i="54"/>
  <c r="AA29" i="54"/>
  <c r="Z29" i="54"/>
  <c r="AF28" i="54"/>
  <c r="AE28" i="54"/>
  <c r="AD28" i="54"/>
  <c r="AC28" i="54"/>
  <c r="AB28" i="54"/>
  <c r="AA28" i="54"/>
  <c r="Z28" i="54"/>
  <c r="AF27" i="54"/>
  <c r="AE27" i="54"/>
  <c r="AD27" i="54"/>
  <c r="AC27" i="54"/>
  <c r="AB27" i="54"/>
  <c r="AA27" i="54"/>
  <c r="Z27" i="54"/>
  <c r="AF26" i="54"/>
  <c r="AE26" i="54"/>
  <c r="AD26" i="54"/>
  <c r="AC26" i="54"/>
  <c r="AB26" i="54"/>
  <c r="AA26" i="54"/>
  <c r="Z26" i="54"/>
  <c r="AF25" i="54"/>
  <c r="AE25" i="54"/>
  <c r="AD25" i="54"/>
  <c r="AC25" i="54"/>
  <c r="AB25" i="54"/>
  <c r="AA25" i="54"/>
  <c r="Z25" i="54"/>
  <c r="AF24" i="54"/>
  <c r="AE24" i="54"/>
  <c r="AD24" i="54"/>
  <c r="AC24" i="54"/>
  <c r="AB24" i="54"/>
  <c r="AA24" i="54"/>
  <c r="Z24" i="54"/>
  <c r="AF23" i="54"/>
  <c r="AE23" i="54"/>
  <c r="AD23" i="54"/>
  <c r="AC23" i="54"/>
  <c r="AB23" i="54"/>
  <c r="AA23" i="54"/>
  <c r="Z23" i="54"/>
  <c r="AF22" i="54"/>
  <c r="AE22" i="54"/>
  <c r="AD22" i="54"/>
  <c r="AC22" i="54"/>
  <c r="AB22" i="54"/>
  <c r="AA22" i="54"/>
  <c r="Z22" i="54"/>
  <c r="AF21" i="54"/>
  <c r="AE21" i="54"/>
  <c r="AD21" i="54"/>
  <c r="AC21" i="54"/>
  <c r="AB21" i="54"/>
  <c r="AA21" i="54"/>
  <c r="Z21" i="54"/>
  <c r="AF20" i="54"/>
  <c r="AE20" i="54"/>
  <c r="AD20" i="54"/>
  <c r="AC20" i="54"/>
  <c r="AB20" i="54"/>
  <c r="AA20" i="54"/>
  <c r="Z20" i="54"/>
  <c r="AF19" i="54"/>
  <c r="AE19" i="54"/>
  <c r="AD19" i="54"/>
  <c r="AC19" i="54"/>
  <c r="AB19" i="54"/>
  <c r="AA19" i="54"/>
  <c r="Z19" i="54"/>
  <c r="AF18" i="54"/>
  <c r="AE18" i="54"/>
  <c r="AD18" i="54"/>
  <c r="AC18" i="54"/>
  <c r="AB18" i="54"/>
  <c r="AA18" i="54"/>
  <c r="Z18" i="54"/>
  <c r="AF17" i="54"/>
  <c r="AE17" i="54"/>
  <c r="AD17" i="54"/>
  <c r="AC17" i="54"/>
  <c r="AB17" i="54"/>
  <c r="AA17" i="54"/>
  <c r="Z17" i="54"/>
  <c r="AF16" i="54"/>
  <c r="AE16" i="54"/>
  <c r="AD16" i="54"/>
  <c r="AC16" i="54"/>
  <c r="AB16" i="54"/>
  <c r="AA16" i="54"/>
  <c r="Z16" i="54"/>
  <c r="AF15" i="54"/>
  <c r="AE15" i="54"/>
  <c r="AD15" i="54"/>
  <c r="AC15" i="54"/>
  <c r="AB15" i="54"/>
  <c r="AA15" i="54"/>
  <c r="Z15" i="54"/>
  <c r="AF14" i="54"/>
  <c r="AE14" i="54"/>
  <c r="AD14" i="54"/>
  <c r="AC14" i="54"/>
  <c r="AB14" i="54"/>
  <c r="AA14" i="54"/>
  <c r="Z14" i="54"/>
  <c r="AF13" i="54"/>
  <c r="AE13" i="54"/>
  <c r="AD13" i="54"/>
  <c r="AC13" i="54"/>
  <c r="AB13" i="54"/>
  <c r="AA13" i="54"/>
  <c r="Z13" i="54"/>
  <c r="AF12" i="54"/>
  <c r="AE12" i="54"/>
  <c r="AD12" i="54"/>
  <c r="AC12" i="54"/>
  <c r="AB12" i="54"/>
  <c r="AA12" i="54"/>
  <c r="Z12" i="54"/>
  <c r="AF11" i="54"/>
  <c r="AE11" i="54"/>
  <c r="AD11" i="54"/>
  <c r="AC11" i="54"/>
  <c r="AB11" i="54"/>
  <c r="AA11" i="54"/>
  <c r="Z11" i="54"/>
  <c r="AF10" i="54"/>
  <c r="AE10" i="54"/>
  <c r="AD10" i="54"/>
  <c r="AC10" i="54"/>
  <c r="AB10" i="54"/>
  <c r="AA10" i="54"/>
  <c r="Z10" i="54"/>
  <c r="AF9" i="54"/>
  <c r="AE9" i="54"/>
  <c r="AD9" i="54"/>
  <c r="AC9" i="54"/>
  <c r="AB9" i="54"/>
  <c r="AA9" i="54"/>
  <c r="Z9" i="54"/>
  <c r="AF8" i="54"/>
  <c r="AE8" i="54"/>
  <c r="AD8" i="54"/>
  <c r="AC8" i="54"/>
  <c r="AB8" i="54"/>
  <c r="AA8" i="54"/>
  <c r="Z8" i="54"/>
  <c r="AF7" i="54"/>
  <c r="AE7" i="54"/>
  <c r="AD7" i="54"/>
  <c r="AC7" i="54"/>
  <c r="AB7" i="54"/>
  <c r="AA7" i="54"/>
  <c r="Z7" i="54"/>
  <c r="AF6" i="54"/>
  <c r="AE6" i="54"/>
  <c r="AD6" i="54"/>
  <c r="AC6" i="54"/>
  <c r="AB6" i="54"/>
  <c r="AA6" i="54"/>
  <c r="Z6" i="54"/>
  <c r="Z7" i="39"/>
  <c r="E35" i="64" s="1"/>
  <c r="AA7" i="39"/>
  <c r="AB7" i="39"/>
  <c r="E34" i="138" s="1"/>
  <c r="AC7" i="39"/>
  <c r="AD7" i="39"/>
  <c r="J35" i="64" s="1"/>
  <c r="AE7" i="39"/>
  <c r="Z8" i="39"/>
  <c r="AA8" i="39"/>
  <c r="AB8" i="39"/>
  <c r="AC8" i="39"/>
  <c r="AD8" i="39"/>
  <c r="J36" i="64" s="1"/>
  <c r="AE8" i="39"/>
  <c r="Z9" i="39"/>
  <c r="E37" i="64" s="1"/>
  <c r="AA9" i="39"/>
  <c r="AB9" i="39"/>
  <c r="E36" i="138" s="1"/>
  <c r="AC9" i="39"/>
  <c r="AD9" i="39"/>
  <c r="J37" i="64" s="1"/>
  <c r="AE9" i="39"/>
  <c r="Z10" i="39"/>
  <c r="AA10" i="39"/>
  <c r="AB10" i="39"/>
  <c r="E37" i="138" s="1"/>
  <c r="AC10" i="39"/>
  <c r="AD10" i="39"/>
  <c r="J38" i="64" s="1"/>
  <c r="AE10" i="39"/>
  <c r="Z11" i="39"/>
  <c r="E39" i="64" s="1"/>
  <c r="AA11" i="39"/>
  <c r="AB11" i="39"/>
  <c r="E38" i="138" s="1"/>
  <c r="AC11" i="39"/>
  <c r="AD11" i="39"/>
  <c r="J39" i="64" s="1"/>
  <c r="AE11" i="39"/>
  <c r="Z12" i="39"/>
  <c r="AA12" i="39"/>
  <c r="AB12" i="39"/>
  <c r="E39" i="138" s="1"/>
  <c r="AC12" i="39"/>
  <c r="AD12" i="39"/>
  <c r="J40" i="64" s="1"/>
  <c r="AE12" i="39"/>
  <c r="Z13" i="39"/>
  <c r="AA13" i="39"/>
  <c r="AB13" i="39"/>
  <c r="E40" i="138" s="1"/>
  <c r="AC13" i="39"/>
  <c r="AD13" i="39"/>
  <c r="J41" i="64" s="1"/>
  <c r="AE13" i="39"/>
  <c r="Z14" i="39"/>
  <c r="AA14" i="39"/>
  <c r="AB14" i="39"/>
  <c r="E41" i="138" s="1"/>
  <c r="AC14" i="39"/>
  <c r="AD14" i="39"/>
  <c r="J42" i="64" s="1"/>
  <c r="AE14" i="39"/>
  <c r="Z15" i="39"/>
  <c r="AA15" i="39"/>
  <c r="AB15" i="39"/>
  <c r="E42" i="138" s="1"/>
  <c r="AC15" i="39"/>
  <c r="AD15" i="39"/>
  <c r="J43" i="64" s="1"/>
  <c r="AE15" i="39"/>
  <c r="Z16" i="39"/>
  <c r="AA16" i="39"/>
  <c r="AB16" i="39"/>
  <c r="E43" i="138" s="1"/>
  <c r="AC16" i="39"/>
  <c r="AD16" i="39"/>
  <c r="J44" i="64" s="1"/>
  <c r="AE16" i="39"/>
  <c r="Z17" i="39"/>
  <c r="AA17" i="39"/>
  <c r="AB17" i="39"/>
  <c r="E44" i="138" s="1"/>
  <c r="AC17" i="39"/>
  <c r="AD17" i="39"/>
  <c r="J45" i="64" s="1"/>
  <c r="AE17" i="39"/>
  <c r="Z18" i="39"/>
  <c r="AA18" i="39"/>
  <c r="AB18" i="39"/>
  <c r="E45" i="138" s="1"/>
  <c r="AC18" i="39"/>
  <c r="AD18" i="39"/>
  <c r="J46" i="64" s="1"/>
  <c r="AE18" i="39"/>
  <c r="Z19" i="39"/>
  <c r="AA19" i="39"/>
  <c r="AB19" i="39"/>
  <c r="E46" i="138" s="1"/>
  <c r="AC19" i="39"/>
  <c r="AD19" i="39"/>
  <c r="J47" i="64" s="1"/>
  <c r="AE19" i="39"/>
  <c r="Z20" i="39"/>
  <c r="AA20" i="39"/>
  <c r="AB20" i="39"/>
  <c r="E47" i="138" s="1"/>
  <c r="AC20" i="39"/>
  <c r="AD20" i="39"/>
  <c r="J48" i="64" s="1"/>
  <c r="AE20" i="39"/>
  <c r="Z21" i="39"/>
  <c r="AA21" i="39"/>
  <c r="AB21" i="39"/>
  <c r="E48" i="138" s="1"/>
  <c r="AC21" i="39"/>
  <c r="AD21" i="39"/>
  <c r="J49" i="64" s="1"/>
  <c r="AE21" i="39"/>
  <c r="Z22" i="39"/>
  <c r="AA22" i="39"/>
  <c r="AB22" i="39"/>
  <c r="E49" i="138" s="1"/>
  <c r="AC22" i="39"/>
  <c r="AD22" i="39"/>
  <c r="J50" i="64" s="1"/>
  <c r="AE22" i="39"/>
  <c r="Z23" i="39"/>
  <c r="AA23" i="39"/>
  <c r="AB23" i="39"/>
  <c r="E50" i="138" s="1"/>
  <c r="AC23" i="39"/>
  <c r="AD23" i="39"/>
  <c r="J51" i="64" s="1"/>
  <c r="AE23" i="39"/>
  <c r="Z24" i="39"/>
  <c r="AA24" i="39"/>
  <c r="AB24" i="39"/>
  <c r="E51" i="138" s="1"/>
  <c r="AC24" i="39"/>
  <c r="AD24" i="39"/>
  <c r="J52" i="64" s="1"/>
  <c r="AE24" i="39"/>
  <c r="AA25" i="39"/>
  <c r="AB25" i="39"/>
  <c r="AC25" i="39"/>
  <c r="AD25" i="39"/>
  <c r="J53" i="64" s="1"/>
  <c r="AE25" i="39"/>
  <c r="Z26" i="39"/>
  <c r="AA26" i="39"/>
  <c r="AB26" i="39"/>
  <c r="E53" i="138" s="1"/>
  <c r="AC26" i="39"/>
  <c r="AD26" i="39"/>
  <c r="J54" i="64" s="1"/>
  <c r="AE26" i="39"/>
  <c r="Z27" i="39"/>
  <c r="AA27" i="39"/>
  <c r="AB27" i="39"/>
  <c r="E54" i="138" s="1"/>
  <c r="AC27" i="39"/>
  <c r="AD27" i="39"/>
  <c r="J55" i="64" s="1"/>
  <c r="AE27" i="39"/>
  <c r="Z28" i="39"/>
  <c r="AA28" i="39"/>
  <c r="AB28" i="39"/>
  <c r="E55" i="138" s="1"/>
  <c r="AC28" i="39"/>
  <c r="AD28" i="39"/>
  <c r="J56" i="64" s="1"/>
  <c r="AE28" i="39"/>
  <c r="Z29" i="39"/>
  <c r="AA29" i="39"/>
  <c r="AB29" i="39"/>
  <c r="E56" i="138" s="1"/>
  <c r="AC29" i="39"/>
  <c r="AD29" i="39"/>
  <c r="J57" i="64" s="1"/>
  <c r="AE29" i="39"/>
  <c r="Z30" i="39"/>
  <c r="AA30" i="39"/>
  <c r="AB30" i="39"/>
  <c r="E57" i="138" s="1"/>
  <c r="AC30" i="39"/>
  <c r="AD30" i="39"/>
  <c r="J58" i="64" s="1"/>
  <c r="AE30" i="39"/>
  <c r="Z31" i="39"/>
  <c r="AA31" i="39"/>
  <c r="AB31" i="39"/>
  <c r="E58" i="138" s="1"/>
  <c r="AC31" i="39"/>
  <c r="AD31" i="39"/>
  <c r="J59" i="64" s="1"/>
  <c r="AE31" i="39"/>
  <c r="Z32" i="39"/>
  <c r="AA32" i="39"/>
  <c r="AB32" i="39"/>
  <c r="E59" i="138" s="1"/>
  <c r="AC32" i="39"/>
  <c r="AD32" i="39"/>
  <c r="J60" i="64" s="1"/>
  <c r="AE32" i="39"/>
  <c r="Z33" i="39"/>
  <c r="AA33" i="39"/>
  <c r="AB33" i="39"/>
  <c r="E60" i="138" s="1"/>
  <c r="AC33" i="39"/>
  <c r="AD33" i="39"/>
  <c r="J61" i="64" s="1"/>
  <c r="AE33" i="39"/>
  <c r="Z34" i="39"/>
  <c r="AA34" i="39"/>
  <c r="AB34" i="39"/>
  <c r="E61" i="138" s="1"/>
  <c r="AC34" i="39"/>
  <c r="AD34" i="39"/>
  <c r="J62" i="64" s="1"/>
  <c r="AE34" i="39"/>
  <c r="Z35" i="39"/>
  <c r="AA35" i="39"/>
  <c r="AB35" i="39"/>
  <c r="E62" i="138" s="1"/>
  <c r="AC35" i="39"/>
  <c r="AD35" i="39"/>
  <c r="J63" i="64" s="1"/>
  <c r="AE35" i="39"/>
  <c r="Z36" i="39"/>
  <c r="AA36" i="39"/>
  <c r="AB36" i="39"/>
  <c r="E63" i="138" s="1"/>
  <c r="AC36" i="39"/>
  <c r="AD36" i="39"/>
  <c r="J64" i="64" s="1"/>
  <c r="AE36" i="39"/>
  <c r="Z37" i="39"/>
  <c r="AA37" i="39"/>
  <c r="AB37" i="39"/>
  <c r="E64" i="138" s="1"/>
  <c r="AC37" i="39"/>
  <c r="AD37" i="39"/>
  <c r="J65" i="64" s="1"/>
  <c r="AE37" i="39"/>
  <c r="Z38" i="39"/>
  <c r="AA38" i="39"/>
  <c r="AB38" i="39"/>
  <c r="E65" i="138" s="1"/>
  <c r="AC38" i="39"/>
  <c r="AD38" i="39"/>
  <c r="J66" i="64" s="1"/>
  <c r="AE38" i="39"/>
  <c r="Z39" i="39"/>
  <c r="AA39" i="39"/>
  <c r="AB39" i="39"/>
  <c r="E66" i="138" s="1"/>
  <c r="AC39" i="39"/>
  <c r="AD39" i="39"/>
  <c r="J67" i="64" s="1"/>
  <c r="AE39" i="39"/>
  <c r="Z40" i="39"/>
  <c r="AA40" i="39"/>
  <c r="AB40" i="39"/>
  <c r="E67" i="138" s="1"/>
  <c r="AC40" i="39"/>
  <c r="AD40" i="39"/>
  <c r="J68" i="64" s="1"/>
  <c r="AE40" i="39"/>
  <c r="Z41" i="39"/>
  <c r="AA41" i="39"/>
  <c r="AB41" i="39"/>
  <c r="E68" i="138" s="1"/>
  <c r="AC41" i="39"/>
  <c r="AD41" i="39"/>
  <c r="J69" i="64" s="1"/>
  <c r="AE41" i="39"/>
  <c r="Z42" i="39"/>
  <c r="AA42" i="39"/>
  <c r="AB42" i="39"/>
  <c r="E69" i="138" s="1"/>
  <c r="AC42" i="39"/>
  <c r="AD42" i="39"/>
  <c r="J70" i="64" s="1"/>
  <c r="AE42" i="39"/>
  <c r="Z43" i="39"/>
  <c r="AA43" i="39"/>
  <c r="AB43" i="39"/>
  <c r="E70" i="138" s="1"/>
  <c r="AC43" i="39"/>
  <c r="AD43" i="39"/>
  <c r="J71" i="64" s="1"/>
  <c r="AE43" i="39"/>
  <c r="Z44" i="39"/>
  <c r="AA44" i="39"/>
  <c r="AB44" i="39"/>
  <c r="E71" i="138" s="1"/>
  <c r="AC44" i="39"/>
  <c r="AD44" i="39"/>
  <c r="J72" i="64" s="1"/>
  <c r="AE44" i="39"/>
  <c r="Z45" i="39"/>
  <c r="AA45" i="39"/>
  <c r="AB45" i="39"/>
  <c r="E72" i="138" s="1"/>
  <c r="AC45" i="39"/>
  <c r="AD45" i="39"/>
  <c r="J73" i="64" s="1"/>
  <c r="AE45" i="39"/>
  <c r="Z46" i="39"/>
  <c r="AA46" i="39"/>
  <c r="AB46" i="39"/>
  <c r="E73" i="138" s="1"/>
  <c r="AC46" i="39"/>
  <c r="AD46" i="39"/>
  <c r="J74" i="64" s="1"/>
  <c r="AE46" i="39"/>
  <c r="Z47" i="39"/>
  <c r="AA47" i="39"/>
  <c r="AB47" i="39"/>
  <c r="E74" i="138" s="1"/>
  <c r="AC47" i="39"/>
  <c r="AD47" i="39"/>
  <c r="J75" i="64" s="1"/>
  <c r="AE47" i="39"/>
  <c r="Z48" i="39"/>
  <c r="AA48" i="39"/>
  <c r="AB48" i="39"/>
  <c r="E75" i="138" s="1"/>
  <c r="AC48" i="39"/>
  <c r="AD48" i="39"/>
  <c r="J76" i="64" s="1"/>
  <c r="AE48" i="39"/>
  <c r="Z49" i="39"/>
  <c r="AA49" i="39"/>
  <c r="AB49" i="39"/>
  <c r="E76" i="138" s="1"/>
  <c r="AC49" i="39"/>
  <c r="AD49" i="39"/>
  <c r="J77" i="64" s="1"/>
  <c r="AE49" i="39"/>
  <c r="Z50" i="39"/>
  <c r="AA50" i="39"/>
  <c r="AB50" i="39"/>
  <c r="E77" i="138" s="1"/>
  <c r="AC50" i="39"/>
  <c r="AD50" i="39"/>
  <c r="J78" i="64" s="1"/>
  <c r="AE50" i="39"/>
  <c r="Z51" i="39"/>
  <c r="AA51" i="39"/>
  <c r="AB51" i="39"/>
  <c r="E78" i="138" s="1"/>
  <c r="AC51" i="39"/>
  <c r="AD51" i="39"/>
  <c r="J79" i="64" s="1"/>
  <c r="AE51" i="39"/>
  <c r="Z52" i="39"/>
  <c r="AA52" i="39"/>
  <c r="AB52" i="39"/>
  <c r="E79" i="138" s="1"/>
  <c r="AC52" i="39"/>
  <c r="AD52" i="39"/>
  <c r="J80" i="64" s="1"/>
  <c r="AE52" i="39"/>
  <c r="Z53" i="39"/>
  <c r="AA53" i="39"/>
  <c r="AB53" i="39"/>
  <c r="E80" i="138" s="1"/>
  <c r="AC53" i="39"/>
  <c r="AD53" i="39"/>
  <c r="J81" i="64" s="1"/>
  <c r="AE53" i="39"/>
  <c r="Z54" i="39"/>
  <c r="AA54" i="39"/>
  <c r="AB54" i="39"/>
  <c r="E81" i="138" s="1"/>
  <c r="AC54" i="39"/>
  <c r="AD54" i="39"/>
  <c r="J82" i="64" s="1"/>
  <c r="AE54" i="39"/>
  <c r="Z55" i="39"/>
  <c r="AA55" i="39"/>
  <c r="AB55" i="39"/>
  <c r="E82" i="138" s="1"/>
  <c r="AC55" i="39"/>
  <c r="AD55" i="39"/>
  <c r="J83" i="64" s="1"/>
  <c r="AE55" i="39"/>
  <c r="Z56" i="39"/>
  <c r="AA56" i="39"/>
  <c r="AB56" i="39"/>
  <c r="E83" i="138" s="1"/>
  <c r="AC56" i="39"/>
  <c r="AD56" i="39"/>
  <c r="J84" i="64" s="1"/>
  <c r="AE56" i="39"/>
  <c r="Z57" i="39"/>
  <c r="AA57" i="39"/>
  <c r="AB57" i="39"/>
  <c r="E84" i="138" s="1"/>
  <c r="AC57" i="39"/>
  <c r="AD57" i="39"/>
  <c r="J85" i="64" s="1"/>
  <c r="AE57" i="39"/>
  <c r="Z58" i="39"/>
  <c r="AA58" i="39"/>
  <c r="AB58" i="39"/>
  <c r="E85" i="138" s="1"/>
  <c r="AC58" i="39"/>
  <c r="AD58" i="39"/>
  <c r="J86" i="64" s="1"/>
  <c r="AE58" i="39"/>
  <c r="Z59" i="39"/>
  <c r="AA59" i="39"/>
  <c r="AB59" i="39"/>
  <c r="E86" i="138" s="1"/>
  <c r="AC59" i="39"/>
  <c r="AD59" i="39"/>
  <c r="J87" i="64" s="1"/>
  <c r="AE59" i="39"/>
  <c r="AA6" i="39"/>
  <c r="AB6" i="39"/>
  <c r="AC6" i="39"/>
  <c r="AD6" i="39"/>
  <c r="J34" i="64" s="1"/>
  <c r="J91" i="64" s="1"/>
  <c r="AE6" i="39"/>
  <c r="Z6" i="39"/>
  <c r="A35" i="64"/>
  <c r="A36" i="64" s="1"/>
  <c r="A37" i="64" s="1"/>
  <c r="A38" i="64" s="1"/>
  <c r="A39" i="64" s="1"/>
  <c r="A40" i="64" s="1"/>
  <c r="A41" i="64" s="1"/>
  <c r="A42" i="64" s="1"/>
  <c r="A43" i="64" s="1"/>
  <c r="A44" i="64" s="1"/>
  <c r="A45" i="64" s="1"/>
  <c r="A46" i="64" s="1"/>
  <c r="A47" i="64" s="1"/>
  <c r="A48" i="64" s="1"/>
  <c r="A49" i="64" s="1"/>
  <c r="A50" i="64" s="1"/>
  <c r="A51" i="64" s="1"/>
  <c r="A52" i="64" s="1"/>
  <c r="A53" i="64" s="1"/>
  <c r="A54" i="64" s="1"/>
  <c r="A55" i="64" s="1"/>
  <c r="A56" i="64" s="1"/>
  <c r="A57" i="64" s="1"/>
  <c r="A58" i="64" s="1"/>
  <c r="A59" i="64" s="1"/>
  <c r="A60" i="64" s="1"/>
  <c r="A61" i="64" s="1"/>
  <c r="A62" i="64" s="1"/>
  <c r="A63" i="64" s="1"/>
  <c r="A64" i="64" s="1"/>
  <c r="A65" i="64" s="1"/>
  <c r="A66" i="64" s="1"/>
  <c r="A67" i="64" s="1"/>
  <c r="A68" i="64" s="1"/>
  <c r="A69" i="64" s="1"/>
  <c r="A70" i="64" s="1"/>
  <c r="A71" i="64" s="1"/>
  <c r="A72" i="64" s="1"/>
  <c r="A73" i="64" s="1"/>
  <c r="A74" i="64" s="1"/>
  <c r="A75" i="64" s="1"/>
  <c r="A76" i="64" s="1"/>
  <c r="A77" i="64" s="1"/>
  <c r="A78" i="64" s="1"/>
  <c r="A79" i="64" s="1"/>
  <c r="A80" i="64" s="1"/>
  <c r="A81" i="64" s="1"/>
  <c r="A82" i="64" s="1"/>
  <c r="A83" i="64" s="1"/>
  <c r="A84" i="64" s="1"/>
  <c r="A85" i="64" s="1"/>
  <c r="A86" i="64" s="1"/>
  <c r="A87" i="64" s="1"/>
  <c r="A88" i="64" s="1"/>
  <c r="A89" i="64" s="1"/>
  <c r="M60" i="90" l="1"/>
  <c r="P60" i="90"/>
  <c r="O60" i="90"/>
  <c r="N60" i="90"/>
  <c r="D60" i="100"/>
  <c r="B12" i="130"/>
  <c r="B22" i="130"/>
  <c r="F22" i="130" s="1"/>
  <c r="B16" i="130"/>
  <c r="F16" i="130" s="1"/>
  <c r="E35" i="138"/>
  <c r="B11" i="57"/>
  <c r="J11" i="57" s="1"/>
  <c r="C12" i="130"/>
  <c r="E12" i="130" s="1"/>
  <c r="C22" i="130"/>
  <c r="E22" i="130" s="1"/>
  <c r="C11" i="57"/>
  <c r="F12" i="130"/>
  <c r="E86" i="64"/>
  <c r="D86" i="152"/>
  <c r="E82" i="64"/>
  <c r="D82" i="152"/>
  <c r="E78" i="64"/>
  <c r="D78" i="152"/>
  <c r="E74" i="64"/>
  <c r="D74" i="152"/>
  <c r="E70" i="64"/>
  <c r="D70" i="152"/>
  <c r="E66" i="64"/>
  <c r="D66" i="152"/>
  <c r="E62" i="64"/>
  <c r="D62" i="152"/>
  <c r="E58" i="64"/>
  <c r="D58" i="152"/>
  <c r="E54" i="64"/>
  <c r="D54" i="152"/>
  <c r="E50" i="64"/>
  <c r="D50" i="152"/>
  <c r="E46" i="64"/>
  <c r="D46" i="152"/>
  <c r="E42" i="64"/>
  <c r="D42" i="152"/>
  <c r="E38" i="64"/>
  <c r="D38" i="152"/>
  <c r="E57" i="64"/>
  <c r="D57" i="152"/>
  <c r="E49" i="64"/>
  <c r="D49" i="152"/>
  <c r="E41" i="64"/>
  <c r="D41" i="152"/>
  <c r="E87" i="64"/>
  <c r="D87" i="152"/>
  <c r="E83" i="64"/>
  <c r="D83" i="152"/>
  <c r="E79" i="64"/>
  <c r="D79" i="152"/>
  <c r="E75" i="64"/>
  <c r="D75" i="152"/>
  <c r="E71" i="64"/>
  <c r="D71" i="152"/>
  <c r="E67" i="64"/>
  <c r="D67" i="152"/>
  <c r="E63" i="64"/>
  <c r="D63" i="152"/>
  <c r="E59" i="64"/>
  <c r="D59" i="152"/>
  <c r="E55" i="64"/>
  <c r="D55" i="152"/>
  <c r="E51" i="64"/>
  <c r="D51" i="152"/>
  <c r="E47" i="64"/>
  <c r="D47" i="152"/>
  <c r="E43" i="64"/>
  <c r="D43" i="152"/>
  <c r="E81" i="64"/>
  <c r="D81" i="152"/>
  <c r="E77" i="64"/>
  <c r="D77" i="152"/>
  <c r="E73" i="64"/>
  <c r="D73" i="152"/>
  <c r="E69" i="64"/>
  <c r="D69" i="152"/>
  <c r="E65" i="64"/>
  <c r="D65" i="152"/>
  <c r="E61" i="64"/>
  <c r="D61" i="152"/>
  <c r="E34" i="64"/>
  <c r="E91" i="64" s="1"/>
  <c r="E85" i="64"/>
  <c r="D85" i="152"/>
  <c r="E53" i="64"/>
  <c r="D53" i="152"/>
  <c r="E45" i="64"/>
  <c r="D45" i="152"/>
  <c r="E84" i="64"/>
  <c r="D84" i="152"/>
  <c r="E80" i="64"/>
  <c r="D80" i="152"/>
  <c r="E76" i="64"/>
  <c r="D76" i="152"/>
  <c r="E72" i="64"/>
  <c r="D72" i="152"/>
  <c r="E68" i="64"/>
  <c r="D68" i="152"/>
  <c r="E64" i="64"/>
  <c r="D64" i="152"/>
  <c r="E60" i="64"/>
  <c r="D60" i="152"/>
  <c r="E56" i="64"/>
  <c r="D56" i="152"/>
  <c r="E52" i="64"/>
  <c r="D52" i="152"/>
  <c r="E48" i="64"/>
  <c r="D48" i="152"/>
  <c r="E44" i="64"/>
  <c r="D44" i="152"/>
  <c r="E40" i="64"/>
  <c r="D40" i="152"/>
  <c r="E36" i="64"/>
  <c r="D36" i="152"/>
  <c r="C16" i="130"/>
  <c r="E16" i="130" s="1"/>
  <c r="AA134" i="54"/>
  <c r="AC134" i="54"/>
  <c r="AC135" i="54"/>
  <c r="AC133" i="54"/>
  <c r="E33" i="138"/>
  <c r="E52" i="138"/>
  <c r="AR60" i="74"/>
  <c r="T157" i="121"/>
  <c r="T96" i="121" s="1"/>
  <c r="AA80" i="54"/>
  <c r="AF80" i="54"/>
  <c r="AB80" i="54"/>
  <c r="AC80" i="54"/>
  <c r="AD80" i="54"/>
  <c r="I39" i="122"/>
  <c r="E62" i="66"/>
  <c r="H34" i="122"/>
  <c r="E54" i="66"/>
  <c r="H26" i="122"/>
  <c r="E34" i="66"/>
  <c r="H6" i="122"/>
  <c r="I56" i="122"/>
  <c r="E83" i="66"/>
  <c r="H55" i="122"/>
  <c r="I52" i="122"/>
  <c r="E79" i="66"/>
  <c r="H51" i="122"/>
  <c r="I48" i="122"/>
  <c r="I44" i="122"/>
  <c r="E71" i="66"/>
  <c r="H43" i="122"/>
  <c r="I40" i="122"/>
  <c r="E67" i="66"/>
  <c r="H39" i="122"/>
  <c r="I36" i="122"/>
  <c r="E63" i="66"/>
  <c r="H35" i="122"/>
  <c r="I32" i="122"/>
  <c r="E59" i="66"/>
  <c r="H31" i="122"/>
  <c r="I28" i="122"/>
  <c r="E55" i="66"/>
  <c r="H27" i="122"/>
  <c r="I24" i="122"/>
  <c r="E51" i="66"/>
  <c r="H23" i="122"/>
  <c r="I20" i="122"/>
  <c r="E47" i="66"/>
  <c r="H19" i="122"/>
  <c r="I16" i="122"/>
  <c r="E43" i="66"/>
  <c r="H15" i="122"/>
  <c r="I12" i="122"/>
  <c r="E39" i="66"/>
  <c r="H11" i="122"/>
  <c r="I8" i="122"/>
  <c r="E35" i="66"/>
  <c r="H7" i="122"/>
  <c r="E86" i="66"/>
  <c r="H58" i="122"/>
  <c r="I55" i="122"/>
  <c r="I51" i="122"/>
  <c r="I47" i="122"/>
  <c r="I43" i="122"/>
  <c r="E66" i="66"/>
  <c r="H38" i="122"/>
  <c r="I27" i="122"/>
  <c r="E38" i="66"/>
  <c r="H10" i="122"/>
  <c r="E75" i="66"/>
  <c r="H47" i="122"/>
  <c r="E33" i="66"/>
  <c r="H5" i="122"/>
  <c r="E78" i="66"/>
  <c r="H50" i="122"/>
  <c r="I23" i="122"/>
  <c r="I19" i="122"/>
  <c r="E80" i="66"/>
  <c r="H52" i="122"/>
  <c r="E72" i="66"/>
  <c r="H44" i="122"/>
  <c r="I37" i="122"/>
  <c r="I33" i="122"/>
  <c r="I29" i="122"/>
  <c r="I17" i="122"/>
  <c r="I13" i="122"/>
  <c r="E40" i="66"/>
  <c r="H12" i="122"/>
  <c r="I9" i="122"/>
  <c r="E70" i="66"/>
  <c r="H42" i="122"/>
  <c r="I35" i="122"/>
  <c r="I31" i="122"/>
  <c r="I15" i="122"/>
  <c r="I7" i="122"/>
  <c r="I5" i="122"/>
  <c r="I57" i="122"/>
  <c r="I53" i="122"/>
  <c r="I49" i="122"/>
  <c r="I45" i="122"/>
  <c r="I41" i="122"/>
  <c r="E64" i="66"/>
  <c r="H36" i="122"/>
  <c r="E56" i="66"/>
  <c r="H28" i="122"/>
  <c r="I25" i="122"/>
  <c r="I21" i="122"/>
  <c r="E44" i="66"/>
  <c r="H16" i="122"/>
  <c r="E81" i="66"/>
  <c r="H53" i="122"/>
  <c r="I50" i="122"/>
  <c r="I46" i="122"/>
  <c r="I42" i="122"/>
  <c r="E69" i="66"/>
  <c r="H41" i="122"/>
  <c r="I38" i="122"/>
  <c r="E65" i="66"/>
  <c r="H37" i="122"/>
  <c r="I34" i="122"/>
  <c r="E61" i="66"/>
  <c r="H33" i="122"/>
  <c r="I30" i="122"/>
  <c r="E57" i="66"/>
  <c r="H29" i="122"/>
  <c r="I26" i="122"/>
  <c r="E53" i="66"/>
  <c r="H25" i="122"/>
  <c r="I22" i="122"/>
  <c r="E49" i="66"/>
  <c r="H21" i="122"/>
  <c r="I18" i="122"/>
  <c r="E45" i="66"/>
  <c r="H17" i="122"/>
  <c r="I14" i="122"/>
  <c r="E41" i="66"/>
  <c r="H13" i="122"/>
  <c r="I10" i="122"/>
  <c r="E37" i="66"/>
  <c r="H9" i="122"/>
  <c r="I6" i="122"/>
  <c r="E82" i="66"/>
  <c r="H54" i="122"/>
  <c r="E74" i="66"/>
  <c r="H46" i="122"/>
  <c r="E58" i="66"/>
  <c r="H30" i="122"/>
  <c r="E50" i="66"/>
  <c r="H22" i="122"/>
  <c r="E46" i="66"/>
  <c r="H18" i="122"/>
  <c r="E42" i="66"/>
  <c r="H14" i="122"/>
  <c r="I11" i="122"/>
  <c r="E84" i="66"/>
  <c r="H56" i="122"/>
  <c r="E76" i="66"/>
  <c r="H48" i="122"/>
  <c r="E68" i="66"/>
  <c r="H40" i="122"/>
  <c r="E60" i="66"/>
  <c r="H32" i="122"/>
  <c r="E52" i="66"/>
  <c r="H24" i="122"/>
  <c r="E48" i="66"/>
  <c r="H20" i="122"/>
  <c r="E36" i="66"/>
  <c r="H8" i="122"/>
  <c r="I58" i="122"/>
  <c r="E85" i="66"/>
  <c r="H57" i="122"/>
  <c r="I54" i="122"/>
  <c r="E77" i="66"/>
  <c r="H49" i="122"/>
  <c r="E73" i="66"/>
  <c r="H45" i="122"/>
  <c r="AA73" i="54"/>
  <c r="AC93" i="54"/>
  <c r="AD94" i="54"/>
  <c r="AE95" i="54"/>
  <c r="AF96" i="54"/>
  <c r="Z98" i="54"/>
  <c r="AB102" i="54"/>
  <c r="AC103" i="54"/>
  <c r="AD104" i="54"/>
  <c r="AD82" i="54"/>
  <c r="AB67" i="54"/>
  <c r="AE83" i="54"/>
  <c r="AD79" i="54"/>
  <c r="AA88" i="54"/>
  <c r="AB89" i="54"/>
  <c r="AD91" i="54"/>
  <c r="AF93" i="54"/>
  <c r="Z95" i="54"/>
  <c r="AA96" i="54"/>
  <c r="AB97" i="54"/>
  <c r="AC98" i="54"/>
  <c r="AE102" i="54"/>
  <c r="AF103" i="54"/>
  <c r="Z105" i="54"/>
  <c r="AF83" i="54"/>
  <c r="Z88" i="54"/>
  <c r="AA89" i="54"/>
  <c r="AC91" i="54"/>
  <c r="AE93" i="54"/>
  <c r="AF94" i="54"/>
  <c r="AA97" i="54"/>
  <c r="AB98" i="54"/>
  <c r="AC99" i="54"/>
  <c r="AD81" i="54"/>
  <c r="AE103" i="54"/>
  <c r="AF104" i="54"/>
  <c r="AF74" i="54"/>
  <c r="AC67" i="54"/>
  <c r="AB88" i="54"/>
  <c r="AC89" i="54"/>
  <c r="AE91" i="54"/>
  <c r="AA95" i="54"/>
  <c r="AD98" i="54"/>
  <c r="Z104" i="54"/>
  <c r="Z69" i="54"/>
  <c r="AF75" i="54"/>
  <c r="AC75" i="54"/>
  <c r="Z68" i="54"/>
  <c r="AF82" i="54"/>
  <c r="AC88" i="54"/>
  <c r="AD89" i="54"/>
  <c r="AF91" i="54"/>
  <c r="Z93" i="54"/>
  <c r="AA94" i="54"/>
  <c r="AB95" i="54"/>
  <c r="AE98" i="54"/>
  <c r="AF99" i="54"/>
  <c r="Z103" i="54"/>
  <c r="AA104" i="54"/>
  <c r="AC90" i="54"/>
  <c r="AB78" i="54"/>
  <c r="Z96" i="54"/>
  <c r="AA69" i="54"/>
  <c r="AD68" i="54"/>
  <c r="AF88" i="54"/>
  <c r="Z90" i="54"/>
  <c r="AA91" i="54"/>
  <c r="AB82" i="54"/>
  <c r="AA79" i="54"/>
  <c r="AE66" i="54"/>
  <c r="AE82" i="54"/>
  <c r="AD102" i="54"/>
  <c r="AF73" i="54"/>
  <c r="Z89" i="54"/>
  <c r="AA90" i="54"/>
  <c r="AB91" i="54"/>
  <c r="AC92" i="54"/>
  <c r="AD93" i="54"/>
  <c r="AE94" i="54"/>
  <c r="AF95" i="54"/>
  <c r="Z76" i="54"/>
  <c r="AA98" i="54"/>
  <c r="AB99" i="54"/>
  <c r="AC102" i="54"/>
  <c r="AD103" i="54"/>
  <c r="AE104" i="54"/>
  <c r="AF66" i="54"/>
  <c r="AD99" i="54"/>
  <c r="AB79" i="54"/>
  <c r="AB75" i="54"/>
  <c r="AB66" i="54"/>
  <c r="AA70" i="54"/>
  <c r="AC79" i="54"/>
  <c r="AC74" i="54"/>
  <c r="AB70" i="54"/>
  <c r="AD74" i="54"/>
  <c r="AF68" i="54"/>
  <c r="AA66" i="54"/>
  <c r="AB71" i="54"/>
  <c r="AE92" i="54"/>
  <c r="AE75" i="54"/>
  <c r="AC71" i="54"/>
  <c r="Z77" i="54"/>
  <c r="AD88" i="54"/>
  <c r="AE89" i="54"/>
  <c r="AA93" i="54"/>
  <c r="AB73" i="54"/>
  <c r="AC95" i="54"/>
  <c r="AD96" i="54"/>
  <c r="AE84" i="54"/>
  <c r="AF98" i="54"/>
  <c r="Z102" i="54"/>
  <c r="AA103" i="54"/>
  <c r="AB104" i="54"/>
  <c r="AC66" i="54"/>
  <c r="AF67" i="54"/>
  <c r="AC72" i="54"/>
  <c r="AE77" i="54"/>
  <c r="AE68" i="54"/>
  <c r="Z66" i="54"/>
  <c r="AD92" i="54"/>
  <c r="Z73" i="54"/>
  <c r="AD76" i="54"/>
  <c r="AE88" i="54"/>
  <c r="AF89" i="54"/>
  <c r="Z91" i="54"/>
  <c r="AB93" i="54"/>
  <c r="AD95" i="54"/>
  <c r="AB103" i="54"/>
  <c r="AC104" i="54"/>
  <c r="AE74" i="54"/>
  <c r="AA78" i="54"/>
  <c r="AE81" i="54"/>
  <c r="AB90" i="54"/>
  <c r="AD72" i="54"/>
  <c r="Z78" i="54"/>
  <c r="Z79" i="54"/>
  <c r="Z99" i="54"/>
  <c r="Z80" i="54"/>
  <c r="AA92" i="54"/>
  <c r="AA77" i="54"/>
  <c r="AA82" i="54"/>
  <c r="AA83" i="54"/>
  <c r="AA76" i="54"/>
  <c r="AC73" i="54"/>
  <c r="AC94" i="54"/>
  <c r="AE96" i="54"/>
  <c r="AE69" i="54"/>
  <c r="AF84" i="54"/>
  <c r="AF76" i="54"/>
  <c r="AF70" i="54"/>
  <c r="AF77" i="54"/>
  <c r="AF97" i="54"/>
  <c r="AF78" i="54"/>
  <c r="AF79" i="54"/>
  <c r="AA102" i="54"/>
  <c r="AA81" i="54"/>
  <c r="AA68" i="54"/>
  <c r="AD66" i="54"/>
  <c r="AD67" i="54"/>
  <c r="AD105" i="54"/>
  <c r="AD73" i="54"/>
  <c r="AB69" i="54"/>
  <c r="AC70" i="54"/>
  <c r="AD71" i="54"/>
  <c r="AE72" i="54"/>
  <c r="Z75" i="54"/>
  <c r="AB77" i="54"/>
  <c r="AC78" i="54"/>
  <c r="AE80" i="54"/>
  <c r="Z83" i="54"/>
  <c r="AD90" i="54"/>
  <c r="AF92" i="54"/>
  <c r="AC97" i="54"/>
  <c r="AE99" i="54"/>
  <c r="AF102" i="54"/>
  <c r="AA67" i="54"/>
  <c r="AB68" i="54"/>
  <c r="AC69" i="54"/>
  <c r="AD70" i="54"/>
  <c r="AE71" i="54"/>
  <c r="AF72" i="54"/>
  <c r="Z74" i="54"/>
  <c r="AA75" i="54"/>
  <c r="AB76" i="54"/>
  <c r="AC77" i="54"/>
  <c r="AD78" i="54"/>
  <c r="AE79" i="54"/>
  <c r="Z82" i="54"/>
  <c r="AB84" i="54"/>
  <c r="AE90" i="54"/>
  <c r="AC96" i="54"/>
  <c r="AD97" i="54"/>
  <c r="AB105" i="54"/>
  <c r="AE73" i="54"/>
  <c r="Z67" i="54"/>
  <c r="AF81" i="54"/>
  <c r="AA84" i="54"/>
  <c r="Z94" i="54"/>
  <c r="AB96" i="54"/>
  <c r="AA105" i="54"/>
  <c r="AC68" i="54"/>
  <c r="AD69" i="54"/>
  <c r="AE70" i="54"/>
  <c r="AF71" i="54"/>
  <c r="AA74" i="54"/>
  <c r="AC76" i="54"/>
  <c r="AD77" i="54"/>
  <c r="AE78" i="54"/>
  <c r="Z81" i="54"/>
  <c r="AB83" i="54"/>
  <c r="AC84" i="54"/>
  <c r="AF90" i="54"/>
  <c r="Z92" i="54"/>
  <c r="AB94" i="54"/>
  <c r="AE97" i="54"/>
  <c r="AC105" i="54"/>
  <c r="Z84" i="54"/>
  <c r="Z72" i="54"/>
  <c r="AB74" i="54"/>
  <c r="AC83" i="54"/>
  <c r="AF69" i="54"/>
  <c r="Z71" i="54"/>
  <c r="AA72" i="54"/>
  <c r="AD75" i="54"/>
  <c r="AE76" i="54"/>
  <c r="AB81" i="54"/>
  <c r="AC82" i="54"/>
  <c r="AD83" i="54"/>
  <c r="AB92" i="54"/>
  <c r="AA99" i="54"/>
  <c r="AE105" i="54"/>
  <c r="AD84" i="54"/>
  <c r="AE67" i="54"/>
  <c r="Z70" i="54"/>
  <c r="AA71" i="54"/>
  <c r="AB72" i="54"/>
  <c r="AC81" i="54"/>
  <c r="Z97" i="54"/>
  <c r="AF105" i="54"/>
  <c r="CT3" i="39"/>
  <c r="Z3" i="39"/>
  <c r="BT59" i="97"/>
  <c r="BS59" i="97"/>
  <c r="BR59" i="97"/>
  <c r="BQ59" i="97"/>
  <c r="BP59" i="97"/>
  <c r="BO59" i="97"/>
  <c r="BN59" i="97"/>
  <c r="AV59" i="97"/>
  <c r="AU59" i="97"/>
  <c r="AT59" i="97"/>
  <c r="AS59" i="97"/>
  <c r="AR59" i="97"/>
  <c r="AQ59" i="97"/>
  <c r="AP59" i="97"/>
  <c r="AF59" i="97"/>
  <c r="AE59" i="97"/>
  <c r="AD59" i="97"/>
  <c r="AC59" i="97"/>
  <c r="AB59" i="97"/>
  <c r="AA59" i="97"/>
  <c r="Z59" i="97"/>
  <c r="X59" i="97"/>
  <c r="W59" i="97"/>
  <c r="V59" i="97"/>
  <c r="T59" i="97"/>
  <c r="S59" i="97"/>
  <c r="BT58" i="97"/>
  <c r="BS58" i="97"/>
  <c r="BR58" i="97"/>
  <c r="BQ58" i="97"/>
  <c r="BP58" i="97"/>
  <c r="BO58" i="97"/>
  <c r="BN58" i="97"/>
  <c r="AV58" i="97"/>
  <c r="AU58" i="97"/>
  <c r="AT58" i="97"/>
  <c r="AS58" i="97"/>
  <c r="AR58" i="97"/>
  <c r="AQ58" i="97"/>
  <c r="AP58" i="97"/>
  <c r="AF58" i="97"/>
  <c r="AE58" i="97"/>
  <c r="AD58" i="97"/>
  <c r="AC58" i="97"/>
  <c r="AB58" i="97"/>
  <c r="AA58" i="97"/>
  <c r="Z58" i="97"/>
  <c r="X58" i="97"/>
  <c r="W58" i="97"/>
  <c r="V58" i="97"/>
  <c r="U58" i="97"/>
  <c r="T58" i="97"/>
  <c r="S58" i="97"/>
  <c r="R58" i="97"/>
  <c r="BT57" i="97"/>
  <c r="BS57" i="97"/>
  <c r="BR57" i="97"/>
  <c r="BQ57" i="97"/>
  <c r="BP57" i="97"/>
  <c r="BO57" i="97"/>
  <c r="BN57" i="97"/>
  <c r="AV57" i="97"/>
  <c r="AU57" i="97"/>
  <c r="AT57" i="97"/>
  <c r="AS57" i="97"/>
  <c r="AR57" i="97"/>
  <c r="AQ57" i="97"/>
  <c r="AP57" i="97"/>
  <c r="AF57" i="97"/>
  <c r="AE57" i="97"/>
  <c r="AD57" i="97"/>
  <c r="AC57" i="97"/>
  <c r="AB57" i="97"/>
  <c r="AA57" i="97"/>
  <c r="Z57" i="97"/>
  <c r="X57" i="97"/>
  <c r="W57" i="97"/>
  <c r="V57" i="97"/>
  <c r="U57" i="97"/>
  <c r="T57" i="97"/>
  <c r="S57" i="97"/>
  <c r="R57" i="97"/>
  <c r="BT56" i="97"/>
  <c r="BS56" i="97"/>
  <c r="BR56" i="97"/>
  <c r="BQ56" i="97"/>
  <c r="BP56" i="97"/>
  <c r="BO56" i="97"/>
  <c r="BN56" i="97"/>
  <c r="AV56" i="97"/>
  <c r="AU56" i="97"/>
  <c r="AT56" i="97"/>
  <c r="AS56" i="97"/>
  <c r="AR56" i="97"/>
  <c r="AQ56" i="97"/>
  <c r="AP56" i="97"/>
  <c r="AF56" i="97"/>
  <c r="AE56" i="97"/>
  <c r="AD56" i="97"/>
  <c r="AC56" i="97"/>
  <c r="AB56" i="97"/>
  <c r="AA56" i="97"/>
  <c r="Z56" i="97"/>
  <c r="X56" i="97"/>
  <c r="W56" i="97"/>
  <c r="V56" i="97"/>
  <c r="U56" i="97"/>
  <c r="T56" i="97"/>
  <c r="S56" i="97"/>
  <c r="R56" i="97"/>
  <c r="BT55" i="97"/>
  <c r="BS55" i="97"/>
  <c r="BR55" i="97"/>
  <c r="BQ55" i="97"/>
  <c r="BP55" i="97"/>
  <c r="BO55" i="97"/>
  <c r="BN55" i="97"/>
  <c r="AV55" i="97"/>
  <c r="AU55" i="97"/>
  <c r="AT55" i="97"/>
  <c r="AS55" i="97"/>
  <c r="AR55" i="97"/>
  <c r="AQ55" i="97"/>
  <c r="AP55" i="97"/>
  <c r="AF55" i="97"/>
  <c r="AE55" i="97"/>
  <c r="AD55" i="97"/>
  <c r="AC55" i="97"/>
  <c r="AB55" i="97"/>
  <c r="AA55" i="97"/>
  <c r="Z55" i="97"/>
  <c r="X55" i="97"/>
  <c r="W55" i="97"/>
  <c r="V55" i="97"/>
  <c r="U55" i="97"/>
  <c r="T55" i="97"/>
  <c r="S55" i="97"/>
  <c r="R55" i="97"/>
  <c r="BT54" i="97"/>
  <c r="BS54" i="97"/>
  <c r="BR54" i="97"/>
  <c r="BQ54" i="97"/>
  <c r="BP54" i="97"/>
  <c r="BO54" i="97"/>
  <c r="BN54" i="97"/>
  <c r="AV54" i="97"/>
  <c r="AU54" i="97"/>
  <c r="AT54" i="97"/>
  <c r="AS54" i="97"/>
  <c r="AR54" i="97"/>
  <c r="AQ54" i="97"/>
  <c r="AP54" i="97"/>
  <c r="AF54" i="97"/>
  <c r="AE54" i="97"/>
  <c r="AD54" i="97"/>
  <c r="AC54" i="97"/>
  <c r="AB54" i="97"/>
  <c r="AA54" i="97"/>
  <c r="Z54" i="97"/>
  <c r="X54" i="97"/>
  <c r="W54" i="97"/>
  <c r="V54" i="97"/>
  <c r="U54" i="97"/>
  <c r="T54" i="97"/>
  <c r="S54" i="97"/>
  <c r="R54" i="97"/>
  <c r="BT53" i="97"/>
  <c r="BS53" i="97"/>
  <c r="BR53" i="97"/>
  <c r="BQ53" i="97"/>
  <c r="BP53" i="97"/>
  <c r="BO53" i="97"/>
  <c r="BN53" i="97"/>
  <c r="AV53" i="97"/>
  <c r="AU53" i="97"/>
  <c r="AT53" i="97"/>
  <c r="AS53" i="97"/>
  <c r="AR53" i="97"/>
  <c r="AQ53" i="97"/>
  <c r="AP53" i="97"/>
  <c r="AF53" i="97"/>
  <c r="AE53" i="97"/>
  <c r="AD53" i="97"/>
  <c r="AC53" i="97"/>
  <c r="AB53" i="97"/>
  <c r="AA53" i="97"/>
  <c r="Z53" i="97"/>
  <c r="X53" i="97"/>
  <c r="W53" i="97"/>
  <c r="V53" i="97"/>
  <c r="U53" i="97"/>
  <c r="T53" i="97"/>
  <c r="S53" i="97"/>
  <c r="R53" i="97"/>
  <c r="BT52" i="97"/>
  <c r="BS52" i="97"/>
  <c r="BR52" i="97"/>
  <c r="BQ52" i="97"/>
  <c r="BP52" i="97"/>
  <c r="BO52" i="97"/>
  <c r="BN52" i="97"/>
  <c r="AV52" i="97"/>
  <c r="AU52" i="97"/>
  <c r="AT52" i="97"/>
  <c r="AS52" i="97"/>
  <c r="AR52" i="97"/>
  <c r="AQ52" i="97"/>
  <c r="AP52" i="97"/>
  <c r="AF52" i="97"/>
  <c r="AE52" i="97"/>
  <c r="AD52" i="97"/>
  <c r="AC52" i="97"/>
  <c r="AB52" i="97"/>
  <c r="AA52" i="97"/>
  <c r="Z52" i="97"/>
  <c r="X52" i="97"/>
  <c r="W52" i="97"/>
  <c r="V52" i="97"/>
  <c r="U52" i="97"/>
  <c r="T52" i="97"/>
  <c r="S52" i="97"/>
  <c r="R52" i="97"/>
  <c r="BT51" i="97"/>
  <c r="BS51" i="97"/>
  <c r="BR51" i="97"/>
  <c r="BQ51" i="97"/>
  <c r="BP51" i="97"/>
  <c r="BO51" i="97"/>
  <c r="BN51" i="97"/>
  <c r="AV51" i="97"/>
  <c r="AU51" i="97"/>
  <c r="AT51" i="97"/>
  <c r="AS51" i="97"/>
  <c r="AR51" i="97"/>
  <c r="AQ51" i="97"/>
  <c r="AP51" i="97"/>
  <c r="AF51" i="97"/>
  <c r="AE51" i="97"/>
  <c r="AD51" i="97"/>
  <c r="AC51" i="97"/>
  <c r="AB51" i="97"/>
  <c r="AA51" i="97"/>
  <c r="Z51" i="97"/>
  <c r="X51" i="97"/>
  <c r="W51" i="97"/>
  <c r="V51" i="97"/>
  <c r="U51" i="97"/>
  <c r="T51" i="97"/>
  <c r="S51" i="97"/>
  <c r="R51" i="97"/>
  <c r="BT50" i="97"/>
  <c r="BS50" i="97"/>
  <c r="BR50" i="97"/>
  <c r="BQ50" i="97"/>
  <c r="BP50" i="97"/>
  <c r="BO50" i="97"/>
  <c r="BN50" i="97"/>
  <c r="AV50" i="97"/>
  <c r="AU50" i="97"/>
  <c r="AT50" i="97"/>
  <c r="AS50" i="97"/>
  <c r="AR50" i="97"/>
  <c r="AQ50" i="97"/>
  <c r="AP50" i="97"/>
  <c r="AF50" i="97"/>
  <c r="AE50" i="97"/>
  <c r="AD50" i="97"/>
  <c r="AC50" i="97"/>
  <c r="AB50" i="97"/>
  <c r="AA50" i="97"/>
  <c r="Z50" i="97"/>
  <c r="X50" i="97"/>
  <c r="W50" i="97"/>
  <c r="V50" i="97"/>
  <c r="U50" i="97"/>
  <c r="T50" i="97"/>
  <c r="S50" i="97"/>
  <c r="R50" i="97"/>
  <c r="BT49" i="97"/>
  <c r="BS49" i="97"/>
  <c r="BR49" i="97"/>
  <c r="BQ49" i="97"/>
  <c r="BP49" i="97"/>
  <c r="BO49" i="97"/>
  <c r="BN49" i="97"/>
  <c r="AV49" i="97"/>
  <c r="AU49" i="97"/>
  <c r="AT49" i="97"/>
  <c r="AS49" i="97"/>
  <c r="AR49" i="97"/>
  <c r="AQ49" i="97"/>
  <c r="AP49" i="97"/>
  <c r="AF49" i="97"/>
  <c r="AE49" i="97"/>
  <c r="AD49" i="97"/>
  <c r="AC49" i="97"/>
  <c r="AB49" i="97"/>
  <c r="AA49" i="97"/>
  <c r="Z49" i="97"/>
  <c r="X49" i="97"/>
  <c r="W49" i="97"/>
  <c r="V49" i="97"/>
  <c r="U49" i="97"/>
  <c r="T49" i="97"/>
  <c r="S49" i="97"/>
  <c r="R49" i="97"/>
  <c r="BT48" i="97"/>
  <c r="BS48" i="97"/>
  <c r="BR48" i="97"/>
  <c r="BQ48" i="97"/>
  <c r="BP48" i="97"/>
  <c r="BO48" i="97"/>
  <c r="BN48" i="97"/>
  <c r="AV48" i="97"/>
  <c r="AU48" i="97"/>
  <c r="AT48" i="97"/>
  <c r="AS48" i="97"/>
  <c r="AR48" i="97"/>
  <c r="AQ48" i="97"/>
  <c r="AP48" i="97"/>
  <c r="AF48" i="97"/>
  <c r="AE48" i="97"/>
  <c r="AD48" i="97"/>
  <c r="AC48" i="97"/>
  <c r="AB48" i="97"/>
  <c r="AA48" i="97"/>
  <c r="Z48" i="97"/>
  <c r="X48" i="97"/>
  <c r="W48" i="97"/>
  <c r="V48" i="97"/>
  <c r="U48" i="97"/>
  <c r="T48" i="97"/>
  <c r="S48" i="97"/>
  <c r="R48" i="97"/>
  <c r="BT47" i="97"/>
  <c r="BS47" i="97"/>
  <c r="BR47" i="97"/>
  <c r="BQ47" i="97"/>
  <c r="BP47" i="97"/>
  <c r="BO47" i="97"/>
  <c r="BN47" i="97"/>
  <c r="AV47" i="97"/>
  <c r="AU47" i="97"/>
  <c r="AT47" i="97"/>
  <c r="AS47" i="97"/>
  <c r="AR47" i="97"/>
  <c r="AQ47" i="97"/>
  <c r="AP47" i="97"/>
  <c r="AF47" i="97"/>
  <c r="AE47" i="97"/>
  <c r="AD47" i="97"/>
  <c r="AC47" i="97"/>
  <c r="AB47" i="97"/>
  <c r="AA47" i="97"/>
  <c r="Z47" i="97"/>
  <c r="X47" i="97"/>
  <c r="W47" i="97"/>
  <c r="V47" i="97"/>
  <c r="U47" i="97"/>
  <c r="T47" i="97"/>
  <c r="S47" i="97"/>
  <c r="R47" i="97"/>
  <c r="BT46" i="97"/>
  <c r="BS46" i="97"/>
  <c r="BR46" i="97"/>
  <c r="BQ46" i="97"/>
  <c r="BP46" i="97"/>
  <c r="BO46" i="97"/>
  <c r="BN46" i="97"/>
  <c r="AV46" i="97"/>
  <c r="AU46" i="97"/>
  <c r="AT46" i="97"/>
  <c r="AS46" i="97"/>
  <c r="AR46" i="97"/>
  <c r="AQ46" i="97"/>
  <c r="AP46" i="97"/>
  <c r="AF46" i="97"/>
  <c r="AE46" i="97"/>
  <c r="AD46" i="97"/>
  <c r="AC46" i="97"/>
  <c r="AB46" i="97"/>
  <c r="AA46" i="97"/>
  <c r="Z46" i="97"/>
  <c r="X46" i="97"/>
  <c r="W46" i="97"/>
  <c r="V46" i="97"/>
  <c r="U46" i="97"/>
  <c r="T46" i="97"/>
  <c r="S46" i="97"/>
  <c r="R46" i="97"/>
  <c r="BT45" i="97"/>
  <c r="BS45" i="97"/>
  <c r="BR45" i="97"/>
  <c r="BQ45" i="97"/>
  <c r="BP45" i="97"/>
  <c r="BO45" i="97"/>
  <c r="BN45" i="97"/>
  <c r="AV45" i="97"/>
  <c r="AU45" i="97"/>
  <c r="AT45" i="97"/>
  <c r="AS45" i="97"/>
  <c r="AR45" i="97"/>
  <c r="AQ45" i="97"/>
  <c r="AP45" i="97"/>
  <c r="AF45" i="97"/>
  <c r="AE45" i="97"/>
  <c r="AD45" i="97"/>
  <c r="AC45" i="97"/>
  <c r="AB45" i="97"/>
  <c r="AA45" i="97"/>
  <c r="Z45" i="97"/>
  <c r="X45" i="97"/>
  <c r="W45" i="97"/>
  <c r="V45" i="97"/>
  <c r="U45" i="97"/>
  <c r="T45" i="97"/>
  <c r="S45" i="97"/>
  <c r="R45" i="97"/>
  <c r="BT44" i="97"/>
  <c r="BS44" i="97"/>
  <c r="BR44" i="97"/>
  <c r="BQ44" i="97"/>
  <c r="BP44" i="97"/>
  <c r="BO44" i="97"/>
  <c r="BN44" i="97"/>
  <c r="AV44" i="97"/>
  <c r="AU44" i="97"/>
  <c r="AT44" i="97"/>
  <c r="AS44" i="97"/>
  <c r="AR44" i="97"/>
  <c r="AQ44" i="97"/>
  <c r="AP44" i="97"/>
  <c r="AF44" i="97"/>
  <c r="AE44" i="97"/>
  <c r="AD44" i="97"/>
  <c r="AC44" i="97"/>
  <c r="AB44" i="97"/>
  <c r="AA44" i="97"/>
  <c r="Z44" i="97"/>
  <c r="X44" i="97"/>
  <c r="W44" i="97"/>
  <c r="V44" i="97"/>
  <c r="U44" i="97"/>
  <c r="T44" i="97"/>
  <c r="S44" i="97"/>
  <c r="R44" i="97"/>
  <c r="BT43" i="97"/>
  <c r="BS43" i="97"/>
  <c r="BR43" i="97"/>
  <c r="BQ43" i="97"/>
  <c r="BP43" i="97"/>
  <c r="BO43" i="97"/>
  <c r="BN43" i="97"/>
  <c r="AV43" i="97"/>
  <c r="AU43" i="97"/>
  <c r="AT43" i="97"/>
  <c r="AS43" i="97"/>
  <c r="AR43" i="97"/>
  <c r="AQ43" i="97"/>
  <c r="AP43" i="97"/>
  <c r="AF43" i="97"/>
  <c r="AE43" i="97"/>
  <c r="AD43" i="97"/>
  <c r="AC43" i="97"/>
  <c r="AB43" i="97"/>
  <c r="AA43" i="97"/>
  <c r="Z43" i="97"/>
  <c r="X43" i="97"/>
  <c r="W43" i="97"/>
  <c r="V43" i="97"/>
  <c r="U43" i="97"/>
  <c r="T43" i="97"/>
  <c r="S43" i="97"/>
  <c r="R43" i="97"/>
  <c r="BT42" i="97"/>
  <c r="BS42" i="97"/>
  <c r="BR42" i="97"/>
  <c r="BQ42" i="97"/>
  <c r="BP42" i="97"/>
  <c r="BO42" i="97"/>
  <c r="BN42" i="97"/>
  <c r="AV42" i="97"/>
  <c r="AU42" i="97"/>
  <c r="AT42" i="97"/>
  <c r="AS42" i="97"/>
  <c r="AR42" i="97"/>
  <c r="AQ42" i="97"/>
  <c r="AP42" i="97"/>
  <c r="AF42" i="97"/>
  <c r="AE42" i="97"/>
  <c r="AD42" i="97"/>
  <c r="AC42" i="97"/>
  <c r="AB42" i="97"/>
  <c r="AA42" i="97"/>
  <c r="Z42" i="97"/>
  <c r="X42" i="97"/>
  <c r="W42" i="97"/>
  <c r="V42" i="97"/>
  <c r="U42" i="97"/>
  <c r="T42" i="97"/>
  <c r="S42" i="97"/>
  <c r="R42" i="97"/>
  <c r="BT41" i="97"/>
  <c r="BS41" i="97"/>
  <c r="BR41" i="97"/>
  <c r="BQ41" i="97"/>
  <c r="BP41" i="97"/>
  <c r="BO41" i="97"/>
  <c r="BN41" i="97"/>
  <c r="AV41" i="97"/>
  <c r="AU41" i="97"/>
  <c r="AT41" i="97"/>
  <c r="AS41" i="97"/>
  <c r="AR41" i="97"/>
  <c r="AQ41" i="97"/>
  <c r="AP41" i="97"/>
  <c r="AF41" i="97"/>
  <c r="AE41" i="97"/>
  <c r="AD41" i="97"/>
  <c r="AC41" i="97"/>
  <c r="AB41" i="97"/>
  <c r="AA41" i="97"/>
  <c r="Z41" i="97"/>
  <c r="X41" i="97"/>
  <c r="W41" i="97"/>
  <c r="V41" i="97"/>
  <c r="U41" i="97"/>
  <c r="T41" i="97"/>
  <c r="S41" i="97"/>
  <c r="R41" i="97"/>
  <c r="BT40" i="97"/>
  <c r="BS40" i="97"/>
  <c r="BR40" i="97"/>
  <c r="BQ40" i="97"/>
  <c r="BP40" i="97"/>
  <c r="BO40" i="97"/>
  <c r="BN40" i="97"/>
  <c r="AV40" i="97"/>
  <c r="AU40" i="97"/>
  <c r="AT40" i="97"/>
  <c r="AS40" i="97"/>
  <c r="AR40" i="97"/>
  <c r="AQ40" i="97"/>
  <c r="AP40" i="97"/>
  <c r="AF40" i="97"/>
  <c r="AE40" i="97"/>
  <c r="AD40" i="97"/>
  <c r="AC40" i="97"/>
  <c r="AB40" i="97"/>
  <c r="AA40" i="97"/>
  <c r="Z40" i="97"/>
  <c r="X40" i="97"/>
  <c r="W40" i="97"/>
  <c r="V40" i="97"/>
  <c r="U40" i="97"/>
  <c r="T40" i="97"/>
  <c r="S40" i="97"/>
  <c r="R40" i="97"/>
  <c r="BT39" i="97"/>
  <c r="BS39" i="97"/>
  <c r="BR39" i="97"/>
  <c r="BQ39" i="97"/>
  <c r="BP39" i="97"/>
  <c r="BO39" i="97"/>
  <c r="BN39" i="97"/>
  <c r="AV39" i="97"/>
  <c r="AU39" i="97"/>
  <c r="AT39" i="97"/>
  <c r="AS39" i="97"/>
  <c r="AR39" i="97"/>
  <c r="AQ39" i="97"/>
  <c r="AP39" i="97"/>
  <c r="AF39" i="97"/>
  <c r="AE39" i="97"/>
  <c r="AD39" i="97"/>
  <c r="AC39" i="97"/>
  <c r="AB39" i="97"/>
  <c r="AA39" i="97"/>
  <c r="Z39" i="97"/>
  <c r="X39" i="97"/>
  <c r="W39" i="97"/>
  <c r="V39" i="97"/>
  <c r="U39" i="97"/>
  <c r="T39" i="97"/>
  <c r="S39" i="97"/>
  <c r="R39" i="97"/>
  <c r="BT38" i="97"/>
  <c r="BS38" i="97"/>
  <c r="BR38" i="97"/>
  <c r="BQ38" i="97"/>
  <c r="BP38" i="97"/>
  <c r="BO38" i="97"/>
  <c r="BN38" i="97"/>
  <c r="AV38" i="97"/>
  <c r="AU38" i="97"/>
  <c r="AT38" i="97"/>
  <c r="AS38" i="97"/>
  <c r="AR38" i="97"/>
  <c r="AQ38" i="97"/>
  <c r="AP38" i="97"/>
  <c r="AF38" i="97"/>
  <c r="AE38" i="97"/>
  <c r="AD38" i="97"/>
  <c r="AC38" i="97"/>
  <c r="AB38" i="97"/>
  <c r="AA38" i="97"/>
  <c r="Z38" i="97"/>
  <c r="X38" i="97"/>
  <c r="W38" i="97"/>
  <c r="V38" i="97"/>
  <c r="U38" i="97"/>
  <c r="T38" i="97"/>
  <c r="S38" i="97"/>
  <c r="R38" i="97"/>
  <c r="BT37" i="97"/>
  <c r="BS37" i="97"/>
  <c r="BR37" i="97"/>
  <c r="BQ37" i="97"/>
  <c r="G72" i="98" s="1"/>
  <c r="BP37" i="97"/>
  <c r="BO37" i="97"/>
  <c r="BN37" i="97"/>
  <c r="N72" i="98" s="1"/>
  <c r="AV37" i="97"/>
  <c r="AU37" i="97"/>
  <c r="AT37" i="97"/>
  <c r="AS37" i="97"/>
  <c r="AR37" i="97"/>
  <c r="AQ37" i="97"/>
  <c r="AP37" i="97"/>
  <c r="AF37" i="97"/>
  <c r="AE37" i="97"/>
  <c r="AD37" i="97"/>
  <c r="AC37" i="97"/>
  <c r="AB37" i="97"/>
  <c r="AA37" i="97"/>
  <c r="Z37" i="97"/>
  <c r="X37" i="97"/>
  <c r="W37" i="97"/>
  <c r="V37" i="97"/>
  <c r="U37" i="97"/>
  <c r="T37" i="97"/>
  <c r="S37" i="97"/>
  <c r="R37" i="97"/>
  <c r="BT36" i="97"/>
  <c r="BS36" i="97"/>
  <c r="BR36" i="97"/>
  <c r="BQ36" i="97"/>
  <c r="G71" i="98" s="1"/>
  <c r="BP36" i="97"/>
  <c r="BO36" i="97"/>
  <c r="BN36" i="97"/>
  <c r="N71" i="98" s="1"/>
  <c r="AV36" i="97"/>
  <c r="AU36" i="97"/>
  <c r="AT36" i="97"/>
  <c r="AS36" i="97"/>
  <c r="AR36" i="97"/>
  <c r="AQ36" i="97"/>
  <c r="AP36" i="97"/>
  <c r="AF36" i="97"/>
  <c r="AE36" i="97"/>
  <c r="AD36" i="97"/>
  <c r="AC36" i="97"/>
  <c r="AB36" i="97"/>
  <c r="AA36" i="97"/>
  <c r="Z36" i="97"/>
  <c r="X36" i="97"/>
  <c r="W36" i="97"/>
  <c r="V36" i="97"/>
  <c r="U36" i="97"/>
  <c r="T36" i="97"/>
  <c r="S36" i="97"/>
  <c r="R36" i="97"/>
  <c r="BT35" i="97"/>
  <c r="BS35" i="97"/>
  <c r="BR35" i="97"/>
  <c r="BQ35" i="97"/>
  <c r="G70" i="98" s="1"/>
  <c r="BP35" i="97"/>
  <c r="BO35" i="97"/>
  <c r="BN35" i="97"/>
  <c r="N70" i="98" s="1"/>
  <c r="AV35" i="97"/>
  <c r="AU35" i="97"/>
  <c r="AT35" i="97"/>
  <c r="AS35" i="97"/>
  <c r="AR35" i="97"/>
  <c r="AQ35" i="97"/>
  <c r="AP35" i="97"/>
  <c r="AF35" i="97"/>
  <c r="AE35" i="97"/>
  <c r="AD35" i="97"/>
  <c r="AC35" i="97"/>
  <c r="AB35" i="97"/>
  <c r="AA35" i="97"/>
  <c r="Z35" i="97"/>
  <c r="X35" i="97"/>
  <c r="W35" i="97"/>
  <c r="V35" i="97"/>
  <c r="U35" i="97"/>
  <c r="T35" i="97"/>
  <c r="S35" i="97"/>
  <c r="R35" i="97"/>
  <c r="BT34" i="97"/>
  <c r="BS34" i="97"/>
  <c r="BR34" i="97"/>
  <c r="BQ34" i="97"/>
  <c r="G69" i="98" s="1"/>
  <c r="BP34" i="97"/>
  <c r="BO34" i="97"/>
  <c r="BN34" i="97"/>
  <c r="N69" i="98" s="1"/>
  <c r="AV34" i="97"/>
  <c r="AU34" i="97"/>
  <c r="AT34" i="97"/>
  <c r="AS34" i="97"/>
  <c r="AR34" i="97"/>
  <c r="AQ34" i="97"/>
  <c r="AP34" i="97"/>
  <c r="AF34" i="97"/>
  <c r="AE34" i="97"/>
  <c r="AD34" i="97"/>
  <c r="AC34" i="97"/>
  <c r="AB34" i="97"/>
  <c r="AA34" i="97"/>
  <c r="Z34" i="97"/>
  <c r="X34" i="97"/>
  <c r="W34" i="97"/>
  <c r="V34" i="97"/>
  <c r="U34" i="97"/>
  <c r="T34" i="97"/>
  <c r="S34" i="97"/>
  <c r="R34" i="97"/>
  <c r="BT33" i="97"/>
  <c r="BS33" i="97"/>
  <c r="BR33" i="97"/>
  <c r="BQ33" i="97"/>
  <c r="G68" i="98" s="1"/>
  <c r="BP33" i="97"/>
  <c r="BO33" i="97"/>
  <c r="BN33" i="97"/>
  <c r="N68" i="98" s="1"/>
  <c r="AV33" i="97"/>
  <c r="AU33" i="97"/>
  <c r="AT33" i="97"/>
  <c r="AS33" i="97"/>
  <c r="AR33" i="97"/>
  <c r="AQ33" i="97"/>
  <c r="AP33" i="97"/>
  <c r="AF33" i="97"/>
  <c r="AE33" i="97"/>
  <c r="AD33" i="97"/>
  <c r="AC33" i="97"/>
  <c r="AB33" i="97"/>
  <c r="AA33" i="97"/>
  <c r="Z33" i="97"/>
  <c r="X33" i="97"/>
  <c r="W33" i="97"/>
  <c r="V33" i="97"/>
  <c r="U33" i="97"/>
  <c r="T33" i="97"/>
  <c r="S33" i="97"/>
  <c r="R33" i="97"/>
  <c r="BT32" i="97"/>
  <c r="BS32" i="97"/>
  <c r="BR32" i="97"/>
  <c r="BQ32" i="97"/>
  <c r="G67" i="98" s="1"/>
  <c r="BP32" i="97"/>
  <c r="BO32" i="97"/>
  <c r="BN32" i="97"/>
  <c r="N67" i="98" s="1"/>
  <c r="AV32" i="97"/>
  <c r="AU32" i="97"/>
  <c r="AT32" i="97"/>
  <c r="AS32" i="97"/>
  <c r="AR32" i="97"/>
  <c r="AQ32" i="97"/>
  <c r="AP32" i="97"/>
  <c r="AF32" i="97"/>
  <c r="AE32" i="97"/>
  <c r="AD32" i="97"/>
  <c r="AC32" i="97"/>
  <c r="AB32" i="97"/>
  <c r="AA32" i="97"/>
  <c r="Z32" i="97"/>
  <c r="X32" i="97"/>
  <c r="W32" i="97"/>
  <c r="V32" i="97"/>
  <c r="U32" i="97"/>
  <c r="T32" i="97"/>
  <c r="S32" i="97"/>
  <c r="R32" i="97"/>
  <c r="BT31" i="97"/>
  <c r="BS31" i="97"/>
  <c r="BR31" i="97"/>
  <c r="BQ31" i="97"/>
  <c r="G66" i="98" s="1"/>
  <c r="BP31" i="97"/>
  <c r="BO31" i="97"/>
  <c r="BN31" i="97"/>
  <c r="N66" i="98" s="1"/>
  <c r="AV31" i="97"/>
  <c r="AU31" i="97"/>
  <c r="AT31" i="97"/>
  <c r="AS31" i="97"/>
  <c r="AR31" i="97"/>
  <c r="AQ31" i="97"/>
  <c r="AP31" i="97"/>
  <c r="AF31" i="97"/>
  <c r="AE31" i="97"/>
  <c r="AD31" i="97"/>
  <c r="AC31" i="97"/>
  <c r="AB31" i="97"/>
  <c r="AA31" i="97"/>
  <c r="Z31" i="97"/>
  <c r="X31" i="97"/>
  <c r="W31" i="97"/>
  <c r="V31" i="97"/>
  <c r="U31" i="97"/>
  <c r="T31" i="97"/>
  <c r="S31" i="97"/>
  <c r="R31" i="97"/>
  <c r="BT30" i="97"/>
  <c r="BS30" i="97"/>
  <c r="BR30" i="97"/>
  <c r="BQ30" i="97"/>
  <c r="G65" i="98" s="1"/>
  <c r="BP30" i="97"/>
  <c r="BO30" i="97"/>
  <c r="BN30" i="97"/>
  <c r="N65" i="98" s="1"/>
  <c r="AV30" i="97"/>
  <c r="AU30" i="97"/>
  <c r="AT30" i="97"/>
  <c r="AS30" i="97"/>
  <c r="AR30" i="97"/>
  <c r="AQ30" i="97"/>
  <c r="AP30" i="97"/>
  <c r="AF30" i="97"/>
  <c r="AE30" i="97"/>
  <c r="AD30" i="97"/>
  <c r="AC30" i="97"/>
  <c r="AB30" i="97"/>
  <c r="AA30" i="97"/>
  <c r="Z30" i="97"/>
  <c r="X30" i="97"/>
  <c r="W30" i="97"/>
  <c r="V30" i="97"/>
  <c r="U30" i="97"/>
  <c r="T30" i="97"/>
  <c r="S30" i="97"/>
  <c r="R30" i="97"/>
  <c r="BT29" i="97"/>
  <c r="BS29" i="97"/>
  <c r="BR29" i="97"/>
  <c r="BQ29" i="97"/>
  <c r="G64" i="98" s="1"/>
  <c r="BP29" i="97"/>
  <c r="BO29" i="97"/>
  <c r="BN29" i="97"/>
  <c r="N64" i="98" s="1"/>
  <c r="AV29" i="97"/>
  <c r="AU29" i="97"/>
  <c r="AT29" i="97"/>
  <c r="AS29" i="97"/>
  <c r="AR29" i="97"/>
  <c r="AQ29" i="97"/>
  <c r="AP29" i="97"/>
  <c r="AF29" i="97"/>
  <c r="AE29" i="97"/>
  <c r="AD29" i="97"/>
  <c r="AC29" i="97"/>
  <c r="AB29" i="97"/>
  <c r="AA29" i="97"/>
  <c r="Z29" i="97"/>
  <c r="X29" i="97"/>
  <c r="W29" i="97"/>
  <c r="V29" i="97"/>
  <c r="U29" i="97"/>
  <c r="T29" i="97"/>
  <c r="S29" i="97"/>
  <c r="R29" i="97"/>
  <c r="BT28" i="97"/>
  <c r="BS28" i="97"/>
  <c r="BR28" i="97"/>
  <c r="BQ28" i="97"/>
  <c r="G63" i="98" s="1"/>
  <c r="BP28" i="97"/>
  <c r="BO28" i="97"/>
  <c r="BN28" i="97"/>
  <c r="N63" i="98" s="1"/>
  <c r="AV28" i="97"/>
  <c r="AU28" i="97"/>
  <c r="AT28" i="97"/>
  <c r="AS28" i="97"/>
  <c r="AR28" i="97"/>
  <c r="AQ28" i="97"/>
  <c r="AP28" i="97"/>
  <c r="AF28" i="97"/>
  <c r="AE28" i="97"/>
  <c r="AD28" i="97"/>
  <c r="AC28" i="97"/>
  <c r="AB28" i="97"/>
  <c r="AA28" i="97"/>
  <c r="Z28" i="97"/>
  <c r="X28" i="97"/>
  <c r="W28" i="97"/>
  <c r="V28" i="97"/>
  <c r="U28" i="97"/>
  <c r="T28" i="97"/>
  <c r="S28" i="97"/>
  <c r="R28" i="97"/>
  <c r="BT27" i="97"/>
  <c r="BS27" i="97"/>
  <c r="BR27" i="97"/>
  <c r="BQ27" i="97"/>
  <c r="G62" i="98" s="1"/>
  <c r="BP27" i="97"/>
  <c r="BO27" i="97"/>
  <c r="BN27" i="97"/>
  <c r="N62" i="98" s="1"/>
  <c r="AV27" i="97"/>
  <c r="AU27" i="97"/>
  <c r="AT27" i="97"/>
  <c r="AS27" i="97"/>
  <c r="AR27" i="97"/>
  <c r="AQ27" i="97"/>
  <c r="AP27" i="97"/>
  <c r="AF27" i="97"/>
  <c r="AE27" i="97"/>
  <c r="AD27" i="97"/>
  <c r="AC27" i="97"/>
  <c r="AB27" i="97"/>
  <c r="AA27" i="97"/>
  <c r="Z27" i="97"/>
  <c r="X27" i="97"/>
  <c r="W27" i="97"/>
  <c r="V27" i="97"/>
  <c r="U27" i="97"/>
  <c r="T27" i="97"/>
  <c r="S27" i="97"/>
  <c r="R27" i="97"/>
  <c r="BT26" i="97"/>
  <c r="BS26" i="97"/>
  <c r="BR26" i="97"/>
  <c r="BQ26" i="97"/>
  <c r="G61" i="98" s="1"/>
  <c r="BP26" i="97"/>
  <c r="BO26" i="97"/>
  <c r="BN26" i="97"/>
  <c r="N61" i="98" s="1"/>
  <c r="AV26" i="97"/>
  <c r="AU26" i="97"/>
  <c r="AT26" i="97"/>
  <c r="AS26" i="97"/>
  <c r="AR26" i="97"/>
  <c r="AQ26" i="97"/>
  <c r="AP26" i="97"/>
  <c r="AF26" i="97"/>
  <c r="AE26" i="97"/>
  <c r="AD26" i="97"/>
  <c r="AC26" i="97"/>
  <c r="AB26" i="97"/>
  <c r="AA26" i="97"/>
  <c r="Z26" i="97"/>
  <c r="X26" i="97"/>
  <c r="W26" i="97"/>
  <c r="V26" i="97"/>
  <c r="U26" i="97"/>
  <c r="T26" i="97"/>
  <c r="S26" i="97"/>
  <c r="R26" i="97"/>
  <c r="BT25" i="97"/>
  <c r="BS25" i="97"/>
  <c r="BR25" i="97"/>
  <c r="BQ25" i="97"/>
  <c r="G60" i="98" s="1"/>
  <c r="BP25" i="97"/>
  <c r="BO25" i="97"/>
  <c r="BN25" i="97"/>
  <c r="N60" i="98" s="1"/>
  <c r="AV25" i="97"/>
  <c r="AU25" i="97"/>
  <c r="AT25" i="97"/>
  <c r="AS25" i="97"/>
  <c r="AR25" i="97"/>
  <c r="AQ25" i="97"/>
  <c r="AP25" i="97"/>
  <c r="AF25" i="97"/>
  <c r="AE25" i="97"/>
  <c r="AD25" i="97"/>
  <c r="AC25" i="97"/>
  <c r="D60" i="98" s="1"/>
  <c r="AB25" i="97"/>
  <c r="AA25" i="97"/>
  <c r="Z25" i="97"/>
  <c r="X25" i="97"/>
  <c r="W25" i="97"/>
  <c r="V25" i="97"/>
  <c r="U25" i="97"/>
  <c r="T25" i="97"/>
  <c r="S25" i="97"/>
  <c r="R25" i="97"/>
  <c r="BT24" i="97"/>
  <c r="BS24" i="97"/>
  <c r="BR24" i="97"/>
  <c r="BQ24" i="97"/>
  <c r="G59" i="98" s="1"/>
  <c r="BP24" i="97"/>
  <c r="BO24" i="97"/>
  <c r="BN24" i="97"/>
  <c r="N59" i="98" s="1"/>
  <c r="AV24" i="97"/>
  <c r="AU24" i="97"/>
  <c r="AT24" i="97"/>
  <c r="AS24" i="97"/>
  <c r="AR24" i="97"/>
  <c r="AQ24" i="97"/>
  <c r="AP24" i="97"/>
  <c r="AF24" i="97"/>
  <c r="AE24" i="97"/>
  <c r="AD24" i="97"/>
  <c r="AC24" i="97"/>
  <c r="D59" i="98" s="1"/>
  <c r="AB24" i="97"/>
  <c r="AA24" i="97"/>
  <c r="Z24" i="97"/>
  <c r="X24" i="97"/>
  <c r="W24" i="97"/>
  <c r="V24" i="97"/>
  <c r="U24" i="97"/>
  <c r="T24" i="97"/>
  <c r="S24" i="97"/>
  <c r="R24" i="97"/>
  <c r="BT23" i="97"/>
  <c r="BS23" i="97"/>
  <c r="BR23" i="97"/>
  <c r="BQ23" i="97"/>
  <c r="G58" i="98" s="1"/>
  <c r="BP23" i="97"/>
  <c r="BO23" i="97"/>
  <c r="BN23" i="97"/>
  <c r="N58" i="98" s="1"/>
  <c r="AV23" i="97"/>
  <c r="AU23" i="97"/>
  <c r="AT23" i="97"/>
  <c r="AS23" i="97"/>
  <c r="AR23" i="97"/>
  <c r="AQ23" i="97"/>
  <c r="AP23" i="97"/>
  <c r="AF23" i="97"/>
  <c r="AE23" i="97"/>
  <c r="AD23" i="97"/>
  <c r="AC23" i="97"/>
  <c r="D58" i="98" s="1"/>
  <c r="AB23" i="97"/>
  <c r="AA23" i="97"/>
  <c r="Z23" i="97"/>
  <c r="X23" i="97"/>
  <c r="W23" i="97"/>
  <c r="V23" i="97"/>
  <c r="U23" i="97"/>
  <c r="T23" i="97"/>
  <c r="S23" i="97"/>
  <c r="R23" i="97"/>
  <c r="BT22" i="97"/>
  <c r="BS22" i="97"/>
  <c r="BR22" i="97"/>
  <c r="BQ22" i="97"/>
  <c r="G57" i="98" s="1"/>
  <c r="BP22" i="97"/>
  <c r="BO22" i="97"/>
  <c r="BN22" i="97"/>
  <c r="N57" i="98" s="1"/>
  <c r="AV22" i="97"/>
  <c r="AU22" i="97"/>
  <c r="AT22" i="97"/>
  <c r="AS22" i="97"/>
  <c r="AR22" i="97"/>
  <c r="AQ22" i="97"/>
  <c r="AP22" i="97"/>
  <c r="AF22" i="97"/>
  <c r="AE22" i="97"/>
  <c r="AD22" i="97"/>
  <c r="AC22" i="97"/>
  <c r="D57" i="98" s="1"/>
  <c r="AB22" i="97"/>
  <c r="AA22" i="97"/>
  <c r="Z22" i="97"/>
  <c r="X22" i="97"/>
  <c r="W22" i="97"/>
  <c r="V22" i="97"/>
  <c r="U22" i="97"/>
  <c r="T22" i="97"/>
  <c r="S22" i="97"/>
  <c r="R22" i="97"/>
  <c r="BT21" i="97"/>
  <c r="BS21" i="97"/>
  <c r="BR21" i="97"/>
  <c r="BQ21" i="97"/>
  <c r="G56" i="98" s="1"/>
  <c r="BP21" i="97"/>
  <c r="BO21" i="97"/>
  <c r="BN21" i="97"/>
  <c r="N56" i="98" s="1"/>
  <c r="AV21" i="97"/>
  <c r="AU21" i="97"/>
  <c r="AT21" i="97"/>
  <c r="AS21" i="97"/>
  <c r="AR21" i="97"/>
  <c r="AQ21" i="97"/>
  <c r="AP21" i="97"/>
  <c r="AF21" i="97"/>
  <c r="AE21" i="97"/>
  <c r="AD21" i="97"/>
  <c r="AC21" i="97"/>
  <c r="D56" i="98" s="1"/>
  <c r="AB21" i="97"/>
  <c r="AA21" i="97"/>
  <c r="Z21" i="97"/>
  <c r="X21" i="97"/>
  <c r="W21" i="97"/>
  <c r="V21" i="97"/>
  <c r="U21" i="97"/>
  <c r="T21" i="97"/>
  <c r="S21" i="97"/>
  <c r="R21" i="97"/>
  <c r="BT20" i="97"/>
  <c r="BS20" i="97"/>
  <c r="BR20" i="97"/>
  <c r="BQ20" i="97"/>
  <c r="G55" i="98" s="1"/>
  <c r="BP20" i="97"/>
  <c r="BO20" i="97"/>
  <c r="BN20" i="97"/>
  <c r="N55" i="98" s="1"/>
  <c r="AV20" i="97"/>
  <c r="AU20" i="97"/>
  <c r="AT20" i="97"/>
  <c r="AS20" i="97"/>
  <c r="AR20" i="97"/>
  <c r="AQ20" i="97"/>
  <c r="AP20" i="97"/>
  <c r="AF20" i="97"/>
  <c r="AE20" i="97"/>
  <c r="AD20" i="97"/>
  <c r="AC20" i="97"/>
  <c r="D55" i="98" s="1"/>
  <c r="AB20" i="97"/>
  <c r="AA20" i="97"/>
  <c r="Z20" i="97"/>
  <c r="X20" i="97"/>
  <c r="W20" i="97"/>
  <c r="V20" i="97"/>
  <c r="U20" i="97"/>
  <c r="T20" i="97"/>
  <c r="S20" i="97"/>
  <c r="R20" i="97"/>
  <c r="BT19" i="97"/>
  <c r="BS19" i="97"/>
  <c r="BR19" i="97"/>
  <c r="BQ19" i="97"/>
  <c r="G54" i="98" s="1"/>
  <c r="BP19" i="97"/>
  <c r="BO19" i="97"/>
  <c r="BN19" i="97"/>
  <c r="N54" i="98" s="1"/>
  <c r="AV19" i="97"/>
  <c r="AU19" i="97"/>
  <c r="AT19" i="97"/>
  <c r="AS19" i="97"/>
  <c r="AR19" i="97"/>
  <c r="AQ19" i="97"/>
  <c r="AP19" i="97"/>
  <c r="AF19" i="97"/>
  <c r="AE19" i="97"/>
  <c r="AD19" i="97"/>
  <c r="AC19" i="97"/>
  <c r="D54" i="98" s="1"/>
  <c r="AB19" i="97"/>
  <c r="AA19" i="97"/>
  <c r="Z19" i="97"/>
  <c r="X19" i="97"/>
  <c r="W19" i="97"/>
  <c r="V19" i="97"/>
  <c r="U19" i="97"/>
  <c r="T19" i="97"/>
  <c r="S19" i="97"/>
  <c r="R19" i="97"/>
  <c r="BT18" i="97"/>
  <c r="BS18" i="97"/>
  <c r="BR18" i="97"/>
  <c r="BQ18" i="97"/>
  <c r="G53" i="98" s="1"/>
  <c r="BP18" i="97"/>
  <c r="BO18" i="97"/>
  <c r="BN18" i="97"/>
  <c r="N53" i="98" s="1"/>
  <c r="AV18" i="97"/>
  <c r="AU18" i="97"/>
  <c r="AT18" i="97"/>
  <c r="AS18" i="97"/>
  <c r="AR18" i="97"/>
  <c r="AQ18" i="97"/>
  <c r="AP18" i="97"/>
  <c r="AF18" i="97"/>
  <c r="AE18" i="97"/>
  <c r="AD18" i="97"/>
  <c r="AC18" i="97"/>
  <c r="D53" i="98" s="1"/>
  <c r="AB18" i="97"/>
  <c r="AA18" i="97"/>
  <c r="Z18" i="97"/>
  <c r="X18" i="97"/>
  <c r="W18" i="97"/>
  <c r="V18" i="97"/>
  <c r="U18" i="97"/>
  <c r="T18" i="97"/>
  <c r="S18" i="97"/>
  <c r="R18" i="97"/>
  <c r="BT17" i="97"/>
  <c r="BS17" i="97"/>
  <c r="BR17" i="97"/>
  <c r="BQ17" i="97"/>
  <c r="G52" i="98" s="1"/>
  <c r="BP17" i="97"/>
  <c r="BO17" i="97"/>
  <c r="BN17" i="97"/>
  <c r="N52" i="98" s="1"/>
  <c r="AV17" i="97"/>
  <c r="AU17" i="97"/>
  <c r="AT17" i="97"/>
  <c r="AS17" i="97"/>
  <c r="AR17" i="97"/>
  <c r="AQ17" i="97"/>
  <c r="AP17" i="97"/>
  <c r="AF17" i="97"/>
  <c r="AE17" i="97"/>
  <c r="AD17" i="97"/>
  <c r="AC17" i="97"/>
  <c r="D52" i="98" s="1"/>
  <c r="AB17" i="97"/>
  <c r="AA17" i="97"/>
  <c r="Z17" i="97"/>
  <c r="X17" i="97"/>
  <c r="W17" i="97"/>
  <c r="V17" i="97"/>
  <c r="U17" i="97"/>
  <c r="T17" i="97"/>
  <c r="S17" i="97"/>
  <c r="R17" i="97"/>
  <c r="BT16" i="97"/>
  <c r="BS16" i="97"/>
  <c r="BR16" i="97"/>
  <c r="BQ16" i="97"/>
  <c r="G51" i="98" s="1"/>
  <c r="BP16" i="97"/>
  <c r="BO16" i="97"/>
  <c r="BN16" i="97"/>
  <c r="N51" i="98" s="1"/>
  <c r="AV16" i="97"/>
  <c r="AU16" i="97"/>
  <c r="AT16" i="97"/>
  <c r="AS16" i="97"/>
  <c r="AR16" i="97"/>
  <c r="AQ16" i="97"/>
  <c r="AP16" i="97"/>
  <c r="AF16" i="97"/>
  <c r="AE16" i="97"/>
  <c r="AD16" i="97"/>
  <c r="AC16" i="97"/>
  <c r="D51" i="98" s="1"/>
  <c r="AB16" i="97"/>
  <c r="AA16" i="97"/>
  <c r="Z16" i="97"/>
  <c r="X16" i="97"/>
  <c r="W16" i="97"/>
  <c r="V16" i="97"/>
  <c r="U16" i="97"/>
  <c r="T16" i="97"/>
  <c r="S16" i="97"/>
  <c r="R16" i="97"/>
  <c r="BT15" i="97"/>
  <c r="BS15" i="97"/>
  <c r="BR15" i="97"/>
  <c r="BQ15" i="97"/>
  <c r="G50" i="98" s="1"/>
  <c r="BP15" i="97"/>
  <c r="BO15" i="97"/>
  <c r="BN15" i="97"/>
  <c r="N50" i="98" s="1"/>
  <c r="AV15" i="97"/>
  <c r="AU15" i="97"/>
  <c r="AT15" i="97"/>
  <c r="AS15" i="97"/>
  <c r="AR15" i="97"/>
  <c r="AQ15" i="97"/>
  <c r="AP15" i="97"/>
  <c r="AF15" i="97"/>
  <c r="AE15" i="97"/>
  <c r="AD15" i="97"/>
  <c r="AC15" i="97"/>
  <c r="D50" i="98" s="1"/>
  <c r="AB15" i="97"/>
  <c r="AA15" i="97"/>
  <c r="Z15" i="97"/>
  <c r="X15" i="97"/>
  <c r="W15" i="97"/>
  <c r="V15" i="97"/>
  <c r="U15" i="97"/>
  <c r="T15" i="97"/>
  <c r="S15" i="97"/>
  <c r="R15" i="97"/>
  <c r="BT14" i="97"/>
  <c r="BS14" i="97"/>
  <c r="BR14" i="97"/>
  <c r="BQ14" i="97"/>
  <c r="G49" i="98" s="1"/>
  <c r="BP14" i="97"/>
  <c r="BO14" i="97"/>
  <c r="BN14" i="97"/>
  <c r="N49" i="98" s="1"/>
  <c r="AV14" i="97"/>
  <c r="AU14" i="97"/>
  <c r="AT14" i="97"/>
  <c r="AS14" i="97"/>
  <c r="AR14" i="97"/>
  <c r="AQ14" i="97"/>
  <c r="AP14" i="97"/>
  <c r="AF14" i="97"/>
  <c r="AE14" i="97"/>
  <c r="AD14" i="97"/>
  <c r="AC14" i="97"/>
  <c r="D49" i="98" s="1"/>
  <c r="AB14" i="97"/>
  <c r="AA14" i="97"/>
  <c r="Z14" i="97"/>
  <c r="X14" i="97"/>
  <c r="W14" i="97"/>
  <c r="V14" i="97"/>
  <c r="U14" i="97"/>
  <c r="T14" i="97"/>
  <c r="S14" i="97"/>
  <c r="R14" i="97"/>
  <c r="BT13" i="97"/>
  <c r="BS13" i="97"/>
  <c r="BR13" i="97"/>
  <c r="BQ13" i="97"/>
  <c r="G48" i="98" s="1"/>
  <c r="BP13" i="97"/>
  <c r="BO13" i="97"/>
  <c r="BN13" i="97"/>
  <c r="N48" i="98" s="1"/>
  <c r="AV13" i="97"/>
  <c r="AU13" i="97"/>
  <c r="AT13" i="97"/>
  <c r="AS13" i="97"/>
  <c r="AR13" i="97"/>
  <c r="AQ13" i="97"/>
  <c r="AP13" i="97"/>
  <c r="AF13" i="97"/>
  <c r="AE13" i="97"/>
  <c r="AD13" i="97"/>
  <c r="AC13" i="97"/>
  <c r="D48" i="98" s="1"/>
  <c r="AB13" i="97"/>
  <c r="AA13" i="97"/>
  <c r="Z13" i="97"/>
  <c r="X13" i="97"/>
  <c r="W13" i="97"/>
  <c r="V13" i="97"/>
  <c r="U13" i="97"/>
  <c r="T13" i="97"/>
  <c r="S13" i="97"/>
  <c r="R13" i="97"/>
  <c r="BT12" i="97"/>
  <c r="BS12" i="97"/>
  <c r="BR12" i="97"/>
  <c r="BQ12" i="97"/>
  <c r="G47" i="98" s="1"/>
  <c r="BP12" i="97"/>
  <c r="BO12" i="97"/>
  <c r="BN12" i="97"/>
  <c r="N47" i="98" s="1"/>
  <c r="AV12" i="97"/>
  <c r="AU12" i="97"/>
  <c r="AT12" i="97"/>
  <c r="AS12" i="97"/>
  <c r="AR12" i="97"/>
  <c r="AQ12" i="97"/>
  <c r="AP12" i="97"/>
  <c r="AF12" i="97"/>
  <c r="AE12" i="97"/>
  <c r="AD12" i="97"/>
  <c r="AC12" i="97"/>
  <c r="D47" i="98" s="1"/>
  <c r="AB12" i="97"/>
  <c r="AA12" i="97"/>
  <c r="Z12" i="97"/>
  <c r="X12" i="97"/>
  <c r="W12" i="97"/>
  <c r="V12" i="97"/>
  <c r="U12" i="97"/>
  <c r="T12" i="97"/>
  <c r="S12" i="97"/>
  <c r="R12" i="97"/>
  <c r="BT10" i="97"/>
  <c r="BS10" i="97"/>
  <c r="BR10" i="97"/>
  <c r="BQ10" i="97"/>
  <c r="G45" i="98" s="1"/>
  <c r="BP10" i="97"/>
  <c r="BO10" i="97"/>
  <c r="BN10" i="97"/>
  <c r="N45" i="98" s="1"/>
  <c r="AV10" i="97"/>
  <c r="AU10" i="97"/>
  <c r="AT10" i="97"/>
  <c r="AS10" i="97"/>
  <c r="AR10" i="97"/>
  <c r="AQ10" i="97"/>
  <c r="AP10" i="97"/>
  <c r="AF10" i="97"/>
  <c r="AE10" i="97"/>
  <c r="AD10" i="97"/>
  <c r="AC10" i="97"/>
  <c r="D45" i="98" s="1"/>
  <c r="AB10" i="97"/>
  <c r="AA10" i="97"/>
  <c r="Z10" i="97"/>
  <c r="X10" i="97"/>
  <c r="W10" i="97"/>
  <c r="V10" i="97"/>
  <c r="U10" i="97"/>
  <c r="T10" i="97"/>
  <c r="S10" i="97"/>
  <c r="R10" i="97"/>
  <c r="BT8" i="97"/>
  <c r="BS8" i="97"/>
  <c r="BR8" i="97"/>
  <c r="BQ8" i="97"/>
  <c r="G43" i="98" s="1"/>
  <c r="BP8" i="97"/>
  <c r="BO8" i="97"/>
  <c r="BN8" i="97"/>
  <c r="N43" i="98" s="1"/>
  <c r="AV8" i="97"/>
  <c r="AU8" i="97"/>
  <c r="AT8" i="97"/>
  <c r="AS8" i="97"/>
  <c r="AR8" i="97"/>
  <c r="AQ8" i="97"/>
  <c r="AP8" i="97"/>
  <c r="AF8" i="97"/>
  <c r="AE8" i="97"/>
  <c r="AD8" i="97"/>
  <c r="AC8" i="97"/>
  <c r="D43" i="98" s="1"/>
  <c r="AB8" i="97"/>
  <c r="AA8" i="97"/>
  <c r="Z8" i="97"/>
  <c r="X8" i="97"/>
  <c r="W8" i="97"/>
  <c r="V8" i="97"/>
  <c r="U8" i="97"/>
  <c r="T8" i="97"/>
  <c r="S8" i="97"/>
  <c r="R8" i="97"/>
  <c r="BT6" i="97"/>
  <c r="BS6" i="97"/>
  <c r="BR6" i="97"/>
  <c r="BQ6" i="97"/>
  <c r="G41" i="98" s="1"/>
  <c r="BP6" i="97"/>
  <c r="BO6" i="97"/>
  <c r="BN6" i="97"/>
  <c r="N41" i="98" s="1"/>
  <c r="AV6" i="97"/>
  <c r="AU6" i="97"/>
  <c r="AT6" i="97"/>
  <c r="AS6" i="97"/>
  <c r="AR6" i="97"/>
  <c r="AQ6" i="97"/>
  <c r="AP6" i="97"/>
  <c r="AF6" i="97"/>
  <c r="AE6" i="97"/>
  <c r="AD6" i="97"/>
  <c r="AC6" i="97"/>
  <c r="AB6" i="97"/>
  <c r="AA6" i="97"/>
  <c r="Z6" i="97"/>
  <c r="X6" i="97"/>
  <c r="W6" i="97"/>
  <c r="V6" i="97"/>
  <c r="U6" i="97"/>
  <c r="T6" i="97"/>
  <c r="S6" i="97"/>
  <c r="R6" i="97"/>
  <c r="B40" i="99"/>
  <c r="C40" i="99"/>
  <c r="E40" i="99"/>
  <c r="F40" i="99"/>
  <c r="B41" i="99"/>
  <c r="C41" i="99"/>
  <c r="E41" i="99"/>
  <c r="F41" i="99"/>
  <c r="B42" i="99"/>
  <c r="C42" i="99"/>
  <c r="E42" i="99"/>
  <c r="F42" i="99"/>
  <c r="B43" i="99"/>
  <c r="C43" i="99"/>
  <c r="E43" i="99"/>
  <c r="F43" i="99"/>
  <c r="B44" i="99"/>
  <c r="C44" i="99"/>
  <c r="E44" i="99"/>
  <c r="F44" i="99"/>
  <c r="B45" i="99"/>
  <c r="C45" i="99"/>
  <c r="E45" i="99"/>
  <c r="F45" i="99"/>
  <c r="B46" i="99"/>
  <c r="C46" i="99"/>
  <c r="E46" i="99"/>
  <c r="F46" i="99"/>
  <c r="B47" i="99"/>
  <c r="C47" i="99"/>
  <c r="E47" i="99"/>
  <c r="F47" i="99"/>
  <c r="B48" i="99"/>
  <c r="C48" i="99"/>
  <c r="E48" i="99"/>
  <c r="F48" i="99"/>
  <c r="B49" i="99"/>
  <c r="C49" i="99"/>
  <c r="E49" i="99"/>
  <c r="F49" i="99"/>
  <c r="B50" i="99"/>
  <c r="C50" i="99"/>
  <c r="E50" i="99"/>
  <c r="F50" i="99"/>
  <c r="B51" i="99"/>
  <c r="C51" i="99"/>
  <c r="E51" i="99"/>
  <c r="F51" i="99"/>
  <c r="B52" i="99"/>
  <c r="C52" i="99"/>
  <c r="E52" i="99"/>
  <c r="F52" i="99"/>
  <c r="B53" i="99"/>
  <c r="C53" i="99"/>
  <c r="E53" i="99"/>
  <c r="F53" i="99"/>
  <c r="B54" i="99"/>
  <c r="C54" i="99"/>
  <c r="E54" i="99"/>
  <c r="F54" i="99"/>
  <c r="B55" i="99"/>
  <c r="C55" i="99"/>
  <c r="E55" i="99"/>
  <c r="F55" i="99"/>
  <c r="B56" i="99"/>
  <c r="C56" i="99"/>
  <c r="E56" i="99"/>
  <c r="F56" i="99"/>
  <c r="B57" i="99"/>
  <c r="C57" i="99"/>
  <c r="E57" i="99"/>
  <c r="F57" i="99"/>
  <c r="B58" i="99"/>
  <c r="C58" i="99"/>
  <c r="E58" i="99"/>
  <c r="F58" i="99"/>
  <c r="B59" i="99"/>
  <c r="C59" i="99"/>
  <c r="E59" i="99"/>
  <c r="F59" i="99"/>
  <c r="B60" i="99"/>
  <c r="C60" i="99"/>
  <c r="E60" i="99"/>
  <c r="F60" i="99"/>
  <c r="B61" i="99"/>
  <c r="C61" i="99"/>
  <c r="E61" i="99"/>
  <c r="F61" i="99"/>
  <c r="B62" i="99"/>
  <c r="C62" i="99"/>
  <c r="E62" i="99"/>
  <c r="F62" i="99"/>
  <c r="B63" i="99"/>
  <c r="C63" i="99"/>
  <c r="E63" i="99"/>
  <c r="F63" i="99"/>
  <c r="B64" i="99"/>
  <c r="C64" i="99"/>
  <c r="E64" i="99"/>
  <c r="F64" i="99"/>
  <c r="B65" i="99"/>
  <c r="C65" i="99"/>
  <c r="E65" i="99"/>
  <c r="F65" i="99"/>
  <c r="B66" i="99"/>
  <c r="C66" i="99"/>
  <c r="E66" i="99"/>
  <c r="F66" i="99"/>
  <c r="B67" i="99"/>
  <c r="C67" i="99"/>
  <c r="E67" i="99"/>
  <c r="F67" i="99"/>
  <c r="B68" i="99"/>
  <c r="C68" i="99"/>
  <c r="E68" i="99"/>
  <c r="F68" i="99"/>
  <c r="B69" i="99"/>
  <c r="C69" i="99"/>
  <c r="E69" i="99"/>
  <c r="F69" i="99"/>
  <c r="B70" i="99"/>
  <c r="C70" i="99"/>
  <c r="E70" i="99"/>
  <c r="F70" i="99"/>
  <c r="B71" i="99"/>
  <c r="C71" i="99"/>
  <c r="E71" i="99"/>
  <c r="F71" i="99"/>
  <c r="B72" i="99"/>
  <c r="C72" i="99"/>
  <c r="E72" i="99"/>
  <c r="F72" i="99"/>
  <c r="B73" i="99"/>
  <c r="C73" i="99"/>
  <c r="E73" i="99"/>
  <c r="F73" i="99"/>
  <c r="B74" i="99"/>
  <c r="C74" i="99"/>
  <c r="E74" i="99"/>
  <c r="F74" i="99"/>
  <c r="B75" i="99"/>
  <c r="C75" i="99"/>
  <c r="E75" i="99"/>
  <c r="F75" i="99"/>
  <c r="B76" i="99"/>
  <c r="C76" i="99"/>
  <c r="E76" i="99"/>
  <c r="F76" i="99"/>
  <c r="B77" i="99"/>
  <c r="C77" i="99"/>
  <c r="E77" i="99"/>
  <c r="F77" i="99"/>
  <c r="B78" i="99"/>
  <c r="C78" i="99"/>
  <c r="E78" i="99"/>
  <c r="F78" i="99"/>
  <c r="B79" i="99"/>
  <c r="C79" i="99"/>
  <c r="E79" i="99"/>
  <c r="F79" i="99"/>
  <c r="B80" i="99"/>
  <c r="C80" i="99"/>
  <c r="E80" i="99"/>
  <c r="F80" i="99"/>
  <c r="B81" i="99"/>
  <c r="C81" i="99"/>
  <c r="E81" i="99"/>
  <c r="F81" i="99"/>
  <c r="B82" i="99"/>
  <c r="C82" i="99"/>
  <c r="E82" i="99"/>
  <c r="F82" i="99"/>
  <c r="B83" i="99"/>
  <c r="C83" i="99"/>
  <c r="E83" i="99"/>
  <c r="F83" i="99"/>
  <c r="B84" i="99"/>
  <c r="C84" i="99"/>
  <c r="E84" i="99"/>
  <c r="F84" i="99"/>
  <c r="B85" i="99"/>
  <c r="C85" i="99"/>
  <c r="E85" i="99"/>
  <c r="F85" i="99"/>
  <c r="B86" i="99"/>
  <c r="C86" i="99"/>
  <c r="E86" i="99"/>
  <c r="F86" i="99"/>
  <c r="B87" i="99"/>
  <c r="C87" i="99"/>
  <c r="E87" i="99"/>
  <c r="F87" i="99"/>
  <c r="B88" i="99"/>
  <c r="C88" i="99"/>
  <c r="E88" i="99"/>
  <c r="F88" i="99"/>
  <c r="B89" i="99"/>
  <c r="C89" i="99"/>
  <c r="E89" i="99"/>
  <c r="F89" i="99"/>
  <c r="B90" i="99"/>
  <c r="C90" i="99"/>
  <c r="E90" i="99"/>
  <c r="F90" i="99"/>
  <c r="B91" i="99"/>
  <c r="C91" i="99"/>
  <c r="E91" i="99"/>
  <c r="F91" i="99"/>
  <c r="B92" i="99"/>
  <c r="C92" i="99"/>
  <c r="E92" i="99"/>
  <c r="F92" i="99"/>
  <c r="F39" i="99"/>
  <c r="E39" i="99"/>
  <c r="C39" i="99"/>
  <c r="B39" i="99"/>
  <c r="C13" i="96"/>
  <c r="B13" i="96" s="1"/>
  <c r="D13" i="96"/>
  <c r="E13" i="96"/>
  <c r="F13" i="96"/>
  <c r="G13" i="96"/>
  <c r="H13" i="96"/>
  <c r="C14" i="96"/>
  <c r="B14" i="96" s="1"/>
  <c r="D14" i="96"/>
  <c r="E14" i="96"/>
  <c r="F14" i="96"/>
  <c r="G14" i="96"/>
  <c r="H14" i="96"/>
  <c r="C15" i="96"/>
  <c r="B15" i="96" s="1"/>
  <c r="D15" i="96"/>
  <c r="E15" i="96"/>
  <c r="F15" i="96"/>
  <c r="G15" i="96"/>
  <c r="H15" i="96"/>
  <c r="C16" i="96"/>
  <c r="B16" i="96" s="1"/>
  <c r="D16" i="96"/>
  <c r="E16" i="96"/>
  <c r="F16" i="96"/>
  <c r="G16" i="96"/>
  <c r="H16" i="96"/>
  <c r="C17" i="96"/>
  <c r="B17" i="96" s="1"/>
  <c r="D17" i="96"/>
  <c r="E17" i="96"/>
  <c r="F17" i="96"/>
  <c r="G17" i="96"/>
  <c r="H17" i="96"/>
  <c r="C18" i="96"/>
  <c r="B18" i="96" s="1"/>
  <c r="D18" i="96"/>
  <c r="E18" i="96"/>
  <c r="F18" i="96"/>
  <c r="G18" i="96"/>
  <c r="H18" i="96"/>
  <c r="C19" i="96"/>
  <c r="B19" i="96" s="1"/>
  <c r="D19" i="96"/>
  <c r="E19" i="96"/>
  <c r="F19" i="96"/>
  <c r="G19" i="96"/>
  <c r="H19" i="96"/>
  <c r="C20" i="96"/>
  <c r="B20" i="96" s="1"/>
  <c r="D20" i="96"/>
  <c r="E20" i="96"/>
  <c r="F20" i="96"/>
  <c r="G20" i="96"/>
  <c r="H20" i="96"/>
  <c r="C21" i="96"/>
  <c r="B21" i="96" s="1"/>
  <c r="D21" i="96"/>
  <c r="E21" i="96"/>
  <c r="F21" i="96"/>
  <c r="G21" i="96"/>
  <c r="H21" i="96"/>
  <c r="C22" i="96"/>
  <c r="B22" i="96" s="1"/>
  <c r="D22" i="96"/>
  <c r="E22" i="96"/>
  <c r="F22" i="96"/>
  <c r="G22" i="96"/>
  <c r="H22" i="96"/>
  <c r="C23" i="96"/>
  <c r="B23" i="96" s="1"/>
  <c r="D23" i="96"/>
  <c r="E23" i="96"/>
  <c r="F23" i="96"/>
  <c r="G23" i="96"/>
  <c r="H23" i="96"/>
  <c r="C24" i="96"/>
  <c r="B24" i="96" s="1"/>
  <c r="D24" i="96"/>
  <c r="E24" i="96"/>
  <c r="F24" i="96"/>
  <c r="G24" i="96"/>
  <c r="H24" i="96"/>
  <c r="C25" i="96"/>
  <c r="B25" i="96" s="1"/>
  <c r="D25" i="96"/>
  <c r="E25" i="96"/>
  <c r="F25" i="96"/>
  <c r="G25" i="96"/>
  <c r="H25" i="96"/>
  <c r="C26" i="96"/>
  <c r="B26" i="96" s="1"/>
  <c r="D26" i="96"/>
  <c r="E26" i="96"/>
  <c r="F26" i="96"/>
  <c r="G26" i="96"/>
  <c r="H26" i="96"/>
  <c r="C27" i="96"/>
  <c r="B27" i="96" s="1"/>
  <c r="D27" i="96"/>
  <c r="E27" i="96"/>
  <c r="F27" i="96"/>
  <c r="G27" i="96"/>
  <c r="H27" i="96"/>
  <c r="C28" i="96"/>
  <c r="B28" i="96" s="1"/>
  <c r="D28" i="96"/>
  <c r="E28" i="96"/>
  <c r="F28" i="96"/>
  <c r="G28" i="96"/>
  <c r="H28" i="96"/>
  <c r="C29" i="96"/>
  <c r="B29" i="96" s="1"/>
  <c r="D29" i="96"/>
  <c r="E29" i="96"/>
  <c r="F29" i="96"/>
  <c r="G29" i="96"/>
  <c r="H29" i="96"/>
  <c r="C30" i="96"/>
  <c r="B30" i="96" s="1"/>
  <c r="D30" i="96"/>
  <c r="E30" i="96"/>
  <c r="F30" i="96"/>
  <c r="G30" i="96"/>
  <c r="H30" i="96"/>
  <c r="C31" i="96"/>
  <c r="B31" i="96" s="1"/>
  <c r="D31" i="96"/>
  <c r="E31" i="96"/>
  <c r="F31" i="96"/>
  <c r="G31" i="96"/>
  <c r="H31" i="96"/>
  <c r="C32" i="96"/>
  <c r="B32" i="96" s="1"/>
  <c r="D32" i="96"/>
  <c r="E32" i="96"/>
  <c r="F32" i="96"/>
  <c r="G32" i="96"/>
  <c r="H32" i="96"/>
  <c r="C33" i="96"/>
  <c r="B33" i="96" s="1"/>
  <c r="D33" i="96"/>
  <c r="E33" i="96"/>
  <c r="F33" i="96"/>
  <c r="G33" i="96"/>
  <c r="H33" i="96"/>
  <c r="C34" i="96"/>
  <c r="B34" i="96" s="1"/>
  <c r="D34" i="96"/>
  <c r="E34" i="96"/>
  <c r="F34" i="96"/>
  <c r="G34" i="96"/>
  <c r="H34" i="96"/>
  <c r="C35" i="96"/>
  <c r="B35" i="96" s="1"/>
  <c r="D35" i="96"/>
  <c r="E35" i="96"/>
  <c r="F35" i="96"/>
  <c r="G35" i="96"/>
  <c r="H35" i="96"/>
  <c r="C36" i="96"/>
  <c r="B36" i="96" s="1"/>
  <c r="D36" i="96"/>
  <c r="E36" i="96"/>
  <c r="F36" i="96"/>
  <c r="G36" i="96"/>
  <c r="H36" i="96"/>
  <c r="C37" i="96"/>
  <c r="B37" i="96" s="1"/>
  <c r="D37" i="96"/>
  <c r="E37" i="96"/>
  <c r="F37" i="96"/>
  <c r="G37" i="96"/>
  <c r="H37" i="96"/>
  <c r="C38" i="96"/>
  <c r="B38" i="96" s="1"/>
  <c r="D38" i="96"/>
  <c r="E38" i="96"/>
  <c r="F38" i="96"/>
  <c r="G38" i="96"/>
  <c r="H38" i="96"/>
  <c r="C39" i="96"/>
  <c r="B39" i="96" s="1"/>
  <c r="D39" i="96"/>
  <c r="E39" i="96"/>
  <c r="F39" i="96"/>
  <c r="G39" i="96"/>
  <c r="H39" i="96"/>
  <c r="C40" i="96"/>
  <c r="B40" i="96" s="1"/>
  <c r="D40" i="96"/>
  <c r="E40" i="96"/>
  <c r="F40" i="96"/>
  <c r="G40" i="96"/>
  <c r="H40" i="96"/>
  <c r="C41" i="96"/>
  <c r="B41" i="96" s="1"/>
  <c r="D41" i="96"/>
  <c r="E41" i="96"/>
  <c r="F41" i="96"/>
  <c r="G41" i="96"/>
  <c r="H41" i="96"/>
  <c r="C42" i="96"/>
  <c r="B42" i="96" s="1"/>
  <c r="D42" i="96"/>
  <c r="E42" i="96"/>
  <c r="F42" i="96"/>
  <c r="G42" i="96"/>
  <c r="H42" i="96"/>
  <c r="C43" i="96"/>
  <c r="B43" i="96" s="1"/>
  <c r="D43" i="96"/>
  <c r="E43" i="96"/>
  <c r="F43" i="96"/>
  <c r="G43" i="96"/>
  <c r="H43" i="96"/>
  <c r="C44" i="96"/>
  <c r="B44" i="96" s="1"/>
  <c r="D44" i="96"/>
  <c r="E44" i="96"/>
  <c r="F44" i="96"/>
  <c r="G44" i="96"/>
  <c r="H44" i="96"/>
  <c r="C45" i="96"/>
  <c r="B45" i="96" s="1"/>
  <c r="D45" i="96"/>
  <c r="E45" i="96"/>
  <c r="F45" i="96"/>
  <c r="G45" i="96"/>
  <c r="H45" i="96"/>
  <c r="C46" i="96"/>
  <c r="B46" i="96" s="1"/>
  <c r="D46" i="96"/>
  <c r="E46" i="96"/>
  <c r="F46" i="96"/>
  <c r="G46" i="96"/>
  <c r="H46" i="96"/>
  <c r="C47" i="96"/>
  <c r="B47" i="96" s="1"/>
  <c r="D47" i="96"/>
  <c r="E47" i="96"/>
  <c r="F47" i="96"/>
  <c r="G47" i="96"/>
  <c r="H47" i="96"/>
  <c r="C48" i="96"/>
  <c r="B48" i="96" s="1"/>
  <c r="D48" i="96"/>
  <c r="E48" i="96"/>
  <c r="F48" i="96"/>
  <c r="G48" i="96"/>
  <c r="H48" i="96"/>
  <c r="C49" i="96"/>
  <c r="B49" i="96" s="1"/>
  <c r="D49" i="96"/>
  <c r="E49" i="96"/>
  <c r="F49" i="96"/>
  <c r="G49" i="96"/>
  <c r="H49" i="96"/>
  <c r="C50" i="96"/>
  <c r="B50" i="96" s="1"/>
  <c r="D50" i="96"/>
  <c r="E50" i="96"/>
  <c r="F50" i="96"/>
  <c r="G50" i="96"/>
  <c r="H50" i="96"/>
  <c r="C51" i="96"/>
  <c r="B51" i="96" s="1"/>
  <c r="D51" i="96"/>
  <c r="E51" i="96"/>
  <c r="F51" i="96"/>
  <c r="G51" i="96"/>
  <c r="H51" i="96"/>
  <c r="C52" i="96"/>
  <c r="B52" i="96" s="1"/>
  <c r="D52" i="96"/>
  <c r="E52" i="96"/>
  <c r="F52" i="96"/>
  <c r="G52" i="96"/>
  <c r="H52" i="96"/>
  <c r="C53" i="96"/>
  <c r="B53" i="96" s="1"/>
  <c r="D53" i="96"/>
  <c r="E53" i="96"/>
  <c r="F53" i="96"/>
  <c r="G53" i="96"/>
  <c r="H53" i="96"/>
  <c r="C54" i="96"/>
  <c r="B54" i="96" s="1"/>
  <c r="D54" i="96"/>
  <c r="E54" i="96"/>
  <c r="F54" i="96"/>
  <c r="G54" i="96"/>
  <c r="H54" i="96"/>
  <c r="C55" i="96"/>
  <c r="B55" i="96" s="1"/>
  <c r="D55" i="96"/>
  <c r="E55" i="96"/>
  <c r="F55" i="96"/>
  <c r="G55" i="96"/>
  <c r="H55" i="96"/>
  <c r="C56" i="96"/>
  <c r="B56" i="96" s="1"/>
  <c r="D56" i="96"/>
  <c r="E56" i="96"/>
  <c r="F56" i="96"/>
  <c r="G56" i="96"/>
  <c r="H56" i="96"/>
  <c r="C57" i="96"/>
  <c r="B57" i="96" s="1"/>
  <c r="D57" i="96"/>
  <c r="E57" i="96"/>
  <c r="F57" i="96"/>
  <c r="G57" i="96"/>
  <c r="H57" i="96"/>
  <c r="C58" i="96"/>
  <c r="B58" i="96" s="1"/>
  <c r="D58" i="96"/>
  <c r="E58" i="96"/>
  <c r="F58" i="96"/>
  <c r="G58" i="96"/>
  <c r="H58" i="96"/>
  <c r="C59" i="96"/>
  <c r="B59" i="96" s="1"/>
  <c r="D59" i="96"/>
  <c r="E59" i="96"/>
  <c r="F59" i="96"/>
  <c r="G59" i="96"/>
  <c r="H59" i="96"/>
  <c r="H12" i="96"/>
  <c r="G12" i="96"/>
  <c r="F12" i="96"/>
  <c r="E12" i="96"/>
  <c r="D12" i="96"/>
  <c r="C12" i="96"/>
  <c r="B12" i="96" s="1"/>
  <c r="H10" i="96"/>
  <c r="G10" i="96"/>
  <c r="F10" i="96"/>
  <c r="E10" i="96"/>
  <c r="D10" i="96"/>
  <c r="C10" i="96"/>
  <c r="B10" i="96" s="1"/>
  <c r="H8" i="96"/>
  <c r="G8" i="96"/>
  <c r="F8" i="96"/>
  <c r="E8" i="96"/>
  <c r="D8" i="96"/>
  <c r="C8" i="96"/>
  <c r="B8" i="96" s="1"/>
  <c r="H6" i="96"/>
  <c r="C14" i="95"/>
  <c r="B14" i="95" s="1"/>
  <c r="D14" i="95"/>
  <c r="E14" i="95"/>
  <c r="F14" i="95"/>
  <c r="G14" i="95"/>
  <c r="H14" i="95"/>
  <c r="C15" i="95"/>
  <c r="B15" i="95" s="1"/>
  <c r="D15" i="95"/>
  <c r="E15" i="95"/>
  <c r="F15" i="95"/>
  <c r="G15" i="95"/>
  <c r="H15" i="95"/>
  <c r="C16" i="95"/>
  <c r="B16" i="95" s="1"/>
  <c r="D16" i="95"/>
  <c r="E16" i="95"/>
  <c r="F16" i="95"/>
  <c r="G16" i="95"/>
  <c r="H16" i="95"/>
  <c r="C17" i="95"/>
  <c r="B17" i="95" s="1"/>
  <c r="D17" i="95"/>
  <c r="E17" i="95"/>
  <c r="F17" i="95"/>
  <c r="G17" i="95"/>
  <c r="H17" i="95"/>
  <c r="C18" i="95"/>
  <c r="B18" i="95" s="1"/>
  <c r="D18" i="95"/>
  <c r="E18" i="95"/>
  <c r="F18" i="95"/>
  <c r="G18" i="95"/>
  <c r="H18" i="95"/>
  <c r="C19" i="95"/>
  <c r="B19" i="95" s="1"/>
  <c r="D19" i="95"/>
  <c r="E19" i="95"/>
  <c r="F19" i="95"/>
  <c r="G19" i="95"/>
  <c r="H19" i="95"/>
  <c r="C20" i="95"/>
  <c r="B20" i="95" s="1"/>
  <c r="D20" i="95"/>
  <c r="E20" i="95"/>
  <c r="F20" i="95"/>
  <c r="G20" i="95"/>
  <c r="H20" i="95"/>
  <c r="C21" i="95"/>
  <c r="B21" i="95" s="1"/>
  <c r="D21" i="95"/>
  <c r="E21" i="95"/>
  <c r="F21" i="95"/>
  <c r="G21" i="95"/>
  <c r="H21" i="95"/>
  <c r="C22" i="95"/>
  <c r="B22" i="95" s="1"/>
  <c r="D22" i="95"/>
  <c r="E22" i="95"/>
  <c r="F22" i="95"/>
  <c r="G22" i="95"/>
  <c r="H22" i="95"/>
  <c r="C23" i="95"/>
  <c r="B23" i="95" s="1"/>
  <c r="D23" i="95"/>
  <c r="E23" i="95"/>
  <c r="F23" i="95"/>
  <c r="G23" i="95"/>
  <c r="H23" i="95"/>
  <c r="C24" i="95"/>
  <c r="B24" i="95" s="1"/>
  <c r="D24" i="95"/>
  <c r="E24" i="95"/>
  <c r="F24" i="95"/>
  <c r="G24" i="95"/>
  <c r="H24" i="95"/>
  <c r="C25" i="95"/>
  <c r="B25" i="95" s="1"/>
  <c r="D25" i="95"/>
  <c r="E25" i="95"/>
  <c r="F25" i="95"/>
  <c r="G25" i="95"/>
  <c r="H25" i="95"/>
  <c r="C26" i="95"/>
  <c r="B26" i="95" s="1"/>
  <c r="D26" i="95"/>
  <c r="E26" i="95"/>
  <c r="F26" i="95"/>
  <c r="G26" i="95"/>
  <c r="H26" i="95"/>
  <c r="C27" i="95"/>
  <c r="B27" i="95" s="1"/>
  <c r="D27" i="95"/>
  <c r="E27" i="95"/>
  <c r="F27" i="95"/>
  <c r="G27" i="95"/>
  <c r="H27" i="95"/>
  <c r="C28" i="95"/>
  <c r="B28" i="95" s="1"/>
  <c r="D28" i="95"/>
  <c r="E28" i="95"/>
  <c r="F28" i="95"/>
  <c r="G28" i="95"/>
  <c r="H28" i="95"/>
  <c r="C29" i="95"/>
  <c r="B29" i="95" s="1"/>
  <c r="D29" i="95"/>
  <c r="E29" i="95"/>
  <c r="F29" i="95"/>
  <c r="G29" i="95"/>
  <c r="H29" i="95"/>
  <c r="C30" i="95"/>
  <c r="B30" i="95" s="1"/>
  <c r="D30" i="95"/>
  <c r="E30" i="95"/>
  <c r="F30" i="95"/>
  <c r="G30" i="95"/>
  <c r="H30" i="95"/>
  <c r="C31" i="95"/>
  <c r="B31" i="95" s="1"/>
  <c r="D31" i="95"/>
  <c r="E31" i="95"/>
  <c r="F31" i="95"/>
  <c r="G31" i="95"/>
  <c r="H31" i="95"/>
  <c r="C32" i="95"/>
  <c r="B32" i="95" s="1"/>
  <c r="D32" i="95"/>
  <c r="E32" i="95"/>
  <c r="F32" i="95"/>
  <c r="G32" i="95"/>
  <c r="H32" i="95"/>
  <c r="C33" i="95"/>
  <c r="B33" i="95" s="1"/>
  <c r="D33" i="95"/>
  <c r="E33" i="95"/>
  <c r="F33" i="95"/>
  <c r="G33" i="95"/>
  <c r="H33" i="95"/>
  <c r="C34" i="95"/>
  <c r="B34" i="95" s="1"/>
  <c r="D34" i="95"/>
  <c r="E34" i="95"/>
  <c r="F34" i="95"/>
  <c r="G34" i="95"/>
  <c r="H34" i="95"/>
  <c r="C35" i="95"/>
  <c r="B35" i="95" s="1"/>
  <c r="D35" i="95"/>
  <c r="E35" i="95"/>
  <c r="F35" i="95"/>
  <c r="G35" i="95"/>
  <c r="H35" i="95"/>
  <c r="C36" i="95"/>
  <c r="B36" i="95" s="1"/>
  <c r="D36" i="95"/>
  <c r="E36" i="95"/>
  <c r="F36" i="95"/>
  <c r="G36" i="95"/>
  <c r="H36" i="95"/>
  <c r="C37" i="95"/>
  <c r="B37" i="95" s="1"/>
  <c r="D37" i="95"/>
  <c r="E37" i="95"/>
  <c r="F37" i="95"/>
  <c r="G37" i="95"/>
  <c r="H37" i="95"/>
  <c r="C38" i="95"/>
  <c r="B38" i="95" s="1"/>
  <c r="D38" i="95"/>
  <c r="E38" i="95"/>
  <c r="F38" i="95"/>
  <c r="G38" i="95"/>
  <c r="H38" i="95"/>
  <c r="C39" i="95"/>
  <c r="B39" i="95" s="1"/>
  <c r="D39" i="95"/>
  <c r="E39" i="95"/>
  <c r="F39" i="95"/>
  <c r="G39" i="95"/>
  <c r="H39" i="95"/>
  <c r="C40" i="95"/>
  <c r="B40" i="95" s="1"/>
  <c r="D40" i="95"/>
  <c r="E40" i="95"/>
  <c r="F40" i="95"/>
  <c r="G40" i="95"/>
  <c r="H40" i="95"/>
  <c r="C41" i="95"/>
  <c r="B41" i="95" s="1"/>
  <c r="D41" i="95"/>
  <c r="E41" i="95"/>
  <c r="F41" i="95"/>
  <c r="G41" i="95"/>
  <c r="H41" i="95"/>
  <c r="C42" i="95"/>
  <c r="B42" i="95" s="1"/>
  <c r="D42" i="95"/>
  <c r="E42" i="95"/>
  <c r="F42" i="95"/>
  <c r="G42" i="95"/>
  <c r="H42" i="95"/>
  <c r="C43" i="95"/>
  <c r="B43" i="95" s="1"/>
  <c r="D43" i="95"/>
  <c r="E43" i="95"/>
  <c r="F43" i="95"/>
  <c r="G43" i="95"/>
  <c r="H43" i="95"/>
  <c r="C44" i="95"/>
  <c r="B44" i="95" s="1"/>
  <c r="D44" i="95"/>
  <c r="E44" i="95"/>
  <c r="F44" i="95"/>
  <c r="G44" i="95"/>
  <c r="H44" i="95"/>
  <c r="C45" i="95"/>
  <c r="B45" i="95" s="1"/>
  <c r="D45" i="95"/>
  <c r="E45" i="95"/>
  <c r="F45" i="95"/>
  <c r="G45" i="95"/>
  <c r="H45" i="95"/>
  <c r="C46" i="95"/>
  <c r="B46" i="95" s="1"/>
  <c r="D46" i="95"/>
  <c r="E46" i="95"/>
  <c r="F46" i="95"/>
  <c r="G46" i="95"/>
  <c r="H46" i="95"/>
  <c r="C47" i="95"/>
  <c r="B47" i="95" s="1"/>
  <c r="D47" i="95"/>
  <c r="E47" i="95"/>
  <c r="F47" i="95"/>
  <c r="G47" i="95"/>
  <c r="H47" i="95"/>
  <c r="C48" i="95"/>
  <c r="B48" i="95" s="1"/>
  <c r="D48" i="95"/>
  <c r="E48" i="95"/>
  <c r="F48" i="95"/>
  <c r="G48" i="95"/>
  <c r="H48" i="95"/>
  <c r="C49" i="95"/>
  <c r="B49" i="95" s="1"/>
  <c r="D49" i="95"/>
  <c r="E49" i="95"/>
  <c r="F49" i="95"/>
  <c r="G49" i="95"/>
  <c r="H49" i="95"/>
  <c r="C50" i="95"/>
  <c r="B50" i="95" s="1"/>
  <c r="D50" i="95"/>
  <c r="E50" i="95"/>
  <c r="F50" i="95"/>
  <c r="G50" i="95"/>
  <c r="H50" i="95"/>
  <c r="C51" i="95"/>
  <c r="B51" i="95" s="1"/>
  <c r="D51" i="95"/>
  <c r="E51" i="95"/>
  <c r="F51" i="95"/>
  <c r="G51" i="95"/>
  <c r="H51" i="95"/>
  <c r="C52" i="95"/>
  <c r="B52" i="95" s="1"/>
  <c r="D52" i="95"/>
  <c r="E52" i="95"/>
  <c r="F52" i="95"/>
  <c r="G52" i="95"/>
  <c r="H52" i="95"/>
  <c r="C53" i="95"/>
  <c r="B53" i="95" s="1"/>
  <c r="D53" i="95"/>
  <c r="E53" i="95"/>
  <c r="F53" i="95"/>
  <c r="G53" i="95"/>
  <c r="H53" i="95"/>
  <c r="C54" i="95"/>
  <c r="B54" i="95" s="1"/>
  <c r="D54" i="95"/>
  <c r="E54" i="95"/>
  <c r="F54" i="95"/>
  <c r="G54" i="95"/>
  <c r="H54" i="95"/>
  <c r="C55" i="95"/>
  <c r="B55" i="95" s="1"/>
  <c r="D55" i="95"/>
  <c r="E55" i="95"/>
  <c r="F55" i="95"/>
  <c r="G55" i="95"/>
  <c r="H55" i="95"/>
  <c r="C56" i="95"/>
  <c r="B56" i="95" s="1"/>
  <c r="D56" i="95"/>
  <c r="E56" i="95"/>
  <c r="F56" i="95"/>
  <c r="G56" i="95"/>
  <c r="H56" i="95"/>
  <c r="C57" i="95"/>
  <c r="B57" i="95" s="1"/>
  <c r="D57" i="95"/>
  <c r="E57" i="95"/>
  <c r="F57" i="95"/>
  <c r="G57" i="95"/>
  <c r="H57" i="95"/>
  <c r="C58" i="95"/>
  <c r="B58" i="95" s="1"/>
  <c r="D58" i="95"/>
  <c r="E58" i="95"/>
  <c r="F58" i="95"/>
  <c r="G58" i="95"/>
  <c r="H58" i="95"/>
  <c r="C59" i="95"/>
  <c r="B59" i="95" s="1"/>
  <c r="D59" i="95"/>
  <c r="E59" i="95"/>
  <c r="F59" i="95"/>
  <c r="G59" i="95"/>
  <c r="H59" i="95"/>
  <c r="C60" i="95"/>
  <c r="B60" i="95" s="1"/>
  <c r="D60" i="95"/>
  <c r="E60" i="95"/>
  <c r="F60" i="95"/>
  <c r="G60" i="95"/>
  <c r="H60" i="95"/>
  <c r="H13" i="95"/>
  <c r="G13" i="95"/>
  <c r="F13" i="95"/>
  <c r="E13" i="95"/>
  <c r="D13" i="95"/>
  <c r="C13" i="95"/>
  <c r="B13" i="95" s="1"/>
  <c r="H11" i="95"/>
  <c r="G11" i="95"/>
  <c r="F11" i="95"/>
  <c r="E11" i="95"/>
  <c r="D11" i="95"/>
  <c r="C11" i="95"/>
  <c r="B11" i="95" s="1"/>
  <c r="H9" i="95"/>
  <c r="G9" i="95"/>
  <c r="F9" i="95"/>
  <c r="E9" i="95"/>
  <c r="D9" i="95"/>
  <c r="C9" i="95"/>
  <c r="B9" i="95" s="1"/>
  <c r="D7" i="95"/>
  <c r="E7" i="95"/>
  <c r="F7" i="95"/>
  <c r="G7" i="95"/>
  <c r="H7" i="95"/>
  <c r="C7" i="95"/>
  <c r="B7" i="95" s="1"/>
  <c r="H6" i="97" l="1"/>
  <c r="B6" i="97"/>
  <c r="F8" i="97"/>
  <c r="B10" i="97"/>
  <c r="F12" i="97"/>
  <c r="B13" i="97"/>
  <c r="F14" i="97"/>
  <c r="B15" i="97"/>
  <c r="F16" i="97"/>
  <c r="B17" i="97"/>
  <c r="F18" i="97"/>
  <c r="B19" i="97"/>
  <c r="F20" i="97"/>
  <c r="B21" i="97"/>
  <c r="F22" i="97"/>
  <c r="B23" i="97"/>
  <c r="F24" i="97"/>
  <c r="B25" i="97"/>
  <c r="F26" i="97"/>
  <c r="B27" i="97"/>
  <c r="F28" i="97"/>
  <c r="B29" i="97"/>
  <c r="F30" i="97"/>
  <c r="B31" i="97"/>
  <c r="F32" i="97"/>
  <c r="B33" i="97"/>
  <c r="F34" i="97"/>
  <c r="B35" i="97"/>
  <c r="F36" i="97"/>
  <c r="B37" i="97"/>
  <c r="F38" i="97"/>
  <c r="B39" i="97"/>
  <c r="F40" i="97"/>
  <c r="B41" i="97"/>
  <c r="F42" i="97"/>
  <c r="B43" i="97"/>
  <c r="F44" i="97"/>
  <c r="B45" i="97"/>
  <c r="F46" i="97"/>
  <c r="B47" i="97"/>
  <c r="F48" i="97"/>
  <c r="B49" i="97"/>
  <c r="F50" i="97"/>
  <c r="B51" i="97"/>
  <c r="F52" i="97"/>
  <c r="B53" i="97"/>
  <c r="F54" i="97"/>
  <c r="B55" i="97"/>
  <c r="F56" i="97"/>
  <c r="B57" i="97"/>
  <c r="F58" i="97"/>
  <c r="E59" i="97"/>
  <c r="F6" i="97"/>
  <c r="B8" i="97"/>
  <c r="F10" i="97"/>
  <c r="B12" i="97"/>
  <c r="F13" i="97"/>
  <c r="B14" i="97"/>
  <c r="F15" i="97"/>
  <c r="B16" i="97"/>
  <c r="F17" i="97"/>
  <c r="B18" i="97"/>
  <c r="F19" i="97"/>
  <c r="B20" i="97"/>
  <c r="F21" i="97"/>
  <c r="B22" i="97"/>
  <c r="F23" i="97"/>
  <c r="B24" i="97"/>
  <c r="F25" i="97"/>
  <c r="B26" i="97"/>
  <c r="F27" i="97"/>
  <c r="B28" i="97"/>
  <c r="F29" i="97"/>
  <c r="B30" i="97"/>
  <c r="F31" i="97"/>
  <c r="B32" i="97"/>
  <c r="F33" i="97"/>
  <c r="B34" i="97"/>
  <c r="F35" i="97"/>
  <c r="B36" i="97"/>
  <c r="F37" i="97"/>
  <c r="B38" i="97"/>
  <c r="F39" i="97"/>
  <c r="B40" i="97"/>
  <c r="F41" i="97"/>
  <c r="B42" i="97"/>
  <c r="F43" i="97"/>
  <c r="B44" i="97"/>
  <c r="F45" i="97"/>
  <c r="B46" i="97"/>
  <c r="F47" i="97"/>
  <c r="B48" i="97"/>
  <c r="F49" i="97"/>
  <c r="B50" i="97"/>
  <c r="F51" i="97"/>
  <c r="B52" i="97"/>
  <c r="F53" i="97"/>
  <c r="B54" i="97"/>
  <c r="F55" i="97"/>
  <c r="B56" i="97"/>
  <c r="F57" i="97"/>
  <c r="B58" i="97"/>
  <c r="H59" i="97"/>
  <c r="C59" i="97"/>
  <c r="C6" i="97"/>
  <c r="G8" i="97"/>
  <c r="C10" i="97"/>
  <c r="G12" i="97"/>
  <c r="C13" i="97"/>
  <c r="G14" i="97"/>
  <c r="C15" i="97"/>
  <c r="G16" i="97"/>
  <c r="C17" i="97"/>
  <c r="G18" i="97"/>
  <c r="C19" i="97"/>
  <c r="G20" i="97"/>
  <c r="C21" i="97"/>
  <c r="G22" i="97"/>
  <c r="C23" i="97"/>
  <c r="G24" i="97"/>
  <c r="C25" i="97"/>
  <c r="G26" i="97"/>
  <c r="C27" i="97"/>
  <c r="G28" i="97"/>
  <c r="C29" i="97"/>
  <c r="G30" i="97"/>
  <c r="C31" i="97"/>
  <c r="G32" i="97"/>
  <c r="C33" i="97"/>
  <c r="G34" i="97"/>
  <c r="C35" i="97"/>
  <c r="G36" i="97"/>
  <c r="C37" i="97"/>
  <c r="G38" i="97"/>
  <c r="C39" i="97"/>
  <c r="G40" i="97"/>
  <c r="C41" i="97"/>
  <c r="G42" i="97"/>
  <c r="C43" i="97"/>
  <c r="G44" i="97"/>
  <c r="C45" i="97"/>
  <c r="G46" i="97"/>
  <c r="C47" i="97"/>
  <c r="G48" i="97"/>
  <c r="C49" i="97"/>
  <c r="G50" i="97"/>
  <c r="C51" i="97"/>
  <c r="G52" i="97"/>
  <c r="C53" i="97"/>
  <c r="G54" i="97"/>
  <c r="C55" i="97"/>
  <c r="G56" i="97"/>
  <c r="C57" i="97"/>
  <c r="G58" i="97"/>
  <c r="D59" i="97"/>
  <c r="F11" i="57"/>
  <c r="H11" i="57"/>
  <c r="D6" i="97"/>
  <c r="H8" i="97"/>
  <c r="D10" i="97"/>
  <c r="H12" i="97"/>
  <c r="D13" i="97"/>
  <c r="H14" i="97"/>
  <c r="D15" i="97"/>
  <c r="H16" i="97"/>
  <c r="D17" i="97"/>
  <c r="H18" i="97"/>
  <c r="D19" i="97"/>
  <c r="H20" i="97"/>
  <c r="D21" i="97"/>
  <c r="H22" i="97"/>
  <c r="D23" i="97"/>
  <c r="H24" i="97"/>
  <c r="D25" i="97"/>
  <c r="H26" i="97"/>
  <c r="D27" i="97"/>
  <c r="H28" i="97"/>
  <c r="D29" i="97"/>
  <c r="H30" i="97"/>
  <c r="D31" i="97"/>
  <c r="H32" i="97"/>
  <c r="D33" i="97"/>
  <c r="H34" i="97"/>
  <c r="D35" i="97"/>
  <c r="H36" i="97"/>
  <c r="D37" i="97"/>
  <c r="H38" i="97"/>
  <c r="D39" i="97"/>
  <c r="H40" i="97"/>
  <c r="D41" i="97"/>
  <c r="H42" i="97"/>
  <c r="D43" i="97"/>
  <c r="H44" i="97"/>
  <c r="D45" i="97"/>
  <c r="H46" i="97"/>
  <c r="D47" i="97"/>
  <c r="H48" i="97"/>
  <c r="D49" i="97"/>
  <c r="H50" i="97"/>
  <c r="D51" i="97"/>
  <c r="H52" i="97"/>
  <c r="D53" i="97"/>
  <c r="H54" i="97"/>
  <c r="D55" i="97"/>
  <c r="H56" i="97"/>
  <c r="D57" i="97"/>
  <c r="H58" i="97"/>
  <c r="F59" i="97"/>
  <c r="E6" i="97"/>
  <c r="E10" i="97"/>
  <c r="E13" i="97"/>
  <c r="E15" i="97"/>
  <c r="E17" i="97"/>
  <c r="E19" i="97"/>
  <c r="E21" i="97"/>
  <c r="E23" i="97"/>
  <c r="E25" i="97"/>
  <c r="E27" i="97"/>
  <c r="E29" i="97"/>
  <c r="E31" i="97"/>
  <c r="E33" i="97"/>
  <c r="E35" i="97"/>
  <c r="E37" i="97"/>
  <c r="E39" i="97"/>
  <c r="E41" i="97"/>
  <c r="E43" i="97"/>
  <c r="E45" i="97"/>
  <c r="E47" i="97"/>
  <c r="E49" i="97"/>
  <c r="E51" i="97"/>
  <c r="E53" i="97"/>
  <c r="E55" i="97"/>
  <c r="E57" i="97"/>
  <c r="G59" i="97"/>
  <c r="G13" i="97"/>
  <c r="C14" i="97"/>
  <c r="G15" i="97"/>
  <c r="C16" i="97"/>
  <c r="G19" i="97"/>
  <c r="G23" i="97"/>
  <c r="C24" i="97"/>
  <c r="G25" i="97"/>
  <c r="C26" i="97"/>
  <c r="G27" i="97"/>
  <c r="C28" i="97"/>
  <c r="C40" i="97"/>
  <c r="C42" i="97"/>
  <c r="C44" i="97"/>
  <c r="C46" i="97"/>
  <c r="G47" i="97"/>
  <c r="G49" i="97"/>
  <c r="G51" i="97"/>
  <c r="C54" i="97"/>
  <c r="G55" i="97"/>
  <c r="C56" i="97"/>
  <c r="C58" i="97"/>
  <c r="B59" i="97"/>
  <c r="D8" i="97"/>
  <c r="H10" i="97"/>
  <c r="D12" i="97"/>
  <c r="H13" i="97"/>
  <c r="D14" i="97"/>
  <c r="H15" i="97"/>
  <c r="D16" i="97"/>
  <c r="H17" i="97"/>
  <c r="D18" i="97"/>
  <c r="H19" i="97"/>
  <c r="D20" i="97"/>
  <c r="H21" i="97"/>
  <c r="D22" i="97"/>
  <c r="H23" i="97"/>
  <c r="D24" i="97"/>
  <c r="H25" i="97"/>
  <c r="D26" i="97"/>
  <c r="H27" i="97"/>
  <c r="D28" i="97"/>
  <c r="H29" i="97"/>
  <c r="D30" i="97"/>
  <c r="H31" i="97"/>
  <c r="D32" i="97"/>
  <c r="H33" i="97"/>
  <c r="D34" i="97"/>
  <c r="H35" i="97"/>
  <c r="D36" i="97"/>
  <c r="H37" i="97"/>
  <c r="D38" i="97"/>
  <c r="H39" i="97"/>
  <c r="D40" i="97"/>
  <c r="H41" i="97"/>
  <c r="D42" i="97"/>
  <c r="H43" i="97"/>
  <c r="D44" i="97"/>
  <c r="H45" i="97"/>
  <c r="D46" i="97"/>
  <c r="H47" i="97"/>
  <c r="D48" i="97"/>
  <c r="H49" i="97"/>
  <c r="D50" i="97"/>
  <c r="H51" i="97"/>
  <c r="D52" i="97"/>
  <c r="H53" i="97"/>
  <c r="D54" i="97"/>
  <c r="H55" i="97"/>
  <c r="D56" i="97"/>
  <c r="H57" i="97"/>
  <c r="D58" i="97"/>
  <c r="G6" i="97"/>
  <c r="C8" i="97"/>
  <c r="G10" i="97"/>
  <c r="C12" i="97"/>
  <c r="G17" i="97"/>
  <c r="C18" i="97"/>
  <c r="C20" i="97"/>
  <c r="G21" i="97"/>
  <c r="C22" i="97"/>
  <c r="G29" i="97"/>
  <c r="C30" i="97"/>
  <c r="G31" i="97"/>
  <c r="C32" i="97"/>
  <c r="G33" i="97"/>
  <c r="C34" i="97"/>
  <c r="G35" i="97"/>
  <c r="C36" i="97"/>
  <c r="G37" i="97"/>
  <c r="C38" i="97"/>
  <c r="G39" i="97"/>
  <c r="G41" i="97"/>
  <c r="G43" i="97"/>
  <c r="G45" i="97"/>
  <c r="C48" i="97"/>
  <c r="C50" i="97"/>
  <c r="C52" i="97"/>
  <c r="G53" i="97"/>
  <c r="G57" i="97"/>
  <c r="E8" i="97"/>
  <c r="E12" i="97"/>
  <c r="E14" i="97"/>
  <c r="E16" i="97"/>
  <c r="E18" i="97"/>
  <c r="E20" i="97"/>
  <c r="E22" i="97"/>
  <c r="E24" i="97"/>
  <c r="E26" i="97"/>
  <c r="E28" i="97"/>
  <c r="E30" i="97"/>
  <c r="E32" i="97"/>
  <c r="E34" i="97"/>
  <c r="E36" i="97"/>
  <c r="E38" i="97"/>
  <c r="E40" i="97"/>
  <c r="E42" i="97"/>
  <c r="E44" i="97"/>
  <c r="E46" i="97"/>
  <c r="E48" i="97"/>
  <c r="E50" i="97"/>
  <c r="E52" i="97"/>
  <c r="E54" i="97"/>
  <c r="E56" i="97"/>
  <c r="E58" i="97"/>
  <c r="J6" i="97"/>
  <c r="J10" i="97"/>
  <c r="N12" i="97"/>
  <c r="N14" i="97"/>
  <c r="N16" i="97"/>
  <c r="J19" i="97"/>
  <c r="N20" i="97"/>
  <c r="J21" i="97"/>
  <c r="N22" i="97"/>
  <c r="N24" i="97"/>
  <c r="J29" i="97"/>
  <c r="N30" i="97"/>
  <c r="J33" i="97"/>
  <c r="N34" i="97"/>
  <c r="J35" i="97"/>
  <c r="J39" i="97"/>
  <c r="N42" i="97"/>
  <c r="J43" i="97"/>
  <c r="N46" i="97"/>
  <c r="J47" i="97"/>
  <c r="J51" i="97"/>
  <c r="J55" i="97"/>
  <c r="M59" i="97"/>
  <c r="N8" i="97"/>
  <c r="J13" i="97"/>
  <c r="J15" i="97"/>
  <c r="J17" i="97"/>
  <c r="J27" i="97"/>
  <c r="N32" i="97"/>
  <c r="J37" i="97"/>
  <c r="N38" i="97"/>
  <c r="N40" i="97"/>
  <c r="J45" i="97"/>
  <c r="N48" i="97"/>
  <c r="N52" i="97"/>
  <c r="N54" i="97"/>
  <c r="J57" i="97"/>
  <c r="N58" i="97"/>
  <c r="L59" i="97"/>
  <c r="N18" i="97"/>
  <c r="J23" i="97"/>
  <c r="J25" i="97"/>
  <c r="N26" i="97"/>
  <c r="N28" i="97"/>
  <c r="J31" i="97"/>
  <c r="N36" i="97"/>
  <c r="J41" i="97"/>
  <c r="N44" i="97"/>
  <c r="J49" i="97"/>
  <c r="N50" i="97"/>
  <c r="J53" i="97"/>
  <c r="N56" i="97"/>
  <c r="K59" i="97"/>
  <c r="O12" i="97"/>
  <c r="O14" i="97"/>
  <c r="K17" i="97"/>
  <c r="K13" i="97"/>
  <c r="O20" i="97"/>
  <c r="M6" i="97"/>
  <c r="M10" i="97"/>
  <c r="M13" i="97"/>
  <c r="K10" i="97"/>
  <c r="K15" i="97"/>
  <c r="K6" i="97"/>
  <c r="O8" i="97"/>
  <c r="O16" i="97"/>
  <c r="O18" i="97"/>
  <c r="K19" i="97"/>
  <c r="K21" i="97"/>
  <c r="O22" i="97"/>
  <c r="K23" i="97"/>
  <c r="O24" i="97"/>
  <c r="K25" i="97"/>
  <c r="O26" i="97"/>
  <c r="K27" i="97"/>
  <c r="O28" i="97"/>
  <c r="K29" i="97"/>
  <c r="O30" i="97"/>
  <c r="K31" i="97"/>
  <c r="O32" i="97"/>
  <c r="K33" i="97"/>
  <c r="O34" i="97"/>
  <c r="K35" i="97"/>
  <c r="O36" i="97"/>
  <c r="K37" i="97"/>
  <c r="O38" i="97"/>
  <c r="K39" i="97"/>
  <c r="O40" i="97"/>
  <c r="K41" i="97"/>
  <c r="O42" i="97"/>
  <c r="K43" i="97"/>
  <c r="O44" i="97"/>
  <c r="K45" i="97"/>
  <c r="O46" i="97"/>
  <c r="K47" i="97"/>
  <c r="O48" i="97"/>
  <c r="K49" i="97"/>
  <c r="O50" i="97"/>
  <c r="K51" i="97"/>
  <c r="O52" i="97"/>
  <c r="K53" i="97"/>
  <c r="O54" i="97"/>
  <c r="K55" i="97"/>
  <c r="O56" i="97"/>
  <c r="K57" i="97"/>
  <c r="O58" i="97"/>
  <c r="L6" i="97"/>
  <c r="P8" i="97"/>
  <c r="L10" i="97"/>
  <c r="P12" i="97"/>
  <c r="L13" i="97"/>
  <c r="P14" i="97"/>
  <c r="L15" i="97"/>
  <c r="P16" i="97"/>
  <c r="L17" i="97"/>
  <c r="P18" i="97"/>
  <c r="L19" i="97"/>
  <c r="P20" i="97"/>
  <c r="L21" i="97"/>
  <c r="P22" i="97"/>
  <c r="L23" i="97"/>
  <c r="P24" i="97"/>
  <c r="L25" i="97"/>
  <c r="P26" i="97"/>
  <c r="L27" i="97"/>
  <c r="P28" i="97"/>
  <c r="L29" i="97"/>
  <c r="P30" i="97"/>
  <c r="L31" i="97"/>
  <c r="P32" i="97"/>
  <c r="L33" i="97"/>
  <c r="P34" i="97"/>
  <c r="L35" i="97"/>
  <c r="P36" i="97"/>
  <c r="L37" i="97"/>
  <c r="P38" i="97"/>
  <c r="L39" i="97"/>
  <c r="P40" i="97"/>
  <c r="L41" i="97"/>
  <c r="P42" i="97"/>
  <c r="L43" i="97"/>
  <c r="P44" i="97"/>
  <c r="L45" i="97"/>
  <c r="P46" i="97"/>
  <c r="L47" i="97"/>
  <c r="P48" i="97"/>
  <c r="L49" i="97"/>
  <c r="P50" i="97"/>
  <c r="L51" i="97"/>
  <c r="P52" i="97"/>
  <c r="L53" i="97"/>
  <c r="P54" i="97"/>
  <c r="L55" i="97"/>
  <c r="P56" i="97"/>
  <c r="L57" i="97"/>
  <c r="P58" i="97"/>
  <c r="N59" i="97"/>
  <c r="M15" i="97"/>
  <c r="M17" i="97"/>
  <c r="M19" i="97"/>
  <c r="M21" i="97"/>
  <c r="M23" i="97"/>
  <c r="M25" i="97"/>
  <c r="M27" i="97"/>
  <c r="M29" i="97"/>
  <c r="M31" i="97"/>
  <c r="M33" i="97"/>
  <c r="M35" i="97"/>
  <c r="M37" i="97"/>
  <c r="M39" i="97"/>
  <c r="M41" i="97"/>
  <c r="M43" i="97"/>
  <c r="M45" i="97"/>
  <c r="M47" i="97"/>
  <c r="M49" i="97"/>
  <c r="M51" i="97"/>
  <c r="M53" i="97"/>
  <c r="M55" i="97"/>
  <c r="M57" i="97"/>
  <c r="O59" i="97"/>
  <c r="N6" i="97"/>
  <c r="J8" i="97"/>
  <c r="N10" i="97"/>
  <c r="J12" i="97"/>
  <c r="N13" i="97"/>
  <c r="J14" i="97"/>
  <c r="N15" i="97"/>
  <c r="J16" i="97"/>
  <c r="N17" i="97"/>
  <c r="J18" i="97"/>
  <c r="N19" i="97"/>
  <c r="J20" i="97"/>
  <c r="N21" i="97"/>
  <c r="J22" i="97"/>
  <c r="N23" i="97"/>
  <c r="J24" i="97"/>
  <c r="N25" i="97"/>
  <c r="J26" i="97"/>
  <c r="N27" i="97"/>
  <c r="J28" i="97"/>
  <c r="N29" i="97"/>
  <c r="J30" i="97"/>
  <c r="N31" i="97"/>
  <c r="J32" i="97"/>
  <c r="N33" i="97"/>
  <c r="J34" i="97"/>
  <c r="N35" i="97"/>
  <c r="J36" i="97"/>
  <c r="N37" i="97"/>
  <c r="J38" i="97"/>
  <c r="N39" i="97"/>
  <c r="J40" i="97"/>
  <c r="N41" i="97"/>
  <c r="J42" i="97"/>
  <c r="N43" i="97"/>
  <c r="J44" i="97"/>
  <c r="N45" i="97"/>
  <c r="J46" i="97"/>
  <c r="N47" i="97"/>
  <c r="J48" i="97"/>
  <c r="N49" i="97"/>
  <c r="J50" i="97"/>
  <c r="N51" i="97"/>
  <c r="J52" i="97"/>
  <c r="N53" i="97"/>
  <c r="J54" i="97"/>
  <c r="N55" i="97"/>
  <c r="J56" i="97"/>
  <c r="N57" i="97"/>
  <c r="J58" i="97"/>
  <c r="P59" i="97"/>
  <c r="O13" i="97"/>
  <c r="K14" i="97"/>
  <c r="K18" i="97"/>
  <c r="O21" i="97"/>
  <c r="K22" i="97"/>
  <c r="K24" i="97"/>
  <c r="K26" i="97"/>
  <c r="K30" i="97"/>
  <c r="O31" i="97"/>
  <c r="O35" i="97"/>
  <c r="K36" i="97"/>
  <c r="K38" i="97"/>
  <c r="K40" i="97"/>
  <c r="O41" i="97"/>
  <c r="O43" i="97"/>
  <c r="K44" i="97"/>
  <c r="K46" i="97"/>
  <c r="O51" i="97"/>
  <c r="K52" i="97"/>
  <c r="O53" i="97"/>
  <c r="K58" i="97"/>
  <c r="P6" i="97"/>
  <c r="L8" i="97"/>
  <c r="P10" i="97"/>
  <c r="L12" i="97"/>
  <c r="P13" i="97"/>
  <c r="L14" i="97"/>
  <c r="P15" i="97"/>
  <c r="L16" i="97"/>
  <c r="P17" i="97"/>
  <c r="L18" i="97"/>
  <c r="P19" i="97"/>
  <c r="L20" i="97"/>
  <c r="P21" i="97"/>
  <c r="L22" i="97"/>
  <c r="P23" i="97"/>
  <c r="L24" i="97"/>
  <c r="P25" i="97"/>
  <c r="L26" i="97"/>
  <c r="P27" i="97"/>
  <c r="L28" i="97"/>
  <c r="P29" i="97"/>
  <c r="L30" i="97"/>
  <c r="P31" i="97"/>
  <c r="L32" i="97"/>
  <c r="P33" i="97"/>
  <c r="L34" i="97"/>
  <c r="P35" i="97"/>
  <c r="L36" i="97"/>
  <c r="P37" i="97"/>
  <c r="L38" i="97"/>
  <c r="P39" i="97"/>
  <c r="L40" i="97"/>
  <c r="P41" i="97"/>
  <c r="L42" i="97"/>
  <c r="P43" i="97"/>
  <c r="L44" i="97"/>
  <c r="P45" i="97"/>
  <c r="L46" i="97"/>
  <c r="P47" i="97"/>
  <c r="L48" i="97"/>
  <c r="P49" i="97"/>
  <c r="L50" i="97"/>
  <c r="P51" i="97"/>
  <c r="L52" i="97"/>
  <c r="P53" i="97"/>
  <c r="L54" i="97"/>
  <c r="P55" i="97"/>
  <c r="L56" i="97"/>
  <c r="P57" i="97"/>
  <c r="L58" i="97"/>
  <c r="O6" i="97"/>
  <c r="K8" i="97"/>
  <c r="O10" i="97"/>
  <c r="K12" i="97"/>
  <c r="O15" i="97"/>
  <c r="K16" i="97"/>
  <c r="O17" i="97"/>
  <c r="O19" i="97"/>
  <c r="K20" i="97"/>
  <c r="O23" i="97"/>
  <c r="O25" i="97"/>
  <c r="O27" i="97"/>
  <c r="K28" i="97"/>
  <c r="O29" i="97"/>
  <c r="K32" i="97"/>
  <c r="O33" i="97"/>
  <c r="K34" i="97"/>
  <c r="O37" i="97"/>
  <c r="O39" i="97"/>
  <c r="K42" i="97"/>
  <c r="O45" i="97"/>
  <c r="O47" i="97"/>
  <c r="K48" i="97"/>
  <c r="O49" i="97"/>
  <c r="K50" i="97"/>
  <c r="K54" i="97"/>
  <c r="O55" i="97"/>
  <c r="K56" i="97"/>
  <c r="O57" i="97"/>
  <c r="J59" i="97"/>
  <c r="M8" i="97"/>
  <c r="M12" i="97"/>
  <c r="M14" i="97"/>
  <c r="M16" i="97"/>
  <c r="M18" i="97"/>
  <c r="M20" i="97"/>
  <c r="M22" i="97"/>
  <c r="M24" i="97"/>
  <c r="M26" i="97"/>
  <c r="M28" i="97"/>
  <c r="M30" i="97"/>
  <c r="M32" i="97"/>
  <c r="M34" i="97"/>
  <c r="M36" i="97"/>
  <c r="M38" i="97"/>
  <c r="M40" i="97"/>
  <c r="M42" i="97"/>
  <c r="M44" i="97"/>
  <c r="M46" i="97"/>
  <c r="M48" i="97"/>
  <c r="M50" i="97"/>
  <c r="M52" i="97"/>
  <c r="M54" i="97"/>
  <c r="M56" i="97"/>
  <c r="M58" i="97"/>
  <c r="G73" i="98"/>
  <c r="G87" i="98"/>
  <c r="N74" i="98"/>
  <c r="N76" i="98"/>
  <c r="N78" i="98"/>
  <c r="N80" i="98"/>
  <c r="N82" i="98"/>
  <c r="N84" i="98"/>
  <c r="N86" i="98"/>
  <c r="N88" i="98"/>
  <c r="N90" i="98"/>
  <c r="N92" i="98"/>
  <c r="G94" i="98"/>
  <c r="G81" i="98"/>
  <c r="G85" i="98"/>
  <c r="G74" i="98"/>
  <c r="G76" i="98"/>
  <c r="G78" i="98"/>
  <c r="G80" i="98"/>
  <c r="G82" i="98"/>
  <c r="G84" i="98"/>
  <c r="G86" i="98"/>
  <c r="G88" i="98"/>
  <c r="G90" i="98"/>
  <c r="G92" i="98"/>
  <c r="G83" i="98"/>
  <c r="G91" i="98"/>
  <c r="G93" i="98"/>
  <c r="N73" i="98"/>
  <c r="N75" i="98"/>
  <c r="N77" i="98"/>
  <c r="N79" i="98"/>
  <c r="N81" i="98"/>
  <c r="N83" i="98"/>
  <c r="N85" i="98"/>
  <c r="N87" i="98"/>
  <c r="N89" i="98"/>
  <c r="N91" i="98"/>
  <c r="N93" i="98"/>
  <c r="G75" i="98"/>
  <c r="G77" i="98"/>
  <c r="G79" i="98"/>
  <c r="G89" i="98"/>
  <c r="N94" i="98"/>
  <c r="G46" i="98"/>
  <c r="G42" i="98"/>
  <c r="G44" i="98"/>
  <c r="D44" i="98"/>
  <c r="D46" i="98"/>
  <c r="CT56" i="74"/>
  <c r="CT8" i="74"/>
  <c r="CT10" i="74"/>
  <c r="CT12" i="74"/>
  <c r="CT13" i="74"/>
  <c r="CT14" i="74"/>
  <c r="CT15" i="74"/>
  <c r="CT16" i="74"/>
  <c r="CT17" i="74"/>
  <c r="CT18" i="74"/>
  <c r="CT19" i="74"/>
  <c r="CT20" i="74"/>
  <c r="CT21" i="74"/>
  <c r="CT22" i="74"/>
  <c r="CT23" i="74"/>
  <c r="CT24" i="74"/>
  <c r="CT25" i="74"/>
  <c r="CT26" i="74"/>
  <c r="CT27" i="74"/>
  <c r="CT28" i="74"/>
  <c r="CT29" i="74"/>
  <c r="CT30" i="74"/>
  <c r="CT31" i="74"/>
  <c r="CT32" i="74"/>
  <c r="CT33" i="74"/>
  <c r="CT34" i="74"/>
  <c r="CT35" i="74"/>
  <c r="CT36" i="74"/>
  <c r="CT37" i="74"/>
  <c r="CT38" i="74"/>
  <c r="CT39" i="74"/>
  <c r="CT40" i="74"/>
  <c r="CT41" i="74"/>
  <c r="CT42" i="74"/>
  <c r="CT43" i="74"/>
  <c r="CT44" i="74"/>
  <c r="CT45" i="74"/>
  <c r="CT46" i="74"/>
  <c r="CT47" i="74"/>
  <c r="CT48" i="74"/>
  <c r="CT49" i="74"/>
  <c r="CT50" i="74"/>
  <c r="CT51" i="74"/>
  <c r="CT52" i="74"/>
  <c r="CT53" i="74"/>
  <c r="CT54" i="74"/>
  <c r="CT55" i="74"/>
  <c r="CT58" i="74"/>
  <c r="CT59" i="74"/>
  <c r="CJ12" i="74"/>
  <c r="CJ14" i="74"/>
  <c r="CJ15" i="74"/>
  <c r="CJ16" i="74"/>
  <c r="CJ17" i="74"/>
  <c r="CJ18" i="74"/>
  <c r="CJ19" i="74"/>
  <c r="CJ20" i="74"/>
  <c r="CJ21" i="74"/>
  <c r="CJ22" i="74"/>
  <c r="CJ23" i="74"/>
  <c r="CJ24" i="74"/>
  <c r="CJ25" i="74"/>
  <c r="CJ26" i="74"/>
  <c r="CJ27" i="74"/>
  <c r="CJ28" i="74"/>
  <c r="CJ29" i="74"/>
  <c r="CJ30" i="74"/>
  <c r="CJ31" i="74"/>
  <c r="CJ32" i="74"/>
  <c r="CJ33" i="74"/>
  <c r="CJ34" i="74"/>
  <c r="CJ35" i="74"/>
  <c r="CJ36" i="74"/>
  <c r="CJ37" i="74"/>
  <c r="CJ38" i="74"/>
  <c r="CJ39" i="74"/>
  <c r="CJ40" i="74"/>
  <c r="CJ41" i="74"/>
  <c r="CJ42" i="74"/>
  <c r="CJ43" i="74"/>
  <c r="CJ44" i="74"/>
  <c r="CJ45" i="74"/>
  <c r="CJ46" i="74"/>
  <c r="CJ47" i="74"/>
  <c r="CJ48" i="74"/>
  <c r="CJ49" i="74"/>
  <c r="CJ50" i="74"/>
  <c r="CJ51" i="74"/>
  <c r="CJ52" i="74"/>
  <c r="CJ53" i="74"/>
  <c r="CJ54" i="74"/>
  <c r="CJ55" i="74"/>
  <c r="CJ56" i="74"/>
  <c r="CJ57" i="74"/>
  <c r="CJ58" i="74"/>
  <c r="CJ59" i="74"/>
  <c r="CJ10" i="74"/>
  <c r="CJ8" i="74"/>
  <c r="CA13" i="74"/>
  <c r="CA14" i="74"/>
  <c r="CA15" i="74"/>
  <c r="CA16" i="74"/>
  <c r="CA17" i="74"/>
  <c r="CA18" i="74"/>
  <c r="CA19" i="74"/>
  <c r="CA20" i="74"/>
  <c r="CA21" i="74"/>
  <c r="CA22" i="74"/>
  <c r="CA23" i="74"/>
  <c r="CA24" i="74"/>
  <c r="CA25" i="74"/>
  <c r="CA26" i="74"/>
  <c r="CA27" i="74"/>
  <c r="CA28" i="74"/>
  <c r="CA29" i="74"/>
  <c r="CA30" i="74"/>
  <c r="CA31" i="74"/>
  <c r="CA32" i="74"/>
  <c r="CA33" i="74"/>
  <c r="CA34" i="74"/>
  <c r="CA35" i="74"/>
  <c r="CA36" i="74"/>
  <c r="CA37" i="74"/>
  <c r="CA38" i="74"/>
  <c r="CA39" i="74"/>
  <c r="CA40" i="74"/>
  <c r="CA41" i="74"/>
  <c r="CA42" i="74"/>
  <c r="CA43" i="74"/>
  <c r="CA44" i="74"/>
  <c r="CA45" i="74"/>
  <c r="CA46" i="74"/>
  <c r="CA47" i="74"/>
  <c r="CA48" i="74"/>
  <c r="CA49" i="74"/>
  <c r="CA50" i="74"/>
  <c r="CA51" i="74"/>
  <c r="CA52" i="74"/>
  <c r="CA53" i="74"/>
  <c r="CA55" i="74"/>
  <c r="CA56" i="74"/>
  <c r="CA57" i="74"/>
  <c r="CA58" i="74"/>
  <c r="CA59" i="74"/>
  <c r="CA12" i="74"/>
  <c r="CA10" i="74"/>
  <c r="CA8" i="74"/>
  <c r="BQ13" i="74"/>
  <c r="BQ14" i="74"/>
  <c r="BQ15" i="74"/>
  <c r="BQ16" i="74"/>
  <c r="BQ17" i="74"/>
  <c r="BQ18" i="74"/>
  <c r="BQ19" i="74"/>
  <c r="BQ20" i="74"/>
  <c r="BQ21" i="74"/>
  <c r="BQ22" i="74"/>
  <c r="BQ23" i="74"/>
  <c r="BQ24" i="74"/>
  <c r="BQ25" i="74"/>
  <c r="BQ26" i="74"/>
  <c r="BQ27" i="74"/>
  <c r="BQ28" i="74"/>
  <c r="BQ29" i="74"/>
  <c r="BQ30" i="74"/>
  <c r="BQ31" i="74"/>
  <c r="BQ32" i="74"/>
  <c r="BQ33" i="74"/>
  <c r="BQ34" i="74"/>
  <c r="BQ35" i="74"/>
  <c r="BQ36" i="74"/>
  <c r="BQ37" i="74"/>
  <c r="BQ38" i="74"/>
  <c r="BQ39" i="74"/>
  <c r="BQ40" i="74"/>
  <c r="BQ41" i="74"/>
  <c r="BQ42" i="74"/>
  <c r="BQ43" i="74"/>
  <c r="BQ44" i="74"/>
  <c r="BQ45" i="74"/>
  <c r="BQ46" i="74"/>
  <c r="BQ47" i="74"/>
  <c r="BQ48" i="74"/>
  <c r="BQ49" i="74"/>
  <c r="BQ50" i="74"/>
  <c r="BQ51" i="74"/>
  <c r="BQ52" i="74"/>
  <c r="BQ53" i="74"/>
  <c r="BQ54" i="74"/>
  <c r="BQ55" i="74"/>
  <c r="BQ56" i="74"/>
  <c r="BQ57" i="74"/>
  <c r="BQ58" i="74"/>
  <c r="BQ59" i="74"/>
  <c r="BQ12" i="74"/>
  <c r="BQ10" i="74"/>
  <c r="BQ8" i="74"/>
  <c r="BQ6" i="74"/>
  <c r="D6" i="96"/>
  <c r="E6" i="96"/>
  <c r="F6" i="96"/>
  <c r="G6" i="96"/>
  <c r="B6" i="96"/>
  <c r="A64" i="97"/>
  <c r="F41" i="98"/>
  <c r="M41" i="98"/>
  <c r="AN6" i="96"/>
  <c r="AM6" i="96"/>
  <c r="AL6" i="96"/>
  <c r="AK6" i="96"/>
  <c r="AJ6" i="96"/>
  <c r="AI6" i="96"/>
  <c r="AH6" i="96" s="1"/>
  <c r="L48" i="98"/>
  <c r="E48" i="98"/>
  <c r="L49" i="98"/>
  <c r="E49" i="98"/>
  <c r="L50" i="98"/>
  <c r="E50" i="98"/>
  <c r="L51" i="98"/>
  <c r="E51" i="98"/>
  <c r="L52" i="98"/>
  <c r="E52" i="98"/>
  <c r="L53" i="98"/>
  <c r="E53" i="98"/>
  <c r="L54" i="98"/>
  <c r="E54" i="98"/>
  <c r="L55" i="98"/>
  <c r="E55" i="98"/>
  <c r="L56" i="98"/>
  <c r="E56" i="98"/>
  <c r="L57" i="98"/>
  <c r="E57" i="98"/>
  <c r="L58" i="98"/>
  <c r="E58" i="98"/>
  <c r="L59" i="98"/>
  <c r="E59" i="98"/>
  <c r="L60" i="98"/>
  <c r="E60" i="98"/>
  <c r="L61" i="98"/>
  <c r="E61" i="98"/>
  <c r="L62" i="98"/>
  <c r="E62" i="98"/>
  <c r="L63" i="98"/>
  <c r="E63" i="98"/>
  <c r="L64" i="98"/>
  <c r="E64" i="98"/>
  <c r="L65" i="98"/>
  <c r="E65" i="98"/>
  <c r="L66" i="98"/>
  <c r="E66" i="98"/>
  <c r="L67" i="98"/>
  <c r="E67" i="98"/>
  <c r="L68" i="98"/>
  <c r="L69" i="98"/>
  <c r="E69" i="98"/>
  <c r="L70" i="98"/>
  <c r="E70" i="98"/>
  <c r="L71" i="98"/>
  <c r="E71" i="98"/>
  <c r="L72" i="98"/>
  <c r="E72" i="98"/>
  <c r="L73" i="98"/>
  <c r="E73" i="98"/>
  <c r="L74" i="98"/>
  <c r="E74" i="98"/>
  <c r="L75" i="98"/>
  <c r="E75" i="98"/>
  <c r="L76" i="98"/>
  <c r="E76" i="98"/>
  <c r="L77" i="98"/>
  <c r="E77" i="98"/>
  <c r="L78" i="98"/>
  <c r="E78" i="98"/>
  <c r="L79" i="98"/>
  <c r="E79" i="98"/>
  <c r="L80" i="98"/>
  <c r="E80" i="98"/>
  <c r="L81" i="98"/>
  <c r="E81" i="98"/>
  <c r="L82" i="98"/>
  <c r="E82" i="98"/>
  <c r="L83" i="98"/>
  <c r="E83" i="98"/>
  <c r="L84" i="98"/>
  <c r="E84" i="98"/>
  <c r="L85" i="98"/>
  <c r="E85" i="98"/>
  <c r="L86" i="98"/>
  <c r="E86" i="98"/>
  <c r="L87" i="98"/>
  <c r="E87" i="98"/>
  <c r="L88" i="98"/>
  <c r="E88" i="98"/>
  <c r="L89" i="98"/>
  <c r="E89" i="98"/>
  <c r="L90" i="98"/>
  <c r="E90" i="98"/>
  <c r="L91" i="98"/>
  <c r="E91" i="98"/>
  <c r="L92" i="98"/>
  <c r="L93" i="98"/>
  <c r="E93" i="98"/>
  <c r="L94" i="98"/>
  <c r="E47" i="98"/>
  <c r="L47" i="98"/>
  <c r="K48" i="98"/>
  <c r="M48" i="98"/>
  <c r="F48" i="98"/>
  <c r="K49" i="98"/>
  <c r="M49" i="98"/>
  <c r="F49" i="98"/>
  <c r="K50" i="98"/>
  <c r="M50" i="98"/>
  <c r="F50" i="98"/>
  <c r="K51" i="98"/>
  <c r="M51" i="98"/>
  <c r="F51" i="98"/>
  <c r="K52" i="98"/>
  <c r="M52" i="98"/>
  <c r="F52" i="98"/>
  <c r="K53" i="98"/>
  <c r="M53" i="98"/>
  <c r="F53" i="98"/>
  <c r="K54" i="98"/>
  <c r="M54" i="98"/>
  <c r="F54" i="98"/>
  <c r="K55" i="98"/>
  <c r="M55" i="98"/>
  <c r="F55" i="98"/>
  <c r="K56" i="98"/>
  <c r="M56" i="98"/>
  <c r="F56" i="98"/>
  <c r="K57" i="98"/>
  <c r="M57" i="98"/>
  <c r="F57" i="98"/>
  <c r="K58" i="98"/>
  <c r="M58" i="98"/>
  <c r="F58" i="98"/>
  <c r="K59" i="98"/>
  <c r="M59" i="98"/>
  <c r="F59" i="98"/>
  <c r="K60" i="98"/>
  <c r="M60" i="98"/>
  <c r="F60" i="98"/>
  <c r="K61" i="98"/>
  <c r="D61" i="98"/>
  <c r="M61" i="98"/>
  <c r="F61" i="98"/>
  <c r="K62" i="98"/>
  <c r="D62" i="98"/>
  <c r="M62" i="98"/>
  <c r="F62" i="98"/>
  <c r="K63" i="98"/>
  <c r="D63" i="98"/>
  <c r="M63" i="98"/>
  <c r="F63" i="98"/>
  <c r="K64" i="98"/>
  <c r="D64" i="98"/>
  <c r="M64" i="98"/>
  <c r="F64" i="98"/>
  <c r="K65" i="98"/>
  <c r="D65" i="98"/>
  <c r="M65" i="98"/>
  <c r="F65" i="98"/>
  <c r="K66" i="98"/>
  <c r="D66" i="98"/>
  <c r="M66" i="98"/>
  <c r="F66" i="98"/>
  <c r="K67" i="98"/>
  <c r="D67" i="98"/>
  <c r="M67" i="98"/>
  <c r="F67" i="98"/>
  <c r="D68" i="98"/>
  <c r="M68" i="98"/>
  <c r="F68" i="98"/>
  <c r="K69" i="98"/>
  <c r="D69" i="98"/>
  <c r="M69" i="98"/>
  <c r="F69" i="98"/>
  <c r="K70" i="98"/>
  <c r="D70" i="98"/>
  <c r="M70" i="98"/>
  <c r="F70" i="98"/>
  <c r="K71" i="98"/>
  <c r="D71" i="98"/>
  <c r="M71" i="98"/>
  <c r="F71" i="98"/>
  <c r="K72" i="98"/>
  <c r="D72" i="98"/>
  <c r="M72" i="98"/>
  <c r="F72" i="98"/>
  <c r="K73" i="98"/>
  <c r="D73" i="98"/>
  <c r="M73" i="98"/>
  <c r="F73" i="98"/>
  <c r="K74" i="98"/>
  <c r="D74" i="98"/>
  <c r="M74" i="98"/>
  <c r="F74" i="98"/>
  <c r="K75" i="98"/>
  <c r="D75" i="98"/>
  <c r="M75" i="98"/>
  <c r="F75" i="98"/>
  <c r="K76" i="98"/>
  <c r="D76" i="98"/>
  <c r="M76" i="98"/>
  <c r="F76" i="98"/>
  <c r="K77" i="98"/>
  <c r="D77" i="98"/>
  <c r="M77" i="98"/>
  <c r="F77" i="98"/>
  <c r="K78" i="98"/>
  <c r="D78" i="98"/>
  <c r="M78" i="98"/>
  <c r="F78" i="98"/>
  <c r="K79" i="98"/>
  <c r="D79" i="98"/>
  <c r="M79" i="98"/>
  <c r="F79" i="98"/>
  <c r="K80" i="98"/>
  <c r="D80" i="98"/>
  <c r="M80" i="98"/>
  <c r="F80" i="98"/>
  <c r="K81" i="98"/>
  <c r="D81" i="98"/>
  <c r="M81" i="98"/>
  <c r="F81" i="98"/>
  <c r="K82" i="98"/>
  <c r="D82" i="98"/>
  <c r="M82" i="98"/>
  <c r="F82" i="98"/>
  <c r="K83" i="98"/>
  <c r="D83" i="98"/>
  <c r="M83" i="98"/>
  <c r="F83" i="98"/>
  <c r="K84" i="98"/>
  <c r="D84" i="98"/>
  <c r="M84" i="98"/>
  <c r="F84" i="98"/>
  <c r="K85" i="98"/>
  <c r="D85" i="98"/>
  <c r="M85" i="98"/>
  <c r="F85" i="98"/>
  <c r="K86" i="98"/>
  <c r="D86" i="98"/>
  <c r="M86" i="98"/>
  <c r="F86" i="98"/>
  <c r="K87" i="98"/>
  <c r="D87" i="98"/>
  <c r="M87" i="98"/>
  <c r="F87" i="98"/>
  <c r="K88" i="98"/>
  <c r="D88" i="98"/>
  <c r="M88" i="98"/>
  <c r="F88" i="98"/>
  <c r="K89" i="98"/>
  <c r="D89" i="98"/>
  <c r="M89" i="98"/>
  <c r="F89" i="98"/>
  <c r="K90" i="98"/>
  <c r="D90" i="98"/>
  <c r="M90" i="98"/>
  <c r="F90" i="98"/>
  <c r="K91" i="98"/>
  <c r="D91" i="98"/>
  <c r="M91" i="98"/>
  <c r="F91" i="98"/>
  <c r="D92" i="98"/>
  <c r="M92" i="98"/>
  <c r="F92" i="98"/>
  <c r="K93" i="98"/>
  <c r="D93" i="98"/>
  <c r="M93" i="98"/>
  <c r="F93" i="98"/>
  <c r="K94" i="98"/>
  <c r="D94" i="98"/>
  <c r="M94" i="98"/>
  <c r="F94" i="98"/>
  <c r="F47" i="98"/>
  <c r="M47" i="98"/>
  <c r="F45" i="98"/>
  <c r="M45" i="98"/>
  <c r="F43" i="98"/>
  <c r="M43" i="98"/>
  <c r="E45" i="98"/>
  <c r="L45" i="98"/>
  <c r="E43" i="98"/>
  <c r="L43" i="98"/>
  <c r="K47" i="98"/>
  <c r="K45" i="98"/>
  <c r="K43" i="98"/>
  <c r="D41" i="98"/>
  <c r="D42" i="98" s="1"/>
  <c r="K41" i="98"/>
  <c r="C41" i="98"/>
  <c r="J41" i="98"/>
  <c r="C49" i="98"/>
  <c r="C51" i="98"/>
  <c r="C53" i="98"/>
  <c r="C55" i="98"/>
  <c r="C56" i="98"/>
  <c r="C57" i="98"/>
  <c r="C60" i="98"/>
  <c r="C61" i="98"/>
  <c r="C64" i="98"/>
  <c r="C65" i="98"/>
  <c r="C68" i="98"/>
  <c r="C69" i="98"/>
  <c r="C71" i="98"/>
  <c r="C72" i="98"/>
  <c r="C73" i="98"/>
  <c r="C77" i="98"/>
  <c r="C79" i="98"/>
  <c r="C80" i="98"/>
  <c r="C81" i="98"/>
  <c r="C84" i="98"/>
  <c r="C85" i="98"/>
  <c r="C88" i="98"/>
  <c r="C89" i="98"/>
  <c r="C92" i="98"/>
  <c r="C93" i="98"/>
  <c r="C94" i="98"/>
  <c r="C43" i="98"/>
  <c r="J52" i="98"/>
  <c r="J54" i="98"/>
  <c r="J55" i="98"/>
  <c r="J56" i="98"/>
  <c r="J57" i="98"/>
  <c r="J60" i="98"/>
  <c r="J62" i="98"/>
  <c r="J63" i="98"/>
  <c r="J68" i="98"/>
  <c r="J70" i="98"/>
  <c r="J71" i="98"/>
  <c r="J76" i="98"/>
  <c r="J78" i="98"/>
  <c r="J79" i="98"/>
  <c r="J80" i="98"/>
  <c r="J81" i="98"/>
  <c r="J84" i="98"/>
  <c r="J86" i="98"/>
  <c r="J87" i="98"/>
  <c r="J89" i="98"/>
  <c r="J92" i="98"/>
  <c r="J94" i="98"/>
  <c r="J47" i="98"/>
  <c r="J45" i="98"/>
  <c r="L61" i="111" l="1"/>
  <c r="CT57" i="74"/>
  <c r="E46" i="98"/>
  <c r="L46" i="98"/>
  <c r="M46" i="98"/>
  <c r="N46" i="98"/>
  <c r="B79" i="98"/>
  <c r="B71" i="98"/>
  <c r="B55" i="98"/>
  <c r="B51" i="98"/>
  <c r="I81" i="98"/>
  <c r="I63" i="98"/>
  <c r="F46" i="98"/>
  <c r="F44" i="98"/>
  <c r="I57" i="98"/>
  <c r="N44" i="98"/>
  <c r="I55" i="98"/>
  <c r="M44" i="98"/>
  <c r="I71" i="98"/>
  <c r="L44" i="98"/>
  <c r="J43" i="98"/>
  <c r="J42" i="98" s="1"/>
  <c r="J65" i="98"/>
  <c r="I65" i="98" s="1"/>
  <c r="C91" i="98"/>
  <c r="B91" i="98" s="1"/>
  <c r="C83" i="98"/>
  <c r="B83" i="98" s="1"/>
  <c r="C75" i="98"/>
  <c r="B75" i="98" s="1"/>
  <c r="C59" i="98"/>
  <c r="B59" i="98" s="1"/>
  <c r="K68" i="98"/>
  <c r="I68" i="98" s="1"/>
  <c r="I47" i="98"/>
  <c r="I87" i="98"/>
  <c r="I79" i="98"/>
  <c r="B84" i="98"/>
  <c r="C76" i="98"/>
  <c r="B76" i="98" s="1"/>
  <c r="B60" i="98"/>
  <c r="C52" i="98"/>
  <c r="B52" i="98" s="1"/>
  <c r="C42" i="98"/>
  <c r="F42" i="98"/>
  <c r="B88" i="98"/>
  <c r="B72" i="98"/>
  <c r="B64" i="98"/>
  <c r="I78" i="98"/>
  <c r="I54" i="98"/>
  <c r="E94" i="98"/>
  <c r="B94" i="98" s="1"/>
  <c r="J73" i="98"/>
  <c r="I73" i="98" s="1"/>
  <c r="J49" i="98"/>
  <c r="I49" i="98" s="1"/>
  <c r="C87" i="98"/>
  <c r="B87" i="98" s="1"/>
  <c r="B80" i="98"/>
  <c r="I86" i="98"/>
  <c r="I62" i="98"/>
  <c r="C45" i="98"/>
  <c r="C44" i="98" s="1"/>
  <c r="C67" i="98"/>
  <c r="B67" i="98" s="1"/>
  <c r="C63" i="98"/>
  <c r="B63" i="98" s="1"/>
  <c r="K92" i="98"/>
  <c r="I92" i="98" s="1"/>
  <c r="B56" i="98"/>
  <c r="I94" i="98"/>
  <c r="I70" i="98"/>
  <c r="J90" i="98"/>
  <c r="I90" i="98" s="1"/>
  <c r="J82" i="98"/>
  <c r="I82" i="98" s="1"/>
  <c r="J74" i="98"/>
  <c r="I74" i="98" s="1"/>
  <c r="J66" i="98"/>
  <c r="I66" i="98" s="1"/>
  <c r="J58" i="98"/>
  <c r="I58" i="98" s="1"/>
  <c r="J50" i="98"/>
  <c r="I50" i="98" s="1"/>
  <c r="C48" i="98"/>
  <c r="B48" i="98" s="1"/>
  <c r="I89" i="98"/>
  <c r="M42" i="98"/>
  <c r="I45" i="98"/>
  <c r="J46" i="98"/>
  <c r="J88" i="98"/>
  <c r="I88" i="98" s="1"/>
  <c r="I80" i="98"/>
  <c r="J72" i="98"/>
  <c r="I72" i="98" s="1"/>
  <c r="J64" i="98"/>
  <c r="I64" i="98" s="1"/>
  <c r="I56" i="98"/>
  <c r="J48" i="98"/>
  <c r="I48" i="98" s="1"/>
  <c r="C47" i="98"/>
  <c r="B47" i="98" s="1"/>
  <c r="N42" i="98"/>
  <c r="E92" i="98"/>
  <c r="B92" i="98" s="1"/>
  <c r="E68" i="98"/>
  <c r="B68" i="98" s="1"/>
  <c r="L41" i="98"/>
  <c r="L42" i="98" s="1"/>
  <c r="J93" i="98"/>
  <c r="I93" i="98" s="1"/>
  <c r="J61" i="98"/>
  <c r="I61" i="98" s="1"/>
  <c r="B89" i="98"/>
  <c r="B85" i="98"/>
  <c r="B81" i="98"/>
  <c r="B77" i="98"/>
  <c r="B73" i="98"/>
  <c r="B69" i="98"/>
  <c r="B65" i="98"/>
  <c r="B61" i="98"/>
  <c r="B57" i="98"/>
  <c r="B53" i="98"/>
  <c r="B49" i="98"/>
  <c r="K46" i="98"/>
  <c r="E41" i="98"/>
  <c r="E42" i="98" s="1"/>
  <c r="J77" i="98"/>
  <c r="I77" i="98" s="1"/>
  <c r="J53" i="98"/>
  <c r="I53" i="98" s="1"/>
  <c r="B93" i="98"/>
  <c r="I76" i="98"/>
  <c r="I60" i="98"/>
  <c r="I52" i="98"/>
  <c r="B43" i="98"/>
  <c r="K44" i="98"/>
  <c r="E44" i="98"/>
  <c r="J85" i="98"/>
  <c r="I85" i="98" s="1"/>
  <c r="J69" i="98"/>
  <c r="I69" i="98" s="1"/>
  <c r="I84" i="98"/>
  <c r="J91" i="98"/>
  <c r="I91" i="98" s="1"/>
  <c r="J83" i="98"/>
  <c r="I83" i="98" s="1"/>
  <c r="J75" i="98"/>
  <c r="I75" i="98" s="1"/>
  <c r="J67" i="98"/>
  <c r="I67" i="98" s="1"/>
  <c r="J59" i="98"/>
  <c r="I59" i="98" s="1"/>
  <c r="J51" i="98"/>
  <c r="I51" i="98" s="1"/>
  <c r="C90" i="98"/>
  <c r="B90" i="98" s="1"/>
  <c r="C86" i="98"/>
  <c r="B86" i="98" s="1"/>
  <c r="C82" i="98"/>
  <c r="B82" i="98" s="1"/>
  <c r="C78" i="98"/>
  <c r="B78" i="98" s="1"/>
  <c r="C74" i="98"/>
  <c r="B74" i="98" s="1"/>
  <c r="C70" i="98"/>
  <c r="B70" i="98" s="1"/>
  <c r="C66" i="98"/>
  <c r="B66" i="98" s="1"/>
  <c r="C62" i="98"/>
  <c r="B62" i="98" s="1"/>
  <c r="C58" i="98"/>
  <c r="B58" i="98" s="1"/>
  <c r="C54" i="98"/>
  <c r="B54" i="98" s="1"/>
  <c r="C50" i="98"/>
  <c r="B50" i="98" s="1"/>
  <c r="K42" i="98"/>
  <c r="I46" i="98" l="1"/>
  <c r="I41" i="98"/>
  <c r="B41" i="98"/>
  <c r="B45" i="98"/>
  <c r="B46" i="98" s="1"/>
  <c r="C46" i="98"/>
  <c r="I43" i="98"/>
  <c r="I44" i="98" s="1"/>
  <c r="J44" i="98"/>
  <c r="AI13" i="96"/>
  <c r="AH13" i="96" s="1"/>
  <c r="AJ13" i="96"/>
  <c r="AK13" i="96"/>
  <c r="AL13" i="96"/>
  <c r="AM13" i="96"/>
  <c r="AN13" i="96"/>
  <c r="BG13" i="96"/>
  <c r="BF13" i="96" s="1"/>
  <c r="BH13" i="96"/>
  <c r="BI13" i="96"/>
  <c r="BJ13" i="96"/>
  <c r="BK13" i="96"/>
  <c r="BL13" i="96"/>
  <c r="AI14" i="96"/>
  <c r="AH14" i="96" s="1"/>
  <c r="AJ14" i="96"/>
  <c r="AK14" i="96"/>
  <c r="AL14" i="96"/>
  <c r="AM14" i="96"/>
  <c r="AN14" i="96"/>
  <c r="BG14" i="96"/>
  <c r="BF14" i="96" s="1"/>
  <c r="BH14" i="96"/>
  <c r="BI14" i="96"/>
  <c r="BJ14" i="96"/>
  <c r="BK14" i="96"/>
  <c r="BL14" i="96"/>
  <c r="AI15" i="96"/>
  <c r="AH15" i="96" s="1"/>
  <c r="AJ15" i="96"/>
  <c r="AK15" i="96"/>
  <c r="AL15" i="96"/>
  <c r="AM15" i="96"/>
  <c r="AN15" i="96"/>
  <c r="BG15" i="96"/>
  <c r="BF15" i="96" s="1"/>
  <c r="BH15" i="96"/>
  <c r="BI15" i="96"/>
  <c r="BJ15" i="96"/>
  <c r="BK15" i="96"/>
  <c r="BL15" i="96"/>
  <c r="AI16" i="96"/>
  <c r="AH16" i="96" s="1"/>
  <c r="AJ16" i="96"/>
  <c r="AK16" i="96"/>
  <c r="AL16" i="96"/>
  <c r="AM16" i="96"/>
  <c r="AN16" i="96"/>
  <c r="BG16" i="96"/>
  <c r="BF16" i="96" s="1"/>
  <c r="BH16" i="96"/>
  <c r="BI16" i="96"/>
  <c r="BJ16" i="96"/>
  <c r="BK16" i="96"/>
  <c r="BL16" i="96"/>
  <c r="AI17" i="96"/>
  <c r="AH17" i="96" s="1"/>
  <c r="AJ17" i="96"/>
  <c r="AK17" i="96"/>
  <c r="AL17" i="96"/>
  <c r="AM17" i="96"/>
  <c r="AN17" i="96"/>
  <c r="BG17" i="96"/>
  <c r="BF17" i="96" s="1"/>
  <c r="BH17" i="96"/>
  <c r="BI17" i="96"/>
  <c r="BJ17" i="96"/>
  <c r="BK17" i="96"/>
  <c r="BL17" i="96"/>
  <c r="AI18" i="96"/>
  <c r="AH18" i="96" s="1"/>
  <c r="AJ18" i="96"/>
  <c r="AK18" i="96"/>
  <c r="AL18" i="96"/>
  <c r="AM18" i="96"/>
  <c r="AN18" i="96"/>
  <c r="BG18" i="96"/>
  <c r="BF18" i="96" s="1"/>
  <c r="BH18" i="96"/>
  <c r="BI18" i="96"/>
  <c r="BJ18" i="96"/>
  <c r="BK18" i="96"/>
  <c r="BL18" i="96"/>
  <c r="AI19" i="96"/>
  <c r="AJ19" i="96"/>
  <c r="AK19" i="96"/>
  <c r="AL19" i="96"/>
  <c r="AM19" i="96"/>
  <c r="AN19" i="96"/>
  <c r="BG19" i="96"/>
  <c r="BF19" i="96" s="1"/>
  <c r="BH19" i="96"/>
  <c r="BI19" i="96"/>
  <c r="BJ19" i="96"/>
  <c r="BK19" i="96"/>
  <c r="BL19" i="96"/>
  <c r="AI20" i="96"/>
  <c r="AH20" i="96" s="1"/>
  <c r="AJ20" i="96"/>
  <c r="AK20" i="96"/>
  <c r="AL20" i="96"/>
  <c r="AM20" i="96"/>
  <c r="AN20" i="96"/>
  <c r="BG20" i="96"/>
  <c r="BF20" i="96" s="1"/>
  <c r="BH20" i="96"/>
  <c r="BI20" i="96"/>
  <c r="BJ20" i="96"/>
  <c r="BK20" i="96"/>
  <c r="BL20" i="96"/>
  <c r="AI21" i="96"/>
  <c r="AJ21" i="96"/>
  <c r="AK21" i="96"/>
  <c r="AL21" i="96"/>
  <c r="AM21" i="96"/>
  <c r="AN21" i="96"/>
  <c r="BG21" i="96"/>
  <c r="BF21" i="96" s="1"/>
  <c r="BH21" i="96"/>
  <c r="BI21" i="96"/>
  <c r="BJ21" i="96"/>
  <c r="BK21" i="96"/>
  <c r="BL21" i="96"/>
  <c r="AI22" i="96"/>
  <c r="AH22" i="96" s="1"/>
  <c r="AJ22" i="96"/>
  <c r="AK22" i="96"/>
  <c r="AL22" i="96"/>
  <c r="AM22" i="96"/>
  <c r="AN22" i="96"/>
  <c r="BG22" i="96"/>
  <c r="BF22" i="96" s="1"/>
  <c r="BH22" i="96"/>
  <c r="BI22" i="96"/>
  <c r="BJ22" i="96"/>
  <c r="BK22" i="96"/>
  <c r="BL22" i="96"/>
  <c r="AI23" i="96"/>
  <c r="AJ23" i="96"/>
  <c r="AK23" i="96"/>
  <c r="AL23" i="96"/>
  <c r="AM23" i="96"/>
  <c r="AN23" i="96"/>
  <c r="BG23" i="96"/>
  <c r="BF23" i="96" s="1"/>
  <c r="BH23" i="96"/>
  <c r="BI23" i="96"/>
  <c r="BJ23" i="96"/>
  <c r="BK23" i="96"/>
  <c r="BL23" i="96"/>
  <c r="AI24" i="96"/>
  <c r="AH24" i="96" s="1"/>
  <c r="AJ24" i="96"/>
  <c r="AK24" i="96"/>
  <c r="AL24" i="96"/>
  <c r="AM24" i="96"/>
  <c r="AN24" i="96"/>
  <c r="BG24" i="96"/>
  <c r="BF24" i="96" s="1"/>
  <c r="BH24" i="96"/>
  <c r="BI24" i="96"/>
  <c r="BJ24" i="96"/>
  <c r="BK24" i="96"/>
  <c r="BL24" i="96"/>
  <c r="AI25" i="96"/>
  <c r="AH25" i="96" s="1"/>
  <c r="AJ25" i="96"/>
  <c r="AK25" i="96"/>
  <c r="AL25" i="96"/>
  <c r="AM25" i="96"/>
  <c r="AN25" i="96"/>
  <c r="BG25" i="96"/>
  <c r="BF25" i="96" s="1"/>
  <c r="BH25" i="96"/>
  <c r="BI25" i="96"/>
  <c r="BJ25" i="96"/>
  <c r="BK25" i="96"/>
  <c r="BL25" i="96"/>
  <c r="AI26" i="96"/>
  <c r="AH26" i="96" s="1"/>
  <c r="AJ26" i="96"/>
  <c r="AK26" i="96"/>
  <c r="AL26" i="96"/>
  <c r="AM26" i="96"/>
  <c r="AN26" i="96"/>
  <c r="BG26" i="96"/>
  <c r="BF26" i="96" s="1"/>
  <c r="BH26" i="96"/>
  <c r="BI26" i="96"/>
  <c r="BJ26" i="96"/>
  <c r="BK26" i="96"/>
  <c r="BL26" i="96"/>
  <c r="AI27" i="96"/>
  <c r="AH27" i="96" s="1"/>
  <c r="AJ27" i="96"/>
  <c r="AK27" i="96"/>
  <c r="AL27" i="96"/>
  <c r="AM27" i="96"/>
  <c r="AN27" i="96"/>
  <c r="BG27" i="96"/>
  <c r="BF27" i="96" s="1"/>
  <c r="BH27" i="96"/>
  <c r="BI27" i="96"/>
  <c r="BJ27" i="96"/>
  <c r="BK27" i="96"/>
  <c r="BL27" i="96"/>
  <c r="AI28" i="96"/>
  <c r="AH28" i="96" s="1"/>
  <c r="AJ28" i="96"/>
  <c r="AK28" i="96"/>
  <c r="AL28" i="96"/>
  <c r="AM28" i="96"/>
  <c r="AN28" i="96"/>
  <c r="BG28" i="96"/>
  <c r="BF28" i="96" s="1"/>
  <c r="BH28" i="96"/>
  <c r="BI28" i="96"/>
  <c r="BJ28" i="96"/>
  <c r="BK28" i="96"/>
  <c r="BL28" i="96"/>
  <c r="AI29" i="96"/>
  <c r="AH29" i="96" s="1"/>
  <c r="AJ29" i="96"/>
  <c r="AK29" i="96"/>
  <c r="AL29" i="96"/>
  <c r="AM29" i="96"/>
  <c r="AN29" i="96"/>
  <c r="BG29" i="96"/>
  <c r="BF29" i="96" s="1"/>
  <c r="BH29" i="96"/>
  <c r="BI29" i="96"/>
  <c r="BJ29" i="96"/>
  <c r="BK29" i="96"/>
  <c r="BL29" i="96"/>
  <c r="AI30" i="96"/>
  <c r="AH30" i="96" s="1"/>
  <c r="AJ30" i="96"/>
  <c r="AK30" i="96"/>
  <c r="AL30" i="96"/>
  <c r="AM30" i="96"/>
  <c r="AN30" i="96"/>
  <c r="BG30" i="96"/>
  <c r="BF30" i="96" s="1"/>
  <c r="BH30" i="96"/>
  <c r="BI30" i="96"/>
  <c r="BJ30" i="96"/>
  <c r="BK30" i="96"/>
  <c r="BL30" i="96"/>
  <c r="AI31" i="96"/>
  <c r="AH31" i="96" s="1"/>
  <c r="AJ31" i="96"/>
  <c r="AK31" i="96"/>
  <c r="AL31" i="96"/>
  <c r="AM31" i="96"/>
  <c r="AN31" i="96"/>
  <c r="BG31" i="96"/>
  <c r="BF31" i="96" s="1"/>
  <c r="BH31" i="96"/>
  <c r="BI31" i="96"/>
  <c r="BJ31" i="96"/>
  <c r="BK31" i="96"/>
  <c r="BL31" i="96"/>
  <c r="AI32" i="96"/>
  <c r="AH32" i="96" s="1"/>
  <c r="AJ32" i="96"/>
  <c r="AK32" i="96"/>
  <c r="AL32" i="96"/>
  <c r="AM32" i="96"/>
  <c r="AN32" i="96"/>
  <c r="BG32" i="96"/>
  <c r="BF32" i="96" s="1"/>
  <c r="BH32" i="96"/>
  <c r="BI32" i="96"/>
  <c r="BJ32" i="96"/>
  <c r="BK32" i="96"/>
  <c r="BL32" i="96"/>
  <c r="AI33" i="96"/>
  <c r="AH33" i="96" s="1"/>
  <c r="AJ33" i="96"/>
  <c r="AK33" i="96"/>
  <c r="AL33" i="96"/>
  <c r="AM33" i="96"/>
  <c r="AN33" i="96"/>
  <c r="BG33" i="96"/>
  <c r="BF33" i="96" s="1"/>
  <c r="BH33" i="96"/>
  <c r="BI33" i="96"/>
  <c r="BJ33" i="96"/>
  <c r="BK33" i="96"/>
  <c r="BL33" i="96"/>
  <c r="AI34" i="96"/>
  <c r="AH34" i="96" s="1"/>
  <c r="AJ34" i="96"/>
  <c r="AK34" i="96"/>
  <c r="AL34" i="96"/>
  <c r="AM34" i="96"/>
  <c r="AN34" i="96"/>
  <c r="BG34" i="96"/>
  <c r="BF34" i="96" s="1"/>
  <c r="BH34" i="96"/>
  <c r="BI34" i="96"/>
  <c r="BJ34" i="96"/>
  <c r="BK34" i="96"/>
  <c r="BL34" i="96"/>
  <c r="AI35" i="96"/>
  <c r="AH35" i="96" s="1"/>
  <c r="AJ35" i="96"/>
  <c r="AK35" i="96"/>
  <c r="AL35" i="96"/>
  <c r="AM35" i="96"/>
  <c r="AN35" i="96"/>
  <c r="BG35" i="96"/>
  <c r="BF35" i="96" s="1"/>
  <c r="BH35" i="96"/>
  <c r="BI35" i="96"/>
  <c r="BJ35" i="96"/>
  <c r="BK35" i="96"/>
  <c r="BL35" i="96"/>
  <c r="AI36" i="96"/>
  <c r="AH36" i="96" s="1"/>
  <c r="AJ36" i="96"/>
  <c r="AK36" i="96"/>
  <c r="AL36" i="96"/>
  <c r="AM36" i="96"/>
  <c r="AN36" i="96"/>
  <c r="BG36" i="96"/>
  <c r="BF36" i="96" s="1"/>
  <c r="BH36" i="96"/>
  <c r="BI36" i="96"/>
  <c r="BJ36" i="96"/>
  <c r="BK36" i="96"/>
  <c r="BL36" i="96"/>
  <c r="AI37" i="96"/>
  <c r="AH37" i="96" s="1"/>
  <c r="AJ37" i="96"/>
  <c r="AK37" i="96"/>
  <c r="AL37" i="96"/>
  <c r="AM37" i="96"/>
  <c r="AN37" i="96"/>
  <c r="BG37" i="96"/>
  <c r="BF37" i="96" s="1"/>
  <c r="BH37" i="96"/>
  <c r="BI37" i="96"/>
  <c r="BJ37" i="96"/>
  <c r="BK37" i="96"/>
  <c r="BL37" i="96"/>
  <c r="AI38" i="96"/>
  <c r="AH38" i="96" s="1"/>
  <c r="AJ38" i="96"/>
  <c r="AK38" i="96"/>
  <c r="AL38" i="96"/>
  <c r="AM38" i="96"/>
  <c r="AN38" i="96"/>
  <c r="BG38" i="96"/>
  <c r="BF38" i="96" s="1"/>
  <c r="BH38" i="96"/>
  <c r="BI38" i="96"/>
  <c r="BJ38" i="96"/>
  <c r="BK38" i="96"/>
  <c r="BL38" i="96"/>
  <c r="AI39" i="96"/>
  <c r="AH39" i="96" s="1"/>
  <c r="AJ39" i="96"/>
  <c r="AK39" i="96"/>
  <c r="AL39" i="96"/>
  <c r="AM39" i="96"/>
  <c r="AN39" i="96"/>
  <c r="BG39" i="96"/>
  <c r="BF39" i="96" s="1"/>
  <c r="BH39" i="96"/>
  <c r="BI39" i="96"/>
  <c r="BJ39" i="96"/>
  <c r="BK39" i="96"/>
  <c r="BL39" i="96"/>
  <c r="AI40" i="96"/>
  <c r="AH40" i="96" s="1"/>
  <c r="AJ40" i="96"/>
  <c r="AK40" i="96"/>
  <c r="AL40" i="96"/>
  <c r="AM40" i="96"/>
  <c r="AN40" i="96"/>
  <c r="BG40" i="96"/>
  <c r="BF40" i="96" s="1"/>
  <c r="BH40" i="96"/>
  <c r="BI40" i="96"/>
  <c r="BJ40" i="96"/>
  <c r="BK40" i="96"/>
  <c r="BL40" i="96"/>
  <c r="AI41" i="96"/>
  <c r="AH41" i="96" s="1"/>
  <c r="AJ41" i="96"/>
  <c r="AK41" i="96"/>
  <c r="AL41" i="96"/>
  <c r="AM41" i="96"/>
  <c r="AN41" i="96"/>
  <c r="BG41" i="96"/>
  <c r="BF41" i="96" s="1"/>
  <c r="BH41" i="96"/>
  <c r="BI41" i="96"/>
  <c r="BJ41" i="96"/>
  <c r="BK41" i="96"/>
  <c r="BL41" i="96"/>
  <c r="AI42" i="96"/>
  <c r="AH42" i="96" s="1"/>
  <c r="AJ42" i="96"/>
  <c r="AK42" i="96"/>
  <c r="AL42" i="96"/>
  <c r="AM42" i="96"/>
  <c r="AN42" i="96"/>
  <c r="BG42" i="96"/>
  <c r="BF42" i="96" s="1"/>
  <c r="BH42" i="96"/>
  <c r="BI42" i="96"/>
  <c r="BJ42" i="96"/>
  <c r="BK42" i="96"/>
  <c r="BL42" i="96"/>
  <c r="AI43" i="96"/>
  <c r="AH43" i="96" s="1"/>
  <c r="AJ43" i="96"/>
  <c r="AK43" i="96"/>
  <c r="AL43" i="96"/>
  <c r="AM43" i="96"/>
  <c r="AN43" i="96"/>
  <c r="BG43" i="96"/>
  <c r="BF43" i="96" s="1"/>
  <c r="BH43" i="96"/>
  <c r="BI43" i="96"/>
  <c r="BJ43" i="96"/>
  <c r="BK43" i="96"/>
  <c r="BL43" i="96"/>
  <c r="AI44" i="96"/>
  <c r="AH44" i="96" s="1"/>
  <c r="AJ44" i="96"/>
  <c r="AK44" i="96"/>
  <c r="AL44" i="96"/>
  <c r="AM44" i="96"/>
  <c r="AN44" i="96"/>
  <c r="BG44" i="96"/>
  <c r="BF44" i="96" s="1"/>
  <c r="BH44" i="96"/>
  <c r="BI44" i="96"/>
  <c r="BJ44" i="96"/>
  <c r="BK44" i="96"/>
  <c r="BL44" i="96"/>
  <c r="AI45" i="96"/>
  <c r="AH45" i="96" s="1"/>
  <c r="AJ45" i="96"/>
  <c r="AK45" i="96"/>
  <c r="AL45" i="96"/>
  <c r="AM45" i="96"/>
  <c r="AN45" i="96"/>
  <c r="BG45" i="96"/>
  <c r="BF45" i="96" s="1"/>
  <c r="BH45" i="96"/>
  <c r="BI45" i="96"/>
  <c r="BJ45" i="96"/>
  <c r="BK45" i="96"/>
  <c r="BL45" i="96"/>
  <c r="AI46" i="96"/>
  <c r="AH46" i="96" s="1"/>
  <c r="AJ46" i="96"/>
  <c r="AK46" i="96"/>
  <c r="AL46" i="96"/>
  <c r="AM46" i="96"/>
  <c r="AN46" i="96"/>
  <c r="BG46" i="96"/>
  <c r="BF46" i="96" s="1"/>
  <c r="BH46" i="96"/>
  <c r="BI46" i="96"/>
  <c r="BJ46" i="96"/>
  <c r="BK46" i="96"/>
  <c r="BL46" i="96"/>
  <c r="AI47" i="96"/>
  <c r="AH47" i="96" s="1"/>
  <c r="AJ47" i="96"/>
  <c r="AK47" i="96"/>
  <c r="AL47" i="96"/>
  <c r="AM47" i="96"/>
  <c r="AN47" i="96"/>
  <c r="BG47" i="96"/>
  <c r="BF47" i="96" s="1"/>
  <c r="BH47" i="96"/>
  <c r="BI47" i="96"/>
  <c r="BJ47" i="96"/>
  <c r="BK47" i="96"/>
  <c r="BL47" i="96"/>
  <c r="AI48" i="96"/>
  <c r="AH48" i="96" s="1"/>
  <c r="AJ48" i="96"/>
  <c r="AK48" i="96"/>
  <c r="AL48" i="96"/>
  <c r="AM48" i="96"/>
  <c r="AN48" i="96"/>
  <c r="BG48" i="96"/>
  <c r="BF48" i="96" s="1"/>
  <c r="BH48" i="96"/>
  <c r="BI48" i="96"/>
  <c r="BJ48" i="96"/>
  <c r="BK48" i="96"/>
  <c r="BL48" i="96"/>
  <c r="AI49" i="96"/>
  <c r="AH49" i="96" s="1"/>
  <c r="AJ49" i="96"/>
  <c r="AK49" i="96"/>
  <c r="AL49" i="96"/>
  <c r="AM49" i="96"/>
  <c r="AN49" i="96"/>
  <c r="BG49" i="96"/>
  <c r="BF49" i="96" s="1"/>
  <c r="BH49" i="96"/>
  <c r="BI49" i="96"/>
  <c r="BJ49" i="96"/>
  <c r="BK49" i="96"/>
  <c r="BL49" i="96"/>
  <c r="AI50" i="96"/>
  <c r="AH50" i="96" s="1"/>
  <c r="AJ50" i="96"/>
  <c r="AK50" i="96"/>
  <c r="AL50" i="96"/>
  <c r="AM50" i="96"/>
  <c r="AN50" i="96"/>
  <c r="BG50" i="96"/>
  <c r="BF50" i="96" s="1"/>
  <c r="BH50" i="96"/>
  <c r="BI50" i="96"/>
  <c r="BJ50" i="96"/>
  <c r="BK50" i="96"/>
  <c r="BL50" i="96"/>
  <c r="AI51" i="96"/>
  <c r="AH51" i="96" s="1"/>
  <c r="AJ51" i="96"/>
  <c r="AK51" i="96"/>
  <c r="AL51" i="96"/>
  <c r="AM51" i="96"/>
  <c r="AN51" i="96"/>
  <c r="BG51" i="96"/>
  <c r="BF51" i="96" s="1"/>
  <c r="BH51" i="96"/>
  <c r="BI51" i="96"/>
  <c r="BJ51" i="96"/>
  <c r="BK51" i="96"/>
  <c r="BL51" i="96"/>
  <c r="AI52" i="96"/>
  <c r="AH52" i="96" s="1"/>
  <c r="AJ52" i="96"/>
  <c r="AK52" i="96"/>
  <c r="AL52" i="96"/>
  <c r="AM52" i="96"/>
  <c r="AN52" i="96"/>
  <c r="BG52" i="96"/>
  <c r="BF52" i="96" s="1"/>
  <c r="BH52" i="96"/>
  <c r="BI52" i="96"/>
  <c r="BJ52" i="96"/>
  <c r="BK52" i="96"/>
  <c r="BL52" i="96"/>
  <c r="AI53" i="96"/>
  <c r="AH53" i="96" s="1"/>
  <c r="AJ53" i="96"/>
  <c r="AK53" i="96"/>
  <c r="AL53" i="96"/>
  <c r="AM53" i="96"/>
  <c r="AN53" i="96"/>
  <c r="BG53" i="96"/>
  <c r="BF53" i="96" s="1"/>
  <c r="BH53" i="96"/>
  <c r="BI53" i="96"/>
  <c r="BJ53" i="96"/>
  <c r="BK53" i="96"/>
  <c r="BL53" i="96"/>
  <c r="AI54" i="96"/>
  <c r="AH54" i="96" s="1"/>
  <c r="AJ54" i="96"/>
  <c r="AK54" i="96"/>
  <c r="AL54" i="96"/>
  <c r="AM54" i="96"/>
  <c r="AN54" i="96"/>
  <c r="BG54" i="96"/>
  <c r="BF54" i="96" s="1"/>
  <c r="BH54" i="96"/>
  <c r="BI54" i="96"/>
  <c r="BJ54" i="96"/>
  <c r="BK54" i="96"/>
  <c r="BL54" i="96"/>
  <c r="AI55" i="96"/>
  <c r="AH55" i="96" s="1"/>
  <c r="AJ55" i="96"/>
  <c r="AK55" i="96"/>
  <c r="AL55" i="96"/>
  <c r="AM55" i="96"/>
  <c r="AN55" i="96"/>
  <c r="BG55" i="96"/>
  <c r="BF55" i="96" s="1"/>
  <c r="BH55" i="96"/>
  <c r="BI55" i="96"/>
  <c r="BJ55" i="96"/>
  <c r="BK55" i="96"/>
  <c r="BL55" i="96"/>
  <c r="AI56" i="96"/>
  <c r="AH56" i="96" s="1"/>
  <c r="AJ56" i="96"/>
  <c r="AK56" i="96"/>
  <c r="AL56" i="96"/>
  <c r="AM56" i="96"/>
  <c r="AN56" i="96"/>
  <c r="BG56" i="96"/>
  <c r="BF56" i="96" s="1"/>
  <c r="BH56" i="96"/>
  <c r="BI56" i="96"/>
  <c r="BJ56" i="96"/>
  <c r="BK56" i="96"/>
  <c r="BL56" i="96"/>
  <c r="AI57" i="96"/>
  <c r="AH57" i="96" s="1"/>
  <c r="AJ57" i="96"/>
  <c r="AK57" i="96"/>
  <c r="AL57" i="96"/>
  <c r="AM57" i="96"/>
  <c r="AN57" i="96"/>
  <c r="BG57" i="96"/>
  <c r="BF57" i="96" s="1"/>
  <c r="BH57" i="96"/>
  <c r="BI57" i="96"/>
  <c r="BJ57" i="96"/>
  <c r="BK57" i="96"/>
  <c r="BL57" i="96"/>
  <c r="AI58" i="96"/>
  <c r="AH58" i="96" s="1"/>
  <c r="AJ58" i="96"/>
  <c r="AK58" i="96"/>
  <c r="AL58" i="96"/>
  <c r="AM58" i="96"/>
  <c r="AN58" i="96"/>
  <c r="BG58" i="96"/>
  <c r="BF58" i="96" s="1"/>
  <c r="BH58" i="96"/>
  <c r="BI58" i="96"/>
  <c r="BJ58" i="96"/>
  <c r="BK58" i="96"/>
  <c r="BL58" i="96"/>
  <c r="AI59" i="96"/>
  <c r="AH59" i="96" s="1"/>
  <c r="AJ59" i="96"/>
  <c r="AK59" i="96"/>
  <c r="AL59" i="96"/>
  <c r="AM59" i="96"/>
  <c r="AN59" i="96"/>
  <c r="BG59" i="96"/>
  <c r="BF59" i="96" s="1"/>
  <c r="BH59" i="96"/>
  <c r="BI59" i="96"/>
  <c r="BJ59" i="96"/>
  <c r="BK59" i="96"/>
  <c r="BL59" i="96"/>
  <c r="BL12" i="96"/>
  <c r="BK12" i="96"/>
  <c r="BJ12" i="96"/>
  <c r="BI12" i="96"/>
  <c r="BH12" i="96"/>
  <c r="BG12" i="96"/>
  <c r="BF12" i="96" s="1"/>
  <c r="BL10" i="96"/>
  <c r="BK10" i="96"/>
  <c r="BJ10" i="96"/>
  <c r="BI10" i="96"/>
  <c r="BH10" i="96"/>
  <c r="BG10" i="96"/>
  <c r="BF10" i="96" s="1"/>
  <c r="BL8" i="96"/>
  <c r="BK8" i="96"/>
  <c r="BJ8" i="96"/>
  <c r="BI8" i="96"/>
  <c r="BH8" i="96"/>
  <c r="BG8" i="96"/>
  <c r="BF8" i="96" s="1"/>
  <c r="BL6" i="96"/>
  <c r="BK6" i="96"/>
  <c r="BJ6" i="96"/>
  <c r="BI6" i="96"/>
  <c r="BH6" i="96"/>
  <c r="BG6" i="96"/>
  <c r="AN12" i="96"/>
  <c r="AM12" i="96"/>
  <c r="AL12" i="96"/>
  <c r="AK12" i="96"/>
  <c r="AJ12" i="96"/>
  <c r="AI12" i="96"/>
  <c r="AN10" i="96"/>
  <c r="AM10" i="96"/>
  <c r="AL10" i="96"/>
  <c r="AK10" i="96"/>
  <c r="AJ10" i="96"/>
  <c r="AI10" i="96"/>
  <c r="AH10" i="96" s="1"/>
  <c r="AN8" i="96"/>
  <c r="AM8" i="96"/>
  <c r="AL8" i="96"/>
  <c r="AK8" i="96"/>
  <c r="AJ8" i="96"/>
  <c r="AI8" i="96"/>
  <c r="AH8" i="96" s="1"/>
  <c r="K13" i="96"/>
  <c r="L13" i="96"/>
  <c r="M13" i="96"/>
  <c r="N13" i="96"/>
  <c r="O13" i="96"/>
  <c r="P13" i="96"/>
  <c r="S13" i="96"/>
  <c r="R13" i="96" s="1"/>
  <c r="T13" i="96"/>
  <c r="U13" i="96"/>
  <c r="V13" i="96"/>
  <c r="W13" i="96"/>
  <c r="X13" i="96"/>
  <c r="K14" i="96"/>
  <c r="L14" i="96"/>
  <c r="M14" i="96"/>
  <c r="N14" i="96"/>
  <c r="O14" i="96"/>
  <c r="P14" i="96"/>
  <c r="S14" i="96"/>
  <c r="T14" i="96"/>
  <c r="U14" i="96"/>
  <c r="V14" i="96"/>
  <c r="W14" i="96"/>
  <c r="X14" i="96"/>
  <c r="K15" i="96"/>
  <c r="L15" i="96"/>
  <c r="M15" i="96"/>
  <c r="N15" i="96"/>
  <c r="O15" i="96"/>
  <c r="P15" i="96"/>
  <c r="S15" i="96"/>
  <c r="R15" i="96" s="1"/>
  <c r="T15" i="96"/>
  <c r="U15" i="96"/>
  <c r="V15" i="96"/>
  <c r="W15" i="96"/>
  <c r="X15" i="96"/>
  <c r="K16" i="96"/>
  <c r="L16" i="96"/>
  <c r="M16" i="96"/>
  <c r="N16" i="96"/>
  <c r="O16" i="96"/>
  <c r="P16" i="96"/>
  <c r="S16" i="96"/>
  <c r="T16" i="96"/>
  <c r="U16" i="96"/>
  <c r="V16" i="96"/>
  <c r="W16" i="96"/>
  <c r="X16" i="96"/>
  <c r="K17" i="96"/>
  <c r="L17" i="96"/>
  <c r="M17" i="96"/>
  <c r="N17" i="96"/>
  <c r="O17" i="96"/>
  <c r="P17" i="96"/>
  <c r="S17" i="96"/>
  <c r="R17" i="96" s="1"/>
  <c r="T17" i="96"/>
  <c r="U17" i="96"/>
  <c r="V17" i="96"/>
  <c r="W17" i="96"/>
  <c r="X17" i="96"/>
  <c r="K18" i="96"/>
  <c r="L18" i="96"/>
  <c r="M18" i="96"/>
  <c r="N18" i="96"/>
  <c r="O18" i="96"/>
  <c r="P18" i="96"/>
  <c r="S18" i="96"/>
  <c r="R18" i="96" s="1"/>
  <c r="T18" i="96"/>
  <c r="U18" i="96"/>
  <c r="V18" i="96"/>
  <c r="W18" i="96"/>
  <c r="X18" i="96"/>
  <c r="K19" i="96"/>
  <c r="L19" i="96"/>
  <c r="M19" i="96"/>
  <c r="N19" i="96"/>
  <c r="O19" i="96"/>
  <c r="P19" i="96"/>
  <c r="S19" i="96"/>
  <c r="T19" i="96"/>
  <c r="U19" i="96"/>
  <c r="V19" i="96"/>
  <c r="W19" i="96"/>
  <c r="X19" i="96"/>
  <c r="K20" i="96"/>
  <c r="L20" i="96"/>
  <c r="M20" i="96"/>
  <c r="N20" i="96"/>
  <c r="O20" i="96"/>
  <c r="P20" i="96"/>
  <c r="S20" i="96"/>
  <c r="R20" i="96" s="1"/>
  <c r="T20" i="96"/>
  <c r="U20" i="96"/>
  <c r="V20" i="96"/>
  <c r="W20" i="96"/>
  <c r="X20" i="96"/>
  <c r="K21" i="96"/>
  <c r="L21" i="96"/>
  <c r="M21" i="96"/>
  <c r="N21" i="96"/>
  <c r="O21" i="96"/>
  <c r="P21" i="96"/>
  <c r="S21" i="96"/>
  <c r="T21" i="96"/>
  <c r="U21" i="96"/>
  <c r="V21" i="96"/>
  <c r="W21" i="96"/>
  <c r="X21" i="96"/>
  <c r="K22" i="96"/>
  <c r="L22" i="96"/>
  <c r="M22" i="96"/>
  <c r="N22" i="96"/>
  <c r="O22" i="96"/>
  <c r="P22" i="96"/>
  <c r="S22" i="96"/>
  <c r="R22" i="96" s="1"/>
  <c r="T22" i="96"/>
  <c r="U22" i="96"/>
  <c r="V22" i="96"/>
  <c r="W22" i="96"/>
  <c r="X22" i="96"/>
  <c r="K23" i="96"/>
  <c r="L23" i="96"/>
  <c r="M23" i="96"/>
  <c r="N23" i="96"/>
  <c r="O23" i="96"/>
  <c r="P23" i="96"/>
  <c r="S23" i="96"/>
  <c r="T23" i="96"/>
  <c r="U23" i="96"/>
  <c r="V23" i="96"/>
  <c r="W23" i="96"/>
  <c r="X23" i="96"/>
  <c r="K24" i="96"/>
  <c r="L24" i="96"/>
  <c r="M24" i="96"/>
  <c r="N24" i="96"/>
  <c r="O24" i="96"/>
  <c r="P24" i="96"/>
  <c r="S24" i="96"/>
  <c r="R24" i="96" s="1"/>
  <c r="T24" i="96"/>
  <c r="U24" i="96"/>
  <c r="V24" i="96"/>
  <c r="W24" i="96"/>
  <c r="X24" i="96"/>
  <c r="K25" i="96"/>
  <c r="L25" i="96"/>
  <c r="M25" i="96"/>
  <c r="N25" i="96"/>
  <c r="O25" i="96"/>
  <c r="P25" i="96"/>
  <c r="S25" i="96"/>
  <c r="R25" i="96" s="1"/>
  <c r="T25" i="96"/>
  <c r="U25" i="96"/>
  <c r="V25" i="96"/>
  <c r="W25" i="96"/>
  <c r="X25" i="96"/>
  <c r="K26" i="96"/>
  <c r="L26" i="96"/>
  <c r="M26" i="96"/>
  <c r="N26" i="96"/>
  <c r="O26" i="96"/>
  <c r="P26" i="96"/>
  <c r="S26" i="96"/>
  <c r="R26" i="96" s="1"/>
  <c r="T26" i="96"/>
  <c r="U26" i="96"/>
  <c r="V26" i="96"/>
  <c r="W26" i="96"/>
  <c r="X26" i="96"/>
  <c r="K27" i="96"/>
  <c r="L27" i="96"/>
  <c r="M27" i="96"/>
  <c r="N27" i="96"/>
  <c r="O27" i="96"/>
  <c r="P27" i="96"/>
  <c r="S27" i="96"/>
  <c r="R27" i="96" s="1"/>
  <c r="T27" i="96"/>
  <c r="U27" i="96"/>
  <c r="V27" i="96"/>
  <c r="W27" i="96"/>
  <c r="X27" i="96"/>
  <c r="K28" i="96"/>
  <c r="L28" i="96"/>
  <c r="M28" i="96"/>
  <c r="N28" i="96"/>
  <c r="O28" i="96"/>
  <c r="P28" i="96"/>
  <c r="S28" i="96"/>
  <c r="R28" i="96" s="1"/>
  <c r="T28" i="96"/>
  <c r="U28" i="96"/>
  <c r="V28" i="96"/>
  <c r="W28" i="96"/>
  <c r="X28" i="96"/>
  <c r="K29" i="96"/>
  <c r="L29" i="96"/>
  <c r="M29" i="96"/>
  <c r="N29" i="96"/>
  <c r="O29" i="96"/>
  <c r="P29" i="96"/>
  <c r="S29" i="96"/>
  <c r="R29" i="96" s="1"/>
  <c r="T29" i="96"/>
  <c r="U29" i="96"/>
  <c r="V29" i="96"/>
  <c r="W29" i="96"/>
  <c r="X29" i="96"/>
  <c r="K30" i="96"/>
  <c r="L30" i="96"/>
  <c r="M30" i="96"/>
  <c r="N30" i="96"/>
  <c r="O30" i="96"/>
  <c r="P30" i="96"/>
  <c r="S30" i="96"/>
  <c r="R30" i="96" s="1"/>
  <c r="T30" i="96"/>
  <c r="U30" i="96"/>
  <c r="V30" i="96"/>
  <c r="W30" i="96"/>
  <c r="X30" i="96"/>
  <c r="K31" i="96"/>
  <c r="L31" i="96"/>
  <c r="M31" i="96"/>
  <c r="N31" i="96"/>
  <c r="O31" i="96"/>
  <c r="P31" i="96"/>
  <c r="S31" i="96"/>
  <c r="R31" i="96" s="1"/>
  <c r="T31" i="96"/>
  <c r="U31" i="96"/>
  <c r="V31" i="96"/>
  <c r="W31" i="96"/>
  <c r="X31" i="96"/>
  <c r="K32" i="96"/>
  <c r="L32" i="96"/>
  <c r="M32" i="96"/>
  <c r="N32" i="96"/>
  <c r="O32" i="96"/>
  <c r="P32" i="96"/>
  <c r="S32" i="96"/>
  <c r="R32" i="96" s="1"/>
  <c r="T32" i="96"/>
  <c r="U32" i="96"/>
  <c r="V32" i="96"/>
  <c r="W32" i="96"/>
  <c r="X32" i="96"/>
  <c r="K33" i="96"/>
  <c r="L33" i="96"/>
  <c r="M33" i="96"/>
  <c r="N33" i="96"/>
  <c r="O33" i="96"/>
  <c r="P33" i="96"/>
  <c r="S33" i="96"/>
  <c r="R33" i="96" s="1"/>
  <c r="T33" i="96"/>
  <c r="U33" i="96"/>
  <c r="V33" i="96"/>
  <c r="W33" i="96"/>
  <c r="X33" i="96"/>
  <c r="K34" i="96"/>
  <c r="L34" i="96"/>
  <c r="M34" i="96"/>
  <c r="N34" i="96"/>
  <c r="O34" i="96"/>
  <c r="P34" i="96"/>
  <c r="S34" i="96"/>
  <c r="R34" i="96" s="1"/>
  <c r="T34" i="96"/>
  <c r="U34" i="96"/>
  <c r="V34" i="96"/>
  <c r="W34" i="96"/>
  <c r="X34" i="96"/>
  <c r="K35" i="96"/>
  <c r="L35" i="96"/>
  <c r="M35" i="96"/>
  <c r="N35" i="96"/>
  <c r="O35" i="96"/>
  <c r="P35" i="96"/>
  <c r="S35" i="96"/>
  <c r="R35" i="96" s="1"/>
  <c r="T35" i="96"/>
  <c r="U35" i="96"/>
  <c r="V35" i="96"/>
  <c r="W35" i="96"/>
  <c r="X35" i="96"/>
  <c r="K36" i="96"/>
  <c r="L36" i="96"/>
  <c r="M36" i="96"/>
  <c r="N36" i="96"/>
  <c r="O36" i="96"/>
  <c r="P36" i="96"/>
  <c r="S36" i="96"/>
  <c r="R36" i="96" s="1"/>
  <c r="T36" i="96"/>
  <c r="U36" i="96"/>
  <c r="V36" i="96"/>
  <c r="W36" i="96"/>
  <c r="X36" i="96"/>
  <c r="K37" i="96"/>
  <c r="J37" i="96" s="1"/>
  <c r="L37" i="96"/>
  <c r="M37" i="96"/>
  <c r="N37" i="96"/>
  <c r="O37" i="96"/>
  <c r="P37" i="96"/>
  <c r="S37" i="96"/>
  <c r="R37" i="96" s="1"/>
  <c r="T37" i="96"/>
  <c r="U37" i="96"/>
  <c r="V37" i="96"/>
  <c r="W37" i="96"/>
  <c r="X37" i="96"/>
  <c r="K38" i="96"/>
  <c r="L38" i="96"/>
  <c r="M38" i="96"/>
  <c r="N38" i="96"/>
  <c r="O38" i="96"/>
  <c r="P38" i="96"/>
  <c r="S38" i="96"/>
  <c r="R38" i="96" s="1"/>
  <c r="T38" i="96"/>
  <c r="U38" i="96"/>
  <c r="V38" i="96"/>
  <c r="W38" i="96"/>
  <c r="X38" i="96"/>
  <c r="K39" i="96"/>
  <c r="L39" i="96"/>
  <c r="M39" i="96"/>
  <c r="N39" i="96"/>
  <c r="O39" i="96"/>
  <c r="P39" i="96"/>
  <c r="S39" i="96"/>
  <c r="R39" i="96" s="1"/>
  <c r="T39" i="96"/>
  <c r="U39" i="96"/>
  <c r="V39" i="96"/>
  <c r="W39" i="96"/>
  <c r="X39" i="96"/>
  <c r="K40" i="96"/>
  <c r="L40" i="96"/>
  <c r="M40" i="96"/>
  <c r="N40" i="96"/>
  <c r="O40" i="96"/>
  <c r="P40" i="96"/>
  <c r="S40" i="96"/>
  <c r="R40" i="96" s="1"/>
  <c r="T40" i="96"/>
  <c r="U40" i="96"/>
  <c r="V40" i="96"/>
  <c r="W40" i="96"/>
  <c r="X40" i="96"/>
  <c r="K41" i="96"/>
  <c r="L41" i="96"/>
  <c r="M41" i="96"/>
  <c r="N41" i="96"/>
  <c r="O41" i="96"/>
  <c r="P41" i="96"/>
  <c r="S41" i="96"/>
  <c r="R41" i="96" s="1"/>
  <c r="T41" i="96"/>
  <c r="U41" i="96"/>
  <c r="V41" i="96"/>
  <c r="W41" i="96"/>
  <c r="X41" i="96"/>
  <c r="K42" i="96"/>
  <c r="L42" i="96"/>
  <c r="M42" i="96"/>
  <c r="N42" i="96"/>
  <c r="O42" i="96"/>
  <c r="P42" i="96"/>
  <c r="S42" i="96"/>
  <c r="R42" i="96" s="1"/>
  <c r="T42" i="96"/>
  <c r="U42" i="96"/>
  <c r="V42" i="96"/>
  <c r="W42" i="96"/>
  <c r="X42" i="96"/>
  <c r="K43" i="96"/>
  <c r="L43" i="96"/>
  <c r="M43" i="96"/>
  <c r="N43" i="96"/>
  <c r="O43" i="96"/>
  <c r="P43" i="96"/>
  <c r="S43" i="96"/>
  <c r="R43" i="96" s="1"/>
  <c r="T43" i="96"/>
  <c r="U43" i="96"/>
  <c r="V43" i="96"/>
  <c r="W43" i="96"/>
  <c r="X43" i="96"/>
  <c r="K44" i="96"/>
  <c r="L44" i="96"/>
  <c r="M44" i="96"/>
  <c r="N44" i="96"/>
  <c r="O44" i="96"/>
  <c r="P44" i="96"/>
  <c r="S44" i="96"/>
  <c r="R44" i="96" s="1"/>
  <c r="T44" i="96"/>
  <c r="U44" i="96"/>
  <c r="V44" i="96"/>
  <c r="W44" i="96"/>
  <c r="X44" i="96"/>
  <c r="K45" i="96"/>
  <c r="L45" i="96"/>
  <c r="M45" i="96"/>
  <c r="N45" i="96"/>
  <c r="O45" i="96"/>
  <c r="P45" i="96"/>
  <c r="S45" i="96"/>
  <c r="R45" i="96" s="1"/>
  <c r="T45" i="96"/>
  <c r="U45" i="96"/>
  <c r="V45" i="96"/>
  <c r="W45" i="96"/>
  <c r="X45" i="96"/>
  <c r="K46" i="96"/>
  <c r="L46" i="96"/>
  <c r="M46" i="96"/>
  <c r="N46" i="96"/>
  <c r="O46" i="96"/>
  <c r="P46" i="96"/>
  <c r="S46" i="96"/>
  <c r="R46" i="96" s="1"/>
  <c r="T46" i="96"/>
  <c r="U46" i="96"/>
  <c r="V46" i="96"/>
  <c r="W46" i="96"/>
  <c r="X46" i="96"/>
  <c r="K47" i="96"/>
  <c r="L47" i="96"/>
  <c r="M47" i="96"/>
  <c r="N47" i="96"/>
  <c r="O47" i="96"/>
  <c r="P47" i="96"/>
  <c r="S47" i="96"/>
  <c r="R47" i="96" s="1"/>
  <c r="T47" i="96"/>
  <c r="U47" i="96"/>
  <c r="V47" i="96"/>
  <c r="W47" i="96"/>
  <c r="X47" i="96"/>
  <c r="K48" i="96"/>
  <c r="L48" i="96"/>
  <c r="M48" i="96"/>
  <c r="N48" i="96"/>
  <c r="O48" i="96"/>
  <c r="P48" i="96"/>
  <c r="S48" i="96"/>
  <c r="R48" i="96" s="1"/>
  <c r="T48" i="96"/>
  <c r="U48" i="96"/>
  <c r="V48" i="96"/>
  <c r="W48" i="96"/>
  <c r="X48" i="96"/>
  <c r="K49" i="96"/>
  <c r="L49" i="96"/>
  <c r="M49" i="96"/>
  <c r="N49" i="96"/>
  <c r="O49" i="96"/>
  <c r="P49" i="96"/>
  <c r="S49" i="96"/>
  <c r="R49" i="96" s="1"/>
  <c r="T49" i="96"/>
  <c r="U49" i="96"/>
  <c r="V49" i="96"/>
  <c r="W49" i="96"/>
  <c r="X49" i="96"/>
  <c r="K50" i="96"/>
  <c r="L50" i="96"/>
  <c r="M50" i="96"/>
  <c r="N50" i="96"/>
  <c r="O50" i="96"/>
  <c r="P50" i="96"/>
  <c r="S50" i="96"/>
  <c r="R50" i="96" s="1"/>
  <c r="T50" i="96"/>
  <c r="U50" i="96"/>
  <c r="V50" i="96"/>
  <c r="W50" i="96"/>
  <c r="X50" i="96"/>
  <c r="K51" i="96"/>
  <c r="L51" i="96"/>
  <c r="M51" i="96"/>
  <c r="N51" i="96"/>
  <c r="O51" i="96"/>
  <c r="P51" i="96"/>
  <c r="S51" i="96"/>
  <c r="R51" i="96" s="1"/>
  <c r="T51" i="96"/>
  <c r="U51" i="96"/>
  <c r="V51" i="96"/>
  <c r="W51" i="96"/>
  <c r="X51" i="96"/>
  <c r="K52" i="96"/>
  <c r="L52" i="96"/>
  <c r="M52" i="96"/>
  <c r="N52" i="96"/>
  <c r="O52" i="96"/>
  <c r="P52" i="96"/>
  <c r="S52" i="96"/>
  <c r="R52" i="96" s="1"/>
  <c r="T52" i="96"/>
  <c r="U52" i="96"/>
  <c r="V52" i="96"/>
  <c r="W52" i="96"/>
  <c r="X52" i="96"/>
  <c r="K53" i="96"/>
  <c r="L53" i="96"/>
  <c r="M53" i="96"/>
  <c r="N53" i="96"/>
  <c r="O53" i="96"/>
  <c r="P53" i="96"/>
  <c r="S53" i="96"/>
  <c r="R53" i="96" s="1"/>
  <c r="T53" i="96"/>
  <c r="U53" i="96"/>
  <c r="V53" i="96"/>
  <c r="W53" i="96"/>
  <c r="X53" i="96"/>
  <c r="K54" i="96"/>
  <c r="L54" i="96"/>
  <c r="M54" i="96"/>
  <c r="N54" i="96"/>
  <c r="O54" i="96"/>
  <c r="P54" i="96"/>
  <c r="S54" i="96"/>
  <c r="R54" i="96" s="1"/>
  <c r="T54" i="96"/>
  <c r="U54" i="96"/>
  <c r="V54" i="96"/>
  <c r="W54" i="96"/>
  <c r="X54" i="96"/>
  <c r="K55" i="96"/>
  <c r="L55" i="96"/>
  <c r="M55" i="96"/>
  <c r="N55" i="96"/>
  <c r="O55" i="96"/>
  <c r="P55" i="96"/>
  <c r="S55" i="96"/>
  <c r="R55" i="96" s="1"/>
  <c r="T55" i="96"/>
  <c r="U55" i="96"/>
  <c r="V55" i="96"/>
  <c r="W55" i="96"/>
  <c r="X55" i="96"/>
  <c r="K56" i="96"/>
  <c r="L56" i="96"/>
  <c r="M56" i="96"/>
  <c r="N56" i="96"/>
  <c r="O56" i="96"/>
  <c r="P56" i="96"/>
  <c r="S56" i="96"/>
  <c r="R56" i="96" s="1"/>
  <c r="T56" i="96"/>
  <c r="U56" i="96"/>
  <c r="V56" i="96"/>
  <c r="W56" i="96"/>
  <c r="X56" i="96"/>
  <c r="K57" i="96"/>
  <c r="L57" i="96"/>
  <c r="M57" i="96"/>
  <c r="N57" i="96"/>
  <c r="O57" i="96"/>
  <c r="P57" i="96"/>
  <c r="S57" i="96"/>
  <c r="R57" i="96" s="1"/>
  <c r="T57" i="96"/>
  <c r="U57" i="96"/>
  <c r="V57" i="96"/>
  <c r="W57" i="96"/>
  <c r="X57" i="96"/>
  <c r="K58" i="96"/>
  <c r="L58" i="96"/>
  <c r="M58" i="96"/>
  <c r="N58" i="96"/>
  <c r="O58" i="96"/>
  <c r="P58" i="96"/>
  <c r="S58" i="96"/>
  <c r="R58" i="96" s="1"/>
  <c r="T58" i="96"/>
  <c r="U58" i="96"/>
  <c r="V58" i="96"/>
  <c r="W58" i="96"/>
  <c r="X58" i="96"/>
  <c r="K59" i="96"/>
  <c r="L59" i="96"/>
  <c r="M59" i="96"/>
  <c r="N59" i="96"/>
  <c r="O59" i="96"/>
  <c r="P59" i="96"/>
  <c r="S59" i="96"/>
  <c r="R59" i="96" s="1"/>
  <c r="T59" i="96"/>
  <c r="U59" i="96"/>
  <c r="V59" i="96"/>
  <c r="W59" i="96"/>
  <c r="X59" i="96"/>
  <c r="X12" i="96"/>
  <c r="W12" i="96"/>
  <c r="V12" i="96"/>
  <c r="U12" i="96"/>
  <c r="T12" i="96"/>
  <c r="S12" i="96"/>
  <c r="P12" i="96"/>
  <c r="O12" i="96"/>
  <c r="N12" i="96"/>
  <c r="M12" i="96"/>
  <c r="L12" i="96"/>
  <c r="K12" i="96"/>
  <c r="J12" i="96" s="1"/>
  <c r="X10" i="96"/>
  <c r="W10" i="96"/>
  <c r="V10" i="96"/>
  <c r="U10" i="96"/>
  <c r="T10" i="96"/>
  <c r="S10" i="96"/>
  <c r="R10" i="96" s="1"/>
  <c r="P10" i="96"/>
  <c r="O10" i="96"/>
  <c r="N10" i="96"/>
  <c r="M10" i="96"/>
  <c r="L10" i="96"/>
  <c r="K10" i="96"/>
  <c r="J10" i="96" s="1"/>
  <c r="X8" i="96"/>
  <c r="W8" i="96"/>
  <c r="V8" i="96"/>
  <c r="U8" i="96"/>
  <c r="T8" i="96"/>
  <c r="S8" i="96"/>
  <c r="P8" i="96"/>
  <c r="O8" i="96"/>
  <c r="N8" i="96"/>
  <c r="M8" i="96"/>
  <c r="L8" i="96"/>
  <c r="K8" i="96"/>
  <c r="X6" i="96"/>
  <c r="W6" i="96"/>
  <c r="V6" i="96"/>
  <c r="U6" i="96"/>
  <c r="T6" i="96"/>
  <c r="S6" i="96"/>
  <c r="R6" i="96" s="1"/>
  <c r="P6" i="96"/>
  <c r="O6" i="96"/>
  <c r="N6" i="96"/>
  <c r="M6" i="96"/>
  <c r="L6" i="96"/>
  <c r="K6" i="96"/>
  <c r="B42" i="98" l="1"/>
  <c r="AH21" i="96"/>
  <c r="AH12" i="96"/>
  <c r="AH23" i="96"/>
  <c r="AH19" i="96"/>
  <c r="R21" i="96"/>
  <c r="R23" i="96"/>
  <c r="R19" i="96"/>
  <c r="R16" i="96"/>
  <c r="R14" i="96"/>
  <c r="R12" i="96"/>
  <c r="B44" i="98"/>
  <c r="I42" i="98"/>
  <c r="J55" i="96"/>
  <c r="J21" i="96"/>
  <c r="J19" i="96"/>
  <c r="J56" i="96"/>
  <c r="J18" i="96"/>
  <c r="J14" i="96"/>
  <c r="J8" i="96"/>
  <c r="J48" i="96"/>
  <c r="J33" i="96"/>
  <c r="J29" i="96"/>
  <c r="J59" i="96"/>
  <c r="J40" i="96"/>
  <c r="J47" i="96"/>
  <c r="J43" i="96"/>
  <c r="J24" i="96"/>
  <c r="J58" i="96"/>
  <c r="J54" i="96"/>
  <c r="J39" i="96"/>
  <c r="J20" i="96"/>
  <c r="J16" i="96"/>
  <c r="J25" i="96"/>
  <c r="J17" i="96"/>
  <c r="J36" i="96"/>
  <c r="J32" i="96"/>
  <c r="J28" i="96"/>
  <c r="J6" i="96"/>
  <c r="J50" i="96"/>
  <c r="J46" i="96"/>
  <c r="J42" i="96"/>
  <c r="J35" i="96"/>
  <c r="J31" i="96"/>
  <c r="J27" i="96"/>
  <c r="J23" i="96"/>
  <c r="J52" i="96"/>
  <c r="J44" i="96"/>
  <c r="J13" i="96"/>
  <c r="J51" i="96"/>
  <c r="J57" i="96"/>
  <c r="J38" i="96"/>
  <c r="J15" i="96"/>
  <c r="J53" i="96"/>
  <c r="J49" i="96"/>
  <c r="J45" i="96"/>
  <c r="J41" i="96"/>
  <c r="J34" i="96"/>
  <c r="J30" i="96"/>
  <c r="J26" i="96"/>
  <c r="J22" i="96"/>
  <c r="BF6" i="96"/>
  <c r="R8" i="96"/>
  <c r="B101" i="98" l="1"/>
  <c r="B100" i="98"/>
  <c r="B99" i="98"/>
  <c r="IA7" i="39" l="1"/>
  <c r="IB7" i="39"/>
  <c r="IC7" i="39"/>
  <c r="G36" i="63" s="1"/>
  <c r="ID7" i="39"/>
  <c r="IE7" i="39"/>
  <c r="IF7" i="39"/>
  <c r="IA8" i="39"/>
  <c r="IB8" i="39"/>
  <c r="IC8" i="39"/>
  <c r="G37" i="63" s="1"/>
  <c r="ID8" i="39"/>
  <c r="IE8" i="39"/>
  <c r="IF8" i="39"/>
  <c r="IA9" i="39"/>
  <c r="IB9" i="39"/>
  <c r="IC9" i="39"/>
  <c r="G38" i="63" s="1"/>
  <c r="ID9" i="39"/>
  <c r="IE9" i="39"/>
  <c r="IF9" i="39"/>
  <c r="IA10" i="39"/>
  <c r="IB10" i="39"/>
  <c r="IC10" i="39"/>
  <c r="G39" i="63" s="1"/>
  <c r="ID10" i="39"/>
  <c r="IE10" i="39"/>
  <c r="IF10" i="39"/>
  <c r="IA11" i="39"/>
  <c r="IB11" i="39"/>
  <c r="IC11" i="39"/>
  <c r="G40" i="63" s="1"/>
  <c r="ID11" i="39"/>
  <c r="IE11" i="39"/>
  <c r="IF11" i="39"/>
  <c r="IA12" i="39"/>
  <c r="IB12" i="39"/>
  <c r="IC12" i="39"/>
  <c r="G41" i="63" s="1"/>
  <c r="ID12" i="39"/>
  <c r="IE12" i="39"/>
  <c r="IF12" i="39"/>
  <c r="IA13" i="39"/>
  <c r="IB13" i="39"/>
  <c r="IC13" i="39"/>
  <c r="G42" i="63" s="1"/>
  <c r="ID13" i="39"/>
  <c r="IE13" i="39"/>
  <c r="IF13" i="39"/>
  <c r="IA14" i="39"/>
  <c r="IB14" i="39"/>
  <c r="IC14" i="39"/>
  <c r="G43" i="63" s="1"/>
  <c r="ID14" i="39"/>
  <c r="IE14" i="39"/>
  <c r="IF14" i="39"/>
  <c r="IA15" i="39"/>
  <c r="IB15" i="39"/>
  <c r="IC15" i="39"/>
  <c r="G44" i="63" s="1"/>
  <c r="ID15" i="39"/>
  <c r="IE15" i="39"/>
  <c r="IF15" i="39"/>
  <c r="IA16" i="39"/>
  <c r="IB16" i="39"/>
  <c r="IC16" i="39"/>
  <c r="G45" i="63" s="1"/>
  <c r="ID16" i="39"/>
  <c r="IE16" i="39"/>
  <c r="IF16" i="39"/>
  <c r="IA17" i="39"/>
  <c r="IB17" i="39"/>
  <c r="IC17" i="39"/>
  <c r="G46" i="63" s="1"/>
  <c r="ID17" i="39"/>
  <c r="IE17" i="39"/>
  <c r="IF17" i="39"/>
  <c r="IA18" i="39"/>
  <c r="IB18" i="39"/>
  <c r="IC18" i="39"/>
  <c r="G47" i="63" s="1"/>
  <c r="ID18" i="39"/>
  <c r="IE18" i="39"/>
  <c r="IF18" i="39"/>
  <c r="IA19" i="39"/>
  <c r="IB19" i="39"/>
  <c r="IC19" i="39"/>
  <c r="G48" i="63" s="1"/>
  <c r="ID19" i="39"/>
  <c r="IE19" i="39"/>
  <c r="IF19" i="39"/>
  <c r="IA20" i="39"/>
  <c r="IB20" i="39"/>
  <c r="IC20" i="39"/>
  <c r="G49" i="63" s="1"/>
  <c r="ID20" i="39"/>
  <c r="IE20" i="39"/>
  <c r="IF20" i="39"/>
  <c r="IA21" i="39"/>
  <c r="IB21" i="39"/>
  <c r="IC21" i="39"/>
  <c r="G50" i="63" s="1"/>
  <c r="ID21" i="39"/>
  <c r="IE21" i="39"/>
  <c r="IF21" i="39"/>
  <c r="IA22" i="39"/>
  <c r="IB22" i="39"/>
  <c r="IC22" i="39"/>
  <c r="G51" i="63" s="1"/>
  <c r="ID22" i="39"/>
  <c r="IE22" i="39"/>
  <c r="IF22" i="39"/>
  <c r="IA23" i="39"/>
  <c r="IB23" i="39"/>
  <c r="IC23" i="39"/>
  <c r="G52" i="63" s="1"/>
  <c r="ID23" i="39"/>
  <c r="IE23" i="39"/>
  <c r="IF23" i="39"/>
  <c r="IA24" i="39"/>
  <c r="IB24" i="39"/>
  <c r="IC24" i="39"/>
  <c r="G53" i="63" s="1"/>
  <c r="ID24" i="39"/>
  <c r="IE24" i="39"/>
  <c r="IF24" i="39"/>
  <c r="IA25" i="39"/>
  <c r="IB25" i="39"/>
  <c r="IC25" i="39"/>
  <c r="G54" i="63" s="1"/>
  <c r="ID25" i="39"/>
  <c r="IE25" i="39"/>
  <c r="IF25" i="39"/>
  <c r="IA26" i="39"/>
  <c r="IB26" i="39"/>
  <c r="IC26" i="39"/>
  <c r="G55" i="63" s="1"/>
  <c r="ID26" i="39"/>
  <c r="IE26" i="39"/>
  <c r="IF26" i="39"/>
  <c r="IA27" i="39"/>
  <c r="IB27" i="39"/>
  <c r="IC27" i="39"/>
  <c r="G56" i="63" s="1"/>
  <c r="ID27" i="39"/>
  <c r="IE27" i="39"/>
  <c r="IF27" i="39"/>
  <c r="IA28" i="39"/>
  <c r="IB28" i="39"/>
  <c r="IC28" i="39"/>
  <c r="G57" i="63" s="1"/>
  <c r="ID28" i="39"/>
  <c r="IE28" i="39"/>
  <c r="IF28" i="39"/>
  <c r="IA29" i="39"/>
  <c r="IB29" i="39"/>
  <c r="IC29" i="39"/>
  <c r="G58" i="63" s="1"/>
  <c r="ID29" i="39"/>
  <c r="IE29" i="39"/>
  <c r="IF29" i="39"/>
  <c r="IA30" i="39"/>
  <c r="IB30" i="39"/>
  <c r="IC30" i="39"/>
  <c r="G59" i="63" s="1"/>
  <c r="ID30" i="39"/>
  <c r="IE30" i="39"/>
  <c r="IF30" i="39"/>
  <c r="IA31" i="39"/>
  <c r="IB31" i="39"/>
  <c r="IC31" i="39"/>
  <c r="ID31" i="39"/>
  <c r="IE31" i="39"/>
  <c r="IF31" i="39"/>
  <c r="IA32" i="39"/>
  <c r="IB32" i="39"/>
  <c r="IC32" i="39"/>
  <c r="G61" i="63" s="1"/>
  <c r="ID32" i="39"/>
  <c r="IE32" i="39"/>
  <c r="IF32" i="39"/>
  <c r="IA33" i="39"/>
  <c r="IB33" i="39"/>
  <c r="IC33" i="39"/>
  <c r="G62" i="63" s="1"/>
  <c r="ID33" i="39"/>
  <c r="IE33" i="39"/>
  <c r="IF33" i="39"/>
  <c r="IA34" i="39"/>
  <c r="IB34" i="39"/>
  <c r="IC34" i="39"/>
  <c r="G63" i="63" s="1"/>
  <c r="ID34" i="39"/>
  <c r="IE34" i="39"/>
  <c r="IF34" i="39"/>
  <c r="IA35" i="39"/>
  <c r="IB35" i="39"/>
  <c r="IC35" i="39"/>
  <c r="ID35" i="39"/>
  <c r="IE35" i="39"/>
  <c r="IF35" i="39"/>
  <c r="IA36" i="39"/>
  <c r="IB36" i="39"/>
  <c r="IC36" i="39"/>
  <c r="G65" i="63" s="1"/>
  <c r="ID36" i="39"/>
  <c r="IE36" i="39"/>
  <c r="IF36" i="39"/>
  <c r="IA37" i="39"/>
  <c r="IB37" i="39"/>
  <c r="IC37" i="39"/>
  <c r="G66" i="63" s="1"/>
  <c r="ID37" i="39"/>
  <c r="IE37" i="39"/>
  <c r="IF37" i="39"/>
  <c r="IA38" i="39"/>
  <c r="IB38" i="39"/>
  <c r="IC38" i="39"/>
  <c r="G67" i="63" s="1"/>
  <c r="ID38" i="39"/>
  <c r="IE38" i="39"/>
  <c r="IF38" i="39"/>
  <c r="IA39" i="39"/>
  <c r="IB39" i="39"/>
  <c r="IC39" i="39"/>
  <c r="G68" i="63" s="1"/>
  <c r="ID39" i="39"/>
  <c r="IE39" i="39"/>
  <c r="IF39" i="39"/>
  <c r="IA40" i="39"/>
  <c r="IB40" i="39"/>
  <c r="IC40" i="39"/>
  <c r="G69" i="63" s="1"/>
  <c r="ID40" i="39"/>
  <c r="IE40" i="39"/>
  <c r="IF40" i="39"/>
  <c r="IA41" i="39"/>
  <c r="IB41" i="39"/>
  <c r="IC41" i="39"/>
  <c r="G70" i="63" s="1"/>
  <c r="ID41" i="39"/>
  <c r="IE41" i="39"/>
  <c r="IF41" i="39"/>
  <c r="IA42" i="39"/>
  <c r="IB42" i="39"/>
  <c r="IC42" i="39"/>
  <c r="G71" i="63" s="1"/>
  <c r="ID42" i="39"/>
  <c r="IE42" i="39"/>
  <c r="IF42" i="39"/>
  <c r="IA43" i="39"/>
  <c r="IB43" i="39"/>
  <c r="IC43" i="39"/>
  <c r="G72" i="63" s="1"/>
  <c r="ID43" i="39"/>
  <c r="IE43" i="39"/>
  <c r="IF43" i="39"/>
  <c r="IA44" i="39"/>
  <c r="IB44" i="39"/>
  <c r="IC44" i="39"/>
  <c r="G73" i="63" s="1"/>
  <c r="ID44" i="39"/>
  <c r="IE44" i="39"/>
  <c r="IF44" i="39"/>
  <c r="IA45" i="39"/>
  <c r="IB45" i="39"/>
  <c r="IC45" i="39"/>
  <c r="G74" i="63" s="1"/>
  <c r="ID45" i="39"/>
  <c r="IE45" i="39"/>
  <c r="IF45" i="39"/>
  <c r="IA46" i="39"/>
  <c r="IB46" i="39"/>
  <c r="IC46" i="39"/>
  <c r="G75" i="63" s="1"/>
  <c r="ID46" i="39"/>
  <c r="IE46" i="39"/>
  <c r="IF46" i="39"/>
  <c r="IA47" i="39"/>
  <c r="IB47" i="39"/>
  <c r="IC47" i="39"/>
  <c r="G76" i="63" s="1"/>
  <c r="ID47" i="39"/>
  <c r="IE47" i="39"/>
  <c r="IF47" i="39"/>
  <c r="IA48" i="39"/>
  <c r="IB48" i="39"/>
  <c r="IC48" i="39"/>
  <c r="G77" i="63" s="1"/>
  <c r="ID48" i="39"/>
  <c r="IE48" i="39"/>
  <c r="IF48" i="39"/>
  <c r="IA49" i="39"/>
  <c r="IB49" i="39"/>
  <c r="IC49" i="39"/>
  <c r="G78" i="63" s="1"/>
  <c r="ID49" i="39"/>
  <c r="IE49" i="39"/>
  <c r="IF49" i="39"/>
  <c r="IA50" i="39"/>
  <c r="IB50" i="39"/>
  <c r="IC50" i="39"/>
  <c r="G79" i="63" s="1"/>
  <c r="ID50" i="39"/>
  <c r="IE50" i="39"/>
  <c r="IF50" i="39"/>
  <c r="IA51" i="39"/>
  <c r="IB51" i="39"/>
  <c r="IC51" i="39"/>
  <c r="G80" i="63" s="1"/>
  <c r="ID51" i="39"/>
  <c r="IE51" i="39"/>
  <c r="IF51" i="39"/>
  <c r="IA52" i="39"/>
  <c r="IB52" i="39"/>
  <c r="IC52" i="39"/>
  <c r="G81" i="63" s="1"/>
  <c r="ID52" i="39"/>
  <c r="IE52" i="39"/>
  <c r="IF52" i="39"/>
  <c r="IA53" i="39"/>
  <c r="IB53" i="39"/>
  <c r="IC53" i="39"/>
  <c r="G82" i="63" s="1"/>
  <c r="ID53" i="39"/>
  <c r="IE53" i="39"/>
  <c r="IF53" i="39"/>
  <c r="IA54" i="39"/>
  <c r="IB54" i="39"/>
  <c r="IC54" i="39"/>
  <c r="G83" i="63" s="1"/>
  <c r="ID54" i="39"/>
  <c r="IE54" i="39"/>
  <c r="IF54" i="39"/>
  <c r="IA55" i="39"/>
  <c r="IB55" i="39"/>
  <c r="IC55" i="39"/>
  <c r="G84" i="63" s="1"/>
  <c r="ID55" i="39"/>
  <c r="IE55" i="39"/>
  <c r="IF55" i="39"/>
  <c r="IA56" i="39"/>
  <c r="IB56" i="39"/>
  <c r="IC56" i="39"/>
  <c r="G85" i="63" s="1"/>
  <c r="ID56" i="39"/>
  <c r="IE56" i="39"/>
  <c r="IF56" i="39"/>
  <c r="IA57" i="39"/>
  <c r="IB57" i="39"/>
  <c r="IC57" i="39"/>
  <c r="G86" i="63" s="1"/>
  <c r="ID57" i="39"/>
  <c r="IE57" i="39"/>
  <c r="IF57" i="39"/>
  <c r="IA58" i="39"/>
  <c r="IB58" i="39"/>
  <c r="IC58" i="39"/>
  <c r="G87" i="63" s="1"/>
  <c r="ID58" i="39"/>
  <c r="IE58" i="39"/>
  <c r="IF58" i="39"/>
  <c r="IA59" i="39"/>
  <c r="IB59" i="39"/>
  <c r="IC59" i="39"/>
  <c r="G88" i="63" s="1"/>
  <c r="ID59" i="39"/>
  <c r="IE59" i="39"/>
  <c r="IF59" i="39"/>
  <c r="IB6" i="39"/>
  <c r="IC6" i="39"/>
  <c r="ID6" i="39"/>
  <c r="IE6" i="39"/>
  <c r="IF6" i="39"/>
  <c r="IA6" i="39"/>
  <c r="HS7" i="39"/>
  <c r="HT7" i="39"/>
  <c r="HU7" i="39"/>
  <c r="F36" i="63" s="1"/>
  <c r="HV7" i="39"/>
  <c r="HW7" i="39"/>
  <c r="HX7" i="39"/>
  <c r="HS8" i="39"/>
  <c r="HT8" i="39"/>
  <c r="HU8" i="39"/>
  <c r="F37" i="63" s="1"/>
  <c r="HV8" i="39"/>
  <c r="HW8" i="39"/>
  <c r="HX8" i="39"/>
  <c r="HS9" i="39"/>
  <c r="HT9" i="39"/>
  <c r="HU9" i="39"/>
  <c r="F38" i="63" s="1"/>
  <c r="HV9" i="39"/>
  <c r="HW9" i="39"/>
  <c r="HX9" i="39"/>
  <c r="HS10" i="39"/>
  <c r="HT10" i="39"/>
  <c r="HU10" i="39"/>
  <c r="F39" i="63" s="1"/>
  <c r="HV10" i="39"/>
  <c r="HW10" i="39"/>
  <c r="HX10" i="39"/>
  <c r="HS11" i="39"/>
  <c r="HT11" i="39"/>
  <c r="HU11" i="39"/>
  <c r="F40" i="63" s="1"/>
  <c r="HV11" i="39"/>
  <c r="HW11" i="39"/>
  <c r="HX11" i="39"/>
  <c r="HS12" i="39"/>
  <c r="HT12" i="39"/>
  <c r="HU12" i="39"/>
  <c r="F41" i="63" s="1"/>
  <c r="HV12" i="39"/>
  <c r="HW12" i="39"/>
  <c r="HX12" i="39"/>
  <c r="HS13" i="39"/>
  <c r="HT13" i="39"/>
  <c r="HU13" i="39"/>
  <c r="F42" i="63" s="1"/>
  <c r="HV13" i="39"/>
  <c r="HW13" i="39"/>
  <c r="HX13" i="39"/>
  <c r="HS14" i="39"/>
  <c r="HT14" i="39"/>
  <c r="HU14" i="39"/>
  <c r="F43" i="63" s="1"/>
  <c r="HV14" i="39"/>
  <c r="HW14" i="39"/>
  <c r="HX14" i="39"/>
  <c r="HS15" i="39"/>
  <c r="HT15" i="39"/>
  <c r="HU15" i="39"/>
  <c r="F44" i="63" s="1"/>
  <c r="HV15" i="39"/>
  <c r="HW15" i="39"/>
  <c r="HX15" i="39"/>
  <c r="HS16" i="39"/>
  <c r="HT16" i="39"/>
  <c r="HU16" i="39"/>
  <c r="F45" i="63" s="1"/>
  <c r="HV16" i="39"/>
  <c r="HW16" i="39"/>
  <c r="HX16" i="39"/>
  <c r="HS17" i="39"/>
  <c r="HT17" i="39"/>
  <c r="HU17" i="39"/>
  <c r="F46" i="63" s="1"/>
  <c r="HV17" i="39"/>
  <c r="HW17" i="39"/>
  <c r="HX17" i="39"/>
  <c r="HS18" i="39"/>
  <c r="HT18" i="39"/>
  <c r="HU18" i="39"/>
  <c r="F47" i="63" s="1"/>
  <c r="HV18" i="39"/>
  <c r="HW18" i="39"/>
  <c r="HX18" i="39"/>
  <c r="HS19" i="39"/>
  <c r="HT19" i="39"/>
  <c r="HU19" i="39"/>
  <c r="F48" i="63" s="1"/>
  <c r="HV19" i="39"/>
  <c r="HW19" i="39"/>
  <c r="HX19" i="39"/>
  <c r="HS20" i="39"/>
  <c r="HT20" i="39"/>
  <c r="HU20" i="39"/>
  <c r="F49" i="63" s="1"/>
  <c r="HV20" i="39"/>
  <c r="HW20" i="39"/>
  <c r="HX20" i="39"/>
  <c r="HS21" i="39"/>
  <c r="HT21" i="39"/>
  <c r="HU21" i="39"/>
  <c r="F50" i="63" s="1"/>
  <c r="HV21" i="39"/>
  <c r="HW21" i="39"/>
  <c r="HX21" i="39"/>
  <c r="HS22" i="39"/>
  <c r="HT22" i="39"/>
  <c r="HU22" i="39"/>
  <c r="F51" i="63" s="1"/>
  <c r="HV22" i="39"/>
  <c r="HW22" i="39"/>
  <c r="HX22" i="39"/>
  <c r="HS23" i="39"/>
  <c r="HT23" i="39"/>
  <c r="HU23" i="39"/>
  <c r="F52" i="63" s="1"/>
  <c r="HV23" i="39"/>
  <c r="HW23" i="39"/>
  <c r="HX23" i="39"/>
  <c r="HS24" i="39"/>
  <c r="HT24" i="39"/>
  <c r="HU24" i="39"/>
  <c r="F53" i="63" s="1"/>
  <c r="HV24" i="39"/>
  <c r="HW24" i="39"/>
  <c r="HX24" i="39"/>
  <c r="HS25" i="39"/>
  <c r="HT25" i="39"/>
  <c r="HU25" i="39"/>
  <c r="F54" i="63" s="1"/>
  <c r="HV25" i="39"/>
  <c r="HW25" i="39"/>
  <c r="HX25" i="39"/>
  <c r="HS26" i="39"/>
  <c r="HT26" i="39"/>
  <c r="HU26" i="39"/>
  <c r="F55" i="63" s="1"/>
  <c r="HV26" i="39"/>
  <c r="HW26" i="39"/>
  <c r="HX26" i="39"/>
  <c r="HS27" i="39"/>
  <c r="HT27" i="39"/>
  <c r="HU27" i="39"/>
  <c r="F56" i="63" s="1"/>
  <c r="HV27" i="39"/>
  <c r="HW27" i="39"/>
  <c r="HX27" i="39"/>
  <c r="HS28" i="39"/>
  <c r="HT28" i="39"/>
  <c r="HU28" i="39"/>
  <c r="F57" i="63" s="1"/>
  <c r="HV28" i="39"/>
  <c r="HW28" i="39"/>
  <c r="HX28" i="39"/>
  <c r="HS29" i="39"/>
  <c r="HT29" i="39"/>
  <c r="HU29" i="39"/>
  <c r="F58" i="63" s="1"/>
  <c r="HV29" i="39"/>
  <c r="HW29" i="39"/>
  <c r="HX29" i="39"/>
  <c r="HS30" i="39"/>
  <c r="HT30" i="39"/>
  <c r="HU30" i="39"/>
  <c r="F59" i="63" s="1"/>
  <c r="HV30" i="39"/>
  <c r="HW30" i="39"/>
  <c r="HX30" i="39"/>
  <c r="HS31" i="39"/>
  <c r="HT31" i="39"/>
  <c r="HU31" i="39"/>
  <c r="HV31" i="39"/>
  <c r="HW31" i="39"/>
  <c r="HX31" i="39"/>
  <c r="HS32" i="39"/>
  <c r="HT32" i="39"/>
  <c r="HU32" i="39"/>
  <c r="F61" i="63" s="1"/>
  <c r="HV32" i="39"/>
  <c r="HW32" i="39"/>
  <c r="HX32" i="39"/>
  <c r="HS33" i="39"/>
  <c r="HT33" i="39"/>
  <c r="HU33" i="39"/>
  <c r="F62" i="63" s="1"/>
  <c r="HV33" i="39"/>
  <c r="HW33" i="39"/>
  <c r="HX33" i="39"/>
  <c r="HS34" i="39"/>
  <c r="HT34" i="39"/>
  <c r="HU34" i="39"/>
  <c r="F63" i="63" s="1"/>
  <c r="HV34" i="39"/>
  <c r="HW34" i="39"/>
  <c r="HX34" i="39"/>
  <c r="HS35" i="39"/>
  <c r="HT35" i="39"/>
  <c r="HU35" i="39"/>
  <c r="HV35" i="39"/>
  <c r="HW35" i="39"/>
  <c r="HX35" i="39"/>
  <c r="HS36" i="39"/>
  <c r="HT36" i="39"/>
  <c r="HU36" i="39"/>
  <c r="F65" i="63" s="1"/>
  <c r="HV36" i="39"/>
  <c r="HW36" i="39"/>
  <c r="HX36" i="39"/>
  <c r="HS37" i="39"/>
  <c r="HT37" i="39"/>
  <c r="HU37" i="39"/>
  <c r="F66" i="63" s="1"/>
  <c r="HV37" i="39"/>
  <c r="HW37" i="39"/>
  <c r="HX37" i="39"/>
  <c r="HS38" i="39"/>
  <c r="HT38" i="39"/>
  <c r="HU38" i="39"/>
  <c r="F67" i="63" s="1"/>
  <c r="HV38" i="39"/>
  <c r="HW38" i="39"/>
  <c r="HX38" i="39"/>
  <c r="HS39" i="39"/>
  <c r="HT39" i="39"/>
  <c r="HU39" i="39"/>
  <c r="F68" i="63" s="1"/>
  <c r="HV39" i="39"/>
  <c r="HW39" i="39"/>
  <c r="HX39" i="39"/>
  <c r="HS40" i="39"/>
  <c r="HT40" i="39"/>
  <c r="HU40" i="39"/>
  <c r="F69" i="63" s="1"/>
  <c r="HV40" i="39"/>
  <c r="HW40" i="39"/>
  <c r="HX40" i="39"/>
  <c r="HS41" i="39"/>
  <c r="HT41" i="39"/>
  <c r="HU41" i="39"/>
  <c r="F70" i="63" s="1"/>
  <c r="HV41" i="39"/>
  <c r="HW41" i="39"/>
  <c r="HX41" i="39"/>
  <c r="HS42" i="39"/>
  <c r="HT42" i="39"/>
  <c r="HU42" i="39"/>
  <c r="F71" i="63" s="1"/>
  <c r="HV42" i="39"/>
  <c r="HW42" i="39"/>
  <c r="HX42" i="39"/>
  <c r="HS43" i="39"/>
  <c r="HT43" i="39"/>
  <c r="HU43" i="39"/>
  <c r="F72" i="63" s="1"/>
  <c r="HV43" i="39"/>
  <c r="HW43" i="39"/>
  <c r="HX43" i="39"/>
  <c r="HS44" i="39"/>
  <c r="HT44" i="39"/>
  <c r="HU44" i="39"/>
  <c r="F73" i="63" s="1"/>
  <c r="HV44" i="39"/>
  <c r="HW44" i="39"/>
  <c r="HX44" i="39"/>
  <c r="HS45" i="39"/>
  <c r="HT45" i="39"/>
  <c r="HU45" i="39"/>
  <c r="F74" i="63" s="1"/>
  <c r="HV45" i="39"/>
  <c r="HW45" i="39"/>
  <c r="HX45" i="39"/>
  <c r="HS46" i="39"/>
  <c r="HT46" i="39"/>
  <c r="HU46" i="39"/>
  <c r="F75" i="63" s="1"/>
  <c r="HV46" i="39"/>
  <c r="HW46" i="39"/>
  <c r="HX46" i="39"/>
  <c r="HS47" i="39"/>
  <c r="HT47" i="39"/>
  <c r="HU47" i="39"/>
  <c r="F76" i="63" s="1"/>
  <c r="HV47" i="39"/>
  <c r="HW47" i="39"/>
  <c r="HX47" i="39"/>
  <c r="HS48" i="39"/>
  <c r="HT48" i="39"/>
  <c r="HU48" i="39"/>
  <c r="F77" i="63" s="1"/>
  <c r="HV48" i="39"/>
  <c r="HW48" i="39"/>
  <c r="HX48" i="39"/>
  <c r="HS49" i="39"/>
  <c r="HT49" i="39"/>
  <c r="HU49" i="39"/>
  <c r="F78" i="63" s="1"/>
  <c r="HV49" i="39"/>
  <c r="HW49" i="39"/>
  <c r="HX49" i="39"/>
  <c r="HS50" i="39"/>
  <c r="HT50" i="39"/>
  <c r="HU50" i="39"/>
  <c r="F79" i="63" s="1"/>
  <c r="HV50" i="39"/>
  <c r="HW50" i="39"/>
  <c r="HX50" i="39"/>
  <c r="HS51" i="39"/>
  <c r="HT51" i="39"/>
  <c r="HU51" i="39"/>
  <c r="F80" i="63" s="1"/>
  <c r="HV51" i="39"/>
  <c r="HW51" i="39"/>
  <c r="HX51" i="39"/>
  <c r="HS52" i="39"/>
  <c r="HT52" i="39"/>
  <c r="HU52" i="39"/>
  <c r="F81" i="63" s="1"/>
  <c r="HV52" i="39"/>
  <c r="HW52" i="39"/>
  <c r="HX52" i="39"/>
  <c r="HS53" i="39"/>
  <c r="HT53" i="39"/>
  <c r="HU53" i="39"/>
  <c r="F82" i="63" s="1"/>
  <c r="HV53" i="39"/>
  <c r="HW53" i="39"/>
  <c r="HX53" i="39"/>
  <c r="HS54" i="39"/>
  <c r="HT54" i="39"/>
  <c r="HU54" i="39"/>
  <c r="F83" i="63" s="1"/>
  <c r="HV54" i="39"/>
  <c r="HW54" i="39"/>
  <c r="HX54" i="39"/>
  <c r="HS55" i="39"/>
  <c r="HT55" i="39"/>
  <c r="HU55" i="39"/>
  <c r="F84" i="63" s="1"/>
  <c r="HV55" i="39"/>
  <c r="HW55" i="39"/>
  <c r="HX55" i="39"/>
  <c r="HS56" i="39"/>
  <c r="HT56" i="39"/>
  <c r="HU56" i="39"/>
  <c r="F85" i="63" s="1"/>
  <c r="HV56" i="39"/>
  <c r="HW56" i="39"/>
  <c r="HX56" i="39"/>
  <c r="HS57" i="39"/>
  <c r="HT57" i="39"/>
  <c r="HU57" i="39"/>
  <c r="F86" i="63" s="1"/>
  <c r="HV57" i="39"/>
  <c r="HW57" i="39"/>
  <c r="HX57" i="39"/>
  <c r="HS58" i="39"/>
  <c r="HT58" i="39"/>
  <c r="HU58" i="39"/>
  <c r="F87" i="63" s="1"/>
  <c r="HV58" i="39"/>
  <c r="HW58" i="39"/>
  <c r="HX58" i="39"/>
  <c r="HS59" i="39"/>
  <c r="HT59" i="39"/>
  <c r="HU59" i="39"/>
  <c r="F88" i="63" s="1"/>
  <c r="HV59" i="39"/>
  <c r="HW59" i="39"/>
  <c r="HX59" i="39"/>
  <c r="HT6" i="39"/>
  <c r="HU6" i="39"/>
  <c r="F35" i="63" s="1"/>
  <c r="HV6" i="39"/>
  <c r="HW6" i="39"/>
  <c r="HX6" i="39"/>
  <c r="HS6" i="39"/>
  <c r="HK7" i="39"/>
  <c r="HL7" i="39"/>
  <c r="HM7" i="39"/>
  <c r="E36" i="63" s="1"/>
  <c r="HN7" i="39"/>
  <c r="HO7" i="39"/>
  <c r="HP7" i="39"/>
  <c r="HK8" i="39"/>
  <c r="HL8" i="39"/>
  <c r="HM8" i="39"/>
  <c r="E37" i="63" s="1"/>
  <c r="HN8" i="39"/>
  <c r="HO8" i="39"/>
  <c r="HP8" i="39"/>
  <c r="HK9" i="39"/>
  <c r="HL9" i="39"/>
  <c r="HM9" i="39"/>
  <c r="E38" i="63" s="1"/>
  <c r="HN9" i="39"/>
  <c r="HO9" i="39"/>
  <c r="HP9" i="39"/>
  <c r="HK10" i="39"/>
  <c r="HL10" i="39"/>
  <c r="HM10" i="39"/>
  <c r="E39" i="63" s="1"/>
  <c r="HN10" i="39"/>
  <c r="HO10" i="39"/>
  <c r="HP10" i="39"/>
  <c r="HK11" i="39"/>
  <c r="HL11" i="39"/>
  <c r="HM11" i="39"/>
  <c r="E40" i="63" s="1"/>
  <c r="HN11" i="39"/>
  <c r="HO11" i="39"/>
  <c r="HP11" i="39"/>
  <c r="HK12" i="39"/>
  <c r="HL12" i="39"/>
  <c r="HM12" i="39"/>
  <c r="E41" i="63" s="1"/>
  <c r="HN12" i="39"/>
  <c r="HO12" i="39"/>
  <c r="HP12" i="39"/>
  <c r="HK13" i="39"/>
  <c r="HL13" i="39"/>
  <c r="HM13" i="39"/>
  <c r="E42" i="63" s="1"/>
  <c r="HN13" i="39"/>
  <c r="HO13" i="39"/>
  <c r="HP13" i="39"/>
  <c r="HK14" i="39"/>
  <c r="HL14" i="39"/>
  <c r="HM14" i="39"/>
  <c r="E43" i="63" s="1"/>
  <c r="HN14" i="39"/>
  <c r="HO14" i="39"/>
  <c r="HP14" i="39"/>
  <c r="HK15" i="39"/>
  <c r="HL15" i="39"/>
  <c r="HM15" i="39"/>
  <c r="E44" i="63" s="1"/>
  <c r="HN15" i="39"/>
  <c r="HO15" i="39"/>
  <c r="HP15" i="39"/>
  <c r="HK16" i="39"/>
  <c r="HL16" i="39"/>
  <c r="HM16" i="39"/>
  <c r="E45" i="63" s="1"/>
  <c r="HN16" i="39"/>
  <c r="HO16" i="39"/>
  <c r="HP16" i="39"/>
  <c r="HK17" i="39"/>
  <c r="HL17" i="39"/>
  <c r="HM17" i="39"/>
  <c r="E46" i="63" s="1"/>
  <c r="HN17" i="39"/>
  <c r="HO17" i="39"/>
  <c r="HP17" i="39"/>
  <c r="HK18" i="39"/>
  <c r="HL18" i="39"/>
  <c r="HM18" i="39"/>
  <c r="E47" i="63" s="1"/>
  <c r="HN18" i="39"/>
  <c r="HO18" i="39"/>
  <c r="HP18" i="39"/>
  <c r="HK19" i="39"/>
  <c r="HL19" i="39"/>
  <c r="HM19" i="39"/>
  <c r="E48" i="63" s="1"/>
  <c r="HN19" i="39"/>
  <c r="HO19" i="39"/>
  <c r="HP19" i="39"/>
  <c r="HK20" i="39"/>
  <c r="HL20" i="39"/>
  <c r="HM20" i="39"/>
  <c r="E49" i="63" s="1"/>
  <c r="HN20" i="39"/>
  <c r="HO20" i="39"/>
  <c r="HP20" i="39"/>
  <c r="HK21" i="39"/>
  <c r="HL21" i="39"/>
  <c r="HM21" i="39"/>
  <c r="E50" i="63" s="1"/>
  <c r="HN21" i="39"/>
  <c r="HO21" i="39"/>
  <c r="HP21" i="39"/>
  <c r="HK22" i="39"/>
  <c r="HL22" i="39"/>
  <c r="HM22" i="39"/>
  <c r="E51" i="63" s="1"/>
  <c r="HN22" i="39"/>
  <c r="HO22" i="39"/>
  <c r="HP22" i="39"/>
  <c r="HK23" i="39"/>
  <c r="HL23" i="39"/>
  <c r="HM23" i="39"/>
  <c r="E52" i="63" s="1"/>
  <c r="HN23" i="39"/>
  <c r="HO23" i="39"/>
  <c r="HP23" i="39"/>
  <c r="HK24" i="39"/>
  <c r="HL24" i="39"/>
  <c r="HM24" i="39"/>
  <c r="E53" i="63" s="1"/>
  <c r="HN24" i="39"/>
  <c r="HO24" i="39"/>
  <c r="HP24" i="39"/>
  <c r="HK25" i="39"/>
  <c r="HL25" i="39"/>
  <c r="HM25" i="39"/>
  <c r="E54" i="63" s="1"/>
  <c r="HN25" i="39"/>
  <c r="HO25" i="39"/>
  <c r="HP25" i="39"/>
  <c r="HK26" i="39"/>
  <c r="HL26" i="39"/>
  <c r="HM26" i="39"/>
  <c r="E55" i="63" s="1"/>
  <c r="HN26" i="39"/>
  <c r="HO26" i="39"/>
  <c r="HP26" i="39"/>
  <c r="HK27" i="39"/>
  <c r="HL27" i="39"/>
  <c r="HM27" i="39"/>
  <c r="E56" i="63" s="1"/>
  <c r="HN27" i="39"/>
  <c r="HO27" i="39"/>
  <c r="HP27" i="39"/>
  <c r="HK28" i="39"/>
  <c r="HL28" i="39"/>
  <c r="HM28" i="39"/>
  <c r="E57" i="63" s="1"/>
  <c r="HN28" i="39"/>
  <c r="HO28" i="39"/>
  <c r="HP28" i="39"/>
  <c r="HK29" i="39"/>
  <c r="HL29" i="39"/>
  <c r="HM29" i="39"/>
  <c r="E58" i="63" s="1"/>
  <c r="HN29" i="39"/>
  <c r="HO29" i="39"/>
  <c r="HP29" i="39"/>
  <c r="HK30" i="39"/>
  <c r="HL30" i="39"/>
  <c r="HM30" i="39"/>
  <c r="E59" i="63" s="1"/>
  <c r="HN30" i="39"/>
  <c r="HO30" i="39"/>
  <c r="HP30" i="39"/>
  <c r="HK31" i="39"/>
  <c r="HL31" i="39"/>
  <c r="HM31" i="39"/>
  <c r="HN31" i="39"/>
  <c r="HO31" i="39"/>
  <c r="HP31" i="39"/>
  <c r="HK32" i="39"/>
  <c r="HL32" i="39"/>
  <c r="HM32" i="39"/>
  <c r="E61" i="63" s="1"/>
  <c r="HN32" i="39"/>
  <c r="HO32" i="39"/>
  <c r="HP32" i="39"/>
  <c r="HK33" i="39"/>
  <c r="HL33" i="39"/>
  <c r="HM33" i="39"/>
  <c r="E62" i="63" s="1"/>
  <c r="HN33" i="39"/>
  <c r="HO33" i="39"/>
  <c r="HP33" i="39"/>
  <c r="HK34" i="39"/>
  <c r="HL34" i="39"/>
  <c r="HM34" i="39"/>
  <c r="E63" i="63" s="1"/>
  <c r="HN34" i="39"/>
  <c r="HO34" i="39"/>
  <c r="HP34" i="39"/>
  <c r="HK35" i="39"/>
  <c r="HL35" i="39"/>
  <c r="HM35" i="39"/>
  <c r="HN35" i="39"/>
  <c r="HO35" i="39"/>
  <c r="HP35" i="39"/>
  <c r="HK36" i="39"/>
  <c r="HL36" i="39"/>
  <c r="HM36" i="39"/>
  <c r="E65" i="63" s="1"/>
  <c r="HN36" i="39"/>
  <c r="HO36" i="39"/>
  <c r="HP36" i="39"/>
  <c r="HK37" i="39"/>
  <c r="HL37" i="39"/>
  <c r="HM37" i="39"/>
  <c r="E66" i="63" s="1"/>
  <c r="HN37" i="39"/>
  <c r="HO37" i="39"/>
  <c r="HP37" i="39"/>
  <c r="HK38" i="39"/>
  <c r="HL38" i="39"/>
  <c r="HM38" i="39"/>
  <c r="E67" i="63" s="1"/>
  <c r="HN38" i="39"/>
  <c r="HO38" i="39"/>
  <c r="HP38" i="39"/>
  <c r="HK39" i="39"/>
  <c r="HL39" i="39"/>
  <c r="HM39" i="39"/>
  <c r="E68" i="63" s="1"/>
  <c r="HN39" i="39"/>
  <c r="HO39" i="39"/>
  <c r="HP39" i="39"/>
  <c r="HK40" i="39"/>
  <c r="HL40" i="39"/>
  <c r="HM40" i="39"/>
  <c r="E69" i="63" s="1"/>
  <c r="HN40" i="39"/>
  <c r="HO40" i="39"/>
  <c r="HP40" i="39"/>
  <c r="HK41" i="39"/>
  <c r="HL41" i="39"/>
  <c r="HM41" i="39"/>
  <c r="E70" i="63" s="1"/>
  <c r="HN41" i="39"/>
  <c r="HO41" i="39"/>
  <c r="HP41" i="39"/>
  <c r="HK42" i="39"/>
  <c r="HL42" i="39"/>
  <c r="HM42" i="39"/>
  <c r="E71" i="63" s="1"/>
  <c r="HN42" i="39"/>
  <c r="HO42" i="39"/>
  <c r="HP42" i="39"/>
  <c r="HK43" i="39"/>
  <c r="HL43" i="39"/>
  <c r="HM43" i="39"/>
  <c r="E72" i="63" s="1"/>
  <c r="HN43" i="39"/>
  <c r="HO43" i="39"/>
  <c r="HP43" i="39"/>
  <c r="HK44" i="39"/>
  <c r="HL44" i="39"/>
  <c r="HM44" i="39"/>
  <c r="E73" i="63" s="1"/>
  <c r="HN44" i="39"/>
  <c r="HO44" i="39"/>
  <c r="HP44" i="39"/>
  <c r="HK45" i="39"/>
  <c r="HL45" i="39"/>
  <c r="HM45" i="39"/>
  <c r="E74" i="63" s="1"/>
  <c r="HN45" i="39"/>
  <c r="HO45" i="39"/>
  <c r="HP45" i="39"/>
  <c r="HK46" i="39"/>
  <c r="HL46" i="39"/>
  <c r="HM46" i="39"/>
  <c r="E75" i="63" s="1"/>
  <c r="HN46" i="39"/>
  <c r="HO46" i="39"/>
  <c r="HP46" i="39"/>
  <c r="HK47" i="39"/>
  <c r="HL47" i="39"/>
  <c r="HM47" i="39"/>
  <c r="E76" i="63" s="1"/>
  <c r="HN47" i="39"/>
  <c r="HO47" i="39"/>
  <c r="HP47" i="39"/>
  <c r="HK48" i="39"/>
  <c r="HL48" i="39"/>
  <c r="HM48" i="39"/>
  <c r="E77" i="63" s="1"/>
  <c r="HN48" i="39"/>
  <c r="HO48" i="39"/>
  <c r="HP48" i="39"/>
  <c r="HK49" i="39"/>
  <c r="HL49" i="39"/>
  <c r="HM49" i="39"/>
  <c r="E78" i="63" s="1"/>
  <c r="HN49" i="39"/>
  <c r="HO49" i="39"/>
  <c r="HP49" i="39"/>
  <c r="HK50" i="39"/>
  <c r="HL50" i="39"/>
  <c r="HM50" i="39"/>
  <c r="E79" i="63" s="1"/>
  <c r="HN50" i="39"/>
  <c r="HO50" i="39"/>
  <c r="HP50" i="39"/>
  <c r="HK51" i="39"/>
  <c r="HL51" i="39"/>
  <c r="HM51" i="39"/>
  <c r="E80" i="63" s="1"/>
  <c r="HN51" i="39"/>
  <c r="HO51" i="39"/>
  <c r="HP51" i="39"/>
  <c r="HK52" i="39"/>
  <c r="HL52" i="39"/>
  <c r="HM52" i="39"/>
  <c r="E81" i="63" s="1"/>
  <c r="HN52" i="39"/>
  <c r="HO52" i="39"/>
  <c r="HP52" i="39"/>
  <c r="HK53" i="39"/>
  <c r="HL53" i="39"/>
  <c r="HM53" i="39"/>
  <c r="E82" i="63" s="1"/>
  <c r="HN53" i="39"/>
  <c r="HO53" i="39"/>
  <c r="HP53" i="39"/>
  <c r="HK54" i="39"/>
  <c r="HL54" i="39"/>
  <c r="HM54" i="39"/>
  <c r="E83" i="63" s="1"/>
  <c r="HN54" i="39"/>
  <c r="HO54" i="39"/>
  <c r="HP54" i="39"/>
  <c r="HK55" i="39"/>
  <c r="HL55" i="39"/>
  <c r="HM55" i="39"/>
  <c r="E84" i="63" s="1"/>
  <c r="HN55" i="39"/>
  <c r="HO55" i="39"/>
  <c r="HP55" i="39"/>
  <c r="HK56" i="39"/>
  <c r="HL56" i="39"/>
  <c r="HM56" i="39"/>
  <c r="E85" i="63" s="1"/>
  <c r="HN56" i="39"/>
  <c r="HO56" i="39"/>
  <c r="HP56" i="39"/>
  <c r="HK57" i="39"/>
  <c r="HL57" i="39"/>
  <c r="HM57" i="39"/>
  <c r="E86" i="63" s="1"/>
  <c r="HN57" i="39"/>
  <c r="HO57" i="39"/>
  <c r="HP57" i="39"/>
  <c r="HK58" i="39"/>
  <c r="HL58" i="39"/>
  <c r="HM58" i="39"/>
  <c r="E87" i="63" s="1"/>
  <c r="HN58" i="39"/>
  <c r="HO58" i="39"/>
  <c r="HP58" i="39"/>
  <c r="HK59" i="39"/>
  <c r="HL59" i="39"/>
  <c r="HM59" i="39"/>
  <c r="E88" i="63" s="1"/>
  <c r="HN59" i="39"/>
  <c r="HO59" i="39"/>
  <c r="HP59" i="39"/>
  <c r="HL6" i="39"/>
  <c r="HM6" i="39"/>
  <c r="E35" i="63" s="1"/>
  <c r="HN6" i="39"/>
  <c r="HO6" i="39"/>
  <c r="HP6" i="39"/>
  <c r="HK6" i="39"/>
  <c r="HC7" i="39"/>
  <c r="HD7" i="39"/>
  <c r="HE7" i="39"/>
  <c r="D36" i="63" s="1"/>
  <c r="HF7" i="39"/>
  <c r="HG7" i="39"/>
  <c r="HH7" i="39"/>
  <c r="HC8" i="39"/>
  <c r="HD8" i="39"/>
  <c r="HE8" i="39"/>
  <c r="D37" i="63" s="1"/>
  <c r="HF8" i="39"/>
  <c r="HG8" i="39"/>
  <c r="HH8" i="39"/>
  <c r="HC9" i="39"/>
  <c r="HD9" i="39"/>
  <c r="HE9" i="39"/>
  <c r="D38" i="63" s="1"/>
  <c r="HF9" i="39"/>
  <c r="HG9" i="39"/>
  <c r="HH9" i="39"/>
  <c r="HC10" i="39"/>
  <c r="HD10" i="39"/>
  <c r="HE10" i="39"/>
  <c r="D39" i="63" s="1"/>
  <c r="HF10" i="39"/>
  <c r="HG10" i="39"/>
  <c r="HH10" i="39"/>
  <c r="HC11" i="39"/>
  <c r="HD11" i="39"/>
  <c r="HE11" i="39"/>
  <c r="D40" i="63" s="1"/>
  <c r="HF11" i="39"/>
  <c r="HG11" i="39"/>
  <c r="HH11" i="39"/>
  <c r="HC12" i="39"/>
  <c r="HD12" i="39"/>
  <c r="HE12" i="39"/>
  <c r="D41" i="63" s="1"/>
  <c r="HF12" i="39"/>
  <c r="HG12" i="39"/>
  <c r="HH12" i="39"/>
  <c r="HC13" i="39"/>
  <c r="HD13" i="39"/>
  <c r="HE13" i="39"/>
  <c r="D42" i="63" s="1"/>
  <c r="HF13" i="39"/>
  <c r="HG13" i="39"/>
  <c r="HH13" i="39"/>
  <c r="HC14" i="39"/>
  <c r="HD14" i="39"/>
  <c r="HE14" i="39"/>
  <c r="D43" i="63" s="1"/>
  <c r="HF14" i="39"/>
  <c r="HG14" i="39"/>
  <c r="HH14" i="39"/>
  <c r="HC15" i="39"/>
  <c r="HD15" i="39"/>
  <c r="HE15" i="39"/>
  <c r="D44" i="63" s="1"/>
  <c r="HF15" i="39"/>
  <c r="HG15" i="39"/>
  <c r="HH15" i="39"/>
  <c r="HC16" i="39"/>
  <c r="HD16" i="39"/>
  <c r="HE16" i="39"/>
  <c r="D45" i="63" s="1"/>
  <c r="HF16" i="39"/>
  <c r="HG16" i="39"/>
  <c r="HH16" i="39"/>
  <c r="HC17" i="39"/>
  <c r="HD17" i="39"/>
  <c r="HE17" i="39"/>
  <c r="D46" i="63" s="1"/>
  <c r="HF17" i="39"/>
  <c r="HG17" i="39"/>
  <c r="HH17" i="39"/>
  <c r="HC18" i="39"/>
  <c r="HD18" i="39"/>
  <c r="HE18" i="39"/>
  <c r="D47" i="63" s="1"/>
  <c r="HF18" i="39"/>
  <c r="HG18" i="39"/>
  <c r="HH18" i="39"/>
  <c r="HC19" i="39"/>
  <c r="HD19" i="39"/>
  <c r="HE19" i="39"/>
  <c r="D48" i="63" s="1"/>
  <c r="HF19" i="39"/>
  <c r="HG19" i="39"/>
  <c r="HH19" i="39"/>
  <c r="HC20" i="39"/>
  <c r="HD20" i="39"/>
  <c r="HE20" i="39"/>
  <c r="D49" i="63" s="1"/>
  <c r="HF20" i="39"/>
  <c r="HG20" i="39"/>
  <c r="HH20" i="39"/>
  <c r="HC21" i="39"/>
  <c r="HD21" i="39"/>
  <c r="HE21" i="39"/>
  <c r="D50" i="63" s="1"/>
  <c r="HF21" i="39"/>
  <c r="HG21" i="39"/>
  <c r="HH21" i="39"/>
  <c r="HC22" i="39"/>
  <c r="HD22" i="39"/>
  <c r="HE22" i="39"/>
  <c r="D51" i="63" s="1"/>
  <c r="HF22" i="39"/>
  <c r="HG22" i="39"/>
  <c r="HH22" i="39"/>
  <c r="HC23" i="39"/>
  <c r="HD23" i="39"/>
  <c r="HE23" i="39"/>
  <c r="D52" i="63" s="1"/>
  <c r="HF23" i="39"/>
  <c r="HG23" i="39"/>
  <c r="HH23" i="39"/>
  <c r="HC24" i="39"/>
  <c r="HD24" i="39"/>
  <c r="HE24" i="39"/>
  <c r="D53" i="63" s="1"/>
  <c r="HF24" i="39"/>
  <c r="HG24" i="39"/>
  <c r="HH24" i="39"/>
  <c r="HC25" i="39"/>
  <c r="HD25" i="39"/>
  <c r="HE25" i="39"/>
  <c r="D54" i="63" s="1"/>
  <c r="HF25" i="39"/>
  <c r="HG25" i="39"/>
  <c r="HH25" i="39"/>
  <c r="HC26" i="39"/>
  <c r="HD26" i="39"/>
  <c r="HE26" i="39"/>
  <c r="D55" i="63" s="1"/>
  <c r="HF26" i="39"/>
  <c r="HG26" i="39"/>
  <c r="HH26" i="39"/>
  <c r="HC27" i="39"/>
  <c r="HD27" i="39"/>
  <c r="HE27" i="39"/>
  <c r="D56" i="63" s="1"/>
  <c r="HF27" i="39"/>
  <c r="HG27" i="39"/>
  <c r="HH27" i="39"/>
  <c r="HC28" i="39"/>
  <c r="HD28" i="39"/>
  <c r="HE28" i="39"/>
  <c r="D57" i="63" s="1"/>
  <c r="HF28" i="39"/>
  <c r="HG28" i="39"/>
  <c r="HH28" i="39"/>
  <c r="HC29" i="39"/>
  <c r="HD29" i="39"/>
  <c r="HE29" i="39"/>
  <c r="D58" i="63" s="1"/>
  <c r="HF29" i="39"/>
  <c r="HG29" i="39"/>
  <c r="HH29" i="39"/>
  <c r="HC30" i="39"/>
  <c r="HD30" i="39"/>
  <c r="HE30" i="39"/>
  <c r="D59" i="63" s="1"/>
  <c r="HF30" i="39"/>
  <c r="HG30" i="39"/>
  <c r="HH30" i="39"/>
  <c r="HC31" i="39"/>
  <c r="HD31" i="39"/>
  <c r="HE31" i="39"/>
  <c r="HF31" i="39"/>
  <c r="HG31" i="39"/>
  <c r="HH31" i="39"/>
  <c r="HC32" i="39"/>
  <c r="HD32" i="39"/>
  <c r="HE32" i="39"/>
  <c r="D61" i="63" s="1"/>
  <c r="HF32" i="39"/>
  <c r="HG32" i="39"/>
  <c r="HH32" i="39"/>
  <c r="HC33" i="39"/>
  <c r="HD33" i="39"/>
  <c r="HE33" i="39"/>
  <c r="D62" i="63" s="1"/>
  <c r="HF33" i="39"/>
  <c r="HG33" i="39"/>
  <c r="HH33" i="39"/>
  <c r="HC34" i="39"/>
  <c r="HD34" i="39"/>
  <c r="HE34" i="39"/>
  <c r="D63" i="63" s="1"/>
  <c r="HF34" i="39"/>
  <c r="HG34" i="39"/>
  <c r="HH34" i="39"/>
  <c r="HC35" i="39"/>
  <c r="HD35" i="39"/>
  <c r="HE35" i="39"/>
  <c r="HF35" i="39"/>
  <c r="HG35" i="39"/>
  <c r="HH35" i="39"/>
  <c r="HC36" i="39"/>
  <c r="HD36" i="39"/>
  <c r="HE36" i="39"/>
  <c r="D65" i="63" s="1"/>
  <c r="HF36" i="39"/>
  <c r="HG36" i="39"/>
  <c r="HH36" i="39"/>
  <c r="HC37" i="39"/>
  <c r="HD37" i="39"/>
  <c r="HE37" i="39"/>
  <c r="D66" i="63" s="1"/>
  <c r="HF37" i="39"/>
  <c r="HG37" i="39"/>
  <c r="HH37" i="39"/>
  <c r="HC38" i="39"/>
  <c r="HD38" i="39"/>
  <c r="HE38" i="39"/>
  <c r="D67" i="63" s="1"/>
  <c r="HF38" i="39"/>
  <c r="HG38" i="39"/>
  <c r="HH38" i="39"/>
  <c r="HC39" i="39"/>
  <c r="HD39" i="39"/>
  <c r="HE39" i="39"/>
  <c r="D68" i="63" s="1"/>
  <c r="HF39" i="39"/>
  <c r="HG39" i="39"/>
  <c r="HH39" i="39"/>
  <c r="HC40" i="39"/>
  <c r="HD40" i="39"/>
  <c r="HE40" i="39"/>
  <c r="D69" i="63" s="1"/>
  <c r="HF40" i="39"/>
  <c r="HG40" i="39"/>
  <c r="HH40" i="39"/>
  <c r="HC41" i="39"/>
  <c r="HD41" i="39"/>
  <c r="HE41" i="39"/>
  <c r="D70" i="63" s="1"/>
  <c r="HF41" i="39"/>
  <c r="HG41" i="39"/>
  <c r="HH41" i="39"/>
  <c r="HC42" i="39"/>
  <c r="HD42" i="39"/>
  <c r="HE42" i="39"/>
  <c r="D71" i="63" s="1"/>
  <c r="HF42" i="39"/>
  <c r="HG42" i="39"/>
  <c r="HH42" i="39"/>
  <c r="HC43" i="39"/>
  <c r="HD43" i="39"/>
  <c r="HE43" i="39"/>
  <c r="D72" i="63" s="1"/>
  <c r="HF43" i="39"/>
  <c r="HG43" i="39"/>
  <c r="HH43" i="39"/>
  <c r="HC44" i="39"/>
  <c r="HD44" i="39"/>
  <c r="HE44" i="39"/>
  <c r="D73" i="63" s="1"/>
  <c r="HF44" i="39"/>
  <c r="HG44" i="39"/>
  <c r="HH44" i="39"/>
  <c r="HC45" i="39"/>
  <c r="HD45" i="39"/>
  <c r="HE45" i="39"/>
  <c r="D74" i="63" s="1"/>
  <c r="HF45" i="39"/>
  <c r="HG45" i="39"/>
  <c r="HH45" i="39"/>
  <c r="HC46" i="39"/>
  <c r="HD46" i="39"/>
  <c r="HE46" i="39"/>
  <c r="D75" i="63" s="1"/>
  <c r="HF46" i="39"/>
  <c r="HG46" i="39"/>
  <c r="HH46" i="39"/>
  <c r="HC47" i="39"/>
  <c r="HD47" i="39"/>
  <c r="HE47" i="39"/>
  <c r="D76" i="63" s="1"/>
  <c r="HF47" i="39"/>
  <c r="HG47" i="39"/>
  <c r="HH47" i="39"/>
  <c r="HC48" i="39"/>
  <c r="HD48" i="39"/>
  <c r="HE48" i="39"/>
  <c r="D77" i="63" s="1"/>
  <c r="HF48" i="39"/>
  <c r="HG48" i="39"/>
  <c r="HH48" i="39"/>
  <c r="HC49" i="39"/>
  <c r="HD49" i="39"/>
  <c r="HE49" i="39"/>
  <c r="D78" i="63" s="1"/>
  <c r="HF49" i="39"/>
  <c r="HG49" i="39"/>
  <c r="HH49" i="39"/>
  <c r="HC50" i="39"/>
  <c r="HD50" i="39"/>
  <c r="HE50" i="39"/>
  <c r="D79" i="63" s="1"/>
  <c r="HF50" i="39"/>
  <c r="HG50" i="39"/>
  <c r="HH50" i="39"/>
  <c r="HC51" i="39"/>
  <c r="HD51" i="39"/>
  <c r="HE51" i="39"/>
  <c r="D80" i="63" s="1"/>
  <c r="HF51" i="39"/>
  <c r="HG51" i="39"/>
  <c r="HH51" i="39"/>
  <c r="HC52" i="39"/>
  <c r="HD52" i="39"/>
  <c r="HE52" i="39"/>
  <c r="D81" i="63" s="1"/>
  <c r="HF52" i="39"/>
  <c r="HG52" i="39"/>
  <c r="HH52" i="39"/>
  <c r="HC53" i="39"/>
  <c r="HD53" i="39"/>
  <c r="HE53" i="39"/>
  <c r="D82" i="63" s="1"/>
  <c r="HF53" i="39"/>
  <c r="HG53" i="39"/>
  <c r="HH53" i="39"/>
  <c r="HC54" i="39"/>
  <c r="HD54" i="39"/>
  <c r="HE54" i="39"/>
  <c r="D83" i="63" s="1"/>
  <c r="HF54" i="39"/>
  <c r="HG54" i="39"/>
  <c r="HH54" i="39"/>
  <c r="HC55" i="39"/>
  <c r="HD55" i="39"/>
  <c r="HE55" i="39"/>
  <c r="D84" i="63" s="1"/>
  <c r="HF55" i="39"/>
  <c r="HG55" i="39"/>
  <c r="HH55" i="39"/>
  <c r="HC56" i="39"/>
  <c r="HD56" i="39"/>
  <c r="HE56" i="39"/>
  <c r="D85" i="63" s="1"/>
  <c r="HF56" i="39"/>
  <c r="HG56" i="39"/>
  <c r="HH56" i="39"/>
  <c r="HC57" i="39"/>
  <c r="HD57" i="39"/>
  <c r="HE57" i="39"/>
  <c r="D86" i="63" s="1"/>
  <c r="HF57" i="39"/>
  <c r="HG57" i="39"/>
  <c r="HH57" i="39"/>
  <c r="HC58" i="39"/>
  <c r="HD58" i="39"/>
  <c r="HE58" i="39"/>
  <c r="D87" i="63" s="1"/>
  <c r="HF58" i="39"/>
  <c r="HG58" i="39"/>
  <c r="HH58" i="39"/>
  <c r="HC59" i="39"/>
  <c r="HD59" i="39"/>
  <c r="HE59" i="39"/>
  <c r="D88" i="63" s="1"/>
  <c r="HF59" i="39"/>
  <c r="HG59" i="39"/>
  <c r="HH59" i="39"/>
  <c r="HD6" i="39"/>
  <c r="HE6" i="39"/>
  <c r="D35" i="63" s="1"/>
  <c r="HF6" i="39"/>
  <c r="HG6" i="39"/>
  <c r="HH6" i="39"/>
  <c r="HC6" i="39"/>
  <c r="GU7" i="39"/>
  <c r="GV7" i="39"/>
  <c r="GW7" i="39"/>
  <c r="C36" i="63" s="1"/>
  <c r="GX7" i="39"/>
  <c r="GY7" i="39"/>
  <c r="GZ7" i="39"/>
  <c r="GU8" i="39"/>
  <c r="GV8" i="39"/>
  <c r="GW8" i="39"/>
  <c r="C37" i="63" s="1"/>
  <c r="GX8" i="39"/>
  <c r="GY8" i="39"/>
  <c r="GZ8" i="39"/>
  <c r="GU9" i="39"/>
  <c r="GV9" i="39"/>
  <c r="GW9" i="39"/>
  <c r="C38" i="63" s="1"/>
  <c r="GX9" i="39"/>
  <c r="GY9" i="39"/>
  <c r="GZ9" i="39"/>
  <c r="GU10" i="39"/>
  <c r="GV10" i="39"/>
  <c r="GW10" i="39"/>
  <c r="C39" i="63" s="1"/>
  <c r="GX10" i="39"/>
  <c r="GY10" i="39"/>
  <c r="GZ10" i="39"/>
  <c r="GU11" i="39"/>
  <c r="GV11" i="39"/>
  <c r="GW11" i="39"/>
  <c r="C40" i="63" s="1"/>
  <c r="GX11" i="39"/>
  <c r="GY11" i="39"/>
  <c r="GZ11" i="39"/>
  <c r="GU12" i="39"/>
  <c r="GV12" i="39"/>
  <c r="GW12" i="39"/>
  <c r="C41" i="63" s="1"/>
  <c r="GX12" i="39"/>
  <c r="GY12" i="39"/>
  <c r="GZ12" i="39"/>
  <c r="GU13" i="39"/>
  <c r="GV13" i="39"/>
  <c r="GW13" i="39"/>
  <c r="C42" i="63" s="1"/>
  <c r="GX13" i="39"/>
  <c r="GY13" i="39"/>
  <c r="GZ13" i="39"/>
  <c r="GU14" i="39"/>
  <c r="GV14" i="39"/>
  <c r="GW14" i="39"/>
  <c r="C43" i="63" s="1"/>
  <c r="GX14" i="39"/>
  <c r="GY14" i="39"/>
  <c r="GZ14" i="39"/>
  <c r="GU15" i="39"/>
  <c r="GV15" i="39"/>
  <c r="GW15" i="39"/>
  <c r="C44" i="63" s="1"/>
  <c r="GX15" i="39"/>
  <c r="GY15" i="39"/>
  <c r="GZ15" i="39"/>
  <c r="GU16" i="39"/>
  <c r="GV16" i="39"/>
  <c r="GW16" i="39"/>
  <c r="C45" i="63" s="1"/>
  <c r="GX16" i="39"/>
  <c r="GY16" i="39"/>
  <c r="GZ16" i="39"/>
  <c r="GU17" i="39"/>
  <c r="GV17" i="39"/>
  <c r="GW17" i="39"/>
  <c r="C46" i="63" s="1"/>
  <c r="GX17" i="39"/>
  <c r="GY17" i="39"/>
  <c r="GZ17" i="39"/>
  <c r="GU18" i="39"/>
  <c r="GV18" i="39"/>
  <c r="GW18" i="39"/>
  <c r="C47" i="63" s="1"/>
  <c r="GX18" i="39"/>
  <c r="GY18" i="39"/>
  <c r="GZ18" i="39"/>
  <c r="GU19" i="39"/>
  <c r="GV19" i="39"/>
  <c r="GW19" i="39"/>
  <c r="C48" i="63" s="1"/>
  <c r="GX19" i="39"/>
  <c r="GY19" i="39"/>
  <c r="GZ19" i="39"/>
  <c r="GU20" i="39"/>
  <c r="GV20" i="39"/>
  <c r="GW20" i="39"/>
  <c r="C49" i="63" s="1"/>
  <c r="GX20" i="39"/>
  <c r="GY20" i="39"/>
  <c r="GZ20" i="39"/>
  <c r="GU21" i="39"/>
  <c r="GV21" i="39"/>
  <c r="GW21" i="39"/>
  <c r="C50" i="63" s="1"/>
  <c r="GX21" i="39"/>
  <c r="GY21" i="39"/>
  <c r="GZ21" i="39"/>
  <c r="GU22" i="39"/>
  <c r="GV22" i="39"/>
  <c r="GW22" i="39"/>
  <c r="C51" i="63" s="1"/>
  <c r="GX22" i="39"/>
  <c r="GY22" i="39"/>
  <c r="GZ22" i="39"/>
  <c r="GU23" i="39"/>
  <c r="GV23" i="39"/>
  <c r="GW23" i="39"/>
  <c r="C52" i="63" s="1"/>
  <c r="GX23" i="39"/>
  <c r="GY23" i="39"/>
  <c r="GZ23" i="39"/>
  <c r="GU24" i="39"/>
  <c r="GV24" i="39"/>
  <c r="GW24" i="39"/>
  <c r="C53" i="63" s="1"/>
  <c r="GX24" i="39"/>
  <c r="GY24" i="39"/>
  <c r="GZ24" i="39"/>
  <c r="GU25" i="39"/>
  <c r="GV25" i="39"/>
  <c r="GW25" i="39"/>
  <c r="C54" i="63" s="1"/>
  <c r="GX25" i="39"/>
  <c r="GY25" i="39"/>
  <c r="GZ25" i="39"/>
  <c r="GU26" i="39"/>
  <c r="GV26" i="39"/>
  <c r="GW26" i="39"/>
  <c r="C55" i="63" s="1"/>
  <c r="GX26" i="39"/>
  <c r="GY26" i="39"/>
  <c r="GZ26" i="39"/>
  <c r="GU27" i="39"/>
  <c r="GV27" i="39"/>
  <c r="GW27" i="39"/>
  <c r="C56" i="63" s="1"/>
  <c r="GX27" i="39"/>
  <c r="GY27" i="39"/>
  <c r="GZ27" i="39"/>
  <c r="GU28" i="39"/>
  <c r="GV28" i="39"/>
  <c r="GW28" i="39"/>
  <c r="C57" i="63" s="1"/>
  <c r="GX28" i="39"/>
  <c r="GY28" i="39"/>
  <c r="GZ28" i="39"/>
  <c r="GU29" i="39"/>
  <c r="GV29" i="39"/>
  <c r="GW29" i="39"/>
  <c r="C58" i="63" s="1"/>
  <c r="GX29" i="39"/>
  <c r="GY29" i="39"/>
  <c r="GZ29" i="39"/>
  <c r="GU30" i="39"/>
  <c r="GV30" i="39"/>
  <c r="GW30" i="39"/>
  <c r="C59" i="63" s="1"/>
  <c r="GX30" i="39"/>
  <c r="GY30" i="39"/>
  <c r="GZ30" i="39"/>
  <c r="GU31" i="39"/>
  <c r="GV31" i="39"/>
  <c r="GW31" i="39"/>
  <c r="GX31" i="39"/>
  <c r="GY31" i="39"/>
  <c r="GZ31" i="39"/>
  <c r="GU32" i="39"/>
  <c r="GV32" i="39"/>
  <c r="GW32" i="39"/>
  <c r="C61" i="63" s="1"/>
  <c r="GX32" i="39"/>
  <c r="GY32" i="39"/>
  <c r="GZ32" i="39"/>
  <c r="GU33" i="39"/>
  <c r="GV33" i="39"/>
  <c r="GW33" i="39"/>
  <c r="C62" i="63" s="1"/>
  <c r="GX33" i="39"/>
  <c r="GY33" i="39"/>
  <c r="GZ33" i="39"/>
  <c r="GU34" i="39"/>
  <c r="GV34" i="39"/>
  <c r="GW34" i="39"/>
  <c r="C63" i="63" s="1"/>
  <c r="GX34" i="39"/>
  <c r="GY34" i="39"/>
  <c r="GZ34" i="39"/>
  <c r="GU35" i="39"/>
  <c r="GV35" i="39"/>
  <c r="GW35" i="39"/>
  <c r="GX35" i="39"/>
  <c r="GY35" i="39"/>
  <c r="GZ35" i="39"/>
  <c r="GU36" i="39"/>
  <c r="GV36" i="39"/>
  <c r="GW36" i="39"/>
  <c r="C65" i="63" s="1"/>
  <c r="GX36" i="39"/>
  <c r="GY36" i="39"/>
  <c r="GZ36" i="39"/>
  <c r="GU37" i="39"/>
  <c r="GV37" i="39"/>
  <c r="GW37" i="39"/>
  <c r="C66" i="63" s="1"/>
  <c r="GX37" i="39"/>
  <c r="GY37" i="39"/>
  <c r="GZ37" i="39"/>
  <c r="GU38" i="39"/>
  <c r="GV38" i="39"/>
  <c r="GW38" i="39"/>
  <c r="C67" i="63" s="1"/>
  <c r="GX38" i="39"/>
  <c r="GY38" i="39"/>
  <c r="GZ38" i="39"/>
  <c r="GU39" i="39"/>
  <c r="GV39" i="39"/>
  <c r="GW39" i="39"/>
  <c r="C68" i="63" s="1"/>
  <c r="GX39" i="39"/>
  <c r="GY39" i="39"/>
  <c r="GZ39" i="39"/>
  <c r="GU40" i="39"/>
  <c r="GV40" i="39"/>
  <c r="GW40" i="39"/>
  <c r="C69" i="63" s="1"/>
  <c r="GX40" i="39"/>
  <c r="GY40" i="39"/>
  <c r="GZ40" i="39"/>
  <c r="GU41" i="39"/>
  <c r="GV41" i="39"/>
  <c r="GW41" i="39"/>
  <c r="C70" i="63" s="1"/>
  <c r="GX41" i="39"/>
  <c r="GY41" i="39"/>
  <c r="GZ41" i="39"/>
  <c r="GU42" i="39"/>
  <c r="GV42" i="39"/>
  <c r="GW42" i="39"/>
  <c r="C71" i="63" s="1"/>
  <c r="GX42" i="39"/>
  <c r="GY42" i="39"/>
  <c r="GZ42" i="39"/>
  <c r="GU43" i="39"/>
  <c r="GV43" i="39"/>
  <c r="GW43" i="39"/>
  <c r="C72" i="63" s="1"/>
  <c r="GX43" i="39"/>
  <c r="GY43" i="39"/>
  <c r="GZ43" i="39"/>
  <c r="GU44" i="39"/>
  <c r="GV44" i="39"/>
  <c r="GW44" i="39"/>
  <c r="C73" i="63" s="1"/>
  <c r="GX44" i="39"/>
  <c r="GY44" i="39"/>
  <c r="GZ44" i="39"/>
  <c r="GU45" i="39"/>
  <c r="GV45" i="39"/>
  <c r="GW45" i="39"/>
  <c r="C74" i="63" s="1"/>
  <c r="GX45" i="39"/>
  <c r="GY45" i="39"/>
  <c r="GZ45" i="39"/>
  <c r="GU46" i="39"/>
  <c r="GV46" i="39"/>
  <c r="GW46" i="39"/>
  <c r="C75" i="63" s="1"/>
  <c r="GX46" i="39"/>
  <c r="GY46" i="39"/>
  <c r="GZ46" i="39"/>
  <c r="GU47" i="39"/>
  <c r="GV47" i="39"/>
  <c r="GW47" i="39"/>
  <c r="C76" i="63" s="1"/>
  <c r="GX47" i="39"/>
  <c r="GY47" i="39"/>
  <c r="GZ47" i="39"/>
  <c r="GU48" i="39"/>
  <c r="GV48" i="39"/>
  <c r="GW48" i="39"/>
  <c r="C77" i="63" s="1"/>
  <c r="GX48" i="39"/>
  <c r="GY48" i="39"/>
  <c r="GZ48" i="39"/>
  <c r="GU49" i="39"/>
  <c r="GV49" i="39"/>
  <c r="GW49" i="39"/>
  <c r="C78" i="63" s="1"/>
  <c r="GX49" i="39"/>
  <c r="GY49" i="39"/>
  <c r="GZ49" i="39"/>
  <c r="GU50" i="39"/>
  <c r="GV50" i="39"/>
  <c r="GW50" i="39"/>
  <c r="C79" i="63" s="1"/>
  <c r="GX50" i="39"/>
  <c r="GY50" i="39"/>
  <c r="GZ50" i="39"/>
  <c r="GU51" i="39"/>
  <c r="GV51" i="39"/>
  <c r="GW51" i="39"/>
  <c r="C80" i="63" s="1"/>
  <c r="GX51" i="39"/>
  <c r="GY51" i="39"/>
  <c r="GZ51" i="39"/>
  <c r="GU52" i="39"/>
  <c r="GV52" i="39"/>
  <c r="GW52" i="39"/>
  <c r="C81" i="63" s="1"/>
  <c r="GX52" i="39"/>
  <c r="GY52" i="39"/>
  <c r="GZ52" i="39"/>
  <c r="GU53" i="39"/>
  <c r="GV53" i="39"/>
  <c r="GW53" i="39"/>
  <c r="C82" i="63" s="1"/>
  <c r="GX53" i="39"/>
  <c r="GY53" i="39"/>
  <c r="GZ53" i="39"/>
  <c r="GU54" i="39"/>
  <c r="GV54" i="39"/>
  <c r="GW54" i="39"/>
  <c r="C83" i="63" s="1"/>
  <c r="GX54" i="39"/>
  <c r="GY54" i="39"/>
  <c r="GZ54" i="39"/>
  <c r="GU55" i="39"/>
  <c r="GV55" i="39"/>
  <c r="GW55" i="39"/>
  <c r="C84" i="63" s="1"/>
  <c r="GX55" i="39"/>
  <c r="GY55" i="39"/>
  <c r="GZ55" i="39"/>
  <c r="GU56" i="39"/>
  <c r="GV56" i="39"/>
  <c r="GW56" i="39"/>
  <c r="C85" i="63" s="1"/>
  <c r="GX56" i="39"/>
  <c r="GY56" i="39"/>
  <c r="GZ56" i="39"/>
  <c r="GU57" i="39"/>
  <c r="GV57" i="39"/>
  <c r="GW57" i="39"/>
  <c r="C86" i="63" s="1"/>
  <c r="GX57" i="39"/>
  <c r="GY57" i="39"/>
  <c r="GZ57" i="39"/>
  <c r="GU58" i="39"/>
  <c r="GV58" i="39"/>
  <c r="GW58" i="39"/>
  <c r="C87" i="63" s="1"/>
  <c r="GX58" i="39"/>
  <c r="GY58" i="39"/>
  <c r="GZ58" i="39"/>
  <c r="GU59" i="39"/>
  <c r="GV59" i="39"/>
  <c r="GW59" i="39"/>
  <c r="C88" i="63" s="1"/>
  <c r="GX59" i="39"/>
  <c r="GY59" i="39"/>
  <c r="GZ59" i="39"/>
  <c r="GV6" i="39"/>
  <c r="GW6" i="39"/>
  <c r="C35" i="63" s="1"/>
  <c r="GX6" i="39"/>
  <c r="GY6" i="39"/>
  <c r="GZ6" i="39"/>
  <c r="GU6" i="39"/>
  <c r="C24" i="91"/>
  <c r="D24" i="91"/>
  <c r="E24" i="91"/>
  <c r="B24" i="91"/>
  <c r="II7" i="39"/>
  <c r="IJ7" i="39"/>
  <c r="IK7" i="39"/>
  <c r="H36" i="63" s="1"/>
  <c r="IL7" i="39"/>
  <c r="IM7" i="39"/>
  <c r="IN7" i="39"/>
  <c r="II8" i="39"/>
  <c r="E36" i="152" s="1"/>
  <c r="IJ8" i="39"/>
  <c r="IK8" i="39"/>
  <c r="H37" i="63" s="1"/>
  <c r="IL8" i="39"/>
  <c r="IM8" i="39"/>
  <c r="IN8" i="39"/>
  <c r="II9" i="39"/>
  <c r="IJ9" i="39"/>
  <c r="IK9" i="39"/>
  <c r="H38" i="63" s="1"/>
  <c r="IL9" i="39"/>
  <c r="IM9" i="39"/>
  <c r="IN9" i="39"/>
  <c r="II10" i="39"/>
  <c r="E38" i="152" s="1"/>
  <c r="IJ10" i="39"/>
  <c r="IK10" i="39"/>
  <c r="H39" i="63" s="1"/>
  <c r="IL10" i="39"/>
  <c r="IM10" i="39"/>
  <c r="IN10" i="39"/>
  <c r="II11" i="39"/>
  <c r="IJ11" i="39"/>
  <c r="IK11" i="39"/>
  <c r="H40" i="63" s="1"/>
  <c r="IL11" i="39"/>
  <c r="IM11" i="39"/>
  <c r="IN11" i="39"/>
  <c r="II12" i="39"/>
  <c r="E40" i="152" s="1"/>
  <c r="IJ12" i="39"/>
  <c r="IK12" i="39"/>
  <c r="H41" i="63" s="1"/>
  <c r="IL12" i="39"/>
  <c r="IM12" i="39"/>
  <c r="IN12" i="39"/>
  <c r="II13" i="39"/>
  <c r="E41" i="152" s="1"/>
  <c r="IJ13" i="39"/>
  <c r="IK13" i="39"/>
  <c r="H42" i="63" s="1"/>
  <c r="IL13" i="39"/>
  <c r="IM13" i="39"/>
  <c r="IN13" i="39"/>
  <c r="II14" i="39"/>
  <c r="E42" i="152" s="1"/>
  <c r="IJ14" i="39"/>
  <c r="IK14" i="39"/>
  <c r="H43" i="63" s="1"/>
  <c r="IL14" i="39"/>
  <c r="IM14" i="39"/>
  <c r="IN14" i="39"/>
  <c r="II15" i="39"/>
  <c r="E43" i="152" s="1"/>
  <c r="IJ15" i="39"/>
  <c r="IK15" i="39"/>
  <c r="H44" i="63" s="1"/>
  <c r="IL15" i="39"/>
  <c r="IM15" i="39"/>
  <c r="IN15" i="39"/>
  <c r="II16" i="39"/>
  <c r="E44" i="152" s="1"/>
  <c r="IJ16" i="39"/>
  <c r="IK16" i="39"/>
  <c r="H45" i="63" s="1"/>
  <c r="IL16" i="39"/>
  <c r="IM16" i="39"/>
  <c r="IN16" i="39"/>
  <c r="II17" i="39"/>
  <c r="E45" i="152" s="1"/>
  <c r="IJ17" i="39"/>
  <c r="IK17" i="39"/>
  <c r="H46" i="63" s="1"/>
  <c r="IL17" i="39"/>
  <c r="IM17" i="39"/>
  <c r="IN17" i="39"/>
  <c r="II18" i="39"/>
  <c r="E46" i="152" s="1"/>
  <c r="IJ18" i="39"/>
  <c r="IK18" i="39"/>
  <c r="H47" i="63" s="1"/>
  <c r="IL18" i="39"/>
  <c r="IM18" i="39"/>
  <c r="IN18" i="39"/>
  <c r="II19" i="39"/>
  <c r="E47" i="152" s="1"/>
  <c r="IJ19" i="39"/>
  <c r="IK19" i="39"/>
  <c r="H48" i="63" s="1"/>
  <c r="IL19" i="39"/>
  <c r="IM19" i="39"/>
  <c r="IN19" i="39"/>
  <c r="II20" i="39"/>
  <c r="E48" i="152" s="1"/>
  <c r="IJ20" i="39"/>
  <c r="IK20" i="39"/>
  <c r="H49" i="63" s="1"/>
  <c r="IL20" i="39"/>
  <c r="IM20" i="39"/>
  <c r="IN20" i="39"/>
  <c r="II21" i="39"/>
  <c r="E49" i="152" s="1"/>
  <c r="IJ21" i="39"/>
  <c r="IK21" i="39"/>
  <c r="H50" i="63" s="1"/>
  <c r="IL21" i="39"/>
  <c r="IM21" i="39"/>
  <c r="IN21" i="39"/>
  <c r="II22" i="39"/>
  <c r="E50" i="152" s="1"/>
  <c r="IJ22" i="39"/>
  <c r="IK22" i="39"/>
  <c r="H51" i="63" s="1"/>
  <c r="IL22" i="39"/>
  <c r="IM22" i="39"/>
  <c r="IN22" i="39"/>
  <c r="II23" i="39"/>
  <c r="E51" i="152" s="1"/>
  <c r="IJ23" i="39"/>
  <c r="IK23" i="39"/>
  <c r="H52" i="63" s="1"/>
  <c r="IL23" i="39"/>
  <c r="IM23" i="39"/>
  <c r="IN23" i="39"/>
  <c r="II24" i="39"/>
  <c r="E52" i="152" s="1"/>
  <c r="IJ24" i="39"/>
  <c r="IK24" i="39"/>
  <c r="H53" i="63" s="1"/>
  <c r="IL24" i="39"/>
  <c r="IM24" i="39"/>
  <c r="IN24" i="39"/>
  <c r="II25" i="39"/>
  <c r="E53" i="152" s="1"/>
  <c r="IJ25" i="39"/>
  <c r="IK25" i="39"/>
  <c r="H54" i="63" s="1"/>
  <c r="IL25" i="39"/>
  <c r="IM25" i="39"/>
  <c r="IN25" i="39"/>
  <c r="II26" i="39"/>
  <c r="E54" i="152" s="1"/>
  <c r="IJ26" i="39"/>
  <c r="IK26" i="39"/>
  <c r="H55" i="63" s="1"/>
  <c r="IL26" i="39"/>
  <c r="IM26" i="39"/>
  <c r="IN26" i="39"/>
  <c r="II27" i="39"/>
  <c r="E55" i="152" s="1"/>
  <c r="IJ27" i="39"/>
  <c r="IK27" i="39"/>
  <c r="H56" i="63" s="1"/>
  <c r="IL27" i="39"/>
  <c r="IM27" i="39"/>
  <c r="IN27" i="39"/>
  <c r="II28" i="39"/>
  <c r="E56" i="152" s="1"/>
  <c r="IJ28" i="39"/>
  <c r="IK28" i="39"/>
  <c r="H57" i="63" s="1"/>
  <c r="IL28" i="39"/>
  <c r="IM28" i="39"/>
  <c r="IN28" i="39"/>
  <c r="II29" i="39"/>
  <c r="E57" i="152" s="1"/>
  <c r="IJ29" i="39"/>
  <c r="IK29" i="39"/>
  <c r="H58" i="63" s="1"/>
  <c r="IL29" i="39"/>
  <c r="IM29" i="39"/>
  <c r="IN29" i="39"/>
  <c r="II30" i="39"/>
  <c r="E58" i="152" s="1"/>
  <c r="IJ30" i="39"/>
  <c r="IK30" i="39"/>
  <c r="H59" i="63" s="1"/>
  <c r="IL30" i="39"/>
  <c r="IM30" i="39"/>
  <c r="IN30" i="39"/>
  <c r="II31" i="39"/>
  <c r="E59" i="152" s="1"/>
  <c r="IJ31" i="39"/>
  <c r="IK31" i="39"/>
  <c r="H60" i="63" s="1"/>
  <c r="IL31" i="39"/>
  <c r="IM31" i="39"/>
  <c r="IN31" i="39"/>
  <c r="II32" i="39"/>
  <c r="E60" i="152" s="1"/>
  <c r="IJ32" i="39"/>
  <c r="IK32" i="39"/>
  <c r="H61" i="63" s="1"/>
  <c r="IL32" i="39"/>
  <c r="IM32" i="39"/>
  <c r="IN32" i="39"/>
  <c r="II33" i="39"/>
  <c r="E61" i="152" s="1"/>
  <c r="IJ33" i="39"/>
  <c r="IK33" i="39"/>
  <c r="H62" i="63" s="1"/>
  <c r="IL33" i="39"/>
  <c r="IM33" i="39"/>
  <c r="IN33" i="39"/>
  <c r="II34" i="39"/>
  <c r="E62" i="152" s="1"/>
  <c r="IJ34" i="39"/>
  <c r="IK34" i="39"/>
  <c r="H63" i="63" s="1"/>
  <c r="IL34" i="39"/>
  <c r="IM34" i="39"/>
  <c r="IN34" i="39"/>
  <c r="II35" i="39"/>
  <c r="E63" i="152" s="1"/>
  <c r="IJ35" i="39"/>
  <c r="IK35" i="39"/>
  <c r="H64" i="63" s="1"/>
  <c r="IL35" i="39"/>
  <c r="IM35" i="39"/>
  <c r="IN35" i="39"/>
  <c r="II36" i="39"/>
  <c r="E64" i="152" s="1"/>
  <c r="IJ36" i="39"/>
  <c r="IK36" i="39"/>
  <c r="H65" i="63" s="1"/>
  <c r="IL36" i="39"/>
  <c r="IM36" i="39"/>
  <c r="IN36" i="39"/>
  <c r="II37" i="39"/>
  <c r="E65" i="152" s="1"/>
  <c r="IJ37" i="39"/>
  <c r="IK37" i="39"/>
  <c r="H66" i="63" s="1"/>
  <c r="IL37" i="39"/>
  <c r="IM37" i="39"/>
  <c r="IN37" i="39"/>
  <c r="II38" i="39"/>
  <c r="E66" i="152" s="1"/>
  <c r="IJ38" i="39"/>
  <c r="IK38" i="39"/>
  <c r="H67" i="63" s="1"/>
  <c r="IL38" i="39"/>
  <c r="IM38" i="39"/>
  <c r="IN38" i="39"/>
  <c r="II39" i="39"/>
  <c r="E67" i="152" s="1"/>
  <c r="IJ39" i="39"/>
  <c r="IK39" i="39"/>
  <c r="H68" i="63" s="1"/>
  <c r="IL39" i="39"/>
  <c r="IM39" i="39"/>
  <c r="IN39" i="39"/>
  <c r="II40" i="39"/>
  <c r="E68" i="152" s="1"/>
  <c r="IJ40" i="39"/>
  <c r="IK40" i="39"/>
  <c r="H69" i="63" s="1"/>
  <c r="IL40" i="39"/>
  <c r="IM40" i="39"/>
  <c r="IN40" i="39"/>
  <c r="II41" i="39"/>
  <c r="E69" i="152" s="1"/>
  <c r="IJ41" i="39"/>
  <c r="IK41" i="39"/>
  <c r="H70" i="63" s="1"/>
  <c r="IL41" i="39"/>
  <c r="IM41" i="39"/>
  <c r="IN41" i="39"/>
  <c r="II42" i="39"/>
  <c r="E70" i="152" s="1"/>
  <c r="IJ42" i="39"/>
  <c r="IK42" i="39"/>
  <c r="H71" i="63" s="1"/>
  <c r="IL42" i="39"/>
  <c r="IM42" i="39"/>
  <c r="IN42" i="39"/>
  <c r="II43" i="39"/>
  <c r="E71" i="152" s="1"/>
  <c r="IJ43" i="39"/>
  <c r="IK43" i="39"/>
  <c r="H72" i="63" s="1"/>
  <c r="IL43" i="39"/>
  <c r="IM43" i="39"/>
  <c r="IN43" i="39"/>
  <c r="II44" i="39"/>
  <c r="E72" i="152" s="1"/>
  <c r="IJ44" i="39"/>
  <c r="IK44" i="39"/>
  <c r="H73" i="63" s="1"/>
  <c r="IL44" i="39"/>
  <c r="IM44" i="39"/>
  <c r="IN44" i="39"/>
  <c r="II45" i="39"/>
  <c r="E73" i="152" s="1"/>
  <c r="IJ45" i="39"/>
  <c r="IK45" i="39"/>
  <c r="H74" i="63" s="1"/>
  <c r="IL45" i="39"/>
  <c r="IM45" i="39"/>
  <c r="IN45" i="39"/>
  <c r="II46" i="39"/>
  <c r="E74" i="152" s="1"/>
  <c r="IJ46" i="39"/>
  <c r="IK46" i="39"/>
  <c r="H75" i="63" s="1"/>
  <c r="IL46" i="39"/>
  <c r="IM46" i="39"/>
  <c r="IN46" i="39"/>
  <c r="II47" i="39"/>
  <c r="E75" i="152" s="1"/>
  <c r="IJ47" i="39"/>
  <c r="IK47" i="39"/>
  <c r="H76" i="63" s="1"/>
  <c r="IL47" i="39"/>
  <c r="IM47" i="39"/>
  <c r="IN47" i="39"/>
  <c r="II48" i="39"/>
  <c r="E76" i="152" s="1"/>
  <c r="IJ48" i="39"/>
  <c r="IK48" i="39"/>
  <c r="H77" i="63" s="1"/>
  <c r="IL48" i="39"/>
  <c r="IM48" i="39"/>
  <c r="IN48" i="39"/>
  <c r="II49" i="39"/>
  <c r="E77" i="152" s="1"/>
  <c r="IJ49" i="39"/>
  <c r="IK49" i="39"/>
  <c r="H78" i="63" s="1"/>
  <c r="IL49" i="39"/>
  <c r="IM49" i="39"/>
  <c r="IN49" i="39"/>
  <c r="II50" i="39"/>
  <c r="E78" i="152" s="1"/>
  <c r="IJ50" i="39"/>
  <c r="IK50" i="39"/>
  <c r="H79" i="63" s="1"/>
  <c r="IL50" i="39"/>
  <c r="IM50" i="39"/>
  <c r="IN50" i="39"/>
  <c r="II51" i="39"/>
  <c r="E79" i="152" s="1"/>
  <c r="IJ51" i="39"/>
  <c r="IK51" i="39"/>
  <c r="H80" i="63" s="1"/>
  <c r="IL51" i="39"/>
  <c r="IM51" i="39"/>
  <c r="IN51" i="39"/>
  <c r="II52" i="39"/>
  <c r="E80" i="152" s="1"/>
  <c r="IJ52" i="39"/>
  <c r="IK52" i="39"/>
  <c r="H81" i="63" s="1"/>
  <c r="IL52" i="39"/>
  <c r="IM52" i="39"/>
  <c r="IN52" i="39"/>
  <c r="II53" i="39"/>
  <c r="E81" i="152" s="1"/>
  <c r="IJ53" i="39"/>
  <c r="IK53" i="39"/>
  <c r="H82" i="63" s="1"/>
  <c r="IL53" i="39"/>
  <c r="IM53" i="39"/>
  <c r="IN53" i="39"/>
  <c r="II54" i="39"/>
  <c r="E82" i="152" s="1"/>
  <c r="IJ54" i="39"/>
  <c r="IK54" i="39"/>
  <c r="H83" i="63" s="1"/>
  <c r="IL54" i="39"/>
  <c r="IM54" i="39"/>
  <c r="IN54" i="39"/>
  <c r="II55" i="39"/>
  <c r="E83" i="152" s="1"/>
  <c r="IJ55" i="39"/>
  <c r="IK55" i="39"/>
  <c r="H84" i="63" s="1"/>
  <c r="IL55" i="39"/>
  <c r="IM55" i="39"/>
  <c r="IN55" i="39"/>
  <c r="II56" i="39"/>
  <c r="E84" i="152" s="1"/>
  <c r="IJ56" i="39"/>
  <c r="IK56" i="39"/>
  <c r="H85" i="63" s="1"/>
  <c r="IL56" i="39"/>
  <c r="IM56" i="39"/>
  <c r="IN56" i="39"/>
  <c r="II57" i="39"/>
  <c r="E85" i="152" s="1"/>
  <c r="IJ57" i="39"/>
  <c r="IK57" i="39"/>
  <c r="H86" i="63" s="1"/>
  <c r="IL57" i="39"/>
  <c r="IM57" i="39"/>
  <c r="IN57" i="39"/>
  <c r="II58" i="39"/>
  <c r="E86" i="152" s="1"/>
  <c r="IJ58" i="39"/>
  <c r="IK58" i="39"/>
  <c r="H87" i="63" s="1"/>
  <c r="IL58" i="39"/>
  <c r="IM58" i="39"/>
  <c r="IN58" i="39"/>
  <c r="II59" i="39"/>
  <c r="E87" i="152" s="1"/>
  <c r="IJ59" i="39"/>
  <c r="IK59" i="39"/>
  <c r="H88" i="63" s="1"/>
  <c r="IL59" i="39"/>
  <c r="IM59" i="39"/>
  <c r="IN59" i="39"/>
  <c r="IJ6" i="39"/>
  <c r="IK6" i="39"/>
  <c r="H35" i="63" s="1"/>
  <c r="IL6" i="39"/>
  <c r="IM6" i="39"/>
  <c r="IN6" i="39"/>
  <c r="II6" i="39"/>
  <c r="E34" i="152" s="1"/>
  <c r="II3" i="39"/>
  <c r="IA3" i="39"/>
  <c r="HS3" i="39"/>
  <c r="HK3" i="39"/>
  <c r="HC3" i="39"/>
  <c r="GU3" i="39"/>
  <c r="IO65" i="38"/>
  <c r="IN65" i="38"/>
  <c r="IM65" i="38"/>
  <c r="IL65" i="38"/>
  <c r="IK65" i="38"/>
  <c r="IJ65" i="38"/>
  <c r="II65" i="38"/>
  <c r="B20" i="91" l="1"/>
  <c r="G35" i="63"/>
  <c r="E17" i="91"/>
  <c r="D64" i="63"/>
  <c r="D17" i="91"/>
  <c r="D60" i="63"/>
  <c r="E16" i="91"/>
  <c r="C64" i="63"/>
  <c r="D16" i="91"/>
  <c r="C60" i="63"/>
  <c r="E18" i="91"/>
  <c r="E64" i="63"/>
  <c r="D18" i="91"/>
  <c r="E60" i="63"/>
  <c r="E20" i="91"/>
  <c r="G64" i="63"/>
  <c r="D20" i="91"/>
  <c r="G60" i="63"/>
  <c r="E19" i="91"/>
  <c r="F64" i="63"/>
  <c r="D19" i="91"/>
  <c r="F60" i="63"/>
  <c r="K25" i="91"/>
  <c r="J25" i="91"/>
  <c r="H25" i="91"/>
  <c r="I25" i="91"/>
  <c r="B21" i="91"/>
  <c r="D21" i="91"/>
  <c r="C21" i="91"/>
  <c r="I24" i="91" s="1"/>
  <c r="E21" i="91"/>
  <c r="B18" i="91"/>
  <c r="C16" i="91"/>
  <c r="C18" i="91"/>
  <c r="C20" i="91"/>
  <c r="B16" i="91"/>
  <c r="B17" i="91"/>
  <c r="B19" i="91"/>
  <c r="C17" i="91"/>
  <c r="C19" i="91"/>
  <c r="K18" i="91" l="1"/>
  <c r="K20" i="91"/>
  <c r="K17" i="91"/>
  <c r="J17" i="91"/>
  <c r="K19" i="91"/>
  <c r="J18" i="91"/>
  <c r="H21" i="91"/>
  <c r="J19" i="91"/>
  <c r="J24" i="91"/>
  <c r="J21" i="91"/>
  <c r="K24" i="91"/>
  <c r="K21" i="91"/>
  <c r="J20" i="91"/>
  <c r="H24" i="91"/>
  <c r="I17" i="91"/>
  <c r="L20" i="91"/>
  <c r="H17" i="91"/>
  <c r="L17" i="91"/>
  <c r="H20" i="91"/>
  <c r="I20" i="91"/>
  <c r="I21" i="91"/>
  <c r="I18" i="91"/>
  <c r="H18" i="91"/>
  <c r="I19" i="91"/>
  <c r="L19" i="91"/>
  <c r="H19" i="91"/>
  <c r="L18" i="91"/>
  <c r="E6" i="93" l="1"/>
  <c r="E7" i="93"/>
  <c r="E8" i="93"/>
  <c r="E9" i="93"/>
  <c r="E10" i="93"/>
  <c r="E11" i="93"/>
  <c r="E12" i="93"/>
  <c r="E13" i="93"/>
  <c r="E14" i="93"/>
  <c r="E15" i="93"/>
  <c r="E16" i="93"/>
  <c r="E17" i="93"/>
  <c r="E18" i="93"/>
  <c r="E19" i="93"/>
  <c r="E20" i="93"/>
  <c r="E21" i="93"/>
  <c r="E22" i="93"/>
  <c r="E23" i="93"/>
  <c r="E24" i="93"/>
  <c r="E25" i="93"/>
  <c r="E26" i="93"/>
  <c r="E27" i="93"/>
  <c r="E28" i="93"/>
  <c r="E29" i="93"/>
  <c r="E30" i="93"/>
  <c r="E31" i="93"/>
  <c r="E32" i="93"/>
  <c r="E33" i="93"/>
  <c r="E34" i="93"/>
  <c r="E35" i="93"/>
  <c r="E36" i="93"/>
  <c r="E37" i="93"/>
  <c r="E38" i="93"/>
  <c r="E39" i="93"/>
  <c r="E40" i="93"/>
  <c r="E41" i="93"/>
  <c r="F41" i="93"/>
  <c r="E42" i="93"/>
  <c r="F42" i="93"/>
  <c r="E43" i="93"/>
  <c r="F43" i="93"/>
  <c r="E44" i="93"/>
  <c r="F44" i="93"/>
  <c r="E45" i="93"/>
  <c r="F45" i="93"/>
  <c r="E46" i="93"/>
  <c r="E47" i="93"/>
  <c r="F47" i="93"/>
  <c r="E48" i="93"/>
  <c r="E49" i="93"/>
  <c r="E50" i="93"/>
  <c r="E51" i="93"/>
  <c r="F51" i="93"/>
  <c r="E52" i="93"/>
  <c r="E53" i="93"/>
  <c r="E54" i="93"/>
  <c r="E55" i="93"/>
  <c r="E56" i="93"/>
  <c r="F56" i="93"/>
  <c r="E57" i="93"/>
  <c r="E58" i="93"/>
  <c r="E59" i="93"/>
  <c r="F60" i="93"/>
  <c r="D10" i="93"/>
  <c r="D14" i="93"/>
  <c r="D32" i="93"/>
  <c r="D33" i="93"/>
  <c r="D34" i="93"/>
  <c r="D35" i="93"/>
  <c r="D36" i="93"/>
  <c r="D37" i="93"/>
  <c r="D38" i="93"/>
  <c r="D39" i="93"/>
  <c r="D40" i="93"/>
  <c r="D41" i="93"/>
  <c r="D42" i="93"/>
  <c r="D43" i="93"/>
  <c r="D44" i="93"/>
  <c r="D45" i="93"/>
  <c r="D60" i="93"/>
  <c r="Y127" i="80"/>
  <c r="J60" i="93" s="1"/>
  <c r="W127" i="80"/>
  <c r="I60" i="93" s="1"/>
  <c r="Y126" i="80"/>
  <c r="J59" i="93" s="1"/>
  <c r="W126" i="80"/>
  <c r="Y125" i="80"/>
  <c r="W125" i="80"/>
  <c r="I58" i="93" s="1"/>
  <c r="Y124" i="80"/>
  <c r="J57" i="93" s="1"/>
  <c r="W124" i="80"/>
  <c r="Y123" i="80"/>
  <c r="J56" i="93" s="1"/>
  <c r="W123" i="80"/>
  <c r="Y122" i="80"/>
  <c r="J55" i="93" s="1"/>
  <c r="W122" i="80"/>
  <c r="Y121" i="80"/>
  <c r="W121" i="80"/>
  <c r="I54" i="93" s="1"/>
  <c r="Y120" i="80"/>
  <c r="J53" i="93" s="1"/>
  <c r="W120" i="80"/>
  <c r="Y119" i="80"/>
  <c r="J52" i="93" s="1"/>
  <c r="W119" i="80"/>
  <c r="I52" i="93" s="1"/>
  <c r="Y118" i="80"/>
  <c r="J51" i="93" s="1"/>
  <c r="W118" i="80"/>
  <c r="Y117" i="80"/>
  <c r="W117" i="80"/>
  <c r="I50" i="93" s="1"/>
  <c r="Y116" i="80"/>
  <c r="J49" i="93" s="1"/>
  <c r="W116" i="80"/>
  <c r="Y115" i="80"/>
  <c r="J48" i="93" s="1"/>
  <c r="W115" i="80"/>
  <c r="Y114" i="80"/>
  <c r="J47" i="93" s="1"/>
  <c r="W114" i="80"/>
  <c r="Y113" i="80"/>
  <c r="W113" i="80"/>
  <c r="I46" i="93" s="1"/>
  <c r="Y98" i="80"/>
  <c r="J31" i="93" s="1"/>
  <c r="W98" i="80"/>
  <c r="Y97" i="80"/>
  <c r="J30" i="93" s="1"/>
  <c r="W97" i="80"/>
  <c r="I30" i="93" s="1"/>
  <c r="Y96" i="80"/>
  <c r="J29" i="93" s="1"/>
  <c r="W96" i="80"/>
  <c r="Y95" i="80"/>
  <c r="J28" i="93" s="1"/>
  <c r="W95" i="80"/>
  <c r="Y94" i="80"/>
  <c r="J27" i="93" s="1"/>
  <c r="W94" i="80"/>
  <c r="Y93" i="80"/>
  <c r="J26" i="93" s="1"/>
  <c r="W93" i="80"/>
  <c r="I26" i="93" s="1"/>
  <c r="Y92" i="80"/>
  <c r="J25" i="93" s="1"/>
  <c r="W92" i="80"/>
  <c r="Y91" i="80"/>
  <c r="J24" i="93" s="1"/>
  <c r="W91" i="80"/>
  <c r="Y90" i="80"/>
  <c r="J23" i="93" s="1"/>
  <c r="W90" i="80"/>
  <c r="Y89" i="80"/>
  <c r="J22" i="93" s="1"/>
  <c r="W89" i="80"/>
  <c r="I22" i="93" s="1"/>
  <c r="Y88" i="80"/>
  <c r="J21" i="93" s="1"/>
  <c r="W88" i="80"/>
  <c r="Y87" i="80"/>
  <c r="J20" i="93" s="1"/>
  <c r="W87" i="80"/>
  <c r="Y86" i="80"/>
  <c r="J19" i="93" s="1"/>
  <c r="W86" i="80"/>
  <c r="Y85" i="80"/>
  <c r="J18" i="93" s="1"/>
  <c r="W85" i="80"/>
  <c r="I18" i="93" s="1"/>
  <c r="Y84" i="80"/>
  <c r="J17" i="93" s="1"/>
  <c r="W84" i="80"/>
  <c r="Y83" i="80"/>
  <c r="J16" i="93" s="1"/>
  <c r="W83" i="80"/>
  <c r="Y82" i="80"/>
  <c r="J15" i="93" s="1"/>
  <c r="W82" i="80"/>
  <c r="Y81" i="80"/>
  <c r="J14" i="93" s="1"/>
  <c r="W81" i="80"/>
  <c r="I14" i="93" s="1"/>
  <c r="Y80" i="80"/>
  <c r="J13" i="93" s="1"/>
  <c r="W80" i="80"/>
  <c r="Y79" i="80"/>
  <c r="J12" i="93" s="1"/>
  <c r="W79" i="80"/>
  <c r="Y78" i="80"/>
  <c r="J11" i="93" s="1"/>
  <c r="W78" i="80"/>
  <c r="Y77" i="80"/>
  <c r="J10" i="93" s="1"/>
  <c r="W77" i="80"/>
  <c r="I10" i="93" s="1"/>
  <c r="Y76" i="80"/>
  <c r="J9" i="93" s="1"/>
  <c r="W76" i="80"/>
  <c r="Y75" i="80"/>
  <c r="J8" i="93" s="1"/>
  <c r="W75" i="80"/>
  <c r="Y74" i="80"/>
  <c r="J7" i="93" s="1"/>
  <c r="W74" i="80"/>
  <c r="Y73" i="80"/>
  <c r="J6" i="93" s="1"/>
  <c r="W73" i="80"/>
  <c r="I6" i="93" s="1"/>
  <c r="Y72" i="80"/>
  <c r="J5" i="93" s="1"/>
  <c r="W72" i="80"/>
  <c r="I5" i="93" s="1"/>
  <c r="U72" i="80"/>
  <c r="U73" i="80"/>
  <c r="U74" i="80"/>
  <c r="U75" i="80"/>
  <c r="U76" i="80"/>
  <c r="U77" i="80"/>
  <c r="U78" i="80"/>
  <c r="U79" i="80"/>
  <c r="U80" i="80"/>
  <c r="U81" i="80"/>
  <c r="U82" i="80"/>
  <c r="U83" i="80"/>
  <c r="U84" i="80"/>
  <c r="U85" i="80"/>
  <c r="U86" i="80"/>
  <c r="U87" i="80"/>
  <c r="U88" i="80"/>
  <c r="U89" i="80"/>
  <c r="U90" i="80"/>
  <c r="U91" i="80"/>
  <c r="U92" i="80"/>
  <c r="U93" i="80"/>
  <c r="U94" i="80"/>
  <c r="U95" i="80"/>
  <c r="U96" i="80"/>
  <c r="U97" i="80"/>
  <c r="U98" i="80"/>
  <c r="D12" i="93" l="1"/>
  <c r="I12" i="93"/>
  <c r="D58" i="93"/>
  <c r="D9" i="93"/>
  <c r="I9" i="93"/>
  <c r="D13" i="93"/>
  <c r="I13" i="93"/>
  <c r="D17" i="93"/>
  <c r="I17" i="93"/>
  <c r="D21" i="93"/>
  <c r="I21" i="93"/>
  <c r="D25" i="93"/>
  <c r="I25" i="93"/>
  <c r="D29" i="93"/>
  <c r="I29" i="93"/>
  <c r="D47" i="93"/>
  <c r="I47" i="93"/>
  <c r="D51" i="93"/>
  <c r="I51" i="93"/>
  <c r="D55" i="93"/>
  <c r="I55" i="93"/>
  <c r="D59" i="93"/>
  <c r="I59" i="93"/>
  <c r="D54" i="93"/>
  <c r="F55" i="93"/>
  <c r="D16" i="93"/>
  <c r="I16" i="93"/>
  <c r="F46" i="93"/>
  <c r="J46" i="93"/>
  <c r="D52" i="93"/>
  <c r="F59" i="93"/>
  <c r="D24" i="93"/>
  <c r="I24" i="93"/>
  <c r="F58" i="93"/>
  <c r="J58" i="93"/>
  <c r="D48" i="93"/>
  <c r="I48" i="93"/>
  <c r="D56" i="93"/>
  <c r="I56" i="93"/>
  <c r="D50" i="93"/>
  <c r="D30" i="93"/>
  <c r="F49" i="93"/>
  <c r="F50" i="93"/>
  <c r="J50" i="93"/>
  <c r="D46" i="93"/>
  <c r="D26" i="93"/>
  <c r="F53" i="93"/>
  <c r="D8" i="93"/>
  <c r="I8" i="93"/>
  <c r="D28" i="93"/>
  <c r="I28" i="93"/>
  <c r="F54" i="93"/>
  <c r="J54" i="93"/>
  <c r="D7" i="93"/>
  <c r="I7" i="93"/>
  <c r="D11" i="93"/>
  <c r="I11" i="93"/>
  <c r="D15" i="93"/>
  <c r="I15" i="93"/>
  <c r="D19" i="93"/>
  <c r="I19" i="93"/>
  <c r="D23" i="93"/>
  <c r="I23" i="93"/>
  <c r="D27" i="93"/>
  <c r="I27" i="93"/>
  <c r="D31" i="93"/>
  <c r="I31" i="93"/>
  <c r="D49" i="93"/>
  <c r="I49" i="93"/>
  <c r="D53" i="93"/>
  <c r="I53" i="93"/>
  <c r="D57" i="93"/>
  <c r="I57" i="93"/>
  <c r="D5" i="93"/>
  <c r="D22" i="93"/>
  <c r="F57" i="93"/>
  <c r="F48" i="93"/>
  <c r="D20" i="93"/>
  <c r="I20" i="93"/>
  <c r="D6" i="93"/>
  <c r="D18" i="93"/>
  <c r="F52" i="93"/>
  <c r="AE56" i="74"/>
  <c r="M60" i="111"/>
  <c r="E60" i="111" s="1"/>
  <c r="AE32" i="74"/>
  <c r="M36" i="111"/>
  <c r="E36" i="111" s="1"/>
  <c r="AE8" i="74"/>
  <c r="M12" i="111"/>
  <c r="E12" i="111" s="1"/>
  <c r="AE31" i="74"/>
  <c r="M35" i="111"/>
  <c r="E35" i="111" s="1"/>
  <c r="AE15" i="74"/>
  <c r="M19" i="111"/>
  <c r="E19" i="111" s="1"/>
  <c r="AE54" i="74"/>
  <c r="M58" i="111"/>
  <c r="E58" i="111" s="1"/>
  <c r="AE46" i="74"/>
  <c r="M50" i="111"/>
  <c r="E50" i="111" s="1"/>
  <c r="AE38" i="74"/>
  <c r="M42" i="111"/>
  <c r="E42" i="111" s="1"/>
  <c r="AE30" i="74"/>
  <c r="M34" i="111"/>
  <c r="E34" i="111" s="1"/>
  <c r="AE22" i="74"/>
  <c r="M26" i="111"/>
  <c r="E26" i="111" s="1"/>
  <c r="AE14" i="74"/>
  <c r="M18" i="111"/>
  <c r="E18" i="111" s="1"/>
  <c r="AE61" i="74"/>
  <c r="M65" i="111"/>
  <c r="AE53" i="74"/>
  <c r="M57" i="111"/>
  <c r="E57" i="111" s="1"/>
  <c r="AE45" i="74"/>
  <c r="M49" i="111"/>
  <c r="E49" i="111" s="1"/>
  <c r="AE37" i="74"/>
  <c r="M41" i="111"/>
  <c r="E41" i="111" s="1"/>
  <c r="AE29" i="74"/>
  <c r="M33" i="111"/>
  <c r="E33" i="111" s="1"/>
  <c r="AE21" i="74"/>
  <c r="M25" i="111"/>
  <c r="E25" i="111" s="1"/>
  <c r="AE13" i="74"/>
  <c r="M17" i="111"/>
  <c r="E17" i="111" s="1"/>
  <c r="AE48" i="74"/>
  <c r="M52" i="111"/>
  <c r="E52" i="111" s="1"/>
  <c r="AE24" i="74"/>
  <c r="M28" i="111"/>
  <c r="E28" i="111" s="1"/>
  <c r="AE55" i="74"/>
  <c r="M59" i="111"/>
  <c r="E59" i="111" s="1"/>
  <c r="AE39" i="74"/>
  <c r="M43" i="111"/>
  <c r="E43" i="111" s="1"/>
  <c r="AE7" i="74"/>
  <c r="M11" i="111"/>
  <c r="AE60" i="74"/>
  <c r="M64" i="111"/>
  <c r="E64" i="111" s="1"/>
  <c r="AE52" i="74"/>
  <c r="M56" i="111"/>
  <c r="E56" i="111" s="1"/>
  <c r="AE44" i="74"/>
  <c r="M48" i="111"/>
  <c r="E48" i="111" s="1"/>
  <c r="AE36" i="74"/>
  <c r="M40" i="111"/>
  <c r="E40" i="111" s="1"/>
  <c r="AE28" i="74"/>
  <c r="M32" i="111"/>
  <c r="E32" i="111" s="1"/>
  <c r="AE20" i="74"/>
  <c r="M24" i="111"/>
  <c r="E24" i="111" s="1"/>
  <c r="AE12" i="74"/>
  <c r="M16" i="111"/>
  <c r="E16" i="111" s="1"/>
  <c r="B16" i="111" s="1"/>
  <c r="AE59" i="74"/>
  <c r="M63" i="111"/>
  <c r="E63" i="111" s="1"/>
  <c r="AE51" i="74"/>
  <c r="M55" i="111"/>
  <c r="E55" i="111" s="1"/>
  <c r="AE43" i="74"/>
  <c r="M47" i="111"/>
  <c r="E47" i="111" s="1"/>
  <c r="AE35" i="74"/>
  <c r="M39" i="111"/>
  <c r="E39" i="111" s="1"/>
  <c r="AE27" i="74"/>
  <c r="M31" i="111"/>
  <c r="E31" i="111" s="1"/>
  <c r="AE19" i="74"/>
  <c r="M23" i="111"/>
  <c r="E23" i="111" s="1"/>
  <c r="AE11" i="74"/>
  <c r="M15" i="111"/>
  <c r="AE40" i="74"/>
  <c r="M44" i="111"/>
  <c r="E44" i="111" s="1"/>
  <c r="AE16" i="74"/>
  <c r="M20" i="111"/>
  <c r="E20" i="111" s="1"/>
  <c r="AE47" i="74"/>
  <c r="M51" i="111"/>
  <c r="E51" i="111" s="1"/>
  <c r="AE23" i="74"/>
  <c r="M27" i="111"/>
  <c r="E27" i="111" s="1"/>
  <c r="AE58" i="74"/>
  <c r="M62" i="111"/>
  <c r="E62" i="111" s="1"/>
  <c r="AE50" i="74"/>
  <c r="M54" i="111"/>
  <c r="E54" i="111" s="1"/>
  <c r="AE42" i="74"/>
  <c r="M46" i="111"/>
  <c r="E46" i="111" s="1"/>
  <c r="AE34" i="74"/>
  <c r="M38" i="111"/>
  <c r="E38" i="111" s="1"/>
  <c r="AE26" i="74"/>
  <c r="M30" i="111"/>
  <c r="E30" i="111" s="1"/>
  <c r="AE18" i="74"/>
  <c r="M22" i="111"/>
  <c r="E22" i="111" s="1"/>
  <c r="AE10" i="74"/>
  <c r="M14" i="111"/>
  <c r="E14" i="111" s="1"/>
  <c r="AE57" i="74"/>
  <c r="M61" i="111"/>
  <c r="E61" i="111" s="1"/>
  <c r="AE49" i="74"/>
  <c r="M53" i="111"/>
  <c r="E53" i="111" s="1"/>
  <c r="AE41" i="74"/>
  <c r="M45" i="111"/>
  <c r="E45" i="111" s="1"/>
  <c r="AE33" i="74"/>
  <c r="M37" i="111"/>
  <c r="E37" i="111" s="1"/>
  <c r="AE25" i="74"/>
  <c r="M29" i="111"/>
  <c r="E29" i="111" s="1"/>
  <c r="AE17" i="74"/>
  <c r="M21" i="111"/>
  <c r="E21" i="111" s="1"/>
  <c r="AE9" i="74"/>
  <c r="M13" i="111"/>
  <c r="AD60" i="74"/>
  <c r="AY19" i="132" l="1"/>
  <c r="AY51" i="132"/>
  <c r="AY40" i="132"/>
  <c r="AY17" i="132"/>
  <c r="AY49" i="132"/>
  <c r="AY30" i="132"/>
  <c r="AY53" i="132"/>
  <c r="AY20" i="132"/>
  <c r="AY52" i="132"/>
  <c r="AY29" i="132"/>
  <c r="AY61" i="132"/>
  <c r="AY43" i="132"/>
  <c r="AY38" i="132"/>
  <c r="AY15" i="132"/>
  <c r="AY47" i="132"/>
  <c r="AY42" i="132"/>
  <c r="AY16" i="132"/>
  <c r="AY48" i="132"/>
  <c r="AY25" i="132"/>
  <c r="AY57" i="132"/>
  <c r="N129" i="121"/>
  <c r="AY10" i="132"/>
  <c r="AY12" i="132"/>
  <c r="AY62" i="132"/>
  <c r="AY26" i="132"/>
  <c r="AY46" i="132"/>
  <c r="AY55" i="132"/>
  <c r="AY24" i="132"/>
  <c r="AY56" i="132"/>
  <c r="AY33" i="132"/>
  <c r="AY18" i="132"/>
  <c r="AY59" i="132"/>
  <c r="AY21" i="132"/>
  <c r="AY37" i="132"/>
  <c r="AY44" i="132"/>
  <c r="AY39" i="132"/>
  <c r="AY28" i="132"/>
  <c r="AY60" i="132"/>
  <c r="AY14" i="132"/>
  <c r="AY23" i="132"/>
  <c r="AY36" i="132"/>
  <c r="AY13" i="132"/>
  <c r="AY45" i="132"/>
  <c r="AY50" i="132"/>
  <c r="AY22" i="132"/>
  <c r="AY54" i="132"/>
  <c r="AY31" i="132"/>
  <c r="AY63" i="132"/>
  <c r="AY27" i="132"/>
  <c r="AY32" i="132"/>
  <c r="AY41" i="132"/>
  <c r="AY34" i="132"/>
  <c r="AY11" i="132"/>
  <c r="N105" i="121"/>
  <c r="AF32" i="74"/>
  <c r="AY35" i="132"/>
  <c r="AY64" i="132"/>
  <c r="N152" i="121"/>
  <c r="AY58" i="132"/>
  <c r="N158" i="121"/>
  <c r="AF34" i="74"/>
  <c r="N140" i="121"/>
  <c r="AF53" i="74"/>
  <c r="AF13" i="74"/>
  <c r="AF17" i="74"/>
  <c r="AF8" i="74"/>
  <c r="N149" i="121"/>
  <c r="AF23" i="74"/>
  <c r="AF14" i="74"/>
  <c r="AF19" i="74"/>
  <c r="N132" i="121"/>
  <c r="AF55" i="74"/>
  <c r="N150" i="121"/>
  <c r="N127" i="121"/>
  <c r="N131" i="121"/>
  <c r="AF20" i="74"/>
  <c r="AF57" i="74"/>
  <c r="AF25" i="74"/>
  <c r="AF52" i="74"/>
  <c r="AF30" i="74"/>
  <c r="N120" i="121"/>
  <c r="N118" i="121"/>
  <c r="N117" i="121"/>
  <c r="AF49" i="74"/>
  <c r="AF43" i="74"/>
  <c r="AF22" i="74"/>
  <c r="AF21" i="74"/>
  <c r="N154" i="121"/>
  <c r="AF56" i="74"/>
  <c r="N153" i="121"/>
  <c r="AF15" i="74"/>
  <c r="AF51" i="74"/>
  <c r="N126" i="121"/>
  <c r="N139" i="121"/>
  <c r="AF42" i="74"/>
  <c r="AF47" i="74"/>
  <c r="N128" i="121"/>
  <c r="N122" i="121"/>
  <c r="CL61" i="74"/>
  <c r="AF48" i="74"/>
  <c r="N138" i="121"/>
  <c r="N145" i="121"/>
  <c r="N133" i="121"/>
  <c r="N110" i="121"/>
  <c r="AF10" i="74"/>
  <c r="AF50" i="74"/>
  <c r="AF27" i="74"/>
  <c r="AF59" i="74"/>
  <c r="AF44" i="74"/>
  <c r="AF38" i="74"/>
  <c r="AF24" i="74"/>
  <c r="AF29" i="74"/>
  <c r="AF61" i="74"/>
  <c r="AF40" i="74"/>
  <c r="N146" i="121"/>
  <c r="N148" i="121"/>
  <c r="N119" i="121"/>
  <c r="N144" i="121"/>
  <c r="N147" i="121"/>
  <c r="N135" i="121"/>
  <c r="N141" i="121"/>
  <c r="N151" i="121"/>
  <c r="N115" i="121"/>
  <c r="N113" i="121"/>
  <c r="AF16" i="74"/>
  <c r="AF36" i="74"/>
  <c r="N124" i="121"/>
  <c r="N114" i="121"/>
  <c r="N109" i="121"/>
  <c r="AF18" i="74"/>
  <c r="AF33" i="74"/>
  <c r="AF26" i="74"/>
  <c r="AF58" i="74"/>
  <c r="AF35" i="74"/>
  <c r="AF54" i="74"/>
  <c r="AF37" i="74"/>
  <c r="N156" i="121"/>
  <c r="N143" i="121"/>
  <c r="N123" i="121"/>
  <c r="N155" i="121"/>
  <c r="N136" i="121"/>
  <c r="N111" i="121"/>
  <c r="N107" i="121"/>
  <c r="AF12" i="74"/>
  <c r="CL60" i="74"/>
  <c r="AF41" i="74"/>
  <c r="AF39" i="74"/>
  <c r="AF28" i="74"/>
  <c r="AF60" i="74"/>
  <c r="AF31" i="74"/>
  <c r="AF45" i="74"/>
  <c r="AF46" i="74"/>
  <c r="N130" i="121"/>
  <c r="N116" i="121"/>
  <c r="N134" i="121"/>
  <c r="N142" i="121"/>
  <c r="N121" i="121"/>
  <c r="N125" i="121"/>
  <c r="N157" i="121"/>
  <c r="N137" i="121"/>
  <c r="N112" i="121"/>
  <c r="AD45" i="74"/>
  <c r="AD59" i="74"/>
  <c r="AD35" i="74"/>
  <c r="AD27" i="74"/>
  <c r="AD18" i="74"/>
  <c r="AD41" i="74"/>
  <c r="AD17" i="74"/>
  <c r="AD40" i="74"/>
  <c r="AD8" i="74"/>
  <c r="AD53" i="74"/>
  <c r="AD29" i="74"/>
  <c r="AD43" i="74"/>
  <c r="AD19" i="74"/>
  <c r="AD58" i="74"/>
  <c r="AD42" i="74"/>
  <c r="AD26" i="74"/>
  <c r="AD57" i="74"/>
  <c r="AD25" i="74"/>
  <c r="AD56" i="74"/>
  <c r="AD32" i="74"/>
  <c r="AD55" i="74"/>
  <c r="AD39" i="74"/>
  <c r="AD31" i="74"/>
  <c r="AD23" i="74"/>
  <c r="AD15" i="74"/>
  <c r="AD37" i="74"/>
  <c r="AD13" i="74"/>
  <c r="AD51" i="74"/>
  <c r="AD50" i="74"/>
  <c r="AD34" i="74"/>
  <c r="AD10" i="74"/>
  <c r="AD49" i="74"/>
  <c r="AD33" i="74"/>
  <c r="AD48" i="74"/>
  <c r="AD24" i="74"/>
  <c r="AD16" i="74"/>
  <c r="AD47" i="74"/>
  <c r="AD54" i="74"/>
  <c r="AD46" i="74"/>
  <c r="AD38" i="74"/>
  <c r="AD30" i="74"/>
  <c r="AD22" i="74"/>
  <c r="AD14" i="74"/>
  <c r="AD21" i="74"/>
  <c r="AD52" i="74"/>
  <c r="AD44" i="74"/>
  <c r="AD36" i="74"/>
  <c r="AD28" i="74"/>
  <c r="AD20" i="74"/>
  <c r="AD12" i="74"/>
  <c r="CL56" i="74" l="1"/>
  <c r="CL45" i="74"/>
  <c r="CL47" i="74"/>
  <c r="CL35" i="74"/>
  <c r="CL18" i="74"/>
  <c r="CL10" i="74"/>
  <c r="CL54" i="74"/>
  <c r="CL43" i="74"/>
  <c r="CL50" i="74"/>
  <c r="CL53" i="74"/>
  <c r="CL17" i="74"/>
  <c r="CL37" i="74"/>
  <c r="CL40" i="74"/>
  <c r="CL52" i="74"/>
  <c r="CL16" i="74"/>
  <c r="CL51" i="74"/>
  <c r="CL42" i="74"/>
  <c r="CL48" i="74"/>
  <c r="CL25" i="74"/>
  <c r="CL46" i="74"/>
  <c r="CL41" i="74"/>
  <c r="CL20" i="74"/>
  <c r="CL23" i="74"/>
  <c r="CL33" i="74"/>
  <c r="CL13" i="74"/>
  <c r="CL22" i="74"/>
  <c r="CL44" i="74"/>
  <c r="CL34" i="74"/>
  <c r="CL26" i="74"/>
  <c r="CL32" i="74"/>
  <c r="CL15" i="74"/>
  <c r="CL59" i="74"/>
  <c r="CL19" i="74"/>
  <c r="CL57" i="74"/>
  <c r="CL28" i="74"/>
  <c r="CL39" i="74"/>
  <c r="CL49" i="74"/>
  <c r="CL21" i="74"/>
  <c r="CL30" i="74"/>
  <c r="CL8" i="74"/>
  <c r="CL58" i="74"/>
  <c r="CL31" i="74"/>
  <c r="CL12" i="74"/>
  <c r="CL14" i="74"/>
  <c r="CL27" i="74"/>
  <c r="CL36" i="74"/>
  <c r="CL55" i="74"/>
  <c r="CL29" i="74"/>
  <c r="CL38" i="74"/>
  <c r="CL24" i="74"/>
  <c r="S13" i="90"/>
  <c r="R13" i="90" s="1"/>
  <c r="T13" i="90"/>
  <c r="U13" i="90"/>
  <c r="V13" i="90"/>
  <c r="W13" i="90"/>
  <c r="X13" i="90"/>
  <c r="AA13" i="90"/>
  <c r="Z13" i="90" s="1"/>
  <c r="AB13" i="90"/>
  <c r="AC13" i="90"/>
  <c r="AD13" i="90"/>
  <c r="AE13" i="90"/>
  <c r="AF13" i="90"/>
  <c r="S14" i="90"/>
  <c r="R14" i="90" s="1"/>
  <c r="T14" i="90"/>
  <c r="U14" i="90"/>
  <c r="V14" i="90"/>
  <c r="W14" i="90"/>
  <c r="X14" i="90"/>
  <c r="AA14" i="90"/>
  <c r="Z14" i="90" s="1"/>
  <c r="AB14" i="90"/>
  <c r="AC14" i="90"/>
  <c r="AD14" i="90"/>
  <c r="AE14" i="90"/>
  <c r="AF14" i="90"/>
  <c r="S15" i="90"/>
  <c r="R15" i="90" s="1"/>
  <c r="T15" i="90"/>
  <c r="U15" i="90"/>
  <c r="V15" i="90"/>
  <c r="W15" i="90"/>
  <c r="X15" i="90"/>
  <c r="AA15" i="90"/>
  <c r="Z15" i="90" s="1"/>
  <c r="AB15" i="90"/>
  <c r="AC15" i="90"/>
  <c r="AD15" i="90"/>
  <c r="AE15" i="90"/>
  <c r="AF15" i="90"/>
  <c r="S16" i="90"/>
  <c r="R16" i="90" s="1"/>
  <c r="T16" i="90"/>
  <c r="U16" i="90"/>
  <c r="V16" i="90"/>
  <c r="W16" i="90"/>
  <c r="X16" i="90"/>
  <c r="AA16" i="90"/>
  <c r="Z16" i="90" s="1"/>
  <c r="AB16" i="90"/>
  <c r="AC16" i="90"/>
  <c r="AD16" i="90"/>
  <c r="AE16" i="90"/>
  <c r="AF16" i="90"/>
  <c r="S17" i="90"/>
  <c r="R17" i="90" s="1"/>
  <c r="T17" i="90"/>
  <c r="U17" i="90"/>
  <c r="V17" i="90"/>
  <c r="W17" i="90"/>
  <c r="X17" i="90"/>
  <c r="AA17" i="90"/>
  <c r="Z17" i="90" s="1"/>
  <c r="AB17" i="90"/>
  <c r="AC17" i="90"/>
  <c r="AD17" i="90"/>
  <c r="AE17" i="90"/>
  <c r="AF17" i="90"/>
  <c r="S18" i="90"/>
  <c r="R18" i="90" s="1"/>
  <c r="T18" i="90"/>
  <c r="U18" i="90"/>
  <c r="V18" i="90"/>
  <c r="W18" i="90"/>
  <c r="X18" i="90"/>
  <c r="AA18" i="90"/>
  <c r="Z18" i="90" s="1"/>
  <c r="AB18" i="90"/>
  <c r="AC18" i="90"/>
  <c r="AD18" i="90"/>
  <c r="AE18" i="90"/>
  <c r="AF18" i="90"/>
  <c r="S19" i="90"/>
  <c r="R19" i="90" s="1"/>
  <c r="T19" i="90"/>
  <c r="U19" i="90"/>
  <c r="V19" i="90"/>
  <c r="W19" i="90"/>
  <c r="X19" i="90"/>
  <c r="AA19" i="90"/>
  <c r="Z19" i="90" s="1"/>
  <c r="AB19" i="90"/>
  <c r="AC19" i="90"/>
  <c r="AD19" i="90"/>
  <c r="AE19" i="90"/>
  <c r="AF19" i="90"/>
  <c r="S20" i="90"/>
  <c r="R20" i="90" s="1"/>
  <c r="T20" i="90"/>
  <c r="U20" i="90"/>
  <c r="V20" i="90"/>
  <c r="W20" i="90"/>
  <c r="X20" i="90"/>
  <c r="AA20" i="90"/>
  <c r="Z20" i="90" s="1"/>
  <c r="AB20" i="90"/>
  <c r="AC20" i="90"/>
  <c r="AD20" i="90"/>
  <c r="AE20" i="90"/>
  <c r="AF20" i="90"/>
  <c r="S21" i="90"/>
  <c r="R21" i="90" s="1"/>
  <c r="T21" i="90"/>
  <c r="U21" i="90"/>
  <c r="V21" i="90"/>
  <c r="W21" i="90"/>
  <c r="X21" i="90"/>
  <c r="AA21" i="90"/>
  <c r="Z21" i="90" s="1"/>
  <c r="AB21" i="90"/>
  <c r="AC21" i="90"/>
  <c r="AD21" i="90"/>
  <c r="AE21" i="90"/>
  <c r="AF21" i="90"/>
  <c r="S22" i="90"/>
  <c r="R22" i="90" s="1"/>
  <c r="T22" i="90"/>
  <c r="U22" i="90"/>
  <c r="V22" i="90"/>
  <c r="W22" i="90"/>
  <c r="X22" i="90"/>
  <c r="AA22" i="90"/>
  <c r="Z22" i="90" s="1"/>
  <c r="AB22" i="90"/>
  <c r="AC22" i="90"/>
  <c r="AD22" i="90"/>
  <c r="AE22" i="90"/>
  <c r="AF22" i="90"/>
  <c r="S23" i="90"/>
  <c r="R23" i="90" s="1"/>
  <c r="T23" i="90"/>
  <c r="U23" i="90"/>
  <c r="V23" i="90"/>
  <c r="W23" i="90"/>
  <c r="X23" i="90"/>
  <c r="AA23" i="90"/>
  <c r="Z23" i="90" s="1"/>
  <c r="AB23" i="90"/>
  <c r="AC23" i="90"/>
  <c r="AD23" i="90"/>
  <c r="AE23" i="90"/>
  <c r="AF23" i="90"/>
  <c r="S24" i="90"/>
  <c r="R24" i="90" s="1"/>
  <c r="T24" i="90"/>
  <c r="U24" i="90"/>
  <c r="V24" i="90"/>
  <c r="W24" i="90"/>
  <c r="X24" i="90"/>
  <c r="AA24" i="90"/>
  <c r="Z24" i="90" s="1"/>
  <c r="AB24" i="90"/>
  <c r="AC24" i="90"/>
  <c r="AD24" i="90"/>
  <c r="AE24" i="90"/>
  <c r="AF24" i="90"/>
  <c r="S25" i="90"/>
  <c r="R25" i="90" s="1"/>
  <c r="T25" i="90"/>
  <c r="U25" i="90"/>
  <c r="V25" i="90"/>
  <c r="W25" i="90"/>
  <c r="X25" i="90"/>
  <c r="AA25" i="90"/>
  <c r="Z25" i="90" s="1"/>
  <c r="AB25" i="90"/>
  <c r="AC25" i="90"/>
  <c r="AD25" i="90"/>
  <c r="AE25" i="90"/>
  <c r="AF25" i="90"/>
  <c r="S26" i="90"/>
  <c r="R26" i="90" s="1"/>
  <c r="T26" i="90"/>
  <c r="U26" i="90"/>
  <c r="V26" i="90"/>
  <c r="W26" i="90"/>
  <c r="X26" i="90"/>
  <c r="AA26" i="90"/>
  <c r="Z26" i="90" s="1"/>
  <c r="AB26" i="90"/>
  <c r="AC26" i="90"/>
  <c r="AD26" i="90"/>
  <c r="AE26" i="90"/>
  <c r="AF26" i="90"/>
  <c r="S27" i="90"/>
  <c r="R27" i="90" s="1"/>
  <c r="T27" i="90"/>
  <c r="U27" i="90"/>
  <c r="V27" i="90"/>
  <c r="W27" i="90"/>
  <c r="X27" i="90"/>
  <c r="AA27" i="90"/>
  <c r="Z27" i="90" s="1"/>
  <c r="AB27" i="90"/>
  <c r="AC27" i="90"/>
  <c r="AD27" i="90"/>
  <c r="AE27" i="90"/>
  <c r="AF27" i="90"/>
  <c r="S28" i="90"/>
  <c r="R28" i="90" s="1"/>
  <c r="T28" i="90"/>
  <c r="U28" i="90"/>
  <c r="V28" i="90"/>
  <c r="W28" i="90"/>
  <c r="X28" i="90"/>
  <c r="AA28" i="90"/>
  <c r="Z28" i="90" s="1"/>
  <c r="AB28" i="90"/>
  <c r="AC28" i="90"/>
  <c r="AD28" i="90"/>
  <c r="AE28" i="90"/>
  <c r="AF28" i="90"/>
  <c r="S29" i="90"/>
  <c r="R29" i="90" s="1"/>
  <c r="T29" i="90"/>
  <c r="U29" i="90"/>
  <c r="V29" i="90"/>
  <c r="W29" i="90"/>
  <c r="X29" i="90"/>
  <c r="AA29" i="90"/>
  <c r="Z29" i="90" s="1"/>
  <c r="AB29" i="90"/>
  <c r="AC29" i="90"/>
  <c r="AD29" i="90"/>
  <c r="AE29" i="90"/>
  <c r="AF29" i="90"/>
  <c r="S30" i="90"/>
  <c r="R30" i="90" s="1"/>
  <c r="T30" i="90"/>
  <c r="U30" i="90"/>
  <c r="V30" i="90"/>
  <c r="W30" i="90"/>
  <c r="X30" i="90"/>
  <c r="AA30" i="90"/>
  <c r="Z30" i="90" s="1"/>
  <c r="AB30" i="90"/>
  <c r="AC30" i="90"/>
  <c r="AD30" i="90"/>
  <c r="AE30" i="90"/>
  <c r="AF30" i="90"/>
  <c r="S31" i="90"/>
  <c r="R31" i="90" s="1"/>
  <c r="T31" i="90"/>
  <c r="U31" i="90"/>
  <c r="V31" i="90"/>
  <c r="W31" i="90"/>
  <c r="X31" i="90"/>
  <c r="AA31" i="90"/>
  <c r="Z31" i="90" s="1"/>
  <c r="AB31" i="90"/>
  <c r="AC31" i="90"/>
  <c r="AD31" i="90"/>
  <c r="AE31" i="90"/>
  <c r="AF31" i="90"/>
  <c r="S32" i="90"/>
  <c r="R32" i="90" s="1"/>
  <c r="T32" i="90"/>
  <c r="U32" i="90"/>
  <c r="V32" i="90"/>
  <c r="W32" i="90"/>
  <c r="X32" i="90"/>
  <c r="AA32" i="90"/>
  <c r="Z32" i="90" s="1"/>
  <c r="AB32" i="90"/>
  <c r="AC32" i="90"/>
  <c r="AD32" i="90"/>
  <c r="AE32" i="90"/>
  <c r="AF32" i="90"/>
  <c r="S33" i="90"/>
  <c r="R33" i="90" s="1"/>
  <c r="T33" i="90"/>
  <c r="U33" i="90"/>
  <c r="V33" i="90"/>
  <c r="W33" i="90"/>
  <c r="X33" i="90"/>
  <c r="AA33" i="90"/>
  <c r="Z33" i="90" s="1"/>
  <c r="AB33" i="90"/>
  <c r="AC33" i="90"/>
  <c r="AD33" i="90"/>
  <c r="AE33" i="90"/>
  <c r="AF33" i="90"/>
  <c r="S34" i="90"/>
  <c r="R34" i="90" s="1"/>
  <c r="T34" i="90"/>
  <c r="U34" i="90"/>
  <c r="V34" i="90"/>
  <c r="W34" i="90"/>
  <c r="X34" i="90"/>
  <c r="AA34" i="90"/>
  <c r="Z34" i="90" s="1"/>
  <c r="AB34" i="90"/>
  <c r="AC34" i="90"/>
  <c r="AD34" i="90"/>
  <c r="AE34" i="90"/>
  <c r="AF34" i="90"/>
  <c r="S35" i="90"/>
  <c r="R35" i="90" s="1"/>
  <c r="T35" i="90"/>
  <c r="U35" i="90"/>
  <c r="V35" i="90"/>
  <c r="W35" i="90"/>
  <c r="X35" i="90"/>
  <c r="AA35" i="90"/>
  <c r="Z35" i="90" s="1"/>
  <c r="AB35" i="90"/>
  <c r="AC35" i="90"/>
  <c r="AD35" i="90"/>
  <c r="AE35" i="90"/>
  <c r="AF35" i="90"/>
  <c r="S36" i="90"/>
  <c r="R36" i="90" s="1"/>
  <c r="T36" i="90"/>
  <c r="U36" i="90"/>
  <c r="V36" i="90"/>
  <c r="W36" i="90"/>
  <c r="X36" i="90"/>
  <c r="AA36" i="90"/>
  <c r="Z36" i="90" s="1"/>
  <c r="AB36" i="90"/>
  <c r="AC36" i="90"/>
  <c r="AD36" i="90"/>
  <c r="AE36" i="90"/>
  <c r="AF36" i="90"/>
  <c r="S37" i="90"/>
  <c r="R37" i="90" s="1"/>
  <c r="T37" i="90"/>
  <c r="U37" i="90"/>
  <c r="V37" i="90"/>
  <c r="W37" i="90"/>
  <c r="X37" i="90"/>
  <c r="AA37" i="90"/>
  <c r="Z37" i="90" s="1"/>
  <c r="AB37" i="90"/>
  <c r="AC37" i="90"/>
  <c r="AD37" i="90"/>
  <c r="AE37" i="90"/>
  <c r="AF37" i="90"/>
  <c r="S38" i="90"/>
  <c r="R38" i="90" s="1"/>
  <c r="T38" i="90"/>
  <c r="U38" i="90"/>
  <c r="V38" i="90"/>
  <c r="W38" i="90"/>
  <c r="X38" i="90"/>
  <c r="AA38" i="90"/>
  <c r="Z38" i="90" s="1"/>
  <c r="AB38" i="90"/>
  <c r="AC38" i="90"/>
  <c r="AD38" i="90"/>
  <c r="AE38" i="90"/>
  <c r="AF38" i="90"/>
  <c r="S39" i="90"/>
  <c r="R39" i="90" s="1"/>
  <c r="T39" i="90"/>
  <c r="U39" i="90"/>
  <c r="V39" i="90"/>
  <c r="W39" i="90"/>
  <c r="X39" i="90"/>
  <c r="AA39" i="90"/>
  <c r="Z39" i="90" s="1"/>
  <c r="AB39" i="90"/>
  <c r="AC39" i="90"/>
  <c r="AD39" i="90"/>
  <c r="AE39" i="90"/>
  <c r="AF39" i="90"/>
  <c r="S40" i="90"/>
  <c r="R40" i="90" s="1"/>
  <c r="T40" i="90"/>
  <c r="U40" i="90"/>
  <c r="V40" i="90"/>
  <c r="W40" i="90"/>
  <c r="X40" i="90"/>
  <c r="AA40" i="90"/>
  <c r="Z40" i="90" s="1"/>
  <c r="AB40" i="90"/>
  <c r="AC40" i="90"/>
  <c r="AD40" i="90"/>
  <c r="AE40" i="90"/>
  <c r="AF40" i="90"/>
  <c r="S41" i="90"/>
  <c r="R41" i="90" s="1"/>
  <c r="T41" i="90"/>
  <c r="U41" i="90"/>
  <c r="V41" i="90"/>
  <c r="W41" i="90"/>
  <c r="X41" i="90"/>
  <c r="AA41" i="90"/>
  <c r="Z41" i="90" s="1"/>
  <c r="AB41" i="90"/>
  <c r="AC41" i="90"/>
  <c r="AD41" i="90"/>
  <c r="AE41" i="90"/>
  <c r="AF41" i="90"/>
  <c r="S42" i="90"/>
  <c r="R42" i="90" s="1"/>
  <c r="T42" i="90"/>
  <c r="U42" i="90"/>
  <c r="V42" i="90"/>
  <c r="W42" i="90"/>
  <c r="X42" i="90"/>
  <c r="AA42" i="90"/>
  <c r="Z42" i="90" s="1"/>
  <c r="AB42" i="90"/>
  <c r="AC42" i="90"/>
  <c r="AD42" i="90"/>
  <c r="AE42" i="90"/>
  <c r="AF42" i="90"/>
  <c r="S43" i="90"/>
  <c r="R43" i="90" s="1"/>
  <c r="T43" i="90"/>
  <c r="U43" i="90"/>
  <c r="V43" i="90"/>
  <c r="W43" i="90"/>
  <c r="X43" i="90"/>
  <c r="AA43" i="90"/>
  <c r="Z43" i="90" s="1"/>
  <c r="AB43" i="90"/>
  <c r="AC43" i="90"/>
  <c r="AD43" i="90"/>
  <c r="AE43" i="90"/>
  <c r="AF43" i="90"/>
  <c r="S44" i="90"/>
  <c r="R44" i="90" s="1"/>
  <c r="T44" i="90"/>
  <c r="U44" i="90"/>
  <c r="V44" i="90"/>
  <c r="W44" i="90"/>
  <c r="X44" i="90"/>
  <c r="AA44" i="90"/>
  <c r="Z44" i="90" s="1"/>
  <c r="AB44" i="90"/>
  <c r="AC44" i="90"/>
  <c r="AD44" i="90"/>
  <c r="AE44" i="90"/>
  <c r="AF44" i="90"/>
  <c r="S45" i="90"/>
  <c r="R45" i="90" s="1"/>
  <c r="T45" i="90"/>
  <c r="U45" i="90"/>
  <c r="V45" i="90"/>
  <c r="W45" i="90"/>
  <c r="X45" i="90"/>
  <c r="AA45" i="90"/>
  <c r="Z45" i="90" s="1"/>
  <c r="AB45" i="90"/>
  <c r="AC45" i="90"/>
  <c r="AD45" i="90"/>
  <c r="AE45" i="90"/>
  <c r="AF45" i="90"/>
  <c r="S46" i="90"/>
  <c r="R46" i="90" s="1"/>
  <c r="T46" i="90"/>
  <c r="U46" i="90"/>
  <c r="V46" i="90"/>
  <c r="W46" i="90"/>
  <c r="X46" i="90"/>
  <c r="AA46" i="90"/>
  <c r="Z46" i="90" s="1"/>
  <c r="AB46" i="90"/>
  <c r="AC46" i="90"/>
  <c r="AD46" i="90"/>
  <c r="AE46" i="90"/>
  <c r="AF46" i="90"/>
  <c r="S47" i="90"/>
  <c r="R47" i="90" s="1"/>
  <c r="T47" i="90"/>
  <c r="U47" i="90"/>
  <c r="V47" i="90"/>
  <c r="W47" i="90"/>
  <c r="X47" i="90"/>
  <c r="AA47" i="90"/>
  <c r="Z47" i="90" s="1"/>
  <c r="AB47" i="90"/>
  <c r="AC47" i="90"/>
  <c r="AD47" i="90"/>
  <c r="AE47" i="90"/>
  <c r="AF47" i="90"/>
  <c r="S48" i="90"/>
  <c r="R48" i="90" s="1"/>
  <c r="T48" i="90"/>
  <c r="U48" i="90"/>
  <c r="V48" i="90"/>
  <c r="W48" i="90"/>
  <c r="X48" i="90"/>
  <c r="AA48" i="90"/>
  <c r="Z48" i="90" s="1"/>
  <c r="AB48" i="90"/>
  <c r="AC48" i="90"/>
  <c r="AD48" i="90"/>
  <c r="AE48" i="90"/>
  <c r="AF48" i="90"/>
  <c r="S49" i="90"/>
  <c r="R49" i="90" s="1"/>
  <c r="T49" i="90"/>
  <c r="U49" i="90"/>
  <c r="V49" i="90"/>
  <c r="W49" i="90"/>
  <c r="X49" i="90"/>
  <c r="AA49" i="90"/>
  <c r="Z49" i="90" s="1"/>
  <c r="AB49" i="90"/>
  <c r="AC49" i="90"/>
  <c r="AD49" i="90"/>
  <c r="AE49" i="90"/>
  <c r="AF49" i="90"/>
  <c r="S50" i="90"/>
  <c r="R50" i="90" s="1"/>
  <c r="T50" i="90"/>
  <c r="U50" i="90"/>
  <c r="V50" i="90"/>
  <c r="W50" i="90"/>
  <c r="X50" i="90"/>
  <c r="AA50" i="90"/>
  <c r="Z50" i="90" s="1"/>
  <c r="AB50" i="90"/>
  <c r="AC50" i="90"/>
  <c r="AD50" i="90"/>
  <c r="AE50" i="90"/>
  <c r="AF50" i="90"/>
  <c r="S51" i="90"/>
  <c r="T51" i="90"/>
  <c r="U51" i="90"/>
  <c r="V51" i="90"/>
  <c r="W51" i="90"/>
  <c r="X51" i="90"/>
  <c r="AA51" i="90"/>
  <c r="Z51" i="90" s="1"/>
  <c r="AB51" i="90"/>
  <c r="AC51" i="90"/>
  <c r="AD51" i="90"/>
  <c r="AE51" i="90"/>
  <c r="AF51" i="90"/>
  <c r="S52" i="90"/>
  <c r="R52" i="90" s="1"/>
  <c r="T52" i="90"/>
  <c r="U52" i="90"/>
  <c r="V52" i="90"/>
  <c r="W52" i="90"/>
  <c r="X52" i="90"/>
  <c r="AA52" i="90"/>
  <c r="Z52" i="90" s="1"/>
  <c r="AB52" i="90"/>
  <c r="AC52" i="90"/>
  <c r="AD52" i="90"/>
  <c r="AE52" i="90"/>
  <c r="AF52" i="90"/>
  <c r="S53" i="90"/>
  <c r="R53" i="90" s="1"/>
  <c r="T53" i="90"/>
  <c r="U53" i="90"/>
  <c r="V53" i="90"/>
  <c r="W53" i="90"/>
  <c r="X53" i="90"/>
  <c r="AA53" i="90"/>
  <c r="Z53" i="90" s="1"/>
  <c r="AB53" i="90"/>
  <c r="AC53" i="90"/>
  <c r="AD53" i="90"/>
  <c r="AE53" i="90"/>
  <c r="AF53" i="90"/>
  <c r="S54" i="90"/>
  <c r="R54" i="90" s="1"/>
  <c r="T54" i="90"/>
  <c r="U54" i="90"/>
  <c r="V54" i="90"/>
  <c r="W54" i="90"/>
  <c r="X54" i="90"/>
  <c r="AA54" i="90"/>
  <c r="Z54" i="90" s="1"/>
  <c r="AB54" i="90"/>
  <c r="AC54" i="90"/>
  <c r="AD54" i="90"/>
  <c r="AE54" i="90"/>
  <c r="AF54" i="90"/>
  <c r="S55" i="90"/>
  <c r="R55" i="90" s="1"/>
  <c r="T55" i="90"/>
  <c r="U55" i="90"/>
  <c r="V55" i="90"/>
  <c r="W55" i="90"/>
  <c r="X55" i="90"/>
  <c r="AA55" i="90"/>
  <c r="Z55" i="90" s="1"/>
  <c r="AB55" i="90"/>
  <c r="AC55" i="90"/>
  <c r="AD55" i="90"/>
  <c r="AE55" i="90"/>
  <c r="AF55" i="90"/>
  <c r="S56" i="90"/>
  <c r="R56" i="90" s="1"/>
  <c r="T56" i="90"/>
  <c r="U56" i="90"/>
  <c r="V56" i="90"/>
  <c r="W56" i="90"/>
  <c r="X56" i="90"/>
  <c r="AA56" i="90"/>
  <c r="Z56" i="90" s="1"/>
  <c r="AB56" i="90"/>
  <c r="AC56" i="90"/>
  <c r="AD56" i="90"/>
  <c r="AE56" i="90"/>
  <c r="AF56" i="90"/>
  <c r="S57" i="90"/>
  <c r="R57" i="90" s="1"/>
  <c r="T57" i="90"/>
  <c r="U57" i="90"/>
  <c r="V57" i="90"/>
  <c r="W57" i="90"/>
  <c r="X57" i="90"/>
  <c r="AA57" i="90"/>
  <c r="Z57" i="90" s="1"/>
  <c r="AB57" i="90"/>
  <c r="AC57" i="90"/>
  <c r="AD57" i="90"/>
  <c r="AE57" i="90"/>
  <c r="AF57" i="90"/>
  <c r="S58" i="90"/>
  <c r="T58" i="90"/>
  <c r="U58" i="90"/>
  <c r="V58" i="90"/>
  <c r="W58" i="90"/>
  <c r="X58" i="90"/>
  <c r="AA58" i="90"/>
  <c r="Z58" i="90" s="1"/>
  <c r="AB58" i="90"/>
  <c r="AC58" i="90"/>
  <c r="AD58" i="90"/>
  <c r="AE58" i="90"/>
  <c r="AF58" i="90"/>
  <c r="S59" i="90"/>
  <c r="R59" i="90" s="1"/>
  <c r="T59" i="90"/>
  <c r="U59" i="90"/>
  <c r="V59" i="90"/>
  <c r="W59" i="90"/>
  <c r="X59" i="90"/>
  <c r="AA59" i="90"/>
  <c r="Z59" i="90" s="1"/>
  <c r="AB59" i="90"/>
  <c r="AC59" i="90"/>
  <c r="AD59" i="90"/>
  <c r="AE59" i="90"/>
  <c r="AF59" i="90"/>
  <c r="AF12" i="90"/>
  <c r="AE12" i="90"/>
  <c r="AD12" i="90"/>
  <c r="AC12" i="90"/>
  <c r="AB12" i="90"/>
  <c r="AA12" i="90"/>
  <c r="Z12" i="90" s="1"/>
  <c r="X12" i="90"/>
  <c r="W12" i="90"/>
  <c r="V12" i="90"/>
  <c r="U12" i="90"/>
  <c r="T12" i="90"/>
  <c r="S12" i="90"/>
  <c r="R12" i="90" s="1"/>
  <c r="X10" i="90"/>
  <c r="W10" i="90"/>
  <c r="V10" i="90"/>
  <c r="U10" i="90"/>
  <c r="T10" i="90"/>
  <c r="S10" i="90"/>
  <c r="R10" i="90" s="1"/>
  <c r="X8" i="90"/>
  <c r="W8" i="90"/>
  <c r="V8" i="90"/>
  <c r="U8" i="90"/>
  <c r="T8" i="90"/>
  <c r="S8" i="90"/>
  <c r="R8" i="90" s="1"/>
  <c r="T6" i="90"/>
  <c r="U6" i="90"/>
  <c r="V6" i="90"/>
  <c r="W6" i="90"/>
  <c r="X6" i="90"/>
  <c r="S6" i="90"/>
  <c r="R6" i="90" s="1"/>
  <c r="AB8" i="90"/>
  <c r="AC8" i="90"/>
  <c r="AD8" i="90"/>
  <c r="AE8" i="90"/>
  <c r="AF8" i="90"/>
  <c r="AA8" i="90"/>
  <c r="Z8" i="90" s="1"/>
  <c r="X56" i="72"/>
  <c r="F48" i="72"/>
  <c r="AC7" i="73"/>
  <c r="AE7" i="73" s="1"/>
  <c r="AI7" i="73" s="1"/>
  <c r="AC8" i="73"/>
  <c r="AE8" i="73" s="1"/>
  <c r="AC9" i="73"/>
  <c r="AE9" i="73" s="1"/>
  <c r="AI9" i="73" s="1"/>
  <c r="AC10" i="73"/>
  <c r="AE10" i="73" s="1"/>
  <c r="AC11" i="73"/>
  <c r="AE11" i="73" s="1"/>
  <c r="AI11" i="73" s="1"/>
  <c r="AC12" i="73"/>
  <c r="AE12" i="73" s="1"/>
  <c r="AC13" i="73"/>
  <c r="AE13" i="73" s="1"/>
  <c r="AC14" i="73"/>
  <c r="AE14" i="73" s="1"/>
  <c r="AC15" i="73"/>
  <c r="AE15" i="73" s="1"/>
  <c r="AC16" i="73"/>
  <c r="AE16" i="73" s="1"/>
  <c r="AC17" i="73"/>
  <c r="AE17" i="73" s="1"/>
  <c r="AC18" i="73"/>
  <c r="AE18" i="73" s="1"/>
  <c r="AC19" i="73"/>
  <c r="AE19" i="73" s="1"/>
  <c r="AC20" i="73"/>
  <c r="AE20" i="73" s="1"/>
  <c r="AC21" i="73"/>
  <c r="AE21" i="73" s="1"/>
  <c r="AC22" i="73"/>
  <c r="AE22" i="73" s="1"/>
  <c r="AC23" i="73"/>
  <c r="AE23" i="73" s="1"/>
  <c r="AC24" i="73"/>
  <c r="AE24" i="73" s="1"/>
  <c r="AC25" i="73"/>
  <c r="AE25" i="73" s="1"/>
  <c r="AC26" i="73"/>
  <c r="AE26" i="73" s="1"/>
  <c r="AC27" i="73"/>
  <c r="AE27" i="73" s="1"/>
  <c r="AC28" i="73"/>
  <c r="AE28" i="73" s="1"/>
  <c r="AC29" i="73"/>
  <c r="AE29" i="73" s="1"/>
  <c r="AC30" i="73"/>
  <c r="AE30" i="73" s="1"/>
  <c r="AC31" i="73"/>
  <c r="AE31" i="73" s="1"/>
  <c r="AC32" i="73"/>
  <c r="AE32" i="73" s="1"/>
  <c r="AC33" i="73"/>
  <c r="AE33" i="73" s="1"/>
  <c r="AC34" i="73"/>
  <c r="AE34" i="73" s="1"/>
  <c r="AC35" i="73"/>
  <c r="AE35" i="73" s="1"/>
  <c r="AC36" i="73"/>
  <c r="AE36" i="73" s="1"/>
  <c r="AC37" i="73"/>
  <c r="AE37" i="73" s="1"/>
  <c r="AC38" i="73"/>
  <c r="AE38" i="73" s="1"/>
  <c r="AI38" i="73" s="1"/>
  <c r="AC39" i="73"/>
  <c r="AE39" i="73" s="1"/>
  <c r="AI39" i="73" s="1"/>
  <c r="AC40" i="73"/>
  <c r="AE40" i="73" s="1"/>
  <c r="AI40" i="73" s="1"/>
  <c r="AC41" i="73"/>
  <c r="AE41" i="73" s="1"/>
  <c r="AI41" i="73" s="1"/>
  <c r="AC42" i="73"/>
  <c r="AE42" i="73" s="1"/>
  <c r="AI42" i="73" s="1"/>
  <c r="AC43" i="73"/>
  <c r="AE43" i="73" s="1"/>
  <c r="AI43" i="73" s="1"/>
  <c r="AC44" i="73"/>
  <c r="AE44" i="73" s="1"/>
  <c r="AI44" i="73" s="1"/>
  <c r="AC45" i="73"/>
  <c r="AE45" i="73" s="1"/>
  <c r="AI45" i="73" s="1"/>
  <c r="AC46" i="73"/>
  <c r="AC47" i="73"/>
  <c r="AC48" i="73"/>
  <c r="AC49" i="73"/>
  <c r="AC50" i="73"/>
  <c r="AC51" i="73"/>
  <c r="AC52" i="73"/>
  <c r="AC53" i="73"/>
  <c r="AE53" i="73" s="1"/>
  <c r="AI53" i="73" s="1"/>
  <c r="AC54" i="73"/>
  <c r="AC55" i="73"/>
  <c r="AC56" i="73"/>
  <c r="AC57" i="73"/>
  <c r="AE57" i="73" s="1"/>
  <c r="AI57" i="73" s="1"/>
  <c r="AC58" i="73"/>
  <c r="AE58" i="73" s="1"/>
  <c r="AI58" i="73" s="1"/>
  <c r="AC59" i="73"/>
  <c r="AE59" i="73" s="1"/>
  <c r="AI59" i="73" s="1"/>
  <c r="AI24" i="73" l="1"/>
  <c r="AI23" i="73"/>
  <c r="AI30" i="73"/>
  <c r="AI22" i="73"/>
  <c r="AI14" i="73"/>
  <c r="AI37" i="73"/>
  <c r="AI29" i="73"/>
  <c r="AI21" i="73"/>
  <c r="AI13" i="73"/>
  <c r="AI16" i="73"/>
  <c r="AI28" i="73"/>
  <c r="AI19" i="73"/>
  <c r="AI34" i="73"/>
  <c r="AI26" i="73"/>
  <c r="AI18" i="73"/>
  <c r="AI10" i="73"/>
  <c r="AI32" i="73"/>
  <c r="AI8" i="73"/>
  <c r="AI31" i="73"/>
  <c r="AI15" i="73"/>
  <c r="AI36" i="73"/>
  <c r="AI20" i="73"/>
  <c r="AI12" i="73"/>
  <c r="AI35" i="73"/>
  <c r="AI27" i="73"/>
  <c r="AI33" i="73"/>
  <c r="AI25" i="73"/>
  <c r="AI17" i="73"/>
  <c r="AE49" i="73"/>
  <c r="AI49" i="73" s="1"/>
  <c r="J10" i="24"/>
  <c r="AE56" i="73"/>
  <c r="AI56" i="73" s="1"/>
  <c r="J17" i="24"/>
  <c r="AE48" i="73"/>
  <c r="AI48" i="73" s="1"/>
  <c r="J9" i="24"/>
  <c r="AE55" i="73"/>
  <c r="AI55" i="73" s="1"/>
  <c r="J16" i="24"/>
  <c r="K16" i="24" s="1"/>
  <c r="AE54" i="73"/>
  <c r="AI54" i="73" s="1"/>
  <c r="J15" i="24"/>
  <c r="AE46" i="73"/>
  <c r="AI46" i="73" s="1"/>
  <c r="J7" i="24"/>
  <c r="AE50" i="73"/>
  <c r="AI50" i="73" s="1"/>
  <c r="J11" i="24"/>
  <c r="AE47" i="73"/>
  <c r="AI47" i="73" s="1"/>
  <c r="J8" i="24"/>
  <c r="AE52" i="73"/>
  <c r="AI52" i="73" s="1"/>
  <c r="J13" i="24"/>
  <c r="AE51" i="73"/>
  <c r="AI51" i="73" s="1"/>
  <c r="J12" i="24"/>
  <c r="AF6" i="73"/>
  <c r="D103" i="121" s="1"/>
  <c r="R51" i="90"/>
  <c r="R58" i="90"/>
  <c r="AF58" i="72"/>
  <c r="N34" i="72"/>
  <c r="AV38" i="72"/>
  <c r="AF41" i="72"/>
  <c r="AE48" i="72"/>
  <c r="AP51" i="72"/>
  <c r="AG59" i="72"/>
  <c r="U12" i="72"/>
  <c r="C13" i="72"/>
  <c r="AM10" i="72"/>
  <c r="AQ10" i="72"/>
  <c r="E12" i="72"/>
  <c r="Y12" i="72"/>
  <c r="G13" i="72"/>
  <c r="AM15" i="72"/>
  <c r="AQ15" i="72"/>
  <c r="U16" i="72"/>
  <c r="Y16" i="72"/>
  <c r="C17" i="72"/>
  <c r="G17" i="72"/>
  <c r="AM19" i="72"/>
  <c r="AQ19" i="72"/>
  <c r="U20" i="72"/>
  <c r="U32" i="72"/>
  <c r="AP38" i="72"/>
  <c r="AQ39" i="72"/>
  <c r="U48" i="72"/>
  <c r="AD55" i="72"/>
  <c r="AM58" i="72"/>
  <c r="Y59" i="72"/>
  <c r="AN12" i="72"/>
  <c r="D20" i="72"/>
  <c r="H36" i="72"/>
  <c r="V45" i="72"/>
  <c r="AH24" i="72"/>
  <c r="AE41" i="72"/>
  <c r="V13" i="72"/>
  <c r="V17" i="72"/>
  <c r="D18" i="72"/>
  <c r="H46" i="72"/>
  <c r="X58" i="72"/>
  <c r="C8" i="72"/>
  <c r="G8" i="72"/>
  <c r="AM12" i="72"/>
  <c r="AQ12" i="72"/>
  <c r="U13" i="72"/>
  <c r="Y13" i="72"/>
  <c r="C14" i="72"/>
  <c r="G14" i="72"/>
  <c r="C22" i="72"/>
  <c r="AQ24" i="72"/>
  <c r="U45" i="72"/>
  <c r="L53" i="72"/>
  <c r="AZ55" i="72"/>
  <c r="W59" i="72"/>
  <c r="D8" i="72"/>
  <c r="D14" i="72"/>
  <c r="AN16" i="72"/>
  <c r="AN20" i="72"/>
  <c r="AW51" i="72"/>
  <c r="AE56" i="72"/>
  <c r="AD13" i="72"/>
  <c r="V8" i="72"/>
  <c r="M54" i="72"/>
  <c r="AW23" i="72"/>
  <c r="AZ32" i="72"/>
  <c r="F53" i="72"/>
  <c r="AO54" i="72"/>
  <c r="AY58" i="72"/>
  <c r="AQ38" i="72"/>
  <c r="AX52" i="72"/>
  <c r="X41" i="72"/>
  <c r="AX51" i="72"/>
  <c r="AV56" i="72"/>
  <c r="AO17" i="72"/>
  <c r="E28" i="72"/>
  <c r="E32" i="72"/>
  <c r="E36" i="72"/>
  <c r="W39" i="72"/>
  <c r="AO42" i="72"/>
  <c r="W43" i="72"/>
  <c r="M37" i="72"/>
  <c r="AW39" i="72"/>
  <c r="AE40" i="72"/>
  <c r="M41" i="72"/>
  <c r="AW43" i="72"/>
  <c r="AE44" i="72"/>
  <c r="M45" i="72"/>
  <c r="AE46" i="72"/>
  <c r="AW47" i="72"/>
  <c r="D49" i="72"/>
  <c r="H51" i="72"/>
  <c r="AN51" i="72"/>
  <c r="V52" i="72"/>
  <c r="D53" i="72"/>
  <c r="D55" i="72"/>
  <c r="AN55" i="72"/>
  <c r="V56" i="72"/>
  <c r="AW58" i="72"/>
  <c r="AE59" i="72"/>
  <c r="AP8" i="72"/>
  <c r="AO26" i="72"/>
  <c r="W27" i="72"/>
  <c r="W31" i="72"/>
  <c r="AO34" i="72"/>
  <c r="E40" i="72"/>
  <c r="E44" i="72"/>
  <c r="AO46" i="72"/>
  <c r="W47" i="72"/>
  <c r="AF50" i="72"/>
  <c r="N51" i="72"/>
  <c r="AX53" i="72"/>
  <c r="AH55" i="72"/>
  <c r="AQ58" i="72"/>
  <c r="W58" i="72"/>
  <c r="N32" i="72"/>
  <c r="AX34" i="72"/>
  <c r="AF35" i="72"/>
  <c r="N36" i="72"/>
  <c r="AG40" i="72"/>
  <c r="AY43" i="72"/>
  <c r="AP55" i="72"/>
  <c r="AO30" i="72"/>
  <c r="W35" i="72"/>
  <c r="AO38" i="72"/>
  <c r="E48" i="72"/>
  <c r="AX49" i="72"/>
  <c r="AV54" i="72"/>
  <c r="AF54" i="72"/>
  <c r="N55" i="72"/>
  <c r="L56" i="72"/>
  <c r="AO57" i="72"/>
  <c r="V10" i="72"/>
  <c r="AN26" i="72"/>
  <c r="V27" i="72"/>
  <c r="D28" i="72"/>
  <c r="AN30" i="72"/>
  <c r="V31" i="72"/>
  <c r="D32" i="72"/>
  <c r="AN34" i="72"/>
  <c r="V35" i="72"/>
  <c r="D36" i="72"/>
  <c r="H59" i="72"/>
  <c r="P37" i="72"/>
  <c r="AZ39" i="72"/>
  <c r="AD40" i="72"/>
  <c r="AV43" i="72"/>
  <c r="P45" i="72"/>
  <c r="AD48" i="72"/>
  <c r="G49" i="72"/>
  <c r="AM51" i="72"/>
  <c r="AQ51" i="72"/>
  <c r="E52" i="72"/>
  <c r="U52" i="72"/>
  <c r="Y52" i="72"/>
  <c r="C53" i="72"/>
  <c r="G53" i="72"/>
  <c r="AM55" i="72"/>
  <c r="AQ55" i="72"/>
  <c r="E56" i="72"/>
  <c r="U56" i="72"/>
  <c r="Y56" i="72"/>
  <c r="AX57" i="72"/>
  <c r="AV58" i="72"/>
  <c r="AZ58" i="72"/>
  <c r="N59" i="72"/>
  <c r="AD59" i="72"/>
  <c r="AH59" i="72"/>
  <c r="AD8" i="72"/>
  <c r="AW8" i="72"/>
  <c r="AH8" i="72"/>
  <c r="L10" i="72"/>
  <c r="AE10" i="72"/>
  <c r="P10" i="72"/>
  <c r="M12" i="72"/>
  <c r="AH41" i="72"/>
  <c r="AX47" i="72"/>
  <c r="AF48" i="72"/>
  <c r="E49" i="72"/>
  <c r="AO51" i="72"/>
  <c r="AM52" i="72"/>
  <c r="W52" i="72"/>
  <c r="Y53" i="72"/>
  <c r="E53" i="72"/>
  <c r="AO55" i="72"/>
  <c r="W56" i="72"/>
  <c r="E8" i="72"/>
  <c r="AO12" i="72"/>
  <c r="W13" i="72"/>
  <c r="E14" i="72"/>
  <c r="AO16" i="72"/>
  <c r="AQ17" i="72"/>
  <c r="W17" i="72"/>
  <c r="E18" i="72"/>
  <c r="AO20" i="72"/>
  <c r="W21" i="72"/>
  <c r="AM22" i="72"/>
  <c r="E22" i="72"/>
  <c r="AQ22" i="72"/>
  <c r="U23" i="72"/>
  <c r="Y23" i="72"/>
  <c r="C24" i="72"/>
  <c r="G24" i="72"/>
  <c r="AM26" i="72"/>
  <c r="AQ26" i="72"/>
  <c r="U27" i="72"/>
  <c r="Y27" i="72"/>
  <c r="C28" i="72"/>
  <c r="G28" i="72"/>
  <c r="AM30" i="72"/>
  <c r="AQ30" i="72"/>
  <c r="U31" i="72"/>
  <c r="Y31" i="72"/>
  <c r="C32" i="72"/>
  <c r="G32" i="72"/>
  <c r="AQ34" i="72"/>
  <c r="U35" i="72"/>
  <c r="C36" i="72"/>
  <c r="G39" i="72"/>
  <c r="U39" i="72"/>
  <c r="Y39" i="72"/>
  <c r="C40" i="72"/>
  <c r="AO40" i="72"/>
  <c r="G40" i="72"/>
  <c r="W41" i="72"/>
  <c r="AM42" i="72"/>
  <c r="E42" i="72"/>
  <c r="U43" i="72"/>
  <c r="F43" i="72"/>
  <c r="C44" i="72"/>
  <c r="AO44" i="72"/>
  <c r="W45" i="72"/>
  <c r="W46" i="72"/>
  <c r="AM46" i="72"/>
  <c r="E46" i="72"/>
  <c r="U47" i="72"/>
  <c r="C48" i="72"/>
  <c r="AO48" i="72"/>
  <c r="AV49" i="72"/>
  <c r="N49" i="72"/>
  <c r="P50" i="72"/>
  <c r="L51" i="72"/>
  <c r="AF52" i="72"/>
  <c r="AV53" i="72"/>
  <c r="N53" i="72"/>
  <c r="N54" i="72"/>
  <c r="AD54" i="72"/>
  <c r="L55" i="72"/>
  <c r="AX55" i="72"/>
  <c r="AX56" i="72"/>
  <c r="AF56" i="72"/>
  <c r="AM57" i="72"/>
  <c r="E57" i="72"/>
  <c r="G58" i="72"/>
  <c r="U58" i="72"/>
  <c r="AO59" i="72"/>
  <c r="O8" i="72"/>
  <c r="AX10" i="72"/>
  <c r="AV12" i="72"/>
  <c r="AF12" i="72"/>
  <c r="N13" i="72"/>
  <c r="AM8" i="72"/>
  <c r="AQ8" i="72"/>
  <c r="U10" i="72"/>
  <c r="AN10" i="72"/>
  <c r="F10" i="72"/>
  <c r="Y10" i="72"/>
  <c r="C12" i="72"/>
  <c r="V12" i="72"/>
  <c r="G12" i="72"/>
  <c r="D13" i="72"/>
  <c r="AM14" i="72"/>
  <c r="AQ14" i="72"/>
  <c r="U15" i="72"/>
  <c r="AN15" i="72"/>
  <c r="Y15" i="72"/>
  <c r="C16" i="72"/>
  <c r="V16" i="72"/>
  <c r="G16" i="72"/>
  <c r="D17" i="72"/>
  <c r="AM18" i="72"/>
  <c r="AQ18" i="72"/>
  <c r="U19" i="72"/>
  <c r="AN19" i="72"/>
  <c r="Y19" i="72"/>
  <c r="C20" i="72"/>
  <c r="V20" i="72"/>
  <c r="G20" i="72"/>
  <c r="D21" i="72"/>
  <c r="AV8" i="72"/>
  <c r="AG8" i="72"/>
  <c r="AZ8" i="72"/>
  <c r="AD10" i="72"/>
  <c r="AW10" i="72"/>
  <c r="O10" i="72"/>
  <c r="AH10" i="72"/>
  <c r="L12" i="72"/>
  <c r="AE12" i="72"/>
  <c r="P12" i="72"/>
  <c r="AX13" i="72"/>
  <c r="M13" i="72"/>
  <c r="AF13" i="72"/>
  <c r="AV14" i="72"/>
  <c r="N14" i="72"/>
  <c r="AZ14" i="72"/>
  <c r="AD15" i="72"/>
  <c r="AW15" i="72"/>
  <c r="AH15" i="72"/>
  <c r="AE16" i="72"/>
  <c r="P16" i="72"/>
  <c r="M17" i="72"/>
  <c r="AV18" i="72"/>
  <c r="AZ18" i="72"/>
  <c r="AD19" i="72"/>
  <c r="AW19" i="72"/>
  <c r="AH19" i="72"/>
  <c r="L20" i="72"/>
  <c r="AE20" i="72"/>
  <c r="P20" i="72"/>
  <c r="M8" i="72"/>
  <c r="AV10" i="72"/>
  <c r="AZ10" i="72"/>
  <c r="AD12" i="72"/>
  <c r="AH12" i="72"/>
  <c r="L13" i="72"/>
  <c r="AE13" i="72"/>
  <c r="P13" i="72"/>
  <c r="M14" i="72"/>
  <c r="AV15" i="72"/>
  <c r="AZ15" i="72"/>
  <c r="AD16" i="72"/>
  <c r="AH16" i="72"/>
  <c r="L17" i="72"/>
  <c r="P17" i="72"/>
  <c r="AV19" i="72"/>
  <c r="AZ19" i="72"/>
  <c r="AD20" i="72"/>
  <c r="AH20" i="72"/>
  <c r="L21" i="72"/>
  <c r="P21" i="72"/>
  <c r="AV23" i="72"/>
  <c r="AZ23" i="72"/>
  <c r="AD24" i="72"/>
  <c r="L25" i="72"/>
  <c r="P25" i="72"/>
  <c r="AZ27" i="72"/>
  <c r="AD28" i="72"/>
  <c r="AH28" i="72"/>
  <c r="L29" i="72"/>
  <c r="P29" i="72"/>
  <c r="AV31" i="72"/>
  <c r="L33" i="72"/>
  <c r="O40" i="72"/>
  <c r="AG43" i="72"/>
  <c r="AG47" i="72"/>
  <c r="AP50" i="72"/>
  <c r="X51" i="72"/>
  <c r="F13" i="72"/>
  <c r="AP35" i="72"/>
  <c r="X36" i="72"/>
  <c r="X44" i="72"/>
  <c r="F45" i="72"/>
  <c r="AP47" i="72"/>
  <c r="AY50" i="72"/>
  <c r="AY19" i="72"/>
  <c r="F8" i="72"/>
  <c r="W12" i="72"/>
  <c r="AP12" i="72"/>
  <c r="W16" i="72"/>
  <c r="E17" i="72"/>
  <c r="AO19" i="72"/>
  <c r="W20" i="72"/>
  <c r="E21" i="72"/>
  <c r="AO23" i="72"/>
  <c r="W24" i="72"/>
  <c r="E25" i="72"/>
  <c r="AO27" i="72"/>
  <c r="W28" i="72"/>
  <c r="Y29" i="72"/>
  <c r="E29" i="72"/>
  <c r="AO31" i="72"/>
  <c r="W32" i="72"/>
  <c r="Y33" i="72"/>
  <c r="E33" i="72"/>
  <c r="AO35" i="72"/>
  <c r="W36" i="72"/>
  <c r="E37" i="72"/>
  <c r="N52" i="72"/>
  <c r="AX54" i="72"/>
  <c r="AX15" i="72"/>
  <c r="M16" i="72"/>
  <c r="AF16" i="72"/>
  <c r="AV17" i="72"/>
  <c r="N17" i="72"/>
  <c r="AZ17" i="72"/>
  <c r="AD18" i="72"/>
  <c r="AW18" i="72"/>
  <c r="AH18" i="72"/>
  <c r="L19" i="72"/>
  <c r="AE19" i="72"/>
  <c r="AX19" i="72"/>
  <c r="P19" i="72"/>
  <c r="M20" i="72"/>
  <c r="AF20" i="72"/>
  <c r="AY20" i="72"/>
  <c r="N21" i="72"/>
  <c r="AZ21" i="72"/>
  <c r="AD22" i="72"/>
  <c r="AH22" i="72"/>
  <c r="L23" i="72"/>
  <c r="AE23" i="72"/>
  <c r="AX23" i="72"/>
  <c r="P23" i="72"/>
  <c r="M24" i="72"/>
  <c r="AF24" i="72"/>
  <c r="AV25" i="72"/>
  <c r="N25" i="72"/>
  <c r="AZ25" i="72"/>
  <c r="AD26" i="72"/>
  <c r="AW26" i="72"/>
  <c r="AH26" i="72"/>
  <c r="L27" i="72"/>
  <c r="AE27" i="72"/>
  <c r="AX27" i="72"/>
  <c r="P27" i="72"/>
  <c r="AV28" i="72"/>
  <c r="M28" i="72"/>
  <c r="AF28" i="72"/>
  <c r="AV29" i="72"/>
  <c r="N29" i="72"/>
  <c r="AZ29" i="72"/>
  <c r="AD30" i="72"/>
  <c r="AW30" i="72"/>
  <c r="AH30" i="72"/>
  <c r="L31" i="72"/>
  <c r="AE31" i="72"/>
  <c r="AX31" i="72"/>
  <c r="P31" i="72"/>
  <c r="AV32" i="72"/>
  <c r="M32" i="72"/>
  <c r="AF32" i="72"/>
  <c r="AV33" i="72"/>
  <c r="N33" i="72"/>
  <c r="AZ33" i="72"/>
  <c r="AD34" i="72"/>
  <c r="AW34" i="72"/>
  <c r="AH34" i="72"/>
  <c r="L35" i="72"/>
  <c r="AE35" i="72"/>
  <c r="AX35" i="72"/>
  <c r="M36" i="72"/>
  <c r="AF36" i="72"/>
  <c r="AN23" i="72"/>
  <c r="V24" i="72"/>
  <c r="AO24" i="72"/>
  <c r="D25" i="72"/>
  <c r="W25" i="72"/>
  <c r="E26" i="72"/>
  <c r="AN27" i="72"/>
  <c r="V28" i="72"/>
  <c r="AO28" i="72"/>
  <c r="D29" i="72"/>
  <c r="W29" i="72"/>
  <c r="E30" i="72"/>
  <c r="G31" i="72"/>
  <c r="AN31" i="72"/>
  <c r="V32" i="72"/>
  <c r="AO32" i="72"/>
  <c r="D33" i="72"/>
  <c r="W33" i="72"/>
  <c r="AN35" i="72"/>
  <c r="Y35" i="72"/>
  <c r="V36" i="72"/>
  <c r="AO36" i="72"/>
  <c r="G36" i="72"/>
  <c r="AM37" i="72"/>
  <c r="D37" i="72"/>
  <c r="W37" i="72"/>
  <c r="AN39" i="72"/>
  <c r="V40" i="72"/>
  <c r="D41" i="72"/>
  <c r="AQ42" i="72"/>
  <c r="D43" i="72"/>
  <c r="AN43" i="72"/>
  <c r="Y43" i="72"/>
  <c r="V44" i="72"/>
  <c r="G44" i="72"/>
  <c r="D45" i="72"/>
  <c r="AQ46" i="72"/>
  <c r="H47" i="72"/>
  <c r="AN47" i="72"/>
  <c r="Y47" i="72"/>
  <c r="V48" i="72"/>
  <c r="G48" i="72"/>
  <c r="AE49" i="72"/>
  <c r="AG49" i="72"/>
  <c r="AZ49" i="72"/>
  <c r="AW50" i="72"/>
  <c r="O50" i="72"/>
  <c r="AH50" i="72"/>
  <c r="AE51" i="72"/>
  <c r="P51" i="72"/>
  <c r="M52" i="72"/>
  <c r="AG53" i="72"/>
  <c r="AZ53" i="72"/>
  <c r="AW54" i="72"/>
  <c r="AH54" i="72"/>
  <c r="AE55" i="72"/>
  <c r="P55" i="72"/>
  <c r="M56" i="72"/>
  <c r="V57" i="72"/>
  <c r="AQ57" i="72"/>
  <c r="AN58" i="72"/>
  <c r="Y58" i="72"/>
  <c r="C59" i="72"/>
  <c r="V59" i="72"/>
  <c r="G59" i="72"/>
  <c r="M21" i="72"/>
  <c r="AV22" i="72"/>
  <c r="AZ22" i="72"/>
  <c r="AD23" i="72"/>
  <c r="AH23" i="72"/>
  <c r="L24" i="72"/>
  <c r="AE24" i="72"/>
  <c r="P24" i="72"/>
  <c r="M25" i="72"/>
  <c r="AV26" i="72"/>
  <c r="AZ26" i="72"/>
  <c r="AD27" i="72"/>
  <c r="AW27" i="72"/>
  <c r="AH27" i="72"/>
  <c r="L28" i="72"/>
  <c r="AE28" i="72"/>
  <c r="P28" i="72"/>
  <c r="M29" i="72"/>
  <c r="AV30" i="72"/>
  <c r="AZ30" i="72"/>
  <c r="AD31" i="72"/>
  <c r="AW31" i="72"/>
  <c r="AH31" i="72"/>
  <c r="L32" i="72"/>
  <c r="AE32" i="72"/>
  <c r="P32" i="72"/>
  <c r="M33" i="72"/>
  <c r="AV34" i="72"/>
  <c r="AZ34" i="72"/>
  <c r="AD35" i="72"/>
  <c r="AW35" i="72"/>
  <c r="AH35" i="72"/>
  <c r="L36" i="72"/>
  <c r="AE36" i="72"/>
  <c r="P36" i="72"/>
  <c r="AY37" i="72"/>
  <c r="AZ38" i="72"/>
  <c r="AD39" i="72"/>
  <c r="AH39" i="72"/>
  <c r="L40" i="72"/>
  <c r="P40" i="72"/>
  <c r="AV42" i="72"/>
  <c r="AZ42" i="72"/>
  <c r="AD43" i="72"/>
  <c r="AH43" i="72"/>
  <c r="AV46" i="72"/>
  <c r="AZ46" i="72"/>
  <c r="AD47" i="72"/>
  <c r="AH47" i="72"/>
  <c r="L48" i="72"/>
  <c r="P48" i="72"/>
  <c r="AM50" i="72"/>
  <c r="AQ50" i="72"/>
  <c r="U51" i="72"/>
  <c r="Y51" i="72"/>
  <c r="C52" i="72"/>
  <c r="G52" i="72"/>
  <c r="AO53" i="72"/>
  <c r="AM54" i="72"/>
  <c r="AQ54" i="72"/>
  <c r="U55" i="72"/>
  <c r="C56" i="72"/>
  <c r="G56" i="72"/>
  <c r="AV57" i="72"/>
  <c r="AG57" i="72"/>
  <c r="AZ57" i="72"/>
  <c r="AD58" i="72"/>
  <c r="O58" i="72"/>
  <c r="AH58" i="72"/>
  <c r="L59" i="72"/>
  <c r="Y20" i="72"/>
  <c r="V21" i="72"/>
  <c r="G21" i="72"/>
  <c r="D22" i="72"/>
  <c r="AM23" i="72"/>
  <c r="AQ23" i="72"/>
  <c r="U24" i="72"/>
  <c r="AN24" i="72"/>
  <c r="AM31" i="72"/>
  <c r="D34" i="72"/>
  <c r="Y36" i="72"/>
  <c r="V37" i="72"/>
  <c r="X39" i="72"/>
  <c r="Y44" i="72"/>
  <c r="AQ47" i="72"/>
  <c r="L52" i="72"/>
  <c r="P52" i="72"/>
  <c r="AG54" i="72"/>
  <c r="P56" i="72"/>
  <c r="F59" i="72"/>
  <c r="AX38" i="72"/>
  <c r="AF39" i="72"/>
  <c r="N40" i="72"/>
  <c r="P41" i="72"/>
  <c r="AF43" i="72"/>
  <c r="AD44" i="72"/>
  <c r="N44" i="72"/>
  <c r="AX46" i="72"/>
  <c r="AF47" i="72"/>
  <c r="N48" i="72"/>
  <c r="AO50" i="72"/>
  <c r="X52" i="72"/>
  <c r="D38" i="72"/>
  <c r="AN38" i="72"/>
  <c r="V39" i="72"/>
  <c r="AO39" i="72"/>
  <c r="D40" i="72"/>
  <c r="W40" i="72"/>
  <c r="E41" i="72"/>
  <c r="AN42" i="72"/>
  <c r="Y42" i="72"/>
  <c r="V43" i="72"/>
  <c r="AO43" i="72"/>
  <c r="D44" i="72"/>
  <c r="W44" i="72"/>
  <c r="AP44" i="72"/>
  <c r="E45" i="72"/>
  <c r="AN46" i="72"/>
  <c r="V47" i="72"/>
  <c r="AO47" i="72"/>
  <c r="D48" i="72"/>
  <c r="W48" i="72"/>
  <c r="AW49" i="72"/>
  <c r="AE50" i="72"/>
  <c r="AX50" i="72"/>
  <c r="M51" i="72"/>
  <c r="AF51" i="72"/>
  <c r="AW53" i="72"/>
  <c r="AH53" i="72"/>
  <c r="AE54" i="72"/>
  <c r="P54" i="72"/>
  <c r="AW55" i="72"/>
  <c r="M55" i="72"/>
  <c r="AF55" i="72"/>
  <c r="N56" i="72"/>
  <c r="AN57" i="72"/>
  <c r="V58" i="72"/>
  <c r="AO58" i="72"/>
  <c r="D59" i="72"/>
  <c r="AV37" i="72"/>
  <c r="N37" i="72"/>
  <c r="AZ37" i="72"/>
  <c r="AD38" i="72"/>
  <c r="AW38" i="72"/>
  <c r="AH38" i="72"/>
  <c r="L39" i="72"/>
  <c r="AE39" i="72"/>
  <c r="AX39" i="72"/>
  <c r="M40" i="72"/>
  <c r="AF40" i="72"/>
  <c r="AV41" i="72"/>
  <c r="N41" i="72"/>
  <c r="AZ41" i="72"/>
  <c r="M42" i="72"/>
  <c r="AD42" i="72"/>
  <c r="AW42" i="72"/>
  <c r="AH42" i="72"/>
  <c r="L43" i="72"/>
  <c r="AE43" i="72"/>
  <c r="AX43" i="72"/>
  <c r="P43" i="72"/>
  <c r="M44" i="72"/>
  <c r="AF44" i="72"/>
  <c r="AD46" i="72"/>
  <c r="L47" i="72"/>
  <c r="AE47" i="72"/>
  <c r="P47" i="72"/>
  <c r="AW48" i="72"/>
  <c r="M48" i="72"/>
  <c r="AM49" i="72"/>
  <c r="AQ49" i="72"/>
  <c r="AN50" i="72"/>
  <c r="C51" i="72"/>
  <c r="V51" i="72"/>
  <c r="G51" i="72"/>
  <c r="D52" i="72"/>
  <c r="AP52" i="72"/>
  <c r="AM53" i="72"/>
  <c r="AQ53" i="72"/>
  <c r="D54" i="72"/>
  <c r="U54" i="72"/>
  <c r="AN54" i="72"/>
  <c r="C55" i="72"/>
  <c r="V55" i="72"/>
  <c r="G55" i="72"/>
  <c r="D56" i="72"/>
  <c r="AP56" i="72"/>
  <c r="AD57" i="72"/>
  <c r="AW57" i="72"/>
  <c r="L58" i="72"/>
  <c r="AE58" i="72"/>
  <c r="AX58" i="72"/>
  <c r="P58" i="72"/>
  <c r="M59" i="72"/>
  <c r="AP13" i="72"/>
  <c r="X14" i="72"/>
  <c r="AW22" i="72"/>
  <c r="AG25" i="72"/>
  <c r="O26" i="72"/>
  <c r="AG33" i="72"/>
  <c r="AY36" i="72"/>
  <c r="AG37" i="72"/>
  <c r="AW40" i="72"/>
  <c r="AY40" i="72"/>
  <c r="AG41" i="72"/>
  <c r="O42" i="72"/>
  <c r="AG45" i="72"/>
  <c r="AZ45" i="72"/>
  <c r="O46" i="72"/>
  <c r="AH46" i="72"/>
  <c r="U50" i="72"/>
  <c r="L57" i="72"/>
  <c r="P57" i="72"/>
  <c r="AH57" i="72"/>
  <c r="AV59" i="72"/>
  <c r="AZ59" i="72"/>
  <c r="AY59" i="72"/>
  <c r="E54" i="72"/>
  <c r="AQ52" i="72"/>
  <c r="N8" i="72"/>
  <c r="AG14" i="72"/>
  <c r="AP17" i="72"/>
  <c r="X22" i="72"/>
  <c r="X26" i="72"/>
  <c r="H29" i="72"/>
  <c r="AP33" i="72"/>
  <c r="X34" i="72"/>
  <c r="D35" i="72"/>
  <c r="H35" i="72"/>
  <c r="F35" i="72"/>
  <c r="H37" i="72"/>
  <c r="X38" i="72"/>
  <c r="X46" i="72"/>
  <c r="AD50" i="72"/>
  <c r="X57" i="72"/>
  <c r="AF59" i="72"/>
  <c r="Y50" i="72"/>
  <c r="E43" i="72"/>
  <c r="W8" i="72"/>
  <c r="X10" i="72"/>
  <c r="AP14" i="72"/>
  <c r="X15" i="72"/>
  <c r="L16" i="72"/>
  <c r="AF17" i="72"/>
  <c r="AF21" i="72"/>
  <c r="O23" i="72"/>
  <c r="AF25" i="72"/>
  <c r="AY29" i="72"/>
  <c r="AG30" i="72"/>
  <c r="AF33" i="72"/>
  <c r="AG34" i="72"/>
  <c r="O35" i="72"/>
  <c r="AF37" i="72"/>
  <c r="O43" i="72"/>
  <c r="AY45" i="72"/>
  <c r="N46" i="72"/>
  <c r="O47" i="72"/>
  <c r="AX48" i="72"/>
  <c r="W49" i="72"/>
  <c r="F51" i="72"/>
  <c r="AP53" i="72"/>
  <c r="V54" i="72"/>
  <c r="F55" i="72"/>
  <c r="AO56" i="72"/>
  <c r="AX59" i="72"/>
  <c r="AW12" i="72"/>
  <c r="AF46" i="72"/>
  <c r="AM34" i="72"/>
  <c r="N10" i="72"/>
  <c r="N15" i="72"/>
  <c r="W18" i="72"/>
  <c r="X19" i="72"/>
  <c r="F20" i="72"/>
  <c r="C21" i="72"/>
  <c r="W22" i="72"/>
  <c r="AP22" i="72"/>
  <c r="H22" i="72"/>
  <c r="E23" i="72"/>
  <c r="X23" i="72"/>
  <c r="AO29" i="72"/>
  <c r="W34" i="72"/>
  <c r="U53" i="72"/>
  <c r="V34" i="72"/>
  <c r="AO8" i="72"/>
  <c r="D10" i="72"/>
  <c r="W10" i="72"/>
  <c r="AP10" i="72"/>
  <c r="H10" i="72"/>
  <c r="X12" i="72"/>
  <c r="W57" i="72"/>
  <c r="L42" i="72"/>
  <c r="X8" i="72"/>
  <c r="H13" i="72"/>
  <c r="F15" i="72"/>
  <c r="AY16" i="72"/>
  <c r="AG17" i="72"/>
  <c r="O18" i="72"/>
  <c r="AG21" i="72"/>
  <c r="O22" i="72"/>
  <c r="O30" i="72"/>
  <c r="AY32" i="72"/>
  <c r="P35" i="72"/>
  <c r="O38" i="72"/>
  <c r="P39" i="72"/>
  <c r="N45" i="72"/>
  <c r="AW46" i="72"/>
  <c r="X49" i="72"/>
  <c r="H52" i="72"/>
  <c r="Y54" i="72"/>
  <c r="AQ56" i="72"/>
  <c r="AM56" i="72"/>
  <c r="O15" i="72"/>
  <c r="AP21" i="72"/>
  <c r="F23" i="72"/>
  <c r="H25" i="72"/>
  <c r="AP29" i="72"/>
  <c r="X30" i="72"/>
  <c r="F31" i="72"/>
  <c r="H33" i="72"/>
  <c r="E34" i="72"/>
  <c r="E38" i="72"/>
  <c r="F39" i="72"/>
  <c r="H41" i="72"/>
  <c r="AP45" i="72"/>
  <c r="F47" i="72"/>
  <c r="AY52" i="72"/>
  <c r="O54" i="72"/>
  <c r="H45" i="72"/>
  <c r="F12" i="72"/>
  <c r="AO13" i="72"/>
  <c r="AY17" i="72"/>
  <c r="AG18" i="72"/>
  <c r="O19" i="72"/>
  <c r="AG22" i="72"/>
  <c r="AY25" i="72"/>
  <c r="N26" i="72"/>
  <c r="AF29" i="72"/>
  <c r="O31" i="72"/>
  <c r="AX36" i="72"/>
  <c r="AG38" i="72"/>
  <c r="O39" i="72"/>
  <c r="AX40" i="72"/>
  <c r="AG42" i="72"/>
  <c r="P44" i="72"/>
  <c r="AF45" i="72"/>
  <c r="AG46" i="72"/>
  <c r="H49" i="72"/>
  <c r="X50" i="72"/>
  <c r="AO52" i="72"/>
  <c r="H53" i="72"/>
  <c r="N57" i="72"/>
  <c r="AY8" i="72"/>
  <c r="AG10" i="72"/>
  <c r="O12" i="72"/>
  <c r="AF14" i="72"/>
  <c r="AP18" i="72"/>
  <c r="V18" i="72"/>
  <c r="D51" i="72"/>
  <c r="AV21" i="72"/>
  <c r="AY24" i="72"/>
  <c r="AY28" i="72"/>
  <c r="AG29" i="72"/>
  <c r="O34" i="72"/>
  <c r="AW36" i="72"/>
  <c r="AZ36" i="72"/>
  <c r="AY44" i="72"/>
  <c r="AV45" i="72"/>
  <c r="AY48" i="72"/>
  <c r="F50" i="72"/>
  <c r="X53" i="72"/>
  <c r="G54" i="72"/>
  <c r="C54" i="72"/>
  <c r="F54" i="72"/>
  <c r="H56" i="72"/>
  <c r="O57" i="72"/>
  <c r="AX12" i="72"/>
  <c r="AY13" i="72"/>
  <c r="H17" i="72"/>
  <c r="X18" i="72"/>
  <c r="F19" i="72"/>
  <c r="H21" i="72"/>
  <c r="AP25" i="72"/>
  <c r="F27" i="72"/>
  <c r="AP37" i="72"/>
  <c r="AM38" i="72"/>
  <c r="AP41" i="72"/>
  <c r="X42" i="72"/>
  <c r="D47" i="72"/>
  <c r="G47" i="72"/>
  <c r="AY56" i="72"/>
  <c r="F58" i="72"/>
  <c r="E10" i="72"/>
  <c r="W14" i="72"/>
  <c r="H14" i="72"/>
  <c r="E15" i="72"/>
  <c r="AX16" i="72"/>
  <c r="N18" i="72"/>
  <c r="AX20" i="72"/>
  <c r="AY21" i="72"/>
  <c r="N22" i="72"/>
  <c r="AX24" i="72"/>
  <c r="AG26" i="72"/>
  <c r="O27" i="72"/>
  <c r="AX28" i="72"/>
  <c r="N30" i="72"/>
  <c r="AX32" i="72"/>
  <c r="AY33" i="72"/>
  <c r="N38" i="72"/>
  <c r="AY41" i="72"/>
  <c r="N42" i="72"/>
  <c r="L44" i="72"/>
  <c r="AX44" i="72"/>
  <c r="AP49" i="72"/>
  <c r="E50" i="72"/>
  <c r="W53" i="72"/>
  <c r="X54" i="72"/>
  <c r="H55" i="72"/>
  <c r="E55" i="72"/>
  <c r="AF8" i="72"/>
  <c r="AY14" i="72"/>
  <c r="AG15" i="72"/>
  <c r="F16" i="72"/>
  <c r="H18" i="72"/>
  <c r="E19" i="72"/>
  <c r="AO21" i="72"/>
  <c r="AE8" i="72"/>
  <c r="C10" i="72"/>
  <c r="P26" i="72"/>
  <c r="AW33" i="72"/>
  <c r="AV36" i="72"/>
  <c r="AN49" i="72"/>
  <c r="Y55" i="72"/>
  <c r="AN13" i="72"/>
  <c r="AO14" i="72"/>
  <c r="W15" i="72"/>
  <c r="AP15" i="72"/>
  <c r="AW16" i="72"/>
  <c r="O16" i="72"/>
  <c r="AE17" i="72"/>
  <c r="AX17" i="72"/>
  <c r="M18" i="72"/>
  <c r="AF18" i="72"/>
  <c r="AY18" i="72"/>
  <c r="N19" i="72"/>
  <c r="AG19" i="72"/>
  <c r="AW20" i="72"/>
  <c r="O20" i="72"/>
  <c r="AE21" i="72"/>
  <c r="AX21" i="72"/>
  <c r="M22" i="72"/>
  <c r="AF22" i="72"/>
  <c r="AY22" i="72"/>
  <c r="N23" i="72"/>
  <c r="AG23" i="72"/>
  <c r="AW24" i="72"/>
  <c r="O24" i="72"/>
  <c r="AE25" i="72"/>
  <c r="AX25" i="72"/>
  <c r="M26" i="72"/>
  <c r="AF26" i="72"/>
  <c r="AY26" i="72"/>
  <c r="AV27" i="72"/>
  <c r="N27" i="72"/>
  <c r="AG27" i="72"/>
  <c r="AW28" i="72"/>
  <c r="O28" i="72"/>
  <c r="AE29" i="72"/>
  <c r="AX29" i="72"/>
  <c r="M30" i="72"/>
  <c r="AF30" i="72"/>
  <c r="AY30" i="72"/>
  <c r="N31" i="72"/>
  <c r="AG31" i="72"/>
  <c r="AE33" i="72"/>
  <c r="AF42" i="72"/>
  <c r="AW44" i="72"/>
  <c r="M46" i="72"/>
  <c r="D50" i="72"/>
  <c r="AF57" i="72"/>
  <c r="L8" i="72"/>
  <c r="AX8" i="72"/>
  <c r="P8" i="72"/>
  <c r="M10" i="72"/>
  <c r="AF10" i="72"/>
  <c r="AY10" i="72"/>
  <c r="N12" i="72"/>
  <c r="AG12" i="72"/>
  <c r="AZ12" i="72"/>
  <c r="AW13" i="72"/>
  <c r="O13" i="72"/>
  <c r="AH13" i="72"/>
  <c r="L14" i="72"/>
  <c r="AE14" i="72"/>
  <c r="AX14" i="72"/>
  <c r="P14" i="72"/>
  <c r="M15" i="72"/>
  <c r="AF15" i="72"/>
  <c r="AY15" i="72"/>
  <c r="AM16" i="72"/>
  <c r="E16" i="72"/>
  <c r="X16" i="72"/>
  <c r="AQ16" i="72"/>
  <c r="U17" i="72"/>
  <c r="AN17" i="72"/>
  <c r="F17" i="72"/>
  <c r="Y17" i="72"/>
  <c r="C18" i="72"/>
  <c r="AO18" i="72"/>
  <c r="G18" i="72"/>
  <c r="D19" i="72"/>
  <c r="W19" i="72"/>
  <c r="AP19" i="72"/>
  <c r="H19" i="72"/>
  <c r="AM20" i="72"/>
  <c r="E20" i="72"/>
  <c r="X20" i="72"/>
  <c r="AQ20" i="72"/>
  <c r="U21" i="72"/>
  <c r="AN21" i="72"/>
  <c r="F21" i="72"/>
  <c r="Y21" i="72"/>
  <c r="V22" i="72"/>
  <c r="AO22" i="72"/>
  <c r="G22" i="72"/>
  <c r="D23" i="72"/>
  <c r="W23" i="72"/>
  <c r="AP23" i="72"/>
  <c r="H23" i="72"/>
  <c r="AM24" i="72"/>
  <c r="E24" i="72"/>
  <c r="X24" i="72"/>
  <c r="U25" i="72"/>
  <c r="AN25" i="72"/>
  <c r="F25" i="72"/>
  <c r="Y25" i="72"/>
  <c r="C26" i="72"/>
  <c r="V26" i="72"/>
  <c r="G26" i="72"/>
  <c r="D27" i="72"/>
  <c r="AP27" i="72"/>
  <c r="H27" i="72"/>
  <c r="AM28" i="72"/>
  <c r="X28" i="72"/>
  <c r="AQ28" i="72"/>
  <c r="U29" i="72"/>
  <c r="AN29" i="72"/>
  <c r="F29" i="72"/>
  <c r="C30" i="72"/>
  <c r="V30" i="72"/>
  <c r="AN45" i="72"/>
  <c r="V46" i="72"/>
  <c r="AQ48" i="72"/>
  <c r="AD52" i="72"/>
  <c r="AH52" i="72"/>
  <c r="C57" i="72"/>
  <c r="D58" i="72"/>
  <c r="G38" i="72"/>
  <c r="H32" i="72"/>
  <c r="V14" i="72"/>
  <c r="D15" i="72"/>
  <c r="U8" i="72"/>
  <c r="AN8" i="72"/>
  <c r="Y8" i="72"/>
  <c r="AO10" i="72"/>
  <c r="G10" i="72"/>
  <c r="D12" i="72"/>
  <c r="H12" i="72"/>
  <c r="AM13" i="72"/>
  <c r="E13" i="72"/>
  <c r="X13" i="72"/>
  <c r="AQ13" i="72"/>
  <c r="U14" i="72"/>
  <c r="AN14" i="72"/>
  <c r="F14" i="72"/>
  <c r="Y14" i="72"/>
  <c r="C15" i="72"/>
  <c r="V15" i="72"/>
  <c r="AO15" i="72"/>
  <c r="G15" i="72"/>
  <c r="AV16" i="72"/>
  <c r="N16" i="72"/>
  <c r="AG16" i="72"/>
  <c r="AZ16" i="72"/>
  <c r="AD17" i="72"/>
  <c r="AW17" i="72"/>
  <c r="O17" i="72"/>
  <c r="AH17" i="72"/>
  <c r="L18" i="72"/>
  <c r="AE18" i="72"/>
  <c r="AX18" i="72"/>
  <c r="P18" i="72"/>
  <c r="M19" i="72"/>
  <c r="AF19" i="72"/>
  <c r="AV20" i="72"/>
  <c r="N20" i="72"/>
  <c r="AG20" i="72"/>
  <c r="AZ20" i="72"/>
  <c r="AD21" i="72"/>
  <c r="AW21" i="72"/>
  <c r="O21" i="72"/>
  <c r="AH21" i="72"/>
  <c r="L22" i="72"/>
  <c r="AE22" i="72"/>
  <c r="AX22" i="72"/>
  <c r="P22" i="72"/>
  <c r="M23" i="72"/>
  <c r="AF23" i="72"/>
  <c r="AY23" i="72"/>
  <c r="AV24" i="72"/>
  <c r="N24" i="72"/>
  <c r="AG24" i="72"/>
  <c r="AZ24" i="72"/>
  <c r="AD25" i="72"/>
  <c r="AW25" i="72"/>
  <c r="O25" i="72"/>
  <c r="AH25" i="72"/>
  <c r="L26" i="72"/>
  <c r="AE26" i="72"/>
  <c r="AX26" i="72"/>
  <c r="M27" i="72"/>
  <c r="AF27" i="72"/>
  <c r="AY27" i="72"/>
  <c r="N28" i="72"/>
  <c r="AG28" i="72"/>
  <c r="AZ28" i="72"/>
  <c r="AD29" i="72"/>
  <c r="AW29" i="72"/>
  <c r="O29" i="72"/>
  <c r="AH29" i="72"/>
  <c r="L30" i="72"/>
  <c r="AE30" i="72"/>
  <c r="AX30" i="72"/>
  <c r="P30" i="72"/>
  <c r="M31" i="72"/>
  <c r="AF31" i="72"/>
  <c r="AY31" i="72"/>
  <c r="AG32" i="72"/>
  <c r="AD33" i="72"/>
  <c r="O33" i="72"/>
  <c r="AH33" i="72"/>
  <c r="L34" i="72"/>
  <c r="AE34" i="72"/>
  <c r="P34" i="72"/>
  <c r="M35" i="72"/>
  <c r="AY35" i="72"/>
  <c r="AG36" i="72"/>
  <c r="AD37" i="72"/>
  <c r="AW37" i="72"/>
  <c r="O37" i="72"/>
  <c r="AH37" i="72"/>
  <c r="L38" i="72"/>
  <c r="AE38" i="72"/>
  <c r="P38" i="72"/>
  <c r="M39" i="72"/>
  <c r="AY39" i="72"/>
  <c r="AV40" i="72"/>
  <c r="AZ40" i="72"/>
  <c r="AD41" i="72"/>
  <c r="AW41" i="72"/>
  <c r="O41" i="72"/>
  <c r="AE42" i="72"/>
  <c r="AX42" i="72"/>
  <c r="P42" i="72"/>
  <c r="M43" i="72"/>
  <c r="AV44" i="72"/>
  <c r="AG44" i="72"/>
  <c r="AZ44" i="72"/>
  <c r="AD45" i="72"/>
  <c r="AW45" i="72"/>
  <c r="O45" i="72"/>
  <c r="AH45" i="72"/>
  <c r="L46" i="72"/>
  <c r="P46" i="72"/>
  <c r="M47" i="72"/>
  <c r="AY47" i="72"/>
  <c r="AV48" i="72"/>
  <c r="AG48" i="72"/>
  <c r="AZ48" i="72"/>
  <c r="U49" i="72"/>
  <c r="F49" i="72"/>
  <c r="Y49" i="72"/>
  <c r="C50" i="72"/>
  <c r="V50" i="72"/>
  <c r="G50" i="72"/>
  <c r="AN53" i="72"/>
  <c r="AE57" i="72"/>
  <c r="M58" i="72"/>
  <c r="AY12" i="72"/>
  <c r="AV13" i="72"/>
  <c r="AG13" i="72"/>
  <c r="AZ13" i="72"/>
  <c r="AD14" i="72"/>
  <c r="AW14" i="72"/>
  <c r="O14" i="72"/>
  <c r="AH14" i="72"/>
  <c r="L15" i="72"/>
  <c r="AE15" i="72"/>
  <c r="P15" i="72"/>
  <c r="D16" i="72"/>
  <c r="AP16" i="72"/>
  <c r="H16" i="72"/>
  <c r="AM17" i="72"/>
  <c r="X17" i="72"/>
  <c r="U18" i="72"/>
  <c r="AN18" i="72"/>
  <c r="F18" i="72"/>
  <c r="Y18" i="72"/>
  <c r="C19" i="72"/>
  <c r="V19" i="72"/>
  <c r="G19" i="72"/>
  <c r="AP20" i="72"/>
  <c r="H20" i="72"/>
  <c r="AM21" i="72"/>
  <c r="X21" i="72"/>
  <c r="AQ21" i="72"/>
  <c r="U22" i="72"/>
  <c r="AN22" i="72"/>
  <c r="F22" i="72"/>
  <c r="Y22" i="72"/>
  <c r="C23" i="72"/>
  <c r="V23" i="72"/>
  <c r="G23" i="72"/>
  <c r="D24" i="72"/>
  <c r="AP24" i="72"/>
  <c r="H24" i="72"/>
  <c r="AM25" i="72"/>
  <c r="X25" i="72"/>
  <c r="AQ25" i="72"/>
  <c r="U26" i="72"/>
  <c r="F26" i="72"/>
  <c r="Y26" i="72"/>
  <c r="C27" i="72"/>
  <c r="G27" i="72"/>
  <c r="AP28" i="72"/>
  <c r="H28" i="72"/>
  <c r="AM29" i="72"/>
  <c r="X29" i="72"/>
  <c r="AQ29" i="72"/>
  <c r="U30" i="72"/>
  <c r="F30" i="72"/>
  <c r="Y30" i="72"/>
  <c r="C31" i="72"/>
  <c r="AP32" i="72"/>
  <c r="AM33" i="72"/>
  <c r="X33" i="72"/>
  <c r="AQ33" i="72"/>
  <c r="U34" i="72"/>
  <c r="F34" i="72"/>
  <c r="Y34" i="72"/>
  <c r="C35" i="72"/>
  <c r="G35" i="72"/>
  <c r="AP36" i="72"/>
  <c r="X37" i="72"/>
  <c r="AQ37" i="72"/>
  <c r="U38" i="72"/>
  <c r="F38" i="72"/>
  <c r="Y38" i="72"/>
  <c r="C39" i="72"/>
  <c r="AP40" i="72"/>
  <c r="H40" i="72"/>
  <c r="AM41" i="72"/>
  <c r="AQ41" i="72"/>
  <c r="U42" i="72"/>
  <c r="F42" i="72"/>
  <c r="C43" i="72"/>
  <c r="G43" i="72"/>
  <c r="H44" i="72"/>
  <c r="AM45" i="72"/>
  <c r="X45" i="72"/>
  <c r="AQ45" i="72"/>
  <c r="U46" i="72"/>
  <c r="F46" i="72"/>
  <c r="Y46" i="72"/>
  <c r="C47" i="72"/>
  <c r="AP48" i="72"/>
  <c r="H48" i="72"/>
  <c r="AD49" i="72"/>
  <c r="O49" i="72"/>
  <c r="AH49" i="72"/>
  <c r="L50" i="72"/>
  <c r="AY51" i="72"/>
  <c r="AV52" i="72"/>
  <c r="AG52" i="72"/>
  <c r="AZ52" i="72"/>
  <c r="AD53" i="72"/>
  <c r="O53" i="72"/>
  <c r="L54" i="72"/>
  <c r="AY55" i="72"/>
  <c r="AG56" i="72"/>
  <c r="AZ56" i="72"/>
  <c r="U57" i="72"/>
  <c r="F57" i="72"/>
  <c r="Y57" i="72"/>
  <c r="C58" i="72"/>
  <c r="AN59" i="72"/>
  <c r="AP59" i="72"/>
  <c r="H15" i="72"/>
  <c r="F24" i="72"/>
  <c r="Y24" i="72"/>
  <c r="C25" i="72"/>
  <c r="V25" i="72"/>
  <c r="AO25" i="72"/>
  <c r="G25" i="72"/>
  <c r="D26" i="72"/>
  <c r="W26" i="72"/>
  <c r="AP26" i="72"/>
  <c r="H26" i="72"/>
  <c r="AM27" i="72"/>
  <c r="E27" i="72"/>
  <c r="X27" i="72"/>
  <c r="AQ27" i="72"/>
  <c r="U28" i="72"/>
  <c r="AN28" i="72"/>
  <c r="F28" i="72"/>
  <c r="Y28" i="72"/>
  <c r="C29" i="72"/>
  <c r="V29" i="72"/>
  <c r="G29" i="72"/>
  <c r="D30" i="72"/>
  <c r="W30" i="72"/>
  <c r="AP30" i="72"/>
  <c r="H30" i="72"/>
  <c r="E31" i="72"/>
  <c r="X31" i="72"/>
  <c r="AQ31" i="72"/>
  <c r="AN32" i="72"/>
  <c r="F32" i="72"/>
  <c r="Y32" i="72"/>
  <c r="C33" i="72"/>
  <c r="V33" i="72"/>
  <c r="AO33" i="72"/>
  <c r="G33" i="72"/>
  <c r="AP34" i="72"/>
  <c r="H34" i="72"/>
  <c r="AM35" i="72"/>
  <c r="E35" i="72"/>
  <c r="X35" i="72"/>
  <c r="AQ35" i="72"/>
  <c r="U36" i="72"/>
  <c r="AN36" i="72"/>
  <c r="F36" i="72"/>
  <c r="C37" i="72"/>
  <c r="AO37" i="72"/>
  <c r="G37" i="72"/>
  <c r="W38" i="72"/>
  <c r="H38" i="72"/>
  <c r="AM39" i="72"/>
  <c r="E39" i="72"/>
  <c r="U40" i="72"/>
  <c r="AN40" i="72"/>
  <c r="F40" i="72"/>
  <c r="Y40" i="72"/>
  <c r="C41" i="72"/>
  <c r="V41" i="72"/>
  <c r="AO41" i="72"/>
  <c r="G41" i="72"/>
  <c r="D42" i="72"/>
  <c r="W42" i="72"/>
  <c r="AP42" i="72"/>
  <c r="AM43" i="72"/>
  <c r="X43" i="72"/>
  <c r="AQ43" i="72"/>
  <c r="U44" i="72"/>
  <c r="AN44" i="72"/>
  <c r="F44" i="72"/>
  <c r="C45" i="72"/>
  <c r="AO45" i="72"/>
  <c r="G45" i="72"/>
  <c r="D46" i="72"/>
  <c r="AP46" i="72"/>
  <c r="AM47" i="72"/>
  <c r="E47" i="72"/>
  <c r="X47" i="72"/>
  <c r="AN48" i="72"/>
  <c r="Y48" i="72"/>
  <c r="M49" i="72"/>
  <c r="AF49" i="72"/>
  <c r="AY49" i="72"/>
  <c r="AV50" i="72"/>
  <c r="N50" i="72"/>
  <c r="AG50" i="72"/>
  <c r="AZ50" i="72"/>
  <c r="AD51" i="72"/>
  <c r="O51" i="72"/>
  <c r="AE52" i="72"/>
  <c r="M53" i="72"/>
  <c r="AF53" i="72"/>
  <c r="AY53" i="72"/>
  <c r="AZ54" i="72"/>
  <c r="O55" i="72"/>
  <c r="D57" i="72"/>
  <c r="AP57" i="72"/>
  <c r="E58" i="72"/>
  <c r="U59" i="72"/>
  <c r="H57" i="72"/>
  <c r="H42" i="72"/>
  <c r="AZ31" i="72"/>
  <c r="AD32" i="72"/>
  <c r="AW32" i="72"/>
  <c r="O32" i="72"/>
  <c r="AH32" i="72"/>
  <c r="AX33" i="72"/>
  <c r="P33" i="72"/>
  <c r="M34" i="72"/>
  <c r="AF34" i="72"/>
  <c r="AY34" i="72"/>
  <c r="AV35" i="72"/>
  <c r="N35" i="72"/>
  <c r="AG35" i="72"/>
  <c r="AZ35" i="72"/>
  <c r="AD36" i="72"/>
  <c r="O36" i="72"/>
  <c r="AH36" i="72"/>
  <c r="L37" i="72"/>
  <c r="AE37" i="72"/>
  <c r="AX37" i="72"/>
  <c r="M38" i="72"/>
  <c r="AF38" i="72"/>
  <c r="AY38" i="72"/>
  <c r="AV39" i="72"/>
  <c r="N39" i="72"/>
  <c r="AG39" i="72"/>
  <c r="AH40" i="72"/>
  <c r="L41" i="72"/>
  <c r="AX41" i="72"/>
  <c r="AY42" i="72"/>
  <c r="N43" i="72"/>
  <c r="AZ43" i="72"/>
  <c r="O44" i="72"/>
  <c r="AH44" i="72"/>
  <c r="L45" i="72"/>
  <c r="AE45" i="72"/>
  <c r="AX45" i="72"/>
  <c r="AY46" i="72"/>
  <c r="AV47" i="72"/>
  <c r="N47" i="72"/>
  <c r="AZ47" i="72"/>
  <c r="O48" i="72"/>
  <c r="AH48" i="72"/>
  <c r="C49" i="72"/>
  <c r="V49" i="72"/>
  <c r="AO49" i="72"/>
  <c r="W50" i="72"/>
  <c r="H50" i="72"/>
  <c r="W51" i="72"/>
  <c r="E51" i="72"/>
  <c r="AN52" i="72"/>
  <c r="F52" i="72"/>
  <c r="V53" i="72"/>
  <c r="W54" i="72"/>
  <c r="AP54" i="72"/>
  <c r="H54" i="72"/>
  <c r="W55" i="72"/>
  <c r="X55" i="72"/>
  <c r="AN56" i="72"/>
  <c r="F56" i="72"/>
  <c r="M57" i="72"/>
  <c r="AY57" i="72"/>
  <c r="N58" i="72"/>
  <c r="AG58" i="72"/>
  <c r="AW59" i="72"/>
  <c r="O59" i="72"/>
  <c r="G30" i="72"/>
  <c r="D31" i="72"/>
  <c r="AP31" i="72"/>
  <c r="H31" i="72"/>
  <c r="AM32" i="72"/>
  <c r="X32" i="72"/>
  <c r="AQ32" i="72"/>
  <c r="U33" i="72"/>
  <c r="AN33" i="72"/>
  <c r="F33" i="72"/>
  <c r="C34" i="72"/>
  <c r="G34" i="72"/>
  <c r="AM36" i="72"/>
  <c r="AQ36" i="72"/>
  <c r="U37" i="72"/>
  <c r="AN37" i="72"/>
  <c r="F37" i="72"/>
  <c r="Y37" i="72"/>
  <c r="C38" i="72"/>
  <c r="V38" i="72"/>
  <c r="D39" i="72"/>
  <c r="AP39" i="72"/>
  <c r="AM40" i="72"/>
  <c r="X40" i="72"/>
  <c r="AQ40" i="72"/>
  <c r="U41" i="72"/>
  <c r="AN41" i="72"/>
  <c r="F41" i="72"/>
  <c r="Y41" i="72"/>
  <c r="C42" i="72"/>
  <c r="V42" i="72"/>
  <c r="G42" i="72"/>
  <c r="AP43" i="72"/>
  <c r="H43" i="72"/>
  <c r="AM44" i="72"/>
  <c r="AQ44" i="72"/>
  <c r="Y45" i="72"/>
  <c r="C46" i="72"/>
  <c r="G46" i="72"/>
  <c r="AM48" i="72"/>
  <c r="X48" i="72"/>
  <c r="L49" i="72"/>
  <c r="P49" i="72"/>
  <c r="M50" i="72"/>
  <c r="AV51" i="72"/>
  <c r="AG51" i="72"/>
  <c r="AZ51" i="72"/>
  <c r="AW52" i="72"/>
  <c r="O52" i="72"/>
  <c r="AE53" i="72"/>
  <c r="P53" i="72"/>
  <c r="AY54" i="72"/>
  <c r="AV55" i="72"/>
  <c r="AG55" i="72"/>
  <c r="AD56" i="72"/>
  <c r="AW56" i="72"/>
  <c r="O56" i="72"/>
  <c r="AH56" i="72"/>
  <c r="G57" i="72"/>
  <c r="AP58" i="72"/>
  <c r="H58" i="72"/>
  <c r="AM59" i="72"/>
  <c r="E59" i="72"/>
  <c r="X59" i="72"/>
  <c r="AQ59" i="72"/>
  <c r="P59" i="72"/>
  <c r="AH51" i="72"/>
  <c r="H39" i="72"/>
  <c r="BC51" i="72" l="1"/>
  <c r="AB57" i="72"/>
  <c r="BC36" i="72"/>
  <c r="BC47" i="72"/>
  <c r="BC55" i="72"/>
  <c r="AB36" i="72"/>
  <c r="AT32" i="72"/>
  <c r="AK36" i="72"/>
  <c r="AB44" i="72"/>
  <c r="S30" i="72"/>
  <c r="AK21" i="72"/>
  <c r="AT47" i="72"/>
  <c r="AT17" i="72"/>
  <c r="AK33" i="72"/>
  <c r="AT36" i="72"/>
  <c r="S41" i="72"/>
  <c r="BC39" i="72"/>
  <c r="S46" i="72"/>
  <c r="BC40" i="72"/>
  <c r="S45" i="72"/>
  <c r="S54" i="72"/>
  <c r="AB46" i="72"/>
  <c r="AB34" i="72"/>
  <c r="AT48" i="72"/>
  <c r="AB33" i="72"/>
  <c r="S37" i="72"/>
  <c r="AK32" i="72"/>
  <c r="AK41" i="72"/>
  <c r="AK29" i="72"/>
  <c r="S22" i="72"/>
  <c r="BC20" i="72"/>
  <c r="J38" i="72"/>
  <c r="S49" i="72"/>
  <c r="S26" i="72"/>
  <c r="AT38" i="72"/>
  <c r="D42" i="121"/>
  <c r="G103" i="121"/>
  <c r="AT59" i="72"/>
  <c r="AT27" i="72"/>
  <c r="AT45" i="72"/>
  <c r="AT33" i="72"/>
  <c r="AT29" i="72"/>
  <c r="AB18" i="72"/>
  <c r="S15" i="72"/>
  <c r="AK17" i="72"/>
  <c r="AT13" i="72"/>
  <c r="AK44" i="72"/>
  <c r="BC57" i="72"/>
  <c r="AK47" i="72"/>
  <c r="S40" i="72"/>
  <c r="S32" i="72"/>
  <c r="AK34" i="72"/>
  <c r="BC29" i="72"/>
  <c r="S29" i="72"/>
  <c r="BC23" i="72"/>
  <c r="S17" i="72"/>
  <c r="S13" i="72"/>
  <c r="S20" i="72"/>
  <c r="AK10" i="72"/>
  <c r="AT22" i="72"/>
  <c r="AT52" i="72"/>
  <c r="AK48" i="72"/>
  <c r="S53" i="72"/>
  <c r="AT58" i="72"/>
  <c r="AT19" i="72"/>
  <c r="BC50" i="72"/>
  <c r="AT39" i="72"/>
  <c r="AB49" i="72"/>
  <c r="AK37" i="72"/>
  <c r="AB17" i="72"/>
  <c r="BC45" i="72"/>
  <c r="BC21" i="72"/>
  <c r="AT56" i="72"/>
  <c r="BC59" i="72"/>
  <c r="BC41" i="72"/>
  <c r="AK38" i="72"/>
  <c r="AT31" i="72"/>
  <c r="S28" i="72"/>
  <c r="AT37" i="72"/>
  <c r="AK18" i="72"/>
  <c r="AT57" i="72"/>
  <c r="BC53" i="72"/>
  <c r="AB47" i="72"/>
  <c r="AB43" i="72"/>
  <c r="AB39" i="72"/>
  <c r="AB31" i="72"/>
  <c r="AT26" i="72"/>
  <c r="S10" i="72"/>
  <c r="BC58" i="72"/>
  <c r="AB45" i="72"/>
  <c r="AT12" i="72"/>
  <c r="AK55" i="72"/>
  <c r="AB59" i="72"/>
  <c r="BC52" i="72"/>
  <c r="AT25" i="72"/>
  <c r="AT28" i="72"/>
  <c r="AB21" i="72"/>
  <c r="BC27" i="72"/>
  <c r="S58" i="72"/>
  <c r="S43" i="72"/>
  <c r="S52" i="72"/>
  <c r="S59" i="72"/>
  <c r="AB51" i="72"/>
  <c r="BC46" i="72"/>
  <c r="AK39" i="72"/>
  <c r="AK35" i="72"/>
  <c r="S24" i="72"/>
  <c r="S31" i="72"/>
  <c r="AK26" i="72"/>
  <c r="AK28" i="72"/>
  <c r="S21" i="72"/>
  <c r="AK16" i="72"/>
  <c r="AK12" i="72"/>
  <c r="AB19" i="72"/>
  <c r="BC12" i="72"/>
  <c r="BC43" i="72"/>
  <c r="S56" i="72"/>
  <c r="AB48" i="72"/>
  <c r="BC38" i="72"/>
  <c r="AT44" i="72"/>
  <c r="AK25" i="72"/>
  <c r="AB54" i="72"/>
  <c r="S47" i="72"/>
  <c r="AB24" i="72"/>
  <c r="AB55" i="72"/>
  <c r="AK31" i="72"/>
  <c r="BC33" i="72"/>
  <c r="BC28" i="72"/>
  <c r="S23" i="72"/>
  <c r="AK19" i="72"/>
  <c r="AK15" i="72"/>
  <c r="AB15" i="72"/>
  <c r="S51" i="72"/>
  <c r="AT46" i="72"/>
  <c r="AT42" i="72"/>
  <c r="AT30" i="72"/>
  <c r="AB52" i="72"/>
  <c r="AK40" i="72"/>
  <c r="BC56" i="72"/>
  <c r="AT10" i="72"/>
  <c r="AB41" i="72"/>
  <c r="AT43" i="72"/>
  <c r="AB28" i="72"/>
  <c r="S50" i="72"/>
  <c r="AB22" i="72"/>
  <c r="AK14" i="72"/>
  <c r="BC48" i="72"/>
  <c r="AK45" i="72"/>
  <c r="S18" i="72"/>
  <c r="BC16" i="72"/>
  <c r="AB14" i="72"/>
  <c r="AB25" i="72"/>
  <c r="S14" i="72"/>
  <c r="AT34" i="72"/>
  <c r="S57" i="72"/>
  <c r="AK57" i="72"/>
  <c r="AK46" i="72"/>
  <c r="BC37" i="72"/>
  <c r="AT50" i="72"/>
  <c r="AK43" i="72"/>
  <c r="BC34" i="72"/>
  <c r="AK27" i="72"/>
  <c r="AK23" i="72"/>
  <c r="BC17" i="72"/>
  <c r="AK20" i="72"/>
  <c r="BC15" i="72"/>
  <c r="BC10" i="72"/>
  <c r="S12" i="72"/>
  <c r="AT18" i="72"/>
  <c r="AB35" i="72"/>
  <c r="AB56" i="72"/>
  <c r="AB16" i="72"/>
  <c r="BC35" i="72"/>
  <c r="AK51" i="72"/>
  <c r="AT35" i="72"/>
  <c r="AB42" i="72"/>
  <c r="AB38" i="72"/>
  <c r="AB30" i="72"/>
  <c r="S38" i="72"/>
  <c r="AT16" i="72"/>
  <c r="S44" i="72"/>
  <c r="S42" i="72"/>
  <c r="S16" i="72"/>
  <c r="AB50" i="72"/>
  <c r="AK42" i="72"/>
  <c r="AT23" i="72"/>
  <c r="AK58" i="72"/>
  <c r="AT54" i="72"/>
  <c r="BC30" i="72"/>
  <c r="S35" i="72"/>
  <c r="AK30" i="72"/>
  <c r="BC25" i="72"/>
  <c r="AK22" i="72"/>
  <c r="S33" i="72"/>
  <c r="S25" i="72"/>
  <c r="BC18" i="72"/>
  <c r="AT14" i="72"/>
  <c r="AB10" i="72"/>
  <c r="S55" i="72"/>
  <c r="AB23" i="72"/>
  <c r="BC54" i="72"/>
  <c r="AB32" i="72"/>
  <c r="AB12" i="72"/>
  <c r="AT20" i="72"/>
  <c r="AB53" i="72"/>
  <c r="AK50" i="72"/>
  <c r="AT53" i="72"/>
  <c r="AT49" i="72"/>
  <c r="S39" i="72"/>
  <c r="S48" i="72"/>
  <c r="BC42" i="72"/>
  <c r="BC26" i="72"/>
  <c r="BC22" i="72"/>
  <c r="BC32" i="72"/>
  <c r="S19" i="72"/>
  <c r="BC31" i="72"/>
  <c r="AK24" i="72"/>
  <c r="BC19" i="72"/>
  <c r="BC14" i="72"/>
  <c r="AB58" i="72"/>
  <c r="AK54" i="72"/>
  <c r="BC49" i="72"/>
  <c r="AK59" i="72"/>
  <c r="AT51" i="72"/>
  <c r="AB20" i="72"/>
  <c r="AT15" i="72"/>
  <c r="AK56" i="72"/>
  <c r="AT40" i="72"/>
  <c r="AB37" i="72"/>
  <c r="AB40" i="72"/>
  <c r="AK53" i="72"/>
  <c r="AK49" i="72"/>
  <c r="AT41" i="72"/>
  <c r="AB26" i="72"/>
  <c r="AT21" i="72"/>
  <c r="BC13" i="72"/>
  <c r="BC44" i="72"/>
  <c r="S34" i="72"/>
  <c r="BC24" i="72"/>
  <c r="AK52" i="72"/>
  <c r="AB29" i="72"/>
  <c r="AT24" i="72"/>
  <c r="S36" i="72"/>
  <c r="S27" i="72"/>
  <c r="AB27" i="72"/>
  <c r="AT55" i="72"/>
  <c r="AK13" i="72"/>
  <c r="AB13" i="72"/>
  <c r="AB8" i="72"/>
  <c r="S8" i="72"/>
  <c r="BC8" i="72"/>
  <c r="AT8" i="72"/>
  <c r="AK8" i="72"/>
  <c r="J23" i="72"/>
  <c r="J37" i="72"/>
  <c r="J47" i="72"/>
  <c r="J19" i="72"/>
  <c r="J44" i="72"/>
  <c r="J28" i="72"/>
  <c r="J13" i="72"/>
  <c r="J52" i="72"/>
  <c r="J39" i="72"/>
  <c r="J27" i="72"/>
  <c r="J55" i="72"/>
  <c r="J34" i="72"/>
  <c r="J45" i="72"/>
  <c r="J41" i="72"/>
  <c r="J50" i="72"/>
  <c r="J15" i="72"/>
  <c r="J54" i="72"/>
  <c r="J56" i="72"/>
  <c r="J22" i="72"/>
  <c r="J8" i="72"/>
  <c r="J21" i="72"/>
  <c r="J12" i="72"/>
  <c r="J40" i="72"/>
  <c r="J20" i="72"/>
  <c r="J46" i="72"/>
  <c r="J42" i="72"/>
  <c r="J49" i="72"/>
  <c r="J35" i="72"/>
  <c r="J26" i="72"/>
  <c r="J10" i="72"/>
  <c r="J16" i="72"/>
  <c r="J17" i="72"/>
  <c r="J43" i="72"/>
  <c r="J32" i="72"/>
  <c r="J29" i="72"/>
  <c r="J31" i="72"/>
  <c r="J57" i="72"/>
  <c r="J30" i="72"/>
  <c r="J51" i="72"/>
  <c r="J48" i="72"/>
  <c r="J36" i="72"/>
  <c r="J24" i="72"/>
  <c r="J53" i="72"/>
  <c r="J14" i="72"/>
  <c r="J25" i="72"/>
  <c r="J58" i="72"/>
  <c r="J33" i="72"/>
  <c r="J18" i="72"/>
  <c r="J59" i="72"/>
  <c r="G42" i="121" l="1"/>
  <c r="AC103" i="121"/>
  <c r="AM11" i="73" l="1"/>
  <c r="A34" i="66"/>
  <c r="A35" i="66" s="1"/>
  <c r="A36" i="66" s="1"/>
  <c r="A37" i="66" s="1"/>
  <c r="A38" i="66" s="1"/>
  <c r="A39" i="66" s="1"/>
  <c r="A40" i="66" s="1"/>
  <c r="A41" i="66" s="1"/>
  <c r="A42" i="66" s="1"/>
  <c r="A43" i="66" s="1"/>
  <c r="A44" i="66" s="1"/>
  <c r="A45" i="66" s="1"/>
  <c r="A46" i="66" s="1"/>
  <c r="A47" i="66" s="1"/>
  <c r="A48" i="66" s="1"/>
  <c r="A49" i="66" s="1"/>
  <c r="A50" i="66" s="1"/>
  <c r="A51" i="66" s="1"/>
  <c r="A52" i="66" s="1"/>
  <c r="A53" i="66" s="1"/>
  <c r="A54" i="66" s="1"/>
  <c r="A55" i="66" s="1"/>
  <c r="A56" i="66" s="1"/>
  <c r="A57" i="66" s="1"/>
  <c r="A58" i="66" s="1"/>
  <c r="A59" i="66" s="1"/>
  <c r="A60" i="66" s="1"/>
  <c r="A61" i="66" s="1"/>
  <c r="A62" i="66" s="1"/>
  <c r="A63" i="66" s="1"/>
  <c r="A64" i="66" s="1"/>
  <c r="A65" i="66" s="1"/>
  <c r="A66" i="66" s="1"/>
  <c r="A67" i="66" s="1"/>
  <c r="A68" i="66" s="1"/>
  <c r="A69" i="66" s="1"/>
  <c r="A70" i="66" s="1"/>
  <c r="A71" i="66" s="1"/>
  <c r="A72" i="66" s="1"/>
  <c r="A73" i="66" s="1"/>
  <c r="A74" i="66" s="1"/>
  <c r="A75" i="66" s="1"/>
  <c r="A76" i="66" s="1"/>
  <c r="A77" i="66" s="1"/>
  <c r="A78" i="66" s="1"/>
  <c r="A79" i="66" s="1"/>
  <c r="A80" i="66" s="1"/>
  <c r="A81" i="66" s="1"/>
  <c r="A82" i="66" s="1"/>
  <c r="A83" i="66" s="1"/>
  <c r="A84" i="66" s="1"/>
  <c r="A85" i="66" s="1"/>
  <c r="A86" i="66" s="1"/>
  <c r="A87" i="66" s="1"/>
  <c r="A88" i="66" s="1"/>
  <c r="AN10" i="73"/>
  <c r="AM13" i="73" l="1"/>
  <c r="AN12" i="73"/>
  <c r="AM15" i="73" l="1"/>
  <c r="K110" i="121"/>
  <c r="K111" i="121"/>
  <c r="K112" i="121"/>
  <c r="K113" i="121"/>
  <c r="K114" i="121"/>
  <c r="K115" i="121"/>
  <c r="K116" i="121"/>
  <c r="K117" i="121"/>
  <c r="K118" i="121"/>
  <c r="K119" i="121"/>
  <c r="K120" i="121"/>
  <c r="K121" i="121"/>
  <c r="K122" i="121"/>
  <c r="K123" i="121"/>
  <c r="K124" i="121"/>
  <c r="K125" i="121"/>
  <c r="K126" i="121"/>
  <c r="K127" i="121"/>
  <c r="K128" i="121"/>
  <c r="K109" i="121"/>
  <c r="K107" i="121"/>
  <c r="AN14" i="73"/>
  <c r="AM17" i="73" l="1"/>
  <c r="E6" i="74"/>
  <c r="K103" i="121"/>
  <c r="E25" i="74"/>
  <c r="E32" i="74"/>
  <c r="E15" i="74"/>
  <c r="E19" i="74"/>
  <c r="E17" i="74"/>
  <c r="E24" i="74"/>
  <c r="E16" i="74"/>
  <c r="E31" i="74"/>
  <c r="E23" i="74"/>
  <c r="E30" i="74"/>
  <c r="E22" i="74"/>
  <c r="E14" i="74"/>
  <c r="E29" i="74"/>
  <c r="E21" i="74"/>
  <c r="E13" i="74"/>
  <c r="E28" i="74"/>
  <c r="E20" i="74"/>
  <c r="E27" i="74"/>
  <c r="E26" i="74"/>
  <c r="E18" i="74"/>
  <c r="E12" i="74"/>
  <c r="E8" i="74"/>
  <c r="E10" i="74"/>
  <c r="AM19" i="73"/>
  <c r="AN18" i="73"/>
  <c r="AN16" i="73"/>
  <c r="AM21" i="73" l="1"/>
  <c r="AN20" i="73"/>
  <c r="AM23" i="73" l="1"/>
  <c r="AN22" i="73"/>
  <c r="AM25" i="73" l="1"/>
  <c r="AN24" i="73"/>
  <c r="AM27" i="73" l="1"/>
  <c r="AN26" i="73"/>
  <c r="AM29" i="73" l="1"/>
  <c r="AN28" i="73"/>
  <c r="AM31" i="73" l="1"/>
  <c r="AN30" i="73"/>
  <c r="AM33" i="73" l="1"/>
  <c r="AN32" i="73"/>
  <c r="AM35" i="73" l="1"/>
  <c r="AN34" i="73"/>
  <c r="AM37" i="73" l="1"/>
  <c r="AN36" i="73"/>
  <c r="AM39" i="73" l="1"/>
  <c r="AN38" i="73"/>
  <c r="AM41" i="73" l="1"/>
  <c r="AN40" i="73"/>
  <c r="AM43" i="73" l="1"/>
  <c r="AN42" i="73"/>
  <c r="AM45" i="73" l="1"/>
  <c r="AN44" i="73"/>
  <c r="AM47" i="73" l="1"/>
  <c r="AN46" i="73"/>
  <c r="AM49" i="73" l="1"/>
  <c r="AN48" i="73"/>
  <c r="AM51" i="73" l="1"/>
  <c r="AN50" i="73"/>
  <c r="AM53" i="73" l="1"/>
  <c r="AN52" i="73"/>
  <c r="AM55" i="73" l="1"/>
  <c r="AN54" i="73"/>
  <c r="AM57" i="73" l="1"/>
  <c r="AN56" i="73"/>
  <c r="AM59" i="73" l="1"/>
  <c r="AN58" i="73"/>
  <c r="AM61" i="73" l="1"/>
  <c r="AN60" i="73"/>
  <c r="AM63" i="73" l="1"/>
  <c r="AN62" i="73"/>
  <c r="AM65" i="73" l="1"/>
  <c r="AN64" i="73"/>
  <c r="AM67" i="73" l="1"/>
  <c r="AN66" i="73"/>
  <c r="AM69" i="73" l="1"/>
  <c r="AN68" i="73"/>
  <c r="AM71" i="73" l="1"/>
  <c r="K59" i="73"/>
  <c r="AN70" i="73"/>
  <c r="K43" i="73" l="1"/>
  <c r="AH43" i="73"/>
  <c r="AH59" i="73"/>
  <c r="K34" i="73"/>
  <c r="AH34" i="73"/>
  <c r="K41" i="73"/>
  <c r="AH41" i="73"/>
  <c r="K35" i="73"/>
  <c r="AH35" i="73"/>
  <c r="K40" i="73"/>
  <c r="AH40" i="73"/>
  <c r="K47" i="73"/>
  <c r="AH47" i="73"/>
  <c r="K38" i="73"/>
  <c r="AH38" i="73"/>
  <c r="K51" i="73"/>
  <c r="AH51" i="73"/>
  <c r="K42" i="73"/>
  <c r="AH42" i="73"/>
  <c r="K58" i="73"/>
  <c r="AH58" i="73"/>
  <c r="K48" i="73"/>
  <c r="AH48" i="73"/>
  <c r="K56" i="73"/>
  <c r="AH56" i="73"/>
  <c r="K39" i="73"/>
  <c r="AH39" i="73"/>
  <c r="K54" i="73"/>
  <c r="AH54" i="73"/>
  <c r="K37" i="73"/>
  <c r="AH37" i="73"/>
  <c r="K50" i="73"/>
  <c r="AH50" i="73"/>
  <c r="K49" i="73"/>
  <c r="AH49" i="73"/>
  <c r="K33" i="73"/>
  <c r="AH33" i="73"/>
  <c r="K57" i="73"/>
  <c r="AH57" i="73"/>
  <c r="K32" i="73"/>
  <c r="AH32" i="73"/>
  <c r="K31" i="73"/>
  <c r="AH31" i="73"/>
  <c r="K46" i="73"/>
  <c r="AH46" i="73"/>
  <c r="K30" i="73"/>
  <c r="AH30" i="73"/>
  <c r="K53" i="73"/>
  <c r="AH53" i="73"/>
  <c r="K45" i="73"/>
  <c r="AH45" i="73"/>
  <c r="K29" i="73"/>
  <c r="AH29" i="73"/>
  <c r="K52" i="73"/>
  <c r="AH52" i="73"/>
  <c r="K44" i="73"/>
  <c r="AH44" i="73"/>
  <c r="K36" i="73"/>
  <c r="AH36" i="73"/>
  <c r="K28" i="73"/>
  <c r="AH28" i="73"/>
  <c r="K20" i="73"/>
  <c r="AH20" i="73"/>
  <c r="K12" i="73"/>
  <c r="AH12" i="73"/>
  <c r="K27" i="73"/>
  <c r="AH27" i="73"/>
  <c r="K19" i="73"/>
  <c r="AH19" i="73"/>
  <c r="K26" i="73"/>
  <c r="AH26" i="73"/>
  <c r="K18" i="73"/>
  <c r="AH18" i="73"/>
  <c r="K17" i="73"/>
  <c r="AH17" i="73"/>
  <c r="K16" i="73"/>
  <c r="AH16" i="73"/>
  <c r="K23" i="73"/>
  <c r="AH23" i="73"/>
  <c r="K15" i="73"/>
  <c r="AH15" i="73"/>
  <c r="K22" i="73"/>
  <c r="AH22" i="73"/>
  <c r="K14" i="73"/>
  <c r="AH14" i="73"/>
  <c r="K25" i="73"/>
  <c r="AH25" i="73"/>
  <c r="K24" i="73"/>
  <c r="AH24" i="73"/>
  <c r="K8" i="73"/>
  <c r="AH8" i="73"/>
  <c r="K21" i="73"/>
  <c r="AH21" i="73"/>
  <c r="K13" i="73"/>
  <c r="AH13" i="73"/>
  <c r="K10" i="73"/>
  <c r="AH10" i="73"/>
  <c r="Q51" i="73"/>
  <c r="Q43" i="73"/>
  <c r="Q35" i="73"/>
  <c r="Q19" i="73"/>
  <c r="Q50" i="73"/>
  <c r="Q42" i="73"/>
  <c r="Q34" i="73"/>
  <c r="Q26" i="73"/>
  <c r="Q18" i="73"/>
  <c r="Q57" i="73"/>
  <c r="Q49" i="73"/>
  <c r="Q41" i="73"/>
  <c r="Q33" i="73"/>
  <c r="Q25" i="73"/>
  <c r="Q17" i="73"/>
  <c r="Q56" i="73"/>
  <c r="Q48" i="73"/>
  <c r="Q40" i="73"/>
  <c r="Q32" i="73"/>
  <c r="Q24" i="73"/>
  <c r="Q16" i="73"/>
  <c r="Q55" i="73"/>
  <c r="Q47" i="73"/>
  <c r="Q39" i="73"/>
  <c r="Q31" i="73"/>
  <c r="Q23" i="73"/>
  <c r="Q15" i="73"/>
  <c r="Q8" i="73"/>
  <c r="Q54" i="73"/>
  <c r="Q46" i="73"/>
  <c r="Q38" i="73"/>
  <c r="Q30" i="73"/>
  <c r="Q22" i="73"/>
  <c r="Q14" i="73"/>
  <c r="Q10" i="73"/>
  <c r="Q53" i="73"/>
  <c r="Q45" i="73"/>
  <c r="Q37" i="73"/>
  <c r="Q29" i="73"/>
  <c r="Q21" i="73"/>
  <c r="Q13" i="73"/>
  <c r="Q59" i="73"/>
  <c r="Q27" i="73"/>
  <c r="Q58" i="73"/>
  <c r="Q12" i="73"/>
  <c r="Q52" i="73"/>
  <c r="Q44" i="73"/>
  <c r="Q36" i="73"/>
  <c r="Q28" i="73"/>
  <c r="Q20" i="73"/>
  <c r="AM73" i="73"/>
  <c r="H15" i="24" l="1"/>
  <c r="I15" i="24" s="1"/>
  <c r="K15" i="24" s="1"/>
  <c r="H8" i="24"/>
  <c r="I8" i="24" s="1"/>
  <c r="K8" i="24" s="1"/>
  <c r="H9" i="24"/>
  <c r="I9" i="24" s="1"/>
  <c r="K9" i="24" s="1"/>
  <c r="H10" i="24"/>
  <c r="I10" i="24" s="1"/>
  <c r="K10" i="24" s="1"/>
  <c r="H13" i="24"/>
  <c r="I13" i="24" s="1"/>
  <c r="K13" i="24" s="1"/>
  <c r="H7" i="24"/>
  <c r="I7" i="24" s="1"/>
  <c r="K7" i="24" s="1"/>
  <c r="H11" i="24"/>
  <c r="I11" i="24" s="1"/>
  <c r="K11" i="24" s="1"/>
  <c r="H17" i="24"/>
  <c r="I17" i="24" s="1"/>
  <c r="K17" i="24" s="1"/>
  <c r="H12" i="24"/>
  <c r="I12" i="24" s="1"/>
  <c r="K12" i="24" s="1"/>
  <c r="R44" i="73"/>
  <c r="N72" i="152" s="1"/>
  <c r="L44" i="73"/>
  <c r="R38" i="73"/>
  <c r="N66" i="152" s="1"/>
  <c r="L38" i="73"/>
  <c r="R17" i="73"/>
  <c r="N45" i="152" s="1"/>
  <c r="L17" i="73"/>
  <c r="R52" i="73"/>
  <c r="N80" i="152" s="1"/>
  <c r="L52" i="73"/>
  <c r="R46" i="73"/>
  <c r="N74" i="152" s="1"/>
  <c r="L46" i="73"/>
  <c r="R25" i="73"/>
  <c r="N53" i="152" s="1"/>
  <c r="L25" i="73"/>
  <c r="R45" i="73"/>
  <c r="N73" i="152" s="1"/>
  <c r="L45" i="73"/>
  <c r="R16" i="73"/>
  <c r="N44" i="152" s="1"/>
  <c r="L16" i="73"/>
  <c r="R50" i="73"/>
  <c r="N78" i="152" s="1"/>
  <c r="L50" i="73"/>
  <c r="R53" i="73"/>
  <c r="N81" i="152" s="1"/>
  <c r="L53" i="73"/>
  <c r="R24" i="73"/>
  <c r="N52" i="152" s="1"/>
  <c r="L24" i="73"/>
  <c r="R27" i="73"/>
  <c r="N55" i="152" s="1"/>
  <c r="L27" i="73"/>
  <c r="R10" i="73"/>
  <c r="N38" i="152" s="1"/>
  <c r="L10" i="73"/>
  <c r="R32" i="73"/>
  <c r="N60" i="152" s="1"/>
  <c r="L32" i="73"/>
  <c r="R49" i="73"/>
  <c r="N77" i="152" s="1"/>
  <c r="L49" i="73"/>
  <c r="R35" i="73"/>
  <c r="N63" i="152" s="1"/>
  <c r="L35" i="73"/>
  <c r="R20" i="73"/>
  <c r="N48" i="152" s="1"/>
  <c r="L20" i="73"/>
  <c r="R59" i="73"/>
  <c r="N87" i="152" s="1"/>
  <c r="L59" i="73"/>
  <c r="R14" i="73"/>
  <c r="N42" i="152" s="1"/>
  <c r="L14" i="73"/>
  <c r="R23" i="73"/>
  <c r="N51" i="152" s="1"/>
  <c r="L23" i="73"/>
  <c r="R40" i="73"/>
  <c r="N68" i="152" s="1"/>
  <c r="L40" i="73"/>
  <c r="R57" i="73"/>
  <c r="N85" i="152" s="1"/>
  <c r="L57" i="73"/>
  <c r="R43" i="73"/>
  <c r="N71" i="152" s="1"/>
  <c r="L43" i="73"/>
  <c r="R29" i="73"/>
  <c r="N57" i="152" s="1"/>
  <c r="L29" i="73"/>
  <c r="R47" i="73"/>
  <c r="N75" i="152" s="1"/>
  <c r="L47" i="73"/>
  <c r="R34" i="73"/>
  <c r="N62" i="152" s="1"/>
  <c r="L34" i="73"/>
  <c r="R37" i="73"/>
  <c r="N65" i="152" s="1"/>
  <c r="L37" i="73"/>
  <c r="R55" i="73"/>
  <c r="N83" i="152" s="1"/>
  <c r="L55" i="73"/>
  <c r="R42" i="73"/>
  <c r="N70" i="152" s="1"/>
  <c r="L42" i="73"/>
  <c r="R12" i="73"/>
  <c r="N40" i="152" s="1"/>
  <c r="L12" i="73"/>
  <c r="R54" i="73"/>
  <c r="N82" i="152" s="1"/>
  <c r="L54" i="73"/>
  <c r="R33" i="73"/>
  <c r="N61" i="152" s="1"/>
  <c r="L33" i="73"/>
  <c r="R58" i="73"/>
  <c r="N86" i="152" s="1"/>
  <c r="L58" i="73"/>
  <c r="R8" i="73"/>
  <c r="N36" i="152" s="1"/>
  <c r="L8" i="73"/>
  <c r="R41" i="73"/>
  <c r="N69" i="152" s="1"/>
  <c r="L41" i="73"/>
  <c r="R19" i="73"/>
  <c r="N47" i="152" s="1"/>
  <c r="L19" i="73"/>
  <c r="R15" i="73"/>
  <c r="N43" i="152" s="1"/>
  <c r="L15" i="73"/>
  <c r="R28" i="73"/>
  <c r="N56" i="152" s="1"/>
  <c r="L28" i="73"/>
  <c r="R13" i="73"/>
  <c r="N41" i="152" s="1"/>
  <c r="L13" i="73"/>
  <c r="R22" i="73"/>
  <c r="N50" i="152" s="1"/>
  <c r="L22" i="73"/>
  <c r="R31" i="73"/>
  <c r="N59" i="152" s="1"/>
  <c r="L31" i="73"/>
  <c r="R48" i="73"/>
  <c r="N76" i="152" s="1"/>
  <c r="L48" i="73"/>
  <c r="R18" i="73"/>
  <c r="N46" i="152" s="1"/>
  <c r="L18" i="73"/>
  <c r="R51" i="73"/>
  <c r="N79" i="152" s="1"/>
  <c r="L51" i="73"/>
  <c r="R36" i="73"/>
  <c r="N64" i="152" s="1"/>
  <c r="L36" i="73"/>
  <c r="R21" i="73"/>
  <c r="N49" i="152" s="1"/>
  <c r="L21" i="73"/>
  <c r="R30" i="73"/>
  <c r="N58" i="152" s="1"/>
  <c r="L30" i="73"/>
  <c r="R39" i="73"/>
  <c r="N67" i="152" s="1"/>
  <c r="L39" i="73"/>
  <c r="R56" i="73"/>
  <c r="N84" i="152" s="1"/>
  <c r="L56" i="73"/>
  <c r="R26" i="73"/>
  <c r="N54" i="152" s="1"/>
  <c r="L26" i="73"/>
  <c r="T50" i="73"/>
  <c r="AM75" i="73"/>
  <c r="AN72" i="73"/>
  <c r="I67" i="152" l="1"/>
  <c r="J67" i="152"/>
  <c r="I61" i="152"/>
  <c r="J61" i="152"/>
  <c r="I51" i="152"/>
  <c r="J51" i="152"/>
  <c r="I80" i="152"/>
  <c r="J80" i="152"/>
  <c r="I69" i="152"/>
  <c r="J69" i="152"/>
  <c r="I36" i="152"/>
  <c r="J36" i="152"/>
  <c r="I40" i="152"/>
  <c r="J40" i="152"/>
  <c r="I62" i="152"/>
  <c r="J62" i="152"/>
  <c r="I85" i="152"/>
  <c r="J85" i="152"/>
  <c r="I87" i="152"/>
  <c r="J87" i="152"/>
  <c r="I60" i="152"/>
  <c r="J60" i="152"/>
  <c r="I81" i="152"/>
  <c r="J81" i="152"/>
  <c r="I53" i="152"/>
  <c r="I92" i="152" s="1"/>
  <c r="J53" i="152"/>
  <c r="J92" i="152" s="1"/>
  <c r="I66" i="152"/>
  <c r="J66" i="152"/>
  <c r="I50" i="152"/>
  <c r="J50" i="152"/>
  <c r="I57" i="152"/>
  <c r="J57" i="152"/>
  <c r="I55" i="152"/>
  <c r="J55" i="152"/>
  <c r="I58" i="152"/>
  <c r="J58" i="152"/>
  <c r="I82" i="152"/>
  <c r="J82" i="152"/>
  <c r="I42" i="152"/>
  <c r="J42" i="152"/>
  <c r="I73" i="152"/>
  <c r="J73" i="152"/>
  <c r="I49" i="152"/>
  <c r="J49" i="152"/>
  <c r="I47" i="152"/>
  <c r="J47" i="152"/>
  <c r="I41" i="152"/>
  <c r="J41" i="152"/>
  <c r="I65" i="152"/>
  <c r="J65" i="152"/>
  <c r="I77" i="152"/>
  <c r="J77" i="152"/>
  <c r="I76" i="152"/>
  <c r="J76" i="152"/>
  <c r="I64" i="152"/>
  <c r="J64" i="152"/>
  <c r="I43" i="152"/>
  <c r="J43" i="152"/>
  <c r="I86" i="152"/>
  <c r="J86" i="152"/>
  <c r="I70" i="152"/>
  <c r="J70" i="152"/>
  <c r="I75" i="152"/>
  <c r="J75" i="152"/>
  <c r="I68" i="152"/>
  <c r="J68" i="152"/>
  <c r="I48" i="152"/>
  <c r="J48" i="152"/>
  <c r="I38" i="152"/>
  <c r="J38" i="152"/>
  <c r="I78" i="152"/>
  <c r="J78" i="152"/>
  <c r="I74" i="152"/>
  <c r="J74" i="152"/>
  <c r="I72" i="152"/>
  <c r="J72" i="152"/>
  <c r="I79" i="152"/>
  <c r="J79" i="152"/>
  <c r="I83" i="152"/>
  <c r="J83" i="152"/>
  <c r="I63" i="152"/>
  <c r="J63" i="152"/>
  <c r="I44" i="152"/>
  <c r="J44" i="152"/>
  <c r="I46" i="152"/>
  <c r="J46" i="152"/>
  <c r="I71" i="152"/>
  <c r="J71" i="152"/>
  <c r="I52" i="152"/>
  <c r="J52" i="152"/>
  <c r="I45" i="152"/>
  <c r="J45" i="152"/>
  <c r="I54" i="152"/>
  <c r="J54" i="152"/>
  <c r="I56" i="152"/>
  <c r="J56" i="152"/>
  <c r="I84" i="152"/>
  <c r="J84" i="152"/>
  <c r="I59" i="152"/>
  <c r="J59" i="152"/>
  <c r="N58" i="146"/>
  <c r="N69" i="146"/>
  <c r="N65" i="146"/>
  <c r="N42" i="146"/>
  <c r="N52" i="146"/>
  <c r="N73" i="146"/>
  <c r="N45" i="146"/>
  <c r="N54" i="146"/>
  <c r="N40" i="146"/>
  <c r="N86" i="146"/>
  <c r="N78" i="146"/>
  <c r="N41" i="146"/>
  <c r="N71" i="146"/>
  <c r="N49" i="146"/>
  <c r="I49" i="146" s="1"/>
  <c r="N56" i="146"/>
  <c r="N62" i="146"/>
  <c r="N87" i="146"/>
  <c r="G87" i="146" s="1"/>
  <c r="N81" i="146"/>
  <c r="N53" i="146"/>
  <c r="N66" i="146"/>
  <c r="N84" i="146"/>
  <c r="N59" i="146"/>
  <c r="N75" i="146"/>
  <c r="N46" i="146"/>
  <c r="N82" i="146"/>
  <c r="N77" i="146"/>
  <c r="N76" i="146"/>
  <c r="N36" i="146"/>
  <c r="N85" i="146"/>
  <c r="N60" i="146"/>
  <c r="N64" i="146"/>
  <c r="N43" i="146"/>
  <c r="N70" i="146"/>
  <c r="G70" i="146" s="1"/>
  <c r="N68" i="146"/>
  <c r="N48" i="146"/>
  <c r="N38" i="146"/>
  <c r="N74" i="146"/>
  <c r="N72" i="146"/>
  <c r="N67" i="146"/>
  <c r="G67" i="146" s="1"/>
  <c r="N79" i="146"/>
  <c r="N50" i="146"/>
  <c r="G50" i="146" s="1"/>
  <c r="N47" i="146"/>
  <c r="N61" i="146"/>
  <c r="G61" i="146" s="1"/>
  <c r="N83" i="146"/>
  <c r="N57" i="146"/>
  <c r="N51" i="146"/>
  <c r="N63" i="146"/>
  <c r="I63" i="146" s="1"/>
  <c r="N55" i="146"/>
  <c r="N44" i="146"/>
  <c r="I44" i="146" s="1"/>
  <c r="N80" i="146"/>
  <c r="G85" i="146"/>
  <c r="I85" i="146"/>
  <c r="G71" i="146"/>
  <c r="I71" i="146"/>
  <c r="G84" i="146"/>
  <c r="I84" i="146"/>
  <c r="G52" i="146"/>
  <c r="I74" i="146"/>
  <c r="G57" i="146"/>
  <c r="BD42" i="69"/>
  <c r="AU42" i="69"/>
  <c r="AL42" i="69"/>
  <c r="BC42" i="69"/>
  <c r="AT42" i="69"/>
  <c r="AK42" i="69"/>
  <c r="BB42" i="69"/>
  <c r="AS42" i="69"/>
  <c r="AZ42" i="69"/>
  <c r="AP42" i="69"/>
  <c r="AO42" i="69"/>
  <c r="AN42" i="69"/>
  <c r="AW42" i="69"/>
  <c r="AV42" i="69"/>
  <c r="AY42" i="69"/>
  <c r="AM42" i="69"/>
  <c r="Q42" i="69"/>
  <c r="Z42" i="69"/>
  <c r="BA42" i="69"/>
  <c r="J42" i="69"/>
  <c r="S42" i="69"/>
  <c r="AB42" i="69"/>
  <c r="M42" i="69"/>
  <c r="W42" i="69"/>
  <c r="U42" i="69"/>
  <c r="I42" i="69"/>
  <c r="X42" i="69"/>
  <c r="K42" i="69"/>
  <c r="Y42" i="69"/>
  <c r="AR42" i="69"/>
  <c r="L42" i="69"/>
  <c r="AA42" i="69"/>
  <c r="N42" i="69"/>
  <c r="P42" i="69"/>
  <c r="R42" i="69"/>
  <c r="T42" i="69"/>
  <c r="BD54" i="69"/>
  <c r="AU54" i="69"/>
  <c r="AL54" i="69"/>
  <c r="BC54" i="69"/>
  <c r="AT54" i="69"/>
  <c r="AK54" i="69"/>
  <c r="BB54" i="69"/>
  <c r="AS54" i="69"/>
  <c r="AZ54" i="69"/>
  <c r="AP54" i="69"/>
  <c r="AY54" i="69"/>
  <c r="AW54" i="69"/>
  <c r="AN54" i="69"/>
  <c r="AM54" i="69"/>
  <c r="AV54" i="69"/>
  <c r="BA54" i="69"/>
  <c r="AO54" i="69"/>
  <c r="I54" i="69"/>
  <c r="R54" i="69"/>
  <c r="AA54" i="69"/>
  <c r="J54" i="69"/>
  <c r="S54" i="69"/>
  <c r="AB54" i="69"/>
  <c r="K54" i="69"/>
  <c r="T54" i="69"/>
  <c r="L54" i="69"/>
  <c r="U54" i="69"/>
  <c r="M54" i="69"/>
  <c r="W54" i="69"/>
  <c r="AR54" i="69"/>
  <c r="N54" i="69"/>
  <c r="P54" i="69"/>
  <c r="Q54" i="69"/>
  <c r="X54" i="69"/>
  <c r="Y54" i="69"/>
  <c r="Z54" i="69"/>
  <c r="BB25" i="69"/>
  <c r="AS25" i="69"/>
  <c r="BA25" i="69"/>
  <c r="AR25" i="69"/>
  <c r="AV25" i="69"/>
  <c r="AM25" i="69"/>
  <c r="BD25" i="69"/>
  <c r="AU25" i="69"/>
  <c r="AL25" i="69"/>
  <c r="AN25" i="69"/>
  <c r="M25" i="69"/>
  <c r="W25" i="69"/>
  <c r="AZ25" i="69"/>
  <c r="P25" i="69"/>
  <c r="Y25" i="69"/>
  <c r="AT25" i="69"/>
  <c r="J25" i="69"/>
  <c r="S25" i="69"/>
  <c r="AB25" i="69"/>
  <c r="AP25" i="69"/>
  <c r="U25" i="69"/>
  <c r="AK25" i="69"/>
  <c r="K25" i="69"/>
  <c r="Z25" i="69"/>
  <c r="BC25" i="69"/>
  <c r="Q25" i="69"/>
  <c r="N25" i="69"/>
  <c r="R25" i="69"/>
  <c r="T25" i="69"/>
  <c r="AY25" i="69"/>
  <c r="X25" i="69"/>
  <c r="AW25" i="69"/>
  <c r="AA25" i="69"/>
  <c r="AO25" i="69"/>
  <c r="I25" i="69"/>
  <c r="L25" i="69"/>
  <c r="AZ22" i="69"/>
  <c r="AP22" i="69"/>
  <c r="AY22" i="69"/>
  <c r="AO22" i="69"/>
  <c r="BC22" i="69"/>
  <c r="AT22" i="69"/>
  <c r="AK22" i="69"/>
  <c r="BB22" i="69"/>
  <c r="AS22" i="69"/>
  <c r="AU22" i="69"/>
  <c r="K22" i="69"/>
  <c r="T22" i="69"/>
  <c r="AN22" i="69"/>
  <c r="M22" i="69"/>
  <c r="W22" i="69"/>
  <c r="BA22" i="69"/>
  <c r="Q22" i="69"/>
  <c r="Z22" i="69"/>
  <c r="AV22" i="69"/>
  <c r="J22" i="69"/>
  <c r="Y22" i="69"/>
  <c r="AM22" i="69"/>
  <c r="N22" i="69"/>
  <c r="AB22" i="69"/>
  <c r="S22" i="69"/>
  <c r="AL22" i="69"/>
  <c r="I22" i="69"/>
  <c r="L22" i="69"/>
  <c r="P22" i="69"/>
  <c r="R22" i="69"/>
  <c r="BD22" i="69"/>
  <c r="U22" i="69"/>
  <c r="AW22" i="69"/>
  <c r="AR22" i="69"/>
  <c r="X22" i="69"/>
  <c r="AA22" i="69"/>
  <c r="AZ36" i="69"/>
  <c r="AP36" i="69"/>
  <c r="AY36" i="69"/>
  <c r="AO36" i="69"/>
  <c r="AW36" i="69"/>
  <c r="AN36" i="69"/>
  <c r="BD36" i="69"/>
  <c r="AU36" i="69"/>
  <c r="AL36" i="69"/>
  <c r="BC36" i="69"/>
  <c r="AK36" i="69"/>
  <c r="BB36" i="69"/>
  <c r="AS36" i="69"/>
  <c r="AR36" i="69"/>
  <c r="P36" i="69"/>
  <c r="Y36" i="69"/>
  <c r="BA36" i="69"/>
  <c r="AM36" i="69"/>
  <c r="I36" i="69"/>
  <c r="S36" i="69"/>
  <c r="K36" i="69"/>
  <c r="U36" i="69"/>
  <c r="N36" i="69"/>
  <c r="Z36" i="69"/>
  <c r="J36" i="69"/>
  <c r="AA36" i="69"/>
  <c r="L36" i="69"/>
  <c r="AB36" i="69"/>
  <c r="M36" i="69"/>
  <c r="Q36" i="69"/>
  <c r="R36" i="69"/>
  <c r="AV36" i="69"/>
  <c r="T36" i="69"/>
  <c r="AT36" i="69"/>
  <c r="W36" i="69"/>
  <c r="X36" i="69"/>
  <c r="BD58" i="69"/>
  <c r="AU58" i="69"/>
  <c r="AL58" i="69"/>
  <c r="BC58" i="69"/>
  <c r="AT58" i="69"/>
  <c r="AK58" i="69"/>
  <c r="BB58" i="69"/>
  <c r="AS58" i="69"/>
  <c r="AZ58" i="69"/>
  <c r="AP58" i="69"/>
  <c r="AO58" i="69"/>
  <c r="AN58" i="69"/>
  <c r="AW58" i="69"/>
  <c r="AV58" i="69"/>
  <c r="AY58" i="69"/>
  <c r="AM58" i="69"/>
  <c r="BA58" i="69"/>
  <c r="I58" i="69"/>
  <c r="R58" i="69"/>
  <c r="AA58" i="69"/>
  <c r="K58" i="69"/>
  <c r="T58" i="69"/>
  <c r="L58" i="69"/>
  <c r="M58" i="69"/>
  <c r="W58" i="69"/>
  <c r="U58" i="69"/>
  <c r="X58" i="69"/>
  <c r="Q58" i="69"/>
  <c r="S58" i="69"/>
  <c r="Y58" i="69"/>
  <c r="J58" i="69"/>
  <c r="Z58" i="69"/>
  <c r="AR58" i="69"/>
  <c r="N58" i="69"/>
  <c r="AB58" i="69"/>
  <c r="P58" i="69"/>
  <c r="AZ32" i="69"/>
  <c r="AP32" i="69"/>
  <c r="AY32" i="69"/>
  <c r="AO32" i="69"/>
  <c r="AW32" i="69"/>
  <c r="AN32" i="69"/>
  <c r="BD32" i="69"/>
  <c r="AU32" i="69"/>
  <c r="AL32" i="69"/>
  <c r="AT32" i="69"/>
  <c r="AS32" i="69"/>
  <c r="BB32" i="69"/>
  <c r="BA32" i="69"/>
  <c r="AK32" i="69"/>
  <c r="P32" i="69"/>
  <c r="Y32" i="69"/>
  <c r="AV32" i="69"/>
  <c r="AM32" i="69"/>
  <c r="R32" i="69"/>
  <c r="AB32" i="69"/>
  <c r="J32" i="69"/>
  <c r="T32" i="69"/>
  <c r="M32" i="69"/>
  <c r="X32" i="69"/>
  <c r="I32" i="69"/>
  <c r="Z32" i="69"/>
  <c r="K32" i="69"/>
  <c r="AA32" i="69"/>
  <c r="L32" i="69"/>
  <c r="N32" i="69"/>
  <c r="BC32" i="69"/>
  <c r="Q32" i="69"/>
  <c r="AR32" i="69"/>
  <c r="S32" i="69"/>
  <c r="W32" i="69"/>
  <c r="U32" i="69"/>
  <c r="AZ26" i="69"/>
  <c r="AP26" i="69"/>
  <c r="AY26" i="69"/>
  <c r="AO26" i="69"/>
  <c r="BC26" i="69"/>
  <c r="AT26" i="69"/>
  <c r="AK26" i="69"/>
  <c r="BB26" i="69"/>
  <c r="AS26" i="69"/>
  <c r="BD26" i="69"/>
  <c r="AL26" i="69"/>
  <c r="K26" i="69"/>
  <c r="T26" i="69"/>
  <c r="AW26" i="69"/>
  <c r="M26" i="69"/>
  <c r="W26" i="69"/>
  <c r="AR26" i="69"/>
  <c r="Q26" i="69"/>
  <c r="Z26" i="69"/>
  <c r="BA26" i="69"/>
  <c r="P26" i="69"/>
  <c r="AU26" i="69"/>
  <c r="S26" i="69"/>
  <c r="J26" i="69"/>
  <c r="Y26" i="69"/>
  <c r="AV26" i="69"/>
  <c r="R26" i="69"/>
  <c r="AN26" i="69"/>
  <c r="U26" i="69"/>
  <c r="AM26" i="69"/>
  <c r="X26" i="69"/>
  <c r="AA26" i="69"/>
  <c r="AB26" i="69"/>
  <c r="I26" i="69"/>
  <c r="L26" i="69"/>
  <c r="N26" i="69"/>
  <c r="BD38" i="69"/>
  <c r="AU38" i="69"/>
  <c r="AL38" i="69"/>
  <c r="BC38" i="69"/>
  <c r="AT38" i="69"/>
  <c r="AK38" i="69"/>
  <c r="BB38" i="69"/>
  <c r="AS38" i="69"/>
  <c r="AZ38" i="69"/>
  <c r="AP38" i="69"/>
  <c r="AY38" i="69"/>
  <c r="AW38" i="69"/>
  <c r="AN38" i="69"/>
  <c r="AM38" i="69"/>
  <c r="AV38" i="69"/>
  <c r="Q38" i="69"/>
  <c r="Z38" i="69"/>
  <c r="J38" i="69"/>
  <c r="S38" i="69"/>
  <c r="AB38" i="69"/>
  <c r="BA38" i="69"/>
  <c r="M38" i="69"/>
  <c r="W38" i="69"/>
  <c r="P38" i="69"/>
  <c r="R38" i="69"/>
  <c r="AR38" i="69"/>
  <c r="T38" i="69"/>
  <c r="AO38" i="69"/>
  <c r="U38" i="69"/>
  <c r="I38" i="69"/>
  <c r="X38" i="69"/>
  <c r="K38" i="69"/>
  <c r="Y38" i="69"/>
  <c r="AA38" i="69"/>
  <c r="L38" i="69"/>
  <c r="N38" i="69"/>
  <c r="BD30" i="69"/>
  <c r="AU30" i="69"/>
  <c r="AL30" i="69"/>
  <c r="BC30" i="69"/>
  <c r="AT30" i="69"/>
  <c r="AK30" i="69"/>
  <c r="BB30" i="69"/>
  <c r="AS30" i="69"/>
  <c r="AZ30" i="69"/>
  <c r="AP30" i="69"/>
  <c r="AY30" i="69"/>
  <c r="AW30" i="69"/>
  <c r="AN30" i="69"/>
  <c r="AM30" i="69"/>
  <c r="AO30" i="69"/>
  <c r="K30" i="69"/>
  <c r="T30" i="69"/>
  <c r="M30" i="69"/>
  <c r="W30" i="69"/>
  <c r="BA30" i="69"/>
  <c r="Q30" i="69"/>
  <c r="Z30" i="69"/>
  <c r="U30" i="69"/>
  <c r="J30" i="69"/>
  <c r="Y30" i="69"/>
  <c r="AR30" i="69"/>
  <c r="P30" i="69"/>
  <c r="AV30" i="69"/>
  <c r="AB30" i="69"/>
  <c r="I30" i="69"/>
  <c r="L30" i="69"/>
  <c r="N30" i="69"/>
  <c r="R30" i="69"/>
  <c r="S30" i="69"/>
  <c r="X30" i="69"/>
  <c r="AA30" i="69"/>
  <c r="AW19" i="69"/>
  <c r="AN19" i="69"/>
  <c r="I19" i="69"/>
  <c r="R19" i="69"/>
  <c r="AV19" i="69"/>
  <c r="AM19" i="69"/>
  <c r="J19" i="69"/>
  <c r="S19" i="69"/>
  <c r="BA19" i="69"/>
  <c r="AR19" i="69"/>
  <c r="AZ19" i="69"/>
  <c r="AP19" i="69"/>
  <c r="BB19" i="69"/>
  <c r="P19" i="69"/>
  <c r="AA19" i="69"/>
  <c r="AU19" i="69"/>
  <c r="T19" i="69"/>
  <c r="AO19" i="69"/>
  <c r="L19" i="69"/>
  <c r="X19" i="69"/>
  <c r="AY19" i="69"/>
  <c r="K19" i="69"/>
  <c r="AB19" i="69"/>
  <c r="AS19" i="69"/>
  <c r="N19" i="69"/>
  <c r="W19" i="69"/>
  <c r="BC19" i="69"/>
  <c r="U19" i="69"/>
  <c r="AT19" i="69"/>
  <c r="Y19" i="69"/>
  <c r="AL19" i="69"/>
  <c r="Z19" i="69"/>
  <c r="AK19" i="69"/>
  <c r="BD19" i="69"/>
  <c r="M19" i="69"/>
  <c r="Q19" i="69"/>
  <c r="BB55" i="69"/>
  <c r="AS55" i="69"/>
  <c r="BA55" i="69"/>
  <c r="AR55" i="69"/>
  <c r="AZ55" i="69"/>
  <c r="AP55" i="69"/>
  <c r="AW55" i="69"/>
  <c r="AN55" i="69"/>
  <c r="AV55" i="69"/>
  <c r="AU55" i="69"/>
  <c r="BD55" i="69"/>
  <c r="AL55" i="69"/>
  <c r="BC55" i="69"/>
  <c r="AK55" i="69"/>
  <c r="AM55" i="69"/>
  <c r="AY55" i="69"/>
  <c r="P55" i="69"/>
  <c r="Y55" i="69"/>
  <c r="Q55" i="69"/>
  <c r="Z55" i="69"/>
  <c r="I55" i="69"/>
  <c r="R55" i="69"/>
  <c r="AA55" i="69"/>
  <c r="J55" i="69"/>
  <c r="S55" i="69"/>
  <c r="AB55" i="69"/>
  <c r="AT55" i="69"/>
  <c r="K55" i="69"/>
  <c r="T55" i="69"/>
  <c r="AO55" i="69"/>
  <c r="N55" i="69"/>
  <c r="U55" i="69"/>
  <c r="L55" i="69"/>
  <c r="M55" i="69"/>
  <c r="W55" i="69"/>
  <c r="X55" i="69"/>
  <c r="AW33" i="69"/>
  <c r="AN33" i="69"/>
  <c r="AV33" i="69"/>
  <c r="AM33" i="69"/>
  <c r="BD33" i="69"/>
  <c r="AU33" i="69"/>
  <c r="AL33" i="69"/>
  <c r="BB33" i="69"/>
  <c r="AS33" i="69"/>
  <c r="AR33" i="69"/>
  <c r="AP33" i="69"/>
  <c r="AZ33" i="69"/>
  <c r="AY33" i="69"/>
  <c r="BA33" i="69"/>
  <c r="M33" i="69"/>
  <c r="W33" i="69"/>
  <c r="AO33" i="69"/>
  <c r="R33" i="69"/>
  <c r="AB33" i="69"/>
  <c r="J33" i="69"/>
  <c r="T33" i="69"/>
  <c r="AK33" i="69"/>
  <c r="N33" i="69"/>
  <c r="Y33" i="69"/>
  <c r="U33" i="69"/>
  <c r="X33" i="69"/>
  <c r="BC33" i="69"/>
  <c r="I33" i="69"/>
  <c r="Z33" i="69"/>
  <c r="AT33" i="69"/>
  <c r="K33" i="69"/>
  <c r="AA33" i="69"/>
  <c r="L33" i="69"/>
  <c r="P33" i="69"/>
  <c r="Q33" i="69"/>
  <c r="S33" i="69"/>
  <c r="AZ44" i="69"/>
  <c r="AP44" i="69"/>
  <c r="AY44" i="69"/>
  <c r="AO44" i="69"/>
  <c r="AW44" i="69"/>
  <c r="AN44" i="69"/>
  <c r="BD44" i="69"/>
  <c r="AU44" i="69"/>
  <c r="AL44" i="69"/>
  <c r="BC44" i="69"/>
  <c r="AK44" i="69"/>
  <c r="BB44" i="69"/>
  <c r="AS44" i="69"/>
  <c r="AR44" i="69"/>
  <c r="AT44" i="69"/>
  <c r="L44" i="69"/>
  <c r="U44" i="69"/>
  <c r="N44" i="69"/>
  <c r="X44" i="69"/>
  <c r="AV44" i="69"/>
  <c r="AM44" i="69"/>
  <c r="S44" i="69"/>
  <c r="I44" i="69"/>
  <c r="T44" i="69"/>
  <c r="J44" i="69"/>
  <c r="W44" i="69"/>
  <c r="K44" i="69"/>
  <c r="Y44" i="69"/>
  <c r="M44" i="69"/>
  <c r="Z44" i="69"/>
  <c r="P44" i="69"/>
  <c r="AA44" i="69"/>
  <c r="AB44" i="69"/>
  <c r="Q44" i="69"/>
  <c r="BA44" i="69"/>
  <c r="R44" i="69"/>
  <c r="AZ40" i="69"/>
  <c r="AP40" i="69"/>
  <c r="AY40" i="69"/>
  <c r="AO40" i="69"/>
  <c r="AW40" i="69"/>
  <c r="AN40" i="69"/>
  <c r="BD40" i="69"/>
  <c r="AU40" i="69"/>
  <c r="AL40" i="69"/>
  <c r="AT40" i="69"/>
  <c r="AS40" i="69"/>
  <c r="BB40" i="69"/>
  <c r="BA40" i="69"/>
  <c r="BC40" i="69"/>
  <c r="AR40" i="69"/>
  <c r="AV40" i="69"/>
  <c r="L40" i="69"/>
  <c r="U40" i="69"/>
  <c r="AK40" i="69"/>
  <c r="N40" i="69"/>
  <c r="X40" i="69"/>
  <c r="I40" i="69"/>
  <c r="R40" i="69"/>
  <c r="AA40" i="69"/>
  <c r="S40" i="69"/>
  <c r="T40" i="69"/>
  <c r="W40" i="69"/>
  <c r="J40" i="69"/>
  <c r="Y40" i="69"/>
  <c r="K40" i="69"/>
  <c r="Z40" i="69"/>
  <c r="M40" i="69"/>
  <c r="AB40" i="69"/>
  <c r="P40" i="69"/>
  <c r="Q40" i="69"/>
  <c r="AM40" i="69"/>
  <c r="AZ52" i="69"/>
  <c r="AP52" i="69"/>
  <c r="AY52" i="69"/>
  <c r="AO52" i="69"/>
  <c r="AW52" i="69"/>
  <c r="AN52" i="69"/>
  <c r="BD52" i="69"/>
  <c r="AU52" i="69"/>
  <c r="AL52" i="69"/>
  <c r="BC52" i="69"/>
  <c r="AK52" i="69"/>
  <c r="BB52" i="69"/>
  <c r="AS52" i="69"/>
  <c r="AR52" i="69"/>
  <c r="BA52" i="69"/>
  <c r="AM52" i="69"/>
  <c r="M52" i="69"/>
  <c r="W52" i="69"/>
  <c r="AV52" i="69"/>
  <c r="N52" i="69"/>
  <c r="X52" i="69"/>
  <c r="AT52" i="69"/>
  <c r="P52" i="69"/>
  <c r="Y52" i="69"/>
  <c r="Q52" i="69"/>
  <c r="Z52" i="69"/>
  <c r="I52" i="69"/>
  <c r="R52" i="69"/>
  <c r="AA52" i="69"/>
  <c r="J52" i="69"/>
  <c r="U52" i="69"/>
  <c r="K52" i="69"/>
  <c r="L52" i="69"/>
  <c r="S52" i="69"/>
  <c r="T52" i="69"/>
  <c r="AB52" i="69"/>
  <c r="AZ48" i="69"/>
  <c r="AP48" i="69"/>
  <c r="AY48" i="69"/>
  <c r="AO48" i="69"/>
  <c r="AW48" i="69"/>
  <c r="AN48" i="69"/>
  <c r="BD48" i="69"/>
  <c r="AU48" i="69"/>
  <c r="AL48" i="69"/>
  <c r="AT48" i="69"/>
  <c r="AS48" i="69"/>
  <c r="BB48" i="69"/>
  <c r="BA48" i="69"/>
  <c r="AK48" i="69"/>
  <c r="AV48" i="69"/>
  <c r="L48" i="69"/>
  <c r="U48" i="69"/>
  <c r="AR48" i="69"/>
  <c r="N48" i="69"/>
  <c r="X48" i="69"/>
  <c r="BC48" i="69"/>
  <c r="J48" i="69"/>
  <c r="W48" i="69"/>
  <c r="AM48" i="69"/>
  <c r="K48" i="69"/>
  <c r="Y48" i="69"/>
  <c r="M48" i="69"/>
  <c r="Z48" i="69"/>
  <c r="P48" i="69"/>
  <c r="AA48" i="69"/>
  <c r="Q48" i="69"/>
  <c r="AB48" i="69"/>
  <c r="R48" i="69"/>
  <c r="I48" i="69"/>
  <c r="S48" i="69"/>
  <c r="T48" i="69"/>
  <c r="AW29" i="69"/>
  <c r="AN29" i="69"/>
  <c r="AV29" i="69"/>
  <c r="AM29" i="69"/>
  <c r="BD29" i="69"/>
  <c r="AU29" i="69"/>
  <c r="AL29" i="69"/>
  <c r="BB29" i="69"/>
  <c r="AS29" i="69"/>
  <c r="BA29" i="69"/>
  <c r="AZ29" i="69"/>
  <c r="AP29" i="69"/>
  <c r="AO29" i="69"/>
  <c r="M29" i="69"/>
  <c r="W29" i="69"/>
  <c r="AY29" i="69"/>
  <c r="P29" i="69"/>
  <c r="Y29" i="69"/>
  <c r="AK29" i="69"/>
  <c r="J29" i="69"/>
  <c r="S29" i="69"/>
  <c r="AB29" i="69"/>
  <c r="AR29" i="69"/>
  <c r="L29" i="69"/>
  <c r="AA29" i="69"/>
  <c r="Q29" i="69"/>
  <c r="U29" i="69"/>
  <c r="Z29" i="69"/>
  <c r="BC29" i="69"/>
  <c r="AT29" i="69"/>
  <c r="I29" i="69"/>
  <c r="K29" i="69"/>
  <c r="N29" i="69"/>
  <c r="R29" i="69"/>
  <c r="T29" i="69"/>
  <c r="X29" i="69"/>
  <c r="BB11" i="69"/>
  <c r="AS11" i="69"/>
  <c r="BA11" i="69"/>
  <c r="AR11" i="69"/>
  <c r="AV11" i="69"/>
  <c r="AM11" i="69"/>
  <c r="BD11" i="69"/>
  <c r="AU11" i="69"/>
  <c r="AL11" i="69"/>
  <c r="AW11" i="69"/>
  <c r="AP11" i="69"/>
  <c r="BC11" i="69"/>
  <c r="AK11" i="69"/>
  <c r="AY11" i="69"/>
  <c r="AN11" i="69"/>
  <c r="U11" i="69"/>
  <c r="L11" i="69"/>
  <c r="AB11" i="69"/>
  <c r="S11" i="69"/>
  <c r="J11" i="69"/>
  <c r="Z11" i="69"/>
  <c r="Q11" i="69"/>
  <c r="AZ11" i="69"/>
  <c r="AT11" i="69"/>
  <c r="Y11" i="69"/>
  <c r="K11" i="69"/>
  <c r="AO11" i="69"/>
  <c r="X11" i="69"/>
  <c r="I11" i="69"/>
  <c r="P11" i="69"/>
  <c r="T11" i="69"/>
  <c r="AA11" i="69"/>
  <c r="W11" i="69"/>
  <c r="N11" i="69"/>
  <c r="R11" i="69"/>
  <c r="M11" i="69"/>
  <c r="AZ28" i="69"/>
  <c r="AP28" i="69"/>
  <c r="AY28" i="69"/>
  <c r="AO28" i="69"/>
  <c r="AW28" i="69"/>
  <c r="AN28" i="69"/>
  <c r="BD28" i="69"/>
  <c r="AU28" i="69"/>
  <c r="AL28" i="69"/>
  <c r="BC28" i="69"/>
  <c r="AK28" i="69"/>
  <c r="BB28" i="69"/>
  <c r="AS28" i="69"/>
  <c r="AR28" i="69"/>
  <c r="AT28" i="69"/>
  <c r="P28" i="69"/>
  <c r="Y28" i="69"/>
  <c r="I28" i="69"/>
  <c r="R28" i="69"/>
  <c r="AA28" i="69"/>
  <c r="L28" i="69"/>
  <c r="U28" i="69"/>
  <c r="S28" i="69"/>
  <c r="AV28" i="69"/>
  <c r="W28" i="69"/>
  <c r="M28" i="69"/>
  <c r="AB28" i="69"/>
  <c r="X28" i="69"/>
  <c r="Z28" i="69"/>
  <c r="BA28" i="69"/>
  <c r="J28" i="69"/>
  <c r="AM28" i="69"/>
  <c r="K28" i="69"/>
  <c r="N28" i="69"/>
  <c r="T28" i="69"/>
  <c r="Q28" i="69"/>
  <c r="BB21" i="69"/>
  <c r="AS21" i="69"/>
  <c r="BA21" i="69"/>
  <c r="AR21" i="69"/>
  <c r="AV21" i="69"/>
  <c r="AM21" i="69"/>
  <c r="BD21" i="69"/>
  <c r="AU21" i="69"/>
  <c r="AL21" i="69"/>
  <c r="AW21" i="69"/>
  <c r="M21" i="69"/>
  <c r="W21" i="69"/>
  <c r="AP21" i="69"/>
  <c r="P21" i="69"/>
  <c r="Y21" i="69"/>
  <c r="BC21" i="69"/>
  <c r="AK21" i="69"/>
  <c r="J21" i="69"/>
  <c r="S21" i="69"/>
  <c r="AB21" i="69"/>
  <c r="AN21" i="69"/>
  <c r="Q21" i="69"/>
  <c r="T21" i="69"/>
  <c r="AY21" i="69"/>
  <c r="K21" i="69"/>
  <c r="Z21" i="69"/>
  <c r="AA21" i="69"/>
  <c r="AZ21" i="69"/>
  <c r="AT21" i="69"/>
  <c r="I21" i="69"/>
  <c r="AO21" i="69"/>
  <c r="L21" i="69"/>
  <c r="N21" i="69"/>
  <c r="R21" i="69"/>
  <c r="U21" i="69"/>
  <c r="X21" i="69"/>
  <c r="BD16" i="69"/>
  <c r="AU16" i="69"/>
  <c r="AL16" i="69"/>
  <c r="P16" i="69"/>
  <c r="Y16" i="69"/>
  <c r="BC16" i="69"/>
  <c r="AT16" i="69"/>
  <c r="AK16" i="69"/>
  <c r="Q16" i="69"/>
  <c r="Z16" i="69"/>
  <c r="AY16" i="69"/>
  <c r="AO16" i="69"/>
  <c r="AW16" i="69"/>
  <c r="AN16" i="69"/>
  <c r="AP16" i="69"/>
  <c r="R16" i="69"/>
  <c r="BB16" i="69"/>
  <c r="I16" i="69"/>
  <c r="T16" i="69"/>
  <c r="AV16" i="69"/>
  <c r="L16" i="69"/>
  <c r="X16" i="69"/>
  <c r="BA16" i="69"/>
  <c r="M16" i="69"/>
  <c r="AS16" i="69"/>
  <c r="S16" i="69"/>
  <c r="AA16" i="69"/>
  <c r="U16" i="69"/>
  <c r="W16" i="69"/>
  <c r="AB16" i="69"/>
  <c r="AZ16" i="69"/>
  <c r="AR16" i="69"/>
  <c r="AM16" i="69"/>
  <c r="J16" i="69"/>
  <c r="K16" i="69"/>
  <c r="N16" i="69"/>
  <c r="AW57" i="69"/>
  <c r="AN57" i="69"/>
  <c r="AV57" i="69"/>
  <c r="AM57" i="69"/>
  <c r="BD57" i="69"/>
  <c r="AU57" i="69"/>
  <c r="AL57" i="69"/>
  <c r="BB57" i="69"/>
  <c r="AS57" i="69"/>
  <c r="AR57" i="69"/>
  <c r="AP57" i="69"/>
  <c r="AZ57" i="69"/>
  <c r="AY57" i="69"/>
  <c r="AT57" i="69"/>
  <c r="BA57" i="69"/>
  <c r="AK57" i="69"/>
  <c r="BC57" i="69"/>
  <c r="K57" i="69"/>
  <c r="T57" i="69"/>
  <c r="AO57" i="69"/>
  <c r="L57" i="69"/>
  <c r="U57" i="69"/>
  <c r="M57" i="69"/>
  <c r="W57" i="69"/>
  <c r="N57" i="69"/>
  <c r="X57" i="69"/>
  <c r="P57" i="69"/>
  <c r="Y57" i="69"/>
  <c r="Z57" i="69"/>
  <c r="AA57" i="69"/>
  <c r="R57" i="69"/>
  <c r="AB57" i="69"/>
  <c r="I57" i="69"/>
  <c r="J57" i="69"/>
  <c r="Q57" i="69"/>
  <c r="S57" i="69"/>
  <c r="BD46" i="69"/>
  <c r="AU46" i="69"/>
  <c r="AL46" i="69"/>
  <c r="BC46" i="69"/>
  <c r="AT46" i="69"/>
  <c r="AK46" i="69"/>
  <c r="BB46" i="69"/>
  <c r="AS46" i="69"/>
  <c r="AZ46" i="69"/>
  <c r="AP46" i="69"/>
  <c r="AY46" i="69"/>
  <c r="AW46" i="69"/>
  <c r="AN46" i="69"/>
  <c r="AM46" i="69"/>
  <c r="AO46" i="69"/>
  <c r="BA46" i="69"/>
  <c r="AR46" i="69"/>
  <c r="Q46" i="69"/>
  <c r="Z46" i="69"/>
  <c r="J46" i="69"/>
  <c r="S46" i="69"/>
  <c r="AB46" i="69"/>
  <c r="N46" i="69"/>
  <c r="AA46" i="69"/>
  <c r="P46" i="69"/>
  <c r="R46" i="69"/>
  <c r="T46" i="69"/>
  <c r="AV46" i="69"/>
  <c r="I46" i="69"/>
  <c r="U46" i="69"/>
  <c r="K46" i="69"/>
  <c r="W46" i="69"/>
  <c r="Y46" i="69"/>
  <c r="L46" i="69"/>
  <c r="M46" i="69"/>
  <c r="X46" i="69"/>
  <c r="BB17" i="69"/>
  <c r="AS17" i="69"/>
  <c r="M17" i="69"/>
  <c r="W17" i="69"/>
  <c r="BA17" i="69"/>
  <c r="AR17" i="69"/>
  <c r="N17" i="69"/>
  <c r="X17" i="69"/>
  <c r="AV17" i="69"/>
  <c r="AM17" i="69"/>
  <c r="BD17" i="69"/>
  <c r="AU17" i="69"/>
  <c r="AL17" i="69"/>
  <c r="AN17" i="69"/>
  <c r="I17" i="69"/>
  <c r="T17" i="69"/>
  <c r="AZ17" i="69"/>
  <c r="K17" i="69"/>
  <c r="Y17" i="69"/>
  <c r="AT17" i="69"/>
  <c r="Q17" i="69"/>
  <c r="AB17" i="69"/>
  <c r="L17" i="69"/>
  <c r="BC17" i="69"/>
  <c r="R17" i="69"/>
  <c r="AP17" i="69"/>
  <c r="Z17" i="69"/>
  <c r="AW17" i="69"/>
  <c r="AO17" i="69"/>
  <c r="AK17" i="69"/>
  <c r="J17" i="69"/>
  <c r="P17" i="69"/>
  <c r="S17" i="69"/>
  <c r="U17" i="69"/>
  <c r="AY17" i="69"/>
  <c r="AA17" i="69"/>
  <c r="BB27" i="69"/>
  <c r="AS27" i="69"/>
  <c r="BA27" i="69"/>
  <c r="AR27" i="69"/>
  <c r="AZ27" i="69"/>
  <c r="AP27" i="69"/>
  <c r="AW27" i="69"/>
  <c r="AN27" i="69"/>
  <c r="BD27" i="69"/>
  <c r="AM27" i="69"/>
  <c r="AU27" i="69"/>
  <c r="AT27" i="69"/>
  <c r="I27" i="69"/>
  <c r="R27" i="69"/>
  <c r="AA27" i="69"/>
  <c r="BC27" i="69"/>
  <c r="K27" i="69"/>
  <c r="T27" i="69"/>
  <c r="AO27" i="69"/>
  <c r="N27" i="69"/>
  <c r="X27" i="69"/>
  <c r="J27" i="69"/>
  <c r="Y27" i="69"/>
  <c r="M27" i="69"/>
  <c r="AB27" i="69"/>
  <c r="AV27" i="69"/>
  <c r="S27" i="69"/>
  <c r="U27" i="69"/>
  <c r="W27" i="69"/>
  <c r="Z27" i="69"/>
  <c r="AY27" i="69"/>
  <c r="L27" i="69"/>
  <c r="AL27" i="69"/>
  <c r="P27" i="69"/>
  <c r="AK27" i="69"/>
  <c r="Q27" i="69"/>
  <c r="BD20" i="69"/>
  <c r="AU20" i="69"/>
  <c r="AL20" i="69"/>
  <c r="BC20" i="69"/>
  <c r="AT20" i="69"/>
  <c r="AK20" i="69"/>
  <c r="AY20" i="69"/>
  <c r="AO20" i="69"/>
  <c r="AW20" i="69"/>
  <c r="AN20" i="69"/>
  <c r="AZ20" i="69"/>
  <c r="P20" i="69"/>
  <c r="Y20" i="69"/>
  <c r="AS20" i="69"/>
  <c r="I20" i="69"/>
  <c r="R20" i="69"/>
  <c r="AA20" i="69"/>
  <c r="AM20" i="69"/>
  <c r="L20" i="69"/>
  <c r="U20" i="69"/>
  <c r="W20" i="69"/>
  <c r="BA20" i="69"/>
  <c r="K20" i="69"/>
  <c r="Z20" i="69"/>
  <c r="AP20" i="69"/>
  <c r="Q20" i="69"/>
  <c r="X20" i="69"/>
  <c r="AB20" i="69"/>
  <c r="J20" i="69"/>
  <c r="BB20" i="69"/>
  <c r="M20" i="69"/>
  <c r="AV20" i="69"/>
  <c r="N20" i="69"/>
  <c r="S20" i="69"/>
  <c r="T20" i="69"/>
  <c r="AR20" i="69"/>
  <c r="BD24" i="69"/>
  <c r="AU24" i="69"/>
  <c r="AL24" i="69"/>
  <c r="BC24" i="69"/>
  <c r="AT24" i="69"/>
  <c r="AK24" i="69"/>
  <c r="AY24" i="69"/>
  <c r="AO24" i="69"/>
  <c r="AW24" i="69"/>
  <c r="AN24" i="69"/>
  <c r="AP24" i="69"/>
  <c r="P24" i="69"/>
  <c r="Y24" i="69"/>
  <c r="BB24" i="69"/>
  <c r="I24" i="69"/>
  <c r="R24" i="69"/>
  <c r="AA24" i="69"/>
  <c r="AV24" i="69"/>
  <c r="L24" i="69"/>
  <c r="U24" i="69"/>
  <c r="M24" i="69"/>
  <c r="AB24" i="69"/>
  <c r="Q24" i="69"/>
  <c r="AS24" i="69"/>
  <c r="W24" i="69"/>
  <c r="AR24" i="69"/>
  <c r="K24" i="69"/>
  <c r="AM24" i="69"/>
  <c r="N24" i="69"/>
  <c r="S24" i="69"/>
  <c r="T24" i="69"/>
  <c r="X24" i="69"/>
  <c r="Z24" i="69"/>
  <c r="AZ24" i="69"/>
  <c r="J24" i="69"/>
  <c r="BA24" i="69"/>
  <c r="BB51" i="69"/>
  <c r="AS51" i="69"/>
  <c r="BA51" i="69"/>
  <c r="AR51" i="69"/>
  <c r="AZ51" i="69"/>
  <c r="AP51" i="69"/>
  <c r="AW51" i="69"/>
  <c r="AN51" i="69"/>
  <c r="AM51" i="69"/>
  <c r="BD51" i="69"/>
  <c r="AL51" i="69"/>
  <c r="AU51" i="69"/>
  <c r="AT51" i="69"/>
  <c r="AV51" i="69"/>
  <c r="AK51" i="69"/>
  <c r="BC51" i="69"/>
  <c r="AO51" i="69"/>
  <c r="P51" i="69"/>
  <c r="Y51" i="69"/>
  <c r="Q51" i="69"/>
  <c r="Z51" i="69"/>
  <c r="I51" i="69"/>
  <c r="R51" i="69"/>
  <c r="AA51" i="69"/>
  <c r="AY51" i="69"/>
  <c r="J51" i="69"/>
  <c r="S51" i="69"/>
  <c r="AB51" i="69"/>
  <c r="K51" i="69"/>
  <c r="T51" i="69"/>
  <c r="L51" i="69"/>
  <c r="U51" i="69"/>
  <c r="W51" i="69"/>
  <c r="X51" i="69"/>
  <c r="N51" i="69"/>
  <c r="M51" i="69"/>
  <c r="BB31" i="69"/>
  <c r="AS31" i="69"/>
  <c r="BA31" i="69"/>
  <c r="AR31" i="69"/>
  <c r="AZ31" i="69"/>
  <c r="AP31" i="69"/>
  <c r="AW31" i="69"/>
  <c r="AN31" i="69"/>
  <c r="AV31" i="69"/>
  <c r="AU31" i="69"/>
  <c r="BD31" i="69"/>
  <c r="AL31" i="69"/>
  <c r="BC31" i="69"/>
  <c r="AK31" i="69"/>
  <c r="I31" i="69"/>
  <c r="R31" i="69"/>
  <c r="AA31" i="69"/>
  <c r="AT31" i="69"/>
  <c r="K31" i="69"/>
  <c r="N31" i="69"/>
  <c r="X31" i="69"/>
  <c r="P31" i="69"/>
  <c r="AB31" i="69"/>
  <c r="AO31" i="69"/>
  <c r="S31" i="69"/>
  <c r="J31" i="69"/>
  <c r="W31" i="69"/>
  <c r="L31" i="69"/>
  <c r="M31" i="69"/>
  <c r="Q31" i="69"/>
  <c r="T31" i="69"/>
  <c r="U31" i="69"/>
  <c r="AY31" i="69"/>
  <c r="AM31" i="69"/>
  <c r="Y31" i="69"/>
  <c r="Z31" i="69"/>
  <c r="AW15" i="69"/>
  <c r="AN15" i="69"/>
  <c r="AV15" i="69"/>
  <c r="AM15" i="69"/>
  <c r="BA15" i="69"/>
  <c r="AR15" i="69"/>
  <c r="AZ15" i="69"/>
  <c r="AP15" i="69"/>
  <c r="AS15" i="69"/>
  <c r="BD15" i="69"/>
  <c r="AL15" i="69"/>
  <c r="AY15" i="69"/>
  <c r="AT15" i="69"/>
  <c r="AK15" i="69"/>
  <c r="BC15" i="69"/>
  <c r="AO15" i="69"/>
  <c r="Z15" i="69"/>
  <c r="Q15" i="69"/>
  <c r="X15" i="69"/>
  <c r="N15" i="69"/>
  <c r="U15" i="69"/>
  <c r="L15" i="69"/>
  <c r="AB15" i="69"/>
  <c r="M15" i="69"/>
  <c r="AA15" i="69"/>
  <c r="W15" i="69"/>
  <c r="S15" i="69"/>
  <c r="K15" i="69"/>
  <c r="AU15" i="69"/>
  <c r="Y15" i="69"/>
  <c r="J15" i="69"/>
  <c r="I15" i="69"/>
  <c r="BB15" i="69"/>
  <c r="R15" i="69"/>
  <c r="P15" i="69"/>
  <c r="T15" i="69"/>
  <c r="AW37" i="69"/>
  <c r="AN37" i="69"/>
  <c r="AV37" i="69"/>
  <c r="AM37" i="69"/>
  <c r="BD37" i="69"/>
  <c r="AU37" i="69"/>
  <c r="AL37" i="69"/>
  <c r="BB37" i="69"/>
  <c r="AS37" i="69"/>
  <c r="BA37" i="69"/>
  <c r="AZ37" i="69"/>
  <c r="AP37" i="69"/>
  <c r="AO37" i="69"/>
  <c r="AR37" i="69"/>
  <c r="M37" i="69"/>
  <c r="BC37" i="69"/>
  <c r="AY37" i="69"/>
  <c r="I37" i="69"/>
  <c r="S37" i="69"/>
  <c r="AB37" i="69"/>
  <c r="AK37" i="69"/>
  <c r="K37" i="69"/>
  <c r="U37" i="69"/>
  <c r="P37" i="69"/>
  <c r="Y37" i="69"/>
  <c r="W37" i="69"/>
  <c r="X37" i="69"/>
  <c r="J37" i="69"/>
  <c r="Z37" i="69"/>
  <c r="L37" i="69"/>
  <c r="AA37" i="69"/>
  <c r="AT37" i="69"/>
  <c r="N37" i="69"/>
  <c r="Q37" i="69"/>
  <c r="R37" i="69"/>
  <c r="T37" i="69"/>
  <c r="AZ60" i="69"/>
  <c r="AP60" i="69"/>
  <c r="AY60" i="69"/>
  <c r="AO60" i="69"/>
  <c r="AW60" i="69"/>
  <c r="AN60" i="69"/>
  <c r="BD60" i="69"/>
  <c r="AU60" i="69"/>
  <c r="AL60" i="69"/>
  <c r="BC60" i="69"/>
  <c r="AK60" i="69"/>
  <c r="BB60" i="69"/>
  <c r="AS60" i="69"/>
  <c r="AR60" i="69"/>
  <c r="AT60" i="69"/>
  <c r="AV60" i="69"/>
  <c r="M60" i="69"/>
  <c r="W60" i="69"/>
  <c r="P60" i="69"/>
  <c r="Y60" i="69"/>
  <c r="BA60" i="69"/>
  <c r="AM60" i="69"/>
  <c r="I60" i="69"/>
  <c r="R60" i="69"/>
  <c r="AA60" i="69"/>
  <c r="J60" i="69"/>
  <c r="X60" i="69"/>
  <c r="K60" i="69"/>
  <c r="Z60" i="69"/>
  <c r="T60" i="69"/>
  <c r="U60" i="69"/>
  <c r="L60" i="69"/>
  <c r="AB60" i="69"/>
  <c r="N60" i="69"/>
  <c r="S60" i="69"/>
  <c r="Q60" i="69"/>
  <c r="BD62" i="69"/>
  <c r="AU62" i="69"/>
  <c r="AL62" i="69"/>
  <c r="BC62" i="69"/>
  <c r="AT62" i="69"/>
  <c r="AK62" i="69"/>
  <c r="BB62" i="69"/>
  <c r="AS62" i="69"/>
  <c r="AZ62" i="69"/>
  <c r="AP62" i="69"/>
  <c r="AY62" i="69"/>
  <c r="AW62" i="69"/>
  <c r="AN62" i="69"/>
  <c r="AM62" i="69"/>
  <c r="AO62" i="69"/>
  <c r="BA62" i="69"/>
  <c r="AV62" i="69"/>
  <c r="AR62" i="69"/>
  <c r="I62" i="69"/>
  <c r="R62" i="69"/>
  <c r="AA62" i="69"/>
  <c r="K62" i="69"/>
  <c r="T62" i="69"/>
  <c r="M62" i="69"/>
  <c r="W62" i="69"/>
  <c r="L62" i="69"/>
  <c r="Z62" i="69"/>
  <c r="N62" i="69"/>
  <c r="AB62" i="69"/>
  <c r="P62" i="69"/>
  <c r="Q62" i="69"/>
  <c r="X62" i="69"/>
  <c r="J62" i="69"/>
  <c r="S62" i="69"/>
  <c r="U62" i="69"/>
  <c r="Y62" i="69"/>
  <c r="BB35" i="69"/>
  <c r="AS35" i="69"/>
  <c r="BA35" i="69"/>
  <c r="AR35" i="69"/>
  <c r="AZ35" i="69"/>
  <c r="AP35" i="69"/>
  <c r="AW35" i="69"/>
  <c r="AN35" i="69"/>
  <c r="AM35" i="69"/>
  <c r="BD35" i="69"/>
  <c r="AL35" i="69"/>
  <c r="AU35" i="69"/>
  <c r="AT35" i="69"/>
  <c r="AV35" i="69"/>
  <c r="I35" i="69"/>
  <c r="R35" i="69"/>
  <c r="AA35" i="69"/>
  <c r="AK35" i="69"/>
  <c r="S35" i="69"/>
  <c r="K35" i="69"/>
  <c r="U35" i="69"/>
  <c r="BC35" i="69"/>
  <c r="N35" i="69"/>
  <c r="Y35" i="69"/>
  <c r="AO35" i="69"/>
  <c r="M35" i="69"/>
  <c r="P35" i="69"/>
  <c r="Q35" i="69"/>
  <c r="T35" i="69"/>
  <c r="W35" i="69"/>
  <c r="X35" i="69"/>
  <c r="AY35" i="69"/>
  <c r="J35" i="69"/>
  <c r="L35" i="69"/>
  <c r="Z35" i="69"/>
  <c r="AB35" i="69"/>
  <c r="AZ56" i="69"/>
  <c r="AP56" i="69"/>
  <c r="AY56" i="69"/>
  <c r="AO56" i="69"/>
  <c r="AW56" i="69"/>
  <c r="AN56" i="69"/>
  <c r="BD56" i="69"/>
  <c r="AU56" i="69"/>
  <c r="AL56" i="69"/>
  <c r="AT56" i="69"/>
  <c r="AS56" i="69"/>
  <c r="BB56" i="69"/>
  <c r="BA56" i="69"/>
  <c r="BC56" i="69"/>
  <c r="AR56" i="69"/>
  <c r="AK56" i="69"/>
  <c r="M56" i="69"/>
  <c r="W56" i="69"/>
  <c r="N56" i="69"/>
  <c r="X56" i="69"/>
  <c r="AV56" i="69"/>
  <c r="P56" i="69"/>
  <c r="Y56" i="69"/>
  <c r="AM56" i="69"/>
  <c r="Q56" i="69"/>
  <c r="Z56" i="69"/>
  <c r="I56" i="69"/>
  <c r="R56" i="69"/>
  <c r="AA56" i="69"/>
  <c r="T56" i="69"/>
  <c r="U56" i="69"/>
  <c r="AB56" i="69"/>
  <c r="S56" i="69"/>
  <c r="J56" i="69"/>
  <c r="K56" i="69"/>
  <c r="L56" i="69"/>
  <c r="AW41" i="69"/>
  <c r="AN41" i="69"/>
  <c r="AV41" i="69"/>
  <c r="AM41" i="69"/>
  <c r="BD41" i="69"/>
  <c r="AU41" i="69"/>
  <c r="AL41" i="69"/>
  <c r="BB41" i="69"/>
  <c r="AS41" i="69"/>
  <c r="AR41" i="69"/>
  <c r="AP41" i="69"/>
  <c r="AZ41" i="69"/>
  <c r="AY41" i="69"/>
  <c r="AT41" i="69"/>
  <c r="J41" i="69"/>
  <c r="S41" i="69"/>
  <c r="AB41" i="69"/>
  <c r="L41" i="69"/>
  <c r="U41" i="69"/>
  <c r="BA41" i="69"/>
  <c r="P41" i="69"/>
  <c r="Y41" i="69"/>
  <c r="M41" i="69"/>
  <c r="AA41" i="69"/>
  <c r="N41" i="69"/>
  <c r="Q41" i="69"/>
  <c r="R41" i="69"/>
  <c r="BC41" i="69"/>
  <c r="T41" i="69"/>
  <c r="AO41" i="69"/>
  <c r="W41" i="69"/>
  <c r="AK41" i="69"/>
  <c r="X41" i="69"/>
  <c r="Z41" i="69"/>
  <c r="I41" i="69"/>
  <c r="K41" i="69"/>
  <c r="BB59" i="69"/>
  <c r="AS59" i="69"/>
  <c r="BA59" i="69"/>
  <c r="AR59" i="69"/>
  <c r="AZ59" i="69"/>
  <c r="AP59" i="69"/>
  <c r="AW59" i="69"/>
  <c r="AN59" i="69"/>
  <c r="AM59" i="69"/>
  <c r="BD59" i="69"/>
  <c r="AL59" i="69"/>
  <c r="AU59" i="69"/>
  <c r="AT59" i="69"/>
  <c r="BC59" i="69"/>
  <c r="AO59" i="69"/>
  <c r="AY59" i="69"/>
  <c r="P59" i="69"/>
  <c r="Y59" i="69"/>
  <c r="I59" i="69"/>
  <c r="R59" i="69"/>
  <c r="AA59" i="69"/>
  <c r="K59" i="69"/>
  <c r="T59" i="69"/>
  <c r="AV59" i="69"/>
  <c r="N59" i="69"/>
  <c r="X59" i="69"/>
  <c r="Q59" i="69"/>
  <c r="J59" i="69"/>
  <c r="AK59" i="69"/>
  <c r="S59" i="69"/>
  <c r="U59" i="69"/>
  <c r="L59" i="69"/>
  <c r="M59" i="69"/>
  <c r="W59" i="69"/>
  <c r="Z59" i="69"/>
  <c r="AB59" i="69"/>
  <c r="BB39" i="69"/>
  <c r="AS39" i="69"/>
  <c r="BA39" i="69"/>
  <c r="AR39" i="69"/>
  <c r="AZ39" i="69"/>
  <c r="AP39" i="69"/>
  <c r="AW39" i="69"/>
  <c r="AN39" i="69"/>
  <c r="AV39" i="69"/>
  <c r="AU39" i="69"/>
  <c r="BD39" i="69"/>
  <c r="AL39" i="69"/>
  <c r="BC39" i="69"/>
  <c r="AK39" i="69"/>
  <c r="AM39" i="69"/>
  <c r="AY39" i="69"/>
  <c r="N39" i="69"/>
  <c r="X39" i="69"/>
  <c r="Q39" i="69"/>
  <c r="Z39" i="69"/>
  <c r="K39" i="69"/>
  <c r="T39" i="69"/>
  <c r="AT39" i="69"/>
  <c r="J39" i="69"/>
  <c r="Y39" i="69"/>
  <c r="AO39" i="69"/>
  <c r="L39" i="69"/>
  <c r="AA39" i="69"/>
  <c r="M39" i="69"/>
  <c r="AB39" i="69"/>
  <c r="P39" i="69"/>
  <c r="R39" i="69"/>
  <c r="S39" i="69"/>
  <c r="U39" i="69"/>
  <c r="W39" i="69"/>
  <c r="I39" i="69"/>
  <c r="BD34" i="69"/>
  <c r="AU34" i="69"/>
  <c r="AL34" i="69"/>
  <c r="BC34" i="69"/>
  <c r="AT34" i="69"/>
  <c r="AK34" i="69"/>
  <c r="BB34" i="69"/>
  <c r="AS34" i="69"/>
  <c r="AZ34" i="69"/>
  <c r="AP34" i="69"/>
  <c r="AO34" i="69"/>
  <c r="AN34" i="69"/>
  <c r="AW34" i="69"/>
  <c r="AV34" i="69"/>
  <c r="K34" i="69"/>
  <c r="T34" i="69"/>
  <c r="AR34" i="69"/>
  <c r="BA34" i="69"/>
  <c r="R34" i="69"/>
  <c r="AB34" i="69"/>
  <c r="AM34" i="69"/>
  <c r="J34" i="69"/>
  <c r="U34" i="69"/>
  <c r="N34" i="69"/>
  <c r="Y34" i="69"/>
  <c r="Q34" i="69"/>
  <c r="AY34" i="69"/>
  <c r="S34" i="69"/>
  <c r="W34" i="69"/>
  <c r="X34" i="69"/>
  <c r="I34" i="69"/>
  <c r="Z34" i="69"/>
  <c r="L34" i="69"/>
  <c r="AA34" i="69"/>
  <c r="M34" i="69"/>
  <c r="P34" i="69"/>
  <c r="AZ18" i="69"/>
  <c r="AP18" i="69"/>
  <c r="K18" i="69"/>
  <c r="T18" i="69"/>
  <c r="AY18" i="69"/>
  <c r="AO18" i="69"/>
  <c r="L18" i="69"/>
  <c r="U18" i="69"/>
  <c r="BC18" i="69"/>
  <c r="AT18" i="69"/>
  <c r="AK18" i="69"/>
  <c r="BB18" i="69"/>
  <c r="AS18" i="69"/>
  <c r="BD18" i="69"/>
  <c r="AL18" i="69"/>
  <c r="M18" i="69"/>
  <c r="Y18" i="69"/>
  <c r="AW18" i="69"/>
  <c r="P18" i="69"/>
  <c r="AA18" i="69"/>
  <c r="AR18" i="69"/>
  <c r="S18" i="69"/>
  <c r="AN18" i="69"/>
  <c r="J18" i="69"/>
  <c r="Q18" i="69"/>
  <c r="BA18" i="69"/>
  <c r="X18" i="69"/>
  <c r="I18" i="69"/>
  <c r="N18" i="69"/>
  <c r="R18" i="69"/>
  <c r="W18" i="69"/>
  <c r="AV18" i="69"/>
  <c r="Z18" i="69"/>
  <c r="AU18" i="69"/>
  <c r="AB18" i="69"/>
  <c r="AM18" i="69"/>
  <c r="AW61" i="69"/>
  <c r="AN61" i="69"/>
  <c r="AV61" i="69"/>
  <c r="AM61" i="69"/>
  <c r="BD61" i="69"/>
  <c r="AU61" i="69"/>
  <c r="AL61" i="69"/>
  <c r="BB61" i="69"/>
  <c r="AS61" i="69"/>
  <c r="BA61" i="69"/>
  <c r="AZ61" i="69"/>
  <c r="AP61" i="69"/>
  <c r="AO61" i="69"/>
  <c r="AY61" i="69"/>
  <c r="AK61" i="69"/>
  <c r="AT61" i="69"/>
  <c r="K61" i="69"/>
  <c r="T61" i="69"/>
  <c r="BC61" i="69"/>
  <c r="AR61" i="69"/>
  <c r="M61" i="69"/>
  <c r="W61" i="69"/>
  <c r="P61" i="69"/>
  <c r="Y61" i="69"/>
  <c r="R61" i="69"/>
  <c r="S61" i="69"/>
  <c r="AA61" i="69"/>
  <c r="Q61" i="69"/>
  <c r="N61" i="69"/>
  <c r="U61" i="69"/>
  <c r="I61" i="69"/>
  <c r="X61" i="69"/>
  <c r="J61" i="69"/>
  <c r="Z61" i="69"/>
  <c r="L61" i="69"/>
  <c r="AB61" i="69"/>
  <c r="AW45" i="69"/>
  <c r="AN45" i="69"/>
  <c r="AV45" i="69"/>
  <c r="AM45" i="69"/>
  <c r="BD45" i="69"/>
  <c r="AU45" i="69"/>
  <c r="AL45" i="69"/>
  <c r="BB45" i="69"/>
  <c r="AS45" i="69"/>
  <c r="BA45" i="69"/>
  <c r="AZ45" i="69"/>
  <c r="AP45" i="69"/>
  <c r="AO45" i="69"/>
  <c r="AY45" i="69"/>
  <c r="AK45" i="69"/>
  <c r="J45" i="69"/>
  <c r="S45" i="69"/>
  <c r="AB45" i="69"/>
  <c r="AT45" i="69"/>
  <c r="L45" i="69"/>
  <c r="U45" i="69"/>
  <c r="K45" i="69"/>
  <c r="X45" i="69"/>
  <c r="M45" i="69"/>
  <c r="Y45" i="69"/>
  <c r="N45" i="69"/>
  <c r="Z45" i="69"/>
  <c r="P45" i="69"/>
  <c r="AA45" i="69"/>
  <c r="Q45" i="69"/>
  <c r="BC45" i="69"/>
  <c r="R45" i="69"/>
  <c r="I45" i="69"/>
  <c r="T45" i="69"/>
  <c r="W45" i="69"/>
  <c r="AR45" i="69"/>
  <c r="BD50" i="69"/>
  <c r="AU50" i="69"/>
  <c r="AL50" i="69"/>
  <c r="BC50" i="69"/>
  <c r="AT50" i="69"/>
  <c r="AK50" i="69"/>
  <c r="BB50" i="69"/>
  <c r="AS50" i="69"/>
  <c r="AZ50" i="69"/>
  <c r="AP50" i="69"/>
  <c r="AO50" i="69"/>
  <c r="AN50" i="69"/>
  <c r="AW50" i="69"/>
  <c r="AV50" i="69"/>
  <c r="AR50" i="69"/>
  <c r="Q50" i="69"/>
  <c r="J50" i="69"/>
  <c r="AM50" i="69"/>
  <c r="R50" i="69"/>
  <c r="AA50" i="69"/>
  <c r="S50" i="69"/>
  <c r="AB50" i="69"/>
  <c r="I50" i="69"/>
  <c r="T50" i="69"/>
  <c r="K50" i="69"/>
  <c r="U50" i="69"/>
  <c r="BA50" i="69"/>
  <c r="L50" i="69"/>
  <c r="W50" i="69"/>
  <c r="AY50" i="69"/>
  <c r="M50" i="69"/>
  <c r="X50" i="69"/>
  <c r="N50" i="69"/>
  <c r="P50" i="69"/>
  <c r="Y50" i="69"/>
  <c r="Z50" i="69"/>
  <c r="BB43" i="69"/>
  <c r="AS43" i="69"/>
  <c r="BA43" i="69"/>
  <c r="AR43" i="69"/>
  <c r="AZ43" i="69"/>
  <c r="AP43" i="69"/>
  <c r="AW43" i="69"/>
  <c r="AN43" i="69"/>
  <c r="AM43" i="69"/>
  <c r="BD43" i="69"/>
  <c r="AL43" i="69"/>
  <c r="AU43" i="69"/>
  <c r="AT43" i="69"/>
  <c r="BC43" i="69"/>
  <c r="AO43" i="69"/>
  <c r="AV43" i="69"/>
  <c r="N43" i="69"/>
  <c r="X43" i="69"/>
  <c r="Q43" i="69"/>
  <c r="Z43" i="69"/>
  <c r="K43" i="69"/>
  <c r="P43" i="69"/>
  <c r="AB43" i="69"/>
  <c r="AY43" i="69"/>
  <c r="R43" i="69"/>
  <c r="AK43" i="69"/>
  <c r="S43" i="69"/>
  <c r="T43" i="69"/>
  <c r="I43" i="69"/>
  <c r="U43" i="69"/>
  <c r="J43" i="69"/>
  <c r="W43" i="69"/>
  <c r="L43" i="69"/>
  <c r="M43" i="69"/>
  <c r="Y43" i="69"/>
  <c r="AA43" i="69"/>
  <c r="AW23" i="69"/>
  <c r="AN23" i="69"/>
  <c r="AV23" i="69"/>
  <c r="AM23" i="69"/>
  <c r="BA23" i="69"/>
  <c r="AR23" i="69"/>
  <c r="AZ23" i="69"/>
  <c r="AP23" i="69"/>
  <c r="AS23" i="69"/>
  <c r="I23" i="69"/>
  <c r="R23" i="69"/>
  <c r="AA23" i="69"/>
  <c r="BD23" i="69"/>
  <c r="AL23" i="69"/>
  <c r="K23" i="69"/>
  <c r="T23" i="69"/>
  <c r="AY23" i="69"/>
  <c r="N23" i="69"/>
  <c r="X23" i="69"/>
  <c r="BC23" i="69"/>
  <c r="S23" i="69"/>
  <c r="AU23" i="69"/>
  <c r="W23" i="69"/>
  <c r="AK23" i="69"/>
  <c r="M23" i="69"/>
  <c r="AB23" i="69"/>
  <c r="J23" i="69"/>
  <c r="L23" i="69"/>
  <c r="BB23" i="69"/>
  <c r="P23" i="69"/>
  <c r="AT23" i="69"/>
  <c r="Q23" i="69"/>
  <c r="AO23" i="69"/>
  <c r="U23" i="69"/>
  <c r="Y23" i="69"/>
  <c r="Z23" i="69"/>
  <c r="AZ13" i="69"/>
  <c r="AP13" i="69"/>
  <c r="AY13" i="69"/>
  <c r="AO13" i="69"/>
  <c r="BC13" i="69"/>
  <c r="AT13" i="69"/>
  <c r="AK13" i="69"/>
  <c r="BB13" i="69"/>
  <c r="AS13" i="69"/>
  <c r="AU13" i="69"/>
  <c r="AN13" i="69"/>
  <c r="BA13" i="69"/>
  <c r="AL13" i="69"/>
  <c r="AV13" i="69"/>
  <c r="AB13" i="69"/>
  <c r="S13" i="69"/>
  <c r="J13" i="69"/>
  <c r="BD13" i="69"/>
  <c r="AW13" i="69"/>
  <c r="Z13" i="69"/>
  <c r="Q13" i="69"/>
  <c r="AR13" i="69"/>
  <c r="AM13" i="69"/>
  <c r="X13" i="69"/>
  <c r="N13" i="69"/>
  <c r="T13" i="69"/>
  <c r="R13" i="69"/>
  <c r="M13" i="69"/>
  <c r="W13" i="69"/>
  <c r="U13" i="69"/>
  <c r="Y13" i="69"/>
  <c r="P13" i="69"/>
  <c r="K13" i="69"/>
  <c r="AA13" i="69"/>
  <c r="L13" i="69"/>
  <c r="I13" i="69"/>
  <c r="AW53" i="69"/>
  <c r="AN53" i="69"/>
  <c r="AV53" i="69"/>
  <c r="AM53" i="69"/>
  <c r="BD53" i="69"/>
  <c r="AU53" i="69"/>
  <c r="AL53" i="69"/>
  <c r="BB53" i="69"/>
  <c r="AS53" i="69"/>
  <c r="BA53" i="69"/>
  <c r="AZ53" i="69"/>
  <c r="AP53" i="69"/>
  <c r="AO53" i="69"/>
  <c r="AR53" i="69"/>
  <c r="BC53" i="69"/>
  <c r="AK53" i="69"/>
  <c r="AT53" i="69"/>
  <c r="K53" i="69"/>
  <c r="T53" i="69"/>
  <c r="L53" i="69"/>
  <c r="U53" i="69"/>
  <c r="M53" i="69"/>
  <c r="W53" i="69"/>
  <c r="N53" i="69"/>
  <c r="X53" i="69"/>
  <c r="P53" i="69"/>
  <c r="Y53" i="69"/>
  <c r="I53" i="69"/>
  <c r="AY53" i="69"/>
  <c r="J53" i="69"/>
  <c r="AB53" i="69"/>
  <c r="Q53" i="69"/>
  <c r="R53" i="69"/>
  <c r="AA53" i="69"/>
  <c r="S53" i="69"/>
  <c r="Z53" i="69"/>
  <c r="AW49" i="69"/>
  <c r="AN49" i="69"/>
  <c r="AV49" i="69"/>
  <c r="AM49" i="69"/>
  <c r="BD49" i="69"/>
  <c r="AU49" i="69"/>
  <c r="AL49" i="69"/>
  <c r="BB49" i="69"/>
  <c r="AS49" i="69"/>
  <c r="AR49" i="69"/>
  <c r="AP49" i="69"/>
  <c r="AZ49" i="69"/>
  <c r="AY49" i="69"/>
  <c r="BA49" i="69"/>
  <c r="AO49" i="69"/>
  <c r="AK49" i="69"/>
  <c r="J49" i="69"/>
  <c r="S49" i="69"/>
  <c r="AB49" i="69"/>
  <c r="L49" i="69"/>
  <c r="U49" i="69"/>
  <c r="N49" i="69"/>
  <c r="Z49" i="69"/>
  <c r="P49" i="69"/>
  <c r="AA49" i="69"/>
  <c r="Q49" i="69"/>
  <c r="R49" i="69"/>
  <c r="T49" i="69"/>
  <c r="I49" i="69"/>
  <c r="W49" i="69"/>
  <c r="X49" i="69"/>
  <c r="Y49" i="69"/>
  <c r="K49" i="69"/>
  <c r="M49" i="69"/>
  <c r="BC49" i="69"/>
  <c r="AT49" i="69"/>
  <c r="BB47" i="69"/>
  <c r="AS47" i="69"/>
  <c r="BA47" i="69"/>
  <c r="AR47" i="69"/>
  <c r="AZ47" i="69"/>
  <c r="AP47" i="69"/>
  <c r="AW47" i="69"/>
  <c r="AN47" i="69"/>
  <c r="AV47" i="69"/>
  <c r="AU47" i="69"/>
  <c r="BD47" i="69"/>
  <c r="AL47" i="69"/>
  <c r="BC47" i="69"/>
  <c r="AK47" i="69"/>
  <c r="AT47" i="69"/>
  <c r="N47" i="69"/>
  <c r="X47" i="69"/>
  <c r="Q47" i="69"/>
  <c r="Z47" i="69"/>
  <c r="AO47" i="69"/>
  <c r="S47" i="69"/>
  <c r="I47" i="69"/>
  <c r="T47" i="69"/>
  <c r="AY47" i="69"/>
  <c r="J47" i="69"/>
  <c r="U47" i="69"/>
  <c r="AM47" i="69"/>
  <c r="K47" i="69"/>
  <c r="W47" i="69"/>
  <c r="L47" i="69"/>
  <c r="Y47" i="69"/>
  <c r="M47" i="69"/>
  <c r="AA47" i="69"/>
  <c r="P47" i="69"/>
  <c r="R47" i="69"/>
  <c r="AB47" i="69"/>
  <c r="T42" i="73"/>
  <c r="T58" i="73"/>
  <c r="T40" i="73"/>
  <c r="T15" i="73"/>
  <c r="T47" i="73"/>
  <c r="T36" i="73"/>
  <c r="T20" i="73"/>
  <c r="T10" i="73"/>
  <c r="T56" i="73"/>
  <c r="T31" i="73"/>
  <c r="T46" i="73"/>
  <c r="T44" i="73"/>
  <c r="T57" i="73"/>
  <c r="T25" i="73"/>
  <c r="T45" i="73"/>
  <c r="T59" i="73"/>
  <c r="T26" i="73"/>
  <c r="T19" i="73"/>
  <c r="T13" i="73"/>
  <c r="T51" i="73"/>
  <c r="T18" i="73"/>
  <c r="T27" i="73"/>
  <c r="T39" i="73"/>
  <c r="T16" i="73"/>
  <c r="T14" i="73"/>
  <c r="T55" i="73"/>
  <c r="T37" i="73"/>
  <c r="T41" i="73"/>
  <c r="T43" i="73"/>
  <c r="T54" i="73"/>
  <c r="T49" i="73"/>
  <c r="T24" i="73"/>
  <c r="T35" i="73"/>
  <c r="T22" i="73"/>
  <c r="T30" i="73"/>
  <c r="T17" i="73"/>
  <c r="T33" i="73"/>
  <c r="T12" i="73"/>
  <c r="T34" i="73"/>
  <c r="T8" i="73"/>
  <c r="T52" i="73"/>
  <c r="T48" i="73"/>
  <c r="T28" i="73"/>
  <c r="T21" i="73"/>
  <c r="T38" i="73"/>
  <c r="T32" i="73"/>
  <c r="T23" i="73"/>
  <c r="T29" i="73"/>
  <c r="T53" i="73"/>
  <c r="AM77" i="73"/>
  <c r="AN74" i="73"/>
  <c r="G63" i="146" l="1"/>
  <c r="J83" i="146"/>
  <c r="H83" i="146"/>
  <c r="G41" i="146"/>
  <c r="H41" i="146"/>
  <c r="J41" i="146"/>
  <c r="G53" i="146"/>
  <c r="G92" i="146" s="1"/>
  <c r="H53" i="146"/>
  <c r="H92" i="146" s="1"/>
  <c r="J53" i="146"/>
  <c r="J92" i="146" s="1"/>
  <c r="I81" i="146"/>
  <c r="H81" i="146"/>
  <c r="J81" i="146"/>
  <c r="H70" i="146"/>
  <c r="J70" i="146"/>
  <c r="H55" i="146"/>
  <c r="J55" i="146"/>
  <c r="H79" i="146"/>
  <c r="J79" i="146"/>
  <c r="J43" i="146"/>
  <c r="H43" i="146"/>
  <c r="H46" i="146"/>
  <c r="J46" i="146"/>
  <c r="G62" i="146"/>
  <c r="H62" i="146"/>
  <c r="J62" i="146"/>
  <c r="G54" i="146"/>
  <c r="H54" i="146"/>
  <c r="J54" i="146"/>
  <c r="H36" i="146"/>
  <c r="H93" i="146" s="1"/>
  <c r="J36" i="146"/>
  <c r="J93" i="146" s="1"/>
  <c r="I48" i="146"/>
  <c r="J48" i="146"/>
  <c r="H48" i="146"/>
  <c r="G78" i="146"/>
  <c r="H78" i="146"/>
  <c r="J78" i="146"/>
  <c r="J47" i="146"/>
  <c r="H47" i="146"/>
  <c r="G69" i="146"/>
  <c r="H69" i="146"/>
  <c r="J69" i="146"/>
  <c r="H44" i="146"/>
  <c r="J44" i="146"/>
  <c r="J82" i="146"/>
  <c r="H82" i="146"/>
  <c r="G58" i="146"/>
  <c r="J58" i="146"/>
  <c r="H58" i="146"/>
  <c r="G44" i="146"/>
  <c r="G81" i="146"/>
  <c r="J63" i="146"/>
  <c r="H63" i="146"/>
  <c r="J67" i="146"/>
  <c r="H67" i="146"/>
  <c r="I64" i="146"/>
  <c r="H64" i="146"/>
  <c r="J64" i="146"/>
  <c r="J75" i="146"/>
  <c r="H75" i="146"/>
  <c r="G56" i="146"/>
  <c r="H56" i="146"/>
  <c r="J56" i="146"/>
  <c r="G45" i="146"/>
  <c r="H45" i="146"/>
  <c r="J45" i="146"/>
  <c r="G66" i="146"/>
  <c r="J66" i="146"/>
  <c r="H66" i="146"/>
  <c r="I76" i="146"/>
  <c r="H76" i="146"/>
  <c r="J76" i="146"/>
  <c r="J80" i="146"/>
  <c r="H80" i="146"/>
  <c r="G77" i="146"/>
  <c r="H77" i="146"/>
  <c r="J77" i="146"/>
  <c r="I50" i="146"/>
  <c r="J50" i="146"/>
  <c r="H50" i="146"/>
  <c r="I40" i="146"/>
  <c r="J40" i="146"/>
  <c r="H40" i="146"/>
  <c r="G82" i="146"/>
  <c r="G51" i="146"/>
  <c r="J51" i="146"/>
  <c r="H51" i="146"/>
  <c r="J72" i="146"/>
  <c r="H72" i="146"/>
  <c r="H60" i="146"/>
  <c r="J60" i="146"/>
  <c r="J59" i="146"/>
  <c r="H59" i="146"/>
  <c r="G49" i="146"/>
  <c r="J49" i="146"/>
  <c r="H49" i="146"/>
  <c r="J73" i="146"/>
  <c r="H73" i="146"/>
  <c r="G38" i="146"/>
  <c r="J38" i="146"/>
  <c r="H38" i="146"/>
  <c r="G42" i="146"/>
  <c r="J42" i="146"/>
  <c r="H42" i="146"/>
  <c r="I61" i="146"/>
  <c r="H61" i="146"/>
  <c r="J61" i="146"/>
  <c r="G65" i="146"/>
  <c r="H65" i="146"/>
  <c r="J65" i="146"/>
  <c r="I68" i="146"/>
  <c r="H68" i="146"/>
  <c r="J68" i="146"/>
  <c r="I86" i="146"/>
  <c r="H86" i="146"/>
  <c r="J86" i="146"/>
  <c r="J87" i="146"/>
  <c r="H87" i="146"/>
  <c r="I70" i="146"/>
  <c r="I57" i="146"/>
  <c r="H57" i="146"/>
  <c r="J57" i="146"/>
  <c r="G74" i="146"/>
  <c r="J74" i="146"/>
  <c r="H74" i="146"/>
  <c r="H85" i="146"/>
  <c r="J85" i="146"/>
  <c r="H84" i="146"/>
  <c r="J84" i="146"/>
  <c r="J71" i="146"/>
  <c r="H71" i="146"/>
  <c r="I52" i="146"/>
  <c r="H52" i="146"/>
  <c r="J52" i="146"/>
  <c r="G59" i="146"/>
  <c r="G60" i="146"/>
  <c r="I58" i="146"/>
  <c r="I87" i="146"/>
  <c r="G40" i="146"/>
  <c r="I69" i="146"/>
  <c r="G68" i="146"/>
  <c r="I82" i="146"/>
  <c r="G80" i="146"/>
  <c r="G75" i="146"/>
  <c r="G47" i="146"/>
  <c r="G86" i="146"/>
  <c r="I77" i="146"/>
  <c r="I80" i="146"/>
  <c r="I47" i="146"/>
  <c r="G73" i="146"/>
  <c r="G64" i="146"/>
  <c r="I46" i="146"/>
  <c r="I41" i="146"/>
  <c r="I67" i="146"/>
  <c r="I75" i="146"/>
  <c r="I51" i="146"/>
  <c r="G48" i="146"/>
  <c r="I59" i="146"/>
  <c r="I66" i="146"/>
  <c r="G76" i="146"/>
  <c r="I73" i="146"/>
  <c r="I65" i="146"/>
  <c r="I36" i="146"/>
  <c r="I93" i="146" s="1"/>
  <c r="I72" i="146"/>
  <c r="I62" i="146"/>
  <c r="I42" i="146"/>
  <c r="I54" i="146"/>
  <c r="G46" i="146"/>
  <c r="G43" i="146"/>
  <c r="G55" i="146"/>
  <c r="I83" i="146"/>
  <c r="G79" i="146"/>
  <c r="I78" i="146"/>
  <c r="I38" i="146"/>
  <c r="I53" i="146"/>
  <c r="I92" i="146" s="1"/>
  <c r="I56" i="146"/>
  <c r="G36" i="146"/>
  <c r="G93" i="146" s="1"/>
  <c r="I55" i="146"/>
  <c r="I79" i="146"/>
  <c r="I45" i="146"/>
  <c r="G83" i="146"/>
  <c r="G72" i="146"/>
  <c r="I43" i="146"/>
  <c r="I60" i="146"/>
  <c r="AM79" i="73"/>
  <c r="AN76" i="73"/>
  <c r="AM81" i="73" l="1"/>
  <c r="AN78" i="73"/>
  <c r="AM83" i="73" l="1"/>
  <c r="AD7" i="73"/>
  <c r="AD8" i="73"/>
  <c r="AD9" i="73"/>
  <c r="AD10" i="73"/>
  <c r="AD11" i="73"/>
  <c r="AD12" i="73"/>
  <c r="AD13" i="73"/>
  <c r="AD14" i="73"/>
  <c r="AD15" i="73"/>
  <c r="AD16" i="73"/>
  <c r="AD17" i="73"/>
  <c r="AD18" i="73"/>
  <c r="AD19" i="73"/>
  <c r="AD20" i="73"/>
  <c r="AD21" i="73"/>
  <c r="AD22" i="73"/>
  <c r="AD23" i="73"/>
  <c r="AD24" i="73"/>
  <c r="AD25" i="73"/>
  <c r="AD26" i="73"/>
  <c r="AD27" i="73"/>
  <c r="AD28" i="73"/>
  <c r="AD29" i="73"/>
  <c r="AD30" i="73"/>
  <c r="AD31" i="73"/>
  <c r="AD32" i="73"/>
  <c r="AD33" i="73"/>
  <c r="AD34" i="73"/>
  <c r="AD35" i="73"/>
  <c r="AD36" i="73"/>
  <c r="AD37" i="73"/>
  <c r="AD38" i="73"/>
  <c r="AD39" i="73"/>
  <c r="AD40" i="73"/>
  <c r="AD41" i="73"/>
  <c r="AD42" i="73"/>
  <c r="AD43" i="73"/>
  <c r="AD44" i="73"/>
  <c r="AD45" i="73"/>
  <c r="AD46" i="73"/>
  <c r="AD47" i="73"/>
  <c r="AD48" i="73"/>
  <c r="AD49" i="73"/>
  <c r="AD50" i="73"/>
  <c r="AD51" i="73"/>
  <c r="AD52" i="73"/>
  <c r="AD53" i="73"/>
  <c r="AD54" i="73"/>
  <c r="AD55" i="73"/>
  <c r="AD56" i="73"/>
  <c r="AD57" i="73"/>
  <c r="AD58" i="73"/>
  <c r="AD59" i="73"/>
  <c r="AD60" i="73"/>
  <c r="AN61" i="73"/>
  <c r="AN81" i="73"/>
  <c r="AN45" i="73"/>
  <c r="AN71" i="73"/>
  <c r="AN43" i="73"/>
  <c r="AN65" i="73"/>
  <c r="AN73" i="73"/>
  <c r="AN59" i="73"/>
  <c r="AN37" i="73"/>
  <c r="AN77" i="73"/>
  <c r="AN31" i="73"/>
  <c r="AN19" i="73"/>
  <c r="AN33" i="73"/>
  <c r="AN15" i="73"/>
  <c r="AN21" i="73"/>
  <c r="AN67" i="73"/>
  <c r="AN9" i="73"/>
  <c r="AN27" i="73"/>
  <c r="AN39" i="73"/>
  <c r="AN55" i="73"/>
  <c r="AN41" i="73"/>
  <c r="AN25" i="73"/>
  <c r="AN51" i="73"/>
  <c r="AN11" i="73"/>
  <c r="AN13" i="73"/>
  <c r="AN35" i="73"/>
  <c r="AN57" i="73"/>
  <c r="AN53" i="73"/>
  <c r="AN79" i="73"/>
  <c r="AN63" i="73"/>
  <c r="AN29" i="73"/>
  <c r="AN47" i="73"/>
  <c r="AN69" i="73"/>
  <c r="AN17" i="73"/>
  <c r="AN75" i="73"/>
  <c r="AN83" i="73"/>
  <c r="AN23" i="73"/>
  <c r="AN80" i="73"/>
  <c r="AN49" i="73"/>
  <c r="AF60" i="73" l="1"/>
  <c r="D157" i="121" s="1"/>
  <c r="G157" i="121" s="1"/>
  <c r="G96" i="121" s="1"/>
  <c r="AF53" i="73"/>
  <c r="D150" i="121" s="1"/>
  <c r="AF37" i="73"/>
  <c r="D134" i="121" s="1"/>
  <c r="AF21" i="73"/>
  <c r="D118" i="121" s="1"/>
  <c r="AF44" i="73"/>
  <c r="D141" i="121" s="1"/>
  <c r="AF36" i="73"/>
  <c r="D133" i="121" s="1"/>
  <c r="AF20" i="73"/>
  <c r="D117" i="121" s="1"/>
  <c r="AF51" i="73"/>
  <c r="D148" i="121" s="1"/>
  <c r="AF50" i="73"/>
  <c r="D147" i="121" s="1"/>
  <c r="AF34" i="73"/>
  <c r="D131" i="121" s="1"/>
  <c r="AF57" i="73"/>
  <c r="D154" i="121" s="1"/>
  <c r="AF55" i="73"/>
  <c r="D152" i="121" s="1"/>
  <c r="AF45" i="73"/>
  <c r="D142" i="121" s="1"/>
  <c r="AF29" i="73"/>
  <c r="D126" i="121" s="1"/>
  <c r="AF52" i="73"/>
  <c r="D149" i="121" s="1"/>
  <c r="AF28" i="73"/>
  <c r="D125" i="121" s="1"/>
  <c r="AF43" i="73"/>
  <c r="D140" i="121" s="1"/>
  <c r="AF35" i="73"/>
  <c r="D132" i="121" s="1"/>
  <c r="AF27" i="73"/>
  <c r="D124" i="121" s="1"/>
  <c r="AF19" i="73"/>
  <c r="D116" i="121" s="1"/>
  <c r="AF58" i="73"/>
  <c r="D155" i="121" s="1"/>
  <c r="AF42" i="73"/>
  <c r="D139" i="121" s="1"/>
  <c r="AF26" i="73"/>
  <c r="D123" i="121" s="1"/>
  <c r="AF18" i="73"/>
  <c r="D115" i="121" s="1"/>
  <c r="AF49" i="73"/>
  <c r="D146" i="121" s="1"/>
  <c r="AF41" i="73"/>
  <c r="D138" i="121" s="1"/>
  <c r="AF33" i="73"/>
  <c r="D130" i="121" s="1"/>
  <c r="AF25" i="73"/>
  <c r="D122" i="121" s="1"/>
  <c r="AF17" i="73"/>
  <c r="D114" i="121" s="1"/>
  <c r="AF56" i="73"/>
  <c r="D153" i="121" s="1"/>
  <c r="AF48" i="73"/>
  <c r="D145" i="121" s="1"/>
  <c r="AF40" i="73"/>
  <c r="D137" i="121" s="1"/>
  <c r="AF32" i="73"/>
  <c r="D129" i="121" s="1"/>
  <c r="G129" i="121" s="1"/>
  <c r="AF24" i="73"/>
  <c r="D121" i="121" s="1"/>
  <c r="AF47" i="73"/>
  <c r="D144" i="121" s="1"/>
  <c r="AF39" i="73"/>
  <c r="D136" i="121" s="1"/>
  <c r="AF31" i="73"/>
  <c r="D128" i="121" s="1"/>
  <c r="AF23" i="73"/>
  <c r="D120" i="121" s="1"/>
  <c r="AF54" i="73"/>
  <c r="D151" i="121" s="1"/>
  <c r="AF46" i="73"/>
  <c r="D143" i="121" s="1"/>
  <c r="AF38" i="73"/>
  <c r="D135" i="121" s="1"/>
  <c r="AF30" i="73"/>
  <c r="D127" i="121" s="1"/>
  <c r="AF22" i="73"/>
  <c r="D119" i="121" s="1"/>
  <c r="AM85" i="73"/>
  <c r="AF16" i="73"/>
  <c r="D113" i="121" s="1"/>
  <c r="AF15" i="73"/>
  <c r="D112" i="121" s="1"/>
  <c r="AF14" i="73"/>
  <c r="D111" i="121" s="1"/>
  <c r="AF59" i="73"/>
  <c r="AF13" i="73"/>
  <c r="D110" i="121" s="1"/>
  <c r="AF10" i="73"/>
  <c r="D107" i="121" s="1"/>
  <c r="AF12" i="73"/>
  <c r="D109" i="121" s="1"/>
  <c r="AF8" i="73"/>
  <c r="D105" i="121" s="1"/>
  <c r="AN82" i="73"/>
  <c r="AN85" i="73"/>
  <c r="D96" i="121" l="1"/>
  <c r="G128" i="121"/>
  <c r="G67" i="121" s="1"/>
  <c r="D67" i="121"/>
  <c r="D44" i="121"/>
  <c r="G105" i="121"/>
  <c r="AC105" i="121" s="1"/>
  <c r="G116" i="121"/>
  <c r="G55" i="121" s="1"/>
  <c r="D55" i="121"/>
  <c r="D83" i="121"/>
  <c r="G144" i="121"/>
  <c r="D46" i="121"/>
  <c r="G107" i="121"/>
  <c r="D94" i="121"/>
  <c r="G155" i="121"/>
  <c r="G94" i="121" s="1"/>
  <c r="D81" i="121"/>
  <c r="G142" i="121"/>
  <c r="G81" i="121" s="1"/>
  <c r="G136" i="121"/>
  <c r="D75" i="121"/>
  <c r="G152" i="121"/>
  <c r="G91" i="121" s="1"/>
  <c r="D91" i="121"/>
  <c r="D58" i="121"/>
  <c r="G119" i="121"/>
  <c r="D63" i="121"/>
  <c r="G124" i="121"/>
  <c r="G63" i="121" s="1"/>
  <c r="G134" i="121"/>
  <c r="G73" i="121" s="1"/>
  <c r="D73" i="121"/>
  <c r="G121" i="121"/>
  <c r="G60" i="121" s="1"/>
  <c r="D60" i="121"/>
  <c r="G132" i="121"/>
  <c r="G71" i="121" s="1"/>
  <c r="D71" i="121"/>
  <c r="D89" i="121"/>
  <c r="G150" i="121"/>
  <c r="G89" i="121" s="1"/>
  <c r="G135" i="121"/>
  <c r="G74" i="121" s="1"/>
  <c r="D74" i="121"/>
  <c r="D85" i="121"/>
  <c r="G146" i="121"/>
  <c r="G85" i="121" s="1"/>
  <c r="D79" i="121"/>
  <c r="G140" i="121"/>
  <c r="G79" i="121" s="1"/>
  <c r="D86" i="121"/>
  <c r="G147" i="121"/>
  <c r="G86" i="121" s="1"/>
  <c r="G143" i="121"/>
  <c r="D82" i="121"/>
  <c r="D76" i="121"/>
  <c r="G137" i="121"/>
  <c r="G76" i="121" s="1"/>
  <c r="D54" i="121"/>
  <c r="G115" i="121"/>
  <c r="G54" i="121" s="1"/>
  <c r="D64" i="121"/>
  <c r="G125" i="121"/>
  <c r="G148" i="121"/>
  <c r="D87" i="121"/>
  <c r="D52" i="121"/>
  <c r="G113" i="121"/>
  <c r="G52" i="121" s="1"/>
  <c r="D53" i="121"/>
  <c r="G114" i="121"/>
  <c r="G141" i="121"/>
  <c r="G80" i="121" s="1"/>
  <c r="D80" i="121"/>
  <c r="G122" i="121"/>
  <c r="D61" i="121"/>
  <c r="G118" i="121"/>
  <c r="G57" i="121" s="1"/>
  <c r="D57" i="121"/>
  <c r="D48" i="121"/>
  <c r="G109" i="121"/>
  <c r="G48" i="121" s="1"/>
  <c r="D69" i="121"/>
  <c r="G130" i="121"/>
  <c r="G154" i="121"/>
  <c r="G93" i="121" s="1"/>
  <c r="D93" i="121"/>
  <c r="G127" i="121"/>
  <c r="G66" i="121" s="1"/>
  <c r="D66" i="121"/>
  <c r="D77" i="121"/>
  <c r="G138" i="121"/>
  <c r="G131" i="121"/>
  <c r="G70" i="121" s="1"/>
  <c r="D70" i="121"/>
  <c r="G110" i="121"/>
  <c r="G49" i="121" s="1"/>
  <c r="D49" i="121"/>
  <c r="D68" i="121"/>
  <c r="D50" i="121"/>
  <c r="G111" i="121"/>
  <c r="G151" i="121"/>
  <c r="G90" i="121" s="1"/>
  <c r="D90" i="121"/>
  <c r="G145" i="121"/>
  <c r="G84" i="121" s="1"/>
  <c r="D84" i="121"/>
  <c r="G123" i="121"/>
  <c r="G62" i="121" s="1"/>
  <c r="D62" i="121"/>
  <c r="G149" i="121"/>
  <c r="G88" i="121" s="1"/>
  <c r="D88" i="121"/>
  <c r="D56" i="121"/>
  <c r="G117" i="121"/>
  <c r="D51" i="121"/>
  <c r="G112" i="121"/>
  <c r="G51" i="121" s="1"/>
  <c r="G120" i="121"/>
  <c r="G59" i="121" s="1"/>
  <c r="D59" i="121"/>
  <c r="G153" i="121"/>
  <c r="G92" i="121" s="1"/>
  <c r="D92" i="121"/>
  <c r="D78" i="121"/>
  <c r="G139" i="121"/>
  <c r="G78" i="121" s="1"/>
  <c r="G126" i="121"/>
  <c r="G65" i="121" s="1"/>
  <c r="D65" i="121"/>
  <c r="G133" i="121"/>
  <c r="D72" i="121"/>
  <c r="D156" i="121"/>
  <c r="AC157" i="121"/>
  <c r="AM87" i="73"/>
  <c r="AN84" i="73"/>
  <c r="AN87" i="73"/>
  <c r="G68" i="121" l="1"/>
  <c r="AC129" i="121"/>
  <c r="G46" i="121"/>
  <c r="G47" i="121" s="1"/>
  <c r="AC107" i="121"/>
  <c r="AC155" i="121"/>
  <c r="AC134" i="121"/>
  <c r="AC116" i="121"/>
  <c r="AC152" i="121"/>
  <c r="AC139" i="121"/>
  <c r="AC147" i="121"/>
  <c r="AC128" i="121"/>
  <c r="AC115" i="121"/>
  <c r="AC126" i="121"/>
  <c r="AC112" i="121"/>
  <c r="AC154" i="121"/>
  <c r="AC137" i="121"/>
  <c r="AC140" i="121"/>
  <c r="AC153" i="121"/>
  <c r="AC131" i="121"/>
  <c r="AC132" i="121"/>
  <c r="AC123" i="121"/>
  <c r="AC146" i="121"/>
  <c r="AC124" i="121"/>
  <c r="AC121" i="121"/>
  <c r="AC118" i="121"/>
  <c r="AC125" i="121"/>
  <c r="G64" i="121"/>
  <c r="AC114" i="121"/>
  <c r="G53" i="121"/>
  <c r="AC143" i="121"/>
  <c r="G82" i="121"/>
  <c r="G44" i="121"/>
  <c r="AC133" i="121"/>
  <c r="G72" i="121"/>
  <c r="AC117" i="121"/>
  <c r="G56" i="121"/>
  <c r="AC145" i="121"/>
  <c r="AC113" i="121"/>
  <c r="AC135" i="121"/>
  <c r="AC136" i="121"/>
  <c r="G75" i="121"/>
  <c r="D45" i="121"/>
  <c r="D43" i="121"/>
  <c r="AC148" i="121"/>
  <c r="G87" i="121"/>
  <c r="AC111" i="121"/>
  <c r="G50" i="121"/>
  <c r="AC138" i="121"/>
  <c r="G77" i="121"/>
  <c r="AC130" i="121"/>
  <c r="G69" i="121"/>
  <c r="AC142" i="121"/>
  <c r="D47" i="121"/>
  <c r="AC120" i="121"/>
  <c r="AC149" i="121"/>
  <c r="AC122" i="121"/>
  <c r="G61" i="121"/>
  <c r="AC119" i="121"/>
  <c r="G58" i="121"/>
  <c r="AC144" i="121"/>
  <c r="G83" i="121"/>
  <c r="AC151" i="121"/>
  <c r="AC110" i="121"/>
  <c r="AC127" i="121"/>
  <c r="AC109" i="121"/>
  <c r="AC141" i="121"/>
  <c r="AC150" i="121"/>
  <c r="D95" i="121"/>
  <c r="G156" i="121"/>
  <c r="G95" i="121" s="1"/>
  <c r="AM89" i="73"/>
  <c r="AN86" i="73"/>
  <c r="AN89" i="73"/>
  <c r="AC156" i="121" l="1"/>
  <c r="G45" i="121"/>
  <c r="G43" i="121"/>
  <c r="AM91" i="73"/>
  <c r="AN88" i="73"/>
  <c r="AN91" i="73"/>
  <c r="H72" i="68" l="1"/>
  <c r="E61" i="68"/>
  <c r="H86" i="68"/>
  <c r="E47" i="68"/>
  <c r="H51" i="68"/>
  <c r="E68" i="68"/>
  <c r="E40" i="68"/>
  <c r="H74" i="68"/>
  <c r="E41" i="68"/>
  <c r="E46" i="68"/>
  <c r="H33" i="68"/>
  <c r="H84" i="68"/>
  <c r="E64" i="68"/>
  <c r="E45" i="68"/>
  <c r="H76" i="68"/>
  <c r="E56" i="68"/>
  <c r="H70" i="68"/>
  <c r="H54" i="68"/>
  <c r="E60" i="68"/>
  <c r="H35" i="68"/>
  <c r="E66" i="68"/>
  <c r="E38" i="68"/>
  <c r="E37" i="68"/>
  <c r="E39" i="68"/>
  <c r="H58" i="68"/>
  <c r="E48" i="68"/>
  <c r="H44" i="68"/>
  <c r="H83" i="68"/>
  <c r="H62" i="68"/>
  <c r="E50" i="68"/>
  <c r="E79" i="68"/>
  <c r="E53" i="68"/>
  <c r="E34" i="68"/>
  <c r="H59" i="68"/>
  <c r="E73" i="68"/>
  <c r="H78" i="68"/>
  <c r="H82" i="68"/>
  <c r="E57" i="68"/>
  <c r="H43" i="68"/>
  <c r="E69" i="68"/>
  <c r="E71" i="68"/>
  <c r="E80" i="68"/>
  <c r="H52" i="68"/>
  <c r="H81" i="68"/>
  <c r="E85" i="68"/>
  <c r="E65" i="68"/>
  <c r="H36" i="68"/>
  <c r="H75" i="68"/>
  <c r="E49" i="68"/>
  <c r="E77" i="68"/>
  <c r="E42" i="68"/>
  <c r="E63" i="68"/>
  <c r="H87" i="68"/>
  <c r="H67" i="68"/>
  <c r="H55" i="68"/>
  <c r="AM93" i="73"/>
  <c r="E78" i="68"/>
  <c r="E44" i="68"/>
  <c r="E51" i="68"/>
  <c r="H50" i="68"/>
  <c r="H56" i="68"/>
  <c r="H71" i="68"/>
  <c r="E82" i="68"/>
  <c r="E70" i="68"/>
  <c r="E87" i="68"/>
  <c r="E81" i="68"/>
  <c r="E84" i="68"/>
  <c r="E76" i="68"/>
  <c r="H53" i="68"/>
  <c r="H65" i="68"/>
  <c r="H39" i="68"/>
  <c r="E59" i="68"/>
  <c r="H63" i="68"/>
  <c r="H47" i="68"/>
  <c r="H49" i="68"/>
  <c r="H46" i="68"/>
  <c r="H61" i="68"/>
  <c r="H73" i="68"/>
  <c r="E86" i="68"/>
  <c r="H80" i="68"/>
  <c r="E67" i="68"/>
  <c r="H64" i="68"/>
  <c r="H38" i="68"/>
  <c r="E72" i="68"/>
  <c r="H85" i="68"/>
  <c r="H60" i="68"/>
  <c r="H57" i="68"/>
  <c r="E62" i="68"/>
  <c r="H69" i="68"/>
  <c r="H37" i="68"/>
  <c r="E83" i="68"/>
  <c r="E35" i="68"/>
  <c r="E58" i="68"/>
  <c r="H79" i="68"/>
  <c r="E52" i="68"/>
  <c r="H45" i="68"/>
  <c r="H48" i="68"/>
  <c r="E36" i="68"/>
  <c r="E74" i="68"/>
  <c r="H41" i="68"/>
  <c r="H42" i="68"/>
  <c r="H40" i="68"/>
  <c r="E55" i="68"/>
  <c r="H66" i="68"/>
  <c r="H34" i="68"/>
  <c r="H68" i="68"/>
  <c r="H77" i="68"/>
  <c r="E75" i="68"/>
  <c r="E54" i="68"/>
  <c r="E43" i="68"/>
  <c r="E33" i="68"/>
  <c r="E130" i="54"/>
  <c r="H126" i="54"/>
  <c r="G126" i="54"/>
  <c r="F126" i="54"/>
  <c r="E126" i="54"/>
  <c r="D126" i="54"/>
  <c r="C126" i="54"/>
  <c r="B126" i="54"/>
  <c r="H125" i="54"/>
  <c r="G125" i="54"/>
  <c r="F125" i="54"/>
  <c r="E125" i="54"/>
  <c r="D125" i="54"/>
  <c r="C125" i="54"/>
  <c r="B125" i="54"/>
  <c r="H124" i="54"/>
  <c r="G124" i="54"/>
  <c r="F124" i="54"/>
  <c r="E124" i="54"/>
  <c r="D124" i="54"/>
  <c r="C124" i="54"/>
  <c r="B124" i="54"/>
  <c r="H122" i="54"/>
  <c r="G122" i="54"/>
  <c r="F122" i="54"/>
  <c r="E122" i="54"/>
  <c r="D122" i="54"/>
  <c r="C122" i="54"/>
  <c r="B122" i="54"/>
  <c r="H121" i="54"/>
  <c r="G121" i="54"/>
  <c r="F121" i="54"/>
  <c r="E121" i="54"/>
  <c r="D121" i="54"/>
  <c r="C121" i="54"/>
  <c r="B121" i="54"/>
  <c r="H120" i="54"/>
  <c r="G120" i="54"/>
  <c r="F120" i="54"/>
  <c r="E120" i="54"/>
  <c r="D120" i="54"/>
  <c r="C120" i="54"/>
  <c r="B120" i="54"/>
  <c r="H118" i="54"/>
  <c r="G118" i="54"/>
  <c r="F118" i="54"/>
  <c r="E118" i="54"/>
  <c r="D118" i="54"/>
  <c r="C118" i="54"/>
  <c r="B118" i="54"/>
  <c r="H117" i="54"/>
  <c r="G117" i="54"/>
  <c r="F117" i="54"/>
  <c r="E117" i="54"/>
  <c r="D117" i="54"/>
  <c r="C117" i="54"/>
  <c r="B117" i="54"/>
  <c r="H116" i="54"/>
  <c r="G116" i="54"/>
  <c r="F116" i="54"/>
  <c r="E116" i="54"/>
  <c r="D116" i="54"/>
  <c r="C116" i="54"/>
  <c r="B116" i="54"/>
  <c r="H115" i="54"/>
  <c r="G115" i="54"/>
  <c r="F115" i="54"/>
  <c r="E115" i="54"/>
  <c r="D115" i="54"/>
  <c r="C115" i="54"/>
  <c r="B115" i="54"/>
  <c r="H114" i="54"/>
  <c r="G114" i="54"/>
  <c r="F114" i="54"/>
  <c r="E114" i="54"/>
  <c r="D114" i="54"/>
  <c r="C114" i="54"/>
  <c r="B114" i="54"/>
  <c r="H113" i="54"/>
  <c r="G113" i="54"/>
  <c r="F113" i="54"/>
  <c r="E113" i="54"/>
  <c r="D113" i="54"/>
  <c r="C113" i="54"/>
  <c r="B113" i="54"/>
  <c r="H112" i="54"/>
  <c r="G112" i="54"/>
  <c r="F112" i="54"/>
  <c r="E112" i="54"/>
  <c r="D112" i="54"/>
  <c r="C112" i="54"/>
  <c r="B112" i="54"/>
  <c r="H111" i="54"/>
  <c r="G111" i="54"/>
  <c r="F111" i="54"/>
  <c r="E111" i="54"/>
  <c r="D111" i="54"/>
  <c r="C111" i="54"/>
  <c r="B111" i="54"/>
  <c r="H106" i="54"/>
  <c r="G106" i="54"/>
  <c r="F106" i="54"/>
  <c r="E106" i="54"/>
  <c r="D106" i="54"/>
  <c r="C106" i="54"/>
  <c r="B106" i="54"/>
  <c r="H105" i="54"/>
  <c r="G105" i="54"/>
  <c r="F105" i="54"/>
  <c r="E105" i="54"/>
  <c r="D105" i="54"/>
  <c r="C105" i="54"/>
  <c r="B105" i="54"/>
  <c r="H104" i="54"/>
  <c r="G104" i="54"/>
  <c r="F104" i="54"/>
  <c r="E104" i="54"/>
  <c r="D104" i="54"/>
  <c r="C104" i="54"/>
  <c r="B104" i="54"/>
  <c r="H103" i="54"/>
  <c r="G103" i="54"/>
  <c r="F103" i="54"/>
  <c r="E103" i="54"/>
  <c r="D103" i="54"/>
  <c r="C103" i="54"/>
  <c r="B103" i="54"/>
  <c r="H102" i="54"/>
  <c r="G102" i="54"/>
  <c r="F102" i="54"/>
  <c r="E102" i="54"/>
  <c r="D102" i="54"/>
  <c r="C102" i="54"/>
  <c r="B102" i="54"/>
  <c r="H99" i="54"/>
  <c r="G99" i="54"/>
  <c r="F99" i="54"/>
  <c r="E99" i="54"/>
  <c r="D99" i="54"/>
  <c r="C99" i="54"/>
  <c r="B99" i="54"/>
  <c r="H98" i="54"/>
  <c r="G98" i="54"/>
  <c r="F98" i="54"/>
  <c r="E98" i="54"/>
  <c r="D98" i="54"/>
  <c r="C98" i="54"/>
  <c r="B98" i="54"/>
  <c r="H97" i="54"/>
  <c r="G97" i="54"/>
  <c r="F97" i="54"/>
  <c r="E97" i="54"/>
  <c r="D97" i="54"/>
  <c r="C97" i="54"/>
  <c r="B97" i="54"/>
  <c r="H96" i="54"/>
  <c r="G96" i="54"/>
  <c r="F96" i="54"/>
  <c r="E96" i="54"/>
  <c r="D96" i="54"/>
  <c r="C96" i="54"/>
  <c r="B96" i="54"/>
  <c r="H95" i="54"/>
  <c r="G95" i="54"/>
  <c r="F95" i="54"/>
  <c r="E95" i="54"/>
  <c r="D95" i="54"/>
  <c r="C95" i="54"/>
  <c r="B95" i="54"/>
  <c r="H94" i="54"/>
  <c r="G94" i="54"/>
  <c r="F94" i="54"/>
  <c r="E94" i="54"/>
  <c r="D94" i="54"/>
  <c r="C94" i="54"/>
  <c r="B94" i="54"/>
  <c r="H93" i="54"/>
  <c r="G93" i="54"/>
  <c r="F93" i="54"/>
  <c r="E93" i="54"/>
  <c r="D93" i="54"/>
  <c r="C93" i="54"/>
  <c r="B93" i="54"/>
  <c r="H92" i="54"/>
  <c r="G92" i="54"/>
  <c r="F92" i="54"/>
  <c r="E92" i="54"/>
  <c r="D92" i="54"/>
  <c r="C92" i="54"/>
  <c r="B92" i="54"/>
  <c r="H91" i="54"/>
  <c r="G91" i="54"/>
  <c r="F91" i="54"/>
  <c r="E91" i="54"/>
  <c r="D91" i="54"/>
  <c r="C91" i="54"/>
  <c r="B91" i="54"/>
  <c r="H90" i="54"/>
  <c r="G90" i="54"/>
  <c r="F90" i="54"/>
  <c r="E90" i="54"/>
  <c r="D90" i="54"/>
  <c r="C90" i="54"/>
  <c r="B90" i="54"/>
  <c r="H89" i="54"/>
  <c r="G89" i="54"/>
  <c r="F89" i="54"/>
  <c r="E89" i="54"/>
  <c r="D89" i="54"/>
  <c r="C89" i="54"/>
  <c r="B89" i="54"/>
  <c r="H88" i="54"/>
  <c r="G88" i="54"/>
  <c r="F88" i="54"/>
  <c r="E88" i="54"/>
  <c r="D88" i="54"/>
  <c r="C88" i="54"/>
  <c r="B88" i="54"/>
  <c r="H86" i="54"/>
  <c r="G86" i="54"/>
  <c r="F86" i="54"/>
  <c r="E86" i="54"/>
  <c r="D86" i="54"/>
  <c r="C86" i="54"/>
  <c r="B86" i="54"/>
  <c r="H85" i="54"/>
  <c r="G85" i="54"/>
  <c r="F85" i="54"/>
  <c r="E85" i="54"/>
  <c r="D85" i="54"/>
  <c r="C85" i="54"/>
  <c r="B85" i="54"/>
  <c r="H84" i="54"/>
  <c r="G84" i="54"/>
  <c r="F84" i="54"/>
  <c r="E84" i="54"/>
  <c r="D84" i="54"/>
  <c r="C84" i="54"/>
  <c r="B84" i="54"/>
  <c r="H83" i="54"/>
  <c r="G83" i="54"/>
  <c r="F83" i="54"/>
  <c r="E83" i="54"/>
  <c r="D83" i="54"/>
  <c r="C83" i="54"/>
  <c r="B83" i="54"/>
  <c r="H82" i="54"/>
  <c r="G82" i="54"/>
  <c r="F82" i="54"/>
  <c r="E82" i="54"/>
  <c r="D82" i="54"/>
  <c r="C82" i="54"/>
  <c r="B82" i="54"/>
  <c r="H81" i="54"/>
  <c r="G81" i="54"/>
  <c r="F81" i="54"/>
  <c r="E81" i="54"/>
  <c r="D81" i="54"/>
  <c r="C81" i="54"/>
  <c r="B81" i="54"/>
  <c r="H80" i="54"/>
  <c r="G80" i="54"/>
  <c r="F80" i="54"/>
  <c r="E80" i="54"/>
  <c r="D80" i="54"/>
  <c r="C80" i="54"/>
  <c r="B80" i="54"/>
  <c r="H79" i="54"/>
  <c r="G79" i="54"/>
  <c r="F79" i="54"/>
  <c r="E79" i="54"/>
  <c r="D79" i="54"/>
  <c r="C79" i="54"/>
  <c r="B79" i="54"/>
  <c r="H78" i="54"/>
  <c r="G78" i="54"/>
  <c r="F78" i="54"/>
  <c r="E78" i="54"/>
  <c r="D78" i="54"/>
  <c r="C78" i="54"/>
  <c r="B78" i="54"/>
  <c r="H77" i="54"/>
  <c r="G77" i="54"/>
  <c r="F77" i="54"/>
  <c r="E77" i="54"/>
  <c r="D77" i="54"/>
  <c r="C77" i="54"/>
  <c r="B77" i="54"/>
  <c r="H76" i="54"/>
  <c r="G76" i="54"/>
  <c r="F76" i="54"/>
  <c r="E76" i="54"/>
  <c r="D76" i="54"/>
  <c r="C76" i="54"/>
  <c r="B76" i="54"/>
  <c r="H75" i="54"/>
  <c r="G75" i="54"/>
  <c r="F75" i="54"/>
  <c r="E75" i="54"/>
  <c r="D75" i="54"/>
  <c r="C75" i="54"/>
  <c r="B75" i="54"/>
  <c r="H74" i="54"/>
  <c r="G74" i="54"/>
  <c r="F74" i="54"/>
  <c r="E74" i="54"/>
  <c r="D74" i="54"/>
  <c r="C74" i="54"/>
  <c r="B74" i="54"/>
  <c r="H73" i="54"/>
  <c r="G73" i="54"/>
  <c r="F73" i="54"/>
  <c r="E73" i="54"/>
  <c r="D73" i="54"/>
  <c r="C73" i="54"/>
  <c r="B73" i="54"/>
  <c r="H72" i="54"/>
  <c r="G72" i="54"/>
  <c r="F72" i="54"/>
  <c r="E72" i="54"/>
  <c r="D72" i="54"/>
  <c r="C72" i="54"/>
  <c r="B72" i="54"/>
  <c r="H71" i="54"/>
  <c r="G71" i="54"/>
  <c r="F71" i="54"/>
  <c r="E71" i="54"/>
  <c r="D71" i="54"/>
  <c r="C71" i="54"/>
  <c r="B71" i="54"/>
  <c r="H70" i="54"/>
  <c r="G70" i="54"/>
  <c r="F70" i="54"/>
  <c r="E70" i="54"/>
  <c r="D70" i="54"/>
  <c r="C70" i="54"/>
  <c r="B70" i="54"/>
  <c r="H69" i="54"/>
  <c r="G69" i="54"/>
  <c r="F69" i="54"/>
  <c r="E69" i="54"/>
  <c r="D69" i="54"/>
  <c r="C69" i="54"/>
  <c r="B69" i="54"/>
  <c r="H68" i="54"/>
  <c r="G68" i="54"/>
  <c r="F68" i="54"/>
  <c r="E68" i="54"/>
  <c r="D68" i="54"/>
  <c r="C68" i="54"/>
  <c r="B68" i="54"/>
  <c r="H67" i="54"/>
  <c r="G67" i="54"/>
  <c r="F67" i="54"/>
  <c r="E67" i="54"/>
  <c r="D67" i="54"/>
  <c r="C67" i="54"/>
  <c r="B67" i="54"/>
  <c r="H66" i="54"/>
  <c r="G66" i="54"/>
  <c r="F66" i="54"/>
  <c r="E66" i="54"/>
  <c r="D66" i="54"/>
  <c r="C66" i="54"/>
  <c r="X59" i="54"/>
  <c r="W59" i="54"/>
  <c r="V59" i="54"/>
  <c r="U59" i="54"/>
  <c r="T59" i="54"/>
  <c r="S59" i="54"/>
  <c r="R59" i="54"/>
  <c r="P59" i="54"/>
  <c r="O59" i="54"/>
  <c r="N59" i="54"/>
  <c r="M59" i="54"/>
  <c r="L59" i="54"/>
  <c r="K59" i="54"/>
  <c r="J59" i="54"/>
  <c r="X58" i="54"/>
  <c r="W58" i="54"/>
  <c r="V58" i="54"/>
  <c r="U58" i="54"/>
  <c r="T58" i="54"/>
  <c r="S58" i="54"/>
  <c r="R58" i="54"/>
  <c r="P58" i="54"/>
  <c r="O58" i="54"/>
  <c r="N58" i="54"/>
  <c r="M58" i="54"/>
  <c r="L58" i="54"/>
  <c r="K58" i="54"/>
  <c r="J58" i="54"/>
  <c r="X57" i="54"/>
  <c r="W57" i="54"/>
  <c r="V57" i="54"/>
  <c r="U57" i="54"/>
  <c r="T57" i="54"/>
  <c r="S57" i="54"/>
  <c r="R57" i="54"/>
  <c r="P57" i="54"/>
  <c r="O57" i="54"/>
  <c r="N57" i="54"/>
  <c r="M57" i="54"/>
  <c r="L57" i="54"/>
  <c r="K57" i="54"/>
  <c r="J57" i="54"/>
  <c r="X56" i="54"/>
  <c r="W56" i="54"/>
  <c r="V56" i="54"/>
  <c r="U56" i="54"/>
  <c r="T56" i="54"/>
  <c r="S56" i="54"/>
  <c r="R56" i="54"/>
  <c r="P56" i="54"/>
  <c r="O56" i="54"/>
  <c r="N56" i="54"/>
  <c r="M56" i="54"/>
  <c r="L56" i="54"/>
  <c r="K56" i="54"/>
  <c r="J56" i="54"/>
  <c r="X55" i="54"/>
  <c r="W55" i="54"/>
  <c r="V55" i="54"/>
  <c r="U55" i="54"/>
  <c r="T55" i="54"/>
  <c r="S55" i="54"/>
  <c r="R55" i="54"/>
  <c r="P55" i="54"/>
  <c r="O55" i="54"/>
  <c r="N55" i="54"/>
  <c r="M55" i="54"/>
  <c r="L55" i="54"/>
  <c r="K55" i="54"/>
  <c r="J55" i="54"/>
  <c r="X54" i="54"/>
  <c r="W54" i="54"/>
  <c r="V54" i="54"/>
  <c r="U54" i="54"/>
  <c r="T54" i="54"/>
  <c r="S54" i="54"/>
  <c r="R54" i="54"/>
  <c r="P54" i="54"/>
  <c r="O54" i="54"/>
  <c r="N54" i="54"/>
  <c r="M54" i="54"/>
  <c r="L54" i="54"/>
  <c r="K54" i="54"/>
  <c r="J54" i="54"/>
  <c r="X53" i="54"/>
  <c r="W53" i="54"/>
  <c r="V53" i="54"/>
  <c r="U53" i="54"/>
  <c r="T53" i="54"/>
  <c r="S53" i="54"/>
  <c r="R53" i="54"/>
  <c r="P53" i="54"/>
  <c r="O53" i="54"/>
  <c r="N53" i="54"/>
  <c r="M53" i="54"/>
  <c r="L53" i="54"/>
  <c r="K53" i="54"/>
  <c r="J53" i="54"/>
  <c r="X52" i="54"/>
  <c r="W52" i="54"/>
  <c r="V52" i="54"/>
  <c r="U52" i="54"/>
  <c r="T52" i="54"/>
  <c r="S52" i="54"/>
  <c r="R52" i="54"/>
  <c r="P52" i="54"/>
  <c r="O52" i="54"/>
  <c r="N52" i="54"/>
  <c r="M52" i="54"/>
  <c r="L52" i="54"/>
  <c r="K52" i="54"/>
  <c r="J52" i="54"/>
  <c r="X51" i="54"/>
  <c r="W51" i="54"/>
  <c r="V51" i="54"/>
  <c r="U51" i="54"/>
  <c r="T51" i="54"/>
  <c r="S51" i="54"/>
  <c r="R51" i="54"/>
  <c r="P51" i="54"/>
  <c r="O51" i="54"/>
  <c r="N51" i="54"/>
  <c r="M51" i="54"/>
  <c r="L51" i="54"/>
  <c r="K51" i="54"/>
  <c r="J51" i="54"/>
  <c r="X50" i="54"/>
  <c r="W50" i="54"/>
  <c r="V50" i="54"/>
  <c r="U50" i="54"/>
  <c r="T50" i="54"/>
  <c r="S50" i="54"/>
  <c r="R50" i="54"/>
  <c r="P50" i="54"/>
  <c r="O50" i="54"/>
  <c r="N50" i="54"/>
  <c r="M50" i="54"/>
  <c r="L50" i="54"/>
  <c r="K50" i="54"/>
  <c r="J50" i="54"/>
  <c r="X49" i="54"/>
  <c r="W49" i="54"/>
  <c r="V49" i="54"/>
  <c r="U49" i="54"/>
  <c r="T49" i="54"/>
  <c r="S49" i="54"/>
  <c r="R49" i="54"/>
  <c r="P49" i="54"/>
  <c r="O49" i="54"/>
  <c r="N49" i="54"/>
  <c r="M49" i="54"/>
  <c r="L49" i="54"/>
  <c r="K49" i="54"/>
  <c r="J49" i="54"/>
  <c r="X48" i="54"/>
  <c r="W48" i="54"/>
  <c r="V48" i="54"/>
  <c r="U48" i="54"/>
  <c r="T48" i="54"/>
  <c r="S48" i="54"/>
  <c r="R48" i="54"/>
  <c r="P48" i="54"/>
  <c r="O48" i="54"/>
  <c r="N48" i="54"/>
  <c r="M48" i="54"/>
  <c r="L48" i="54"/>
  <c r="K48" i="54"/>
  <c r="J48" i="54"/>
  <c r="X47" i="54"/>
  <c r="W47" i="54"/>
  <c r="V47" i="54"/>
  <c r="U47" i="54"/>
  <c r="T47" i="54"/>
  <c r="S47" i="54"/>
  <c r="R47" i="54"/>
  <c r="P47" i="54"/>
  <c r="O47" i="54"/>
  <c r="N47" i="54"/>
  <c r="M47" i="54"/>
  <c r="L47" i="54"/>
  <c r="K47" i="54"/>
  <c r="J47" i="54"/>
  <c r="X46" i="54"/>
  <c r="W46" i="54"/>
  <c r="V46" i="54"/>
  <c r="U46" i="54"/>
  <c r="T46" i="54"/>
  <c r="S46" i="54"/>
  <c r="R46" i="54"/>
  <c r="P46" i="54"/>
  <c r="O46" i="54"/>
  <c r="N46" i="54"/>
  <c r="M46" i="54"/>
  <c r="L46" i="54"/>
  <c r="K46" i="54"/>
  <c r="J46" i="54"/>
  <c r="X45" i="54"/>
  <c r="W45" i="54"/>
  <c r="V45" i="54"/>
  <c r="U45" i="54"/>
  <c r="T45" i="54"/>
  <c r="S45" i="54"/>
  <c r="R45" i="54"/>
  <c r="P45" i="54"/>
  <c r="O45" i="54"/>
  <c r="N45" i="54"/>
  <c r="M45" i="54"/>
  <c r="L45" i="54"/>
  <c r="K45" i="54"/>
  <c r="J45" i="54"/>
  <c r="X44" i="54"/>
  <c r="W44" i="54"/>
  <c r="V44" i="54"/>
  <c r="U44" i="54"/>
  <c r="T44" i="54"/>
  <c r="S44" i="54"/>
  <c r="R44" i="54"/>
  <c r="P44" i="54"/>
  <c r="O44" i="54"/>
  <c r="N44" i="54"/>
  <c r="M44" i="54"/>
  <c r="L44" i="54"/>
  <c r="K44" i="54"/>
  <c r="J44" i="54"/>
  <c r="X43" i="54"/>
  <c r="W43" i="54"/>
  <c r="V43" i="54"/>
  <c r="U43" i="54"/>
  <c r="T43" i="54"/>
  <c r="S43" i="54"/>
  <c r="R43" i="54"/>
  <c r="P43" i="54"/>
  <c r="O43" i="54"/>
  <c r="N43" i="54"/>
  <c r="M43" i="54"/>
  <c r="L43" i="54"/>
  <c r="K43" i="54"/>
  <c r="J43" i="54"/>
  <c r="X42" i="54"/>
  <c r="W42" i="54"/>
  <c r="V42" i="54"/>
  <c r="U42" i="54"/>
  <c r="T42" i="54"/>
  <c r="S42" i="54"/>
  <c r="R42" i="54"/>
  <c r="P42" i="54"/>
  <c r="O42" i="54"/>
  <c r="N42" i="54"/>
  <c r="M42" i="54"/>
  <c r="L42" i="54"/>
  <c r="K42" i="54"/>
  <c r="J42" i="54"/>
  <c r="X41" i="54"/>
  <c r="W41" i="54"/>
  <c r="V41" i="54"/>
  <c r="U41" i="54"/>
  <c r="T41" i="54"/>
  <c r="S41" i="54"/>
  <c r="R41" i="54"/>
  <c r="P41" i="54"/>
  <c r="O41" i="54"/>
  <c r="N41" i="54"/>
  <c r="M41" i="54"/>
  <c r="L41" i="54"/>
  <c r="K41" i="54"/>
  <c r="J41" i="54"/>
  <c r="X40" i="54"/>
  <c r="W40" i="54"/>
  <c r="V40" i="54"/>
  <c r="U40" i="54"/>
  <c r="T40" i="54"/>
  <c r="S40" i="54"/>
  <c r="R40" i="54"/>
  <c r="P40" i="54"/>
  <c r="O40" i="54"/>
  <c r="N40" i="54"/>
  <c r="M40" i="54"/>
  <c r="L40" i="54"/>
  <c r="K40" i="54"/>
  <c r="J40" i="54"/>
  <c r="X39" i="54"/>
  <c r="W39" i="54"/>
  <c r="V39" i="54"/>
  <c r="U39" i="54"/>
  <c r="T39" i="54"/>
  <c r="S39" i="54"/>
  <c r="R39" i="54"/>
  <c r="P39" i="54"/>
  <c r="O39" i="54"/>
  <c r="N39" i="54"/>
  <c r="M39" i="54"/>
  <c r="L39" i="54"/>
  <c r="K39" i="54"/>
  <c r="J39" i="54"/>
  <c r="J131" i="54" s="1"/>
  <c r="X38" i="54"/>
  <c r="W38" i="54"/>
  <c r="V38" i="54"/>
  <c r="U38" i="54"/>
  <c r="T38" i="54"/>
  <c r="S38" i="54"/>
  <c r="R38" i="54"/>
  <c r="P38" i="54"/>
  <c r="O38" i="54"/>
  <c r="N38" i="54"/>
  <c r="M38" i="54"/>
  <c r="L38" i="54"/>
  <c r="K38" i="54"/>
  <c r="J38" i="54"/>
  <c r="X37" i="54"/>
  <c r="W37" i="54"/>
  <c r="V37" i="54"/>
  <c r="U37" i="54"/>
  <c r="T37" i="54"/>
  <c r="S37" i="54"/>
  <c r="R37" i="54"/>
  <c r="P37" i="54"/>
  <c r="O37" i="54"/>
  <c r="N37" i="54"/>
  <c r="M37" i="54"/>
  <c r="L37" i="54"/>
  <c r="K37" i="54"/>
  <c r="J37" i="54"/>
  <c r="X36" i="54"/>
  <c r="W36" i="54"/>
  <c r="V36" i="54"/>
  <c r="U36" i="54"/>
  <c r="T36" i="54"/>
  <c r="S36" i="54"/>
  <c r="R36" i="54"/>
  <c r="P36" i="54"/>
  <c r="O36" i="54"/>
  <c r="N36" i="54"/>
  <c r="M36" i="54"/>
  <c r="L36" i="54"/>
  <c r="K36" i="54"/>
  <c r="J36" i="54"/>
  <c r="X35" i="54"/>
  <c r="W35" i="54"/>
  <c r="V35" i="54"/>
  <c r="U35" i="54"/>
  <c r="T35" i="54"/>
  <c r="S35" i="54"/>
  <c r="R35" i="54"/>
  <c r="P35" i="54"/>
  <c r="O35" i="54"/>
  <c r="N35" i="54"/>
  <c r="M35" i="54"/>
  <c r="L35" i="54"/>
  <c r="K35" i="54"/>
  <c r="J35" i="54"/>
  <c r="X34" i="54"/>
  <c r="W34" i="54"/>
  <c r="V34" i="54"/>
  <c r="U34" i="54"/>
  <c r="T34" i="54"/>
  <c r="S34" i="54"/>
  <c r="R34" i="54"/>
  <c r="P34" i="54"/>
  <c r="O34" i="54"/>
  <c r="N34" i="54"/>
  <c r="M34" i="54"/>
  <c r="L34" i="54"/>
  <c r="K34" i="54"/>
  <c r="J34" i="54"/>
  <c r="X33" i="54"/>
  <c r="W33" i="54"/>
  <c r="V33" i="54"/>
  <c r="U33" i="54"/>
  <c r="T33" i="54"/>
  <c r="S33" i="54"/>
  <c r="R33" i="54"/>
  <c r="P33" i="54"/>
  <c r="O33" i="54"/>
  <c r="N33" i="54"/>
  <c r="M33" i="54"/>
  <c r="L33" i="54"/>
  <c r="K33" i="54"/>
  <c r="J33" i="54"/>
  <c r="X32" i="54"/>
  <c r="W32" i="54"/>
  <c r="V32" i="54"/>
  <c r="U32" i="54"/>
  <c r="T32" i="54"/>
  <c r="S32" i="54"/>
  <c r="R32" i="54"/>
  <c r="P32" i="54"/>
  <c r="O32" i="54"/>
  <c r="N32" i="54"/>
  <c r="M32" i="54"/>
  <c r="L32" i="54"/>
  <c r="K32" i="54"/>
  <c r="J32" i="54"/>
  <c r="X31" i="54"/>
  <c r="W31" i="54"/>
  <c r="V31" i="54"/>
  <c r="U31" i="54"/>
  <c r="T31" i="54"/>
  <c r="S31" i="54"/>
  <c r="R31" i="54"/>
  <c r="P31" i="54"/>
  <c r="O31" i="54"/>
  <c r="N31" i="54"/>
  <c r="M31" i="54"/>
  <c r="L31" i="54"/>
  <c r="K31" i="54"/>
  <c r="J31" i="54"/>
  <c r="X30" i="54"/>
  <c r="W30" i="54"/>
  <c r="V30" i="54"/>
  <c r="U30" i="54"/>
  <c r="T30" i="54"/>
  <c r="S30" i="54"/>
  <c r="R30" i="54"/>
  <c r="P30" i="54"/>
  <c r="O30" i="54"/>
  <c r="N30" i="54"/>
  <c r="M30" i="54"/>
  <c r="L30" i="54"/>
  <c r="K30" i="54"/>
  <c r="J30" i="54"/>
  <c r="X29" i="54"/>
  <c r="W29" i="54"/>
  <c r="V29" i="54"/>
  <c r="U29" i="54"/>
  <c r="T29" i="54"/>
  <c r="S29" i="54"/>
  <c r="R29" i="54"/>
  <c r="P29" i="54"/>
  <c r="O29" i="54"/>
  <c r="N29" i="54"/>
  <c r="M29" i="54"/>
  <c r="L29" i="54"/>
  <c r="K29" i="54"/>
  <c r="J29" i="54"/>
  <c r="X28" i="54"/>
  <c r="W28" i="54"/>
  <c r="V28" i="54"/>
  <c r="U28" i="54"/>
  <c r="T28" i="54"/>
  <c r="S28" i="54"/>
  <c r="R28" i="54"/>
  <c r="P28" i="54"/>
  <c r="O28" i="54"/>
  <c r="N28" i="54"/>
  <c r="M28" i="54"/>
  <c r="L28" i="54"/>
  <c r="K28" i="54"/>
  <c r="J28" i="54"/>
  <c r="X27" i="54"/>
  <c r="W27" i="54"/>
  <c r="V27" i="54"/>
  <c r="U27" i="54"/>
  <c r="T27" i="54"/>
  <c r="S27" i="54"/>
  <c r="R27" i="54"/>
  <c r="P27" i="54"/>
  <c r="O27" i="54"/>
  <c r="N27" i="54"/>
  <c r="M27" i="54"/>
  <c r="L27" i="54"/>
  <c r="K27" i="54"/>
  <c r="J27" i="54"/>
  <c r="X26" i="54"/>
  <c r="W26" i="54"/>
  <c r="V26" i="54"/>
  <c r="U26" i="54"/>
  <c r="T26" i="54"/>
  <c r="S26" i="54"/>
  <c r="R26" i="54"/>
  <c r="P26" i="54"/>
  <c r="O26" i="54"/>
  <c r="N26" i="54"/>
  <c r="M26" i="54"/>
  <c r="L26" i="54"/>
  <c r="K26" i="54"/>
  <c r="J26" i="54"/>
  <c r="X25" i="54"/>
  <c r="W25" i="54"/>
  <c r="V25" i="54"/>
  <c r="U25" i="54"/>
  <c r="T25" i="54"/>
  <c r="S25" i="54"/>
  <c r="R25" i="54"/>
  <c r="P25" i="54"/>
  <c r="O25" i="54"/>
  <c r="N25" i="54"/>
  <c r="M25" i="54"/>
  <c r="L25" i="54"/>
  <c r="K25" i="54"/>
  <c r="J25" i="54"/>
  <c r="J129" i="54" s="1"/>
  <c r="X24" i="54"/>
  <c r="W24" i="54"/>
  <c r="V24" i="54"/>
  <c r="U24" i="54"/>
  <c r="T24" i="54"/>
  <c r="S24" i="54"/>
  <c r="R24" i="54"/>
  <c r="P24" i="54"/>
  <c r="O24" i="54"/>
  <c r="N24" i="54"/>
  <c r="M24" i="54"/>
  <c r="L24" i="54"/>
  <c r="K24" i="54"/>
  <c r="J24" i="54"/>
  <c r="X23" i="54"/>
  <c r="W23" i="54"/>
  <c r="V23" i="54"/>
  <c r="U23" i="54"/>
  <c r="T23" i="54"/>
  <c r="S23" i="54"/>
  <c r="R23" i="54"/>
  <c r="P23" i="54"/>
  <c r="O23" i="54"/>
  <c r="N23" i="54"/>
  <c r="M23" i="54"/>
  <c r="L23" i="54"/>
  <c r="K23" i="54"/>
  <c r="J23" i="54"/>
  <c r="X22" i="54"/>
  <c r="W22" i="54"/>
  <c r="V22" i="54"/>
  <c r="U22" i="54"/>
  <c r="T22" i="54"/>
  <c r="S22" i="54"/>
  <c r="R22" i="54"/>
  <c r="P22" i="54"/>
  <c r="O22" i="54"/>
  <c r="N22" i="54"/>
  <c r="M22" i="54"/>
  <c r="L22" i="54"/>
  <c r="K22" i="54"/>
  <c r="J22" i="54"/>
  <c r="X21" i="54"/>
  <c r="W21" i="54"/>
  <c r="V21" i="54"/>
  <c r="U21" i="54"/>
  <c r="T21" i="54"/>
  <c r="S21" i="54"/>
  <c r="R21" i="54"/>
  <c r="P21" i="54"/>
  <c r="O21" i="54"/>
  <c r="N21" i="54"/>
  <c r="M21" i="54"/>
  <c r="L21" i="54"/>
  <c r="K21" i="54"/>
  <c r="J21" i="54"/>
  <c r="X20" i="54"/>
  <c r="W20" i="54"/>
  <c r="V20" i="54"/>
  <c r="U20" i="54"/>
  <c r="T20" i="54"/>
  <c r="S20" i="54"/>
  <c r="R20" i="54"/>
  <c r="P20" i="54"/>
  <c r="O20" i="54"/>
  <c r="N20" i="54"/>
  <c r="M20" i="54"/>
  <c r="L20" i="54"/>
  <c r="K20" i="54"/>
  <c r="J20" i="54"/>
  <c r="X19" i="54"/>
  <c r="W19" i="54"/>
  <c r="V19" i="54"/>
  <c r="U19" i="54"/>
  <c r="T19" i="54"/>
  <c r="S19" i="54"/>
  <c r="R19" i="54"/>
  <c r="P19" i="54"/>
  <c r="O19" i="54"/>
  <c r="N19" i="54"/>
  <c r="M19" i="54"/>
  <c r="L19" i="54"/>
  <c r="K19" i="54"/>
  <c r="J19" i="54"/>
  <c r="X18" i="54"/>
  <c r="W18" i="54"/>
  <c r="V18" i="54"/>
  <c r="U18" i="54"/>
  <c r="T18" i="54"/>
  <c r="S18" i="54"/>
  <c r="R18" i="54"/>
  <c r="P18" i="54"/>
  <c r="O18" i="54"/>
  <c r="N18" i="54"/>
  <c r="M18" i="54"/>
  <c r="L18" i="54"/>
  <c r="K18" i="54"/>
  <c r="J18" i="54"/>
  <c r="X17" i="54"/>
  <c r="W17" i="54"/>
  <c r="V17" i="54"/>
  <c r="U17" i="54"/>
  <c r="T17" i="54"/>
  <c r="S17" i="54"/>
  <c r="R17" i="54"/>
  <c r="P17" i="54"/>
  <c r="O17" i="54"/>
  <c r="N17" i="54"/>
  <c r="M17" i="54"/>
  <c r="L17" i="54"/>
  <c r="K17" i="54"/>
  <c r="J17" i="54"/>
  <c r="X16" i="54"/>
  <c r="W16" i="54"/>
  <c r="V16" i="54"/>
  <c r="U16" i="54"/>
  <c r="T16" i="54"/>
  <c r="S16" i="54"/>
  <c r="R16" i="54"/>
  <c r="P16" i="54"/>
  <c r="O16" i="54"/>
  <c r="N16" i="54"/>
  <c r="M16" i="54"/>
  <c r="L16" i="54"/>
  <c r="K16" i="54"/>
  <c r="J16" i="54"/>
  <c r="X15" i="54"/>
  <c r="W15" i="54"/>
  <c r="V15" i="54"/>
  <c r="U15" i="54"/>
  <c r="T15" i="54"/>
  <c r="S15" i="54"/>
  <c r="R15" i="54"/>
  <c r="P15" i="54"/>
  <c r="O15" i="54"/>
  <c r="N15" i="54"/>
  <c r="M15" i="54"/>
  <c r="L15" i="54"/>
  <c r="K15" i="54"/>
  <c r="J15" i="54"/>
  <c r="X14" i="54"/>
  <c r="W14" i="54"/>
  <c r="V14" i="54"/>
  <c r="U14" i="54"/>
  <c r="T14" i="54"/>
  <c r="S14" i="54"/>
  <c r="R14" i="54"/>
  <c r="P14" i="54"/>
  <c r="O14" i="54"/>
  <c r="N14" i="54"/>
  <c r="M14" i="54"/>
  <c r="L14" i="54"/>
  <c r="K14" i="54"/>
  <c r="J14" i="54"/>
  <c r="X13" i="54"/>
  <c r="W13" i="54"/>
  <c r="V13" i="54"/>
  <c r="U13" i="54"/>
  <c r="T13" i="54"/>
  <c r="S13" i="54"/>
  <c r="R13" i="54"/>
  <c r="P13" i="54"/>
  <c r="O13" i="54"/>
  <c r="N13" i="54"/>
  <c r="M13" i="54"/>
  <c r="L13" i="54"/>
  <c r="K13" i="54"/>
  <c r="J13" i="54"/>
  <c r="X12" i="54"/>
  <c r="W12" i="54"/>
  <c r="V12" i="54"/>
  <c r="U12" i="54"/>
  <c r="T12" i="54"/>
  <c r="S12" i="54"/>
  <c r="R12" i="54"/>
  <c r="P12" i="54"/>
  <c r="O12" i="54"/>
  <c r="N12" i="54"/>
  <c r="M12" i="54"/>
  <c r="L12" i="54"/>
  <c r="K12" i="54"/>
  <c r="J12" i="54"/>
  <c r="X11" i="54"/>
  <c r="W11" i="54"/>
  <c r="V11" i="54"/>
  <c r="U11" i="54"/>
  <c r="T11" i="54"/>
  <c r="S11" i="54"/>
  <c r="R11" i="54"/>
  <c r="P11" i="54"/>
  <c r="O11" i="54"/>
  <c r="N11" i="54"/>
  <c r="M11" i="54"/>
  <c r="L11" i="54"/>
  <c r="K11" i="54"/>
  <c r="J11" i="54"/>
  <c r="X10" i="54"/>
  <c r="W10" i="54"/>
  <c r="V10" i="54"/>
  <c r="U10" i="54"/>
  <c r="T10" i="54"/>
  <c r="S10" i="54"/>
  <c r="R10" i="54"/>
  <c r="P10" i="54"/>
  <c r="O10" i="54"/>
  <c r="N10" i="54"/>
  <c r="M10" i="54"/>
  <c r="L10" i="54"/>
  <c r="K10" i="54"/>
  <c r="J10" i="54"/>
  <c r="X9" i="54"/>
  <c r="W9" i="54"/>
  <c r="V9" i="54"/>
  <c r="U9" i="54"/>
  <c r="T9" i="54"/>
  <c r="S9" i="54"/>
  <c r="R9" i="54"/>
  <c r="P9" i="54"/>
  <c r="O9" i="54"/>
  <c r="N9" i="54"/>
  <c r="M9" i="54"/>
  <c r="L9" i="54"/>
  <c r="K9" i="54"/>
  <c r="J9" i="54"/>
  <c r="X8" i="54"/>
  <c r="W8" i="54"/>
  <c r="V8" i="54"/>
  <c r="U8" i="54"/>
  <c r="T8" i="54"/>
  <c r="S8" i="54"/>
  <c r="R8" i="54"/>
  <c r="P8" i="54"/>
  <c r="O8" i="54"/>
  <c r="N8" i="54"/>
  <c r="M8" i="54"/>
  <c r="L8" i="54"/>
  <c r="K8" i="54"/>
  <c r="J8" i="54"/>
  <c r="X7" i="54"/>
  <c r="W7" i="54"/>
  <c r="V7" i="54"/>
  <c r="U7" i="54"/>
  <c r="T7" i="54"/>
  <c r="S7" i="54"/>
  <c r="R7" i="54"/>
  <c r="P7" i="54"/>
  <c r="O7" i="54"/>
  <c r="N7" i="54"/>
  <c r="M7" i="54"/>
  <c r="L7" i="54"/>
  <c r="K7" i="54"/>
  <c r="J7" i="54"/>
  <c r="X6" i="54"/>
  <c r="W6" i="54"/>
  <c r="V6" i="54"/>
  <c r="U6" i="54"/>
  <c r="T6" i="54"/>
  <c r="S6" i="54"/>
  <c r="R6" i="54"/>
  <c r="P6" i="54"/>
  <c r="O6" i="54"/>
  <c r="N6" i="54"/>
  <c r="M6" i="54"/>
  <c r="L6" i="54"/>
  <c r="K6" i="54"/>
  <c r="J6" i="54"/>
  <c r="J128" i="54" s="1"/>
  <c r="AN90" i="73"/>
  <c r="AN93" i="73"/>
  <c r="M134" i="54" l="1"/>
  <c r="AM131" i="54"/>
  <c r="AN131" i="54"/>
  <c r="AY131" i="54"/>
  <c r="AT131" i="54"/>
  <c r="AV131" i="54"/>
  <c r="AP131" i="54"/>
  <c r="AX131" i="54"/>
  <c r="AW131" i="54"/>
  <c r="AL131" i="54"/>
  <c r="AS131" i="54"/>
  <c r="AK131" i="54"/>
  <c r="AU131" i="54"/>
  <c r="AQ131" i="54"/>
  <c r="AO131" i="54"/>
  <c r="AP116" i="54"/>
  <c r="AV117" i="54"/>
  <c r="AY116" i="54"/>
  <c r="AK116" i="54"/>
  <c r="AO117" i="54"/>
  <c r="AS117" i="54"/>
  <c r="AO116" i="54"/>
  <c r="AY117" i="54"/>
  <c r="AT117" i="54"/>
  <c r="AU117" i="54"/>
  <c r="AN116" i="54"/>
  <c r="AT116" i="54"/>
  <c r="AS116" i="54"/>
  <c r="AK117" i="54"/>
  <c r="AP117" i="54"/>
  <c r="AM116" i="54"/>
  <c r="AV116" i="54"/>
  <c r="AN117" i="54"/>
  <c r="AX117" i="54"/>
  <c r="AW117" i="54"/>
  <c r="AQ117" i="54"/>
  <c r="AL117" i="54"/>
  <c r="AU116" i="54"/>
  <c r="AX116" i="54"/>
  <c r="AL116" i="54"/>
  <c r="AM117" i="54"/>
  <c r="AW116" i="54"/>
  <c r="AQ116" i="54"/>
  <c r="AP118" i="54"/>
  <c r="AT118" i="54"/>
  <c r="AO118" i="54"/>
  <c r="AQ118" i="54"/>
  <c r="AK118" i="54"/>
  <c r="AN118" i="54"/>
  <c r="AL118" i="54"/>
  <c r="AM118" i="54"/>
  <c r="AY118" i="54"/>
  <c r="AU118" i="54"/>
  <c r="AV118" i="54"/>
  <c r="AX118" i="54"/>
  <c r="AS118" i="54"/>
  <c r="AW118" i="54"/>
  <c r="AO111" i="54"/>
  <c r="AT111" i="54"/>
  <c r="AK111" i="54"/>
  <c r="AL111" i="54"/>
  <c r="AY111" i="54"/>
  <c r="AM111" i="54"/>
  <c r="AX111" i="54"/>
  <c r="AV111" i="54"/>
  <c r="AS111" i="54"/>
  <c r="AU111" i="54"/>
  <c r="AW111" i="54"/>
  <c r="AQ111" i="54"/>
  <c r="AP111" i="54"/>
  <c r="AN111" i="54"/>
  <c r="AX115" i="54"/>
  <c r="AO115" i="54"/>
  <c r="AS124" i="54"/>
  <c r="AN115" i="54"/>
  <c r="AO124" i="54"/>
  <c r="AK115" i="54"/>
  <c r="AW124" i="54"/>
  <c r="AT124" i="54"/>
  <c r="AU124" i="54"/>
  <c r="AK124" i="54"/>
  <c r="AM115" i="54"/>
  <c r="AP124" i="54"/>
  <c r="AS115" i="54"/>
  <c r="AQ115" i="54"/>
  <c r="AL124" i="54"/>
  <c r="AM124" i="54"/>
  <c r="AQ124" i="54"/>
  <c r="AL115" i="54"/>
  <c r="AP115" i="54"/>
  <c r="AW115" i="54"/>
  <c r="AV124" i="54"/>
  <c r="AX124" i="54"/>
  <c r="AY124" i="54"/>
  <c r="AY115" i="54"/>
  <c r="AU115" i="54"/>
  <c r="AV115" i="54"/>
  <c r="AN124" i="54"/>
  <c r="AT115" i="54"/>
  <c r="AP129" i="54"/>
  <c r="AT129" i="54"/>
  <c r="AX129" i="54"/>
  <c r="AY129" i="54"/>
  <c r="AS129" i="54"/>
  <c r="AK129" i="54"/>
  <c r="AO129" i="54"/>
  <c r="AW129" i="54"/>
  <c r="AV129" i="54"/>
  <c r="AL129" i="54"/>
  <c r="AU129" i="54"/>
  <c r="AN129" i="54"/>
  <c r="AQ129" i="54"/>
  <c r="AM129" i="54"/>
  <c r="M135" i="54"/>
  <c r="AO113" i="54"/>
  <c r="AO121" i="54"/>
  <c r="AU120" i="54"/>
  <c r="AN120" i="54"/>
  <c r="AP122" i="54"/>
  <c r="AL121" i="54"/>
  <c r="AP114" i="54"/>
  <c r="AM122" i="54"/>
  <c r="AT122" i="54"/>
  <c r="AX114" i="54"/>
  <c r="AV130" i="54"/>
  <c r="AM120" i="54"/>
  <c r="AV121" i="54"/>
  <c r="AM113" i="54"/>
  <c r="AQ122" i="54"/>
  <c r="AW114" i="54"/>
  <c r="AW122" i="54"/>
  <c r="AX120" i="54"/>
  <c r="AU122" i="54"/>
  <c r="AO122" i="54"/>
  <c r="AK121" i="54"/>
  <c r="AY113" i="54"/>
  <c r="AQ114" i="54"/>
  <c r="AK114" i="54"/>
  <c r="AL114" i="54"/>
  <c r="AL120" i="54"/>
  <c r="AV114" i="54"/>
  <c r="AW113" i="54"/>
  <c r="AV122" i="54"/>
  <c r="AK113" i="54"/>
  <c r="AQ121" i="54"/>
  <c r="AN130" i="54"/>
  <c r="AY114" i="54"/>
  <c r="AU113" i="54"/>
  <c r="AO120" i="54"/>
  <c r="AL113" i="54"/>
  <c r="AS120" i="54"/>
  <c r="AT120" i="54"/>
  <c r="AN121" i="54"/>
  <c r="AY121" i="54"/>
  <c r="AN114" i="54"/>
  <c r="AN113" i="54"/>
  <c r="AT121" i="54"/>
  <c r="AP113" i="54"/>
  <c r="AM114" i="54"/>
  <c r="AL122" i="54"/>
  <c r="AU121" i="54"/>
  <c r="AV113" i="54"/>
  <c r="AS114" i="54"/>
  <c r="AT113" i="54"/>
  <c r="AN122" i="54"/>
  <c r="AM121" i="54"/>
  <c r="AU114" i="54"/>
  <c r="AK122" i="54"/>
  <c r="AX121" i="54"/>
  <c r="AO114" i="54"/>
  <c r="AX122" i="54"/>
  <c r="AS121" i="54"/>
  <c r="AS113" i="54"/>
  <c r="AQ120" i="54"/>
  <c r="AK120" i="54"/>
  <c r="AT114" i="54"/>
  <c r="AW120" i="54"/>
  <c r="AP121" i="54"/>
  <c r="AV120" i="54"/>
  <c r="AX113" i="54"/>
  <c r="AW121" i="54"/>
  <c r="AY120" i="54"/>
  <c r="AS122" i="54"/>
  <c r="AP120" i="54"/>
  <c r="AQ113" i="54"/>
  <c r="AY122" i="54"/>
  <c r="AS128" i="54"/>
  <c r="AM128" i="54"/>
  <c r="AP128" i="54"/>
  <c r="AO128" i="54"/>
  <c r="AN128" i="54"/>
  <c r="AX128" i="54"/>
  <c r="AV128" i="54"/>
  <c r="AY128" i="54"/>
  <c r="AU128" i="54"/>
  <c r="AL128" i="54"/>
  <c r="AT128" i="54"/>
  <c r="AW128" i="54"/>
  <c r="AQ128" i="54"/>
  <c r="AK128" i="54"/>
  <c r="M133" i="54"/>
  <c r="M128" i="54"/>
  <c r="AN112" i="54"/>
  <c r="AQ112" i="54"/>
  <c r="AV112" i="54"/>
  <c r="AM112" i="54"/>
  <c r="AL112" i="54"/>
  <c r="AT112" i="54"/>
  <c r="AP112" i="54"/>
  <c r="AW112" i="54"/>
  <c r="AS112" i="54"/>
  <c r="AX112" i="54"/>
  <c r="AY112" i="54"/>
  <c r="AO112" i="54"/>
  <c r="AU112" i="54"/>
  <c r="AK112" i="54"/>
  <c r="AV125" i="54"/>
  <c r="AW125" i="54"/>
  <c r="AK125" i="54"/>
  <c r="AQ125" i="54"/>
  <c r="AX125" i="54"/>
  <c r="AS125" i="54"/>
  <c r="AO125" i="54"/>
  <c r="AL125" i="54"/>
  <c r="AN125" i="54"/>
  <c r="AP125" i="54"/>
  <c r="AT125" i="54"/>
  <c r="AY125" i="54"/>
  <c r="AU125" i="54"/>
  <c r="AM125" i="54"/>
  <c r="AM126" i="54"/>
  <c r="AQ126" i="54"/>
  <c r="AS126" i="54"/>
  <c r="AV126" i="54"/>
  <c r="AT126" i="54"/>
  <c r="AO126" i="54"/>
  <c r="AX126" i="54"/>
  <c r="AU126" i="54"/>
  <c r="AP126" i="54"/>
  <c r="AN126" i="54"/>
  <c r="AY126" i="54"/>
  <c r="AL126" i="54"/>
  <c r="AK126" i="54"/>
  <c r="AW126" i="54"/>
  <c r="X128" i="54"/>
  <c r="U129" i="54"/>
  <c r="W128" i="54"/>
  <c r="U128" i="54"/>
  <c r="O128" i="54"/>
  <c r="M129" i="54"/>
  <c r="L129" i="54"/>
  <c r="V129" i="54"/>
  <c r="N129" i="54"/>
  <c r="W129" i="54"/>
  <c r="N128" i="54"/>
  <c r="O129" i="54"/>
  <c r="S128" i="54"/>
  <c r="P129" i="54"/>
  <c r="L131" i="54"/>
  <c r="T128" i="54"/>
  <c r="V128" i="54"/>
  <c r="K129" i="54"/>
  <c r="P80" i="54"/>
  <c r="P131" i="54"/>
  <c r="R80" i="54"/>
  <c r="R131" i="54"/>
  <c r="AE131" i="54"/>
  <c r="AF131" i="54"/>
  <c r="AC131" i="54"/>
  <c r="AB131" i="54"/>
  <c r="AD131" i="54"/>
  <c r="Z131" i="54"/>
  <c r="AA131" i="54"/>
  <c r="P128" i="54"/>
  <c r="S131" i="54"/>
  <c r="R128" i="54"/>
  <c r="AF128" i="54"/>
  <c r="AD128" i="54"/>
  <c r="AB128" i="54"/>
  <c r="AC128" i="54"/>
  <c r="AA128" i="54"/>
  <c r="AE128" i="54"/>
  <c r="Z128" i="54"/>
  <c r="X129" i="54"/>
  <c r="K80" i="54"/>
  <c r="K131" i="54"/>
  <c r="T80" i="54"/>
  <c r="T131" i="54"/>
  <c r="K128" i="54"/>
  <c r="M80" i="54"/>
  <c r="M131" i="54"/>
  <c r="L128" i="54"/>
  <c r="S129" i="54"/>
  <c r="N80" i="54"/>
  <c r="N131" i="54"/>
  <c r="W80" i="54"/>
  <c r="W131" i="54"/>
  <c r="U131" i="54"/>
  <c r="R129" i="54"/>
  <c r="Z129" i="54"/>
  <c r="AE129" i="54"/>
  <c r="AA129" i="54"/>
  <c r="AB129" i="54"/>
  <c r="AD129" i="54"/>
  <c r="AF129" i="54"/>
  <c r="AC129" i="54"/>
  <c r="V80" i="54"/>
  <c r="V131" i="54"/>
  <c r="T129" i="54"/>
  <c r="O131" i="54"/>
  <c r="X131" i="54"/>
  <c r="AE115" i="54"/>
  <c r="AC124" i="54"/>
  <c r="AD115" i="54"/>
  <c r="AC115" i="54"/>
  <c r="AD124" i="54"/>
  <c r="Z124" i="54"/>
  <c r="AA115" i="54"/>
  <c r="AB115" i="54"/>
  <c r="AB124" i="54"/>
  <c r="AF124" i="54"/>
  <c r="AE124" i="54"/>
  <c r="Z115" i="54"/>
  <c r="AA124" i="54"/>
  <c r="AF115" i="54"/>
  <c r="AC122" i="54"/>
  <c r="AB121" i="54"/>
  <c r="AA120" i="54"/>
  <c r="AD114" i="54"/>
  <c r="AC130" i="54"/>
  <c r="AB122" i="54"/>
  <c r="AA121" i="54"/>
  <c r="AB120" i="54"/>
  <c r="AE114" i="54"/>
  <c r="AC113" i="54"/>
  <c r="AD113" i="54"/>
  <c r="AB113" i="54"/>
  <c r="Z120" i="54"/>
  <c r="AC114" i="54"/>
  <c r="AB114" i="54"/>
  <c r="Z113" i="54"/>
  <c r="AD121" i="54"/>
  <c r="Z114" i="54"/>
  <c r="AD122" i="54"/>
  <c r="Z121" i="54"/>
  <c r="AA114" i="54"/>
  <c r="AF122" i="54"/>
  <c r="AF113" i="54"/>
  <c r="AA122" i="54"/>
  <c r="AE122" i="54"/>
  <c r="AA113" i="54"/>
  <c r="AC120" i="54"/>
  <c r="AC121" i="54"/>
  <c r="AE121" i="54"/>
  <c r="AD120" i="54"/>
  <c r="AF121" i="54"/>
  <c r="AE120" i="54"/>
  <c r="Z122" i="54"/>
  <c r="AF114" i="54"/>
  <c r="AF120" i="54"/>
  <c r="AE113" i="54"/>
  <c r="Z111" i="54"/>
  <c r="AA111" i="54"/>
  <c r="AE111" i="54"/>
  <c r="AD111" i="54"/>
  <c r="AF111" i="54"/>
  <c r="AC111" i="54"/>
  <c r="AB111" i="54"/>
  <c r="AA112" i="54"/>
  <c r="AC112" i="54"/>
  <c r="AF112" i="54"/>
  <c r="AE112" i="54"/>
  <c r="Z112" i="54"/>
  <c r="AD112" i="54"/>
  <c r="AB112" i="54"/>
  <c r="AA125" i="54"/>
  <c r="AD125" i="54"/>
  <c r="Z125" i="54"/>
  <c r="AC125" i="54"/>
  <c r="AE125" i="54"/>
  <c r="AF125" i="54"/>
  <c r="AB125" i="54"/>
  <c r="AE126" i="54"/>
  <c r="AA126" i="54"/>
  <c r="AB126" i="54"/>
  <c r="AF126" i="54"/>
  <c r="Z126" i="54"/>
  <c r="AD126" i="54"/>
  <c r="AC126" i="54"/>
  <c r="AF116" i="54"/>
  <c r="AF117" i="54"/>
  <c r="AE116" i="54"/>
  <c r="AA117" i="54"/>
  <c r="AB117" i="54"/>
  <c r="AC117" i="54"/>
  <c r="AD116" i="54"/>
  <c r="AE117" i="54"/>
  <c r="AD117" i="54"/>
  <c r="AB116" i="54"/>
  <c r="Z116" i="54"/>
  <c r="AC116" i="54"/>
  <c r="Z117" i="54"/>
  <c r="AA116" i="54"/>
  <c r="AA118" i="54"/>
  <c r="AB118" i="54"/>
  <c r="AC118" i="54"/>
  <c r="AE118" i="54"/>
  <c r="Z118" i="54"/>
  <c r="AF118" i="54"/>
  <c r="AD118" i="54"/>
  <c r="X103" i="54"/>
  <c r="R104" i="54"/>
  <c r="P70" i="54"/>
  <c r="S73" i="54"/>
  <c r="L88" i="54"/>
  <c r="U88" i="54"/>
  <c r="N89" i="54"/>
  <c r="W89" i="54"/>
  <c r="J91" i="54"/>
  <c r="S91" i="54"/>
  <c r="N93" i="54"/>
  <c r="W93" i="54"/>
  <c r="J95" i="54"/>
  <c r="S95" i="54"/>
  <c r="U96" i="54"/>
  <c r="L102" i="54"/>
  <c r="U102" i="54"/>
  <c r="N103" i="54"/>
  <c r="W103" i="54"/>
  <c r="O70" i="54"/>
  <c r="M89" i="54"/>
  <c r="K92" i="54"/>
  <c r="M93" i="54"/>
  <c r="O94" i="54"/>
  <c r="K96" i="54"/>
  <c r="M76" i="54"/>
  <c r="O71" i="54"/>
  <c r="K102" i="54"/>
  <c r="M103" i="54"/>
  <c r="O104" i="54"/>
  <c r="AM95" i="73"/>
  <c r="S104" i="54"/>
  <c r="V69" i="54"/>
  <c r="X68" i="54"/>
  <c r="T88" i="54"/>
  <c r="V89" i="54"/>
  <c r="X84" i="54"/>
  <c r="R91" i="54"/>
  <c r="V93" i="54"/>
  <c r="X94" i="54"/>
  <c r="R95" i="54"/>
  <c r="T96" i="54"/>
  <c r="T66" i="54"/>
  <c r="T102" i="54"/>
  <c r="R105" i="54"/>
  <c r="U66" i="54"/>
  <c r="K75" i="54"/>
  <c r="X83" i="54"/>
  <c r="T95" i="54"/>
  <c r="J84" i="54"/>
  <c r="S84" i="54"/>
  <c r="W79" i="54"/>
  <c r="T83" i="54"/>
  <c r="T116" i="54"/>
  <c r="P68" i="54"/>
  <c r="W113" i="54"/>
  <c r="P115" i="54"/>
  <c r="J79" i="54"/>
  <c r="S105" i="54"/>
  <c r="X115" i="54"/>
  <c r="M88" i="54"/>
  <c r="X89" i="54"/>
  <c r="K66" i="54"/>
  <c r="L75" i="54"/>
  <c r="W88" i="54"/>
  <c r="J90" i="54"/>
  <c r="N96" i="54"/>
  <c r="W96" i="54"/>
  <c r="K105" i="54"/>
  <c r="L80" i="54"/>
  <c r="K90" i="54"/>
  <c r="V74" i="54"/>
  <c r="X99" i="54"/>
  <c r="W67" i="54"/>
  <c r="P88" i="54"/>
  <c r="P92" i="54"/>
  <c r="L94" i="54"/>
  <c r="U104" i="54"/>
  <c r="S117" i="54"/>
  <c r="O89" i="54"/>
  <c r="R90" i="54"/>
  <c r="K91" i="54"/>
  <c r="K95" i="54"/>
  <c r="M69" i="54"/>
  <c r="R98" i="54"/>
  <c r="T99" i="54"/>
  <c r="M102" i="54"/>
  <c r="V102" i="54"/>
  <c r="O103" i="54"/>
  <c r="R89" i="54"/>
  <c r="O69" i="54"/>
  <c r="K98" i="54"/>
  <c r="T72" i="54"/>
  <c r="M78" i="54"/>
  <c r="O68" i="54"/>
  <c r="J116" i="54"/>
  <c r="U67" i="54"/>
  <c r="L91" i="54"/>
  <c r="U90" i="54"/>
  <c r="J93" i="54"/>
  <c r="U95" i="54"/>
  <c r="L99" i="54"/>
  <c r="U71" i="54"/>
  <c r="P126" i="54"/>
  <c r="J104" i="54"/>
  <c r="U105" i="54"/>
  <c r="L66" i="54"/>
  <c r="T93" i="54"/>
  <c r="T103" i="54"/>
  <c r="V120" i="54"/>
  <c r="L126" i="54"/>
  <c r="J88" i="54"/>
  <c r="N75" i="54"/>
  <c r="J83" i="54"/>
  <c r="N73" i="54"/>
  <c r="W73" i="54"/>
  <c r="J69" i="54"/>
  <c r="S69" i="54"/>
  <c r="L114" i="54"/>
  <c r="U120" i="54"/>
  <c r="N98" i="54"/>
  <c r="P79" i="54"/>
  <c r="J68" i="54"/>
  <c r="L103" i="54"/>
  <c r="N104" i="54"/>
  <c r="W104" i="54"/>
  <c r="S66" i="54"/>
  <c r="K112" i="54"/>
  <c r="L70" i="54"/>
  <c r="L71" i="54"/>
  <c r="J76" i="54"/>
  <c r="X121" i="54"/>
  <c r="J103" i="54"/>
  <c r="J67" i="54"/>
  <c r="U81" i="54"/>
  <c r="S90" i="54"/>
  <c r="U91" i="54"/>
  <c r="N92" i="54"/>
  <c r="S94" i="54"/>
  <c r="P98" i="54"/>
  <c r="S116" i="54"/>
  <c r="N102" i="54"/>
  <c r="S67" i="54"/>
  <c r="R71" i="54"/>
  <c r="W76" i="54"/>
  <c r="M77" i="54"/>
  <c r="L81" i="54"/>
  <c r="M97" i="54"/>
  <c r="R118" i="54"/>
  <c r="U79" i="54"/>
  <c r="J102" i="54"/>
  <c r="N116" i="54"/>
  <c r="O113" i="54"/>
  <c r="M118" i="54"/>
  <c r="M120" i="54"/>
  <c r="V122" i="54"/>
  <c r="V81" i="54"/>
  <c r="V88" i="54"/>
  <c r="K74" i="54"/>
  <c r="O93" i="54"/>
  <c r="X113" i="54"/>
  <c r="X69" i="54"/>
  <c r="R121" i="54"/>
  <c r="M68" i="54"/>
  <c r="K72" i="54"/>
  <c r="V77" i="54"/>
  <c r="M81" i="54"/>
  <c r="J82" i="54"/>
  <c r="V97" i="54"/>
  <c r="T118" i="54"/>
  <c r="U98" i="54"/>
  <c r="K118" i="54"/>
  <c r="W120" i="54"/>
  <c r="L68" i="54"/>
  <c r="U68" i="54"/>
  <c r="W122" i="54"/>
  <c r="N91" i="54"/>
  <c r="P82" i="54"/>
  <c r="L73" i="54"/>
  <c r="P125" i="54"/>
  <c r="J77" i="54"/>
  <c r="S122" i="54"/>
  <c r="W117" i="54"/>
  <c r="W66" i="54"/>
  <c r="R72" i="54"/>
  <c r="W77" i="54"/>
  <c r="T82" i="54"/>
  <c r="W97" i="54"/>
  <c r="U103" i="54"/>
  <c r="U118" i="54"/>
  <c r="R124" i="54"/>
  <c r="J125" i="54"/>
  <c r="J126" i="54"/>
  <c r="J118" i="54"/>
  <c r="M125" i="54"/>
  <c r="R67" i="54"/>
  <c r="K69" i="54"/>
  <c r="M70" i="54"/>
  <c r="R88" i="54"/>
  <c r="T89" i="54"/>
  <c r="O91" i="54"/>
  <c r="K93" i="54"/>
  <c r="O95" i="54"/>
  <c r="K103" i="54"/>
  <c r="M104" i="54"/>
  <c r="J66" i="54"/>
  <c r="L74" i="54"/>
  <c r="X82" i="54"/>
  <c r="S98" i="54"/>
  <c r="S121" i="54"/>
  <c r="M67" i="54"/>
  <c r="V67" i="54"/>
  <c r="T126" i="54"/>
  <c r="T125" i="54"/>
  <c r="O122" i="54"/>
  <c r="O73" i="54"/>
  <c r="O124" i="54"/>
  <c r="X73" i="54"/>
  <c r="X124" i="54"/>
  <c r="X72" i="54"/>
  <c r="X122" i="54"/>
  <c r="O80" i="54"/>
  <c r="O75" i="54"/>
  <c r="O74" i="54"/>
  <c r="X111" i="54"/>
  <c r="X80" i="54"/>
  <c r="X81" i="54"/>
  <c r="X75" i="54"/>
  <c r="M75" i="54"/>
  <c r="M74" i="54"/>
  <c r="M114" i="54"/>
  <c r="M111" i="54"/>
  <c r="M90" i="54"/>
  <c r="V111" i="54"/>
  <c r="V90" i="54"/>
  <c r="V75" i="54"/>
  <c r="V84" i="54"/>
  <c r="V82" i="54"/>
  <c r="V114" i="54"/>
  <c r="V91" i="54"/>
  <c r="V83" i="54"/>
  <c r="X91" i="54"/>
  <c r="X92" i="54"/>
  <c r="R83" i="54"/>
  <c r="R112" i="54"/>
  <c r="R92" i="54"/>
  <c r="R82" i="54"/>
  <c r="R76" i="54"/>
  <c r="V113" i="54"/>
  <c r="R77" i="54"/>
  <c r="R113" i="54"/>
  <c r="M94" i="54"/>
  <c r="M73" i="54"/>
  <c r="V73" i="54"/>
  <c r="V94" i="54"/>
  <c r="X95" i="54"/>
  <c r="X96" i="54"/>
  <c r="R96" i="54"/>
  <c r="R69" i="54"/>
  <c r="R125" i="54"/>
  <c r="X125" i="54"/>
  <c r="K114" i="54"/>
  <c r="K122" i="54"/>
  <c r="K121" i="54"/>
  <c r="K77" i="54"/>
  <c r="K70" i="54"/>
  <c r="K97" i="54"/>
  <c r="K84" i="54"/>
  <c r="K120" i="54"/>
  <c r="K113" i="54"/>
  <c r="K79" i="54"/>
  <c r="K76" i="54"/>
  <c r="T114" i="54"/>
  <c r="T120" i="54"/>
  <c r="T113" i="54"/>
  <c r="T77" i="54"/>
  <c r="T76" i="54"/>
  <c r="T122" i="54"/>
  <c r="T121" i="54"/>
  <c r="T84" i="54"/>
  <c r="T117" i="54"/>
  <c r="T115" i="54"/>
  <c r="T97" i="54"/>
  <c r="T70" i="54"/>
  <c r="M71" i="54"/>
  <c r="M98" i="54"/>
  <c r="M124" i="54"/>
  <c r="M116" i="54"/>
  <c r="M115" i="54"/>
  <c r="M99" i="54"/>
  <c r="M72" i="54"/>
  <c r="V71" i="54"/>
  <c r="V72" i="54"/>
  <c r="V124" i="54"/>
  <c r="V116" i="54"/>
  <c r="V98" i="54"/>
  <c r="V115" i="54"/>
  <c r="V99" i="54"/>
  <c r="O117" i="54"/>
  <c r="O116" i="54"/>
  <c r="O79" i="54"/>
  <c r="O78" i="54"/>
  <c r="O102" i="54"/>
  <c r="O99" i="54"/>
  <c r="X79" i="54"/>
  <c r="X117" i="54"/>
  <c r="X116" i="54"/>
  <c r="X102" i="54"/>
  <c r="X78" i="54"/>
  <c r="R126" i="54"/>
  <c r="R103" i="54"/>
  <c r="R102" i="54"/>
  <c r="R81" i="54"/>
  <c r="R68" i="54"/>
  <c r="V126" i="54"/>
  <c r="V105" i="54"/>
  <c r="V104" i="54"/>
  <c r="K78" i="54"/>
  <c r="L122" i="54"/>
  <c r="J73" i="54"/>
  <c r="J124" i="54"/>
  <c r="J80" i="54"/>
  <c r="J74" i="54"/>
  <c r="S80" i="54"/>
  <c r="S75" i="54"/>
  <c r="S74" i="54"/>
  <c r="P90" i="54"/>
  <c r="P75" i="54"/>
  <c r="P74" i="54"/>
  <c r="P114" i="54"/>
  <c r="P112" i="54"/>
  <c r="P111" i="54"/>
  <c r="P91" i="54"/>
  <c r="L112" i="54"/>
  <c r="L92" i="54"/>
  <c r="L83" i="54"/>
  <c r="L82" i="54"/>
  <c r="U83" i="54"/>
  <c r="U82" i="54"/>
  <c r="U92" i="54"/>
  <c r="U112" i="54"/>
  <c r="P94" i="54"/>
  <c r="P73" i="54"/>
  <c r="L125" i="54"/>
  <c r="L96" i="54"/>
  <c r="L69" i="54"/>
  <c r="U69" i="54"/>
  <c r="U125" i="54"/>
  <c r="N77" i="54"/>
  <c r="N70" i="54"/>
  <c r="N97" i="54"/>
  <c r="N122" i="54"/>
  <c r="N121" i="54"/>
  <c r="N120" i="54"/>
  <c r="N114" i="54"/>
  <c r="N113" i="54"/>
  <c r="N78" i="54"/>
  <c r="N84" i="54"/>
  <c r="S124" i="54"/>
  <c r="K89" i="54"/>
  <c r="N76" i="54"/>
  <c r="O118" i="54"/>
  <c r="O66" i="54"/>
  <c r="X118" i="54"/>
  <c r="X105" i="54"/>
  <c r="X67" i="54"/>
  <c r="X66" i="54"/>
  <c r="U126" i="54"/>
  <c r="W70" i="54"/>
  <c r="W121" i="54"/>
  <c r="S88" i="54"/>
  <c r="L89" i="54"/>
  <c r="U89" i="54"/>
  <c r="N74" i="54"/>
  <c r="N90" i="54"/>
  <c r="N111" i="54"/>
  <c r="W74" i="54"/>
  <c r="W75" i="54"/>
  <c r="S92" i="54"/>
  <c r="S83" i="54"/>
  <c r="S82" i="54"/>
  <c r="S112" i="54"/>
  <c r="U93" i="54"/>
  <c r="N94" i="54"/>
  <c r="P95" i="54"/>
  <c r="S125" i="54"/>
  <c r="S96" i="54"/>
  <c r="L97" i="54"/>
  <c r="L84" i="54"/>
  <c r="L76" i="54"/>
  <c r="L120" i="54"/>
  <c r="U97" i="54"/>
  <c r="U84" i="54"/>
  <c r="U76" i="54"/>
  <c r="U122" i="54"/>
  <c r="U121" i="54"/>
  <c r="U77" i="54"/>
  <c r="U70" i="54"/>
  <c r="U130" i="54"/>
  <c r="U114" i="54"/>
  <c r="U113" i="54"/>
  <c r="N115" i="54"/>
  <c r="N124" i="54"/>
  <c r="W115" i="54"/>
  <c r="W98" i="54"/>
  <c r="W124" i="54"/>
  <c r="W72" i="54"/>
  <c r="W71" i="54"/>
  <c r="P117" i="54"/>
  <c r="P116" i="54"/>
  <c r="P99" i="54"/>
  <c r="S126" i="54"/>
  <c r="S81" i="54"/>
  <c r="S102" i="54"/>
  <c r="S68" i="54"/>
  <c r="P66" i="54"/>
  <c r="P67" i="54"/>
  <c r="P118" i="54"/>
  <c r="P105" i="54"/>
  <c r="N71" i="54"/>
  <c r="L93" i="54"/>
  <c r="W94" i="54"/>
  <c r="W111" i="54"/>
  <c r="L121" i="54"/>
  <c r="M126" i="54"/>
  <c r="T112" i="54"/>
  <c r="K125" i="54"/>
  <c r="T69" i="54"/>
  <c r="N66" i="54"/>
  <c r="L79" i="54"/>
  <c r="J81" i="54"/>
  <c r="W83" i="54"/>
  <c r="J92" i="54"/>
  <c r="W99" i="54"/>
  <c r="J112" i="54"/>
  <c r="J114" i="54"/>
  <c r="V117" i="54"/>
  <c r="O126" i="54"/>
  <c r="M83" i="54"/>
  <c r="W126" i="54"/>
  <c r="P81" i="54"/>
  <c r="W90" i="54"/>
  <c r="J97" i="54"/>
  <c r="O125" i="54"/>
  <c r="O88" i="54"/>
  <c r="X88" i="54"/>
  <c r="T75" i="54"/>
  <c r="T90" i="54"/>
  <c r="T111" i="54"/>
  <c r="T74" i="54"/>
  <c r="M91" i="54"/>
  <c r="O82" i="54"/>
  <c r="O92" i="54"/>
  <c r="O83" i="54"/>
  <c r="O112" i="54"/>
  <c r="X112" i="54"/>
  <c r="R93" i="54"/>
  <c r="K94" i="54"/>
  <c r="K73" i="54"/>
  <c r="T94" i="54"/>
  <c r="T73" i="54"/>
  <c r="M95" i="54"/>
  <c r="V95" i="54"/>
  <c r="O96" i="54"/>
  <c r="R97" i="54"/>
  <c r="R122" i="54"/>
  <c r="R84" i="54"/>
  <c r="R114" i="54"/>
  <c r="R70" i="54"/>
  <c r="K124" i="54"/>
  <c r="K115" i="54"/>
  <c r="K71" i="54"/>
  <c r="T98" i="54"/>
  <c r="M117" i="54"/>
  <c r="O81" i="54"/>
  <c r="X126" i="54"/>
  <c r="M105" i="54"/>
  <c r="L67" i="54"/>
  <c r="N72" i="54"/>
  <c r="X76" i="54"/>
  <c r="P78" i="54"/>
  <c r="K111" i="54"/>
  <c r="W112" i="54"/>
  <c r="W114" i="54"/>
  <c r="K117" i="54"/>
  <c r="O105" i="54"/>
  <c r="J89" i="54"/>
  <c r="S89" i="54"/>
  <c r="L111" i="54"/>
  <c r="L90" i="54"/>
  <c r="U111" i="54"/>
  <c r="U74" i="54"/>
  <c r="U75" i="54"/>
  <c r="W91" i="54"/>
  <c r="P83" i="54"/>
  <c r="S93" i="54"/>
  <c r="U94" i="54"/>
  <c r="U73" i="54"/>
  <c r="N95" i="54"/>
  <c r="W95" i="54"/>
  <c r="P96" i="54"/>
  <c r="P69" i="54"/>
  <c r="J120" i="54"/>
  <c r="J70" i="54"/>
  <c r="J113" i="54"/>
  <c r="J122" i="54"/>
  <c r="J121" i="54"/>
  <c r="J117" i="54"/>
  <c r="S120" i="54"/>
  <c r="S70" i="54"/>
  <c r="S114" i="54"/>
  <c r="S76" i="54"/>
  <c r="S113" i="54"/>
  <c r="S79" i="54"/>
  <c r="S77" i="54"/>
  <c r="L72" i="54"/>
  <c r="L124" i="54"/>
  <c r="L98" i="54"/>
  <c r="L116" i="54"/>
  <c r="L115" i="54"/>
  <c r="U115" i="54"/>
  <c r="U72" i="54"/>
  <c r="U124" i="54"/>
  <c r="N79" i="54"/>
  <c r="N99" i="54"/>
  <c r="P102" i="54"/>
  <c r="S103" i="54"/>
  <c r="L104" i="54"/>
  <c r="N105" i="54"/>
  <c r="N67" i="54"/>
  <c r="N118" i="54"/>
  <c r="W105" i="54"/>
  <c r="W118" i="54"/>
  <c r="O67" i="54"/>
  <c r="L77" i="54"/>
  <c r="W78" i="54"/>
  <c r="W81" i="54"/>
  <c r="N83" i="54"/>
  <c r="W92" i="54"/>
  <c r="J96" i="54"/>
  <c r="S97" i="54"/>
  <c r="L113" i="54"/>
  <c r="X114" i="54"/>
  <c r="J115" i="54"/>
  <c r="W116" i="54"/>
  <c r="N117" i="54"/>
  <c r="R120" i="54"/>
  <c r="K88" i="54"/>
  <c r="O90" i="54"/>
  <c r="X90" i="54"/>
  <c r="X74" i="54"/>
  <c r="K83" i="54"/>
  <c r="K82" i="54"/>
  <c r="M121" i="54"/>
  <c r="M113" i="54"/>
  <c r="M84" i="54"/>
  <c r="V121" i="54"/>
  <c r="O98" i="54"/>
  <c r="O115" i="54"/>
  <c r="O72" i="54"/>
  <c r="X98" i="54"/>
  <c r="R116" i="54"/>
  <c r="R79" i="54"/>
  <c r="R78" i="54"/>
  <c r="K81" i="54"/>
  <c r="K68" i="54"/>
  <c r="T81" i="54"/>
  <c r="T68" i="54"/>
  <c r="V103" i="54"/>
  <c r="X104" i="54"/>
  <c r="S71" i="54"/>
  <c r="S72" i="54"/>
  <c r="P76" i="54"/>
  <c r="P77" i="54"/>
  <c r="N81" i="54"/>
  <c r="M82" i="54"/>
  <c r="M96" i="54"/>
  <c r="L105" i="54"/>
  <c r="O111" i="54"/>
  <c r="X120" i="54"/>
  <c r="R75" i="54"/>
  <c r="R74" i="54"/>
  <c r="R111" i="54"/>
  <c r="T91" i="54"/>
  <c r="M112" i="54"/>
  <c r="M92" i="54"/>
  <c r="V112" i="54"/>
  <c r="V92" i="54"/>
  <c r="X93" i="54"/>
  <c r="R73" i="54"/>
  <c r="V125" i="54"/>
  <c r="V96" i="54"/>
  <c r="O77" i="54"/>
  <c r="O121" i="54"/>
  <c r="O120" i="54"/>
  <c r="O114" i="54"/>
  <c r="O76" i="54"/>
  <c r="X77" i="54"/>
  <c r="X70" i="54"/>
  <c r="X97" i="54"/>
  <c r="K116" i="54"/>
  <c r="K99" i="54"/>
  <c r="K67" i="54"/>
  <c r="T67" i="54"/>
  <c r="T105" i="54"/>
  <c r="V68" i="54"/>
  <c r="V70" i="54"/>
  <c r="T78" i="54"/>
  <c r="O84" i="54"/>
  <c r="R94" i="54"/>
  <c r="O97" i="54"/>
  <c r="R99" i="54"/>
  <c r="R115" i="54"/>
  <c r="M122" i="54"/>
  <c r="K126" i="54"/>
  <c r="N88" i="54"/>
  <c r="P89" i="54"/>
  <c r="J111" i="54"/>
  <c r="J75" i="54"/>
  <c r="S111" i="54"/>
  <c r="N82" i="54"/>
  <c r="N112" i="54"/>
  <c r="W82" i="54"/>
  <c r="P93" i="54"/>
  <c r="J94" i="54"/>
  <c r="L95" i="54"/>
  <c r="N125" i="54"/>
  <c r="N69" i="54"/>
  <c r="W125" i="54"/>
  <c r="W69" i="54"/>
  <c r="P122" i="54"/>
  <c r="P113" i="54"/>
  <c r="P84" i="54"/>
  <c r="J71" i="54"/>
  <c r="J98" i="54"/>
  <c r="L117" i="54"/>
  <c r="L78" i="54"/>
  <c r="U117" i="54"/>
  <c r="U116" i="54"/>
  <c r="U99" i="54"/>
  <c r="N68" i="54"/>
  <c r="N126" i="54"/>
  <c r="W68" i="54"/>
  <c r="W102" i="54"/>
  <c r="P103" i="54"/>
  <c r="L118" i="54"/>
  <c r="R66" i="54"/>
  <c r="X71" i="54"/>
  <c r="J72" i="54"/>
  <c r="V76" i="54"/>
  <c r="U78" i="54"/>
  <c r="T79" i="54"/>
  <c r="U80" i="54"/>
  <c r="T92" i="54"/>
  <c r="P97" i="54"/>
  <c r="P104" i="54"/>
  <c r="S115" i="54"/>
  <c r="R117" i="54"/>
  <c r="P120" i="54"/>
  <c r="P121" i="54"/>
  <c r="P72" i="54"/>
  <c r="J99" i="54"/>
  <c r="J78" i="54"/>
  <c r="S99" i="54"/>
  <c r="S78" i="54"/>
  <c r="M66" i="54"/>
  <c r="V66" i="54"/>
  <c r="P71" i="54"/>
  <c r="W84" i="54"/>
  <c r="J105" i="54"/>
  <c r="S118" i="54"/>
  <c r="T124" i="54"/>
  <c r="M79" i="54"/>
  <c r="V79" i="54"/>
  <c r="K104" i="54"/>
  <c r="T104" i="54"/>
  <c r="T71" i="54"/>
  <c r="V78" i="54"/>
  <c r="V118" i="54"/>
  <c r="P124" i="54"/>
  <c r="AN92" i="73"/>
  <c r="AN95" i="73"/>
  <c r="AM97" i="73" l="1"/>
  <c r="AJ59" i="73"/>
  <c r="AN97" i="73"/>
  <c r="AN94" i="73"/>
  <c r="CB62" i="132" l="1"/>
  <c r="AM99" i="73"/>
  <c r="AN99" i="73"/>
  <c r="AN96" i="73"/>
  <c r="CE62" i="132" l="1"/>
  <c r="CC62" i="132"/>
  <c r="AM101" i="73"/>
  <c r="AN98" i="73"/>
  <c r="AN101" i="73"/>
  <c r="CD62" i="132" l="1"/>
  <c r="P62" i="132" s="1"/>
  <c r="D62" i="134"/>
  <c r="C62" i="132"/>
  <c r="BI62" i="132"/>
  <c r="BJ62" i="132" s="1"/>
  <c r="Y62" i="134"/>
  <c r="AM103" i="73"/>
  <c r="AN103" i="73"/>
  <c r="AN100" i="73"/>
  <c r="E62" i="132" l="1"/>
  <c r="J60" i="89" s="1"/>
  <c r="Q62" i="132"/>
  <c r="AN59" i="74" s="1"/>
  <c r="K62" i="134"/>
  <c r="AA62" i="134" s="1"/>
  <c r="AE62" i="134" s="1"/>
  <c r="AM105" i="73"/>
  <c r="AN102" i="73"/>
  <c r="AN105" i="73"/>
  <c r="R60" i="89" l="1"/>
  <c r="C59" i="100"/>
  <c r="D59" i="90"/>
  <c r="F59" i="90"/>
  <c r="G59" i="90"/>
  <c r="C59" i="90"/>
  <c r="B59" i="90" s="1"/>
  <c r="E59" i="90"/>
  <c r="H59" i="90"/>
  <c r="BD59" i="74"/>
  <c r="AL59" i="74"/>
  <c r="AQ59" i="74" s="1"/>
  <c r="T156" i="121" s="1"/>
  <c r="T95" i="121" s="1"/>
  <c r="AL59" i="73"/>
  <c r="AK59" i="73" s="1"/>
  <c r="AM107" i="73"/>
  <c r="AN107" i="73"/>
  <c r="AN104" i="73"/>
  <c r="D59" i="100" l="1"/>
  <c r="N59" i="90"/>
  <c r="P59" i="90"/>
  <c r="M59" i="90"/>
  <c r="O59" i="90"/>
  <c r="K59" i="90"/>
  <c r="J59" i="90" s="1"/>
  <c r="L59" i="90"/>
  <c r="AR59" i="74"/>
  <c r="AM109" i="73"/>
  <c r="AM111" i="73"/>
  <c r="D52" i="52"/>
  <c r="E52" i="52"/>
  <c r="F52" i="52"/>
  <c r="G52" i="52"/>
  <c r="D49" i="52"/>
  <c r="E49" i="52"/>
  <c r="F49" i="52"/>
  <c r="G49" i="52"/>
  <c r="AN110" i="73"/>
  <c r="AN108" i="73"/>
  <c r="AN111" i="73"/>
  <c r="AN109" i="73"/>
  <c r="AN106" i="73"/>
  <c r="E127" i="80" l="1"/>
  <c r="D127" i="80"/>
  <c r="H60" i="93" s="1"/>
  <c r="E126" i="80"/>
  <c r="D126" i="80"/>
  <c r="E125" i="80"/>
  <c r="D125" i="80"/>
  <c r="E124" i="80"/>
  <c r="D124" i="80"/>
  <c r="H57" i="93" s="1"/>
  <c r="E123" i="80"/>
  <c r="D123" i="80"/>
  <c r="H56" i="93" s="1"/>
  <c r="E122" i="80"/>
  <c r="D122" i="80"/>
  <c r="E121" i="80"/>
  <c r="D121" i="80"/>
  <c r="H54" i="93" s="1"/>
  <c r="E120" i="80"/>
  <c r="D120" i="80"/>
  <c r="H53" i="93" s="1"/>
  <c r="E119" i="80"/>
  <c r="D119" i="80"/>
  <c r="H52" i="93" s="1"/>
  <c r="E118" i="80"/>
  <c r="D118" i="80"/>
  <c r="E117" i="80"/>
  <c r="D117" i="80"/>
  <c r="E116" i="80"/>
  <c r="D116" i="80"/>
  <c r="H49" i="93" s="1"/>
  <c r="E115" i="80"/>
  <c r="D115" i="80"/>
  <c r="E114" i="80"/>
  <c r="D114" i="80"/>
  <c r="E113" i="80"/>
  <c r="D113" i="80"/>
  <c r="H46" i="93" s="1"/>
  <c r="T112" i="80"/>
  <c r="C45" i="80" s="1"/>
  <c r="T111" i="80"/>
  <c r="C44" i="80" s="1"/>
  <c r="T110" i="80"/>
  <c r="C43" i="80" s="1"/>
  <c r="T109" i="80"/>
  <c r="C42" i="80" s="1"/>
  <c r="T108" i="80"/>
  <c r="C41" i="80" s="1"/>
  <c r="T107" i="80"/>
  <c r="C40" i="80" s="1"/>
  <c r="N107" i="80"/>
  <c r="F40" i="93" s="1"/>
  <c r="T106" i="80"/>
  <c r="C39" i="80" s="1"/>
  <c r="N106" i="80"/>
  <c r="F39" i="93" s="1"/>
  <c r="T105" i="80"/>
  <c r="C38" i="80" s="1"/>
  <c r="N105" i="80"/>
  <c r="F38" i="93" s="1"/>
  <c r="T104" i="80"/>
  <c r="C37" i="80" s="1"/>
  <c r="N104" i="80"/>
  <c r="F37" i="93" s="1"/>
  <c r="T103" i="80"/>
  <c r="C36" i="80" s="1"/>
  <c r="N103" i="80"/>
  <c r="F36" i="93" s="1"/>
  <c r="T102" i="80"/>
  <c r="C35" i="80" s="1"/>
  <c r="N102" i="80"/>
  <c r="F35" i="93" s="1"/>
  <c r="T101" i="80"/>
  <c r="C34" i="80" s="1"/>
  <c r="N101" i="80"/>
  <c r="F34" i="93" s="1"/>
  <c r="T100" i="80"/>
  <c r="C33" i="80" s="1"/>
  <c r="N100" i="80"/>
  <c r="F33" i="93" s="1"/>
  <c r="T99" i="80"/>
  <c r="C32" i="80" s="1"/>
  <c r="N99" i="80"/>
  <c r="F32" i="93" s="1"/>
  <c r="N98" i="80"/>
  <c r="F31" i="93" s="1"/>
  <c r="E98" i="80"/>
  <c r="D98" i="80"/>
  <c r="N97" i="80"/>
  <c r="F30" i="93" s="1"/>
  <c r="E97" i="80"/>
  <c r="D97" i="80"/>
  <c r="H30" i="93" s="1"/>
  <c r="N96" i="80"/>
  <c r="F29" i="93" s="1"/>
  <c r="E96" i="80"/>
  <c r="D96" i="80"/>
  <c r="H29" i="93" s="1"/>
  <c r="N95" i="80"/>
  <c r="F28" i="93" s="1"/>
  <c r="E95" i="80"/>
  <c r="D95" i="80"/>
  <c r="H28" i="93" s="1"/>
  <c r="N94" i="80"/>
  <c r="F27" i="93" s="1"/>
  <c r="E94" i="80"/>
  <c r="D94" i="80"/>
  <c r="N93" i="80"/>
  <c r="F26" i="93" s="1"/>
  <c r="E93" i="80"/>
  <c r="D93" i="80"/>
  <c r="H26" i="93" s="1"/>
  <c r="N92" i="80"/>
  <c r="E92" i="80"/>
  <c r="D92" i="80"/>
  <c r="E91" i="80"/>
  <c r="D91" i="80"/>
  <c r="E90" i="80"/>
  <c r="D90" i="80"/>
  <c r="H23" i="93" s="1"/>
  <c r="E89" i="80"/>
  <c r="D89" i="80"/>
  <c r="E88" i="80"/>
  <c r="D88" i="80"/>
  <c r="E87" i="80"/>
  <c r="D87" i="80"/>
  <c r="E86" i="80"/>
  <c r="D86" i="80"/>
  <c r="E85" i="80"/>
  <c r="D85" i="80"/>
  <c r="E84" i="80"/>
  <c r="D84" i="80"/>
  <c r="E83" i="80"/>
  <c r="D83" i="80"/>
  <c r="P82" i="80"/>
  <c r="E82" i="80"/>
  <c r="D82" i="80"/>
  <c r="E81" i="80"/>
  <c r="D81" i="80"/>
  <c r="E80" i="80"/>
  <c r="D80" i="80"/>
  <c r="E79" i="80"/>
  <c r="D79" i="80"/>
  <c r="E78" i="80"/>
  <c r="D78" i="80"/>
  <c r="E77" i="80"/>
  <c r="D77" i="80"/>
  <c r="E76" i="80"/>
  <c r="D76" i="80"/>
  <c r="E75" i="80"/>
  <c r="D75" i="80"/>
  <c r="E74" i="80"/>
  <c r="D74" i="80"/>
  <c r="E73" i="80"/>
  <c r="D73" i="80"/>
  <c r="E72" i="80"/>
  <c r="D72" i="80"/>
  <c r="B60" i="80"/>
  <c r="B59" i="80"/>
  <c r="B58" i="80"/>
  <c r="B57" i="80"/>
  <c r="B56" i="80"/>
  <c r="B55" i="80"/>
  <c r="B54" i="80"/>
  <c r="B53" i="80"/>
  <c r="B52" i="80"/>
  <c r="B51" i="80"/>
  <c r="B50" i="80"/>
  <c r="B49" i="80"/>
  <c r="B48" i="80"/>
  <c r="B47" i="80"/>
  <c r="B46" i="80"/>
  <c r="E45" i="80"/>
  <c r="B45" i="80"/>
  <c r="E44" i="80"/>
  <c r="B44" i="80"/>
  <c r="E43" i="80"/>
  <c r="B43" i="80"/>
  <c r="E42" i="80"/>
  <c r="B42" i="80"/>
  <c r="E41" i="80"/>
  <c r="B41" i="80"/>
  <c r="E40" i="80"/>
  <c r="B40" i="80"/>
  <c r="E39" i="80"/>
  <c r="B39" i="80"/>
  <c r="E38" i="80"/>
  <c r="B38" i="80"/>
  <c r="E37" i="80"/>
  <c r="B37" i="80"/>
  <c r="E36" i="80"/>
  <c r="B36" i="80"/>
  <c r="E35" i="80"/>
  <c r="B35" i="80"/>
  <c r="E34" i="80"/>
  <c r="B34" i="80"/>
  <c r="E33" i="80"/>
  <c r="B33" i="80"/>
  <c r="E32" i="80"/>
  <c r="B32" i="80"/>
  <c r="B31" i="80"/>
  <c r="B30" i="80"/>
  <c r="B29" i="80"/>
  <c r="B28" i="80"/>
  <c r="B27" i="80"/>
  <c r="B26" i="80"/>
  <c r="B25" i="80"/>
  <c r="E24" i="80"/>
  <c r="B24" i="80"/>
  <c r="B23" i="80"/>
  <c r="B22" i="80"/>
  <c r="B21" i="80"/>
  <c r="B20" i="80"/>
  <c r="B19" i="80"/>
  <c r="B18" i="80"/>
  <c r="B17" i="80"/>
  <c r="B16" i="80"/>
  <c r="B15" i="80"/>
  <c r="B14" i="80"/>
  <c r="B13" i="80"/>
  <c r="B12" i="80"/>
  <c r="B11" i="80"/>
  <c r="B10" i="80"/>
  <c r="B9" i="80"/>
  <c r="B8" i="80"/>
  <c r="B7" i="80"/>
  <c r="B6" i="80"/>
  <c r="B5" i="80"/>
  <c r="T86" i="80" l="1"/>
  <c r="C19" i="80" s="1"/>
  <c r="H19" i="93"/>
  <c r="T117" i="80"/>
  <c r="C50" i="80" s="1"/>
  <c r="H50" i="93"/>
  <c r="T125" i="80"/>
  <c r="C58" i="80" s="1"/>
  <c r="H58" i="93"/>
  <c r="W18" i="80"/>
  <c r="V18" i="80"/>
  <c r="W25" i="80"/>
  <c r="V25" i="80"/>
  <c r="H51" i="80"/>
  <c r="W51" i="80"/>
  <c r="V51" i="80"/>
  <c r="H59" i="80"/>
  <c r="W59" i="80"/>
  <c r="V59" i="80"/>
  <c r="T75" i="80"/>
  <c r="C8" i="80" s="1"/>
  <c r="H8" i="93"/>
  <c r="T79" i="80"/>
  <c r="C12" i="80" s="1"/>
  <c r="H12" i="93"/>
  <c r="P81" i="80"/>
  <c r="V15" i="80"/>
  <c r="W15" i="80"/>
  <c r="W30" i="80"/>
  <c r="V30" i="80"/>
  <c r="W39" i="80"/>
  <c r="V39" i="80"/>
  <c r="H48" i="80"/>
  <c r="V48" i="80"/>
  <c r="W48" i="80"/>
  <c r="W16" i="80"/>
  <c r="V16" i="80"/>
  <c r="W32" i="80"/>
  <c r="V32" i="80"/>
  <c r="W33" i="80"/>
  <c r="V33" i="80"/>
  <c r="H50" i="80"/>
  <c r="W50" i="80"/>
  <c r="V50" i="80"/>
  <c r="W37" i="80"/>
  <c r="V37" i="80"/>
  <c r="H60" i="80"/>
  <c r="W60" i="80"/>
  <c r="J60" i="80"/>
  <c r="V60" i="80"/>
  <c r="A323" i="87" s="1"/>
  <c r="T87" i="80"/>
  <c r="C20" i="80" s="1"/>
  <c r="H20" i="93"/>
  <c r="E59" i="80"/>
  <c r="H59" i="93"/>
  <c r="W20" i="80"/>
  <c r="V20" i="80"/>
  <c r="V27" i="80"/>
  <c r="W27" i="80"/>
  <c r="H53" i="80"/>
  <c r="W53" i="80"/>
  <c r="V53" i="80"/>
  <c r="T72" i="80"/>
  <c r="C5" i="80" s="1"/>
  <c r="E5" i="80"/>
  <c r="H5" i="93"/>
  <c r="T76" i="80"/>
  <c r="C9" i="80" s="1"/>
  <c r="H9" i="93"/>
  <c r="T80" i="80"/>
  <c r="C13" i="80" s="1"/>
  <c r="H13" i="93"/>
  <c r="E55" i="80"/>
  <c r="T89" i="80"/>
  <c r="C22" i="80" s="1"/>
  <c r="H22" i="93"/>
  <c r="T98" i="80"/>
  <c r="C31" i="80" s="1"/>
  <c r="H31" i="93"/>
  <c r="W24" i="80"/>
  <c r="V24" i="80"/>
  <c r="W17" i="80"/>
  <c r="V17" i="80"/>
  <c r="V36" i="80"/>
  <c r="W36" i="80"/>
  <c r="W44" i="80"/>
  <c r="V44" i="80"/>
  <c r="H58" i="80"/>
  <c r="V58" i="80"/>
  <c r="W58" i="80"/>
  <c r="V19" i="80"/>
  <c r="W19" i="80"/>
  <c r="H41" i="80"/>
  <c r="W41" i="80"/>
  <c r="V41" i="80"/>
  <c r="H52" i="80"/>
  <c r="W52" i="80"/>
  <c r="V52" i="80"/>
  <c r="T83" i="80"/>
  <c r="C16" i="80" s="1"/>
  <c r="H16" i="93"/>
  <c r="T91" i="80"/>
  <c r="C24" i="80" s="1"/>
  <c r="H24" i="93"/>
  <c r="T94" i="80"/>
  <c r="C27" i="80" s="1"/>
  <c r="H27" i="93"/>
  <c r="T122" i="80"/>
  <c r="C55" i="80" s="1"/>
  <c r="I55" i="80" s="1"/>
  <c r="C55" i="93" s="1"/>
  <c r="B55" i="93" s="1"/>
  <c r="H55" i="93"/>
  <c r="W5" i="80"/>
  <c r="V5" i="80"/>
  <c r="J5" i="80"/>
  <c r="W21" i="80"/>
  <c r="V21" i="80"/>
  <c r="W28" i="80"/>
  <c r="V28" i="80"/>
  <c r="W34" i="80"/>
  <c r="V34" i="80"/>
  <c r="W38" i="80"/>
  <c r="V38" i="80"/>
  <c r="H42" i="80"/>
  <c r="V42" i="80"/>
  <c r="W42" i="80"/>
  <c r="H46" i="80"/>
  <c r="V46" i="80"/>
  <c r="W46" i="80"/>
  <c r="H54" i="80"/>
  <c r="V54" i="80"/>
  <c r="W54" i="80"/>
  <c r="T84" i="80"/>
  <c r="C17" i="80" s="1"/>
  <c r="H17" i="93"/>
  <c r="T88" i="80"/>
  <c r="C21" i="80" s="1"/>
  <c r="H21" i="93"/>
  <c r="E25" i="80"/>
  <c r="H25" i="93"/>
  <c r="E48" i="80"/>
  <c r="H48" i="93"/>
  <c r="T126" i="80"/>
  <c r="V40" i="80"/>
  <c r="W40" i="80"/>
  <c r="V26" i="80"/>
  <c r="W26" i="80"/>
  <c r="H45" i="80"/>
  <c r="W45" i="80"/>
  <c r="V45" i="80"/>
  <c r="T114" i="80"/>
  <c r="C47" i="80" s="1"/>
  <c r="H47" i="93"/>
  <c r="T118" i="80"/>
  <c r="C51" i="80" s="1"/>
  <c r="H51" i="93"/>
  <c r="W6" i="80"/>
  <c r="V6" i="80"/>
  <c r="W22" i="80"/>
  <c r="V22" i="80"/>
  <c r="H29" i="80"/>
  <c r="W29" i="80"/>
  <c r="V29" i="80"/>
  <c r="H47" i="80"/>
  <c r="V47" i="80"/>
  <c r="W47" i="80"/>
  <c r="H55" i="80"/>
  <c r="V55" i="80"/>
  <c r="W55" i="80"/>
  <c r="T73" i="80"/>
  <c r="C6" i="80" s="1"/>
  <c r="H6" i="93"/>
  <c r="E10" i="80"/>
  <c r="H10" i="93"/>
  <c r="T81" i="80"/>
  <c r="C14" i="80" s="1"/>
  <c r="H14" i="93"/>
  <c r="W23" i="80"/>
  <c r="V23" i="80"/>
  <c r="W35" i="80"/>
  <c r="V35" i="80"/>
  <c r="H43" i="80"/>
  <c r="W43" i="80"/>
  <c r="V43" i="80"/>
  <c r="H56" i="80"/>
  <c r="V56" i="80"/>
  <c r="W56" i="80"/>
  <c r="T85" i="80"/>
  <c r="C18" i="80" s="1"/>
  <c r="H18" i="93"/>
  <c r="H31" i="80"/>
  <c r="W31" i="80"/>
  <c r="V31" i="80"/>
  <c r="H49" i="80"/>
  <c r="V49" i="80"/>
  <c r="W49" i="80"/>
  <c r="H57" i="80"/>
  <c r="W57" i="80"/>
  <c r="V57" i="80"/>
  <c r="T74" i="80"/>
  <c r="C7" i="80" s="1"/>
  <c r="H7" i="93"/>
  <c r="T78" i="80"/>
  <c r="C11" i="80" s="1"/>
  <c r="H11" i="93"/>
  <c r="T82" i="80"/>
  <c r="C15" i="80" s="1"/>
  <c r="H15" i="93"/>
  <c r="E9" i="80"/>
  <c r="F9" i="80" s="1"/>
  <c r="E13" i="80"/>
  <c r="F13" i="80" s="1"/>
  <c r="J20" i="80"/>
  <c r="N91" i="80"/>
  <c r="F25" i="93"/>
  <c r="E19" i="80"/>
  <c r="K19" i="80" s="1"/>
  <c r="K48" i="80"/>
  <c r="K44" i="80"/>
  <c r="E21" i="80"/>
  <c r="K21" i="80" s="1"/>
  <c r="J16" i="80"/>
  <c r="K35" i="80"/>
  <c r="J45" i="80"/>
  <c r="J52" i="80"/>
  <c r="E17" i="80"/>
  <c r="F17" i="80" s="1"/>
  <c r="L17" i="80" s="1"/>
  <c r="F36" i="80"/>
  <c r="L36" i="80" s="1"/>
  <c r="I45" i="80"/>
  <c r="C45" i="93" s="1"/>
  <c r="B45" i="93" s="1"/>
  <c r="I43" i="80"/>
  <c r="C43" i="93" s="1"/>
  <c r="B43" i="93" s="1"/>
  <c r="F34" i="80"/>
  <c r="L34" i="80" s="1"/>
  <c r="F44" i="80"/>
  <c r="L44" i="80" s="1"/>
  <c r="J53" i="80"/>
  <c r="E11" i="80"/>
  <c r="F11" i="80" s="1"/>
  <c r="F39" i="80"/>
  <c r="L39" i="80" s="1"/>
  <c r="J37" i="80"/>
  <c r="E7" i="80"/>
  <c r="F7" i="80" s="1"/>
  <c r="K32" i="80"/>
  <c r="J22" i="80"/>
  <c r="H27" i="80"/>
  <c r="J47" i="80"/>
  <c r="J19" i="80"/>
  <c r="K40" i="80"/>
  <c r="F45" i="80"/>
  <c r="L45" i="80" s="1"/>
  <c r="J51" i="80"/>
  <c r="J54" i="80"/>
  <c r="E22" i="80"/>
  <c r="K22" i="80" s="1"/>
  <c r="J56" i="80"/>
  <c r="J27" i="80"/>
  <c r="H38" i="80"/>
  <c r="E8" i="80"/>
  <c r="F8" i="80" s="1"/>
  <c r="H32" i="80"/>
  <c r="J44" i="80"/>
  <c r="J48" i="80"/>
  <c r="E29" i="80"/>
  <c r="K29" i="80" s="1"/>
  <c r="I58" i="80"/>
  <c r="C58" i="93" s="1"/>
  <c r="B58" i="93" s="1"/>
  <c r="J21" i="80"/>
  <c r="K36" i="80"/>
  <c r="J6" i="80"/>
  <c r="J15" i="80"/>
  <c r="J29" i="80"/>
  <c r="K37" i="80"/>
  <c r="H44" i="80"/>
  <c r="J46" i="80"/>
  <c r="E16" i="80"/>
  <c r="K16" i="80" s="1"/>
  <c r="I32" i="80"/>
  <c r="C32" i="93" s="1"/>
  <c r="B32" i="93" s="1"/>
  <c r="I36" i="80"/>
  <c r="C36" i="93" s="1"/>
  <c r="B36" i="93" s="1"/>
  <c r="I40" i="80"/>
  <c r="C40" i="93" s="1"/>
  <c r="B40" i="93" s="1"/>
  <c r="E15" i="80"/>
  <c r="K15" i="80" s="1"/>
  <c r="K38" i="80"/>
  <c r="H26" i="80"/>
  <c r="I37" i="80"/>
  <c r="C37" i="93" s="1"/>
  <c r="B37" i="93" s="1"/>
  <c r="I51" i="80"/>
  <c r="C51" i="93" s="1"/>
  <c r="J26" i="80"/>
  <c r="F35" i="80"/>
  <c r="L35" i="80" s="1"/>
  <c r="I41" i="80"/>
  <c r="C41" i="93" s="1"/>
  <c r="B41" i="93" s="1"/>
  <c r="J49" i="80"/>
  <c r="E50" i="80"/>
  <c r="K50" i="80" s="1"/>
  <c r="J24" i="80"/>
  <c r="J32" i="80"/>
  <c r="K34" i="80"/>
  <c r="F37" i="80"/>
  <c r="L37" i="80" s="1"/>
  <c r="J38" i="80"/>
  <c r="K43" i="80"/>
  <c r="E47" i="80"/>
  <c r="F47" i="80" s="1"/>
  <c r="L47" i="80" s="1"/>
  <c r="T77" i="80"/>
  <c r="K24" i="80"/>
  <c r="T92" i="80"/>
  <c r="E6" i="80"/>
  <c r="K6" i="80" s="1"/>
  <c r="E12" i="80"/>
  <c r="J14" i="80"/>
  <c r="K45" i="80"/>
  <c r="E51" i="80"/>
  <c r="K51" i="80" s="1"/>
  <c r="E58" i="80"/>
  <c r="K58" i="80" s="1"/>
  <c r="J17" i="80"/>
  <c r="J36" i="80"/>
  <c r="H37" i="80"/>
  <c r="K42" i="80"/>
  <c r="E20" i="80"/>
  <c r="K20" i="80" s="1"/>
  <c r="J23" i="80"/>
  <c r="J31" i="80"/>
  <c r="H33" i="80"/>
  <c r="H35" i="80"/>
  <c r="I42" i="80"/>
  <c r="C42" i="93" s="1"/>
  <c r="B42" i="93" s="1"/>
  <c r="J57" i="80"/>
  <c r="I35" i="80"/>
  <c r="C35" i="93" s="1"/>
  <c r="B35" i="93" s="1"/>
  <c r="I39" i="80"/>
  <c r="C39" i="93" s="1"/>
  <c r="B39" i="93" s="1"/>
  <c r="E18" i="80"/>
  <c r="K18" i="80" s="1"/>
  <c r="E14" i="80"/>
  <c r="K14" i="80" s="1"/>
  <c r="J50" i="80"/>
  <c r="K55" i="80"/>
  <c r="T115" i="80"/>
  <c r="K5" i="80"/>
  <c r="J55" i="80"/>
  <c r="I27" i="80"/>
  <c r="C27" i="93" s="1"/>
  <c r="H36" i="80"/>
  <c r="K59" i="80"/>
  <c r="F19" i="80"/>
  <c r="L19" i="80" s="1"/>
  <c r="H30" i="80"/>
  <c r="H25" i="80"/>
  <c r="K25" i="80"/>
  <c r="F24" i="80"/>
  <c r="L24" i="80" s="1"/>
  <c r="E56" i="80"/>
  <c r="K56" i="80" s="1"/>
  <c r="T123" i="80"/>
  <c r="C56" i="80" s="1"/>
  <c r="J28" i="80"/>
  <c r="J59" i="80"/>
  <c r="J58" i="80"/>
  <c r="T93" i="80"/>
  <c r="E26" i="80"/>
  <c r="K26" i="80" s="1"/>
  <c r="I33" i="80"/>
  <c r="C33" i="93" s="1"/>
  <c r="B33" i="93" s="1"/>
  <c r="I31" i="80"/>
  <c r="C31" i="93" s="1"/>
  <c r="B31" i="93" s="1"/>
  <c r="E46" i="80"/>
  <c r="K46" i="80" s="1"/>
  <c r="T113" i="80"/>
  <c r="C46" i="80" s="1"/>
  <c r="F14" i="80"/>
  <c r="L14" i="80" s="1"/>
  <c r="H28" i="80"/>
  <c r="I34" i="80"/>
  <c r="C34" i="93" s="1"/>
  <c r="B34" i="93" s="1"/>
  <c r="F40" i="80"/>
  <c r="L40" i="80" s="1"/>
  <c r="H40" i="80"/>
  <c r="J43" i="80"/>
  <c r="F43" i="80"/>
  <c r="L43" i="80" s="1"/>
  <c r="K39" i="80"/>
  <c r="H39" i="80"/>
  <c r="I44" i="80"/>
  <c r="F55" i="80"/>
  <c r="L55" i="80" s="1"/>
  <c r="J30" i="80"/>
  <c r="F33" i="80"/>
  <c r="L33" i="80" s="1"/>
  <c r="K33" i="80"/>
  <c r="T90" i="80"/>
  <c r="C23" i="80" s="1"/>
  <c r="E23" i="80"/>
  <c r="K23" i="80" s="1"/>
  <c r="I50" i="80"/>
  <c r="C50" i="93" s="1"/>
  <c r="B50" i="93" s="1"/>
  <c r="J18" i="80"/>
  <c r="F38" i="80"/>
  <c r="L38" i="80" s="1"/>
  <c r="F42" i="80"/>
  <c r="L42" i="80" s="1"/>
  <c r="I47" i="80"/>
  <c r="C47" i="93" s="1"/>
  <c r="J33" i="80"/>
  <c r="J39" i="80"/>
  <c r="J40" i="80"/>
  <c r="F41" i="80"/>
  <c r="L41" i="80" s="1"/>
  <c r="K41" i="80"/>
  <c r="T120" i="80"/>
  <c r="C53" i="80" s="1"/>
  <c r="E53" i="80"/>
  <c r="K53" i="80" s="1"/>
  <c r="F32" i="80"/>
  <c r="L32" i="80" s="1"/>
  <c r="H34" i="80"/>
  <c r="I38" i="80"/>
  <c r="C38" i="93" s="1"/>
  <c r="B38" i="93" s="1"/>
  <c r="J41" i="80"/>
  <c r="T95" i="80"/>
  <c r="E28" i="80"/>
  <c r="K28" i="80" s="1"/>
  <c r="T96" i="80"/>
  <c r="C29" i="80" s="1"/>
  <c r="T116" i="80"/>
  <c r="C49" i="80" s="1"/>
  <c r="E49" i="80"/>
  <c r="K49" i="80" s="1"/>
  <c r="T119" i="80"/>
  <c r="C52" i="80" s="1"/>
  <c r="E52" i="80"/>
  <c r="K52" i="80" s="1"/>
  <c r="J25" i="80"/>
  <c r="J34" i="80"/>
  <c r="J42" i="80"/>
  <c r="T97" i="80"/>
  <c r="E30" i="80"/>
  <c r="K30" i="80" s="1"/>
  <c r="E31" i="80"/>
  <c r="K31" i="80" s="1"/>
  <c r="E54" i="80"/>
  <c r="K54" i="80" s="1"/>
  <c r="T124" i="80"/>
  <c r="C57" i="80" s="1"/>
  <c r="E57" i="80"/>
  <c r="K57" i="80" s="1"/>
  <c r="T127" i="80"/>
  <c r="C60" i="80" s="1"/>
  <c r="F60" i="80" s="1"/>
  <c r="E60" i="80"/>
  <c r="K60" i="80" s="1"/>
  <c r="J35" i="80"/>
  <c r="E27" i="80"/>
  <c r="T121" i="80"/>
  <c r="C54" i="80" s="1"/>
  <c r="D11" i="51"/>
  <c r="E11" i="51"/>
  <c r="F11" i="51"/>
  <c r="C11" i="51"/>
  <c r="B54" i="52"/>
  <c r="DY65" i="38"/>
  <c r="C54" i="52"/>
  <c r="C4" i="52" s="1"/>
  <c r="D54" i="52"/>
  <c r="E54" i="52"/>
  <c r="F54" i="52"/>
  <c r="G54" i="52"/>
  <c r="X6" i="73"/>
  <c r="Y6" i="73"/>
  <c r="K130" i="121"/>
  <c r="K131" i="121"/>
  <c r="K133" i="121"/>
  <c r="K134" i="121"/>
  <c r="K135" i="121"/>
  <c r="K136" i="121"/>
  <c r="K137" i="121"/>
  <c r="K138" i="121"/>
  <c r="K139" i="121"/>
  <c r="K141" i="121"/>
  <c r="K142" i="121"/>
  <c r="K143" i="121"/>
  <c r="K144" i="121"/>
  <c r="K145" i="121"/>
  <c r="K146" i="121"/>
  <c r="K147" i="121"/>
  <c r="K149" i="121"/>
  <c r="K150" i="121"/>
  <c r="K151" i="121"/>
  <c r="K152" i="121"/>
  <c r="K153" i="121"/>
  <c r="K154" i="121"/>
  <c r="K155" i="121"/>
  <c r="K156" i="121"/>
  <c r="AJ8" i="73"/>
  <c r="AJ10" i="73"/>
  <c r="AJ12" i="73"/>
  <c r="AJ13" i="73"/>
  <c r="AJ14" i="73"/>
  <c r="AJ15" i="73"/>
  <c r="AJ16" i="73"/>
  <c r="AJ17" i="73"/>
  <c r="AJ18" i="73"/>
  <c r="AJ19" i="73"/>
  <c r="AJ20" i="73"/>
  <c r="AJ21" i="73"/>
  <c r="AJ22" i="73"/>
  <c r="AJ23" i="73"/>
  <c r="AJ24" i="73"/>
  <c r="AJ25" i="73"/>
  <c r="AJ26" i="73"/>
  <c r="AJ27" i="73"/>
  <c r="AJ28" i="73"/>
  <c r="AJ29" i="73"/>
  <c r="AJ30" i="73"/>
  <c r="AJ31" i="73"/>
  <c r="AJ32" i="73"/>
  <c r="AJ33" i="73"/>
  <c r="AJ34" i="73"/>
  <c r="AJ35" i="73"/>
  <c r="AJ36" i="73"/>
  <c r="AJ37" i="73"/>
  <c r="AJ38" i="73"/>
  <c r="AJ39" i="73"/>
  <c r="AJ40" i="73"/>
  <c r="AJ41" i="73"/>
  <c r="AJ42" i="73"/>
  <c r="AJ43" i="73"/>
  <c r="AJ44" i="73"/>
  <c r="AJ45" i="73"/>
  <c r="AJ46" i="73"/>
  <c r="AJ47" i="73"/>
  <c r="AJ48" i="73"/>
  <c r="AJ49" i="73"/>
  <c r="AJ50" i="73"/>
  <c r="AJ51" i="73"/>
  <c r="AJ52" i="73"/>
  <c r="AJ53" i="73"/>
  <c r="AJ54" i="73"/>
  <c r="AJ55" i="73"/>
  <c r="AJ56" i="73"/>
  <c r="AJ57" i="73"/>
  <c r="AJ58" i="73"/>
  <c r="Y59" i="73"/>
  <c r="X59" i="73"/>
  <c r="Y58" i="73"/>
  <c r="X58" i="73"/>
  <c r="Y57" i="73"/>
  <c r="X57" i="73"/>
  <c r="Y56" i="73"/>
  <c r="X56" i="73"/>
  <c r="Y55" i="73"/>
  <c r="X55" i="73"/>
  <c r="Y54" i="73"/>
  <c r="X54" i="73"/>
  <c r="Y53" i="73"/>
  <c r="X53" i="73"/>
  <c r="Y52" i="73"/>
  <c r="X52" i="73"/>
  <c r="Y51" i="73"/>
  <c r="X51" i="73"/>
  <c r="Y50" i="73"/>
  <c r="X50" i="73"/>
  <c r="Y49" i="73"/>
  <c r="X49" i="73"/>
  <c r="Y48" i="73"/>
  <c r="X48" i="73"/>
  <c r="Y47" i="73"/>
  <c r="X47" i="73"/>
  <c r="Y46" i="73"/>
  <c r="X46" i="73"/>
  <c r="Y45" i="73"/>
  <c r="X45" i="73"/>
  <c r="Y44" i="73"/>
  <c r="X44" i="73"/>
  <c r="Y43" i="73"/>
  <c r="X43" i="73"/>
  <c r="Y42" i="73"/>
  <c r="X42" i="73"/>
  <c r="Y41" i="73"/>
  <c r="X41" i="73"/>
  <c r="Y40" i="73"/>
  <c r="X40" i="73"/>
  <c r="Y39" i="73"/>
  <c r="X39" i="73"/>
  <c r="Y38" i="73"/>
  <c r="X38" i="73"/>
  <c r="Y37" i="73"/>
  <c r="X37" i="73"/>
  <c r="Y36" i="73"/>
  <c r="X36" i="73"/>
  <c r="Y35" i="73"/>
  <c r="X35" i="73"/>
  <c r="Y34" i="73"/>
  <c r="X34" i="73"/>
  <c r="Y33" i="73"/>
  <c r="X33" i="73"/>
  <c r="Y32" i="73"/>
  <c r="X32" i="73"/>
  <c r="Y31" i="73"/>
  <c r="X31" i="73"/>
  <c r="Y30" i="73"/>
  <c r="X30" i="73"/>
  <c r="Y29" i="73"/>
  <c r="X29" i="73"/>
  <c r="Y28" i="73"/>
  <c r="X28" i="73"/>
  <c r="Y27" i="73"/>
  <c r="X27" i="73"/>
  <c r="Y26" i="73"/>
  <c r="X26" i="73"/>
  <c r="Y25" i="73"/>
  <c r="X25" i="73"/>
  <c r="Y24" i="73"/>
  <c r="X24" i="73"/>
  <c r="Y23" i="73"/>
  <c r="X23" i="73"/>
  <c r="Y22" i="73"/>
  <c r="X22" i="73"/>
  <c r="Y21" i="73"/>
  <c r="X21" i="73"/>
  <c r="Y20" i="73"/>
  <c r="X20" i="73"/>
  <c r="Y19" i="73"/>
  <c r="X19" i="73"/>
  <c r="Y18" i="73"/>
  <c r="X18" i="73"/>
  <c r="Y17" i="73"/>
  <c r="X17" i="73"/>
  <c r="Y16" i="73"/>
  <c r="X16" i="73"/>
  <c r="Y15" i="73"/>
  <c r="X15" i="73"/>
  <c r="Y14" i="73"/>
  <c r="X14" i="73"/>
  <c r="Y13" i="73"/>
  <c r="X13" i="73"/>
  <c r="Y12" i="73"/>
  <c r="X12" i="73"/>
  <c r="Y10" i="73"/>
  <c r="X10" i="73"/>
  <c r="Y8" i="73"/>
  <c r="X8" i="73"/>
  <c r="I44" i="26"/>
  <c r="I45" i="26" s="1"/>
  <c r="I46" i="26" s="1"/>
  <c r="I47" i="26" s="1"/>
  <c r="I48" i="26" s="1"/>
  <c r="I49" i="26" s="1"/>
  <c r="I50" i="26" s="1"/>
  <c r="I51" i="26" s="1"/>
  <c r="I52" i="26" s="1"/>
  <c r="I54" i="26"/>
  <c r="I55" i="26" s="1"/>
  <c r="I56" i="26" s="1"/>
  <c r="I59" i="26"/>
  <c r="I60" i="26"/>
  <c r="I61" i="26"/>
  <c r="I62" i="26" s="1"/>
  <c r="F25" i="55"/>
  <c r="E25" i="55"/>
  <c r="D25" i="55"/>
  <c r="C25" i="55"/>
  <c r="C36" i="55" s="1"/>
  <c r="F4" i="55"/>
  <c r="E4" i="55"/>
  <c r="D4" i="55"/>
  <c r="C4" i="55"/>
  <c r="F36" i="55"/>
  <c r="B31" i="52"/>
  <c r="C31" i="52"/>
  <c r="D31" i="52"/>
  <c r="E31" i="52"/>
  <c r="F31" i="52"/>
  <c r="G31" i="52"/>
  <c r="C21" i="52"/>
  <c r="D21" i="52"/>
  <c r="D40" i="52" s="1"/>
  <c r="E21" i="52"/>
  <c r="E39" i="52" s="1"/>
  <c r="F21" i="52"/>
  <c r="G21" i="52"/>
  <c r="G42" i="52" s="1"/>
  <c r="J3" i="39"/>
  <c r="GM3" i="39"/>
  <c r="GE3" i="39"/>
  <c r="J62" i="26"/>
  <c r="B88" i="64" s="1"/>
  <c r="K62" i="26"/>
  <c r="L62" i="26"/>
  <c r="B87" i="66" s="1"/>
  <c r="M62" i="26"/>
  <c r="N62" i="26"/>
  <c r="G88" i="64" s="1"/>
  <c r="O62" i="26"/>
  <c r="EH3" i="39"/>
  <c r="FV3" i="39"/>
  <c r="FN3" i="39"/>
  <c r="FF3" i="39"/>
  <c r="DZ3" i="39"/>
  <c r="CL3" i="39"/>
  <c r="CD3" i="39"/>
  <c r="AX3" i="39"/>
  <c r="AP3" i="39"/>
  <c r="R3" i="39"/>
  <c r="B3" i="39"/>
  <c r="A57" i="39"/>
  <c r="A58" i="39" s="1"/>
  <c r="A59" i="39" s="1"/>
  <c r="A60" i="39" s="1"/>
  <c r="A61" i="39" s="1"/>
  <c r="A49" i="39"/>
  <c r="A50" i="39" s="1"/>
  <c r="J8" i="26"/>
  <c r="B34" i="64" s="1"/>
  <c r="B91" i="64" s="1"/>
  <c r="K8" i="26"/>
  <c r="L8" i="26"/>
  <c r="M8" i="26"/>
  <c r="N8" i="26"/>
  <c r="G34" i="64" s="1"/>
  <c r="G91" i="64" s="1"/>
  <c r="O8" i="26"/>
  <c r="J9" i="26"/>
  <c r="B35" i="64" s="1"/>
  <c r="K9" i="26"/>
  <c r="L9" i="26"/>
  <c r="B34" i="66" s="1"/>
  <c r="M9" i="26"/>
  <c r="N9" i="26"/>
  <c r="G35" i="64" s="1"/>
  <c r="O9" i="26"/>
  <c r="J10" i="26"/>
  <c r="B36" i="64" s="1"/>
  <c r="K10" i="26"/>
  <c r="L10" i="26"/>
  <c r="B35" i="66" s="1"/>
  <c r="M10" i="26"/>
  <c r="N10" i="26"/>
  <c r="G36" i="64" s="1"/>
  <c r="O10" i="26"/>
  <c r="J11" i="26"/>
  <c r="B37" i="64" s="1"/>
  <c r="K11" i="26"/>
  <c r="L11" i="26"/>
  <c r="B36" i="66" s="1"/>
  <c r="M11" i="26"/>
  <c r="N11" i="26"/>
  <c r="G37" i="64" s="1"/>
  <c r="O11" i="26"/>
  <c r="J12" i="26"/>
  <c r="B38" i="64" s="1"/>
  <c r="K12" i="26"/>
  <c r="L12" i="26"/>
  <c r="B37" i="66" s="1"/>
  <c r="M12" i="26"/>
  <c r="N12" i="26"/>
  <c r="G38" i="64" s="1"/>
  <c r="O12" i="26"/>
  <c r="J13" i="26"/>
  <c r="B39" i="64" s="1"/>
  <c r="K13" i="26"/>
  <c r="L13" i="26"/>
  <c r="B38" i="66" s="1"/>
  <c r="M13" i="26"/>
  <c r="N13" i="26"/>
  <c r="G39" i="64" s="1"/>
  <c r="O13" i="26"/>
  <c r="J14" i="26"/>
  <c r="B40" i="64" s="1"/>
  <c r="K14" i="26"/>
  <c r="L14" i="26"/>
  <c r="B39" i="66" s="1"/>
  <c r="M14" i="26"/>
  <c r="N14" i="26"/>
  <c r="G40" i="64" s="1"/>
  <c r="O14" i="26"/>
  <c r="J15" i="26"/>
  <c r="B41" i="64" s="1"/>
  <c r="K15" i="26"/>
  <c r="L15" i="26"/>
  <c r="B40" i="66" s="1"/>
  <c r="M15" i="26"/>
  <c r="N15" i="26"/>
  <c r="G41" i="64" s="1"/>
  <c r="O15" i="26"/>
  <c r="J16" i="26"/>
  <c r="B42" i="64" s="1"/>
  <c r="K16" i="26"/>
  <c r="L16" i="26"/>
  <c r="B41" i="66" s="1"/>
  <c r="M16" i="26"/>
  <c r="N16" i="26"/>
  <c r="G42" i="64" s="1"/>
  <c r="O16" i="26"/>
  <c r="J17" i="26"/>
  <c r="B43" i="64" s="1"/>
  <c r="K17" i="26"/>
  <c r="L17" i="26"/>
  <c r="B42" i="66" s="1"/>
  <c r="M17" i="26"/>
  <c r="N17" i="26"/>
  <c r="G43" i="64" s="1"/>
  <c r="O17" i="26"/>
  <c r="J18" i="26"/>
  <c r="B44" i="64" s="1"/>
  <c r="K18" i="26"/>
  <c r="L18" i="26"/>
  <c r="B43" i="66" s="1"/>
  <c r="M18" i="26"/>
  <c r="N18" i="26"/>
  <c r="G44" i="64" s="1"/>
  <c r="O18" i="26"/>
  <c r="J19" i="26"/>
  <c r="B45" i="64" s="1"/>
  <c r="K19" i="26"/>
  <c r="L19" i="26"/>
  <c r="B44" i="66" s="1"/>
  <c r="M19" i="26"/>
  <c r="N19" i="26"/>
  <c r="G45" i="64" s="1"/>
  <c r="O19" i="26"/>
  <c r="J20" i="26"/>
  <c r="B46" i="64" s="1"/>
  <c r="K20" i="26"/>
  <c r="L20" i="26"/>
  <c r="B45" i="66" s="1"/>
  <c r="M20" i="26"/>
  <c r="N20" i="26"/>
  <c r="G46" i="64" s="1"/>
  <c r="O20" i="26"/>
  <c r="J21" i="26"/>
  <c r="B47" i="64" s="1"/>
  <c r="K21" i="26"/>
  <c r="L21" i="26"/>
  <c r="B46" i="66" s="1"/>
  <c r="M21" i="26"/>
  <c r="N21" i="26"/>
  <c r="G47" i="64" s="1"/>
  <c r="O21" i="26"/>
  <c r="J22" i="26"/>
  <c r="B48" i="64" s="1"/>
  <c r="K22" i="26"/>
  <c r="L22" i="26"/>
  <c r="B47" i="66" s="1"/>
  <c r="M22" i="26"/>
  <c r="N22" i="26"/>
  <c r="G48" i="64" s="1"/>
  <c r="O22" i="26"/>
  <c r="J23" i="26"/>
  <c r="B49" i="64" s="1"/>
  <c r="K23" i="26"/>
  <c r="L23" i="26"/>
  <c r="B48" i="66" s="1"/>
  <c r="M23" i="26"/>
  <c r="N23" i="26"/>
  <c r="G49" i="64" s="1"/>
  <c r="O23" i="26"/>
  <c r="J24" i="26"/>
  <c r="B50" i="64" s="1"/>
  <c r="K24" i="26"/>
  <c r="L24" i="26"/>
  <c r="B49" i="66" s="1"/>
  <c r="M24" i="26"/>
  <c r="N24" i="26"/>
  <c r="G50" i="64" s="1"/>
  <c r="O24" i="26"/>
  <c r="J25" i="26"/>
  <c r="B51" i="64" s="1"/>
  <c r="K25" i="26"/>
  <c r="L25" i="26"/>
  <c r="B50" i="66" s="1"/>
  <c r="M25" i="26"/>
  <c r="N25" i="26"/>
  <c r="G51" i="64" s="1"/>
  <c r="O25" i="26"/>
  <c r="J26" i="26"/>
  <c r="B52" i="64" s="1"/>
  <c r="K26" i="26"/>
  <c r="L26" i="26"/>
  <c r="B51" i="66" s="1"/>
  <c r="M26" i="26"/>
  <c r="N26" i="26"/>
  <c r="G52" i="64" s="1"/>
  <c r="O26" i="26"/>
  <c r="J27" i="26"/>
  <c r="B53" i="64" s="1"/>
  <c r="K27" i="26"/>
  <c r="L27" i="26"/>
  <c r="M27" i="26"/>
  <c r="N27" i="26"/>
  <c r="G53" i="64" s="1"/>
  <c r="O27" i="26"/>
  <c r="J28" i="26"/>
  <c r="B54" i="64" s="1"/>
  <c r="K28" i="26"/>
  <c r="L28" i="26"/>
  <c r="B53" i="66" s="1"/>
  <c r="M28" i="26"/>
  <c r="N28" i="26"/>
  <c r="G54" i="64" s="1"/>
  <c r="O28" i="26"/>
  <c r="J29" i="26"/>
  <c r="B55" i="64" s="1"/>
  <c r="K29" i="26"/>
  <c r="L29" i="26"/>
  <c r="B54" i="66" s="1"/>
  <c r="M29" i="26"/>
  <c r="N29" i="26"/>
  <c r="G55" i="64" s="1"/>
  <c r="O29" i="26"/>
  <c r="J30" i="26"/>
  <c r="B56" i="64" s="1"/>
  <c r="K30" i="26"/>
  <c r="L30" i="26"/>
  <c r="B55" i="66" s="1"/>
  <c r="M30" i="26"/>
  <c r="N30" i="26"/>
  <c r="G56" i="64" s="1"/>
  <c r="O30" i="26"/>
  <c r="J31" i="26"/>
  <c r="B57" i="64" s="1"/>
  <c r="K31" i="26"/>
  <c r="L31" i="26"/>
  <c r="B56" i="66" s="1"/>
  <c r="M31" i="26"/>
  <c r="N31" i="26"/>
  <c r="G57" i="64" s="1"/>
  <c r="O31" i="26"/>
  <c r="J32" i="26"/>
  <c r="B58" i="64" s="1"/>
  <c r="K32" i="26"/>
  <c r="L32" i="26"/>
  <c r="B57" i="66" s="1"/>
  <c r="M32" i="26"/>
  <c r="N32" i="26"/>
  <c r="G58" i="64" s="1"/>
  <c r="O32" i="26"/>
  <c r="J33" i="26"/>
  <c r="B59" i="64" s="1"/>
  <c r="K33" i="26"/>
  <c r="L33" i="26"/>
  <c r="B58" i="66" s="1"/>
  <c r="M33" i="26"/>
  <c r="N33" i="26"/>
  <c r="G59" i="64" s="1"/>
  <c r="O33" i="26"/>
  <c r="J34" i="26"/>
  <c r="B60" i="64" s="1"/>
  <c r="K34" i="26"/>
  <c r="L34" i="26"/>
  <c r="B59" i="66" s="1"/>
  <c r="M34" i="26"/>
  <c r="N34" i="26"/>
  <c r="G60" i="64" s="1"/>
  <c r="O34" i="26"/>
  <c r="J35" i="26"/>
  <c r="B61" i="64" s="1"/>
  <c r="K35" i="26"/>
  <c r="L35" i="26"/>
  <c r="B60" i="66" s="1"/>
  <c r="M35" i="26"/>
  <c r="N35" i="26"/>
  <c r="G61" i="64" s="1"/>
  <c r="O35" i="26"/>
  <c r="J36" i="26"/>
  <c r="B62" i="64" s="1"/>
  <c r="K36" i="26"/>
  <c r="L36" i="26"/>
  <c r="B61" i="66" s="1"/>
  <c r="M36" i="26"/>
  <c r="N36" i="26"/>
  <c r="G62" i="64" s="1"/>
  <c r="O36" i="26"/>
  <c r="J37" i="26"/>
  <c r="B63" i="64" s="1"/>
  <c r="K37" i="26"/>
  <c r="L37" i="26"/>
  <c r="B62" i="66" s="1"/>
  <c r="M37" i="26"/>
  <c r="N37" i="26"/>
  <c r="G63" i="64" s="1"/>
  <c r="O37" i="26"/>
  <c r="J38" i="26"/>
  <c r="B64" i="64" s="1"/>
  <c r="K38" i="26"/>
  <c r="L38" i="26"/>
  <c r="B63" i="66" s="1"/>
  <c r="M38" i="26"/>
  <c r="N38" i="26"/>
  <c r="G64" i="64" s="1"/>
  <c r="O38" i="26"/>
  <c r="J39" i="26"/>
  <c r="B65" i="64" s="1"/>
  <c r="K39" i="26"/>
  <c r="L39" i="26"/>
  <c r="B64" i="66" s="1"/>
  <c r="M39" i="26"/>
  <c r="N39" i="26"/>
  <c r="G65" i="64" s="1"/>
  <c r="O39" i="26"/>
  <c r="J40" i="26"/>
  <c r="B66" i="64" s="1"/>
  <c r="K40" i="26"/>
  <c r="L40" i="26"/>
  <c r="B65" i="66" s="1"/>
  <c r="M40" i="26"/>
  <c r="N40" i="26"/>
  <c r="G66" i="64" s="1"/>
  <c r="O40" i="26"/>
  <c r="J41" i="26"/>
  <c r="B67" i="64" s="1"/>
  <c r="K41" i="26"/>
  <c r="L41" i="26"/>
  <c r="B66" i="66" s="1"/>
  <c r="M41" i="26"/>
  <c r="N41" i="26"/>
  <c r="G67" i="64" s="1"/>
  <c r="O41" i="26"/>
  <c r="J42" i="26"/>
  <c r="B68" i="64" s="1"/>
  <c r="K42" i="26"/>
  <c r="L42" i="26"/>
  <c r="B67" i="66" s="1"/>
  <c r="M42" i="26"/>
  <c r="N42" i="26"/>
  <c r="G68" i="64" s="1"/>
  <c r="O42" i="26"/>
  <c r="J43" i="26"/>
  <c r="B69" i="64" s="1"/>
  <c r="K43" i="26"/>
  <c r="L43" i="26"/>
  <c r="B68" i="66" s="1"/>
  <c r="M43" i="26"/>
  <c r="N43" i="26"/>
  <c r="G69" i="64" s="1"/>
  <c r="O43" i="26"/>
  <c r="J44" i="26"/>
  <c r="B70" i="64" s="1"/>
  <c r="K44" i="26"/>
  <c r="L44" i="26"/>
  <c r="B69" i="66" s="1"/>
  <c r="M44" i="26"/>
  <c r="N44" i="26"/>
  <c r="G70" i="64" s="1"/>
  <c r="O44" i="26"/>
  <c r="J45" i="26"/>
  <c r="B71" i="64" s="1"/>
  <c r="K45" i="26"/>
  <c r="L45" i="26"/>
  <c r="B70" i="66" s="1"/>
  <c r="M45" i="26"/>
  <c r="N45" i="26"/>
  <c r="G71" i="64" s="1"/>
  <c r="O45" i="26"/>
  <c r="J46" i="26"/>
  <c r="B72" i="64" s="1"/>
  <c r="K46" i="26"/>
  <c r="L46" i="26"/>
  <c r="B71" i="66" s="1"/>
  <c r="M46" i="26"/>
  <c r="N46" i="26"/>
  <c r="G72" i="64" s="1"/>
  <c r="O46" i="26"/>
  <c r="J47" i="26"/>
  <c r="B73" i="64" s="1"/>
  <c r="K47" i="26"/>
  <c r="L47" i="26"/>
  <c r="B72" i="66" s="1"/>
  <c r="M47" i="26"/>
  <c r="N47" i="26"/>
  <c r="G73" i="64" s="1"/>
  <c r="O47" i="26"/>
  <c r="J48" i="26"/>
  <c r="B74" i="64" s="1"/>
  <c r="K48" i="26"/>
  <c r="L48" i="26"/>
  <c r="B73" i="66" s="1"/>
  <c r="M48" i="26"/>
  <c r="N48" i="26"/>
  <c r="G74" i="64" s="1"/>
  <c r="O48" i="26"/>
  <c r="J49" i="26"/>
  <c r="B75" i="64" s="1"/>
  <c r="K49" i="26"/>
  <c r="L49" i="26"/>
  <c r="B74" i="66" s="1"/>
  <c r="M49" i="26"/>
  <c r="N49" i="26"/>
  <c r="G75" i="64" s="1"/>
  <c r="O49" i="26"/>
  <c r="J50" i="26"/>
  <c r="B76" i="64" s="1"/>
  <c r="K50" i="26"/>
  <c r="L50" i="26"/>
  <c r="B75" i="66" s="1"/>
  <c r="M50" i="26"/>
  <c r="N50" i="26"/>
  <c r="G76" i="64" s="1"/>
  <c r="O50" i="26"/>
  <c r="J51" i="26"/>
  <c r="B77" i="64" s="1"/>
  <c r="K51" i="26"/>
  <c r="L51" i="26"/>
  <c r="B76" i="66" s="1"/>
  <c r="M51" i="26"/>
  <c r="N51" i="26"/>
  <c r="G77" i="64" s="1"/>
  <c r="O51" i="26"/>
  <c r="J52" i="26"/>
  <c r="B78" i="64" s="1"/>
  <c r="K52" i="26"/>
  <c r="L52" i="26"/>
  <c r="B77" i="66" s="1"/>
  <c r="M52" i="26"/>
  <c r="N52" i="26"/>
  <c r="G78" i="64" s="1"/>
  <c r="O52" i="26"/>
  <c r="J53" i="26"/>
  <c r="B79" i="64" s="1"/>
  <c r="K53" i="26"/>
  <c r="L53" i="26"/>
  <c r="B78" i="66" s="1"/>
  <c r="M53" i="26"/>
  <c r="N53" i="26"/>
  <c r="G79" i="64" s="1"/>
  <c r="O53" i="26"/>
  <c r="J54" i="26"/>
  <c r="B80" i="64" s="1"/>
  <c r="K54" i="26"/>
  <c r="L54" i="26"/>
  <c r="B79" i="66" s="1"/>
  <c r="M54" i="26"/>
  <c r="N54" i="26"/>
  <c r="G80" i="64" s="1"/>
  <c r="O54" i="26"/>
  <c r="J55" i="26"/>
  <c r="B81" i="64" s="1"/>
  <c r="K55" i="26"/>
  <c r="L55" i="26"/>
  <c r="B80" i="66" s="1"/>
  <c r="M55" i="26"/>
  <c r="N55" i="26"/>
  <c r="G81" i="64" s="1"/>
  <c r="O55" i="26"/>
  <c r="J56" i="26"/>
  <c r="B82" i="64" s="1"/>
  <c r="K56" i="26"/>
  <c r="L56" i="26"/>
  <c r="B81" i="66" s="1"/>
  <c r="M56" i="26"/>
  <c r="N56" i="26"/>
  <c r="G82" i="64" s="1"/>
  <c r="O56" i="26"/>
  <c r="J57" i="26"/>
  <c r="B83" i="64" s="1"/>
  <c r="K57" i="26"/>
  <c r="L57" i="26"/>
  <c r="B82" i="66" s="1"/>
  <c r="M57" i="26"/>
  <c r="N57" i="26"/>
  <c r="G83" i="64" s="1"/>
  <c r="O57" i="26"/>
  <c r="J58" i="26"/>
  <c r="B84" i="64" s="1"/>
  <c r="K58" i="26"/>
  <c r="L58" i="26"/>
  <c r="B83" i="66" s="1"/>
  <c r="M58" i="26"/>
  <c r="N58" i="26"/>
  <c r="G84" i="64" s="1"/>
  <c r="O58" i="26"/>
  <c r="J59" i="26"/>
  <c r="B85" i="64" s="1"/>
  <c r="K59" i="26"/>
  <c r="L59" i="26"/>
  <c r="B84" i="66" s="1"/>
  <c r="M59" i="26"/>
  <c r="N59" i="26"/>
  <c r="G85" i="64" s="1"/>
  <c r="O59" i="26"/>
  <c r="J60" i="26"/>
  <c r="B86" i="64" s="1"/>
  <c r="K60" i="26"/>
  <c r="L60" i="26"/>
  <c r="B85" i="66" s="1"/>
  <c r="M60" i="26"/>
  <c r="N60" i="26"/>
  <c r="G86" i="64" s="1"/>
  <c r="O60" i="26"/>
  <c r="J61" i="26"/>
  <c r="B87" i="64" s="1"/>
  <c r="K61" i="26"/>
  <c r="L61" i="26"/>
  <c r="M61" i="26"/>
  <c r="N61" i="26"/>
  <c r="G87" i="64" s="1"/>
  <c r="O61" i="26"/>
  <c r="G6" i="39"/>
  <c r="F6" i="39"/>
  <c r="E6" i="39"/>
  <c r="D6" i="39"/>
  <c r="B32" i="62" s="1"/>
  <c r="C6" i="39"/>
  <c r="B6" i="39"/>
  <c r="BC6" i="39"/>
  <c r="BA6" i="39"/>
  <c r="AX6" i="39"/>
  <c r="BB6" i="39"/>
  <c r="AY6" i="39"/>
  <c r="AZ6" i="39"/>
  <c r="BC7" i="39"/>
  <c r="BA7" i="39"/>
  <c r="BB7" i="39"/>
  <c r="AZ7" i="39"/>
  <c r="E33" i="62" s="1"/>
  <c r="AY7" i="39"/>
  <c r="AX7" i="39"/>
  <c r="G7" i="39"/>
  <c r="F7" i="39"/>
  <c r="E7" i="39"/>
  <c r="D7" i="39"/>
  <c r="B33" i="62" s="1"/>
  <c r="B7" i="39"/>
  <c r="C7" i="39"/>
  <c r="AU17" i="39"/>
  <c r="AT17" i="39"/>
  <c r="AS17" i="39"/>
  <c r="AR17" i="39"/>
  <c r="D43" i="62" s="1"/>
  <c r="AQ17" i="39"/>
  <c r="AP17" i="39"/>
  <c r="AU14" i="39"/>
  <c r="AT14" i="39"/>
  <c r="AS14" i="39"/>
  <c r="AR14" i="39"/>
  <c r="D40" i="62" s="1"/>
  <c r="AP14" i="39"/>
  <c r="AQ14" i="39"/>
  <c r="G22" i="39"/>
  <c r="F22" i="39"/>
  <c r="E22" i="39"/>
  <c r="D22" i="39"/>
  <c r="B48" i="62" s="1"/>
  <c r="B22" i="39"/>
  <c r="C22" i="39"/>
  <c r="AU8" i="39"/>
  <c r="AT8" i="39"/>
  <c r="AS8" i="39"/>
  <c r="AR8" i="39"/>
  <c r="D34" i="62" s="1"/>
  <c r="AQ8" i="39"/>
  <c r="AP8" i="39"/>
  <c r="BC16" i="39"/>
  <c r="BB16" i="39"/>
  <c r="BA16" i="39"/>
  <c r="AZ16" i="39"/>
  <c r="E42" i="62" s="1"/>
  <c r="AX16" i="39"/>
  <c r="AY16" i="39"/>
  <c r="BC20" i="39"/>
  <c r="BB20" i="39"/>
  <c r="BA20" i="39"/>
  <c r="AZ20" i="39"/>
  <c r="E46" i="62" s="1"/>
  <c r="AX20" i="39"/>
  <c r="AY20" i="39"/>
  <c r="BC17" i="39"/>
  <c r="BB17" i="39"/>
  <c r="BA17" i="39"/>
  <c r="AZ17" i="39"/>
  <c r="E43" i="62" s="1"/>
  <c r="AX17" i="39"/>
  <c r="AY17" i="39"/>
  <c r="G14" i="39"/>
  <c r="F14" i="39"/>
  <c r="E14" i="39"/>
  <c r="D14" i="39"/>
  <c r="B40" i="62" s="1"/>
  <c r="C14" i="39"/>
  <c r="B14" i="39"/>
  <c r="AU20" i="39"/>
  <c r="AT20" i="39"/>
  <c r="AS20" i="39"/>
  <c r="AR20" i="39"/>
  <c r="D46" i="62" s="1"/>
  <c r="AQ20" i="39"/>
  <c r="AP20" i="39"/>
  <c r="G17" i="39"/>
  <c r="F17" i="39"/>
  <c r="E17" i="39"/>
  <c r="D17" i="39"/>
  <c r="B43" i="62" s="1"/>
  <c r="B17" i="39"/>
  <c r="C17" i="39"/>
  <c r="G16" i="39"/>
  <c r="F16" i="39"/>
  <c r="E16" i="39"/>
  <c r="D16" i="39"/>
  <c r="B42" i="62" s="1"/>
  <c r="B16" i="39"/>
  <c r="C16" i="39"/>
  <c r="G20" i="39"/>
  <c r="F20" i="39"/>
  <c r="E20" i="39"/>
  <c r="D20" i="39"/>
  <c r="B46" i="62" s="1"/>
  <c r="C20" i="39"/>
  <c r="B20" i="39"/>
  <c r="BC13" i="39"/>
  <c r="BB13" i="39"/>
  <c r="BA13" i="39"/>
  <c r="AZ13" i="39"/>
  <c r="E39" i="62" s="1"/>
  <c r="AY13" i="39"/>
  <c r="AX13" i="39"/>
  <c r="AU21" i="39"/>
  <c r="AT21" i="39"/>
  <c r="AS21" i="39"/>
  <c r="AR21" i="39"/>
  <c r="D47" i="62" s="1"/>
  <c r="AQ21" i="39"/>
  <c r="AP21" i="39"/>
  <c r="AU13" i="39"/>
  <c r="AT13" i="39"/>
  <c r="AS13" i="39"/>
  <c r="AR13" i="39"/>
  <c r="D39" i="62" s="1"/>
  <c r="AP13" i="39"/>
  <c r="AQ13" i="39"/>
  <c r="BC21" i="39"/>
  <c r="BB21" i="39"/>
  <c r="BA21" i="39"/>
  <c r="AZ21" i="39"/>
  <c r="E47" i="62" s="1"/>
  <c r="AY21" i="39"/>
  <c r="AX21" i="39"/>
  <c r="G8" i="39"/>
  <c r="F8" i="39"/>
  <c r="E8" i="39"/>
  <c r="D8" i="39"/>
  <c r="B34" i="62" s="1"/>
  <c r="C8" i="39"/>
  <c r="B8" i="39"/>
  <c r="BC22" i="39"/>
  <c r="BB22" i="39"/>
  <c r="BA22" i="39"/>
  <c r="AZ22" i="39"/>
  <c r="E48" i="62" s="1"/>
  <c r="AX22" i="39"/>
  <c r="AY22" i="39"/>
  <c r="G21" i="39"/>
  <c r="F21" i="39"/>
  <c r="E21" i="39"/>
  <c r="D21" i="39"/>
  <c r="B47" i="62" s="1"/>
  <c r="C21" i="39"/>
  <c r="B21" i="39"/>
  <c r="G13" i="39"/>
  <c r="F13" i="39"/>
  <c r="E13" i="39"/>
  <c r="D13" i="39"/>
  <c r="B39" i="62" s="1"/>
  <c r="C13" i="39"/>
  <c r="B13" i="39"/>
  <c r="BC14" i="39"/>
  <c r="BB14" i="39"/>
  <c r="BA14" i="39"/>
  <c r="AZ14" i="39"/>
  <c r="E40" i="62" s="1"/>
  <c r="AX14" i="39"/>
  <c r="AY14" i="39"/>
  <c r="AU22" i="39"/>
  <c r="AT22" i="39"/>
  <c r="AS22" i="39"/>
  <c r="AR22" i="39"/>
  <c r="D48" i="62" s="1"/>
  <c r="AP22" i="39"/>
  <c r="AQ22" i="39"/>
  <c r="BC8" i="39"/>
  <c r="BB8" i="39"/>
  <c r="BA8" i="39"/>
  <c r="AZ8" i="39"/>
  <c r="E34" i="62" s="1"/>
  <c r="AY8" i="39"/>
  <c r="AX8" i="39"/>
  <c r="AU16" i="39"/>
  <c r="AT16" i="39"/>
  <c r="AS16" i="39"/>
  <c r="AR16" i="39"/>
  <c r="D42" i="62" s="1"/>
  <c r="AQ16" i="39"/>
  <c r="AP16" i="39"/>
  <c r="AU9" i="39"/>
  <c r="AT9" i="39"/>
  <c r="AS9" i="39"/>
  <c r="AR9" i="39"/>
  <c r="D35" i="62" s="1"/>
  <c r="AP9" i="39"/>
  <c r="AQ9" i="39"/>
  <c r="BC18" i="39"/>
  <c r="BB18" i="39"/>
  <c r="BA18" i="39"/>
  <c r="AZ18" i="39"/>
  <c r="E44" i="62" s="1"/>
  <c r="AX18" i="39"/>
  <c r="AY18" i="39"/>
  <c r="BC10" i="39"/>
  <c r="BB10" i="39"/>
  <c r="BA10" i="39"/>
  <c r="AZ10" i="39"/>
  <c r="E36" i="62" s="1"/>
  <c r="AX10" i="39"/>
  <c r="AY10" i="39"/>
  <c r="G18" i="39"/>
  <c r="F18" i="39"/>
  <c r="E18" i="39"/>
  <c r="D18" i="39"/>
  <c r="B44" i="62" s="1"/>
  <c r="B18" i="39"/>
  <c r="C18" i="39"/>
  <c r="AU10" i="39"/>
  <c r="AT10" i="39"/>
  <c r="AS10" i="39"/>
  <c r="AR10" i="39"/>
  <c r="D36" i="62" s="1"/>
  <c r="AP10" i="39"/>
  <c r="AQ10" i="39"/>
  <c r="AU18" i="39"/>
  <c r="AT18" i="39"/>
  <c r="AS18" i="39"/>
  <c r="AR18" i="39"/>
  <c r="D44" i="62" s="1"/>
  <c r="AP18" i="39"/>
  <c r="AQ18" i="39"/>
  <c r="AU19" i="39"/>
  <c r="AT19" i="39"/>
  <c r="AS19" i="39"/>
  <c r="AR19" i="39"/>
  <c r="D45" i="62" s="1"/>
  <c r="AP19" i="39"/>
  <c r="AQ19" i="39"/>
  <c r="BC15" i="39"/>
  <c r="BB15" i="39"/>
  <c r="BA15" i="39"/>
  <c r="AZ15" i="39"/>
  <c r="E41" i="62" s="1"/>
  <c r="AX15" i="39"/>
  <c r="AY15" i="39"/>
  <c r="BC19" i="39"/>
  <c r="BB19" i="39"/>
  <c r="BA19" i="39"/>
  <c r="AZ19" i="39"/>
  <c r="E45" i="62" s="1"/>
  <c r="AX19" i="39"/>
  <c r="AY19" i="39"/>
  <c r="G10" i="39"/>
  <c r="F10" i="39"/>
  <c r="E10" i="39"/>
  <c r="D10" i="39"/>
  <c r="B36" i="62" s="1"/>
  <c r="B10" i="39"/>
  <c r="C10" i="39"/>
  <c r="AU15" i="39"/>
  <c r="AT15" i="39"/>
  <c r="AS15" i="39"/>
  <c r="AR15" i="39"/>
  <c r="D41" i="62" s="1"/>
  <c r="AQ15" i="39"/>
  <c r="AP15" i="39"/>
  <c r="BC9" i="39"/>
  <c r="BB9" i="39"/>
  <c r="BA9" i="39"/>
  <c r="AZ9" i="39"/>
  <c r="E35" i="62" s="1"/>
  <c r="AY9" i="39"/>
  <c r="AX9" i="39"/>
  <c r="G15" i="39"/>
  <c r="F15" i="39"/>
  <c r="E15" i="39"/>
  <c r="D15" i="39"/>
  <c r="B41" i="62" s="1"/>
  <c r="B15" i="39"/>
  <c r="C15" i="39"/>
  <c r="G19" i="39"/>
  <c r="F19" i="39"/>
  <c r="E19" i="39"/>
  <c r="D19" i="39"/>
  <c r="B45" i="62" s="1"/>
  <c r="C19" i="39"/>
  <c r="B19" i="39"/>
  <c r="AU12" i="39"/>
  <c r="AT12" i="39"/>
  <c r="AS12" i="39"/>
  <c r="AR12" i="39"/>
  <c r="D38" i="62" s="1"/>
  <c r="AQ12" i="39"/>
  <c r="AP12" i="39"/>
  <c r="BC12" i="39"/>
  <c r="BB12" i="39"/>
  <c r="AZ12" i="39"/>
  <c r="E38" i="62" s="1"/>
  <c r="BA12" i="39"/>
  <c r="AX12" i="39"/>
  <c r="AY12" i="39"/>
  <c r="G12" i="39"/>
  <c r="F12" i="39"/>
  <c r="E12" i="39"/>
  <c r="D12" i="39"/>
  <c r="B38" i="62" s="1"/>
  <c r="C12" i="39"/>
  <c r="B12" i="39"/>
  <c r="AU11" i="39"/>
  <c r="AT11" i="39"/>
  <c r="AS11" i="39"/>
  <c r="AR11" i="39"/>
  <c r="D37" i="62" s="1"/>
  <c r="AP11" i="39"/>
  <c r="AQ11" i="39"/>
  <c r="G9" i="39"/>
  <c r="F9" i="39"/>
  <c r="E9" i="39"/>
  <c r="D9" i="39"/>
  <c r="B35" i="62" s="1"/>
  <c r="B9" i="39"/>
  <c r="C9" i="39"/>
  <c r="G11" i="39"/>
  <c r="F11" i="39"/>
  <c r="E11" i="39"/>
  <c r="D11" i="39"/>
  <c r="B37" i="62" s="1"/>
  <c r="C11" i="39"/>
  <c r="B11" i="39"/>
  <c r="BC11" i="39"/>
  <c r="BB11" i="39"/>
  <c r="BA11" i="39"/>
  <c r="AZ11" i="39"/>
  <c r="E37" i="62" s="1"/>
  <c r="AY11" i="39"/>
  <c r="AX11" i="39"/>
  <c r="A59" i="26"/>
  <c r="A60" i="26" s="1"/>
  <c r="A61" i="26" s="1"/>
  <c r="A54" i="26"/>
  <c r="A55" i="26"/>
  <c r="A56" i="26" s="1"/>
  <c r="A44" i="26"/>
  <c r="A45" i="26" s="1"/>
  <c r="A46" i="26" s="1"/>
  <c r="A47" i="26" s="1"/>
  <c r="A48" i="26" s="1"/>
  <c r="A49" i="26" s="1"/>
  <c r="A50" i="26" s="1"/>
  <c r="A51" i="26" s="1"/>
  <c r="A52" i="26" s="1"/>
  <c r="G23" i="39"/>
  <c r="B23" i="39"/>
  <c r="C23" i="39"/>
  <c r="D23" i="39"/>
  <c r="B49" i="62" s="1"/>
  <c r="F23" i="39"/>
  <c r="E23" i="39"/>
  <c r="AX23" i="39"/>
  <c r="AY23" i="39"/>
  <c r="AZ23" i="39"/>
  <c r="E49" i="62" s="1"/>
  <c r="BA23" i="39"/>
  <c r="BB23" i="39"/>
  <c r="BC23" i="39"/>
  <c r="C24" i="39"/>
  <c r="D24" i="39"/>
  <c r="B50" i="62" s="1"/>
  <c r="E24" i="39"/>
  <c r="F24" i="39"/>
  <c r="G24" i="39"/>
  <c r="B24" i="39"/>
  <c r="AS23" i="39"/>
  <c r="AT23" i="39"/>
  <c r="AU23" i="39"/>
  <c r="AQ23" i="39"/>
  <c r="AR23" i="39"/>
  <c r="D49" i="62" s="1"/>
  <c r="AP23" i="39"/>
  <c r="AY24" i="39"/>
  <c r="AX24" i="39"/>
  <c r="AZ24" i="39"/>
  <c r="E50" i="62" s="1"/>
  <c r="BA24" i="39"/>
  <c r="BB24" i="39"/>
  <c r="BC24" i="39"/>
  <c r="AP24" i="39"/>
  <c r="AQ24" i="39"/>
  <c r="AR24" i="39"/>
  <c r="D50" i="62" s="1"/>
  <c r="AS24" i="39"/>
  <c r="AU24" i="39"/>
  <c r="AT24" i="39"/>
  <c r="G50" i="39"/>
  <c r="F50" i="39"/>
  <c r="E50" i="39"/>
  <c r="D50" i="39"/>
  <c r="B76" i="62" s="1"/>
  <c r="B50" i="39"/>
  <c r="C50" i="39"/>
  <c r="BC25" i="39"/>
  <c r="BB25" i="39"/>
  <c r="BA25" i="39"/>
  <c r="AZ25" i="39"/>
  <c r="AX25" i="39"/>
  <c r="AY25" i="39"/>
  <c r="AU25" i="39"/>
  <c r="AT25" i="39"/>
  <c r="AS25" i="39"/>
  <c r="AR25" i="39"/>
  <c r="D51" i="62" s="1"/>
  <c r="AQ25" i="39"/>
  <c r="AP25" i="39"/>
  <c r="G25" i="39"/>
  <c r="F25" i="39"/>
  <c r="E25" i="39"/>
  <c r="D25" i="39"/>
  <c r="B51" i="62" s="1"/>
  <c r="B25" i="39"/>
  <c r="C25" i="39"/>
  <c r="BC50" i="39"/>
  <c r="BB50" i="39"/>
  <c r="BA50" i="39"/>
  <c r="AZ50" i="39"/>
  <c r="E76" i="62" s="1"/>
  <c r="AY50" i="39"/>
  <c r="AX50" i="39"/>
  <c r="G49" i="39"/>
  <c r="F49" i="39"/>
  <c r="E49" i="39"/>
  <c r="D49" i="39"/>
  <c r="B75" i="62" s="1"/>
  <c r="B49" i="39"/>
  <c r="C49" i="39"/>
  <c r="BC51" i="39"/>
  <c r="BB51" i="39"/>
  <c r="BA51" i="39"/>
  <c r="AZ51" i="39"/>
  <c r="E77" i="62" s="1"/>
  <c r="AY51" i="39"/>
  <c r="AX51" i="39"/>
  <c r="BC49" i="39"/>
  <c r="BB49" i="39"/>
  <c r="BA49" i="39"/>
  <c r="AZ49" i="39"/>
  <c r="E75" i="62" s="1"/>
  <c r="AY49" i="39"/>
  <c r="AX49" i="39"/>
  <c r="G51" i="39"/>
  <c r="F51" i="39"/>
  <c r="E51" i="39"/>
  <c r="D51" i="39"/>
  <c r="B77" i="62" s="1"/>
  <c r="B51" i="39"/>
  <c r="C51" i="39"/>
  <c r="G52" i="39"/>
  <c r="F52" i="39"/>
  <c r="E52" i="39"/>
  <c r="D52" i="39"/>
  <c r="B78" i="62" s="1"/>
  <c r="C52" i="39"/>
  <c r="B52" i="39"/>
  <c r="G48" i="39"/>
  <c r="F48" i="39"/>
  <c r="E48" i="39"/>
  <c r="D48" i="39"/>
  <c r="B74" i="62" s="1"/>
  <c r="B48" i="39"/>
  <c r="C48" i="39"/>
  <c r="BC53" i="39"/>
  <c r="BB53" i="39"/>
  <c r="BA53" i="39"/>
  <c r="AZ53" i="39"/>
  <c r="E79" i="62" s="1"/>
  <c r="AX53" i="39"/>
  <c r="AY53" i="39"/>
  <c r="G53" i="39"/>
  <c r="F53" i="39"/>
  <c r="E53" i="39"/>
  <c r="D53" i="39"/>
  <c r="B79" i="62" s="1"/>
  <c r="C53" i="39"/>
  <c r="B53" i="39"/>
  <c r="BC52" i="39"/>
  <c r="BB52" i="39"/>
  <c r="BA52" i="39"/>
  <c r="AZ52" i="39"/>
  <c r="E78" i="62" s="1"/>
  <c r="AY52" i="39"/>
  <c r="AX52" i="39"/>
  <c r="BC48" i="39"/>
  <c r="BB48" i="39"/>
  <c r="BA48" i="39"/>
  <c r="AZ48" i="39"/>
  <c r="E74" i="62" s="1"/>
  <c r="AX48" i="39"/>
  <c r="AY48" i="39"/>
  <c r="BC54" i="39"/>
  <c r="BB54" i="39"/>
  <c r="BA54" i="39"/>
  <c r="AZ54" i="39"/>
  <c r="E80" i="62" s="1"/>
  <c r="AY54" i="39"/>
  <c r="AX54" i="39"/>
  <c r="BC47" i="39"/>
  <c r="BB47" i="39"/>
  <c r="BA47" i="39"/>
  <c r="AZ47" i="39"/>
  <c r="E73" i="62" s="1"/>
  <c r="AY47" i="39"/>
  <c r="AX47" i="39"/>
  <c r="G54" i="39"/>
  <c r="F54" i="39"/>
  <c r="E54" i="39"/>
  <c r="D54" i="39"/>
  <c r="B80" i="62" s="1"/>
  <c r="B54" i="39"/>
  <c r="C54" i="39"/>
  <c r="G47" i="39"/>
  <c r="F47" i="39"/>
  <c r="E47" i="39"/>
  <c r="D47" i="39"/>
  <c r="B73" i="62" s="1"/>
  <c r="C47" i="39"/>
  <c r="B47" i="39"/>
  <c r="G55" i="39"/>
  <c r="F55" i="39"/>
  <c r="E55" i="39"/>
  <c r="D55" i="39"/>
  <c r="B81" i="62" s="1"/>
  <c r="C55" i="39"/>
  <c r="B55" i="39"/>
  <c r="G46" i="39"/>
  <c r="F46" i="39"/>
  <c r="E46" i="39"/>
  <c r="D46" i="39"/>
  <c r="B72" i="62" s="1"/>
  <c r="B46" i="39"/>
  <c r="C46" i="39"/>
  <c r="BC46" i="39"/>
  <c r="BB46" i="39"/>
  <c r="BA46" i="39"/>
  <c r="AZ46" i="39"/>
  <c r="E72" i="62" s="1"/>
  <c r="AX46" i="39"/>
  <c r="AY46" i="39"/>
  <c r="BC55" i="39"/>
  <c r="BB55" i="39"/>
  <c r="BA55" i="39"/>
  <c r="AZ55" i="39"/>
  <c r="E81" i="62" s="1"/>
  <c r="AX55" i="39"/>
  <c r="AY55" i="39"/>
  <c r="G56" i="39"/>
  <c r="F56" i="39"/>
  <c r="E56" i="39"/>
  <c r="D56" i="39"/>
  <c r="B82" i="62" s="1"/>
  <c r="B56" i="39"/>
  <c r="C56" i="39"/>
  <c r="BC45" i="39"/>
  <c r="BB45" i="39"/>
  <c r="BA45" i="39"/>
  <c r="AZ45" i="39"/>
  <c r="E71" i="62" s="1"/>
  <c r="AY45" i="39"/>
  <c r="AX45" i="39"/>
  <c r="G45" i="39"/>
  <c r="F45" i="39"/>
  <c r="E45" i="39"/>
  <c r="D45" i="39"/>
  <c r="B71" i="62" s="1"/>
  <c r="C45" i="39"/>
  <c r="B45" i="39"/>
  <c r="BC56" i="39"/>
  <c r="BB56" i="39"/>
  <c r="BA56" i="39"/>
  <c r="AZ56" i="39"/>
  <c r="E82" i="62" s="1"/>
  <c r="AY56" i="39"/>
  <c r="AX56" i="39"/>
  <c r="BC44" i="39"/>
  <c r="BB44" i="39"/>
  <c r="BA44" i="39"/>
  <c r="AZ44" i="39"/>
  <c r="E70" i="62" s="1"/>
  <c r="AY44" i="39"/>
  <c r="AX44" i="39"/>
  <c r="G57" i="39"/>
  <c r="F57" i="39"/>
  <c r="E57" i="39"/>
  <c r="D57" i="39"/>
  <c r="B83" i="62" s="1"/>
  <c r="C57" i="39"/>
  <c r="B57" i="39"/>
  <c r="G44" i="39"/>
  <c r="F44" i="39"/>
  <c r="E44" i="39"/>
  <c r="D44" i="39"/>
  <c r="B70" i="62" s="1"/>
  <c r="C44" i="39"/>
  <c r="B44" i="39"/>
  <c r="BC57" i="39"/>
  <c r="BB57" i="39"/>
  <c r="BA57" i="39"/>
  <c r="AZ57" i="39"/>
  <c r="E83" i="62" s="1"/>
  <c r="AY57" i="39"/>
  <c r="AX57" i="39"/>
  <c r="G58" i="39"/>
  <c r="F58" i="39"/>
  <c r="E58" i="39"/>
  <c r="D58" i="39"/>
  <c r="B84" i="62" s="1"/>
  <c r="C58" i="39"/>
  <c r="B58" i="39"/>
  <c r="G43" i="39"/>
  <c r="F43" i="39"/>
  <c r="E43" i="39"/>
  <c r="D43" i="39"/>
  <c r="B69" i="62" s="1"/>
  <c r="B43" i="39"/>
  <c r="C43" i="39"/>
  <c r="BC58" i="39"/>
  <c r="BB58" i="39"/>
  <c r="BA58" i="39"/>
  <c r="AZ58" i="39"/>
  <c r="E84" i="62" s="1"/>
  <c r="AY58" i="39"/>
  <c r="AX58" i="39"/>
  <c r="BC59" i="39"/>
  <c r="BB59" i="39"/>
  <c r="BA59" i="39"/>
  <c r="AZ59" i="39"/>
  <c r="E85" i="62" s="1"/>
  <c r="AY59" i="39"/>
  <c r="AX59" i="39"/>
  <c r="G59" i="39"/>
  <c r="F59" i="39"/>
  <c r="E59" i="39"/>
  <c r="D59" i="39"/>
  <c r="B85" i="62" s="1"/>
  <c r="C59" i="39"/>
  <c r="B59" i="39"/>
  <c r="BC43" i="39"/>
  <c r="BB43" i="39"/>
  <c r="BA43" i="39"/>
  <c r="AZ43" i="39"/>
  <c r="E69" i="62" s="1"/>
  <c r="AX43" i="39"/>
  <c r="AY43" i="39"/>
  <c r="G42" i="39"/>
  <c r="F42" i="39"/>
  <c r="E42" i="39"/>
  <c r="D42" i="39"/>
  <c r="B68" i="62" s="1"/>
  <c r="C42" i="39"/>
  <c r="B42" i="39"/>
  <c r="BC42" i="39"/>
  <c r="BB42" i="39"/>
  <c r="BA42" i="39"/>
  <c r="AZ42" i="39"/>
  <c r="E68" i="62" s="1"/>
  <c r="AY42" i="39"/>
  <c r="AX42" i="39"/>
  <c r="BC41" i="39"/>
  <c r="BB41" i="39"/>
  <c r="BA41" i="39"/>
  <c r="AZ41" i="39"/>
  <c r="E67" i="62" s="1"/>
  <c r="AX41" i="39"/>
  <c r="AY41" i="39"/>
  <c r="G41" i="39"/>
  <c r="F41" i="39"/>
  <c r="E41" i="39"/>
  <c r="D41" i="39"/>
  <c r="B67" i="62" s="1"/>
  <c r="B41" i="39"/>
  <c r="C41" i="39"/>
  <c r="G40" i="39"/>
  <c r="F40" i="39"/>
  <c r="E40" i="39"/>
  <c r="D40" i="39"/>
  <c r="B66" i="62" s="1"/>
  <c r="C40" i="39"/>
  <c r="B40" i="39"/>
  <c r="BC40" i="39"/>
  <c r="BB40" i="39"/>
  <c r="BA40" i="39"/>
  <c r="AZ40" i="39"/>
  <c r="E66" i="62" s="1"/>
  <c r="AY40" i="39"/>
  <c r="AX40" i="39"/>
  <c r="BC39" i="39"/>
  <c r="BB39" i="39"/>
  <c r="BA39" i="39"/>
  <c r="AZ39" i="39"/>
  <c r="E65" i="62" s="1"/>
  <c r="AX39" i="39"/>
  <c r="AY39" i="39"/>
  <c r="G39" i="39"/>
  <c r="F39" i="39"/>
  <c r="E39" i="39"/>
  <c r="D39" i="39"/>
  <c r="B65" i="62" s="1"/>
  <c r="C39" i="39"/>
  <c r="B39" i="39"/>
  <c r="G38" i="39"/>
  <c r="F38" i="39"/>
  <c r="E38" i="39"/>
  <c r="D38" i="39"/>
  <c r="B64" i="62" s="1"/>
  <c r="B38" i="39"/>
  <c r="C38" i="39"/>
  <c r="BC38" i="39"/>
  <c r="BB38" i="39"/>
  <c r="BA38" i="39"/>
  <c r="AZ38" i="39"/>
  <c r="E64" i="62" s="1"/>
  <c r="AY38" i="39"/>
  <c r="AX38" i="39"/>
  <c r="BC37" i="39"/>
  <c r="BB37" i="39"/>
  <c r="BA37" i="39"/>
  <c r="AZ37" i="39"/>
  <c r="E63" i="62" s="1"/>
  <c r="AY37" i="39"/>
  <c r="AX37" i="39"/>
  <c r="G37" i="39"/>
  <c r="F37" i="39"/>
  <c r="E37" i="39"/>
  <c r="D37" i="39"/>
  <c r="B63" i="62" s="1"/>
  <c r="C37" i="39"/>
  <c r="B37" i="39"/>
  <c r="BC36" i="39"/>
  <c r="BB36" i="39"/>
  <c r="BA36" i="39"/>
  <c r="AZ36" i="39"/>
  <c r="E62" i="62" s="1"/>
  <c r="AY36" i="39"/>
  <c r="AX36" i="39"/>
  <c r="G36" i="39"/>
  <c r="F36" i="39"/>
  <c r="E36" i="39"/>
  <c r="D36" i="39"/>
  <c r="B62" i="62" s="1"/>
  <c r="C36" i="39"/>
  <c r="B36" i="39"/>
  <c r="BC35" i="39"/>
  <c r="BB35" i="39"/>
  <c r="BA35" i="39"/>
  <c r="AZ35" i="39"/>
  <c r="AX35" i="39"/>
  <c r="AY35" i="39"/>
  <c r="G35" i="39"/>
  <c r="F35" i="39"/>
  <c r="E35" i="39"/>
  <c r="D35" i="39"/>
  <c r="C35" i="39"/>
  <c r="B35" i="39"/>
  <c r="BC34" i="39"/>
  <c r="BB34" i="39"/>
  <c r="BA34" i="39"/>
  <c r="AZ34" i="39"/>
  <c r="E60" i="62" s="1"/>
  <c r="AY34" i="39"/>
  <c r="AX34" i="39"/>
  <c r="G34" i="39"/>
  <c r="F34" i="39"/>
  <c r="E34" i="39"/>
  <c r="D34" i="39"/>
  <c r="B60" i="62" s="1"/>
  <c r="B34" i="39"/>
  <c r="C34" i="39"/>
  <c r="BC33" i="39"/>
  <c r="BB33" i="39"/>
  <c r="BA33" i="39"/>
  <c r="AZ33" i="39"/>
  <c r="E59" i="62" s="1"/>
  <c r="AX33" i="39"/>
  <c r="AY33" i="39"/>
  <c r="G33" i="39"/>
  <c r="F33" i="39"/>
  <c r="E33" i="39"/>
  <c r="D33" i="39"/>
  <c r="B59" i="62" s="1"/>
  <c r="B33" i="39"/>
  <c r="C33" i="39"/>
  <c r="AU32" i="39"/>
  <c r="AT32" i="39"/>
  <c r="AS32" i="39"/>
  <c r="AR32" i="39"/>
  <c r="D58" i="62" s="1"/>
  <c r="AP32" i="39"/>
  <c r="AQ32" i="39"/>
  <c r="BC32" i="39"/>
  <c r="BB32" i="39"/>
  <c r="BA32" i="39"/>
  <c r="AZ32" i="39"/>
  <c r="E58" i="62" s="1"/>
  <c r="AY32" i="39"/>
  <c r="AX32" i="39"/>
  <c r="G32" i="39"/>
  <c r="F32" i="39"/>
  <c r="E32" i="39"/>
  <c r="D32" i="39"/>
  <c r="B58" i="62" s="1"/>
  <c r="B32" i="39"/>
  <c r="C32" i="39"/>
  <c r="G31" i="39"/>
  <c r="F31" i="39"/>
  <c r="E31" i="39"/>
  <c r="D31" i="39"/>
  <c r="B31" i="39"/>
  <c r="C31" i="39"/>
  <c r="AU31" i="39"/>
  <c r="AT31" i="39"/>
  <c r="AS31" i="39"/>
  <c r="AR31" i="39"/>
  <c r="AQ31" i="39"/>
  <c r="AP31" i="39"/>
  <c r="BC31" i="39"/>
  <c r="BB31" i="39"/>
  <c r="BA31" i="39"/>
  <c r="AZ31" i="39"/>
  <c r="AX31" i="39"/>
  <c r="AY31" i="39"/>
  <c r="F30" i="39"/>
  <c r="G30" i="39"/>
  <c r="E30" i="39"/>
  <c r="D30" i="39"/>
  <c r="B56" i="62" s="1"/>
  <c r="C30" i="39"/>
  <c r="B30" i="39"/>
  <c r="AU30" i="39"/>
  <c r="AT30" i="39"/>
  <c r="AS30" i="39"/>
  <c r="AR30" i="39"/>
  <c r="D56" i="62" s="1"/>
  <c r="AQ30" i="39"/>
  <c r="AP30" i="39"/>
  <c r="BC30" i="39"/>
  <c r="BB30" i="39"/>
  <c r="BA30" i="39"/>
  <c r="AZ30" i="39"/>
  <c r="E56" i="62" s="1"/>
  <c r="AX30" i="39"/>
  <c r="AY30" i="39"/>
  <c r="CP23" i="39"/>
  <c r="CQ23" i="39"/>
  <c r="CL23" i="39"/>
  <c r="CM23" i="39"/>
  <c r="CN23" i="39"/>
  <c r="E78" i="140" s="1"/>
  <c r="CO23" i="39"/>
  <c r="CE23" i="39"/>
  <c r="CF23" i="39"/>
  <c r="D78" i="140" s="1"/>
  <c r="CG23" i="39"/>
  <c r="CH23" i="39"/>
  <c r="CI23" i="39"/>
  <c r="CD23" i="39"/>
  <c r="BC29" i="39"/>
  <c r="BB29" i="39"/>
  <c r="BA29" i="39"/>
  <c r="AZ29" i="39"/>
  <c r="E55" i="62" s="1"/>
  <c r="AX29" i="39"/>
  <c r="AY29" i="39"/>
  <c r="AU29" i="39"/>
  <c r="AT29" i="39"/>
  <c r="AS29" i="39"/>
  <c r="AR29" i="39"/>
  <c r="D55" i="62" s="1"/>
  <c r="AP29" i="39"/>
  <c r="AQ29" i="39"/>
  <c r="F29" i="39"/>
  <c r="G29" i="39"/>
  <c r="E29" i="39"/>
  <c r="D29" i="39"/>
  <c r="B55" i="62" s="1"/>
  <c r="B29" i="39"/>
  <c r="C29" i="39"/>
  <c r="EI23" i="39"/>
  <c r="GI23" i="39"/>
  <c r="GE23" i="39"/>
  <c r="GJ23" i="39"/>
  <c r="GG23" i="39"/>
  <c r="E50" i="102" s="1"/>
  <c r="GF23" i="39"/>
  <c r="GH23" i="39"/>
  <c r="EH23" i="39"/>
  <c r="EM23" i="39"/>
  <c r="EL23" i="39"/>
  <c r="EK23" i="39"/>
  <c r="EJ23" i="39"/>
  <c r="H78" i="140" s="1"/>
  <c r="FF23" i="39"/>
  <c r="FG23" i="39"/>
  <c r="FH23" i="39"/>
  <c r="C50" i="102" s="1"/>
  <c r="FI23" i="39"/>
  <c r="FK23" i="39"/>
  <c r="FJ23" i="39"/>
  <c r="FN23" i="39"/>
  <c r="FP23" i="39"/>
  <c r="FQ23" i="39"/>
  <c r="FR23" i="39"/>
  <c r="FS23" i="39"/>
  <c r="FO23" i="39"/>
  <c r="DZ23" i="39"/>
  <c r="EA23" i="39"/>
  <c r="EB23" i="39"/>
  <c r="EC23" i="39"/>
  <c r="ED23" i="39"/>
  <c r="EE23" i="39"/>
  <c r="CL22" i="39"/>
  <c r="CM22" i="39"/>
  <c r="CN22" i="39"/>
  <c r="E77" i="140" s="1"/>
  <c r="CO22" i="39"/>
  <c r="CP22" i="39"/>
  <c r="CQ22" i="39"/>
  <c r="CH22" i="39"/>
  <c r="CI22" i="39"/>
  <c r="CD22" i="39"/>
  <c r="CE22" i="39"/>
  <c r="CF22" i="39"/>
  <c r="D77" i="140" s="1"/>
  <c r="CG22" i="39"/>
  <c r="FV23" i="39"/>
  <c r="FW23" i="39"/>
  <c r="FX23" i="39"/>
  <c r="D50" i="102" s="1"/>
  <c r="FY23" i="39"/>
  <c r="FZ23" i="39"/>
  <c r="GA23" i="39"/>
  <c r="G28" i="39"/>
  <c r="F28" i="39"/>
  <c r="E28" i="39"/>
  <c r="D28" i="39"/>
  <c r="B54" i="62" s="1"/>
  <c r="C28" i="39"/>
  <c r="B28" i="39"/>
  <c r="O23" i="39"/>
  <c r="N23" i="39"/>
  <c r="H51" i="64" s="1"/>
  <c r="M23" i="39"/>
  <c r="L23" i="39"/>
  <c r="K23" i="39"/>
  <c r="J23" i="39"/>
  <c r="AU28" i="39"/>
  <c r="AT28" i="39"/>
  <c r="AS28" i="39"/>
  <c r="AR28" i="39"/>
  <c r="D54" i="62" s="1"/>
  <c r="AP28" i="39"/>
  <c r="AQ28" i="39"/>
  <c r="BC28" i="39"/>
  <c r="BB28" i="39"/>
  <c r="BA28" i="39"/>
  <c r="AZ28" i="39"/>
  <c r="E54" i="62" s="1"/>
  <c r="AY28" i="39"/>
  <c r="AX28" i="39"/>
  <c r="GM23" i="39"/>
  <c r="EM22" i="39"/>
  <c r="GQ23" i="39"/>
  <c r="GO23" i="39"/>
  <c r="GR23" i="39"/>
  <c r="GP23" i="39"/>
  <c r="GN23" i="39"/>
  <c r="GE22" i="39"/>
  <c r="GI22" i="39"/>
  <c r="GF22" i="39"/>
  <c r="GH22" i="39"/>
  <c r="GJ22" i="39"/>
  <c r="GG22" i="39"/>
  <c r="E49" i="102" s="1"/>
  <c r="EL22" i="39"/>
  <c r="EK22" i="39"/>
  <c r="EJ22" i="39"/>
  <c r="H77" i="140" s="1"/>
  <c r="EI22" i="39"/>
  <c r="EH22" i="39"/>
  <c r="FP22" i="39"/>
  <c r="FQ22" i="39"/>
  <c r="FR22" i="39"/>
  <c r="FS22" i="39"/>
  <c r="FO22" i="39"/>
  <c r="FN22" i="39"/>
  <c r="CF21" i="39"/>
  <c r="D76" i="140" s="1"/>
  <c r="CG21" i="39"/>
  <c r="CH21" i="39"/>
  <c r="CI21" i="39"/>
  <c r="CE21" i="39"/>
  <c r="CD21" i="39"/>
  <c r="FG22" i="39"/>
  <c r="FH22" i="39"/>
  <c r="C49" i="102" s="1"/>
  <c r="FI22" i="39"/>
  <c r="FJ22" i="39"/>
  <c r="FK22" i="39"/>
  <c r="FF22" i="39"/>
  <c r="FW22" i="39"/>
  <c r="FV22" i="39"/>
  <c r="FX22" i="39"/>
  <c r="D49" i="102" s="1"/>
  <c r="FY22" i="39"/>
  <c r="FZ22" i="39"/>
  <c r="GA22" i="39"/>
  <c r="CP21" i="39"/>
  <c r="CQ21" i="39"/>
  <c r="CL21" i="39"/>
  <c r="CM21" i="39"/>
  <c r="CN21" i="39"/>
  <c r="E76" i="140" s="1"/>
  <c r="CO21" i="39"/>
  <c r="EA22" i="39"/>
  <c r="EB22" i="39"/>
  <c r="EC22" i="39"/>
  <c r="ED22" i="39"/>
  <c r="EE22" i="39"/>
  <c r="DZ22" i="39"/>
  <c r="O22" i="39"/>
  <c r="N22" i="39"/>
  <c r="H50" i="64" s="1"/>
  <c r="M22" i="39"/>
  <c r="L22" i="39"/>
  <c r="J22" i="39"/>
  <c r="K22" i="39"/>
  <c r="AU27" i="39"/>
  <c r="AT27" i="39"/>
  <c r="AS27" i="39"/>
  <c r="AR27" i="39"/>
  <c r="D53" i="62" s="1"/>
  <c r="AP27" i="39"/>
  <c r="AQ27" i="39"/>
  <c r="BC27" i="39"/>
  <c r="BB27" i="39"/>
  <c r="BA27" i="39"/>
  <c r="AZ27" i="39"/>
  <c r="E53" i="62" s="1"/>
  <c r="AY27" i="39"/>
  <c r="AX27" i="39"/>
  <c r="G27" i="39"/>
  <c r="F27" i="39"/>
  <c r="E27" i="39"/>
  <c r="D27" i="39"/>
  <c r="B53" i="62" s="1"/>
  <c r="C27" i="39"/>
  <c r="B27" i="39"/>
  <c r="T22" i="39"/>
  <c r="E21" i="122" s="1"/>
  <c r="U22" i="39"/>
  <c r="R22" i="39"/>
  <c r="S22" i="39"/>
  <c r="W22" i="39"/>
  <c r="V22" i="39"/>
  <c r="I50" i="64" s="1"/>
  <c r="R23" i="39"/>
  <c r="S23" i="39"/>
  <c r="T23" i="39"/>
  <c r="E22" i="122" s="1"/>
  <c r="U23" i="39"/>
  <c r="V23" i="39"/>
  <c r="I51" i="64" s="1"/>
  <c r="W23" i="39"/>
  <c r="GQ21" i="39"/>
  <c r="GG21" i="39"/>
  <c r="E48" i="102" s="1"/>
  <c r="GI21" i="39"/>
  <c r="GJ21" i="39"/>
  <c r="GH21" i="39"/>
  <c r="GE21" i="39"/>
  <c r="GF21" i="39"/>
  <c r="GR22" i="39"/>
  <c r="GQ22" i="39"/>
  <c r="GO22" i="39"/>
  <c r="GN22" i="39"/>
  <c r="GP22" i="39"/>
  <c r="GM22" i="39"/>
  <c r="EJ21" i="39"/>
  <c r="H76" i="140" s="1"/>
  <c r="EI21" i="39"/>
  <c r="EH21" i="39"/>
  <c r="EL21" i="39"/>
  <c r="EM21" i="39"/>
  <c r="EK21" i="39"/>
  <c r="EA21" i="39"/>
  <c r="DZ21" i="39"/>
  <c r="EB21" i="39"/>
  <c r="EC21" i="39"/>
  <c r="ED21" i="39"/>
  <c r="EE21" i="39"/>
  <c r="CD20" i="39"/>
  <c r="CE20" i="39"/>
  <c r="CF20" i="39"/>
  <c r="D75" i="140" s="1"/>
  <c r="CG20" i="39"/>
  <c r="CH20" i="39"/>
  <c r="CI20" i="39"/>
  <c r="FY21" i="39"/>
  <c r="FZ21" i="39"/>
  <c r="GA21" i="39"/>
  <c r="FV21" i="39"/>
  <c r="FW21" i="39"/>
  <c r="FX21" i="39"/>
  <c r="D48" i="102" s="1"/>
  <c r="FI21" i="39"/>
  <c r="FJ21" i="39"/>
  <c r="FK21" i="39"/>
  <c r="FF21" i="39"/>
  <c r="FG21" i="39"/>
  <c r="FH21" i="39"/>
  <c r="C48" i="102" s="1"/>
  <c r="FN21" i="39"/>
  <c r="FO21" i="39"/>
  <c r="FP21" i="39"/>
  <c r="FQ21" i="39"/>
  <c r="FR21" i="39"/>
  <c r="FS21" i="39"/>
  <c r="CP20" i="39"/>
  <c r="CQ20" i="39"/>
  <c r="CM20" i="39"/>
  <c r="CL20" i="39"/>
  <c r="CN20" i="39"/>
  <c r="E75" i="140" s="1"/>
  <c r="CO20" i="39"/>
  <c r="O21" i="39"/>
  <c r="N21" i="39"/>
  <c r="H49" i="64" s="1"/>
  <c r="M21" i="39"/>
  <c r="L21" i="39"/>
  <c r="K21" i="39"/>
  <c r="J21" i="39"/>
  <c r="AU26" i="39"/>
  <c r="AT26" i="39"/>
  <c r="AS26" i="39"/>
  <c r="AR26" i="39"/>
  <c r="D52" i="62" s="1"/>
  <c r="AP26" i="39"/>
  <c r="AQ26" i="39"/>
  <c r="BC26" i="39"/>
  <c r="BB26" i="39"/>
  <c r="BA26" i="39"/>
  <c r="AZ26" i="39"/>
  <c r="E52" i="62" s="1"/>
  <c r="AX26" i="39"/>
  <c r="AY26" i="39"/>
  <c r="G26" i="39"/>
  <c r="F26" i="39"/>
  <c r="E26" i="39"/>
  <c r="D26" i="39"/>
  <c r="B52" i="62" s="1"/>
  <c r="B26" i="39"/>
  <c r="C26" i="39"/>
  <c r="GN21" i="39"/>
  <c r="GO21" i="39"/>
  <c r="GP21" i="39"/>
  <c r="GM21" i="39"/>
  <c r="EI20" i="39"/>
  <c r="GR21" i="39"/>
  <c r="GF20" i="39"/>
  <c r="GJ20" i="39"/>
  <c r="GI20" i="39"/>
  <c r="GH20" i="39"/>
  <c r="GG20" i="39"/>
  <c r="E47" i="102" s="1"/>
  <c r="GE20" i="39"/>
  <c r="EH20" i="39"/>
  <c r="EM20" i="39"/>
  <c r="EL20" i="39"/>
  <c r="EK20" i="39"/>
  <c r="EJ20" i="39"/>
  <c r="H75" i="140" s="1"/>
  <c r="FO20" i="39"/>
  <c r="FN20" i="39"/>
  <c r="FP20" i="39"/>
  <c r="FQ20" i="39"/>
  <c r="FR20" i="39"/>
  <c r="FS20" i="39"/>
  <c r="EE20" i="39"/>
  <c r="DZ20" i="39"/>
  <c r="EA20" i="39"/>
  <c r="EB20" i="39"/>
  <c r="EC20" i="39"/>
  <c r="ED20" i="39"/>
  <c r="FV20" i="39"/>
  <c r="FW20" i="39"/>
  <c r="FX20" i="39"/>
  <c r="D47" i="102" s="1"/>
  <c r="FY20" i="39"/>
  <c r="FZ20" i="39"/>
  <c r="GA20" i="39"/>
  <c r="FJ20" i="39"/>
  <c r="FK20" i="39"/>
  <c r="FG20" i="39"/>
  <c r="FF20" i="39"/>
  <c r="FH20" i="39"/>
  <c r="C47" i="102" s="1"/>
  <c r="FI20" i="39"/>
  <c r="CM19" i="39"/>
  <c r="CL19" i="39"/>
  <c r="CN19" i="39"/>
  <c r="E74" i="140" s="1"/>
  <c r="CO19" i="39"/>
  <c r="CP19" i="39"/>
  <c r="CQ19" i="39"/>
  <c r="CH19" i="39"/>
  <c r="CI19" i="39"/>
  <c r="CD19" i="39"/>
  <c r="CE19" i="39"/>
  <c r="CF19" i="39"/>
  <c r="D74" i="140" s="1"/>
  <c r="CG19" i="39"/>
  <c r="O20" i="39"/>
  <c r="N20" i="39"/>
  <c r="H48" i="64" s="1"/>
  <c r="M20" i="39"/>
  <c r="L20" i="39"/>
  <c r="K20" i="39"/>
  <c r="J20" i="39"/>
  <c r="GO20" i="39"/>
  <c r="U21" i="39"/>
  <c r="V21" i="39"/>
  <c r="I49" i="64" s="1"/>
  <c r="W21" i="39"/>
  <c r="R21" i="39"/>
  <c r="S21" i="39"/>
  <c r="T21" i="39"/>
  <c r="E20" i="122" s="1"/>
  <c r="GN20" i="39"/>
  <c r="GM20" i="39"/>
  <c r="GR20" i="39"/>
  <c r="GP20" i="39"/>
  <c r="GQ20" i="39"/>
  <c r="GF19" i="39"/>
  <c r="GG19" i="39"/>
  <c r="E46" i="102" s="1"/>
  <c r="GJ19" i="39"/>
  <c r="GH19" i="39"/>
  <c r="GI19" i="39"/>
  <c r="GE19" i="39"/>
  <c r="V19" i="39"/>
  <c r="I47" i="64" s="1"/>
  <c r="EM19" i="39"/>
  <c r="EH19" i="39"/>
  <c r="EL19" i="39"/>
  <c r="EK19" i="39"/>
  <c r="EJ19" i="39"/>
  <c r="H74" i="140" s="1"/>
  <c r="EI19" i="39"/>
  <c r="FS19" i="39"/>
  <c r="FN19" i="39"/>
  <c r="FO19" i="39"/>
  <c r="FP19" i="39"/>
  <c r="FQ19" i="39"/>
  <c r="FR19" i="39"/>
  <c r="CN18" i="39"/>
  <c r="E73" i="140" s="1"/>
  <c r="CO18" i="39"/>
  <c r="CP18" i="39"/>
  <c r="CQ18" i="39"/>
  <c r="CL18" i="39"/>
  <c r="CM18" i="39"/>
  <c r="FF19" i="39"/>
  <c r="FG19" i="39"/>
  <c r="FH19" i="39"/>
  <c r="C46" i="102" s="1"/>
  <c r="FI19" i="39"/>
  <c r="FJ19" i="39"/>
  <c r="FK19" i="39"/>
  <c r="FY19" i="39"/>
  <c r="FZ19" i="39"/>
  <c r="GA19" i="39"/>
  <c r="FW19" i="39"/>
  <c r="FV19" i="39"/>
  <c r="FX19" i="39"/>
  <c r="D46" i="102" s="1"/>
  <c r="CG18" i="39"/>
  <c r="CH18" i="39"/>
  <c r="CI18" i="39"/>
  <c r="CD18" i="39"/>
  <c r="CE18" i="39"/>
  <c r="CF18" i="39"/>
  <c r="D73" i="140" s="1"/>
  <c r="ED19" i="39"/>
  <c r="EE19" i="39"/>
  <c r="EA19" i="39"/>
  <c r="DZ19" i="39"/>
  <c r="EB19" i="39"/>
  <c r="EC19" i="39"/>
  <c r="U19" i="39"/>
  <c r="T19" i="39"/>
  <c r="E18" i="122" s="1"/>
  <c r="R19" i="39"/>
  <c r="N19" i="39"/>
  <c r="H47" i="64" s="1"/>
  <c r="O19" i="39"/>
  <c r="M19" i="39"/>
  <c r="L19" i="39"/>
  <c r="K19" i="39"/>
  <c r="J19" i="39"/>
  <c r="W19" i="39"/>
  <c r="S19" i="39"/>
  <c r="R20" i="39"/>
  <c r="T20" i="39"/>
  <c r="E19" i="122" s="1"/>
  <c r="U20" i="39"/>
  <c r="V20" i="39"/>
  <c r="I48" i="64" s="1"/>
  <c r="W20" i="39"/>
  <c r="S20" i="39"/>
  <c r="GF18" i="39"/>
  <c r="GE18" i="39"/>
  <c r="GH18" i="39"/>
  <c r="GG18" i="39"/>
  <c r="E45" i="102" s="1"/>
  <c r="GJ18" i="39"/>
  <c r="GI18" i="39"/>
  <c r="GR19" i="39"/>
  <c r="GM19" i="39"/>
  <c r="GP19" i="39"/>
  <c r="GN19" i="39"/>
  <c r="GQ19" i="39"/>
  <c r="GO19" i="39"/>
  <c r="EL18" i="39"/>
  <c r="EK18" i="39"/>
  <c r="EJ18" i="39"/>
  <c r="H73" i="140" s="1"/>
  <c r="EI18" i="39"/>
  <c r="EH18" i="39"/>
  <c r="EM18" i="39"/>
  <c r="EE18" i="39"/>
  <c r="DZ18" i="39"/>
  <c r="EA18" i="39"/>
  <c r="EB18" i="39"/>
  <c r="EC18" i="39"/>
  <c r="ED18" i="39"/>
  <c r="CP17" i="39"/>
  <c r="CQ17" i="39"/>
  <c r="CM17" i="39"/>
  <c r="CL17" i="39"/>
  <c r="CO17" i="39"/>
  <c r="CN17" i="39"/>
  <c r="E72" i="140" s="1"/>
  <c r="FO18" i="39"/>
  <c r="FN18" i="39"/>
  <c r="FP18" i="39"/>
  <c r="FQ18" i="39"/>
  <c r="FR18" i="39"/>
  <c r="FS18" i="39"/>
  <c r="FF18" i="39"/>
  <c r="FG18" i="39"/>
  <c r="FH18" i="39"/>
  <c r="C45" i="102" s="1"/>
  <c r="FI18" i="39"/>
  <c r="FJ18" i="39"/>
  <c r="FK18" i="39"/>
  <c r="FX18" i="39"/>
  <c r="D45" i="102" s="1"/>
  <c r="FY18" i="39"/>
  <c r="FZ18" i="39"/>
  <c r="GA18" i="39"/>
  <c r="FV18" i="39"/>
  <c r="FW18" i="39"/>
  <c r="CD17" i="39"/>
  <c r="CE17" i="39"/>
  <c r="CF17" i="39"/>
  <c r="D72" i="140" s="1"/>
  <c r="CG17" i="39"/>
  <c r="CH17" i="39"/>
  <c r="CI17" i="39"/>
  <c r="O18" i="39"/>
  <c r="N18" i="39"/>
  <c r="H46" i="64" s="1"/>
  <c r="M18" i="39"/>
  <c r="L18" i="39"/>
  <c r="K18" i="39"/>
  <c r="J18" i="39"/>
  <c r="GN18" i="39"/>
  <c r="EH17" i="39"/>
  <c r="GO18" i="39"/>
  <c r="GQ18" i="39"/>
  <c r="GP18" i="39"/>
  <c r="GR18" i="39"/>
  <c r="GM18" i="39"/>
  <c r="GE17" i="39"/>
  <c r="GJ17" i="39"/>
  <c r="GF17" i="39"/>
  <c r="GH17" i="39"/>
  <c r="GI17" i="39"/>
  <c r="GG17" i="39"/>
  <c r="E44" i="102" s="1"/>
  <c r="W17" i="39"/>
  <c r="EM17" i="39"/>
  <c r="EK17" i="39"/>
  <c r="EJ17" i="39"/>
  <c r="H72" i="140" s="1"/>
  <c r="EL17" i="39"/>
  <c r="EI17" i="39"/>
  <c r="CN16" i="39"/>
  <c r="E71" i="140" s="1"/>
  <c r="CO16" i="39"/>
  <c r="CP16" i="39"/>
  <c r="CQ16" i="39"/>
  <c r="CM16" i="39"/>
  <c r="CL16" i="39"/>
  <c r="FQ17" i="39"/>
  <c r="FR17" i="39"/>
  <c r="FS17" i="39"/>
  <c r="FN17" i="39"/>
  <c r="FO17" i="39"/>
  <c r="FP17" i="39"/>
  <c r="FJ17" i="39"/>
  <c r="FK17" i="39"/>
  <c r="FF17" i="39"/>
  <c r="FG17" i="39"/>
  <c r="FH17" i="39"/>
  <c r="C44" i="102" s="1"/>
  <c r="FI17" i="39"/>
  <c r="CD16" i="39"/>
  <c r="CF16" i="39"/>
  <c r="D71" i="140" s="1"/>
  <c r="CG16" i="39"/>
  <c r="CH16" i="39"/>
  <c r="CI16" i="39"/>
  <c r="CE16" i="39"/>
  <c r="FY17" i="39"/>
  <c r="FZ17" i="39"/>
  <c r="GA17" i="39"/>
  <c r="FV17" i="39"/>
  <c r="FW17" i="39"/>
  <c r="FX17" i="39"/>
  <c r="D44" i="102" s="1"/>
  <c r="ED17" i="39"/>
  <c r="EE17" i="39"/>
  <c r="DZ17" i="39"/>
  <c r="EA17" i="39"/>
  <c r="EB17" i="39"/>
  <c r="EC17" i="39"/>
  <c r="N17" i="39"/>
  <c r="H45" i="64" s="1"/>
  <c r="O17" i="39"/>
  <c r="M17" i="39"/>
  <c r="L17" i="39"/>
  <c r="K17" i="39"/>
  <c r="J17" i="39"/>
  <c r="V17" i="39"/>
  <c r="I45" i="64" s="1"/>
  <c r="U17" i="39"/>
  <c r="T17" i="39"/>
  <c r="E16" i="122" s="1"/>
  <c r="S17" i="39"/>
  <c r="R17" i="39"/>
  <c r="T18" i="39"/>
  <c r="E17" i="122" s="1"/>
  <c r="U18" i="39"/>
  <c r="V18" i="39"/>
  <c r="I46" i="64" s="1"/>
  <c r="W18" i="39"/>
  <c r="R18" i="39"/>
  <c r="S18" i="39"/>
  <c r="GI16" i="39"/>
  <c r="GF16" i="39"/>
  <c r="GE16" i="39"/>
  <c r="GJ16" i="39"/>
  <c r="GG16" i="39"/>
  <c r="E43" i="102" s="1"/>
  <c r="GH16" i="39"/>
  <c r="GR17" i="39"/>
  <c r="GN17" i="39"/>
  <c r="GM17" i="39"/>
  <c r="GQ17" i="39"/>
  <c r="GP17" i="39"/>
  <c r="GO17" i="39"/>
  <c r="W16" i="39"/>
  <c r="EH16" i="39"/>
  <c r="EJ16" i="39"/>
  <c r="H71" i="140" s="1"/>
  <c r="EM16" i="39"/>
  <c r="EL16" i="39"/>
  <c r="EK16" i="39"/>
  <c r="EI16" i="39"/>
  <c r="FY16" i="39"/>
  <c r="FZ16" i="39"/>
  <c r="GA16" i="39"/>
  <c r="FV16" i="39"/>
  <c r="FW16" i="39"/>
  <c r="FX16" i="39"/>
  <c r="D43" i="102" s="1"/>
  <c r="CH15" i="39"/>
  <c r="CI15" i="39"/>
  <c r="CD15" i="39"/>
  <c r="CE15" i="39"/>
  <c r="CF15" i="39"/>
  <c r="D70" i="140" s="1"/>
  <c r="CG15" i="39"/>
  <c r="EC16" i="39"/>
  <c r="ED16" i="39"/>
  <c r="EE16" i="39"/>
  <c r="DZ16" i="39"/>
  <c r="EA16" i="39"/>
  <c r="EB16" i="39"/>
  <c r="FK16" i="39"/>
  <c r="FF16" i="39"/>
  <c r="FG16" i="39"/>
  <c r="FH16" i="39"/>
  <c r="C43" i="102" s="1"/>
  <c r="FI16" i="39"/>
  <c r="FJ16" i="39"/>
  <c r="CL15" i="39"/>
  <c r="CN15" i="39"/>
  <c r="E70" i="140" s="1"/>
  <c r="CO15" i="39"/>
  <c r="CP15" i="39"/>
  <c r="CQ15" i="39"/>
  <c r="CM15" i="39"/>
  <c r="FN16" i="39"/>
  <c r="FO16" i="39"/>
  <c r="FP16" i="39"/>
  <c r="FQ16" i="39"/>
  <c r="FR16" i="39"/>
  <c r="FS16" i="39"/>
  <c r="O16" i="39"/>
  <c r="N16" i="39"/>
  <c r="H44" i="64" s="1"/>
  <c r="M16" i="39"/>
  <c r="L16" i="39"/>
  <c r="K16" i="39"/>
  <c r="J16" i="39"/>
  <c r="T16" i="39"/>
  <c r="E15" i="122" s="1"/>
  <c r="V16" i="39"/>
  <c r="I44" i="64" s="1"/>
  <c r="U16" i="39"/>
  <c r="R16" i="39"/>
  <c r="S16" i="39"/>
  <c r="GF15" i="39"/>
  <c r="GG15" i="39"/>
  <c r="E42" i="102" s="1"/>
  <c r="GI15" i="39"/>
  <c r="GH15" i="39"/>
  <c r="GE15" i="39"/>
  <c r="GJ15" i="39"/>
  <c r="GO16" i="39"/>
  <c r="GR16" i="39"/>
  <c r="GM16" i="39"/>
  <c r="GP16" i="39"/>
  <c r="GN16" i="39"/>
  <c r="GQ16" i="39"/>
  <c r="EM15" i="39"/>
  <c r="EL15" i="39"/>
  <c r="EK15" i="39"/>
  <c r="EJ15" i="39"/>
  <c r="H70" i="140" s="1"/>
  <c r="EI15" i="39"/>
  <c r="EH15" i="39"/>
  <c r="CN14" i="39"/>
  <c r="E69" i="140" s="1"/>
  <c r="CO14" i="39"/>
  <c r="CP14" i="39"/>
  <c r="CQ14" i="39"/>
  <c r="CM14" i="39"/>
  <c r="CL14" i="39"/>
  <c r="FN15" i="39"/>
  <c r="FO15" i="39"/>
  <c r="FP15" i="39"/>
  <c r="FQ15" i="39"/>
  <c r="FR15" i="39"/>
  <c r="FS15" i="39"/>
  <c r="EB15" i="39"/>
  <c r="EC15" i="39"/>
  <c r="ED15" i="39"/>
  <c r="EE15" i="39"/>
  <c r="EA15" i="39"/>
  <c r="DZ15" i="39"/>
  <c r="FW15" i="39"/>
  <c r="FV15" i="39"/>
  <c r="FX15" i="39"/>
  <c r="D42" i="102" s="1"/>
  <c r="FY15" i="39"/>
  <c r="FZ15" i="39"/>
  <c r="GA15" i="39"/>
  <c r="FJ15" i="39"/>
  <c r="FK15" i="39"/>
  <c r="FG15" i="39"/>
  <c r="FF15" i="39"/>
  <c r="FH15" i="39"/>
  <c r="C42" i="102" s="1"/>
  <c r="FI15" i="39"/>
  <c r="CG14" i="39"/>
  <c r="CH14" i="39"/>
  <c r="CI14" i="39"/>
  <c r="CE14" i="39"/>
  <c r="CD14" i="39"/>
  <c r="CF14" i="39"/>
  <c r="D69" i="140" s="1"/>
  <c r="O15" i="39"/>
  <c r="N15" i="39"/>
  <c r="H43" i="64" s="1"/>
  <c r="M15" i="39"/>
  <c r="L15" i="39"/>
  <c r="K15" i="39"/>
  <c r="J15" i="39"/>
  <c r="V15" i="39"/>
  <c r="I43" i="64" s="1"/>
  <c r="T15" i="39"/>
  <c r="E14" i="122" s="1"/>
  <c r="R15" i="39"/>
  <c r="U15" i="39"/>
  <c r="S15" i="39"/>
  <c r="W15" i="39"/>
  <c r="EM14" i="39"/>
  <c r="GG14" i="39"/>
  <c r="E41" i="102" s="1"/>
  <c r="GI14" i="39"/>
  <c r="GE14" i="39"/>
  <c r="GH14" i="39"/>
  <c r="GJ14" i="39"/>
  <c r="GF14" i="39"/>
  <c r="GP15" i="39"/>
  <c r="GM15" i="39"/>
  <c r="GN15" i="39"/>
  <c r="GQ15" i="39"/>
  <c r="GR15" i="39"/>
  <c r="GO15" i="39"/>
  <c r="EL14" i="39"/>
  <c r="EK14" i="39"/>
  <c r="EJ14" i="39"/>
  <c r="H69" i="140" s="1"/>
  <c r="EI14" i="39"/>
  <c r="EH14" i="39"/>
  <c r="FI14" i="39"/>
  <c r="FJ14" i="39"/>
  <c r="FK14" i="39"/>
  <c r="FF14" i="39"/>
  <c r="FG14" i="39"/>
  <c r="FH14" i="39"/>
  <c r="C41" i="102" s="1"/>
  <c r="CP13" i="39"/>
  <c r="CQ13" i="39"/>
  <c r="CM13" i="39"/>
  <c r="CL13" i="39"/>
  <c r="CN13" i="39"/>
  <c r="E68" i="140" s="1"/>
  <c r="CO13" i="39"/>
  <c r="EC14" i="39"/>
  <c r="ED14" i="39"/>
  <c r="EE14" i="39"/>
  <c r="EA14" i="39"/>
  <c r="DZ14" i="39"/>
  <c r="EB14" i="39"/>
  <c r="FR14" i="39"/>
  <c r="FS14" i="39"/>
  <c r="FN14" i="39"/>
  <c r="FO14" i="39"/>
  <c r="FP14" i="39"/>
  <c r="FQ14" i="39"/>
  <c r="FY14" i="39"/>
  <c r="FZ14" i="39"/>
  <c r="GA14" i="39"/>
  <c r="FV14" i="39"/>
  <c r="FW14" i="39"/>
  <c r="FX14" i="39"/>
  <c r="D41" i="102" s="1"/>
  <c r="CE13" i="39"/>
  <c r="CD13" i="39"/>
  <c r="CF13" i="39"/>
  <c r="D68" i="140" s="1"/>
  <c r="CG13" i="39"/>
  <c r="CH13" i="39"/>
  <c r="CI13" i="39"/>
  <c r="O14" i="39"/>
  <c r="N14" i="39"/>
  <c r="H42" i="64" s="1"/>
  <c r="M14" i="39"/>
  <c r="L14" i="39"/>
  <c r="K14" i="39"/>
  <c r="J14" i="39"/>
  <c r="R14" i="39"/>
  <c r="S14" i="39"/>
  <c r="W14" i="39"/>
  <c r="T14" i="39"/>
  <c r="E13" i="122" s="1"/>
  <c r="V14" i="39"/>
  <c r="I42" i="64" s="1"/>
  <c r="U14" i="39"/>
  <c r="GM13" i="39"/>
  <c r="GQ13" i="39"/>
  <c r="GO13" i="39"/>
  <c r="GP13" i="39"/>
  <c r="GN13" i="39"/>
  <c r="GR13" i="39"/>
  <c r="GO14" i="39"/>
  <c r="GN14" i="39"/>
  <c r="GM14" i="39"/>
  <c r="GP14" i="39"/>
  <c r="GR14" i="39"/>
  <c r="GQ14" i="39"/>
  <c r="GE13" i="39"/>
  <c r="GF13" i="39"/>
  <c r="GH13" i="39"/>
  <c r="GG13" i="39"/>
  <c r="E40" i="102" s="1"/>
  <c r="GJ13" i="39"/>
  <c r="GI13" i="39"/>
  <c r="EJ13" i="39"/>
  <c r="H68" i="140" s="1"/>
  <c r="EL13" i="39"/>
  <c r="EI13" i="39"/>
  <c r="EH13" i="39"/>
  <c r="EM13" i="39"/>
  <c r="EK13" i="39"/>
  <c r="FP13" i="39"/>
  <c r="FQ13" i="39"/>
  <c r="FR13" i="39"/>
  <c r="FS13" i="39"/>
  <c r="FO13" i="39"/>
  <c r="FN13" i="39"/>
  <c r="DZ13" i="39"/>
  <c r="EA13" i="39"/>
  <c r="EB13" i="39"/>
  <c r="EC13" i="39"/>
  <c r="ED13" i="39"/>
  <c r="EE13" i="39"/>
  <c r="FI13" i="39"/>
  <c r="FJ13" i="39"/>
  <c r="FK13" i="39"/>
  <c r="FF13" i="39"/>
  <c r="FG13" i="39"/>
  <c r="FH13" i="39"/>
  <c r="C40" i="102" s="1"/>
  <c r="GA13" i="39"/>
  <c r="FV13" i="39"/>
  <c r="FW13" i="39"/>
  <c r="FX13" i="39"/>
  <c r="D40" i="102" s="1"/>
  <c r="FY13" i="39"/>
  <c r="FZ13" i="39"/>
  <c r="W13" i="39"/>
  <c r="V13" i="39"/>
  <c r="I41" i="64" s="1"/>
  <c r="U13" i="39"/>
  <c r="T13" i="39"/>
  <c r="E12" i="122" s="1"/>
  <c r="R13" i="39"/>
  <c r="S13" i="39"/>
  <c r="O13" i="39"/>
  <c r="N13" i="39"/>
  <c r="H41" i="64" s="1"/>
  <c r="M13" i="39"/>
  <c r="L13" i="39"/>
  <c r="K13" i="39"/>
  <c r="J13" i="39"/>
  <c r="EL10" i="39"/>
  <c r="EK10" i="39"/>
  <c r="EJ10" i="39"/>
  <c r="H65" i="140" s="1"/>
  <c r="EI10" i="39"/>
  <c r="EH10" i="39"/>
  <c r="EM10" i="39"/>
  <c r="CD10" i="39"/>
  <c r="CE10" i="39"/>
  <c r="CF10" i="39"/>
  <c r="D65" i="140" s="1"/>
  <c r="CG10" i="39"/>
  <c r="CH10" i="39"/>
  <c r="CI10" i="39"/>
  <c r="CM10" i="39"/>
  <c r="CL10" i="39"/>
  <c r="CN10" i="39"/>
  <c r="E65" i="140" s="1"/>
  <c r="CO10" i="39"/>
  <c r="CP10" i="39"/>
  <c r="CQ10" i="39"/>
  <c r="GI10" i="39"/>
  <c r="GF10" i="39"/>
  <c r="GJ10" i="39"/>
  <c r="GG10" i="39"/>
  <c r="E37" i="102" s="1"/>
  <c r="GE10" i="39"/>
  <c r="GH10" i="39"/>
  <c r="U10" i="39"/>
  <c r="FV10" i="39"/>
  <c r="FW10" i="39"/>
  <c r="FX10" i="39"/>
  <c r="D37" i="102" s="1"/>
  <c r="FY10" i="39"/>
  <c r="FZ10" i="39"/>
  <c r="GA10" i="39"/>
  <c r="DZ10" i="39"/>
  <c r="EB10" i="39"/>
  <c r="EC10" i="39"/>
  <c r="ED10" i="39"/>
  <c r="EE10" i="39"/>
  <c r="EA10" i="39"/>
  <c r="FN10" i="39"/>
  <c r="FO10" i="39"/>
  <c r="FP10" i="39"/>
  <c r="FQ10" i="39"/>
  <c r="FR10" i="39"/>
  <c r="FS10" i="39"/>
  <c r="FI10" i="39"/>
  <c r="FJ10" i="39"/>
  <c r="FK10" i="39"/>
  <c r="FF10" i="39"/>
  <c r="FG10" i="39"/>
  <c r="FH10" i="39"/>
  <c r="C37" i="102" s="1"/>
  <c r="O10" i="39"/>
  <c r="N10" i="39"/>
  <c r="H38" i="64" s="1"/>
  <c r="M10" i="39"/>
  <c r="L10" i="39"/>
  <c r="K10" i="39"/>
  <c r="J10" i="39"/>
  <c r="V10" i="39"/>
  <c r="I38" i="64" s="1"/>
  <c r="T10" i="39"/>
  <c r="E9" i="122" s="1"/>
  <c r="S10" i="39"/>
  <c r="R10" i="39"/>
  <c r="W10" i="39"/>
  <c r="GO10" i="39"/>
  <c r="GN10" i="39"/>
  <c r="GM10" i="39"/>
  <c r="GP10" i="39"/>
  <c r="GQ10" i="39"/>
  <c r="GR10" i="39"/>
  <c r="CM8" i="39"/>
  <c r="CL8" i="39"/>
  <c r="CN8" i="39"/>
  <c r="E63" i="140" s="1"/>
  <c r="CO8" i="39"/>
  <c r="CP8" i="39"/>
  <c r="CQ8" i="39"/>
  <c r="CF8" i="39"/>
  <c r="D63" i="140" s="1"/>
  <c r="CG8" i="39"/>
  <c r="CH8" i="39"/>
  <c r="CI8" i="39"/>
  <c r="CE8" i="39"/>
  <c r="CD8" i="39"/>
  <c r="GH8" i="39"/>
  <c r="GE8" i="39"/>
  <c r="GJ8" i="39"/>
  <c r="GI8" i="39"/>
  <c r="GG8" i="39"/>
  <c r="E35" i="102" s="1"/>
  <c r="GF8" i="39"/>
  <c r="EH8" i="39"/>
  <c r="EM8" i="39"/>
  <c r="EL8" i="39"/>
  <c r="EJ8" i="39"/>
  <c r="H63" i="140" s="1"/>
  <c r="EK8" i="39"/>
  <c r="EI8" i="39"/>
  <c r="FG8" i="39"/>
  <c r="FH8" i="39"/>
  <c r="C35" i="102" s="1"/>
  <c r="FI8" i="39"/>
  <c r="FJ8" i="39"/>
  <c r="FK8" i="39"/>
  <c r="FF8" i="39"/>
  <c r="CM9" i="39"/>
  <c r="CN9" i="39"/>
  <c r="E64" i="140" s="1"/>
  <c r="CO9" i="39"/>
  <c r="CP9" i="39"/>
  <c r="CQ9" i="39"/>
  <c r="CL9" i="39"/>
  <c r="FV8" i="39"/>
  <c r="FX8" i="39"/>
  <c r="D35" i="102" s="1"/>
  <c r="FY8" i="39"/>
  <c r="FZ8" i="39"/>
  <c r="GA8" i="39"/>
  <c r="FW8" i="39"/>
  <c r="CI9" i="39"/>
  <c r="CD9" i="39"/>
  <c r="CE9" i="39"/>
  <c r="CF9" i="39"/>
  <c r="D64" i="140" s="1"/>
  <c r="CG9" i="39"/>
  <c r="CH9" i="39"/>
  <c r="DZ8" i="39"/>
  <c r="EA8" i="39"/>
  <c r="EB8" i="39"/>
  <c r="EC8" i="39"/>
  <c r="ED8" i="39"/>
  <c r="EE8" i="39"/>
  <c r="FO8" i="39"/>
  <c r="FN8" i="39"/>
  <c r="FP8" i="39"/>
  <c r="FQ8" i="39"/>
  <c r="FR8" i="39"/>
  <c r="FS8" i="39"/>
  <c r="V8" i="39"/>
  <c r="I36" i="64" s="1"/>
  <c r="U8" i="39"/>
  <c r="R8" i="39"/>
  <c r="S8" i="39"/>
  <c r="O8" i="39"/>
  <c r="M8" i="39"/>
  <c r="L8" i="39"/>
  <c r="N8" i="39"/>
  <c r="H36" i="64" s="1"/>
  <c r="J8" i="39"/>
  <c r="K8" i="39"/>
  <c r="S9" i="39"/>
  <c r="W8" i="39"/>
  <c r="T8" i="39"/>
  <c r="EL9" i="39"/>
  <c r="EK9" i="39"/>
  <c r="EJ9" i="39"/>
  <c r="H64" i="140" s="1"/>
  <c r="EI9" i="39"/>
  <c r="EH9" i="39"/>
  <c r="EM9" i="39"/>
  <c r="GG9" i="39"/>
  <c r="E36" i="102" s="1"/>
  <c r="GH9" i="39"/>
  <c r="GJ9" i="39"/>
  <c r="GI9" i="39"/>
  <c r="GF9" i="39"/>
  <c r="GE9" i="39"/>
  <c r="GP8" i="39"/>
  <c r="GQ8" i="39"/>
  <c r="GM8" i="39"/>
  <c r="GR8" i="39"/>
  <c r="GN8" i="39"/>
  <c r="GO8" i="39"/>
  <c r="FF9" i="39"/>
  <c r="FH9" i="39"/>
  <c r="C36" i="102" s="1"/>
  <c r="FG9" i="39"/>
  <c r="FK9" i="39"/>
  <c r="FI9" i="39"/>
  <c r="FJ9" i="39"/>
  <c r="FR9" i="39"/>
  <c r="FS9" i="39"/>
  <c r="FN9" i="39"/>
  <c r="FO9" i="39"/>
  <c r="FP9" i="39"/>
  <c r="FQ9" i="39"/>
  <c r="EA9" i="39"/>
  <c r="DZ9" i="39"/>
  <c r="EB9" i="39"/>
  <c r="EC9" i="39"/>
  <c r="ED9" i="39"/>
  <c r="EE9" i="39"/>
  <c r="FY9" i="39"/>
  <c r="FZ9" i="39"/>
  <c r="GA9" i="39"/>
  <c r="FW9" i="39"/>
  <c r="FV9" i="39"/>
  <c r="FX9" i="39"/>
  <c r="D36" i="102" s="1"/>
  <c r="O9" i="39"/>
  <c r="N9" i="39"/>
  <c r="H37" i="64" s="1"/>
  <c r="M9" i="39"/>
  <c r="L9" i="39"/>
  <c r="J9" i="39"/>
  <c r="C37" i="64" s="1"/>
  <c r="K9" i="39"/>
  <c r="W9" i="39"/>
  <c r="V9" i="39"/>
  <c r="I37" i="64" s="1"/>
  <c r="U9" i="39"/>
  <c r="T9" i="39"/>
  <c r="E8" i="122" s="1"/>
  <c r="R9" i="39"/>
  <c r="D37" i="64" s="1"/>
  <c r="GM9" i="39"/>
  <c r="GQ9" i="39"/>
  <c r="GO9" i="39"/>
  <c r="GN9" i="39"/>
  <c r="GR9" i="39"/>
  <c r="GP9" i="39"/>
  <c r="CH48" i="39"/>
  <c r="CI48" i="39"/>
  <c r="CD48" i="39"/>
  <c r="CE48" i="39"/>
  <c r="CF48" i="39"/>
  <c r="D103" i="140" s="1"/>
  <c r="CG48" i="39"/>
  <c r="CN50" i="39"/>
  <c r="E105" i="140" s="1"/>
  <c r="CO50" i="39"/>
  <c r="CP50" i="39"/>
  <c r="CQ50" i="39"/>
  <c r="CM50" i="39"/>
  <c r="CL50" i="39"/>
  <c r="CF49" i="39"/>
  <c r="D104" i="140" s="1"/>
  <c r="CG49" i="39"/>
  <c r="CH49" i="39"/>
  <c r="CI49" i="39"/>
  <c r="CD49" i="39"/>
  <c r="CE49" i="39"/>
  <c r="CE50" i="39"/>
  <c r="CF50" i="39"/>
  <c r="D105" i="140" s="1"/>
  <c r="CG50" i="39"/>
  <c r="CH50" i="39"/>
  <c r="CI50" i="39"/>
  <c r="CD50" i="39"/>
  <c r="CM48" i="39"/>
  <c r="CL48" i="39"/>
  <c r="CN48" i="39"/>
  <c r="E103" i="140" s="1"/>
  <c r="CO48" i="39"/>
  <c r="CP48" i="39"/>
  <c r="CQ48" i="39"/>
  <c r="CN51" i="39"/>
  <c r="E106" i="140" s="1"/>
  <c r="CO51" i="39"/>
  <c r="CP51" i="39"/>
  <c r="CQ51" i="39"/>
  <c r="CM51" i="39"/>
  <c r="CL51" i="39"/>
  <c r="CM49" i="39"/>
  <c r="CL49" i="39"/>
  <c r="CN49" i="39"/>
  <c r="E104" i="140" s="1"/>
  <c r="CO49" i="39"/>
  <c r="CP49" i="39"/>
  <c r="CQ49" i="39"/>
  <c r="CD51" i="39"/>
  <c r="CE51" i="39"/>
  <c r="CF51" i="39"/>
  <c r="D106" i="140" s="1"/>
  <c r="CG51" i="39"/>
  <c r="CH51" i="39"/>
  <c r="CI51" i="39"/>
  <c r="CN41" i="39"/>
  <c r="E96" i="140" s="1"/>
  <c r="CO41" i="39"/>
  <c r="CP41" i="39"/>
  <c r="CQ41" i="39"/>
  <c r="CM41" i="39"/>
  <c r="CL41" i="39"/>
  <c r="CD41" i="39"/>
  <c r="CE41" i="39"/>
  <c r="CF41" i="39"/>
  <c r="D96" i="140" s="1"/>
  <c r="CG41" i="39"/>
  <c r="CH41" i="39"/>
  <c r="CI41" i="39"/>
  <c r="CD43" i="39"/>
  <c r="CE43" i="39"/>
  <c r="CF43" i="39"/>
  <c r="D98" i="140" s="1"/>
  <c r="CG43" i="39"/>
  <c r="CH43" i="39"/>
  <c r="CI43" i="39"/>
  <c r="CH58" i="39"/>
  <c r="CI58" i="39"/>
  <c r="CE58" i="39"/>
  <c r="CD58" i="39"/>
  <c r="CF58" i="39"/>
  <c r="D113" i="140" s="1"/>
  <c r="CG58" i="39"/>
  <c r="CM45" i="39"/>
  <c r="CL45" i="39"/>
  <c r="CN45" i="39"/>
  <c r="E100" i="140" s="1"/>
  <c r="CO45" i="39"/>
  <c r="CP45" i="39"/>
  <c r="CQ45" i="39"/>
  <c r="CQ38" i="39"/>
  <c r="CM38" i="39"/>
  <c r="CL38" i="39"/>
  <c r="CN38" i="39"/>
  <c r="E93" i="140" s="1"/>
  <c r="CO38" i="39"/>
  <c r="CP38" i="39"/>
  <c r="CM46" i="39"/>
  <c r="CL46" i="39"/>
  <c r="CN46" i="39"/>
  <c r="E101" i="140" s="1"/>
  <c r="CO46" i="39"/>
  <c r="CP46" i="39"/>
  <c r="CQ46" i="39"/>
  <c r="CF47" i="39"/>
  <c r="D102" i="140" s="1"/>
  <c r="CG47" i="39"/>
  <c r="CH47" i="39"/>
  <c r="CI47" i="39"/>
  <c r="CD47" i="39"/>
  <c r="CE47" i="39"/>
  <c r="CN37" i="39"/>
  <c r="E92" i="140" s="1"/>
  <c r="CO37" i="39"/>
  <c r="CP37" i="39"/>
  <c r="CQ37" i="39"/>
  <c r="CL37" i="39"/>
  <c r="CM37" i="39"/>
  <c r="CO43" i="39"/>
  <c r="CP43" i="39"/>
  <c r="CQ43" i="39"/>
  <c r="CL43" i="39"/>
  <c r="CM43" i="39"/>
  <c r="CN43" i="39"/>
  <c r="E98" i="140" s="1"/>
  <c r="CM58" i="39"/>
  <c r="CN58" i="39"/>
  <c r="E113" i="140" s="1"/>
  <c r="CO58" i="39"/>
  <c r="CP58" i="39"/>
  <c r="CQ58" i="39"/>
  <c r="CL58" i="39"/>
  <c r="CQ40" i="39"/>
  <c r="CL40" i="39"/>
  <c r="CM40" i="39"/>
  <c r="CN40" i="39"/>
  <c r="E95" i="140" s="1"/>
  <c r="CO40" i="39"/>
  <c r="CP40" i="39"/>
  <c r="CQ53" i="39"/>
  <c r="CM53" i="39"/>
  <c r="CL53" i="39"/>
  <c r="CN53" i="39"/>
  <c r="E108" i="140" s="1"/>
  <c r="CO53" i="39"/>
  <c r="CP53" i="39"/>
  <c r="CO39" i="39"/>
  <c r="CP39" i="39"/>
  <c r="CQ39" i="39"/>
  <c r="CM39" i="39"/>
  <c r="CL39" i="39"/>
  <c r="CN39" i="39"/>
  <c r="E94" i="140" s="1"/>
  <c r="CN56" i="39"/>
  <c r="E111" i="140" s="1"/>
  <c r="CO56" i="39"/>
  <c r="CP56" i="39"/>
  <c r="CQ56" i="39"/>
  <c r="CM56" i="39"/>
  <c r="CL56" i="39"/>
  <c r="CM42" i="39"/>
  <c r="CL42" i="39"/>
  <c r="CN42" i="39"/>
  <c r="E97" i="140" s="1"/>
  <c r="CO42" i="39"/>
  <c r="CP42" i="39"/>
  <c r="CQ42" i="39"/>
  <c r="CI52" i="39"/>
  <c r="CD52" i="39"/>
  <c r="CE52" i="39"/>
  <c r="CF52" i="39"/>
  <c r="D107" i="140" s="1"/>
  <c r="CG52" i="39"/>
  <c r="CH52" i="39"/>
  <c r="CG38" i="39"/>
  <c r="CH38" i="39"/>
  <c r="CI38" i="39"/>
  <c r="CD38" i="39"/>
  <c r="CE38" i="39"/>
  <c r="CF38" i="39"/>
  <c r="D93" i="140" s="1"/>
  <c r="CQ44" i="39"/>
  <c r="CM44" i="39"/>
  <c r="CL44" i="39"/>
  <c r="CN44" i="39"/>
  <c r="E99" i="140" s="1"/>
  <c r="CO44" i="39"/>
  <c r="CP44" i="39"/>
  <c r="CH42" i="39"/>
  <c r="CI42" i="39"/>
  <c r="CE42" i="39"/>
  <c r="CD42" i="39"/>
  <c r="CF42" i="39"/>
  <c r="D97" i="140" s="1"/>
  <c r="CG42" i="39"/>
  <c r="CE46" i="39"/>
  <c r="CD46" i="39"/>
  <c r="CF46" i="39"/>
  <c r="D101" i="140" s="1"/>
  <c r="CG46" i="39"/>
  <c r="CH46" i="39"/>
  <c r="CI46" i="39"/>
  <c r="CD44" i="39"/>
  <c r="CE44" i="39"/>
  <c r="CF44" i="39"/>
  <c r="D99" i="140" s="1"/>
  <c r="CG44" i="39"/>
  <c r="CH44" i="39"/>
  <c r="CI44" i="39"/>
  <c r="CE54" i="39"/>
  <c r="CF54" i="39"/>
  <c r="D109" i="140" s="1"/>
  <c r="CG54" i="39"/>
  <c r="CH54" i="39"/>
  <c r="CI54" i="39"/>
  <c r="CD54" i="39"/>
  <c r="CH53" i="39"/>
  <c r="CI53" i="39"/>
  <c r="CE53" i="39"/>
  <c r="CD53" i="39"/>
  <c r="CF53" i="39"/>
  <c r="D108" i="140" s="1"/>
  <c r="CG53" i="39"/>
  <c r="CE36" i="39"/>
  <c r="CD36" i="39"/>
  <c r="CF36" i="39"/>
  <c r="D91" i="140" s="1"/>
  <c r="CG36" i="39"/>
  <c r="CH36" i="39"/>
  <c r="CI36" i="39"/>
  <c r="CD57" i="39"/>
  <c r="CE57" i="39"/>
  <c r="CF57" i="39"/>
  <c r="D112" i="140" s="1"/>
  <c r="CG57" i="39"/>
  <c r="CH57" i="39"/>
  <c r="CI57" i="39"/>
  <c r="CQ54" i="39"/>
  <c r="CM54" i="39"/>
  <c r="CL54" i="39"/>
  <c r="CN54" i="39"/>
  <c r="E109" i="140" s="1"/>
  <c r="CO54" i="39"/>
  <c r="CP54" i="39"/>
  <c r="CG40" i="39"/>
  <c r="CH40" i="39"/>
  <c r="CI40" i="39"/>
  <c r="CE40" i="39"/>
  <c r="CD40" i="39"/>
  <c r="CF40" i="39"/>
  <c r="D95" i="140" s="1"/>
  <c r="CI45" i="39"/>
  <c r="CE45" i="39"/>
  <c r="CD45" i="39"/>
  <c r="CF45" i="39"/>
  <c r="D100" i="140" s="1"/>
  <c r="CG45" i="39"/>
  <c r="CH45" i="39"/>
  <c r="CP36" i="39"/>
  <c r="CQ36" i="39"/>
  <c r="CL36" i="39"/>
  <c r="CM36" i="39"/>
  <c r="CN36" i="39"/>
  <c r="E91" i="140" s="1"/>
  <c r="CO36" i="39"/>
  <c r="CI39" i="39"/>
  <c r="CE39" i="39"/>
  <c r="CD39" i="39"/>
  <c r="CF39" i="39"/>
  <c r="D94" i="140" s="1"/>
  <c r="CG39" i="39"/>
  <c r="CH39" i="39"/>
  <c r="CD56" i="39"/>
  <c r="CF56" i="39"/>
  <c r="D111" i="140" s="1"/>
  <c r="CG56" i="39"/>
  <c r="CH56" i="39"/>
  <c r="CI56" i="39"/>
  <c r="CE56" i="39"/>
  <c r="CM52" i="39"/>
  <c r="CL52" i="39"/>
  <c r="CN52" i="39"/>
  <c r="E107" i="140" s="1"/>
  <c r="CO52" i="39"/>
  <c r="CQ52" i="39"/>
  <c r="CP52" i="39"/>
  <c r="CQ47" i="39"/>
  <c r="CM47" i="39"/>
  <c r="CL47" i="39"/>
  <c r="CN47" i="39"/>
  <c r="E102" i="140" s="1"/>
  <c r="CO47" i="39"/>
  <c r="CP47" i="39"/>
  <c r="CE37" i="39"/>
  <c r="CF37" i="39"/>
  <c r="D92" i="140" s="1"/>
  <c r="CG37" i="39"/>
  <c r="CH37" i="39"/>
  <c r="CI37" i="39"/>
  <c r="CD37" i="39"/>
  <c r="CQ57" i="39"/>
  <c r="CM57" i="39"/>
  <c r="CL57" i="39"/>
  <c r="CN57" i="39"/>
  <c r="E112" i="140" s="1"/>
  <c r="CO57" i="39"/>
  <c r="CP57" i="39"/>
  <c r="GH41" i="39"/>
  <c r="GE41" i="39"/>
  <c r="GG41" i="39"/>
  <c r="E68" i="102" s="1"/>
  <c r="GF41" i="39"/>
  <c r="GI41" i="39"/>
  <c r="GJ41" i="39"/>
  <c r="S41" i="39"/>
  <c r="EJ41" i="39"/>
  <c r="H96" i="140" s="1"/>
  <c r="EI41" i="39"/>
  <c r="EH41" i="39"/>
  <c r="EL41" i="39"/>
  <c r="EM41" i="39"/>
  <c r="EK41" i="39"/>
  <c r="EA41" i="39"/>
  <c r="DZ41" i="39"/>
  <c r="EB41" i="39"/>
  <c r="EC41" i="39"/>
  <c r="ED41" i="39"/>
  <c r="EE41" i="39"/>
  <c r="CD55" i="39"/>
  <c r="CE55" i="39"/>
  <c r="CF55" i="39"/>
  <c r="D110" i="140" s="1"/>
  <c r="CG55" i="39"/>
  <c r="CH55" i="39"/>
  <c r="CI55" i="39"/>
  <c r="FS41" i="39"/>
  <c r="FN41" i="39"/>
  <c r="FO41" i="39"/>
  <c r="FP41" i="39"/>
  <c r="FQ41" i="39"/>
  <c r="FR41" i="39"/>
  <c r="CN35" i="39"/>
  <c r="CO35" i="39"/>
  <c r="CP35" i="39"/>
  <c r="CQ35" i="39"/>
  <c r="CM35" i="39"/>
  <c r="CL35" i="39"/>
  <c r="CL34" i="39"/>
  <c r="CM34" i="39"/>
  <c r="CN34" i="39"/>
  <c r="E89" i="140" s="1"/>
  <c r="CO34" i="39"/>
  <c r="CQ34" i="39"/>
  <c r="CP34" i="39"/>
  <c r="CG35" i="39"/>
  <c r="CH35" i="39"/>
  <c r="CI35" i="39"/>
  <c r="CD35" i="39"/>
  <c r="CE35" i="39"/>
  <c r="CF35" i="39"/>
  <c r="FI41" i="39"/>
  <c r="FJ41" i="39"/>
  <c r="FK41" i="39"/>
  <c r="FF41" i="39"/>
  <c r="FG41" i="39"/>
  <c r="FH41" i="39"/>
  <c r="C68" i="102" s="1"/>
  <c r="FY41" i="39"/>
  <c r="FZ41" i="39"/>
  <c r="GA41" i="39"/>
  <c r="FV41" i="39"/>
  <c r="FW41" i="39"/>
  <c r="FX41" i="39"/>
  <c r="D68" i="102" s="1"/>
  <c r="CH34" i="39"/>
  <c r="CI34" i="39"/>
  <c r="CE34" i="39"/>
  <c r="CD34" i="39"/>
  <c r="CF34" i="39"/>
  <c r="D89" i="140" s="1"/>
  <c r="CG34" i="39"/>
  <c r="CM55" i="39"/>
  <c r="CL55" i="39"/>
  <c r="CN55" i="39"/>
  <c r="E110" i="140" s="1"/>
  <c r="CO55" i="39"/>
  <c r="CP55" i="39"/>
  <c r="CQ55" i="39"/>
  <c r="O41" i="39"/>
  <c r="N41" i="39"/>
  <c r="H69" i="64" s="1"/>
  <c r="M41" i="39"/>
  <c r="L41" i="39"/>
  <c r="K41" i="39"/>
  <c r="J41" i="39"/>
  <c r="GG59" i="39"/>
  <c r="E86" i="102" s="1"/>
  <c r="GE59" i="39"/>
  <c r="GI59" i="39"/>
  <c r="GJ59" i="39"/>
  <c r="GF59" i="39"/>
  <c r="GH59" i="39"/>
  <c r="U41" i="39"/>
  <c r="T41" i="39"/>
  <c r="E40" i="122" s="1"/>
  <c r="R41" i="39"/>
  <c r="W41" i="39"/>
  <c r="V41" i="39"/>
  <c r="I69" i="64" s="1"/>
  <c r="O59" i="39"/>
  <c r="GH50" i="39"/>
  <c r="GJ50" i="39"/>
  <c r="GE50" i="39"/>
  <c r="GG50" i="39"/>
  <c r="E77" i="102" s="1"/>
  <c r="GF50" i="39"/>
  <c r="GI50" i="39"/>
  <c r="GI51" i="39"/>
  <c r="GE51" i="39"/>
  <c r="GH51" i="39"/>
  <c r="GF51" i="39"/>
  <c r="GG51" i="39"/>
  <c r="E78" i="102" s="1"/>
  <c r="GJ51" i="39"/>
  <c r="GG49" i="39"/>
  <c r="E76" i="102" s="1"/>
  <c r="GJ49" i="39"/>
  <c r="GI49" i="39"/>
  <c r="GF49" i="39"/>
  <c r="GE49" i="39"/>
  <c r="GH49" i="39"/>
  <c r="GN41" i="39"/>
  <c r="GM41" i="39"/>
  <c r="GO41" i="39"/>
  <c r="GP41" i="39"/>
  <c r="GR41" i="39"/>
  <c r="GQ41" i="39"/>
  <c r="GG48" i="39"/>
  <c r="E75" i="102" s="1"/>
  <c r="GE48" i="39"/>
  <c r="GI48" i="39"/>
  <c r="GF48" i="39"/>
  <c r="GJ48" i="39"/>
  <c r="GH48" i="39"/>
  <c r="EJ59" i="39"/>
  <c r="H114" i="140" s="1"/>
  <c r="EL59" i="39"/>
  <c r="EH59" i="39"/>
  <c r="EK59" i="39"/>
  <c r="EM59" i="39"/>
  <c r="EI59" i="39"/>
  <c r="EM51" i="39"/>
  <c r="EL51" i="39"/>
  <c r="EK51" i="39"/>
  <c r="EJ51" i="39"/>
  <c r="H106" i="140" s="1"/>
  <c r="EI51" i="39"/>
  <c r="EH51" i="39"/>
  <c r="EH48" i="39"/>
  <c r="EM48" i="39"/>
  <c r="EL48" i="39"/>
  <c r="EK48" i="39"/>
  <c r="EJ48" i="39"/>
  <c r="H103" i="140" s="1"/>
  <c r="EI48" i="39"/>
  <c r="EJ49" i="39"/>
  <c r="H104" i="140" s="1"/>
  <c r="EL49" i="39"/>
  <c r="EI49" i="39"/>
  <c r="EH49" i="39"/>
  <c r="EM49" i="39"/>
  <c r="EK49" i="39"/>
  <c r="EL50" i="39"/>
  <c r="EK50" i="39"/>
  <c r="EJ50" i="39"/>
  <c r="H105" i="140" s="1"/>
  <c r="EI50" i="39"/>
  <c r="EH50" i="39"/>
  <c r="EM50" i="39"/>
  <c r="M59" i="39"/>
  <c r="L59" i="39"/>
  <c r="N59" i="39"/>
  <c r="H87" i="64" s="1"/>
  <c r="K59" i="39"/>
  <c r="J59" i="39"/>
  <c r="FG49" i="39"/>
  <c r="FF49" i="39"/>
  <c r="FH49" i="39"/>
  <c r="C76" i="102" s="1"/>
  <c r="FI49" i="39"/>
  <c r="FJ49" i="39"/>
  <c r="FK49" i="39"/>
  <c r="FZ50" i="39"/>
  <c r="GA50" i="39"/>
  <c r="FW50" i="39"/>
  <c r="FV50" i="39"/>
  <c r="FX50" i="39"/>
  <c r="D77" i="102" s="1"/>
  <c r="FY50" i="39"/>
  <c r="EC50" i="39"/>
  <c r="ED50" i="39"/>
  <c r="EE50" i="39"/>
  <c r="EA50" i="39"/>
  <c r="DZ50" i="39"/>
  <c r="EB50" i="39"/>
  <c r="FG48" i="39"/>
  <c r="FH48" i="39"/>
  <c r="C75" i="102" s="1"/>
  <c r="FI48" i="39"/>
  <c r="FJ48" i="39"/>
  <c r="FK48" i="39"/>
  <c r="FF48" i="39"/>
  <c r="FK51" i="39"/>
  <c r="FF51" i="39"/>
  <c r="FG51" i="39"/>
  <c r="FH51" i="39"/>
  <c r="C78" i="102" s="1"/>
  <c r="FI51" i="39"/>
  <c r="FJ51" i="39"/>
  <c r="FR48" i="39"/>
  <c r="FS48" i="39"/>
  <c r="FO48" i="39"/>
  <c r="FN48" i="39"/>
  <c r="FP48" i="39"/>
  <c r="FQ48" i="39"/>
  <c r="FQ51" i="39"/>
  <c r="FR51" i="39"/>
  <c r="FS51" i="39"/>
  <c r="FN51" i="39"/>
  <c r="FO51" i="39"/>
  <c r="FP51" i="39"/>
  <c r="FY48" i="39"/>
  <c r="FZ48" i="39"/>
  <c r="GA48" i="39"/>
  <c r="FV48" i="39"/>
  <c r="FW48" i="39"/>
  <c r="FX48" i="39"/>
  <c r="D75" i="102" s="1"/>
  <c r="GA49" i="39"/>
  <c r="FV49" i="39"/>
  <c r="FW49" i="39"/>
  <c r="FX49" i="39"/>
  <c r="D76" i="102" s="1"/>
  <c r="FY49" i="39"/>
  <c r="FZ49" i="39"/>
  <c r="EE51" i="39"/>
  <c r="EA51" i="39"/>
  <c r="DZ51" i="39"/>
  <c r="EB51" i="39"/>
  <c r="EC51" i="39"/>
  <c r="ED51" i="39"/>
  <c r="EC48" i="39"/>
  <c r="ED48" i="39"/>
  <c r="EE48" i="39"/>
  <c r="DZ48" i="39"/>
  <c r="EA48" i="39"/>
  <c r="EB48" i="39"/>
  <c r="FN49" i="39"/>
  <c r="FO49" i="39"/>
  <c r="FP49" i="39"/>
  <c r="FQ49" i="39"/>
  <c r="FR49" i="39"/>
  <c r="FS49" i="39"/>
  <c r="FW51" i="39"/>
  <c r="FV51" i="39"/>
  <c r="FX51" i="39"/>
  <c r="D78" i="102" s="1"/>
  <c r="FY51" i="39"/>
  <c r="FZ51" i="39"/>
  <c r="GA51" i="39"/>
  <c r="FF50" i="39"/>
  <c r="FH50" i="39"/>
  <c r="C77" i="102" s="1"/>
  <c r="FI50" i="39"/>
  <c r="FJ50" i="39"/>
  <c r="FK50" i="39"/>
  <c r="FG50" i="39"/>
  <c r="EB49" i="39"/>
  <c r="EC49" i="39"/>
  <c r="ED49" i="39"/>
  <c r="EE49" i="39"/>
  <c r="DZ49" i="39"/>
  <c r="EA49" i="39"/>
  <c r="FS50" i="39"/>
  <c r="FO50" i="39"/>
  <c r="FN50" i="39"/>
  <c r="FP50" i="39"/>
  <c r="FQ50" i="39"/>
  <c r="FR50" i="39"/>
  <c r="EE59" i="39"/>
  <c r="DZ59" i="39"/>
  <c r="EA59" i="39"/>
  <c r="EB59" i="39"/>
  <c r="EC59" i="39"/>
  <c r="ED59" i="39"/>
  <c r="CI59" i="39"/>
  <c r="CE59" i="39"/>
  <c r="CD59" i="39"/>
  <c r="CF59" i="39"/>
  <c r="D114" i="140" s="1"/>
  <c r="CG59" i="39"/>
  <c r="CH59" i="39"/>
  <c r="FV59" i="39"/>
  <c r="FX59" i="39"/>
  <c r="D86" i="102" s="1"/>
  <c r="FY59" i="39"/>
  <c r="FZ59" i="39"/>
  <c r="GA59" i="39"/>
  <c r="FW59" i="39"/>
  <c r="FO59" i="39"/>
  <c r="FP59" i="39"/>
  <c r="FQ59" i="39"/>
  <c r="FR59" i="39"/>
  <c r="FS59" i="39"/>
  <c r="FN59" i="39"/>
  <c r="CL59" i="39"/>
  <c r="CN59" i="39"/>
  <c r="E114" i="140" s="1"/>
  <c r="CO59" i="39"/>
  <c r="CP59" i="39"/>
  <c r="CQ59" i="39"/>
  <c r="CM59" i="39"/>
  <c r="FG59" i="39"/>
  <c r="FH59" i="39"/>
  <c r="C86" i="102" s="1"/>
  <c r="FI59" i="39"/>
  <c r="FJ59" i="39"/>
  <c r="FK59" i="39"/>
  <c r="FF59" i="39"/>
  <c r="N34" i="39"/>
  <c r="H62" i="64" s="1"/>
  <c r="O34" i="39"/>
  <c r="M34" i="39"/>
  <c r="L34" i="39"/>
  <c r="J34" i="39"/>
  <c r="K34" i="39"/>
  <c r="O48" i="39"/>
  <c r="N48" i="39"/>
  <c r="H76" i="64" s="1"/>
  <c r="M48" i="39"/>
  <c r="L48" i="39"/>
  <c r="K48" i="39"/>
  <c r="J48" i="39"/>
  <c r="N50" i="39"/>
  <c r="H78" i="64" s="1"/>
  <c r="O50" i="39"/>
  <c r="M50" i="39"/>
  <c r="L50" i="39"/>
  <c r="J50" i="39"/>
  <c r="K50" i="39"/>
  <c r="O51" i="39"/>
  <c r="N51" i="39"/>
  <c r="H79" i="64" s="1"/>
  <c r="M51" i="39"/>
  <c r="L51" i="39"/>
  <c r="K51" i="39"/>
  <c r="J51" i="39"/>
  <c r="R50" i="39"/>
  <c r="O49" i="39"/>
  <c r="N49" i="39"/>
  <c r="H77" i="64" s="1"/>
  <c r="M49" i="39"/>
  <c r="L49" i="39"/>
  <c r="K49" i="39"/>
  <c r="J49" i="39"/>
  <c r="W49" i="39"/>
  <c r="V49" i="39"/>
  <c r="I77" i="64" s="1"/>
  <c r="U49" i="39"/>
  <c r="T49" i="39"/>
  <c r="E48" i="122" s="1"/>
  <c r="R49" i="39"/>
  <c r="S49" i="39"/>
  <c r="GM59" i="39"/>
  <c r="GR59" i="39"/>
  <c r="GQ59" i="39"/>
  <c r="GN59" i="39"/>
  <c r="GP59" i="39"/>
  <c r="GO59" i="39"/>
  <c r="W50" i="39"/>
  <c r="V50" i="39"/>
  <c r="I78" i="64" s="1"/>
  <c r="S48" i="39"/>
  <c r="U50" i="39"/>
  <c r="T50" i="39"/>
  <c r="E49" i="122" s="1"/>
  <c r="S50" i="39"/>
  <c r="R48" i="39"/>
  <c r="W48" i="39"/>
  <c r="V48" i="39"/>
  <c r="I76" i="64" s="1"/>
  <c r="U48" i="39"/>
  <c r="T48" i="39"/>
  <c r="E47" i="122" s="1"/>
  <c r="GQ51" i="39"/>
  <c r="GN51" i="39"/>
  <c r="GM51" i="39"/>
  <c r="GP51" i="39"/>
  <c r="GR51" i="39"/>
  <c r="GO51" i="39"/>
  <c r="GQ42" i="39"/>
  <c r="GN47" i="39"/>
  <c r="GE56" i="39"/>
  <c r="GJ56" i="39"/>
  <c r="GI56" i="39"/>
  <c r="GF56" i="39"/>
  <c r="GG56" i="39"/>
  <c r="E83" i="102" s="1"/>
  <c r="GH56" i="39"/>
  <c r="GJ37" i="39"/>
  <c r="GH37" i="39"/>
  <c r="GG37" i="39"/>
  <c r="E64" i="102" s="1"/>
  <c r="GF37" i="39"/>
  <c r="GE37" i="39"/>
  <c r="GI37" i="39"/>
  <c r="GJ47" i="39"/>
  <c r="GI47" i="39"/>
  <c r="GF47" i="39"/>
  <c r="GH47" i="39"/>
  <c r="GG47" i="39"/>
  <c r="E74" i="102" s="1"/>
  <c r="GE47" i="39"/>
  <c r="GH43" i="39"/>
  <c r="GE43" i="39"/>
  <c r="GI43" i="39"/>
  <c r="GF43" i="39"/>
  <c r="GJ43" i="39"/>
  <c r="GG43" i="39"/>
  <c r="E70" i="102" s="1"/>
  <c r="GG45" i="39"/>
  <c r="E72" i="102" s="1"/>
  <c r="GJ45" i="39"/>
  <c r="GF45" i="39"/>
  <c r="GI45" i="39"/>
  <c r="GH45" i="39"/>
  <c r="GE45" i="39"/>
  <c r="GJ57" i="39"/>
  <c r="GG57" i="39"/>
  <c r="E84" i="102" s="1"/>
  <c r="GI57" i="39"/>
  <c r="GF57" i="39"/>
  <c r="GH57" i="39"/>
  <c r="GE57" i="39"/>
  <c r="GJ36" i="39"/>
  <c r="GG36" i="39"/>
  <c r="E63" i="102" s="1"/>
  <c r="GE36" i="39"/>
  <c r="GH36" i="39"/>
  <c r="GI36" i="39"/>
  <c r="GF36" i="39"/>
  <c r="GG44" i="39"/>
  <c r="E71" i="102" s="1"/>
  <c r="GF44" i="39"/>
  <c r="GH44" i="39"/>
  <c r="GJ44" i="39"/>
  <c r="GE44" i="39"/>
  <c r="GI44" i="39"/>
  <c r="GI52" i="39"/>
  <c r="GE52" i="39"/>
  <c r="GJ52" i="39"/>
  <c r="GG52" i="39"/>
  <c r="E79" i="102" s="1"/>
  <c r="GH52" i="39"/>
  <c r="GF52" i="39"/>
  <c r="GE58" i="39"/>
  <c r="GH58" i="39"/>
  <c r="GG58" i="39"/>
  <c r="E85" i="102" s="1"/>
  <c r="GI58" i="39"/>
  <c r="GJ58" i="39"/>
  <c r="GF58" i="39"/>
  <c r="GE38" i="39"/>
  <c r="GI38" i="39"/>
  <c r="GG38" i="39"/>
  <c r="E65" i="102" s="1"/>
  <c r="GF38" i="39"/>
  <c r="GJ38" i="39"/>
  <c r="GH38" i="39"/>
  <c r="GJ46" i="39"/>
  <c r="GF46" i="39"/>
  <c r="GH46" i="39"/>
  <c r="GI46" i="39"/>
  <c r="GE46" i="39"/>
  <c r="GG46" i="39"/>
  <c r="E73" i="102" s="1"/>
  <c r="W43" i="39"/>
  <c r="R44" i="39"/>
  <c r="GI34" i="39"/>
  <c r="GE34" i="39"/>
  <c r="GH34" i="39"/>
  <c r="GJ34" i="39"/>
  <c r="GG34" i="39"/>
  <c r="E61" i="102" s="1"/>
  <c r="GF34" i="39"/>
  <c r="GF39" i="39"/>
  <c r="GJ39" i="39"/>
  <c r="GI39" i="39"/>
  <c r="GG39" i="39"/>
  <c r="E66" i="102" s="1"/>
  <c r="GE39" i="39"/>
  <c r="GH39" i="39"/>
  <c r="GP48" i="39"/>
  <c r="GO48" i="39"/>
  <c r="GR48" i="39"/>
  <c r="GM48" i="39"/>
  <c r="GN48" i="39"/>
  <c r="GQ48" i="39"/>
  <c r="GH42" i="39"/>
  <c r="GI42" i="39"/>
  <c r="GG42" i="39"/>
  <c r="E69" i="102" s="1"/>
  <c r="GF42" i="39"/>
  <c r="GE42" i="39"/>
  <c r="GJ42" i="39"/>
  <c r="R45" i="39"/>
  <c r="S46" i="39"/>
  <c r="GM50" i="39"/>
  <c r="GO50" i="39"/>
  <c r="GR50" i="39"/>
  <c r="GN50" i="39"/>
  <c r="GQ50" i="39"/>
  <c r="GP50" i="39"/>
  <c r="GO49" i="39"/>
  <c r="GN49" i="39"/>
  <c r="GP49" i="39"/>
  <c r="GQ49" i="39"/>
  <c r="GM49" i="39"/>
  <c r="GR49" i="39"/>
  <c r="S34" i="39"/>
  <c r="W37" i="39"/>
  <c r="U52" i="39"/>
  <c r="GJ54" i="39"/>
  <c r="GF54" i="39"/>
  <c r="GE54" i="39"/>
  <c r="GG54" i="39"/>
  <c r="E81" i="102" s="1"/>
  <c r="GI54" i="39"/>
  <c r="GH54" i="39"/>
  <c r="GI40" i="39"/>
  <c r="GE40" i="39"/>
  <c r="GH40" i="39"/>
  <c r="GJ40" i="39"/>
  <c r="GF40" i="39"/>
  <c r="GG40" i="39"/>
  <c r="E67" i="102" s="1"/>
  <c r="GH53" i="39"/>
  <c r="GJ53" i="39"/>
  <c r="GG53" i="39"/>
  <c r="E80" i="102" s="1"/>
  <c r="GI53" i="39"/>
  <c r="GF53" i="39"/>
  <c r="GE53" i="39"/>
  <c r="EJ37" i="39"/>
  <c r="H92" i="140" s="1"/>
  <c r="EI37" i="39"/>
  <c r="EH37" i="39"/>
  <c r="EL37" i="39"/>
  <c r="EM37" i="39"/>
  <c r="EK37" i="39"/>
  <c r="EH52" i="39"/>
  <c r="EJ52" i="39"/>
  <c r="H107" i="140" s="1"/>
  <c r="EM52" i="39"/>
  <c r="EL52" i="39"/>
  <c r="EK52" i="39"/>
  <c r="EI52" i="39"/>
  <c r="EJ57" i="39"/>
  <c r="H112" i="140" s="1"/>
  <c r="EI57" i="39"/>
  <c r="EH57" i="39"/>
  <c r="EM57" i="39"/>
  <c r="EL57" i="39"/>
  <c r="EK57" i="39"/>
  <c r="EM39" i="39"/>
  <c r="EH39" i="39"/>
  <c r="EL39" i="39"/>
  <c r="EK39" i="39"/>
  <c r="EJ39" i="39"/>
  <c r="H94" i="140" s="1"/>
  <c r="EI39" i="39"/>
  <c r="EM47" i="39"/>
  <c r="EL47" i="39"/>
  <c r="EH47" i="39"/>
  <c r="EK47" i="39"/>
  <c r="EJ47" i="39"/>
  <c r="H102" i="140" s="1"/>
  <c r="EI47" i="39"/>
  <c r="EJ45" i="39"/>
  <c r="H100" i="140" s="1"/>
  <c r="EI45" i="39"/>
  <c r="EL45" i="39"/>
  <c r="EH45" i="39"/>
  <c r="EM45" i="39"/>
  <c r="EK45" i="39"/>
  <c r="EH36" i="39"/>
  <c r="EM36" i="39"/>
  <c r="EL36" i="39"/>
  <c r="EK36" i="39"/>
  <c r="EJ36" i="39"/>
  <c r="H91" i="140" s="1"/>
  <c r="EI36" i="39"/>
  <c r="EL46" i="39"/>
  <c r="EK46" i="39"/>
  <c r="EJ46" i="39"/>
  <c r="H101" i="140" s="1"/>
  <c r="EI46" i="39"/>
  <c r="EH46" i="39"/>
  <c r="EM46" i="39"/>
  <c r="EL42" i="39"/>
  <c r="EK42" i="39"/>
  <c r="EJ42" i="39"/>
  <c r="H97" i="140" s="1"/>
  <c r="EI42" i="39"/>
  <c r="EH42" i="39"/>
  <c r="EM42" i="39"/>
  <c r="EL38" i="39"/>
  <c r="EK38" i="39"/>
  <c r="EJ38" i="39"/>
  <c r="H93" i="140" s="1"/>
  <c r="EI38" i="39"/>
  <c r="EH38" i="39"/>
  <c r="EM38" i="39"/>
  <c r="EM43" i="39"/>
  <c r="EL43" i="39"/>
  <c r="EK43" i="39"/>
  <c r="EJ43" i="39"/>
  <c r="H98" i="140" s="1"/>
  <c r="EI43" i="39"/>
  <c r="EH43" i="39"/>
  <c r="EL34" i="39"/>
  <c r="EK34" i="39"/>
  <c r="EJ34" i="39"/>
  <c r="H89" i="140" s="1"/>
  <c r="EI34" i="39"/>
  <c r="EH34" i="39"/>
  <c r="EM34" i="39"/>
  <c r="EH56" i="39"/>
  <c r="EJ56" i="39"/>
  <c r="H111" i="140" s="1"/>
  <c r="EM56" i="39"/>
  <c r="EL56" i="39"/>
  <c r="EK56" i="39"/>
  <c r="EI56" i="39"/>
  <c r="EH44" i="39"/>
  <c r="EJ44" i="39"/>
  <c r="H99" i="140" s="1"/>
  <c r="EM44" i="39"/>
  <c r="EL44" i="39"/>
  <c r="EK44" i="39"/>
  <c r="EI44" i="39"/>
  <c r="EJ53" i="39"/>
  <c r="H108" i="140" s="1"/>
  <c r="EI53" i="39"/>
  <c r="EH53" i="39"/>
  <c r="EL53" i="39"/>
  <c r="EM53" i="39"/>
  <c r="EK53" i="39"/>
  <c r="EL54" i="39"/>
  <c r="EK54" i="39"/>
  <c r="EJ54" i="39"/>
  <c r="H109" i="140" s="1"/>
  <c r="EI54" i="39"/>
  <c r="EH54" i="39"/>
  <c r="EM54" i="39"/>
  <c r="EH40" i="39"/>
  <c r="EM40" i="39"/>
  <c r="EJ40" i="39"/>
  <c r="H95" i="140" s="1"/>
  <c r="EL40" i="39"/>
  <c r="EK40" i="39"/>
  <c r="EI40" i="39"/>
  <c r="EL58" i="39"/>
  <c r="EK58" i="39"/>
  <c r="EI58" i="39"/>
  <c r="EH58" i="39"/>
  <c r="EJ58" i="39"/>
  <c r="H113" i="140" s="1"/>
  <c r="EM58" i="39"/>
  <c r="ED34" i="39"/>
  <c r="EE34" i="39"/>
  <c r="EA34" i="39"/>
  <c r="DZ34" i="39"/>
  <c r="EB34" i="39"/>
  <c r="EC34" i="39"/>
  <c r="FW43" i="39"/>
  <c r="FV43" i="39"/>
  <c r="FX43" i="39"/>
  <c r="D70" i="102" s="1"/>
  <c r="FY43" i="39"/>
  <c r="FZ43" i="39"/>
  <c r="GA43" i="39"/>
  <c r="FH58" i="39"/>
  <c r="C85" i="102" s="1"/>
  <c r="FI58" i="39"/>
  <c r="FJ58" i="39"/>
  <c r="FK58" i="39"/>
  <c r="FG58" i="39"/>
  <c r="FF58" i="39"/>
  <c r="FW57" i="39"/>
  <c r="FV57" i="39"/>
  <c r="FX57" i="39"/>
  <c r="D84" i="102" s="1"/>
  <c r="FY57" i="39"/>
  <c r="FZ57" i="39"/>
  <c r="GA57" i="39"/>
  <c r="EA44" i="39"/>
  <c r="DZ44" i="39"/>
  <c r="EB44" i="39"/>
  <c r="EC44" i="39"/>
  <c r="ED44" i="39"/>
  <c r="EE44" i="39"/>
  <c r="EC38" i="39"/>
  <c r="ED38" i="39"/>
  <c r="EE38" i="39"/>
  <c r="EA38" i="39"/>
  <c r="DZ38" i="39"/>
  <c r="EB38" i="39"/>
  <c r="EA39" i="39"/>
  <c r="DZ39" i="39"/>
  <c r="EB39" i="39"/>
  <c r="EC39" i="39"/>
  <c r="ED39" i="39"/>
  <c r="EE39" i="39"/>
  <c r="ED56" i="39"/>
  <c r="EE56" i="39"/>
  <c r="EA56" i="39"/>
  <c r="DZ56" i="39"/>
  <c r="EB56" i="39"/>
  <c r="EC56" i="39"/>
  <c r="FP45" i="39"/>
  <c r="FQ45" i="39"/>
  <c r="FR45" i="39"/>
  <c r="FS45" i="39"/>
  <c r="FO45" i="39"/>
  <c r="FN45" i="39"/>
  <c r="FG36" i="39"/>
  <c r="FH36" i="39"/>
  <c r="C63" i="102" s="1"/>
  <c r="FI36" i="39"/>
  <c r="FJ36" i="39"/>
  <c r="FK36" i="39"/>
  <c r="FF36" i="39"/>
  <c r="FZ47" i="39"/>
  <c r="GA47" i="39"/>
  <c r="FW47" i="39"/>
  <c r="FV47" i="39"/>
  <c r="FX47" i="39"/>
  <c r="D74" i="102" s="1"/>
  <c r="FY47" i="39"/>
  <c r="FW52" i="39"/>
  <c r="FV52" i="39"/>
  <c r="FX52" i="39"/>
  <c r="D79" i="102" s="1"/>
  <c r="FY52" i="39"/>
  <c r="FZ52" i="39"/>
  <c r="GA52" i="39"/>
  <c r="EA43" i="39"/>
  <c r="EB43" i="39"/>
  <c r="EC43" i="39"/>
  <c r="ED43" i="39"/>
  <c r="EE43" i="39"/>
  <c r="DZ43" i="39"/>
  <c r="FV58" i="39"/>
  <c r="FW58" i="39"/>
  <c r="FX58" i="39"/>
  <c r="D85" i="102" s="1"/>
  <c r="FY58" i="39"/>
  <c r="FZ58" i="39"/>
  <c r="GA58" i="39"/>
  <c r="FH57" i="39"/>
  <c r="C84" i="102" s="1"/>
  <c r="FI57" i="39"/>
  <c r="FJ57" i="39"/>
  <c r="FK57" i="39"/>
  <c r="FG57" i="39"/>
  <c r="FF57" i="39"/>
  <c r="FN34" i="39"/>
  <c r="FO34" i="39"/>
  <c r="FP34" i="39"/>
  <c r="FQ34" i="39"/>
  <c r="FS34" i="39"/>
  <c r="FR34" i="39"/>
  <c r="FQ44" i="39"/>
  <c r="FR44" i="39"/>
  <c r="FS44" i="39"/>
  <c r="FO44" i="39"/>
  <c r="FN44" i="39"/>
  <c r="FP44" i="39"/>
  <c r="FI38" i="39"/>
  <c r="FJ38" i="39"/>
  <c r="FK38" i="39"/>
  <c r="FG38" i="39"/>
  <c r="FF38" i="39"/>
  <c r="FH38" i="39"/>
  <c r="C65" i="102" s="1"/>
  <c r="FJ39" i="39"/>
  <c r="FK39" i="39"/>
  <c r="FG39" i="39"/>
  <c r="FF39" i="39"/>
  <c r="FH39" i="39"/>
  <c r="C66" i="102" s="1"/>
  <c r="FI39" i="39"/>
  <c r="FO56" i="39"/>
  <c r="FN56" i="39"/>
  <c r="FP56" i="39"/>
  <c r="FQ56" i="39"/>
  <c r="FR56" i="39"/>
  <c r="FS56" i="39"/>
  <c r="FN40" i="39"/>
  <c r="FO40" i="39"/>
  <c r="FP40" i="39"/>
  <c r="FQ40" i="39"/>
  <c r="FR40" i="39"/>
  <c r="FS40" i="39"/>
  <c r="FS46" i="39"/>
  <c r="FN46" i="39"/>
  <c r="FO46" i="39"/>
  <c r="FP46" i="39"/>
  <c r="FQ46" i="39"/>
  <c r="FR46" i="39"/>
  <c r="FK34" i="39"/>
  <c r="FF34" i="39"/>
  <c r="FG34" i="39"/>
  <c r="FH34" i="39"/>
  <c r="C61" i="102" s="1"/>
  <c r="FI34" i="39"/>
  <c r="FJ34" i="39"/>
  <c r="FS47" i="39"/>
  <c r="FO47" i="39"/>
  <c r="FN47" i="39"/>
  <c r="FP47" i="39"/>
  <c r="FQ47" i="39"/>
  <c r="FR47" i="39"/>
  <c r="FV34" i="39"/>
  <c r="FW34" i="39"/>
  <c r="FX34" i="39"/>
  <c r="D61" i="102" s="1"/>
  <c r="FY34" i="39"/>
  <c r="FZ34" i="39"/>
  <c r="GA34" i="39"/>
  <c r="FY44" i="39"/>
  <c r="FZ44" i="39"/>
  <c r="GA44" i="39"/>
  <c r="FW44" i="39"/>
  <c r="FV44" i="39"/>
  <c r="FX44" i="39"/>
  <c r="D71" i="102" s="1"/>
  <c r="ED40" i="39"/>
  <c r="EC40" i="39"/>
  <c r="EE40" i="39"/>
  <c r="EA40" i="39"/>
  <c r="DZ40" i="39"/>
  <c r="EB40" i="39"/>
  <c r="FY46" i="39"/>
  <c r="FZ46" i="39"/>
  <c r="GA46" i="39"/>
  <c r="FV46" i="39"/>
  <c r="FW46" i="39"/>
  <c r="FX46" i="39"/>
  <c r="D73" i="102" s="1"/>
  <c r="FO36" i="39"/>
  <c r="FN36" i="39"/>
  <c r="FP36" i="39"/>
  <c r="FQ36" i="39"/>
  <c r="FR36" i="39"/>
  <c r="FS36" i="39"/>
  <c r="EE52" i="39"/>
  <c r="DZ52" i="39"/>
  <c r="EA52" i="39"/>
  <c r="EB52" i="39"/>
  <c r="EC52" i="39"/>
  <c r="ED52" i="39"/>
  <c r="FI43" i="39"/>
  <c r="FJ43" i="39"/>
  <c r="FK43" i="39"/>
  <c r="FF43" i="39"/>
  <c r="FG43" i="39"/>
  <c r="FH43" i="39"/>
  <c r="C70" i="102" s="1"/>
  <c r="FZ54" i="39"/>
  <c r="GA54" i="39"/>
  <c r="FW54" i="39"/>
  <c r="FV54" i="39"/>
  <c r="FX54" i="39"/>
  <c r="D81" i="102" s="1"/>
  <c r="FY54" i="39"/>
  <c r="EB57" i="39"/>
  <c r="EC57" i="39"/>
  <c r="ED57" i="39"/>
  <c r="EE57" i="39"/>
  <c r="EA57" i="39"/>
  <c r="DZ57" i="39"/>
  <c r="FQ42" i="39"/>
  <c r="FR42" i="39"/>
  <c r="FS42" i="39"/>
  <c r="FO42" i="39"/>
  <c r="FN42" i="39"/>
  <c r="FP42" i="39"/>
  <c r="FP39" i="39"/>
  <c r="FQ39" i="39"/>
  <c r="FR39" i="39"/>
  <c r="FS39" i="39"/>
  <c r="FO39" i="39"/>
  <c r="FN39" i="39"/>
  <c r="EC53" i="39"/>
  <c r="ED53" i="39"/>
  <c r="EE53" i="39"/>
  <c r="EA53" i="39"/>
  <c r="DZ53" i="39"/>
  <c r="EB53" i="39"/>
  <c r="FH52" i="39"/>
  <c r="C79" i="102" s="1"/>
  <c r="FI52" i="39"/>
  <c r="FJ52" i="39"/>
  <c r="FK52" i="39"/>
  <c r="FG52" i="39"/>
  <c r="FF52" i="39"/>
  <c r="DZ54" i="39"/>
  <c r="EA54" i="39"/>
  <c r="EB54" i="39"/>
  <c r="EC54" i="39"/>
  <c r="ED54" i="39"/>
  <c r="EE54" i="39"/>
  <c r="FR57" i="39"/>
  <c r="FS57" i="39"/>
  <c r="FN57" i="39"/>
  <c r="FO57" i="39"/>
  <c r="FP57" i="39"/>
  <c r="FQ57" i="39"/>
  <c r="FW39" i="39"/>
  <c r="FV39" i="39"/>
  <c r="FX39" i="39"/>
  <c r="D66" i="102" s="1"/>
  <c r="FY39" i="39"/>
  <c r="FZ39" i="39"/>
  <c r="GA39" i="39"/>
  <c r="FY53" i="39"/>
  <c r="FZ53" i="39"/>
  <c r="GA53" i="39"/>
  <c r="FV53" i="39"/>
  <c r="FW53" i="39"/>
  <c r="FX53" i="39"/>
  <c r="D80" i="102" s="1"/>
  <c r="FZ40" i="39"/>
  <c r="GA40" i="39"/>
  <c r="FV40" i="39"/>
  <c r="FW40" i="39"/>
  <c r="FX40" i="39"/>
  <c r="D67" i="102" s="1"/>
  <c r="FY40" i="39"/>
  <c r="EA46" i="39"/>
  <c r="DZ46" i="39"/>
  <c r="EB46" i="39"/>
  <c r="EC46" i="39"/>
  <c r="ED46" i="39"/>
  <c r="EE46" i="39"/>
  <c r="EA45" i="39"/>
  <c r="EB45" i="39"/>
  <c r="EC45" i="39"/>
  <c r="ED45" i="39"/>
  <c r="EE45" i="39"/>
  <c r="DZ45" i="39"/>
  <c r="ED37" i="39"/>
  <c r="EE37" i="39"/>
  <c r="DZ37" i="39"/>
  <c r="EA37" i="39"/>
  <c r="EB37" i="39"/>
  <c r="EC37" i="39"/>
  <c r="FN52" i="39"/>
  <c r="FO52" i="39"/>
  <c r="FP52" i="39"/>
  <c r="FQ52" i="39"/>
  <c r="FR52" i="39"/>
  <c r="FS52" i="39"/>
  <c r="FS54" i="39"/>
  <c r="FN54" i="39"/>
  <c r="FO54" i="39"/>
  <c r="FP54" i="39"/>
  <c r="FQ54" i="39"/>
  <c r="FR54" i="39"/>
  <c r="FN58" i="39"/>
  <c r="FO58" i="39"/>
  <c r="FP58" i="39"/>
  <c r="FQ58" i="39"/>
  <c r="FR58" i="39"/>
  <c r="FS58" i="39"/>
  <c r="DZ42" i="39"/>
  <c r="EA42" i="39"/>
  <c r="EB42" i="39"/>
  <c r="EC42" i="39"/>
  <c r="ED42" i="39"/>
  <c r="EE42" i="39"/>
  <c r="FQ38" i="39"/>
  <c r="FR38" i="39"/>
  <c r="FS38" i="39"/>
  <c r="FO38" i="39"/>
  <c r="FN38" i="39"/>
  <c r="FP38" i="39"/>
  <c r="FJ40" i="39"/>
  <c r="FK40" i="39"/>
  <c r="FG40" i="39"/>
  <c r="FF40" i="39"/>
  <c r="FH40" i="39"/>
  <c r="C67" i="102" s="1"/>
  <c r="FI40" i="39"/>
  <c r="FJ46" i="39"/>
  <c r="FK46" i="39"/>
  <c r="FG46" i="39"/>
  <c r="FF46" i="39"/>
  <c r="FH46" i="39"/>
  <c r="C73" i="102" s="1"/>
  <c r="FI46" i="39"/>
  <c r="GA45" i="39"/>
  <c r="FW45" i="39"/>
  <c r="FV45" i="39"/>
  <c r="FX45" i="39"/>
  <c r="D72" i="102" s="1"/>
  <c r="FY45" i="39"/>
  <c r="FZ45" i="39"/>
  <c r="FZ37" i="39"/>
  <c r="GA37" i="39"/>
  <c r="FW37" i="39"/>
  <c r="FV37" i="39"/>
  <c r="FX37" i="39"/>
  <c r="D64" i="102" s="1"/>
  <c r="FY37" i="39"/>
  <c r="FI54" i="39"/>
  <c r="FJ54" i="39"/>
  <c r="FK54" i="39"/>
  <c r="FG54" i="39"/>
  <c r="FF54" i="39"/>
  <c r="FH54" i="39"/>
  <c r="C81" i="102" s="1"/>
  <c r="EA58" i="39"/>
  <c r="DZ58" i="39"/>
  <c r="EB58" i="39"/>
  <c r="EC58" i="39"/>
  <c r="ED58" i="39"/>
  <c r="EE58" i="39"/>
  <c r="FX42" i="39"/>
  <c r="D69" i="102" s="1"/>
  <c r="FY42" i="39"/>
  <c r="FZ42" i="39"/>
  <c r="GA42" i="39"/>
  <c r="FV42" i="39"/>
  <c r="FW42" i="39"/>
  <c r="FF44" i="39"/>
  <c r="FH44" i="39"/>
  <c r="C71" i="102" s="1"/>
  <c r="FI44" i="39"/>
  <c r="FJ44" i="39"/>
  <c r="FK44" i="39"/>
  <c r="FG44" i="39"/>
  <c r="FK53" i="39"/>
  <c r="FG53" i="39"/>
  <c r="FF53" i="39"/>
  <c r="FH53" i="39"/>
  <c r="C80" i="102" s="1"/>
  <c r="FI53" i="39"/>
  <c r="FJ53" i="39"/>
  <c r="FF56" i="39"/>
  <c r="FG56" i="39"/>
  <c r="FH56" i="39"/>
  <c r="C83" i="102" s="1"/>
  <c r="FI56" i="39"/>
  <c r="FJ56" i="39"/>
  <c r="FK56" i="39"/>
  <c r="FR37" i="39"/>
  <c r="FS37" i="39"/>
  <c r="FO37" i="39"/>
  <c r="FN37" i="39"/>
  <c r="FP37" i="39"/>
  <c r="FQ37" i="39"/>
  <c r="ED36" i="39"/>
  <c r="EE36" i="39"/>
  <c r="EA36" i="39"/>
  <c r="DZ36" i="39"/>
  <c r="EB36" i="39"/>
  <c r="EC36" i="39"/>
  <c r="FG47" i="39"/>
  <c r="FJ47" i="39"/>
  <c r="FK47" i="39"/>
  <c r="FI47" i="39"/>
  <c r="FH47" i="39"/>
  <c r="C74" i="102" s="1"/>
  <c r="FF47" i="39"/>
  <c r="FN43" i="39"/>
  <c r="FO43" i="39"/>
  <c r="FP43" i="39"/>
  <c r="FQ43" i="39"/>
  <c r="FR43" i="39"/>
  <c r="FS43" i="39"/>
  <c r="FJ42" i="39"/>
  <c r="FK42" i="39"/>
  <c r="FF42" i="39"/>
  <c r="FG42" i="39"/>
  <c r="FH42" i="39"/>
  <c r="C69" i="102" s="1"/>
  <c r="FI42" i="39"/>
  <c r="GA38" i="39"/>
  <c r="FV38" i="39"/>
  <c r="FW38" i="39"/>
  <c r="FX38" i="39"/>
  <c r="D65" i="102" s="1"/>
  <c r="FY38" i="39"/>
  <c r="FZ38" i="39"/>
  <c r="FR53" i="39"/>
  <c r="FS53" i="39"/>
  <c r="FN53" i="39"/>
  <c r="FO53" i="39"/>
  <c r="FP53" i="39"/>
  <c r="FQ53" i="39"/>
  <c r="GA56" i="39"/>
  <c r="FW56" i="39"/>
  <c r="FV56" i="39"/>
  <c r="FX56" i="39"/>
  <c r="D83" i="102" s="1"/>
  <c r="FY56" i="39"/>
  <c r="FZ56" i="39"/>
  <c r="FH45" i="39"/>
  <c r="C72" i="102" s="1"/>
  <c r="FI45" i="39"/>
  <c r="FJ45" i="39"/>
  <c r="FK45" i="39"/>
  <c r="FG45" i="39"/>
  <c r="FF45" i="39"/>
  <c r="FF37" i="39"/>
  <c r="FG37" i="39"/>
  <c r="FH37" i="39"/>
  <c r="C64" i="102" s="1"/>
  <c r="FI37" i="39"/>
  <c r="FJ37" i="39"/>
  <c r="FK37" i="39"/>
  <c r="FW36" i="39"/>
  <c r="FV36" i="39"/>
  <c r="FX36" i="39"/>
  <c r="D63" i="102" s="1"/>
  <c r="FY36" i="39"/>
  <c r="FZ36" i="39"/>
  <c r="GA36" i="39"/>
  <c r="EC47" i="39"/>
  <c r="ED47" i="39"/>
  <c r="EE47" i="39"/>
  <c r="EA47" i="39"/>
  <c r="DZ47" i="39"/>
  <c r="EB47" i="39"/>
  <c r="O54" i="39"/>
  <c r="N54" i="39"/>
  <c r="H82" i="64" s="1"/>
  <c r="M54" i="39"/>
  <c r="L54" i="39"/>
  <c r="K54" i="39"/>
  <c r="J54" i="39"/>
  <c r="O36" i="39"/>
  <c r="N36" i="39"/>
  <c r="H64" i="64" s="1"/>
  <c r="M36" i="39"/>
  <c r="L36" i="39"/>
  <c r="J36" i="39"/>
  <c r="K36" i="39"/>
  <c r="O46" i="39"/>
  <c r="N46" i="39"/>
  <c r="H74" i="64" s="1"/>
  <c r="M46" i="39"/>
  <c r="L46" i="39"/>
  <c r="K46" i="39"/>
  <c r="J46" i="39"/>
  <c r="V58" i="39"/>
  <c r="I86" i="64" s="1"/>
  <c r="W36" i="39"/>
  <c r="N43" i="39"/>
  <c r="H71" i="64" s="1"/>
  <c r="O43" i="39"/>
  <c r="L43" i="39"/>
  <c r="M43" i="39"/>
  <c r="K43" i="39"/>
  <c r="J43" i="39"/>
  <c r="O44" i="39"/>
  <c r="N44" i="39"/>
  <c r="H72" i="64" s="1"/>
  <c r="M44" i="39"/>
  <c r="L44" i="39"/>
  <c r="J44" i="39"/>
  <c r="K44" i="39"/>
  <c r="O47" i="39"/>
  <c r="N47" i="39"/>
  <c r="H75" i="64" s="1"/>
  <c r="M47" i="39"/>
  <c r="L47" i="39"/>
  <c r="K47" i="39"/>
  <c r="J47" i="39"/>
  <c r="W56" i="39"/>
  <c r="O40" i="39"/>
  <c r="N40" i="39"/>
  <c r="H68" i="64" s="1"/>
  <c r="M40" i="39"/>
  <c r="L40" i="39"/>
  <c r="K40" i="39"/>
  <c r="J40" i="39"/>
  <c r="O37" i="39"/>
  <c r="N37" i="39"/>
  <c r="H65" i="64" s="1"/>
  <c r="M37" i="39"/>
  <c r="L37" i="39"/>
  <c r="J37" i="39"/>
  <c r="K37" i="39"/>
  <c r="O56" i="39"/>
  <c r="N56" i="39"/>
  <c r="H84" i="64" s="1"/>
  <c r="M56" i="39"/>
  <c r="L56" i="39"/>
  <c r="K56" i="39"/>
  <c r="J56" i="39"/>
  <c r="O57" i="39"/>
  <c r="N57" i="39"/>
  <c r="H85" i="64" s="1"/>
  <c r="M57" i="39"/>
  <c r="L57" i="39"/>
  <c r="J57" i="39"/>
  <c r="K57" i="39"/>
  <c r="O38" i="39"/>
  <c r="N38" i="39"/>
  <c r="H66" i="64" s="1"/>
  <c r="M38" i="39"/>
  <c r="L38" i="39"/>
  <c r="K38" i="39"/>
  <c r="J38" i="39"/>
  <c r="O39" i="39"/>
  <c r="N39" i="39"/>
  <c r="H67" i="64" s="1"/>
  <c r="M39" i="39"/>
  <c r="L39" i="39"/>
  <c r="J39" i="39"/>
  <c r="K39" i="39"/>
  <c r="O42" i="39"/>
  <c r="N42" i="39"/>
  <c r="H70" i="64" s="1"/>
  <c r="M42" i="39"/>
  <c r="L42" i="39"/>
  <c r="J42" i="39"/>
  <c r="K42" i="39"/>
  <c r="O45" i="39"/>
  <c r="N45" i="39"/>
  <c r="H73" i="64" s="1"/>
  <c r="M45" i="39"/>
  <c r="L45" i="39"/>
  <c r="J45" i="39"/>
  <c r="K45" i="39"/>
  <c r="O58" i="39"/>
  <c r="N58" i="39"/>
  <c r="H86" i="64" s="1"/>
  <c r="M58" i="39"/>
  <c r="L58" i="39"/>
  <c r="J58" i="39"/>
  <c r="K58" i="39"/>
  <c r="O52" i="39"/>
  <c r="N52" i="39"/>
  <c r="H80" i="64" s="1"/>
  <c r="M52" i="39"/>
  <c r="L52" i="39"/>
  <c r="J52" i="39"/>
  <c r="K52" i="39"/>
  <c r="O53" i="39"/>
  <c r="N53" i="39"/>
  <c r="H81" i="64" s="1"/>
  <c r="M53" i="39"/>
  <c r="L53" i="39"/>
  <c r="J53" i="39"/>
  <c r="K53" i="39"/>
  <c r="T59" i="39"/>
  <c r="E58" i="122" s="1"/>
  <c r="U59" i="39"/>
  <c r="V59" i="39"/>
  <c r="I87" i="64" s="1"/>
  <c r="W59" i="39"/>
  <c r="R59" i="39"/>
  <c r="S59" i="39"/>
  <c r="W34" i="39"/>
  <c r="R34" i="39"/>
  <c r="W44" i="39"/>
  <c r="S44" i="39"/>
  <c r="V44" i="39"/>
  <c r="I72" i="64" s="1"/>
  <c r="U34" i="39"/>
  <c r="U44" i="39"/>
  <c r="T34" i="39"/>
  <c r="E33" i="122" s="1"/>
  <c r="T44" i="39"/>
  <c r="E43" i="122" s="1"/>
  <c r="V34" i="39"/>
  <c r="I62" i="64" s="1"/>
  <c r="GP47" i="39"/>
  <c r="V52" i="39"/>
  <c r="I80" i="64" s="1"/>
  <c r="T45" i="39"/>
  <c r="E44" i="122" s="1"/>
  <c r="S45" i="39"/>
  <c r="U56" i="39"/>
  <c r="T52" i="39"/>
  <c r="E51" i="122" s="1"/>
  <c r="V56" i="39"/>
  <c r="I84" i="64" s="1"/>
  <c r="W58" i="39"/>
  <c r="V36" i="39"/>
  <c r="I64" i="64" s="1"/>
  <c r="U58" i="39"/>
  <c r="U36" i="39"/>
  <c r="E57" i="122"/>
  <c r="T36" i="39"/>
  <c r="E35" i="122" s="1"/>
  <c r="R58" i="39"/>
  <c r="R36" i="39"/>
  <c r="S58" i="39"/>
  <c r="S36" i="39"/>
  <c r="S52" i="39"/>
  <c r="W46" i="39"/>
  <c r="R52" i="39"/>
  <c r="U46" i="39"/>
  <c r="R56" i="39"/>
  <c r="T37" i="39"/>
  <c r="E36" i="122" s="1"/>
  <c r="W45" i="39"/>
  <c r="V37" i="39"/>
  <c r="I65" i="64" s="1"/>
  <c r="V46" i="39"/>
  <c r="I74" i="64" s="1"/>
  <c r="U37" i="39"/>
  <c r="T46" i="39"/>
  <c r="E45" i="122" s="1"/>
  <c r="S56" i="39"/>
  <c r="R37" i="39"/>
  <c r="V45" i="39"/>
  <c r="I73" i="64" s="1"/>
  <c r="T56" i="39"/>
  <c r="E55" i="122" s="1"/>
  <c r="R46" i="39"/>
  <c r="S37" i="39"/>
  <c r="W52" i="39"/>
  <c r="U45" i="39"/>
  <c r="S43" i="39"/>
  <c r="R43" i="39"/>
  <c r="S57" i="39"/>
  <c r="R57" i="39"/>
  <c r="V43" i="39"/>
  <c r="I71" i="64" s="1"/>
  <c r="U43" i="39"/>
  <c r="W57" i="39"/>
  <c r="T43" i="39"/>
  <c r="E42" i="122" s="1"/>
  <c r="V57" i="39"/>
  <c r="I85" i="64" s="1"/>
  <c r="U57" i="39"/>
  <c r="T57" i="39"/>
  <c r="E56" i="122" s="1"/>
  <c r="GN39" i="39"/>
  <c r="R51" i="39"/>
  <c r="S51" i="39"/>
  <c r="T51" i="39"/>
  <c r="E50" i="122" s="1"/>
  <c r="U51" i="39"/>
  <c r="V51" i="39"/>
  <c r="I79" i="64" s="1"/>
  <c r="W51" i="39"/>
  <c r="GR53" i="39"/>
  <c r="GM47" i="39"/>
  <c r="GN38" i="39"/>
  <c r="GN54" i="39"/>
  <c r="GN53" i="39"/>
  <c r="GM40" i="39"/>
  <c r="GN42" i="39"/>
  <c r="GO53" i="39"/>
  <c r="GQ53" i="39"/>
  <c r="GP53" i="39"/>
  <c r="GM53" i="39"/>
  <c r="GO47" i="39"/>
  <c r="GQ47" i="39"/>
  <c r="GO39" i="39"/>
  <c r="GP54" i="39"/>
  <c r="GR42" i="39"/>
  <c r="GO42" i="39"/>
  <c r="GP42" i="39"/>
  <c r="GO54" i="39"/>
  <c r="GQ39" i="39"/>
  <c r="GM42" i="39"/>
  <c r="GM54" i="39"/>
  <c r="GR39" i="39"/>
  <c r="GR54" i="39"/>
  <c r="GP39" i="39"/>
  <c r="GQ54" i="39"/>
  <c r="GR47" i="39"/>
  <c r="GM39" i="39"/>
  <c r="GO40" i="39"/>
  <c r="GR38" i="39"/>
  <c r="GN40" i="39"/>
  <c r="GQ40" i="39"/>
  <c r="GQ38" i="39"/>
  <c r="GP40" i="39"/>
  <c r="GO38" i="39"/>
  <c r="GM38" i="39"/>
  <c r="GR40" i="39"/>
  <c r="GP38" i="39"/>
  <c r="GR36" i="39"/>
  <c r="GO36" i="39"/>
  <c r="GQ36" i="39"/>
  <c r="GP36" i="39"/>
  <c r="GM36" i="39"/>
  <c r="GN36" i="39"/>
  <c r="GM43" i="39"/>
  <c r="GP43" i="39"/>
  <c r="GO43" i="39"/>
  <c r="GR43" i="39"/>
  <c r="GN43" i="39"/>
  <c r="GQ43" i="39"/>
  <c r="GQ57" i="39"/>
  <c r="GR57" i="39"/>
  <c r="GP57" i="39"/>
  <c r="GN57" i="39"/>
  <c r="GM57" i="39"/>
  <c r="GO57" i="39"/>
  <c r="GN44" i="39"/>
  <c r="GQ44" i="39"/>
  <c r="GP44" i="39"/>
  <c r="GO44" i="39"/>
  <c r="GM44" i="39"/>
  <c r="GR44" i="39"/>
  <c r="GP56" i="39"/>
  <c r="GN56" i="39"/>
  <c r="GM56" i="39"/>
  <c r="GO56" i="39"/>
  <c r="GR56" i="39"/>
  <c r="GQ56" i="39"/>
  <c r="GG55" i="39"/>
  <c r="E82" i="102" s="1"/>
  <c r="GI55" i="39"/>
  <c r="GE55" i="39"/>
  <c r="GJ55" i="39"/>
  <c r="GF55" i="39"/>
  <c r="GH55" i="39"/>
  <c r="GQ34" i="39"/>
  <c r="GO34" i="39"/>
  <c r="GR34" i="39"/>
  <c r="GP34" i="39"/>
  <c r="GN34" i="39"/>
  <c r="GM34" i="39"/>
  <c r="GR37" i="39"/>
  <c r="GQ37" i="39"/>
  <c r="GO37" i="39"/>
  <c r="GP37" i="39"/>
  <c r="GM37" i="39"/>
  <c r="GN37" i="39"/>
  <c r="T35" i="39"/>
  <c r="E34" i="122" s="1"/>
  <c r="GP58" i="39"/>
  <c r="GM58" i="39"/>
  <c r="GR58" i="39"/>
  <c r="GN58" i="39"/>
  <c r="GO58" i="39"/>
  <c r="GQ58" i="39"/>
  <c r="GJ35" i="39"/>
  <c r="GI35" i="39"/>
  <c r="GF35" i="39"/>
  <c r="GG35" i="39"/>
  <c r="GE35" i="39"/>
  <c r="GH35" i="39"/>
  <c r="GO52" i="39"/>
  <c r="GM52" i="39"/>
  <c r="GQ52" i="39"/>
  <c r="GR52" i="39"/>
  <c r="GN52" i="39"/>
  <c r="GP52" i="39"/>
  <c r="GQ45" i="39"/>
  <c r="GO45" i="39"/>
  <c r="GP45" i="39"/>
  <c r="GR45" i="39"/>
  <c r="GM45" i="39"/>
  <c r="GN45" i="39"/>
  <c r="GR46" i="39"/>
  <c r="GQ46" i="39"/>
  <c r="GO46" i="39"/>
  <c r="GM46" i="39"/>
  <c r="GN46" i="39"/>
  <c r="GP46" i="39"/>
  <c r="EM55" i="39"/>
  <c r="EL55" i="39"/>
  <c r="EK55" i="39"/>
  <c r="EJ55" i="39"/>
  <c r="H110" i="140" s="1"/>
  <c r="EH55" i="39"/>
  <c r="EI55" i="39"/>
  <c r="EM35" i="39"/>
  <c r="EL35" i="39"/>
  <c r="EK35" i="39"/>
  <c r="EJ35" i="39"/>
  <c r="H90" i="140" s="1"/>
  <c r="EI35" i="39"/>
  <c r="EH35" i="39"/>
  <c r="FK55" i="39"/>
  <c r="FG55" i="39"/>
  <c r="FF55" i="39"/>
  <c r="FH55" i="39"/>
  <c r="C82" i="102" s="1"/>
  <c r="FI55" i="39"/>
  <c r="FJ55" i="39"/>
  <c r="FF35" i="39"/>
  <c r="FG35" i="39"/>
  <c r="FH35" i="39"/>
  <c r="FI35" i="39"/>
  <c r="FJ35" i="39"/>
  <c r="FK35" i="39"/>
  <c r="FP55" i="39"/>
  <c r="FQ55" i="39"/>
  <c r="FR55" i="39"/>
  <c r="FS55" i="39"/>
  <c r="FN55" i="39"/>
  <c r="FO55" i="39"/>
  <c r="FW35" i="39"/>
  <c r="FV35" i="39"/>
  <c r="FX35" i="39"/>
  <c r="FY35" i="39"/>
  <c r="FZ35" i="39"/>
  <c r="GA35" i="39"/>
  <c r="EC35" i="39"/>
  <c r="ED35" i="39"/>
  <c r="EE35" i="39"/>
  <c r="DZ35" i="39"/>
  <c r="EA35" i="39"/>
  <c r="EB35" i="39"/>
  <c r="E24" i="58" s="1"/>
  <c r="K24" i="58" s="1"/>
  <c r="DZ55" i="39"/>
  <c r="EB55" i="39"/>
  <c r="EC55" i="39"/>
  <c r="ED55" i="39"/>
  <c r="EE55" i="39"/>
  <c r="EA55" i="39"/>
  <c r="FY55" i="39"/>
  <c r="FZ55" i="39"/>
  <c r="GA55" i="39"/>
  <c r="FV55" i="39"/>
  <c r="FW55" i="39"/>
  <c r="FX55" i="39"/>
  <c r="D82" i="102" s="1"/>
  <c r="FO35" i="39"/>
  <c r="FP35" i="39"/>
  <c r="E9" i="91" s="1"/>
  <c r="FQ35" i="39"/>
  <c r="FR35" i="39"/>
  <c r="FS35" i="39"/>
  <c r="FN35" i="39"/>
  <c r="O35" i="39"/>
  <c r="N35" i="39"/>
  <c r="H63" i="64" s="1"/>
  <c r="M35" i="39"/>
  <c r="L35" i="39"/>
  <c r="K35" i="39"/>
  <c r="J35" i="39"/>
  <c r="O55" i="39"/>
  <c r="N55" i="39"/>
  <c r="H83" i="64" s="1"/>
  <c r="M55" i="39"/>
  <c r="L55" i="39"/>
  <c r="J55" i="39"/>
  <c r="K55" i="39"/>
  <c r="W55" i="39"/>
  <c r="V55" i="39"/>
  <c r="I83" i="64" s="1"/>
  <c r="U55" i="39"/>
  <c r="T55" i="39"/>
  <c r="E54" i="122" s="1"/>
  <c r="R55" i="39"/>
  <c r="S55" i="39"/>
  <c r="R35" i="39"/>
  <c r="S35" i="39"/>
  <c r="W35" i="39"/>
  <c r="V35" i="39"/>
  <c r="I63" i="64" s="1"/>
  <c r="U35" i="39"/>
  <c r="V54" i="39"/>
  <c r="I82" i="64" s="1"/>
  <c r="W54" i="39"/>
  <c r="R54" i="39"/>
  <c r="S54" i="39"/>
  <c r="T54" i="39"/>
  <c r="E53" i="122" s="1"/>
  <c r="U54" i="39"/>
  <c r="R39" i="39"/>
  <c r="S39" i="39"/>
  <c r="T39" i="39"/>
  <c r="E38" i="122" s="1"/>
  <c r="U39" i="39"/>
  <c r="V39" i="39"/>
  <c r="I67" i="64" s="1"/>
  <c r="W39" i="39"/>
  <c r="S53" i="39"/>
  <c r="R53" i="39"/>
  <c r="T53" i="39"/>
  <c r="E52" i="122" s="1"/>
  <c r="U53" i="39"/>
  <c r="V53" i="39"/>
  <c r="I81" i="64" s="1"/>
  <c r="W53" i="39"/>
  <c r="S40" i="39"/>
  <c r="R40" i="39"/>
  <c r="T40" i="39"/>
  <c r="E39" i="122" s="1"/>
  <c r="U40" i="39"/>
  <c r="V40" i="39"/>
  <c r="I68" i="64" s="1"/>
  <c r="W40" i="39"/>
  <c r="R47" i="39"/>
  <c r="S47" i="39"/>
  <c r="T47" i="39"/>
  <c r="E46" i="122" s="1"/>
  <c r="U47" i="39"/>
  <c r="V47" i="39"/>
  <c r="I75" i="64" s="1"/>
  <c r="W47" i="39"/>
  <c r="V42" i="39"/>
  <c r="I70" i="64" s="1"/>
  <c r="W42" i="39"/>
  <c r="R42" i="39"/>
  <c r="S42" i="39"/>
  <c r="T42" i="39"/>
  <c r="E41" i="122" s="1"/>
  <c r="U42" i="39"/>
  <c r="V38" i="39"/>
  <c r="I66" i="64" s="1"/>
  <c r="W38" i="39"/>
  <c r="R38" i="39"/>
  <c r="S38" i="39"/>
  <c r="T38" i="39"/>
  <c r="E37" i="122" s="1"/>
  <c r="U38" i="39"/>
  <c r="GP35" i="39"/>
  <c r="GQ35" i="39"/>
  <c r="GO35" i="39"/>
  <c r="GN35" i="39"/>
  <c r="GM35" i="39"/>
  <c r="GR35" i="39"/>
  <c r="GP55" i="39"/>
  <c r="GM55" i="39"/>
  <c r="GQ55" i="39"/>
  <c r="GO55" i="39"/>
  <c r="GN55" i="39"/>
  <c r="GR55" i="39"/>
  <c r="CE33" i="39"/>
  <c r="CF33" i="39"/>
  <c r="D88" i="140" s="1"/>
  <c r="CG33" i="39"/>
  <c r="CH33" i="39"/>
  <c r="CI33" i="39"/>
  <c r="CD33" i="39"/>
  <c r="CL33" i="39"/>
  <c r="CM33" i="39"/>
  <c r="CN33" i="39"/>
  <c r="E88" i="140" s="1"/>
  <c r="CO33" i="39"/>
  <c r="CP33" i="39"/>
  <c r="CQ33" i="39"/>
  <c r="CP26" i="39"/>
  <c r="CG26" i="39"/>
  <c r="CQ25" i="39"/>
  <c r="CI25" i="39"/>
  <c r="CF26" i="39"/>
  <c r="D81" i="140" s="1"/>
  <c r="CE26" i="39"/>
  <c r="CH26" i="39"/>
  <c r="CN26" i="39"/>
  <c r="E81" i="140" s="1"/>
  <c r="CM26" i="39"/>
  <c r="CI26" i="39"/>
  <c r="CQ26" i="39"/>
  <c r="CL26" i="39"/>
  <c r="CO26" i="39"/>
  <c r="CF32" i="39"/>
  <c r="D87" i="140" s="1"/>
  <c r="CD26" i="39"/>
  <c r="CL25" i="39"/>
  <c r="EL33" i="39"/>
  <c r="EI33" i="39"/>
  <c r="EH33" i="39"/>
  <c r="EL26" i="39"/>
  <c r="EK26" i="39"/>
  <c r="EJ26" i="39"/>
  <c r="H81" i="140" s="1"/>
  <c r="EI26" i="39"/>
  <c r="EH26" i="39"/>
  <c r="EM26" i="39"/>
  <c r="CM25" i="39"/>
  <c r="CH25" i="39"/>
  <c r="CE25" i="39"/>
  <c r="CD25" i="39"/>
  <c r="CG25" i="39"/>
  <c r="CF25" i="39"/>
  <c r="CO25" i="39"/>
  <c r="CP25" i="39"/>
  <c r="CN25" i="39"/>
  <c r="CH29" i="39"/>
  <c r="CE29" i="39"/>
  <c r="CI29" i="39"/>
  <c r="CF29" i="39"/>
  <c r="D84" i="140" s="1"/>
  <c r="CG29" i="39"/>
  <c r="CD29" i="39"/>
  <c r="CQ30" i="39"/>
  <c r="CN30" i="39"/>
  <c r="E85" i="140" s="1"/>
  <c r="CM30" i="39"/>
  <c r="CO30" i="39"/>
  <c r="CL30" i="39"/>
  <c r="CP30" i="39"/>
  <c r="CL27" i="39"/>
  <c r="CP27" i="39"/>
  <c r="CN27" i="39"/>
  <c r="E82" i="140" s="1"/>
  <c r="CQ27" i="39"/>
  <c r="CM27" i="39"/>
  <c r="CO27" i="39"/>
  <c r="CE27" i="39"/>
  <c r="CI27" i="39"/>
  <c r="CH27" i="39"/>
  <c r="CG27" i="39"/>
  <c r="CF27" i="39"/>
  <c r="D82" i="140" s="1"/>
  <c r="CD27" i="39"/>
  <c r="CG30" i="39"/>
  <c r="CI30" i="39"/>
  <c r="CD30" i="39"/>
  <c r="CE30" i="39"/>
  <c r="CF30" i="39"/>
  <c r="D85" i="140" s="1"/>
  <c r="CH30" i="39"/>
  <c r="CE28" i="39"/>
  <c r="CI28" i="39"/>
  <c r="CH28" i="39"/>
  <c r="CG28" i="39"/>
  <c r="CD28" i="39"/>
  <c r="CF28" i="39"/>
  <c r="D83" i="140" s="1"/>
  <c r="CN28" i="39"/>
  <c r="E83" i="140" s="1"/>
  <c r="CM28" i="39"/>
  <c r="CO28" i="39"/>
  <c r="CL28" i="39"/>
  <c r="CQ28" i="39"/>
  <c r="CP28" i="39"/>
  <c r="CF31" i="39"/>
  <c r="CI31" i="39"/>
  <c r="CE31" i="39"/>
  <c r="CH31" i="39"/>
  <c r="CG31" i="39"/>
  <c r="CD31" i="39"/>
  <c r="CM31" i="39"/>
  <c r="CO31" i="39"/>
  <c r="CL31" i="39"/>
  <c r="CP31" i="39"/>
  <c r="CQ31" i="39"/>
  <c r="CN31" i="39"/>
  <c r="CM29" i="39"/>
  <c r="CN29" i="39"/>
  <c r="E84" i="140" s="1"/>
  <c r="CP29" i="39"/>
  <c r="CO29" i="39"/>
  <c r="CQ29" i="39"/>
  <c r="CL29" i="39"/>
  <c r="CQ32" i="39"/>
  <c r="CO32" i="39"/>
  <c r="CM32" i="39"/>
  <c r="CN32" i="39"/>
  <c r="E87" i="140" s="1"/>
  <c r="CL32" i="39"/>
  <c r="CP32" i="39"/>
  <c r="CE32" i="39"/>
  <c r="CG32" i="39"/>
  <c r="CD32" i="39"/>
  <c r="CI32" i="39"/>
  <c r="CH32" i="39"/>
  <c r="EM33" i="39"/>
  <c r="EK33" i="39"/>
  <c r="EJ33" i="39"/>
  <c r="H88" i="140" s="1"/>
  <c r="GI26" i="39"/>
  <c r="GH26" i="39"/>
  <c r="GF26" i="39"/>
  <c r="GG26" i="39"/>
  <c r="E53" i="102" s="1"/>
  <c r="GJ26" i="39"/>
  <c r="GE26" i="39"/>
  <c r="V33" i="39"/>
  <c r="I61" i="64" s="1"/>
  <c r="W26" i="39"/>
  <c r="GF33" i="39"/>
  <c r="GI33" i="39"/>
  <c r="GJ33" i="39"/>
  <c r="GG33" i="39"/>
  <c r="E60" i="102" s="1"/>
  <c r="GH33" i="39"/>
  <c r="GE33" i="39"/>
  <c r="GH27" i="39"/>
  <c r="GE27" i="39"/>
  <c r="GF27" i="39"/>
  <c r="GJ27" i="39"/>
  <c r="GI27" i="39"/>
  <c r="GG27" i="39"/>
  <c r="E54" i="102" s="1"/>
  <c r="FN30" i="39"/>
  <c r="FV27" i="39"/>
  <c r="GA27" i="39"/>
  <c r="FZ27" i="39"/>
  <c r="FW27" i="39"/>
  <c r="FX27" i="39"/>
  <c r="D54" i="102" s="1"/>
  <c r="FY27" i="39"/>
  <c r="FW26" i="39"/>
  <c r="GA26" i="39"/>
  <c r="FZ26" i="39"/>
  <c r="FY26" i="39"/>
  <c r="FV26" i="39"/>
  <c r="FX26" i="39"/>
  <c r="D53" i="102" s="1"/>
  <c r="FP33" i="39"/>
  <c r="FQ33" i="39"/>
  <c r="FR33" i="39"/>
  <c r="FS33" i="39"/>
  <c r="FO33" i="39"/>
  <c r="FN33" i="39"/>
  <c r="FZ33" i="39"/>
  <c r="GA33" i="39"/>
  <c r="FV33" i="39"/>
  <c r="FW33" i="39"/>
  <c r="FX33" i="39"/>
  <c r="D60" i="102" s="1"/>
  <c r="FY33" i="39"/>
  <c r="FS26" i="39"/>
  <c r="FP26" i="39"/>
  <c r="FO26" i="39"/>
  <c r="FN26" i="39"/>
  <c r="FR26" i="39"/>
  <c r="FQ26" i="39"/>
  <c r="EA33" i="39"/>
  <c r="DZ33" i="39"/>
  <c r="EB33" i="39"/>
  <c r="EC33" i="39"/>
  <c r="ED33" i="39"/>
  <c r="EE33" i="39"/>
  <c r="FJ26" i="39"/>
  <c r="FK26" i="39"/>
  <c r="FG26" i="39"/>
  <c r="FF26" i="39"/>
  <c r="FH26" i="39"/>
  <c r="C53" i="102" s="1"/>
  <c r="FI26" i="39"/>
  <c r="FJ33" i="39"/>
  <c r="FK33" i="39"/>
  <c r="FG33" i="39"/>
  <c r="FF33" i="39"/>
  <c r="FH33" i="39"/>
  <c r="C60" i="102" s="1"/>
  <c r="FI33" i="39"/>
  <c r="DZ26" i="39"/>
  <c r="EE26" i="39"/>
  <c r="EB26" i="39"/>
  <c r="EC26" i="39"/>
  <c r="ED26" i="39"/>
  <c r="EA26" i="39"/>
  <c r="O33" i="39"/>
  <c r="N33" i="39"/>
  <c r="H61" i="64" s="1"/>
  <c r="M33" i="39"/>
  <c r="L33" i="39"/>
  <c r="J33" i="39"/>
  <c r="K33" i="39"/>
  <c r="O26" i="39"/>
  <c r="N26" i="39"/>
  <c r="H54" i="64" s="1"/>
  <c r="M26" i="39"/>
  <c r="L26" i="39"/>
  <c r="K26" i="39"/>
  <c r="J26" i="39"/>
  <c r="FS32" i="39"/>
  <c r="V26" i="39"/>
  <c r="I54" i="64" s="1"/>
  <c r="U26" i="39"/>
  <c r="T33" i="39"/>
  <c r="E32" i="122" s="1"/>
  <c r="S33" i="39"/>
  <c r="R33" i="39"/>
  <c r="T26" i="39"/>
  <c r="E25" i="122" s="1"/>
  <c r="S26" i="39"/>
  <c r="W33" i="39"/>
  <c r="R26" i="39"/>
  <c r="U33" i="39"/>
  <c r="FX30" i="39"/>
  <c r="D57" i="102" s="1"/>
  <c r="V30" i="39"/>
  <c r="I58" i="64" s="1"/>
  <c r="GP27" i="39"/>
  <c r="GQ27" i="39"/>
  <c r="GM27" i="39"/>
  <c r="GN27" i="39"/>
  <c r="GR27" i="39"/>
  <c r="GO27" i="39"/>
  <c r="GR33" i="39"/>
  <c r="GN33" i="39"/>
  <c r="GM33" i="39"/>
  <c r="GQ33" i="39"/>
  <c r="GP33" i="39"/>
  <c r="GO33" i="39"/>
  <c r="GO26" i="39"/>
  <c r="GM26" i="39"/>
  <c r="GR26" i="39"/>
  <c r="GP26" i="39"/>
  <c r="GQ26" i="39"/>
  <c r="GN26" i="39"/>
  <c r="FP30" i="39"/>
  <c r="FS30" i="39"/>
  <c r="FR30" i="39"/>
  <c r="FK32" i="39"/>
  <c r="FO30" i="39"/>
  <c r="FN32" i="39"/>
  <c r="FQ30" i="39"/>
  <c r="FI31" i="39"/>
  <c r="EL31" i="39"/>
  <c r="EK31" i="39"/>
  <c r="EJ31" i="39"/>
  <c r="H86" i="140" s="1"/>
  <c r="EI31" i="39"/>
  <c r="EJ25" i="39"/>
  <c r="H80" i="140" s="1"/>
  <c r="EI25" i="39"/>
  <c r="EH25" i="39"/>
  <c r="EL30" i="39"/>
  <c r="EK30" i="39"/>
  <c r="EJ30" i="39"/>
  <c r="H85" i="140" s="1"/>
  <c r="EI30" i="39"/>
  <c r="EH30" i="39"/>
  <c r="EM30" i="39"/>
  <c r="EM27" i="39"/>
  <c r="EL27" i="39"/>
  <c r="EH27" i="39"/>
  <c r="EK27" i="39"/>
  <c r="EJ27" i="39"/>
  <c r="H82" i="140" s="1"/>
  <c r="EI27" i="39"/>
  <c r="FH29" i="39"/>
  <c r="C56" i="102" s="1"/>
  <c r="FS29" i="39"/>
  <c r="EA29" i="39"/>
  <c r="FO28" i="39"/>
  <c r="EA28" i="39"/>
  <c r="GA30" i="39"/>
  <c r="FZ30" i="39"/>
  <c r="FW30" i="39"/>
  <c r="FV30" i="39"/>
  <c r="FY30" i="39"/>
  <c r="FJ27" i="39"/>
  <c r="FF27" i="39"/>
  <c r="FG27" i="39"/>
  <c r="FI27" i="39"/>
  <c r="FK27" i="39"/>
  <c r="FH27" i="39"/>
  <c r="C54" i="102" s="1"/>
  <c r="FK30" i="39"/>
  <c r="FF30" i="39"/>
  <c r="FH30" i="39"/>
  <c r="C57" i="102" s="1"/>
  <c r="FI30" i="39"/>
  <c r="FJ30" i="39"/>
  <c r="FG30" i="39"/>
  <c r="EC27" i="39"/>
  <c r="EE27" i="39"/>
  <c r="DZ27" i="39"/>
  <c r="EB27" i="39"/>
  <c r="ED27" i="39"/>
  <c r="EA27" i="39"/>
  <c r="FG28" i="39"/>
  <c r="FJ28" i="39"/>
  <c r="FH28" i="39"/>
  <c r="C55" i="102" s="1"/>
  <c r="FI28" i="39"/>
  <c r="FK28" i="39"/>
  <c r="FF28" i="39"/>
  <c r="FP27" i="39"/>
  <c r="FN27" i="39"/>
  <c r="FO27" i="39"/>
  <c r="FR27" i="39"/>
  <c r="FQ27" i="39"/>
  <c r="FS27" i="39"/>
  <c r="EE32" i="39"/>
  <c r="EB32" i="39"/>
  <c r="EC32" i="39"/>
  <c r="DZ32" i="39"/>
  <c r="EA32" i="39"/>
  <c r="ED32" i="39"/>
  <c r="ED30" i="39"/>
  <c r="EA30" i="39"/>
  <c r="DZ30" i="39"/>
  <c r="EE30" i="39"/>
  <c r="EB30" i="39"/>
  <c r="EC30" i="39"/>
  <c r="O30" i="39"/>
  <c r="N30" i="39"/>
  <c r="H58" i="64" s="1"/>
  <c r="M30" i="39"/>
  <c r="L30" i="39"/>
  <c r="J30" i="39"/>
  <c r="K30" i="39"/>
  <c r="O27" i="39"/>
  <c r="N27" i="39"/>
  <c r="H55" i="64" s="1"/>
  <c r="M27" i="39"/>
  <c r="L27" i="39"/>
  <c r="K27" i="39"/>
  <c r="J27" i="39"/>
  <c r="W27" i="39"/>
  <c r="V27" i="39"/>
  <c r="I55" i="64" s="1"/>
  <c r="U27" i="39"/>
  <c r="T27" i="39"/>
  <c r="E26" i="122" s="1"/>
  <c r="R27" i="39"/>
  <c r="S27" i="39"/>
  <c r="FQ32" i="39"/>
  <c r="EL25" i="39"/>
  <c r="EK25" i="39"/>
  <c r="FR32" i="39"/>
  <c r="FO32" i="39"/>
  <c r="EH31" i="39"/>
  <c r="EM25" i="39"/>
  <c r="EM31" i="39"/>
  <c r="FP32" i="39"/>
  <c r="T30" i="39"/>
  <c r="E29" i="122" s="1"/>
  <c r="R30" i="39"/>
  <c r="U30" i="39"/>
  <c r="W30" i="39"/>
  <c r="S30" i="39"/>
  <c r="EM32" i="39"/>
  <c r="J28" i="39"/>
  <c r="O29" i="39"/>
  <c r="K31" i="39"/>
  <c r="M32" i="39"/>
  <c r="GN30" i="39"/>
  <c r="GR30" i="39"/>
  <c r="GM30" i="39"/>
  <c r="GQ30" i="39"/>
  <c r="GP30" i="39"/>
  <c r="GO30" i="39"/>
  <c r="GE25" i="39"/>
  <c r="GI25" i="39"/>
  <c r="GG25" i="39"/>
  <c r="GH25" i="39"/>
  <c r="GF25" i="39"/>
  <c r="GJ25" i="39"/>
  <c r="FV29" i="39"/>
  <c r="FW32" i="39"/>
  <c r="GA31" i="39"/>
  <c r="GG30" i="39"/>
  <c r="E57" i="102" s="1"/>
  <c r="GI30" i="39"/>
  <c r="GJ30" i="39"/>
  <c r="GE30" i="39"/>
  <c r="GH30" i="39"/>
  <c r="GF30" i="39"/>
  <c r="FV28" i="39"/>
  <c r="W28" i="39"/>
  <c r="J32" i="39"/>
  <c r="K32" i="39"/>
  <c r="EH32" i="39"/>
  <c r="EJ32" i="39"/>
  <c r="H87" i="140" s="1"/>
  <c r="FI32" i="39"/>
  <c r="FH31" i="39"/>
  <c r="FH32" i="39"/>
  <c r="C59" i="102" s="1"/>
  <c r="FK31" i="39"/>
  <c r="L32" i="39"/>
  <c r="EL32" i="39"/>
  <c r="N32" i="39"/>
  <c r="H60" i="64" s="1"/>
  <c r="EI32" i="39"/>
  <c r="O32" i="39"/>
  <c r="EK32" i="39"/>
  <c r="FG32" i="39"/>
  <c r="FQ28" i="39"/>
  <c r="FF32" i="39"/>
  <c r="FY31" i="39"/>
  <c r="FJ32" i="39"/>
  <c r="FX31" i="39"/>
  <c r="EB29" i="39"/>
  <c r="EC29" i="39"/>
  <c r="FQ31" i="39"/>
  <c r="ED31" i="39"/>
  <c r="GA32" i="39"/>
  <c r="GA29" i="39"/>
  <c r="FN31" i="39"/>
  <c r="O31" i="39"/>
  <c r="ED28" i="39"/>
  <c r="FV32" i="39"/>
  <c r="FP31" i="39"/>
  <c r="D9" i="91" s="1"/>
  <c r="FZ31" i="39"/>
  <c r="FX32" i="39"/>
  <c r="D59" i="102" s="1"/>
  <c r="N31" i="39"/>
  <c r="H59" i="64" s="1"/>
  <c r="FY32" i="39"/>
  <c r="FF31" i="39"/>
  <c r="FO31" i="39"/>
  <c r="FV31" i="39"/>
  <c r="FG31" i="39"/>
  <c r="FW29" i="39"/>
  <c r="J31" i="39"/>
  <c r="FW31" i="39"/>
  <c r="FZ32" i="39"/>
  <c r="FJ31" i="39"/>
  <c r="FR31" i="39"/>
  <c r="FS31" i="39"/>
  <c r="M31" i="39"/>
  <c r="L31" i="39"/>
  <c r="N29" i="39"/>
  <c r="H57" i="64" s="1"/>
  <c r="DZ29" i="39"/>
  <c r="ED29" i="39"/>
  <c r="FZ29" i="39"/>
  <c r="FX29" i="39"/>
  <c r="D56" i="102" s="1"/>
  <c r="FY29" i="39"/>
  <c r="DZ31" i="39"/>
  <c r="EC31" i="39"/>
  <c r="EB31" i="39"/>
  <c r="D24" i="58" s="1"/>
  <c r="J24" i="58" s="1"/>
  <c r="EA31" i="39"/>
  <c r="EE31" i="39"/>
  <c r="EH28" i="39"/>
  <c r="EJ28" i="39"/>
  <c r="H83" i="140" s="1"/>
  <c r="EM28" i="39"/>
  <c r="EL28" i="39"/>
  <c r="EK28" i="39"/>
  <c r="EI28" i="39"/>
  <c r="EJ29" i="39"/>
  <c r="H84" i="140" s="1"/>
  <c r="EI29" i="39"/>
  <c r="EL29" i="39"/>
  <c r="EH29" i="39"/>
  <c r="EM29" i="39"/>
  <c r="EK29" i="39"/>
  <c r="FS28" i="39"/>
  <c r="EE29" i="39"/>
  <c r="M29" i="39"/>
  <c r="FI29" i="39"/>
  <c r="GA28" i="39"/>
  <c r="L29" i="39"/>
  <c r="FX28" i="39"/>
  <c r="D55" i="102" s="1"/>
  <c r="J29" i="39"/>
  <c r="FP29" i="39"/>
  <c r="FO29" i="39"/>
  <c r="FP28" i="39"/>
  <c r="O28" i="39"/>
  <c r="K29" i="39"/>
  <c r="FN28" i="39"/>
  <c r="N28" i="39"/>
  <c r="H56" i="64" s="1"/>
  <c r="FZ28" i="39"/>
  <c r="FG29" i="39"/>
  <c r="FN29" i="39"/>
  <c r="FJ29" i="39"/>
  <c r="FR29" i="39"/>
  <c r="FF29" i="39"/>
  <c r="K28" i="39"/>
  <c r="FK29" i="39"/>
  <c r="FQ29" i="39"/>
  <c r="EE28" i="39"/>
  <c r="EB28" i="39"/>
  <c r="DZ28" i="39"/>
  <c r="EC28" i="39"/>
  <c r="FW28" i="39"/>
  <c r="FY28" i="39"/>
  <c r="L28" i="39"/>
  <c r="FR28" i="39"/>
  <c r="M28" i="39"/>
  <c r="FN25" i="39"/>
  <c r="FP25" i="39"/>
  <c r="C9" i="91" s="1"/>
  <c r="FS25" i="39"/>
  <c r="FO25" i="39"/>
  <c r="FQ25" i="39"/>
  <c r="FR25" i="39"/>
  <c r="FX25" i="39"/>
  <c r="FZ25" i="39"/>
  <c r="FW25" i="39"/>
  <c r="GA25" i="39"/>
  <c r="FY25" i="39"/>
  <c r="FV25" i="39"/>
  <c r="FI25" i="39"/>
  <c r="FG25" i="39"/>
  <c r="FJ25" i="39"/>
  <c r="FF25" i="39"/>
  <c r="FK25" i="39"/>
  <c r="FH25" i="39"/>
  <c r="J25" i="39"/>
  <c r="K25" i="39"/>
  <c r="L25" i="39"/>
  <c r="M25" i="39"/>
  <c r="N25" i="39"/>
  <c r="H53" i="64" s="1"/>
  <c r="O25" i="39"/>
  <c r="EB25" i="39"/>
  <c r="DZ25" i="39"/>
  <c r="EE25" i="39"/>
  <c r="ED25" i="39"/>
  <c r="EC25" i="39"/>
  <c r="EA25" i="39"/>
  <c r="R28" i="39"/>
  <c r="U28" i="39"/>
  <c r="S32" i="39"/>
  <c r="V31" i="39"/>
  <c r="I59" i="64" s="1"/>
  <c r="W32" i="39"/>
  <c r="T28" i="39"/>
  <c r="E27" i="122" s="1"/>
  <c r="T31" i="39"/>
  <c r="E30" i="122" s="1"/>
  <c r="S31" i="39"/>
  <c r="U31" i="39"/>
  <c r="R32" i="39"/>
  <c r="V28" i="39"/>
  <c r="I56" i="64" s="1"/>
  <c r="S28" i="39"/>
  <c r="V32" i="39"/>
  <c r="I60" i="64" s="1"/>
  <c r="W31" i="39"/>
  <c r="U32" i="39"/>
  <c r="T29" i="39"/>
  <c r="E28" i="122" s="1"/>
  <c r="V29" i="39"/>
  <c r="I57" i="64" s="1"/>
  <c r="W29" i="39"/>
  <c r="U29" i="39"/>
  <c r="R29" i="39"/>
  <c r="S29" i="39"/>
  <c r="T32" i="39"/>
  <c r="E31" i="122" s="1"/>
  <c r="R31" i="39"/>
  <c r="GR25" i="39"/>
  <c r="GP25" i="39"/>
  <c r="GM25" i="39"/>
  <c r="GQ25" i="39"/>
  <c r="GN25" i="39"/>
  <c r="GO25" i="39"/>
  <c r="GN29" i="39"/>
  <c r="GQ29" i="39"/>
  <c r="GR29" i="39"/>
  <c r="GO29" i="39"/>
  <c r="GP29" i="39"/>
  <c r="GM29" i="39"/>
  <c r="GP28" i="39"/>
  <c r="GR28" i="39"/>
  <c r="GO28" i="39"/>
  <c r="GN28" i="39"/>
  <c r="GQ28" i="39"/>
  <c r="GM28" i="39"/>
  <c r="GH28" i="39"/>
  <c r="GF28" i="39"/>
  <c r="GJ28" i="39"/>
  <c r="GG28" i="39"/>
  <c r="E55" i="102" s="1"/>
  <c r="GI28" i="39"/>
  <c r="GE28" i="39"/>
  <c r="GG31" i="39"/>
  <c r="GE31" i="39"/>
  <c r="GI31" i="39"/>
  <c r="GF31" i="39"/>
  <c r="GJ31" i="39"/>
  <c r="GH31" i="39"/>
  <c r="GP32" i="39"/>
  <c r="GR32" i="39"/>
  <c r="GQ32" i="39"/>
  <c r="GM32" i="39"/>
  <c r="GO32" i="39"/>
  <c r="GN32" i="39"/>
  <c r="GE29" i="39"/>
  <c r="GG29" i="39"/>
  <c r="E56" i="102" s="1"/>
  <c r="GH29" i="39"/>
  <c r="GJ29" i="39"/>
  <c r="GF29" i="39"/>
  <c r="GI29" i="39"/>
  <c r="GO31" i="39"/>
  <c r="GP31" i="39"/>
  <c r="GQ31" i="39"/>
  <c r="GR31" i="39"/>
  <c r="GN31" i="39"/>
  <c r="GM31" i="39"/>
  <c r="GH32" i="39"/>
  <c r="GJ32" i="39"/>
  <c r="GI32" i="39"/>
  <c r="GG32" i="39"/>
  <c r="E59" i="102" s="1"/>
  <c r="GE32" i="39"/>
  <c r="GF32" i="39"/>
  <c r="W25" i="39"/>
  <c r="R25" i="39"/>
  <c r="V25" i="39"/>
  <c r="I53" i="64" s="1"/>
  <c r="U25" i="39"/>
  <c r="T25" i="39"/>
  <c r="S25" i="39"/>
  <c r="CQ24" i="39"/>
  <c r="CM24" i="39"/>
  <c r="CL24" i="39"/>
  <c r="CN24" i="39"/>
  <c r="E79" i="140" s="1"/>
  <c r="CO24" i="39"/>
  <c r="CP24" i="39"/>
  <c r="CI24" i="39"/>
  <c r="CD24" i="39"/>
  <c r="CE24" i="39"/>
  <c r="CF24" i="39"/>
  <c r="D79" i="140" s="1"/>
  <c r="CG24" i="39"/>
  <c r="CH24" i="39"/>
  <c r="J24" i="39"/>
  <c r="GJ24" i="39"/>
  <c r="GI24" i="39"/>
  <c r="GF24" i="39"/>
  <c r="GG24" i="39"/>
  <c r="E51" i="102" s="1"/>
  <c r="GE24" i="39"/>
  <c r="GH24" i="39"/>
  <c r="S24" i="39"/>
  <c r="EH24" i="39"/>
  <c r="EJ24" i="39"/>
  <c r="H79" i="140" s="1"/>
  <c r="EM24" i="39"/>
  <c r="EL24" i="39"/>
  <c r="EK24" i="39"/>
  <c r="EI24" i="39"/>
  <c r="EA24" i="39"/>
  <c r="EB24" i="39"/>
  <c r="EC24" i="39"/>
  <c r="ED24" i="39"/>
  <c r="EE24" i="39"/>
  <c r="DZ24" i="39"/>
  <c r="FX24" i="39"/>
  <c r="D51" i="102" s="1"/>
  <c r="FY24" i="39"/>
  <c r="FZ24" i="39"/>
  <c r="GA24" i="39"/>
  <c r="FV24" i="39"/>
  <c r="FW24" i="39"/>
  <c r="FJ24" i="39"/>
  <c r="FK24" i="39"/>
  <c r="FG24" i="39"/>
  <c r="FF24" i="39"/>
  <c r="FH24" i="39"/>
  <c r="C51" i="102" s="1"/>
  <c r="FI24" i="39"/>
  <c r="FQ24" i="39"/>
  <c r="FR24" i="39"/>
  <c r="FS24" i="39"/>
  <c r="FO24" i="39"/>
  <c r="FN24" i="39"/>
  <c r="FP24" i="39"/>
  <c r="K24" i="39"/>
  <c r="O24" i="39"/>
  <c r="M24" i="39"/>
  <c r="N24" i="39"/>
  <c r="H52" i="64" s="1"/>
  <c r="L24" i="39"/>
  <c r="R24" i="39"/>
  <c r="V24" i="39"/>
  <c r="I52" i="64" s="1"/>
  <c r="U24" i="39"/>
  <c r="W24" i="39"/>
  <c r="T24" i="39"/>
  <c r="E23" i="122" s="1"/>
  <c r="GR24" i="39"/>
  <c r="GM24" i="39"/>
  <c r="GP24" i="39"/>
  <c r="GN24" i="39"/>
  <c r="GO24" i="39"/>
  <c r="GQ24" i="39"/>
  <c r="CG12" i="39"/>
  <c r="CH12" i="39"/>
  <c r="CI12" i="39"/>
  <c r="CD12" i="39"/>
  <c r="CF12" i="39"/>
  <c r="D67" i="140" s="1"/>
  <c r="CE12" i="39"/>
  <c r="CQ12" i="39"/>
  <c r="CP12" i="39"/>
  <c r="FN12" i="39"/>
  <c r="CO12" i="39"/>
  <c r="CM12" i="39"/>
  <c r="CL12" i="39"/>
  <c r="CN12" i="39"/>
  <c r="E67" i="140" s="1"/>
  <c r="CP11" i="39"/>
  <c r="CQ11" i="39"/>
  <c r="CM11" i="39"/>
  <c r="CL11" i="39"/>
  <c r="CN11" i="39"/>
  <c r="E66" i="140" s="1"/>
  <c r="CO11" i="39"/>
  <c r="EE12" i="39"/>
  <c r="EI12" i="39"/>
  <c r="J12" i="39"/>
  <c r="FW12" i="39"/>
  <c r="EH12" i="39"/>
  <c r="EJ12" i="39"/>
  <c r="H67" i="140" s="1"/>
  <c r="EM12" i="39"/>
  <c r="EL12" i="39"/>
  <c r="EK12" i="39"/>
  <c r="FY12" i="39"/>
  <c r="CH11" i="39"/>
  <c r="FQ11" i="39"/>
  <c r="FX12" i="39"/>
  <c r="D39" i="102" s="1"/>
  <c r="CI11" i="39"/>
  <c r="FP12" i="39"/>
  <c r="GA12" i="39"/>
  <c r="FZ12" i="39"/>
  <c r="FQ12" i="39"/>
  <c r="K12" i="39"/>
  <c r="FR12" i="39"/>
  <c r="FS12" i="39"/>
  <c r="CD11" i="39"/>
  <c r="FO12" i="39"/>
  <c r="CF11" i="39"/>
  <c r="D66" i="140" s="1"/>
  <c r="FV12" i="39"/>
  <c r="CG11" i="39"/>
  <c r="FK12" i="39"/>
  <c r="CE11" i="39"/>
  <c r="FF12" i="39"/>
  <c r="FG12" i="39"/>
  <c r="FH12" i="39"/>
  <c r="C39" i="102" s="1"/>
  <c r="FJ12" i="39"/>
  <c r="FI12" i="39"/>
  <c r="EC12" i="39"/>
  <c r="M12" i="39"/>
  <c r="DZ12" i="39"/>
  <c r="EA12" i="39"/>
  <c r="EB12" i="39"/>
  <c r="ED12" i="39"/>
  <c r="L12" i="39"/>
  <c r="N12" i="39"/>
  <c r="H40" i="64" s="1"/>
  <c r="O12" i="39"/>
  <c r="EB11" i="39"/>
  <c r="EI11" i="39"/>
  <c r="GF12" i="39"/>
  <c r="GI12" i="39"/>
  <c r="GG12" i="39"/>
  <c r="E39" i="102" s="1"/>
  <c r="GJ12" i="39"/>
  <c r="GH12" i="39"/>
  <c r="GE12" i="39"/>
  <c r="FX11" i="39"/>
  <c r="D38" i="102" s="1"/>
  <c r="EM11" i="39"/>
  <c r="EH11" i="39"/>
  <c r="EL11" i="39"/>
  <c r="EK11" i="39"/>
  <c r="EJ11" i="39"/>
  <c r="H66" i="140" s="1"/>
  <c r="GA11" i="39"/>
  <c r="FP11" i="39"/>
  <c r="FG11" i="39"/>
  <c r="FI11" i="39"/>
  <c r="FN11" i="39"/>
  <c r="FK11" i="39"/>
  <c r="FO11" i="39"/>
  <c r="FJ11" i="39"/>
  <c r="FF11" i="39"/>
  <c r="FR11" i="39"/>
  <c r="FH11" i="39"/>
  <c r="C38" i="102" s="1"/>
  <c r="FS11" i="39"/>
  <c r="FY11" i="39"/>
  <c r="FZ11" i="39"/>
  <c r="DZ11" i="39"/>
  <c r="EC11" i="39"/>
  <c r="FV11" i="39"/>
  <c r="EA11" i="39"/>
  <c r="ED11" i="39"/>
  <c r="FW11" i="39"/>
  <c r="EE11" i="39"/>
  <c r="J11" i="39"/>
  <c r="C39" i="64" s="1"/>
  <c r="M11" i="39"/>
  <c r="N11" i="39"/>
  <c r="H39" i="64" s="1"/>
  <c r="L11" i="39"/>
  <c r="O11" i="39"/>
  <c r="K11" i="39"/>
  <c r="T12" i="39"/>
  <c r="E11" i="122" s="1"/>
  <c r="U12" i="39"/>
  <c r="R12" i="39"/>
  <c r="V12" i="39"/>
  <c r="I40" i="64" s="1"/>
  <c r="S12" i="39"/>
  <c r="W12" i="39"/>
  <c r="GN12" i="39"/>
  <c r="GR12" i="39"/>
  <c r="GO12" i="39"/>
  <c r="GQ12" i="39"/>
  <c r="GM12" i="39"/>
  <c r="GP12" i="39"/>
  <c r="GF11" i="39"/>
  <c r="GH11" i="39"/>
  <c r="GE11" i="39"/>
  <c r="GI11" i="39"/>
  <c r="GJ11" i="39"/>
  <c r="GG11" i="39"/>
  <c r="E38" i="102" s="1"/>
  <c r="T11" i="39"/>
  <c r="E10" i="122" s="1"/>
  <c r="R11" i="39"/>
  <c r="D39" i="64" s="1"/>
  <c r="W11" i="39"/>
  <c r="S11" i="39"/>
  <c r="U11" i="39"/>
  <c r="V11" i="39"/>
  <c r="I39" i="64" s="1"/>
  <c r="GM11" i="39"/>
  <c r="GO11" i="39"/>
  <c r="GP11" i="39"/>
  <c r="GN11" i="39"/>
  <c r="GR11" i="39"/>
  <c r="GQ11" i="39"/>
  <c r="FH6" i="39"/>
  <c r="FI6" i="39"/>
  <c r="FK6" i="39"/>
  <c r="FJ6" i="39"/>
  <c r="FF6" i="39"/>
  <c r="FG6" i="39"/>
  <c r="CO6" i="39"/>
  <c r="CQ6" i="39"/>
  <c r="CN6" i="39"/>
  <c r="CP6" i="39"/>
  <c r="CL6" i="39"/>
  <c r="CM6" i="39"/>
  <c r="CI6" i="39"/>
  <c r="CH6" i="39"/>
  <c r="CG6" i="39"/>
  <c r="CF6" i="39"/>
  <c r="CE6" i="39"/>
  <c r="CD6" i="39"/>
  <c r="EH7" i="39"/>
  <c r="GH6" i="39"/>
  <c r="GG6" i="39"/>
  <c r="E33" i="102" s="1"/>
  <c r="GI6" i="39"/>
  <c r="GF6" i="39"/>
  <c r="GE6" i="39"/>
  <c r="GJ6" i="39"/>
  <c r="R6" i="39"/>
  <c r="EI6" i="39"/>
  <c r="EH6" i="39"/>
  <c r="EM6" i="39"/>
  <c r="EL6" i="39"/>
  <c r="EK6" i="39"/>
  <c r="EJ6" i="39"/>
  <c r="H61" i="140" s="1"/>
  <c r="FQ6" i="39"/>
  <c r="FS6" i="39"/>
  <c r="FP6" i="39"/>
  <c r="B9" i="91" s="1"/>
  <c r="FR6" i="39"/>
  <c r="FN6" i="39"/>
  <c r="FO6" i="39"/>
  <c r="N6" i="39"/>
  <c r="H34" i="64" s="1"/>
  <c r="H91" i="64" s="1"/>
  <c r="O6" i="39"/>
  <c r="M6" i="39"/>
  <c r="L6" i="39"/>
  <c r="K6" i="39"/>
  <c r="J6" i="39"/>
  <c r="FY6" i="39"/>
  <c r="FW6" i="39"/>
  <c r="FV6" i="39"/>
  <c r="FZ6" i="39"/>
  <c r="GA6" i="39"/>
  <c r="FX6" i="39"/>
  <c r="ED6" i="39"/>
  <c r="EE6" i="39"/>
  <c r="EC6" i="39"/>
  <c r="EB6" i="39"/>
  <c r="EA6" i="39"/>
  <c r="DZ6" i="39"/>
  <c r="CQ7" i="39"/>
  <c r="CM7" i="39"/>
  <c r="CN7" i="39"/>
  <c r="E62" i="140" s="1"/>
  <c r="CP7" i="39"/>
  <c r="CL7" i="39"/>
  <c r="CO7" i="39"/>
  <c r="FJ7" i="39"/>
  <c r="FK7" i="39"/>
  <c r="FH7" i="39"/>
  <c r="C34" i="102" s="1"/>
  <c r="FI7" i="39"/>
  <c r="FG7" i="39"/>
  <c r="FF7" i="39"/>
  <c r="CG7" i="39"/>
  <c r="CE7" i="39"/>
  <c r="CD7" i="39"/>
  <c r="CI7" i="39"/>
  <c r="CF7" i="39"/>
  <c r="D62" i="140" s="1"/>
  <c r="CH7" i="39"/>
  <c r="V6" i="39"/>
  <c r="I34" i="64" s="1"/>
  <c r="I91" i="64" s="1"/>
  <c r="W6" i="39"/>
  <c r="T6" i="39"/>
  <c r="U6" i="39"/>
  <c r="S6" i="39"/>
  <c r="EJ7" i="39"/>
  <c r="H62" i="140" s="1"/>
  <c r="EI7" i="39"/>
  <c r="EK7" i="39"/>
  <c r="EM7" i="39"/>
  <c r="EL7" i="39"/>
  <c r="GF7" i="39"/>
  <c r="GE7" i="39"/>
  <c r="GH7" i="39"/>
  <c r="GG7" i="39"/>
  <c r="E34" i="102" s="1"/>
  <c r="GJ7" i="39"/>
  <c r="GI7" i="39"/>
  <c r="GR6" i="39"/>
  <c r="GO6" i="39"/>
  <c r="GN6" i="39"/>
  <c r="GQ6" i="39"/>
  <c r="GM6" i="39"/>
  <c r="GP6" i="39"/>
  <c r="FY7" i="39"/>
  <c r="FZ7" i="39"/>
  <c r="FW7" i="39"/>
  <c r="FX7" i="39"/>
  <c r="D34" i="102" s="1"/>
  <c r="FV7" i="39"/>
  <c r="GA7" i="39"/>
  <c r="J7" i="39"/>
  <c r="C35" i="64" s="1"/>
  <c r="K7" i="39"/>
  <c r="N7" i="39"/>
  <c r="H35" i="64" s="1"/>
  <c r="O7" i="39"/>
  <c r="L7" i="39"/>
  <c r="M7" i="39"/>
  <c r="FR7" i="39"/>
  <c r="FP7" i="39"/>
  <c r="FQ7" i="39"/>
  <c r="FO7" i="39"/>
  <c r="FS7" i="39"/>
  <c r="FN7" i="39"/>
  <c r="EB7" i="39"/>
  <c r="EA7" i="39"/>
  <c r="DZ7" i="39"/>
  <c r="EC7" i="39"/>
  <c r="EE7" i="39"/>
  <c r="ED7" i="39"/>
  <c r="U7" i="39"/>
  <c r="S7" i="39"/>
  <c r="R7" i="39"/>
  <c r="D35" i="64" s="1"/>
  <c r="T7" i="39"/>
  <c r="E6" i="122" s="1"/>
  <c r="V7" i="39"/>
  <c r="I35" i="64" s="1"/>
  <c r="W7" i="39"/>
  <c r="GO7" i="39"/>
  <c r="GR7" i="39"/>
  <c r="GN7" i="39"/>
  <c r="GQ7" i="39"/>
  <c r="GP7" i="39"/>
  <c r="GM7" i="39"/>
  <c r="U55" i="93" l="1"/>
  <c r="O55" i="93"/>
  <c r="Z59" i="132" s="1"/>
  <c r="O35" i="93"/>
  <c r="Z39" i="132" s="1"/>
  <c r="U35" i="93"/>
  <c r="O32" i="93"/>
  <c r="Z36" i="132" s="1"/>
  <c r="U32" i="93"/>
  <c r="U38" i="93"/>
  <c r="O38" i="93"/>
  <c r="Z42" i="132" s="1"/>
  <c r="B51" i="93"/>
  <c r="N45" i="80"/>
  <c r="R45" i="80" s="1"/>
  <c r="CG49" i="132" s="1"/>
  <c r="O43" i="93"/>
  <c r="Z47" i="132" s="1"/>
  <c r="U43" i="93"/>
  <c r="C48" i="80"/>
  <c r="I48" i="80" s="1"/>
  <c r="O42" i="93"/>
  <c r="Z46" i="132" s="1"/>
  <c r="U42" i="93"/>
  <c r="C25" i="80"/>
  <c r="I25" i="80" s="1"/>
  <c r="C25" i="93" s="1"/>
  <c r="U37" i="93"/>
  <c r="O37" i="93"/>
  <c r="Z41" i="132" s="1"/>
  <c r="O58" i="93"/>
  <c r="Z62" i="132" s="1"/>
  <c r="U58" i="93"/>
  <c r="U45" i="93"/>
  <c r="O45" i="93"/>
  <c r="Z49" i="132" s="1"/>
  <c r="C30" i="52"/>
  <c r="B47" i="93"/>
  <c r="U31" i="93"/>
  <c r="O31" i="93"/>
  <c r="Z35" i="132" s="1"/>
  <c r="C59" i="80"/>
  <c r="F59" i="80" s="1"/>
  <c r="L59" i="80" s="1"/>
  <c r="P80" i="80"/>
  <c r="V14" i="80"/>
  <c r="W14" i="80"/>
  <c r="D36" i="55"/>
  <c r="O33" i="93"/>
  <c r="Z37" i="132" s="1"/>
  <c r="U33" i="93"/>
  <c r="F12" i="80"/>
  <c r="C10" i="80"/>
  <c r="F10" i="80" s="1"/>
  <c r="K13" i="80"/>
  <c r="E36" i="55"/>
  <c r="C30" i="80"/>
  <c r="I30" i="80" s="1"/>
  <c r="C30" i="93" s="1"/>
  <c r="O34" i="93"/>
  <c r="Z38" i="132" s="1"/>
  <c r="U34" i="93"/>
  <c r="C26" i="80"/>
  <c r="I26" i="80" s="1"/>
  <c r="U41" i="93"/>
  <c r="O41" i="93"/>
  <c r="Z45" i="132" s="1"/>
  <c r="O40" i="93"/>
  <c r="Z44" i="132" s="1"/>
  <c r="U40" i="93"/>
  <c r="C28" i="80"/>
  <c r="F28" i="80" s="1"/>
  <c r="L28" i="80" s="1"/>
  <c r="U50" i="93"/>
  <c r="O50" i="93"/>
  <c r="Z54" i="132" s="1"/>
  <c r="B27" i="93"/>
  <c r="O39" i="93"/>
  <c r="Z43" i="132" s="1"/>
  <c r="U39" i="93"/>
  <c r="U36" i="93"/>
  <c r="O36" i="93"/>
  <c r="Z40" i="132" s="1"/>
  <c r="O44" i="80"/>
  <c r="S44" i="80" s="1"/>
  <c r="B9" i="57"/>
  <c r="J9" i="57" s="1"/>
  <c r="B6" i="130"/>
  <c r="F6" i="130" s="1"/>
  <c r="C9" i="57"/>
  <c r="E24" i="122"/>
  <c r="C10" i="57"/>
  <c r="E7" i="122"/>
  <c r="B10" i="57"/>
  <c r="J10" i="57" s="1"/>
  <c r="D56" i="64"/>
  <c r="C56" i="152"/>
  <c r="C52" i="64"/>
  <c r="B52" i="152"/>
  <c r="G52" i="152" s="1"/>
  <c r="D36" i="64"/>
  <c r="C36" i="152"/>
  <c r="D41" i="64"/>
  <c r="C41" i="152"/>
  <c r="D49" i="64"/>
  <c r="C49" i="152"/>
  <c r="D50" i="64"/>
  <c r="C50" i="152"/>
  <c r="D53" i="64"/>
  <c r="C53" i="152"/>
  <c r="D59" i="64"/>
  <c r="C59" i="152"/>
  <c r="D55" i="64"/>
  <c r="C55" i="152"/>
  <c r="D68" i="64"/>
  <c r="C68" i="152"/>
  <c r="D63" i="64"/>
  <c r="C63" i="152"/>
  <c r="C83" i="64"/>
  <c r="B83" i="152"/>
  <c r="G83" i="152" s="1"/>
  <c r="C64" i="64"/>
  <c r="B64" i="152"/>
  <c r="G64" i="152" s="1"/>
  <c r="D76" i="64"/>
  <c r="C76" i="152"/>
  <c r="C41" i="64"/>
  <c r="B41" i="152"/>
  <c r="G41" i="152" s="1"/>
  <c r="D45" i="64"/>
  <c r="C45" i="152"/>
  <c r="D40" i="64"/>
  <c r="C40" i="152"/>
  <c r="D61" i="64"/>
  <c r="C61" i="152"/>
  <c r="D82" i="64"/>
  <c r="C82" i="152"/>
  <c r="D79" i="64"/>
  <c r="C79" i="152"/>
  <c r="D74" i="64"/>
  <c r="C74" i="152"/>
  <c r="C80" i="64"/>
  <c r="B80" i="152"/>
  <c r="G80" i="152" s="1"/>
  <c r="C67" i="64"/>
  <c r="B67" i="152"/>
  <c r="G67" i="152" s="1"/>
  <c r="C65" i="64"/>
  <c r="B65" i="152"/>
  <c r="G65" i="152" s="1"/>
  <c r="C71" i="64"/>
  <c r="B71" i="152"/>
  <c r="G71" i="152" s="1"/>
  <c r="C74" i="64"/>
  <c r="B74" i="152"/>
  <c r="G74" i="152" s="1"/>
  <c r="D73" i="64"/>
  <c r="C73" i="152"/>
  <c r="D78" i="64"/>
  <c r="C78" i="152"/>
  <c r="C78" i="64"/>
  <c r="B78" i="152"/>
  <c r="G78" i="152" s="1"/>
  <c r="C36" i="64"/>
  <c r="B36" i="152"/>
  <c r="G36" i="152" s="1"/>
  <c r="C38" i="64"/>
  <c r="B38" i="152"/>
  <c r="G38" i="152" s="1"/>
  <c r="D42" i="64"/>
  <c r="C42" i="152"/>
  <c r="D43" i="64"/>
  <c r="C43" i="152"/>
  <c r="D44" i="64"/>
  <c r="C44" i="152"/>
  <c r="C49" i="64"/>
  <c r="B49" i="152"/>
  <c r="G49" i="152" s="1"/>
  <c r="C61" i="64"/>
  <c r="B61" i="152"/>
  <c r="G61" i="152" s="1"/>
  <c r="D80" i="64"/>
  <c r="C80" i="152"/>
  <c r="C87" i="64"/>
  <c r="B87" i="152"/>
  <c r="G87" i="152" s="1"/>
  <c r="C47" i="64"/>
  <c r="B47" i="152"/>
  <c r="G47" i="152" s="1"/>
  <c r="C56" i="64"/>
  <c r="B56" i="152"/>
  <c r="G56" i="152" s="1"/>
  <c r="C54" i="64"/>
  <c r="B54" i="152"/>
  <c r="G54" i="152" s="1"/>
  <c r="C86" i="64"/>
  <c r="B86" i="152"/>
  <c r="G86" i="152" s="1"/>
  <c r="C34" i="64"/>
  <c r="C91" i="64" s="1"/>
  <c r="B34" i="152"/>
  <c r="D83" i="64"/>
  <c r="C83" i="152"/>
  <c r="D85" i="64"/>
  <c r="C85" i="152"/>
  <c r="D62" i="64"/>
  <c r="C62" i="152"/>
  <c r="C42" i="64"/>
  <c r="B42" i="152"/>
  <c r="G42" i="152" s="1"/>
  <c r="C46" i="64"/>
  <c r="B46" i="152"/>
  <c r="G46" i="152" s="1"/>
  <c r="D57" i="64"/>
  <c r="C57" i="152"/>
  <c r="D70" i="64"/>
  <c r="C70" i="152"/>
  <c r="C81" i="64"/>
  <c r="B81" i="152"/>
  <c r="G81" i="152" s="1"/>
  <c r="C77" i="64"/>
  <c r="B77" i="152"/>
  <c r="G77" i="152" s="1"/>
  <c r="D46" i="64"/>
  <c r="C46" i="152"/>
  <c r="D34" i="64"/>
  <c r="D91" i="64" s="1"/>
  <c r="C34" i="152"/>
  <c r="C40" i="64"/>
  <c r="B40" i="152"/>
  <c r="G40" i="152" s="1"/>
  <c r="D52" i="64"/>
  <c r="C52" i="152"/>
  <c r="C59" i="64"/>
  <c r="B59" i="152"/>
  <c r="G59" i="152" s="1"/>
  <c r="C60" i="64"/>
  <c r="B60" i="152"/>
  <c r="G60" i="152" s="1"/>
  <c r="D58" i="64"/>
  <c r="C58" i="152"/>
  <c r="C58" i="64"/>
  <c r="B58" i="152"/>
  <c r="G58" i="152" s="1"/>
  <c r="D71" i="64"/>
  <c r="C71" i="152"/>
  <c r="D65" i="64"/>
  <c r="C65" i="152"/>
  <c r="D84" i="64"/>
  <c r="C84" i="152"/>
  <c r="D86" i="64"/>
  <c r="C86" i="152"/>
  <c r="C72" i="64"/>
  <c r="B72" i="152"/>
  <c r="G72" i="152" s="1"/>
  <c r="C43" i="64"/>
  <c r="B43" i="152"/>
  <c r="G43" i="152" s="1"/>
  <c r="D47" i="64"/>
  <c r="C47" i="152"/>
  <c r="C48" i="64"/>
  <c r="B48" i="152"/>
  <c r="G48" i="152" s="1"/>
  <c r="C51" i="64"/>
  <c r="B51" i="152"/>
  <c r="G51" i="152" s="1"/>
  <c r="C57" i="64"/>
  <c r="B57" i="152"/>
  <c r="G57" i="152" s="1"/>
  <c r="D81" i="64"/>
  <c r="C81" i="152"/>
  <c r="C66" i="64"/>
  <c r="B66" i="152"/>
  <c r="G66" i="152" s="1"/>
  <c r="C68" i="64"/>
  <c r="B68" i="152"/>
  <c r="G68" i="152" s="1"/>
  <c r="D77" i="64"/>
  <c r="C77" i="152"/>
  <c r="C76" i="64"/>
  <c r="B76" i="152"/>
  <c r="G76" i="152" s="1"/>
  <c r="C53" i="64"/>
  <c r="B53" i="152"/>
  <c r="G53" i="152" s="1"/>
  <c r="G92" i="152" s="1"/>
  <c r="C84" i="64"/>
  <c r="B84" i="152"/>
  <c r="G84" i="152" s="1"/>
  <c r="D72" i="64"/>
  <c r="C72" i="152"/>
  <c r="C79" i="64"/>
  <c r="B79" i="152"/>
  <c r="G79" i="152" s="1"/>
  <c r="D69" i="64"/>
  <c r="C69" i="152"/>
  <c r="D75" i="64"/>
  <c r="C75" i="152"/>
  <c r="D64" i="64"/>
  <c r="C64" i="152"/>
  <c r="C70" i="64"/>
  <c r="B70" i="152"/>
  <c r="G70" i="152" s="1"/>
  <c r="C69" i="64"/>
  <c r="B69" i="152"/>
  <c r="G69" i="152" s="1"/>
  <c r="D48" i="64"/>
  <c r="C48" i="152"/>
  <c r="D51" i="64"/>
  <c r="C51" i="152"/>
  <c r="D60" i="64"/>
  <c r="C60" i="152"/>
  <c r="C55" i="64"/>
  <c r="B55" i="152"/>
  <c r="G55" i="152" s="1"/>
  <c r="D54" i="64"/>
  <c r="C54" i="152"/>
  <c r="D66" i="64"/>
  <c r="C66" i="152"/>
  <c r="D67" i="64"/>
  <c r="C67" i="152"/>
  <c r="C63" i="64"/>
  <c r="B63" i="152"/>
  <c r="G63" i="152" s="1"/>
  <c r="D87" i="64"/>
  <c r="C87" i="152"/>
  <c r="C73" i="64"/>
  <c r="B73" i="152"/>
  <c r="G73" i="152" s="1"/>
  <c r="C85" i="64"/>
  <c r="B85" i="152"/>
  <c r="G85" i="152" s="1"/>
  <c r="C75" i="64"/>
  <c r="B75" i="152"/>
  <c r="G75" i="152" s="1"/>
  <c r="C82" i="64"/>
  <c r="B82" i="152"/>
  <c r="G82" i="152" s="1"/>
  <c r="C62" i="64"/>
  <c r="B62" i="152"/>
  <c r="G62" i="152" s="1"/>
  <c r="D38" i="64"/>
  <c r="C38" i="152"/>
  <c r="C44" i="64"/>
  <c r="B44" i="152"/>
  <c r="G44" i="152" s="1"/>
  <c r="C45" i="64"/>
  <c r="B45" i="152"/>
  <c r="G45" i="152" s="1"/>
  <c r="C50" i="64"/>
  <c r="B50" i="152"/>
  <c r="G50" i="152" s="1"/>
  <c r="C6" i="130"/>
  <c r="E6" i="130" s="1"/>
  <c r="E8" i="91"/>
  <c r="K8" i="91" s="1"/>
  <c r="C62" i="102"/>
  <c r="D11" i="58"/>
  <c r="E57" i="62"/>
  <c r="B53" i="63"/>
  <c r="F51" i="102"/>
  <c r="E11" i="91"/>
  <c r="E62" i="102"/>
  <c r="B50" i="63"/>
  <c r="F48" i="102"/>
  <c r="B11" i="58"/>
  <c r="H11" i="58" s="1"/>
  <c r="E32" i="62"/>
  <c r="B57" i="63"/>
  <c r="F55" i="102"/>
  <c r="D10" i="91"/>
  <c r="J10" i="91" s="1"/>
  <c r="D58" i="102"/>
  <c r="F72" i="102"/>
  <c r="B74" i="63"/>
  <c r="B66" i="63"/>
  <c r="F64" i="102"/>
  <c r="B67" i="63"/>
  <c r="F65" i="102"/>
  <c r="B83" i="63"/>
  <c r="F81" i="102"/>
  <c r="B78" i="63"/>
  <c r="F76" i="102"/>
  <c r="E18" i="58"/>
  <c r="K18" i="58" s="1"/>
  <c r="D90" i="140"/>
  <c r="B42" i="63"/>
  <c r="F40" i="102"/>
  <c r="B44" i="63"/>
  <c r="F42" i="102"/>
  <c r="F43" i="102"/>
  <c r="B45" i="63"/>
  <c r="C12" i="91"/>
  <c r="I13" i="91" s="1"/>
  <c r="B54" i="63"/>
  <c r="F52" i="102"/>
  <c r="C11" i="91"/>
  <c r="E52" i="102"/>
  <c r="B71" i="63"/>
  <c r="F69" i="102"/>
  <c r="B37" i="63"/>
  <c r="F35" i="102"/>
  <c r="B39" i="63"/>
  <c r="F37" i="102"/>
  <c r="B49" i="63"/>
  <c r="F47" i="102"/>
  <c r="B10" i="91"/>
  <c r="H10" i="91" s="1"/>
  <c r="D33" i="102"/>
  <c r="B56" i="63"/>
  <c r="F54" i="102"/>
  <c r="F84" i="102"/>
  <c r="B86" i="63"/>
  <c r="B65" i="63"/>
  <c r="F63" i="102"/>
  <c r="B82" i="63"/>
  <c r="F80" i="102"/>
  <c r="B77" i="63"/>
  <c r="F75" i="102"/>
  <c r="B51" i="63"/>
  <c r="F49" i="102"/>
  <c r="B52" i="63"/>
  <c r="F50" i="102"/>
  <c r="E11" i="58"/>
  <c r="E61" i="62"/>
  <c r="B75" i="63"/>
  <c r="F73" i="102"/>
  <c r="E19" i="58"/>
  <c r="K20" i="58" s="1"/>
  <c r="E90" i="140"/>
  <c r="C18" i="58"/>
  <c r="I18" i="58" s="1"/>
  <c r="D80" i="140"/>
  <c r="B8" i="91"/>
  <c r="H8" i="91" s="1"/>
  <c r="C33" i="102"/>
  <c r="B61" i="63"/>
  <c r="F59" i="102"/>
  <c r="B55" i="63"/>
  <c r="F53" i="102"/>
  <c r="D18" i="58"/>
  <c r="J18" i="58" s="1"/>
  <c r="D86" i="140"/>
  <c r="B43" i="63"/>
  <c r="F41" i="102"/>
  <c r="B18" i="58"/>
  <c r="H18" i="58" s="1"/>
  <c r="D61" i="140"/>
  <c r="B58" i="63"/>
  <c r="F56" i="102"/>
  <c r="C10" i="91"/>
  <c r="I10" i="91" s="1"/>
  <c r="D52" i="102"/>
  <c r="B59" i="63"/>
  <c r="F57" i="102"/>
  <c r="F60" i="102"/>
  <c r="B62" i="63"/>
  <c r="E10" i="91"/>
  <c r="K10" i="91" s="1"/>
  <c r="D62" i="102"/>
  <c r="B68" i="63"/>
  <c r="F66" i="102"/>
  <c r="B79" i="63"/>
  <c r="F77" i="102"/>
  <c r="B80" i="63"/>
  <c r="F78" i="102"/>
  <c r="B46" i="63"/>
  <c r="F44" i="102"/>
  <c r="D6" i="58"/>
  <c r="J6" i="58" s="1"/>
  <c r="B57" i="62"/>
  <c r="E6" i="58"/>
  <c r="K9" i="58" s="1"/>
  <c r="B61" i="62"/>
  <c r="B12" i="91"/>
  <c r="B35" i="63"/>
  <c r="F33" i="102"/>
  <c r="B85" i="63"/>
  <c r="F83" i="102"/>
  <c r="B70" i="63"/>
  <c r="F68" i="102"/>
  <c r="B41" i="63"/>
  <c r="F39" i="102"/>
  <c r="C8" i="91"/>
  <c r="I8" i="91" s="1"/>
  <c r="C52" i="102"/>
  <c r="D12" i="91"/>
  <c r="J13" i="91" s="1"/>
  <c r="B60" i="63"/>
  <c r="F58" i="102"/>
  <c r="F70" i="102"/>
  <c r="B72" i="63"/>
  <c r="B38" i="63"/>
  <c r="F36" i="102"/>
  <c r="D11" i="91"/>
  <c r="E58" i="102"/>
  <c r="D8" i="91"/>
  <c r="J8" i="91" s="1"/>
  <c r="C58" i="102"/>
  <c r="E12" i="91"/>
  <c r="B64" i="63"/>
  <c r="F62" i="102"/>
  <c r="B69" i="63"/>
  <c r="F67" i="102"/>
  <c r="F86" i="102"/>
  <c r="B88" i="63"/>
  <c r="F45" i="102"/>
  <c r="B47" i="63"/>
  <c r="B40" i="63"/>
  <c r="F38" i="102"/>
  <c r="D19" i="58"/>
  <c r="J20" i="58" s="1"/>
  <c r="E86" i="140"/>
  <c r="B48" i="63"/>
  <c r="F46" i="102"/>
  <c r="B19" i="58"/>
  <c r="H20" i="58" s="1"/>
  <c r="E61" i="140"/>
  <c r="B36" i="63"/>
  <c r="F34" i="102"/>
  <c r="C19" i="58"/>
  <c r="I20" i="58" s="1"/>
  <c r="E80" i="140"/>
  <c r="F82" i="102"/>
  <c r="B84" i="63"/>
  <c r="B81" i="63"/>
  <c r="F79" i="102"/>
  <c r="B87" i="63"/>
  <c r="F85" i="102"/>
  <c r="B63" i="63"/>
  <c r="F61" i="102"/>
  <c r="B73" i="63"/>
  <c r="F71" i="102"/>
  <c r="F74" i="102"/>
  <c r="B76" i="63"/>
  <c r="D10" i="58"/>
  <c r="J10" i="58" s="1"/>
  <c r="D57" i="62"/>
  <c r="C11" i="58"/>
  <c r="E51" i="62"/>
  <c r="B48" i="122"/>
  <c r="C76" i="138"/>
  <c r="B40" i="122"/>
  <c r="C68" i="138"/>
  <c r="B56" i="122"/>
  <c r="C84" i="138"/>
  <c r="B14" i="122"/>
  <c r="C42" i="138"/>
  <c r="B46" i="122"/>
  <c r="C74" i="138"/>
  <c r="B53" i="122"/>
  <c r="C81" i="138"/>
  <c r="B8" i="122"/>
  <c r="C36" i="138"/>
  <c r="B15" i="122"/>
  <c r="C43" i="138"/>
  <c r="B16" i="122"/>
  <c r="C44" i="138"/>
  <c r="B20" i="122"/>
  <c r="C48" i="138"/>
  <c r="B24" i="122"/>
  <c r="C52" i="138"/>
  <c r="B28" i="122"/>
  <c r="C56" i="138"/>
  <c r="B57" i="122"/>
  <c r="C85" i="138"/>
  <c r="B37" i="122"/>
  <c r="C65" i="138"/>
  <c r="B39" i="122"/>
  <c r="C67" i="138"/>
  <c r="B47" i="122"/>
  <c r="C75" i="138"/>
  <c r="B18" i="122"/>
  <c r="C46" i="138"/>
  <c r="B21" i="122"/>
  <c r="C49" i="138"/>
  <c r="B10" i="122"/>
  <c r="C38" i="138"/>
  <c r="B22" i="122"/>
  <c r="C50" i="138"/>
  <c r="B11" i="122"/>
  <c r="C39" i="138"/>
  <c r="B26" i="122"/>
  <c r="C54" i="138"/>
  <c r="B51" i="122"/>
  <c r="C79" i="138"/>
  <c r="B38" i="122"/>
  <c r="C66" i="138"/>
  <c r="B36" i="122"/>
  <c r="C64" i="138"/>
  <c r="B49" i="122"/>
  <c r="C77" i="138"/>
  <c r="B12" i="122"/>
  <c r="C40" i="138"/>
  <c r="B23" i="122"/>
  <c r="C51" i="138"/>
  <c r="B30" i="122"/>
  <c r="C58" i="138"/>
  <c r="B29" i="122"/>
  <c r="C57" i="138"/>
  <c r="B43" i="122"/>
  <c r="C71" i="138"/>
  <c r="B44" i="122"/>
  <c r="C72" i="138"/>
  <c r="B33" i="122"/>
  <c r="C61" i="138"/>
  <c r="B27" i="122"/>
  <c r="C55" i="138"/>
  <c r="B25" i="122"/>
  <c r="C53" i="138"/>
  <c r="B54" i="122"/>
  <c r="C82" i="138"/>
  <c r="B6" i="122"/>
  <c r="C34" i="138"/>
  <c r="B45" i="122"/>
  <c r="C73" i="138"/>
  <c r="B7" i="122"/>
  <c r="C35" i="138"/>
  <c r="C18" i="149" s="1"/>
  <c r="B9" i="122"/>
  <c r="C37" i="138"/>
  <c r="B32" i="122"/>
  <c r="C60" i="138"/>
  <c r="B34" i="122"/>
  <c r="C62" i="138"/>
  <c r="B35" i="122"/>
  <c r="C63" i="138"/>
  <c r="B58" i="122"/>
  <c r="C86" i="138"/>
  <c r="B5" i="122"/>
  <c r="C33" i="138"/>
  <c r="B31" i="122"/>
  <c r="C59" i="138"/>
  <c r="B52" i="122"/>
  <c r="C80" i="138"/>
  <c r="B41" i="122"/>
  <c r="C69" i="138"/>
  <c r="B55" i="122"/>
  <c r="C83" i="138"/>
  <c r="B42" i="122"/>
  <c r="C70" i="138"/>
  <c r="B50" i="122"/>
  <c r="C78" i="138"/>
  <c r="B13" i="122"/>
  <c r="C41" i="138"/>
  <c r="B17" i="122"/>
  <c r="C45" i="138"/>
  <c r="B19" i="122"/>
  <c r="C47" i="138"/>
  <c r="B25" i="58"/>
  <c r="H26" i="58" s="1"/>
  <c r="D25" i="58"/>
  <c r="C25" i="58"/>
  <c r="E25" i="58"/>
  <c r="E5" i="122"/>
  <c r="CB52" i="132"/>
  <c r="CB36" i="132"/>
  <c r="CB20" i="132"/>
  <c r="CB35" i="132"/>
  <c r="CB19" i="132"/>
  <c r="CB58" i="132"/>
  <c r="CB42" i="132"/>
  <c r="CB26" i="132"/>
  <c r="CB57" i="132"/>
  <c r="CB49" i="132"/>
  <c r="CB41" i="132"/>
  <c r="CB33" i="132"/>
  <c r="CB25" i="132"/>
  <c r="CB17" i="132"/>
  <c r="CB60" i="132"/>
  <c r="CB51" i="132"/>
  <c r="CB50" i="132"/>
  <c r="CB34" i="132"/>
  <c r="CB18" i="132"/>
  <c r="CB56" i="132"/>
  <c r="CB48" i="132"/>
  <c r="CB40" i="132"/>
  <c r="CB32" i="132"/>
  <c r="CB24" i="132"/>
  <c r="CB16" i="132"/>
  <c r="CB47" i="132"/>
  <c r="CB23" i="132"/>
  <c r="CB54" i="132"/>
  <c r="CB46" i="132"/>
  <c r="CB38" i="132"/>
  <c r="CB30" i="132"/>
  <c r="CB22" i="132"/>
  <c r="CB13" i="132"/>
  <c r="CB44" i="132"/>
  <c r="CB28" i="132"/>
  <c r="CB59" i="132"/>
  <c r="CB43" i="132"/>
  <c r="CB27" i="132"/>
  <c r="CB55" i="132"/>
  <c r="CB39" i="132"/>
  <c r="CB31" i="132"/>
  <c r="CB15" i="132"/>
  <c r="CB61" i="132"/>
  <c r="CB53" i="132"/>
  <c r="CB45" i="132"/>
  <c r="CB37" i="132"/>
  <c r="CB29" i="132"/>
  <c r="CB21" i="132"/>
  <c r="CB11" i="132"/>
  <c r="N42" i="80"/>
  <c r="R42" i="80" s="1"/>
  <c r="CG46" i="132" s="1"/>
  <c r="O37" i="80"/>
  <c r="S37" i="80" s="1"/>
  <c r="O55" i="80"/>
  <c r="S55" i="80" s="1"/>
  <c r="P42" i="80"/>
  <c r="T42" i="80" s="1"/>
  <c r="L51" i="93"/>
  <c r="L50" i="93"/>
  <c r="R38" i="93"/>
  <c r="F25" i="122"/>
  <c r="F58" i="122"/>
  <c r="F28" i="122"/>
  <c r="F21" i="122"/>
  <c r="C27" i="122"/>
  <c r="F36" i="122"/>
  <c r="F48" i="122"/>
  <c r="F33" i="122"/>
  <c r="C57" i="122"/>
  <c r="C37" i="122"/>
  <c r="C39" i="122"/>
  <c r="C47" i="122"/>
  <c r="F9" i="122"/>
  <c r="F12" i="122"/>
  <c r="F23" i="122"/>
  <c r="F37" i="122"/>
  <c r="F46" i="122"/>
  <c r="F17" i="122"/>
  <c r="C24" i="122"/>
  <c r="F45" i="122"/>
  <c r="C56" i="122"/>
  <c r="C58" i="122"/>
  <c r="C19" i="122"/>
  <c r="C21" i="122"/>
  <c r="C5" i="122"/>
  <c r="C29" i="122"/>
  <c r="C34" i="122"/>
  <c r="F42" i="122"/>
  <c r="C46" i="122"/>
  <c r="C40" i="122"/>
  <c r="F14" i="122"/>
  <c r="C23" i="122"/>
  <c r="C26" i="122"/>
  <c r="C32" i="122"/>
  <c r="F52" i="122"/>
  <c r="F53" i="122"/>
  <c r="C54" i="122"/>
  <c r="F44" i="122"/>
  <c r="F55" i="122"/>
  <c r="C35" i="122"/>
  <c r="F22" i="122"/>
  <c r="C10" i="122"/>
  <c r="F15" i="122"/>
  <c r="C44" i="122"/>
  <c r="F57" i="122"/>
  <c r="F40" i="122"/>
  <c r="F8" i="122"/>
  <c r="C7" i="122"/>
  <c r="C6" i="122"/>
  <c r="F24" i="122"/>
  <c r="F32" i="122"/>
  <c r="F38" i="122"/>
  <c r="F35" i="122"/>
  <c r="C53" i="122"/>
  <c r="C33" i="122"/>
  <c r="C18" i="122"/>
  <c r="C20" i="122"/>
  <c r="F10" i="122"/>
  <c r="F31" i="122"/>
  <c r="C31" i="122"/>
  <c r="F29" i="122"/>
  <c r="C51" i="122"/>
  <c r="C38" i="122"/>
  <c r="C36" i="122"/>
  <c r="C12" i="122"/>
  <c r="C13" i="122"/>
  <c r="C16" i="122"/>
  <c r="C17" i="122"/>
  <c r="C22" i="122"/>
  <c r="F5" i="122"/>
  <c r="F43" i="122"/>
  <c r="C43" i="122"/>
  <c r="C48" i="122"/>
  <c r="F7" i="122"/>
  <c r="C9" i="122"/>
  <c r="F11" i="122"/>
  <c r="F51" i="122"/>
  <c r="F6" i="122"/>
  <c r="F30" i="122"/>
  <c r="C30" i="122"/>
  <c r="F26" i="122"/>
  <c r="C25" i="122"/>
  <c r="F41" i="122"/>
  <c r="F39" i="122"/>
  <c r="F34" i="122"/>
  <c r="F54" i="122"/>
  <c r="F50" i="122"/>
  <c r="F56" i="122"/>
  <c r="C45" i="122"/>
  <c r="F49" i="122"/>
  <c r="C49" i="122"/>
  <c r="F13" i="122"/>
  <c r="C15" i="122"/>
  <c r="F18" i="122"/>
  <c r="F20" i="122"/>
  <c r="C11" i="122"/>
  <c r="F27" i="122"/>
  <c r="C28" i="122"/>
  <c r="C52" i="122"/>
  <c r="C41" i="122"/>
  <c r="C55" i="122"/>
  <c r="C42" i="122"/>
  <c r="F47" i="122"/>
  <c r="C50" i="122"/>
  <c r="C8" i="122"/>
  <c r="C14" i="122"/>
  <c r="F16" i="122"/>
  <c r="F19" i="122"/>
  <c r="J84" i="121"/>
  <c r="J127" i="121"/>
  <c r="J119" i="121"/>
  <c r="J111" i="121"/>
  <c r="J91" i="121"/>
  <c r="J83" i="121"/>
  <c r="J75" i="121"/>
  <c r="J126" i="121"/>
  <c r="J118" i="121"/>
  <c r="J110" i="121"/>
  <c r="J90" i="121"/>
  <c r="J82" i="121"/>
  <c r="J74" i="121"/>
  <c r="J128" i="121"/>
  <c r="J112" i="121"/>
  <c r="J125" i="121"/>
  <c r="J81" i="121"/>
  <c r="J124" i="121"/>
  <c r="J116" i="121"/>
  <c r="J107" i="121"/>
  <c r="J88" i="121"/>
  <c r="J80" i="121"/>
  <c r="J72" i="121"/>
  <c r="J92" i="121"/>
  <c r="J117" i="121"/>
  <c r="J73" i="121"/>
  <c r="J123" i="121"/>
  <c r="J115" i="121"/>
  <c r="J95" i="121"/>
  <c r="K148" i="121"/>
  <c r="K140" i="121"/>
  <c r="K132" i="121"/>
  <c r="J76" i="121"/>
  <c r="J109" i="121"/>
  <c r="J103" i="121"/>
  <c r="J122" i="121"/>
  <c r="J114" i="121"/>
  <c r="J94" i="121"/>
  <c r="J86" i="121"/>
  <c r="J78" i="121"/>
  <c r="J70" i="121"/>
  <c r="J120" i="121"/>
  <c r="J89" i="121"/>
  <c r="J129" i="121"/>
  <c r="J121" i="121"/>
  <c r="J113" i="121"/>
  <c r="J93" i="121"/>
  <c r="J85" i="121"/>
  <c r="J77" i="121"/>
  <c r="J69" i="121"/>
  <c r="B52" i="66"/>
  <c r="B33" i="66"/>
  <c r="B86" i="66"/>
  <c r="C6" i="58"/>
  <c r="B24" i="58"/>
  <c r="H24" i="58" s="1"/>
  <c r="C10" i="58"/>
  <c r="I10" i="58" s="1"/>
  <c r="B6" i="58"/>
  <c r="C24" i="58"/>
  <c r="I24" i="58" s="1"/>
  <c r="L6" i="58"/>
  <c r="K13" i="58"/>
  <c r="J13" i="58"/>
  <c r="BN58" i="74"/>
  <c r="BN56" i="74"/>
  <c r="BN50" i="74"/>
  <c r="BN46" i="74"/>
  <c r="BN38" i="74"/>
  <c r="BN54" i="74"/>
  <c r="BN44" i="74"/>
  <c r="BN34" i="74"/>
  <c r="BN52" i="74"/>
  <c r="BN48" i="74"/>
  <c r="BN42" i="74"/>
  <c r="BN40" i="74"/>
  <c r="BN36" i="74"/>
  <c r="BN32" i="74"/>
  <c r="BN57" i="74"/>
  <c r="BN55" i="74"/>
  <c r="BN53" i="74"/>
  <c r="BN51" i="74"/>
  <c r="BN49" i="74"/>
  <c r="BN47" i="74"/>
  <c r="BN45" i="74"/>
  <c r="BN43" i="74"/>
  <c r="BN41" i="74"/>
  <c r="BN39" i="74"/>
  <c r="BN37" i="74"/>
  <c r="BN35" i="74"/>
  <c r="BN33" i="74"/>
  <c r="BN31" i="74"/>
  <c r="C56" i="66"/>
  <c r="C79" i="66"/>
  <c r="C66" i="66"/>
  <c r="C61" i="66"/>
  <c r="C36" i="66"/>
  <c r="D40" i="66"/>
  <c r="C34" i="66"/>
  <c r="D59" i="66"/>
  <c r="D55" i="66"/>
  <c r="D53" i="66"/>
  <c r="C60" i="66"/>
  <c r="D67" i="66"/>
  <c r="D81" i="66"/>
  <c r="C62" i="66"/>
  <c r="D84" i="66"/>
  <c r="D64" i="66"/>
  <c r="D71" i="66"/>
  <c r="C73" i="66"/>
  <c r="D76" i="66"/>
  <c r="C37" i="66"/>
  <c r="C43" i="66"/>
  <c r="C57" i="66"/>
  <c r="D79" i="66"/>
  <c r="D61" i="66"/>
  <c r="C80" i="66"/>
  <c r="C69" i="66"/>
  <c r="C83" i="66"/>
  <c r="C70" i="66"/>
  <c r="C75" i="66"/>
  <c r="D36" i="66"/>
  <c r="C40" i="66"/>
  <c r="D42" i="66"/>
  <c r="D47" i="66"/>
  <c r="C49" i="66"/>
  <c r="C50" i="66"/>
  <c r="D34" i="66"/>
  <c r="C38" i="66"/>
  <c r="C64" i="66"/>
  <c r="D38" i="66"/>
  <c r="C53" i="66"/>
  <c r="D69" i="66"/>
  <c r="D63" i="66"/>
  <c r="D68" i="66"/>
  <c r="C68" i="66"/>
  <c r="C35" i="66"/>
  <c r="D46" i="66"/>
  <c r="D49" i="66"/>
  <c r="C59" i="66"/>
  <c r="C54" i="66"/>
  <c r="D60" i="66"/>
  <c r="D70" i="66"/>
  <c r="D73" i="66"/>
  <c r="D85" i="66"/>
  <c r="C72" i="66"/>
  <c r="C84" i="66"/>
  <c r="D77" i="66"/>
  <c r="C77" i="66"/>
  <c r="D41" i="66"/>
  <c r="C47" i="66"/>
  <c r="D39" i="66"/>
  <c r="C58" i="66"/>
  <c r="D65" i="66"/>
  <c r="D66" i="66"/>
  <c r="D82" i="66"/>
  <c r="D78" i="66"/>
  <c r="D72" i="66"/>
  <c r="C74" i="66"/>
  <c r="C81" i="66"/>
  <c r="D35" i="66"/>
  <c r="D37" i="66"/>
  <c r="D58" i="66"/>
  <c r="D83" i="66"/>
  <c r="C51" i="66"/>
  <c r="D74" i="66"/>
  <c r="C82" i="66"/>
  <c r="C71" i="66"/>
  <c r="D45" i="66"/>
  <c r="C44" i="66"/>
  <c r="D50" i="66"/>
  <c r="D51" i="66"/>
  <c r="D54" i="66"/>
  <c r="C85" i="66"/>
  <c r="C65" i="66"/>
  <c r="C67" i="66"/>
  <c r="D75" i="66"/>
  <c r="C78" i="66"/>
  <c r="C41" i="66"/>
  <c r="C42" i="66"/>
  <c r="D43" i="66"/>
  <c r="D44" i="66"/>
  <c r="C45" i="66"/>
  <c r="C46" i="66"/>
  <c r="C39" i="66"/>
  <c r="D56" i="66"/>
  <c r="C55" i="66"/>
  <c r="D57" i="66"/>
  <c r="D80" i="66"/>
  <c r="D62" i="66"/>
  <c r="C63" i="66"/>
  <c r="C76" i="66"/>
  <c r="D48" i="66"/>
  <c r="C48" i="66"/>
  <c r="N90" i="80"/>
  <c r="F24" i="93"/>
  <c r="Q42" i="93"/>
  <c r="O41" i="80"/>
  <c r="S41" i="80" s="1"/>
  <c r="H24" i="80"/>
  <c r="Q55" i="93"/>
  <c r="Q34" i="93"/>
  <c r="L39" i="93"/>
  <c r="N44" i="80"/>
  <c r="R44" i="80" s="1"/>
  <c r="CG48" i="132" s="1"/>
  <c r="C44" i="93"/>
  <c r="B44" i="93" s="1"/>
  <c r="O24" i="80"/>
  <c r="S24" i="80" s="1"/>
  <c r="K17" i="80"/>
  <c r="Q47" i="93"/>
  <c r="Q41" i="93"/>
  <c r="P44" i="80"/>
  <c r="T44" i="80" s="1"/>
  <c r="L58" i="93"/>
  <c r="Q58" i="93"/>
  <c r="L31" i="93"/>
  <c r="F16" i="80"/>
  <c r="L16" i="80" s="1"/>
  <c r="P36" i="80"/>
  <c r="T36" i="80" s="1"/>
  <c r="I24" i="80"/>
  <c r="C24" i="93" s="1"/>
  <c r="L35" i="93"/>
  <c r="L33" i="93"/>
  <c r="L27" i="93"/>
  <c r="L36" i="93"/>
  <c r="Q32" i="93"/>
  <c r="P41" i="80"/>
  <c r="T41" i="80" s="1"/>
  <c r="F21" i="80"/>
  <c r="L21" i="80" s="1"/>
  <c r="F26" i="80"/>
  <c r="L26" i="80" s="1"/>
  <c r="P26" i="80" s="1"/>
  <c r="T26" i="80" s="1"/>
  <c r="O36" i="80"/>
  <c r="S36" i="80" s="1"/>
  <c r="C52" i="66"/>
  <c r="C86" i="66"/>
  <c r="D52" i="66"/>
  <c r="D86" i="66"/>
  <c r="D33" i="66"/>
  <c r="C33" i="66"/>
  <c r="BN59" i="74"/>
  <c r="BN8" i="74"/>
  <c r="BN28" i="74"/>
  <c r="BN24" i="74"/>
  <c r="BN20" i="74"/>
  <c r="BN16" i="74"/>
  <c r="BN12" i="74"/>
  <c r="BN6" i="74"/>
  <c r="BN29" i="74"/>
  <c r="BN27" i="74"/>
  <c r="BN25" i="74"/>
  <c r="BN23" i="74"/>
  <c r="BN21" i="74"/>
  <c r="BN19" i="74"/>
  <c r="BN17" i="74"/>
  <c r="BN15" i="74"/>
  <c r="BN13" i="74"/>
  <c r="BN30" i="74"/>
  <c r="BN26" i="74"/>
  <c r="BN22" i="74"/>
  <c r="BN18" i="74"/>
  <c r="BN14" i="74"/>
  <c r="BN10" i="74"/>
  <c r="F51" i="80"/>
  <c r="L51" i="80" s="1"/>
  <c r="N51" i="80" s="1"/>
  <c r="R51" i="80" s="1"/>
  <c r="CG55" i="132" s="1"/>
  <c r="N35" i="80"/>
  <c r="R35" i="80" s="1"/>
  <c r="CG39" i="132" s="1"/>
  <c r="N39" i="80"/>
  <c r="R39" i="80" s="1"/>
  <c r="CG43" i="132" s="1"/>
  <c r="F5" i="80"/>
  <c r="L5" i="80" s="1"/>
  <c r="N36" i="80"/>
  <c r="R36" i="80" s="1"/>
  <c r="CG40" i="132" s="1"/>
  <c r="P35" i="80"/>
  <c r="T35" i="80" s="1"/>
  <c r="N37" i="80"/>
  <c r="R37" i="80" s="1"/>
  <c r="CG41" i="132" s="1"/>
  <c r="N32" i="80"/>
  <c r="R32" i="80" s="1"/>
  <c r="CG36" i="132" s="1"/>
  <c r="P55" i="80"/>
  <c r="T55" i="80" s="1"/>
  <c r="O42" i="80"/>
  <c r="S42" i="80" s="1"/>
  <c r="P38" i="80"/>
  <c r="T38" i="80" s="1"/>
  <c r="P34" i="80"/>
  <c r="T34" i="80" s="1"/>
  <c r="O34" i="80"/>
  <c r="S34" i="80" s="1"/>
  <c r="O45" i="80"/>
  <c r="S45" i="80" s="1"/>
  <c r="F22" i="80"/>
  <c r="L22" i="80" s="1"/>
  <c r="N41" i="80"/>
  <c r="R41" i="80" s="1"/>
  <c r="CG45" i="132" s="1"/>
  <c r="F15" i="80"/>
  <c r="L15" i="80" s="1"/>
  <c r="F58" i="80"/>
  <c r="L58" i="80" s="1"/>
  <c r="P58" i="80" s="1"/>
  <c r="T58" i="80" s="1"/>
  <c r="P45" i="80"/>
  <c r="T45" i="80" s="1"/>
  <c r="N38" i="80"/>
  <c r="R38" i="80" s="1"/>
  <c r="CG42" i="132" s="1"/>
  <c r="F50" i="80"/>
  <c r="L50" i="80" s="1"/>
  <c r="N33" i="80"/>
  <c r="R33" i="80" s="1"/>
  <c r="CG37" i="132" s="1"/>
  <c r="N40" i="80"/>
  <c r="R40" i="80" s="1"/>
  <c r="CG44" i="132" s="1"/>
  <c r="O35" i="80"/>
  <c r="S35" i="80" s="1"/>
  <c r="O40" i="80"/>
  <c r="S40" i="80" s="1"/>
  <c r="O33" i="80"/>
  <c r="S33" i="80" s="1"/>
  <c r="N55" i="80"/>
  <c r="R55" i="80" s="1"/>
  <c r="CG59" i="132" s="1"/>
  <c r="P37" i="80"/>
  <c r="T37" i="80" s="1"/>
  <c r="F20" i="80"/>
  <c r="L20" i="80" s="1"/>
  <c r="K47" i="80"/>
  <c r="P47" i="80" s="1"/>
  <c r="T47" i="80" s="1"/>
  <c r="P33" i="80"/>
  <c r="T33" i="80" s="1"/>
  <c r="F6" i="80"/>
  <c r="L6" i="80" s="1"/>
  <c r="O43" i="80"/>
  <c r="S43" i="80" s="1"/>
  <c r="P32" i="80"/>
  <c r="T32" i="80" s="1"/>
  <c r="F25" i="80"/>
  <c r="L25" i="80" s="1"/>
  <c r="F18" i="80"/>
  <c r="L18" i="80" s="1"/>
  <c r="K46" i="75"/>
  <c r="P48" i="75"/>
  <c r="O41" i="75"/>
  <c r="M75" i="75"/>
  <c r="O64" i="75"/>
  <c r="L38" i="75"/>
  <c r="G55" i="52"/>
  <c r="F4" i="52"/>
  <c r="F5" i="52" s="1"/>
  <c r="F55" i="52"/>
  <c r="E4" i="52"/>
  <c r="E5" i="52" s="1"/>
  <c r="E55" i="52"/>
  <c r="E6" i="52" s="1"/>
  <c r="D4" i="52"/>
  <c r="D5" i="52" s="1"/>
  <c r="D55" i="52"/>
  <c r="G39" i="52"/>
  <c r="K38" i="75"/>
  <c r="K79" i="75"/>
  <c r="L72" i="75"/>
  <c r="K71" i="75"/>
  <c r="P70" i="75"/>
  <c r="L64" i="75"/>
  <c r="K63" i="75"/>
  <c r="F30" i="52"/>
  <c r="G41" i="52"/>
  <c r="G40" i="52"/>
  <c r="G43" i="52"/>
  <c r="D43" i="52"/>
  <c r="G30" i="52"/>
  <c r="D41" i="52"/>
  <c r="D30" i="52"/>
  <c r="F39" i="52"/>
  <c r="D42" i="52"/>
  <c r="D39" i="52"/>
  <c r="F41" i="52"/>
  <c r="E40" i="52"/>
  <c r="G4" i="52"/>
  <c r="G5" i="52" s="1"/>
  <c r="E43" i="52"/>
  <c r="E41" i="52"/>
  <c r="E30" i="52"/>
  <c r="F40" i="52"/>
  <c r="F42" i="52"/>
  <c r="E42" i="52"/>
  <c r="F43" i="52"/>
  <c r="M49" i="75"/>
  <c r="M73" i="75"/>
  <c r="M65" i="75"/>
  <c r="K53" i="75"/>
  <c r="K85" i="75"/>
  <c r="M80" i="75"/>
  <c r="L77" i="75"/>
  <c r="L69" i="75"/>
  <c r="L87" i="75"/>
  <c r="K57" i="75"/>
  <c r="K49" i="75"/>
  <c r="K42" i="75"/>
  <c r="K65" i="75"/>
  <c r="P36" i="75"/>
  <c r="M40" i="75"/>
  <c r="O79" i="75"/>
  <c r="P34" i="75"/>
  <c r="O36" i="75"/>
  <c r="L59" i="75"/>
  <c r="P49" i="75"/>
  <c r="L44" i="75"/>
  <c r="L83" i="75"/>
  <c r="N85" i="75"/>
  <c r="N69" i="75"/>
  <c r="K84" i="75"/>
  <c r="K59" i="75"/>
  <c r="K58" i="75"/>
  <c r="L52" i="75"/>
  <c r="K51" i="75"/>
  <c r="K50" i="75"/>
  <c r="K44" i="75"/>
  <c r="O43" i="75"/>
  <c r="M85" i="75"/>
  <c r="K83" i="75"/>
  <c r="M77" i="75"/>
  <c r="K75" i="75"/>
  <c r="M69" i="75"/>
  <c r="K67" i="75"/>
  <c r="M87" i="75"/>
  <c r="L57" i="75"/>
  <c r="K56" i="75"/>
  <c r="L49" i="75"/>
  <c r="K48" i="75"/>
  <c r="L42" i="75"/>
  <c r="K41" i="75"/>
  <c r="K80" i="75"/>
  <c r="L73" i="75"/>
  <c r="K72" i="75"/>
  <c r="L65" i="75"/>
  <c r="K64" i="75"/>
  <c r="P86" i="75"/>
  <c r="P62" i="75"/>
  <c r="O86" i="75"/>
  <c r="O70" i="75"/>
  <c r="O62" i="75"/>
  <c r="P67" i="75"/>
  <c r="L81" i="75"/>
  <c r="K81" i="75"/>
  <c r="P79" i="75"/>
  <c r="O59" i="75"/>
  <c r="O51" i="75"/>
  <c r="O44" i="75"/>
  <c r="O83" i="75"/>
  <c r="P78" i="75"/>
  <c r="O75" i="75"/>
  <c r="P68" i="75"/>
  <c r="O67" i="75"/>
  <c r="L34" i="75"/>
  <c r="K36" i="75"/>
  <c r="N59" i="75"/>
  <c r="M58" i="75"/>
  <c r="L55" i="75"/>
  <c r="P53" i="75"/>
  <c r="O52" i="75"/>
  <c r="N51" i="75"/>
  <c r="M50" i="75"/>
  <c r="P46" i="75"/>
  <c r="O45" i="75"/>
  <c r="N44" i="75"/>
  <c r="M43" i="75"/>
  <c r="P61" i="75"/>
  <c r="P85" i="75"/>
  <c r="N83" i="75"/>
  <c r="M82" i="75"/>
  <c r="M79" i="75"/>
  <c r="P71" i="75"/>
  <c r="N67" i="75"/>
  <c r="M66" i="75"/>
  <c r="N63" i="75"/>
  <c r="L53" i="75"/>
  <c r="O74" i="75"/>
  <c r="M38" i="75"/>
  <c r="M59" i="75"/>
  <c r="L58" i="75"/>
  <c r="P56" i="75"/>
  <c r="O53" i="75"/>
  <c r="M51" i="75"/>
  <c r="L50" i="75"/>
  <c r="O48" i="75"/>
  <c r="O46" i="75"/>
  <c r="L43" i="75"/>
  <c r="P41" i="75"/>
  <c r="O85" i="75"/>
  <c r="M83" i="75"/>
  <c r="L82" i="75"/>
  <c r="P80" i="75"/>
  <c r="P75" i="75"/>
  <c r="K87" i="75"/>
  <c r="P57" i="75"/>
  <c r="N53" i="75"/>
  <c r="K43" i="75"/>
  <c r="N42" i="75"/>
  <c r="L61" i="75"/>
  <c r="K82" i="75"/>
  <c r="O65" i="75"/>
  <c r="L78" i="75"/>
  <c r="K61" i="75"/>
  <c r="P42" i="75"/>
  <c r="P81" i="75"/>
  <c r="N78" i="75"/>
  <c r="N74" i="75"/>
  <c r="P72" i="75"/>
  <c r="O71" i="75"/>
  <c r="N70" i="75"/>
  <c r="L66" i="75"/>
  <c r="P64" i="75"/>
  <c r="O63" i="75"/>
  <c r="N62" i="75"/>
  <c r="M70" i="75"/>
  <c r="N79" i="75"/>
  <c r="K73" i="75"/>
  <c r="O38" i="75"/>
  <c r="O34" i="75"/>
  <c r="N36" i="75"/>
  <c r="N38" i="75"/>
  <c r="O40" i="75"/>
  <c r="L60" i="75"/>
  <c r="P58" i="75"/>
  <c r="O57" i="75"/>
  <c r="N56" i="75"/>
  <c r="P50" i="75"/>
  <c r="O49" i="75"/>
  <c r="L45" i="75"/>
  <c r="P43" i="75"/>
  <c r="O42" i="75"/>
  <c r="N41" i="75"/>
  <c r="M61" i="75"/>
  <c r="L84" i="75"/>
  <c r="P82" i="75"/>
  <c r="O81" i="75"/>
  <c r="N80" i="75"/>
  <c r="M78" i="75"/>
  <c r="N75" i="75"/>
  <c r="O72" i="75"/>
  <c r="N71" i="75"/>
  <c r="L67" i="75"/>
  <c r="M62" i="75"/>
  <c r="N48" i="75"/>
  <c r="N34" i="75"/>
  <c r="M36" i="75"/>
  <c r="O58" i="75"/>
  <c r="N57" i="75"/>
  <c r="M56" i="75"/>
  <c r="O50" i="75"/>
  <c r="N49" i="75"/>
  <c r="M46" i="75"/>
  <c r="M41" i="75"/>
  <c r="N61" i="75"/>
  <c r="O82" i="75"/>
  <c r="N81" i="75"/>
  <c r="L79" i="75"/>
  <c r="O73" i="75"/>
  <c r="N72" i="75"/>
  <c r="M71" i="75"/>
  <c r="N64" i="75"/>
  <c r="M63" i="75"/>
  <c r="P63" i="75"/>
  <c r="M48" i="75"/>
  <c r="O80" i="75"/>
  <c r="P73" i="75"/>
  <c r="M34" i="75"/>
  <c r="L36" i="75"/>
  <c r="N58" i="75"/>
  <c r="M57" i="75"/>
  <c r="N50" i="75"/>
  <c r="N43" i="75"/>
  <c r="M42" i="75"/>
  <c r="O61" i="75"/>
  <c r="N82" i="75"/>
  <c r="M81" i="75"/>
  <c r="K78" i="75"/>
  <c r="O77" i="75"/>
  <c r="N73" i="75"/>
  <c r="M72" i="75"/>
  <c r="L71" i="75"/>
  <c r="K70" i="75"/>
  <c r="O69" i="75"/>
  <c r="N65" i="75"/>
  <c r="M64" i="75"/>
  <c r="L63" i="75"/>
  <c r="K62" i="75"/>
  <c r="K66" i="75"/>
  <c r="L74" i="75"/>
  <c r="N45" i="75"/>
  <c r="M67" i="75"/>
  <c r="O87" i="75"/>
  <c r="N46" i="75"/>
  <c r="M53" i="75"/>
  <c r="M45" i="75"/>
  <c r="P77" i="75"/>
  <c r="K55" i="75"/>
  <c r="L46" i="75"/>
  <c r="P38" i="75"/>
  <c r="P60" i="75"/>
  <c r="L56" i="75"/>
  <c r="P52" i="75"/>
  <c r="L48" i="75"/>
  <c r="P45" i="75"/>
  <c r="L41" i="75"/>
  <c r="P84" i="75"/>
  <c r="L80" i="75"/>
  <c r="K77" i="75"/>
  <c r="P74" i="75"/>
  <c r="L70" i="75"/>
  <c r="K69" i="75"/>
  <c r="P66" i="75"/>
  <c r="L62" i="75"/>
  <c r="K45" i="75"/>
  <c r="P87" i="75"/>
  <c r="K74" i="75"/>
  <c r="O55" i="75"/>
  <c r="P69" i="75"/>
  <c r="N77" i="75"/>
  <c r="N66" i="75"/>
  <c r="M74" i="75"/>
  <c r="O60" i="75"/>
  <c r="O84" i="75"/>
  <c r="O66" i="75"/>
  <c r="N87" i="75"/>
  <c r="P59" i="75"/>
  <c r="O56" i="75"/>
  <c r="L85" i="75"/>
  <c r="P83" i="75"/>
  <c r="O78" i="75"/>
  <c r="L75" i="75"/>
  <c r="P65" i="75"/>
  <c r="P54" i="75"/>
  <c r="K54" i="75"/>
  <c r="N54" i="75"/>
  <c r="O54" i="75"/>
  <c r="M54" i="75"/>
  <c r="L47" i="75"/>
  <c r="P47" i="75"/>
  <c r="K47" i="75"/>
  <c r="O47" i="75"/>
  <c r="N86" i="75"/>
  <c r="K86" i="75"/>
  <c r="L86" i="75"/>
  <c r="M86" i="75"/>
  <c r="P76" i="75"/>
  <c r="N76" i="75"/>
  <c r="K76" i="75"/>
  <c r="O76" i="75"/>
  <c r="O68" i="75"/>
  <c r="K68" i="75"/>
  <c r="N68" i="75"/>
  <c r="L54" i="75"/>
  <c r="K40" i="75"/>
  <c r="P40" i="75"/>
  <c r="L40" i="75"/>
  <c r="M55" i="75"/>
  <c r="N40" i="75"/>
  <c r="K60" i="75"/>
  <c r="N55" i="75"/>
  <c r="K52" i="75"/>
  <c r="L51" i="75"/>
  <c r="P51" i="75"/>
  <c r="N47" i="75"/>
  <c r="M44" i="75"/>
  <c r="P44" i="75"/>
  <c r="M76" i="75"/>
  <c r="M68" i="75"/>
  <c r="P55" i="75"/>
  <c r="N60" i="75"/>
  <c r="M60" i="75"/>
  <c r="M52" i="75"/>
  <c r="N52" i="75"/>
  <c r="M47" i="75"/>
  <c r="M84" i="75"/>
  <c r="N84" i="75"/>
  <c r="L76" i="75"/>
  <c r="L68" i="75"/>
  <c r="F57" i="80"/>
  <c r="L57" i="80" s="1"/>
  <c r="O57" i="80" s="1"/>
  <c r="S57" i="80" s="1"/>
  <c r="I57" i="80"/>
  <c r="C57" i="93" s="1"/>
  <c r="B57" i="93" s="1"/>
  <c r="F53" i="80"/>
  <c r="L53" i="80" s="1"/>
  <c r="O53" i="80" s="1"/>
  <c r="S53" i="80" s="1"/>
  <c r="I53" i="80"/>
  <c r="C53" i="93" s="1"/>
  <c r="B53" i="93" s="1"/>
  <c r="P39" i="80"/>
  <c r="T39" i="80" s="1"/>
  <c r="I54" i="80"/>
  <c r="C54" i="93" s="1"/>
  <c r="B54" i="93" s="1"/>
  <c r="F54" i="80"/>
  <c r="L54" i="80" s="1"/>
  <c r="O54" i="80" s="1"/>
  <c r="S54" i="80" s="1"/>
  <c r="I49" i="80"/>
  <c r="C49" i="93" s="1"/>
  <c r="B49" i="93" s="1"/>
  <c r="F49" i="80"/>
  <c r="L49" i="80" s="1"/>
  <c r="O49" i="80" s="1"/>
  <c r="S49" i="80" s="1"/>
  <c r="O47" i="80"/>
  <c r="S47" i="80" s="1"/>
  <c r="N47" i="80"/>
  <c r="R47" i="80" s="1"/>
  <c r="CG51" i="132" s="1"/>
  <c r="N43" i="80"/>
  <c r="R43" i="80" s="1"/>
  <c r="CG47" i="132" s="1"/>
  <c r="P43" i="80"/>
  <c r="T43" i="80" s="1"/>
  <c r="I52" i="80"/>
  <c r="C52" i="93" s="1"/>
  <c r="B52" i="93" s="1"/>
  <c r="F52" i="80"/>
  <c r="L52" i="80" s="1"/>
  <c r="O52" i="80" s="1"/>
  <c r="S52" i="80" s="1"/>
  <c r="K27" i="80"/>
  <c r="F27" i="80"/>
  <c r="L27" i="80" s="1"/>
  <c r="I29" i="80"/>
  <c r="C29" i="93" s="1"/>
  <c r="B29" i="93" s="1"/>
  <c r="F29" i="80"/>
  <c r="L29" i="80" s="1"/>
  <c r="O39" i="80"/>
  <c r="S39" i="80" s="1"/>
  <c r="I23" i="80"/>
  <c r="C23" i="93" s="1"/>
  <c r="F23" i="80"/>
  <c r="L23" i="80" s="1"/>
  <c r="P40" i="80"/>
  <c r="T40" i="80" s="1"/>
  <c r="O38" i="80"/>
  <c r="S38" i="80" s="1"/>
  <c r="F46" i="80"/>
  <c r="L46" i="80" s="1"/>
  <c r="O46" i="80" s="1"/>
  <c r="S46" i="80" s="1"/>
  <c r="I46" i="80"/>
  <c r="I56" i="80"/>
  <c r="C56" i="93" s="1"/>
  <c r="B56" i="93" s="1"/>
  <c r="F56" i="80"/>
  <c r="L56" i="80" s="1"/>
  <c r="O56" i="80" s="1"/>
  <c r="S56" i="80" s="1"/>
  <c r="F30" i="80"/>
  <c r="L30" i="80" s="1"/>
  <c r="N24" i="80"/>
  <c r="R24" i="80" s="1"/>
  <c r="CG28" i="132" s="1"/>
  <c r="O32" i="80"/>
  <c r="S32" i="80" s="1"/>
  <c r="L60" i="80"/>
  <c r="O60" i="80" s="1"/>
  <c r="S60" i="80" s="1"/>
  <c r="I60" i="80"/>
  <c r="N34" i="80"/>
  <c r="R34" i="80" s="1"/>
  <c r="CG38" i="132" s="1"/>
  <c r="F31" i="80"/>
  <c r="L31" i="80" s="1"/>
  <c r="O31" i="80" s="1"/>
  <c r="S31" i="80" s="1"/>
  <c r="P24" i="80"/>
  <c r="T24" i="80" s="1"/>
  <c r="B25" i="93" l="1"/>
  <c r="L25" i="93"/>
  <c r="B30" i="93"/>
  <c r="Q30" i="93"/>
  <c r="C26" i="93"/>
  <c r="B26" i="93" s="1"/>
  <c r="N26" i="80"/>
  <c r="R26" i="80" s="1"/>
  <c r="CG30" i="132" s="1"/>
  <c r="CH43" i="132"/>
  <c r="BV43" i="132" s="1"/>
  <c r="AK43" i="132" s="1"/>
  <c r="W40" i="74"/>
  <c r="Y40" i="74"/>
  <c r="X40" i="74" s="1"/>
  <c r="CI49" i="132"/>
  <c r="U46" i="74"/>
  <c r="CI40" i="132"/>
  <c r="U37" i="74"/>
  <c r="T37" i="74" s="1"/>
  <c r="CH64" i="132"/>
  <c r="BV64" i="132" s="1"/>
  <c r="AK64" i="132" s="1"/>
  <c r="W61" i="74"/>
  <c r="CH42" i="132"/>
  <c r="BV42" i="132" s="1"/>
  <c r="AK42" i="132" s="1"/>
  <c r="W39" i="74"/>
  <c r="Y39" i="74"/>
  <c r="X39" i="74" s="1"/>
  <c r="O53" i="93"/>
  <c r="Z57" i="132" s="1"/>
  <c r="U53" i="93"/>
  <c r="CI37" i="132"/>
  <c r="U34" i="74"/>
  <c r="CH39" i="132"/>
  <c r="BV39" i="132" s="1"/>
  <c r="AK39" i="132" s="1"/>
  <c r="W36" i="74"/>
  <c r="Y36" i="74"/>
  <c r="X36" i="74" s="1"/>
  <c r="CI62" i="132"/>
  <c r="U59" i="74"/>
  <c r="CH46" i="132"/>
  <c r="BV46" i="132" s="1"/>
  <c r="AK46" i="132" s="1"/>
  <c r="W43" i="74"/>
  <c r="Y43" i="74"/>
  <c r="X43" i="74" s="1"/>
  <c r="CH40" i="132"/>
  <c r="BV40" i="132" s="1"/>
  <c r="AK40" i="132" s="1"/>
  <c r="W37" i="74"/>
  <c r="Y37" i="74"/>
  <c r="X37" i="74" s="1"/>
  <c r="CI46" i="132"/>
  <c r="U43" i="74"/>
  <c r="I28" i="80"/>
  <c r="C28" i="93" s="1"/>
  <c r="B28" i="93" s="1"/>
  <c r="I59" i="80"/>
  <c r="C59" i="93" s="1"/>
  <c r="F48" i="80"/>
  <c r="L48" i="80" s="1"/>
  <c r="N48" i="80" s="1"/>
  <c r="R48" i="80" s="1"/>
  <c r="CG52" i="132" s="1"/>
  <c r="CH36" i="132"/>
  <c r="BV36" i="132" s="1"/>
  <c r="AK36" i="132" s="1"/>
  <c r="W33" i="74"/>
  <c r="Y33" i="74"/>
  <c r="X33" i="74" s="1"/>
  <c r="CI44" i="132"/>
  <c r="U41" i="74"/>
  <c r="T41" i="74" s="1"/>
  <c r="U29" i="93"/>
  <c r="O29" i="93"/>
  <c r="Z33" i="132" s="1"/>
  <c r="CH57" i="132"/>
  <c r="BV57" i="132" s="1"/>
  <c r="AK57" i="132" s="1"/>
  <c r="W54" i="74"/>
  <c r="CI51" i="132"/>
  <c r="U48" i="74"/>
  <c r="T48" i="74" s="1"/>
  <c r="CI59" i="132"/>
  <c r="U56" i="74"/>
  <c r="CI30" i="132"/>
  <c r="U27" i="74"/>
  <c r="CH59" i="132"/>
  <c r="BV59" i="132" s="1"/>
  <c r="AK59" i="132" s="1"/>
  <c r="W56" i="74"/>
  <c r="Y56" i="74"/>
  <c r="X56" i="74" s="1"/>
  <c r="CI43" i="132"/>
  <c r="U40" i="74"/>
  <c r="CI42" i="132"/>
  <c r="U39" i="74"/>
  <c r="CH51" i="132"/>
  <c r="BV51" i="132" s="1"/>
  <c r="AK51" i="132" s="1"/>
  <c r="W48" i="74"/>
  <c r="Y48" i="74"/>
  <c r="X48" i="74" s="1"/>
  <c r="O57" i="93"/>
  <c r="Z61" i="132" s="1"/>
  <c r="U57" i="93"/>
  <c r="CH28" i="132"/>
  <c r="BV28" i="132" s="1"/>
  <c r="AK28" i="132" s="1"/>
  <c r="W25" i="74"/>
  <c r="Y25" i="74"/>
  <c r="X25" i="74" s="1"/>
  <c r="CH45" i="132"/>
  <c r="BV45" i="132" s="1"/>
  <c r="AK45" i="132" s="1"/>
  <c r="W42" i="74"/>
  <c r="Y42" i="74"/>
  <c r="X42" i="74" s="1"/>
  <c r="CH41" i="132"/>
  <c r="BV41" i="132" s="1"/>
  <c r="AK41" i="132" s="1"/>
  <c r="W38" i="74"/>
  <c r="Y38" i="74"/>
  <c r="X38" i="74" s="1"/>
  <c r="N59" i="80"/>
  <c r="R59" i="80" s="1"/>
  <c r="CG63" i="132" s="1"/>
  <c r="CH61" i="132"/>
  <c r="BV61" i="132" s="1"/>
  <c r="AK61" i="132" s="1"/>
  <c r="W58" i="74"/>
  <c r="N25" i="80"/>
  <c r="R25" i="80" s="1"/>
  <c r="CG29" i="132" s="1"/>
  <c r="CI41" i="132"/>
  <c r="U38" i="74"/>
  <c r="O44" i="93"/>
  <c r="Z48" i="132" s="1"/>
  <c r="U44" i="93"/>
  <c r="U47" i="93"/>
  <c r="O47" i="93"/>
  <c r="Z51" i="132" s="1"/>
  <c r="CH50" i="132"/>
  <c r="BV50" i="132" s="1"/>
  <c r="AK50" i="132" s="1"/>
  <c r="W47" i="74"/>
  <c r="CH48" i="132"/>
  <c r="BV48" i="132" s="1"/>
  <c r="AK48" i="132" s="1"/>
  <c r="W45" i="74"/>
  <c r="Y45" i="74"/>
  <c r="X45" i="74" s="1"/>
  <c r="N30" i="80"/>
  <c r="R30" i="80" s="1"/>
  <c r="CG34" i="132" s="1"/>
  <c r="CI28" i="132"/>
  <c r="U25" i="74"/>
  <c r="CH60" i="132"/>
  <c r="BV60" i="132" s="1"/>
  <c r="AK60" i="132" s="1"/>
  <c r="W57" i="74"/>
  <c r="CH56" i="132"/>
  <c r="BV56" i="132" s="1"/>
  <c r="AK56" i="132" s="1"/>
  <c r="W53" i="74"/>
  <c r="O49" i="93"/>
  <c r="Z53" i="132" s="1"/>
  <c r="U49" i="93"/>
  <c r="CI36" i="132"/>
  <c r="U33" i="74"/>
  <c r="CH49" i="132"/>
  <c r="BV49" i="132" s="1"/>
  <c r="AK49" i="132" s="1"/>
  <c r="W46" i="74"/>
  <c r="Y46" i="74"/>
  <c r="X46" i="74" s="1"/>
  <c r="CI45" i="132"/>
  <c r="U42" i="74"/>
  <c r="T42" i="74" s="1"/>
  <c r="U27" i="93"/>
  <c r="O27" i="93"/>
  <c r="Z31" i="132" s="1"/>
  <c r="U51" i="93"/>
  <c r="O51" i="93"/>
  <c r="Z55" i="132" s="1"/>
  <c r="CI47" i="132"/>
  <c r="U44" i="74"/>
  <c r="CH35" i="132"/>
  <c r="BV35" i="132" s="1"/>
  <c r="AK35" i="132" s="1"/>
  <c r="W32" i="74"/>
  <c r="O56" i="93"/>
  <c r="Z60" i="132" s="1"/>
  <c r="U56" i="93"/>
  <c r="U52" i="93"/>
  <c r="O52" i="93"/>
  <c r="Z56" i="132" s="1"/>
  <c r="CH58" i="132"/>
  <c r="BV58" i="132" s="1"/>
  <c r="AK58" i="132" s="1"/>
  <c r="W55" i="74"/>
  <c r="CH47" i="132"/>
  <c r="BV47" i="132" s="1"/>
  <c r="AK47" i="132" s="1"/>
  <c r="W44" i="74"/>
  <c r="Y44" i="74"/>
  <c r="X44" i="74" s="1"/>
  <c r="CH38" i="132"/>
  <c r="BV38" i="132" s="1"/>
  <c r="AK38" i="132" s="1"/>
  <c r="W35" i="74"/>
  <c r="Y35" i="74"/>
  <c r="X35" i="74" s="1"/>
  <c r="CI39" i="132"/>
  <c r="U36" i="74"/>
  <c r="B24" i="93"/>
  <c r="CH44" i="132"/>
  <c r="BV44" i="132" s="1"/>
  <c r="AK44" i="132" s="1"/>
  <c r="W41" i="74"/>
  <c r="Y41" i="74"/>
  <c r="X41" i="74" s="1"/>
  <c r="CH53" i="132"/>
  <c r="BV53" i="132" s="1"/>
  <c r="AK53" i="132" s="1"/>
  <c r="W50" i="74"/>
  <c r="Y50" i="74"/>
  <c r="X50" i="74" s="1"/>
  <c r="O59" i="80"/>
  <c r="S59" i="80" s="1"/>
  <c r="U54" i="93"/>
  <c r="O54" i="93"/>
  <c r="Z58" i="132" s="1"/>
  <c r="P59" i="80"/>
  <c r="T59" i="80" s="1"/>
  <c r="CH37" i="132"/>
  <c r="BV37" i="132" s="1"/>
  <c r="AK37" i="132" s="1"/>
  <c r="W34" i="74"/>
  <c r="Y34" i="74"/>
  <c r="X34" i="74" s="1"/>
  <c r="CI38" i="132"/>
  <c r="U35" i="74"/>
  <c r="CI48" i="132"/>
  <c r="U45" i="74"/>
  <c r="V13" i="80"/>
  <c r="W13" i="80"/>
  <c r="P79" i="80"/>
  <c r="L12" i="80" s="1"/>
  <c r="J13" i="80"/>
  <c r="L13" i="80"/>
  <c r="H69" i="152"/>
  <c r="X69" i="152"/>
  <c r="AF69" i="152" s="1"/>
  <c r="H86" i="152"/>
  <c r="X86" i="152"/>
  <c r="AF86" i="152" s="1"/>
  <c r="H83" i="152"/>
  <c r="X83" i="152"/>
  <c r="AF83" i="152" s="1"/>
  <c r="H45" i="152"/>
  <c r="X45" i="152"/>
  <c r="AF45" i="152" s="1"/>
  <c r="H41" i="152"/>
  <c r="X41" i="152"/>
  <c r="AF41" i="152" s="1"/>
  <c r="H60" i="152"/>
  <c r="X60" i="152"/>
  <c r="AF60" i="152" s="1"/>
  <c r="H47" i="152"/>
  <c r="X47" i="152"/>
  <c r="AF47" i="152" s="1"/>
  <c r="H36" i="152"/>
  <c r="X36" i="152"/>
  <c r="H66" i="152"/>
  <c r="X66" i="152"/>
  <c r="AF66" i="152" s="1"/>
  <c r="H51" i="152"/>
  <c r="X51" i="152"/>
  <c r="AF51" i="152" s="1"/>
  <c r="H64" i="152"/>
  <c r="X64" i="152"/>
  <c r="AF64" i="152" s="1"/>
  <c r="H72" i="152"/>
  <c r="X72" i="152"/>
  <c r="AF72" i="152" s="1"/>
  <c r="H77" i="152"/>
  <c r="X77" i="152"/>
  <c r="AF77" i="152" s="1"/>
  <c r="H65" i="152"/>
  <c r="X65" i="152"/>
  <c r="AF65" i="152" s="1"/>
  <c r="H70" i="152"/>
  <c r="X70" i="152"/>
  <c r="AF70" i="152" s="1"/>
  <c r="H62" i="152"/>
  <c r="X62" i="152"/>
  <c r="AF62" i="152" s="1"/>
  <c r="H44" i="152"/>
  <c r="X44" i="152"/>
  <c r="AF44" i="152" s="1"/>
  <c r="H61" i="152"/>
  <c r="X61" i="152"/>
  <c r="AF61" i="152" s="1"/>
  <c r="H76" i="152"/>
  <c r="X76" i="152"/>
  <c r="AF76" i="152" s="1"/>
  <c r="H68" i="152"/>
  <c r="X68" i="152"/>
  <c r="AF68" i="152" s="1"/>
  <c r="H50" i="152"/>
  <c r="X50" i="152"/>
  <c r="AF50" i="152" s="1"/>
  <c r="H59" i="152"/>
  <c r="X59" i="152"/>
  <c r="AF59" i="152" s="1"/>
  <c r="H52" i="152"/>
  <c r="X52" i="152"/>
  <c r="AF52" i="152" s="1"/>
  <c r="H42" i="152"/>
  <c r="X42" i="152"/>
  <c r="AF42" i="152" s="1"/>
  <c r="H78" i="152"/>
  <c r="X78" i="152"/>
  <c r="AF78" i="152" s="1"/>
  <c r="H79" i="152"/>
  <c r="X79" i="152"/>
  <c r="AF79" i="152" s="1"/>
  <c r="H38" i="152"/>
  <c r="X38" i="152"/>
  <c r="AF38" i="152" s="1"/>
  <c r="H67" i="152"/>
  <c r="X67" i="152"/>
  <c r="AF67" i="152" s="1"/>
  <c r="H81" i="152"/>
  <c r="X81" i="152"/>
  <c r="AF81" i="152" s="1"/>
  <c r="H84" i="152"/>
  <c r="X84" i="152"/>
  <c r="AF84" i="152" s="1"/>
  <c r="H58" i="152"/>
  <c r="X58" i="152"/>
  <c r="AF58" i="152" s="1"/>
  <c r="H73" i="152"/>
  <c r="X73" i="152"/>
  <c r="AF73" i="152" s="1"/>
  <c r="H82" i="152"/>
  <c r="X82" i="152"/>
  <c r="AF82" i="152" s="1"/>
  <c r="H63" i="152"/>
  <c r="X63" i="152"/>
  <c r="AF63" i="152" s="1"/>
  <c r="H53" i="152"/>
  <c r="H92" i="152" s="1"/>
  <c r="X53" i="152"/>
  <c r="AF53" i="152" s="1"/>
  <c r="H87" i="152"/>
  <c r="X87" i="152"/>
  <c r="AF87" i="152" s="1"/>
  <c r="H54" i="152"/>
  <c r="X54" i="152"/>
  <c r="AF54" i="152" s="1"/>
  <c r="H48" i="152"/>
  <c r="X48" i="152"/>
  <c r="AF48" i="152" s="1"/>
  <c r="H75" i="152"/>
  <c r="X75" i="152"/>
  <c r="AF75" i="152" s="1"/>
  <c r="H71" i="152"/>
  <c r="X71" i="152"/>
  <c r="AF71" i="152" s="1"/>
  <c r="H46" i="152"/>
  <c r="X46" i="152"/>
  <c r="AF46" i="152" s="1"/>
  <c r="H57" i="152"/>
  <c r="X57" i="152"/>
  <c r="AF57" i="152" s="1"/>
  <c r="H85" i="152"/>
  <c r="X85" i="152"/>
  <c r="AF85" i="152" s="1"/>
  <c r="H80" i="152"/>
  <c r="X80" i="152"/>
  <c r="AF80" i="152" s="1"/>
  <c r="H43" i="152"/>
  <c r="X43" i="152"/>
  <c r="AF43" i="152" s="1"/>
  <c r="H74" i="152"/>
  <c r="X74" i="152"/>
  <c r="AF74" i="152" s="1"/>
  <c r="H40" i="152"/>
  <c r="X40" i="152"/>
  <c r="AF40" i="152" s="1"/>
  <c r="H55" i="152"/>
  <c r="X55" i="152"/>
  <c r="AF55" i="152" s="1"/>
  <c r="H49" i="152"/>
  <c r="X49" i="152"/>
  <c r="AF49" i="152" s="1"/>
  <c r="H56" i="152"/>
  <c r="X56" i="152"/>
  <c r="AF56" i="152" s="1"/>
  <c r="F9" i="57"/>
  <c r="H9" i="57"/>
  <c r="C18" i="151"/>
  <c r="C18" i="143" s="1"/>
  <c r="G18" i="149"/>
  <c r="G18" i="151" s="1"/>
  <c r="G18" i="143" s="1"/>
  <c r="C27" i="149"/>
  <c r="F10" i="57"/>
  <c r="H10" i="57"/>
  <c r="K12" i="58"/>
  <c r="K11" i="58"/>
  <c r="I11" i="58"/>
  <c r="J12" i="58"/>
  <c r="J11" i="58"/>
  <c r="H13" i="91"/>
  <c r="K11" i="91"/>
  <c r="H12" i="58"/>
  <c r="C13" i="91"/>
  <c r="I12" i="91"/>
  <c r="I16" i="91"/>
  <c r="B13" i="91"/>
  <c r="D13" i="91"/>
  <c r="K19" i="58"/>
  <c r="D18" i="149"/>
  <c r="CE39" i="132"/>
  <c r="CC39" i="132"/>
  <c r="CE24" i="132"/>
  <c r="CC24" i="132"/>
  <c r="CC29" i="132"/>
  <c r="CE29" i="132"/>
  <c r="CE32" i="132"/>
  <c r="CC32" i="132"/>
  <c r="CE37" i="132"/>
  <c r="CC37" i="132"/>
  <c r="CE38" i="132"/>
  <c r="CC38" i="132"/>
  <c r="CE19" i="132"/>
  <c r="CC19" i="132"/>
  <c r="CE53" i="132"/>
  <c r="CC53" i="132"/>
  <c r="CC59" i="132"/>
  <c r="CE59" i="132"/>
  <c r="CE54" i="132"/>
  <c r="CC54" i="132"/>
  <c r="CE56" i="132"/>
  <c r="CC56" i="132"/>
  <c r="CC33" i="132"/>
  <c r="CE33" i="132"/>
  <c r="CE35" i="132"/>
  <c r="CC35" i="132"/>
  <c r="CE21" i="132"/>
  <c r="CC21" i="132"/>
  <c r="CC26" i="132"/>
  <c r="CE26" i="132"/>
  <c r="CE55" i="132"/>
  <c r="CC55" i="132"/>
  <c r="CE42" i="132"/>
  <c r="CC42" i="132"/>
  <c r="CE17" i="132"/>
  <c r="CC17" i="132"/>
  <c r="CE46" i="132"/>
  <c r="CC46" i="132"/>
  <c r="CE61" i="132"/>
  <c r="CC61" i="132"/>
  <c r="CE28" i="132"/>
  <c r="CC28" i="132"/>
  <c r="CE23" i="132"/>
  <c r="CC23" i="132"/>
  <c r="CC18" i="132"/>
  <c r="CE18" i="132"/>
  <c r="CC41" i="132"/>
  <c r="CE41" i="132"/>
  <c r="CE20" i="132"/>
  <c r="CC20" i="132"/>
  <c r="CC22" i="132"/>
  <c r="CE22" i="132"/>
  <c r="CE30" i="132"/>
  <c r="CC30" i="132"/>
  <c r="CE40" i="132"/>
  <c r="CC40" i="132"/>
  <c r="CE45" i="132"/>
  <c r="CC45" i="132"/>
  <c r="CE25" i="132"/>
  <c r="CC25" i="132"/>
  <c r="CE15" i="132"/>
  <c r="CC15" i="132"/>
  <c r="CC44" i="132"/>
  <c r="CE44" i="132"/>
  <c r="CE47" i="132"/>
  <c r="CC47" i="132"/>
  <c r="CE34" i="132"/>
  <c r="CC34" i="132"/>
  <c r="CE49" i="132"/>
  <c r="CC49" i="132"/>
  <c r="CE36" i="132"/>
  <c r="CC36" i="132"/>
  <c r="CE51" i="132"/>
  <c r="CC51" i="132"/>
  <c r="CE60" i="132"/>
  <c r="CC60" i="132"/>
  <c r="CE27" i="132"/>
  <c r="CC27" i="132"/>
  <c r="CE58" i="132"/>
  <c r="CC58" i="132"/>
  <c r="CE43" i="132"/>
  <c r="CC43" i="132"/>
  <c r="CC48" i="132"/>
  <c r="CE48" i="132"/>
  <c r="CE11" i="132"/>
  <c r="CC11" i="132"/>
  <c r="CE31" i="132"/>
  <c r="CC31" i="132"/>
  <c r="CC13" i="132"/>
  <c r="CE13" i="132"/>
  <c r="CE16" i="132"/>
  <c r="CC16" i="132"/>
  <c r="CE50" i="132"/>
  <c r="CC50" i="132"/>
  <c r="CE57" i="132"/>
  <c r="CC57" i="132"/>
  <c r="CE52" i="132"/>
  <c r="CC52" i="132"/>
  <c r="H16" i="91"/>
  <c r="J19" i="58"/>
  <c r="J9" i="58"/>
  <c r="I11" i="91"/>
  <c r="H19" i="58"/>
  <c r="I19" i="58"/>
  <c r="K12" i="91"/>
  <c r="J12" i="91"/>
  <c r="J16" i="91"/>
  <c r="J11" i="91"/>
  <c r="H9" i="91"/>
  <c r="K6" i="58"/>
  <c r="K13" i="91"/>
  <c r="K16" i="91"/>
  <c r="E13" i="91"/>
  <c r="I6" i="58"/>
  <c r="I9" i="58"/>
  <c r="F9" i="130"/>
  <c r="F8" i="130"/>
  <c r="F7" i="130"/>
  <c r="I26" i="58"/>
  <c r="K25" i="58"/>
  <c r="J25" i="58"/>
  <c r="J26" i="58"/>
  <c r="K26" i="58"/>
  <c r="R51" i="93"/>
  <c r="S51" i="93"/>
  <c r="Q51" i="93"/>
  <c r="T34" i="74"/>
  <c r="V34" i="74" s="1"/>
  <c r="T38" i="74"/>
  <c r="V38" i="74" s="1"/>
  <c r="T25" i="74"/>
  <c r="V25" i="74" s="1"/>
  <c r="T33" i="74"/>
  <c r="T35" i="74"/>
  <c r="V35" i="74" s="1"/>
  <c r="T27" i="74"/>
  <c r="T40" i="74"/>
  <c r="V40" i="74" s="1"/>
  <c r="T39" i="74"/>
  <c r="T43" i="74"/>
  <c r="V43" i="74" s="1"/>
  <c r="T56" i="74"/>
  <c r="T45" i="74"/>
  <c r="V45" i="74" s="1"/>
  <c r="T44" i="74"/>
  <c r="V44" i="74" s="1"/>
  <c r="T46" i="74"/>
  <c r="T59" i="74"/>
  <c r="Q38" i="93"/>
  <c r="V38" i="93" s="1"/>
  <c r="Q25" i="93"/>
  <c r="R50" i="93"/>
  <c r="Q39" i="93"/>
  <c r="L38" i="93"/>
  <c r="A38" i="87" s="1"/>
  <c r="L30" i="93"/>
  <c r="Q33" i="93"/>
  <c r="S50" i="93"/>
  <c r="Q36" i="93"/>
  <c r="T50" i="93"/>
  <c r="S38" i="93"/>
  <c r="N37" i="93"/>
  <c r="Y41" i="132" s="1"/>
  <c r="X41" i="132" s="1"/>
  <c r="AX39" i="89" s="1"/>
  <c r="M37" i="93"/>
  <c r="N43" i="93"/>
  <c r="Y47" i="132" s="1"/>
  <c r="X47" i="132" s="1"/>
  <c r="AX45" i="89" s="1"/>
  <c r="M43" i="93"/>
  <c r="M26" i="93"/>
  <c r="N26" i="93"/>
  <c r="Y30" i="132" s="1"/>
  <c r="M40" i="93"/>
  <c r="N40" i="93"/>
  <c r="Y44" i="132" s="1"/>
  <c r="X44" i="132" s="1"/>
  <c r="AX42" i="89" s="1"/>
  <c r="N42" i="93"/>
  <c r="Y46" i="132" s="1"/>
  <c r="X46" i="132" s="1"/>
  <c r="AX44" i="89" s="1"/>
  <c r="M42" i="93"/>
  <c r="N51" i="93"/>
  <c r="Y55" i="132" s="1"/>
  <c r="X55" i="132" s="1"/>
  <c r="AX53" i="89" s="1"/>
  <c r="M51" i="93"/>
  <c r="Q54" i="93"/>
  <c r="L54" i="93"/>
  <c r="M27" i="93"/>
  <c r="N27" i="93"/>
  <c r="Y31" i="132" s="1"/>
  <c r="X31" i="132" s="1"/>
  <c r="AX29" i="89" s="1"/>
  <c r="M50" i="93"/>
  <c r="N50" i="93"/>
  <c r="Y54" i="132" s="1"/>
  <c r="X54" i="132" s="1"/>
  <c r="AX52" i="89" s="1"/>
  <c r="M55" i="93"/>
  <c r="N55" i="93"/>
  <c r="Y59" i="132" s="1"/>
  <c r="X59" i="132" s="1"/>
  <c r="AX57" i="89" s="1"/>
  <c r="N32" i="93"/>
  <c r="Y36" i="132" s="1"/>
  <c r="X36" i="132" s="1"/>
  <c r="AX34" i="89" s="1"/>
  <c r="M32" i="93"/>
  <c r="M36" i="93"/>
  <c r="N36" i="93"/>
  <c r="Y40" i="132" s="1"/>
  <c r="X40" i="132" s="1"/>
  <c r="AX38" i="89" s="1"/>
  <c r="Q35" i="93"/>
  <c r="M35" i="93"/>
  <c r="A35" i="87" s="1"/>
  <c r="N35" i="93"/>
  <c r="Y39" i="132" s="1"/>
  <c r="X39" i="132" s="1"/>
  <c r="AX37" i="89" s="1"/>
  <c r="M39" i="93"/>
  <c r="A39" i="87" s="1"/>
  <c r="N39" i="93"/>
  <c r="Y43" i="132" s="1"/>
  <c r="X43" i="132" s="1"/>
  <c r="AX41" i="89" s="1"/>
  <c r="N30" i="93"/>
  <c r="Y34" i="132" s="1"/>
  <c r="M30" i="93"/>
  <c r="L40" i="93"/>
  <c r="A40" i="87" s="1"/>
  <c r="L55" i="93"/>
  <c r="A55" i="87" s="1"/>
  <c r="L32" i="93"/>
  <c r="A32" i="87" s="1"/>
  <c r="L43" i="93"/>
  <c r="A43" i="87" s="1"/>
  <c r="M41" i="93"/>
  <c r="N41" i="93"/>
  <c r="Y45" i="132" s="1"/>
  <c r="X45" i="132" s="1"/>
  <c r="AX43" i="89" s="1"/>
  <c r="M34" i="93"/>
  <c r="N34" i="93"/>
  <c r="Y38" i="132" s="1"/>
  <c r="X38" i="132" s="1"/>
  <c r="AX36" i="89" s="1"/>
  <c r="L37" i="93"/>
  <c r="A37" i="87" s="1"/>
  <c r="M45" i="93"/>
  <c r="N45" i="93"/>
  <c r="Y49" i="132" s="1"/>
  <c r="X49" i="132" s="1"/>
  <c r="AX47" i="89" s="1"/>
  <c r="N25" i="93"/>
  <c r="Y29" i="132" s="1"/>
  <c r="M25" i="93"/>
  <c r="M47" i="93"/>
  <c r="N47" i="93"/>
  <c r="Y51" i="132" s="1"/>
  <c r="X51" i="132" s="1"/>
  <c r="AX49" i="89" s="1"/>
  <c r="Q50" i="93"/>
  <c r="V50" i="93" s="1"/>
  <c r="L26" i="93"/>
  <c r="L42" i="93"/>
  <c r="A42" i="87" s="1"/>
  <c r="N33" i="93"/>
  <c r="Y37" i="132" s="1"/>
  <c r="X37" i="132" s="1"/>
  <c r="AX35" i="89" s="1"/>
  <c r="M33" i="93"/>
  <c r="A33" i="87" s="1"/>
  <c r="M58" i="93"/>
  <c r="N58" i="93"/>
  <c r="Y62" i="132" s="1"/>
  <c r="X62" i="132" s="1"/>
  <c r="M38" i="93"/>
  <c r="N38" i="93"/>
  <c r="Y42" i="132" s="1"/>
  <c r="X42" i="132" s="1"/>
  <c r="AX40" i="89" s="1"/>
  <c r="T38" i="93"/>
  <c r="L34" i="93"/>
  <c r="A34" i="87" s="1"/>
  <c r="L47" i="93"/>
  <c r="A47" i="87" s="1"/>
  <c r="L57" i="93"/>
  <c r="Q37" i="93"/>
  <c r="T51" i="93"/>
  <c r="Q43" i="93"/>
  <c r="Q31" i="93"/>
  <c r="M31" i="93"/>
  <c r="N31" i="93"/>
  <c r="Y35" i="132" s="1"/>
  <c r="X35" i="132" s="1"/>
  <c r="AX33" i="89" s="1"/>
  <c r="M28" i="93"/>
  <c r="N28" i="93"/>
  <c r="Y32" i="132" s="1"/>
  <c r="Q26" i="93"/>
  <c r="L41" i="93"/>
  <c r="A41" i="87" s="1"/>
  <c r="L28" i="93"/>
  <c r="L45" i="93"/>
  <c r="A45" i="87" s="1"/>
  <c r="I25" i="58"/>
  <c r="H25" i="58"/>
  <c r="J64" i="121"/>
  <c r="J44" i="121"/>
  <c r="J79" i="121"/>
  <c r="J62" i="121"/>
  <c r="J55" i="121"/>
  <c r="J51" i="121"/>
  <c r="J58" i="121"/>
  <c r="J65" i="121"/>
  <c r="J61" i="121"/>
  <c r="J59" i="121"/>
  <c r="J48" i="121"/>
  <c r="J87" i="121"/>
  <c r="J63" i="121"/>
  <c r="J67" i="121"/>
  <c r="J66" i="121"/>
  <c r="J71" i="121"/>
  <c r="J49" i="121"/>
  <c r="J60" i="121"/>
  <c r="J53" i="121"/>
  <c r="J56" i="121"/>
  <c r="J57" i="121"/>
  <c r="J68" i="121"/>
  <c r="J54" i="121"/>
  <c r="J50" i="121"/>
  <c r="J52" i="121"/>
  <c r="T36" i="74"/>
  <c r="V36" i="74" s="1"/>
  <c r="I13" i="58"/>
  <c r="H13" i="58"/>
  <c r="H6" i="58"/>
  <c r="L29" i="93"/>
  <c r="T32" i="93"/>
  <c r="R32" i="93"/>
  <c r="V32" i="93" s="1"/>
  <c r="S32" i="93"/>
  <c r="Q24" i="93"/>
  <c r="L44" i="93"/>
  <c r="R39" i="93"/>
  <c r="S39" i="93"/>
  <c r="T39" i="93"/>
  <c r="R30" i="93"/>
  <c r="S30" i="93"/>
  <c r="T30" i="93"/>
  <c r="S36" i="93"/>
  <c r="A36" i="87" s="1"/>
  <c r="R36" i="93"/>
  <c r="T36" i="93"/>
  <c r="S33" i="93"/>
  <c r="R33" i="93"/>
  <c r="T33" i="93"/>
  <c r="R37" i="93"/>
  <c r="S37" i="93"/>
  <c r="T37" i="93"/>
  <c r="T25" i="93"/>
  <c r="R25" i="93"/>
  <c r="S25" i="93"/>
  <c r="S41" i="93"/>
  <c r="R41" i="93"/>
  <c r="V41" i="93" s="1"/>
  <c r="T41" i="93"/>
  <c r="T26" i="93"/>
  <c r="S26" i="93"/>
  <c r="R26" i="93"/>
  <c r="Q49" i="93"/>
  <c r="R35" i="93"/>
  <c r="S35" i="93"/>
  <c r="T35" i="93"/>
  <c r="N60" i="80"/>
  <c r="R60" i="80" s="1"/>
  <c r="CG64" i="132" s="1"/>
  <c r="C60" i="93"/>
  <c r="B60" i="93" s="1"/>
  <c r="O23" i="80"/>
  <c r="S23" i="80" s="1"/>
  <c r="Q52" i="93"/>
  <c r="T58" i="93"/>
  <c r="S58" i="93"/>
  <c r="R58" i="93"/>
  <c r="V58" i="93" s="1"/>
  <c r="S47" i="93"/>
  <c r="R47" i="93"/>
  <c r="V47" i="93" s="1"/>
  <c r="T47" i="93"/>
  <c r="T42" i="93"/>
  <c r="V42" i="93" s="1"/>
  <c r="R42" i="93"/>
  <c r="S42" i="93"/>
  <c r="C48" i="93"/>
  <c r="B48" i="93" s="1"/>
  <c r="O26" i="80"/>
  <c r="S26" i="80" s="1"/>
  <c r="S43" i="93"/>
  <c r="T43" i="93"/>
  <c r="R43" i="93"/>
  <c r="S45" i="93"/>
  <c r="R45" i="93"/>
  <c r="T45" i="93"/>
  <c r="R27" i="93"/>
  <c r="S27" i="93"/>
  <c r="T27" i="93"/>
  <c r="T40" i="93"/>
  <c r="R40" i="93"/>
  <c r="S40" i="93"/>
  <c r="S28" i="93"/>
  <c r="R28" i="93"/>
  <c r="T28" i="93"/>
  <c r="L56" i="93"/>
  <c r="N46" i="80"/>
  <c r="R46" i="80" s="1"/>
  <c r="CG50" i="132" s="1"/>
  <c r="C46" i="93"/>
  <c r="B46" i="93" s="1"/>
  <c r="S34" i="93"/>
  <c r="R34" i="93"/>
  <c r="V34" i="93" s="1"/>
  <c r="T34" i="93"/>
  <c r="Q45" i="93"/>
  <c r="V45" i="93" s="1"/>
  <c r="Q27" i="93"/>
  <c r="V27" i="93" s="1"/>
  <c r="Q40" i="93"/>
  <c r="T31" i="93"/>
  <c r="S31" i="93"/>
  <c r="R31" i="93"/>
  <c r="Q28" i="93"/>
  <c r="S55" i="93"/>
  <c r="R55" i="93"/>
  <c r="V55" i="93" s="1"/>
  <c r="T55" i="93"/>
  <c r="N89" i="80"/>
  <c r="F23" i="93"/>
  <c r="H23" i="80"/>
  <c r="O25" i="80"/>
  <c r="S25" i="80" s="1"/>
  <c r="P52" i="80"/>
  <c r="T52" i="80" s="1"/>
  <c r="P51" i="80"/>
  <c r="T51" i="80" s="1"/>
  <c r="O51" i="80"/>
  <c r="S51" i="80" s="1"/>
  <c r="P30" i="80"/>
  <c r="T30" i="80" s="1"/>
  <c r="P25" i="80"/>
  <c r="T25" i="80" s="1"/>
  <c r="P28" i="80"/>
  <c r="T28" i="80" s="1"/>
  <c r="O58" i="80"/>
  <c r="S58" i="80" s="1"/>
  <c r="N58" i="80"/>
  <c r="R58" i="80" s="1"/>
  <c r="CG62" i="132" s="1"/>
  <c r="N53" i="80"/>
  <c r="R53" i="80" s="1"/>
  <c r="CG57" i="132" s="1"/>
  <c r="O28" i="80"/>
  <c r="S28" i="80" s="1"/>
  <c r="P46" i="80"/>
  <c r="T46" i="80" s="1"/>
  <c r="N52" i="80"/>
  <c r="R52" i="80" s="1"/>
  <c r="CG56" i="132" s="1"/>
  <c r="P50" i="80"/>
  <c r="T50" i="80" s="1"/>
  <c r="O50" i="80"/>
  <c r="S50" i="80" s="1"/>
  <c r="N50" i="80"/>
  <c r="R50" i="80" s="1"/>
  <c r="CG54" i="132" s="1"/>
  <c r="N57" i="80"/>
  <c r="R57" i="80" s="1"/>
  <c r="CG61" i="132" s="1"/>
  <c r="F7" i="52"/>
  <c r="D6" i="52"/>
  <c r="G8" i="52"/>
  <c r="G9" i="52"/>
  <c r="G6" i="52"/>
  <c r="F6" i="52"/>
  <c r="G7" i="52"/>
  <c r="G10" i="52"/>
  <c r="F10" i="52"/>
  <c r="G44" i="52"/>
  <c r="D44" i="52"/>
  <c r="F9" i="52"/>
  <c r="F8" i="52"/>
  <c r="D7" i="52"/>
  <c r="E44" i="52"/>
  <c r="E9" i="52"/>
  <c r="E10" i="52"/>
  <c r="E7" i="52"/>
  <c r="D10" i="52"/>
  <c r="D9" i="52"/>
  <c r="F44" i="52"/>
  <c r="D8" i="52"/>
  <c r="E8" i="52"/>
  <c r="P60" i="80"/>
  <c r="T60" i="80" s="1"/>
  <c r="P31" i="80"/>
  <c r="T31" i="80" s="1"/>
  <c r="Y32" i="74" s="1"/>
  <c r="X32" i="74" s="1"/>
  <c r="P29" i="80"/>
  <c r="T29" i="80" s="1"/>
  <c r="O29" i="80"/>
  <c r="S29" i="80" s="1"/>
  <c r="N29" i="80"/>
  <c r="R29" i="80" s="1"/>
  <c r="CG33" i="132" s="1"/>
  <c r="O30" i="80"/>
  <c r="S30" i="80" s="1"/>
  <c r="P56" i="80"/>
  <c r="T56" i="80" s="1"/>
  <c r="N56" i="80"/>
  <c r="R56" i="80" s="1"/>
  <c r="CG60" i="132" s="1"/>
  <c r="P54" i="80"/>
  <c r="T54" i="80" s="1"/>
  <c r="Y55" i="74" s="1"/>
  <c r="X55" i="74" s="1"/>
  <c r="N49" i="80"/>
  <c r="R49" i="80" s="1"/>
  <c r="CG53" i="132" s="1"/>
  <c r="P49" i="80"/>
  <c r="T49" i="80" s="1"/>
  <c r="P27" i="80"/>
  <c r="T27" i="80" s="1"/>
  <c r="N27" i="80"/>
  <c r="R27" i="80" s="1"/>
  <c r="CG31" i="132" s="1"/>
  <c r="O27" i="80"/>
  <c r="S27" i="80" s="1"/>
  <c r="N54" i="80"/>
  <c r="R54" i="80" s="1"/>
  <c r="CG58" i="132" s="1"/>
  <c r="N31" i="80"/>
  <c r="R31" i="80" s="1"/>
  <c r="CG35" i="132" s="1"/>
  <c r="P53" i="80"/>
  <c r="T53" i="80" s="1"/>
  <c r="N23" i="80"/>
  <c r="R23" i="80" s="1"/>
  <c r="CG27" i="132" s="1"/>
  <c r="P23" i="80"/>
  <c r="T23" i="80" s="1"/>
  <c r="P57" i="80"/>
  <c r="T57" i="80" s="1"/>
  <c r="AJ59" i="132" l="1"/>
  <c r="AJ49" i="132"/>
  <c r="AJ45" i="132"/>
  <c r="AJ51" i="132"/>
  <c r="AJ53" i="132"/>
  <c r="AJ46" i="132"/>
  <c r="AJ37" i="132"/>
  <c r="AJ38" i="132"/>
  <c r="AJ28" i="132"/>
  <c r="AJ44" i="132"/>
  <c r="AJ35" i="132"/>
  <c r="AJ47" i="132"/>
  <c r="AJ41" i="132"/>
  <c r="AJ42" i="132"/>
  <c r="AJ58" i="132"/>
  <c r="AJ48" i="132"/>
  <c r="AJ36" i="132"/>
  <c r="AJ40" i="132"/>
  <c r="AJ39" i="132"/>
  <c r="AJ43" i="132"/>
  <c r="V33" i="74"/>
  <c r="V46" i="74"/>
  <c r="V37" i="74"/>
  <c r="V41" i="74"/>
  <c r="V42" i="74"/>
  <c r="V48" i="74"/>
  <c r="CI61" i="132"/>
  <c r="U58" i="74"/>
  <c r="CI31" i="132"/>
  <c r="U28" i="74"/>
  <c r="CH62" i="132"/>
  <c r="BV62" i="132" s="1"/>
  <c r="AK62" i="132" s="1"/>
  <c r="A58" i="87"/>
  <c r="W59" i="74"/>
  <c r="Y59" i="74"/>
  <c r="X59" i="74" s="1"/>
  <c r="U46" i="93"/>
  <c r="O46" i="93"/>
  <c r="Z50" i="132" s="1"/>
  <c r="U60" i="93"/>
  <c r="O60" i="93"/>
  <c r="Z64" i="132" s="1"/>
  <c r="V37" i="93"/>
  <c r="H56" i="100"/>
  <c r="AR56" i="90"/>
  <c r="AS56" i="90"/>
  <c r="AT56" i="90"/>
  <c r="AU56" i="90"/>
  <c r="AQ56" i="90"/>
  <c r="AP56" i="90" s="1"/>
  <c r="AV56" i="90"/>
  <c r="V33" i="93"/>
  <c r="O24" i="93"/>
  <c r="Z28" i="132" s="1"/>
  <c r="U24" i="93"/>
  <c r="AL45" i="132"/>
  <c r="AP43" i="89" s="1"/>
  <c r="AE45" i="132"/>
  <c r="Y47" i="74"/>
  <c r="X47" i="74" s="1"/>
  <c r="AL51" i="132"/>
  <c r="AP49" i="89" s="1"/>
  <c r="AE51" i="132"/>
  <c r="AL44" i="132"/>
  <c r="AP42" i="89" s="1"/>
  <c r="AE44" i="132"/>
  <c r="B59" i="93"/>
  <c r="Q59" i="93"/>
  <c r="L59" i="93"/>
  <c r="AL40" i="132"/>
  <c r="AP38" i="89" s="1"/>
  <c r="AE40" i="132"/>
  <c r="O26" i="93"/>
  <c r="Z30" i="132" s="1"/>
  <c r="U26" i="93"/>
  <c r="V26" i="93" s="1"/>
  <c r="V24" i="93"/>
  <c r="AX60" i="89"/>
  <c r="CI60" i="132"/>
  <c r="U57" i="74"/>
  <c r="CI32" i="132"/>
  <c r="U29" i="74"/>
  <c r="H36" i="100"/>
  <c r="AR36" i="90"/>
  <c r="AQ36" i="90"/>
  <c r="AP36" i="90" s="1"/>
  <c r="AS36" i="90"/>
  <c r="AT36" i="90"/>
  <c r="AU36" i="90"/>
  <c r="AV36" i="90"/>
  <c r="H52" i="100"/>
  <c r="AR52" i="90"/>
  <c r="AS52" i="90"/>
  <c r="AT52" i="90"/>
  <c r="AU52" i="90"/>
  <c r="AV52" i="90"/>
  <c r="AQ52" i="90"/>
  <c r="AP52" i="90" s="1"/>
  <c r="H44" i="100"/>
  <c r="AS44" i="90"/>
  <c r="AV44" i="90"/>
  <c r="AT44" i="90"/>
  <c r="AU44" i="90"/>
  <c r="AQ44" i="90"/>
  <c r="AP44" i="90" s="1"/>
  <c r="AR44" i="90"/>
  <c r="V39" i="74"/>
  <c r="Y53" i="74"/>
  <c r="X53" i="74" s="1"/>
  <c r="AL41" i="132"/>
  <c r="AP39" i="89" s="1"/>
  <c r="AE41" i="132"/>
  <c r="Y54" i="74"/>
  <c r="X54" i="74" s="1"/>
  <c r="U28" i="93"/>
  <c r="V28" i="93" s="1"/>
  <c r="O28" i="93"/>
  <c r="Z32" i="132" s="1"/>
  <c r="X32" i="132" s="1"/>
  <c r="AX30" i="89" s="1"/>
  <c r="H33" i="100"/>
  <c r="AV33" i="90"/>
  <c r="AS33" i="90"/>
  <c r="AQ33" i="90"/>
  <c r="AP33" i="90" s="1"/>
  <c r="AR33" i="90"/>
  <c r="AU33" i="90"/>
  <c r="AT33" i="90"/>
  <c r="CI27" i="132"/>
  <c r="U24" i="74"/>
  <c r="CH54" i="132"/>
  <c r="BV54" i="132" s="1"/>
  <c r="AK54" i="132" s="1"/>
  <c r="A50" i="87"/>
  <c r="W51" i="74"/>
  <c r="Y51" i="74"/>
  <c r="X51" i="74" s="1"/>
  <c r="CH34" i="132"/>
  <c r="BV34" i="132" s="1"/>
  <c r="AK34" i="132" s="1"/>
  <c r="A30" i="87"/>
  <c r="W31" i="74"/>
  <c r="Y31" i="74"/>
  <c r="X31" i="74" s="1"/>
  <c r="CI54" i="132"/>
  <c r="U51" i="74"/>
  <c r="CI29" i="132"/>
  <c r="U26" i="74"/>
  <c r="V40" i="93"/>
  <c r="CH30" i="132"/>
  <c r="BV30" i="132" s="1"/>
  <c r="AK30" i="132" s="1"/>
  <c r="A26" i="87"/>
  <c r="W27" i="74"/>
  <c r="Y27" i="74"/>
  <c r="X27" i="74" s="1"/>
  <c r="H34" i="100"/>
  <c r="AT34" i="90"/>
  <c r="AV34" i="90"/>
  <c r="AQ34" i="90"/>
  <c r="AP34" i="90" s="1"/>
  <c r="AR34" i="90"/>
  <c r="AS34" i="90"/>
  <c r="AU34" i="90"/>
  <c r="H46" i="100"/>
  <c r="AR46" i="90"/>
  <c r="AV46" i="90"/>
  <c r="AQ46" i="90"/>
  <c r="AP46" i="90" s="1"/>
  <c r="AT46" i="90"/>
  <c r="AS46" i="90"/>
  <c r="AU46" i="90"/>
  <c r="H51" i="100"/>
  <c r="AT51" i="90"/>
  <c r="AU51" i="90"/>
  <c r="AV51" i="90"/>
  <c r="AR51" i="90"/>
  <c r="AQ51" i="90"/>
  <c r="AP51" i="90" s="1"/>
  <c r="AS51" i="90"/>
  <c r="CI63" i="132"/>
  <c r="U60" i="74"/>
  <c r="T60" i="74" s="1"/>
  <c r="AL47" i="132"/>
  <c r="AP45" i="89" s="1"/>
  <c r="AE47" i="132"/>
  <c r="AL28" i="132"/>
  <c r="AP26" i="89" s="1"/>
  <c r="AE28" i="132"/>
  <c r="AL49" i="132"/>
  <c r="AP47" i="89" s="1"/>
  <c r="AE49" i="132"/>
  <c r="N28" i="80"/>
  <c r="R28" i="80" s="1"/>
  <c r="CG32" i="132" s="1"/>
  <c r="CI64" i="132"/>
  <c r="U61" i="74"/>
  <c r="H32" i="100"/>
  <c r="AR32" i="90"/>
  <c r="AU32" i="90"/>
  <c r="AT32" i="90"/>
  <c r="AQ32" i="90"/>
  <c r="AP32" i="90" s="1"/>
  <c r="AS32" i="90"/>
  <c r="AV32" i="90"/>
  <c r="H43" i="100"/>
  <c r="AU43" i="90"/>
  <c r="AV43" i="90"/>
  <c r="AQ43" i="90"/>
  <c r="AP43" i="90" s="1"/>
  <c r="AR43" i="90"/>
  <c r="AS43" i="90"/>
  <c r="AT43" i="90"/>
  <c r="H38" i="100"/>
  <c r="AQ38" i="90"/>
  <c r="AP38" i="90" s="1"/>
  <c r="AR38" i="90"/>
  <c r="AU38" i="90"/>
  <c r="AS38" i="90"/>
  <c r="AT38" i="90"/>
  <c r="AV38" i="90"/>
  <c r="V39" i="93"/>
  <c r="V51" i="93"/>
  <c r="AL48" i="132"/>
  <c r="AP46" i="89" s="1"/>
  <c r="AE48" i="132"/>
  <c r="AL39" i="132"/>
  <c r="AP37" i="89" s="1"/>
  <c r="AE39" i="132"/>
  <c r="Y58" i="74"/>
  <c r="X58" i="74" s="1"/>
  <c r="AL46" i="132"/>
  <c r="AP44" i="89" s="1"/>
  <c r="AE46" i="132"/>
  <c r="Y61" i="74"/>
  <c r="X61" i="74" s="1"/>
  <c r="H42" i="100"/>
  <c r="AQ42" i="90"/>
  <c r="AP42" i="90" s="1"/>
  <c r="AR42" i="90"/>
  <c r="AT42" i="90"/>
  <c r="AU42" i="90"/>
  <c r="AV42" i="90"/>
  <c r="AS42" i="90"/>
  <c r="CI34" i="132"/>
  <c r="U31" i="74"/>
  <c r="CH33" i="132"/>
  <c r="BV33" i="132" s="1"/>
  <c r="AK33" i="132" s="1"/>
  <c r="W30" i="74"/>
  <c r="Y30" i="74"/>
  <c r="X30" i="74" s="1"/>
  <c r="CI50" i="132"/>
  <c r="U47" i="74"/>
  <c r="CH55" i="132"/>
  <c r="BV55" i="132" s="1"/>
  <c r="AK55" i="132" s="1"/>
  <c r="A51" i="87"/>
  <c r="W52" i="74"/>
  <c r="Y52" i="74"/>
  <c r="X52" i="74" s="1"/>
  <c r="H37" i="100"/>
  <c r="AQ37" i="90"/>
  <c r="AP37" i="90" s="1"/>
  <c r="AR37" i="90"/>
  <c r="AS37" i="90"/>
  <c r="AT37" i="90"/>
  <c r="AU37" i="90"/>
  <c r="AV37" i="90"/>
  <c r="H28" i="100"/>
  <c r="AR28" i="90"/>
  <c r="AU28" i="90"/>
  <c r="AQ28" i="90"/>
  <c r="AP28" i="90" s="1"/>
  <c r="AS28" i="90"/>
  <c r="AT28" i="90"/>
  <c r="AV28" i="90"/>
  <c r="H41" i="100"/>
  <c r="AQ41" i="90"/>
  <c r="AP41" i="90" s="1"/>
  <c r="AR41" i="90"/>
  <c r="AS41" i="90"/>
  <c r="AT41" i="90"/>
  <c r="AU41" i="90"/>
  <c r="AV41" i="90"/>
  <c r="AL42" i="132"/>
  <c r="AP40" i="89" s="1"/>
  <c r="AE42" i="132"/>
  <c r="AL30" i="132"/>
  <c r="AE30" i="132"/>
  <c r="AL37" i="132"/>
  <c r="AP35" i="89" s="1"/>
  <c r="AE37" i="132"/>
  <c r="U30" i="93"/>
  <c r="V30" i="93" s="1"/>
  <c r="O30" i="93"/>
  <c r="Z34" i="132" s="1"/>
  <c r="X34" i="132" s="1"/>
  <c r="AX32" i="89" s="1"/>
  <c r="CH29" i="132"/>
  <c r="BV29" i="132" s="1"/>
  <c r="AK29" i="132" s="1"/>
  <c r="A25" i="87"/>
  <c r="W26" i="74"/>
  <c r="Y26" i="74"/>
  <c r="X26" i="74" s="1"/>
  <c r="V35" i="93"/>
  <c r="CI53" i="132"/>
  <c r="U50" i="74"/>
  <c r="CH32" i="132"/>
  <c r="BV32" i="132" s="1"/>
  <c r="AK32" i="132" s="1"/>
  <c r="A28" i="87"/>
  <c r="W29" i="74"/>
  <c r="Y29" i="74"/>
  <c r="X29" i="74" s="1"/>
  <c r="CI55" i="132"/>
  <c r="U52" i="74"/>
  <c r="V31" i="93"/>
  <c r="H39" i="100"/>
  <c r="AU39" i="90"/>
  <c r="AV39" i="90"/>
  <c r="AS39" i="90"/>
  <c r="AR39" i="90"/>
  <c r="AT39" i="90"/>
  <c r="AQ39" i="90"/>
  <c r="AP39" i="90" s="1"/>
  <c r="H35" i="100"/>
  <c r="AR35" i="90"/>
  <c r="AT35" i="90"/>
  <c r="AQ35" i="90"/>
  <c r="AP35" i="90" s="1"/>
  <c r="AS35" i="90"/>
  <c r="AU35" i="90"/>
  <c r="AV35" i="90"/>
  <c r="V56" i="74"/>
  <c r="AL38" i="132"/>
  <c r="AP36" i="89" s="1"/>
  <c r="AE38" i="132"/>
  <c r="CH63" i="132"/>
  <c r="BV63" i="132" s="1"/>
  <c r="AK63" i="132" s="1"/>
  <c r="W60" i="74"/>
  <c r="Y60" i="74"/>
  <c r="X60" i="74" s="1"/>
  <c r="Y57" i="74"/>
  <c r="X57" i="74" s="1"/>
  <c r="CI58" i="132"/>
  <c r="U55" i="74"/>
  <c r="CH27" i="132"/>
  <c r="BV27" i="132" s="1"/>
  <c r="AK27" i="132" s="1"/>
  <c r="W24" i="74"/>
  <c r="Y24" i="74"/>
  <c r="X24" i="74" s="1"/>
  <c r="H40" i="100"/>
  <c r="AS40" i="90"/>
  <c r="AT40" i="90"/>
  <c r="AU40" i="90"/>
  <c r="AV40" i="90"/>
  <c r="AQ40" i="90"/>
  <c r="AP40" i="90" s="1"/>
  <c r="AR40" i="90"/>
  <c r="O48" i="80"/>
  <c r="S48" i="80" s="1"/>
  <c r="P48" i="80"/>
  <c r="T48" i="80" s="1"/>
  <c r="CI57" i="132"/>
  <c r="U54" i="74"/>
  <c r="T54" i="74" s="1"/>
  <c r="O48" i="93"/>
  <c r="Z52" i="132" s="1"/>
  <c r="U48" i="93"/>
  <c r="CI33" i="132"/>
  <c r="U30" i="74"/>
  <c r="CH31" i="132"/>
  <c r="BV31" i="132" s="1"/>
  <c r="AK31" i="132" s="1"/>
  <c r="A27" i="87"/>
  <c r="W28" i="74"/>
  <c r="Y28" i="74"/>
  <c r="X28" i="74" s="1"/>
  <c r="CI35" i="132"/>
  <c r="U32" i="74"/>
  <c r="CI56" i="132"/>
  <c r="U53" i="74"/>
  <c r="V43" i="93"/>
  <c r="H48" i="100"/>
  <c r="AR48" i="90"/>
  <c r="AS48" i="90"/>
  <c r="AT48" i="90"/>
  <c r="AU48" i="90"/>
  <c r="AV48" i="90"/>
  <c r="AQ48" i="90"/>
  <c r="AP48" i="90" s="1"/>
  <c r="X30" i="132"/>
  <c r="AX28" i="89" s="1"/>
  <c r="V36" i="93"/>
  <c r="J12" i="80"/>
  <c r="V12" i="80"/>
  <c r="W12" i="80"/>
  <c r="P78" i="80"/>
  <c r="K12" i="80"/>
  <c r="B23" i="93"/>
  <c r="N23" i="93" s="1"/>
  <c r="Y27" i="132" s="1"/>
  <c r="A31" i="87"/>
  <c r="AL36" i="132"/>
  <c r="AP34" i="89" s="1"/>
  <c r="AE36" i="132"/>
  <c r="AL43" i="132"/>
  <c r="AP41" i="89" s="1"/>
  <c r="AE43" i="132"/>
  <c r="AL59" i="132"/>
  <c r="AP57" i="89" s="1"/>
  <c r="AE59" i="132"/>
  <c r="AL62" i="132"/>
  <c r="AE62" i="132"/>
  <c r="O25" i="93"/>
  <c r="Z29" i="132" s="1"/>
  <c r="X29" i="132" s="1"/>
  <c r="AX27" i="89" s="1"/>
  <c r="U25" i="93"/>
  <c r="V25" i="93" s="1"/>
  <c r="AC55" i="152"/>
  <c r="AA55" i="152"/>
  <c r="AB55" i="152"/>
  <c r="AE55" i="152"/>
  <c r="AD55" i="152"/>
  <c r="BE26" i="158"/>
  <c r="BW26" i="158"/>
  <c r="BN26" i="158"/>
  <c r="U26" i="158"/>
  <c r="AD26" i="158"/>
  <c r="AM26" i="158"/>
  <c r="AV26" i="158"/>
  <c r="AE80" i="152"/>
  <c r="AD80" i="152"/>
  <c r="AC80" i="152"/>
  <c r="AB80" i="152"/>
  <c r="AA80" i="152"/>
  <c r="AV51" i="158"/>
  <c r="BE51" i="158"/>
  <c r="BN51" i="158"/>
  <c r="BW51" i="158"/>
  <c r="AM51" i="158"/>
  <c r="U51" i="158"/>
  <c r="AD51" i="158"/>
  <c r="AC71" i="152"/>
  <c r="AA71" i="152"/>
  <c r="AB71" i="152"/>
  <c r="AE71" i="152"/>
  <c r="AD71" i="152"/>
  <c r="AV42" i="158"/>
  <c r="BE42" i="158"/>
  <c r="BN42" i="158"/>
  <c r="BW42" i="158"/>
  <c r="AM42" i="158"/>
  <c r="U42" i="158"/>
  <c r="AD42" i="158"/>
  <c r="AC87" i="152"/>
  <c r="AA87" i="152"/>
  <c r="AB87" i="152"/>
  <c r="AE87" i="152"/>
  <c r="AD87" i="152"/>
  <c r="BN58" i="158"/>
  <c r="BW58" i="158"/>
  <c r="U58" i="158"/>
  <c r="AD58" i="158"/>
  <c r="AM58" i="158"/>
  <c r="AV58" i="158"/>
  <c r="BE58" i="158"/>
  <c r="AE73" i="152"/>
  <c r="AD73" i="152"/>
  <c r="AC73" i="152"/>
  <c r="AB73" i="152"/>
  <c r="AA73" i="152"/>
  <c r="AD44" i="158"/>
  <c r="AM44" i="158"/>
  <c r="AV44" i="158"/>
  <c r="BE44" i="158"/>
  <c r="BN44" i="158"/>
  <c r="U44" i="158"/>
  <c r="BW44" i="158"/>
  <c r="AC67" i="152"/>
  <c r="AB67" i="152"/>
  <c r="AA67" i="152"/>
  <c r="AE67" i="152"/>
  <c r="AD67" i="152"/>
  <c r="BE38" i="158"/>
  <c r="BN38" i="158"/>
  <c r="BW38" i="158"/>
  <c r="U38" i="158"/>
  <c r="AV38" i="158"/>
  <c r="AD38" i="158"/>
  <c r="AM38" i="158"/>
  <c r="AA42" i="152"/>
  <c r="AE42" i="152"/>
  <c r="AD42" i="152"/>
  <c r="AB42" i="152"/>
  <c r="AC42" i="152"/>
  <c r="AM13" i="158"/>
  <c r="AV13" i="158"/>
  <c r="BE13" i="158"/>
  <c r="BW13" i="158"/>
  <c r="BN13" i="158"/>
  <c r="U13" i="158"/>
  <c r="AD13" i="158"/>
  <c r="AE68" i="152"/>
  <c r="AC68" i="152"/>
  <c r="AB68" i="152"/>
  <c r="AD68" i="152"/>
  <c r="AA68" i="152"/>
  <c r="U39" i="158"/>
  <c r="AD39" i="158"/>
  <c r="AM39" i="158"/>
  <c r="AV39" i="158"/>
  <c r="BE39" i="158"/>
  <c r="BN39" i="158"/>
  <c r="BW39" i="158"/>
  <c r="AA62" i="152"/>
  <c r="AE62" i="152"/>
  <c r="AC62" i="152"/>
  <c r="AB62" i="152"/>
  <c r="AD62" i="152"/>
  <c r="AD33" i="158"/>
  <c r="AM33" i="158"/>
  <c r="AV33" i="158"/>
  <c r="BE33" i="158"/>
  <c r="BN33" i="158"/>
  <c r="BW33" i="158"/>
  <c r="U33" i="158"/>
  <c r="AE72" i="152"/>
  <c r="AD72" i="152"/>
  <c r="AC72" i="152"/>
  <c r="AB72" i="152"/>
  <c r="AA72" i="152"/>
  <c r="BW43" i="158"/>
  <c r="U43" i="158"/>
  <c r="AD43" i="158"/>
  <c r="AM43" i="158"/>
  <c r="BN43" i="158"/>
  <c r="AV43" i="158"/>
  <c r="BE43" i="158"/>
  <c r="AF36" i="152"/>
  <c r="AA36" i="152"/>
  <c r="AB36" i="152"/>
  <c r="AD36" i="152"/>
  <c r="AC36" i="152"/>
  <c r="AE36" i="152"/>
  <c r="BN7" i="158"/>
  <c r="BW7" i="158"/>
  <c r="U7" i="158"/>
  <c r="AD7" i="158"/>
  <c r="AV7" i="158"/>
  <c r="BE7" i="158"/>
  <c r="AM7" i="158"/>
  <c r="AE45" i="152"/>
  <c r="AD45" i="152"/>
  <c r="AC45" i="152"/>
  <c r="AA45" i="152"/>
  <c r="AB45" i="152"/>
  <c r="AD16" i="158"/>
  <c r="U16" i="158"/>
  <c r="AM16" i="158"/>
  <c r="BE16" i="158"/>
  <c r="AV16" i="158"/>
  <c r="BN16" i="158"/>
  <c r="BW16" i="158"/>
  <c r="AA70" i="152"/>
  <c r="AE70" i="152"/>
  <c r="AC70" i="152"/>
  <c r="AD70" i="152"/>
  <c r="AB70" i="152"/>
  <c r="U41" i="158"/>
  <c r="AD41" i="158"/>
  <c r="BE41" i="158"/>
  <c r="AM41" i="158"/>
  <c r="AV41" i="158"/>
  <c r="BN41" i="158"/>
  <c r="BW41" i="158"/>
  <c r="AE40" i="152"/>
  <c r="AD40" i="152"/>
  <c r="AC40" i="152"/>
  <c r="AA40" i="152"/>
  <c r="AB40" i="152"/>
  <c r="AD11" i="158"/>
  <c r="AM11" i="158"/>
  <c r="BN11" i="158"/>
  <c r="BE11" i="158"/>
  <c r="AV11" i="158"/>
  <c r="BW11" i="158"/>
  <c r="U11" i="158"/>
  <c r="AE53" i="152"/>
  <c r="AD53" i="152"/>
  <c r="AB53" i="152"/>
  <c r="AC53" i="152"/>
  <c r="AA53" i="152"/>
  <c r="BE24" i="158"/>
  <c r="BN24" i="158"/>
  <c r="BW24" i="158"/>
  <c r="U24" i="158"/>
  <c r="AD24" i="158"/>
  <c r="AM24" i="158"/>
  <c r="AV24" i="158"/>
  <c r="AD38" i="152"/>
  <c r="AB38" i="152"/>
  <c r="AA38" i="152"/>
  <c r="AC38" i="152"/>
  <c r="AE38" i="152"/>
  <c r="U9" i="158"/>
  <c r="AM9" i="158"/>
  <c r="AD9" i="158"/>
  <c r="BE9" i="158"/>
  <c r="AV9" i="158"/>
  <c r="BW9" i="158"/>
  <c r="BN9" i="158"/>
  <c r="AE76" i="152"/>
  <c r="AC76" i="152"/>
  <c r="AB76" i="152"/>
  <c r="AD76" i="152"/>
  <c r="AA76" i="152"/>
  <c r="BE47" i="158"/>
  <c r="BN47" i="158"/>
  <c r="BW47" i="158"/>
  <c r="U47" i="158"/>
  <c r="AD47" i="158"/>
  <c r="AM47" i="158"/>
  <c r="AV47" i="158"/>
  <c r="AC47" i="152"/>
  <c r="AA47" i="152"/>
  <c r="AB47" i="152"/>
  <c r="AE47" i="152"/>
  <c r="AD47" i="152"/>
  <c r="BE18" i="158"/>
  <c r="BN18" i="158"/>
  <c r="BW18" i="158"/>
  <c r="U18" i="158"/>
  <c r="AV18" i="158"/>
  <c r="AM18" i="158"/>
  <c r="AD18" i="158"/>
  <c r="AA74" i="152"/>
  <c r="AE74" i="152"/>
  <c r="AD74" i="152"/>
  <c r="AC74" i="152"/>
  <c r="AB74" i="152"/>
  <c r="BE45" i="158"/>
  <c r="BN45" i="158"/>
  <c r="BW45" i="158"/>
  <c r="U45" i="158"/>
  <c r="AD45" i="158"/>
  <c r="AM45" i="158"/>
  <c r="AV45" i="158"/>
  <c r="AE48" i="152"/>
  <c r="AD48" i="152"/>
  <c r="AC48" i="152"/>
  <c r="AB48" i="152"/>
  <c r="AA48" i="152"/>
  <c r="AM19" i="158"/>
  <c r="AV19" i="158"/>
  <c r="BE19" i="158"/>
  <c r="BW19" i="158"/>
  <c r="BN19" i="158"/>
  <c r="U19" i="158"/>
  <c r="AD19" i="158"/>
  <c r="AC79" i="152"/>
  <c r="AA79" i="152"/>
  <c r="AB79" i="152"/>
  <c r="AE79" i="152"/>
  <c r="AD79" i="152"/>
  <c r="U50" i="158"/>
  <c r="AD50" i="158"/>
  <c r="AV50" i="158"/>
  <c r="AM50" i="158"/>
  <c r="BE50" i="158"/>
  <c r="BW50" i="158"/>
  <c r="BN50" i="158"/>
  <c r="AE61" i="152"/>
  <c r="AD61" i="152"/>
  <c r="AC61" i="152"/>
  <c r="AB61" i="152"/>
  <c r="AA61" i="152"/>
  <c r="BW32" i="158"/>
  <c r="AD32" i="158"/>
  <c r="U32" i="158"/>
  <c r="AM32" i="158"/>
  <c r="AV32" i="158"/>
  <c r="BE32" i="158"/>
  <c r="BN32" i="158"/>
  <c r="AE60" i="152"/>
  <c r="AC60" i="152"/>
  <c r="AB60" i="152"/>
  <c r="AD60" i="152"/>
  <c r="AA60" i="152"/>
  <c r="U31" i="158"/>
  <c r="AD31" i="158"/>
  <c r="AM31" i="158"/>
  <c r="AV31" i="158"/>
  <c r="BE31" i="158"/>
  <c r="BW31" i="158"/>
  <c r="BN31" i="158"/>
  <c r="AE49" i="152"/>
  <c r="AD49" i="152"/>
  <c r="AC49" i="152"/>
  <c r="AA49" i="152"/>
  <c r="AB49" i="152"/>
  <c r="BN20" i="158"/>
  <c r="BW20" i="158"/>
  <c r="U20" i="158"/>
  <c r="AD20" i="158"/>
  <c r="AM20" i="158"/>
  <c r="AV20" i="158"/>
  <c r="BE20" i="158"/>
  <c r="AC43" i="152"/>
  <c r="AB43" i="152"/>
  <c r="AA43" i="152"/>
  <c r="AE43" i="152"/>
  <c r="AD43" i="152"/>
  <c r="BN14" i="158"/>
  <c r="BW14" i="158"/>
  <c r="U14" i="158"/>
  <c r="AD14" i="158"/>
  <c r="AM14" i="158"/>
  <c r="AV14" i="158"/>
  <c r="BE14" i="158"/>
  <c r="AA46" i="152"/>
  <c r="AE46" i="152"/>
  <c r="AB46" i="152"/>
  <c r="AD46" i="152"/>
  <c r="AC46" i="152"/>
  <c r="BE17" i="158"/>
  <c r="AV17" i="158"/>
  <c r="AM17" i="158"/>
  <c r="AD17" i="158"/>
  <c r="U17" i="158"/>
  <c r="BN17" i="158"/>
  <c r="BW17" i="158"/>
  <c r="AA54" i="152"/>
  <c r="AE54" i="152"/>
  <c r="AC54" i="152"/>
  <c r="AB54" i="152"/>
  <c r="AD54" i="152"/>
  <c r="U25" i="158"/>
  <c r="AD25" i="158"/>
  <c r="AM25" i="158"/>
  <c r="BE25" i="158"/>
  <c r="AV25" i="158"/>
  <c r="BN25" i="158"/>
  <c r="BW25" i="158"/>
  <c r="AA82" i="152"/>
  <c r="AE82" i="152"/>
  <c r="AC82" i="152"/>
  <c r="AB82" i="152"/>
  <c r="AD82" i="152"/>
  <c r="AM53" i="158"/>
  <c r="AV53" i="158"/>
  <c r="BE53" i="158"/>
  <c r="BN53" i="158"/>
  <c r="BW53" i="158"/>
  <c r="AD53" i="158"/>
  <c r="U53" i="158"/>
  <c r="AE81" i="152"/>
  <c r="AD81" i="152"/>
  <c r="AC81" i="152"/>
  <c r="AB81" i="152"/>
  <c r="AA81" i="152"/>
  <c r="BW52" i="158"/>
  <c r="U52" i="158"/>
  <c r="AM52" i="158"/>
  <c r="AD52" i="158"/>
  <c r="BN52" i="158"/>
  <c r="AV52" i="158"/>
  <c r="BE52" i="158"/>
  <c r="AA78" i="152"/>
  <c r="AE78" i="152"/>
  <c r="AC78" i="152"/>
  <c r="AB78" i="152"/>
  <c r="AD78" i="152"/>
  <c r="AM49" i="158"/>
  <c r="AV49" i="158"/>
  <c r="BE49" i="158"/>
  <c r="BN49" i="158"/>
  <c r="BW49" i="158"/>
  <c r="AD49" i="158"/>
  <c r="U49" i="158"/>
  <c r="AA50" i="152"/>
  <c r="AE50" i="152"/>
  <c r="AD50" i="152"/>
  <c r="AC50" i="152"/>
  <c r="AB50" i="152"/>
  <c r="U21" i="158"/>
  <c r="AD21" i="158"/>
  <c r="AM21" i="158"/>
  <c r="AV21" i="158"/>
  <c r="BE21" i="158"/>
  <c r="BN21" i="158"/>
  <c r="BW21" i="158"/>
  <c r="AE44" i="152"/>
  <c r="AC44" i="152"/>
  <c r="AB44" i="152"/>
  <c r="AD44" i="152"/>
  <c r="AA44" i="152"/>
  <c r="BE15" i="158"/>
  <c r="BN15" i="158"/>
  <c r="BW15" i="158"/>
  <c r="U15" i="158"/>
  <c r="AM15" i="158"/>
  <c r="AD15" i="158"/>
  <c r="AV15" i="158"/>
  <c r="AE77" i="152"/>
  <c r="AD77" i="152"/>
  <c r="AC77" i="152"/>
  <c r="AB77" i="152"/>
  <c r="AA77" i="152"/>
  <c r="U48" i="158"/>
  <c r="AD48" i="158"/>
  <c r="AV48" i="158"/>
  <c r="AM48" i="158"/>
  <c r="BE48" i="158"/>
  <c r="BN48" i="158"/>
  <c r="BW48" i="158"/>
  <c r="AA66" i="152"/>
  <c r="AD66" i="152"/>
  <c r="AC66" i="152"/>
  <c r="AB66" i="152"/>
  <c r="AE66" i="152"/>
  <c r="U37" i="158"/>
  <c r="AD37" i="158"/>
  <c r="AM37" i="158"/>
  <c r="AV37" i="158"/>
  <c r="BE37" i="158"/>
  <c r="BW37" i="158"/>
  <c r="BN37" i="158"/>
  <c r="AE41" i="152"/>
  <c r="AD41" i="152"/>
  <c r="AC41" i="152"/>
  <c r="AA41" i="152"/>
  <c r="AB41" i="152"/>
  <c r="U12" i="158"/>
  <c r="AD12" i="158"/>
  <c r="AM12" i="158"/>
  <c r="AV12" i="158"/>
  <c r="BE12" i="158"/>
  <c r="BN12" i="158"/>
  <c r="BW12" i="158"/>
  <c r="AE69" i="152"/>
  <c r="AD69" i="152"/>
  <c r="AC69" i="152"/>
  <c r="AA69" i="152"/>
  <c r="AB69" i="152"/>
  <c r="BE40" i="158"/>
  <c r="BN40" i="158"/>
  <c r="BW40" i="158"/>
  <c r="U40" i="158"/>
  <c r="AV40" i="158"/>
  <c r="AD40" i="158"/>
  <c r="AM40" i="158"/>
  <c r="AD85" i="152"/>
  <c r="AE85" i="152"/>
  <c r="AC85" i="152"/>
  <c r="AB85" i="152"/>
  <c r="AA85" i="152"/>
  <c r="U56" i="158"/>
  <c r="AD56" i="158"/>
  <c r="AV56" i="158"/>
  <c r="AM56" i="158"/>
  <c r="BE56" i="158"/>
  <c r="BN56" i="158"/>
  <c r="BW56" i="158"/>
  <c r="AC75" i="152"/>
  <c r="AB75" i="152"/>
  <c r="AA75" i="152"/>
  <c r="AE75" i="152"/>
  <c r="AD75" i="152"/>
  <c r="U46" i="158"/>
  <c r="AD46" i="158"/>
  <c r="AM46" i="158"/>
  <c r="BE46" i="158"/>
  <c r="AV46" i="158"/>
  <c r="BN46" i="158"/>
  <c r="BW46" i="158"/>
  <c r="AA58" i="152"/>
  <c r="AE58" i="152"/>
  <c r="AC58" i="152"/>
  <c r="AB58" i="152"/>
  <c r="AD58" i="152"/>
  <c r="AD29" i="158"/>
  <c r="AM29" i="158"/>
  <c r="AV29" i="158"/>
  <c r="BN29" i="158"/>
  <c r="BE29" i="158"/>
  <c r="U29" i="158"/>
  <c r="BW29" i="158"/>
  <c r="AE52" i="152"/>
  <c r="AC52" i="152"/>
  <c r="AB52" i="152"/>
  <c r="AD52" i="152"/>
  <c r="AA52" i="152"/>
  <c r="AD23" i="158"/>
  <c r="AM23" i="158"/>
  <c r="AV23" i="158"/>
  <c r="BE23" i="158"/>
  <c r="BN23" i="158"/>
  <c r="BW23" i="158"/>
  <c r="U23" i="158"/>
  <c r="AE64" i="152"/>
  <c r="AC64" i="152"/>
  <c r="AD64" i="152"/>
  <c r="AB64" i="152"/>
  <c r="AA64" i="152"/>
  <c r="U35" i="158"/>
  <c r="AD35" i="158"/>
  <c r="AM35" i="158"/>
  <c r="BE35" i="158"/>
  <c r="AV35" i="158"/>
  <c r="BN35" i="158"/>
  <c r="BW35" i="158"/>
  <c r="AC83" i="152"/>
  <c r="AB83" i="152"/>
  <c r="AA83" i="152"/>
  <c r="AE83" i="152"/>
  <c r="AD83" i="152"/>
  <c r="AD54" i="158"/>
  <c r="U54" i="158"/>
  <c r="AM54" i="158"/>
  <c r="BE54" i="158"/>
  <c r="AV54" i="158"/>
  <c r="BN54" i="158"/>
  <c r="BW54" i="158"/>
  <c r="AE56" i="152"/>
  <c r="AD56" i="152"/>
  <c r="AC56" i="152"/>
  <c r="AB56" i="152"/>
  <c r="AA56" i="152"/>
  <c r="AM27" i="158"/>
  <c r="AV27" i="158"/>
  <c r="BE27" i="158"/>
  <c r="BW27" i="158"/>
  <c r="BN27" i="158"/>
  <c r="U27" i="158"/>
  <c r="AD27" i="158"/>
  <c r="AE57" i="152"/>
  <c r="AD57" i="152"/>
  <c r="AC57" i="152"/>
  <c r="AB57" i="152"/>
  <c r="AA57" i="152"/>
  <c r="BW28" i="158"/>
  <c r="BN28" i="158"/>
  <c r="U28" i="158"/>
  <c r="AD28" i="158"/>
  <c r="BE28" i="158"/>
  <c r="AM28" i="158"/>
  <c r="AV28" i="158"/>
  <c r="AC63" i="152"/>
  <c r="AB63" i="152"/>
  <c r="AA63" i="152"/>
  <c r="AD63" i="152"/>
  <c r="AE63" i="152"/>
  <c r="BE34" i="158"/>
  <c r="BW34" i="158"/>
  <c r="BN34" i="158"/>
  <c r="U34" i="158"/>
  <c r="AD34" i="158"/>
  <c r="AM34" i="158"/>
  <c r="AV34" i="158"/>
  <c r="AE84" i="152"/>
  <c r="AC84" i="152"/>
  <c r="AB84" i="152"/>
  <c r="AA84" i="152"/>
  <c r="AD84" i="152"/>
  <c r="AV55" i="158"/>
  <c r="BE55" i="158"/>
  <c r="BN55" i="158"/>
  <c r="BW55" i="158"/>
  <c r="U55" i="158"/>
  <c r="AD55" i="158"/>
  <c r="AM55" i="158"/>
  <c r="AC59" i="152"/>
  <c r="AB59" i="152"/>
  <c r="AA59" i="152"/>
  <c r="AE59" i="152"/>
  <c r="AD59" i="152"/>
  <c r="BE30" i="158"/>
  <c r="BN30" i="158"/>
  <c r="BW30" i="158"/>
  <c r="U30" i="158"/>
  <c r="AM30" i="158"/>
  <c r="AV30" i="158"/>
  <c r="AD30" i="158"/>
  <c r="AD65" i="152"/>
  <c r="AE65" i="152"/>
  <c r="AC65" i="152"/>
  <c r="AB65" i="152"/>
  <c r="AA65" i="152"/>
  <c r="AV36" i="158"/>
  <c r="BE36" i="158"/>
  <c r="BW36" i="158"/>
  <c r="BN36" i="158"/>
  <c r="AM36" i="158"/>
  <c r="U36" i="158"/>
  <c r="AD36" i="158"/>
  <c r="AC51" i="152"/>
  <c r="AB51" i="152"/>
  <c r="AA51" i="152"/>
  <c r="AE51" i="152"/>
  <c r="AD51" i="152"/>
  <c r="BE22" i="158"/>
  <c r="BN22" i="158"/>
  <c r="BW22" i="158"/>
  <c r="AD22" i="158"/>
  <c r="U22" i="158"/>
  <c r="AM22" i="158"/>
  <c r="AV22" i="158"/>
  <c r="AA86" i="152"/>
  <c r="AE86" i="152"/>
  <c r="AB86" i="152"/>
  <c r="AD86" i="152"/>
  <c r="AC86" i="152"/>
  <c r="AM57" i="158"/>
  <c r="AV57" i="158"/>
  <c r="BE57" i="158"/>
  <c r="BN57" i="158"/>
  <c r="BW57" i="158"/>
  <c r="U57" i="158"/>
  <c r="AD57" i="158"/>
  <c r="C27" i="151"/>
  <c r="C27" i="143" s="1"/>
  <c r="G27" i="149"/>
  <c r="G27" i="151" s="1"/>
  <c r="G27" i="143" s="1"/>
  <c r="CD35" i="132"/>
  <c r="P35" i="132" s="1"/>
  <c r="D18" i="151"/>
  <c r="D18" i="143" s="1"/>
  <c r="F18" i="149"/>
  <c r="D27" i="149"/>
  <c r="CD19" i="132"/>
  <c r="P19" i="132" s="1"/>
  <c r="C43" i="132"/>
  <c r="D43" i="134"/>
  <c r="CD56" i="132"/>
  <c r="D56" i="134"/>
  <c r="C56" i="132"/>
  <c r="CD25" i="132"/>
  <c r="D25" i="134"/>
  <c r="C25" i="132"/>
  <c r="CD21" i="132"/>
  <c r="D21" i="134"/>
  <c r="C21" i="132"/>
  <c r="CD22" i="132"/>
  <c r="D22" i="134"/>
  <c r="C22" i="132"/>
  <c r="CD42" i="132"/>
  <c r="C42" i="132"/>
  <c r="D42" i="134"/>
  <c r="CD38" i="132"/>
  <c r="D38" i="134"/>
  <c r="C38" i="132"/>
  <c r="CD24" i="132"/>
  <c r="D24" i="134"/>
  <c r="C24" i="132"/>
  <c r="CD18" i="132"/>
  <c r="C18" i="132"/>
  <c r="D18" i="134"/>
  <c r="CD26" i="132"/>
  <c r="P26" i="132" s="1"/>
  <c r="C26" i="132"/>
  <c r="D26" i="134"/>
  <c r="CD34" i="132"/>
  <c r="C34" i="132"/>
  <c r="D34" i="134"/>
  <c r="CD31" i="132"/>
  <c r="D31" i="134"/>
  <c r="C31" i="132"/>
  <c r="C51" i="132"/>
  <c r="D51" i="134"/>
  <c r="CD58" i="132"/>
  <c r="C58" i="132"/>
  <c r="D58" i="134"/>
  <c r="CD45" i="132"/>
  <c r="C45" i="132"/>
  <c r="D45" i="134"/>
  <c r="CD50" i="132"/>
  <c r="C50" i="132"/>
  <c r="D50" i="134"/>
  <c r="C27" i="132"/>
  <c r="D27" i="134"/>
  <c r="CD36" i="132"/>
  <c r="P36" i="132" s="1"/>
  <c r="C36" i="132"/>
  <c r="D36" i="134"/>
  <c r="CD40" i="132"/>
  <c r="D40" i="134"/>
  <c r="C40" i="132"/>
  <c r="CD61" i="132"/>
  <c r="P61" i="132" s="1"/>
  <c r="C61" i="132"/>
  <c r="D61" i="134"/>
  <c r="CD55" i="132"/>
  <c r="D55" i="134"/>
  <c r="C55" i="132"/>
  <c r="C59" i="132"/>
  <c r="D59" i="134"/>
  <c r="CD60" i="132"/>
  <c r="C60" i="132"/>
  <c r="D60" i="134"/>
  <c r="CD32" i="132"/>
  <c r="P32" i="132" s="1"/>
  <c r="D32" i="134"/>
  <c r="C32" i="132"/>
  <c r="CD13" i="132"/>
  <c r="D13" i="134"/>
  <c r="C13" i="132"/>
  <c r="CD17" i="132"/>
  <c r="K17" i="134" s="1"/>
  <c r="C17" i="132"/>
  <c r="D17" i="134"/>
  <c r="C19" i="132"/>
  <c r="D19" i="134"/>
  <c r="CD54" i="132"/>
  <c r="D54" i="134"/>
  <c r="C54" i="132"/>
  <c r="CD47" i="132"/>
  <c r="D47" i="134"/>
  <c r="C47" i="132"/>
  <c r="CD28" i="132"/>
  <c r="C28" i="132"/>
  <c r="D28" i="134"/>
  <c r="C35" i="132"/>
  <c r="D35" i="134"/>
  <c r="CD29" i="132"/>
  <c r="C29" i="132"/>
  <c r="D29" i="134"/>
  <c r="CD16" i="132"/>
  <c r="D16" i="134"/>
  <c r="C16" i="132"/>
  <c r="CD27" i="132"/>
  <c r="CD44" i="132"/>
  <c r="C44" i="132"/>
  <c r="D44" i="134"/>
  <c r="CD41" i="132"/>
  <c r="D41" i="134"/>
  <c r="C41" i="132"/>
  <c r="CD59" i="132"/>
  <c r="CD37" i="132"/>
  <c r="K37" i="134" s="1"/>
  <c r="C37" i="132"/>
  <c r="D37" i="134"/>
  <c r="CD39" i="132"/>
  <c r="K39" i="134" s="1"/>
  <c r="D39" i="134"/>
  <c r="C39" i="132"/>
  <c r="CD52" i="132"/>
  <c r="P52" i="132" s="1"/>
  <c r="C52" i="132"/>
  <c r="D52" i="134"/>
  <c r="CD43" i="132"/>
  <c r="CD23" i="132"/>
  <c r="D23" i="134"/>
  <c r="C23" i="132"/>
  <c r="CD57" i="132"/>
  <c r="P57" i="132" s="1"/>
  <c r="C57" i="132"/>
  <c r="D57" i="134"/>
  <c r="CD51" i="132"/>
  <c r="CD20" i="132"/>
  <c r="C20" i="132"/>
  <c r="D20" i="134"/>
  <c r="CD11" i="132"/>
  <c r="D11" i="134"/>
  <c r="C11" i="132"/>
  <c r="CD48" i="132"/>
  <c r="D48" i="134"/>
  <c r="C48" i="132"/>
  <c r="CD49" i="132"/>
  <c r="D49" i="134"/>
  <c r="C49" i="132"/>
  <c r="CD15" i="132"/>
  <c r="C15" i="132"/>
  <c r="D15" i="134"/>
  <c r="CD30" i="132"/>
  <c r="D30" i="134"/>
  <c r="C30" i="132"/>
  <c r="CD46" i="132"/>
  <c r="D46" i="134"/>
  <c r="C46" i="132"/>
  <c r="CD33" i="132"/>
  <c r="C33" i="132"/>
  <c r="D33" i="134"/>
  <c r="CD53" i="132"/>
  <c r="C53" i="132"/>
  <c r="D53" i="134"/>
  <c r="BI43" i="132"/>
  <c r="BJ43" i="132" s="1"/>
  <c r="Y43" i="134"/>
  <c r="BI27" i="132"/>
  <c r="Y27" i="134"/>
  <c r="BI26" i="132"/>
  <c r="Y26" i="134"/>
  <c r="BI48" i="132"/>
  <c r="BJ48" i="132" s="1"/>
  <c r="Y48" i="134"/>
  <c r="BI45" i="132"/>
  <c r="BJ45" i="132" s="1"/>
  <c r="Y45" i="134"/>
  <c r="BI30" i="132"/>
  <c r="Y30" i="134"/>
  <c r="BI19" i="132"/>
  <c r="Y19" i="134"/>
  <c r="BI25" i="132"/>
  <c r="Y25" i="134"/>
  <c r="BI15" i="132"/>
  <c r="Y15" i="134"/>
  <c r="BI42" i="132"/>
  <c r="BJ42" i="132" s="1"/>
  <c r="Y42" i="134"/>
  <c r="BI18" i="132"/>
  <c r="Y18" i="134"/>
  <c r="BI24" i="132"/>
  <c r="Y24" i="134"/>
  <c r="BI59" i="132"/>
  <c r="BJ59" i="132" s="1"/>
  <c r="Y59" i="134"/>
  <c r="BI11" i="132"/>
  <c r="Y11" i="134"/>
  <c r="BI58" i="132"/>
  <c r="BJ58" i="132" s="1"/>
  <c r="Y58" i="134"/>
  <c r="BI38" i="132"/>
  <c r="BJ38" i="132" s="1"/>
  <c r="Y38" i="134"/>
  <c r="BI40" i="132"/>
  <c r="BJ40" i="132" s="1"/>
  <c r="Y40" i="134"/>
  <c r="BI54" i="132"/>
  <c r="BJ54" i="132" s="1"/>
  <c r="Y54" i="134"/>
  <c r="BI21" i="132"/>
  <c r="Y21" i="134"/>
  <c r="BI49" i="132"/>
  <c r="BJ49" i="132" s="1"/>
  <c r="Y49" i="134"/>
  <c r="BI44" i="132"/>
  <c r="BJ44" i="132" s="1"/>
  <c r="Y44" i="134"/>
  <c r="BI28" i="132"/>
  <c r="Y28" i="134"/>
  <c r="BI36" i="132"/>
  <c r="BJ36" i="132" s="1"/>
  <c r="Y36" i="134"/>
  <c r="BI55" i="132"/>
  <c r="BJ55" i="132" s="1"/>
  <c r="Y55" i="134"/>
  <c r="BI56" i="132"/>
  <c r="BJ56" i="132" s="1"/>
  <c r="Y56" i="134"/>
  <c r="BI39" i="132"/>
  <c r="BJ39" i="132" s="1"/>
  <c r="Y39" i="134"/>
  <c r="BI50" i="132"/>
  <c r="BJ50" i="132" s="1"/>
  <c r="Y50" i="134"/>
  <c r="BI35" i="132"/>
  <c r="BJ35" i="132" s="1"/>
  <c r="Y35" i="134"/>
  <c r="BI46" i="132"/>
  <c r="BJ46" i="132" s="1"/>
  <c r="Y46" i="134"/>
  <c r="BI52" i="132"/>
  <c r="BJ52" i="132" s="1"/>
  <c r="Y52" i="134"/>
  <c r="BI57" i="132"/>
  <c r="BJ57" i="132" s="1"/>
  <c r="Y57" i="134"/>
  <c r="BI31" i="132"/>
  <c r="Y31" i="134"/>
  <c r="BI29" i="132"/>
  <c r="Y29" i="134"/>
  <c r="BI20" i="132"/>
  <c r="Y20" i="134"/>
  <c r="BI47" i="132"/>
  <c r="BJ47" i="132" s="1"/>
  <c r="Y47" i="134"/>
  <c r="BI37" i="132"/>
  <c r="BJ37" i="132" s="1"/>
  <c r="Y37" i="134"/>
  <c r="BI61" i="132"/>
  <c r="BJ61" i="132" s="1"/>
  <c r="Y61" i="134"/>
  <c r="BI22" i="132"/>
  <c r="Y22" i="134"/>
  <c r="BI13" i="132"/>
  <c r="Y13" i="134"/>
  <c r="BI34" i="132"/>
  <c r="BJ34" i="132" s="1"/>
  <c r="Y34" i="134"/>
  <c r="BI41" i="132"/>
  <c r="BJ41" i="132" s="1"/>
  <c r="Y41" i="134"/>
  <c r="BI33" i="132"/>
  <c r="BJ33" i="132" s="1"/>
  <c r="Y33" i="134"/>
  <c r="BI51" i="132"/>
  <c r="BJ51" i="132" s="1"/>
  <c r="Y51" i="134"/>
  <c r="BI32" i="132"/>
  <c r="Y32" i="134"/>
  <c r="BI53" i="132"/>
  <c r="BJ53" i="132" s="1"/>
  <c r="Y53" i="134"/>
  <c r="BI16" i="132"/>
  <c r="Y16" i="134"/>
  <c r="BI17" i="132"/>
  <c r="Y17" i="134"/>
  <c r="BI60" i="132"/>
  <c r="BJ60" i="132" s="1"/>
  <c r="Y60" i="134"/>
  <c r="BI23" i="132"/>
  <c r="Y23" i="134"/>
  <c r="Q79" i="121"/>
  <c r="S57" i="93"/>
  <c r="T31" i="74"/>
  <c r="V31" i="74" s="1"/>
  <c r="T28" i="74"/>
  <c r="T30" i="74"/>
  <c r="T32" i="74"/>
  <c r="V32" i="74" s="1"/>
  <c r="T24" i="74"/>
  <c r="T29" i="74"/>
  <c r="T26" i="74"/>
  <c r="T47" i="74"/>
  <c r="T52" i="74"/>
  <c r="T55" i="74"/>
  <c r="V55" i="74" s="1"/>
  <c r="T57" i="74"/>
  <c r="T50" i="74"/>
  <c r="V50" i="74" s="1"/>
  <c r="T53" i="74"/>
  <c r="T51" i="74"/>
  <c r="V51" i="74" s="1"/>
  <c r="T58" i="74"/>
  <c r="V58" i="74" s="1"/>
  <c r="Q96" i="121"/>
  <c r="T61" i="74"/>
  <c r="V61" i="74" s="1"/>
  <c r="R54" i="93"/>
  <c r="V54" i="93" s="1"/>
  <c r="T57" i="93"/>
  <c r="Q57" i="93"/>
  <c r="V57" i="93" s="1"/>
  <c r="R57" i="93"/>
  <c r="T54" i="93"/>
  <c r="N53" i="93"/>
  <c r="Y57" i="132" s="1"/>
  <c r="X57" i="132" s="1"/>
  <c r="AX55" i="89" s="1"/>
  <c r="M53" i="93"/>
  <c r="M54" i="93"/>
  <c r="A54" i="87" s="1"/>
  <c r="N54" i="93"/>
  <c r="Y58" i="132" s="1"/>
  <c r="X58" i="132" s="1"/>
  <c r="AX56" i="89" s="1"/>
  <c r="Q56" i="93"/>
  <c r="N56" i="93"/>
  <c r="Y60" i="132" s="1"/>
  <c r="X60" i="132" s="1"/>
  <c r="AX58" i="89" s="1"/>
  <c r="M56" i="93"/>
  <c r="L53" i="93"/>
  <c r="A53" i="87" s="1"/>
  <c r="M52" i="93"/>
  <c r="N52" i="93"/>
  <c r="Y56" i="132" s="1"/>
  <c r="X56" i="132" s="1"/>
  <c r="AX54" i="89" s="1"/>
  <c r="N49" i="93"/>
  <c r="Y53" i="132" s="1"/>
  <c r="X53" i="132" s="1"/>
  <c r="AX51" i="89" s="1"/>
  <c r="M49" i="93"/>
  <c r="Q29" i="93"/>
  <c r="M29" i="93"/>
  <c r="A29" i="87" s="1"/>
  <c r="N29" i="93"/>
  <c r="Y33" i="132" s="1"/>
  <c r="X33" i="132" s="1"/>
  <c r="AX31" i="89" s="1"/>
  <c r="L52" i="93"/>
  <c r="A52" i="87" s="1"/>
  <c r="L49" i="93"/>
  <c r="A49" i="87" s="1"/>
  <c r="N24" i="93"/>
  <c r="Y28" i="132" s="1"/>
  <c r="X28" i="132" s="1"/>
  <c r="AX26" i="89" s="1"/>
  <c r="M24" i="93"/>
  <c r="L24" i="93"/>
  <c r="S54" i="93"/>
  <c r="N44" i="93"/>
  <c r="Y48" i="132" s="1"/>
  <c r="X48" i="132" s="1"/>
  <c r="AX46" i="89" s="1"/>
  <c r="M44" i="93"/>
  <c r="A44" i="87" s="1"/>
  <c r="N57" i="93"/>
  <c r="Y61" i="132" s="1"/>
  <c r="X61" i="132" s="1"/>
  <c r="AX59" i="89" s="1"/>
  <c r="M57" i="93"/>
  <c r="A57" i="87" s="1"/>
  <c r="B18" i="119"/>
  <c r="B19" i="119"/>
  <c r="B35" i="119"/>
  <c r="B26" i="119"/>
  <c r="B24" i="119"/>
  <c r="B30" i="119"/>
  <c r="B23" i="119"/>
  <c r="B22" i="119"/>
  <c r="B32" i="119"/>
  <c r="B34" i="119"/>
  <c r="B16" i="119"/>
  <c r="B31" i="119"/>
  <c r="L48" i="93"/>
  <c r="R53" i="93"/>
  <c r="S53" i="93"/>
  <c r="T53" i="93"/>
  <c r="T24" i="93"/>
  <c r="S24" i="93"/>
  <c r="R24" i="93"/>
  <c r="T52" i="93"/>
  <c r="S52" i="93"/>
  <c r="R52" i="93"/>
  <c r="V52" i="93" s="1"/>
  <c r="T49" i="93"/>
  <c r="S49" i="93"/>
  <c r="R49" i="93"/>
  <c r="V49" i="93" s="1"/>
  <c r="N88" i="80"/>
  <c r="F22" i="93"/>
  <c r="I22" i="80"/>
  <c r="H22" i="80"/>
  <c r="R44" i="93"/>
  <c r="S44" i="93"/>
  <c r="T44" i="93"/>
  <c r="L46" i="93"/>
  <c r="S56" i="93"/>
  <c r="R56" i="93"/>
  <c r="T56" i="93"/>
  <c r="Q53" i="93"/>
  <c r="Q44" i="93"/>
  <c r="V44" i="93" s="1"/>
  <c r="T29" i="93"/>
  <c r="R29" i="93"/>
  <c r="S29" i="93"/>
  <c r="G11" i="52"/>
  <c r="F11" i="52"/>
  <c r="D11" i="52"/>
  <c r="E11" i="52"/>
  <c r="AJ34" i="132" l="1"/>
  <c r="AJ60" i="132"/>
  <c r="AJ32" i="132"/>
  <c r="AJ55" i="132"/>
  <c r="AJ56" i="132"/>
  <c r="AJ50" i="132"/>
  <c r="AJ27" i="132"/>
  <c r="AJ63" i="132"/>
  <c r="AJ30" i="132"/>
  <c r="AJ64" i="132"/>
  <c r="AJ61" i="132"/>
  <c r="AJ57" i="132"/>
  <c r="V24" i="74"/>
  <c r="AJ33" i="132"/>
  <c r="AJ54" i="132"/>
  <c r="AJ62" i="132"/>
  <c r="AP60" i="89" s="1"/>
  <c r="AK59" i="90" s="1"/>
  <c r="AJ31" i="132"/>
  <c r="AJ29" i="132"/>
  <c r="V52" i="74"/>
  <c r="V47" i="74"/>
  <c r="V53" i="74"/>
  <c r="V57" i="74"/>
  <c r="V26" i="74"/>
  <c r="V30" i="74"/>
  <c r="V54" i="74"/>
  <c r="G25" i="100"/>
  <c r="AI25" i="90"/>
  <c r="AH25" i="90" s="1"/>
  <c r="AJ25" i="90"/>
  <c r="AM25" i="90"/>
  <c r="AN25" i="90"/>
  <c r="AK25" i="90"/>
  <c r="AL25" i="90"/>
  <c r="G33" i="100"/>
  <c r="AL33" i="90"/>
  <c r="AN33" i="90"/>
  <c r="AI33" i="90"/>
  <c r="AH33" i="90" s="1"/>
  <c r="AK33" i="90"/>
  <c r="AM33" i="90"/>
  <c r="AJ33" i="90"/>
  <c r="G44" i="100"/>
  <c r="AI44" i="90"/>
  <c r="AH44" i="90" s="1"/>
  <c r="AL44" i="90"/>
  <c r="AJ44" i="90"/>
  <c r="AK44" i="90"/>
  <c r="AM44" i="90"/>
  <c r="AN44" i="90"/>
  <c r="H26" i="100"/>
  <c r="AQ26" i="90"/>
  <c r="AP26" i="90" s="1"/>
  <c r="AR26" i="90"/>
  <c r="AU26" i="90"/>
  <c r="AT26" i="90"/>
  <c r="AS26" i="90"/>
  <c r="AV26" i="90"/>
  <c r="G43" i="100"/>
  <c r="AK43" i="90"/>
  <c r="AL43" i="90"/>
  <c r="AM43" i="90"/>
  <c r="AN43" i="90"/>
  <c r="AJ43" i="90"/>
  <c r="AI43" i="90"/>
  <c r="AH43" i="90" s="1"/>
  <c r="G39" i="100"/>
  <c r="AK39" i="90"/>
  <c r="AL39" i="90"/>
  <c r="AM39" i="90"/>
  <c r="AN39" i="90"/>
  <c r="AI39" i="90"/>
  <c r="AH39" i="90" s="1"/>
  <c r="AJ39" i="90"/>
  <c r="Q52" i="132"/>
  <c r="AN49" i="74" s="1"/>
  <c r="E55" i="132"/>
  <c r="J53" i="89" s="1"/>
  <c r="E38" i="132"/>
  <c r="J36" i="89" s="1"/>
  <c r="G46" i="100"/>
  <c r="AM46" i="90"/>
  <c r="AJ46" i="90"/>
  <c r="AK46" i="90"/>
  <c r="AL46" i="90"/>
  <c r="AN46" i="90"/>
  <c r="AI46" i="90"/>
  <c r="AH46" i="90" s="1"/>
  <c r="G56" i="100"/>
  <c r="AI56" i="90"/>
  <c r="AH56" i="90" s="1"/>
  <c r="AJ56" i="90"/>
  <c r="AK56" i="90"/>
  <c r="AN56" i="90"/>
  <c r="AL56" i="90"/>
  <c r="AM56" i="90"/>
  <c r="V53" i="93"/>
  <c r="H30" i="100"/>
  <c r="AR30" i="90"/>
  <c r="AU30" i="90"/>
  <c r="AT30" i="90"/>
  <c r="AV30" i="90"/>
  <c r="AQ30" i="90"/>
  <c r="AP30" i="90" s="1"/>
  <c r="AS30" i="90"/>
  <c r="A56" i="87"/>
  <c r="V29" i="74"/>
  <c r="E46" i="132"/>
  <c r="J44" i="89" s="1"/>
  <c r="Q57" i="132"/>
  <c r="AN54" i="74" s="1"/>
  <c r="E39" i="132"/>
  <c r="J37" i="89" s="1"/>
  <c r="Q26" i="132"/>
  <c r="AN23" i="74" s="1"/>
  <c r="G34" i="100"/>
  <c r="AJ34" i="90"/>
  <c r="AL34" i="90"/>
  <c r="AN34" i="90"/>
  <c r="AK34" i="90"/>
  <c r="AM34" i="90"/>
  <c r="AI34" i="90"/>
  <c r="AH34" i="90" s="1"/>
  <c r="H31" i="100"/>
  <c r="AT31" i="90"/>
  <c r="AV31" i="90"/>
  <c r="AQ31" i="90"/>
  <c r="AP31" i="90" s="1"/>
  <c r="AR31" i="90"/>
  <c r="AS31" i="90"/>
  <c r="AU31" i="90"/>
  <c r="AL57" i="132"/>
  <c r="AP55" i="89" s="1"/>
  <c r="AE57" i="132"/>
  <c r="BU42" i="132"/>
  <c r="BH39" i="74"/>
  <c r="BU47" i="132"/>
  <c r="BH44" i="74"/>
  <c r="Q35" i="132"/>
  <c r="AN32" i="74" s="1"/>
  <c r="BH45" i="74"/>
  <c r="BU48" i="132"/>
  <c r="E49" i="132"/>
  <c r="J47" i="89" s="1"/>
  <c r="E47" i="132"/>
  <c r="J45" i="89" s="1"/>
  <c r="Q32" i="132"/>
  <c r="AN29" i="74" s="1"/>
  <c r="E36" i="132"/>
  <c r="J34" i="89" s="1"/>
  <c r="E45" i="132"/>
  <c r="J43" i="89" s="1"/>
  <c r="BH40" i="74"/>
  <c r="BU43" i="132"/>
  <c r="CI52" i="132"/>
  <c r="U49" i="74"/>
  <c r="T49" i="74" s="1"/>
  <c r="G37" i="100"/>
  <c r="AI37" i="90"/>
  <c r="AH37" i="90" s="1"/>
  <c r="AJ37" i="90"/>
  <c r="AM37" i="90"/>
  <c r="AN37" i="90"/>
  <c r="AK37" i="90"/>
  <c r="AL37" i="90"/>
  <c r="BH35" i="74"/>
  <c r="BU38" i="132"/>
  <c r="BU46" i="132"/>
  <c r="BH43" i="74"/>
  <c r="AP28" i="89"/>
  <c r="AL54" i="132"/>
  <c r="AP52" i="89" s="1"/>
  <c r="AE54" i="132"/>
  <c r="AL32" i="132"/>
  <c r="AP30" i="89" s="1"/>
  <c r="AE32" i="132"/>
  <c r="BH48" i="74"/>
  <c r="BU51" i="132"/>
  <c r="V59" i="74"/>
  <c r="U23" i="93"/>
  <c r="O23" i="93"/>
  <c r="Z27" i="132" s="1"/>
  <c r="X27" i="132" s="1"/>
  <c r="AX25" i="89" s="1"/>
  <c r="AL50" i="132"/>
  <c r="AE50" i="132"/>
  <c r="H29" i="100"/>
  <c r="AT29" i="90"/>
  <c r="AV29" i="90"/>
  <c r="AQ29" i="90"/>
  <c r="AP29" i="90" s="1"/>
  <c r="AR29" i="90"/>
  <c r="AS29" i="90"/>
  <c r="AU29" i="90"/>
  <c r="H57" i="100"/>
  <c r="AQ57" i="90"/>
  <c r="AP57" i="90" s="1"/>
  <c r="AR57" i="90"/>
  <c r="AS57" i="90"/>
  <c r="AU57" i="90"/>
  <c r="AV57" i="90"/>
  <c r="AT57" i="90"/>
  <c r="S23" i="93"/>
  <c r="M23" i="93"/>
  <c r="V29" i="93"/>
  <c r="V56" i="93"/>
  <c r="BR29" i="132"/>
  <c r="E29" i="132" s="1"/>
  <c r="J27" i="89" s="1"/>
  <c r="Q36" i="132"/>
  <c r="AN33" i="74" s="1"/>
  <c r="E43" i="132"/>
  <c r="J41" i="89" s="1"/>
  <c r="V11" i="80"/>
  <c r="W11" i="80"/>
  <c r="P77" i="80"/>
  <c r="L11" i="80"/>
  <c r="K11" i="80"/>
  <c r="J11" i="80"/>
  <c r="CH52" i="132"/>
  <c r="BV52" i="132" s="1"/>
  <c r="AK52" i="132" s="1"/>
  <c r="W49" i="74"/>
  <c r="Y49" i="74"/>
  <c r="X49" i="74" s="1"/>
  <c r="G42" i="100"/>
  <c r="AM42" i="90"/>
  <c r="AN42" i="90"/>
  <c r="AI42" i="90"/>
  <c r="AH42" i="90" s="1"/>
  <c r="AJ42" i="90"/>
  <c r="AL42" i="90"/>
  <c r="AK42" i="90"/>
  <c r="G45" i="100"/>
  <c r="AJ45" i="90"/>
  <c r="AN45" i="90"/>
  <c r="AI45" i="90"/>
  <c r="AH45" i="90" s="1"/>
  <c r="AL45" i="90"/>
  <c r="AK45" i="90"/>
  <c r="AM45" i="90"/>
  <c r="V27" i="74"/>
  <c r="AL64" i="132"/>
  <c r="AP62" i="89" s="1"/>
  <c r="AE64" i="132"/>
  <c r="V60" i="74"/>
  <c r="BH37" i="74"/>
  <c r="BU40" i="132"/>
  <c r="H55" i="100"/>
  <c r="AT55" i="90"/>
  <c r="AU55" i="90"/>
  <c r="AV55" i="90"/>
  <c r="AR55" i="90"/>
  <c r="AS55" i="90"/>
  <c r="AQ55" i="90"/>
  <c r="AP55" i="90" s="1"/>
  <c r="E53" i="132"/>
  <c r="J51" i="89" s="1"/>
  <c r="E44" i="132"/>
  <c r="J42" i="89" s="1"/>
  <c r="E60" i="132"/>
  <c r="J58" i="89" s="1"/>
  <c r="E61" i="132"/>
  <c r="J59" i="89" s="1"/>
  <c r="E42" i="132"/>
  <c r="J40" i="89" s="1"/>
  <c r="Q19" i="132"/>
  <c r="AN16" i="74" s="1"/>
  <c r="Z83" i="152"/>
  <c r="Z75" i="152"/>
  <c r="Z38" i="152"/>
  <c r="BH33" i="74"/>
  <c r="BU36" i="132"/>
  <c r="G35" i="100"/>
  <c r="AJ35" i="90"/>
  <c r="AM35" i="90"/>
  <c r="AL35" i="90"/>
  <c r="AI35" i="90"/>
  <c r="AH35" i="90" s="1"/>
  <c r="AK35" i="90"/>
  <c r="AN35" i="90"/>
  <c r="AL63" i="132"/>
  <c r="AE63" i="132"/>
  <c r="G38" i="100"/>
  <c r="AM38" i="90"/>
  <c r="AN38" i="90"/>
  <c r="AK38" i="90"/>
  <c r="AL38" i="90"/>
  <c r="AI38" i="90"/>
  <c r="AH38" i="90" s="1"/>
  <c r="AJ38" i="90"/>
  <c r="AL60" i="132"/>
  <c r="AP58" i="89" s="1"/>
  <c r="AE60" i="132"/>
  <c r="AP48" i="89"/>
  <c r="H45" i="100"/>
  <c r="AQ45" i="90"/>
  <c r="AP45" i="90" s="1"/>
  <c r="AT45" i="90"/>
  <c r="AR45" i="90"/>
  <c r="AS45" i="90"/>
  <c r="AU45" i="90"/>
  <c r="AV45" i="90"/>
  <c r="E57" i="132"/>
  <c r="J55" i="89" s="1"/>
  <c r="BR28" i="132"/>
  <c r="E28" i="132" s="1"/>
  <c r="J26" i="89" s="1"/>
  <c r="H27" i="100"/>
  <c r="AT27" i="90"/>
  <c r="AV27" i="90"/>
  <c r="AQ27" i="90"/>
  <c r="AP27" i="90" s="1"/>
  <c r="AS27" i="90"/>
  <c r="AR27" i="90"/>
  <c r="AU27" i="90"/>
  <c r="AL58" i="132"/>
  <c r="AP56" i="89" s="1"/>
  <c r="AE58" i="132"/>
  <c r="AL29" i="132"/>
  <c r="AE29" i="132"/>
  <c r="BU44" i="132"/>
  <c r="BH41" i="74"/>
  <c r="A24" i="87"/>
  <c r="T23" i="93"/>
  <c r="H50" i="100"/>
  <c r="AV50" i="90"/>
  <c r="AQ50" i="90"/>
  <c r="AP50" i="90" s="1"/>
  <c r="AR50" i="90"/>
  <c r="AT50" i="90"/>
  <c r="AS50" i="90"/>
  <c r="AU50" i="90"/>
  <c r="V28" i="74"/>
  <c r="E48" i="132"/>
  <c r="J46" i="89" s="1"/>
  <c r="E37" i="132"/>
  <c r="J35" i="89" s="1"/>
  <c r="E54" i="132"/>
  <c r="J52" i="89" s="1"/>
  <c r="Q61" i="132"/>
  <c r="AN58" i="74" s="1"/>
  <c r="E58" i="132"/>
  <c r="J56" i="89" s="1"/>
  <c r="E34" i="132"/>
  <c r="J32" i="89" s="1"/>
  <c r="AL56" i="132"/>
  <c r="AP54" i="89" s="1"/>
  <c r="AE56" i="132"/>
  <c r="AL33" i="132"/>
  <c r="AP31" i="89" s="1"/>
  <c r="AE33" i="132"/>
  <c r="AL53" i="132"/>
  <c r="AP51" i="89" s="1"/>
  <c r="AE53" i="132"/>
  <c r="BU37" i="132"/>
  <c r="BH34" i="74"/>
  <c r="BU39" i="132"/>
  <c r="BH36" i="74"/>
  <c r="BU49" i="132"/>
  <c r="BH46" i="74"/>
  <c r="AL27" i="132"/>
  <c r="AP25" i="89" s="1"/>
  <c r="AE27" i="132"/>
  <c r="BU41" i="132"/>
  <c r="BH38" i="74"/>
  <c r="G48" i="100"/>
  <c r="AI48" i="90"/>
  <c r="AH48" i="90" s="1"/>
  <c r="AJ48" i="90"/>
  <c r="AK48" i="90"/>
  <c r="AL48" i="90"/>
  <c r="AN48" i="90"/>
  <c r="AM48" i="90"/>
  <c r="BU45" i="132"/>
  <c r="BH42" i="74"/>
  <c r="AL31" i="132"/>
  <c r="AP29" i="89" s="1"/>
  <c r="AE31" i="132"/>
  <c r="E41" i="132"/>
  <c r="J39" i="89" s="1"/>
  <c r="BH56" i="74"/>
  <c r="BU59" i="132"/>
  <c r="G40" i="100"/>
  <c r="AI40" i="90"/>
  <c r="AH40" i="90" s="1"/>
  <c r="AJ40" i="90"/>
  <c r="AK40" i="90"/>
  <c r="AL40" i="90"/>
  <c r="AM40" i="90"/>
  <c r="AN40" i="90"/>
  <c r="R23" i="93"/>
  <c r="H58" i="100"/>
  <c r="AV58" i="90"/>
  <c r="AQ58" i="90"/>
  <c r="AP58" i="90" s="1"/>
  <c r="AR58" i="90"/>
  <c r="AS58" i="90"/>
  <c r="AT58" i="90"/>
  <c r="AU58" i="90"/>
  <c r="H25" i="100"/>
  <c r="AR25" i="90"/>
  <c r="AS25" i="90"/>
  <c r="AT25" i="90"/>
  <c r="AQ25" i="90"/>
  <c r="AP25" i="90" s="1"/>
  <c r="AU25" i="90"/>
  <c r="AV25" i="90"/>
  <c r="H53" i="100"/>
  <c r="AQ53" i="90"/>
  <c r="AP53" i="90" s="1"/>
  <c r="AR53" i="90"/>
  <c r="AS53" i="90"/>
  <c r="AT53" i="90"/>
  <c r="AV53" i="90"/>
  <c r="AU53" i="90"/>
  <c r="E35" i="132"/>
  <c r="J33" i="89" s="1"/>
  <c r="E40" i="132"/>
  <c r="J38" i="89" s="1"/>
  <c r="BU62" i="132"/>
  <c r="BH59" i="74"/>
  <c r="AP61" i="89"/>
  <c r="AL34" i="132"/>
  <c r="AP32" i="89" s="1"/>
  <c r="AE34" i="132"/>
  <c r="V59" i="93"/>
  <c r="E51" i="132"/>
  <c r="J49" i="89" s="1"/>
  <c r="Q23" i="93"/>
  <c r="H54" i="100"/>
  <c r="AV54" i="90"/>
  <c r="AQ54" i="90"/>
  <c r="AP54" i="90" s="1"/>
  <c r="AT54" i="90"/>
  <c r="AR54" i="90"/>
  <c r="AS54" i="90"/>
  <c r="AU54" i="90"/>
  <c r="E33" i="132"/>
  <c r="J31" i="89" s="1"/>
  <c r="E52" i="132"/>
  <c r="J50" i="89" s="1"/>
  <c r="E59" i="132"/>
  <c r="J57" i="89" s="1"/>
  <c r="E50" i="132"/>
  <c r="J48" i="89" s="1"/>
  <c r="E56" i="132"/>
  <c r="J54" i="89" s="1"/>
  <c r="L28" i="158"/>
  <c r="Z41" i="152"/>
  <c r="Z73" i="152"/>
  <c r="AL35" i="132"/>
  <c r="AP33" i="89" s="1"/>
  <c r="AE35" i="132"/>
  <c r="AL55" i="132"/>
  <c r="AP53" i="89" s="1"/>
  <c r="AE55" i="132"/>
  <c r="AP27" i="89"/>
  <c r="BU30" i="132"/>
  <c r="BH27" i="74"/>
  <c r="G36" i="100"/>
  <c r="AN36" i="90"/>
  <c r="AI36" i="90"/>
  <c r="AH36" i="90" s="1"/>
  <c r="AL36" i="90"/>
  <c r="AK36" i="90"/>
  <c r="AM36" i="90"/>
  <c r="AJ36" i="90"/>
  <c r="G41" i="100"/>
  <c r="AI41" i="90"/>
  <c r="AH41" i="90" s="1"/>
  <c r="AJ41" i="90"/>
  <c r="AM41" i="90"/>
  <c r="AK41" i="90"/>
  <c r="AL41" i="90"/>
  <c r="AN41" i="90"/>
  <c r="BU28" i="132"/>
  <c r="BH25" i="74"/>
  <c r="L23" i="93"/>
  <c r="A23" i="87" s="1"/>
  <c r="H59" i="100"/>
  <c r="AT59" i="90"/>
  <c r="AV59" i="90"/>
  <c r="AQ59" i="90"/>
  <c r="AP59" i="90" s="1"/>
  <c r="AR59" i="90"/>
  <c r="AS59" i="90"/>
  <c r="AU59" i="90"/>
  <c r="U59" i="93"/>
  <c r="O59" i="93"/>
  <c r="Z63" i="132" s="1"/>
  <c r="S59" i="93"/>
  <c r="N59" i="93"/>
  <c r="Y63" i="132" s="1"/>
  <c r="M59" i="93"/>
  <c r="T59" i="93"/>
  <c r="R59" i="93"/>
  <c r="V46" i="93"/>
  <c r="AL61" i="132"/>
  <c r="AP59" i="89" s="1"/>
  <c r="AE61" i="132"/>
  <c r="L25" i="158"/>
  <c r="Z47" i="152"/>
  <c r="Z67" i="152"/>
  <c r="Z86" i="152"/>
  <c r="Z56" i="152"/>
  <c r="Z64" i="152"/>
  <c r="Z85" i="152"/>
  <c r="Z66" i="152"/>
  <c r="Z77" i="152"/>
  <c r="Z78" i="152"/>
  <c r="Z81" i="152"/>
  <c r="Z82" i="152"/>
  <c r="Z46" i="152"/>
  <c r="Z60" i="152"/>
  <c r="Z76" i="152"/>
  <c r="Z53" i="152"/>
  <c r="Z87" i="152"/>
  <c r="Z70" i="152"/>
  <c r="Z71" i="152"/>
  <c r="C26" i="158"/>
  <c r="Z55" i="152"/>
  <c r="Z51" i="152"/>
  <c r="Z59" i="152"/>
  <c r="Z63" i="152"/>
  <c r="Z43" i="152"/>
  <c r="L22" i="158"/>
  <c r="Z79" i="152"/>
  <c r="Z65" i="152"/>
  <c r="Z57" i="152"/>
  <c r="Z52" i="152"/>
  <c r="Z58" i="152"/>
  <c r="Z44" i="152"/>
  <c r="Z50" i="152"/>
  <c r="Z54" i="152"/>
  <c r="Z61" i="152"/>
  <c r="Z48" i="152"/>
  <c r="Z74" i="152"/>
  <c r="Z84" i="152"/>
  <c r="Z69" i="152"/>
  <c r="Z49" i="152"/>
  <c r="C11" i="158"/>
  <c r="Z40" i="152"/>
  <c r="Z45" i="152"/>
  <c r="Z72" i="152"/>
  <c r="Z62" i="152"/>
  <c r="Z68" i="152"/>
  <c r="Z42" i="152"/>
  <c r="Z80" i="152"/>
  <c r="L23" i="158"/>
  <c r="C23" i="158"/>
  <c r="L56" i="158"/>
  <c r="C56" i="158"/>
  <c r="L53" i="158"/>
  <c r="C53" i="158"/>
  <c r="L50" i="158"/>
  <c r="C50" i="158"/>
  <c r="L41" i="158"/>
  <c r="C41" i="158"/>
  <c r="L24" i="158"/>
  <c r="C24" i="158"/>
  <c r="L43" i="158"/>
  <c r="C43" i="158"/>
  <c r="C22" i="158"/>
  <c r="L46" i="158"/>
  <c r="C46" i="158"/>
  <c r="C37" i="158"/>
  <c r="L37" i="158"/>
  <c r="C18" i="158"/>
  <c r="L7" i="158"/>
  <c r="C7" i="158"/>
  <c r="C33" i="158"/>
  <c r="L33" i="158"/>
  <c r="L35" i="158"/>
  <c r="C35" i="158"/>
  <c r="C48" i="158"/>
  <c r="L48" i="158"/>
  <c r="C32" i="158"/>
  <c r="L32" i="158"/>
  <c r="L36" i="158"/>
  <c r="C36" i="158"/>
  <c r="L30" i="158"/>
  <c r="C30" i="158"/>
  <c r="C54" i="158"/>
  <c r="L54" i="158"/>
  <c r="C19" i="158"/>
  <c r="L19" i="158"/>
  <c r="C45" i="158"/>
  <c r="L45" i="158"/>
  <c r="L11" i="158"/>
  <c r="C28" i="158"/>
  <c r="L40" i="158"/>
  <c r="C40" i="158"/>
  <c r="C15" i="158"/>
  <c r="L15" i="158"/>
  <c r="C44" i="158"/>
  <c r="L44" i="158"/>
  <c r="L12" i="158"/>
  <c r="C12" i="158"/>
  <c r="L21" i="158"/>
  <c r="C21" i="158"/>
  <c r="L58" i="158"/>
  <c r="C58" i="158"/>
  <c r="L57" i="158"/>
  <c r="C57" i="158"/>
  <c r="C47" i="158"/>
  <c r="L47" i="158"/>
  <c r="L51" i="158"/>
  <c r="C51" i="158"/>
  <c r="L26" i="158"/>
  <c r="C55" i="158"/>
  <c r="L55" i="158"/>
  <c r="L17" i="158"/>
  <c r="C17" i="158"/>
  <c r="L14" i="158"/>
  <c r="C14" i="158"/>
  <c r="C9" i="158"/>
  <c r="L9" i="158"/>
  <c r="C39" i="158"/>
  <c r="L39" i="158"/>
  <c r="L49" i="158"/>
  <c r="C49" i="158"/>
  <c r="C20" i="158"/>
  <c r="L20" i="158"/>
  <c r="L31" i="158"/>
  <c r="C31" i="158"/>
  <c r="C34" i="158"/>
  <c r="L34" i="158"/>
  <c r="C16" i="158"/>
  <c r="L16" i="158"/>
  <c r="L27" i="158"/>
  <c r="C27" i="158"/>
  <c r="L29" i="158"/>
  <c r="C29" i="158"/>
  <c r="C52" i="158"/>
  <c r="L52" i="158"/>
  <c r="C25" i="158"/>
  <c r="L18" i="158"/>
  <c r="C13" i="158"/>
  <c r="L13" i="158"/>
  <c r="L38" i="158"/>
  <c r="C38" i="158"/>
  <c r="C42" i="158"/>
  <c r="L42" i="158"/>
  <c r="D27" i="151"/>
  <c r="D27" i="143" s="1"/>
  <c r="F18" i="151"/>
  <c r="F18" i="143" s="1"/>
  <c r="K57" i="134"/>
  <c r="AA57" i="134" s="1"/>
  <c r="AE57" i="134" s="1"/>
  <c r="F27" i="149"/>
  <c r="K60" i="134"/>
  <c r="AA60" i="134" s="1"/>
  <c r="AE60" i="134" s="1"/>
  <c r="P30" i="132"/>
  <c r="P31" i="132"/>
  <c r="P58" i="132"/>
  <c r="K56" i="134"/>
  <c r="AA56" i="134" s="1"/>
  <c r="AE56" i="134" s="1"/>
  <c r="K51" i="134"/>
  <c r="AA51" i="134" s="1"/>
  <c r="AE51" i="134" s="1"/>
  <c r="K11" i="134"/>
  <c r="AA11" i="134" s="1"/>
  <c r="AE11" i="134" s="1"/>
  <c r="K16" i="134"/>
  <c r="AA16" i="134" s="1"/>
  <c r="AE16" i="134" s="1"/>
  <c r="P49" i="132"/>
  <c r="P42" i="132"/>
  <c r="P50" i="132"/>
  <c r="P20" i="132"/>
  <c r="P13" i="132"/>
  <c r="P44" i="132"/>
  <c r="K23" i="134"/>
  <c r="AA23" i="134" s="1"/>
  <c r="AE23" i="134" s="1"/>
  <c r="P33" i="132"/>
  <c r="P54" i="132"/>
  <c r="K29" i="134"/>
  <c r="AA29" i="134" s="1"/>
  <c r="AE29" i="134" s="1"/>
  <c r="P18" i="132"/>
  <c r="P22" i="132"/>
  <c r="P59" i="132"/>
  <c r="K48" i="134"/>
  <c r="AA48" i="134" s="1"/>
  <c r="AE48" i="134" s="1"/>
  <c r="K27" i="134"/>
  <c r="AA27" i="134" s="1"/>
  <c r="AE27" i="134" s="1"/>
  <c r="K40" i="134"/>
  <c r="AA40" i="134" s="1"/>
  <c r="AE40" i="134" s="1"/>
  <c r="P41" i="132"/>
  <c r="K47" i="134"/>
  <c r="AA47" i="134" s="1"/>
  <c r="AE47" i="134" s="1"/>
  <c r="K34" i="134"/>
  <c r="AA34" i="134" s="1"/>
  <c r="AE34" i="134" s="1"/>
  <c r="K21" i="134"/>
  <c r="AA21" i="134" s="1"/>
  <c r="AE21" i="134" s="1"/>
  <c r="P15" i="132"/>
  <c r="P53" i="132"/>
  <c r="K25" i="134"/>
  <c r="AA25" i="134" s="1"/>
  <c r="AE25" i="134" s="1"/>
  <c r="P24" i="132"/>
  <c r="P45" i="132"/>
  <c r="K46" i="134"/>
  <c r="AA46" i="134" s="1"/>
  <c r="AE46" i="134" s="1"/>
  <c r="P38" i="132"/>
  <c r="P55" i="132"/>
  <c r="P43" i="132"/>
  <c r="K28" i="134"/>
  <c r="AA28" i="134" s="1"/>
  <c r="AE28" i="134" s="1"/>
  <c r="P51" i="132"/>
  <c r="K15" i="134"/>
  <c r="AA15" i="134" s="1"/>
  <c r="AE15" i="134" s="1"/>
  <c r="P47" i="132"/>
  <c r="K22" i="134"/>
  <c r="AA22" i="134" s="1"/>
  <c r="AE22" i="134" s="1"/>
  <c r="K19" i="134"/>
  <c r="AA19" i="134" s="1"/>
  <c r="AE19" i="134" s="1"/>
  <c r="P11" i="132"/>
  <c r="K26" i="134"/>
  <c r="AA26" i="134" s="1"/>
  <c r="AE26" i="134" s="1"/>
  <c r="P56" i="132"/>
  <c r="P27" i="132"/>
  <c r="K32" i="134"/>
  <c r="AA32" i="134" s="1"/>
  <c r="AE32" i="134" s="1"/>
  <c r="P39" i="132"/>
  <c r="K18" i="134"/>
  <c r="AA18" i="134" s="1"/>
  <c r="AE18" i="134" s="1"/>
  <c r="K36" i="134"/>
  <c r="AA36" i="134" s="1"/>
  <c r="AE36" i="134" s="1"/>
  <c r="P28" i="132"/>
  <c r="K31" i="134"/>
  <c r="AA31" i="134" s="1"/>
  <c r="AE31" i="134" s="1"/>
  <c r="P34" i="132"/>
  <c r="K50" i="134"/>
  <c r="AA50" i="134" s="1"/>
  <c r="AE50" i="134" s="1"/>
  <c r="P21" i="132"/>
  <c r="P46" i="132"/>
  <c r="P60" i="132"/>
  <c r="D24" i="111"/>
  <c r="CB20" i="74"/>
  <c r="D31" i="111"/>
  <c r="CB27" i="74"/>
  <c r="D25" i="111"/>
  <c r="CB21" i="74"/>
  <c r="D20" i="111"/>
  <c r="CB16" i="74"/>
  <c r="D35" i="111"/>
  <c r="CB31" i="74"/>
  <c r="D33" i="111"/>
  <c r="CB29" i="74"/>
  <c r="D23" i="111"/>
  <c r="CB19" i="74"/>
  <c r="D32" i="111"/>
  <c r="CB28" i="74"/>
  <c r="D27" i="111"/>
  <c r="CB23" i="74"/>
  <c r="D19" i="111"/>
  <c r="CB15" i="74"/>
  <c r="D17" i="111"/>
  <c r="CB13" i="74"/>
  <c r="D36" i="111"/>
  <c r="CB32" i="74"/>
  <c r="K35" i="134"/>
  <c r="AA35" i="134" s="1"/>
  <c r="AE35" i="134" s="1"/>
  <c r="P16" i="132"/>
  <c r="P17" i="132"/>
  <c r="K30" i="134"/>
  <c r="AA30" i="134" s="1"/>
  <c r="AE30" i="134" s="1"/>
  <c r="P23" i="132"/>
  <c r="P29" i="132"/>
  <c r="K20" i="134"/>
  <c r="AA20" i="134" s="1"/>
  <c r="AE20" i="134" s="1"/>
  <c r="K24" i="134"/>
  <c r="AA24" i="134" s="1"/>
  <c r="AE24" i="134" s="1"/>
  <c r="K33" i="134"/>
  <c r="AA33" i="134" s="1"/>
  <c r="AE33" i="134" s="1"/>
  <c r="K49" i="134"/>
  <c r="AA49" i="134" s="1"/>
  <c r="AE49" i="134" s="1"/>
  <c r="K13" i="134"/>
  <c r="P25" i="132"/>
  <c r="P48" i="132"/>
  <c r="K52" i="134"/>
  <c r="AA52" i="134" s="1"/>
  <c r="AE52" i="134" s="1"/>
  <c r="K53" i="134"/>
  <c r="AA53" i="134" s="1"/>
  <c r="AE53" i="134" s="1"/>
  <c r="P40" i="132"/>
  <c r="K41" i="134"/>
  <c r="AA41" i="134" s="1"/>
  <c r="AE41" i="134" s="1"/>
  <c r="K43" i="134"/>
  <c r="AA43" i="134" s="1"/>
  <c r="AE43" i="134" s="1"/>
  <c r="K59" i="134"/>
  <c r="AA59" i="134" s="1"/>
  <c r="AE59" i="134" s="1"/>
  <c r="P37" i="132"/>
  <c r="K42" i="134"/>
  <c r="AA42" i="134" s="1"/>
  <c r="AE42" i="134" s="1"/>
  <c r="K38" i="134"/>
  <c r="AA38" i="134" s="1"/>
  <c r="AE38" i="134" s="1"/>
  <c r="K55" i="134"/>
  <c r="AA55" i="134" s="1"/>
  <c r="AE55" i="134" s="1"/>
  <c r="K45" i="134"/>
  <c r="AA45" i="134" s="1"/>
  <c r="AE45" i="134" s="1"/>
  <c r="K44" i="134"/>
  <c r="AA44" i="134" s="1"/>
  <c r="AE44" i="134" s="1"/>
  <c r="K58" i="134"/>
  <c r="AA58" i="134" s="1"/>
  <c r="AE58" i="134" s="1"/>
  <c r="K61" i="134"/>
  <c r="AA61" i="134" s="1"/>
  <c r="AE61" i="134" s="1"/>
  <c r="K54" i="134"/>
  <c r="AA54" i="134" s="1"/>
  <c r="AE54" i="134" s="1"/>
  <c r="BJ29" i="132"/>
  <c r="BR30" i="132"/>
  <c r="BR31" i="132"/>
  <c r="BR21" i="132"/>
  <c r="BJ21" i="132" s="1"/>
  <c r="BR18" i="132"/>
  <c r="BR13" i="132"/>
  <c r="BJ13" i="132" s="1"/>
  <c r="BR25" i="132"/>
  <c r="BJ25" i="132" s="1"/>
  <c r="BR26" i="132"/>
  <c r="BJ26" i="132" s="1"/>
  <c r="BR23" i="132"/>
  <c r="BR16" i="132"/>
  <c r="BR20" i="132"/>
  <c r="BJ20" i="132" s="1"/>
  <c r="BR15" i="132"/>
  <c r="BJ15" i="132" s="1"/>
  <c r="BD12" i="74" s="1"/>
  <c r="BR19" i="132"/>
  <c r="BR17" i="132"/>
  <c r="BR27" i="132"/>
  <c r="BJ27" i="132" s="1"/>
  <c r="BR22" i="132"/>
  <c r="BJ22" i="132" s="1"/>
  <c r="BR11" i="132"/>
  <c r="BJ11" i="132" s="1"/>
  <c r="BD8" i="74" s="1"/>
  <c r="BR32" i="132"/>
  <c r="BJ32" i="132" s="1"/>
  <c r="BD29" i="74" s="1"/>
  <c r="BR24" i="132"/>
  <c r="BJ24" i="132" s="1"/>
  <c r="BD36" i="74"/>
  <c r="I35" i="87" s="1"/>
  <c r="BD55" i="74"/>
  <c r="BD45" i="74"/>
  <c r="I44" i="87" s="1"/>
  <c r="BD50" i="74"/>
  <c r="BD31" i="74"/>
  <c r="BD58" i="74"/>
  <c r="BD43" i="74"/>
  <c r="I42" i="87" s="1"/>
  <c r="BD46" i="74"/>
  <c r="I45" i="87" s="1"/>
  <c r="BD51" i="74"/>
  <c r="BD32" i="74"/>
  <c r="BD35" i="74"/>
  <c r="I34" i="87" s="1"/>
  <c r="BD56" i="74"/>
  <c r="I55" i="87" s="1"/>
  <c r="BD30" i="74"/>
  <c r="BD54" i="74"/>
  <c r="BD49" i="74"/>
  <c r="BD47" i="74"/>
  <c r="BD53" i="74"/>
  <c r="BD33" i="74"/>
  <c r="BD41" i="74"/>
  <c r="I40" i="87" s="1"/>
  <c r="BD40" i="74"/>
  <c r="BD39" i="74"/>
  <c r="I38" i="87" s="1"/>
  <c r="BD57" i="74"/>
  <c r="BD38" i="74"/>
  <c r="I37" i="87" s="1"/>
  <c r="BD34" i="74"/>
  <c r="I33" i="87" s="1"/>
  <c r="BD52" i="74"/>
  <c r="BD48" i="74"/>
  <c r="BD42" i="74"/>
  <c r="AL48" i="74"/>
  <c r="AL54" i="74"/>
  <c r="AA37" i="134"/>
  <c r="AE37" i="134" s="1"/>
  <c r="AA17" i="134"/>
  <c r="AE17" i="134" s="1"/>
  <c r="AA39" i="134"/>
  <c r="AE39" i="134" s="1"/>
  <c r="AL31" i="74"/>
  <c r="AL37" i="74"/>
  <c r="AL40" i="74"/>
  <c r="AL43" i="74"/>
  <c r="Q97" i="121"/>
  <c r="Q48" i="93"/>
  <c r="N60" i="93"/>
  <c r="Y64" i="132" s="1"/>
  <c r="X64" i="132" s="1"/>
  <c r="AX62" i="89" s="1"/>
  <c r="M60" i="93"/>
  <c r="L60" i="93"/>
  <c r="A60" i="87" s="1"/>
  <c r="N48" i="93"/>
  <c r="Y52" i="132" s="1"/>
  <c r="X52" i="132" s="1"/>
  <c r="AX50" i="89" s="1"/>
  <c r="M48" i="93"/>
  <c r="A48" i="87" s="1"/>
  <c r="M46" i="93"/>
  <c r="A46" i="87" s="1"/>
  <c r="N46" i="93"/>
  <c r="Y50" i="132" s="1"/>
  <c r="X50" i="132" s="1"/>
  <c r="AX48" i="89" s="1"/>
  <c r="AI22" i="119"/>
  <c r="AI24" i="119"/>
  <c r="AI26" i="119"/>
  <c r="AI18" i="119"/>
  <c r="AI23" i="119"/>
  <c r="AI35" i="119"/>
  <c r="AI32" i="119"/>
  <c r="AI19" i="119"/>
  <c r="AI16" i="119"/>
  <c r="AI30" i="119"/>
  <c r="AI34" i="119"/>
  <c r="AI31" i="119"/>
  <c r="Q63" i="121"/>
  <c r="Q74" i="121"/>
  <c r="Q73" i="121"/>
  <c r="Q75" i="121"/>
  <c r="Q80" i="121"/>
  <c r="Q70" i="121"/>
  <c r="Q61" i="121"/>
  <c r="Q69" i="121"/>
  <c r="Q81" i="121"/>
  <c r="Q77" i="121"/>
  <c r="Q72" i="121"/>
  <c r="Q92" i="121"/>
  <c r="Q71" i="121"/>
  <c r="Q84" i="121"/>
  <c r="Q85" i="121"/>
  <c r="Q82" i="121"/>
  <c r="Q95" i="121"/>
  <c r="Q78" i="121"/>
  <c r="Q76" i="121"/>
  <c r="B17" i="119"/>
  <c r="B33" i="119"/>
  <c r="B25" i="119"/>
  <c r="B58" i="119"/>
  <c r="B36" i="119"/>
  <c r="B38" i="119"/>
  <c r="B46" i="119"/>
  <c r="O22" i="80"/>
  <c r="S22" i="80" s="1"/>
  <c r="P22" i="80"/>
  <c r="T22" i="80" s="1"/>
  <c r="C22" i="93"/>
  <c r="B22" i="93" s="1"/>
  <c r="N22" i="80"/>
  <c r="R22" i="80" s="1"/>
  <c r="CG26" i="132" s="1"/>
  <c r="T48" i="93"/>
  <c r="S48" i="93"/>
  <c r="R48" i="93"/>
  <c r="S46" i="93"/>
  <c r="R46" i="93"/>
  <c r="T46" i="93"/>
  <c r="N87" i="80"/>
  <c r="F21" i="93"/>
  <c r="I21" i="80"/>
  <c r="H21" i="80"/>
  <c r="T60" i="93"/>
  <c r="R60" i="93"/>
  <c r="S60" i="93"/>
  <c r="Q46" i="93"/>
  <c r="Q60" i="93"/>
  <c r="AJ52" i="132" l="1"/>
  <c r="BJ28" i="132"/>
  <c r="AN59" i="90"/>
  <c r="AM59" i="90"/>
  <c r="AL59" i="90"/>
  <c r="AJ59" i="90"/>
  <c r="G59" i="100"/>
  <c r="AI59" i="90"/>
  <c r="AH59" i="90" s="1"/>
  <c r="R33" i="89"/>
  <c r="R55" i="89"/>
  <c r="M54" i="90" s="1"/>
  <c r="R17" i="89"/>
  <c r="O16" i="90" s="1"/>
  <c r="AL32" i="74"/>
  <c r="AQ32" i="74" s="1"/>
  <c r="T129" i="121" s="1"/>
  <c r="AL30" i="74"/>
  <c r="I39" i="87"/>
  <c r="AL32" i="73"/>
  <c r="AK32" i="73" s="1"/>
  <c r="I41" i="87"/>
  <c r="AL51" i="74"/>
  <c r="I47" i="87"/>
  <c r="I32" i="87"/>
  <c r="AL33" i="73"/>
  <c r="AK33" i="73" s="1"/>
  <c r="R50" i="89"/>
  <c r="X63" i="132"/>
  <c r="AX61" i="89" s="1"/>
  <c r="R24" i="89"/>
  <c r="C53" i="100"/>
  <c r="H53" i="90"/>
  <c r="C53" i="90"/>
  <c r="B53" i="90" s="1"/>
  <c r="D53" i="90"/>
  <c r="F53" i="90"/>
  <c r="E53" i="90"/>
  <c r="G53" i="90"/>
  <c r="C25" i="100"/>
  <c r="C25" i="90"/>
  <c r="D25" i="90"/>
  <c r="G25" i="90"/>
  <c r="H25" i="90"/>
  <c r="E25" i="90"/>
  <c r="F25" i="90"/>
  <c r="G31" i="100"/>
  <c r="AJ31" i="90"/>
  <c r="AL31" i="90"/>
  <c r="AN31" i="90"/>
  <c r="AK31" i="90"/>
  <c r="AI31" i="90"/>
  <c r="AH31" i="90" s="1"/>
  <c r="AM31" i="90"/>
  <c r="C51" i="100"/>
  <c r="D51" i="90"/>
  <c r="E51" i="90"/>
  <c r="F51" i="90"/>
  <c r="G51" i="90"/>
  <c r="H51" i="90"/>
  <c r="C51" i="90"/>
  <c r="B51" i="90" s="1"/>
  <c r="C55" i="100"/>
  <c r="D55" i="90"/>
  <c r="E55" i="90"/>
  <c r="F55" i="90"/>
  <c r="G55" i="90"/>
  <c r="C55" i="90"/>
  <c r="B55" i="90" s="1"/>
  <c r="H55" i="90"/>
  <c r="G52" i="100"/>
  <c r="AI52" i="90"/>
  <c r="AH52" i="90" s="1"/>
  <c r="AJ52" i="90"/>
  <c r="AK52" i="90"/>
  <c r="AL52" i="90"/>
  <c r="AN52" i="90"/>
  <c r="AM52" i="90"/>
  <c r="G30" i="100"/>
  <c r="AN30" i="90"/>
  <c r="AK30" i="90"/>
  <c r="AI30" i="90"/>
  <c r="AH30" i="90" s="1"/>
  <c r="AJ30" i="90"/>
  <c r="AM30" i="90"/>
  <c r="AL30" i="90"/>
  <c r="C34" i="100"/>
  <c r="D34" i="90"/>
  <c r="F34" i="90"/>
  <c r="C34" i="90"/>
  <c r="B34" i="90" s="1"/>
  <c r="E34" i="90"/>
  <c r="G34" i="90"/>
  <c r="H34" i="90"/>
  <c r="C58" i="100"/>
  <c r="F58" i="90"/>
  <c r="G58" i="90"/>
  <c r="H58" i="90"/>
  <c r="C58" i="90"/>
  <c r="B58" i="90" s="1"/>
  <c r="D58" i="90"/>
  <c r="E58" i="90"/>
  <c r="C52" i="100"/>
  <c r="C52" i="90"/>
  <c r="B52" i="90" s="1"/>
  <c r="D52" i="90"/>
  <c r="E52" i="90"/>
  <c r="F52" i="90"/>
  <c r="H52" i="90"/>
  <c r="G52" i="90"/>
  <c r="C56" i="100"/>
  <c r="C56" i="90"/>
  <c r="B56" i="90" s="1"/>
  <c r="D56" i="90"/>
  <c r="E56" i="90"/>
  <c r="H56" i="90"/>
  <c r="F56" i="90"/>
  <c r="G56" i="90"/>
  <c r="G29" i="100"/>
  <c r="AJ29" i="90"/>
  <c r="AL29" i="90"/>
  <c r="AK29" i="90"/>
  <c r="AM29" i="90"/>
  <c r="AN29" i="90"/>
  <c r="AI29" i="90"/>
  <c r="AH29" i="90" s="1"/>
  <c r="C36" i="100"/>
  <c r="H36" i="90"/>
  <c r="E36" i="90"/>
  <c r="D36" i="90"/>
  <c r="F36" i="90"/>
  <c r="G36" i="90"/>
  <c r="C36" i="90"/>
  <c r="B36" i="90" s="1"/>
  <c r="G58" i="100"/>
  <c r="AL58" i="90"/>
  <c r="AN58" i="90"/>
  <c r="AJ58" i="90"/>
  <c r="AK58" i="90"/>
  <c r="AM58" i="90"/>
  <c r="AI58" i="90"/>
  <c r="AH58" i="90" s="1"/>
  <c r="C37" i="100"/>
  <c r="C37" i="90"/>
  <c r="B37" i="90" s="1"/>
  <c r="D37" i="90"/>
  <c r="G37" i="90"/>
  <c r="F37" i="90"/>
  <c r="H37" i="90"/>
  <c r="E37" i="90"/>
  <c r="C41" i="100"/>
  <c r="C41" i="90"/>
  <c r="B41" i="90" s="1"/>
  <c r="D41" i="90"/>
  <c r="G41" i="90"/>
  <c r="E41" i="90"/>
  <c r="F41" i="90"/>
  <c r="H41" i="90"/>
  <c r="C40" i="100"/>
  <c r="C40" i="90"/>
  <c r="B40" i="90" s="1"/>
  <c r="D40" i="90"/>
  <c r="E40" i="90"/>
  <c r="F40" i="90"/>
  <c r="H40" i="90"/>
  <c r="G40" i="90"/>
  <c r="H24" i="100"/>
  <c r="AT24" i="90"/>
  <c r="AU24" i="90"/>
  <c r="AV24" i="90"/>
  <c r="AQ24" i="90"/>
  <c r="AP24" i="90" s="1"/>
  <c r="AR24" i="90"/>
  <c r="AS24" i="90"/>
  <c r="C30" i="100"/>
  <c r="D30" i="90"/>
  <c r="G30" i="90"/>
  <c r="C30" i="90"/>
  <c r="B30" i="90" s="1"/>
  <c r="E30" i="90"/>
  <c r="F30" i="90"/>
  <c r="H30" i="90"/>
  <c r="C48" i="100"/>
  <c r="C48" i="90"/>
  <c r="B48" i="90" s="1"/>
  <c r="D48" i="90"/>
  <c r="E48" i="90"/>
  <c r="F48" i="90"/>
  <c r="H48" i="90"/>
  <c r="G48" i="90"/>
  <c r="C50" i="100"/>
  <c r="F50" i="90"/>
  <c r="G50" i="90"/>
  <c r="H50" i="90"/>
  <c r="D50" i="90"/>
  <c r="E50" i="90"/>
  <c r="C50" i="90"/>
  <c r="B50" i="90" s="1"/>
  <c r="G51" i="100"/>
  <c r="AJ51" i="90"/>
  <c r="AK51" i="90"/>
  <c r="AL51" i="90"/>
  <c r="AM51" i="90"/>
  <c r="AN51" i="90"/>
  <c r="AI51" i="90"/>
  <c r="AH51" i="90" s="1"/>
  <c r="BZ59" i="132"/>
  <c r="AD59" i="132"/>
  <c r="BZ42" i="132"/>
  <c r="AD42" i="132"/>
  <c r="Q16" i="132"/>
  <c r="AN13" i="74" s="1"/>
  <c r="Q27" i="132"/>
  <c r="AN24" i="74" s="1"/>
  <c r="Q47" i="132"/>
  <c r="AN44" i="74" s="1"/>
  <c r="Q45" i="132"/>
  <c r="AN42" i="74" s="1"/>
  <c r="Q41" i="132"/>
  <c r="AN38" i="74" s="1"/>
  <c r="Q54" i="132"/>
  <c r="AN51" i="74" s="1"/>
  <c r="Q49" i="132"/>
  <c r="AN46" i="74" s="1"/>
  <c r="BJ25" i="74"/>
  <c r="V122" i="121"/>
  <c r="V61" i="121" s="1"/>
  <c r="V124" i="121"/>
  <c r="V63" i="121" s="1"/>
  <c r="BJ27" i="74"/>
  <c r="BU34" i="132"/>
  <c r="BH31" i="74"/>
  <c r="C32" i="100"/>
  <c r="D32" i="90"/>
  <c r="G32" i="90"/>
  <c r="C32" i="90"/>
  <c r="B32" i="90" s="1"/>
  <c r="E32" i="90"/>
  <c r="F32" i="90"/>
  <c r="H32" i="90"/>
  <c r="V153" i="121"/>
  <c r="V92" i="121" s="1"/>
  <c r="BJ56" i="74"/>
  <c r="BU27" i="132"/>
  <c r="BH24" i="74"/>
  <c r="BU53" i="132"/>
  <c r="BH50" i="74"/>
  <c r="I49" i="87" s="1"/>
  <c r="C31" i="100"/>
  <c r="F31" i="90"/>
  <c r="H31" i="90"/>
  <c r="C31" i="90"/>
  <c r="B31" i="90" s="1"/>
  <c r="G31" i="90"/>
  <c r="D31" i="90"/>
  <c r="E31" i="90"/>
  <c r="V138" i="121"/>
  <c r="V77" i="121" s="1"/>
  <c r="BJ41" i="74"/>
  <c r="G47" i="100"/>
  <c r="AK47" i="90"/>
  <c r="AN47" i="90"/>
  <c r="AI47" i="90"/>
  <c r="AH47" i="90" s="1"/>
  <c r="AJ47" i="90"/>
  <c r="AL47" i="90"/>
  <c r="AM47" i="90"/>
  <c r="C57" i="100"/>
  <c r="H57" i="90"/>
  <c r="C57" i="90"/>
  <c r="B57" i="90" s="1"/>
  <c r="F57" i="90"/>
  <c r="D57" i="90"/>
  <c r="E57" i="90"/>
  <c r="G57" i="90"/>
  <c r="C26" i="100"/>
  <c r="H26" i="90"/>
  <c r="E26" i="90"/>
  <c r="F26" i="90"/>
  <c r="G26" i="90"/>
  <c r="C26" i="90"/>
  <c r="B26" i="90" s="1"/>
  <c r="D26" i="90"/>
  <c r="BU54" i="132"/>
  <c r="BH51" i="74"/>
  <c r="I50" i="87" s="1"/>
  <c r="BZ43" i="132"/>
  <c r="AD43" i="132"/>
  <c r="C44" i="100"/>
  <c r="C44" i="90"/>
  <c r="B44" i="90" s="1"/>
  <c r="D44" i="90"/>
  <c r="E44" i="90"/>
  <c r="F44" i="90"/>
  <c r="G44" i="90"/>
  <c r="H44" i="90"/>
  <c r="BU57" i="132"/>
  <c r="BH54" i="74"/>
  <c r="D49" i="100"/>
  <c r="K49" i="90"/>
  <c r="J49" i="90" s="1"/>
  <c r="L49" i="90"/>
  <c r="M49" i="90"/>
  <c r="N49" i="90"/>
  <c r="P49" i="90"/>
  <c r="O49" i="90"/>
  <c r="Q42" i="132"/>
  <c r="AN39" i="74" s="1"/>
  <c r="C54" i="100"/>
  <c r="F54" i="90"/>
  <c r="G54" i="90"/>
  <c r="H54" i="90"/>
  <c r="D54" i="90"/>
  <c r="C54" i="90"/>
  <c r="B54" i="90" s="1"/>
  <c r="E54" i="90"/>
  <c r="G24" i="100"/>
  <c r="AJ24" i="90"/>
  <c r="AK24" i="90"/>
  <c r="AL24" i="90"/>
  <c r="AI24" i="90"/>
  <c r="AH24" i="90" s="1"/>
  <c r="AM24" i="90"/>
  <c r="AN24" i="90"/>
  <c r="G54" i="100"/>
  <c r="AL54" i="90"/>
  <c r="AM54" i="90"/>
  <c r="AN54" i="90"/>
  <c r="AJ54" i="90"/>
  <c r="AK54" i="90"/>
  <c r="AI54" i="90"/>
  <c r="AH54" i="90" s="1"/>
  <c r="Q34" i="132"/>
  <c r="AN31" i="74" s="1"/>
  <c r="AQ31" i="74" s="1"/>
  <c r="Q24" i="132"/>
  <c r="AN21" i="74" s="1"/>
  <c r="Q33" i="132"/>
  <c r="AN30" i="74" s="1"/>
  <c r="BZ28" i="132"/>
  <c r="AD28" i="132"/>
  <c r="AD30" i="132"/>
  <c r="BZ30" i="132"/>
  <c r="C49" i="100"/>
  <c r="H49" i="90"/>
  <c r="C49" i="90"/>
  <c r="B49" i="90" s="1"/>
  <c r="D49" i="90"/>
  <c r="F49" i="90"/>
  <c r="E49" i="90"/>
  <c r="G49" i="90"/>
  <c r="C38" i="100"/>
  <c r="G38" i="90"/>
  <c r="H38" i="90"/>
  <c r="E38" i="90"/>
  <c r="C38" i="90"/>
  <c r="B38" i="90" s="1"/>
  <c r="F38" i="90"/>
  <c r="D38" i="90"/>
  <c r="G50" i="100"/>
  <c r="AL50" i="90"/>
  <c r="AM50" i="90"/>
  <c r="AN50" i="90"/>
  <c r="AJ50" i="90"/>
  <c r="AI50" i="90"/>
  <c r="AH50" i="90" s="1"/>
  <c r="AK50" i="90"/>
  <c r="AD44" i="132"/>
  <c r="BZ44" i="132"/>
  <c r="BU60" i="132"/>
  <c r="BH57" i="74"/>
  <c r="I56" i="87" s="1"/>
  <c r="N16" i="90"/>
  <c r="BZ40" i="132"/>
  <c r="AD40" i="132"/>
  <c r="BJ40" i="74"/>
  <c r="V137" i="121"/>
  <c r="V76" i="121" s="1"/>
  <c r="D23" i="100"/>
  <c r="P23" i="90"/>
  <c r="M23" i="90"/>
  <c r="K23" i="90"/>
  <c r="J23" i="90" s="1"/>
  <c r="L23" i="90"/>
  <c r="N23" i="90"/>
  <c r="O23" i="90"/>
  <c r="C43" i="100"/>
  <c r="E43" i="90"/>
  <c r="F43" i="90"/>
  <c r="G43" i="90"/>
  <c r="H43" i="90"/>
  <c r="D43" i="90"/>
  <c r="C43" i="90"/>
  <c r="B43" i="90" s="1"/>
  <c r="U22" i="93"/>
  <c r="O22" i="93"/>
  <c r="Z26" i="132" s="1"/>
  <c r="Q40" i="132"/>
  <c r="AN37" i="74" s="1"/>
  <c r="Q60" i="132"/>
  <c r="AN57" i="74" s="1"/>
  <c r="Q56" i="132"/>
  <c r="AN53" i="74" s="1"/>
  <c r="Q51" i="132"/>
  <c r="AN48" i="74" s="1"/>
  <c r="AQ48" i="74" s="1"/>
  <c r="AR48" i="74" s="1"/>
  <c r="A59" i="87"/>
  <c r="G26" i="100"/>
  <c r="AN26" i="90"/>
  <c r="AK26" i="90"/>
  <c r="AI26" i="90"/>
  <c r="AH26" i="90" s="1"/>
  <c r="AJ26" i="90"/>
  <c r="AL26" i="90"/>
  <c r="AM26" i="90"/>
  <c r="AI60" i="90"/>
  <c r="AH60" i="90" s="1"/>
  <c r="AJ60" i="90"/>
  <c r="AK60" i="90"/>
  <c r="G60" i="100"/>
  <c r="AN60" i="90"/>
  <c r="AL60" i="90"/>
  <c r="AM60" i="90"/>
  <c r="V143" i="121"/>
  <c r="V82" i="121" s="1"/>
  <c r="BJ46" i="74"/>
  <c r="G57" i="100"/>
  <c r="AN57" i="90"/>
  <c r="AI57" i="90"/>
  <c r="AH57" i="90" s="1"/>
  <c r="AJ57" i="90"/>
  <c r="AK57" i="90"/>
  <c r="AL57" i="90"/>
  <c r="AM57" i="90"/>
  <c r="BU29" i="132"/>
  <c r="BH26" i="74"/>
  <c r="BH60" i="74"/>
  <c r="BU63" i="132"/>
  <c r="V134" i="121"/>
  <c r="V73" i="121" s="1"/>
  <c r="BJ37" i="74"/>
  <c r="G27" i="100"/>
  <c r="AJ27" i="90"/>
  <c r="AL27" i="90"/>
  <c r="AI27" i="90"/>
  <c r="AH27" i="90" s="1"/>
  <c r="AK27" i="90"/>
  <c r="AM27" i="90"/>
  <c r="AN27" i="90"/>
  <c r="C42" i="100"/>
  <c r="G42" i="90"/>
  <c r="H42" i="90"/>
  <c r="E42" i="90"/>
  <c r="C42" i="90"/>
  <c r="B42" i="90" s="1"/>
  <c r="D42" i="90"/>
  <c r="F42" i="90"/>
  <c r="C46" i="100"/>
  <c r="G46" i="90"/>
  <c r="C46" i="90"/>
  <c r="B46" i="90" s="1"/>
  <c r="D46" i="90"/>
  <c r="E46" i="90"/>
  <c r="F46" i="90"/>
  <c r="H46" i="90"/>
  <c r="V141" i="121"/>
  <c r="V80" i="121" s="1"/>
  <c r="BJ44" i="74"/>
  <c r="V10" i="80"/>
  <c r="W10" i="80"/>
  <c r="J10" i="80"/>
  <c r="P76" i="80"/>
  <c r="L10" i="80"/>
  <c r="K10" i="80"/>
  <c r="AL52" i="74"/>
  <c r="CI26" i="132"/>
  <c r="U23" i="74"/>
  <c r="H47" i="100"/>
  <c r="AS47" i="90"/>
  <c r="AT47" i="90"/>
  <c r="AU47" i="90"/>
  <c r="AV47" i="90"/>
  <c r="AQ47" i="90"/>
  <c r="AP47" i="90" s="1"/>
  <c r="AR47" i="90"/>
  <c r="I53" i="87"/>
  <c r="Q46" i="132"/>
  <c r="AN43" i="74" s="1"/>
  <c r="AQ43" i="74" s="1"/>
  <c r="AR43" i="74" s="1"/>
  <c r="Q28" i="132"/>
  <c r="AN25" i="74" s="1"/>
  <c r="Q53" i="132"/>
  <c r="AN50" i="74" s="1"/>
  <c r="Q44" i="132"/>
  <c r="AN41" i="74" s="1"/>
  <c r="BU55" i="132"/>
  <c r="BH52" i="74"/>
  <c r="BJ59" i="74"/>
  <c r="V156" i="121"/>
  <c r="V95" i="121" s="1"/>
  <c r="I58" i="87"/>
  <c r="BH28" i="74"/>
  <c r="BU31" i="132"/>
  <c r="BZ49" i="132"/>
  <c r="AD49" i="132"/>
  <c r="BL49" i="132" s="1"/>
  <c r="BU33" i="132"/>
  <c r="BH30" i="74"/>
  <c r="BZ51" i="132"/>
  <c r="AD51" i="132"/>
  <c r="BJ43" i="74"/>
  <c r="V140" i="121"/>
  <c r="V79" i="121" s="1"/>
  <c r="AD47" i="132"/>
  <c r="BZ47" i="132"/>
  <c r="BZ37" i="132"/>
  <c r="AD37" i="132"/>
  <c r="O32" i="90"/>
  <c r="P32" i="90"/>
  <c r="N32" i="90"/>
  <c r="K32" i="90"/>
  <c r="J32" i="90" s="1"/>
  <c r="L32" i="90"/>
  <c r="M32" i="90"/>
  <c r="D32" i="100"/>
  <c r="N54" i="90"/>
  <c r="AU61" i="90"/>
  <c r="AV61" i="90"/>
  <c r="AQ61" i="90"/>
  <c r="AP61" i="90" s="1"/>
  <c r="AT61" i="90"/>
  <c r="AR61" i="90"/>
  <c r="H61" i="100"/>
  <c r="AS61" i="90"/>
  <c r="V60" i="93"/>
  <c r="V48" i="93"/>
  <c r="CH26" i="132"/>
  <c r="BV26" i="132" s="1"/>
  <c r="AK26" i="132" s="1"/>
  <c r="W23" i="74"/>
  <c r="Y23" i="74"/>
  <c r="X23" i="74" s="1"/>
  <c r="AL58" i="74"/>
  <c r="AQ58" i="74" s="1"/>
  <c r="AL58" i="73"/>
  <c r="AK58" i="73" s="1"/>
  <c r="I30" i="87"/>
  <c r="Q29" i="132"/>
  <c r="AN26" i="74" s="1"/>
  <c r="Q11" i="132"/>
  <c r="AN8" i="74" s="1"/>
  <c r="Q43" i="132"/>
  <c r="AN40" i="74" s="1"/>
  <c r="AQ40" i="74" s="1"/>
  <c r="Q15" i="132"/>
  <c r="AN12" i="74" s="1"/>
  <c r="Q59" i="132"/>
  <c r="AN56" i="74" s="1"/>
  <c r="Q13" i="132"/>
  <c r="AN10" i="74" s="1"/>
  <c r="C47" i="100"/>
  <c r="E47" i="90"/>
  <c r="H47" i="90"/>
  <c r="G47" i="90"/>
  <c r="D47" i="90"/>
  <c r="C47" i="90"/>
  <c r="B47" i="90" s="1"/>
  <c r="F47" i="90"/>
  <c r="V23" i="93"/>
  <c r="AD62" i="132"/>
  <c r="BZ62" i="132"/>
  <c r="V133" i="121"/>
  <c r="V72" i="121" s="1"/>
  <c r="BJ36" i="74"/>
  <c r="C45" i="100"/>
  <c r="D45" i="90"/>
  <c r="E45" i="90"/>
  <c r="F45" i="90"/>
  <c r="G45" i="90"/>
  <c r="H45" i="90"/>
  <c r="C45" i="90"/>
  <c r="B45" i="90" s="1"/>
  <c r="BU58" i="132"/>
  <c r="BH55" i="74"/>
  <c r="BZ36" i="132"/>
  <c r="AD36" i="132"/>
  <c r="BL36" i="132" s="1"/>
  <c r="C39" i="100"/>
  <c r="E39" i="90"/>
  <c r="F39" i="90"/>
  <c r="G39" i="90"/>
  <c r="H39" i="90"/>
  <c r="C39" i="90"/>
  <c r="B39" i="90" s="1"/>
  <c r="D39" i="90"/>
  <c r="V145" i="121"/>
  <c r="V84" i="121" s="1"/>
  <c r="BJ48" i="74"/>
  <c r="AD46" i="132"/>
  <c r="BZ46" i="132"/>
  <c r="C33" i="100"/>
  <c r="F33" i="90"/>
  <c r="H33" i="90"/>
  <c r="C33" i="90"/>
  <c r="B33" i="90" s="1"/>
  <c r="G33" i="90"/>
  <c r="E33" i="90"/>
  <c r="D33" i="90"/>
  <c r="BZ48" i="132"/>
  <c r="AD48" i="132"/>
  <c r="AK61" i="90"/>
  <c r="AL61" i="90"/>
  <c r="AJ61" i="90"/>
  <c r="AM61" i="90"/>
  <c r="AN61" i="90"/>
  <c r="G61" i="100"/>
  <c r="AI61" i="90"/>
  <c r="AH61" i="90" s="1"/>
  <c r="C35" i="100"/>
  <c r="D35" i="90"/>
  <c r="G35" i="90"/>
  <c r="C35" i="90"/>
  <c r="B35" i="90" s="1"/>
  <c r="E35" i="90"/>
  <c r="F35" i="90"/>
  <c r="H35" i="90"/>
  <c r="Q17" i="132"/>
  <c r="AN14" i="74" s="1"/>
  <c r="Q30" i="132"/>
  <c r="AN27" i="74" s="1"/>
  <c r="BZ41" i="132"/>
  <c r="AD41" i="132"/>
  <c r="BL41" i="132" s="1"/>
  <c r="G28" i="100"/>
  <c r="AN28" i="90"/>
  <c r="AK28" i="90"/>
  <c r="AL28" i="90"/>
  <c r="AI28" i="90"/>
  <c r="AH28" i="90" s="1"/>
  <c r="AJ28" i="90"/>
  <c r="AM28" i="90"/>
  <c r="AL52" i="132"/>
  <c r="AP50" i="89" s="1"/>
  <c r="AE52" i="132"/>
  <c r="Q48" i="132"/>
  <c r="AN45" i="74" s="1"/>
  <c r="Q23" i="132"/>
  <c r="AN20" i="74" s="1"/>
  <c r="Q21" i="132"/>
  <c r="AN18" i="74" s="1"/>
  <c r="Q55" i="132"/>
  <c r="AN52" i="74" s="1"/>
  <c r="AQ52" i="74" s="1"/>
  <c r="Q22" i="132"/>
  <c r="AN19" i="74" s="1"/>
  <c r="Q20" i="132"/>
  <c r="AN17" i="74" s="1"/>
  <c r="Q58" i="132"/>
  <c r="AN55" i="74" s="1"/>
  <c r="BU61" i="132"/>
  <c r="BH58" i="74"/>
  <c r="BU35" i="132"/>
  <c r="BH32" i="74"/>
  <c r="V139" i="121"/>
  <c r="V78" i="121" s="1"/>
  <c r="BJ42" i="74"/>
  <c r="BZ39" i="132"/>
  <c r="AD39" i="132"/>
  <c r="BU56" i="132"/>
  <c r="BH53" i="74"/>
  <c r="I52" i="87" s="1"/>
  <c r="R59" i="89"/>
  <c r="G55" i="100"/>
  <c r="AJ55" i="90"/>
  <c r="AK55" i="90"/>
  <c r="AL55" i="90"/>
  <c r="AM55" i="90"/>
  <c r="AI55" i="90"/>
  <c r="AH55" i="90" s="1"/>
  <c r="AN55" i="90"/>
  <c r="V130" i="121"/>
  <c r="V69" i="121" s="1"/>
  <c r="BJ33" i="74"/>
  <c r="BU64" i="132"/>
  <c r="AD64" i="132" s="1"/>
  <c r="BH61" i="74"/>
  <c r="R34" i="89"/>
  <c r="BH47" i="74"/>
  <c r="I46" i="87" s="1"/>
  <c r="BU50" i="132"/>
  <c r="BU32" i="132"/>
  <c r="BH29" i="74"/>
  <c r="I28" i="87" s="1"/>
  <c r="BZ38" i="132"/>
  <c r="AD38" i="132"/>
  <c r="BJ45" i="74"/>
  <c r="V142" i="121"/>
  <c r="V81" i="121" s="1"/>
  <c r="H49" i="100"/>
  <c r="AQ49" i="90"/>
  <c r="AP49" i="90" s="1"/>
  <c r="AR49" i="90"/>
  <c r="AS49" i="90"/>
  <c r="AT49" i="90"/>
  <c r="AV49" i="90"/>
  <c r="AU49" i="90"/>
  <c r="Q37" i="132"/>
  <c r="AN34" i="74" s="1"/>
  <c r="Q25" i="132"/>
  <c r="AN22" i="74" s="1"/>
  <c r="Q39" i="132"/>
  <c r="AN36" i="74" s="1"/>
  <c r="Q38" i="132"/>
  <c r="AN35" i="74" s="1"/>
  <c r="Q18" i="132"/>
  <c r="AN15" i="74" s="1"/>
  <c r="Q50" i="132"/>
  <c r="AN47" i="74" s="1"/>
  <c r="Q31" i="132"/>
  <c r="AN28" i="74" s="1"/>
  <c r="G53" i="100"/>
  <c r="AN53" i="90"/>
  <c r="AI53" i="90"/>
  <c r="AH53" i="90" s="1"/>
  <c r="AJ53" i="90"/>
  <c r="AL53" i="90"/>
  <c r="AK53" i="90"/>
  <c r="AM53" i="90"/>
  <c r="G32" i="100"/>
  <c r="AN32" i="90"/>
  <c r="AK32" i="90"/>
  <c r="AI32" i="90"/>
  <c r="AH32" i="90" s="1"/>
  <c r="AJ32" i="90"/>
  <c r="AL32" i="90"/>
  <c r="AM32" i="90"/>
  <c r="AD45" i="132"/>
  <c r="BZ45" i="132"/>
  <c r="V135" i="121"/>
  <c r="V74" i="121" s="1"/>
  <c r="BJ38" i="74"/>
  <c r="V131" i="121"/>
  <c r="V70" i="121" s="1"/>
  <c r="BJ34" i="74"/>
  <c r="V132" i="121"/>
  <c r="V71" i="121" s="1"/>
  <c r="BJ35" i="74"/>
  <c r="V49" i="74"/>
  <c r="R30" i="89"/>
  <c r="V136" i="121"/>
  <c r="V75" i="121" s="1"/>
  <c r="BJ39" i="74"/>
  <c r="F27" i="151"/>
  <c r="F27" i="143" s="1"/>
  <c r="AL51" i="73"/>
  <c r="AK51" i="73" s="1"/>
  <c r="AL46" i="73"/>
  <c r="AK46" i="73" s="1"/>
  <c r="AL38" i="73"/>
  <c r="AK38" i="73" s="1"/>
  <c r="D59" i="111"/>
  <c r="CB55" i="74"/>
  <c r="D47" i="111"/>
  <c r="CB43" i="74"/>
  <c r="D34" i="111"/>
  <c r="CB30" i="74"/>
  <c r="D39" i="111"/>
  <c r="CB35" i="74"/>
  <c r="D18" i="111"/>
  <c r="CB14" i="74"/>
  <c r="D26" i="111"/>
  <c r="CB22" i="74"/>
  <c r="D37" i="111"/>
  <c r="CB33" i="74"/>
  <c r="E20" i="132"/>
  <c r="E15" i="132"/>
  <c r="E25" i="132"/>
  <c r="J23" i="89" s="1"/>
  <c r="E21" i="132"/>
  <c r="E26" i="132"/>
  <c r="E22" i="132"/>
  <c r="J20" i="89" s="1"/>
  <c r="E23" i="132"/>
  <c r="J21" i="89" s="1"/>
  <c r="BJ23" i="132"/>
  <c r="BD20" i="74" s="1"/>
  <c r="E11" i="132"/>
  <c r="E30" i="132"/>
  <c r="J28" i="89" s="1"/>
  <c r="BJ30" i="132"/>
  <c r="BD27" i="74" s="1"/>
  <c r="I26" i="87" s="1"/>
  <c r="E32" i="132"/>
  <c r="J30" i="89" s="1"/>
  <c r="E19" i="132"/>
  <c r="J17" i="89" s="1"/>
  <c r="BJ19" i="132"/>
  <c r="BD16" i="74" s="1"/>
  <c r="E13" i="132"/>
  <c r="E17" i="132"/>
  <c r="BJ17" i="132"/>
  <c r="BD14" i="74" s="1"/>
  <c r="E31" i="132"/>
  <c r="BJ31" i="132"/>
  <c r="BD28" i="74" s="1"/>
  <c r="E24" i="132"/>
  <c r="J22" i="89" s="1"/>
  <c r="E27" i="132"/>
  <c r="J25" i="89" s="1"/>
  <c r="E16" i="132"/>
  <c r="J14" i="89" s="1"/>
  <c r="BJ16" i="132"/>
  <c r="BD13" i="74" s="1"/>
  <c r="E18" i="132"/>
  <c r="J16" i="89" s="1"/>
  <c r="BJ18" i="132"/>
  <c r="BD15" i="74" s="1"/>
  <c r="BL42" i="132"/>
  <c r="BD37" i="74"/>
  <c r="I36" i="87" s="1"/>
  <c r="BD44" i="74"/>
  <c r="I43" i="87" s="1"/>
  <c r="AL44" i="74"/>
  <c r="AL42" i="74"/>
  <c r="AL50" i="74"/>
  <c r="AL38" i="74"/>
  <c r="AQ38" i="74" s="1"/>
  <c r="AL41" i="74"/>
  <c r="AL55" i="74"/>
  <c r="AL56" i="74"/>
  <c r="AL49" i="73"/>
  <c r="AK49" i="73" s="1"/>
  <c r="AL57" i="74"/>
  <c r="AQ57" i="74" s="1"/>
  <c r="AR57" i="74" s="1"/>
  <c r="AL53" i="74"/>
  <c r="AQ53" i="74" s="1"/>
  <c r="AR53" i="74" s="1"/>
  <c r="AL39" i="74"/>
  <c r="AQ39" i="74" s="1"/>
  <c r="AL47" i="74"/>
  <c r="AL46" i="74"/>
  <c r="AQ46" i="74" s="1"/>
  <c r="AL57" i="73"/>
  <c r="AK57" i="73" s="1"/>
  <c r="AL34" i="74"/>
  <c r="AL33" i="74"/>
  <c r="AQ33" i="74" s="1"/>
  <c r="AL39" i="73"/>
  <c r="AK39" i="73" s="1"/>
  <c r="AL36" i="74"/>
  <c r="AL54" i="73"/>
  <c r="AK54" i="73" s="1"/>
  <c r="AL35" i="74"/>
  <c r="AL45" i="74"/>
  <c r="AL30" i="73"/>
  <c r="AK30" i="73" s="1"/>
  <c r="AL49" i="74"/>
  <c r="AQ49" i="74" s="1"/>
  <c r="BD23" i="74"/>
  <c r="BD19" i="74"/>
  <c r="BD25" i="74"/>
  <c r="I24" i="87" s="1"/>
  <c r="BD22" i="74"/>
  <c r="BD17" i="74"/>
  <c r="BD26" i="74"/>
  <c r="BD24" i="74"/>
  <c r="I23" i="87" s="1"/>
  <c r="BD10" i="74"/>
  <c r="BD18" i="74"/>
  <c r="BD21" i="74"/>
  <c r="AL25" i="74"/>
  <c r="T23" i="74"/>
  <c r="AI36" i="119"/>
  <c r="AI33" i="119"/>
  <c r="AI38" i="119"/>
  <c r="AI17" i="119"/>
  <c r="AI46" i="119"/>
  <c r="AI58" i="119"/>
  <c r="AI25" i="119"/>
  <c r="AQ37" i="74"/>
  <c r="T134" i="121" s="1"/>
  <c r="T73" i="121" s="1"/>
  <c r="AR32" i="74"/>
  <c r="T68" i="121"/>
  <c r="Q83" i="121"/>
  <c r="Q64" i="121"/>
  <c r="Q67" i="121"/>
  <c r="Q90" i="121"/>
  <c r="Q87" i="121"/>
  <c r="Q94" i="121"/>
  <c r="Q66" i="121"/>
  <c r="Q60" i="121"/>
  <c r="Q86" i="121"/>
  <c r="Q91" i="121"/>
  <c r="Q93" i="121"/>
  <c r="Q88" i="121"/>
  <c r="Q89" i="121"/>
  <c r="Q65" i="121"/>
  <c r="Q62" i="121"/>
  <c r="Q68" i="121"/>
  <c r="AQ54" i="74"/>
  <c r="AQ30" i="74"/>
  <c r="AQ51" i="74"/>
  <c r="B52" i="119"/>
  <c r="B42" i="119"/>
  <c r="B40" i="119"/>
  <c r="B41" i="119"/>
  <c r="B13" i="119"/>
  <c r="B47" i="119"/>
  <c r="B56" i="119"/>
  <c r="B60" i="119"/>
  <c r="B48" i="119"/>
  <c r="B39" i="119"/>
  <c r="B54" i="119"/>
  <c r="B59" i="119"/>
  <c r="B20" i="119"/>
  <c r="B49" i="119"/>
  <c r="B51" i="119"/>
  <c r="B43" i="119"/>
  <c r="B55" i="119"/>
  <c r="P21" i="80"/>
  <c r="T21" i="80" s="1"/>
  <c r="O21" i="80"/>
  <c r="S21" i="80" s="1"/>
  <c r="N86" i="80"/>
  <c r="F20" i="93"/>
  <c r="H20" i="80"/>
  <c r="I20" i="80"/>
  <c r="C21" i="93"/>
  <c r="B21" i="93" s="1"/>
  <c r="N21" i="80"/>
  <c r="R21" i="80" s="1"/>
  <c r="CG25" i="132" s="1"/>
  <c r="AJ26" i="132" l="1"/>
  <c r="B25" i="90"/>
  <c r="AQ55" i="74"/>
  <c r="AL40" i="73"/>
  <c r="AK40" i="73" s="1"/>
  <c r="K54" i="90"/>
  <c r="J54" i="90" s="1"/>
  <c r="P54" i="90"/>
  <c r="D54" i="100"/>
  <c r="L54" i="90"/>
  <c r="AL53" i="73"/>
  <c r="AK53" i="73" s="1"/>
  <c r="O54" i="90"/>
  <c r="BL43" i="132"/>
  <c r="AQ45" i="74"/>
  <c r="AR45" i="74" s="1"/>
  <c r="BL48" i="132"/>
  <c r="D16" i="100"/>
  <c r="M16" i="90"/>
  <c r="L16" i="90"/>
  <c r="K16" i="90"/>
  <c r="J16" i="90" s="1"/>
  <c r="P16" i="90"/>
  <c r="AL45" i="73"/>
  <c r="AK45" i="73" s="1"/>
  <c r="R13" i="89"/>
  <c r="L12" i="90" s="1"/>
  <c r="R53" i="89"/>
  <c r="K52" i="90" s="1"/>
  <c r="J52" i="90" s="1"/>
  <c r="R15" i="89"/>
  <c r="L14" i="90" s="1"/>
  <c r="BL51" i="132"/>
  <c r="AL48" i="73"/>
  <c r="AK48" i="73" s="1"/>
  <c r="AL25" i="73"/>
  <c r="AK25" i="73" s="1"/>
  <c r="BL46" i="132"/>
  <c r="AL43" i="73"/>
  <c r="AK43" i="73" s="1"/>
  <c r="R32" i="89"/>
  <c r="M31" i="90" s="1"/>
  <c r="BL44" i="132"/>
  <c r="AL41" i="73"/>
  <c r="AK41" i="73" s="1"/>
  <c r="AL34" i="73"/>
  <c r="AK34" i="73" s="1"/>
  <c r="I27" i="87"/>
  <c r="AQ41" i="74"/>
  <c r="R42" i="89"/>
  <c r="M41" i="90" s="1"/>
  <c r="AQ50" i="74"/>
  <c r="AQ47" i="74"/>
  <c r="AR47" i="74" s="1"/>
  <c r="AL31" i="73"/>
  <c r="AK31" i="73" s="1"/>
  <c r="BL47" i="132"/>
  <c r="R46" i="89"/>
  <c r="I25" i="87"/>
  <c r="AQ44" i="74"/>
  <c r="AL44" i="73"/>
  <c r="AK44" i="73" s="1"/>
  <c r="V23" i="74"/>
  <c r="AL55" i="73"/>
  <c r="AK55" i="73" s="1"/>
  <c r="AL52" i="73"/>
  <c r="AK52" i="73" s="1"/>
  <c r="AQ25" i="74"/>
  <c r="AQ34" i="74"/>
  <c r="AL47" i="73"/>
  <c r="AK47" i="73" s="1"/>
  <c r="R29" i="89"/>
  <c r="BL39" i="132"/>
  <c r="AQ36" i="74"/>
  <c r="AR36" i="74" s="1"/>
  <c r="R37" i="89"/>
  <c r="D36" i="100" s="1"/>
  <c r="R23" i="89"/>
  <c r="D22" i="100" s="1"/>
  <c r="R18" i="89"/>
  <c r="D17" i="100" s="1"/>
  <c r="R21" i="89"/>
  <c r="R28" i="89"/>
  <c r="M27" i="90" s="1"/>
  <c r="R45" i="89"/>
  <c r="BL37" i="132"/>
  <c r="R26" i="89"/>
  <c r="D25" i="100" s="1"/>
  <c r="R20" i="89"/>
  <c r="O19" i="90" s="1"/>
  <c r="R44" i="89"/>
  <c r="P43" i="90" s="1"/>
  <c r="R47" i="89"/>
  <c r="D46" i="100" s="1"/>
  <c r="R49" i="89"/>
  <c r="R22" i="89"/>
  <c r="P21" i="90" s="1"/>
  <c r="R51" i="89"/>
  <c r="P50" i="90" s="1"/>
  <c r="R58" i="89"/>
  <c r="O57" i="90" s="1"/>
  <c r="G49" i="100"/>
  <c r="AN49" i="90"/>
  <c r="AI49" i="90"/>
  <c r="AH49" i="90" s="1"/>
  <c r="AJ49" i="90"/>
  <c r="AL49" i="90"/>
  <c r="AK49" i="90"/>
  <c r="AM49" i="90"/>
  <c r="BZ27" i="132"/>
  <c r="AD27" i="132"/>
  <c r="C24" i="100"/>
  <c r="D24" i="90"/>
  <c r="E24" i="90"/>
  <c r="F24" i="90"/>
  <c r="C24" i="90"/>
  <c r="B24" i="90" s="1"/>
  <c r="G24" i="90"/>
  <c r="H24" i="90"/>
  <c r="BC35" i="74"/>
  <c r="BF36" i="89"/>
  <c r="V127" i="121"/>
  <c r="V66" i="121" s="1"/>
  <c r="BJ30" i="74"/>
  <c r="AL26" i="132"/>
  <c r="AP24" i="89" s="1"/>
  <c r="AE26" i="132"/>
  <c r="V148" i="121"/>
  <c r="V87" i="121" s="1"/>
  <c r="BJ51" i="74"/>
  <c r="BL59" i="132"/>
  <c r="C21" i="100"/>
  <c r="C21" i="90"/>
  <c r="B21" i="90" s="1"/>
  <c r="D21" i="90"/>
  <c r="G21" i="90"/>
  <c r="E21" i="90"/>
  <c r="F21" i="90"/>
  <c r="H21" i="90"/>
  <c r="C29" i="100"/>
  <c r="F29" i="90"/>
  <c r="H29" i="90"/>
  <c r="C29" i="90"/>
  <c r="B29" i="90" s="1"/>
  <c r="D29" i="90"/>
  <c r="E29" i="90"/>
  <c r="G29" i="90"/>
  <c r="J19" i="89"/>
  <c r="BF43" i="89"/>
  <c r="BC42" i="74"/>
  <c r="V129" i="121"/>
  <c r="V68" i="121" s="1"/>
  <c r="BJ32" i="74"/>
  <c r="D45" i="100"/>
  <c r="K45" i="90"/>
  <c r="J45" i="90" s="1"/>
  <c r="N45" i="90"/>
  <c r="L45" i="90"/>
  <c r="O45" i="90"/>
  <c r="M45" i="90"/>
  <c r="P45" i="90"/>
  <c r="BF60" i="89"/>
  <c r="BC59" i="74"/>
  <c r="BL62" i="132"/>
  <c r="I29" i="87"/>
  <c r="AD33" i="132"/>
  <c r="BZ33" i="132"/>
  <c r="V149" i="121"/>
  <c r="V88" i="121" s="1"/>
  <c r="BJ52" i="74"/>
  <c r="N25" i="90"/>
  <c r="K25" i="90"/>
  <c r="J25" i="90" s="1"/>
  <c r="BF42" i="89"/>
  <c r="BC41" i="74"/>
  <c r="BZ54" i="132"/>
  <c r="AD54" i="132"/>
  <c r="I51" i="87"/>
  <c r="C13" i="100"/>
  <c r="C13" i="90"/>
  <c r="B13" i="90" s="1"/>
  <c r="D13" i="90"/>
  <c r="E13" i="90"/>
  <c r="G13" i="90"/>
  <c r="F13" i="90"/>
  <c r="H13" i="90"/>
  <c r="BJ61" i="74"/>
  <c r="V158" i="121"/>
  <c r="V97" i="121" s="1"/>
  <c r="I60" i="87"/>
  <c r="C22" i="100"/>
  <c r="H22" i="90"/>
  <c r="E22" i="90"/>
  <c r="C22" i="90"/>
  <c r="B22" i="90" s="1"/>
  <c r="D22" i="90"/>
  <c r="F22" i="90"/>
  <c r="G22" i="90"/>
  <c r="AL42" i="73"/>
  <c r="AK42" i="73" s="1"/>
  <c r="R48" i="89"/>
  <c r="BJ29" i="74"/>
  <c r="V126" i="121"/>
  <c r="V65" i="121" s="1"/>
  <c r="D58" i="100"/>
  <c r="P58" i="90"/>
  <c r="K58" i="90"/>
  <c r="J58" i="90" s="1"/>
  <c r="M58" i="90"/>
  <c r="N58" i="90"/>
  <c r="O58" i="90"/>
  <c r="L58" i="90"/>
  <c r="BZ35" i="132"/>
  <c r="AD35" i="132"/>
  <c r="K14" i="90"/>
  <c r="J14" i="90" s="1"/>
  <c r="BC33" i="74"/>
  <c r="BF34" i="89"/>
  <c r="BN34" i="89" s="1"/>
  <c r="R41" i="89"/>
  <c r="BC46" i="74"/>
  <c r="BF47" i="89"/>
  <c r="BZ55" i="132"/>
  <c r="AD55" i="132"/>
  <c r="R54" i="89"/>
  <c r="BF28" i="89"/>
  <c r="BC27" i="74"/>
  <c r="N84" i="87" s="1"/>
  <c r="R40" i="89"/>
  <c r="V128" i="121"/>
  <c r="V67" i="121" s="1"/>
  <c r="BJ31" i="74"/>
  <c r="R52" i="89"/>
  <c r="R25" i="89"/>
  <c r="BC39" i="74"/>
  <c r="BF40" i="89"/>
  <c r="C19" i="100"/>
  <c r="F19" i="90"/>
  <c r="G19" i="90"/>
  <c r="H19" i="90"/>
  <c r="C19" i="90"/>
  <c r="B19" i="90" s="1"/>
  <c r="D19" i="90"/>
  <c r="E19" i="90"/>
  <c r="AL50" i="73"/>
  <c r="AK50" i="73" s="1"/>
  <c r="AL56" i="73"/>
  <c r="AK56" i="73" s="1"/>
  <c r="AQ42" i="74"/>
  <c r="AR42" i="74" s="1"/>
  <c r="J29" i="89"/>
  <c r="C27" i="100"/>
  <c r="F27" i="90"/>
  <c r="G27" i="90"/>
  <c r="H27" i="90"/>
  <c r="C27" i="90"/>
  <c r="B27" i="90" s="1"/>
  <c r="D27" i="90"/>
  <c r="E27" i="90"/>
  <c r="BL40" i="132"/>
  <c r="AL36" i="73"/>
  <c r="AK36" i="73" s="1"/>
  <c r="BZ32" i="132"/>
  <c r="AD32" i="132"/>
  <c r="BL32" i="132" s="1"/>
  <c r="V150" i="121"/>
  <c r="V89" i="121" s="1"/>
  <c r="BJ53" i="74"/>
  <c r="BJ58" i="74"/>
  <c r="V155" i="121"/>
  <c r="V94" i="121" s="1"/>
  <c r="D52" i="100"/>
  <c r="O52" i="90"/>
  <c r="P52" i="90"/>
  <c r="BC44" i="74"/>
  <c r="N101" i="87" s="1"/>
  <c r="BF45" i="89"/>
  <c r="BN45" i="89" s="1"/>
  <c r="BZ63" i="132"/>
  <c r="AD63" i="132"/>
  <c r="BC25" i="74"/>
  <c r="N82" i="87" s="1"/>
  <c r="BF26" i="89"/>
  <c r="BZ34" i="132"/>
  <c r="AD34" i="132"/>
  <c r="AD60" i="132"/>
  <c r="BZ60" i="132"/>
  <c r="C16" i="100"/>
  <c r="D16" i="90"/>
  <c r="E16" i="90"/>
  <c r="F16" i="90"/>
  <c r="G16" i="90"/>
  <c r="C16" i="90"/>
  <c r="B16" i="90" s="1"/>
  <c r="H16" i="90"/>
  <c r="K29" i="90"/>
  <c r="J29" i="90" s="1"/>
  <c r="L29" i="90"/>
  <c r="N29" i="90"/>
  <c r="M29" i="90"/>
  <c r="P29" i="90"/>
  <c r="O29" i="90"/>
  <c r="D29" i="100"/>
  <c r="D12" i="100"/>
  <c r="M12" i="90"/>
  <c r="D44" i="100"/>
  <c r="M44" i="90"/>
  <c r="N44" i="90"/>
  <c r="P44" i="90"/>
  <c r="K44" i="90"/>
  <c r="J44" i="90" s="1"/>
  <c r="L44" i="90"/>
  <c r="O44" i="90"/>
  <c r="CH25" i="132"/>
  <c r="BV25" i="132" s="1"/>
  <c r="AK25" i="132" s="1"/>
  <c r="W22" i="74"/>
  <c r="Y22" i="74"/>
  <c r="X22" i="74" s="1"/>
  <c r="CI25" i="132"/>
  <c r="U22" i="74"/>
  <c r="AQ35" i="74"/>
  <c r="AR35" i="74" s="1"/>
  <c r="J9" i="89"/>
  <c r="AL37" i="73"/>
  <c r="AK37" i="73" s="1"/>
  <c r="I31" i="87"/>
  <c r="R16" i="89"/>
  <c r="BZ50" i="132"/>
  <c r="AD50" i="132"/>
  <c r="BZ56" i="132"/>
  <c r="AD56" i="132"/>
  <c r="AD61" i="132"/>
  <c r="BZ61" i="132"/>
  <c r="BC45" i="74"/>
  <c r="BF46" i="89"/>
  <c r="BN46" i="89" s="1"/>
  <c r="V152" i="121"/>
  <c r="V91" i="121" s="1"/>
  <c r="BJ55" i="74"/>
  <c r="R11" i="89"/>
  <c r="R9" i="89"/>
  <c r="BZ31" i="132"/>
  <c r="AD31" i="132"/>
  <c r="BL31" i="132" s="1"/>
  <c r="AQ60" i="90"/>
  <c r="AP60" i="90" s="1"/>
  <c r="AR60" i="90"/>
  <c r="AS60" i="90"/>
  <c r="AT60" i="90"/>
  <c r="AU60" i="90"/>
  <c r="AV60" i="90"/>
  <c r="H60" i="100"/>
  <c r="V9" i="80"/>
  <c r="W9" i="80"/>
  <c r="J9" i="80"/>
  <c r="K9" i="80"/>
  <c r="L9" i="80"/>
  <c r="P75" i="80"/>
  <c r="BJ60" i="74"/>
  <c r="V157" i="121"/>
  <c r="V96" i="121" s="1"/>
  <c r="I59" i="87"/>
  <c r="I54" i="87"/>
  <c r="BJ54" i="74"/>
  <c r="V151" i="121"/>
  <c r="V90" i="121" s="1"/>
  <c r="BJ50" i="74"/>
  <c r="V147" i="121"/>
  <c r="V86" i="121" s="1"/>
  <c r="R39" i="89"/>
  <c r="R14" i="89"/>
  <c r="BC56" i="74"/>
  <c r="N113" i="87" s="1"/>
  <c r="BF57" i="89"/>
  <c r="D20" i="100"/>
  <c r="N20" i="90"/>
  <c r="O20" i="90"/>
  <c r="P20" i="90"/>
  <c r="K20" i="90"/>
  <c r="J20" i="90" s="1"/>
  <c r="L20" i="90"/>
  <c r="M20" i="90"/>
  <c r="BF44" i="89"/>
  <c r="BC43" i="74"/>
  <c r="BC34" i="74"/>
  <c r="BF35" i="89"/>
  <c r="J24" i="89"/>
  <c r="O28" i="90"/>
  <c r="P28" i="90"/>
  <c r="L28" i="90"/>
  <c r="K28" i="90"/>
  <c r="J28" i="90" s="1"/>
  <c r="N28" i="90"/>
  <c r="M28" i="90"/>
  <c r="D28" i="100"/>
  <c r="O27" i="90"/>
  <c r="D48" i="100"/>
  <c r="L48" i="90"/>
  <c r="M48" i="90"/>
  <c r="N48" i="90"/>
  <c r="O48" i="90"/>
  <c r="P48" i="90"/>
  <c r="K48" i="90"/>
  <c r="J48" i="90" s="1"/>
  <c r="AL26" i="73"/>
  <c r="AK26" i="73" s="1"/>
  <c r="O21" i="93"/>
  <c r="Z25" i="132" s="1"/>
  <c r="U21" i="93"/>
  <c r="C15" i="100"/>
  <c r="F15" i="90"/>
  <c r="G15" i="90"/>
  <c r="H15" i="90"/>
  <c r="C15" i="90"/>
  <c r="B15" i="90" s="1"/>
  <c r="D15" i="90"/>
  <c r="E15" i="90"/>
  <c r="AL14" i="74"/>
  <c r="AQ14" i="74" s="1"/>
  <c r="AR14" i="74" s="1"/>
  <c r="J15" i="89"/>
  <c r="J13" i="89"/>
  <c r="R35" i="89"/>
  <c r="V144" i="121"/>
  <c r="V83" i="121" s="1"/>
  <c r="BJ47" i="74"/>
  <c r="BC36" i="74"/>
  <c r="BF37" i="89"/>
  <c r="R56" i="89"/>
  <c r="R19" i="89"/>
  <c r="BU52" i="132"/>
  <c r="BH49" i="74"/>
  <c r="AD58" i="132"/>
  <c r="BZ58" i="132"/>
  <c r="BJ28" i="74"/>
  <c r="V125" i="121"/>
  <c r="V64" i="121" s="1"/>
  <c r="D41" i="100"/>
  <c r="L41" i="90"/>
  <c r="N41" i="90"/>
  <c r="I57" i="87"/>
  <c r="V123" i="121"/>
  <c r="V62" i="121" s="1"/>
  <c r="BJ26" i="74"/>
  <c r="BC37" i="74"/>
  <c r="U134" i="121" s="1"/>
  <c r="U73" i="121" s="1"/>
  <c r="BF38" i="89"/>
  <c r="R31" i="89"/>
  <c r="AD57" i="132"/>
  <c r="BZ57" i="132"/>
  <c r="BZ53" i="132"/>
  <c r="AD53" i="132"/>
  <c r="AQ56" i="74"/>
  <c r="T153" i="121" s="1"/>
  <c r="T92" i="121" s="1"/>
  <c r="BL45" i="132"/>
  <c r="AL35" i="73"/>
  <c r="AK35" i="73" s="1"/>
  <c r="BL38" i="132"/>
  <c r="J11" i="89"/>
  <c r="C20" i="100"/>
  <c r="D20" i="90"/>
  <c r="E20" i="90"/>
  <c r="F20" i="90"/>
  <c r="H20" i="90"/>
  <c r="C20" i="90"/>
  <c r="B20" i="90" s="1"/>
  <c r="G20" i="90"/>
  <c r="J18" i="89"/>
  <c r="R36" i="89"/>
  <c r="D33" i="100"/>
  <c r="P33" i="90"/>
  <c r="M33" i="90"/>
  <c r="L33" i="90"/>
  <c r="N33" i="90"/>
  <c r="O33" i="90"/>
  <c r="K33" i="90"/>
  <c r="J33" i="90" s="1"/>
  <c r="BC38" i="74"/>
  <c r="BF39" i="89"/>
  <c r="R57" i="89"/>
  <c r="R27" i="89"/>
  <c r="BC48" i="74"/>
  <c r="BF49" i="89"/>
  <c r="AD29" i="132"/>
  <c r="BL29" i="132" s="1"/>
  <c r="BZ29" i="132"/>
  <c r="R38" i="89"/>
  <c r="BJ57" i="74"/>
  <c r="V154" i="121"/>
  <c r="V93" i="121" s="1"/>
  <c r="BC40" i="74"/>
  <c r="BF41" i="89"/>
  <c r="V121" i="121"/>
  <c r="V60" i="121" s="1"/>
  <c r="BJ24" i="74"/>
  <c r="R43" i="89"/>
  <c r="BN26" i="89"/>
  <c r="T140" i="121"/>
  <c r="T79" i="121" s="1"/>
  <c r="AL12" i="74"/>
  <c r="AQ12" i="74" s="1"/>
  <c r="T109" i="121" s="1"/>
  <c r="T48" i="121" s="1"/>
  <c r="AL17" i="73"/>
  <c r="AK17" i="73" s="1"/>
  <c r="AL17" i="74"/>
  <c r="AQ17" i="74" s="1"/>
  <c r="T114" i="121" s="1"/>
  <c r="T53" i="121" s="1"/>
  <c r="AL12" i="73"/>
  <c r="AK12" i="73" s="1"/>
  <c r="AL27" i="73"/>
  <c r="AK27" i="73" s="1"/>
  <c r="AL8" i="73"/>
  <c r="AK8" i="73" s="1"/>
  <c r="AL24" i="74"/>
  <c r="AQ24" i="74" s="1"/>
  <c r="AR24" i="74" s="1"/>
  <c r="AL16" i="73"/>
  <c r="AK16" i="73" s="1"/>
  <c r="AL15" i="73"/>
  <c r="AK15" i="73" s="1"/>
  <c r="AL14" i="73"/>
  <c r="AK14" i="73" s="1"/>
  <c r="AL20" i="73"/>
  <c r="AK20" i="73" s="1"/>
  <c r="AL21" i="74"/>
  <c r="AQ21" i="74" s="1"/>
  <c r="T118" i="121" s="1"/>
  <c r="T57" i="121" s="1"/>
  <c r="AL22" i="73"/>
  <c r="AK22" i="73" s="1"/>
  <c r="AL13" i="74"/>
  <c r="AQ13" i="74" s="1"/>
  <c r="AR13" i="74" s="1"/>
  <c r="AL19" i="73"/>
  <c r="AK19" i="73" s="1"/>
  <c r="AL29" i="74"/>
  <c r="AQ29" i="74" s="1"/>
  <c r="AR29" i="74" s="1"/>
  <c r="D21" i="111"/>
  <c r="CB17" i="74"/>
  <c r="D57" i="111"/>
  <c r="CB53" i="74"/>
  <c r="D56" i="111"/>
  <c r="CB52" i="74"/>
  <c r="D42" i="111"/>
  <c r="CB38" i="74"/>
  <c r="D44" i="111"/>
  <c r="CB40" i="74"/>
  <c r="D55" i="111"/>
  <c r="CB51" i="74"/>
  <c r="D41" i="111"/>
  <c r="CB37" i="74"/>
  <c r="D60" i="111"/>
  <c r="CB56" i="74"/>
  <c r="CB12" i="74"/>
  <c r="D40" i="111"/>
  <c r="CB36" i="74"/>
  <c r="D43" i="111"/>
  <c r="CB39" i="74"/>
  <c r="D48" i="111"/>
  <c r="CB44" i="74"/>
  <c r="D14" i="111"/>
  <c r="CB10" i="74"/>
  <c r="D52" i="111"/>
  <c r="CB48" i="74"/>
  <c r="D49" i="111"/>
  <c r="CB45" i="74"/>
  <c r="D53" i="111"/>
  <c r="CB49" i="74"/>
  <c r="D50" i="111"/>
  <c r="CB46" i="74"/>
  <c r="D61" i="111"/>
  <c r="CB57" i="74"/>
  <c r="U124" i="121"/>
  <c r="U63" i="121" s="1"/>
  <c r="AL22" i="74"/>
  <c r="AQ22" i="74" s="1"/>
  <c r="AR22" i="74" s="1"/>
  <c r="AL8" i="74"/>
  <c r="AQ8" i="74" s="1"/>
  <c r="AL10" i="74"/>
  <c r="AQ10" i="74" s="1"/>
  <c r="AR10" i="74" s="1"/>
  <c r="AL10" i="73"/>
  <c r="AK10" i="73" s="1"/>
  <c r="AL20" i="74"/>
  <c r="AQ20" i="74" s="1"/>
  <c r="AR20" i="74" s="1"/>
  <c r="AL24" i="73"/>
  <c r="AK24" i="73" s="1"/>
  <c r="AL15" i="74"/>
  <c r="AQ15" i="74" s="1"/>
  <c r="AR15" i="74" s="1"/>
  <c r="AL28" i="73"/>
  <c r="AK28" i="73" s="1"/>
  <c r="AL29" i="73"/>
  <c r="AK29" i="73" s="1"/>
  <c r="T154" i="121"/>
  <c r="T93" i="121" s="1"/>
  <c r="BL28" i="132"/>
  <c r="AL13" i="73"/>
  <c r="AK13" i="73" s="1"/>
  <c r="AL28" i="74"/>
  <c r="AQ28" i="74" s="1"/>
  <c r="T125" i="121" s="1"/>
  <c r="T64" i="121" s="1"/>
  <c r="AL27" i="74"/>
  <c r="AQ27" i="74" s="1"/>
  <c r="AR27" i="74" s="1"/>
  <c r="AL23" i="74"/>
  <c r="AQ23" i="74" s="1"/>
  <c r="AR23" i="74" s="1"/>
  <c r="AL23" i="73"/>
  <c r="AK23" i="73" s="1"/>
  <c r="AL18" i="73"/>
  <c r="AK18" i="73" s="1"/>
  <c r="BL30" i="132"/>
  <c r="AL19" i="74"/>
  <c r="AL18" i="74"/>
  <c r="AQ18" i="74" s="1"/>
  <c r="T115" i="121" s="1"/>
  <c r="T54" i="121" s="1"/>
  <c r="AL16" i="74"/>
  <c r="AQ16" i="74" s="1"/>
  <c r="AR16" i="74" s="1"/>
  <c r="AL21" i="73"/>
  <c r="AK21" i="73" s="1"/>
  <c r="AL26" i="74"/>
  <c r="AQ26" i="74" s="1"/>
  <c r="AR26" i="74" s="1"/>
  <c r="BL27" i="132"/>
  <c r="T22" i="74"/>
  <c r="Q22" i="93"/>
  <c r="V22" i="93" s="1"/>
  <c r="M22" i="93"/>
  <c r="N22" i="93"/>
  <c r="Y26" i="132" s="1"/>
  <c r="X26" i="132" s="1"/>
  <c r="AX24" i="89" s="1"/>
  <c r="L22" i="93"/>
  <c r="AR37" i="74"/>
  <c r="T133" i="121"/>
  <c r="T72" i="121" s="1"/>
  <c r="AI39" i="119"/>
  <c r="AI48" i="119"/>
  <c r="AI42" i="119"/>
  <c r="AI55" i="119"/>
  <c r="AI49" i="119"/>
  <c r="AI60" i="119"/>
  <c r="AI52" i="119"/>
  <c r="AI56" i="119"/>
  <c r="AI47" i="119"/>
  <c r="AI51" i="119"/>
  <c r="AI40" i="119"/>
  <c r="AI59" i="119"/>
  <c r="AI13" i="119"/>
  <c r="AI43" i="119"/>
  <c r="AI15" i="119"/>
  <c r="AI20" i="119"/>
  <c r="AI54" i="119"/>
  <c r="AI41" i="119"/>
  <c r="T150" i="121"/>
  <c r="T89" i="121" s="1"/>
  <c r="T145" i="121"/>
  <c r="T84" i="121" s="1"/>
  <c r="AR51" i="74"/>
  <c r="T148" i="121"/>
  <c r="T87" i="121" s="1"/>
  <c r="AR40" i="74"/>
  <c r="T137" i="121"/>
  <c r="AR34" i="74"/>
  <c r="T131" i="121"/>
  <c r="AR54" i="74"/>
  <c r="T151" i="121"/>
  <c r="T90" i="121" s="1"/>
  <c r="AR50" i="74"/>
  <c r="T147" i="121"/>
  <c r="T86" i="121" s="1"/>
  <c r="AR58" i="74"/>
  <c r="T155" i="121"/>
  <c r="T94" i="121" s="1"/>
  <c r="AR55" i="74"/>
  <c r="T152" i="121"/>
  <c r="T91" i="121" s="1"/>
  <c r="AR52" i="74"/>
  <c r="T149" i="121"/>
  <c r="T88" i="121" s="1"/>
  <c r="AR30" i="74"/>
  <c r="T127" i="121"/>
  <c r="T66" i="121" s="1"/>
  <c r="AR49" i="74"/>
  <c r="T146" i="121"/>
  <c r="AR33" i="74"/>
  <c r="T130" i="121"/>
  <c r="AR39" i="74"/>
  <c r="T136" i="121"/>
  <c r="AR46" i="74"/>
  <c r="T143" i="121"/>
  <c r="AR44" i="74"/>
  <c r="T141" i="121"/>
  <c r="AR38" i="74"/>
  <c r="T135" i="121"/>
  <c r="AR25" i="74"/>
  <c r="T122" i="121"/>
  <c r="AR31" i="74"/>
  <c r="T128" i="121"/>
  <c r="T67" i="121" s="1"/>
  <c r="AR41" i="74"/>
  <c r="T138" i="121"/>
  <c r="B21" i="119"/>
  <c r="B50" i="119"/>
  <c r="B11" i="119"/>
  <c r="B44" i="119"/>
  <c r="B53" i="119"/>
  <c r="B45" i="119"/>
  <c r="B61" i="119"/>
  <c r="B27" i="119"/>
  <c r="B37" i="119"/>
  <c r="B29" i="119"/>
  <c r="B62" i="119"/>
  <c r="O20" i="80"/>
  <c r="S20" i="80" s="1"/>
  <c r="P20" i="80"/>
  <c r="T20" i="80" s="1"/>
  <c r="R22" i="93"/>
  <c r="S22" i="93"/>
  <c r="T22" i="93"/>
  <c r="Q21" i="93"/>
  <c r="C20" i="93"/>
  <c r="B20" i="93" s="1"/>
  <c r="N20" i="80"/>
  <c r="R20" i="80" s="1"/>
  <c r="CG24" i="132" s="1"/>
  <c r="N85" i="80"/>
  <c r="F19" i="93"/>
  <c r="H19" i="80"/>
  <c r="I19" i="80"/>
  <c r="AJ25" i="132" l="1"/>
  <c r="D14" i="100"/>
  <c r="M46" i="90"/>
  <c r="P14" i="90"/>
  <c r="N14" i="90"/>
  <c r="N17" i="90"/>
  <c r="O14" i="90"/>
  <c r="M14" i="90"/>
  <c r="P27" i="90"/>
  <c r="D21" i="100"/>
  <c r="T132" i="121"/>
  <c r="T71" i="121" s="1"/>
  <c r="O21" i="90"/>
  <c r="N21" i="90"/>
  <c r="O17" i="90"/>
  <c r="T142" i="121"/>
  <c r="N12" i="90"/>
  <c r="T139" i="121"/>
  <c r="D27" i="100"/>
  <c r="O12" i="90"/>
  <c r="P25" i="90"/>
  <c r="L27" i="90"/>
  <c r="P12" i="90"/>
  <c r="D31" i="100"/>
  <c r="K31" i="90"/>
  <c r="J31" i="90" s="1"/>
  <c r="O31" i="90"/>
  <c r="K12" i="90"/>
  <c r="J12" i="90" s="1"/>
  <c r="N31" i="90"/>
  <c r="K21" i="90"/>
  <c r="J21" i="90" s="1"/>
  <c r="K41" i="90"/>
  <c r="J41" i="90" s="1"/>
  <c r="N27" i="90"/>
  <c r="N57" i="90"/>
  <c r="O41" i="90"/>
  <c r="P41" i="90"/>
  <c r="K27" i="90"/>
  <c r="J27" i="90" s="1"/>
  <c r="M21" i="90"/>
  <c r="N52" i="90"/>
  <c r="M52" i="90"/>
  <c r="L31" i="90"/>
  <c r="O43" i="90"/>
  <c r="L52" i="90"/>
  <c r="P31" i="90"/>
  <c r="L25" i="90"/>
  <c r="V22" i="74"/>
  <c r="L21" i="90"/>
  <c r="BN28" i="89"/>
  <c r="D50" i="100"/>
  <c r="D43" i="100"/>
  <c r="N22" i="90"/>
  <c r="M22" i="90"/>
  <c r="M19" i="90"/>
  <c r="K43" i="90"/>
  <c r="J43" i="90" s="1"/>
  <c r="P22" i="90"/>
  <c r="BN44" i="89"/>
  <c r="BL43" i="90" s="1"/>
  <c r="N43" i="90"/>
  <c r="O22" i="90"/>
  <c r="M43" i="90"/>
  <c r="L22" i="90"/>
  <c r="L43" i="90"/>
  <c r="K22" i="90"/>
  <c r="J22" i="90" s="1"/>
  <c r="T144" i="121"/>
  <c r="T83" i="121" s="1"/>
  <c r="P19" i="90"/>
  <c r="M36" i="90"/>
  <c r="D19" i="100"/>
  <c r="P36" i="90"/>
  <c r="K36" i="90"/>
  <c r="J36" i="90" s="1"/>
  <c r="BN37" i="89"/>
  <c r="BK36" i="90" s="1"/>
  <c r="N19" i="90"/>
  <c r="O36" i="90"/>
  <c r="K19" i="90"/>
  <c r="J19" i="90" s="1"/>
  <c r="L36" i="90"/>
  <c r="N36" i="90"/>
  <c r="L19" i="90"/>
  <c r="P57" i="90"/>
  <c r="O25" i="90"/>
  <c r="K46" i="90"/>
  <c r="J46" i="90" s="1"/>
  <c r="M57" i="90"/>
  <c r="P46" i="90"/>
  <c r="L57" i="90"/>
  <c r="M25" i="90"/>
  <c r="N46" i="90"/>
  <c r="K57" i="90"/>
  <c r="J57" i="90" s="1"/>
  <c r="AR56" i="74"/>
  <c r="U122" i="121"/>
  <c r="U61" i="121" s="1"/>
  <c r="D57" i="100"/>
  <c r="K17" i="90"/>
  <c r="J17" i="90" s="1"/>
  <c r="BE25" i="74"/>
  <c r="P17" i="90"/>
  <c r="O50" i="90"/>
  <c r="M50" i="90"/>
  <c r="N50" i="90"/>
  <c r="L50" i="90"/>
  <c r="M17" i="90"/>
  <c r="T111" i="121"/>
  <c r="T50" i="121" s="1"/>
  <c r="K50" i="90"/>
  <c r="J50" i="90" s="1"/>
  <c r="L17" i="90"/>
  <c r="O46" i="90"/>
  <c r="L46" i="90"/>
  <c r="BE27" i="74"/>
  <c r="BE37" i="74"/>
  <c r="N94" i="87"/>
  <c r="J33" i="100"/>
  <c r="BH33" i="90"/>
  <c r="BK33" i="90"/>
  <c r="BJ33" i="90"/>
  <c r="BL33" i="90"/>
  <c r="BG33" i="90"/>
  <c r="BF33" i="90" s="1"/>
  <c r="BI33" i="90"/>
  <c r="J43" i="100"/>
  <c r="BG43" i="90"/>
  <c r="BF43" i="90" s="1"/>
  <c r="BH43" i="90"/>
  <c r="D53" i="100"/>
  <c r="K53" i="90"/>
  <c r="J53" i="90" s="1"/>
  <c r="L53" i="90"/>
  <c r="M53" i="90"/>
  <c r="N53" i="90"/>
  <c r="P53" i="90"/>
  <c r="O53" i="90"/>
  <c r="D37" i="100"/>
  <c r="K37" i="90"/>
  <c r="J37" i="90" s="1"/>
  <c r="L37" i="90"/>
  <c r="M37" i="90"/>
  <c r="N37" i="90"/>
  <c r="O37" i="90"/>
  <c r="P37" i="90"/>
  <c r="BN38" i="89"/>
  <c r="AY38" i="90"/>
  <c r="AX38" i="90" s="1"/>
  <c r="AZ38" i="90"/>
  <c r="BA38" i="90"/>
  <c r="BB38" i="90"/>
  <c r="BC38" i="90"/>
  <c r="BD38" i="90"/>
  <c r="I38" i="100"/>
  <c r="J44" i="100"/>
  <c r="BK44" i="90"/>
  <c r="BG44" i="90"/>
  <c r="BF44" i="90" s="1"/>
  <c r="BH44" i="90"/>
  <c r="BI44" i="90"/>
  <c r="BL44" i="90"/>
  <c r="BJ44" i="90"/>
  <c r="D55" i="100"/>
  <c r="N55" i="90"/>
  <c r="O55" i="90"/>
  <c r="P55" i="90"/>
  <c r="L55" i="90"/>
  <c r="M55" i="90"/>
  <c r="K55" i="90"/>
  <c r="J55" i="90" s="1"/>
  <c r="C12" i="100"/>
  <c r="F12" i="90"/>
  <c r="E12" i="90"/>
  <c r="D12" i="90"/>
  <c r="G12" i="90"/>
  <c r="C12" i="90"/>
  <c r="B12" i="90" s="1"/>
  <c r="H12" i="90"/>
  <c r="BE56" i="74"/>
  <c r="U153" i="121"/>
  <c r="U92" i="121" s="1"/>
  <c r="BC47" i="74"/>
  <c r="BF48" i="89"/>
  <c r="BN48" i="89" s="1"/>
  <c r="BL50" i="132"/>
  <c r="BC52" i="74"/>
  <c r="BF53" i="89"/>
  <c r="BL55" i="132"/>
  <c r="BC32" i="74"/>
  <c r="BF33" i="89"/>
  <c r="BL35" i="132"/>
  <c r="U138" i="121"/>
  <c r="U77" i="121" s="1"/>
  <c r="BE41" i="74"/>
  <c r="N98" i="87"/>
  <c r="N116" i="87"/>
  <c r="U156" i="121"/>
  <c r="U95" i="121" s="1"/>
  <c r="BE59" i="74"/>
  <c r="BA35" i="90"/>
  <c r="BB35" i="90"/>
  <c r="AZ35" i="90"/>
  <c r="BC35" i="90"/>
  <c r="I35" i="100"/>
  <c r="BD35" i="90"/>
  <c r="AY35" i="90"/>
  <c r="AX35" i="90" s="1"/>
  <c r="D51" i="100"/>
  <c r="N51" i="90"/>
  <c r="O51" i="90"/>
  <c r="P51" i="90"/>
  <c r="L51" i="90"/>
  <c r="K51" i="90"/>
  <c r="J51" i="90" s="1"/>
  <c r="M51" i="90"/>
  <c r="BE44" i="74"/>
  <c r="D42" i="100"/>
  <c r="K42" i="90"/>
  <c r="J42" i="90" s="1"/>
  <c r="L42" i="90"/>
  <c r="O42" i="90"/>
  <c r="M42" i="90"/>
  <c r="P42" i="90"/>
  <c r="N42" i="90"/>
  <c r="BN43" i="89"/>
  <c r="BE38" i="74"/>
  <c r="U135" i="121"/>
  <c r="U74" i="121" s="1"/>
  <c r="N95" i="87"/>
  <c r="D35" i="100"/>
  <c r="L35" i="90"/>
  <c r="N35" i="90"/>
  <c r="O35" i="90"/>
  <c r="K35" i="90"/>
  <c r="J35" i="90" s="1"/>
  <c r="P35" i="90"/>
  <c r="M35" i="90"/>
  <c r="BN36" i="89"/>
  <c r="BC36" i="90"/>
  <c r="BD36" i="90"/>
  <c r="I36" i="100"/>
  <c r="AY36" i="90"/>
  <c r="AX36" i="90" s="1"/>
  <c r="AZ36" i="90"/>
  <c r="BA36" i="90"/>
  <c r="BB36" i="90"/>
  <c r="C23" i="100"/>
  <c r="F23" i="90"/>
  <c r="G23" i="90"/>
  <c r="H23" i="90"/>
  <c r="C23" i="90"/>
  <c r="B23" i="90" s="1"/>
  <c r="E23" i="90"/>
  <c r="D23" i="90"/>
  <c r="D13" i="100"/>
  <c r="K13" i="90"/>
  <c r="J13" i="90" s="1"/>
  <c r="L13" i="90"/>
  <c r="M13" i="90"/>
  <c r="N13" i="90"/>
  <c r="O13" i="90"/>
  <c r="P13" i="90"/>
  <c r="BC28" i="74"/>
  <c r="BF29" i="89"/>
  <c r="BN29" i="89" s="1"/>
  <c r="AY25" i="90"/>
  <c r="AX25" i="90" s="1"/>
  <c r="AZ25" i="90"/>
  <c r="BD25" i="90"/>
  <c r="BA25" i="90"/>
  <c r="I25" i="100"/>
  <c r="BB25" i="90"/>
  <c r="BC25" i="90"/>
  <c r="BD41" i="90"/>
  <c r="AY41" i="90"/>
  <c r="AX41" i="90" s="1"/>
  <c r="AZ41" i="90"/>
  <c r="BA41" i="90"/>
  <c r="I41" i="100"/>
  <c r="BB41" i="90"/>
  <c r="BC41" i="90"/>
  <c r="BA59" i="90"/>
  <c r="AZ59" i="90"/>
  <c r="BB59" i="90"/>
  <c r="BC59" i="90"/>
  <c r="I59" i="100"/>
  <c r="BD59" i="90"/>
  <c r="AY59" i="90"/>
  <c r="AX59" i="90" s="1"/>
  <c r="BN60" i="89"/>
  <c r="N92" i="87"/>
  <c r="U132" i="121"/>
  <c r="U71" i="121" s="1"/>
  <c r="BE35" i="74"/>
  <c r="BC24" i="74"/>
  <c r="BF25" i="89"/>
  <c r="BN25" i="89" s="1"/>
  <c r="BC51" i="74"/>
  <c r="BF52" i="89"/>
  <c r="BL54" i="132"/>
  <c r="CI24" i="132"/>
  <c r="U21" i="74"/>
  <c r="A22" i="87"/>
  <c r="U141" i="121"/>
  <c r="U80" i="121" s="1"/>
  <c r="BF27" i="89"/>
  <c r="BC26" i="74"/>
  <c r="C17" i="100"/>
  <c r="C17" i="90"/>
  <c r="B17" i="90" s="1"/>
  <c r="D17" i="90"/>
  <c r="E17" i="90"/>
  <c r="G17" i="90"/>
  <c r="H17" i="90"/>
  <c r="F17" i="90"/>
  <c r="BF55" i="89"/>
  <c r="BC54" i="74"/>
  <c r="J45" i="100"/>
  <c r="BI45" i="90"/>
  <c r="BL45" i="90"/>
  <c r="BK45" i="90"/>
  <c r="BH45" i="90"/>
  <c r="BG45" i="90"/>
  <c r="BF45" i="90" s="1"/>
  <c r="BJ45" i="90"/>
  <c r="U133" i="121"/>
  <c r="U72" i="121" s="1"/>
  <c r="BE36" i="74"/>
  <c r="AY34" i="90"/>
  <c r="AX34" i="90" s="1"/>
  <c r="AZ34" i="90"/>
  <c r="BA34" i="90"/>
  <c r="BB34" i="90"/>
  <c r="I34" i="100"/>
  <c r="BC34" i="90"/>
  <c r="BD34" i="90"/>
  <c r="D38" i="100"/>
  <c r="K38" i="90"/>
  <c r="J38" i="90" s="1"/>
  <c r="L38" i="90"/>
  <c r="O38" i="90"/>
  <c r="N38" i="90"/>
  <c r="P38" i="90"/>
  <c r="M38" i="90"/>
  <c r="BN39" i="89"/>
  <c r="I45" i="100"/>
  <c r="B45" i="100" s="1"/>
  <c r="AY45" i="90"/>
  <c r="AX45" i="90" s="1"/>
  <c r="AZ45" i="90"/>
  <c r="BA45" i="90"/>
  <c r="BB45" i="90"/>
  <c r="BC45" i="90"/>
  <c r="BD45" i="90"/>
  <c r="D15" i="100"/>
  <c r="P15" i="90"/>
  <c r="K15" i="90"/>
  <c r="J15" i="90" s="1"/>
  <c r="M15" i="90"/>
  <c r="L15" i="90"/>
  <c r="N15" i="90"/>
  <c r="O15" i="90"/>
  <c r="BF58" i="89"/>
  <c r="BC57" i="74"/>
  <c r="BL60" i="132"/>
  <c r="AY46" i="90"/>
  <c r="AX46" i="90" s="1"/>
  <c r="I46" i="100"/>
  <c r="AZ46" i="90"/>
  <c r="BA46" i="90"/>
  <c r="BB46" i="90"/>
  <c r="BC46" i="90"/>
  <c r="BD46" i="90"/>
  <c r="BN47" i="89"/>
  <c r="N99" i="87"/>
  <c r="BE42" i="74"/>
  <c r="U139" i="121"/>
  <c r="U78" i="121" s="1"/>
  <c r="H23" i="100"/>
  <c r="AV23" i="90"/>
  <c r="AS23" i="90"/>
  <c r="AQ23" i="90"/>
  <c r="AP23" i="90" s="1"/>
  <c r="AR23" i="90"/>
  <c r="AU23" i="90"/>
  <c r="AT23" i="90"/>
  <c r="BC48" i="90"/>
  <c r="BD48" i="90"/>
  <c r="AY48" i="90"/>
  <c r="AX48" i="90" s="1"/>
  <c r="AZ48" i="90"/>
  <c r="I48" i="100"/>
  <c r="BB48" i="90"/>
  <c r="BA48" i="90"/>
  <c r="K30" i="90"/>
  <c r="J30" i="90" s="1"/>
  <c r="L30" i="90"/>
  <c r="M30" i="90"/>
  <c r="N30" i="90"/>
  <c r="P30" i="90"/>
  <c r="O30" i="90"/>
  <c r="D30" i="100"/>
  <c r="C14" i="100"/>
  <c r="H14" i="90"/>
  <c r="C14" i="90"/>
  <c r="B14" i="90" s="1"/>
  <c r="E14" i="90"/>
  <c r="G14" i="90"/>
  <c r="D14" i="90"/>
  <c r="F14" i="90"/>
  <c r="N91" i="87"/>
  <c r="U131" i="121"/>
  <c r="U70" i="121" s="1"/>
  <c r="BE34" i="74"/>
  <c r="G23" i="100"/>
  <c r="AL23" i="90"/>
  <c r="AM23" i="90"/>
  <c r="AN23" i="90"/>
  <c r="AI23" i="90"/>
  <c r="AH23" i="90" s="1"/>
  <c r="AJ23" i="90"/>
  <c r="AK23" i="90"/>
  <c r="BE45" i="74"/>
  <c r="U142" i="121"/>
  <c r="U81" i="121" s="1"/>
  <c r="N102" i="87"/>
  <c r="BC29" i="74"/>
  <c r="BF30" i="89"/>
  <c r="D39" i="100"/>
  <c r="O39" i="90"/>
  <c r="P39" i="90"/>
  <c r="M39" i="90"/>
  <c r="L39" i="90"/>
  <c r="N39" i="90"/>
  <c r="K39" i="90"/>
  <c r="J39" i="90" s="1"/>
  <c r="BN40" i="89"/>
  <c r="N103" i="87"/>
  <c r="U143" i="121"/>
  <c r="U82" i="121" s="1"/>
  <c r="BE46" i="74"/>
  <c r="D47" i="100"/>
  <c r="O47" i="90"/>
  <c r="K47" i="90"/>
  <c r="J47" i="90" s="1"/>
  <c r="L47" i="90"/>
  <c r="M47" i="90"/>
  <c r="N47" i="90"/>
  <c r="P47" i="90"/>
  <c r="AY42" i="90"/>
  <c r="AX42" i="90" s="1"/>
  <c r="AZ42" i="90"/>
  <c r="BA42" i="90"/>
  <c r="BB42" i="90"/>
  <c r="I42" i="100"/>
  <c r="BC42" i="90"/>
  <c r="BD42" i="90"/>
  <c r="BH23" i="74"/>
  <c r="BU26" i="132"/>
  <c r="CH24" i="132"/>
  <c r="BV24" i="132" s="1"/>
  <c r="AK24" i="132" s="1"/>
  <c r="W21" i="74"/>
  <c r="Y21" i="74"/>
  <c r="X21" i="74" s="1"/>
  <c r="U20" i="93"/>
  <c r="O20" i="93"/>
  <c r="Z24" i="132" s="1"/>
  <c r="BC40" i="90"/>
  <c r="BD40" i="90"/>
  <c r="BB40" i="90"/>
  <c r="AY40" i="90"/>
  <c r="AX40" i="90" s="1"/>
  <c r="AZ40" i="90"/>
  <c r="I40" i="100"/>
  <c r="BA40" i="90"/>
  <c r="N105" i="87"/>
  <c r="BE48" i="74"/>
  <c r="U145" i="121"/>
  <c r="U84" i="121" s="1"/>
  <c r="C10" i="100"/>
  <c r="H10" i="90"/>
  <c r="G10" i="90"/>
  <c r="F10" i="90"/>
  <c r="E10" i="90"/>
  <c r="D10" i="90"/>
  <c r="C10" i="90"/>
  <c r="B10" i="90" s="1"/>
  <c r="I37" i="100"/>
  <c r="AY37" i="90"/>
  <c r="AX37" i="90" s="1"/>
  <c r="BD37" i="90"/>
  <c r="AZ37" i="90"/>
  <c r="BA37" i="90"/>
  <c r="BB37" i="90"/>
  <c r="BC37" i="90"/>
  <c r="BF56" i="89"/>
  <c r="BC55" i="74"/>
  <c r="BL58" i="132"/>
  <c r="N100" i="87"/>
  <c r="U140" i="121"/>
  <c r="U79" i="121" s="1"/>
  <c r="BE43" i="74"/>
  <c r="V8" i="80"/>
  <c r="W8" i="80"/>
  <c r="J8" i="80"/>
  <c r="P74" i="80"/>
  <c r="K8" i="80"/>
  <c r="L8" i="80"/>
  <c r="D8" i="100"/>
  <c r="P8" i="90"/>
  <c r="K8" i="90"/>
  <c r="J8" i="90" s="1"/>
  <c r="L8" i="90"/>
  <c r="M8" i="90"/>
  <c r="N8" i="90"/>
  <c r="O8" i="90"/>
  <c r="BA39" i="90"/>
  <c r="BB39" i="90"/>
  <c r="BC39" i="90"/>
  <c r="BD39" i="90"/>
  <c r="AZ39" i="90"/>
  <c r="AY39" i="90"/>
  <c r="AX39" i="90" s="1"/>
  <c r="I39" i="100"/>
  <c r="D40" i="100"/>
  <c r="M40" i="90"/>
  <c r="N40" i="90"/>
  <c r="O40" i="90"/>
  <c r="P40" i="90"/>
  <c r="K40" i="90"/>
  <c r="J40" i="90" s="1"/>
  <c r="L40" i="90"/>
  <c r="BN41" i="89"/>
  <c r="BN49" i="89"/>
  <c r="D18" i="100"/>
  <c r="K18" i="90"/>
  <c r="J18" i="90" s="1"/>
  <c r="L18" i="90"/>
  <c r="O18" i="90"/>
  <c r="M18" i="90"/>
  <c r="N18" i="90"/>
  <c r="P18" i="90"/>
  <c r="BC56" i="90"/>
  <c r="BD56" i="90"/>
  <c r="BB56" i="90"/>
  <c r="AY56" i="90"/>
  <c r="AX56" i="90" s="1"/>
  <c r="AZ56" i="90"/>
  <c r="I56" i="100"/>
  <c r="BA56" i="90"/>
  <c r="N90" i="87"/>
  <c r="BE33" i="74"/>
  <c r="U130" i="121"/>
  <c r="U69" i="121" s="1"/>
  <c r="U137" i="121"/>
  <c r="U76" i="121" s="1"/>
  <c r="N97" i="87"/>
  <c r="BE40" i="74"/>
  <c r="D26" i="100"/>
  <c r="K26" i="90"/>
  <c r="J26" i="90" s="1"/>
  <c r="L26" i="90"/>
  <c r="O26" i="90"/>
  <c r="M26" i="90"/>
  <c r="N26" i="90"/>
  <c r="P26" i="90"/>
  <c r="BN27" i="89"/>
  <c r="V146" i="121"/>
  <c r="V85" i="121" s="1"/>
  <c r="BJ49" i="74"/>
  <c r="I48" i="87"/>
  <c r="D34" i="100"/>
  <c r="N34" i="90"/>
  <c r="P34" i="90"/>
  <c r="K34" i="90"/>
  <c r="J34" i="90" s="1"/>
  <c r="O34" i="90"/>
  <c r="L34" i="90"/>
  <c r="M34" i="90"/>
  <c r="BN35" i="89"/>
  <c r="BA43" i="90"/>
  <c r="BB43" i="90"/>
  <c r="BC43" i="90"/>
  <c r="I43" i="100"/>
  <c r="BD43" i="90"/>
  <c r="AZ43" i="90"/>
  <c r="AY43" i="90"/>
  <c r="AX43" i="90" s="1"/>
  <c r="D10" i="100"/>
  <c r="P10" i="90"/>
  <c r="K10" i="90"/>
  <c r="J10" i="90" s="1"/>
  <c r="O10" i="90"/>
  <c r="N10" i="90"/>
  <c r="M10" i="90"/>
  <c r="L10" i="90"/>
  <c r="BF59" i="89"/>
  <c r="BC58" i="74"/>
  <c r="BL61" i="132"/>
  <c r="C8" i="100"/>
  <c r="F8" i="90"/>
  <c r="E8" i="90"/>
  <c r="G8" i="90"/>
  <c r="D8" i="90"/>
  <c r="C8" i="90"/>
  <c r="B8" i="90" s="1"/>
  <c r="H8" i="90"/>
  <c r="AL25" i="132"/>
  <c r="AE25" i="132"/>
  <c r="BC60" i="74"/>
  <c r="BF61" i="89"/>
  <c r="BL63" i="132"/>
  <c r="J27" i="100"/>
  <c r="BL27" i="90"/>
  <c r="BI27" i="90"/>
  <c r="BG27" i="90"/>
  <c r="BF27" i="90" s="1"/>
  <c r="BH27" i="90"/>
  <c r="BJ27" i="90"/>
  <c r="BK27" i="90"/>
  <c r="N96" i="87"/>
  <c r="BE39" i="74"/>
  <c r="U136" i="121"/>
  <c r="U75" i="121" s="1"/>
  <c r="BA27" i="90"/>
  <c r="BB27" i="90"/>
  <c r="AZ27" i="90"/>
  <c r="BC27" i="90"/>
  <c r="I27" i="100"/>
  <c r="BD27" i="90"/>
  <c r="AY27" i="90"/>
  <c r="AX27" i="90" s="1"/>
  <c r="N93" i="87"/>
  <c r="BF31" i="89"/>
  <c r="BC30" i="74"/>
  <c r="BL33" i="132"/>
  <c r="C18" i="100"/>
  <c r="H18" i="90"/>
  <c r="E18" i="90"/>
  <c r="F18" i="90"/>
  <c r="G18" i="90"/>
  <c r="C18" i="90"/>
  <c r="B18" i="90" s="1"/>
  <c r="D18" i="90"/>
  <c r="BN42" i="89"/>
  <c r="J25" i="100"/>
  <c r="BJ25" i="90"/>
  <c r="BK25" i="90"/>
  <c r="BL25" i="90"/>
  <c r="BG25" i="90"/>
  <c r="BF25" i="90" s="1"/>
  <c r="BH25" i="90"/>
  <c r="BI25" i="90"/>
  <c r="D56" i="100"/>
  <c r="L56" i="90"/>
  <c r="M56" i="90"/>
  <c r="N56" i="90"/>
  <c r="O56" i="90"/>
  <c r="P56" i="90"/>
  <c r="K56" i="90"/>
  <c r="J56" i="90" s="1"/>
  <c r="BN57" i="89"/>
  <c r="BC50" i="74"/>
  <c r="BF51" i="89"/>
  <c r="BL53" i="132"/>
  <c r="AD52" i="132"/>
  <c r="BZ52" i="132"/>
  <c r="BC53" i="74"/>
  <c r="BF54" i="89"/>
  <c r="BN54" i="89" s="1"/>
  <c r="AP23" i="89"/>
  <c r="BC31" i="74"/>
  <c r="BF32" i="89"/>
  <c r="BL34" i="132"/>
  <c r="BC44" i="90"/>
  <c r="BD44" i="90"/>
  <c r="I44" i="100"/>
  <c r="BB44" i="90"/>
  <c r="AY44" i="90"/>
  <c r="AX44" i="90" s="1"/>
  <c r="AZ44" i="90"/>
  <c r="BA44" i="90"/>
  <c r="C28" i="100"/>
  <c r="D28" i="90"/>
  <c r="G28" i="90"/>
  <c r="F28" i="90"/>
  <c r="C28" i="90"/>
  <c r="B28" i="90" s="1"/>
  <c r="H28" i="90"/>
  <c r="E28" i="90"/>
  <c r="D24" i="100"/>
  <c r="N24" i="90"/>
  <c r="O24" i="90"/>
  <c r="P24" i="90"/>
  <c r="K24" i="90"/>
  <c r="J24" i="90" s="1"/>
  <c r="M24" i="90"/>
  <c r="L24" i="90"/>
  <c r="AY33" i="90"/>
  <c r="AX33" i="90" s="1"/>
  <c r="AZ33" i="90"/>
  <c r="BA33" i="90"/>
  <c r="I33" i="100"/>
  <c r="B33" i="100" s="1"/>
  <c r="BD33" i="90"/>
  <c r="BB33" i="90"/>
  <c r="BC33" i="90"/>
  <c r="AQ19" i="74"/>
  <c r="AR19" i="74" s="1"/>
  <c r="AR8" i="74"/>
  <c r="T105" i="121"/>
  <c r="T44" i="121" s="1"/>
  <c r="AR17" i="74"/>
  <c r="AR12" i="74"/>
  <c r="T119" i="121"/>
  <c r="T58" i="121" s="1"/>
  <c r="T110" i="121"/>
  <c r="T49" i="121" s="1"/>
  <c r="AR21" i="74"/>
  <c r="T121" i="121"/>
  <c r="T60" i="121" s="1"/>
  <c r="T126" i="121"/>
  <c r="T65" i="121" s="1"/>
  <c r="D30" i="111"/>
  <c r="CB26" i="74"/>
  <c r="D63" i="111"/>
  <c r="CB59" i="74"/>
  <c r="D51" i="111"/>
  <c r="CB47" i="74"/>
  <c r="D28" i="111"/>
  <c r="CB24" i="74"/>
  <c r="D62" i="111"/>
  <c r="CB58" i="74"/>
  <c r="D12" i="111"/>
  <c r="CB8" i="74"/>
  <c r="D38" i="111"/>
  <c r="CB34" i="74"/>
  <c r="D46" i="111"/>
  <c r="CB42" i="74"/>
  <c r="D29" i="111"/>
  <c r="CB25" i="74"/>
  <c r="D45" i="111"/>
  <c r="CB41" i="74"/>
  <c r="D22" i="111"/>
  <c r="CB18" i="74"/>
  <c r="D54" i="111"/>
  <c r="CB50" i="74"/>
  <c r="T107" i="121"/>
  <c r="T46" i="121" s="1"/>
  <c r="T47" i="121" s="1"/>
  <c r="T117" i="121"/>
  <c r="T56" i="121" s="1"/>
  <c r="T112" i="121"/>
  <c r="T51" i="121" s="1"/>
  <c r="AR18" i="74"/>
  <c r="AR28" i="74"/>
  <c r="T124" i="121"/>
  <c r="T63" i="121" s="1"/>
  <c r="T120" i="121"/>
  <c r="T59" i="121" s="1"/>
  <c r="T113" i="121"/>
  <c r="T52" i="121" s="1"/>
  <c r="T123" i="121"/>
  <c r="T62" i="121" s="1"/>
  <c r="T21" i="74"/>
  <c r="V21" i="74" s="1"/>
  <c r="N21" i="93"/>
  <c r="Y25" i="132" s="1"/>
  <c r="X25" i="132" s="1"/>
  <c r="M21" i="93"/>
  <c r="L21" i="93"/>
  <c r="AI11" i="119"/>
  <c r="AI27" i="119"/>
  <c r="AI50" i="119"/>
  <c r="AI44" i="119"/>
  <c r="AI29" i="119"/>
  <c r="AI37" i="119"/>
  <c r="AI61" i="119"/>
  <c r="AI45" i="119"/>
  <c r="AI21" i="119"/>
  <c r="AI62" i="119"/>
  <c r="AI53" i="119"/>
  <c r="AI28" i="119"/>
  <c r="T77" i="121"/>
  <c r="T78" i="121"/>
  <c r="T85" i="121"/>
  <c r="T81" i="121"/>
  <c r="T70" i="121"/>
  <c r="T61" i="121"/>
  <c r="T74" i="121"/>
  <c r="T76" i="121"/>
  <c r="T75" i="121"/>
  <c r="T80" i="121"/>
  <c r="T82" i="121"/>
  <c r="T69" i="121"/>
  <c r="Q59" i="121"/>
  <c r="C19" i="93"/>
  <c r="B19" i="93" s="1"/>
  <c r="N19" i="80"/>
  <c r="R19" i="80" s="1"/>
  <c r="CG23" i="132" s="1"/>
  <c r="O19" i="80"/>
  <c r="S19" i="80" s="1"/>
  <c r="P19" i="80"/>
  <c r="T19" i="80" s="1"/>
  <c r="N84" i="80"/>
  <c r="F18" i="93"/>
  <c r="H18" i="80"/>
  <c r="I18" i="80"/>
  <c r="L20" i="93"/>
  <c r="R21" i="93"/>
  <c r="S21" i="93"/>
  <c r="V21" i="93" s="1"/>
  <c r="T21" i="93"/>
  <c r="AJ24" i="132" l="1"/>
  <c r="BK43" i="90"/>
  <c r="B43" i="100"/>
  <c r="BH36" i="90"/>
  <c r="J36" i="100"/>
  <c r="B36" i="100" s="1"/>
  <c r="BI43" i="90"/>
  <c r="BJ43" i="90"/>
  <c r="BJ36" i="90"/>
  <c r="BG36" i="90"/>
  <c r="BF36" i="90" s="1"/>
  <c r="BI36" i="90"/>
  <c r="BL36" i="90"/>
  <c r="B44" i="100"/>
  <c r="B27" i="100"/>
  <c r="J24" i="100"/>
  <c r="BL24" i="90"/>
  <c r="BI24" i="90"/>
  <c r="BG24" i="90"/>
  <c r="BF24" i="90" s="1"/>
  <c r="BH24" i="90"/>
  <c r="BJ24" i="90"/>
  <c r="BK24" i="90"/>
  <c r="J53" i="100"/>
  <c r="BH53" i="90"/>
  <c r="BI53" i="90"/>
  <c r="BJ53" i="90"/>
  <c r="BK53" i="90"/>
  <c r="BG53" i="90"/>
  <c r="BF53" i="90" s="1"/>
  <c r="BL53" i="90"/>
  <c r="AX23" i="89"/>
  <c r="U152" i="121"/>
  <c r="U91" i="121" s="1"/>
  <c r="BE55" i="74"/>
  <c r="N112" i="87"/>
  <c r="J46" i="100"/>
  <c r="B46" i="100" s="1"/>
  <c r="BG46" i="90"/>
  <c r="BF46" i="90" s="1"/>
  <c r="BJ46" i="90"/>
  <c r="BH46" i="90"/>
  <c r="BI46" i="90"/>
  <c r="BK46" i="90"/>
  <c r="BL46" i="90"/>
  <c r="CI23" i="132"/>
  <c r="U20" i="74"/>
  <c r="N110" i="87"/>
  <c r="U150" i="121"/>
  <c r="U89" i="121" s="1"/>
  <c r="BE53" i="74"/>
  <c r="N117" i="87"/>
  <c r="U157" i="121"/>
  <c r="U96" i="121" s="1"/>
  <c r="BE60" i="74"/>
  <c r="BA55" i="90"/>
  <c r="BB55" i="90"/>
  <c r="BC55" i="90"/>
  <c r="BD55" i="90"/>
  <c r="AZ55" i="90"/>
  <c r="AY55" i="90"/>
  <c r="AX55" i="90" s="1"/>
  <c r="I55" i="100"/>
  <c r="BZ26" i="132"/>
  <c r="AD26" i="132"/>
  <c r="BC28" i="90"/>
  <c r="BD28" i="90"/>
  <c r="I28" i="100"/>
  <c r="BB28" i="90"/>
  <c r="AY28" i="90"/>
  <c r="AX28" i="90" s="1"/>
  <c r="AZ28" i="90"/>
  <c r="BA28" i="90"/>
  <c r="J35" i="100"/>
  <c r="B35" i="100" s="1"/>
  <c r="BJ35" i="90"/>
  <c r="BL35" i="90"/>
  <c r="BG35" i="90"/>
  <c r="BF35" i="90" s="1"/>
  <c r="BK35" i="90"/>
  <c r="BH35" i="90"/>
  <c r="BI35" i="90"/>
  <c r="BA47" i="90"/>
  <c r="BB47" i="90"/>
  <c r="BC47" i="90"/>
  <c r="AZ47" i="90"/>
  <c r="BD47" i="90"/>
  <c r="AY47" i="90"/>
  <c r="AX47" i="90" s="1"/>
  <c r="I47" i="100"/>
  <c r="CH23" i="132"/>
  <c r="BV23" i="132" s="1"/>
  <c r="AK23" i="132" s="1"/>
  <c r="W20" i="74"/>
  <c r="Y20" i="74"/>
  <c r="X20" i="74" s="1"/>
  <c r="BJ23" i="74"/>
  <c r="V120" i="121"/>
  <c r="V59" i="121" s="1"/>
  <c r="I22" i="87"/>
  <c r="U154" i="121"/>
  <c r="U93" i="121" s="1"/>
  <c r="BE57" i="74"/>
  <c r="N114" i="87"/>
  <c r="J38" i="100"/>
  <c r="B38" i="100" s="1"/>
  <c r="BG38" i="90"/>
  <c r="BF38" i="90" s="1"/>
  <c r="BH38" i="90"/>
  <c r="BI38" i="90"/>
  <c r="BJ38" i="90"/>
  <c r="BK38" i="90"/>
  <c r="BL38" i="90"/>
  <c r="N111" i="87"/>
  <c r="U151" i="121"/>
  <c r="U90" i="121" s="1"/>
  <c r="BE54" i="74"/>
  <c r="AL24" i="132"/>
  <c r="AP22" i="89" s="1"/>
  <c r="AE24" i="132"/>
  <c r="N85" i="87"/>
  <c r="BE28" i="74"/>
  <c r="U125" i="121"/>
  <c r="U64" i="121" s="1"/>
  <c r="N104" i="87"/>
  <c r="BE47" i="74"/>
  <c r="U144" i="121"/>
  <c r="U83" i="121" s="1"/>
  <c r="BU25" i="132"/>
  <c r="BH22" i="74"/>
  <c r="BF50" i="89"/>
  <c r="BC49" i="74"/>
  <c r="BL52" i="132"/>
  <c r="BE30" i="74"/>
  <c r="N87" i="87"/>
  <c r="U127" i="121"/>
  <c r="U66" i="121" s="1"/>
  <c r="J47" i="100"/>
  <c r="BH47" i="90"/>
  <c r="BL47" i="90"/>
  <c r="BG47" i="90"/>
  <c r="BF47" i="90" s="1"/>
  <c r="BJ47" i="90"/>
  <c r="BK47" i="90"/>
  <c r="BI47" i="90"/>
  <c r="AY57" i="90"/>
  <c r="AX57" i="90" s="1"/>
  <c r="AZ57" i="90"/>
  <c r="BA57" i="90"/>
  <c r="I57" i="100"/>
  <c r="BB57" i="90"/>
  <c r="BD57" i="90"/>
  <c r="BC57" i="90"/>
  <c r="BN58" i="89"/>
  <c r="AY54" i="90"/>
  <c r="AX54" i="90" s="1"/>
  <c r="AZ54" i="90"/>
  <c r="I54" i="100"/>
  <c r="BA54" i="90"/>
  <c r="BB54" i="90"/>
  <c r="BC54" i="90"/>
  <c r="BD54" i="90"/>
  <c r="BN55" i="89"/>
  <c r="J59" i="100"/>
  <c r="B59" i="100" s="1"/>
  <c r="BL59" i="90"/>
  <c r="BJ59" i="90"/>
  <c r="BK59" i="90"/>
  <c r="BI59" i="90"/>
  <c r="BG59" i="90"/>
  <c r="BF59" i="90" s="1"/>
  <c r="BH59" i="90"/>
  <c r="BC32" i="90"/>
  <c r="BB32" i="90"/>
  <c r="BD32" i="90"/>
  <c r="AY32" i="90"/>
  <c r="AX32" i="90" s="1"/>
  <c r="AZ32" i="90"/>
  <c r="I32" i="100"/>
  <c r="BA32" i="90"/>
  <c r="BN33" i="89"/>
  <c r="J37" i="100"/>
  <c r="B37" i="100" s="1"/>
  <c r="BI37" i="90"/>
  <c r="BJ37" i="90"/>
  <c r="BK37" i="90"/>
  <c r="BL37" i="90"/>
  <c r="BG37" i="90"/>
  <c r="BF37" i="90" s="1"/>
  <c r="BH37" i="90"/>
  <c r="J28" i="100"/>
  <c r="B28" i="100" s="1"/>
  <c r="BH28" i="90"/>
  <c r="BJ28" i="90"/>
  <c r="BK28" i="90"/>
  <c r="BL28" i="90"/>
  <c r="BG28" i="90"/>
  <c r="BF28" i="90" s="1"/>
  <c r="BI28" i="90"/>
  <c r="AY30" i="90"/>
  <c r="AX30" i="90" s="1"/>
  <c r="AZ30" i="90"/>
  <c r="BA30" i="90"/>
  <c r="BB30" i="90"/>
  <c r="I30" i="100"/>
  <c r="BC30" i="90"/>
  <c r="BD30" i="90"/>
  <c r="U155" i="121"/>
  <c r="U94" i="121" s="1"/>
  <c r="BE58" i="74"/>
  <c r="N115" i="87"/>
  <c r="J34" i="100"/>
  <c r="B34" i="100" s="1"/>
  <c r="BL34" i="90"/>
  <c r="BI34" i="90"/>
  <c r="BJ34" i="90"/>
  <c r="BG34" i="90"/>
  <c r="BF34" i="90" s="1"/>
  <c r="BH34" i="90"/>
  <c r="BK34" i="90"/>
  <c r="J48" i="100"/>
  <c r="B48" i="100" s="1"/>
  <c r="BJ48" i="90"/>
  <c r="BK48" i="90"/>
  <c r="BL48" i="90"/>
  <c r="BH48" i="90"/>
  <c r="BG48" i="90"/>
  <c r="BF48" i="90" s="1"/>
  <c r="BI48" i="90"/>
  <c r="BA51" i="90"/>
  <c r="BB51" i="90"/>
  <c r="AZ51" i="90"/>
  <c r="BC51" i="90"/>
  <c r="I51" i="100"/>
  <c r="BD51" i="90"/>
  <c r="AY51" i="90"/>
  <c r="AX51" i="90" s="1"/>
  <c r="B25" i="100"/>
  <c r="J42" i="100"/>
  <c r="B42" i="100" s="1"/>
  <c r="BG42" i="90"/>
  <c r="BF42" i="90" s="1"/>
  <c r="BH42" i="90"/>
  <c r="BI42" i="90"/>
  <c r="BJ42" i="90"/>
  <c r="BK42" i="90"/>
  <c r="BL42" i="90"/>
  <c r="N89" i="87"/>
  <c r="BE32" i="74"/>
  <c r="U129" i="121"/>
  <c r="U68" i="121" s="1"/>
  <c r="BC60" i="90"/>
  <c r="BD60" i="90"/>
  <c r="I60" i="100"/>
  <c r="BB60" i="90"/>
  <c r="AY60" i="90"/>
  <c r="AX60" i="90" s="1"/>
  <c r="AZ60" i="90"/>
  <c r="BA60" i="90"/>
  <c r="BN61" i="89"/>
  <c r="AY58" i="90"/>
  <c r="AX58" i="90" s="1"/>
  <c r="AZ58" i="90"/>
  <c r="BA58" i="90"/>
  <c r="BB58" i="90"/>
  <c r="I58" i="100"/>
  <c r="BC58" i="90"/>
  <c r="BD58" i="90"/>
  <c r="BN59" i="89"/>
  <c r="N83" i="87"/>
  <c r="U123" i="121"/>
  <c r="U62" i="121" s="1"/>
  <c r="BE26" i="74"/>
  <c r="U148" i="121"/>
  <c r="U87" i="121" s="1"/>
  <c r="BE51" i="74"/>
  <c r="N108" i="87"/>
  <c r="BN52" i="89"/>
  <c r="BN56" i="89"/>
  <c r="I53" i="100"/>
  <c r="B53" i="100" s="1"/>
  <c r="AY53" i="90"/>
  <c r="AX53" i="90" s="1"/>
  <c r="AZ53" i="90"/>
  <c r="BA53" i="90"/>
  <c r="BB53" i="90"/>
  <c r="BC53" i="90"/>
  <c r="BD53" i="90"/>
  <c r="U19" i="93"/>
  <c r="O19" i="93"/>
  <c r="Z23" i="132" s="1"/>
  <c r="BA31" i="90"/>
  <c r="BB31" i="90"/>
  <c r="BC31" i="90"/>
  <c r="BD31" i="90"/>
  <c r="AZ31" i="90"/>
  <c r="AY31" i="90"/>
  <c r="AX31" i="90" s="1"/>
  <c r="I31" i="100"/>
  <c r="BN32" i="89"/>
  <c r="AY50" i="90"/>
  <c r="AX50" i="90" s="1"/>
  <c r="AZ50" i="90"/>
  <c r="BA50" i="90"/>
  <c r="BB50" i="90"/>
  <c r="I50" i="100"/>
  <c r="BC50" i="90"/>
  <c r="BD50" i="90"/>
  <c r="BN51" i="89"/>
  <c r="A21" i="87"/>
  <c r="U128" i="121"/>
  <c r="U67" i="121" s="1"/>
  <c r="N88" i="87"/>
  <c r="BE31" i="74"/>
  <c r="BE50" i="74"/>
  <c r="U147" i="121"/>
  <c r="U86" i="121" s="1"/>
  <c r="N107" i="87"/>
  <c r="J40" i="100"/>
  <c r="B40" i="100" s="1"/>
  <c r="BK40" i="90"/>
  <c r="BL40" i="90"/>
  <c r="BI40" i="90"/>
  <c r="BH40" i="90"/>
  <c r="BJ40" i="90"/>
  <c r="BG40" i="90"/>
  <c r="BF40" i="90" s="1"/>
  <c r="J39" i="100"/>
  <c r="B39" i="100" s="1"/>
  <c r="BG39" i="90"/>
  <c r="BF39" i="90" s="1"/>
  <c r="BH39" i="90"/>
  <c r="BK39" i="90"/>
  <c r="BI39" i="90"/>
  <c r="BJ39" i="90"/>
  <c r="BL39" i="90"/>
  <c r="I29" i="100"/>
  <c r="AY29" i="90"/>
  <c r="AX29" i="90" s="1"/>
  <c r="AZ29" i="90"/>
  <c r="BA29" i="90"/>
  <c r="BB29" i="90"/>
  <c r="BC29" i="90"/>
  <c r="BD29" i="90"/>
  <c r="BN30" i="89"/>
  <c r="BN31" i="89"/>
  <c r="AY26" i="90"/>
  <c r="AX26" i="90" s="1"/>
  <c r="AZ26" i="90"/>
  <c r="BA26" i="90"/>
  <c r="BB26" i="90"/>
  <c r="I26" i="100"/>
  <c r="BC26" i="90"/>
  <c r="BD26" i="90"/>
  <c r="BC24" i="90"/>
  <c r="BD24" i="90"/>
  <c r="AY24" i="90"/>
  <c r="AX24" i="90" s="1"/>
  <c r="BB24" i="90"/>
  <c r="AZ24" i="90"/>
  <c r="I24" i="100"/>
  <c r="B24" i="100" s="1"/>
  <c r="BA24" i="90"/>
  <c r="BC52" i="90"/>
  <c r="BD52" i="90"/>
  <c r="I52" i="100"/>
  <c r="AY52" i="90"/>
  <c r="AX52" i="90" s="1"/>
  <c r="BB52" i="90"/>
  <c r="AZ52" i="90"/>
  <c r="BA52" i="90"/>
  <c r="BN53" i="89"/>
  <c r="G22" i="100"/>
  <c r="AN22" i="90"/>
  <c r="AK22" i="90"/>
  <c r="AM22" i="90"/>
  <c r="AJ22" i="90"/>
  <c r="AI22" i="90"/>
  <c r="AH22" i="90" s="1"/>
  <c r="AL22" i="90"/>
  <c r="J56" i="100"/>
  <c r="B56" i="100" s="1"/>
  <c r="BJ56" i="90"/>
  <c r="BK56" i="90"/>
  <c r="BL56" i="90"/>
  <c r="BH56" i="90"/>
  <c r="BG56" i="90"/>
  <c r="BF56" i="90" s="1"/>
  <c r="BI56" i="90"/>
  <c r="J41" i="100"/>
  <c r="B41" i="100" s="1"/>
  <c r="BI41" i="90"/>
  <c r="BJ41" i="90"/>
  <c r="BK41" i="90"/>
  <c r="BL41" i="90"/>
  <c r="BG41" i="90"/>
  <c r="BF41" i="90" s="1"/>
  <c r="BH41" i="90"/>
  <c r="J26" i="100"/>
  <c r="BH26" i="90"/>
  <c r="BI26" i="90"/>
  <c r="BJ26" i="90"/>
  <c r="BG26" i="90"/>
  <c r="BF26" i="90" s="1"/>
  <c r="BK26" i="90"/>
  <c r="BL26" i="90"/>
  <c r="V7" i="80"/>
  <c r="W7" i="80"/>
  <c r="J7" i="80"/>
  <c r="K7" i="80"/>
  <c r="L7" i="80"/>
  <c r="BE29" i="74"/>
  <c r="U126" i="121"/>
  <c r="U65" i="121" s="1"/>
  <c r="N86" i="87"/>
  <c r="U121" i="121"/>
  <c r="U60" i="121" s="1"/>
  <c r="BE24" i="74"/>
  <c r="N81" i="87"/>
  <c r="U149" i="121"/>
  <c r="U88" i="121" s="1"/>
  <c r="BE52" i="74"/>
  <c r="N109" i="87"/>
  <c r="T116" i="121"/>
  <c r="T55" i="121" s="1"/>
  <c r="T45" i="121"/>
  <c r="Q20" i="93"/>
  <c r="T20" i="74"/>
  <c r="N20" i="93"/>
  <c r="Y24" i="132" s="1"/>
  <c r="X24" i="132" s="1"/>
  <c r="M20" i="93"/>
  <c r="A20" i="87" s="1"/>
  <c r="Q58" i="121"/>
  <c r="P18" i="80"/>
  <c r="T18" i="80" s="1"/>
  <c r="O18" i="80"/>
  <c r="S18" i="80" s="1"/>
  <c r="N83" i="80"/>
  <c r="F17" i="93"/>
  <c r="I17" i="80"/>
  <c r="H17" i="80"/>
  <c r="S20" i="93"/>
  <c r="R20" i="93"/>
  <c r="T20" i="93"/>
  <c r="C18" i="93"/>
  <c r="B18" i="93" s="1"/>
  <c r="N18" i="80"/>
  <c r="R18" i="80" s="1"/>
  <c r="CG22" i="132" s="1"/>
  <c r="Q19" i="93"/>
  <c r="AJ23" i="132" l="1"/>
  <c r="V20" i="74"/>
  <c r="B26" i="100"/>
  <c r="B47" i="100"/>
  <c r="G21" i="100"/>
  <c r="AI21" i="90"/>
  <c r="AH21" i="90" s="1"/>
  <c r="AJ21" i="90"/>
  <c r="AM21" i="90"/>
  <c r="AK21" i="90"/>
  <c r="AL21" i="90"/>
  <c r="AN21" i="90"/>
  <c r="J58" i="100"/>
  <c r="B58" i="100" s="1"/>
  <c r="BH58" i="90"/>
  <c r="BI58" i="90"/>
  <c r="BJ58" i="90"/>
  <c r="BK58" i="90"/>
  <c r="BG58" i="90"/>
  <c r="BF58" i="90" s="1"/>
  <c r="BL58" i="90"/>
  <c r="BI60" i="90"/>
  <c r="BJ60" i="90"/>
  <c r="BK60" i="90"/>
  <c r="BL60" i="90"/>
  <c r="BH60" i="90"/>
  <c r="BG60" i="90"/>
  <c r="BF60" i="90" s="1"/>
  <c r="J60" i="100"/>
  <c r="B60" i="100" s="1"/>
  <c r="BU24" i="132"/>
  <c r="BH21" i="74"/>
  <c r="BC23" i="74"/>
  <c r="BF24" i="89"/>
  <c r="BL26" i="132"/>
  <c r="AL23" i="132"/>
  <c r="AP21" i="89" s="1"/>
  <c r="AE23" i="132"/>
  <c r="AX22" i="89"/>
  <c r="N106" i="87"/>
  <c r="BE49" i="74"/>
  <c r="U146" i="121"/>
  <c r="U85" i="121" s="1"/>
  <c r="BD49" i="90"/>
  <c r="AY49" i="90"/>
  <c r="AX49" i="90" s="1"/>
  <c r="AZ49" i="90"/>
  <c r="BA49" i="90"/>
  <c r="I49" i="100"/>
  <c r="BB49" i="90"/>
  <c r="BC49" i="90"/>
  <c r="BN50" i="89"/>
  <c r="H22" i="100"/>
  <c r="AQ22" i="90"/>
  <c r="AP22" i="90" s="1"/>
  <c r="AR22" i="90"/>
  <c r="AU22" i="90"/>
  <c r="AS22" i="90"/>
  <c r="AT22" i="90"/>
  <c r="AV22" i="90"/>
  <c r="CI22" i="132"/>
  <c r="U19" i="74"/>
  <c r="T19" i="74" s="1"/>
  <c r="V20" i="93"/>
  <c r="J30" i="100"/>
  <c r="B30" i="100" s="1"/>
  <c r="BH30" i="90"/>
  <c r="BJ30" i="90"/>
  <c r="BG30" i="90"/>
  <c r="BF30" i="90" s="1"/>
  <c r="BI30" i="90"/>
  <c r="BK30" i="90"/>
  <c r="BL30" i="90"/>
  <c r="J50" i="100"/>
  <c r="B50" i="100" s="1"/>
  <c r="BG50" i="90"/>
  <c r="BF50" i="90" s="1"/>
  <c r="BH50" i="90"/>
  <c r="BI50" i="90"/>
  <c r="BJ50" i="90"/>
  <c r="BL50" i="90"/>
  <c r="BK50" i="90"/>
  <c r="J31" i="100"/>
  <c r="B31" i="100" s="1"/>
  <c r="BL31" i="90"/>
  <c r="BI31" i="90"/>
  <c r="BJ31" i="90"/>
  <c r="BG31" i="90"/>
  <c r="BF31" i="90" s="1"/>
  <c r="BH31" i="90"/>
  <c r="BK31" i="90"/>
  <c r="J55" i="100"/>
  <c r="B55" i="100" s="1"/>
  <c r="BL55" i="90"/>
  <c r="BG55" i="90"/>
  <c r="BF55" i="90" s="1"/>
  <c r="BJ55" i="90"/>
  <c r="BH55" i="90"/>
  <c r="BI55" i="90"/>
  <c r="BK55" i="90"/>
  <c r="J32" i="100"/>
  <c r="B32" i="100" s="1"/>
  <c r="BH32" i="90"/>
  <c r="BJ32" i="90"/>
  <c r="BG32" i="90"/>
  <c r="BF32" i="90" s="1"/>
  <c r="BI32" i="90"/>
  <c r="BK32" i="90"/>
  <c r="BL32" i="90"/>
  <c r="V119" i="121"/>
  <c r="V58" i="121" s="1"/>
  <c r="BJ22" i="74"/>
  <c r="I21" i="87"/>
  <c r="J29" i="100"/>
  <c r="B29" i="100" s="1"/>
  <c r="BL29" i="90"/>
  <c r="BI29" i="90"/>
  <c r="BJ29" i="90"/>
  <c r="BK29" i="90"/>
  <c r="BG29" i="90"/>
  <c r="BF29" i="90" s="1"/>
  <c r="BH29" i="90"/>
  <c r="U18" i="93"/>
  <c r="O18" i="93"/>
  <c r="Z22" i="132" s="1"/>
  <c r="CH22" i="132"/>
  <c r="BV22" i="132" s="1"/>
  <c r="AK22" i="132" s="1"/>
  <c r="W19" i="74"/>
  <c r="Y19" i="74"/>
  <c r="X19" i="74" s="1"/>
  <c r="J52" i="100"/>
  <c r="B52" i="100" s="1"/>
  <c r="BJ52" i="90"/>
  <c r="BK52" i="90"/>
  <c r="BL52" i="90"/>
  <c r="BH52" i="90"/>
  <c r="BI52" i="90"/>
  <c r="BG52" i="90"/>
  <c r="BF52" i="90" s="1"/>
  <c r="J51" i="100"/>
  <c r="B51" i="100" s="1"/>
  <c r="BL51" i="90"/>
  <c r="BG51" i="90"/>
  <c r="BF51" i="90" s="1"/>
  <c r="BH51" i="90"/>
  <c r="BJ51" i="90"/>
  <c r="BI51" i="90"/>
  <c r="BK51" i="90"/>
  <c r="J54" i="100"/>
  <c r="B54" i="100" s="1"/>
  <c r="BG54" i="90"/>
  <c r="BF54" i="90" s="1"/>
  <c r="BH54" i="90"/>
  <c r="BI54" i="90"/>
  <c r="BL54" i="90"/>
  <c r="BJ54" i="90"/>
  <c r="BK54" i="90"/>
  <c r="J57" i="100"/>
  <c r="B57" i="100" s="1"/>
  <c r="BH57" i="90"/>
  <c r="BI57" i="90"/>
  <c r="BJ57" i="90"/>
  <c r="BK57" i="90"/>
  <c r="BG57" i="90"/>
  <c r="BF57" i="90" s="1"/>
  <c r="BL57" i="90"/>
  <c r="AD25" i="132"/>
  <c r="BZ25" i="132"/>
  <c r="M19" i="93"/>
  <c r="N19" i="93"/>
  <c r="Y23" i="132" s="1"/>
  <c r="X23" i="132" s="1"/>
  <c r="L19" i="93"/>
  <c r="Q57" i="121"/>
  <c r="C17" i="93"/>
  <c r="B17" i="93" s="1"/>
  <c r="N17" i="80"/>
  <c r="R17" i="80" s="1"/>
  <c r="CG21" i="132" s="1"/>
  <c r="N82" i="80"/>
  <c r="F16" i="93"/>
  <c r="I16" i="80"/>
  <c r="H16" i="80"/>
  <c r="R19" i="93"/>
  <c r="V19" i="93" s="1"/>
  <c r="S19" i="93"/>
  <c r="T19" i="93"/>
  <c r="P17" i="80"/>
  <c r="T17" i="80" s="1"/>
  <c r="O17" i="80"/>
  <c r="S17" i="80" s="1"/>
  <c r="AJ22" i="132" l="1"/>
  <c r="V19" i="74"/>
  <c r="G20" i="100"/>
  <c r="AJ20" i="90"/>
  <c r="AK20" i="90"/>
  <c r="AL20" i="90"/>
  <c r="AM20" i="90"/>
  <c r="AN20" i="90"/>
  <c r="AI20" i="90"/>
  <c r="AH20" i="90" s="1"/>
  <c r="BZ24" i="132"/>
  <c r="AD24" i="132"/>
  <c r="BC22" i="74"/>
  <c r="BF23" i="89"/>
  <c r="BL25" i="132"/>
  <c r="H21" i="100"/>
  <c r="AR21" i="90"/>
  <c r="AS21" i="90"/>
  <c r="AT21" i="90"/>
  <c r="AU21" i="90"/>
  <c r="AQ21" i="90"/>
  <c r="AP21" i="90" s="1"/>
  <c r="AV21" i="90"/>
  <c r="J49" i="100"/>
  <c r="B49" i="100" s="1"/>
  <c r="BH49" i="90"/>
  <c r="BI49" i="90"/>
  <c r="BJ49" i="90"/>
  <c r="BK49" i="90"/>
  <c r="BL49" i="90"/>
  <c r="BG49" i="90"/>
  <c r="BF49" i="90" s="1"/>
  <c r="CI21" i="132"/>
  <c r="U18" i="74"/>
  <c r="BH20" i="74"/>
  <c r="BU23" i="132"/>
  <c r="O17" i="93"/>
  <c r="Z21" i="132" s="1"/>
  <c r="U17" i="93"/>
  <c r="CH21" i="132"/>
  <c r="BV21" i="132" s="1"/>
  <c r="AK21" i="132" s="1"/>
  <c r="W18" i="74"/>
  <c r="Y18" i="74"/>
  <c r="X18" i="74" s="1"/>
  <c r="A19" i="87"/>
  <c r="AX21" i="89"/>
  <c r="BA23" i="90"/>
  <c r="AZ23" i="90"/>
  <c r="BB23" i="90"/>
  <c r="BC23" i="90"/>
  <c r="BD23" i="90"/>
  <c r="AY23" i="90"/>
  <c r="AX23" i="90" s="1"/>
  <c r="I23" i="100"/>
  <c r="BN24" i="89"/>
  <c r="U120" i="121"/>
  <c r="U59" i="121" s="1"/>
  <c r="BE23" i="74"/>
  <c r="N80" i="87"/>
  <c r="AL22" i="132"/>
  <c r="AP20" i="89" s="1"/>
  <c r="AE22" i="132"/>
  <c r="V118" i="121"/>
  <c r="V57" i="121" s="1"/>
  <c r="BJ21" i="74"/>
  <c r="I20" i="87"/>
  <c r="T18" i="74"/>
  <c r="N18" i="93"/>
  <c r="Y22" i="132" s="1"/>
  <c r="X22" i="132" s="1"/>
  <c r="M18" i="93"/>
  <c r="L18" i="93"/>
  <c r="A18" i="87" s="1"/>
  <c r="Q56" i="121"/>
  <c r="S18" i="93"/>
  <c r="R18" i="93"/>
  <c r="T18" i="93"/>
  <c r="P16" i="80"/>
  <c r="T16" i="80" s="1"/>
  <c r="O16" i="80"/>
  <c r="S16" i="80" s="1"/>
  <c r="N81" i="80"/>
  <c r="F15" i="93"/>
  <c r="I15" i="80"/>
  <c r="H15" i="80"/>
  <c r="C16" i="93"/>
  <c r="B16" i="93" s="1"/>
  <c r="N16" i="80"/>
  <c r="R16" i="80" s="1"/>
  <c r="CG20" i="132" s="1"/>
  <c r="Q18" i="93"/>
  <c r="V18" i="93" s="1"/>
  <c r="Q17" i="93"/>
  <c r="AJ21" i="132" l="1"/>
  <c r="G19" i="100"/>
  <c r="AL19" i="90"/>
  <c r="AM19" i="90"/>
  <c r="AN19" i="90"/>
  <c r="AI19" i="90"/>
  <c r="AH19" i="90" s="1"/>
  <c r="AK19" i="90"/>
  <c r="AJ19" i="90"/>
  <c r="BU22" i="132"/>
  <c r="BH19" i="74"/>
  <c r="BZ23" i="132"/>
  <c r="AD23" i="132"/>
  <c r="AX20" i="89"/>
  <c r="V117" i="121"/>
  <c r="V56" i="121" s="1"/>
  <c r="BJ20" i="74"/>
  <c r="I19" i="87"/>
  <c r="CI20" i="132"/>
  <c r="U17" i="74"/>
  <c r="AL21" i="132"/>
  <c r="AP19" i="89" s="1"/>
  <c r="AE21" i="132"/>
  <c r="AY22" i="90"/>
  <c r="AX22" i="90" s="1"/>
  <c r="AZ22" i="90"/>
  <c r="BA22" i="90"/>
  <c r="BB22" i="90"/>
  <c r="BC22" i="90"/>
  <c r="BD22" i="90"/>
  <c r="I22" i="100"/>
  <c r="BN23" i="89"/>
  <c r="CH20" i="132"/>
  <c r="BV20" i="132" s="1"/>
  <c r="AK20" i="132" s="1"/>
  <c r="W17" i="74"/>
  <c r="Y17" i="74"/>
  <c r="X17" i="74" s="1"/>
  <c r="V18" i="74"/>
  <c r="U119" i="121"/>
  <c r="U58" i="121" s="1"/>
  <c r="BE22" i="74"/>
  <c r="N79" i="87"/>
  <c r="O16" i="93"/>
  <c r="Z20" i="132" s="1"/>
  <c r="U16" i="93"/>
  <c r="J23" i="100"/>
  <c r="B23" i="100" s="1"/>
  <c r="BG23" i="90"/>
  <c r="BF23" i="90" s="1"/>
  <c r="BH23" i="90"/>
  <c r="BK23" i="90"/>
  <c r="BJ23" i="90"/>
  <c r="BL23" i="90"/>
  <c r="BI23" i="90"/>
  <c r="BC21" i="74"/>
  <c r="BF22" i="89"/>
  <c r="BL24" i="132"/>
  <c r="H20" i="100"/>
  <c r="AT20" i="90"/>
  <c r="AU20" i="90"/>
  <c r="AV20" i="90"/>
  <c r="AQ20" i="90"/>
  <c r="AP20" i="90" s="1"/>
  <c r="AR20" i="90"/>
  <c r="AS20" i="90"/>
  <c r="L17" i="93"/>
  <c r="T17" i="74"/>
  <c r="V17" i="74" s="1"/>
  <c r="N17" i="93"/>
  <c r="Y21" i="132" s="1"/>
  <c r="X21" i="132" s="1"/>
  <c r="M17" i="93"/>
  <c r="Q55" i="121"/>
  <c r="F14" i="93"/>
  <c r="I14" i="80"/>
  <c r="N80" i="80"/>
  <c r="H14" i="80"/>
  <c r="Q16" i="93"/>
  <c r="S17" i="93"/>
  <c r="R17" i="93"/>
  <c r="V17" i="93" s="1"/>
  <c r="T17" i="93"/>
  <c r="O15" i="80"/>
  <c r="S15" i="80" s="1"/>
  <c r="P15" i="80"/>
  <c r="T15" i="80" s="1"/>
  <c r="C15" i="93"/>
  <c r="B15" i="93" s="1"/>
  <c r="N15" i="80"/>
  <c r="R15" i="80" s="1"/>
  <c r="CG19" i="132" s="1"/>
  <c r="AJ20" i="132" l="1"/>
  <c r="G18" i="100"/>
  <c r="AN18" i="90"/>
  <c r="AK18" i="90"/>
  <c r="AI18" i="90"/>
  <c r="AH18" i="90" s="1"/>
  <c r="AJ18" i="90"/>
  <c r="AL18" i="90"/>
  <c r="AM18" i="90"/>
  <c r="J22" i="100"/>
  <c r="B22" i="100" s="1"/>
  <c r="BH22" i="90"/>
  <c r="BI22" i="90"/>
  <c r="BJ22" i="90"/>
  <c r="BG22" i="90"/>
  <c r="BF22" i="90" s="1"/>
  <c r="BL22" i="90"/>
  <c r="BK22" i="90"/>
  <c r="BU21" i="132"/>
  <c r="BH18" i="74"/>
  <c r="H19" i="100"/>
  <c r="AV19" i="90"/>
  <c r="AS19" i="90"/>
  <c r="AR19" i="90"/>
  <c r="AT19" i="90"/>
  <c r="AU19" i="90"/>
  <c r="AQ19" i="90"/>
  <c r="AP19" i="90" s="1"/>
  <c r="AX19" i="89"/>
  <c r="A17" i="87"/>
  <c r="BC20" i="74"/>
  <c r="BF21" i="89"/>
  <c r="BL23" i="132"/>
  <c r="O15" i="93"/>
  <c r="Z19" i="132" s="1"/>
  <c r="U15" i="93"/>
  <c r="AL20" i="132"/>
  <c r="AP18" i="89" s="1"/>
  <c r="AE20" i="132"/>
  <c r="CI19" i="132"/>
  <c r="U16" i="74"/>
  <c r="V116" i="121"/>
  <c r="V55" i="121" s="1"/>
  <c r="BJ19" i="74"/>
  <c r="I18" i="87"/>
  <c r="CH19" i="132"/>
  <c r="BV19" i="132" s="1"/>
  <c r="AK19" i="132" s="1"/>
  <c r="W16" i="74"/>
  <c r="Y16" i="74"/>
  <c r="X16" i="74" s="1"/>
  <c r="I21" i="100"/>
  <c r="AY21" i="90"/>
  <c r="AX21" i="90" s="1"/>
  <c r="AZ21" i="90"/>
  <c r="BA21" i="90"/>
  <c r="BB21" i="90"/>
  <c r="BD21" i="90"/>
  <c r="BC21" i="90"/>
  <c r="BN22" i="89"/>
  <c r="U118" i="121"/>
  <c r="U57" i="121" s="1"/>
  <c r="N78" i="87"/>
  <c r="BE21" i="74"/>
  <c r="AD22" i="132"/>
  <c r="BZ22" i="132"/>
  <c r="T16" i="74"/>
  <c r="L16" i="93"/>
  <c r="N16" i="93"/>
  <c r="Y20" i="132" s="1"/>
  <c r="X20" i="132" s="1"/>
  <c r="M16" i="93"/>
  <c r="Q54" i="121"/>
  <c r="T16" i="93"/>
  <c r="R16" i="93"/>
  <c r="V16" i="93" s="1"/>
  <c r="S16" i="93"/>
  <c r="P14" i="80"/>
  <c r="T14" i="80" s="1"/>
  <c r="O14" i="80"/>
  <c r="S14" i="80" s="1"/>
  <c r="F13" i="93"/>
  <c r="H13" i="80"/>
  <c r="N79" i="80"/>
  <c r="I13" i="80"/>
  <c r="C14" i="93"/>
  <c r="B14" i="93" s="1"/>
  <c r="N14" i="80"/>
  <c r="R14" i="80" s="1"/>
  <c r="CG18" i="132" s="1"/>
  <c r="Q15" i="93"/>
  <c r="AJ19" i="132" l="1"/>
  <c r="V16" i="74"/>
  <c r="G17" i="100"/>
  <c r="AI17" i="90"/>
  <c r="AH17" i="90" s="1"/>
  <c r="AJ17" i="90"/>
  <c r="AM17" i="90"/>
  <c r="AN17" i="90"/>
  <c r="AK17" i="90"/>
  <c r="AL17" i="90"/>
  <c r="BC20" i="90"/>
  <c r="BD20" i="90"/>
  <c r="I20" i="100"/>
  <c r="BB20" i="90"/>
  <c r="AY20" i="90"/>
  <c r="AX20" i="90" s="1"/>
  <c r="AZ20" i="90"/>
  <c r="BA20" i="90"/>
  <c r="BN21" i="89"/>
  <c r="A16" i="87"/>
  <c r="J21" i="100"/>
  <c r="B21" i="100" s="1"/>
  <c r="BJ21" i="90"/>
  <c r="BK21" i="90"/>
  <c r="BL21" i="90"/>
  <c r="BG21" i="90"/>
  <c r="BF21" i="90" s="1"/>
  <c r="BH21" i="90"/>
  <c r="BI21" i="90"/>
  <c r="U117" i="121"/>
  <c r="U56" i="121" s="1"/>
  <c r="N77" i="87"/>
  <c r="BE20" i="74"/>
  <c r="AD21" i="132"/>
  <c r="BZ21" i="132"/>
  <c r="CH18" i="132"/>
  <c r="BV18" i="132" s="1"/>
  <c r="AK18" i="132" s="1"/>
  <c r="W15" i="74"/>
  <c r="Y15" i="74"/>
  <c r="X15" i="74" s="1"/>
  <c r="BU20" i="132"/>
  <c r="BH17" i="74"/>
  <c r="AL19" i="132"/>
  <c r="AP17" i="89" s="1"/>
  <c r="AE19" i="132"/>
  <c r="U14" i="93"/>
  <c r="O14" i="93"/>
  <c r="Z18" i="132" s="1"/>
  <c r="H18" i="100"/>
  <c r="AQ18" i="90"/>
  <c r="AP18" i="90" s="1"/>
  <c r="AR18" i="90"/>
  <c r="AU18" i="90"/>
  <c r="AT18" i="90"/>
  <c r="AS18" i="90"/>
  <c r="AV18" i="90"/>
  <c r="AX18" i="89"/>
  <c r="CI18" i="132"/>
  <c r="U15" i="74"/>
  <c r="BF20" i="89"/>
  <c r="BC19" i="74"/>
  <c r="BL22" i="132"/>
  <c r="BJ18" i="74"/>
  <c r="V115" i="121"/>
  <c r="V54" i="121" s="1"/>
  <c r="I17" i="87"/>
  <c r="T15" i="74"/>
  <c r="N15" i="93"/>
  <c r="Y19" i="132" s="1"/>
  <c r="X19" i="132" s="1"/>
  <c r="M15" i="93"/>
  <c r="L15" i="93"/>
  <c r="Q53" i="121"/>
  <c r="F12" i="93"/>
  <c r="H12" i="80"/>
  <c r="N78" i="80"/>
  <c r="I12" i="80"/>
  <c r="O13" i="80"/>
  <c r="S13" i="80" s="1"/>
  <c r="P13" i="80"/>
  <c r="T13" i="80" s="1"/>
  <c r="C13" i="93"/>
  <c r="B13" i="93" s="1"/>
  <c r="N13" i="80"/>
  <c r="R13" i="80" s="1"/>
  <c r="CG17" i="132" s="1"/>
  <c r="R15" i="93"/>
  <c r="V15" i="93" s="1"/>
  <c r="S15" i="93"/>
  <c r="T15" i="93"/>
  <c r="L14" i="93"/>
  <c r="AJ18" i="132" l="1"/>
  <c r="V15" i="74"/>
  <c r="G16" i="100"/>
  <c r="AJ16" i="90"/>
  <c r="AK16" i="90"/>
  <c r="AL16" i="90"/>
  <c r="AM16" i="90"/>
  <c r="AI16" i="90"/>
  <c r="AH16" i="90" s="1"/>
  <c r="AN16" i="90"/>
  <c r="U13" i="93"/>
  <c r="O13" i="93"/>
  <c r="Z17" i="132" s="1"/>
  <c r="U116" i="121"/>
  <c r="U55" i="121" s="1"/>
  <c r="BE19" i="74"/>
  <c r="N76" i="87"/>
  <c r="A15" i="87"/>
  <c r="BH16" i="74"/>
  <c r="BU19" i="132"/>
  <c r="AX17" i="89"/>
  <c r="BA19" i="90"/>
  <c r="BB19" i="90"/>
  <c r="BC19" i="90"/>
  <c r="I19" i="100"/>
  <c r="AZ19" i="90"/>
  <c r="BD19" i="90"/>
  <c r="AY19" i="90"/>
  <c r="AX19" i="90" s="1"/>
  <c r="BN20" i="89"/>
  <c r="BF19" i="89"/>
  <c r="BC18" i="74"/>
  <c r="BL21" i="132"/>
  <c r="CI17" i="132"/>
  <c r="U14" i="74"/>
  <c r="T14" i="74" s="1"/>
  <c r="CH17" i="132"/>
  <c r="BV17" i="132" s="1"/>
  <c r="AK17" i="132" s="1"/>
  <c r="W14" i="74"/>
  <c r="Y14" i="74"/>
  <c r="X14" i="74" s="1"/>
  <c r="V114" i="121"/>
  <c r="V53" i="121" s="1"/>
  <c r="BJ17" i="74"/>
  <c r="I16" i="87"/>
  <c r="AL18" i="132"/>
  <c r="AP16" i="89" s="1"/>
  <c r="AE18" i="132"/>
  <c r="AD20" i="132"/>
  <c r="BZ20" i="132"/>
  <c r="H17" i="100"/>
  <c r="AR17" i="90"/>
  <c r="AS17" i="90"/>
  <c r="AT17" i="90"/>
  <c r="AQ17" i="90"/>
  <c r="AP17" i="90" s="1"/>
  <c r="AU17" i="90"/>
  <c r="AV17" i="90"/>
  <c r="J20" i="100"/>
  <c r="B20" i="100" s="1"/>
  <c r="BL20" i="90"/>
  <c r="BI20" i="90"/>
  <c r="BG20" i="90"/>
  <c r="BF20" i="90" s="1"/>
  <c r="BJ20" i="90"/>
  <c r="BH20" i="90"/>
  <c r="BK20" i="90"/>
  <c r="Q14" i="93"/>
  <c r="V14" i="93" s="1"/>
  <c r="M14" i="93"/>
  <c r="A14" i="87" s="1"/>
  <c r="N14" i="93"/>
  <c r="Y18" i="132" s="1"/>
  <c r="X18" i="132" s="1"/>
  <c r="Q52" i="121"/>
  <c r="F11" i="93"/>
  <c r="H11" i="80"/>
  <c r="N77" i="80"/>
  <c r="I11" i="80"/>
  <c r="L13" i="93"/>
  <c r="O12" i="80"/>
  <c r="S12" i="80" s="1"/>
  <c r="P12" i="80"/>
  <c r="T12" i="80" s="1"/>
  <c r="C12" i="93"/>
  <c r="B12" i="93" s="1"/>
  <c r="N12" i="80"/>
  <c r="R12" i="80" s="1"/>
  <c r="CG16" i="132" s="1"/>
  <c r="R14" i="93"/>
  <c r="S14" i="93"/>
  <c r="T14" i="93"/>
  <c r="AJ17" i="132" l="1"/>
  <c r="V14" i="74"/>
  <c r="G15" i="100"/>
  <c r="AL15" i="90"/>
  <c r="AM15" i="90"/>
  <c r="AN15" i="90"/>
  <c r="AI15" i="90"/>
  <c r="AH15" i="90" s="1"/>
  <c r="AK15" i="90"/>
  <c r="AJ15" i="90"/>
  <c r="CH16" i="132"/>
  <c r="BV16" i="132" s="1"/>
  <c r="AK16" i="132" s="1"/>
  <c r="W13" i="74"/>
  <c r="Y13" i="74"/>
  <c r="X13" i="74" s="1"/>
  <c r="BF18" i="89"/>
  <c r="BC17" i="74"/>
  <c r="BL20" i="132"/>
  <c r="N75" i="87"/>
  <c r="U115" i="121"/>
  <c r="U54" i="121" s="1"/>
  <c r="BE18" i="74"/>
  <c r="BU18" i="132"/>
  <c r="BH15" i="74"/>
  <c r="AY18" i="90"/>
  <c r="AX18" i="90" s="1"/>
  <c r="AZ18" i="90"/>
  <c r="BA18" i="90"/>
  <c r="BB18" i="90"/>
  <c r="I18" i="100"/>
  <c r="BC18" i="90"/>
  <c r="BD18" i="90"/>
  <c r="BN19" i="89"/>
  <c r="V113" i="121"/>
  <c r="V52" i="121" s="1"/>
  <c r="BJ16" i="74"/>
  <c r="I15" i="87"/>
  <c r="AL17" i="132"/>
  <c r="AP15" i="89" s="1"/>
  <c r="AE17" i="132"/>
  <c r="J19" i="100"/>
  <c r="B19" i="100" s="1"/>
  <c r="BG19" i="90"/>
  <c r="BF19" i="90" s="1"/>
  <c r="BH19" i="90"/>
  <c r="BK19" i="90"/>
  <c r="BI19" i="90"/>
  <c r="BJ19" i="90"/>
  <c r="BL19" i="90"/>
  <c r="O12" i="93"/>
  <c r="Z16" i="132" s="1"/>
  <c r="U12" i="93"/>
  <c r="H16" i="100"/>
  <c r="AT16" i="90"/>
  <c r="AU16" i="90"/>
  <c r="AV16" i="90"/>
  <c r="AQ16" i="90"/>
  <c r="AP16" i="90" s="1"/>
  <c r="AR16" i="90"/>
  <c r="AS16" i="90"/>
  <c r="CI16" i="132"/>
  <c r="U13" i="74"/>
  <c r="T13" i="74" s="1"/>
  <c r="AX16" i="89"/>
  <c r="BZ19" i="132"/>
  <c r="AD19" i="132"/>
  <c r="Q13" i="93"/>
  <c r="M13" i="93"/>
  <c r="A13" i="87" s="1"/>
  <c r="N13" i="93"/>
  <c r="Y17" i="132" s="1"/>
  <c r="X17" i="132" s="1"/>
  <c r="Q51" i="121"/>
  <c r="P11" i="80"/>
  <c r="T11" i="80" s="1"/>
  <c r="O11" i="80"/>
  <c r="S11" i="80" s="1"/>
  <c r="R13" i="93"/>
  <c r="S13" i="93"/>
  <c r="T13" i="93"/>
  <c r="N11" i="80"/>
  <c r="R11" i="80" s="1"/>
  <c r="CG15" i="132" s="1"/>
  <c r="C11" i="93"/>
  <c r="B11" i="93" s="1"/>
  <c r="F10" i="93"/>
  <c r="I10" i="80"/>
  <c r="H10" i="80"/>
  <c r="N76" i="80"/>
  <c r="AJ16" i="132" l="1"/>
  <c r="V13" i="74"/>
  <c r="G14" i="100"/>
  <c r="AN14" i="90"/>
  <c r="AI14" i="90"/>
  <c r="AH14" i="90" s="1"/>
  <c r="AK14" i="90"/>
  <c r="AL14" i="90"/>
  <c r="AM14" i="90"/>
  <c r="AJ14" i="90"/>
  <c r="BJ15" i="74"/>
  <c r="V112" i="121"/>
  <c r="V51" i="121" s="1"/>
  <c r="I14" i="87"/>
  <c r="AY17" i="90"/>
  <c r="AX17" i="90" s="1"/>
  <c r="AZ17" i="90"/>
  <c r="BA17" i="90"/>
  <c r="I17" i="100"/>
  <c r="BB17" i="90"/>
  <c r="BC17" i="90"/>
  <c r="BD17" i="90"/>
  <c r="BN18" i="89"/>
  <c r="J18" i="100"/>
  <c r="B18" i="100" s="1"/>
  <c r="BH18" i="90"/>
  <c r="BI18" i="90"/>
  <c r="BJ18" i="90"/>
  <c r="BG18" i="90"/>
  <c r="BF18" i="90" s="1"/>
  <c r="BK18" i="90"/>
  <c r="BL18" i="90"/>
  <c r="BZ18" i="132"/>
  <c r="AD18" i="132"/>
  <c r="AL16" i="132"/>
  <c r="AP14" i="89" s="1"/>
  <c r="AE16" i="132"/>
  <c r="BU17" i="132"/>
  <c r="BH14" i="74"/>
  <c r="U114" i="121"/>
  <c r="U53" i="121" s="1"/>
  <c r="BE17" i="74"/>
  <c r="N74" i="87"/>
  <c r="V13" i="93"/>
  <c r="CH15" i="132"/>
  <c r="BV15" i="132" s="1"/>
  <c r="AK15" i="132" s="1"/>
  <c r="W12" i="74"/>
  <c r="Y12" i="74"/>
  <c r="X12" i="74" s="1"/>
  <c r="BC16" i="74"/>
  <c r="BF17" i="89"/>
  <c r="BL19" i="132"/>
  <c r="CI15" i="132"/>
  <c r="U12" i="74"/>
  <c r="U11" i="93"/>
  <c r="O11" i="93"/>
  <c r="Z15" i="132" s="1"/>
  <c r="AX15" i="89"/>
  <c r="H15" i="100"/>
  <c r="AV15" i="90"/>
  <c r="AQ15" i="90"/>
  <c r="AP15" i="90" s="1"/>
  <c r="AS15" i="90"/>
  <c r="AR15" i="90"/>
  <c r="AT15" i="90"/>
  <c r="AU15" i="90"/>
  <c r="Q12" i="93"/>
  <c r="M12" i="93"/>
  <c r="N12" i="93"/>
  <c r="Y16" i="132" s="1"/>
  <c r="X16" i="132" s="1"/>
  <c r="L12" i="93"/>
  <c r="Q50" i="121"/>
  <c r="C10" i="93"/>
  <c r="B10" i="93" s="1"/>
  <c r="N10" i="80"/>
  <c r="R10" i="80" s="1"/>
  <c r="CG14" i="132" s="1"/>
  <c r="Q11" i="93"/>
  <c r="S12" i="93"/>
  <c r="R12" i="93"/>
  <c r="T12" i="93"/>
  <c r="F9" i="93"/>
  <c r="H9" i="80"/>
  <c r="I9" i="80"/>
  <c r="N75" i="80"/>
  <c r="O10" i="80"/>
  <c r="S10" i="80" s="1"/>
  <c r="P10" i="80"/>
  <c r="T10" i="80" s="1"/>
  <c r="AJ15" i="132" l="1"/>
  <c r="BU16" i="132"/>
  <c r="BH13" i="74"/>
  <c r="AX14" i="89"/>
  <c r="U11" i="74"/>
  <c r="T11" i="74" s="1"/>
  <c r="CI14" i="132"/>
  <c r="G13" i="100"/>
  <c r="AI13" i="90"/>
  <c r="AH13" i="90" s="1"/>
  <c r="AJ13" i="90"/>
  <c r="AK13" i="90"/>
  <c r="AM13" i="90"/>
  <c r="AL13" i="90"/>
  <c r="AN13" i="90"/>
  <c r="W11" i="74"/>
  <c r="CH14" i="132"/>
  <c r="BV14" i="132" s="1"/>
  <c r="AK14" i="132" s="1"/>
  <c r="Y11" i="74"/>
  <c r="X11" i="74" s="1"/>
  <c r="BC16" i="90"/>
  <c r="BD16" i="90"/>
  <c r="AY16" i="90"/>
  <c r="AX16" i="90" s="1"/>
  <c r="BB16" i="90"/>
  <c r="AZ16" i="90"/>
  <c r="I16" i="100"/>
  <c r="BA16" i="90"/>
  <c r="BN17" i="89"/>
  <c r="BC15" i="74"/>
  <c r="BF16" i="89"/>
  <c r="BL18" i="132"/>
  <c r="V12" i="93"/>
  <c r="BE16" i="74"/>
  <c r="N73" i="87"/>
  <c r="U113" i="121"/>
  <c r="U52" i="121" s="1"/>
  <c r="J17" i="100"/>
  <c r="B17" i="100" s="1"/>
  <c r="BJ17" i="90"/>
  <c r="BK17" i="90"/>
  <c r="BL17" i="90"/>
  <c r="BG17" i="90"/>
  <c r="BF17" i="90" s="1"/>
  <c r="BH17" i="90"/>
  <c r="BI17" i="90"/>
  <c r="U10" i="93"/>
  <c r="O10" i="93"/>
  <c r="Z14" i="132" s="1"/>
  <c r="V111" i="121"/>
  <c r="V50" i="121" s="1"/>
  <c r="BJ14" i="74"/>
  <c r="I13" i="87"/>
  <c r="AL15" i="132"/>
  <c r="AP13" i="89" s="1"/>
  <c r="AE15" i="132"/>
  <c r="H14" i="100"/>
  <c r="AQ14" i="90"/>
  <c r="AP14" i="90" s="1"/>
  <c r="AR14" i="90"/>
  <c r="AS14" i="90"/>
  <c r="AU14" i="90"/>
  <c r="AT14" i="90"/>
  <c r="AV14" i="90"/>
  <c r="A12" i="87"/>
  <c r="BZ17" i="132"/>
  <c r="AD17" i="132"/>
  <c r="T12" i="74"/>
  <c r="V12" i="74" s="1"/>
  <c r="L11" i="93"/>
  <c r="A11" i="87" s="1"/>
  <c r="M11" i="93"/>
  <c r="N11" i="93"/>
  <c r="Y15" i="132" s="1"/>
  <c r="X15" i="132" s="1"/>
  <c r="Q49" i="121"/>
  <c r="F8" i="93"/>
  <c r="N74" i="80"/>
  <c r="I8" i="80"/>
  <c r="H8" i="80"/>
  <c r="C9" i="93"/>
  <c r="B9" i="93" s="1"/>
  <c r="N9" i="80"/>
  <c r="R9" i="80" s="1"/>
  <c r="CG13" i="132" s="1"/>
  <c r="P9" i="80"/>
  <c r="T9" i="80" s="1"/>
  <c r="O9" i="80"/>
  <c r="S9" i="80" s="1"/>
  <c r="R11" i="93"/>
  <c r="V11" i="93" s="1"/>
  <c r="S11" i="93"/>
  <c r="T11" i="93"/>
  <c r="Q10" i="93"/>
  <c r="V11" i="74" l="1"/>
  <c r="G12" i="100"/>
  <c r="AL12" i="90"/>
  <c r="AK12" i="90"/>
  <c r="AJ12" i="90"/>
  <c r="AI12" i="90"/>
  <c r="AH12" i="90" s="1"/>
  <c r="AM12" i="90"/>
  <c r="AN12" i="90"/>
  <c r="O9" i="93"/>
  <c r="Z13" i="132" s="1"/>
  <c r="U9" i="93"/>
  <c r="BC14" i="74"/>
  <c r="BF15" i="89"/>
  <c r="BL17" i="132"/>
  <c r="U112" i="121"/>
  <c r="U51" i="121" s="1"/>
  <c r="BE15" i="74"/>
  <c r="N72" i="87"/>
  <c r="AE14" i="132"/>
  <c r="BH11" i="74" s="1"/>
  <c r="I10" i="87" s="1"/>
  <c r="AL14" i="132"/>
  <c r="J16" i="100"/>
  <c r="B16" i="100" s="1"/>
  <c r="BL16" i="90"/>
  <c r="BG16" i="90"/>
  <c r="BF16" i="90" s="1"/>
  <c r="BI16" i="90"/>
  <c r="BH16" i="90"/>
  <c r="BJ16" i="90"/>
  <c r="BK16" i="90"/>
  <c r="H13" i="100"/>
  <c r="AQ13" i="90"/>
  <c r="AP13" i="90" s="1"/>
  <c r="AR13" i="90"/>
  <c r="AS13" i="90"/>
  <c r="AT13" i="90"/>
  <c r="AU13" i="90"/>
  <c r="AV13" i="90"/>
  <c r="U10" i="74"/>
  <c r="CI13" i="132"/>
  <c r="BJ13" i="74"/>
  <c r="V110" i="121"/>
  <c r="V49" i="121" s="1"/>
  <c r="I12" i="87"/>
  <c r="V10" i="93"/>
  <c r="BA15" i="90"/>
  <c r="AZ15" i="90"/>
  <c r="BB15" i="90"/>
  <c r="BC15" i="90"/>
  <c r="BD15" i="90"/>
  <c r="AY15" i="90"/>
  <c r="AX15" i="90" s="1"/>
  <c r="I15" i="100"/>
  <c r="BN16" i="89"/>
  <c r="W10" i="74"/>
  <c r="CH13" i="132"/>
  <c r="BV13" i="132" s="1"/>
  <c r="AK13" i="132" s="1"/>
  <c r="Y10" i="74"/>
  <c r="X10" i="74" s="1"/>
  <c r="BU15" i="132"/>
  <c r="BH12" i="74"/>
  <c r="AX13" i="89"/>
  <c r="AD16" i="132"/>
  <c r="BZ16" i="132"/>
  <c r="T10" i="74"/>
  <c r="N10" i="93"/>
  <c r="Y14" i="132" s="1"/>
  <c r="X14" i="132" s="1"/>
  <c r="M10" i="93"/>
  <c r="L10" i="93"/>
  <c r="A10" i="87" s="1"/>
  <c r="Q48" i="121"/>
  <c r="Q9" i="93"/>
  <c r="F7" i="93"/>
  <c r="H7" i="80"/>
  <c r="N73" i="80"/>
  <c r="I7" i="80"/>
  <c r="O8" i="80"/>
  <c r="S8" i="80" s="1"/>
  <c r="P8" i="80"/>
  <c r="T8" i="80" s="1"/>
  <c r="C8" i="93"/>
  <c r="B8" i="93" s="1"/>
  <c r="N8" i="80"/>
  <c r="R8" i="80" s="1"/>
  <c r="CG12" i="132" s="1"/>
  <c r="T10" i="93"/>
  <c r="R10" i="93"/>
  <c r="S10" i="93"/>
  <c r="AJ13" i="132" l="1"/>
  <c r="V10" i="74"/>
  <c r="AY14" i="90"/>
  <c r="AX14" i="90" s="1"/>
  <c r="AZ14" i="90"/>
  <c r="BA14" i="90"/>
  <c r="BB14" i="90"/>
  <c r="BC14" i="90"/>
  <c r="I14" i="100"/>
  <c r="BD14" i="90"/>
  <c r="BN15" i="89"/>
  <c r="W9" i="74"/>
  <c r="CH12" i="132"/>
  <c r="BV12" i="132" s="1"/>
  <c r="AK12" i="132" s="1"/>
  <c r="Y9" i="74"/>
  <c r="X9" i="74" s="1"/>
  <c r="BZ15" i="132"/>
  <c r="AD15" i="132"/>
  <c r="AL13" i="132"/>
  <c r="AP11" i="89" s="1"/>
  <c r="AE13" i="132"/>
  <c r="N71" i="87"/>
  <c r="U111" i="121"/>
  <c r="U50" i="121" s="1"/>
  <c r="BE14" i="74"/>
  <c r="J15" i="100"/>
  <c r="B15" i="100" s="1"/>
  <c r="BG15" i="90"/>
  <c r="BF15" i="90" s="1"/>
  <c r="BH15" i="90"/>
  <c r="BI15" i="90"/>
  <c r="BK15" i="90"/>
  <c r="BJ15" i="90"/>
  <c r="BL15" i="90"/>
  <c r="BJ12" i="74"/>
  <c r="V109" i="121"/>
  <c r="V48" i="121" s="1"/>
  <c r="I11" i="87"/>
  <c r="O8" i="93"/>
  <c r="Z12" i="132" s="1"/>
  <c r="U8" i="93"/>
  <c r="H12" i="100"/>
  <c r="AV12" i="90"/>
  <c r="AU12" i="90"/>
  <c r="AR12" i="90"/>
  <c r="AT12" i="90"/>
  <c r="AS12" i="90"/>
  <c r="AQ12" i="90"/>
  <c r="AP12" i="90" s="1"/>
  <c r="T9" i="74"/>
  <c r="U9" i="74"/>
  <c r="CI12" i="132"/>
  <c r="BC13" i="74"/>
  <c r="BF14" i="89"/>
  <c r="BL16" i="132"/>
  <c r="N9" i="93"/>
  <c r="Y13" i="132" s="1"/>
  <c r="X13" i="132" s="1"/>
  <c r="M9" i="93"/>
  <c r="T9" i="93"/>
  <c r="L9" i="93"/>
  <c r="C7" i="93"/>
  <c r="B7" i="93" s="1"/>
  <c r="N7" i="80"/>
  <c r="R7" i="80" s="1"/>
  <c r="CG11" i="132" s="1"/>
  <c r="F6" i="93"/>
  <c r="H6" i="80"/>
  <c r="N72" i="80"/>
  <c r="F5" i="93" s="1"/>
  <c r="I6" i="80"/>
  <c r="O7" i="80"/>
  <c r="S7" i="80" s="1"/>
  <c r="P7" i="80"/>
  <c r="T7" i="80" s="1"/>
  <c r="Q8" i="93"/>
  <c r="S9" i="93"/>
  <c r="R9" i="93"/>
  <c r="V9" i="93" s="1"/>
  <c r="BC12" i="74" l="1"/>
  <c r="BF13" i="89"/>
  <c r="BL15" i="132"/>
  <c r="G10" i="100"/>
  <c r="AN10" i="90"/>
  <c r="AM10" i="90"/>
  <c r="AL10" i="90"/>
  <c r="AK10" i="90"/>
  <c r="AJ10" i="90"/>
  <c r="AI10" i="90"/>
  <c r="AH10" i="90" s="1"/>
  <c r="BD13" i="90"/>
  <c r="I13" i="100"/>
  <c r="BC13" i="90"/>
  <c r="BB13" i="90"/>
  <c r="BA13" i="90"/>
  <c r="AZ13" i="90"/>
  <c r="AY13" i="90"/>
  <c r="AX13" i="90" s="1"/>
  <c r="BN14" i="89"/>
  <c r="U7" i="93"/>
  <c r="O7" i="93"/>
  <c r="Z11" i="132" s="1"/>
  <c r="AE12" i="132"/>
  <c r="BH9" i="74" s="1"/>
  <c r="I8" i="87" s="1"/>
  <c r="AL12" i="132"/>
  <c r="W8" i="74"/>
  <c r="CH11" i="132"/>
  <c r="BV11" i="132" s="1"/>
  <c r="AK11" i="132" s="1"/>
  <c r="Y8" i="74"/>
  <c r="X8" i="74" s="1"/>
  <c r="U8" i="74"/>
  <c r="CI11" i="132"/>
  <c r="AX11" i="89"/>
  <c r="BU13" i="132"/>
  <c r="U110" i="121"/>
  <c r="U49" i="121" s="1"/>
  <c r="N70" i="87"/>
  <c r="BE13" i="74"/>
  <c r="A9" i="87"/>
  <c r="V9" i="74"/>
  <c r="J14" i="100"/>
  <c r="B14" i="100" s="1"/>
  <c r="BH14" i="90"/>
  <c r="BI14" i="90"/>
  <c r="BJ14" i="90"/>
  <c r="BK14" i="90"/>
  <c r="BG14" i="90"/>
  <c r="BF14" i="90" s="1"/>
  <c r="BL14" i="90"/>
  <c r="T8" i="74"/>
  <c r="M8" i="93"/>
  <c r="N8" i="93"/>
  <c r="Y12" i="132" s="1"/>
  <c r="X12" i="132" s="1"/>
  <c r="L8" i="93"/>
  <c r="Q46" i="121"/>
  <c r="C6" i="93"/>
  <c r="B6" i="93" s="1"/>
  <c r="N6" i="80"/>
  <c r="R6" i="80" s="1"/>
  <c r="CG10" i="132" s="1"/>
  <c r="I5" i="80"/>
  <c r="C5" i="93" s="1"/>
  <c r="H5" i="80"/>
  <c r="O6" i="80"/>
  <c r="S6" i="80" s="1"/>
  <c r="P6" i="80"/>
  <c r="T6" i="80" s="1"/>
  <c r="T8" i="93"/>
  <c r="S8" i="93"/>
  <c r="R8" i="93"/>
  <c r="V8" i="93" s="1"/>
  <c r="Q7" i="93"/>
  <c r="AJ11" i="132" l="1"/>
  <c r="V8" i="74"/>
  <c r="H10" i="100"/>
  <c r="AT10" i="90"/>
  <c r="AV10" i="90"/>
  <c r="AU10" i="90"/>
  <c r="AQ10" i="90"/>
  <c r="AP10" i="90" s="1"/>
  <c r="AS10" i="90"/>
  <c r="AR10" i="90"/>
  <c r="B5" i="93"/>
  <c r="A8" i="87"/>
  <c r="BE12" i="74"/>
  <c r="U109" i="121"/>
  <c r="U48" i="121" s="1"/>
  <c r="N69" i="87"/>
  <c r="T7" i="74"/>
  <c r="U7" i="74"/>
  <c r="CI10" i="132"/>
  <c r="AD13" i="132"/>
  <c r="W7" i="74"/>
  <c r="CH10" i="132"/>
  <c r="BV10" i="132" s="1"/>
  <c r="AK10" i="132" s="1"/>
  <c r="Y7" i="74"/>
  <c r="X7" i="74" s="1"/>
  <c r="AL11" i="132"/>
  <c r="AP9" i="89" s="1"/>
  <c r="AE11" i="132"/>
  <c r="U6" i="93"/>
  <c r="O6" i="93"/>
  <c r="Z10" i="132" s="1"/>
  <c r="J13" i="100"/>
  <c r="B13" i="100" s="1"/>
  <c r="BJ13" i="90"/>
  <c r="BK13" i="90"/>
  <c r="BL13" i="90"/>
  <c r="BG13" i="90"/>
  <c r="BF13" i="90" s="1"/>
  <c r="BH13" i="90"/>
  <c r="BI13" i="90"/>
  <c r="BB12" i="90"/>
  <c r="BA12" i="90"/>
  <c r="I12" i="100"/>
  <c r="AZ12" i="90"/>
  <c r="AY12" i="90"/>
  <c r="AX12" i="90" s="1"/>
  <c r="BD12" i="90"/>
  <c r="BC12" i="90"/>
  <c r="BN13" i="89"/>
  <c r="M7" i="93"/>
  <c r="N7" i="93"/>
  <c r="Y11" i="132" s="1"/>
  <c r="X11" i="132" s="1"/>
  <c r="L7" i="93"/>
  <c r="A7" i="87" s="1"/>
  <c r="Q6" i="93"/>
  <c r="N5" i="80"/>
  <c r="R5" i="80" s="1"/>
  <c r="CG9" i="132" s="1"/>
  <c r="O5" i="80"/>
  <c r="S5" i="80" s="1"/>
  <c r="P5" i="80"/>
  <c r="T5" i="80" s="1"/>
  <c r="R7" i="93"/>
  <c r="S7" i="93"/>
  <c r="T7" i="93"/>
  <c r="V7" i="93" s="1"/>
  <c r="AX9" i="89" l="1"/>
  <c r="W6" i="74"/>
  <c r="CH9" i="132"/>
  <c r="BV9" i="132" s="1"/>
  <c r="AK9" i="132" s="1"/>
  <c r="Y6" i="74"/>
  <c r="X6" i="74" s="1"/>
  <c r="U5" i="93"/>
  <c r="O5" i="93"/>
  <c r="Z9" i="132" s="1"/>
  <c r="N5" i="93"/>
  <c r="Y9" i="132" s="1"/>
  <c r="M5" i="93"/>
  <c r="BU11" i="132"/>
  <c r="BH8" i="74"/>
  <c r="AL10" i="132"/>
  <c r="AE10" i="132"/>
  <c r="BH7" i="74" s="1"/>
  <c r="I6" i="87" s="1"/>
  <c r="L5" i="93"/>
  <c r="A5" i="87" s="1"/>
  <c r="G8" i="100"/>
  <c r="AL8" i="90"/>
  <c r="AK8" i="90"/>
  <c r="AJ8" i="90"/>
  <c r="AI8" i="90"/>
  <c r="AH8" i="90" s="1"/>
  <c r="AN8" i="90"/>
  <c r="AM8" i="90"/>
  <c r="J12" i="100"/>
  <c r="B12" i="100" s="1"/>
  <c r="BL12" i="90"/>
  <c r="BG12" i="90"/>
  <c r="BF12" i="90" s="1"/>
  <c r="BK12" i="90"/>
  <c r="BJ12" i="90"/>
  <c r="BI12" i="90"/>
  <c r="BH12" i="90"/>
  <c r="V7" i="74"/>
  <c r="U6" i="74"/>
  <c r="CI9" i="132"/>
  <c r="L6" i="93"/>
  <c r="N6" i="93"/>
  <c r="Y10" i="132" s="1"/>
  <c r="X10" i="132" s="1"/>
  <c r="M6" i="93"/>
  <c r="Q44" i="121"/>
  <c r="Q47" i="121"/>
  <c r="T6" i="74"/>
  <c r="Q5" i="93"/>
  <c r="R5" i="93"/>
  <c r="S5" i="93"/>
  <c r="T5" i="93"/>
  <c r="R6" i="93"/>
  <c r="V6" i="93" s="1"/>
  <c r="S6" i="93"/>
  <c r="T6" i="93"/>
  <c r="AJ9" i="132" l="1"/>
  <c r="V105" i="121"/>
  <c r="V44" i="121" s="1"/>
  <c r="BJ8" i="74"/>
  <c r="I7" i="87"/>
  <c r="AD11" i="132"/>
  <c r="BZ11" i="132"/>
  <c r="A6" i="87"/>
  <c r="V5" i="93"/>
  <c r="AL9" i="132"/>
  <c r="AP7" i="89" s="1"/>
  <c r="AE9" i="132"/>
  <c r="V6" i="74"/>
  <c r="H8" i="100"/>
  <c r="AV8" i="90"/>
  <c r="AU8" i="90"/>
  <c r="AR8" i="90"/>
  <c r="AT8" i="90"/>
  <c r="AS8" i="90"/>
  <c r="AQ8" i="90"/>
  <c r="AP8" i="90" s="1"/>
  <c r="X9" i="132"/>
  <c r="AX7" i="89" s="1"/>
  <c r="BF9" i="89" l="1"/>
  <c r="BC8" i="74"/>
  <c r="BL11" i="132"/>
  <c r="AL6" i="90"/>
  <c r="AJ6" i="90"/>
  <c r="AK6" i="90"/>
  <c r="AM6" i="90"/>
  <c r="AI6" i="90"/>
  <c r="AH6" i="90" s="1"/>
  <c r="AN6" i="90"/>
  <c r="BU9" i="132"/>
  <c r="AD9" i="132" s="1"/>
  <c r="AQ6" i="90"/>
  <c r="AP6" i="90" s="1"/>
  <c r="AV6" i="90"/>
  <c r="AU6" i="90"/>
  <c r="AR6" i="90"/>
  <c r="AS6" i="90"/>
  <c r="AT6" i="90"/>
  <c r="Q45" i="121"/>
  <c r="BN9" i="89" l="1"/>
  <c r="AZ8" i="90"/>
  <c r="AY8" i="90"/>
  <c r="AX8" i="90" s="1"/>
  <c r="BA8" i="90"/>
  <c r="I8" i="100"/>
  <c r="BB8" i="90"/>
  <c r="BC8" i="90"/>
  <c r="BD8" i="90"/>
  <c r="U105" i="121"/>
  <c r="U44" i="121" s="1"/>
  <c r="BE8" i="74"/>
  <c r="N65" i="87"/>
  <c r="F9" i="119"/>
  <c r="G9" i="119" s="1"/>
  <c r="J8" i="100" l="1"/>
  <c r="B8" i="100" s="1"/>
  <c r="BL8" i="90"/>
  <c r="BJ8" i="90"/>
  <c r="BG8" i="90"/>
  <c r="BF8" i="90" s="1"/>
  <c r="BK8" i="90"/>
  <c r="BI8" i="90"/>
  <c r="BH8" i="90"/>
  <c r="B9" i="119" l="1"/>
  <c r="CB6" i="74" s="1"/>
  <c r="F10" i="110"/>
  <c r="AI9" i="119" l="1"/>
  <c r="D10" i="111"/>
  <c r="Q5" i="129"/>
  <c r="Q8" i="129" s="1"/>
  <c r="P5" i="129"/>
  <c r="O5" i="129"/>
  <c r="A121" i="87" s="1"/>
  <c r="N6" i="129"/>
  <c r="T5" i="129" l="1"/>
  <c r="Q6" i="74" s="1"/>
  <c r="P8" i="129"/>
  <c r="P9" i="129" s="1"/>
  <c r="Q9" i="129"/>
  <c r="Q6" i="129"/>
  <c r="O8" i="129"/>
  <c r="O9" i="129" s="1"/>
  <c r="P6" i="129"/>
  <c r="N8" i="129"/>
  <c r="O6" i="129"/>
  <c r="T6" i="129" s="1"/>
  <c r="U9" i="134" l="1"/>
  <c r="M103" i="121"/>
  <c r="J42" i="121" s="1"/>
  <c r="J43" i="121" s="1"/>
  <c r="T8" i="129"/>
  <c r="N9" i="129"/>
  <c r="A125" i="87"/>
  <c r="A122" i="87"/>
  <c r="A124" i="87"/>
  <c r="U5" i="129"/>
  <c r="R6" i="74"/>
  <c r="AQ9" i="132" l="1"/>
  <c r="AA9" i="134"/>
  <c r="AE9" i="134" s="1"/>
  <c r="T9" i="129"/>
  <c r="Q10" i="74" s="1"/>
  <c r="U13" i="134" l="1"/>
  <c r="M107" i="121"/>
  <c r="J46" i="121" s="1"/>
  <c r="R10" i="74"/>
  <c r="BX9" i="132"/>
  <c r="P42" i="121"/>
  <c r="AR9" i="132" l="1"/>
  <c r="AW9" i="132" s="1"/>
  <c r="BH6" i="74" s="1"/>
  <c r="J45" i="121"/>
  <c r="J47" i="121"/>
  <c r="AQ13" i="132"/>
  <c r="AA13" i="134"/>
  <c r="AE13" i="134" s="1"/>
  <c r="P43" i="121"/>
  <c r="BY9" i="132" l="1"/>
  <c r="BZ9" i="132" s="1"/>
  <c r="BX13" i="132"/>
  <c r="AH11" i="89"/>
  <c r="AV9" i="132"/>
  <c r="BC6" i="74" s="1"/>
  <c r="V103" i="121"/>
  <c r="V42" i="121" s="1"/>
  <c r="V43" i="121" s="1"/>
  <c r="BJ6" i="74"/>
  <c r="I5" i="87"/>
  <c r="AQ6" i="74"/>
  <c r="T103" i="121" s="1"/>
  <c r="AK6" i="73"/>
  <c r="U103" i="121" l="1"/>
  <c r="U42" i="121" s="1"/>
  <c r="U43" i="121" s="1"/>
  <c r="BE6" i="74"/>
  <c r="N63" i="87"/>
  <c r="F10" i="100"/>
  <c r="AD10" i="90"/>
  <c r="AC10" i="90"/>
  <c r="AB10" i="90"/>
  <c r="AA10" i="90"/>
  <c r="Z10" i="90" s="1"/>
  <c r="AE10" i="90"/>
  <c r="AF10" i="90"/>
  <c r="AR13" i="132"/>
  <c r="AR6" i="74"/>
  <c r="T42" i="121"/>
  <c r="AW13" i="132" l="1"/>
  <c r="T43" i="121"/>
  <c r="BH10" i="74" l="1"/>
  <c r="BY13" i="132"/>
  <c r="BY64" i="132"/>
  <c r="AV13" i="132" l="1"/>
  <c r="BZ13" i="132"/>
  <c r="V107" i="121"/>
  <c r="V46" i="121" s="1"/>
  <c r="BJ10" i="74"/>
  <c r="I9" i="87"/>
  <c r="AV64" i="132"/>
  <c r="BF62" i="89" s="1"/>
  <c r="BZ64" i="132"/>
  <c r="I61" i="100" l="1"/>
  <c r="AY61" i="90"/>
  <c r="AX61" i="90" s="1"/>
  <c r="AZ61" i="90"/>
  <c r="BA61" i="90"/>
  <c r="BD61" i="90"/>
  <c r="BB61" i="90"/>
  <c r="BC61" i="90"/>
  <c r="BN62" i="89"/>
  <c r="V47" i="121"/>
  <c r="V45" i="121"/>
  <c r="BF11" i="89"/>
  <c r="BC10" i="74"/>
  <c r="BL13" i="132"/>
  <c r="BL64" i="132"/>
  <c r="BC61" i="74"/>
  <c r="N118" i="87" s="1"/>
  <c r="I68" i="133"/>
  <c r="I66" i="133"/>
  <c r="I69" i="133"/>
  <c r="I67" i="133"/>
  <c r="I65" i="133"/>
  <c r="BG61" i="90" l="1"/>
  <c r="BF61" i="90" s="1"/>
  <c r="BL61" i="90"/>
  <c r="BH61" i="90"/>
  <c r="BI61" i="90"/>
  <c r="BJ61" i="90"/>
  <c r="BK61" i="90"/>
  <c r="J61" i="100"/>
  <c r="B61" i="100" s="1"/>
  <c r="N67" i="87"/>
  <c r="BE10" i="74"/>
  <c r="U107" i="121"/>
  <c r="U46" i="121" s="1"/>
  <c r="BN11" i="89"/>
  <c r="AZ10" i="90"/>
  <c r="BA10" i="90"/>
  <c r="AY10" i="90"/>
  <c r="AX10" i="90" s="1"/>
  <c r="I10" i="100"/>
  <c r="BD10" i="90"/>
  <c r="BC10" i="90"/>
  <c r="BB10" i="90"/>
  <c r="U158" i="121"/>
  <c r="U97" i="121" s="1"/>
  <c r="BE61" i="74"/>
  <c r="N67" i="133"/>
  <c r="L67" i="133"/>
  <c r="M67" i="133"/>
  <c r="O67" i="133"/>
  <c r="P67" i="133"/>
  <c r="Q67" i="133"/>
  <c r="K67" i="133"/>
  <c r="B64" i="133"/>
  <c r="L65" i="133"/>
  <c r="N65" i="133"/>
  <c r="Q65" i="133"/>
  <c r="M65" i="133"/>
  <c r="K65" i="133"/>
  <c r="O65" i="133"/>
  <c r="P65" i="133"/>
  <c r="M66" i="133"/>
  <c r="N66" i="133"/>
  <c r="O66" i="133"/>
  <c r="P66" i="133"/>
  <c r="Q66" i="133"/>
  <c r="K66" i="133"/>
  <c r="L66" i="133"/>
  <c r="O69" i="133"/>
  <c r="L69" i="133"/>
  <c r="P68" i="133"/>
  <c r="L68" i="133"/>
  <c r="Q68" i="133"/>
  <c r="P69" i="133"/>
  <c r="K69" i="133"/>
  <c r="N69" i="133"/>
  <c r="K68" i="133"/>
  <c r="M68" i="133"/>
  <c r="N68" i="133"/>
  <c r="Q69" i="133"/>
  <c r="M69" i="133"/>
  <c r="O68" i="133"/>
  <c r="J10" i="100" l="1"/>
  <c r="B10" i="100" s="1"/>
  <c r="BH10" i="90"/>
  <c r="BG10" i="90"/>
  <c r="BF10" i="90" s="1"/>
  <c r="BI10" i="90"/>
  <c r="BL10" i="90"/>
  <c r="BK10" i="90"/>
  <c r="BJ10" i="90"/>
  <c r="U47" i="121"/>
  <c r="U45" i="121"/>
  <c r="I64" i="133"/>
  <c r="K64" i="133" s="1"/>
  <c r="K74" i="133" s="1"/>
  <c r="L64" i="133" l="1"/>
  <c r="L74" i="133" s="1"/>
  <c r="C49" i="133" s="1"/>
  <c r="M64" i="133"/>
  <c r="M74" i="133" s="1"/>
  <c r="D49" i="133" s="1"/>
  <c r="P64" i="133"/>
  <c r="P74" i="133" s="1"/>
  <c r="G49" i="133" s="1"/>
  <c r="G34" i="133" s="1"/>
  <c r="Q64" i="133"/>
  <c r="Q74" i="133" s="1"/>
  <c r="H49" i="133" s="1"/>
  <c r="N64" i="133"/>
  <c r="N74" i="133" s="1"/>
  <c r="E49" i="133" s="1"/>
  <c r="O64" i="133"/>
  <c r="O74" i="133" s="1"/>
  <c r="F49" i="133" s="1"/>
  <c r="F50" i="133" s="1"/>
  <c r="B49" i="133"/>
  <c r="B25" i="133" s="1"/>
  <c r="G54" i="133"/>
  <c r="W54" i="133" s="1"/>
  <c r="G55" i="133" l="1"/>
  <c r="W55" i="133" s="1"/>
  <c r="Q49" i="133"/>
  <c r="R49" i="133"/>
  <c r="G50" i="133"/>
  <c r="W50" i="133" s="1"/>
  <c r="G52" i="133"/>
  <c r="W52" i="133" s="1"/>
  <c r="E27" i="133"/>
  <c r="E35" i="133"/>
  <c r="E43" i="133"/>
  <c r="U43" i="133" s="1"/>
  <c r="E33" i="133"/>
  <c r="U33" i="133" s="1"/>
  <c r="E32" i="133"/>
  <c r="E26" i="133"/>
  <c r="E34" i="133"/>
  <c r="U34" i="133" s="1"/>
  <c r="E42" i="133"/>
  <c r="E25" i="133"/>
  <c r="E41" i="133"/>
  <c r="E48" i="133"/>
  <c r="U48" i="133" s="1"/>
  <c r="E40" i="133"/>
  <c r="U40" i="133" s="1"/>
  <c r="E31" i="133"/>
  <c r="U31" i="133" s="1"/>
  <c r="E39" i="133"/>
  <c r="E47" i="133"/>
  <c r="N49" i="133"/>
  <c r="E30" i="133"/>
  <c r="U30" i="133" s="1"/>
  <c r="E38" i="133"/>
  <c r="U38" i="133" s="1"/>
  <c r="E46" i="133"/>
  <c r="U46" i="133" s="1"/>
  <c r="E29" i="133"/>
  <c r="E37" i="133"/>
  <c r="U37" i="133" s="1"/>
  <c r="E36" i="133"/>
  <c r="E28" i="133"/>
  <c r="E44" i="133"/>
  <c r="E45" i="133"/>
  <c r="H30" i="133"/>
  <c r="X30" i="133" s="1"/>
  <c r="H38" i="133"/>
  <c r="X38" i="133" s="1"/>
  <c r="H46" i="133"/>
  <c r="X46" i="133" s="1"/>
  <c r="H28" i="133"/>
  <c r="X28" i="133" s="1"/>
  <c r="H44" i="133"/>
  <c r="X44" i="133" s="1"/>
  <c r="H27" i="133"/>
  <c r="H43" i="133"/>
  <c r="X43" i="133" s="1"/>
  <c r="H29" i="133"/>
  <c r="X29" i="133" s="1"/>
  <c r="H37" i="133"/>
  <c r="H45" i="133"/>
  <c r="X45" i="133" s="1"/>
  <c r="H36" i="133"/>
  <c r="X36" i="133" s="1"/>
  <c r="H35" i="133"/>
  <c r="X35" i="133" s="1"/>
  <c r="H26" i="133"/>
  <c r="X26" i="133" s="1"/>
  <c r="H34" i="133"/>
  <c r="H42" i="133"/>
  <c r="H25" i="133"/>
  <c r="H33" i="133"/>
  <c r="H41" i="133"/>
  <c r="X41" i="133" s="1"/>
  <c r="H48" i="133"/>
  <c r="X48" i="133" s="1"/>
  <c r="H32" i="133"/>
  <c r="X32" i="133" s="1"/>
  <c r="H31" i="133"/>
  <c r="X31" i="133" s="1"/>
  <c r="H47" i="133"/>
  <c r="H39" i="133"/>
  <c r="X39" i="133" s="1"/>
  <c r="H40" i="133"/>
  <c r="X40" i="133" s="1"/>
  <c r="F28" i="133"/>
  <c r="V28" i="133" s="1"/>
  <c r="F36" i="133"/>
  <c r="V36" i="133" s="1"/>
  <c r="F44" i="133"/>
  <c r="V44" i="133" s="1"/>
  <c r="F26" i="133"/>
  <c r="V26" i="133" s="1"/>
  <c r="F42" i="133"/>
  <c r="V42" i="133" s="1"/>
  <c r="F25" i="133"/>
  <c r="F24" i="133" s="1"/>
  <c r="F41" i="133"/>
  <c r="F48" i="133"/>
  <c r="F27" i="133"/>
  <c r="V27" i="133" s="1"/>
  <c r="F35" i="133"/>
  <c r="V35" i="133" s="1"/>
  <c r="F43" i="133"/>
  <c r="V43" i="133" s="1"/>
  <c r="F34" i="133"/>
  <c r="V34" i="133" s="1"/>
  <c r="F33" i="133"/>
  <c r="V33" i="133" s="1"/>
  <c r="F32" i="133"/>
  <c r="F40" i="133"/>
  <c r="V40" i="133" s="1"/>
  <c r="F31" i="133"/>
  <c r="V31" i="133" s="1"/>
  <c r="F39" i="133"/>
  <c r="V39" i="133" s="1"/>
  <c r="F47" i="133"/>
  <c r="V47" i="133" s="1"/>
  <c r="F30" i="133"/>
  <c r="V30" i="133" s="1"/>
  <c r="F46" i="133"/>
  <c r="V46" i="133" s="1"/>
  <c r="F38" i="133"/>
  <c r="V38" i="133" s="1"/>
  <c r="F29" i="133"/>
  <c r="F37" i="133"/>
  <c r="F45" i="133"/>
  <c r="V45" i="133" s="1"/>
  <c r="W49" i="133"/>
  <c r="G29" i="133"/>
  <c r="W29" i="133" s="1"/>
  <c r="G37" i="133"/>
  <c r="W37" i="133" s="1"/>
  <c r="G45" i="133"/>
  <c r="W45" i="133" s="1"/>
  <c r="G35" i="133"/>
  <c r="W35" i="133" s="1"/>
  <c r="G28" i="133"/>
  <c r="W28" i="133" s="1"/>
  <c r="G36" i="133"/>
  <c r="W36" i="133" s="1"/>
  <c r="G44" i="133"/>
  <c r="W44" i="133" s="1"/>
  <c r="G27" i="133"/>
  <c r="W27" i="133" s="1"/>
  <c r="G43" i="133"/>
  <c r="W43" i="133" s="1"/>
  <c r="G26" i="133"/>
  <c r="W26" i="133" s="1"/>
  <c r="G42" i="133"/>
  <c r="W42" i="133" s="1"/>
  <c r="G25" i="133"/>
  <c r="G33" i="133"/>
  <c r="G41" i="133"/>
  <c r="G48" i="133"/>
  <c r="W48" i="133" s="1"/>
  <c r="G32" i="133"/>
  <c r="W32" i="133" s="1"/>
  <c r="G40" i="133"/>
  <c r="W40" i="133" s="1"/>
  <c r="G31" i="133"/>
  <c r="W31" i="133" s="1"/>
  <c r="G47" i="133"/>
  <c r="W47" i="133" s="1"/>
  <c r="G38" i="133"/>
  <c r="W38" i="133" s="1"/>
  <c r="G30" i="133"/>
  <c r="G46" i="133"/>
  <c r="W46" i="133" s="1"/>
  <c r="G39" i="133"/>
  <c r="W39" i="133" s="1"/>
  <c r="B32" i="133"/>
  <c r="B40" i="133"/>
  <c r="B38" i="133"/>
  <c r="B37" i="133"/>
  <c r="B31" i="133"/>
  <c r="B39" i="133"/>
  <c r="B47" i="133"/>
  <c r="B30" i="133"/>
  <c r="B46" i="133"/>
  <c r="B29" i="133"/>
  <c r="B45" i="133"/>
  <c r="B28" i="133"/>
  <c r="B36" i="133"/>
  <c r="B44" i="133"/>
  <c r="B27" i="133"/>
  <c r="B35" i="133"/>
  <c r="B43" i="133"/>
  <c r="B26" i="133"/>
  <c r="B42" i="133"/>
  <c r="B24" i="133"/>
  <c r="B34" i="133"/>
  <c r="B33" i="133"/>
  <c r="B48" i="133"/>
  <c r="B41" i="133"/>
  <c r="D26" i="133"/>
  <c r="T26" i="133" s="1"/>
  <c r="D34" i="133"/>
  <c r="T34" i="133" s="1"/>
  <c r="D42" i="133"/>
  <c r="T42" i="133" s="1"/>
  <c r="D40" i="133"/>
  <c r="T40" i="133" s="1"/>
  <c r="D39" i="133"/>
  <c r="T39" i="133" s="1"/>
  <c r="D25" i="133"/>
  <c r="D24" i="133" s="1"/>
  <c r="D33" i="133"/>
  <c r="D41" i="133"/>
  <c r="T41" i="133" s="1"/>
  <c r="D48" i="133"/>
  <c r="T48" i="133" s="1"/>
  <c r="D32" i="133"/>
  <c r="T32" i="133" s="1"/>
  <c r="D31" i="133"/>
  <c r="T31" i="133" s="1"/>
  <c r="D47" i="133"/>
  <c r="T47" i="133" s="1"/>
  <c r="D30" i="133"/>
  <c r="T30" i="133" s="1"/>
  <c r="D38" i="133"/>
  <c r="D46" i="133"/>
  <c r="D29" i="133"/>
  <c r="T29" i="133" s="1"/>
  <c r="D37" i="133"/>
  <c r="T37" i="133" s="1"/>
  <c r="D45" i="133"/>
  <c r="T45" i="133" s="1"/>
  <c r="D28" i="133"/>
  <c r="T28" i="133" s="1"/>
  <c r="D43" i="133"/>
  <c r="T43" i="133" s="1"/>
  <c r="D36" i="133"/>
  <c r="T36" i="133" s="1"/>
  <c r="D27" i="133"/>
  <c r="D44" i="133"/>
  <c r="D35" i="133"/>
  <c r="T35" i="133" s="1"/>
  <c r="S49" i="133"/>
  <c r="C25" i="133"/>
  <c r="C33" i="133"/>
  <c r="C41" i="133"/>
  <c r="C48" i="133"/>
  <c r="C31" i="133"/>
  <c r="C47" i="133"/>
  <c r="C30" i="133"/>
  <c r="C46" i="133"/>
  <c r="C32" i="133"/>
  <c r="C40" i="133"/>
  <c r="C39" i="133"/>
  <c r="C38" i="133"/>
  <c r="C29" i="133"/>
  <c r="C37" i="133"/>
  <c r="C45" i="133"/>
  <c r="C28" i="133"/>
  <c r="C36" i="133"/>
  <c r="C44" i="133"/>
  <c r="C27" i="133"/>
  <c r="C43" i="133"/>
  <c r="C26" i="133"/>
  <c r="C42" i="133"/>
  <c r="C34" i="133"/>
  <c r="C35" i="133"/>
  <c r="H51" i="133"/>
  <c r="X51" i="133" s="1"/>
  <c r="X47" i="133"/>
  <c r="W30" i="133"/>
  <c r="X37" i="133"/>
  <c r="W34" i="133"/>
  <c r="G57" i="133"/>
  <c r="W57" i="133" s="1"/>
  <c r="G51" i="133"/>
  <c r="W51" i="133" s="1"/>
  <c r="G53" i="133"/>
  <c r="W53" i="133" s="1"/>
  <c r="S31" i="133"/>
  <c r="S37" i="133"/>
  <c r="S45" i="133"/>
  <c r="S26" i="133"/>
  <c r="H57" i="133"/>
  <c r="X57" i="133" s="1"/>
  <c r="H56" i="133"/>
  <c r="X56" i="133" s="1"/>
  <c r="U44" i="133"/>
  <c r="X33" i="133"/>
  <c r="H52" i="133"/>
  <c r="X52" i="133" s="1"/>
  <c r="V37" i="133"/>
  <c r="E50" i="133"/>
  <c r="E56" i="133"/>
  <c r="H54" i="133"/>
  <c r="X54" i="133" s="1"/>
  <c r="X27" i="133"/>
  <c r="H50" i="133"/>
  <c r="X50" i="133" s="1"/>
  <c r="E54" i="133"/>
  <c r="U47" i="133"/>
  <c r="U49" i="133"/>
  <c r="E52" i="133"/>
  <c r="E51" i="133"/>
  <c r="E53" i="133"/>
  <c r="G56" i="133"/>
  <c r="W56" i="133" s="1"/>
  <c r="U27" i="133"/>
  <c r="E55" i="133"/>
  <c r="E57" i="133"/>
  <c r="X49" i="133"/>
  <c r="H53" i="133"/>
  <c r="X53" i="133" s="1"/>
  <c r="H55" i="133"/>
  <c r="X55" i="133" s="1"/>
  <c r="X42" i="133"/>
  <c r="X34" i="133"/>
  <c r="W41" i="133"/>
  <c r="F56" i="133"/>
  <c r="V56" i="133" s="1"/>
  <c r="W33" i="133"/>
  <c r="V32" i="133"/>
  <c r="V48" i="133"/>
  <c r="F53" i="133"/>
  <c r="V53" i="133" s="1"/>
  <c r="F57" i="133"/>
  <c r="V57" i="133" s="1"/>
  <c r="V50" i="133"/>
  <c r="F52" i="133"/>
  <c r="V52" i="133" s="1"/>
  <c r="V41" i="133"/>
  <c r="F51" i="133"/>
  <c r="V51" i="133" s="1"/>
  <c r="F55" i="133"/>
  <c r="V55" i="133" s="1"/>
  <c r="V49" i="133"/>
  <c r="V29" i="133"/>
  <c r="T49" i="133"/>
  <c r="T38" i="133"/>
  <c r="T27" i="133"/>
  <c r="T46" i="133"/>
  <c r="D50" i="133"/>
  <c r="T50" i="133" s="1"/>
  <c r="T25" i="133"/>
  <c r="D51" i="133"/>
  <c r="T51" i="133" s="1"/>
  <c r="T44" i="133"/>
  <c r="D55" i="133"/>
  <c r="T55" i="133" s="1"/>
  <c r="T33" i="133"/>
  <c r="D57" i="133"/>
  <c r="T57" i="133" s="1"/>
  <c r="D52" i="133"/>
  <c r="T52" i="133" s="1"/>
  <c r="D54" i="133"/>
  <c r="T54" i="133" s="1"/>
  <c r="D53" i="133"/>
  <c r="T53" i="133" s="1"/>
  <c r="D56" i="133"/>
  <c r="T56" i="133" s="1"/>
  <c r="C57" i="133"/>
  <c r="C51" i="133"/>
  <c r="S29" i="133"/>
  <c r="C54" i="133"/>
  <c r="C53" i="133"/>
  <c r="C56" i="133"/>
  <c r="V25" i="133"/>
  <c r="C50" i="133"/>
  <c r="C55" i="133"/>
  <c r="S47" i="133"/>
  <c r="S42" i="133"/>
  <c r="C52" i="133"/>
  <c r="F54" i="133"/>
  <c r="V54" i="133" s="1"/>
  <c r="B50" i="133"/>
  <c r="B52" i="133"/>
  <c r="B56" i="133"/>
  <c r="B55" i="133"/>
  <c r="O49" i="133"/>
  <c r="B51" i="133"/>
  <c r="B57" i="133"/>
  <c r="B53" i="133"/>
  <c r="B54" i="133"/>
  <c r="N36" i="133" l="1"/>
  <c r="N39" i="133"/>
  <c r="A314" i="87"/>
  <c r="Q38" i="133"/>
  <c r="R38" i="133"/>
  <c r="R40" i="133"/>
  <c r="Q40" i="133"/>
  <c r="Q56" i="133"/>
  <c r="R56" i="133"/>
  <c r="R32" i="133"/>
  <c r="Q32" i="133"/>
  <c r="Q52" i="133"/>
  <c r="R52" i="133"/>
  <c r="Q53" i="133"/>
  <c r="R53" i="133"/>
  <c r="Q54" i="133"/>
  <c r="R54" i="133"/>
  <c r="R45" i="133"/>
  <c r="Q45" i="133"/>
  <c r="R43" i="133"/>
  <c r="Q43" i="133"/>
  <c r="R27" i="133"/>
  <c r="Q27" i="133"/>
  <c r="R39" i="133"/>
  <c r="Q39" i="133"/>
  <c r="Q41" i="133"/>
  <c r="R41" i="133"/>
  <c r="Q36" i="133"/>
  <c r="R36" i="133"/>
  <c r="Q28" i="133"/>
  <c r="R28" i="133"/>
  <c r="Q46" i="133"/>
  <c r="R46" i="133"/>
  <c r="Q30" i="133"/>
  <c r="R30" i="133"/>
  <c r="R42" i="133"/>
  <c r="Q42" i="133"/>
  <c r="Q37" i="133"/>
  <c r="R37" i="133"/>
  <c r="R47" i="133"/>
  <c r="Q47" i="133"/>
  <c r="R55" i="133"/>
  <c r="Q55" i="133"/>
  <c r="R57" i="133"/>
  <c r="Q57" i="133"/>
  <c r="Q48" i="133"/>
  <c r="R48" i="133"/>
  <c r="R50" i="133"/>
  <c r="Q50" i="133"/>
  <c r="Q44" i="133"/>
  <c r="R44" i="133"/>
  <c r="Q33" i="133"/>
  <c r="R33" i="133"/>
  <c r="Q25" i="133"/>
  <c r="R25" i="133"/>
  <c r="R35" i="133"/>
  <c r="Q35" i="133"/>
  <c r="S35" i="133"/>
  <c r="R34" i="133"/>
  <c r="Q34" i="133"/>
  <c r="R51" i="133"/>
  <c r="Q51" i="133"/>
  <c r="Q26" i="133"/>
  <c r="R26" i="133"/>
  <c r="Q29" i="133"/>
  <c r="R29" i="133"/>
  <c r="R31" i="133"/>
  <c r="Q31" i="133"/>
  <c r="S40" i="133"/>
  <c r="S36" i="133"/>
  <c r="S32" i="133"/>
  <c r="C24" i="133"/>
  <c r="S48" i="133"/>
  <c r="S41" i="133"/>
  <c r="S28" i="133"/>
  <c r="S46" i="133"/>
  <c r="S55" i="133"/>
  <c r="S57" i="133"/>
  <c r="S43" i="133"/>
  <c r="S50" i="133"/>
  <c r="S53" i="133"/>
  <c r="S34" i="133"/>
  <c r="S30" i="133"/>
  <c r="S38" i="133"/>
  <c r="S44" i="133"/>
  <c r="S33" i="133"/>
  <c r="S27" i="133"/>
  <c r="S39" i="133"/>
  <c r="S56" i="133"/>
  <c r="S52" i="133"/>
  <c r="S54" i="133"/>
  <c r="S51" i="133"/>
  <c r="N33" i="133"/>
  <c r="S25" i="133"/>
  <c r="N28" i="133"/>
  <c r="N47" i="133"/>
  <c r="U54" i="133"/>
  <c r="N54" i="133"/>
  <c r="U39" i="133"/>
  <c r="U50" i="133"/>
  <c r="N50" i="133"/>
  <c r="N32" i="133"/>
  <c r="U32" i="133"/>
  <c r="N40" i="133"/>
  <c r="U28" i="133"/>
  <c r="U36" i="133"/>
  <c r="N46" i="133"/>
  <c r="N48" i="133"/>
  <c r="N43" i="133"/>
  <c r="N26" i="133"/>
  <c r="U52" i="133"/>
  <c r="N52" i="133"/>
  <c r="D23" i="133"/>
  <c r="T24" i="133"/>
  <c r="H24" i="133"/>
  <c r="X25" i="133"/>
  <c r="N38" i="133"/>
  <c r="N41" i="133"/>
  <c r="U41" i="133"/>
  <c r="N35" i="133"/>
  <c r="U35" i="133"/>
  <c r="U56" i="133"/>
  <c r="N56" i="133"/>
  <c r="N37" i="133"/>
  <c r="U51" i="133"/>
  <c r="N51" i="133"/>
  <c r="N29" i="133"/>
  <c r="U29" i="133"/>
  <c r="U57" i="133"/>
  <c r="N57" i="133"/>
  <c r="G24" i="133"/>
  <c r="W25" i="133"/>
  <c r="F23" i="133"/>
  <c r="V24" i="133"/>
  <c r="N45" i="133"/>
  <c r="U45" i="133"/>
  <c r="N30" i="133"/>
  <c r="E24" i="133"/>
  <c r="N25" i="133"/>
  <c r="U25" i="133"/>
  <c r="N27" i="133"/>
  <c r="N34" i="133"/>
  <c r="U53" i="133"/>
  <c r="N53" i="133"/>
  <c r="N31" i="133"/>
  <c r="U26" i="133"/>
  <c r="U55" i="133"/>
  <c r="N55" i="133"/>
  <c r="B23" i="133"/>
  <c r="N44" i="133"/>
  <c r="N42" i="133"/>
  <c r="U42" i="133"/>
  <c r="O28" i="133"/>
  <c r="O42" i="133"/>
  <c r="O48" i="133"/>
  <c r="O50" i="133"/>
  <c r="O53" i="133"/>
  <c r="O56" i="133"/>
  <c r="O32" i="133"/>
  <c r="O37" i="133"/>
  <c r="O52" i="133"/>
  <c r="O31" i="133"/>
  <c r="O35" i="133"/>
  <c r="O54" i="133"/>
  <c r="O25" i="133"/>
  <c r="O26" i="133"/>
  <c r="O44" i="133"/>
  <c r="O33" i="133"/>
  <c r="O39" i="133"/>
  <c r="O43" i="133"/>
  <c r="O34" i="133"/>
  <c r="O45" i="133"/>
  <c r="O27" i="133"/>
  <c r="O51" i="133"/>
  <c r="O30" i="133"/>
  <c r="O38" i="133"/>
  <c r="O40" i="133"/>
  <c r="O46" i="133"/>
  <c r="O55" i="133"/>
  <c r="O47" i="133"/>
  <c r="O36" i="133"/>
  <c r="O57" i="133"/>
  <c r="O29" i="133"/>
  <c r="O41" i="133"/>
  <c r="A316" i="87" l="1"/>
  <c r="A310" i="87"/>
  <c r="A297" i="87"/>
  <c r="A312" i="87"/>
  <c r="A315" i="87"/>
  <c r="A305" i="87"/>
  <c r="A309" i="87"/>
  <c r="A306" i="87"/>
  <c r="A304" i="87"/>
  <c r="A290" i="87"/>
  <c r="A313" i="87"/>
  <c r="A302" i="87"/>
  <c r="A293" i="87"/>
  <c r="A318" i="87"/>
  <c r="A320" i="87"/>
  <c r="A294" i="87"/>
  <c r="C23" i="133"/>
  <c r="R24" i="133"/>
  <c r="Q24" i="133"/>
  <c r="A311" i="87"/>
  <c r="A319" i="87"/>
  <c r="A291" i="87"/>
  <c r="A292" i="87"/>
  <c r="A322" i="87"/>
  <c r="A307" i="87"/>
  <c r="A308" i="87"/>
  <c r="A295" i="87"/>
  <c r="A300" i="87"/>
  <c r="A321" i="87"/>
  <c r="A296" i="87"/>
  <c r="A299" i="87"/>
  <c r="A298" i="87"/>
  <c r="A301" i="87"/>
  <c r="A317" i="87"/>
  <c r="A303" i="87"/>
  <c r="S24" i="133"/>
  <c r="O24" i="133"/>
  <c r="F22" i="133"/>
  <c r="V23" i="133"/>
  <c r="B22" i="133"/>
  <c r="C22" i="133"/>
  <c r="S23" i="133"/>
  <c r="G23" i="133"/>
  <c r="W24" i="133"/>
  <c r="H23" i="133"/>
  <c r="X24" i="133"/>
  <c r="N24" i="133"/>
  <c r="E23" i="133"/>
  <c r="U24" i="133"/>
  <c r="D22" i="133"/>
  <c r="T23" i="133"/>
  <c r="A289" i="87" l="1"/>
  <c r="R23" i="133"/>
  <c r="Q23" i="133"/>
  <c r="E22" i="133"/>
  <c r="N23" i="133"/>
  <c r="U23" i="133"/>
  <c r="C21" i="133"/>
  <c r="S22" i="133"/>
  <c r="H22" i="133"/>
  <c r="X23" i="133"/>
  <c r="O23" i="133"/>
  <c r="D21" i="133"/>
  <c r="T22" i="133"/>
  <c r="F21" i="133"/>
  <c r="V22" i="133"/>
  <c r="B21" i="133"/>
  <c r="G22" i="133"/>
  <c r="W23" i="133"/>
  <c r="R22" i="133" l="1"/>
  <c r="Q22" i="133"/>
  <c r="O22" i="133"/>
  <c r="A288" i="87"/>
  <c r="F20" i="133"/>
  <c r="V21" i="133"/>
  <c r="D20" i="133"/>
  <c r="T21" i="133"/>
  <c r="E21" i="133"/>
  <c r="N22" i="133"/>
  <c r="U22" i="133"/>
  <c r="H21" i="133"/>
  <c r="X22" i="133"/>
  <c r="B20" i="133"/>
  <c r="C20" i="133"/>
  <c r="S21" i="133"/>
  <c r="G21" i="133"/>
  <c r="W22" i="133"/>
  <c r="Q21" i="133" l="1"/>
  <c r="R21" i="133"/>
  <c r="A287" i="87"/>
  <c r="G20" i="133"/>
  <c r="W21" i="133"/>
  <c r="C19" i="133"/>
  <c r="S20" i="133"/>
  <c r="E20" i="133"/>
  <c r="Q20" i="133" s="1"/>
  <c r="N21" i="133"/>
  <c r="U21" i="133"/>
  <c r="D19" i="133"/>
  <c r="T20" i="133"/>
  <c r="B19" i="133"/>
  <c r="F19" i="133"/>
  <c r="V20" i="133"/>
  <c r="O21" i="133"/>
  <c r="H20" i="133"/>
  <c r="X21" i="133"/>
  <c r="R20" i="133" l="1"/>
  <c r="A286" i="87"/>
  <c r="O20" i="133"/>
  <c r="C18" i="133"/>
  <c r="S19" i="133"/>
  <c r="F18" i="133"/>
  <c r="V19" i="133"/>
  <c r="E19" i="133"/>
  <c r="N20" i="133"/>
  <c r="U20" i="133"/>
  <c r="D18" i="133"/>
  <c r="T19" i="133"/>
  <c r="B18" i="133"/>
  <c r="H19" i="133"/>
  <c r="X20" i="133"/>
  <c r="G19" i="133"/>
  <c r="W20" i="133"/>
  <c r="Q19" i="133" l="1"/>
  <c r="A285" i="87"/>
  <c r="R19" i="133"/>
  <c r="H18" i="133"/>
  <c r="X19" i="133"/>
  <c r="B17" i="133"/>
  <c r="F17" i="133"/>
  <c r="V18" i="133"/>
  <c r="E18" i="133"/>
  <c r="N19" i="133"/>
  <c r="U19" i="133"/>
  <c r="G18" i="133"/>
  <c r="W19" i="133"/>
  <c r="D17" i="133"/>
  <c r="T18" i="133"/>
  <c r="O19" i="133"/>
  <c r="C17" i="133"/>
  <c r="S18" i="133"/>
  <c r="R18" i="133" l="1"/>
  <c r="A284" i="87"/>
  <c r="Q18" i="133"/>
  <c r="O18" i="133"/>
  <c r="F16" i="133"/>
  <c r="V17" i="133"/>
  <c r="D16" i="133"/>
  <c r="T17" i="133"/>
  <c r="E17" i="133"/>
  <c r="N18" i="133"/>
  <c r="U18" i="133"/>
  <c r="G17" i="133"/>
  <c r="W18" i="133"/>
  <c r="B16" i="133"/>
  <c r="C16" i="133"/>
  <c r="S17" i="133"/>
  <c r="H17" i="133"/>
  <c r="X18" i="133"/>
  <c r="A283" i="87" l="1"/>
  <c r="Q17" i="133"/>
  <c r="R17" i="133"/>
  <c r="O17" i="133"/>
  <c r="C15" i="133"/>
  <c r="S16" i="133"/>
  <c r="D15" i="133"/>
  <c r="T16" i="133"/>
  <c r="H16" i="133"/>
  <c r="X17" i="133"/>
  <c r="G16" i="133"/>
  <c r="W17" i="133"/>
  <c r="B15" i="133"/>
  <c r="E16" i="133"/>
  <c r="N17" i="133"/>
  <c r="U17" i="133"/>
  <c r="F15" i="133"/>
  <c r="V16" i="133"/>
  <c r="R16" i="133" l="1"/>
  <c r="A282" i="87"/>
  <c r="Q16" i="133"/>
  <c r="E15" i="133"/>
  <c r="N16" i="133"/>
  <c r="U16" i="133"/>
  <c r="H15" i="133"/>
  <c r="X16" i="133"/>
  <c r="G15" i="133"/>
  <c r="W16" i="133"/>
  <c r="F14" i="133"/>
  <c r="V15" i="133"/>
  <c r="O16" i="133"/>
  <c r="D14" i="133"/>
  <c r="T15" i="133"/>
  <c r="B14" i="133"/>
  <c r="C14" i="133"/>
  <c r="S15" i="133"/>
  <c r="R15" i="133" l="1"/>
  <c r="A281" i="87"/>
  <c r="Q15" i="133"/>
  <c r="O15" i="133"/>
  <c r="D13" i="133"/>
  <c r="T14" i="133"/>
  <c r="H14" i="133"/>
  <c r="X15" i="133"/>
  <c r="G14" i="133"/>
  <c r="W15" i="133"/>
  <c r="F13" i="133"/>
  <c r="V14" i="133"/>
  <c r="B13" i="133"/>
  <c r="C13" i="133"/>
  <c r="S14" i="133"/>
  <c r="E14" i="133"/>
  <c r="Q14" i="133" s="1"/>
  <c r="N15" i="133"/>
  <c r="U15" i="133"/>
  <c r="A280" i="87" l="1"/>
  <c r="R14" i="133"/>
  <c r="G13" i="133"/>
  <c r="W14" i="133"/>
  <c r="F12" i="133"/>
  <c r="V13" i="133"/>
  <c r="E13" i="133"/>
  <c r="N14" i="133"/>
  <c r="U14" i="133"/>
  <c r="C12" i="133"/>
  <c r="S13" i="133"/>
  <c r="O14" i="133"/>
  <c r="H13" i="133"/>
  <c r="X14" i="133"/>
  <c r="B12" i="133"/>
  <c r="D12" i="133"/>
  <c r="T13" i="133"/>
  <c r="Q13" i="133" l="1"/>
  <c r="A279" i="87"/>
  <c r="O13" i="133"/>
  <c r="R13" i="133"/>
  <c r="B11" i="133"/>
  <c r="E12" i="133"/>
  <c r="Q12" i="133" s="1"/>
  <c r="N13" i="133"/>
  <c r="U13" i="133"/>
  <c r="F11" i="133"/>
  <c r="V12" i="133"/>
  <c r="H12" i="133"/>
  <c r="X13" i="133"/>
  <c r="D11" i="133"/>
  <c r="T12" i="133"/>
  <c r="C11" i="133"/>
  <c r="S12" i="133"/>
  <c r="G12" i="133"/>
  <c r="W13" i="133"/>
  <c r="A278" i="87" l="1"/>
  <c r="R12" i="133"/>
  <c r="O12" i="133"/>
  <c r="G11" i="133"/>
  <c r="W12" i="133"/>
  <c r="F10" i="133"/>
  <c r="V11" i="133"/>
  <c r="C10" i="133"/>
  <c r="S11" i="133"/>
  <c r="H11" i="133"/>
  <c r="X12" i="133"/>
  <c r="B10" i="133"/>
  <c r="E11" i="133"/>
  <c r="N12" i="133"/>
  <c r="U12" i="133"/>
  <c r="D10" i="133"/>
  <c r="T11" i="133"/>
  <c r="R11" i="133" l="1"/>
  <c r="A277" i="87"/>
  <c r="Q11" i="133"/>
  <c r="H10" i="133"/>
  <c r="X11" i="133"/>
  <c r="C9" i="133"/>
  <c r="S10" i="133"/>
  <c r="E10" i="133"/>
  <c r="N11" i="133"/>
  <c r="U11" i="133"/>
  <c r="F9" i="133"/>
  <c r="V10" i="133"/>
  <c r="O11" i="133"/>
  <c r="D9" i="133"/>
  <c r="T10" i="133"/>
  <c r="B9" i="133"/>
  <c r="G10" i="133"/>
  <c r="W11" i="133"/>
  <c r="R10" i="133" l="1"/>
  <c r="Q10" i="133"/>
  <c r="O10" i="133"/>
  <c r="A276" i="87"/>
  <c r="B8" i="133"/>
  <c r="E9" i="133"/>
  <c r="Q9" i="133" s="1"/>
  <c r="N10" i="133"/>
  <c r="U10" i="133"/>
  <c r="D8" i="133"/>
  <c r="T9" i="133"/>
  <c r="C8" i="133"/>
  <c r="S9" i="133"/>
  <c r="G9" i="133"/>
  <c r="W10" i="133"/>
  <c r="F8" i="133"/>
  <c r="V9" i="133"/>
  <c r="H9" i="133"/>
  <c r="X10" i="133"/>
  <c r="A275" i="87" l="1"/>
  <c r="R9" i="133"/>
  <c r="H8" i="133"/>
  <c r="X9" i="133"/>
  <c r="D7" i="133"/>
  <c r="T8" i="133"/>
  <c r="F7" i="133"/>
  <c r="V8" i="133"/>
  <c r="G8" i="133"/>
  <c r="W9" i="133"/>
  <c r="E8" i="133"/>
  <c r="N9" i="133"/>
  <c r="U9" i="133"/>
  <c r="O9" i="133"/>
  <c r="C7" i="133"/>
  <c r="S8" i="133"/>
  <c r="B7" i="133"/>
  <c r="R8" i="133" l="1"/>
  <c r="A274" i="87"/>
  <c r="Q8" i="133"/>
  <c r="B6" i="133"/>
  <c r="G7" i="133"/>
  <c r="W8" i="133"/>
  <c r="C6" i="133"/>
  <c r="S7" i="133"/>
  <c r="F6" i="133"/>
  <c r="V7" i="133"/>
  <c r="D6" i="133"/>
  <c r="T7" i="133"/>
  <c r="O8" i="133"/>
  <c r="E7" i="133"/>
  <c r="N8" i="133"/>
  <c r="U8" i="133"/>
  <c r="H7" i="133"/>
  <c r="X8" i="133"/>
  <c r="R7" i="133" l="1"/>
  <c r="Q7" i="133"/>
  <c r="A273" i="87"/>
  <c r="H6" i="133"/>
  <c r="X7" i="133"/>
  <c r="F5" i="133"/>
  <c r="V6" i="133"/>
  <c r="G6" i="133"/>
  <c r="W7" i="133"/>
  <c r="C5" i="133"/>
  <c r="S6" i="133"/>
  <c r="E6" i="133"/>
  <c r="N7" i="133"/>
  <c r="U7" i="133"/>
  <c r="O7" i="133"/>
  <c r="D5" i="133"/>
  <c r="T6" i="133"/>
  <c r="B5" i="133"/>
  <c r="Q6" i="133" l="1"/>
  <c r="R6" i="133"/>
  <c r="A272" i="87"/>
  <c r="F4" i="133"/>
  <c r="V5" i="133"/>
  <c r="B4" i="133"/>
  <c r="D4" i="133"/>
  <c r="T5" i="133"/>
  <c r="G5" i="133"/>
  <c r="W6" i="133"/>
  <c r="O6" i="133"/>
  <c r="C4" i="133"/>
  <c r="S5" i="133"/>
  <c r="E5" i="133"/>
  <c r="R5" i="133" s="1"/>
  <c r="N6" i="133"/>
  <c r="U6" i="133"/>
  <c r="H5" i="133"/>
  <c r="X6" i="133"/>
  <c r="A271" i="87" l="1"/>
  <c r="Q5" i="133"/>
  <c r="O5" i="133"/>
  <c r="G4" i="133"/>
  <c r="W5" i="133"/>
  <c r="E4" i="133"/>
  <c r="N5" i="133"/>
  <c r="U5" i="133"/>
  <c r="D3" i="133"/>
  <c r="T3" i="133" s="1"/>
  <c r="T4" i="133"/>
  <c r="C3" i="133"/>
  <c r="S4" i="133"/>
  <c r="B3" i="133"/>
  <c r="H4" i="133"/>
  <c r="X5" i="133"/>
  <c r="F3" i="133"/>
  <c r="V3" i="133" s="1"/>
  <c r="V4" i="133"/>
  <c r="Q4" i="133" l="1"/>
  <c r="A270" i="87"/>
  <c r="R4" i="133"/>
  <c r="S3" i="133"/>
  <c r="H3" i="133"/>
  <c r="X3" i="133" s="1"/>
  <c r="X4" i="133"/>
  <c r="O4" i="133"/>
  <c r="E3" i="133"/>
  <c r="N4" i="133"/>
  <c r="U4" i="133"/>
  <c r="G3" i="133"/>
  <c r="W3" i="133" s="1"/>
  <c r="W4" i="133"/>
  <c r="A269" i="87" l="1"/>
  <c r="R3" i="133"/>
  <c r="Q3" i="133"/>
  <c r="A268" i="87" s="1"/>
  <c r="O3" i="133"/>
  <c r="N3" i="133"/>
  <c r="U3" i="133"/>
  <c r="CT61" i="74" l="1"/>
  <c r="L65" i="111"/>
  <c r="E65" i="111" l="1"/>
  <c r="E65" i="110" s="1"/>
  <c r="CQ6" i="74"/>
  <c r="W65" i="110" l="1"/>
  <c r="X65" i="110" s="1"/>
  <c r="M10" i="111"/>
  <c r="AE6" i="74"/>
  <c r="N103" i="121" l="1"/>
  <c r="AF103" i="121" s="1"/>
  <c r="AF6" i="74"/>
  <c r="AY9" i="132"/>
  <c r="BL9" i="132" s="1"/>
  <c r="Q42" i="121" l="1"/>
  <c r="J10" i="111"/>
  <c r="E10" i="111" l="1"/>
  <c r="B10" i="111" s="1"/>
  <c r="AA42" i="121"/>
  <c r="AE42" i="121" s="1"/>
  <c r="AS61" i="74"/>
  <c r="AW61" i="74" s="1"/>
  <c r="AS37" i="74"/>
  <c r="AS60" i="74"/>
  <c r="AS26" i="74"/>
  <c r="AS59" i="74"/>
  <c r="AW59" i="74" s="1"/>
  <c r="AS54" i="74"/>
  <c r="AS48" i="74"/>
  <c r="AS53" i="74"/>
  <c r="AS49" i="74"/>
  <c r="AS32" i="74"/>
  <c r="AS24" i="74"/>
  <c r="AS16" i="74"/>
  <c r="AS58" i="74"/>
  <c r="AS30" i="74"/>
  <c r="AS50" i="74"/>
  <c r="AS35" i="74"/>
  <c r="AW35" i="74" s="1"/>
  <c r="AS43" i="74"/>
  <c r="AW43" i="74" s="1"/>
  <c r="AS46" i="74"/>
  <c r="AS45" i="74"/>
  <c r="AS18" i="74"/>
  <c r="AW18" i="74" s="1"/>
  <c r="AS55" i="74"/>
  <c r="AS38" i="74"/>
  <c r="AW38" i="74" s="1"/>
  <c r="AS41" i="74"/>
  <c r="AW41" i="74" s="1"/>
  <c r="AS23" i="74"/>
  <c r="AS21" i="74"/>
  <c r="AW21" i="74" s="1"/>
  <c r="AS40" i="74"/>
  <c r="AS29" i="74"/>
  <c r="AS57" i="74"/>
  <c r="AS47" i="74"/>
  <c r="AW47" i="74" s="1"/>
  <c r="AS39" i="74"/>
  <c r="AS27" i="74"/>
  <c r="AS33" i="74"/>
  <c r="AW33" i="74" s="1"/>
  <c r="AS22" i="74"/>
  <c r="AS56" i="74"/>
  <c r="AS44" i="74"/>
  <c r="AW44" i="74" s="1"/>
  <c r="AS52" i="74"/>
  <c r="AW52" i="74" s="1"/>
  <c r="AS28" i="74"/>
  <c r="AW28" i="74" s="1"/>
  <c r="AS25" i="74"/>
  <c r="AW25" i="74" s="1"/>
  <c r="AS19" i="74"/>
  <c r="AS36" i="74"/>
  <c r="AS42" i="74"/>
  <c r="AS34" i="74"/>
  <c r="AW34" i="74" s="1"/>
  <c r="AS51" i="74"/>
  <c r="AS17" i="74"/>
  <c r="AW17" i="74" s="1"/>
  <c r="AS31" i="74"/>
  <c r="AS20" i="74"/>
  <c r="O116" i="121" l="1"/>
  <c r="AW19" i="74"/>
  <c r="A107" i="87"/>
  <c r="AW50" i="74"/>
  <c r="A87" i="87"/>
  <c r="AW30" i="74"/>
  <c r="A88" i="87"/>
  <c r="AW31" i="74"/>
  <c r="A112" i="87"/>
  <c r="AW55" i="74"/>
  <c r="A115" i="87"/>
  <c r="AW58" i="74"/>
  <c r="O151" i="121"/>
  <c r="AF151" i="121" s="1"/>
  <c r="AW54" i="74"/>
  <c r="A114" i="87"/>
  <c r="AW57" i="74"/>
  <c r="O113" i="121"/>
  <c r="AW16" i="74"/>
  <c r="A102" i="87"/>
  <c r="AW45" i="74"/>
  <c r="A97" i="87"/>
  <c r="AW40" i="74"/>
  <c r="A94" i="87"/>
  <c r="AW37" i="74"/>
  <c r="O139" i="121"/>
  <c r="O78" i="121" s="1"/>
  <c r="AA78" i="121" s="1"/>
  <c r="AE78" i="121" s="1"/>
  <c r="AW42" i="74"/>
  <c r="O119" i="121"/>
  <c r="AF119" i="121" s="1"/>
  <c r="AW22" i="74"/>
  <c r="A106" i="87"/>
  <c r="AW49" i="74"/>
  <c r="O124" i="121"/>
  <c r="AF124" i="121" s="1"/>
  <c r="AW27" i="74"/>
  <c r="O145" i="121"/>
  <c r="AW48" i="74"/>
  <c r="A77" i="87"/>
  <c r="AW20" i="74"/>
  <c r="O136" i="121"/>
  <c r="AF136" i="121" s="1"/>
  <c r="AW39" i="74"/>
  <c r="A83" i="87"/>
  <c r="AW26" i="74"/>
  <c r="O148" i="121"/>
  <c r="O87" i="121" s="1"/>
  <c r="AA87" i="121" s="1"/>
  <c r="AE87" i="121" s="1"/>
  <c r="AW51" i="74"/>
  <c r="O126" i="121"/>
  <c r="O65" i="121" s="1"/>
  <c r="AA65" i="121" s="1"/>
  <c r="AE65" i="121" s="1"/>
  <c r="AW29" i="74"/>
  <c r="O121" i="121"/>
  <c r="AF121" i="121" s="1"/>
  <c r="AW24" i="74"/>
  <c r="O157" i="121"/>
  <c r="O96" i="121" s="1"/>
  <c r="AA96" i="121" s="1"/>
  <c r="AE96" i="121" s="1"/>
  <c r="AW60" i="74"/>
  <c r="O153" i="121"/>
  <c r="AF153" i="121" s="1"/>
  <c r="AW56" i="74"/>
  <c r="O143" i="121"/>
  <c r="AF143" i="121" s="1"/>
  <c r="AW46" i="74"/>
  <c r="O129" i="121"/>
  <c r="AF129" i="121" s="1"/>
  <c r="AW32" i="74"/>
  <c r="A93" i="87"/>
  <c r="AW36" i="74"/>
  <c r="A80" i="87"/>
  <c r="AW23" i="74"/>
  <c r="O150" i="121"/>
  <c r="AF150" i="121" s="1"/>
  <c r="AW53" i="74"/>
  <c r="A116" i="87"/>
  <c r="O125" i="121"/>
  <c r="AF125" i="121" s="1"/>
  <c r="A118" i="87"/>
  <c r="O146" i="121"/>
  <c r="AF146" i="121" s="1"/>
  <c r="O133" i="121"/>
  <c r="O72" i="121" s="1"/>
  <c r="AA72" i="121" s="1"/>
  <c r="AE72" i="121" s="1"/>
  <c r="O138" i="121"/>
  <c r="O77" i="121" s="1"/>
  <c r="O152" i="121"/>
  <c r="O91" i="121" s="1"/>
  <c r="AA91" i="121" s="1"/>
  <c r="AE91" i="121" s="1"/>
  <c r="O134" i="121"/>
  <c r="AF134" i="121" s="1"/>
  <c r="A98" i="87"/>
  <c r="A89" i="87"/>
  <c r="O128" i="121"/>
  <c r="AF128" i="121" s="1"/>
  <c r="O122" i="121"/>
  <c r="AF122" i="121" s="1"/>
  <c r="O92" i="121"/>
  <c r="A86" i="87"/>
  <c r="O117" i="121"/>
  <c r="O144" i="121"/>
  <c r="O83" i="121" s="1"/>
  <c r="O149" i="121"/>
  <c r="A110" i="87"/>
  <c r="O158" i="121"/>
  <c r="AF158" i="121" s="1"/>
  <c r="A82" i="87"/>
  <c r="O154" i="121"/>
  <c r="O142" i="121"/>
  <c r="O81" i="121" s="1"/>
  <c r="AA81" i="121" s="1"/>
  <c r="AE81" i="121" s="1"/>
  <c r="O127" i="121"/>
  <c r="AF127" i="121" s="1"/>
  <c r="A105" i="87"/>
  <c r="O156" i="121"/>
  <c r="AF156" i="121" s="1"/>
  <c r="A78" i="87"/>
  <c r="A73" i="87"/>
  <c r="A108" i="87"/>
  <c r="O130" i="121"/>
  <c r="O137" i="121"/>
  <c r="O76" i="121" s="1"/>
  <c r="O155" i="121"/>
  <c r="O118" i="121"/>
  <c r="O57" i="121" s="1"/>
  <c r="AA57" i="121" s="1"/>
  <c r="AE57" i="121" s="1"/>
  <c r="A109" i="87"/>
  <c r="A76" i="87"/>
  <c r="A99" i="87"/>
  <c r="A85" i="87"/>
  <c r="O131" i="121"/>
  <c r="O70" i="121" s="1"/>
  <c r="AA70" i="121" s="1"/>
  <c r="AE70" i="121" s="1"/>
  <c r="O135" i="121"/>
  <c r="O147" i="121"/>
  <c r="O123" i="121"/>
  <c r="AF123" i="121" s="1"/>
  <c r="A79" i="87"/>
  <c r="AF116" i="121"/>
  <c r="O55" i="121"/>
  <c r="AA55" i="121" s="1"/>
  <c r="AE55" i="121" s="1"/>
  <c r="A111" i="87"/>
  <c r="A113" i="87"/>
  <c r="A95" i="87"/>
  <c r="O141" i="121"/>
  <c r="A101" i="87"/>
  <c r="A92" i="87"/>
  <c r="O132" i="121"/>
  <c r="O115" i="121"/>
  <c r="A75" i="87"/>
  <c r="A103" i="87"/>
  <c r="A81" i="87"/>
  <c r="A117" i="87"/>
  <c r="A74" i="87"/>
  <c r="O114" i="121"/>
  <c r="A84" i="87"/>
  <c r="AF145" i="121"/>
  <c r="O84" i="121"/>
  <c r="AA84" i="121" s="1"/>
  <c r="AE84" i="121" s="1"/>
  <c r="O120" i="121"/>
  <c r="O140" i="121"/>
  <c r="A100" i="87"/>
  <c r="AF139" i="121"/>
  <c r="AF113" i="121"/>
  <c r="O52" i="121"/>
  <c r="AA52" i="121" s="1"/>
  <c r="AE52" i="121" s="1"/>
  <c r="A96" i="87"/>
  <c r="A90" i="87"/>
  <c r="A91" i="87"/>
  <c r="A104" i="87"/>
  <c r="AF126" i="121" l="1"/>
  <c r="O89" i="121"/>
  <c r="AA89" i="121" s="1"/>
  <c r="AE89" i="121" s="1"/>
  <c r="AF157" i="121"/>
  <c r="O58" i="121"/>
  <c r="AA58" i="121" s="1"/>
  <c r="AE58" i="121" s="1"/>
  <c r="O75" i="121"/>
  <c r="AA75" i="121" s="1"/>
  <c r="AE75" i="121" s="1"/>
  <c r="B96" i="121"/>
  <c r="O63" i="121"/>
  <c r="AA63" i="121" s="1"/>
  <c r="AE63" i="121" s="1"/>
  <c r="O60" i="121"/>
  <c r="AA60" i="121" s="1"/>
  <c r="AE60" i="121" s="1"/>
  <c r="O90" i="121"/>
  <c r="AA90" i="121" s="1"/>
  <c r="AE90" i="121" s="1"/>
  <c r="AF148" i="121"/>
  <c r="B87" i="121"/>
  <c r="O82" i="121"/>
  <c r="AA82" i="121" s="1"/>
  <c r="AE82" i="121" s="1"/>
  <c r="O68" i="121"/>
  <c r="AA68" i="121" s="1"/>
  <c r="AE68" i="121" s="1"/>
  <c r="B77" i="121"/>
  <c r="AA77" i="121"/>
  <c r="AE77" i="121" s="1"/>
  <c r="B92" i="121"/>
  <c r="AA92" i="121"/>
  <c r="AE92" i="121" s="1"/>
  <c r="B76" i="121"/>
  <c r="AA76" i="121"/>
  <c r="AE76" i="121" s="1"/>
  <c r="B83" i="121"/>
  <c r="AA83" i="121"/>
  <c r="AE83" i="121" s="1"/>
  <c r="AF131" i="121"/>
  <c r="O85" i="121"/>
  <c r="AF133" i="121"/>
  <c r="O64" i="121"/>
  <c r="O73" i="121"/>
  <c r="O67" i="121"/>
  <c r="AA67" i="121" s="1"/>
  <c r="AE67" i="121" s="1"/>
  <c r="AF138" i="121"/>
  <c r="AF152" i="121"/>
  <c r="B91" i="121"/>
  <c r="O97" i="121"/>
  <c r="AA97" i="121" s="1"/>
  <c r="AE97" i="121" s="1"/>
  <c r="AF142" i="121"/>
  <c r="B81" i="121"/>
  <c r="O61" i="121"/>
  <c r="AA61" i="121" s="1"/>
  <c r="AE61" i="121" s="1"/>
  <c r="B70" i="121"/>
  <c r="O95" i="121"/>
  <c r="AA95" i="121" s="1"/>
  <c r="AE95" i="121" s="1"/>
  <c r="AF144" i="121"/>
  <c r="AF149" i="121"/>
  <c r="O88" i="121"/>
  <c r="AA88" i="121" s="1"/>
  <c r="AE88" i="121" s="1"/>
  <c r="O93" i="121"/>
  <c r="AA93" i="121" s="1"/>
  <c r="AE93" i="121" s="1"/>
  <c r="AF154" i="121"/>
  <c r="AF137" i="121"/>
  <c r="AF117" i="121"/>
  <c r="O56" i="121"/>
  <c r="AA56" i="121" s="1"/>
  <c r="AE56" i="121" s="1"/>
  <c r="O66" i="121"/>
  <c r="AA66" i="121" s="1"/>
  <c r="AE66" i="121" s="1"/>
  <c r="O62" i="121"/>
  <c r="AF135" i="121"/>
  <c r="O74" i="121"/>
  <c r="AA74" i="121" s="1"/>
  <c r="AE74" i="121" s="1"/>
  <c r="B57" i="121"/>
  <c r="AF118" i="121"/>
  <c r="AF155" i="121"/>
  <c r="O94" i="121"/>
  <c r="AA94" i="121" s="1"/>
  <c r="AE94" i="121" s="1"/>
  <c r="O69" i="121"/>
  <c r="AA69" i="121" s="1"/>
  <c r="AE69" i="121" s="1"/>
  <c r="AF130" i="121"/>
  <c r="B65" i="121"/>
  <c r="AF147" i="121"/>
  <c r="O86" i="121"/>
  <c r="AA86" i="121" s="1"/>
  <c r="AE86" i="121" s="1"/>
  <c r="O79" i="121"/>
  <c r="AA79" i="121" s="1"/>
  <c r="AE79" i="121" s="1"/>
  <c r="AF140" i="121"/>
  <c r="B84" i="121"/>
  <c r="O71" i="121"/>
  <c r="AA71" i="121" s="1"/>
  <c r="AE71" i="121" s="1"/>
  <c r="AF132" i="121"/>
  <c r="O59" i="121"/>
  <c r="AA59" i="121" s="1"/>
  <c r="AE59" i="121" s="1"/>
  <c r="AF120" i="121"/>
  <c r="B52" i="121"/>
  <c r="B72" i="121"/>
  <c r="AF114" i="121"/>
  <c r="O53" i="121"/>
  <c r="AA53" i="121" s="1"/>
  <c r="AE53" i="121" s="1"/>
  <c r="O54" i="121"/>
  <c r="AA54" i="121" s="1"/>
  <c r="AE54" i="121" s="1"/>
  <c r="AF115" i="121"/>
  <c r="O80" i="121"/>
  <c r="AA80" i="121" s="1"/>
  <c r="AE80" i="121" s="1"/>
  <c r="AF141" i="121"/>
  <c r="B55" i="121"/>
  <c r="B78" i="121"/>
  <c r="AH98" i="121" l="1"/>
  <c r="B89" i="121"/>
  <c r="B58" i="121"/>
  <c r="B75" i="121"/>
  <c r="B63" i="121"/>
  <c r="B90" i="121"/>
  <c r="B60" i="121"/>
  <c r="B82" i="121"/>
  <c r="B68" i="121"/>
  <c r="B85" i="121"/>
  <c r="AA85" i="121"/>
  <c r="AE85" i="121" s="1"/>
  <c r="B64" i="121"/>
  <c r="AA64" i="121"/>
  <c r="AE64" i="121" s="1"/>
  <c r="B62" i="121"/>
  <c r="AA62" i="121"/>
  <c r="AE62" i="121" s="1"/>
  <c r="B73" i="121"/>
  <c r="AA73" i="121"/>
  <c r="AE73" i="121" s="1"/>
  <c r="B67" i="121"/>
  <c r="B97" i="121"/>
  <c r="B61" i="121"/>
  <c r="B95" i="121"/>
  <c r="B66" i="121"/>
  <c r="B93" i="121"/>
  <c r="B88" i="121"/>
  <c r="B56" i="121"/>
  <c r="B86" i="121"/>
  <c r="B69" i="121"/>
  <c r="B74" i="121"/>
  <c r="B94" i="121"/>
  <c r="B71" i="121"/>
  <c r="B53" i="121"/>
  <c r="B80" i="121"/>
  <c r="B54" i="121"/>
  <c r="B59" i="121"/>
  <c r="B79" i="121"/>
  <c r="AS12" i="74"/>
  <c r="AS13" i="74"/>
  <c r="AS10" i="74"/>
  <c r="AW10" i="74" s="1"/>
  <c r="AS14" i="74"/>
  <c r="AS15" i="74"/>
  <c r="AW15" i="74" s="1"/>
  <c r="AS8" i="74"/>
  <c r="A70" i="87" l="1"/>
  <c r="AW13" i="74"/>
  <c r="A71" i="87"/>
  <c r="AW14" i="74"/>
  <c r="A69" i="87"/>
  <c r="AW12" i="74"/>
  <c r="O105" i="121"/>
  <c r="AF105" i="121" s="1"/>
  <c r="AW8" i="74"/>
  <c r="O110" i="121"/>
  <c r="O107" i="121"/>
  <c r="AF107" i="121" s="1"/>
  <c r="O109" i="121"/>
  <c r="O48" i="121" s="1"/>
  <c r="AA48" i="121" s="1"/>
  <c r="AE48" i="121" s="1"/>
  <c r="O112" i="121"/>
  <c r="O111" i="121"/>
  <c r="AF111" i="121" s="1"/>
  <c r="A72" i="87"/>
  <c r="A67" i="87"/>
  <c r="A65" i="87"/>
  <c r="O44" i="121" l="1"/>
  <c r="AA44" i="121" s="1"/>
  <c r="AE44" i="121" s="1"/>
  <c r="O46" i="121"/>
  <c r="AA46" i="121" s="1"/>
  <c r="AE46" i="121" s="1"/>
  <c r="B48" i="121"/>
  <c r="O49" i="121"/>
  <c r="AA49" i="121" s="1"/>
  <c r="AE49" i="121" s="1"/>
  <c r="AF110" i="121"/>
  <c r="O50" i="121"/>
  <c r="AF109" i="121"/>
  <c r="AF112" i="121"/>
  <c r="O51" i="121"/>
  <c r="AA51" i="121" s="1"/>
  <c r="AE51" i="121" s="1"/>
  <c r="O43" i="121" l="1"/>
  <c r="B44" i="121"/>
  <c r="B50" i="121"/>
  <c r="AA50" i="121"/>
  <c r="AE50" i="121" s="1"/>
  <c r="AH42" i="121" s="1"/>
  <c r="O45" i="121"/>
  <c r="AA45" i="121" s="1"/>
  <c r="B46" i="121"/>
  <c r="B47" i="121" s="1"/>
  <c r="O47" i="121"/>
  <c r="AA47" i="121" s="1"/>
  <c r="B49" i="121"/>
  <c r="B51" i="121"/>
  <c r="AO11" i="114"/>
  <c r="AP11" i="114" s="1"/>
  <c r="AQ11" i="114" s="1"/>
  <c r="AR11" i="114" s="1"/>
  <c r="AE98" i="121" l="1"/>
  <c r="B45" i="121"/>
  <c r="B42" i="121" l="1"/>
  <c r="B43" i="121" s="1"/>
  <c r="Q43" i="121"/>
  <c r="AA43" i="121" s="1"/>
  <c r="AA98" i="121" s="1"/>
  <c r="BL57" i="132" l="1"/>
  <c r="BL56" i="132"/>
  <c r="E35" i="110"/>
  <c r="W35" i="110" s="1"/>
  <c r="E41" i="110"/>
  <c r="E58" i="110"/>
  <c r="W58" i="110" s="1"/>
  <c r="B58" i="111"/>
  <c r="E53" i="110"/>
  <c r="B53" i="111"/>
  <c r="E32" i="110"/>
  <c r="E40" i="110"/>
  <c r="B47" i="111"/>
  <c r="E47" i="110"/>
  <c r="B17" i="111"/>
  <c r="E17" i="110"/>
  <c r="W17" i="110" s="1"/>
  <c r="E36" i="110"/>
  <c r="E14" i="110"/>
  <c r="B31" i="111"/>
  <c r="E31" i="110"/>
  <c r="E42" i="110"/>
  <c r="W42" i="110" s="1"/>
  <c r="E20" i="110"/>
  <c r="B41" i="111"/>
  <c r="E33" i="110"/>
  <c r="W33" i="110" s="1"/>
  <c r="E19" i="110"/>
  <c r="E24" i="110"/>
  <c r="E26" i="110"/>
  <c r="B26" i="111"/>
  <c r="B35" i="111"/>
  <c r="B40" i="111"/>
  <c r="B43" i="111"/>
  <c r="E43" i="110"/>
  <c r="B18" i="111"/>
  <c r="E18" i="110"/>
  <c r="W18" i="110" s="1"/>
  <c r="B14" i="111"/>
  <c r="B36" i="111"/>
  <c r="B24" i="111"/>
  <c r="E59" i="110"/>
  <c r="B59" i="111"/>
  <c r="E50" i="110"/>
  <c r="W50" i="110" s="1"/>
  <c r="B50" i="111"/>
  <c r="B32" i="111"/>
  <c r="B46" i="111"/>
  <c r="E46" i="110"/>
  <c r="W46" i="110" s="1"/>
  <c r="B27" i="111"/>
  <c r="E27" i="110"/>
  <c r="W27" i="110" s="1"/>
  <c r="E62" i="110"/>
  <c r="W62" i="110" s="1"/>
  <c r="B62" i="111"/>
  <c r="B45" i="111"/>
  <c r="E45" i="110"/>
  <c r="W45" i="110" s="1"/>
  <c r="E34" i="110"/>
  <c r="E60" i="110"/>
  <c r="W60" i="110" s="1"/>
  <c r="B60" i="111"/>
  <c r="E64" i="110"/>
  <c r="W64" i="110" s="1"/>
  <c r="B64" i="111"/>
  <c r="B22" i="111"/>
  <c r="E22" i="110"/>
  <c r="W22" i="110" s="1"/>
  <c r="B19" i="111"/>
  <c r="B63" i="111"/>
  <c r="E63" i="110"/>
  <c r="E38" i="110"/>
  <c r="E49" i="110"/>
  <c r="B49" i="111"/>
  <c r="B34" i="111"/>
  <c r="B52" i="111"/>
  <c r="E52" i="110"/>
  <c r="W52" i="110" s="1"/>
  <c r="E55" i="110"/>
  <c r="W55" i="110" s="1"/>
  <c r="B55" i="111"/>
  <c r="B51" i="111"/>
  <c r="E51" i="110"/>
  <c r="W51" i="110" s="1"/>
  <c r="B57" i="111"/>
  <c r="E57" i="110"/>
  <c r="B23" i="111"/>
  <c r="E23" i="110"/>
  <c r="B33" i="111"/>
  <c r="B20" i="111"/>
  <c r="E29" i="110"/>
  <c r="B29" i="111"/>
  <c r="B44" i="111"/>
  <c r="E44" i="110"/>
  <c r="W44" i="110" s="1"/>
  <c r="B37" i="111"/>
  <c r="E16" i="110"/>
  <c r="B30" i="111"/>
  <c r="B54" i="111"/>
  <c r="E54" i="110"/>
  <c r="W54" i="110" s="1"/>
  <c r="B28" i="111"/>
  <c r="E56" i="110"/>
  <c r="E61" i="110"/>
  <c r="W61" i="110" s="1"/>
  <c r="B23" i="110" l="1"/>
  <c r="AB23" i="110" s="1"/>
  <c r="AC23" i="110" s="1"/>
  <c r="W23" i="110"/>
  <c r="B14" i="110"/>
  <c r="AB14" i="110" s="1"/>
  <c r="AC14" i="110" s="1"/>
  <c r="W14" i="110"/>
  <c r="X14" i="110" s="1"/>
  <c r="W36" i="110"/>
  <c r="X36" i="110" s="1"/>
  <c r="W43" i="110"/>
  <c r="X43" i="110" s="1"/>
  <c r="W19" i="110"/>
  <c r="X19" i="110" s="1"/>
  <c r="B49" i="110"/>
  <c r="AB49" i="110" s="1"/>
  <c r="AC49" i="110" s="1"/>
  <c r="W49" i="110"/>
  <c r="X49" i="110" s="1"/>
  <c r="B20" i="110"/>
  <c r="AB20" i="110" s="1"/>
  <c r="AC20" i="110" s="1"/>
  <c r="W20" i="110"/>
  <c r="X20" i="110" s="1"/>
  <c r="B29" i="110"/>
  <c r="AB29" i="110" s="1"/>
  <c r="AC29" i="110" s="1"/>
  <c r="W29" i="110"/>
  <c r="X29" i="110" s="1"/>
  <c r="B38" i="110"/>
  <c r="AB38" i="110" s="1"/>
  <c r="AC38" i="110" s="1"/>
  <c r="W38" i="110"/>
  <c r="X38" i="110" s="1"/>
  <c r="B53" i="110"/>
  <c r="AB53" i="110" s="1"/>
  <c r="AC53" i="110" s="1"/>
  <c r="W53" i="110"/>
  <c r="X53" i="110" s="1"/>
  <c r="B57" i="110"/>
  <c r="AB57" i="110" s="1"/>
  <c r="AC57" i="110" s="1"/>
  <c r="W57" i="110"/>
  <c r="X57" i="110" s="1"/>
  <c r="W47" i="110"/>
  <c r="X47" i="110" s="1"/>
  <c r="B63" i="110"/>
  <c r="AB63" i="110" s="1"/>
  <c r="AC63" i="110" s="1"/>
  <c r="W63" i="110"/>
  <c r="X63" i="110" s="1"/>
  <c r="W31" i="110"/>
  <c r="X31" i="110" s="1"/>
  <c r="B40" i="110"/>
  <c r="AB40" i="110" s="1"/>
  <c r="AC40" i="110" s="1"/>
  <c r="W40" i="110"/>
  <c r="X40" i="110" s="1"/>
  <c r="B16" i="110"/>
  <c r="AB16" i="110" s="1"/>
  <c r="AC16" i="110" s="1"/>
  <c r="W16" i="110"/>
  <c r="X16" i="110" s="1"/>
  <c r="W24" i="110"/>
  <c r="X24" i="110" s="1"/>
  <c r="B56" i="110"/>
  <c r="AB56" i="110" s="1"/>
  <c r="AC56" i="110" s="1"/>
  <c r="W56" i="110"/>
  <c r="X56" i="110" s="1"/>
  <c r="B59" i="110"/>
  <c r="AB59" i="110" s="1"/>
  <c r="AC59" i="110" s="1"/>
  <c r="W59" i="110"/>
  <c r="X59" i="110" s="1"/>
  <c r="B41" i="110"/>
  <c r="AB41" i="110" s="1"/>
  <c r="AC41" i="110" s="1"/>
  <c r="W41" i="110"/>
  <c r="X41" i="110" s="1"/>
  <c r="W34" i="110"/>
  <c r="X34" i="110" s="1"/>
  <c r="B26" i="110"/>
  <c r="AB26" i="110" s="1"/>
  <c r="AC26" i="110" s="1"/>
  <c r="W26" i="110"/>
  <c r="X26" i="110" s="1"/>
  <c r="W32" i="110"/>
  <c r="X32" i="110" s="1"/>
  <c r="B24" i="110"/>
  <c r="AB24" i="110" s="1"/>
  <c r="AC24" i="110" s="1"/>
  <c r="B47" i="110"/>
  <c r="AB47" i="110" s="1"/>
  <c r="B34" i="110"/>
  <c r="AB34" i="110" s="1"/>
  <c r="AC34" i="110" s="1"/>
  <c r="B36" i="110"/>
  <c r="AB36" i="110" s="1"/>
  <c r="AC36" i="110" s="1"/>
  <c r="B32" i="110"/>
  <c r="B44" i="110"/>
  <c r="X44" i="110"/>
  <c r="B43" i="110"/>
  <c r="X33" i="110"/>
  <c r="B33" i="110"/>
  <c r="B56" i="111"/>
  <c r="B42" i="111"/>
  <c r="X18" i="110"/>
  <c r="B18" i="110"/>
  <c r="B38" i="111"/>
  <c r="B64" i="110"/>
  <c r="X64" i="110"/>
  <c r="B45" i="110"/>
  <c r="X45" i="110"/>
  <c r="X27" i="110"/>
  <c r="B27" i="110"/>
  <c r="X22" i="110"/>
  <c r="B22" i="110"/>
  <c r="X46" i="110"/>
  <c r="B46" i="110"/>
  <c r="E25" i="110"/>
  <c r="W25" i="110" s="1"/>
  <c r="B25" i="111"/>
  <c r="E39" i="110"/>
  <c r="W39" i="110" s="1"/>
  <c r="B39" i="111"/>
  <c r="B58" i="110"/>
  <c r="X58" i="110"/>
  <c r="B35" i="110"/>
  <c r="X35" i="110"/>
  <c r="B55" i="110"/>
  <c r="X55" i="110"/>
  <c r="X62" i="110"/>
  <c r="B62" i="110"/>
  <c r="X61" i="110"/>
  <c r="B61" i="110"/>
  <c r="X42" i="110"/>
  <c r="B42" i="110"/>
  <c r="B54" i="110"/>
  <c r="X54" i="110"/>
  <c r="E21" i="110"/>
  <c r="W21" i="110" s="1"/>
  <c r="B21" i="111"/>
  <c r="X50" i="110"/>
  <c r="B50" i="110"/>
  <c r="E48" i="110"/>
  <c r="W48" i="110" s="1"/>
  <c r="B48" i="111"/>
  <c r="B51" i="110"/>
  <c r="X51" i="110"/>
  <c r="X52" i="110"/>
  <c r="B52" i="110"/>
  <c r="X23" i="110"/>
  <c r="X60" i="110"/>
  <c r="B60" i="110"/>
  <c r="B65" i="111"/>
  <c r="B19" i="110"/>
  <c r="AB19" i="110" s="1"/>
  <c r="AC19" i="110" s="1"/>
  <c r="B17" i="110"/>
  <c r="AB17" i="110" s="1"/>
  <c r="AC17" i="110" s="1"/>
  <c r="X17" i="110"/>
  <c r="E37" i="110"/>
  <c r="W37" i="110" s="1"/>
  <c r="B31" i="110"/>
  <c r="B61" i="111"/>
  <c r="E28" i="110"/>
  <c r="W28" i="110" s="1"/>
  <c r="E30" i="110"/>
  <c r="W30" i="110" s="1"/>
  <c r="AA63" i="110" l="1"/>
  <c r="AA29" i="110"/>
  <c r="AA40" i="110"/>
  <c r="AA57" i="110"/>
  <c r="AA49" i="110"/>
  <c r="AA53" i="110"/>
  <c r="AA24" i="110"/>
  <c r="AA38" i="110"/>
  <c r="AA20" i="110"/>
  <c r="AC47" i="110"/>
  <c r="AA47" i="110"/>
  <c r="AA23" i="110"/>
  <c r="AA36" i="110"/>
  <c r="AA59" i="110"/>
  <c r="AB32" i="110"/>
  <c r="AC32" i="110" s="1"/>
  <c r="AB52" i="110"/>
  <c r="AC52" i="110" s="1"/>
  <c r="AB64" i="110"/>
  <c r="AC64" i="110" s="1"/>
  <c r="B48" i="110"/>
  <c r="X48" i="110"/>
  <c r="AB43" i="110"/>
  <c r="AC43" i="110" s="1"/>
  <c r="AB61" i="110"/>
  <c r="AC61" i="110" s="1"/>
  <c r="AB62" i="110"/>
  <c r="AC62" i="110" s="1"/>
  <c r="AB35" i="110"/>
  <c r="AC35" i="110" s="1"/>
  <c r="B25" i="110"/>
  <c r="X25" i="110"/>
  <c r="B30" i="110"/>
  <c r="X30" i="110"/>
  <c r="B65" i="110"/>
  <c r="AB51" i="110"/>
  <c r="AC51" i="110" s="1"/>
  <c r="AB50" i="110"/>
  <c r="AC50" i="110" s="1"/>
  <c r="AB46" i="110"/>
  <c r="AC46" i="110" s="1"/>
  <c r="AB27" i="110"/>
  <c r="AC27" i="110" s="1"/>
  <c r="X28" i="110"/>
  <c r="B28" i="110"/>
  <c r="AB55" i="110"/>
  <c r="AC55" i="110" s="1"/>
  <c r="AB54" i="110"/>
  <c r="AC54" i="110" s="1"/>
  <c r="AA41" i="110"/>
  <c r="AB58" i="110"/>
  <c r="AC58" i="110" s="1"/>
  <c r="AB60" i="110"/>
  <c r="AC60" i="110" s="1"/>
  <c r="AB42" i="110"/>
  <c r="AC42" i="110" s="1"/>
  <c r="AB22" i="110"/>
  <c r="AC22" i="110" s="1"/>
  <c r="AA14" i="110"/>
  <c r="AB33" i="110"/>
  <c r="AC33" i="110" s="1"/>
  <c r="AA56" i="110"/>
  <c r="AB31" i="110"/>
  <c r="AC31" i="110" s="1"/>
  <c r="AA26" i="110"/>
  <c r="B39" i="110"/>
  <c r="X39" i="110"/>
  <c r="AB45" i="110"/>
  <c r="AC45" i="110" s="1"/>
  <c r="AB18" i="110"/>
  <c r="AC18" i="110" s="1"/>
  <c r="X37" i="110"/>
  <c r="B37" i="110"/>
  <c r="X21" i="110"/>
  <c r="B21" i="110"/>
  <c r="AA34" i="110"/>
  <c r="AB44" i="110"/>
  <c r="AC44" i="110" s="1"/>
  <c r="AA54" i="110" l="1"/>
  <c r="AA62" i="110"/>
  <c r="AA52" i="110"/>
  <c r="AA16" i="110"/>
  <c r="AA32" i="110"/>
  <c r="AA58" i="110"/>
  <c r="AA19" i="110"/>
  <c r="AA43" i="110"/>
  <c r="AA60" i="110"/>
  <c r="AA64" i="110"/>
  <c r="AA17" i="110"/>
  <c r="AA35" i="110"/>
  <c r="AB21" i="110"/>
  <c r="AC21" i="110" s="1"/>
  <c r="AB39" i="110"/>
  <c r="AC39" i="110" s="1"/>
  <c r="AA46" i="110"/>
  <c r="AA61" i="110"/>
  <c r="AB37" i="110"/>
  <c r="AC37" i="110" s="1"/>
  <c r="AB25" i="110"/>
  <c r="AC25" i="110" s="1"/>
  <c r="AA33" i="110"/>
  <c r="AA55" i="110"/>
  <c r="AB30" i="110"/>
  <c r="AC30" i="110" s="1"/>
  <c r="AB28" i="110"/>
  <c r="AC28" i="110" s="1"/>
  <c r="AA50" i="110"/>
  <c r="AA44" i="110"/>
  <c r="AA22" i="110"/>
  <c r="AA18" i="110"/>
  <c r="AA51" i="110"/>
  <c r="AB48" i="110"/>
  <c r="AC48" i="110" s="1"/>
  <c r="AA31" i="110"/>
  <c r="AA42" i="110"/>
  <c r="AA45" i="110"/>
  <c r="AA27" i="110"/>
  <c r="AB65" i="110"/>
  <c r="AC65" i="110" s="1"/>
  <c r="AA25" i="110" l="1"/>
  <c r="AA28" i="110"/>
  <c r="AA65" i="110"/>
  <c r="AA48" i="110"/>
  <c r="AA37" i="110"/>
  <c r="AA30" i="110"/>
  <c r="AA39" i="110"/>
  <c r="AA21" i="110"/>
  <c r="E10" i="110"/>
  <c r="W10" i="110" s="1"/>
  <c r="B12" i="111"/>
  <c r="X10" i="110" l="1"/>
  <c r="E12" i="110"/>
  <c r="B10" i="110"/>
  <c r="AB10" i="110" s="1"/>
  <c r="AC10" i="110" s="1"/>
  <c r="B12" i="110" l="1"/>
  <c r="AB12" i="110" s="1"/>
  <c r="AC12" i="110" s="1"/>
  <c r="W12" i="110"/>
  <c r="X12" i="110" s="1"/>
  <c r="AA10" i="110"/>
  <c r="AA12" i="110" l="1"/>
  <c r="R6" i="73"/>
  <c r="BD9" i="69" l="1"/>
  <c r="N34" i="152"/>
  <c r="AB9" i="69"/>
  <c r="AP9" i="69"/>
  <c r="W9" i="69"/>
  <c r="BB9" i="69"/>
  <c r="AA9" i="69"/>
  <c r="I9" i="69"/>
  <c r="P9" i="69"/>
  <c r="AY9" i="69"/>
  <c r="AT9" i="69"/>
  <c r="AM9" i="69"/>
  <c r="AK9" i="69"/>
  <c r="R9" i="69"/>
  <c r="K9" i="69"/>
  <c r="T9" i="69"/>
  <c r="U9" i="69"/>
  <c r="AN9" i="69"/>
  <c r="AO9" i="69"/>
  <c r="M9" i="69"/>
  <c r="Z9" i="69"/>
  <c r="AR9" i="69"/>
  <c r="Q9" i="69"/>
  <c r="X9" i="69"/>
  <c r="N9" i="69"/>
  <c r="AZ9" i="69"/>
  <c r="S9" i="69"/>
  <c r="Y9" i="69"/>
  <c r="AU9" i="69"/>
  <c r="AW9" i="69"/>
  <c r="AV9" i="69"/>
  <c r="BA9" i="69"/>
  <c r="AS9" i="69"/>
  <c r="L9" i="69"/>
  <c r="AL9" i="69"/>
  <c r="T6" i="73"/>
  <c r="N34" i="146"/>
  <c r="BC9" i="69"/>
  <c r="J9" i="69"/>
  <c r="G34" i="146" l="1"/>
  <c r="H34" i="146"/>
  <c r="J34" i="152"/>
  <c r="J93" i="152" s="1"/>
  <c r="H34" i="152"/>
  <c r="H93" i="152" s="1"/>
  <c r="G34" i="152"/>
  <c r="G93" i="152" s="1"/>
  <c r="J34" i="146"/>
  <c r="D42" i="141"/>
  <c r="E5" i="141"/>
  <c r="E20" i="141" s="1"/>
  <c r="I19" i="141" l="1"/>
  <c r="I9" i="141"/>
  <c r="I11" i="141"/>
  <c r="I12" i="141"/>
  <c r="I6" i="141"/>
  <c r="I15" i="141"/>
  <c r="I17" i="141"/>
  <c r="I16" i="141"/>
  <c r="I5" i="141"/>
  <c r="I10" i="141"/>
  <c r="I18" i="141"/>
  <c r="I8" i="141"/>
  <c r="I7" i="141"/>
  <c r="I13" i="141"/>
  <c r="I14" i="141"/>
  <c r="J42" i="141" l="1"/>
  <c r="I20" i="141"/>
  <c r="I42" i="141" l="1"/>
  <c r="E70" i="127" l="1"/>
  <c r="I34" i="146" l="1"/>
  <c r="D34" i="152"/>
  <c r="I34" i="152" s="1"/>
  <c r="I93" i="152" s="1"/>
</calcChain>
</file>

<file path=xl/sharedStrings.xml><?xml version="1.0" encoding="utf-8"?>
<sst xmlns="http://schemas.openxmlformats.org/spreadsheetml/2006/main" count="6957" uniqueCount="2235">
  <si>
    <t>(1)</t>
  </si>
  <si>
    <t>(2)</t>
  </si>
  <si>
    <t>(3)</t>
  </si>
  <si>
    <t>(4)</t>
  </si>
  <si>
    <t>(5)</t>
  </si>
  <si>
    <t>(6)</t>
  </si>
  <si>
    <t>Year</t>
  </si>
  <si>
    <t>N. tax units</t>
  </si>
  <si>
    <t>Total income</t>
  </si>
  <si>
    <t>Total Income</t>
  </si>
  <si>
    <t>(thousands)</t>
  </si>
  <si>
    <t>(%)</t>
  </si>
  <si>
    <t>(millions $)</t>
  </si>
  <si>
    <t>P90-100</t>
  </si>
  <si>
    <t>P95-100</t>
  </si>
  <si>
    <t>P99-100</t>
  </si>
  <si>
    <t>P99.5-100</t>
  </si>
  <si>
    <t>P99.9-100</t>
  </si>
  <si>
    <t>P99.99-100</t>
  </si>
  <si>
    <t>P90-95</t>
  </si>
  <si>
    <t>P95-99</t>
  </si>
  <si>
    <t>P99-99.5</t>
  </si>
  <si>
    <t>P99.9-99.99</t>
  </si>
  <si>
    <t>Top 0.01%</t>
  </si>
  <si>
    <t>Top 10%</t>
  </si>
  <si>
    <t>Top 5%</t>
  </si>
  <si>
    <t>Top 1%</t>
  </si>
  <si>
    <t>Top 0.1%</t>
  </si>
  <si>
    <t>Top 0.5%</t>
  </si>
  <si>
    <t>P0-90</t>
  </si>
  <si>
    <t>Non-filers</t>
  </si>
  <si>
    <t xml:space="preserve"> </t>
  </si>
  <si>
    <t>P0-100</t>
  </si>
  <si>
    <t>All ages</t>
  </si>
  <si>
    <t>Filers</t>
  </si>
  <si>
    <t>($)</t>
  </si>
  <si>
    <t>IRS Compliance Data Warehouse</t>
  </si>
  <si>
    <t>Total wages</t>
  </si>
  <si>
    <t>Dividends</t>
  </si>
  <si>
    <t>Wages</t>
  </si>
  <si>
    <t>ITIN filers</t>
  </si>
  <si>
    <t>Avg. Income</t>
  </si>
  <si>
    <t>&gt;=20 yrs old</t>
  </si>
  <si>
    <t>Remove dependent filers</t>
  </si>
  <si>
    <t>Add employer payroll tax</t>
  </si>
  <si>
    <t>(fractiles are defined by total income (excluding capital gains))</t>
  </si>
  <si>
    <t>1. Piketty-Saez income replication (excluding capital gains)</t>
  </si>
  <si>
    <t>----</t>
  </si>
  <si>
    <t>Correct income definition</t>
  </si>
  <si>
    <t>Adjustments</t>
  </si>
  <si>
    <t>---</t>
  </si>
  <si>
    <t>Ci2. Include tax-exempt interest</t>
  </si>
  <si>
    <t>Ci1: Remove non-deductible losses (before 1987)</t>
  </si>
  <si>
    <t>Remove &lt;20 yr old filers</t>
  </si>
  <si>
    <t>Add tax-exempt interest</t>
  </si>
  <si>
    <t>Add SS  benefits</t>
  </si>
  <si>
    <t>Add UI benefits</t>
  </si>
  <si>
    <t>Add other cash transfers</t>
  </si>
  <si>
    <t>Final Year</t>
  </si>
  <si>
    <t>Initial Year</t>
  </si>
  <si>
    <t>Remove tax refunds</t>
  </si>
  <si>
    <t>All Years</t>
  </si>
  <si>
    <t>Tax return microdata</t>
  </si>
  <si>
    <t>Tax return and Social Security microdata</t>
  </si>
  <si>
    <t>Remove net operating losses</t>
  </si>
  <si>
    <t>Adjustment Method</t>
  </si>
  <si>
    <t>Include excluded dividends</t>
  </si>
  <si>
    <t>Before 1989, equals 80 percent of other income losses</t>
  </si>
  <si>
    <t>Misc Inc.</t>
  </si>
  <si>
    <t>Txbl. Retire</t>
  </si>
  <si>
    <t>%Filer Inc.</t>
  </si>
  <si>
    <t>Add tax-exempt combat pay</t>
  </si>
  <si>
    <t>Data source</t>
  </si>
  <si>
    <t>Tax return microdata &amp; NIPA Table 3.12</t>
  </si>
  <si>
    <t>Add C-corp retained earnings</t>
  </si>
  <si>
    <t>NIPA Table 3.12</t>
  </si>
  <si>
    <t>Total of all provisions (nominal)</t>
  </si>
  <si>
    <t>Pension: repeal 3-year basis recovery</t>
  </si>
  <si>
    <t>Pension: raise age limits, reduce DBs</t>
  </si>
  <si>
    <t>Adjustments to sec. 404 limits</t>
  </si>
  <si>
    <t>Non-discrimination benefit rules</t>
  </si>
  <si>
    <t>Unearned income of children under 14 (part)</t>
  </si>
  <si>
    <t>Repeal unemployment compensation exclusion</t>
  </si>
  <si>
    <t>Limit exclusion of scholarships/fellowships</t>
  </si>
  <si>
    <t>Limit deduction for meals, travel, etc. (Sch. C)</t>
  </si>
  <si>
    <t>Limit on passive losses</t>
  </si>
  <si>
    <t>At-risk rules on real estate</t>
  </si>
  <si>
    <t>Repeal dividend exclusion ($100/$200)</t>
  </si>
  <si>
    <t>Recognition of gain/loss in liq. distrib.</t>
  </si>
  <si>
    <t>Purchase price allocation</t>
  </si>
  <si>
    <t>RIC end of year distributions timing/excise tax</t>
  </si>
  <si>
    <t>Installment sales</t>
  </si>
  <si>
    <t>Total income on tax return (total effects)</t>
  </si>
  <si>
    <t>Depreciation effects on tax returns (total effects)</t>
  </si>
  <si>
    <t>Depreciation, expensing (individual portion)</t>
  </si>
  <si>
    <t>Amortization of trademarks and tradenames</t>
  </si>
  <si>
    <t>Agricultural expensing and prepayment</t>
  </si>
  <si>
    <t>Oil, gas, and geological depletion</t>
  </si>
  <si>
    <t>Simplify LIFO for small business</t>
  </si>
  <si>
    <t>Capitalize inventory, construction, and dev.</t>
  </si>
  <si>
    <t>Long-term contracts</t>
  </si>
  <si>
    <t>Repeal reserve for bad debt</t>
  </si>
  <si>
    <t>Taxation of prizes and awards</t>
  </si>
  <si>
    <t>SEP plans</t>
  </si>
  <si>
    <t>Cap employee contributions to 401k, 403b</t>
  </si>
  <si>
    <t>Bd1. Add Social Security benefits</t>
  </si>
  <si>
    <t>Bd2. Add UI benefits</t>
  </si>
  <si>
    <t>Bd3. Add cash welfare and tax credits</t>
  </si>
  <si>
    <t xml:space="preserve">Bd4. Add Medicare </t>
  </si>
  <si>
    <t>Bd5. Add other transfers</t>
  </si>
  <si>
    <t>Add Medicare</t>
  </si>
  <si>
    <t>Add other non-cash transfers</t>
  </si>
  <si>
    <t>1960-2013</t>
  </si>
  <si>
    <r>
      <rPr>
        <i/>
        <sz val="10"/>
        <color theme="1"/>
        <rFont val="Times New Roman"/>
        <family val="1"/>
      </rPr>
      <t>Sources</t>
    </r>
    <r>
      <rPr>
        <sz val="10"/>
        <color theme="1"/>
        <rFont val="Times New Roman"/>
        <family val="1"/>
      </rPr>
      <t>: 1985 base year individual tax return panel and authors’ calculations.</t>
    </r>
  </si>
  <si>
    <t>New S corporations and partnerships are for taxpayers not reporting income from these sources in 1985 or 1986.</t>
  </si>
  <si>
    <t xml:space="preserve">   Wages (%)</t>
  </si>
  <si>
    <t xml:space="preserve">   Partnership, net (%)</t>
  </si>
  <si>
    <t xml:space="preserve">   S corporation, net (%)</t>
  </si>
  <si>
    <t xml:space="preserve">   Other (%)</t>
  </si>
  <si>
    <t xml:space="preserve">   Base changes, partial (%)</t>
  </si>
  <si>
    <t xml:space="preserve">   Self-employment, net (%)</t>
  </si>
  <si>
    <t>Total market income ($)</t>
  </si>
  <si>
    <t>Piketty and Saez Market Income (including capital gains)</t>
  </si>
  <si>
    <t>Real growth</t>
  </si>
  <si>
    <t>1980-2010</t>
  </si>
  <si>
    <t>1975-2006 annual</t>
  </si>
  <si>
    <t>1976-2007 annual</t>
  </si>
  <si>
    <t>1975-2008</t>
  </si>
  <si>
    <t>1989-2008</t>
  </si>
  <si>
    <t>1989-2004</t>
  </si>
  <si>
    <t>1993-2000</t>
  </si>
  <si>
    <t>1993-2000 annual</t>
  </si>
  <si>
    <t xml:space="preserve">2002-2007 </t>
  </si>
  <si>
    <t>2002-2007 annual</t>
  </si>
  <si>
    <t xml:space="preserve">2007-2009 </t>
  </si>
  <si>
    <t>2007-2009 annual</t>
  </si>
  <si>
    <t>1993-2014</t>
  </si>
  <si>
    <t>1993-2010 annual</t>
  </si>
  <si>
    <t xml:space="preserve">2000-2002 </t>
  </si>
  <si>
    <t>2000-2002 annual</t>
  </si>
  <si>
    <t>2000-2007 annual</t>
  </si>
  <si>
    <t>2009-2014</t>
  </si>
  <si>
    <t>2013-14</t>
  </si>
  <si>
    <t>1997-1998</t>
  </si>
  <si>
    <t>1998-1999</t>
  </si>
  <si>
    <t>1999-2000</t>
  </si>
  <si>
    <t>2000-2001</t>
  </si>
  <si>
    <t>2001-2002</t>
  </si>
  <si>
    <t>2002-2003</t>
  </si>
  <si>
    <t>2003-2004</t>
  </si>
  <si>
    <t>2004-2005</t>
  </si>
  <si>
    <t>2005-2006</t>
  </si>
  <si>
    <t>2006-2007</t>
  </si>
  <si>
    <t>2007-2008</t>
  </si>
  <si>
    <t>2008-2009</t>
  </si>
  <si>
    <t>Fractile</t>
  </si>
  <si>
    <t>2009-2010</t>
  </si>
  <si>
    <t>2010-2011</t>
  </si>
  <si>
    <t>2011-2012</t>
  </si>
  <si>
    <t>2012-2013</t>
  </si>
  <si>
    <t>2013-2014</t>
  </si>
  <si>
    <t>fraction of growth</t>
  </si>
  <si>
    <t>accruing to each group</t>
  </si>
  <si>
    <t>2000-2002</t>
  </si>
  <si>
    <t>2002-2007</t>
  </si>
  <si>
    <t>2000-2007</t>
  </si>
  <si>
    <t>2007-2009</t>
  </si>
  <si>
    <t>2009-2013</t>
  </si>
  <si>
    <t>1973-2007</t>
  </si>
  <si>
    <t>1976-2007</t>
  </si>
  <si>
    <t>1989-2007</t>
  </si>
  <si>
    <t>1975-2006</t>
  </si>
  <si>
    <t>1975-2010</t>
  </si>
  <si>
    <t>Consistent Market Income</t>
  </si>
  <si>
    <t>1960-2013 annual</t>
  </si>
  <si>
    <t>lower in 1960 because of rapid overall growth</t>
  </si>
  <si>
    <t>Real income means</t>
  </si>
  <si>
    <t>Index (CPI and CPI-U_RS, from PS)</t>
  </si>
  <si>
    <t>#PS Tax Units</t>
  </si>
  <si>
    <t>Change from 1985 ($billions, total effects)</t>
  </si>
  <si>
    <t>1979-2007</t>
  </si>
  <si>
    <t>Percent of change from 1985</t>
  </si>
  <si>
    <t xml:space="preserve">   Base changes, partial (total effects)</t>
  </si>
  <si>
    <t xml:space="preserve">       Rental loss limit, $25K cap</t>
  </si>
  <si>
    <t xml:space="preserve">       Other disallowed rental losses</t>
  </si>
  <si>
    <t xml:space="preserve">       Other disallowed losses</t>
  </si>
  <si>
    <t xml:space="preserve">       At-risk rules </t>
  </si>
  <si>
    <t xml:space="preserve">       Dividend exclusion</t>
  </si>
  <si>
    <t xml:space="preserve">   Wages and salaries</t>
  </si>
  <si>
    <t xml:space="preserve">   Partnership, net</t>
  </si>
  <si>
    <t xml:space="preserve">   Partnership, losses</t>
  </si>
  <si>
    <t xml:space="preserve">   S corporation, net </t>
  </si>
  <si>
    <t xml:space="preserve">   S corporation, losses</t>
  </si>
  <si>
    <t xml:space="preserve">   Self-employment, net</t>
  </si>
  <si>
    <t xml:space="preserve">   Self-employment, losses</t>
  </si>
  <si>
    <t xml:space="preserve">   Rental income (Sch. E), net</t>
  </si>
  <si>
    <t xml:space="preserve">   Other income</t>
  </si>
  <si>
    <t>Reduce foreign earned income exclusion</t>
  </si>
  <si>
    <t>Farmer pre-productive period expenses</t>
  </si>
  <si>
    <r>
      <t>Notes</t>
    </r>
    <r>
      <rPr>
        <sz val="10"/>
        <color rgb="FF000000"/>
        <rFont val="Times New Roman"/>
        <family val="1"/>
      </rPr>
      <t xml:space="preserve">: Wages are from Form W-2, dividends from Form 1099-DIV, miscellaneous income from Form 1099-MISC, and taxable retirement income from Form 1099-R. </t>
    </r>
  </si>
  <si>
    <t xml:space="preserve">To control for outliers, 1099-MISC income for each source (non-employee compensation, medical payments, fishing income, rents, royalties, other income) </t>
  </si>
  <si>
    <t>Table B1: Descriptions of adjustments to income and tax units</t>
  </si>
  <si>
    <t>Before 1991, equals miscellaneous deductions (not subject to 2% AGI limit after 1986),                                      but only up to other income (which includes gambling winnings)</t>
  </si>
  <si>
    <r>
      <t xml:space="preserve">Notes: </t>
    </r>
    <r>
      <rPr>
        <sz val="10"/>
        <color theme="1"/>
        <rFont val="Times New Roman"/>
        <family val="1"/>
      </rPr>
      <t>Replicated Piketty and Saez series is shown, where income is adjusted gross income less adjustments, government transfers, and capital gains. See text for description of adjustments.</t>
    </r>
  </si>
  <si>
    <t>All</t>
  </si>
  <si>
    <t>Top fractiles income shares (including capital gains) in the United States</t>
  </si>
  <si>
    <t>(%NIPA)</t>
  </si>
  <si>
    <t xml:space="preserve">and adding back all adjustments to gross income. Income of non-filers is imputed as 20% of average income. </t>
  </si>
  <si>
    <t>Table C1: Top fractiles incomes in the United States</t>
  </si>
  <si>
    <t xml:space="preserve">Wage </t>
  </si>
  <si>
    <t>Divid.</t>
  </si>
  <si>
    <t>Interest</t>
  </si>
  <si>
    <t>PassTh.</t>
  </si>
  <si>
    <t>Corp.</t>
  </si>
  <si>
    <t>Corp Tax</t>
  </si>
  <si>
    <t>Other</t>
  </si>
  <si>
    <t>Income group thresholds</t>
  </si>
  <si>
    <t>Average incomes (sub-fractiles)</t>
  </si>
  <si>
    <t>Average incomes (inclusive top fractiles)</t>
  </si>
  <si>
    <t>P90</t>
  </si>
  <si>
    <t>P95</t>
  </si>
  <si>
    <t>P99</t>
  </si>
  <si>
    <t>P99.5</t>
  </si>
  <si>
    <t>P99.9</t>
  </si>
  <si>
    <t>P99.99</t>
  </si>
  <si>
    <t>P99.5-99.9</t>
  </si>
  <si>
    <t>Piketty-Saez Income                     (including cap. gains)</t>
  </si>
  <si>
    <t>Piketty-Saez Income                     (excluding cap. gains)</t>
  </si>
  <si>
    <t>index</t>
  </si>
  <si>
    <t>N. tax returns</t>
  </si>
  <si>
    <t>Table C0: Reference statistics</t>
  </si>
  <si>
    <t>and adding back adjustments, and income of non-filers is imputed as 20% of average filer income. See text for description of consistent market income and broad income.</t>
  </si>
  <si>
    <r>
      <rPr>
        <i/>
        <sz val="10"/>
        <color theme="1"/>
        <rFont val="Calibri"/>
        <family val="2"/>
        <scheme val="minor"/>
      </rPr>
      <t>Notes</t>
    </r>
    <r>
      <rPr>
        <sz val="10"/>
        <color theme="1"/>
        <rFont val="Calibri"/>
        <family val="2"/>
        <scheme val="minor"/>
      </rPr>
      <t>: Marriage rates of tax return filers only, after removing tax units with heads younger than 20 years old, claimed as dependents, or non-residents.</t>
    </r>
  </si>
  <si>
    <r>
      <t xml:space="preserve">Sources: </t>
    </r>
    <r>
      <rPr>
        <sz val="8"/>
        <color theme="1"/>
        <rFont val="Arial"/>
        <family val="2"/>
      </rPr>
      <t>Authors’ calculations, IRS, BEA, and Piketty and Saez (2003 and updates).</t>
    </r>
  </si>
  <si>
    <r>
      <rPr>
        <i/>
        <sz val="8"/>
        <rFont val="Arial"/>
        <family val="2"/>
      </rPr>
      <t>Notes</t>
    </r>
    <r>
      <rPr>
        <sz val="8"/>
        <rFont val="Arial"/>
        <family val="2"/>
      </rPr>
      <t>: Piketty-Saez total income is defined as total adjusted gross income less realized capital gains in AGI, taxable Social Security and unemployment insurance benefits</t>
    </r>
  </si>
  <si>
    <r>
      <t xml:space="preserve">Sources: </t>
    </r>
    <r>
      <rPr>
        <sz val="10"/>
        <color theme="1"/>
        <rFont val="Calibri"/>
        <family val="2"/>
        <scheme val="minor"/>
      </rPr>
      <t>Authors’ calculations, IRS.</t>
    </r>
  </si>
  <si>
    <t>PS Table A2: Top fractiles income shares (including capital gains) in the United States</t>
  </si>
  <si>
    <t>Excluded dividends (added)</t>
  </si>
  <si>
    <t>Tax-exempt combat pay (added)</t>
  </si>
  <si>
    <t>Tax refunds (removed)</t>
  </si>
  <si>
    <t>Employer payroll taxes (added)</t>
  </si>
  <si>
    <t>UI benefits (added)</t>
  </si>
  <si>
    <t>Gambling losses (removed)</t>
  </si>
  <si>
    <t>State and local income tax refunds variable missing before 1971</t>
  </si>
  <si>
    <t>Retirement portion     C corp. ret. earnings (intermed.)</t>
  </si>
  <si>
    <t>Tax-exempt interest</t>
  </si>
  <si>
    <t>Total</t>
  </si>
  <si>
    <t>Fraction of tax-exempt interest</t>
  </si>
  <si>
    <t>N. adults: resident non-dep. 20+ yrs</t>
  </si>
  <si>
    <t>Top 1% share (differs from PS as set by filers)</t>
  </si>
  <si>
    <t>Top 1% market income ($)</t>
  </si>
  <si>
    <t>PS total market income no cgs</t>
  </si>
  <si>
    <t>Change in PS total income</t>
  </si>
  <si>
    <t>Change in top 1% share</t>
  </si>
  <si>
    <t>IRAs</t>
  </si>
  <si>
    <t>Series Description</t>
  </si>
  <si>
    <t>All sectors; corporate equities; asset</t>
  </si>
  <si>
    <t>Households and nonprofit organizations; corporate equities; asset</t>
  </si>
  <si>
    <t>Nonprofit organizations; corporate equities; asset</t>
  </si>
  <si>
    <t>Rest of the world; U.S. corporate equities; asset</t>
  </si>
  <si>
    <t>Federal government; corporate equities; asset</t>
  </si>
  <si>
    <t>Life insurance companies; corporate equities; asset</t>
  </si>
  <si>
    <t>Pension funds; corporate equities; asset</t>
  </si>
  <si>
    <t>Z1/Z1/FL893064105.A</t>
  </si>
  <si>
    <t>Z1/Z1/FL153064105.A</t>
  </si>
  <si>
    <t>Z1/Z1/FL163064105.A</t>
  </si>
  <si>
    <t>Z1/Z1/FL263064105.A</t>
  </si>
  <si>
    <t>Z1/Z1/FL313064105.A</t>
  </si>
  <si>
    <t>Z1/Z1/FL543064105.A</t>
  </si>
  <si>
    <t>Z1/Z1/FL593064105.A</t>
  </si>
  <si>
    <t>Z1/Z1/FL653064155.A</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</si>
  <si>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</si>
  <si>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</si>
  <si>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</si>
  <si>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</si>
  <si>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</si>
  <si>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</si>
  <si>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</si>
  <si>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</si>
  <si>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</si>
  <si>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</si>
  <si>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</si>
  <si>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</si>
  <si>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</si>
  <si>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</si>
  <si>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</si>
  <si>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</si>
  <si>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</si>
  <si>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</si>
  <si>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</si>
  <si>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</si>
  <si>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</si>
  <si>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</si>
  <si>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</si>
  <si>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</si>
  <si>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</si>
  <si>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</si>
  <si>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</si>
  <si>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</si>
  <si>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</si>
  <si>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</si>
  <si>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</si>
  <si>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</si>
  <si>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</si>
  <si>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</si>
  <si>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</si>
  <si>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</si>
  <si>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</si>
  <si>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</si>
  <si>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</si>
  <si>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</si>
  <si>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</si>
  <si>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</si>
  <si>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</si>
  <si>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</si>
  <si>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</si>
  <si>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</si>
  <si>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</si>
  <si>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</si>
  <si>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</si>
  <si>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</si>
  <si>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</si>
  <si>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</si>
  <si>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</si>
  <si>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</si>
  <si>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</si>
  <si>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</si>
  <si>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Mutual funds; corporate equities; asset</t>
  </si>
  <si>
    <t>Z1/Z1/FL653064100.A</t>
  </si>
  <si>
    <t>Closed-end funds; corporate equities; asset</t>
  </si>
  <si>
    <t>Exchange-traded funds; corporate equities; asset</t>
  </si>
  <si>
    <t>Z1/Z1/FL553064103.A</t>
  </si>
  <si>
    <t>Z1/Z1/FL563064103.A</t>
  </si>
  <si>
    <t>Z1/Z1/FL213064103.A</t>
  </si>
  <si>
    <t>REITS mkt cap</t>
  </si>
  <si>
    <t>1. Consolidate Groups and remove non-resident ownership</t>
  </si>
  <si>
    <t>Pension funds; mutual fund shares; asset</t>
  </si>
  <si>
    <t>Z1/Z1/FL593064205.A</t>
  </si>
  <si>
    <t>4. Shares</t>
  </si>
  <si>
    <t>S corp rev ($bil)</t>
  </si>
  <si>
    <t>REITS market capitalization data since 1971 from www.reit.com/data-research/data/us-reit-industry-equity-market-cap</t>
  </si>
  <si>
    <t>S Corp revenue data downloaded SOI Integrated Business Data: www.irs.gov/pub/irs-soi/12otidb1.xls</t>
  </si>
  <si>
    <t>Financial Accounts ($millions)</t>
  </si>
  <si>
    <t>S corp values before 1996 are imputed using revenue changes (1995-1980) and constant 10 percent change in prior years.</t>
  </si>
  <si>
    <t>REIT values are imputed for 1962-1970 ($150 million change each year). REITS were created in 1960.</t>
  </si>
  <si>
    <t>S corp value</t>
  </si>
  <si>
    <r>
      <rPr>
        <i/>
        <sz val="11"/>
        <color theme="1"/>
        <rFont val="Calibri"/>
        <family val="2"/>
        <scheme val="minor"/>
      </rPr>
      <t>Sources</t>
    </r>
    <r>
      <rPr>
        <sz val="11"/>
        <color theme="1"/>
        <rFont val="Calibri"/>
        <family val="2"/>
        <scheme val="minor"/>
      </rPr>
      <t>: See raw data table below.</t>
    </r>
  </si>
  <si>
    <t>Household</t>
  </si>
  <si>
    <t>2. Subtract Passthrough (S corp and REIT) Holdings</t>
  </si>
  <si>
    <t>3. Distribute 'Other'</t>
  </si>
  <si>
    <t>Total income increase ($billions)</t>
  </si>
  <si>
    <t>Pension &amp;         Life Ins.</t>
  </si>
  <si>
    <t>Non Profit &amp; Government</t>
  </si>
  <si>
    <t>Other includes U.S. chartered depository institutions, property-casualty insurance companies, brokers and dealers, and unallocated mutual fund shares (likely owned by governments and insurance companies).</t>
  </si>
  <si>
    <t>Nonprofit organizations; mutual fund shares; asset</t>
  </si>
  <si>
    <t>Mutual funds; corp. equities indirectly held by households; asset</t>
  </si>
  <si>
    <t>State and local governments, excluding employee retirement funds; corp. equities; asset</t>
  </si>
  <si>
    <t>Households; corporate equities; asset</t>
  </si>
  <si>
    <t>Unique Identifier (Fed. Reserve)</t>
  </si>
  <si>
    <t>Z1/Z1/FL163064205.A</t>
  </si>
  <si>
    <t>Raw Data</t>
  </si>
  <si>
    <t>Calculations</t>
  </si>
  <si>
    <t>Change from 1986: Total</t>
  </si>
  <si>
    <t>Top 1% income share</t>
  </si>
  <si>
    <t xml:space="preserve">     Wages</t>
  </si>
  <si>
    <t xml:space="preserve">     S corporation, net</t>
  </si>
  <si>
    <t xml:space="preserve">     Partnership, net</t>
  </si>
  <si>
    <t xml:space="preserve">     Self-employment, net</t>
  </si>
  <si>
    <t xml:space="preserve">     Base changes, partial</t>
  </si>
  <si>
    <t xml:space="preserve">     Other</t>
  </si>
  <si>
    <t>Change from 1986 ($billions, total effects)</t>
  </si>
  <si>
    <t>Wages and Salaries</t>
  </si>
  <si>
    <t>Tax-exempt Interest</t>
  </si>
  <si>
    <t>Employer Payroll Tax</t>
  </si>
  <si>
    <t>Medicare</t>
  </si>
  <si>
    <t>Social Security</t>
  </si>
  <si>
    <t>Other Transfers</t>
  </si>
  <si>
    <t>Residual</t>
  </si>
  <si>
    <t>Partnership and S Corp.</t>
  </si>
  <si>
    <t>Retirement (taxable)</t>
  </si>
  <si>
    <t>PS Residual</t>
  </si>
  <si>
    <t>Non-deductible losses      (added)</t>
  </si>
  <si>
    <t>Non-deductible losses</t>
  </si>
  <si>
    <t>PS Non-Filer Income</t>
  </si>
  <si>
    <t>Other (mostly Sch. C)</t>
  </si>
  <si>
    <t>Corp. Tax</t>
  </si>
  <si>
    <t>Retirement income includes taxable IRA distribution, pensions, and annuties. Non-taxable sources are excluded as a large fraction is from rollovers.</t>
  </si>
  <si>
    <t>Sch. C &amp; Other group is mostly sole-proprietor income (79% in 1962 and 82% in 2000), but also includes unallocated incomes sources, such as alimony, farm income, rents, royalties, and other income.</t>
  </si>
  <si>
    <t>Adjustments (non-deduct losses, tax-exempt interest, demographics, non-filer income)</t>
  </si>
  <si>
    <t>Ei1. Add C corp retained earnings</t>
  </si>
  <si>
    <t>Ei2. Add C corp taxes</t>
  </si>
  <si>
    <t>Limit pre-1986 business losses based on post-TRA86 rules</t>
  </si>
  <si>
    <t>$100/200 exclusion ended with Tax Reform Act of 1986</t>
  </si>
  <si>
    <t>NIPA Table 3.3, tax return &amp; SCF data</t>
  </si>
  <si>
    <t>Listed on returns since 1987, shares before 1988 based on SCF, see Figure B2</t>
  </si>
  <si>
    <t>Remove tax filers younger than 20 years old, as not counted in Census age 20+ population</t>
  </si>
  <si>
    <t>Include reported benefits, use 1981 distribution in prior years</t>
  </si>
  <si>
    <t>Use information returns, for missing years use military pay (2000-01),                                                                                interpolate (2002-04), 1999 values minus $500M a year (1995-98)</t>
  </si>
  <si>
    <t>Calculated based on reported wages or non-filer income and legislated rates and benefit bases</t>
  </si>
  <si>
    <t>Main Paper</t>
  </si>
  <si>
    <t>Effects of adjustments on top 1% pre-tax income shares</t>
  </si>
  <si>
    <t>Comparison of top 1% income shares</t>
  </si>
  <si>
    <t>Increase in top 1% incomes due to TRA86 changes (panel analysis)</t>
  </si>
  <si>
    <t>Top income shares: Top 10% (left figure) and top 0.1% (right figure)</t>
  </si>
  <si>
    <t>Top 1% income shares: Consistent market income adjustments</t>
  </si>
  <si>
    <t>Table 1</t>
  </si>
  <si>
    <t>Table 2</t>
  </si>
  <si>
    <t>Figure 1</t>
  </si>
  <si>
    <t>Figure 2</t>
  </si>
  <si>
    <t>Figure 3</t>
  </si>
  <si>
    <t>Table A1</t>
  </si>
  <si>
    <t>Figure A1</t>
  </si>
  <si>
    <t xml:space="preserve">Changes in top 1% income shares after TRA86 (cross-section analysis) </t>
  </si>
  <si>
    <t>Appendix</t>
  </si>
  <si>
    <t>Online Appendix</t>
  </si>
  <si>
    <t xml:space="preserve">Descriptions and data sources of adjustments to income and tax units </t>
  </si>
  <si>
    <t>Top 1% income shares: Corrected market income adjustments</t>
  </si>
  <si>
    <t>Share of tax-exempt interest by income group</t>
  </si>
  <si>
    <t>Table B1</t>
  </si>
  <si>
    <t>Table B2</t>
  </si>
  <si>
    <t>Figure B1</t>
  </si>
  <si>
    <t>Figure B2</t>
  </si>
  <si>
    <t>Figure B3</t>
  </si>
  <si>
    <t>Additional Tables</t>
  </si>
  <si>
    <t>Table C8</t>
  </si>
  <si>
    <t>Table C0</t>
  </si>
  <si>
    <t>Table C1</t>
  </si>
  <si>
    <t>Table C2</t>
  </si>
  <si>
    <t>Table C3</t>
  </si>
  <si>
    <t>Table C4</t>
  </si>
  <si>
    <t>Table C5</t>
  </si>
  <si>
    <t>Table C6</t>
  </si>
  <si>
    <t>Table C7</t>
  </si>
  <si>
    <t>Table C9</t>
  </si>
  <si>
    <t>Table C10</t>
  </si>
  <si>
    <t>Table C11</t>
  </si>
  <si>
    <t>Table C12</t>
  </si>
  <si>
    <t>Reference statistics</t>
  </si>
  <si>
    <t>Top fractiles incomes in the United States</t>
  </si>
  <si>
    <t>Marriage rates of tax filers by income fractile (only domestic, non-dependent adult heads included, thresholds set with nonfilers)</t>
  </si>
  <si>
    <t>Income adjustments by source, millions of dollars</t>
  </si>
  <si>
    <t>Piketty and Saez (2003) top fractile income shares including capital gains, fractiles defined excluding capital gains</t>
  </si>
  <si>
    <r>
      <t>Notes</t>
    </r>
    <r>
      <rPr>
        <sz val="10"/>
        <color theme="1"/>
        <rFont val="Times New Roman"/>
        <family val="1"/>
      </rPr>
      <t>: The revenue changes to depreciation rules are for the individual portion (not corporate changes) and therefore affect total income on tax returns by changing the net amounts of partnership, S corporation and sole proprietorship income. Negative amounts for depreciation for the first few years reflect increases in the limits for expensing under section 179, which is quickly more than offset by the reductions in depreciation deductions.</t>
    </r>
  </si>
  <si>
    <r>
      <t xml:space="preserve">Sources: </t>
    </r>
    <r>
      <rPr>
        <sz val="10"/>
        <color theme="1"/>
        <rFont val="Times New Roman"/>
        <family val="1"/>
      </rPr>
      <t>Authors’ calculations and Joint Committee on Taxation.</t>
    </r>
  </si>
  <si>
    <r>
      <t xml:space="preserve">Notes: </t>
    </r>
    <r>
      <rPr>
        <sz val="10"/>
        <color theme="1"/>
        <rFont val="Times New Roman"/>
        <family val="1"/>
      </rPr>
      <t xml:space="preserve">Income excludes capital gains, but top 1% thresholds are based on income including capital gains and the number of tax returns. Self-employment income is Schedule C income. Base changes include rental loss limits, disallowed rental and passive losses and at-risk rules and elimination of the dividend exclusion. </t>
    </r>
  </si>
  <si>
    <r>
      <t xml:space="preserve">Notes: </t>
    </r>
    <r>
      <rPr>
        <sz val="10"/>
        <color theme="1"/>
        <rFont val="Times New Roman"/>
        <family val="1"/>
      </rPr>
      <t xml:space="preserve">Income groups are PS income excluding capital gains with non-deductible losses removed. </t>
    </r>
  </si>
  <si>
    <t>Number of adults is the sum of all tax returns with primaries aged 20 or older (where joint tax returns have two adults) and nonfiling tax units (40% assumed married and so have two adults),</t>
  </si>
  <si>
    <t>PS                       (no CGs)</t>
  </si>
  <si>
    <t>Piketty-Saez       Non-filer Income</t>
  </si>
  <si>
    <t>Auten-Splinter            N. non-filer tax units</t>
  </si>
  <si>
    <t>Dividends in AGI</t>
  </si>
  <si>
    <t>Interest in AGI</t>
  </si>
  <si>
    <r>
      <t xml:space="preserve">Other in AGI </t>
    </r>
    <r>
      <rPr>
        <sz val="9"/>
        <rFont val="Arial"/>
        <family val="2"/>
      </rPr>
      <t>(mostly Sch. C)</t>
    </r>
  </si>
  <si>
    <t>Tax returns</t>
  </si>
  <si>
    <t>Tax-exempt interest    (added)</t>
  </si>
  <si>
    <t>NIPA 7.11 line 21</t>
  </si>
  <si>
    <t>IRS data</t>
  </si>
  <si>
    <t>Calc.</t>
  </si>
  <si>
    <t>NIPA 3.12 lines 5+12</t>
  </si>
  <si>
    <t>NIPA 3.12 line 7</t>
  </si>
  <si>
    <t>P99.5-99.99</t>
  </si>
  <si>
    <t>year</t>
  </si>
  <si>
    <t>Source: Author's calculations with tax return data and World Bank: http://databank.worldbank.org/data/reports.aspx?source=2&amp;country=&amp;series=SP.POP.65UP.TO.ZS&amp;period=#</t>
  </si>
  <si>
    <t>%65+</t>
  </si>
  <si>
    <t>Tot Pop.</t>
  </si>
  <si>
    <t>World Bank Data</t>
  </si>
  <si>
    <t>65+ Pop.  (thous.)</t>
  </si>
  <si>
    <t>Fraction of adults aged at least 65 and distribution of Social Security and Medicare benefits</t>
  </si>
  <si>
    <t>N. tax returns dep. filer 20+ yrs</t>
  </si>
  <si>
    <t xml:space="preserve">Fraction tax units filing              resid. non-dep 20+ yrs </t>
  </si>
  <si>
    <t>N. tax returns primary &lt;20 yrs</t>
  </si>
  <si>
    <t>Top fractiles income shares in the United States</t>
  </si>
  <si>
    <t>Table C2: Top fractiles income shares in the United States</t>
  </si>
  <si>
    <t>Data Source</t>
  </si>
  <si>
    <t>NIPA 7.11 line 21 (65%)      Tax returns since 1987</t>
  </si>
  <si>
    <t>Tax-exempt interest    (intermed.)</t>
  </si>
  <si>
    <t xml:space="preserve">N. tax returns non-dep 20+ yrs non-resid </t>
  </si>
  <si>
    <t>PS market income with cap gains</t>
  </si>
  <si>
    <t>Top 1% Income Shares</t>
  </si>
  <si>
    <t>hrly comp.</t>
  </si>
  <si>
    <t>hrly earn.</t>
  </si>
  <si>
    <t>HI share comp.</t>
  </si>
  <si>
    <t>June 2016 Mercatus working paper. https://www.mercatus.org/system/files/Warshawsky-Earnings-Inequality-v2.pdf</t>
  </si>
  <si>
    <t>ESI share</t>
  </si>
  <si>
    <t>estimated</t>
  </si>
  <si>
    <t>P40-50</t>
  </si>
  <si>
    <t>P0-40</t>
  </si>
  <si>
    <t>P80-90</t>
  </si>
  <si>
    <t>P70-80</t>
  </si>
  <si>
    <t>P60-70</t>
  </si>
  <si>
    <t>P50-60</t>
  </si>
  <si>
    <t xml:space="preserve">Total </t>
  </si>
  <si>
    <t>Relative ESI</t>
  </si>
  <si>
    <t xml:space="preserve">Source: Authors' calculations using Table 4 (based on unpublished BLS data) in Warshawsky, Mark J. "Earnings Inequality: The implication of the rapidly rising cost of employer-provided health insurance." </t>
  </si>
  <si>
    <t>NIPA 1.12 line 8</t>
  </si>
  <si>
    <t>Piketty-Saez           pseudo-filer income</t>
  </si>
  <si>
    <t>Bott. 90%</t>
  </si>
  <si>
    <t xml:space="preserve">NIPA 3.2      line 8 </t>
  </si>
  <si>
    <t>Federal Reserve amts. (intermed.)</t>
  </si>
  <si>
    <t>Income sources by fractiles of consistent market income</t>
  </si>
  <si>
    <t>Income composition by sources of income and by fractiles of consistent market income</t>
  </si>
  <si>
    <t>Distribution of income sources by fractiles of consistent market income</t>
  </si>
  <si>
    <t>Table C13</t>
  </si>
  <si>
    <t>Table C14</t>
  </si>
  <si>
    <t>Index</t>
  </si>
  <si>
    <t>State/Local indiv. income tax</t>
  </si>
  <si>
    <t>Corporate income tax</t>
  </si>
  <si>
    <t>Payroll tax</t>
  </si>
  <si>
    <t>Table C15</t>
  </si>
  <si>
    <t>Corporate ownership by type for Retained Earnings: households, non-profits/governments, and retirement accounts/life insurance</t>
  </si>
  <si>
    <t>Table C12: Corporate ownership by type for Retained Earnings ($millions)</t>
  </si>
  <si>
    <t>Table C14: Piketty and Saez (2003) top fractile income shares including capital gains but fractiles defined excluding capital gains</t>
  </si>
  <si>
    <t>Table C13: Capital ownership by type for corporate taxes ($millions)</t>
  </si>
  <si>
    <t>Total               Assets</t>
  </si>
  <si>
    <t>NIPA 3.3 line 8</t>
  </si>
  <si>
    <t>NIPA 7.4.5 line 15</t>
  </si>
  <si>
    <t>NIPA C corp. taxes fed+state &amp; Fed. Reserve (intermed.)</t>
  </si>
  <si>
    <t>NIPA 3.12 lines 15+23+25+28+35+36</t>
  </si>
  <si>
    <t>After-tax</t>
  </si>
  <si>
    <t>Figure 4</t>
  </si>
  <si>
    <t>Table 3</t>
  </si>
  <si>
    <t>Effects of taxes and size adjustments on top 1% income shares</t>
  </si>
  <si>
    <t>NIPA 3.3 line 7</t>
  </si>
  <si>
    <t>State/Local taxes deducted (intermed.)</t>
  </si>
  <si>
    <t>NIPA 3.2    line 3</t>
  </si>
  <si>
    <t>C corp. taxes (removed)</t>
  </si>
  <si>
    <t>State/Local income tax                 (removed)</t>
  </si>
  <si>
    <t>Bus. prop. taxes (intermed.)</t>
  </si>
  <si>
    <t>Payroll taxes (removed)</t>
  </si>
  <si>
    <t>NIPA 1.12 line 14           or NIPA 3.1 line 5</t>
  </si>
  <si>
    <t>NIPA 3.3    line 4</t>
  </si>
  <si>
    <t>Check</t>
  </si>
  <si>
    <t>Households and nonprofit organizations; debt securities; asset</t>
  </si>
  <si>
    <t>Nonprofit organizations; debt securities; asset</t>
  </si>
  <si>
    <t>Households and nonprofit organizations; proprietors' equity in noncorporate business</t>
  </si>
  <si>
    <t>Nonprofit organizations; proprietors' equity in noncorporated business; asset</t>
  </si>
  <si>
    <t>Z1/Z1/FL154022005.A</t>
  </si>
  <si>
    <t>Z1/Z1/FL164022005.A</t>
  </si>
  <si>
    <t>Z1/Z1/FL152090205.A</t>
  </si>
  <si>
    <t>Z1/Z1/FL162090205.A</t>
  </si>
  <si>
    <t>Household Debt Securities</t>
  </si>
  <si>
    <t>Life insurance companies, separate accounts; corporate equities; asset</t>
  </si>
  <si>
    <t>Z1/Z1/FL543064183.A</t>
  </si>
  <si>
    <r>
      <rPr>
        <i/>
        <sz val="11"/>
        <color theme="1"/>
        <rFont val="Calibri"/>
        <family val="2"/>
        <scheme val="minor"/>
      </rPr>
      <t>Notes</t>
    </r>
    <r>
      <rPr>
        <sz val="11"/>
        <color theme="1"/>
        <rFont val="Calibri"/>
        <family val="2"/>
        <scheme val="minor"/>
      </rPr>
      <t>: Non-profit and life-insurance data only available 1987-2000: the fraction of asset in 1987 is applied to prior years and in 2000 to subsequent years.</t>
    </r>
  </si>
  <si>
    <t>Pension &amp; Life Ins. Assets</t>
  </si>
  <si>
    <t>Households and nonprofit organizations; funded pension entitlements; asset</t>
  </si>
  <si>
    <t>Z1/Z1/FL153050025.A</t>
  </si>
  <si>
    <t>Households and nonprofit organizations; life insurance reserves; asset</t>
  </si>
  <si>
    <t>Z1/Z1/FL153040005.A</t>
  </si>
  <si>
    <t>1. Household Capital Asset Groups</t>
  </si>
  <si>
    <t xml:space="preserve">Nonfinancial noncorporate business; total mortgages; liability </t>
  </si>
  <si>
    <t>Nonfinancial noncorporate business; residential real estate at market value</t>
  </si>
  <si>
    <t>Z1/Z1/FL113165005.A</t>
  </si>
  <si>
    <t>Z1/Z1/FL115035023.A</t>
  </si>
  <si>
    <t>Household              Corp. Equities                (no S corp or REITs)</t>
  </si>
  <si>
    <t>Household Passthrough Assets            (no housing or REITs)</t>
  </si>
  <si>
    <r>
      <rPr>
        <i/>
        <sz val="11"/>
        <color theme="1"/>
        <rFont val="Calibri"/>
        <family val="2"/>
        <scheme val="minor"/>
      </rPr>
      <t>Notes</t>
    </r>
    <r>
      <rPr>
        <sz val="11"/>
        <color theme="1"/>
        <rFont val="Calibri"/>
        <family val="2"/>
        <scheme val="minor"/>
      </rPr>
      <t>: See Table C12 for details</t>
    </r>
  </si>
  <si>
    <r>
      <rPr>
        <i/>
        <sz val="11"/>
        <color theme="1"/>
        <rFont val="Calibri"/>
        <family val="2"/>
        <scheme val="minor"/>
      </rPr>
      <t>Sources</t>
    </r>
    <r>
      <rPr>
        <sz val="11"/>
        <color theme="1"/>
        <rFont val="Calibri"/>
        <family val="2"/>
        <scheme val="minor"/>
      </rPr>
      <t>: See raw data table below Table C12.</t>
    </r>
  </si>
  <si>
    <t>Tables C12 and C13</t>
  </si>
  <si>
    <t>Property taxes (removed)</t>
  </si>
  <si>
    <t>AT2: Remove State/Local Income Taxes</t>
  </si>
  <si>
    <t>AT3: Remove Corporate Income Taxes</t>
  </si>
  <si>
    <t>AT5: Remove Payroll Taxes</t>
  </si>
  <si>
    <t>AT4: Remove Property Taxes</t>
  </si>
  <si>
    <t>Sales and other taxes</t>
  </si>
  <si>
    <t>Property tax</t>
  </si>
  <si>
    <t>After-tax income</t>
  </si>
  <si>
    <r>
      <t xml:space="preserve">Notes: </t>
    </r>
    <r>
      <rPr>
        <sz val="8"/>
        <color theme="1"/>
        <rFont val="Arial"/>
        <family val="2"/>
      </rPr>
      <t>1961, 1963 and 1965 are averages of values in surrounding years.</t>
    </r>
  </si>
  <si>
    <t>Federal Income Tax</t>
  </si>
  <si>
    <t>State and Local Income Tax</t>
  </si>
  <si>
    <t>Property Taxes</t>
  </si>
  <si>
    <t>C Corporation Taxes</t>
  </si>
  <si>
    <t>Payroll Taxes</t>
  </si>
  <si>
    <t>Sales and Other Taxes</t>
  </si>
  <si>
    <t>.</t>
  </si>
  <si>
    <t>Average Rate of All Taxes (excluding payroll tax)</t>
  </si>
  <si>
    <t>Share of All Taxes (excluding payroll tax)</t>
  </si>
  <si>
    <t>Tax returns &amp; Calc.</t>
  </si>
  <si>
    <t>Reported on tax returns</t>
  </si>
  <si>
    <t>Soc. Sec.  &amp; RR benefits  (intermed.)</t>
  </si>
  <si>
    <t>Soc. Sec.  &amp; RR benefits  (added)</t>
  </si>
  <si>
    <t>UI benefits  (intermed.)</t>
  </si>
  <si>
    <t>Employer spons. insurance  (check)</t>
  </si>
  <si>
    <t>C corp. taxes (check)</t>
  </si>
  <si>
    <t>Soc. Sec.  &amp; RR benefits  (check)</t>
  </si>
  <si>
    <t>UI benefits (check)</t>
  </si>
  <si>
    <t>State/Local income tax                 (check)</t>
  </si>
  <si>
    <t>Property taxes (check)</t>
  </si>
  <si>
    <t>Payroll taxes (check)</t>
  </si>
  <si>
    <t>Payroll taxes of filers (intermed.)</t>
  </si>
  <si>
    <t>Employer payroll taxes of filers (intermed.)</t>
  </si>
  <si>
    <t>NIPA 2.1 line 25 less holiday</t>
  </si>
  <si>
    <t>Tax returns           &amp; Calc.</t>
  </si>
  <si>
    <t>Bot. 90%</t>
  </si>
  <si>
    <t>Federal income tax</t>
  </si>
  <si>
    <t>State and local income tax</t>
  </si>
  <si>
    <t>Corporate taxes</t>
  </si>
  <si>
    <t>Property taxes</t>
  </si>
  <si>
    <t>Social insurance transfers</t>
  </si>
  <si>
    <t>Payroll taxes</t>
  </si>
  <si>
    <t>Bus. prop. taxes (added)</t>
  </si>
  <si>
    <t>Bus. prop. taxes (check)</t>
  </si>
  <si>
    <t>Ei3. Add business property taxes</t>
  </si>
  <si>
    <t>All Social Insurance Transfers</t>
  </si>
  <si>
    <t>Remove corporate income tax</t>
  </si>
  <si>
    <t>Remove state/local indiv. inc. tax</t>
  </si>
  <si>
    <t>Add business property tax</t>
  </si>
  <si>
    <t>Remove property tax</t>
  </si>
  <si>
    <t>Remove payroll tax</t>
  </si>
  <si>
    <t>Remove sales and other taxes</t>
  </si>
  <si>
    <t>Set groups by #indivs/sz-adj. inc.</t>
  </si>
  <si>
    <t>Top 0.1% Income Shares</t>
  </si>
  <si>
    <t>Top 10% Income Shares</t>
  </si>
  <si>
    <t>Add corporate income tax</t>
  </si>
  <si>
    <t>Allocate business portion as above &amp; housing portion by deductions</t>
  </si>
  <si>
    <t>Set income groups by #individuals and rank by size-adjusted income</t>
  </si>
  <si>
    <t>Business property tax</t>
  </si>
  <si>
    <t>Employer payroll taxes (check)</t>
  </si>
  <si>
    <t>Tax return microdata &amp; NIPA Table 3.3</t>
  </si>
  <si>
    <t>see above</t>
  </si>
  <si>
    <t>Tax return data &amp; NIPA Tables 3.3 &amp; 7.4.5</t>
  </si>
  <si>
    <t>Tax return microdata &amp; NIPA Table 2.1</t>
  </si>
  <si>
    <t>Tax return data &amp; NIPA Tables 3.1 &amp; 3.5</t>
  </si>
  <si>
    <t>Tax-exempt interest    (check)</t>
  </si>
  <si>
    <t>Top fractiles income averages and thresholds</t>
  </si>
  <si>
    <t>Table C3: Top fractiles income averages and thresholds</t>
  </si>
  <si>
    <t>Table C10: Income adjustments by source, millions of dollars</t>
  </si>
  <si>
    <r>
      <t xml:space="preserve">Sources: </t>
    </r>
    <r>
      <rPr>
        <sz val="9"/>
        <color theme="1"/>
        <rFont val="Arial"/>
        <family val="2"/>
      </rPr>
      <t>Approach from Piketty and Saez online data. Authors’ calculations, IRS, BEA, and Piketty and Saez (2003 and updates).</t>
    </r>
  </si>
  <si>
    <t>PROGRAM INPUTS</t>
  </si>
  <si>
    <t>Taxes as a share of consistent market income</t>
  </si>
  <si>
    <t>Figure 5</t>
  </si>
  <si>
    <t>Payroll taxes and social insurance transfers as a share of broad income</t>
  </si>
  <si>
    <t>Revenue estimates of base-broadening provisions in the Tax Reform Act of 1986 that affect total income</t>
  </si>
  <si>
    <t>Non-filer income as a fraction of filer income</t>
  </si>
  <si>
    <t>Table C16</t>
  </si>
  <si>
    <t>Table C17</t>
  </si>
  <si>
    <t>Table C18</t>
  </si>
  <si>
    <t>Program inputs</t>
  </si>
  <si>
    <t>Top 10% (P90-100)</t>
  </si>
  <si>
    <t>Top 5% (P95-100)</t>
  </si>
  <si>
    <t>Top 1% (P99-100)</t>
  </si>
  <si>
    <t>Top 0.5% (P99.5-100)</t>
  </si>
  <si>
    <t>Top 0.1% (P99.9-100)</t>
  </si>
  <si>
    <t>Top 0.01% (P99.99-100)</t>
  </si>
  <si>
    <t>Bottom 90% (P0-90)</t>
  </si>
  <si>
    <t>Add imputed rent</t>
  </si>
  <si>
    <t>*</t>
  </si>
  <si>
    <t>Top 1% income shares</t>
  </si>
  <si>
    <t>Top 1% share changes</t>
  </si>
  <si>
    <t>Net imputed rent (intermed.)</t>
  </si>
  <si>
    <t>Imputed         rent         (added)</t>
  </si>
  <si>
    <t>Pers. real estate taxes (intermed.)</t>
  </si>
  <si>
    <t>Tax returns (positive AGI)</t>
  </si>
  <si>
    <t>Pers. real estate taxes deducted (intermed.)</t>
  </si>
  <si>
    <t>Payroll taxes are equal to contributions to government social insurance, which includes "fee" like payments for some programs, such as Medicare Part D (https://www.bea.gov/faq/index.cfm?faq_id=170). As benefits from these progrmas are include in Medicare total benefits, the costs are also included.</t>
  </si>
  <si>
    <t>Imputed Rents</t>
  </si>
  <si>
    <t>NIPA Tables 3.3, 7.9, and 7.4.5</t>
  </si>
  <si>
    <t>N. exemptions</t>
  </si>
  <si>
    <t>Census population</t>
  </si>
  <si>
    <t xml:space="preserve">Fraction indivs. </t>
  </si>
  <si>
    <r>
      <t>Notes</t>
    </r>
    <r>
      <rPr>
        <sz val="10"/>
        <color theme="1"/>
        <rFont val="Times New Roman"/>
        <family val="1"/>
      </rPr>
      <t xml:space="preserve">: Piketty and Saez series includes capital gains, where top one percent thresholds are defined by income excluding capital gains. Pre-tax income is consistent market income plus government transfers. After-tax income subtracts federal, state, and local taxes. </t>
    </r>
  </si>
  <si>
    <t>Tax-exempt interest was only reported on tax returns since 1987 and shares are estimated in previous years.</t>
  </si>
  <si>
    <t>Pre-tax Income</t>
  </si>
  <si>
    <t>PRE-TAX INCOME</t>
  </si>
  <si>
    <t>Figure B4: Share of tax-exempt interest by income group</t>
  </si>
  <si>
    <t>Top 1% income shares: After-tax income adjustments</t>
  </si>
  <si>
    <t>Figure B4</t>
  </si>
  <si>
    <t>Top 1% income shares: Inclusion of transfers in pre-tax income</t>
  </si>
  <si>
    <r>
      <rPr>
        <i/>
        <sz val="10"/>
        <color theme="1"/>
        <rFont val="Calibri"/>
        <family val="2"/>
        <scheme val="minor"/>
      </rPr>
      <t>Notes</t>
    </r>
    <r>
      <rPr>
        <sz val="10"/>
        <color theme="1"/>
        <rFont val="Calibri"/>
        <family val="2"/>
        <scheme val="minor"/>
      </rPr>
      <t xml:space="preserve">: Corp. retained earnings are undistributed corporate profits, that is, profits with inventory value and capital consumption adjustments less taxes and net corporate dividends. </t>
    </r>
  </si>
  <si>
    <t>Total payroll tax holiday cost in fiscal years 2010 and 2011 was $110 billion (pg. 7 of https://www.ssa.gov/budget/FY12Files/2012PTF.pdf). We split this evenly between the calendar years.</t>
  </si>
  <si>
    <t xml:space="preserve">NIPA 1.12               line 17 </t>
  </si>
  <si>
    <t>PS total income is defined as total Adjusted Gross Income AGI) less realized capital gains in AGI, taxable Social Security and Unemployment Insurance benefits</t>
  </si>
  <si>
    <t>NIPA Tables 3.3 and 7.4.5</t>
  </si>
  <si>
    <t xml:space="preserve">N. non-filing indivs. </t>
  </si>
  <si>
    <t>N. indivs.            (filing &amp; non-fil.)</t>
  </si>
  <si>
    <t>Farm</t>
  </si>
  <si>
    <t>National Income</t>
  </si>
  <si>
    <t>Net out gambling losses</t>
  </si>
  <si>
    <t>N. tax units                        resid. non-dep 20+ yrs</t>
  </si>
  <si>
    <t>Capital gains distrib. (removed)</t>
  </si>
  <si>
    <t>Net operating losses       (added back)</t>
  </si>
  <si>
    <t>Income corrections    (check)</t>
  </si>
  <si>
    <t>Income corrections (added)</t>
  </si>
  <si>
    <t>Foreign tax credits      (removed)</t>
  </si>
  <si>
    <t>As calculated above</t>
  </si>
  <si>
    <t>Remove cap. gains distributions</t>
  </si>
  <si>
    <t>1. Piketty-Saez income replication (no capital gains, by tax units)</t>
  </si>
  <si>
    <r>
      <t>1. Piketty-Saez income replication</t>
    </r>
    <r>
      <rPr>
        <sz val="9"/>
        <rFont val="Arial"/>
        <family val="2"/>
      </rPr>
      <t xml:space="preserve"> (no capital gains, by tax units)</t>
    </r>
  </si>
  <si>
    <t>Piketty-Saez def.         N. non-filer tax units</t>
  </si>
  <si>
    <t>PS  N. tax units     resid. and 20+ yrs</t>
  </si>
  <si>
    <t>Medicare            (check)</t>
  </si>
  <si>
    <t>20+ yrs dep. filer incomes (intermed.)</t>
  </si>
  <si>
    <t>Limit returns to adult residents</t>
  </si>
  <si>
    <t>Business current transfer payments (net)</t>
  </si>
  <si>
    <t>Table C19</t>
  </si>
  <si>
    <t>PS Table A1: Top fractiles income shares (excluding capital gains) in the United States</t>
  </si>
  <si>
    <t>Federal indiv. income tax        (removed)</t>
  </si>
  <si>
    <t>Income type</t>
  </si>
  <si>
    <t>Compensation of Employees</t>
  </si>
  <si>
    <t>Proprietors' income with IVA and CCAdj</t>
  </si>
  <si>
    <t>Rental income of persons with CCAdj</t>
  </si>
  <si>
    <t>Corporate profits with IVA and CCAdj</t>
  </si>
  <si>
    <t>Taxes on production and imports</t>
  </si>
  <si>
    <t>Subsidies</t>
  </si>
  <si>
    <t>Surplus          of         govt. enterprises</t>
  </si>
  <si>
    <t>Addenda</t>
  </si>
  <si>
    <t>Wages and salaries</t>
  </si>
  <si>
    <t>Supplements to wages and salaries</t>
  </si>
  <si>
    <t>Private business net rental income</t>
  </si>
  <si>
    <t>Household owner-occupied net imputed rent</t>
  </si>
  <si>
    <t>Nonprofit tenant-occupied net rental income</t>
  </si>
  <si>
    <t>Taxes on corporate income</t>
  </si>
  <si>
    <t>Profits after tax with IVA and CCAdj</t>
  </si>
  <si>
    <t>Sales tax</t>
  </si>
  <si>
    <t>User fee "taxes"</t>
  </si>
  <si>
    <t>Adjustment between accrued and realized retirement income</t>
  </si>
  <si>
    <t>C corp. ownership shares</t>
  </si>
  <si>
    <t>NIPA adjustments including under-reporting</t>
  </si>
  <si>
    <t>Employer contributions for pension and insurance funds</t>
  </si>
  <si>
    <t>Private non-retirement</t>
  </si>
  <si>
    <t>Retirement account</t>
  </si>
  <si>
    <t>Non-profit or government</t>
  </si>
  <si>
    <t>Federal Reserve amount</t>
  </si>
  <si>
    <t>Net Dividends</t>
  </si>
  <si>
    <t>Retained earnings</t>
  </si>
  <si>
    <t>Business</t>
  </si>
  <si>
    <t>Owner-occupied</t>
  </si>
  <si>
    <t>Employer contributions</t>
  </si>
  <si>
    <t>C corp. dividends</t>
  </si>
  <si>
    <t>C corp. retained earnings</t>
  </si>
  <si>
    <t>Retirement income</t>
  </si>
  <si>
    <t>C corporations</t>
  </si>
  <si>
    <t>Tax data</t>
  </si>
  <si>
    <t>Residual of NIPA 1.12 line 3</t>
  </si>
  <si>
    <t>NIPA 7.8 lines 12-13-16+18+24</t>
  </si>
  <si>
    <t>Excluded (included on distribution basis)</t>
  </si>
  <si>
    <t>NIPA 1.12            line 8</t>
  </si>
  <si>
    <t>NIPA 1.12 line 11 less amount on tax returns</t>
  </si>
  <si>
    <t>NIPA 7.9 line 2 less amount on tax returns</t>
  </si>
  <si>
    <t>NIPA 1.12 line 14 distributed by ownership shares</t>
  </si>
  <si>
    <t>NIPA 3.2 line 8</t>
  </si>
  <si>
    <t>NIPA 1.12 line 17 distributed by ownership shares</t>
  </si>
  <si>
    <t>5% of NIPA 7.11 line 21</t>
  </si>
  <si>
    <t>NIPA 3.3 line 8 less 7.4.5 line 15</t>
  </si>
  <si>
    <t>NIPA 1.12 line 17 times ownership share</t>
  </si>
  <si>
    <t>NIPA 7.11 line 21 less amount on tax returns or allocated to non-profits/govts</t>
  </si>
  <si>
    <t>Table C12 based on Federal Reserve data</t>
  </si>
  <si>
    <t xml:space="preserve">NIPA 1.12 line 14 </t>
  </si>
  <si>
    <t>NIPA 7.9     line 14</t>
  </si>
  <si>
    <t>NIPA 1.12 line 3</t>
  </si>
  <si>
    <t>Total non-filer market income</t>
  </si>
  <si>
    <t>Non-filer income</t>
  </si>
  <si>
    <t>Non-Filers and Non-residents</t>
  </si>
  <si>
    <t>Shares based on Table B2, tax information return data</t>
  </si>
  <si>
    <t>NIPA 1.12               line 16</t>
  </si>
  <si>
    <t>NIPA 1.12 line 10 less amount on tax returns</t>
  </si>
  <si>
    <t>NIPA 1.12               line 17</t>
  </si>
  <si>
    <t>Tax returns (65% of NIPA 7.11 line 21 before 1987)</t>
  </si>
  <si>
    <t>NIPA 1.12 line 21</t>
  </si>
  <si>
    <t>NIPA 7.11               line 21</t>
  </si>
  <si>
    <t>Tax-exempt interest (interest paid by state and local governments)</t>
  </si>
  <si>
    <t>NIPA 1.12               line 1</t>
  </si>
  <si>
    <t>Calculated (Column B)</t>
  </si>
  <si>
    <t xml:space="preserve">Calculated </t>
  </si>
  <si>
    <t>Difference</t>
  </si>
  <si>
    <t>NIPA National Income</t>
  </si>
  <si>
    <t>Calculated National Income</t>
  </si>
  <si>
    <r>
      <rPr>
        <b/>
        <sz val="10"/>
        <color theme="1"/>
        <rFont val="Times New Roman"/>
        <family val="1"/>
      </rPr>
      <t>National Income</t>
    </r>
    <r>
      <rPr>
        <sz val="10"/>
        <color theme="1"/>
        <rFont val="Times New Roman"/>
        <family val="1"/>
      </rPr>
      <t>: Wages and salaries</t>
    </r>
  </si>
  <si>
    <r>
      <rPr>
        <b/>
        <sz val="10"/>
        <color theme="1"/>
        <rFont val="Times New Roman"/>
        <family val="1"/>
      </rPr>
      <t>National Income</t>
    </r>
    <r>
      <rPr>
        <sz val="10"/>
        <color theme="1"/>
        <rFont val="Times New Roman"/>
        <family val="1"/>
      </rPr>
      <t>: Taxes on corporate income</t>
    </r>
  </si>
  <si>
    <r>
      <rPr>
        <b/>
        <sz val="10"/>
        <color theme="1"/>
        <rFont val="Times New Roman"/>
        <family val="1"/>
      </rPr>
      <t>National Income</t>
    </r>
    <r>
      <rPr>
        <sz val="10"/>
        <color theme="1"/>
        <rFont val="Times New Roman"/>
        <family val="1"/>
      </rPr>
      <t>: Corporation net dividends (includes S corp. distributions)</t>
    </r>
  </si>
  <si>
    <r>
      <rPr>
        <b/>
        <sz val="10"/>
        <color theme="1"/>
        <rFont val="Times New Roman"/>
        <family val="1"/>
      </rPr>
      <t>National Income</t>
    </r>
    <r>
      <rPr>
        <sz val="10"/>
        <color theme="1"/>
        <rFont val="Times New Roman"/>
        <family val="1"/>
      </rPr>
      <t>: Corp. retained earnings (Undistributed profits with IVA and CCAdj)</t>
    </r>
  </si>
  <si>
    <t>NIPA 1.12               line 18</t>
  </si>
  <si>
    <r>
      <rPr>
        <b/>
        <sz val="10"/>
        <color theme="1"/>
        <rFont val="Times New Roman"/>
        <family val="1"/>
      </rPr>
      <t>National Income</t>
    </r>
    <r>
      <rPr>
        <sz val="10"/>
        <color theme="1"/>
        <rFont val="Times New Roman"/>
        <family val="1"/>
      </rPr>
      <t>: Net interest and misc. payments</t>
    </r>
  </si>
  <si>
    <t>Addenda: Private retirement income accrued</t>
  </si>
  <si>
    <t>Addenda: Other</t>
  </si>
  <si>
    <t>NIPA 7.8 lines 12</t>
  </si>
  <si>
    <t>NIPA 7.8 lines 13</t>
  </si>
  <si>
    <t>NIPA 7.8 lines 18</t>
  </si>
  <si>
    <t>Health insurance</t>
  </si>
  <si>
    <t>Federal hospital insurance (HI tax)</t>
  </si>
  <si>
    <t>Life insurance</t>
  </si>
  <si>
    <t>NIPA 1.12          line 25</t>
  </si>
  <si>
    <t>NIPA 3.3               line 8</t>
  </si>
  <si>
    <r>
      <rPr>
        <b/>
        <sz val="10"/>
        <color theme="1"/>
        <rFont val="Times New Roman"/>
        <family val="1"/>
      </rPr>
      <t>National Income</t>
    </r>
    <r>
      <rPr>
        <sz val="10"/>
        <color theme="1"/>
        <rFont val="Times New Roman"/>
        <family val="1"/>
      </rPr>
      <t>: Taxes on production and imports</t>
    </r>
  </si>
  <si>
    <t>NIPA 1.12               line 19</t>
  </si>
  <si>
    <t>NIPA 1.12 line 19 less listed taxes</t>
  </si>
  <si>
    <t>NIPA 7.9 lines 2</t>
  </si>
  <si>
    <t>NIPA 1.12       line 10</t>
  </si>
  <si>
    <t>NIPA 1.12     line 11</t>
  </si>
  <si>
    <r>
      <rPr>
        <b/>
        <sz val="10"/>
        <color theme="1"/>
        <rFont val="Times New Roman"/>
        <family val="1"/>
      </rPr>
      <t>National Income</t>
    </r>
    <r>
      <rPr>
        <sz val="10"/>
        <color theme="1"/>
        <rFont val="Times New Roman"/>
        <family val="1"/>
      </rPr>
      <t>: Proprietors' farm income</t>
    </r>
  </si>
  <si>
    <r>
      <rPr>
        <b/>
        <sz val="10"/>
        <color theme="1"/>
        <rFont val="Times New Roman"/>
        <family val="1"/>
      </rPr>
      <t>National Income</t>
    </r>
    <r>
      <rPr>
        <sz val="10"/>
        <color theme="1"/>
        <rFont val="Times New Roman"/>
        <family val="1"/>
      </rPr>
      <t>: Proprietors' nonfarm income</t>
    </r>
  </si>
  <si>
    <t>Table T1</t>
  </si>
  <si>
    <t>Social Security benefts</t>
  </si>
  <si>
    <t>Railroad Retirement benefits</t>
  </si>
  <si>
    <t>Unempl. Insur. benefits</t>
  </si>
  <si>
    <t>NIPA 3.12            line 12</t>
  </si>
  <si>
    <t>NIPA 3.12            line 5</t>
  </si>
  <si>
    <t>NIPA 3.12            line 7</t>
  </si>
  <si>
    <t>NIPA 3.12            line 6</t>
  </si>
  <si>
    <t>Family assistance (AFDC/TANF)</t>
  </si>
  <si>
    <t>NIPA 3.12            line 35</t>
  </si>
  <si>
    <t>NIPA 3.12            line 25</t>
  </si>
  <si>
    <t>NIPA 3.12            line 36</t>
  </si>
  <si>
    <t>NIPA 3.12            line 23</t>
  </si>
  <si>
    <t>NIPA 3.12            line 28</t>
  </si>
  <si>
    <t>NIPA 3.12            line 15</t>
  </si>
  <si>
    <t>NIPA 3.12            line 17</t>
  </si>
  <si>
    <t>NIPA 3.12            line 16</t>
  </si>
  <si>
    <t>NIPA 3.12            line 14</t>
  </si>
  <si>
    <t>Supplemental Nutrition Assistance Program (SNAP)</t>
  </si>
  <si>
    <t>Medicaid and other medical care</t>
  </si>
  <si>
    <t>NIPA 3.12            line 32</t>
  </si>
  <si>
    <t>NIPA 3.12            line 21</t>
  </si>
  <si>
    <t>NIPA 3.12            line 2</t>
  </si>
  <si>
    <t>Government Social Benefits to domestic persons</t>
  </si>
  <si>
    <t>Military medical insurance</t>
  </si>
  <si>
    <t>Veterans' life insurance</t>
  </si>
  <si>
    <t>Veterans' benefits</t>
  </si>
  <si>
    <t>Workers' compensation</t>
  </si>
  <si>
    <t>Supplemental security income (SSI)</t>
  </si>
  <si>
    <t>Benefits from social insurance funds</t>
  </si>
  <si>
    <t>Federal</t>
  </si>
  <si>
    <t>State and local</t>
  </si>
  <si>
    <t>Refundable tax credits</t>
  </si>
  <si>
    <t>NIPA 3.5 line 28</t>
  </si>
  <si>
    <t>NIPA 3.5 line 23</t>
  </si>
  <si>
    <t>NIPA 3.5 line 20</t>
  </si>
  <si>
    <t>NIPA 3.5 line 4</t>
  </si>
  <si>
    <t>Federal Gasoline</t>
  </si>
  <si>
    <t>State and local gasoline</t>
  </si>
  <si>
    <t>State public utilities</t>
  </si>
  <si>
    <t>Local public utilities</t>
  </si>
  <si>
    <t>Table T2</t>
  </si>
  <si>
    <t>LESS: Taxes</t>
  </si>
  <si>
    <t>Federal defense</t>
  </si>
  <si>
    <t>Federal non-defense</t>
  </si>
  <si>
    <t>NIPA 3.9.5     lines 18</t>
  </si>
  <si>
    <t>NIPA 3.9.5     lines 34</t>
  </si>
  <si>
    <t>State and local individual income taxes</t>
  </si>
  <si>
    <t>Federal individual income taxes</t>
  </si>
  <si>
    <t>NIPA 3.2            line 3</t>
  </si>
  <si>
    <t>NIPA 3.3            line 4</t>
  </si>
  <si>
    <t>Businesses</t>
  </si>
  <si>
    <t>PLUS: Other transfers to domestic persons</t>
  </si>
  <si>
    <t>NIPA 3.1          line 27</t>
  </si>
  <si>
    <t>NIPA 5.11        line 18</t>
  </si>
  <si>
    <t>Government interest payments</t>
  </si>
  <si>
    <t>NIPA 3.1          line 28</t>
  </si>
  <si>
    <t>NIPA 3.1          line 29</t>
  </si>
  <si>
    <t>Net interest paid by governments</t>
  </si>
  <si>
    <t>Government domestic interest payments</t>
  </si>
  <si>
    <t>NIPA 7.11          line 20</t>
  </si>
  <si>
    <t>NIPA 7.11          line 106</t>
  </si>
  <si>
    <t>NIPA 7.11          line 21</t>
  </si>
  <si>
    <t>Monetary interest paid by federal government</t>
  </si>
  <si>
    <t>Monetary interest paid by state and local governments</t>
  </si>
  <si>
    <t>Remaining taxes on production and imports</t>
  </si>
  <si>
    <t>Estimated amount on tax returns</t>
  </si>
  <si>
    <t>Private retirement accounts</t>
  </si>
  <si>
    <t>Government  interest payments rest of world</t>
  </si>
  <si>
    <t>NIPA 7.11 line 20 less rest of world, tax returns, or non-profits/govts</t>
  </si>
  <si>
    <t>PLUS:           Government surplus (deficit)</t>
  </si>
  <si>
    <t>Taxes from the rest of the world</t>
  </si>
  <si>
    <t>NIPA 3.1            line 6</t>
  </si>
  <si>
    <t>Social insurance taxes from rest of the world</t>
  </si>
  <si>
    <t>NIPA 3.1            line 9</t>
  </si>
  <si>
    <t>Net taxes to/from rest of world</t>
  </si>
  <si>
    <t>PLUS:           Transfer government spending</t>
  </si>
  <si>
    <t>PLUS:  Cash Transfers</t>
  </si>
  <si>
    <t>PLUS:  Non-cash Transfers</t>
  </si>
  <si>
    <t>Cash transfers</t>
  </si>
  <si>
    <t>Non-cash transfers</t>
  </si>
  <si>
    <t>Taxes paid by domestic residents</t>
  </si>
  <si>
    <t>Current transfer receipts from rest of world</t>
  </si>
  <si>
    <t>NIPA 3.1            line 18</t>
  </si>
  <si>
    <t>Current transfers to rest of world</t>
  </si>
  <si>
    <t>NIPA 3.1            line 25              (3.12 line 43)</t>
  </si>
  <si>
    <t>Inflation rate</t>
  </si>
  <si>
    <t>Interest received</t>
  </si>
  <si>
    <t>Corp. bond yields</t>
  </si>
  <si>
    <t xml:space="preserve">AAA Moody's </t>
  </si>
  <si>
    <t>Federal Reserve</t>
  </si>
  <si>
    <t xml:space="preserve">BAA Moody's </t>
  </si>
  <si>
    <t>Inflation as share of BAA corp. bond yield</t>
  </si>
  <si>
    <t/>
  </si>
  <si>
    <t>Federal Reserve FA156130001.A</t>
  </si>
  <si>
    <t>Federal Reserve FA156130101.A</t>
  </si>
  <si>
    <t>Households and non-profits</t>
  </si>
  <si>
    <t>Interest paid</t>
  </si>
  <si>
    <t>Inflation adjustment</t>
  </si>
  <si>
    <t>Net interest paid</t>
  </si>
  <si>
    <t>Federal Reserve FA596130101.A</t>
  </si>
  <si>
    <t>Net interest received (not in pensions)</t>
  </si>
  <si>
    <t>Financial business</t>
  </si>
  <si>
    <t>Federal Reserve FA796130001.A</t>
  </si>
  <si>
    <t>Federal Reserve FA796130101.A</t>
  </si>
  <si>
    <t>Nonfinancial noncorporate bus.</t>
  </si>
  <si>
    <t>Nonfinancial corporate bus.</t>
  </si>
  <si>
    <t>Federal Reserve FA106130001.A</t>
  </si>
  <si>
    <t>Federal Reserve FA106130101.A</t>
  </si>
  <si>
    <t>Federal Reserve FA116130001.A</t>
  </si>
  <si>
    <t>Federal Reserve FA116130101.A</t>
  </si>
  <si>
    <t>Accrued interest received in retirement (50% of net before 2001)</t>
  </si>
  <si>
    <t>Net interest received/paid</t>
  </si>
  <si>
    <t>Federal Reserve FA316130001.A</t>
  </si>
  <si>
    <t>Federal government</t>
  </si>
  <si>
    <t>State &amp; local governments</t>
  </si>
  <si>
    <t>Federal Reserve FA206130001.A</t>
  </si>
  <si>
    <t>Federal Reserve FA206130101.A</t>
  </si>
  <si>
    <t>Net interest paid to domestic residents</t>
  </si>
  <si>
    <t>IMA Table S.7.a line 131</t>
  </si>
  <si>
    <t>Addenda: Government debt owned by rest of world (billions of dollars)</t>
  </si>
  <si>
    <t>Federal Treasuries</t>
  </si>
  <si>
    <t>IMA Table S.8.a line 131</t>
  </si>
  <si>
    <t>State and local debt securities (munis)</t>
  </si>
  <si>
    <t>Government debt</t>
  </si>
  <si>
    <t>Owned by rest of world</t>
  </si>
  <si>
    <t>IMA Table S.9.a line 101</t>
  </si>
  <si>
    <t>IMA Table S.9.a line 103</t>
  </si>
  <si>
    <t>Increase by inflationary deductions (business)</t>
  </si>
  <si>
    <t>Decrease income by inflationary interest received (households)</t>
  </si>
  <si>
    <t>Ratio of business interest increase to market income</t>
  </si>
  <si>
    <t>5% of NIPA 7.11 line 99 less other interest</t>
  </si>
  <si>
    <t>Monetary interest paid by business</t>
  </si>
  <si>
    <t>Other interest</t>
  </si>
  <si>
    <t>After-tax National Income</t>
  </si>
  <si>
    <t>Allocate to filers by after-tax income less savings, based on SCF results in Dynan et al (2004)</t>
  </si>
  <si>
    <t>https://nces.ed.gov/programs/digest/d15/tables/dt15_103.20.asp</t>
  </si>
  <si>
    <t>Digest of Education Statistics,Table 103.20: Percentage of the population 3 to 34 years old enrolled in school, by age group: Selected years, 1940 through 2014</t>
  </si>
  <si>
    <t>Age 18-19</t>
  </si>
  <si>
    <t>Age 20-24</t>
  </si>
  <si>
    <t>Age 20-21</t>
  </si>
  <si>
    <t>Age 22-24</t>
  </si>
  <si>
    <t>Primarily college students age 20-23, not identified before 1987, fewer in early years, see college enroll.</t>
  </si>
  <si>
    <t>Inflation correction for interest</t>
  </si>
  <si>
    <t>Addenda: Government inflationary interest paid alternative estimates</t>
  </si>
  <si>
    <t>Increase by inflationary govt. interest paid (treated as indirect taxes in pre-tax measures)</t>
  </si>
  <si>
    <t xml:space="preserve">Before 1986, dependent filers are not identified. Before 1979, the dates of birth cannot be matched to filers and the number of under 20 year old filers are imputed. </t>
  </si>
  <si>
    <t>Portion by interest receipts</t>
  </si>
  <si>
    <t>Portion by pensions</t>
  </si>
  <si>
    <t>_TYPE_</t>
  </si>
  <si>
    <t>_FREQ_</t>
  </si>
  <si>
    <t>AGIX</t>
  </si>
  <si>
    <t>WAGE</t>
  </si>
  <si>
    <t>INTEREST</t>
  </si>
  <si>
    <t>DIVID</t>
  </si>
  <si>
    <t>TOTDIV</t>
  </si>
  <si>
    <t>EXDIV</t>
  </si>
  <si>
    <t>CGSD</t>
  </si>
  <si>
    <t>CGDS</t>
  </si>
  <si>
    <t>PENSION</t>
  </si>
  <si>
    <t>UNEM</t>
  </si>
  <si>
    <t>TUNEM</t>
  </si>
  <si>
    <t>SSAGIX</t>
  </si>
  <si>
    <t>TSSA</t>
  </si>
  <si>
    <t>STATADJ</t>
  </si>
  <si>
    <t>BUSN</t>
  </si>
  <si>
    <t>PARTSCP</t>
  </si>
  <si>
    <t>FARM</t>
  </si>
  <si>
    <t>RENTS</t>
  </si>
  <si>
    <t>TRUST</t>
  </si>
  <si>
    <t>NOLS</t>
  </si>
  <si>
    <t>OTHR</t>
  </si>
  <si>
    <t>STXRF</t>
  </si>
  <si>
    <t>FICA</t>
  </si>
  <si>
    <t>UI</t>
  </si>
  <si>
    <t>GAMBLS</t>
  </si>
  <si>
    <t>X004</t>
  </si>
  <si>
    <t>PENSTX_calc</t>
  </si>
  <si>
    <t>eq20</t>
  </si>
  <si>
    <t>EXEM</t>
  </si>
  <si>
    <t>less20</t>
  </si>
  <si>
    <t>ov20dep</t>
  </si>
  <si>
    <t>remNR</t>
  </si>
  <si>
    <t>filers</t>
  </si>
  <si>
    <t>CRET</t>
  </si>
  <si>
    <t>CTAX</t>
  </si>
  <si>
    <t>TAX</t>
  </si>
  <si>
    <t>SETX</t>
  </si>
  <si>
    <t>STXD</t>
  </si>
  <si>
    <t>SITX</t>
  </si>
  <si>
    <t>DED</t>
  </si>
  <si>
    <t>SSTX</t>
  </si>
  <si>
    <t>ESREBATE</t>
  </si>
  <si>
    <t>IMP_SSA2</t>
  </si>
  <si>
    <t>UNEM2</t>
  </si>
  <si>
    <t>FTAX</t>
  </si>
  <si>
    <t>IPTAX</t>
  </si>
  <si>
    <t>PRPD</t>
  </si>
  <si>
    <t>WTAX</t>
  </si>
  <si>
    <t>IRENT</t>
  </si>
  <si>
    <t>FTC</t>
  </si>
  <si>
    <t>nr</t>
  </si>
  <si>
    <t>SCP</t>
  </si>
  <si>
    <t>SCPp</t>
  </si>
  <si>
    <t>https://www.census.gov/data/tables/2016/demo/popest/state-total.html</t>
  </si>
  <si>
    <t>adult</t>
  </si>
  <si>
    <t>NTINT</t>
  </si>
  <si>
    <t>NIPA 3.12 lines 14+17</t>
  </si>
  <si>
    <t>Veterans' benefits and other cash transfers (check)</t>
  </si>
  <si>
    <t>Other transfers            (added)</t>
  </si>
  <si>
    <t>Other transfers            (check)</t>
  </si>
  <si>
    <t>C-corp retained earnings</t>
  </si>
  <si>
    <t>C-corp taxes</t>
  </si>
  <si>
    <t>Imputed rent</t>
  </si>
  <si>
    <t>Employer payroll tax</t>
  </si>
  <si>
    <t>Under-reported income</t>
  </si>
  <si>
    <t>Other non-cash transfers</t>
  </si>
  <si>
    <t>10%–20%</t>
  </si>
  <si>
    <t>20%–30%</t>
  </si>
  <si>
    <t>30%–40%</t>
  </si>
  <si>
    <t>40%–50%</t>
  </si>
  <si>
    <t>50%–60%</t>
  </si>
  <si>
    <t>60%–70%</t>
  </si>
  <si>
    <t>70%–80%</t>
  </si>
  <si>
    <t>80%–90%</t>
  </si>
  <si>
    <t>90%–95%</t>
  </si>
  <si>
    <t>95%–99%</t>
  </si>
  <si>
    <t>99.0%–99.5%</t>
  </si>
  <si>
    <t>AGI</t>
  </si>
  <si>
    <t>True AGI</t>
  </si>
  <si>
    <t>Reported AGI</t>
  </si>
  <si>
    <t>Bottom 10%</t>
  </si>
  <si>
    <t>Johns and Slemrod (2010, NTJ) Table 5</t>
  </si>
  <si>
    <t>Inflation adjustment  (check)</t>
  </si>
  <si>
    <t>Inflation: interest  (intermed.)</t>
  </si>
  <si>
    <t>Inflation: pension (intermed.)</t>
  </si>
  <si>
    <t>Inflation: business  (intermed.)</t>
  </si>
  <si>
    <t>Inflation: government  (intermed.)</t>
  </si>
  <si>
    <t>Partnership net income</t>
  </si>
  <si>
    <t>Sole proprietor net income (Schedule C)</t>
  </si>
  <si>
    <t>Partnership and S corp net income</t>
  </si>
  <si>
    <t>Ei4. Inflation adjustment of inflation</t>
  </si>
  <si>
    <t>under20inc</t>
  </si>
  <si>
    <t>gt20depinc</t>
  </si>
  <si>
    <t>&lt;20 yrs dep. filer incomes (intermed.)</t>
  </si>
  <si>
    <t>depwages</t>
  </si>
  <si>
    <t xml:space="preserve">PASNDLS </t>
  </si>
  <si>
    <t xml:space="preserve">RENTNDLS </t>
  </si>
  <si>
    <t xml:space="preserve">PASNDLS100 </t>
  </si>
  <si>
    <t>RENTNDLS100</t>
  </si>
  <si>
    <t>NDLOSS</t>
  </si>
  <si>
    <t>NDLOSS100</t>
  </si>
  <si>
    <t>NIPA adjustments</t>
  </si>
  <si>
    <t>Pass-throughs (S corp)</t>
  </si>
  <si>
    <t>BEA S corp income</t>
  </si>
  <si>
    <t>www.bea.gov/faq/index.cfm?faq_id=318</t>
  </si>
  <si>
    <t>BEA and estimated BEA S corp income</t>
  </si>
  <si>
    <t>Tax data (assume 1960 is 95% of 1962)</t>
  </si>
  <si>
    <t>Tax data (estimated as 10% of Partn.+S corp before 1965)</t>
  </si>
  <si>
    <t>S corp net income</t>
  </si>
  <si>
    <t>Calc. (10% larger than S corp before 1991 &amp; after 2013)</t>
  </si>
  <si>
    <t>NIPA 1.12 line 16 less S corp. dividends by ownership shares</t>
  </si>
  <si>
    <t>NIPA 1.12 line 16 less S corp. dividends and non-profit/govt.</t>
  </si>
  <si>
    <t>Employee contributions for pension funds</t>
  </si>
  <si>
    <t>IRA</t>
  </si>
  <si>
    <t>Taxable amount reported on domestic tax returns and by non-filers</t>
  </si>
  <si>
    <t>Remove IRA contributions</t>
  </si>
  <si>
    <t>1979-2015</t>
  </si>
  <si>
    <t>present</t>
  </si>
  <si>
    <t>IRA contributions (removed)</t>
  </si>
  <si>
    <t>Corp. retained earnings (check)</t>
  </si>
  <si>
    <t>Calc. from Table T1a</t>
  </si>
  <si>
    <t>Calc. from Table T1</t>
  </si>
  <si>
    <t>Underrep. wages       (intermed.)</t>
  </si>
  <si>
    <t>Underrep. farm income       (intermed.)</t>
  </si>
  <si>
    <t>Underrep. non-farm non-corp   (intermed.)</t>
  </si>
  <si>
    <t>Underrep. rents       (intermed.)</t>
  </si>
  <si>
    <t>Underrep. income            (check)</t>
  </si>
  <si>
    <t>Imputed         rent         (check)</t>
  </si>
  <si>
    <t>Interest received by state and local governments</t>
  </si>
  <si>
    <t>NIPA 7.11               line 35</t>
  </si>
  <si>
    <t>State and local government interest                         (tax-exempt on returns)</t>
  </si>
  <si>
    <t>Federal government interest</t>
  </si>
  <si>
    <t>Interest receipts</t>
  </si>
  <si>
    <t>Tax returns (40% of taxable amount)</t>
  </si>
  <si>
    <t>NIPA 1.12 line 18 less all other interest receipts</t>
  </si>
  <si>
    <t>Non-profit or govt.</t>
  </si>
  <si>
    <t>Net income on tax returns</t>
  </si>
  <si>
    <t>Private pension and other employee benefit plans</t>
  </si>
  <si>
    <t>NIPA 1.12       line 7</t>
  </si>
  <si>
    <t>NIPA 1.12 line 7 less other employer contributions in column H</t>
  </si>
  <si>
    <r>
      <rPr>
        <b/>
        <sz val="10"/>
        <color theme="1"/>
        <rFont val="Times New Roman"/>
        <family val="1"/>
      </rPr>
      <t>National Income</t>
    </r>
    <r>
      <rPr>
        <sz val="10"/>
        <color theme="1"/>
        <rFont val="Times New Roman"/>
        <family val="1"/>
      </rPr>
      <t>: Employer supplements to wages (not social insur.)</t>
    </r>
  </si>
  <si>
    <t>Employer spons. insurance  (added)</t>
  </si>
  <si>
    <t>Workers' comp.</t>
  </si>
  <si>
    <t>NIPA 7.8 lines 21</t>
  </si>
  <si>
    <t>Add employer provided insurance</t>
  </si>
  <si>
    <t>Allocate NIPA health, life, and workers' comp. insurance using 2014 Form W-2 distribution</t>
  </si>
  <si>
    <t>2014 Form W-2 &amp; NIPA Table 7.8</t>
  </si>
  <si>
    <t>Inflation effect on interest</t>
  </si>
  <si>
    <t>Add underreported income</t>
  </si>
  <si>
    <t>NIPA residuals of taxable income</t>
  </si>
  <si>
    <t>BEA inflation &amp; Moody's BAA corp. yields</t>
  </si>
  <si>
    <t>Increase business income, decrease household interest receipts and government payments</t>
  </si>
  <si>
    <t>From 1040 amounts not on Schedule D. Not separate in 1997 and 1998 and before 1971</t>
  </si>
  <si>
    <t>Veterans benefits, fed. SSI, ref. tax credits, wkrs. comp., and state/local social insurance</t>
  </si>
  <si>
    <t>check</t>
  </si>
  <si>
    <t>Veterans' benefits and other cash transfers (added)</t>
  </si>
  <si>
    <t>Other cash transfers less payroll tax holiday (intermed.)</t>
  </si>
  <si>
    <t>excludes 2008 stimulus</t>
  </si>
  <si>
    <t>Employer insurance</t>
  </si>
  <si>
    <t>Government deficit  (check)</t>
  </si>
  <si>
    <t>NIPA 1.12      line 20         (details in 2.13)</t>
  </si>
  <si>
    <t>Other cash transfers</t>
  </si>
  <si>
    <t>Ed2: Add imputed rent</t>
  </si>
  <si>
    <t>Ed3. Add employer payroll taxes</t>
  </si>
  <si>
    <t>Ed4. Add employer sponsored health insurance</t>
  </si>
  <si>
    <t>Underrep. total            (added)</t>
  </si>
  <si>
    <t>Not on tax returns (calc.)</t>
  </si>
  <si>
    <t>Veterans' benefits (intermed.)</t>
  </si>
  <si>
    <t>Total domestic social benefits (intermed.)</t>
  </si>
  <si>
    <t>Capital ownership by type for corporate taxes</t>
  </si>
  <si>
    <t>Table 4</t>
  </si>
  <si>
    <t>Table C18: Percentage of the Population Enrolled in School by Age (NCES)</t>
  </si>
  <si>
    <t>Percentage of the Population Enrolled in School by Age (NCES)</t>
  </si>
  <si>
    <t>1960-2015</t>
  </si>
  <si>
    <t>Pre-tax income</t>
  </si>
  <si>
    <t>Underreported income</t>
  </si>
  <si>
    <t>(latest$)</t>
  </si>
  <si>
    <t>Retire</t>
  </si>
  <si>
    <t>Market Income (before and after inflation adjustment)</t>
  </si>
  <si>
    <t>2008 stimulus</t>
  </si>
  <si>
    <t>IRA contributions (includes KEOGH and others)</t>
  </si>
  <si>
    <t>Rental income of private business</t>
  </si>
  <si>
    <t>Calc.           (residual)</t>
  </si>
  <si>
    <t>&lt;20 &amp; dep. filer PS market income (intermed.)</t>
  </si>
  <si>
    <t>&lt;20 &amp; dep. filer wages (intermed.)</t>
  </si>
  <si>
    <t>Tx returns</t>
  </si>
  <si>
    <t>Tax to rest of world (FTCs in taxes)</t>
  </si>
  <si>
    <r>
      <t xml:space="preserve">PLUS:           Government consumption  </t>
    </r>
    <r>
      <rPr>
        <sz val="9"/>
        <color theme="1"/>
        <rFont val="Times New Roman"/>
        <family val="1"/>
      </rPr>
      <t>(excludes user fees)</t>
    </r>
  </si>
  <si>
    <t>Government surplus                  (taxes collected less spending)</t>
  </si>
  <si>
    <t>(last year dollars)</t>
  </si>
  <si>
    <t>1993-2015</t>
  </si>
  <si>
    <t>Total: Net govt. taxes/transfers from rest of world</t>
  </si>
  <si>
    <t>S corporation net income</t>
  </si>
  <si>
    <r>
      <t xml:space="preserve">Government consumption  </t>
    </r>
    <r>
      <rPr>
        <sz val="9"/>
        <color theme="1"/>
        <rFont val="Times New Roman"/>
        <family val="1"/>
      </rPr>
      <t>(includes user fees)</t>
    </r>
  </si>
  <si>
    <t>Check: government surplus</t>
  </si>
  <si>
    <t>Check: National Income</t>
  </si>
  <si>
    <t>Checks</t>
  </si>
  <si>
    <t>EMPEX</t>
  </si>
  <si>
    <t>Auten-Splinter non-filer incomes are based on income reported on information returns only, and so exclude underreported income.</t>
  </si>
  <si>
    <t>Total retirement income: SS + RR + private pensions and accounts ($billions)</t>
  </si>
  <si>
    <t>Social Security and Railroad Retirement income ($billions)</t>
  </si>
  <si>
    <t>Other retirement income, excluding SS and RR ($billions)</t>
  </si>
  <si>
    <t>Other retirement income, excluding SS and RR (shares)</t>
  </si>
  <si>
    <t>Bottom 90%</t>
  </si>
  <si>
    <t>top 10%</t>
  </si>
  <si>
    <t>top 5%</t>
  </si>
  <si>
    <t>top 1%</t>
  </si>
  <si>
    <t>top 0.1%</t>
  </si>
  <si>
    <t>top 0.01%</t>
  </si>
  <si>
    <t>Social Security and Railroad Retirement income is estimated from tax data.</t>
  </si>
  <si>
    <r>
      <rPr>
        <i/>
        <sz val="11"/>
        <color theme="1"/>
        <rFont val="Calibri"/>
        <family val="2"/>
        <scheme val="minor"/>
      </rPr>
      <t>Notes</t>
    </r>
    <r>
      <rPr>
        <sz val="11"/>
        <color theme="1"/>
        <rFont val="Calibri"/>
        <family val="2"/>
        <scheme val="minor"/>
      </rPr>
      <t>: Total retirement income by income group is estimated from Piketty, Saez and Zucman (2017) online data, Distibution Tables B2, B2b and B2c.</t>
    </r>
  </si>
  <si>
    <t>Totals</t>
  </si>
  <si>
    <t>Consistent market income by source</t>
  </si>
  <si>
    <t>Pre-tax income by source</t>
  </si>
  <si>
    <t>After-tax income by source</t>
  </si>
  <si>
    <t>After-tax national income by source</t>
  </si>
  <si>
    <t>Table T1a</t>
  </si>
  <si>
    <t>Figure T2</t>
  </si>
  <si>
    <t>Figure T3</t>
  </si>
  <si>
    <t>Figure T4</t>
  </si>
  <si>
    <t>Figure T4a</t>
  </si>
  <si>
    <t>Accrued retirement income calculations for Table T4</t>
  </si>
  <si>
    <t>Inflation correction of interest payments for Table T1</t>
  </si>
  <si>
    <t>Distribution of underreported income among filers by reported and true AGI</t>
  </si>
  <si>
    <t>Table C20</t>
  </si>
  <si>
    <t>Table C20: Distribution of underreported income among filers by reported and true AGI</t>
  </si>
  <si>
    <t>Fraction of aggregate AGI underreporting by reported AGI, Johns and Slemrod (2010, NTJ) Table 3</t>
  </si>
  <si>
    <t xml:space="preserve">Underreported share </t>
  </si>
  <si>
    <t>20%–40%</t>
  </si>
  <si>
    <t>40%–60%</t>
  </si>
  <si>
    <t>60%–80%</t>
  </si>
  <si>
    <t>99.0%–99.9%</t>
  </si>
  <si>
    <t>Negative AGI</t>
  </si>
  <si>
    <t>Government consumption less user fees (added)</t>
  </si>
  <si>
    <t>Civilian Labor Force, Ages 16-19 (thousands, from the Current Population Survey, series LNS11000012)</t>
  </si>
  <si>
    <t>Estimated &lt;20 Filers</t>
  </si>
  <si>
    <t>Jan</t>
  </si>
  <si>
    <t>Feb</t>
  </si>
  <si>
    <t>Mar</t>
  </si>
  <si>
    <t>Apr</t>
  </si>
  <si>
    <t>May</t>
  </si>
  <si>
    <t>Jun</t>
  </si>
  <si>
    <t>Jul</t>
  </si>
  <si>
    <t>Aug</t>
  </si>
  <si>
    <t>Sep</t>
  </si>
  <si>
    <t>Oct</t>
  </si>
  <si>
    <t>Nov</t>
  </si>
  <si>
    <t>Dec</t>
  </si>
  <si>
    <t>Annual</t>
  </si>
  <si>
    <t>(thousand)</t>
  </si>
  <si>
    <t>ratio LF</t>
  </si>
  <si>
    <t xml:space="preserve">  post-TRA86</t>
  </si>
  <si>
    <t>Imputed #</t>
  </si>
  <si>
    <t>These estimates are because before 1979, estimates of &lt;20 year old filers are based on labor force of 16-19 year olds, as dates of birth are not available.</t>
  </si>
  <si>
    <t>Table C21: Estimates of &lt;20 year old filers based on labor force of 16-19 year olds</t>
  </si>
  <si>
    <t>Estimates of &lt;20 year old filers based on labor force of 16-19 year olds</t>
  </si>
  <si>
    <t>Table C21</t>
  </si>
  <si>
    <t>Cd3. Correct income definition</t>
  </si>
  <si>
    <t>excludes underreported income</t>
  </si>
  <si>
    <t>N. corrected tax returns                        resid. non-dep 20+ yrs</t>
  </si>
  <si>
    <t>N. couples married filing separately</t>
  </si>
  <si>
    <t>MFS</t>
  </si>
  <si>
    <t>In 2007, filers identified by the IRS as only filing in order to collect stimulus payments are removed from the sample of filers in order to maintain a more consistent sample of non-filers.</t>
  </si>
  <si>
    <t>The number of married couples filing separately is the number of resident married filing separately tax returns divided by two.</t>
  </si>
  <si>
    <t>Piketty-Saez number of tax units is the sum of married men, divorced and widowed men and women, and single men and women aged 20 and over.</t>
  </si>
  <si>
    <t>Piketty-Saez                  Non-filer income (20%)</t>
  </si>
  <si>
    <t>and is less than Census counts as it excludes individuals 20 or older claimed as dependents, including many college students and elderly parents.</t>
  </si>
  <si>
    <t>Number of individuals in tax data is the number of exemptions claimed on tax returns and the estimated number of nonfiling adults (again using a 40% marriage rate assumption).</t>
  </si>
  <si>
    <t>This differs from Census counts because of timing (Dec. 31 in tax data vs. July 1 for Census), the inclusion of some non-resident spouses/dependents on resident tax returns (if living in Canada or Mexico), and the exclusion of any non-filer dependents.</t>
  </si>
  <si>
    <t>Inflation as share of AAA corp. bond yield</t>
  </si>
  <si>
    <t>Fraction owned by domestic residents</t>
  </si>
  <si>
    <t>Income Received</t>
  </si>
  <si>
    <t>Payments, deductions, and taxes</t>
  </si>
  <si>
    <t>Tax Year</t>
  </si>
  <si>
    <t>Capital gain (less loss)</t>
  </si>
  <si>
    <t>Other income (rents, partn., etc.)</t>
  </si>
  <si>
    <t>Taxes</t>
  </si>
  <si>
    <t>Depreciation and depletion, fees, expenses, and other deductions</t>
  </si>
  <si>
    <t>Distributions</t>
  </si>
  <si>
    <t>Federal income tax after credits</t>
  </si>
  <si>
    <t>Undistr. income (pre-tax)</t>
  </si>
  <si>
    <t>Undistr. income no CGs (pre-tax)</t>
  </si>
  <si>
    <t>Undistr. income (no CGs) share of market income</t>
  </si>
  <si>
    <r>
      <t>Notes:</t>
    </r>
    <r>
      <rPr>
        <sz val="10"/>
        <rFont val="Times New Roman"/>
        <family val="1"/>
      </rPr>
      <t xml:space="preserve"> Years with missing data interpolated.</t>
    </r>
  </si>
  <si>
    <t>Sources:</t>
  </si>
  <si>
    <t>https://www.irs.gov/pub/irs-soi/60fidgftesar.pdf</t>
  </si>
  <si>
    <t>https://www.irs.gov/pub/irs-soi/62fidgftesar.pdf</t>
  </si>
  <si>
    <t xml:space="preserve">https://www.irs.gov/pub/irs-soi/65fidgftesar.pdf </t>
  </si>
  <si>
    <t>https://www.irs.gov/pub/irs-soi/74fidar.pdf</t>
  </si>
  <si>
    <t xml:space="preserve">https://www.irs.gov/statistics/soi-tax-stats-fiduciary-returns-sources-of-income-deductions-and-tax-liability-tax-status-and-size-of-gross-income </t>
  </si>
  <si>
    <t>Table C22: Fiduciary Income: Estates and Trusts ($millions)</t>
  </si>
  <si>
    <t>Table C22</t>
  </si>
  <si>
    <t>Fiduciary income: Estates and Trusts</t>
  </si>
  <si>
    <t>Income Corrections &amp; Fiduciary</t>
  </si>
  <si>
    <t>Ei0: Add undistributed fiduciary income</t>
  </si>
  <si>
    <t>Undist. fiduciary inc. (added)</t>
  </si>
  <si>
    <t>Undist. fiduciary inc. (check)</t>
  </si>
  <si>
    <t>Allocate by taxable fiduciary income (use 1966 shares in prior years)</t>
  </si>
  <si>
    <t>IRS public data</t>
  </si>
  <si>
    <t>Remove non-resid. filers &amp; MFS fix</t>
  </si>
  <si>
    <t>Fiduciary retained income</t>
  </si>
  <si>
    <t>Add fiduciary retained income</t>
  </si>
  <si>
    <t>Non-farm</t>
  </si>
  <si>
    <t>TOTALS FROM TAX MICRO DATA</t>
  </si>
  <si>
    <t>Capital gains</t>
  </si>
  <si>
    <t>For rents, fiduciary income not associated with dividends, interest, or capital gains is allocated to rents and included in the amount in "Private non-retirement".</t>
  </si>
  <si>
    <t>For corporate dividends, the "Private non-retirement" category include amounts imputed from fiduciaries (both distributed and retained), under age 20 and dependent filers, and non-filers.</t>
  </si>
  <si>
    <r>
      <rPr>
        <i/>
        <sz val="11"/>
        <color theme="1"/>
        <rFont val="Calibri"/>
        <family val="2"/>
        <scheme val="minor"/>
      </rPr>
      <t>Notes</t>
    </r>
    <r>
      <rPr>
        <sz val="11"/>
        <color theme="1"/>
        <rFont val="Calibri"/>
        <family val="2"/>
        <scheme val="minor"/>
      </rPr>
      <t>: The "Taxable wages and salaries" category include amounts from under age 20 and dependent filers and non-filers and excludes retirement contributions.</t>
    </r>
  </si>
  <si>
    <t>For interest, fiduciary income from interest (both distributed and retained) is included in the amount in "Private non-retirement".</t>
  </si>
  <si>
    <r>
      <rPr>
        <i/>
        <sz val="11"/>
        <color theme="1"/>
        <rFont val="Calibri"/>
        <family val="2"/>
        <scheme val="minor"/>
      </rPr>
      <t>Sources</t>
    </r>
    <r>
      <rPr>
        <sz val="11"/>
        <color theme="1"/>
        <rFont val="Calibri"/>
        <family val="2"/>
        <scheme val="minor"/>
      </rPr>
      <t>: Financial accounts data  downloaded from www.federalreserve.gov/datadownload/default.htm and IRAs from Table  L.117 (Private and Public Pension Funds: in other years numbered L.118.c. or another number)</t>
    </r>
  </si>
  <si>
    <t>Fraction undistributed income (after-tax and deductions)</t>
  </si>
  <si>
    <t xml:space="preserve">https://www.irs.gov/pub/irs-soi/70fidar.pdf </t>
  </si>
  <si>
    <r>
      <t xml:space="preserve">Estep, Gary J. 1985. "Fiduciary Income Tax Returns, 1985." </t>
    </r>
    <r>
      <rPr>
        <i/>
        <sz val="11"/>
        <color theme="1"/>
        <rFont val="Calibri"/>
        <family val="2"/>
        <scheme val="minor"/>
      </rPr>
      <t xml:space="preserve">SOI Bulletin </t>
    </r>
    <r>
      <rPr>
        <sz val="11"/>
        <color theme="1"/>
        <rFont val="Calibri"/>
        <family val="2"/>
        <scheme val="minor"/>
      </rPr>
      <t>4(4): 39-59.</t>
    </r>
  </si>
  <si>
    <t>Interest payments on debt</t>
  </si>
  <si>
    <t>Federal Reserve "pension funds" include annuities in life insurance companies, and defined benefit and defined contribution (excluding IRA accounts).</t>
  </si>
  <si>
    <t>ICI, 2017 Investment Company Fact Book, 57th Edition.  www.icifactbook.org</t>
  </si>
  <si>
    <t>Mutual Funds: IRA Assets</t>
  </si>
  <si>
    <t>Table 64: Mutual Funds: IRA Assets and Estimated Net New Cash Flow by Type of Fund  ($billions)</t>
  </si>
  <si>
    <t>Table 28: Long-Term Mutual Funds: Portfolio Holdings (Common and pfd stocks)</t>
  </si>
  <si>
    <t>Stock % of Assets</t>
  </si>
  <si>
    <t>Total Stock Held</t>
  </si>
  <si>
    <t>Domestic Equity</t>
  </si>
  <si>
    <t>World Equity</t>
  </si>
  <si>
    <t>Hybrid</t>
  </si>
  <si>
    <t>Bond Funds</t>
  </si>
  <si>
    <t>Money Market Funds</t>
  </si>
  <si>
    <t>Equity Funds</t>
  </si>
  <si>
    <t xml:space="preserve">Hybrid Funds </t>
  </si>
  <si>
    <r>
      <rPr>
        <i/>
        <sz val="11"/>
        <color theme="1"/>
        <rFont val="Calibri"/>
        <family val="2"/>
        <scheme val="minor"/>
      </rPr>
      <t>Notes</t>
    </r>
    <r>
      <rPr>
        <sz val="11"/>
        <color theme="1"/>
        <rFont val="Calibri"/>
        <family val="2"/>
        <scheme val="minor"/>
      </rPr>
      <t>: Share of IRA assets invested in corporate equities since 1997 based on ICI data and in earlier years assumed to be same as 1997 fraction. Accounting for IRA ownership shifts assets from household to retirement groups.</t>
    </r>
  </si>
  <si>
    <t>PCE</t>
  </si>
  <si>
    <t>Distributed fiduciary income on tax returns (no CG as reported on Sch. D)</t>
  </si>
  <si>
    <t>Domestic share of net interest times inflation fraction</t>
  </si>
  <si>
    <t>Ratio between residual and inflation fraction estimates</t>
  </si>
  <si>
    <t>Undistributed fiduciary income (pre-tax)</t>
  </si>
  <si>
    <t>fiduc fed</t>
  </si>
  <si>
    <t>fiduc state</t>
  </si>
  <si>
    <t>For years without fiduciary taxable income</t>
  </si>
  <si>
    <t xml:space="preserve">is excluded if $99,999 or more. Individuals with years of death in subsequent years or aged 100 or more are removed. 2007 removed due to stimulus filers. </t>
  </si>
  <si>
    <r>
      <t xml:space="preserve">Sources: </t>
    </r>
    <r>
      <rPr>
        <sz val="8"/>
        <color theme="1"/>
        <rFont val="Arial"/>
        <family val="2"/>
      </rPr>
      <t>Authors’ calculations, IRS, BEA, Federal Reserve, U.S. Census, and Piketty and Saez (2003 and updates).</t>
    </r>
  </si>
  <si>
    <t>$83 billion moved to other transfers</t>
  </si>
  <si>
    <t>Ptholiday</t>
  </si>
  <si>
    <t>Refundable tax credits less 2008 stimulus</t>
  </si>
  <si>
    <t>NIPA 3.12            line 25  less column U</t>
  </si>
  <si>
    <t>Government surplus check</t>
  </si>
  <si>
    <t>Employee tax equal employer FICA tax, except in 1981, 2011 and 2012</t>
  </si>
  <si>
    <t>Auten-Splinter            Non-filer income (20%)</t>
  </si>
  <si>
    <t>Auten-Splinter               Non-filer reported income</t>
  </si>
  <si>
    <t>includes underreported income</t>
  </si>
  <si>
    <t>Auten-Splinter Non-filer income (with underrep.)</t>
  </si>
  <si>
    <t>Auten-Splinter Non-filer total market income (with underrep.)</t>
  </si>
  <si>
    <r>
      <rPr>
        <b/>
        <sz val="10"/>
        <color theme="1"/>
        <rFont val="Times New Roman"/>
        <family val="1"/>
      </rPr>
      <t>National Income</t>
    </r>
    <r>
      <rPr>
        <sz val="10"/>
        <color theme="1"/>
        <rFont val="Times New Roman"/>
        <family val="1"/>
      </rPr>
      <t>: Subsidies</t>
    </r>
  </si>
  <si>
    <t xml:space="preserve">Non-filers and non-residents includes decrease from removal of non-residents and increases from corrected higher number of non-filers. </t>
  </si>
  <si>
    <t>Notes: In 1960, interest and partnership/S corp. income are set to 1962 values and adjusted by the percent change in gross income.</t>
  </si>
  <si>
    <t>Table B2: Non-filer reported income as a fraction of filer income (at least 20 years old)</t>
  </si>
  <si>
    <t>After including underreported IRS income, non-filer incomes increase to about 30 percent of average filer income.</t>
  </si>
  <si>
    <t>Average Rate of All Taxes</t>
  </si>
  <si>
    <t>Corporate retained earnings (after-tax income)</t>
  </si>
  <si>
    <t>Corporate tax burden alternatives (pre-tax income)</t>
  </si>
  <si>
    <r>
      <t>Notes</t>
    </r>
    <r>
      <rPr>
        <sz val="10"/>
        <color theme="1"/>
        <rFont val="Times New Roman"/>
        <family val="1"/>
      </rPr>
      <t xml:space="preserve">: Baseline assumptions are described in text and in detail in the online appendix. Assumptions for sensitivity analysis are described in the text. </t>
    </r>
  </si>
  <si>
    <t>Table 5</t>
  </si>
  <si>
    <t>Sensitivity analysis, changes in top 1% income shares</t>
  </si>
  <si>
    <t>Table C23</t>
  </si>
  <si>
    <t>Defined contribution retirement wealth to income ratios</t>
  </si>
  <si>
    <t>Income group: P90-95</t>
  </si>
  <si>
    <t>Income group: P95-99</t>
  </si>
  <si>
    <t>Income group: P99-99.5</t>
  </si>
  <si>
    <t>Income group: P99.5-P99.9</t>
  </si>
  <si>
    <t>Income group: P99.9-99.99</t>
  </si>
  <si>
    <t>Income group: Top 0.01%</t>
  </si>
  <si>
    <t>Age group</t>
  </si>
  <si>
    <t>20-40</t>
  </si>
  <si>
    <t>41-65</t>
  </si>
  <si>
    <t>73+</t>
  </si>
  <si>
    <r>
      <t xml:space="preserve">Sources: </t>
    </r>
    <r>
      <rPr>
        <sz val="10"/>
        <rFont val="Times New Roman"/>
        <family val="1"/>
      </rPr>
      <t>Survey of Consumer Finances, microdata extracted Feb. 10, 2018 from http://sda.berkeley.edu/sdaweb/analysis/.</t>
    </r>
  </si>
  <si>
    <r>
      <t>Notes:</t>
    </r>
    <r>
      <rPr>
        <sz val="10"/>
        <rFont val="Times New Roman"/>
        <family val="1"/>
      </rPr>
      <t xml:space="preserve"> Survey of Consumer Finances only conducted every three years since 1989. Intermediate years are interpolated. SCF income definition is similar to AGI. </t>
    </r>
  </si>
  <si>
    <t xml:space="preserve">Defined contribution wealth includes IRAs, Keoghs, thrift-type accounts, and other account-type pensions.  For more details of the data, see http://sda.berkeley.edu/sdaweb/docs/scfcomb/DOC/hcbkfx0.htm </t>
  </si>
  <si>
    <t>66-72</t>
  </si>
  <si>
    <t>Calc.         (residual amount)</t>
  </si>
  <si>
    <t>Pre-tax National Income (SAS results)</t>
  </si>
  <si>
    <t>5% of NIPA 7.11 line 20</t>
  </si>
  <si>
    <t>Private retirement account</t>
  </si>
  <si>
    <r>
      <rPr>
        <b/>
        <sz val="10"/>
        <color theme="1"/>
        <rFont val="Times New Roman"/>
        <family val="1"/>
      </rPr>
      <t>National Income</t>
    </r>
    <r>
      <rPr>
        <sz val="10"/>
        <color theme="1"/>
        <rFont val="Times New Roman"/>
        <family val="1"/>
      </rPr>
      <t>: Business current transfer payments</t>
    </r>
  </si>
  <si>
    <r>
      <rPr>
        <b/>
        <sz val="10"/>
        <color theme="1"/>
        <rFont val="Times New Roman"/>
        <family val="1"/>
      </rPr>
      <t>National Income</t>
    </r>
    <r>
      <rPr>
        <sz val="10"/>
        <color theme="1"/>
        <rFont val="Times New Roman"/>
        <family val="1"/>
      </rPr>
      <t>: Surplus of government enterprises</t>
    </r>
  </si>
  <si>
    <t>Other taxes (sales tax, excise tax, and other indirect taxes)</t>
  </si>
  <si>
    <t xml:space="preserve">AGI income thresholds </t>
  </si>
  <si>
    <t>Average</t>
  </si>
  <si>
    <t xml:space="preserve">2015 Share of estate tax paid by decedent income group </t>
  </si>
  <si>
    <t xml:space="preserve">2006 Share of estate tax paid by decedent income group </t>
  </si>
  <si>
    <t>P0-P90</t>
  </si>
  <si>
    <t>P90-P95</t>
  </si>
  <si>
    <t>real ($2015)</t>
  </si>
  <si>
    <t>https://www.cchgroup.com/news-and-insights/wbot2017/historical-estate-gift-tax</t>
  </si>
  <si>
    <t>CGOTH</t>
  </si>
  <si>
    <t>Rental income</t>
  </si>
  <si>
    <t>S corps</t>
  </si>
  <si>
    <t>State and local govt. interest</t>
  </si>
  <si>
    <t>C corps</t>
  </si>
  <si>
    <r>
      <t xml:space="preserve">Corrected market income + fiduciary       </t>
    </r>
    <r>
      <rPr>
        <sz val="10"/>
        <color theme="1"/>
        <rFont val="Times New Roman"/>
        <family val="1"/>
      </rPr>
      <t xml:space="preserve"> (tax return income with small adjustments)</t>
    </r>
  </si>
  <si>
    <t>2015 Estate tax paid by decedent income group in prior years (actual $5.43 million threshold, $millions)</t>
  </si>
  <si>
    <t>2006 Estate tax paid by decedent income group in prior years (actual $2 million threshold in 2006, $millions)</t>
  </si>
  <si>
    <t>Calc.            (residual)</t>
  </si>
  <si>
    <t>Estate tax filing threshold</t>
  </si>
  <si>
    <t>Estate tax top bracket</t>
  </si>
  <si>
    <t>https://taxfoundation.org/federal-estate-and-gift-tax-rates-exemptions-and-exclusions-1916-2014/</t>
  </si>
  <si>
    <t>nominal (million)</t>
  </si>
  <si>
    <t>1960 distribution of estate taxes by size of estate ($thousands)</t>
  </si>
  <si>
    <t>Estate Tax</t>
  </si>
  <si>
    <t>%Tax</t>
  </si>
  <si>
    <t>Min($2015)</t>
  </si>
  <si>
    <t>Max($2015)</t>
  </si>
  <si>
    <t>https://www.irs.gov/statistics/soi-tax-stats-archive-1954-to-1976-estate-gift-and-fiduciary-tax-return-reports</t>
  </si>
  <si>
    <t>2015 distribution of estate taxes by size of estate ($thousands)</t>
  </si>
  <si>
    <t>https://www.irs.gov/statistics/soi-tax-stats-estate-tax-statistics-filing-year-table-1</t>
  </si>
  <si>
    <t>Min($M)</t>
  </si>
  <si>
    <t>Max($M)</t>
  </si>
  <si>
    <t>%Tax (2015)</t>
  </si>
  <si>
    <t>%Tax (1960)</t>
  </si>
  <si>
    <t>1995 distribution of estate taxes by size of estate ($thousands)</t>
  </si>
  <si>
    <t>%Tax (1995)</t>
  </si>
  <si>
    <t>1960 and 1995 estate tax incidence is borne by much smaller estates, therefore less progressive</t>
  </si>
  <si>
    <t>2006 distribution of estate taxes by size of estate ($thousands)</t>
  </si>
  <si>
    <t>%Tax (2006)</t>
  </si>
  <si>
    <t>Top 1% sh.</t>
  </si>
  <si>
    <t xml:space="preserve">Calc.          </t>
  </si>
  <si>
    <t>Other gains (removed)</t>
  </si>
  <si>
    <t>Sales and other taxes (check)</t>
  </si>
  <si>
    <t>NIPA 3.12 line 2 less other transfers</t>
  </si>
  <si>
    <t>NIPA 1.12       line 8</t>
  </si>
  <si>
    <r>
      <rPr>
        <b/>
        <sz val="10"/>
        <color theme="1"/>
        <rFont val="Times New Roman"/>
        <family val="1"/>
      </rPr>
      <t>National Income</t>
    </r>
    <r>
      <rPr>
        <sz val="10"/>
        <color theme="1"/>
        <rFont val="Times New Roman"/>
        <family val="1"/>
      </rPr>
      <t>: Employer and employee contributions for government social insurance</t>
    </r>
  </si>
  <si>
    <t>Owner-occupied property taxes</t>
  </si>
  <si>
    <t>NIPA 7.9     line 9                minus 14</t>
  </si>
  <si>
    <t>NIPA 7.9 line 9</t>
  </si>
  <si>
    <t>NIPA 7.9 line 9 minus 14</t>
  </si>
  <si>
    <t>Non-profit &amp; Govt. portion: C corp. ret. earnings (intermed.)</t>
  </si>
  <si>
    <t>Corp. Equities                (no S corp or REITs)</t>
  </si>
  <si>
    <t>Debt Securities</t>
  </si>
  <si>
    <t>Passthrough Assets (no housing or REITs)</t>
  </si>
  <si>
    <t>3. Asset Shares (without passthroughs)</t>
  </si>
  <si>
    <t>4. Asset Shares (with passthroughs)</t>
  </si>
  <si>
    <t>2. Non-profit Assets</t>
  </si>
  <si>
    <t>Non-profit Assets</t>
  </si>
  <si>
    <t xml:space="preserve">Table C24: Share of estate tax paid by decedent income group </t>
  </si>
  <si>
    <t>Defined benefit (DB)</t>
  </si>
  <si>
    <t>Defined contribution (DC)</t>
  </si>
  <si>
    <t>5. Pension C corp. assets</t>
  </si>
  <si>
    <t>NIPA 1.12        line 21</t>
  </si>
  <si>
    <t>Other pre-tax sources  (check)</t>
  </si>
  <si>
    <t>Non-profit/govt. remaining income (added)</t>
  </si>
  <si>
    <t>Retirement income adjustment (added)</t>
  </si>
  <si>
    <t>Business subsidies and current transfer payments (added)</t>
  </si>
  <si>
    <t>Remaining indirect taxes (added)</t>
  </si>
  <si>
    <t>Calc. (employee/employer contributions less taxable distributions)</t>
  </si>
  <si>
    <t>Pre-tax national income        (check)</t>
  </si>
  <si>
    <t>2. Pre-tax National Income</t>
  </si>
  <si>
    <t>C corp. taxes fed+state, no Fed. Reserve (added)</t>
  </si>
  <si>
    <t>NIPA 1.12               line 19           less NIPA 3.3 line 8</t>
  </si>
  <si>
    <t>NIPA 1.12 line 19 less NIPA 3.3 line 8</t>
  </si>
  <si>
    <t>NIPA 1.12                  lines 20+21</t>
  </si>
  <si>
    <t>Federal Reserve payments (added)</t>
  </si>
  <si>
    <t>NIPA S corp income/estimate less amount on tax returns</t>
  </si>
  <si>
    <t>NIPA Corp. retained earnings (added)</t>
  </si>
  <si>
    <t>Household portion C corp. ret. earnings (intermed.)</t>
  </si>
  <si>
    <t>Tax returns (60% of taxable amount, except 1960 to 1964)</t>
  </si>
  <si>
    <t>Pre-tax national income</t>
  </si>
  <si>
    <t xml:space="preserve">Table 2.--Tax Return Filers with Salaries and Wages from Forms W-2, by Size of Adjusted Gross </t>
  </si>
  <si>
    <t>Income, Filing Status, and Gender, 1969</t>
  </si>
  <si>
    <t>[All figures are estimates based on samples--money amounts are in thousands of dollars, averages are in whole dollars]</t>
  </si>
  <si>
    <t>All men</t>
  </si>
  <si>
    <t>Men, nonjoint filers</t>
  </si>
  <si>
    <t>Men, joint filers</t>
  </si>
  <si>
    <t>Size of adjusted gross</t>
  </si>
  <si>
    <t xml:space="preserve">Number </t>
  </si>
  <si>
    <t>Salaries and wages</t>
  </si>
  <si>
    <t xml:space="preserve">                      Salaries and wages</t>
  </si>
  <si>
    <t>income</t>
  </si>
  <si>
    <t xml:space="preserve">of </t>
  </si>
  <si>
    <t>taxpayers</t>
  </si>
  <si>
    <t>% wages from males on joint returns with wages</t>
  </si>
  <si>
    <t>1979/2014 average</t>
  </si>
  <si>
    <t>Under $5,000</t>
  </si>
  <si>
    <t>$5,000 under $10,000</t>
  </si>
  <si>
    <t>$10,000 under $15,000</t>
  </si>
  <si>
    <t>$15,000 under $20,000</t>
  </si>
  <si>
    <t>$20,000 under $25,000</t>
  </si>
  <si>
    <t>$25,000 under $30,000</t>
  </si>
  <si>
    <t>$30,000 under $50,000</t>
  </si>
  <si>
    <t>$50,000 under $100,000</t>
  </si>
  <si>
    <t>$100,000 under $200,000</t>
  </si>
  <si>
    <t>$200,000 under $500,000</t>
  </si>
  <si>
    <t>$500,000 under $1,000,000</t>
  </si>
  <si>
    <t>$1,000,000 or more</t>
  </si>
  <si>
    <t>All women</t>
  </si>
  <si>
    <t>Women, nonjoint filers</t>
  </si>
  <si>
    <t>Women, joint filers</t>
  </si>
  <si>
    <t>linear interpol.: 1979-99</t>
  </si>
  <si>
    <t>Income, Filing Status, and Gender, 1979</t>
  </si>
  <si>
    <t>Women, non-joint filers</t>
  </si>
  <si>
    <t>Income, Filing Status, and Gender, 1989</t>
  </si>
  <si>
    <t>Income, Filing Status, and Gender, 1999</t>
  </si>
  <si>
    <t>SOURCE: IRS, Statistics of Income Bulletin, Fall 2003, Publication 1136. (Rev. 12-03.)</t>
  </si>
  <si>
    <t xml:space="preserve">https://www.irs.gov/pub/irs-soi/09in01gender.pdf </t>
  </si>
  <si>
    <t>Table 1--Individual Income Tax Returns: Sources of Income, by Size of Adjusted Gross Income, Marital Status, and Gender, Tax Year 2009--Continued</t>
  </si>
  <si>
    <t xml:space="preserve">Tax Return Filers with Salaries and Wages from Forms W-2, by Size of Adjusted Gross </t>
  </si>
  <si>
    <t>Table C25- Wage splits among married filing jointly returns</t>
  </si>
  <si>
    <t>Table C23: Defined contribution retirement account wealth to income ratios by income and age</t>
  </si>
  <si>
    <t>Employer contributions for government social insurance</t>
  </si>
  <si>
    <t>Taxable wages and salaries (including wages from &lt;20 dep. filers and                     non-filers,              less IRA contrib.)</t>
  </si>
  <si>
    <t>Included on distribution basis</t>
  </si>
  <si>
    <t>Calc.            (paste into column AC)</t>
  </si>
  <si>
    <t>Employee contributions to DC and DB retirement accounts</t>
  </si>
  <si>
    <t>Adjustment between retirement pre-tax contributions and taxable distributions</t>
  </si>
  <si>
    <t>Taxable amount distributions on domestic tax returns and by non-filers</t>
  </si>
  <si>
    <t>Government surplus new             (paste in col. H)</t>
  </si>
  <si>
    <t>Health, life &amp; workers' compensation insurance (includes "employee share")</t>
  </si>
  <si>
    <t>NIPA 7.20          line 7  (2% wages 1982-84, 1% prior)</t>
  </si>
  <si>
    <t>Residual of Sources</t>
  </si>
  <si>
    <t>Pre-tax after-transfer income</t>
  </si>
  <si>
    <t>PRE-TAX AFTER-TRANSFER INCOME</t>
  </si>
  <si>
    <t>Pre-tax</t>
  </si>
  <si>
    <t>After-transfer</t>
  </si>
  <si>
    <t>NAT1: Add government surplus (deficit)</t>
  </si>
  <si>
    <t>NAT2: Add government consumption</t>
  </si>
  <si>
    <t>Government deficit (added)</t>
  </si>
  <si>
    <t>Government consumption less user fees (check)</t>
  </si>
  <si>
    <t>Table T3a</t>
  </si>
  <si>
    <t>Estate and gift tax     (removed)</t>
  </si>
  <si>
    <t>National income (check)</t>
  </si>
  <si>
    <t>Taxes for government social insurance ("payroll taxes")</t>
  </si>
  <si>
    <t>Foreign tax credits on foreign taxes paid</t>
  </si>
  <si>
    <t>Table 2: Effects of transfers, taxes, and government spending on top 1% income shares</t>
  </si>
  <si>
    <t>Pre-tax income &amp; total changes</t>
  </si>
  <si>
    <t>Indirect taxes, non-profits, etc.</t>
  </si>
  <si>
    <t>MID</t>
  </si>
  <si>
    <t>Owner-occupied mortgage interest</t>
  </si>
  <si>
    <t>NIPA 7.11 line 16</t>
  </si>
  <si>
    <t>Ed6. Add remaining indirect taxes, non-profit/govt. income, etc.</t>
  </si>
  <si>
    <t>Ed5. Add retirement account income</t>
  </si>
  <si>
    <t>Underrep.      S-corp.       (intermed.)</t>
  </si>
  <si>
    <t>Retirement account income &amp; adj.     (check)</t>
  </si>
  <si>
    <t>Retirement account income</t>
  </si>
  <si>
    <t>Federal Income Tax (ranked by pre-tax after-transfer income)</t>
  </si>
  <si>
    <t>State and Local Income Tax (ranked by pre-tax after-transfer income)</t>
  </si>
  <si>
    <t>Corporate Income Tax (ranked by pre-tax after-transfer income)</t>
  </si>
  <si>
    <t>Property Tax (ranked by pre-tax after-transfer income)</t>
  </si>
  <si>
    <t>Payroll Tax (ranked by pre-tax after-transfer income)</t>
  </si>
  <si>
    <t>Sales and Other Tax (ranked by pre-tax after-transfer income)</t>
  </si>
  <si>
    <t>Social Insurance Transfers (ranked by pre-tax after-transfer income)</t>
  </si>
  <si>
    <t>Estate and gift tax (ranked by pre-tax after-transfer income)</t>
  </si>
  <si>
    <t>PSZ pre-tax income</t>
  </si>
  <si>
    <t>AS pre-tax income</t>
  </si>
  <si>
    <t>AS after-tax income</t>
  </si>
  <si>
    <t>Top 1% Income Shares (percent of national income)</t>
  </si>
  <si>
    <t>PSZ post-tax Income</t>
  </si>
  <si>
    <t xml:space="preserve">Top 1% </t>
  </si>
  <si>
    <t xml:space="preserve">Bottom 90% </t>
  </si>
  <si>
    <t>Other retirement income</t>
  </si>
  <si>
    <t>Other income</t>
  </si>
  <si>
    <t>Pre-tax      after-transfer income</t>
  </si>
  <si>
    <t>4. After-tax National Income</t>
  </si>
  <si>
    <t>Retained Earnings</t>
  </si>
  <si>
    <t>pre-tax income</t>
  </si>
  <si>
    <t>Pre-tax after-transfers       (check)</t>
  </si>
  <si>
    <t>Fed. indiv. income tax on returns (intermed.)</t>
  </si>
  <si>
    <t>Taxes (for input)</t>
  </si>
  <si>
    <t>Tax return data &amp; NIPA Tables 3.12 &amp; 5.11</t>
  </si>
  <si>
    <t>Include foreign tax credits as taxes paid. Estate tax allocated by decedent prior-decade income groups.</t>
  </si>
  <si>
    <t>Panel 4: After-tax income, Remove taxes</t>
  </si>
  <si>
    <t>Panel 2: Pre-tax income, Expansions</t>
  </si>
  <si>
    <t>Panel 3: Pre-tax after-transfer income</t>
  </si>
  <si>
    <t>Add retirement account income</t>
  </si>
  <si>
    <t>Add indirect taxes, non-profits, etc.</t>
  </si>
  <si>
    <t>NIPA Table 1.12, Tax return microdata,         SCF &amp; U.S. Financial Accounts</t>
  </si>
  <si>
    <t>Allocate interest and dividend income to tax returns as with retained earnings.</t>
  </si>
  <si>
    <t>After-tax income &amp; total changes</t>
  </si>
  <si>
    <t>Pre-tax after-transfer income         &amp; total changes</t>
  </si>
  <si>
    <t>Panel 5: After-tax income, Add government sector</t>
  </si>
  <si>
    <t>Add government deficit/surpluses</t>
  </si>
  <si>
    <t>Add government consumption</t>
  </si>
  <si>
    <t>Allocate by federal income and payroll taxes</t>
  </si>
  <si>
    <t>NIPA Table 1.12 &amp; Tax return microdata</t>
  </si>
  <si>
    <t>NIPA Table 1.12 &amp; calcs. in Table T3</t>
  </si>
  <si>
    <t>Remaining indirect taxes (excludes user fees)</t>
  </si>
  <si>
    <t>NIPA 1.12 line 19 less various</t>
  </si>
  <si>
    <t>NIPA 1.12 line 19 less user fee taxes</t>
  </si>
  <si>
    <t>Estate and Gift Taxes</t>
  </si>
  <si>
    <t>Government deficit/surplus</t>
  </si>
  <si>
    <t>Government consumption</t>
  </si>
  <si>
    <t>Ed1. Add underreported income</t>
  </si>
  <si>
    <t>Equal-split of married incomes</t>
  </si>
  <si>
    <t>PSZ approach</t>
  </si>
  <si>
    <t>AS to PSZ</t>
  </si>
  <si>
    <t>PSZ to AS</t>
  </si>
  <si>
    <t>Auten-Splinter approach</t>
  </si>
  <si>
    <t>Groups by size-adjusted incomes and #indivs.</t>
  </si>
  <si>
    <t>Pre-tax After-transfer Income, Add transfers</t>
  </si>
  <si>
    <t>After-tax Income, Remove taxes</t>
  </si>
  <si>
    <t>After-tax Income, Add rest of government sector</t>
  </si>
  <si>
    <t>Estate tax by prior decade decedent income</t>
  </si>
  <si>
    <t>Estate tax by wealth distribution</t>
  </si>
  <si>
    <t>Govt. consumption all by after-tax income</t>
  </si>
  <si>
    <t>Underreported income by IRS audit data</t>
  </si>
  <si>
    <t>Underreported income by reported income</t>
  </si>
  <si>
    <t>Include distributed private retirement income</t>
  </si>
  <si>
    <t>Retirement acct. income by wages/DC wealth</t>
  </si>
  <si>
    <t>Retained earnings retire. by wages/DC wealth</t>
  </si>
  <si>
    <t>Non-profits/govt. income all by income</t>
  </si>
  <si>
    <t>Remove fed. indiv. inc. &amp; estate tax</t>
  </si>
  <si>
    <t>Use uncorrected tax return market income</t>
  </si>
  <si>
    <t>NIPA 7.8                        lines 12+18+21                          less HI tax (line 13)</t>
  </si>
  <si>
    <t>No adjustment</t>
  </si>
  <si>
    <t>Other taxes by AS after-tax disposable income</t>
  </si>
  <si>
    <t>PSZ private retirement distribution</t>
  </si>
  <si>
    <t>Imputed rent by property tax deductions</t>
  </si>
  <si>
    <t>Imputed rent by housing wealth estimates</t>
  </si>
  <si>
    <t>Other taxes by factor income less savings</t>
  </si>
  <si>
    <t>Table C5:  Income composition by sources of income and by fractiles of pre-tax income</t>
  </si>
  <si>
    <t>Various corrections to tax income definition</t>
  </si>
  <si>
    <t>Government transfers as described in text</t>
  </si>
  <si>
    <t>PSZ transfers distribution</t>
  </si>
  <si>
    <t>Half by government transfers, half taxes</t>
  </si>
  <si>
    <t>Non-SS deficits by federal income taxes</t>
  </si>
  <si>
    <t>Business prop. tax retire. by wages/DC wealth</t>
  </si>
  <si>
    <t>Social insur. taxes included, benefits/deficit excl.</t>
  </si>
  <si>
    <t>Social insur. taxes excl., ben./deficit incl.</t>
  </si>
  <si>
    <t>Table 1: Effects of adjustments on top 1% income pre-tax income shares</t>
  </si>
  <si>
    <t>AS Pre-tax Income</t>
  </si>
  <si>
    <t>AS Pre-tax After-transer Income</t>
  </si>
  <si>
    <t>AS After-tax Income</t>
  </si>
  <si>
    <t>PSZ After-tax Income (Table TC3)</t>
  </si>
  <si>
    <t>PSZ Pre-tax After-transer Income (Table TB3)</t>
  </si>
  <si>
    <t>1960-2014</t>
  </si>
  <si>
    <t>1979-2014</t>
  </si>
  <si>
    <t>Tax return data &amp; NIPA Tables 3.9.5 &amp; 3.5</t>
  </si>
  <si>
    <t>Remove if excl. foreign earn. inc. or not in the U.S. (since 1979). Increase non-filers by half MFS returns.</t>
  </si>
  <si>
    <t>Includes real estate taxes as pre-tax measure. Allocate based on real estate taxes deducted.</t>
  </si>
  <si>
    <t>Allocate as corporate tax (no wages) and includes passthrough ownership by positive passthrough income.</t>
  </si>
  <si>
    <t>Panel 1: Pre-tax income, Adjustments and income groups</t>
  </si>
  <si>
    <t>Cd4: Group by size-adjusted income and number of indivs.</t>
  </si>
  <si>
    <t>Federal indiv. income &amp; estate tax</t>
  </si>
  <si>
    <t>Allocate half per capita and half by after-tax income</t>
  </si>
  <si>
    <t>Govt. consumption allocated half per capita</t>
  </si>
  <si>
    <t>Non-profits/govt. income half per capita</t>
  </si>
  <si>
    <t>4. After-tax national income (by number of individuals)</t>
  </si>
  <si>
    <t>Marriage Rates</t>
  </si>
  <si>
    <t>Average # dependents</t>
  </si>
  <si>
    <t>top 0.5%</t>
  </si>
  <si>
    <t xml:space="preserve">Table C15: Marriage rates and avg. dependents of tax filers by income fractile (only domestic, non-dependent adult heads included, thresholds set with nonfilers, groups by #tax units corrected market income) </t>
  </si>
  <si>
    <t>negAGI</t>
  </si>
  <si>
    <t>negAGIn</t>
  </si>
  <si>
    <t>depun</t>
  </si>
  <si>
    <t>depuni</t>
  </si>
  <si>
    <t>1976 had a form change, made box more prominent (on first line of tax computation section)</t>
  </si>
  <si>
    <t>depincap</t>
  </si>
  <si>
    <t>depuncap</t>
  </si>
  <si>
    <t>ALIMRC</t>
  </si>
  <si>
    <t>ALIMPD</t>
  </si>
  <si>
    <t>ALIMRCa</t>
  </si>
  <si>
    <t>Alimony: add received/remove paid</t>
  </si>
  <si>
    <t xml:space="preserve">Add only missing portion received, where total is based on deductions. Imputed before 1971. </t>
  </si>
  <si>
    <t>Tabulations from the 1988 IRS Taxpayer Compliance Management Program (TCMP)</t>
  </si>
  <si>
    <t>Bot. 20% (excl. neg.)</t>
  </si>
  <si>
    <t>1st decile</t>
  </si>
  <si>
    <t>2nd decile</t>
  </si>
  <si>
    <t>3rd decile</t>
  </si>
  <si>
    <t>4th decile</t>
  </si>
  <si>
    <t>5th decile</t>
  </si>
  <si>
    <t>6th decile</t>
  </si>
  <si>
    <t>7th decile</t>
  </si>
  <si>
    <t>8th decile</t>
  </si>
  <si>
    <t>9th decile</t>
  </si>
  <si>
    <t>AGI group</t>
  </si>
  <si>
    <t>Single</t>
  </si>
  <si>
    <t>Married</t>
  </si>
  <si>
    <t>All Filers</t>
  </si>
  <si>
    <t>Single Share</t>
  </si>
  <si>
    <t>Married Share</t>
  </si>
  <si>
    <t>Net alimony (added)</t>
  </si>
  <si>
    <t>PSZ return on equity distribution</t>
  </si>
  <si>
    <t>Return on personal equity by tax return income</t>
  </si>
  <si>
    <t>Social insur. taxes excl., benefits/deficit incl.</t>
  </si>
  <si>
    <t>Pre-tax differences (PSZ less AS) &amp; totals</t>
  </si>
  <si>
    <t>After-tax differences (PSZ less AS) &amp; totals</t>
  </si>
  <si>
    <t>Table C24</t>
  </si>
  <si>
    <t>Table C25</t>
  </si>
  <si>
    <t>Table C26</t>
  </si>
  <si>
    <t>Decomposition of Auten-Splinter versus PSZ assumptions on top one percent income shares</t>
  </si>
  <si>
    <t>Unequal wage splits of married filling joint returns</t>
  </si>
  <si>
    <t>Estate tax distributions</t>
  </si>
  <si>
    <t>Shares of PSZ non-SS retirement accrued income and income from equity by income group</t>
  </si>
  <si>
    <t>Fed. Res. payments by income</t>
  </si>
  <si>
    <t>2. Pre-tax national income (by number of individuals)</t>
  </si>
  <si>
    <t>3. Pre-tax after-transfer national income (by number of indivs.)</t>
  </si>
  <si>
    <t>Table C4:  Income sources by fractiles of pre-tax income</t>
  </si>
  <si>
    <t>Estate and gift taxes</t>
  </si>
  <si>
    <t>Estate and gift taxes (classified as capital transfer)</t>
  </si>
  <si>
    <t>Table C27</t>
  </si>
  <si>
    <r>
      <t>Figure A1:</t>
    </r>
    <r>
      <rPr>
        <b/>
        <i/>
        <sz val="12"/>
        <color theme="1"/>
        <rFont val="Times New Roman"/>
        <family val="1"/>
      </rPr>
      <t xml:space="preserve"> </t>
    </r>
    <r>
      <rPr>
        <b/>
        <sz val="12"/>
        <color theme="1"/>
        <rFont val="Times New Roman"/>
        <family val="1"/>
      </rPr>
      <t>Top income shares: Top 10% (left figure) and top 0.1% (right figure)</t>
    </r>
  </si>
  <si>
    <t>Social Security benefits</t>
  </si>
  <si>
    <t>Unemployment benefits</t>
  </si>
  <si>
    <t>Income Inequality in the United States: Using Tax Data to Measure Long-term Trends</t>
  </si>
  <si>
    <t>Inflation correction</t>
  </si>
  <si>
    <t>No correction</t>
  </si>
  <si>
    <t>Table B3</t>
  </si>
  <si>
    <t>Retirement account accrued investment income</t>
  </si>
  <si>
    <t>Impose post-TRA86 loss limits</t>
  </si>
  <si>
    <t>Excluded income as fraction of national income</t>
  </si>
  <si>
    <t>Transfers as fraction of national income</t>
  </si>
  <si>
    <t>Excluded income as fraction of pre-tax/after-trans.</t>
  </si>
  <si>
    <t>Transfers as fraction of  as fraction of pre-tax/after-trans.</t>
  </si>
  <si>
    <t>Correct Sample</t>
  </si>
  <si>
    <t>Cd1. Correct Sample, Remove &lt;20 filers, dept filers &amp; non-residents and MFS fix</t>
  </si>
  <si>
    <t>Include distributed &amp; other retirement income</t>
  </si>
  <si>
    <t>Empl.  Sponsored Insurance</t>
  </si>
  <si>
    <t>Remove amount reported on return, new provisions beginning 1975</t>
  </si>
  <si>
    <t>AT1: Remove Fed Income and Estate Taxes</t>
  </si>
  <si>
    <t>Federal individual &amp; estate tax        (check)</t>
  </si>
  <si>
    <r>
      <t xml:space="preserve">Sources: </t>
    </r>
    <r>
      <rPr>
        <sz val="10"/>
        <color theme="1"/>
        <rFont val="Times New Roman"/>
        <family val="1"/>
      </rPr>
      <t>Authors’ calculations and Piketty, Saez, and Zucman (2018).</t>
    </r>
  </si>
  <si>
    <r>
      <t xml:space="preserve">Sources: </t>
    </r>
    <r>
      <rPr>
        <sz val="9.5"/>
        <color theme="1"/>
        <rFont val="Times New Roman"/>
        <family val="1"/>
      </rPr>
      <t>Authors’ calculations and Piketty and Saez (2003 and updates).</t>
    </r>
  </si>
  <si>
    <r>
      <t xml:space="preserve">Sources: </t>
    </r>
    <r>
      <rPr>
        <sz val="10"/>
        <color theme="1"/>
        <rFont val="Times New Roman"/>
        <family val="1"/>
      </rPr>
      <t>Authors’ calculations and Piketty and Saez (2003 and updates).</t>
    </r>
  </si>
  <si>
    <r>
      <t xml:space="preserve">Sources: </t>
    </r>
    <r>
      <rPr>
        <sz val="10"/>
        <color theme="1"/>
        <rFont val="Times New Roman"/>
        <family val="1"/>
      </rPr>
      <t>Authors’ calculations.</t>
    </r>
  </si>
  <si>
    <r>
      <t xml:space="preserve">Source: </t>
    </r>
    <r>
      <rPr>
        <sz val="10"/>
        <color theme="1"/>
        <rFont val="Times New Roman"/>
        <family val="1"/>
      </rPr>
      <t>Authors’ calculations.</t>
    </r>
  </si>
  <si>
    <r>
      <t>Notes</t>
    </r>
    <r>
      <rPr>
        <sz val="10"/>
        <color theme="1"/>
        <rFont val="Times New Roman"/>
        <family val="1"/>
      </rPr>
      <t>: Adjustments used to estimate various income definitions are listed in Tables 1, 2, and A1 and described in detail in the online appendix.</t>
    </r>
  </si>
  <si>
    <r>
      <t xml:space="preserve">Source: </t>
    </r>
    <r>
      <rPr>
        <sz val="9.5"/>
        <color theme="1"/>
        <rFont val="Times New Roman"/>
        <family val="1"/>
      </rPr>
      <t>Authors’ calculations.</t>
    </r>
  </si>
  <si>
    <t>3. Pre-tax/After-transfer Income</t>
  </si>
  <si>
    <r>
      <t xml:space="preserve">Sources: </t>
    </r>
    <r>
      <rPr>
        <sz val="8"/>
        <color theme="1"/>
        <rFont val="Arial"/>
        <family val="2"/>
      </rPr>
      <t>Authors’ calculations and Piketty and Saez (2003 and updates).</t>
    </r>
  </si>
  <si>
    <t>Piketty-Saez fiscal income (with CGs)</t>
  </si>
  <si>
    <t>Piketty-Saez fiscal income (no CGs)</t>
  </si>
  <si>
    <t>1979–2014   Change</t>
  </si>
  <si>
    <t>Cross-sectional computations of total income earned by top 1%</t>
  </si>
  <si>
    <r>
      <t xml:space="preserve">Sources: </t>
    </r>
    <r>
      <rPr>
        <sz val="10"/>
        <color theme="1"/>
        <rFont val="Times New Roman"/>
        <family val="1"/>
      </rPr>
      <t>Authors’ calculations, and Piketty, Saez, and Zucman (2018, PSZ in figure).</t>
    </r>
  </si>
  <si>
    <r>
      <t>Notes</t>
    </r>
    <r>
      <rPr>
        <sz val="10"/>
        <color theme="1"/>
        <rFont val="Times New Roman"/>
        <family val="1"/>
      </rPr>
      <t xml:space="preserve">: Adjustments to tax return income are listed in Tables 1 and 2. Sch. C and Other includes small </t>
    </r>
  </si>
  <si>
    <t xml:space="preserve">amounts from unlisted sources, such as alimony, rents, etc. Corp. &amp; Bus. Tax is federal and state </t>
  </si>
  <si>
    <t xml:space="preserve">corporate income tax and business property taxes. </t>
  </si>
  <si>
    <t>Expansions to PS fiscal income</t>
  </si>
  <si>
    <t>Corrected fiscal income &amp; total chg.</t>
  </si>
  <si>
    <r>
      <t>Notes:</t>
    </r>
    <r>
      <rPr>
        <sz val="9.5"/>
        <color theme="1"/>
        <rFont val="Times New Roman"/>
        <family val="1"/>
      </rPr>
      <t xml:space="preserve"> Total changes are relative to the Piketty and Saez series with capital gains (thresholds set without capital gains). See Table A1 and the online appendix for detailed description of adjustments. * denotes changes between -0.05 and 0.05 percentage points.</t>
    </r>
  </si>
  <si>
    <t>Adjustments to PS fiscal income &amp; income groups</t>
  </si>
  <si>
    <r>
      <t xml:space="preserve">Notes: </t>
    </r>
    <r>
      <rPr>
        <sz val="10"/>
        <color theme="1"/>
        <rFont val="Times New Roman"/>
        <family val="1"/>
      </rPr>
      <t>PS market income is replicated Piketty and Saez series excluding capital gains. See text and Table 1 for description of adjustments.</t>
    </r>
  </si>
  <si>
    <r>
      <t>Notes</t>
    </r>
    <r>
      <rPr>
        <sz val="10"/>
        <color theme="1"/>
        <rFont val="Times New Roman"/>
        <family val="1"/>
      </rPr>
      <t>: Piketty and Saez series includes capital gains (thresholds set without capital gains). Adjustments used to estimate pre-tax, pre-tax/after-transfer, and after-tax income are listed in Tables 1, 2, and A1 and described in detail in the online appendix.</t>
    </r>
  </si>
  <si>
    <r>
      <t>Notes</t>
    </r>
    <r>
      <rPr>
        <sz val="10"/>
        <color theme="1"/>
        <rFont val="Times New Roman"/>
        <family val="1"/>
      </rPr>
      <t xml:space="preserve">: Payroll taxes are examined in Figure 6 in connection with transfer payments. Refundable tax credits are included in government transfers and excluded from income taxes. </t>
    </r>
  </si>
  <si>
    <r>
      <t>Notes</t>
    </r>
    <r>
      <rPr>
        <sz val="10"/>
        <color theme="1"/>
        <rFont val="Times New Roman"/>
        <family val="1"/>
      </rPr>
      <t>: Social insurance transfers includes benefits from Social Security, Medicare, and disability and unemployment insurance. Surtaxes beginning in 2013 are included with income taxes rather than payroll taxes.</t>
    </r>
  </si>
  <si>
    <t>Percent of income increase due to listed TRA86 changes (%)</t>
  </si>
  <si>
    <t xml:space="preserve">New S corporations </t>
  </si>
  <si>
    <t xml:space="preserve">Existing S corporations </t>
  </si>
  <si>
    <t xml:space="preserve">New partnerships </t>
  </si>
  <si>
    <t>Existing partnerships</t>
  </si>
  <si>
    <r>
      <rPr>
        <i/>
        <sz val="10"/>
        <color theme="1"/>
        <rFont val="Times New Roman"/>
        <family val="1"/>
      </rPr>
      <t>Notes</t>
    </r>
    <r>
      <rPr>
        <sz val="10"/>
        <color theme="1"/>
        <rFont val="Times New Roman"/>
        <family val="1"/>
      </rPr>
      <t xml:space="preserve">: Income increase is the nominal change in fiscal income excluding capital gains from the 1985–86 average. </t>
    </r>
  </si>
  <si>
    <t xml:space="preserve">Top one percent thresholds are based on tax return income including capital gains and the number of tax returns (non-filers are excluded). </t>
  </si>
  <si>
    <r>
      <t>Sources</t>
    </r>
    <r>
      <rPr>
        <sz val="10"/>
        <color rgb="FF000000"/>
        <rFont val="Times New Roman"/>
        <family val="1"/>
      </rPr>
      <t>: Authors’ calculations using IRS data and Piketty and Saez (2003 and updates).</t>
    </r>
  </si>
  <si>
    <r>
      <t xml:space="preserve">Source: </t>
    </r>
    <r>
      <rPr>
        <sz val="10"/>
        <color theme="1"/>
        <rFont val="Times New Roman"/>
        <family val="1"/>
      </rPr>
      <t xml:space="preserve">Authors' calculations. </t>
    </r>
  </si>
  <si>
    <t>Notes: Groups set by number of tax units. Totals do not add to 100 due to rounding. Source: Johns and Slemrod (2010).</t>
  </si>
  <si>
    <t>Summary Table</t>
  </si>
  <si>
    <t>Other taxes by disposable income less savings</t>
  </si>
  <si>
    <t>Source: Authors' calculations using PSZ online data Tables TB2, TB2b, and TB2c</t>
  </si>
  <si>
    <t>Corporate taxes by wages and corp. ownership</t>
  </si>
  <si>
    <t>Corporate taxes by capital ownership</t>
  </si>
  <si>
    <t>Non-retirement pre-tax corporate income</t>
  </si>
  <si>
    <t>PSZ non-retirement pre-tax corp. income</t>
  </si>
  <si>
    <t>Social insurance benefits/deficit excluded</t>
  </si>
  <si>
    <t>Social insur. ben./def. incl., taxes deducted</t>
  </si>
  <si>
    <t>Groups by individuals/size-adjusted incomes</t>
  </si>
  <si>
    <t>Increase for    pre-tax/after-transfer</t>
  </si>
  <si>
    <t>Alternative Allocation Assumptions</t>
  </si>
  <si>
    <t>25% wages/75% corporate capital (baseline)</t>
  </si>
  <si>
    <t>50% wages/50% corporate capital</t>
  </si>
  <si>
    <t>0% wages/100% corporate capital</t>
  </si>
  <si>
    <t>0% wages/100% non-housing capital</t>
  </si>
  <si>
    <t>individuals: 25% capital gains/75% dividends (baseline)</t>
  </si>
  <si>
    <t>individuals: 50% capital gains/50% dividends</t>
  </si>
  <si>
    <t>Table C19a</t>
  </si>
  <si>
    <t>PSZ vs AS shares of non-retirement pre-tax corporate income</t>
  </si>
  <si>
    <t xml:space="preserve">PSZ share of non-retirement pre-tax corporate (income from equity) </t>
  </si>
  <si>
    <r>
      <t>Notes</t>
    </r>
    <r>
      <rPr>
        <sz val="10"/>
        <color theme="1"/>
        <rFont val="Times New Roman"/>
        <family val="1"/>
      </rPr>
      <t>: Percentage point differences do not sum to the PSZ less AS difference because the effects shown are from changing each assumption independently, rather than stacking changes which would be sensitive to the order of stacking. Results are the average changes in top one percent income shares of going from each AS to PSZ  and PSZ to AS assumption. Non-retirement pre-tax corporate income for both columns includes dividends, retained earnings, and corporate tax effects.</t>
    </r>
  </si>
  <si>
    <t>Piketty-Saez (no cap gains)</t>
  </si>
  <si>
    <t>Top 1% shares</t>
  </si>
  <si>
    <t>Post-TRA86 Loss Limits</t>
  </si>
  <si>
    <t>Set income groups by sz-adj. income &amp; #indivs</t>
  </si>
  <si>
    <t>Top 1% income shares with inclusion of government transfers</t>
  </si>
  <si>
    <t>Pre-tax/After-transfer Income</t>
  </si>
  <si>
    <t xml:space="preserve">After-Tax Income </t>
  </si>
  <si>
    <t>NAT2: Add Government Consumption</t>
  </si>
  <si>
    <t>Pre-tax/after-transfer income</t>
  </si>
  <si>
    <t>Add SS benefits</t>
  </si>
  <si>
    <t>Add Other cash transfers</t>
  </si>
  <si>
    <t>Add other transfers (pre-tax/after-transfer income)</t>
  </si>
  <si>
    <t>Top 1% income shares with deduction of taxes, etc.</t>
  </si>
  <si>
    <t>Federal indiv. income tax</t>
  </si>
  <si>
    <t>State indiv. income tax</t>
  </si>
  <si>
    <t>Corporate tax</t>
  </si>
  <si>
    <t>Sales &amp; other taxes</t>
  </si>
  <si>
    <r>
      <t>Figure B3:</t>
    </r>
    <r>
      <rPr>
        <b/>
        <i/>
        <sz val="12"/>
        <color theme="1"/>
        <rFont val="Times New Roman"/>
        <family val="1"/>
      </rPr>
      <t xml:space="preserve"> </t>
    </r>
    <r>
      <rPr>
        <b/>
        <sz val="12"/>
        <color theme="1"/>
        <rFont val="Times New Roman"/>
        <family val="1"/>
      </rPr>
      <t>Top 1% income shares: Tax adjustments</t>
    </r>
  </si>
  <si>
    <t>AT6: Remove Sales and other taxes</t>
  </si>
  <si>
    <r>
      <t xml:space="preserve">Notes: </t>
    </r>
    <r>
      <rPr>
        <sz val="10"/>
        <color theme="1"/>
        <rFont val="Times New Roman"/>
        <family val="1"/>
      </rPr>
      <t>Taxes that decrease top income shares are in the top figure and those increasing them in the bottom figure. Excludes adjustments for government deficits/surplus and consumption (see Table I in main paper).</t>
    </r>
  </si>
  <si>
    <t>Top 1% income shares with expansions</t>
  </si>
  <si>
    <t>Corrected fiscal income</t>
  </si>
  <si>
    <t>Fiduciary retained earnings</t>
  </si>
  <si>
    <t>C-corp. retained earnings</t>
  </si>
  <si>
    <t>C-corp. taxes</t>
  </si>
  <si>
    <t>Bus. prop. taxes &amp; inflation correction</t>
  </si>
  <si>
    <t>Under-reporting &amp; imputed rent</t>
  </si>
  <si>
    <t>Employer payroll taxes &amp; insurance</t>
  </si>
  <si>
    <t>Retirement account inc., indirect taxes, etc. (pre-tax income)</t>
  </si>
  <si>
    <r>
      <t>Figure B2:</t>
    </r>
    <r>
      <rPr>
        <b/>
        <i/>
        <sz val="12"/>
        <color theme="1"/>
        <rFont val="Times New Roman"/>
        <family val="1"/>
      </rPr>
      <t xml:space="preserve"> </t>
    </r>
    <r>
      <rPr>
        <b/>
        <sz val="12"/>
        <color theme="1"/>
        <rFont val="Times New Roman"/>
        <family val="1"/>
      </rPr>
      <t>Top 1% income shares: Inclusion of transfers in pre-tax income</t>
    </r>
  </si>
  <si>
    <t>Employer-sponsored health insurance from 2015 Form W-2</t>
  </si>
  <si>
    <t>30th earnings percentile</t>
  </si>
  <si>
    <t>40th earnings percentile</t>
  </si>
  <si>
    <t>50th earnings percentile</t>
  </si>
  <si>
    <t>60th earnings percentile</t>
  </si>
  <si>
    <t>70th earnings percentile</t>
  </si>
  <si>
    <t>80th earnings percentile</t>
  </si>
  <si>
    <t>90th earnings percentile</t>
  </si>
  <si>
    <t>99th earnings percentile</t>
  </si>
  <si>
    <t>95th earnings percentile</t>
  </si>
  <si>
    <t>annual hrs</t>
  </si>
  <si>
    <t>(2000 hrs/yr)</t>
  </si>
  <si>
    <t>1992-2010 change</t>
  </si>
  <si>
    <t>1992-2010 increase</t>
  </si>
  <si>
    <t>HI($)/hr</t>
  </si>
  <si>
    <t>ESI share comp.</t>
  </si>
  <si>
    <t>ESII/hr</t>
  </si>
  <si>
    <t xml:space="preserve">Table C8: Share of tax by fractile of pre-tax national income </t>
  </si>
  <si>
    <t xml:space="preserve">Share of tax by fractile of pre-tax income </t>
  </si>
  <si>
    <t xml:space="preserve">Average tax rates by fractile </t>
  </si>
  <si>
    <t>Table C9: Average tax rates by fractile (denominator of all tax rates is pre-tax/after-transfer income)</t>
  </si>
  <si>
    <t>The negative NIPA adjustment for wages are because the microdata wage totals were slightly greater than reported totals in earlier years.</t>
  </si>
  <si>
    <t>Nrwages</t>
  </si>
  <si>
    <r>
      <t xml:space="preserve">Other losses/income on tax returns </t>
    </r>
    <r>
      <rPr>
        <sz val="10"/>
        <color theme="1"/>
        <rFont val="Times New Roman"/>
        <family val="1"/>
      </rPr>
      <t>(to farms)</t>
    </r>
  </si>
  <si>
    <t>Reported on tax returns and adjustment</t>
  </si>
  <si>
    <t>Reported on tax returns and AGI adjustment</t>
  </si>
  <si>
    <t>20% of average filer income         (PS levels)</t>
  </si>
  <si>
    <t xml:space="preserve">Wages and salaries          (60%) </t>
  </si>
  <si>
    <t>Retirement income (20%)</t>
  </si>
  <si>
    <t>Social Insurance totals added to AS pre-tax income</t>
  </si>
  <si>
    <t>Medicare Premiums Part B</t>
  </si>
  <si>
    <t>Medicare Premiums Part D</t>
  </si>
  <si>
    <t>Medicare Premiums Parts B &amp; D</t>
  </si>
  <si>
    <t>Trustees Report, 2018 III.C4</t>
  </si>
  <si>
    <t>Trustees Report, 2018 III.D3</t>
  </si>
  <si>
    <t>NIPA 3.12            line 6 less premiums</t>
  </si>
  <si>
    <t>Medicare (net of premiums)</t>
  </si>
  <si>
    <t xml:space="preserve">Medicare </t>
  </si>
  <si>
    <t>Medicare less premiums (added)</t>
  </si>
  <si>
    <t>NIPA 3.12 line 6 &amp; Trustees</t>
  </si>
  <si>
    <t>NIPA 3.12 line 2     less MC premiums</t>
  </si>
  <si>
    <t>PSZ replication</t>
  </si>
  <si>
    <t>PSZ replic. gap</t>
  </si>
  <si>
    <t>AS to PSZ: Pre-tax</t>
  </si>
  <si>
    <t>PSZ to AS: After-tax</t>
  </si>
  <si>
    <t>AS to PSZ: After-tax</t>
  </si>
  <si>
    <t>PSZ to AS: Pre-tax</t>
  </si>
  <si>
    <t>Percentage point level difference</t>
  </si>
  <si>
    <t>Percentage point difference in changes</t>
  </si>
  <si>
    <t xml:space="preserve">1979–2014   </t>
  </si>
  <si>
    <t xml:space="preserve">1962–2014   </t>
  </si>
  <si>
    <t>Total pre-tax differences (PSZ less AS)</t>
  </si>
  <si>
    <t>Total after-tax differences (PSZ less AS)</t>
  </si>
  <si>
    <t>Groups by adults/equal-split married inc.</t>
  </si>
  <si>
    <t>Corporate taxes by wages/corp. ownership</t>
  </si>
  <si>
    <t>Other taxes by disposable inc. less savings</t>
  </si>
  <si>
    <t>Avg. differ</t>
  </si>
  <si>
    <t>Total Inc.</t>
  </si>
  <si>
    <t xml:space="preserve">Proprietors income      (20%) </t>
  </si>
  <si>
    <t>Income group: P50-90</t>
  </si>
  <si>
    <t>Income group: P0-50</t>
  </si>
  <si>
    <t>Table C19a: PSZ shares of non-retirement pre-tax corporate income (pre-tax income groups)</t>
  </si>
  <si>
    <t>Table C19: PSZ shares of non-SS retirement accrued income by pre-tax income group</t>
  </si>
  <si>
    <t>Bottom 50% shares</t>
  </si>
  <si>
    <t>National income ($millions)</t>
  </si>
  <si>
    <t>PCE index</t>
  </si>
  <si>
    <t>Number of individuals (thousands)</t>
  </si>
  <si>
    <t>Table C17: Fraction of adults aged at least 65 and distribution of Social Security and Medicare benefits</t>
  </si>
  <si>
    <t>nf</t>
  </si>
  <si>
    <t>Distribution of Social Security benefits (by tax units)</t>
  </si>
  <si>
    <t>nonfilers</t>
  </si>
  <si>
    <t>P0-20</t>
  </si>
  <si>
    <t>P20-40</t>
  </si>
  <si>
    <t>P60-80</t>
  </si>
  <si>
    <t>(estimated from linking SSA-1099 to tax returns)</t>
  </si>
  <si>
    <r>
      <t xml:space="preserve">Notes: </t>
    </r>
    <r>
      <rPr>
        <sz val="9"/>
        <color theme="1"/>
        <rFont val="Arial"/>
        <family val="2"/>
      </rPr>
      <t>Fraction of Adults aged at least 65 by consistent income is based on primary filer. Distribution of Social Security benefits(including disability) for 1999 and 2015 are estimated by linking Form SSA-1099 to tax returns,</t>
    </r>
  </si>
  <si>
    <t>2000-2014 are interpolated, pre-1999 shares are based on 1999 values reweighted by the share of th 65+ population in each income group. 1960 shares are set to 1962 shares.</t>
  </si>
  <si>
    <r>
      <t xml:space="preserve">Sources: </t>
    </r>
    <r>
      <rPr>
        <sz val="9"/>
        <color theme="1"/>
        <rFont val="Arial"/>
        <family val="2"/>
      </rPr>
      <t>Authors’ calculations, IRS, BEA, and World Bank counts of 65 and older population: http://databank.worldbank.org/data/reports.aspx?source=2&amp;country=&amp;series=SP.POP.65UP.TO.ZS&amp;period=#.</t>
    </r>
  </si>
  <si>
    <t>65+ population (thousands)</t>
  </si>
  <si>
    <t>%nonfilers</t>
  </si>
  <si>
    <t>adjustment for pre-1979</t>
  </si>
  <si>
    <t>ratio to all sec</t>
  </si>
  <si>
    <t>SSA-1099 to tax return merges: distribution by AGI groups in select years and share of NIPA Social Security benefits (including DI), non-filer amount is residual</t>
  </si>
  <si>
    <t>inc1</t>
  </si>
  <si>
    <t>inc2</t>
  </si>
  <si>
    <t>inc3</t>
  </si>
  <si>
    <t>inc4</t>
  </si>
  <si>
    <t>inc5</t>
  </si>
  <si>
    <t>inc6</t>
  </si>
  <si>
    <t>inc7</t>
  </si>
  <si>
    <t>inc8</t>
  </si>
  <si>
    <t>inc9</t>
  </si>
  <si>
    <t>inc10</t>
  </si>
  <si>
    <t>inc11</t>
  </si>
  <si>
    <t>inc12</t>
  </si>
  <si>
    <t>NIPA Total SS benefits</t>
  </si>
  <si>
    <t>Notes: Groups set by number of returns. Source: Authors' calcualtions.</t>
  </si>
  <si>
    <t>99.5%–99.9%</t>
  </si>
  <si>
    <t>from tax return microdata</t>
  </si>
  <si>
    <t>After-tax income (excl. govt. deficits &amp; consumption)</t>
  </si>
  <si>
    <t>NIPA 3.9.5     line 26</t>
  </si>
  <si>
    <t>NIPA 3.12 line 2 less all other transfers and MC premiums (incl. rebates)</t>
  </si>
  <si>
    <t>Distributed/other private retirement income</t>
  </si>
  <si>
    <t>Retirement (excludes C corp. retained earnings and taxes component)</t>
  </si>
  <si>
    <t>the bottom 90% when going from PS fiscal income to national income in early years because there are few transfers added and many more married tax units, so the income is spread among more adults.</t>
  </si>
  <si>
    <r>
      <t xml:space="preserve">Notes: </t>
    </r>
    <r>
      <rPr>
        <sz val="8"/>
        <color theme="1"/>
        <rFont val="Arial"/>
        <family val="2"/>
      </rPr>
      <t xml:space="preserve">Average incomes for PS fiscal income are at the tax unit level. Average incmes for other are on a per capita basis: tax unit incomes (not-size adjusted) divided by the number of adults and dependents in each group. These values decrease among </t>
    </r>
  </si>
  <si>
    <t xml:space="preserve">In later years, the values are similar as many transfers are added and the marriage rate is lower, so the income is spread among a more similar number of adults. Values decrease when going </t>
  </si>
  <si>
    <t>from pre-tax to after-tax income due to the removal of taxes and dividing by a larger number of people. Economies of scale within the tax unit are only taken into account when ranking tax units and not in this step.</t>
  </si>
  <si>
    <t>NIPA 2.1 line 25 less MC premiums and holiday</t>
  </si>
  <si>
    <t>NIPA 2.1 line 25 less MC premiums and payroll tax holiday</t>
  </si>
  <si>
    <t>Note: These estimates are at the individual worker level and therefore mored concentrated than at the tax unit level (which we use to impute ESI).</t>
  </si>
  <si>
    <t>Amount ($millions)</t>
  </si>
  <si>
    <t>Share</t>
  </si>
  <si>
    <t>Negative</t>
  </si>
  <si>
    <t>Tables 11c and 11d show there was little change in ESI distribution between 1992 and 2010 using BLS data. Not that unit of observation differs from main analysis.</t>
  </si>
  <si>
    <t>Table C11a: Employer-sponsored health insurance by AGI group, 2015 ($millions, tax returns only, excludes non-filers)</t>
  </si>
  <si>
    <t>Table C11b: Employer-sponsored health insurance by AGI group, 2013 ($millions, tax returns only, excludes non-filers)</t>
  </si>
  <si>
    <t>Table C11: Distribution of employer-sponsored health insurance from Form W-2</t>
  </si>
  <si>
    <t>Table C11c: Estimated Distribution of Health Insurance Employer Costs at Individual Level (hence less concentrated than at tax unit level)</t>
  </si>
  <si>
    <t>Source: Authors' calculation using Table C11d.</t>
  </si>
  <si>
    <t>Table C11d: Employer Costs per Hour Worked for Employee Compensation and Estimated Change in Distribution of Esmployer-sponsored Insurance Costs (ESI)</t>
  </si>
  <si>
    <t>Source: 2015 Forms 1040 and W-2 (Code DD variable top-coded at $40,000) in IRS population data, linking both primary and secondary amounts and using number of tax units for thresholds excluding non-filers. Data extracted on 4/11/2019.</t>
  </si>
  <si>
    <t>Source: Tax returns only, excludes non-filers. Forms 1040 and W-2 (Code DD variable top-coded at $40,000) in IRS population data, linking both primary and secondary amounts and using number of tax units for thresholds excluding non-filers. Data extracted on 4/11/2019.</t>
  </si>
  <si>
    <t>Source: 2013 Forms 1040 and W-2 (Code DD variable top-coded at $40,000) in IRS population data, linking both primary and secondary amounts and using number of tax units for thresholds excluding non-filers. Data extracted on 4/11/2019.</t>
  </si>
  <si>
    <t>Table 5: Sensitivity analysis, changes in top 1% income shares</t>
  </si>
  <si>
    <t>Income Shares of the Top Half of the Distribution, Excluding Top 10% (P50-90)</t>
  </si>
  <si>
    <t>1979–2015   Change</t>
  </si>
  <si>
    <t xml:space="preserve">After-tax income </t>
  </si>
  <si>
    <t>Government Consumption (after-tax income)</t>
  </si>
  <si>
    <t>Auten-Splinter</t>
  </si>
  <si>
    <t>Piketty-Saez-Zucman</t>
  </si>
  <si>
    <t>% Change</t>
  </si>
  <si>
    <t>Real per capita national income (bottom 50%, $2015)</t>
  </si>
  <si>
    <t>Real per capita national income (P50-90, $2015)</t>
  </si>
  <si>
    <t>Bottom 50% Income Shares and Average Incomes</t>
  </si>
  <si>
    <t>Figure B6</t>
  </si>
  <si>
    <t>Figure B5</t>
  </si>
  <si>
    <t>Income Shares and Average Incomes of the Top Half of the Distribution (excluding Top 10%, P50-90)</t>
  </si>
  <si>
    <r>
      <t xml:space="preserve">Notes: </t>
    </r>
    <r>
      <rPr>
        <sz val="9.5"/>
        <color theme="1"/>
        <rFont val="Times New Roman"/>
        <family val="1"/>
      </rPr>
      <t>Cumulative changes are relative to pre-tax income. Tax totals are based on NIPA amounts. Fuel and utility taxes are not included. See Table A1 and online appendix for detailed description of adjustments. * denotes changes between -0.05 and 0.05 percentage points.</t>
    </r>
  </si>
  <si>
    <r>
      <t>Table A1:</t>
    </r>
    <r>
      <rPr>
        <b/>
        <i/>
        <sz val="12"/>
        <color theme="1"/>
        <rFont val="Times New Roman"/>
        <family val="1"/>
      </rPr>
      <t xml:space="preserve"> </t>
    </r>
    <r>
      <rPr>
        <b/>
        <sz val="12"/>
        <color theme="1"/>
        <rFont val="Times New Roman"/>
        <family val="1"/>
      </rPr>
      <t>Top income shares: 1960-2015</t>
    </r>
  </si>
  <si>
    <t>Table B7: Decomposition of Auten-Splinter versus PSZ assumptions on top one percent income shares</t>
  </si>
  <si>
    <r>
      <t>Table B5: Changes in top 1% income shares after TRA86</t>
    </r>
    <r>
      <rPr>
        <sz val="12"/>
        <color theme="1"/>
        <rFont val="Times New Roman"/>
        <family val="1"/>
      </rPr>
      <t xml:space="preserve"> (cross-section analysis)</t>
    </r>
  </si>
  <si>
    <t xml:space="preserve">Table B4: Revenue estimates of base-broadening provisions in the Tax Reform Act of 1986 that affect total income (millions of dollars) </t>
  </si>
  <si>
    <t>Table B6: Increase in top 1% incomes due to TRA86 changes (panel analysis)</t>
  </si>
  <si>
    <t>Table B4</t>
  </si>
  <si>
    <t>Table B5</t>
  </si>
  <si>
    <t>Table B6</t>
  </si>
  <si>
    <t>Table B7</t>
  </si>
  <si>
    <t>&lt;1K</t>
  </si>
  <si>
    <t>&gt;2M</t>
  </si>
  <si>
    <t>Top income shares: 1960-2015</t>
  </si>
  <si>
    <t>PSZ         pre-tax Income</t>
  </si>
  <si>
    <t>PSZ          after-tax income</t>
  </si>
  <si>
    <t>Decomposition of Auten-Splinter versus PSZ assumptions on top one percent income shares (details)</t>
  </si>
  <si>
    <t>Table C16: Cross-sectional changes</t>
  </si>
  <si>
    <t xml:space="preserve"> Shares by pre-tax after-transfer income </t>
  </si>
  <si>
    <t>Allocate household portion 3/4 by dividendsand 1/4 by capital gains, retirement portion by wages for DB ownership and otherwise by DC wealth, non-profit/govt. portion half per capita and half by wages.</t>
  </si>
  <si>
    <t>Allocate household portion of C-corp ownership 3/4 by capital (as above) and 1/4 by wages on tax returns, bond share by taxable interest, and retirement and non-profit/govt. portions as with retained earnings.</t>
  </si>
  <si>
    <t>Allocate additional wages and business income by distribution in Johns and Slemrod (2010) and TCMP</t>
  </si>
  <si>
    <t>Allocate indirect taxes (mostly sales tax) by disposable income less savings, transfers/subsidies/govt. income by half per capita and half wages, and Federal Reserve payments by corrected fiscal income</t>
  </si>
  <si>
    <t>Include reported benefits, use 1985 distribution in prior years</t>
  </si>
  <si>
    <t xml:space="preserve">Allocate benefits proportional to number of  65+ filers (except Part B premiums in recent years) </t>
  </si>
  <si>
    <t>Includes federal SNAP, state and local medical care, general assistance, energy assistance, etc.</t>
  </si>
  <si>
    <t>Allocated by state/local income tax deductions and for non-itemizers as described in appendix</t>
  </si>
  <si>
    <t>Add Medicare (less premiums)</t>
  </si>
  <si>
    <r>
      <rPr>
        <i/>
        <sz val="10"/>
        <color theme="1"/>
        <rFont val="Times New Roman"/>
        <family val="1"/>
      </rPr>
      <t>Notes</t>
    </r>
    <r>
      <rPr>
        <sz val="10"/>
        <color theme="1"/>
        <rFont val="Times New Roman"/>
        <family val="1"/>
      </rPr>
      <t>: Unallocated amounts of transfer payments are allocated to bottom half of the distribution.</t>
    </r>
  </si>
  <si>
    <t>Federal Reserve payments by corr. fiscal inc.</t>
  </si>
  <si>
    <t>P98</t>
  </si>
  <si>
    <t>Top 2% Avg.</t>
  </si>
  <si>
    <t>P98-100</t>
  </si>
  <si>
    <t>1. Piketty-Saez fiscal income replication (no capital gains, by tax units)</t>
  </si>
  <si>
    <t>Top 2% cutoff</t>
  </si>
  <si>
    <t>avg/cut/(avg/cut-1)</t>
  </si>
  <si>
    <t>Top 1% Pareto</t>
  </si>
  <si>
    <t>Top 2% Pareto</t>
  </si>
  <si>
    <t>txretire65+</t>
  </si>
  <si>
    <t>                        qui replace wagetop60=waginc-aux if rankwage&gt;0.5  [top half not top 40% as variable name suggests]</t>
  </si>
  <si>
    <t>                        cap drop aux</t>
  </si>
  <si>
    <t xml:space="preserve">                        qui su wagetop60 [w=dweght] </t>
  </si>
  <si>
    <t>                                    local sumwagetop60=r(sum)/10e10</t>
  </si>
  <si>
    <t>            gen totpeninc=peninc+penincnt</t>
  </si>
  <si>
    <t xml:space="preserve">                        qui su totpeninc [w=dweght] </t>
  </si>
  <si>
    <t>                                    local sumtotpeninc=r(sum)/10e10</t>
  </si>
  <si>
    <t xml:space="preserve">            qui replace hwpen=wagetop60*(`ttpenw'+`ttpeniraw')*0.4/`sumwagetop60'+totpeninc*(`ttpenw'+`ttpeniraw')*0.6/`sumtotpeninc' </t>
  </si>
  <si>
    <t>PSZ capitalization code [Build_usdina.do STATA program, line 365-373]</t>
  </si>
  <si>
    <t>total</t>
  </si>
  <si>
    <t>taxable (with nonfilers)</t>
  </si>
  <si>
    <t>other (investment)</t>
  </si>
  <si>
    <t>top 1% share</t>
  </si>
  <si>
    <t>2014 ($billions)</t>
  </si>
  <si>
    <t>Retirement Nat. Inc.</t>
  </si>
  <si>
    <t>PENSNT1</t>
  </si>
  <si>
    <t>PENSNT2</t>
  </si>
  <si>
    <t>PENSNT3</t>
  </si>
  <si>
    <t>PENSNT4</t>
  </si>
  <si>
    <t>PENSNT5</t>
  </si>
  <si>
    <t>PENSNT6</t>
  </si>
  <si>
    <t>PENSNT7</t>
  </si>
  <si>
    <t>PENSNT8</t>
  </si>
  <si>
    <t>PENSTX1</t>
  </si>
  <si>
    <t>PENSTX2</t>
  </si>
  <si>
    <t>PENSTX3</t>
  </si>
  <si>
    <t>PENSTX4</t>
  </si>
  <si>
    <t>PENSTX5</t>
  </si>
  <si>
    <t>PENSTX6</t>
  </si>
  <si>
    <t>PENSTX7</t>
  </si>
  <si>
    <t>PENSTX8</t>
  </si>
  <si>
    <t>PENS1</t>
  </si>
  <si>
    <t>PENS2</t>
  </si>
  <si>
    <t>PENS3</t>
  </si>
  <si>
    <t>PENS4</t>
  </si>
  <si>
    <t>PENS5</t>
  </si>
  <si>
    <t>PENS6</t>
  </si>
  <si>
    <t>PENS7</t>
  </si>
  <si>
    <t>PENS8</t>
  </si>
  <si>
    <t>inctype</t>
  </si>
  <si>
    <t>PSZ top 1% share of pension wealth (hwpen)</t>
  </si>
  <si>
    <t>NT retire</t>
  </si>
  <si>
    <t>TX retire</t>
  </si>
  <si>
    <t>Top Half of wages</t>
  </si>
  <si>
    <t>WAS1</t>
  </si>
  <si>
    <t>WAS2</t>
  </si>
  <si>
    <t>WAS3</t>
  </si>
  <si>
    <t>WAS4</t>
  </si>
  <si>
    <t>WAS5</t>
  </si>
  <si>
    <t>WAS6</t>
  </si>
  <si>
    <t>WAS7</t>
  </si>
  <si>
    <t>WAS8</t>
  </si>
  <si>
    <t>Tax returns only (fiscal income)</t>
  </si>
  <si>
    <t>Pre-tax/after-transfer</t>
  </si>
  <si>
    <t>Retirement accrued income, not ret. earn or C tax</t>
  </si>
  <si>
    <t>Alabama</t>
  </si>
  <si>
    <t>Alaska</t>
  </si>
  <si>
    <t>Arizona</t>
  </si>
  <si>
    <t>Arkansas</t>
  </si>
  <si>
    <t>California</t>
  </si>
  <si>
    <t>Colorado</t>
  </si>
  <si>
    <t>Connecticut</t>
  </si>
  <si>
    <t>Delaware</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</si>
  <si>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</si>
  <si>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</si>
  <si>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</si>
  <si>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</si>
  <si>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</si>
  <si>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</si>
  <si>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</si>
  <si>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</si>
  <si>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</si>
  <si>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</si>
  <si>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</si>
  <si>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</si>
  <si>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</si>
  <si>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</si>
  <si>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</si>
  <si>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</si>
  <si>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</si>
  <si>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</si>
  <si>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Ohio</t>
  </si>
  <si>
    <t>Oklahoma</t>
  </si>
  <si>
    <t>Oregon</t>
  </si>
  <si>
    <t>Pennsylvania</t>
  </si>
  <si>
    <t>Tennessee</t>
  </si>
  <si>
    <t>Utah</t>
  </si>
  <si>
    <t>Vermont</t>
  </si>
  <si>
    <t>Virginia</t>
  </si>
  <si>
    <t>Wisconsin</t>
  </si>
  <si>
    <t>West Virginia</t>
  </si>
  <si>
    <t>New Jersey</t>
  </si>
  <si>
    <t>New Mexico</t>
  </si>
  <si>
    <t>New York</t>
  </si>
  <si>
    <t>North Carolina</t>
  </si>
  <si>
    <t>North Dakota</t>
  </si>
  <si>
    <t>Rhode Island</t>
  </si>
  <si>
    <t>South Carolina</t>
  </si>
  <si>
    <t xml:space="preserve">Withholding </t>
  </si>
  <si>
    <t>Info. Exchange</t>
  </si>
  <si>
    <t>Inc. Tax</t>
  </si>
  <si>
    <t>Median</t>
  </si>
  <si>
    <t>Minimum</t>
  </si>
  <si>
    <t>Maximum</t>
  </si>
  <si>
    <t>Introduction of state income tax, withholding, and Information Exchange Audit Agreements (Troiano 2018, Table 2 https://www.nber.org/papers/w24175.pdf)</t>
  </si>
  <si>
    <t>Effects on Top Shares from state withholding and Information Exchange Audit Agreements (Troiano 2018, Tables 11-14 https://www.nber.org/papers/w24175.pdf)</t>
  </si>
  <si>
    <t>1950 and earlier: Full effects</t>
  </si>
  <si>
    <t>1960 adj</t>
  </si>
  <si>
    <t>1950 adj</t>
  </si>
  <si>
    <t>Total top 1%</t>
  </si>
  <si>
    <t>Both</t>
  </si>
  <si>
    <t>Underreported shares: 1988 and adjusted using Troiano (2018) estimates of effects of state withholding and information exchange audit agreements</t>
  </si>
  <si>
    <t>Baseline</t>
  </si>
  <si>
    <t>Multiple changes (after-tax income)</t>
  </si>
  <si>
    <t>Changes increasing 2015 top share</t>
  </si>
  <si>
    <t>Changes decreasing 2015 top share</t>
  </si>
  <si>
    <t>average</t>
  </si>
  <si>
    <t>min</t>
  </si>
  <si>
    <t>max</t>
  </si>
  <si>
    <t>Limit returns to non-dependent U.S. residents</t>
  </si>
  <si>
    <t>Share of 65+ taking into account secondary age (i.e., not assuming all secondaries are 65+ if primary is 65+): Almost no effect (i.e., nearly identical to values in lines 93 amd 129 above)</t>
  </si>
  <si>
    <r>
      <t>Notes</t>
    </r>
    <r>
      <rPr>
        <sz val="10"/>
        <color theme="1"/>
        <rFont val="Times New Roman"/>
        <family val="1"/>
      </rPr>
      <t xml:space="preserve">: Adjustments used to estimate various definitions of income are listed in Tables 1 and 2 and described in detail in the online appendix. </t>
    </r>
  </si>
  <si>
    <r>
      <t>Notes</t>
    </r>
    <r>
      <rPr>
        <sz val="10"/>
        <color theme="1"/>
        <rFont val="Times New Roman"/>
        <family val="1"/>
      </rPr>
      <t xml:space="preserve">: Auten-Splinter approach is described in text and in detail in the online appendix. Percentage point differences are from changing each assumption independently (as opposed to stacking changes) and therefore may not sum to the PSZ less AS difference. Results are the average changes in top one percent income shares of going from AS to PSZ and PSZ to AS assumption (see online data for details). The total after-tax difference nets out the pre-tax difference. * denotes changes between -0.05 and 0.05. </t>
    </r>
  </si>
  <si>
    <t>Table 4: Decomposition of top one percent income shares by approaches</t>
  </si>
  <si>
    <t>Decomposition of top one percent income shares by approaches</t>
  </si>
  <si>
    <r>
      <t>Notes</t>
    </r>
    <r>
      <rPr>
        <sz val="10"/>
        <color theme="1"/>
        <rFont val="Times New Roman"/>
        <family val="1"/>
      </rPr>
      <t xml:space="preserve">: Adjustments used to estimate Auten-Splinter pre-tax and after-tax income are listed in Tables 1 and 2 and described in detail in the online appendix. </t>
    </r>
  </si>
  <si>
    <r>
      <t>Figure B7:</t>
    </r>
    <r>
      <rPr>
        <b/>
        <i/>
        <sz val="11"/>
        <color theme="1"/>
        <rFont val="Times New Roman"/>
        <family val="1"/>
      </rPr>
      <t xml:space="preserve"> </t>
    </r>
    <r>
      <rPr>
        <b/>
        <sz val="11"/>
        <color theme="1"/>
        <rFont val="Times New Roman"/>
        <family val="1"/>
      </rPr>
      <t>Income sources as a share of pre-tax after-transfer income</t>
    </r>
  </si>
  <si>
    <t>Income sources as a share of pre-tax after-transfer income</t>
  </si>
  <si>
    <t>Figure B7</t>
  </si>
  <si>
    <r>
      <t>Figure 2:</t>
    </r>
    <r>
      <rPr>
        <b/>
        <i/>
        <sz val="12"/>
        <color theme="1"/>
        <rFont val="Times New Roman"/>
        <family val="1"/>
      </rPr>
      <t xml:space="preserve"> </t>
    </r>
    <r>
      <rPr>
        <b/>
        <sz val="12"/>
        <color theme="1"/>
        <rFont val="Times New Roman"/>
        <family val="1"/>
      </rPr>
      <t>Top 1% income shares: Consistent market income adjustments</t>
    </r>
  </si>
  <si>
    <r>
      <t>Figure 3:</t>
    </r>
    <r>
      <rPr>
        <b/>
        <i/>
        <sz val="12"/>
        <color theme="1"/>
        <rFont val="Times New Roman"/>
        <family val="1"/>
      </rPr>
      <t xml:space="preserve"> </t>
    </r>
    <r>
      <rPr>
        <b/>
        <sz val="12"/>
        <color theme="1"/>
        <rFont val="Times New Roman"/>
        <family val="1"/>
      </rPr>
      <t>Comparison of top 1% income shares</t>
    </r>
  </si>
  <si>
    <r>
      <t>Figure 4:</t>
    </r>
    <r>
      <rPr>
        <b/>
        <i/>
        <sz val="11"/>
        <color theme="1"/>
        <rFont val="Times New Roman"/>
        <family val="1"/>
      </rPr>
      <t xml:space="preserve"> </t>
    </r>
    <r>
      <rPr>
        <b/>
        <sz val="11"/>
        <color theme="1"/>
        <rFont val="Times New Roman"/>
        <family val="1"/>
      </rPr>
      <t>Taxes as a share of pre-tax after-transfer income</t>
    </r>
  </si>
  <si>
    <t>Figure 5: Payroll taxes and social insurance transfers as a share of pre-tax after-transfer income</t>
  </si>
  <si>
    <r>
      <t>Figure B1:</t>
    </r>
    <r>
      <rPr>
        <b/>
        <i/>
        <sz val="12"/>
        <color theme="1"/>
        <rFont val="Times New Roman"/>
        <family val="1"/>
      </rPr>
      <t xml:space="preserve"> </t>
    </r>
    <r>
      <rPr>
        <b/>
        <sz val="12"/>
        <color theme="1"/>
        <rFont val="Times New Roman"/>
        <family val="1"/>
      </rPr>
      <t>Top 1% income shares: Corrected market income adjustments</t>
    </r>
  </si>
  <si>
    <t>Figure B5: Bottom 50% Income Shares and Average Incomes</t>
  </si>
  <si>
    <t>Figure B6: Income Shares and Average Incomes of the Top Half of the Distribution, Excluding Top 10% (P50-90)</t>
  </si>
  <si>
    <t>Table T0: Corrected market income plus undistributed fiduciary income by source, millions of dollars (fully distribute corrected tax return based income among national income sources before adding other income sources)</t>
  </si>
  <si>
    <t>Table T1: Pre-tax national income by source, millions of dollars</t>
  </si>
  <si>
    <t>Table T1a: Inflation correction of interest payments, millions of dollars</t>
  </si>
  <si>
    <t>Table T2: Pre-tax after-transfer income by source, millions of dollars</t>
  </si>
  <si>
    <t>Table T3: After-tax  income by source, millions of dollars</t>
  </si>
  <si>
    <t>Table T3a: Taxes by source, millions of dollars</t>
  </si>
  <si>
    <r>
      <rPr>
        <i/>
        <sz val="11"/>
        <color theme="1"/>
        <rFont val="Calibri"/>
        <family val="2"/>
        <scheme val="minor"/>
      </rPr>
      <t>Notes</t>
    </r>
    <r>
      <rPr>
        <sz val="11"/>
        <color theme="1"/>
        <rFont val="Calibri"/>
        <family val="2"/>
        <scheme val="minor"/>
      </rPr>
      <t>: See Table B1 for definitions of each tax and the online appendix for other details. In 1960, corporate income tax and property tax totals are distributed using 1962 distributions.</t>
    </r>
  </si>
  <si>
    <t>Table C27: Decomposition of top one percent income shares by approaches</t>
  </si>
  <si>
    <t>Top 1% cutoff</t>
  </si>
  <si>
    <t>Top 1% Avg.</t>
  </si>
  <si>
    <t>2. Pre-tax National Income (but grouped by tax units/ranked by tax unit income)</t>
  </si>
  <si>
    <t>3. Pre-tax after-transfer national income (but grouped by tax units/ranked by tax unit income)</t>
  </si>
  <si>
    <t>4. After-tax national income (but grouped by tax units/ranked by tax unit income)</t>
  </si>
  <si>
    <t>Pareto Parameters</t>
  </si>
  <si>
    <t>For income thresholds only, a small number of sources missing from tax returns are added at the aggregate group level an so not taken into account.</t>
  </si>
  <si>
    <t xml:space="preserve">%EST_INCOME2(1960, 2015, 19, 221); </t>
  </si>
  <si>
    <t>%EST_INCOME2(1960, 2015  0,  12);</t>
  </si>
  <si>
    <t>1962–1979   Change</t>
  </si>
  <si>
    <t>1962–2014   Change</t>
  </si>
  <si>
    <t>Difference from PSZ</t>
  </si>
  <si>
    <t>Wages (with employer payroll tax and ESI)</t>
  </si>
  <si>
    <t>Interest (with tax-exempt but not retirement portion)</t>
  </si>
  <si>
    <t>C corporation taxes (with retirement acct. but not Fed. Reserve portion)</t>
  </si>
  <si>
    <t>1999 ($)</t>
  </si>
  <si>
    <t>1999 shares</t>
  </si>
  <si>
    <t>2015 ($)</t>
  </si>
  <si>
    <t>2015 shares</t>
  </si>
  <si>
    <t xml:space="preserve">Total pre-tax differences (PSZ less AS) </t>
  </si>
  <si>
    <t>Total after-tax differences (PSZ less AS after pre-tax differences)</t>
  </si>
  <si>
    <t>P50-90 incomes by income type (from total_inc output), $millions</t>
  </si>
  <si>
    <t>Other (including imputed rents, property &amp; other taxes, etc.)</t>
  </si>
  <si>
    <t>50% per capita/50% after-tax income (baseline)</t>
  </si>
  <si>
    <t>25% per capita/75% after-tax income</t>
  </si>
  <si>
    <t>75% per capita/25% after-tax income</t>
  </si>
  <si>
    <t>Passthrough Business (Partn., S corp, Sch. C, farm, and rents)</t>
  </si>
  <si>
    <t>taxable dividends (excludes retirement and government/non-profit shares), interest (including tax-exempt interest but not inflation adjustment), C corporation retained earnings, C corporation taxes, retirement income, and other income (imputed rents, property &amp; other taxes, etc.).</t>
  </si>
  <si>
    <t>Private            non-retirement</t>
  </si>
  <si>
    <t>Individual      non-retirement</t>
  </si>
  <si>
    <t>Taxable Dividends (no retirement portion)</t>
  </si>
  <si>
    <t>C corp. retained earnings (with retirement portion)</t>
  </si>
  <si>
    <t>1962–2015   Change</t>
  </si>
  <si>
    <t>Table 3: Comparison of top 1% income shares and changes</t>
  </si>
  <si>
    <t>Comparison of top 1% income shares and changes</t>
  </si>
  <si>
    <t>Private          non-retirement</t>
  </si>
  <si>
    <t>Notes: Pre-tax income is divided into wages (including employer payroll taxes, employer provided health insurance and underreported wages), passthrough net income (underreporting inclusive income from partnerships, S corporations, Sch. C, farm income, and rents),</t>
  </si>
  <si>
    <t>1962: Assume half of full effects (median years of implementation were 1961 and 1963)</t>
  </si>
  <si>
    <t>Reported AGI ($)</t>
  </si>
  <si>
    <t>Total Income (%)</t>
  </si>
  <si>
    <t>Wages, Salaries and Tips             (%)</t>
  </si>
  <si>
    <t>Capital Gains (%)</t>
  </si>
  <si>
    <t>Schedule C Business (%)</t>
  </si>
  <si>
    <t>1–5K</t>
  </si>
  <si>
    <t>5–10K</t>
  </si>
  <si>
    <t>10–15K</t>
  </si>
  <si>
    <t>15–20K</t>
  </si>
  <si>
    <t>20–25K</t>
  </si>
  <si>
    <t>25–30K</t>
  </si>
  <si>
    <t>30–40K</t>
  </si>
  <si>
    <t>40–50K</t>
  </si>
  <si>
    <t>50–75K</t>
  </si>
  <si>
    <t>75–100K</t>
  </si>
  <si>
    <t>100–200K</t>
  </si>
  <si>
    <t>200–500K</t>
  </si>
  <si>
    <t>500K–1M</t>
  </si>
  <si>
    <t>1M–2M</t>
  </si>
  <si>
    <t>Sources: “Tax Year 2001 Individual Income Tax Underreporting Gap Estimates by Selected Levels of True and Reported AGI,” as cited in David Cay Johnson, “Trust but Verify,” Tax Notes (August 4, 2008).</t>
  </si>
  <si>
    <r>
      <t xml:space="preserve">Sources: </t>
    </r>
    <r>
      <rPr>
        <sz val="10"/>
        <color theme="1"/>
        <rFont val="Times New Roman"/>
        <family val="1"/>
      </rPr>
      <t>Authors’ calculations using 2014 Statistics of Income individual income tax file.</t>
    </r>
  </si>
  <si>
    <t>Table B8: Taxable and Non-taxable Pension and IRA Distributions, 2014</t>
  </si>
  <si>
    <t>Taxable and Non-taxable Pension and IRA Distributions, 2014</t>
  </si>
  <si>
    <t>Table B8</t>
  </si>
  <si>
    <t xml:space="preserve">Notes: * denotes values rounding to zero. AGI classes are based on reported AGI. The table shows the IRS underreporting measure, net misreporting percentage, defined as the misreported/underreported amount of each source divided by the sum of the reported and unreported (true) amounts of each source. </t>
  </si>
  <si>
    <t>Table B3: Underreporting of income by reported AGI and type of income, 2001</t>
  </si>
  <si>
    <t>Underreporting of income by reported AGI and type of income, 2001</t>
  </si>
  <si>
    <t>AS-PSZ gap</t>
  </si>
  <si>
    <t>pre-tax</t>
  </si>
  <si>
    <t>after-tax</t>
  </si>
  <si>
    <t>AS top 1%</t>
  </si>
  <si>
    <t>PSZ top 1%</t>
  </si>
  <si>
    <t>Top 1% shares of national income</t>
  </si>
  <si>
    <r>
      <t>Figure 1:</t>
    </r>
    <r>
      <rPr>
        <b/>
        <i/>
        <sz val="12"/>
        <color theme="1"/>
        <rFont val="Times New Roman"/>
        <family val="1"/>
      </rPr>
      <t xml:space="preserve"> </t>
    </r>
    <r>
      <rPr>
        <b/>
        <sz val="12"/>
        <color theme="1"/>
        <rFont val="Times New Roman"/>
        <family val="1"/>
      </rPr>
      <t>Top 1% shares of national income</t>
    </r>
  </si>
  <si>
    <t>1962-2015</t>
  </si>
  <si>
    <t>AGI Class</t>
  </si>
  <si>
    <t>Pensions</t>
  </si>
  <si>
    <t>IRA Distributions</t>
  </si>
  <si>
    <t>AGI&lt;0</t>
  </si>
  <si>
    <t>Top 1 %</t>
  </si>
  <si>
    <t xml:space="preserve"> 0–10</t>
  </si>
  <si>
    <t>10–20</t>
  </si>
  <si>
    <t>20–30</t>
  </si>
  <si>
    <t>30–40</t>
  </si>
  <si>
    <t>40–50</t>
  </si>
  <si>
    <t>50–60</t>
  </si>
  <si>
    <t>60–70</t>
  </si>
  <si>
    <t>70–80</t>
  </si>
  <si>
    <t>80–90</t>
  </si>
  <si>
    <t>90–95</t>
  </si>
  <si>
    <t>95–99</t>
  </si>
  <si>
    <t xml:space="preserve"> $1M +</t>
  </si>
  <si>
    <t>Total ($million)</t>
  </si>
  <si>
    <t>Taxable  ($million)</t>
  </si>
  <si>
    <t>Non-taxable  ($million)</t>
  </si>
  <si>
    <t>Non-taxable (%)</t>
  </si>
  <si>
    <t>Panel A: By Centiles</t>
  </si>
  <si>
    <t>Panel B: By AGI group</t>
  </si>
  <si>
    <t xml:space="preserve">  $0–25K</t>
  </si>
  <si>
    <t xml:space="preserve"> $25–50K</t>
  </si>
  <si>
    <t xml:space="preserve"> $50–100K</t>
  </si>
  <si>
    <t>$100–250K</t>
  </si>
  <si>
    <t>$250K–$1M</t>
  </si>
  <si>
    <t>AGI&lt;$0</t>
  </si>
  <si>
    <t xml:space="preserve">Changes increasing 2015 top share: allocate no underreported income or government deficits/surplus, allocate government consumption 75% after-tax income/25% per capita. Changes decreasing 2015 top share: minimum age of 25, rank by size-adjusted income at household level, allocate retained earnings 50% capital gains/50% dividends, allocate government consumption 25% after-tax income/75% per capita.
</t>
  </si>
  <si>
    <t>by Gerald Auten and David Splinter</t>
  </si>
  <si>
    <t>(grouped by pre-tax/after-transfer income)</t>
  </si>
  <si>
    <t>Note: Social insurance transfers includes Social Security and disability benefits, unemployment insurnace, and Medicare. See Table B1 for definitions for each source. Medicare started in 1966. Other cash and non-cash tranfers are not shown as they are all distributed to the bottom half of the distribution.</t>
  </si>
  <si>
    <t>Table C7: Distribution of social insurance transfers by fractiles of pre-tax/after-transfer income</t>
  </si>
  <si>
    <t>Distribution of social insurance transfers by fractiles of pre-tax/after-transfer income</t>
  </si>
  <si>
    <t>65+ population (individuals by AGI groups)</t>
  </si>
  <si>
    <t>Fraction of Adults aged at least 65 years (by AGI distribution, use for Medicare distribution)</t>
  </si>
  <si>
    <t>Table C9a: Average tax rates by subfractile (denominator of all tax rates is pre-tax/after-transfer income)</t>
  </si>
  <si>
    <t>P0-50</t>
  </si>
  <si>
    <t>P50-90</t>
  </si>
  <si>
    <t>State/Local income tax</t>
  </si>
  <si>
    <t>Corp. income tax</t>
  </si>
  <si>
    <t>Estate tax</t>
  </si>
  <si>
    <t>Bottom 50% Taxes ($millions)</t>
  </si>
  <si>
    <t>P50-90 Taxes ($millions)</t>
  </si>
  <si>
    <t>Pre-tax after-transfer income ($millions)</t>
  </si>
  <si>
    <t>Bottom 50%</t>
  </si>
  <si>
    <t xml:space="preserve">Average tax rates by subfractile </t>
  </si>
  <si>
    <t>Table C9a</t>
  </si>
  <si>
    <t xml:space="preserve">Average Tax Rates </t>
  </si>
  <si>
    <t>Table C5a: Consistent market income shares by source and fractile of pre-tax income</t>
  </si>
  <si>
    <t>Table C6: Distribution of pre-tax income sources by fractiles of pre-tax income</t>
  </si>
  <si>
    <t>Avg tax rate: Refundable credits as taxes rather than transfers</t>
  </si>
  <si>
    <t>PSZ computer code [Build_usdina.do STATA program, lines in brackets]</t>
  </si>
  <si>
    <t>[363-371: Taxable pension income on tax returns, which includes rollovers, is used to allocate pension wealth hwpen]</t>
  </si>
  <si>
    <t>                        qui egen aux=min(waginc) if rankwage&gt;0.5</t>
  </si>
  <si>
    <t>            qui replace hwpen=wagetop60*(`ttpenw'+`ttpeniraw')*0.4/`sumwagetop60'+totpeninc*(`ttpenw'+`ttpeniraw')*0.6/`sumtotpeninc'</t>
  </si>
  <si>
    <t>[1185-1186: hwpen used to allocate fkpen]</t>
  </si>
  <si>
    <t xml:space="preserve">                        label variable fkpen "Pension and insurance asset income" </t>
  </si>
  <si>
    <t xml:space="preserve">                        qui replace fkpen=hwpen*`ttfkpen'/`tthwpen'      </t>
  </si>
  <si>
    <t>[1363-1368: fkpen used to allocate pkpen]</t>
  </si>
  <si>
    <t>                        label variable pkpen "(Minus) Investment income payable to pension funds (DB + DC + IRA, but excluding life insurance)"</t>
  </si>
  <si>
    <t>                        qui replace pkpen = fkpen</t>
  </si>
  <si>
    <t>                        qui su pkpen [w=dweght], meanonly</t>
  </si>
  <si>
    <t xml:space="preserve">                        local blowuppkpen = `ttinvincpen' / (r(sum)*1e-11) </t>
  </si>
  <si>
    <t>                        qui replace pkpen = - pkpen * `blowuppkpen'</t>
  </si>
  <si>
    <t>[1602-1603: pkpen used to allocate invpen]</t>
  </si>
  <si>
    <t>                          qui gen invpen = - pkpen</t>
  </si>
  <si>
    <t>                        label variable invpen "Investment income payable to pension funds (DB + DC + IRA, but excluding life insurance)"</t>
  </si>
  <si>
    <t>[1620-1621: Pre-tax national income includes invpen, which is allocated by hwpen and is partially based on rollovers in penincnt]</t>
  </si>
  <si>
    <t>                        label variable peinc "Pre-tax national income (matching macro NI)"</t>
  </si>
  <si>
    <t xml:space="preserve">            qui egen peinck = rsum(pkinc  govin  npinc  invpen)  </t>
  </si>
  <si>
    <t xml:space="preserve">                        qui replace wagetop60=waginc-aux if rankwage&gt;0.5 </t>
  </si>
  <si>
    <r>
      <t>            gen totpeninc=peninc+</t>
    </r>
    <r>
      <rPr>
        <sz val="12"/>
        <color rgb="FFFF0000"/>
        <rFont val="Times New Roman"/>
        <family val="1"/>
      </rPr>
      <t>penincnt</t>
    </r>
  </si>
  <si>
    <t>(penincnt is non-taxable pension income reported on tax returns, which is mostly rollover asset values, not pension income flows)</t>
  </si>
  <si>
    <t xml:space="preserve">Updates: </t>
  </si>
  <si>
    <t>Aug 2019 added bottom 50 and P50-90 tax burdens.</t>
  </si>
  <si>
    <t>Feb. 2020 corrected equations in tab C2 for govt. surplus. Thanks to Andrew Kliman for pointing this out.</t>
  </si>
  <si>
    <t>version: February 26, 2020</t>
  </si>
  <si>
    <t>Top 1% total including payroll taxes</t>
  </si>
  <si>
    <t>Bottom 90% total including payroll taxes</t>
  </si>
  <si>
    <t>Bottom 50% total including payroll taxes</t>
  </si>
  <si>
    <t>P50-90 total including payroll taxes</t>
  </si>
  <si>
    <t>Top 1% taxes as share of pre-tax/after-transfer income</t>
  </si>
  <si>
    <t>Bottom 90% taxes as share of pre-tax/after-transfer income</t>
  </si>
  <si>
    <t>Bottom 50% refundable credits as taxes rather than transfers</t>
  </si>
  <si>
    <t>Addenda: Total average tax rates when including payroll taxes</t>
  </si>
  <si>
    <t>Gini Coefficients</t>
  </si>
  <si>
    <t xml:space="preserve">income </t>
  </si>
  <si>
    <t xml:space="preserve">Fiscal </t>
  </si>
  <si>
    <t>(no cap gains)</t>
  </si>
  <si>
    <t xml:space="preserve">national </t>
  </si>
  <si>
    <t>(preliminary)</t>
  </si>
  <si>
    <r>
      <t>Table C26:</t>
    </r>
    <r>
      <rPr>
        <b/>
        <i/>
        <sz val="11"/>
        <color theme="1"/>
        <rFont val="Times New Roman"/>
        <family val="1"/>
      </rPr>
      <t xml:space="preserve"> </t>
    </r>
    <r>
      <rPr>
        <b/>
        <sz val="11"/>
        <color theme="1"/>
        <rFont val="Times New Roman"/>
        <family val="1"/>
      </rPr>
      <t>Fiscal income as a share of national income</t>
    </r>
  </si>
  <si>
    <t>PS fiscal income                     (excluding capital gains)</t>
  </si>
  <si>
    <t>PS fiscal income                     (including capital gains)</t>
  </si>
  <si>
    <t>Fiscal income as a share of national income</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</si>
</sst>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0.0000"/>
    <numFmt numFmtId="166" formatCode="0.0%"/>
    <numFmt numFmtId="167" formatCode="#,##0.0"/>
    <numFmt numFmtId="168" formatCode="#,##0.0000"/>
    <numFmt numFmtId="169" formatCode="0.000"/>
    <numFmt numFmtId="170" formatCode="#,##0.00000"/>
    <numFmt numFmtId="171" formatCode="#,##0.000"/>
    <numFmt numFmtId="172" formatCode="#,##0.000000000000"/>
    <numFmt numFmtId="173" formatCode="0.000%"/>
    <numFmt numFmtId="174" formatCode="\$#,##0\ ;\(\$#,##0\)"/>
    <numFmt numFmtId="175" formatCode="_(* #,##0_);_(* \(#,##0\);_(* &quot;-&quot;??_);_(@_)"/>
    <numFmt numFmtId="176" formatCode="\(General\)"/>
    <numFmt numFmtId="177" formatCode="@&quot;...............................................................................................................&quot;"/>
    <numFmt numFmtId="178" formatCode="#,##0&quot;  &quot;"/>
    <numFmt numFmtId="179" formatCode="#,##0&quot; &quot;"/>
    <numFmt numFmtId="180" formatCode="@*."/>
    <numFmt numFmtId="181" formatCode="&quot;   &quot;@*."/>
    <numFmt numFmtId="182" formatCode="0.0E+00"/>
    <numFmt numFmtId="183" formatCode="0.000E+00"/>
    <numFmt numFmtId="184" formatCode="0.00000"/>
    <numFmt numFmtId="185" formatCode="0.00000%"/>
    <numFmt numFmtId="186" formatCode="0.00000E+00"/>
    <numFmt numFmtId="187" formatCode="0.0000000000000"/>
  </numFmts>
  <fonts count="142"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sz val="10"/>
      <color indexed="24"/>
      <name val="Arial"/>
      <family val="2"/>
    </font>
    <font>
      <sz val="8"/>
      <name val="Arial"/>
      <family val="2"/>
    </font>
    <font>
      <b/>
      <sz val="8"/>
      <name val="Arial"/>
      <family val="2"/>
    </font>
    <font>
      <b/>
      <u/>
      <sz val="10"/>
      <name val="Arial"/>
      <family val="2"/>
    </font>
    <font>
      <sz val="9"/>
      <name val="Arial"/>
      <family val="2"/>
    </font>
    <font>
      <u/>
      <sz val="11"/>
      <color theme="10"/>
      <name val="Calibri"/>
      <family val="2"/>
    </font>
    <font>
      <sz val="10"/>
      <color theme="1"/>
      <name val="Arial"/>
      <family val="2"/>
    </font>
    <font>
      <sz val="10"/>
      <color theme="1"/>
      <name val="Times New Roman"/>
      <family val="1"/>
    </font>
    <font>
      <sz val="8"/>
      <color theme="1"/>
      <name val="Arial"/>
      <family val="2"/>
    </font>
    <font>
      <sz val="8"/>
      <color indexed="24"/>
      <name val="Arial"/>
      <family val="2"/>
    </font>
    <font>
      <sz val="9"/>
      <color theme="1"/>
      <name val="Calibri"/>
      <family val="2"/>
      <scheme val="minor"/>
    </font>
    <font>
      <i/>
      <sz val="11"/>
      <color theme="1"/>
      <name val="Calibri"/>
      <family val="2"/>
      <scheme val="minor"/>
    </font>
    <font>
      <sz val="7"/>
      <name val="Arial"/>
      <family val="2"/>
    </font>
    <font>
      <sz val="7"/>
      <name val="Helvetica"/>
    </font>
    <font>
      <sz val="8"/>
      <color theme="1"/>
      <name val="Calibri"/>
      <family val="2"/>
      <scheme val="minor"/>
    </font>
    <font>
      <sz val="8"/>
      <color theme="1"/>
      <name val="Times New Roman"/>
      <family val="1"/>
    </font>
    <font>
      <b/>
      <sz val="10"/>
      <color theme="1"/>
      <name val="Calibri"/>
      <family val="2"/>
      <scheme val="minor"/>
    </font>
    <font>
      <sz val="11"/>
      <color theme="1"/>
      <name val="Times New Roman"/>
      <family val="1"/>
    </font>
    <font>
      <b/>
      <sz val="11"/>
      <color theme="1"/>
      <name val="Times New Roman"/>
      <family val="1"/>
    </font>
    <font>
      <b/>
      <sz val="10"/>
      <color theme="1"/>
      <name val="Times New Roman"/>
      <family val="1"/>
    </font>
    <font>
      <b/>
      <sz val="12"/>
      <color theme="1"/>
      <name val="Calibri"/>
      <family val="2"/>
      <scheme val="minor"/>
    </font>
    <font>
      <sz val="9"/>
      <color theme="1"/>
      <name val="Times New Roman"/>
      <family val="1"/>
    </font>
    <font>
      <i/>
      <sz val="9"/>
      <color theme="1"/>
      <name val="Times New Roman"/>
      <family val="1"/>
    </font>
    <font>
      <b/>
      <sz val="9"/>
      <color theme="1"/>
      <name val="Times New Roman"/>
      <family val="1"/>
    </font>
    <font>
      <b/>
      <sz val="8"/>
      <color theme="1"/>
      <name val="Times New Roman"/>
      <family val="1"/>
    </font>
    <font>
      <sz val="8"/>
      <color theme="1" tint="0.499984740745262"/>
      <name val="Arial"/>
      <family val="2"/>
    </font>
    <font>
      <sz val="10"/>
      <name val="Times New Roman"/>
      <family val="1"/>
    </font>
    <font>
      <sz val="9"/>
      <name val="Times New Roman"/>
      <family val="1"/>
    </font>
    <font>
      <sz val="9"/>
      <color rgb="FF000000"/>
      <name val="Times New Roman"/>
      <family val="1"/>
    </font>
    <font>
      <b/>
      <sz val="7"/>
      <color theme="1"/>
      <name val="Times New Roman"/>
      <family val="1"/>
    </font>
    <font>
      <sz val="12"/>
      <color theme="1"/>
      <name val="Times New Roman"/>
      <family val="1"/>
    </font>
    <font>
      <b/>
      <sz val="12"/>
      <name val="Times New Roman"/>
      <family val="1"/>
    </font>
    <font>
      <sz val="11"/>
      <name val="Calibri"/>
      <family val="2"/>
    </font>
    <font>
      <b/>
      <sz val="10"/>
      <name val="Times New Roman"/>
      <family val="1"/>
    </font>
    <font>
      <b/>
      <sz val="10"/>
      <color theme="1" tint="0.499984740745262"/>
      <name val="Times New Roman"/>
      <family val="1"/>
    </font>
    <font>
      <b/>
      <sz val="11"/>
      <name val="Times New Roman"/>
      <family val="1"/>
    </font>
    <font>
      <sz val="11"/>
      <color theme="1" tint="0.499984740745262"/>
      <name val="Times New Roman"/>
      <family val="1"/>
    </font>
    <font>
      <sz val="11"/>
      <name val="Times New Roman"/>
      <family val="1"/>
    </font>
    <font>
      <i/>
      <sz val="10"/>
      <color theme="1"/>
      <name val="Times New Roman"/>
      <family val="1"/>
    </font>
    <font>
      <b/>
      <sz val="8"/>
      <name val="Times New Roman"/>
      <family val="1"/>
    </font>
    <font>
      <sz val="10"/>
      <color theme="1" tint="0.499984740745262"/>
      <name val="Times New Roman"/>
      <family val="1"/>
    </font>
    <font>
      <b/>
      <sz val="9"/>
      <name val="Times New Roman"/>
      <family val="1"/>
    </font>
    <font>
      <sz val="9"/>
      <color indexed="24"/>
      <name val="Arial"/>
      <family val="2"/>
    </font>
    <font>
      <sz val="10"/>
      <color indexed="8"/>
      <name val="Arial"/>
      <family val="2"/>
    </font>
    <font>
      <b/>
      <sz val="10"/>
      <color indexed="8"/>
      <name val="Arial"/>
      <family val="2"/>
    </font>
    <font>
      <b/>
      <sz val="10"/>
      <color theme="1"/>
      <name val="Arial"/>
      <family val="2"/>
    </font>
    <font>
      <sz val="8"/>
      <name val="Times New Roman"/>
      <family val="1"/>
    </font>
    <font>
      <b/>
      <sz val="12"/>
      <color theme="1"/>
      <name val="Times New Roman"/>
      <family val="1"/>
    </font>
    <font>
      <i/>
      <sz val="9.5"/>
      <color theme="1"/>
      <name val="Times New Roman"/>
      <family val="1"/>
    </font>
    <font>
      <sz val="9.5"/>
      <color theme="1"/>
      <name val="Times New Roman"/>
      <family val="1"/>
    </font>
    <font>
      <i/>
      <sz val="10"/>
      <color rgb="FF000000"/>
      <name val="Times New Roman"/>
      <family val="1"/>
    </font>
    <font>
      <sz val="10"/>
      <color rgb="FF000000"/>
      <name val="Times New Roman"/>
      <family val="1"/>
    </font>
    <font>
      <i/>
      <sz val="9"/>
      <color rgb="FF000000"/>
      <name val="Times New Roman"/>
      <family val="1"/>
    </font>
    <font>
      <sz val="8"/>
      <color rgb="FF000000"/>
      <name val="Times New Roman"/>
      <family val="1"/>
    </font>
    <font>
      <b/>
      <i/>
      <sz val="12"/>
      <color theme="1"/>
      <name val="Times New Roman"/>
      <family val="1"/>
    </font>
    <font>
      <i/>
      <sz val="10"/>
      <name val="Arial"/>
      <family val="2"/>
    </font>
    <font>
      <u/>
      <sz val="8"/>
      <name val="Arial"/>
      <family val="2"/>
    </font>
    <font>
      <b/>
      <sz val="8"/>
      <name val="Arial Narrow"/>
      <family val="2"/>
    </font>
    <font>
      <sz val="8"/>
      <name val="Arial Narrow"/>
      <family val="2"/>
    </font>
    <font>
      <b/>
      <sz val="9"/>
      <color theme="1"/>
      <name val="Arial"/>
      <family val="2"/>
    </font>
    <font>
      <sz val="10"/>
      <color theme="1"/>
      <name val="Calibri"/>
      <family val="2"/>
      <scheme val="minor"/>
    </font>
    <font>
      <i/>
      <sz val="10"/>
      <color theme="1"/>
      <name val="Calibri"/>
      <family val="2"/>
      <scheme val="minor"/>
    </font>
    <font>
      <i/>
      <sz val="9"/>
      <color theme="1"/>
      <name val="Arial"/>
      <family val="2"/>
    </font>
    <font>
      <sz val="9"/>
      <color theme="1"/>
      <name val="Arial"/>
      <family val="2"/>
    </font>
    <font>
      <i/>
      <sz val="8"/>
      <color theme="1"/>
      <name val="Arial"/>
      <family val="2"/>
    </font>
    <font>
      <i/>
      <sz val="8"/>
      <name val="Arial"/>
      <family val="2"/>
    </font>
    <font>
      <sz val="10"/>
      <name val="Arial"/>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7"/>
      <color theme="1"/>
      <name val="Times New Roman"/>
      <family val="1"/>
    </font>
    <font>
      <sz val="10"/>
      <name val="Arial"/>
      <family val="2"/>
    </font>
    <font>
      <b/>
      <i/>
      <sz val="11"/>
      <color theme="1"/>
      <name val="Times New Roman"/>
      <family val="1"/>
    </font>
    <font>
      <b/>
      <sz val="16"/>
      <color theme="1"/>
      <name val="Calibri"/>
      <family val="2"/>
      <scheme val="minor"/>
    </font>
    <font>
      <sz val="12"/>
      <color theme="1"/>
      <name val="Arial"/>
      <family val="2"/>
    </font>
    <font>
      <sz val="10"/>
      <color rgb="FF000000"/>
      <name val="Arial"/>
      <family val="2"/>
    </font>
    <font>
      <sz val="8"/>
      <color rgb="FF000000"/>
      <name val="Arial"/>
      <family val="2"/>
    </font>
    <font>
      <b/>
      <sz val="8"/>
      <color theme="1"/>
      <name val="Arial"/>
      <family val="2"/>
    </font>
    <font>
      <sz val="11"/>
      <name val="Calibri"/>
      <family val="2"/>
      <scheme val="minor"/>
    </font>
    <font>
      <sz val="7.5"/>
      <color theme="1"/>
      <name val="Arial"/>
      <family val="2"/>
    </font>
    <font>
      <sz val="7.5"/>
      <name val="Arial"/>
      <family val="2"/>
    </font>
    <font>
      <u/>
      <sz val="12"/>
      <color theme="10"/>
      <name val="Calibri"/>
      <family val="2"/>
    </font>
    <font>
      <sz val="10"/>
      <name val="Arial"/>
      <family val="2"/>
    </font>
    <font>
      <b/>
      <sz val="14"/>
      <color theme="1"/>
      <name val="Calibri"/>
      <family val="2"/>
      <scheme val="minor"/>
    </font>
    <font>
      <b/>
      <sz val="9"/>
      <name val="Arial"/>
      <family val="2"/>
    </font>
    <font>
      <b/>
      <sz val="9.5"/>
      <color theme="1"/>
      <name val="Times New Roman"/>
      <family val="1"/>
    </font>
    <font>
      <sz val="9.5"/>
      <color theme="1"/>
      <name val="Calibri"/>
      <family val="2"/>
      <scheme val="minor"/>
    </font>
    <font>
      <sz val="9.5"/>
      <color rgb="FF000000"/>
      <name val="Times New Roman"/>
      <family val="1"/>
    </font>
    <font>
      <u/>
      <sz val="11"/>
      <name val="Calibri"/>
      <family val="2"/>
    </font>
    <font>
      <b/>
      <sz val="9.5"/>
      <color rgb="FFFF0000"/>
      <name val="Times New Roman"/>
      <family val="1"/>
    </font>
    <font>
      <sz val="12"/>
      <color indexed="24"/>
      <name val="Arial"/>
      <family val="2"/>
    </font>
    <font>
      <b/>
      <sz val="8"/>
      <color indexed="24"/>
      <name val="Times New Roman"/>
      <family val="1"/>
    </font>
    <font>
      <sz val="8"/>
      <color indexed="24"/>
      <name val="Times New Roman"/>
      <family val="1"/>
    </font>
    <font>
      <b/>
      <sz val="11"/>
      <color theme="1"/>
      <name val="Arial"/>
      <family val="2"/>
    </font>
    <font>
      <b/>
      <sz val="11"/>
      <color indexed="8"/>
      <name val="Calibri"/>
      <family val="2"/>
      <scheme val="minor"/>
    </font>
    <font>
      <b/>
      <sz val="8"/>
      <color indexed="8"/>
      <name val="Arial"/>
      <family val="2"/>
    </font>
    <font>
      <b/>
      <sz val="9"/>
      <color indexed="8"/>
      <name val="Arial"/>
      <family val="2"/>
    </font>
    <font>
      <i/>
      <sz val="10"/>
      <name val="Times New Roman"/>
      <family val="1"/>
    </font>
    <font>
      <sz val="11"/>
      <color theme="1"/>
      <name val="Arial"/>
      <family val="2"/>
    </font>
    <font>
      <b/>
      <sz val="10"/>
      <color rgb="FFFF0000"/>
      <name val="Arial"/>
      <family val="2"/>
    </font>
    <font>
      <sz val="10"/>
      <name val="courier"/>
    </font>
    <font>
      <sz val="6"/>
      <name val="Arial"/>
      <family val="2"/>
    </font>
    <font>
      <sz val="6.5"/>
      <name val="Arial"/>
      <family val="2"/>
    </font>
    <font>
      <b/>
      <sz val="6.5"/>
      <name val="Arial"/>
      <family val="2"/>
    </font>
    <font>
      <b/>
      <sz val="6"/>
      <name val="Arial"/>
      <family val="2"/>
    </font>
    <font>
      <b/>
      <sz val="12"/>
      <color theme="1"/>
      <name val="Arial"/>
      <family val="2"/>
    </font>
    <font>
      <i/>
      <sz val="12"/>
      <color theme="1"/>
      <name val="Times New Roman"/>
      <family val="1"/>
    </font>
    <font>
      <sz val="8"/>
      <color theme="1"/>
      <name val="Courier New"/>
      <family val="3"/>
    </font>
    <font>
      <b/>
      <sz val="10"/>
      <color rgb="FF000000"/>
      <name val="Times New Roman"/>
      <family val="1"/>
    </font>
    <font>
      <b/>
      <sz val="10"/>
      <color rgb="FFFF0000"/>
      <name val="Times New Roman"/>
      <family val="1"/>
    </font>
    <font>
      <b/>
      <sz val="11"/>
      <color rgb="FFFF0000"/>
      <name val="Calibri"/>
      <family val="2"/>
      <scheme val="minor"/>
    </font>
    <font>
      <sz val="11"/>
      <color rgb="FF000000"/>
      <name val="Calibri"/>
      <family val="2"/>
      <scheme val="minor"/>
    </font>
    <font>
      <sz val="11"/>
      <color theme="1" tint="0.499984740745262"/>
      <name val="Calibri"/>
      <family val="2"/>
      <scheme val="minor"/>
    </font>
    <font>
      <sz val="10"/>
      <color rgb="FFFF0000"/>
      <name val="Arial"/>
      <family val="2"/>
    </font>
    <font>
      <sz val="11"/>
      <color rgb="FF000000"/>
      <name val="Times New Roman"/>
      <family val="1"/>
    </font>
    <font>
      <sz val="11"/>
      <color theme="0" tint="-0.34998626667073579"/>
      <name val="Calibri"/>
      <family val="2"/>
      <scheme val="minor"/>
    </font>
    <font>
      <sz val="12"/>
      <color rgb="FF1F497D"/>
      <name val="Calibri"/>
      <family val="2"/>
      <scheme val="minor"/>
    </font>
    <font>
      <sz val="11"/>
      <color rgb="FF000000"/>
      <name val="Calibri"/>
      <family val="2"/>
    </font>
    <font>
      <b/>
      <sz val="11"/>
      <color rgb="FF000000"/>
      <name val="Calibri"/>
      <family val="2"/>
    </font>
    <font>
      <b/>
      <sz val="11"/>
      <name val="Calibri"/>
      <family val="2"/>
      <scheme val="minor"/>
    </font>
    <font>
      <sz val="9"/>
      <name val="Calibri"/>
      <family val="2"/>
      <scheme val="minor"/>
    </font>
    <font>
      <i/>
      <sz val="11"/>
      <color theme="1"/>
      <name val="Times New Roman"/>
      <family val="1"/>
    </font>
    <font>
      <sz val="14"/>
      <color theme="1"/>
      <name val="Calibri"/>
      <family val="2"/>
      <scheme val="minor"/>
    </font>
    <font>
      <sz val="12"/>
      <color rgb="FFFF0000"/>
      <name val="Times New Roman"/>
      <family val="1"/>
    </font>
    <font>
      <b/>
      <sz val="9"/>
      <color theme="1"/>
      <name val="Calibri"/>
      <family val="2"/>
      <scheme val="minor"/>
    </font>
  </fonts>
  <fills count="44">
    <fill>
      <patternFill patternType="none"/>
    </fill>
    <fill>
      <patternFill patternType="gray125"/>
    </fill>
    <fill>
      <patternFill patternType="solid">
        <fgColor theme="5"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4" tint="0.79998168889431442"/>
        <bgColor indexed="64"/>
      </patternFill>
    </fill>
  </fills>
  <borders count="32">
    <border>
      <left/>
      <right/>
      <top/>
      <bottom/>
      <diagonal/>
    </border>
    <border>
      <left/>
      <right/>
      <top/>
      <bottom style="thin">
        <color indexed="64"/>
      </bottom>
      <diagonal/>
    </border>
    <border>
      <left/>
      <right/>
      <top style="thin">
        <color indexed="64"/>
      </top>
      <bottom style="thin">
        <color indexed="64"/>
      </bottom>
      <diagonal/>
    </border>
    <border>
      <left/>
      <right/>
      <top style="double">
        <color indexed="64"/>
      </top>
      <bottom style="thin">
        <color indexed="64"/>
      </bottom>
      <diagonal/>
    </border>
    <border>
      <left/>
      <right/>
      <top/>
      <bottom style="double">
        <color indexed="64"/>
      </bottom>
      <diagonal/>
    </border>
    <border>
      <left/>
      <right/>
      <top style="thin">
        <color indexed="64"/>
      </top>
      <bottom/>
      <diagonal/>
    </border>
    <border>
      <left style="thin">
        <color indexed="64"/>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double">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double">
        <color indexed="64"/>
      </bottom>
      <diagonal/>
    </border>
    <border>
      <left/>
      <right style="thin">
        <color indexed="64"/>
      </right>
      <top/>
      <bottom style="thin">
        <color indexed="64"/>
      </bottom>
      <diagonal/>
    </border>
  </borders>
  <cellStyleXfs count="66">
    <xf numFmtId="0" fontId="0" fillId="0" borderId="0"/>
    <xf numFmtId="9" fontId="1" fillId="0" borderId="0" applyFont="0" applyFill="0" applyBorder="0" applyAlignment="0" applyProtection="0"/>
    <xf numFmtId="0" fontId="3" fillId="0" borderId="0"/>
    <xf numFmtId="0" fontId="10" fillId="0" borderId="0" applyNumberFormat="0" applyFill="0" applyBorder="0" applyAlignment="0" applyProtection="0">
      <alignment vertical="top"/>
      <protection locked="0"/>
    </xf>
    <xf numFmtId="0" fontId="17" fillId="0" borderId="0"/>
    <xf numFmtId="0" fontId="18" fillId="0" borderId="6">
      <alignment horizontal="center"/>
    </xf>
    <xf numFmtId="0" fontId="3" fillId="0" borderId="0"/>
    <xf numFmtId="0" fontId="3" fillId="0" borderId="0"/>
    <xf numFmtId="0" fontId="71" fillId="0" borderId="0"/>
    <xf numFmtId="0" fontId="72" fillId="0" borderId="0" applyNumberFormat="0" applyFill="0" applyBorder="0" applyAlignment="0" applyProtection="0"/>
    <xf numFmtId="0" fontId="73" fillId="0" borderId="7" applyNumberFormat="0" applyFill="0" applyAlignment="0" applyProtection="0"/>
    <xf numFmtId="0" fontId="74" fillId="0" borderId="8" applyNumberFormat="0" applyFill="0" applyAlignment="0" applyProtection="0"/>
    <xf numFmtId="0" fontId="75" fillId="0" borderId="9" applyNumberFormat="0" applyFill="0" applyAlignment="0" applyProtection="0"/>
    <xf numFmtId="0" fontId="75" fillId="0" borderId="0" applyNumberFormat="0" applyFill="0" applyBorder="0" applyAlignment="0" applyProtection="0"/>
    <xf numFmtId="0" fontId="76" fillId="5" borderId="0" applyNumberFormat="0" applyBorder="0" applyAlignment="0" applyProtection="0"/>
    <xf numFmtId="0" fontId="77" fillId="6" borderId="0" applyNumberFormat="0" applyBorder="0" applyAlignment="0" applyProtection="0"/>
    <xf numFmtId="0" fontId="78" fillId="7" borderId="0" applyNumberFormat="0" applyBorder="0" applyAlignment="0" applyProtection="0"/>
    <xf numFmtId="0" fontId="79" fillId="8" borderId="10" applyNumberFormat="0" applyAlignment="0" applyProtection="0"/>
    <xf numFmtId="0" fontId="80" fillId="9" borderId="11" applyNumberFormat="0" applyAlignment="0" applyProtection="0"/>
    <xf numFmtId="0" fontId="81" fillId="9" borderId="10" applyNumberFormat="0" applyAlignment="0" applyProtection="0"/>
    <xf numFmtId="0" fontId="82" fillId="0" borderId="12" applyNumberFormat="0" applyFill="0" applyAlignment="0" applyProtection="0"/>
    <xf numFmtId="0" fontId="83" fillId="10" borderId="13" applyNumberFormat="0" applyAlignment="0" applyProtection="0"/>
    <xf numFmtId="0" fontId="84" fillId="0" borderId="0" applyNumberFormat="0" applyFill="0" applyBorder="0" applyAlignment="0" applyProtection="0"/>
    <xf numFmtId="0" fontId="1" fillId="11" borderId="14" applyNumberFormat="0" applyFont="0" applyAlignment="0" applyProtection="0"/>
    <xf numFmtId="0" fontId="85" fillId="0" borderId="0" applyNumberFormat="0" applyFill="0" applyBorder="0" applyAlignment="0" applyProtection="0"/>
    <xf numFmtId="0" fontId="2" fillId="0" borderId="15" applyNumberFormat="0" applyFill="0" applyAlignment="0" applyProtection="0"/>
    <xf numFmtId="0" fontId="86"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86" fillId="15" borderId="0" applyNumberFormat="0" applyBorder="0" applyAlignment="0" applyProtection="0"/>
    <xf numFmtId="0" fontId="86"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86" fillId="19" borderId="0" applyNumberFormat="0" applyBorder="0" applyAlignment="0" applyProtection="0"/>
    <xf numFmtId="0" fontId="86"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86" fillId="23" borderId="0" applyNumberFormat="0" applyBorder="0" applyAlignment="0" applyProtection="0"/>
    <xf numFmtId="0" fontId="86"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86" fillId="27" borderId="0" applyNumberFormat="0" applyBorder="0" applyAlignment="0" applyProtection="0"/>
    <xf numFmtId="0" fontId="86"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86" fillId="31" borderId="0" applyNumberFormat="0" applyBorder="0" applyAlignment="0" applyProtection="0"/>
    <xf numFmtId="0" fontId="86"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86" fillId="35" borderId="0" applyNumberFormat="0" applyBorder="0" applyAlignment="0" applyProtection="0"/>
    <xf numFmtId="0" fontId="3" fillId="0" borderId="0"/>
    <xf numFmtId="0" fontId="88" fillId="0" borderId="0"/>
    <xf numFmtId="0" fontId="91" fillId="0" borderId="0"/>
    <xf numFmtId="0" fontId="3" fillId="0" borderId="0"/>
    <xf numFmtId="0" fontId="99" fillId="0" borderId="0"/>
    <xf numFmtId="43" fontId="1" fillId="0" borderId="0" applyFont="0" applyFill="0" applyBorder="0" applyAlignment="0" applyProtection="0"/>
    <xf numFmtId="44" fontId="1" fillId="0" borderId="0" applyFont="0" applyFill="0" applyBorder="0" applyAlignment="0" applyProtection="0"/>
    <xf numFmtId="0" fontId="107" fillId="0" borderId="0"/>
    <xf numFmtId="0" fontId="107" fillId="0" borderId="0" applyFon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xf numFmtId="3" fontId="107" fillId="0" borderId="0" applyFont="0" applyFill="0" applyBorder="0" applyAlignment="0" applyProtection="0"/>
    <xf numFmtId="174" fontId="107" fillId="0" borderId="0" applyFont="0" applyFill="0" applyBorder="0" applyAlignment="0" applyProtection="0"/>
    <xf numFmtId="2" fontId="107" fillId="0" borderId="0" applyFont="0" applyFill="0" applyBorder="0" applyAlignment="0" applyProtection="0"/>
    <xf numFmtId="0" fontId="91" fillId="0" borderId="0"/>
    <xf numFmtId="0" fontId="117" fillId="0" borderId="0"/>
  </cellStyleXfs>
  <cellXfs count="1486">
    <xf numFmtId="0" fontId="0" fillId="0" borderId="0" xfId="0"/>
    <xf numFmtId="0" fontId="3" fillId="0" borderId="1" xfId="2" applyFont="1" applyBorder="1"/>
    <xf numFmtId="0" fontId="3" fillId="0" borderId="0" xfId="2" applyFont="1" applyAlignment="1">
      <alignment horizontal="center"/>
    </xf>
    <xf numFmtId="0" fontId="3" fillId="0" borderId="0" xfId="2" applyFont="1"/>
    <xf numFmtId="0" fontId="3" fillId="0" borderId="0" xfId="2" applyFont="1" applyBorder="1"/>
    <xf numFmtId="2" fontId="3" fillId="0" borderId="0" xfId="2" applyNumberFormat="1" applyFont="1" applyAlignment="1">
      <alignment horizontal="center"/>
    </xf>
    <xf numFmtId="0" fontId="8" fillId="0" borderId="0" xfId="2" applyFont="1"/>
    <xf numFmtId="0" fontId="9" fillId="0" borderId="0" xfId="2" applyFont="1"/>
    <xf numFmtId="3" fontId="0" fillId="0" borderId="0" xfId="0" applyNumberFormat="1"/>
    <xf numFmtId="0" fontId="10" fillId="0" borderId="0" xfId="3" applyAlignment="1" applyProtection="1"/>
    <xf numFmtId="0" fontId="0" fillId="0" borderId="4" xfId="0" applyBorder="1"/>
    <xf numFmtId="0" fontId="0" fillId="0" borderId="1" xfId="0" applyBorder="1"/>
    <xf numFmtId="0" fontId="0" fillId="0" borderId="0" xfId="0" applyBorder="1"/>
    <xf numFmtId="0" fontId="12" fillId="0" borderId="0" xfId="0" applyFont="1"/>
    <xf numFmtId="0" fontId="3" fillId="0" borderId="1" xfId="2" applyFont="1" applyFill="1" applyBorder="1" applyAlignment="1">
      <alignment horizontal="center"/>
    </xf>
    <xf numFmtId="0" fontId="0" fillId="0" borderId="0" xfId="0"/>
    <xf numFmtId="0" fontId="3" fillId="0" borderId="0" xfId="2" quotePrefix="1" applyFont="1" applyBorder="1" applyAlignment="1">
      <alignment horizontal="center"/>
    </xf>
    <xf numFmtId="2" fontId="3" fillId="0" borderId="0" xfId="2" applyNumberFormat="1" applyFont="1" applyFill="1" applyAlignment="1">
      <alignment horizontal="center"/>
    </xf>
    <xf numFmtId="0" fontId="3" fillId="0" borderId="0" xfId="2" applyFont="1" applyBorder="1" applyAlignment="1">
      <alignment horizontal="center"/>
    </xf>
    <xf numFmtId="0" fontId="0" fillId="0" borderId="0" xfId="0" applyBorder="1" applyAlignment="1">
      <alignment horizontal="center"/>
    </xf>
    <xf numFmtId="0" fontId="11" fillId="0" borderId="0" xfId="0" applyFont="1"/>
    <xf numFmtId="0" fontId="11" fillId="0" borderId="1" xfId="0" applyFont="1" applyBorder="1"/>
    <xf numFmtId="3" fontId="11" fillId="0" borderId="0" xfId="0" applyNumberFormat="1" applyFont="1"/>
    <xf numFmtId="0" fontId="3" fillId="0" borderId="0" xfId="2" applyFont="1" applyFill="1" applyBorder="1" applyAlignment="1">
      <alignment horizontal="center"/>
    </xf>
    <xf numFmtId="0" fontId="0" fillId="0" borderId="0" xfId="0" applyFill="1"/>
    <xf numFmtId="0" fontId="0" fillId="0" borderId="0" xfId="0" applyAlignment="1">
      <alignment wrapText="1"/>
    </xf>
    <xf numFmtId="0" fontId="3" fillId="0" borderId="1" xfId="2" applyFont="1" applyBorder="1" applyAlignment="1">
      <alignment horizontal="center"/>
    </xf>
    <xf numFmtId="0" fontId="3" fillId="0" borderId="1" xfId="2" quotePrefix="1" applyFont="1" applyBorder="1" applyAlignment="1">
      <alignment horizontal="center"/>
    </xf>
    <xf numFmtId="9" fontId="0" fillId="0" borderId="0" xfId="1" applyNumberFormat="1" applyFont="1" applyAlignment="1">
      <alignment horizontal="center"/>
    </xf>
    <xf numFmtId="165" fontId="0" fillId="0" borderId="0" xfId="0" applyNumberFormat="1"/>
    <xf numFmtId="169" fontId="3" fillId="0" borderId="0" xfId="2" applyNumberFormat="1" applyFont="1" applyAlignment="1">
      <alignment horizontal="center"/>
    </xf>
    <xf numFmtId="0" fontId="20" fillId="0" borderId="0" xfId="0" applyFont="1"/>
    <xf numFmtId="9" fontId="0" fillId="0" borderId="0" xfId="0" applyNumberFormat="1" applyAlignment="1">
      <alignment horizontal="center"/>
    </xf>
    <xf numFmtId="0" fontId="11" fillId="0" borderId="0" xfId="0" applyFont="1" applyFill="1"/>
    <xf numFmtId="3" fontId="0" fillId="0" borderId="0" xfId="0" applyNumberFormat="1" applyFill="1"/>
    <xf numFmtId="0" fontId="11" fillId="0" borderId="0" xfId="0" applyFont="1" applyBorder="1"/>
    <xf numFmtId="3" fontId="11" fillId="0" borderId="0" xfId="0" applyNumberFormat="1" applyFont="1" applyBorder="1"/>
    <xf numFmtId="164" fontId="3" fillId="0" borderId="0" xfId="2" applyNumberFormat="1" applyFont="1" applyFill="1" applyAlignment="1">
      <alignment horizontal="center"/>
    </xf>
    <xf numFmtId="0" fontId="3" fillId="0" borderId="0" xfId="2" applyFont="1" applyFill="1"/>
    <xf numFmtId="0" fontId="22" fillId="0" borderId="0" xfId="0" applyFont="1"/>
    <xf numFmtId="0" fontId="22" fillId="0" borderId="4" xfId="0" applyFont="1" applyBorder="1"/>
    <xf numFmtId="0" fontId="22" fillId="0" borderId="1" xfId="0" applyFont="1" applyBorder="1"/>
    <xf numFmtId="0" fontId="22" fillId="0" borderId="0" xfId="0" applyFont="1" applyBorder="1"/>
    <xf numFmtId="0" fontId="19" fillId="0" borderId="0" xfId="0" applyFont="1" applyFill="1"/>
    <xf numFmtId="3" fontId="19" fillId="0" borderId="0" xfId="0" applyNumberFormat="1" applyFont="1" applyFill="1" applyAlignment="1">
      <alignment horizontal="center"/>
    </xf>
    <xf numFmtId="3" fontId="6" fillId="0" borderId="0" xfId="2" applyNumberFormat="1" applyFont="1" applyFill="1" applyAlignment="1">
      <alignment horizontal="center"/>
    </xf>
    <xf numFmtId="0" fontId="6" fillId="0" borderId="0" xfId="2" applyFont="1" applyFill="1"/>
    <xf numFmtId="3" fontId="13" fillId="0" borderId="0" xfId="0" applyNumberFormat="1" applyFont="1" applyFill="1" applyAlignment="1">
      <alignment horizontal="center"/>
    </xf>
    <xf numFmtId="0" fontId="6" fillId="0" borderId="0" xfId="2" applyFont="1" applyFill="1" applyAlignment="1">
      <alignment horizontal="center"/>
    </xf>
    <xf numFmtId="0" fontId="6" fillId="0" borderId="0" xfId="2" applyFont="1" applyFill="1" applyBorder="1" applyAlignment="1">
      <alignment horizontal="center"/>
    </xf>
    <xf numFmtId="0" fontId="0" fillId="0" borderId="0" xfId="0"/>
    <xf numFmtId="0" fontId="5" fillId="0" borderId="0" xfId="0" applyFont="1" applyFill="1" applyAlignment="1">
      <alignment vertical="center"/>
    </xf>
    <xf numFmtId="0" fontId="5" fillId="0" borderId="1" xfId="0" applyFont="1" applyFill="1" applyBorder="1" applyAlignment="1">
      <alignment vertical="center"/>
    </xf>
    <xf numFmtId="0" fontId="6" fillId="0" borderId="1" xfId="2" applyFont="1" applyFill="1" applyBorder="1" applyAlignment="1">
      <alignment horizontal="center"/>
    </xf>
    <xf numFmtId="0" fontId="3" fillId="0" borderId="0" xfId="2" quotePrefix="1" applyFont="1" applyFill="1" applyBorder="1" applyAlignment="1">
      <alignment horizontal="center"/>
    </xf>
    <xf numFmtId="2" fontId="3" fillId="0" borderId="1" xfId="2" applyNumberFormat="1" applyFont="1" applyFill="1" applyBorder="1" applyAlignment="1">
      <alignment horizontal="center"/>
    </xf>
    <xf numFmtId="2" fontId="3" fillId="0" borderId="0" xfId="2" applyNumberFormat="1" applyFont="1" applyFill="1" applyBorder="1" applyAlignment="1">
      <alignment horizontal="center"/>
    </xf>
    <xf numFmtId="0" fontId="12" fillId="0" borderId="0" xfId="0" applyFont="1" applyBorder="1"/>
    <xf numFmtId="0" fontId="23" fillId="0" borderId="0" xfId="0" applyFont="1" applyBorder="1" applyAlignment="1">
      <alignment horizontal="center"/>
    </xf>
    <xf numFmtId="165" fontId="13" fillId="0" borderId="0" xfId="0" applyNumberFormat="1" applyFont="1" applyFill="1" applyAlignment="1">
      <alignment horizontal="center"/>
    </xf>
    <xf numFmtId="165" fontId="13" fillId="0" borderId="0" xfId="0" applyNumberFormat="1" applyFont="1" applyFill="1" applyBorder="1" applyAlignment="1">
      <alignment horizontal="center"/>
    </xf>
    <xf numFmtId="0" fontId="0" fillId="0" borderId="0" xfId="0" applyFill="1" applyBorder="1"/>
    <xf numFmtId="0" fontId="15" fillId="0" borderId="4" xfId="0" applyFont="1" applyBorder="1"/>
    <xf numFmtId="0" fontId="0" fillId="0" borderId="4" xfId="0" applyFont="1" applyBorder="1"/>
    <xf numFmtId="0" fontId="21" fillId="0" borderId="4" xfId="0" applyFont="1" applyBorder="1" applyAlignment="1">
      <alignment horizontal="center"/>
    </xf>
    <xf numFmtId="0" fontId="21" fillId="0" borderId="4" xfId="0" applyFont="1" applyBorder="1" applyAlignment="1"/>
    <xf numFmtId="0" fontId="28" fillId="0" borderId="3" xfId="0" applyFont="1" applyFill="1" applyBorder="1" applyAlignment="1">
      <alignment horizontal="center"/>
    </xf>
    <xf numFmtId="0" fontId="20" fillId="0" borderId="0" xfId="0" applyFont="1" applyAlignment="1">
      <alignment horizontal="center"/>
    </xf>
    <xf numFmtId="0" fontId="20" fillId="0" borderId="0" xfId="0" applyFont="1" applyBorder="1" applyAlignment="1">
      <alignment horizontal="center"/>
    </xf>
    <xf numFmtId="0" fontId="0" fillId="0" borderId="0" xfId="0"/>
    <xf numFmtId="0" fontId="0" fillId="0" borderId="0" xfId="0"/>
    <xf numFmtId="0" fontId="0" fillId="0" borderId="0" xfId="0" applyNumberFormat="1"/>
    <xf numFmtId="9" fontId="0" fillId="0" borderId="0" xfId="1" applyFont="1"/>
    <xf numFmtId="166" fontId="0" fillId="0" borderId="0" xfId="1" applyNumberFormat="1" applyFont="1"/>
    <xf numFmtId="166" fontId="0" fillId="0" borderId="0" xfId="0" applyNumberFormat="1"/>
    <xf numFmtId="0" fontId="2" fillId="0" borderId="0" xfId="0" applyFont="1"/>
    <xf numFmtId="0" fontId="0" fillId="0" borderId="0" xfId="0" applyNumberFormat="1"/>
    <xf numFmtId="0" fontId="13" fillId="0" borderId="0" xfId="0" applyFont="1" applyFill="1"/>
    <xf numFmtId="0" fontId="0" fillId="0" borderId="0" xfId="0"/>
    <xf numFmtId="0" fontId="26" fillId="0" borderId="0" xfId="0" applyFont="1" applyAlignment="1"/>
    <xf numFmtId="164" fontId="0" fillId="0" borderId="0" xfId="0" applyNumberFormat="1" applyAlignment="1">
      <alignment horizontal="center"/>
    </xf>
    <xf numFmtId="167" fontId="0" fillId="0" borderId="0" xfId="0" applyNumberFormat="1"/>
    <xf numFmtId="0" fontId="0" fillId="0" borderId="0" xfId="0"/>
    <xf numFmtId="165" fontId="0" fillId="0" borderId="0" xfId="0" applyNumberFormat="1" applyBorder="1"/>
    <xf numFmtId="0" fontId="31" fillId="0" borderId="0" xfId="2" applyFont="1" applyAlignment="1">
      <alignment horizontal="center"/>
    </xf>
    <xf numFmtId="0" fontId="32" fillId="0" borderId="0" xfId="2" applyFont="1" applyAlignment="1">
      <alignment horizontal="center"/>
    </xf>
    <xf numFmtId="0" fontId="31" fillId="0" borderId="1" xfId="2" applyFont="1" applyBorder="1"/>
    <xf numFmtId="0" fontId="12" fillId="0" borderId="0" xfId="0" applyFont="1" applyAlignment="1">
      <alignment horizontal="center"/>
    </xf>
    <xf numFmtId="3" fontId="12" fillId="0" borderId="0" xfId="0" applyNumberFormat="1" applyFont="1" applyAlignment="1">
      <alignment horizontal="center"/>
    </xf>
    <xf numFmtId="9" fontId="12" fillId="0" borderId="0" xfId="0" applyNumberFormat="1" applyFont="1" applyAlignment="1">
      <alignment horizontal="center"/>
    </xf>
    <xf numFmtId="3" fontId="12" fillId="0" borderId="0" xfId="0" quotePrefix="1" applyNumberFormat="1" applyFont="1" applyAlignment="1">
      <alignment horizontal="center"/>
    </xf>
    <xf numFmtId="0" fontId="12" fillId="0" borderId="1" xfId="0" applyFont="1" applyBorder="1" applyAlignment="1">
      <alignment horizontal="center"/>
    </xf>
    <xf numFmtId="3" fontId="12" fillId="0" borderId="1" xfId="0" applyNumberFormat="1" applyFont="1" applyBorder="1" applyAlignment="1">
      <alignment horizontal="center"/>
    </xf>
    <xf numFmtId="9" fontId="12" fillId="0" borderId="1" xfId="0" applyNumberFormat="1" applyFont="1" applyBorder="1" applyAlignment="1">
      <alignment horizontal="center"/>
    </xf>
    <xf numFmtId="0" fontId="32" fillId="0" borderId="1" xfId="2" applyFont="1" applyBorder="1" applyAlignment="1">
      <alignment horizontal="center"/>
    </xf>
    <xf numFmtId="0" fontId="4" fillId="0" borderId="4" xfId="2" applyFont="1" applyBorder="1" applyAlignment="1">
      <alignment vertical="center"/>
    </xf>
    <xf numFmtId="0" fontId="0" fillId="0" borderId="0" xfId="0"/>
    <xf numFmtId="0" fontId="0" fillId="0" borderId="0" xfId="0"/>
    <xf numFmtId="0" fontId="27" fillId="0" borderId="0" xfId="0" applyFont="1" applyBorder="1" applyAlignment="1">
      <alignment horizontal="left"/>
    </xf>
    <xf numFmtId="1" fontId="20" fillId="0" borderId="0" xfId="1" applyNumberFormat="1" applyFont="1" applyBorder="1" applyAlignment="1"/>
    <xf numFmtId="0" fontId="3" fillId="0" borderId="0" xfId="2" applyFont="1" applyAlignment="1">
      <alignment horizontal="center"/>
    </xf>
    <xf numFmtId="0" fontId="0" fillId="0" borderId="0" xfId="0"/>
    <xf numFmtId="0" fontId="36" fillId="0" borderId="0" xfId="0" applyFont="1"/>
    <xf numFmtId="0" fontId="37" fillId="0" borderId="0" xfId="0" applyFont="1"/>
    <xf numFmtId="0" fontId="38" fillId="0" borderId="3" xfId="0" applyFont="1" applyBorder="1"/>
    <xf numFmtId="0" fontId="39" fillId="0" borderId="0" xfId="0" applyFont="1"/>
    <xf numFmtId="3" fontId="38" fillId="0" borderId="0" xfId="0" applyNumberFormat="1" applyFont="1"/>
    <xf numFmtId="3" fontId="31" fillId="0" borderId="0" xfId="0" applyNumberFormat="1" applyFont="1"/>
    <xf numFmtId="0" fontId="38" fillId="0" borderId="0" xfId="0" applyFont="1"/>
    <xf numFmtId="3" fontId="22" fillId="0" borderId="0" xfId="0" applyNumberFormat="1" applyFont="1"/>
    <xf numFmtId="0" fontId="42" fillId="0" borderId="0" xfId="0" applyFont="1"/>
    <xf numFmtId="0" fontId="31" fillId="0" borderId="0" xfId="0" applyFont="1"/>
    <xf numFmtId="9" fontId="22" fillId="0" borderId="0" xfId="1" applyFont="1"/>
    <xf numFmtId="9" fontId="41" fillId="0" borderId="0" xfId="1" applyFont="1"/>
    <xf numFmtId="167" fontId="22" fillId="0" borderId="0" xfId="0" applyNumberFormat="1" applyFont="1"/>
    <xf numFmtId="167" fontId="41" fillId="0" borderId="0" xfId="0" applyNumberFormat="1" applyFont="1"/>
    <xf numFmtId="0" fontId="38" fillId="0" borderId="1" xfId="0" applyFont="1" applyBorder="1"/>
    <xf numFmtId="0" fontId="40" fillId="0" borderId="0" xfId="0" applyFont="1" applyBorder="1"/>
    <xf numFmtId="9" fontId="23" fillId="0" borderId="0" xfId="1" applyFont="1" applyBorder="1"/>
    <xf numFmtId="0" fontId="12" fillId="0" borderId="3" xfId="0" applyFont="1" applyBorder="1"/>
    <xf numFmtId="0" fontId="24" fillId="0" borderId="0" xfId="0" applyFont="1"/>
    <xf numFmtId="0" fontId="0" fillId="0" borderId="0" xfId="0"/>
    <xf numFmtId="0" fontId="15" fillId="0" borderId="0" xfId="0" applyFont="1"/>
    <xf numFmtId="0" fontId="3" fillId="0" borderId="1" xfId="2" applyFont="1" applyFill="1" applyBorder="1" applyAlignment="1"/>
    <xf numFmtId="0" fontId="15" fillId="0" borderId="0" xfId="0" applyFont="1" applyBorder="1"/>
    <xf numFmtId="0" fontId="0" fillId="0" borderId="1" xfId="0" applyFill="1" applyBorder="1"/>
    <xf numFmtId="164" fontId="31" fillId="0" borderId="0" xfId="0" quotePrefix="1" applyNumberFormat="1" applyFont="1" applyAlignment="1">
      <alignment horizontal="center"/>
    </xf>
    <xf numFmtId="164" fontId="31" fillId="0" borderId="1" xfId="0" quotePrefix="1" applyNumberFormat="1" applyFont="1" applyBorder="1" applyAlignment="1">
      <alignment horizontal="center"/>
    </xf>
    <xf numFmtId="164" fontId="31" fillId="0" borderId="0" xfId="0" applyNumberFormat="1" applyFont="1" applyAlignment="1">
      <alignment horizontal="center"/>
    </xf>
    <xf numFmtId="164" fontId="38" fillId="0" borderId="1" xfId="0" applyNumberFormat="1" applyFont="1" applyBorder="1" applyAlignment="1">
      <alignment horizontal="center"/>
    </xf>
    <xf numFmtId="0" fontId="38" fillId="0" borderId="3" xfId="0" applyFont="1" applyBorder="1" applyAlignment="1">
      <alignment horizontal="center"/>
    </xf>
    <xf numFmtId="0" fontId="29" fillId="0" borderId="0" xfId="0" applyFont="1"/>
    <xf numFmtId="3" fontId="44" fillId="0" borderId="0" xfId="0" applyNumberFormat="1" applyFont="1"/>
    <xf numFmtId="167" fontId="31" fillId="0" borderId="0" xfId="0" applyNumberFormat="1" applyFont="1" applyAlignment="1">
      <alignment horizontal="center"/>
    </xf>
    <xf numFmtId="0" fontId="38" fillId="0" borderId="0" xfId="0" applyFont="1" applyBorder="1"/>
    <xf numFmtId="9" fontId="24" fillId="0" borderId="0" xfId="1" applyFont="1" applyBorder="1"/>
    <xf numFmtId="9" fontId="45" fillId="0" borderId="0" xfId="1" applyFont="1"/>
    <xf numFmtId="0" fontId="26" fillId="0" borderId="0" xfId="0" applyFont="1"/>
    <xf numFmtId="164" fontId="32" fillId="0" borderId="0" xfId="0" quotePrefix="1" applyNumberFormat="1" applyFont="1" applyAlignment="1">
      <alignment horizontal="right"/>
    </xf>
    <xf numFmtId="164" fontId="32" fillId="0" borderId="0" xfId="0" applyNumberFormat="1" applyFont="1" applyAlignment="1">
      <alignment horizontal="right"/>
    </xf>
    <xf numFmtId="164" fontId="26" fillId="0" borderId="0" xfId="0" applyNumberFormat="1" applyFont="1" applyAlignment="1">
      <alignment horizontal="right"/>
    </xf>
    <xf numFmtId="0" fontId="26" fillId="0" borderId="3" xfId="0" applyFont="1" applyBorder="1"/>
    <xf numFmtId="0" fontId="46" fillId="0" borderId="3" xfId="0" applyFont="1" applyBorder="1" applyAlignment="1">
      <alignment horizontal="right"/>
    </xf>
    <xf numFmtId="167" fontId="32" fillId="0" borderId="0" xfId="0" applyNumberFormat="1" applyFont="1" applyAlignment="1">
      <alignment horizontal="right"/>
    </xf>
    <xf numFmtId="0" fontId="28" fillId="0" borderId="0" xfId="0" applyFont="1"/>
    <xf numFmtId="167" fontId="46" fillId="0" borderId="0" xfId="0" applyNumberFormat="1" applyFont="1" applyAlignment="1">
      <alignment horizontal="right"/>
    </xf>
    <xf numFmtId="0" fontId="28" fillId="0" borderId="0" xfId="0" applyFont="1" applyAlignment="1"/>
    <xf numFmtId="164" fontId="26" fillId="0" borderId="0" xfId="0" applyNumberFormat="1" applyFont="1"/>
    <xf numFmtId="0" fontId="26" fillId="0" borderId="1" xfId="0" applyFont="1" applyBorder="1"/>
    <xf numFmtId="164" fontId="32" fillId="0" borderId="1" xfId="0" quotePrefix="1" applyNumberFormat="1" applyFont="1" applyBorder="1" applyAlignment="1">
      <alignment horizontal="right"/>
    </xf>
    <xf numFmtId="164" fontId="32" fillId="0" borderId="1" xfId="0" applyNumberFormat="1" applyFont="1" applyBorder="1" applyAlignment="1">
      <alignment horizontal="right"/>
    </xf>
    <xf numFmtId="0" fontId="48" fillId="0" borderId="0" xfId="0" applyFont="1"/>
    <xf numFmtId="3" fontId="48" fillId="0" borderId="0" xfId="0" applyNumberFormat="1" applyFont="1"/>
    <xf numFmtId="0" fontId="3" fillId="0" borderId="0" xfId="6" applyFont="1"/>
    <xf numFmtId="166" fontId="3" fillId="0" borderId="0" xfId="6" applyNumberFormat="1" applyFont="1"/>
    <xf numFmtId="0" fontId="4" fillId="0" borderId="0" xfId="6" applyFont="1"/>
    <xf numFmtId="10" fontId="4" fillId="0" borderId="0" xfId="6" applyNumberFormat="1" applyFont="1"/>
    <xf numFmtId="10" fontId="3" fillId="0" borderId="0" xfId="6" applyNumberFormat="1" applyFont="1"/>
    <xf numFmtId="10" fontId="48" fillId="0" borderId="0" xfId="0" applyNumberFormat="1" applyFont="1"/>
    <xf numFmtId="0" fontId="49" fillId="0" borderId="0" xfId="0" applyFont="1"/>
    <xf numFmtId="0" fontId="50" fillId="0" borderId="0" xfId="0" applyFont="1"/>
    <xf numFmtId="166" fontId="48" fillId="0" borderId="0" xfId="0" applyNumberFormat="1" applyFont="1"/>
    <xf numFmtId="166" fontId="49" fillId="0" borderId="0" xfId="0" applyNumberFormat="1" applyFont="1"/>
    <xf numFmtId="164" fontId="46" fillId="0" borderId="0" xfId="0" quotePrefix="1" applyNumberFormat="1" applyFont="1" applyAlignment="1">
      <alignment horizontal="right"/>
    </xf>
    <xf numFmtId="164" fontId="28" fillId="0" borderId="0" xfId="0" applyNumberFormat="1" applyFont="1" applyAlignment="1">
      <alignment horizontal="right"/>
    </xf>
    <xf numFmtId="0" fontId="0" fillId="0" borderId="0" xfId="0"/>
    <xf numFmtId="164" fontId="12" fillId="0" borderId="0" xfId="0" applyNumberFormat="1" applyFont="1"/>
    <xf numFmtId="0" fontId="0" fillId="0" borderId="1" xfId="0" applyFill="1" applyBorder="1" applyAlignment="1">
      <alignment horizontal="center"/>
    </xf>
    <xf numFmtId="0" fontId="0" fillId="0" borderId="0" xfId="0"/>
    <xf numFmtId="0" fontId="3" fillId="0" borderId="0" xfId="0" applyFont="1"/>
    <xf numFmtId="0" fontId="0" fillId="0" borderId="0" xfId="0" applyAlignment="1">
      <alignment horizontal="center"/>
    </xf>
    <xf numFmtId="0" fontId="3" fillId="0" borderId="1" xfId="2" applyFont="1" applyBorder="1" applyAlignment="1">
      <alignment horizontal="center"/>
    </xf>
    <xf numFmtId="0" fontId="0" fillId="0" borderId="0" xfId="0"/>
    <xf numFmtId="0" fontId="15" fillId="0" borderId="0" xfId="0" applyFont="1"/>
    <xf numFmtId="0" fontId="12" fillId="0" borderId="1" xfId="0" applyFont="1" applyBorder="1"/>
    <xf numFmtId="3" fontId="24" fillId="0" borderId="1" xfId="0" applyNumberFormat="1" applyFont="1" applyBorder="1"/>
    <xf numFmtId="164" fontId="51" fillId="0" borderId="0" xfId="0" quotePrefix="1" applyNumberFormat="1" applyFont="1" applyAlignment="1">
      <alignment horizontal="right"/>
    </xf>
    <xf numFmtId="164" fontId="51" fillId="0" borderId="0" xfId="0" applyNumberFormat="1" applyFont="1" applyAlignment="1">
      <alignment horizontal="right"/>
    </xf>
    <xf numFmtId="0" fontId="4" fillId="0" borderId="0" xfId="2" applyFont="1" applyFill="1" applyAlignment="1">
      <alignment vertical="center"/>
    </xf>
    <xf numFmtId="0" fontId="3" fillId="0" borderId="0" xfId="2" applyFont="1" applyFill="1" applyBorder="1" applyAlignment="1"/>
    <xf numFmtId="0" fontId="4" fillId="0" borderId="1" xfId="2" applyFont="1" applyFill="1" applyBorder="1" applyAlignment="1">
      <alignment vertical="center"/>
    </xf>
    <xf numFmtId="0" fontId="4" fillId="0" borderId="0" xfId="2" applyFont="1" applyFill="1" applyBorder="1" applyAlignment="1">
      <alignment vertical="center"/>
    </xf>
    <xf numFmtId="0" fontId="7" fillId="0" borderId="0" xfId="2" applyFont="1" applyFill="1" applyBorder="1" applyAlignment="1"/>
    <xf numFmtId="0" fontId="14" fillId="0" borderId="0" xfId="0" applyFont="1" applyFill="1" applyBorder="1" applyAlignment="1"/>
    <xf numFmtId="0" fontId="6" fillId="0" borderId="1" xfId="2" applyFont="1" applyFill="1" applyBorder="1"/>
    <xf numFmtId="0" fontId="3" fillId="0" borderId="0" xfId="2" applyFont="1" applyFill="1" applyBorder="1"/>
    <xf numFmtId="9" fontId="13" fillId="0" borderId="0" xfId="1" applyFont="1" applyFill="1" applyAlignment="1">
      <alignment horizontal="center"/>
    </xf>
    <xf numFmtId="169" fontId="19" fillId="0" borderId="0" xfId="0" applyNumberFormat="1" applyFont="1" applyFill="1"/>
    <xf numFmtId="171" fontId="13" fillId="0" borderId="0" xfId="0" applyNumberFormat="1" applyFont="1" applyFill="1" applyAlignment="1">
      <alignment horizontal="center"/>
    </xf>
    <xf numFmtId="168" fontId="13" fillId="0" borderId="0" xfId="0" applyNumberFormat="1" applyFont="1" applyFill="1" applyAlignment="1">
      <alignment horizontal="center"/>
    </xf>
    <xf numFmtId="170" fontId="13" fillId="0" borderId="0" xfId="0" applyNumberFormat="1" applyFont="1" applyFill="1" applyAlignment="1">
      <alignment horizontal="center"/>
    </xf>
    <xf numFmtId="3" fontId="0" fillId="0" borderId="1" xfId="0" applyNumberFormat="1" applyFill="1" applyBorder="1"/>
    <xf numFmtId="0" fontId="8" fillId="0" borderId="0" xfId="2" applyFont="1" applyFill="1"/>
    <xf numFmtId="0" fontId="6" fillId="0" borderId="0" xfId="2" applyFont="1" applyFill="1" applyBorder="1" applyAlignment="1"/>
    <xf numFmtId="0" fontId="6" fillId="0" borderId="0" xfId="2" applyFont="1" applyFill="1" applyBorder="1"/>
    <xf numFmtId="9" fontId="13" fillId="0" borderId="0" xfId="1" applyFont="1" applyFill="1" applyBorder="1" applyAlignment="1">
      <alignment horizontal="center"/>
    </xf>
    <xf numFmtId="169" fontId="13" fillId="0" borderId="0" xfId="0" applyNumberFormat="1" applyFont="1" applyFill="1" applyBorder="1"/>
    <xf numFmtId="0" fontId="13" fillId="0" borderId="0" xfId="0" applyFont="1" applyFill="1" applyBorder="1"/>
    <xf numFmtId="165" fontId="6" fillId="0" borderId="0" xfId="2" applyNumberFormat="1" applyFont="1" applyFill="1" applyBorder="1" applyAlignment="1">
      <alignment horizontal="center"/>
    </xf>
    <xf numFmtId="169" fontId="13" fillId="0" borderId="0" xfId="0" applyNumberFormat="1" applyFont="1" applyFill="1" applyBorder="1" applyAlignment="1">
      <alignment horizontal="center"/>
    </xf>
    <xf numFmtId="169" fontId="30" fillId="0" borderId="0" xfId="0" applyNumberFormat="1" applyFont="1" applyFill="1" applyBorder="1" applyAlignment="1">
      <alignment horizontal="center"/>
    </xf>
    <xf numFmtId="0" fontId="19" fillId="0" borderId="0" xfId="0" applyFont="1" applyFill="1" applyBorder="1"/>
    <xf numFmtId="0" fontId="52" fillId="0" borderId="0" xfId="0" applyFont="1" applyAlignment="1">
      <alignment horizontal="left"/>
    </xf>
    <xf numFmtId="0" fontId="53" fillId="0" borderId="0" xfId="0" applyFont="1"/>
    <xf numFmtId="0" fontId="52" fillId="0" borderId="0" xfId="0" applyFont="1"/>
    <xf numFmtId="0" fontId="52" fillId="0" borderId="0" xfId="0" applyFont="1" applyBorder="1"/>
    <xf numFmtId="0" fontId="55" fillId="0" borderId="0" xfId="0" applyFont="1"/>
    <xf numFmtId="0" fontId="56" fillId="0" borderId="0" xfId="0" applyNumberFormat="1" applyFont="1"/>
    <xf numFmtId="0" fontId="58" fillId="0" borderId="0" xfId="0" applyFont="1" applyAlignment="1">
      <alignment horizontal="center" wrapText="1"/>
    </xf>
    <xf numFmtId="0" fontId="58" fillId="0" borderId="0" xfId="0" applyFont="1" applyAlignment="1">
      <alignment horizontal="center"/>
    </xf>
    <xf numFmtId="0" fontId="43" fillId="0" borderId="0" xfId="0" applyFont="1" applyAlignment="1">
      <alignment horizontal="left"/>
    </xf>
    <xf numFmtId="0" fontId="43" fillId="0" borderId="0" xfId="0" applyFont="1" applyAlignment="1"/>
    <xf numFmtId="0" fontId="8" fillId="0" borderId="1" xfId="2" applyFont="1" applyBorder="1"/>
    <xf numFmtId="166" fontId="48" fillId="0" borderId="0" xfId="0" applyNumberFormat="1" applyFont="1" applyFill="1"/>
    <xf numFmtId="0" fontId="48" fillId="0" borderId="0" xfId="0" applyFont="1" applyBorder="1"/>
    <xf numFmtId="3" fontId="48" fillId="0" borderId="0" xfId="0" applyNumberFormat="1" applyFont="1" applyBorder="1"/>
    <xf numFmtId="0" fontId="48" fillId="0" borderId="1" xfId="0" applyFont="1" applyBorder="1"/>
    <xf numFmtId="10" fontId="48" fillId="0" borderId="1" xfId="0" applyNumberFormat="1" applyFont="1" applyBorder="1"/>
    <xf numFmtId="0" fontId="48" fillId="0" borderId="0" xfId="0" applyFont="1" applyFill="1"/>
    <xf numFmtId="0" fontId="3" fillId="0" borderId="0" xfId="2" applyFont="1" applyAlignment="1"/>
    <xf numFmtId="0" fontId="4" fillId="0" borderId="0" xfId="2" applyFont="1" applyAlignment="1">
      <alignment wrapText="1"/>
    </xf>
    <xf numFmtId="0" fontId="3" fillId="0" borderId="1" xfId="2" applyFont="1" applyBorder="1" applyAlignment="1">
      <alignment horizontal="center" wrapText="1"/>
    </xf>
    <xf numFmtId="0" fontId="3" fillId="0" borderId="0" xfId="2" applyFont="1" applyAlignment="1">
      <alignment horizontal="center" wrapText="1"/>
    </xf>
    <xf numFmtId="0" fontId="5" fillId="0" borderId="0" xfId="0" applyFont="1" applyAlignment="1">
      <alignment wrapText="1"/>
    </xf>
    <xf numFmtId="3" fontId="3" fillId="0" borderId="0" xfId="2" applyNumberFormat="1" applyFont="1" applyAlignment="1">
      <alignment horizontal="center"/>
    </xf>
    <xf numFmtId="9" fontId="3" fillId="0" borderId="0" xfId="1" applyFont="1" applyAlignment="1">
      <alignment horizontal="center"/>
    </xf>
    <xf numFmtId="3" fontId="3" fillId="0" borderId="0" xfId="2" applyNumberFormat="1" applyFont="1" applyFill="1" applyAlignment="1">
      <alignment horizontal="center"/>
    </xf>
    <xf numFmtId="2" fontId="3" fillId="0" borderId="0" xfId="2" applyNumberFormat="1" applyFont="1" applyBorder="1" applyAlignment="1">
      <alignment horizontal="center"/>
    </xf>
    <xf numFmtId="3" fontId="3" fillId="0" borderId="0" xfId="2" applyNumberFormat="1" applyFont="1" applyFill="1" applyBorder="1" applyAlignment="1">
      <alignment horizontal="center"/>
    </xf>
    <xf numFmtId="3" fontId="3" fillId="0" borderId="0" xfId="2" applyNumberFormat="1" applyFont="1" applyBorder="1" applyAlignment="1">
      <alignment horizontal="center"/>
    </xf>
    <xf numFmtId="9" fontId="3" fillId="0" borderId="0" xfId="1" applyFont="1" applyBorder="1" applyAlignment="1">
      <alignment horizontal="center"/>
    </xf>
    <xf numFmtId="3" fontId="3" fillId="0" borderId="1" xfId="2" applyNumberFormat="1" applyFont="1" applyBorder="1" applyAlignment="1">
      <alignment horizontal="center"/>
    </xf>
    <xf numFmtId="0" fontId="3" fillId="0" borderId="1" xfId="2" applyFont="1" applyFill="1" applyBorder="1"/>
    <xf numFmtId="2" fontId="3" fillId="0" borderId="1" xfId="2" applyNumberFormat="1" applyFont="1" applyBorder="1" applyAlignment="1">
      <alignment horizontal="center"/>
    </xf>
    <xf numFmtId="3" fontId="3" fillId="0" borderId="0" xfId="2" applyNumberFormat="1" applyFont="1" applyAlignment="1"/>
    <xf numFmtId="0" fontId="6" fillId="0" borderId="0" xfId="2" applyFont="1"/>
    <xf numFmtId="9" fontId="3" fillId="0" borderId="0" xfId="1" applyFont="1" applyFill="1" applyAlignment="1">
      <alignment horizontal="center"/>
    </xf>
    <xf numFmtId="0" fontId="61" fillId="0" borderId="0" xfId="7" applyFont="1" applyAlignment="1"/>
    <xf numFmtId="0" fontId="14" fillId="0" borderId="0" xfId="0" applyFont="1" applyAlignment="1"/>
    <xf numFmtId="0" fontId="9" fillId="0" borderId="0" xfId="2" applyFont="1" applyFill="1" applyAlignment="1">
      <alignment horizontal="center"/>
    </xf>
    <xf numFmtId="0" fontId="47" fillId="0" borderId="0" xfId="0" applyFont="1" applyAlignment="1"/>
    <xf numFmtId="0" fontId="0" fillId="0" borderId="0" xfId="0" applyFont="1"/>
    <xf numFmtId="0" fontId="62" fillId="0" borderId="1" xfId="7" applyFont="1" applyBorder="1" applyAlignment="1">
      <alignment horizontal="center"/>
    </xf>
    <xf numFmtId="0" fontId="9" fillId="0" borderId="1" xfId="7" applyFont="1" applyBorder="1" applyAlignment="1">
      <alignment horizontal="center"/>
    </xf>
    <xf numFmtId="0" fontId="9" fillId="0" borderId="1" xfId="7" applyFont="1" applyBorder="1" applyAlignment="1">
      <alignment horizontal="left"/>
    </xf>
    <xf numFmtId="0" fontId="63" fillId="0" borderId="1" xfId="7" applyFont="1" applyBorder="1"/>
    <xf numFmtId="0" fontId="9" fillId="0" borderId="1" xfId="2" applyFont="1" applyFill="1" applyBorder="1" applyAlignment="1">
      <alignment horizontal="center"/>
    </xf>
    <xf numFmtId="0" fontId="9" fillId="0" borderId="0" xfId="7" applyFont="1" applyFill="1" applyAlignment="1">
      <alignment horizontal="center"/>
    </xf>
    <xf numFmtId="1" fontId="0" fillId="0" borderId="0" xfId="0" applyNumberFormat="1" applyFill="1"/>
    <xf numFmtId="9" fontId="0" fillId="0" borderId="0" xfId="1" applyFont="1" applyFill="1"/>
    <xf numFmtId="0" fontId="0" fillId="0" borderId="0" xfId="0" applyNumberFormat="1" applyAlignment="1">
      <alignment horizontal="center"/>
    </xf>
    <xf numFmtId="0" fontId="2" fillId="0" borderId="2" xfId="0" applyFont="1" applyBorder="1" applyAlignment="1">
      <alignment horizontal="center"/>
    </xf>
    <xf numFmtId="0" fontId="65" fillId="0" borderId="0" xfId="0" applyFont="1"/>
    <xf numFmtId="0" fontId="4" fillId="0" borderId="0" xfId="2" applyFont="1" applyBorder="1" applyAlignment="1">
      <alignment vertical="center"/>
    </xf>
    <xf numFmtId="0" fontId="6" fillId="0" borderId="0" xfId="2" applyFont="1" applyAlignment="1">
      <alignment horizontal="center"/>
    </xf>
    <xf numFmtId="0" fontId="6" fillId="0" borderId="0" xfId="2" applyFont="1" applyBorder="1" applyAlignment="1">
      <alignment horizontal="center"/>
    </xf>
    <xf numFmtId="0" fontId="19" fillId="0" borderId="0" xfId="0" applyFont="1"/>
    <xf numFmtId="0" fontId="6" fillId="0" borderId="1" xfId="2" applyFont="1" applyBorder="1" applyAlignment="1">
      <alignment horizontal="center"/>
    </xf>
    <xf numFmtId="3" fontId="15" fillId="0" borderId="0" xfId="0" applyNumberFormat="1" applyFont="1" applyAlignment="1">
      <alignment horizontal="center"/>
    </xf>
    <xf numFmtId="3" fontId="13" fillId="0" borderId="0" xfId="0" applyNumberFormat="1" applyFont="1" applyFill="1" applyBorder="1" applyAlignment="1">
      <alignment horizontal="center"/>
    </xf>
    <xf numFmtId="0" fontId="3" fillId="0" borderId="1" xfId="2" applyFont="1" applyBorder="1" applyAlignment="1">
      <alignment horizontal="center"/>
    </xf>
    <xf numFmtId="165" fontId="3" fillId="0" borderId="0" xfId="2" applyNumberFormat="1" applyFont="1" applyBorder="1" applyAlignment="1">
      <alignment horizontal="center"/>
    </xf>
    <xf numFmtId="0" fontId="3" fillId="0" borderId="0" xfId="2" applyFont="1" applyBorder="1" applyAlignment="1">
      <alignment horizontal="center" wrapText="1"/>
    </xf>
    <xf numFmtId="0" fontId="67" fillId="0" borderId="0" xfId="0" applyFont="1"/>
    <xf numFmtId="0" fontId="69" fillId="0" borderId="0" xfId="0" applyFont="1"/>
    <xf numFmtId="0" fontId="66" fillId="0" borderId="0" xfId="0" applyFont="1"/>
    <xf numFmtId="0" fontId="3" fillId="0" borderId="1" xfId="2" applyFont="1" applyBorder="1" applyAlignment="1">
      <alignment horizontal="center"/>
    </xf>
    <xf numFmtId="0" fontId="3" fillId="0" borderId="1" xfId="2" applyFont="1" applyBorder="1" applyAlignment="1">
      <alignment horizontal="center"/>
    </xf>
    <xf numFmtId="0" fontId="32" fillId="0" borderId="0" xfId="2" applyFont="1" applyFill="1" applyAlignment="1">
      <alignment horizontal="center"/>
    </xf>
    <xf numFmtId="0" fontId="32" fillId="0" borderId="1" xfId="2" applyFont="1" applyFill="1" applyBorder="1" applyAlignment="1"/>
    <xf numFmtId="3" fontId="26" fillId="0" borderId="0" xfId="0" applyNumberFormat="1" applyFont="1" applyAlignment="1">
      <alignment horizontal="center"/>
    </xf>
    <xf numFmtId="3" fontId="26" fillId="0" borderId="1" xfId="0" applyNumberFormat="1" applyFont="1" applyBorder="1"/>
    <xf numFmtId="3" fontId="26" fillId="0" borderId="0" xfId="0" applyNumberFormat="1" applyFont="1" applyBorder="1" applyAlignment="1">
      <alignment horizontal="center"/>
    </xf>
    <xf numFmtId="3" fontId="26" fillId="0" borderId="0" xfId="0" applyNumberFormat="1" applyFont="1" applyBorder="1"/>
    <xf numFmtId="3" fontId="22" fillId="0" borderId="0" xfId="0" applyNumberFormat="1" applyFont="1" applyBorder="1"/>
    <xf numFmtId="3" fontId="22" fillId="0" borderId="1" xfId="0" applyNumberFormat="1" applyFont="1" applyBorder="1"/>
    <xf numFmtId="0" fontId="0" fillId="0" borderId="0" xfId="0" applyNumberFormat="1" applyFill="1"/>
    <xf numFmtId="3" fontId="26" fillId="0" borderId="0" xfId="0" applyNumberFormat="1" applyFont="1" applyFill="1" applyBorder="1" applyAlignment="1">
      <alignment horizontal="center"/>
    </xf>
    <xf numFmtId="0" fontId="0" fillId="0" borderId="0" xfId="0"/>
    <xf numFmtId="9" fontId="26" fillId="0" borderId="0" xfId="1" applyFont="1" applyFill="1" applyAlignment="1">
      <alignment horizontal="center"/>
    </xf>
    <xf numFmtId="3" fontId="26" fillId="0" borderId="0" xfId="0" applyNumberFormat="1" applyFont="1" applyFill="1" applyAlignment="1">
      <alignment horizontal="center"/>
    </xf>
    <xf numFmtId="0" fontId="3" fillId="0" borderId="1" xfId="2" applyFont="1" applyBorder="1" applyAlignment="1">
      <alignment horizontal="center"/>
    </xf>
    <xf numFmtId="164" fontId="0" fillId="0" borderId="0" xfId="0" applyNumberFormat="1"/>
    <xf numFmtId="10" fontId="0" fillId="0" borderId="0" xfId="1" applyNumberFormat="1" applyFont="1" applyFill="1"/>
    <xf numFmtId="165" fontId="0" fillId="0" borderId="0" xfId="0" applyNumberFormat="1" applyFill="1"/>
    <xf numFmtId="169" fontId="0" fillId="0" borderId="0" xfId="0" applyNumberFormat="1" applyFill="1"/>
    <xf numFmtId="166" fontId="0" fillId="0" borderId="0" xfId="1" applyNumberFormat="1" applyFont="1" applyFill="1"/>
    <xf numFmtId="0" fontId="2" fillId="0" borderId="0" xfId="0" applyFont="1" applyAlignment="1">
      <alignment horizontal="center"/>
    </xf>
    <xf numFmtId="0" fontId="7" fillId="0" borderId="1" xfId="2" applyFont="1" applyBorder="1" applyAlignment="1">
      <alignment horizontal="center"/>
    </xf>
    <xf numFmtId="166" fontId="0" fillId="0" borderId="0" xfId="1" applyNumberFormat="1" applyFont="1" applyAlignment="1">
      <alignment horizontal="center"/>
    </xf>
    <xf numFmtId="167" fontId="51" fillId="0" borderId="0" xfId="0" applyNumberFormat="1" applyFont="1" applyAlignment="1">
      <alignment horizontal="right"/>
    </xf>
    <xf numFmtId="169" fontId="32" fillId="0" borderId="0" xfId="0" applyNumberFormat="1" applyFont="1" applyAlignment="1">
      <alignment horizontal="right"/>
    </xf>
    <xf numFmtId="0" fontId="20" fillId="0" borderId="4" xfId="0" applyFont="1" applyBorder="1"/>
    <xf numFmtId="164" fontId="32" fillId="0" borderId="4" xfId="0" quotePrefix="1" applyNumberFormat="1" applyFont="1" applyBorder="1" applyAlignment="1">
      <alignment horizontal="right"/>
    </xf>
    <xf numFmtId="0" fontId="15" fillId="0" borderId="3" xfId="0" applyFont="1" applyBorder="1"/>
    <xf numFmtId="0" fontId="0" fillId="0" borderId="2" xfId="0" applyBorder="1"/>
    <xf numFmtId="0" fontId="4" fillId="0" borderId="1" xfId="2" applyFont="1" applyBorder="1" applyAlignment="1">
      <alignment horizontal="center"/>
    </xf>
    <xf numFmtId="9" fontId="19" fillId="0" borderId="0" xfId="1" applyFont="1" applyFill="1"/>
    <xf numFmtId="167" fontId="46" fillId="0" borderId="0" xfId="0" applyNumberFormat="1" applyFont="1" applyBorder="1" applyAlignment="1">
      <alignment horizontal="right"/>
    </xf>
    <xf numFmtId="167" fontId="28" fillId="0" borderId="0" xfId="0" applyNumberFormat="1" applyFont="1"/>
    <xf numFmtId="0" fontId="20" fillId="0" borderId="0" xfId="0" applyFont="1" applyAlignment="1">
      <alignment vertical="center"/>
    </xf>
    <xf numFmtId="0" fontId="87" fillId="0" borderId="0" xfId="0" applyFont="1" applyAlignment="1">
      <alignment vertical="center"/>
    </xf>
    <xf numFmtId="3" fontId="65" fillId="0" borderId="0" xfId="0" applyNumberFormat="1" applyFont="1" applyFill="1" applyAlignment="1">
      <alignment vertical="center" wrapText="1"/>
    </xf>
    <xf numFmtId="3" fontId="65" fillId="0" borderId="0" xfId="0" applyNumberFormat="1" applyFont="1" applyAlignment="1">
      <alignment vertical="center" wrapText="1"/>
    </xf>
    <xf numFmtId="0" fontId="20" fillId="0" borderId="0" xfId="0" applyFont="1" applyFill="1" applyAlignment="1">
      <alignment vertical="center"/>
    </xf>
    <xf numFmtId="0" fontId="0" fillId="0" borderId="1" xfId="0" applyBorder="1" applyAlignment="1">
      <alignment horizontal="center"/>
    </xf>
    <xf numFmtId="0" fontId="87" fillId="0" borderId="1" xfId="0" applyFont="1" applyBorder="1" applyAlignment="1">
      <alignment vertical="center"/>
    </xf>
    <xf numFmtId="0" fontId="65" fillId="0" borderId="1" xfId="0" applyFont="1" applyBorder="1" applyAlignment="1">
      <alignment horizontal="center" wrapText="1"/>
    </xf>
    <xf numFmtId="0" fontId="6" fillId="0" borderId="1" xfId="50" applyFont="1" applyFill="1" applyBorder="1"/>
    <xf numFmtId="0" fontId="23" fillId="0" borderId="0" xfId="0" applyFont="1" applyAlignment="1">
      <alignment vertical="center"/>
    </xf>
    <xf numFmtId="0" fontId="6" fillId="0" borderId="1" xfId="50" applyFont="1" applyBorder="1"/>
    <xf numFmtId="0" fontId="19" fillId="0" borderId="1" xfId="0" applyFont="1" applyBorder="1"/>
    <xf numFmtId="0" fontId="3" fillId="0" borderId="1" xfId="50" applyFill="1" applyBorder="1"/>
    <xf numFmtId="3" fontId="65" fillId="0" borderId="0" xfId="0" applyNumberFormat="1" applyFont="1" applyFill="1"/>
    <xf numFmtId="0" fontId="65" fillId="0" borderId="1" xfId="0" applyFont="1" applyBorder="1" applyAlignment="1">
      <alignment horizontal="center"/>
    </xf>
    <xf numFmtId="0" fontId="65" fillId="0" borderId="0" xfId="0" applyFont="1" applyAlignment="1">
      <alignment horizontal="center"/>
    </xf>
    <xf numFmtId="166" fontId="65" fillId="0" borderId="0" xfId="1" applyNumberFormat="1" applyFont="1" applyAlignment="1">
      <alignment horizontal="center" vertical="center" wrapText="1"/>
    </xf>
    <xf numFmtId="0" fontId="3" fillId="0" borderId="0" xfId="50" applyAlignment="1">
      <alignment horizontal="center" vertical="center" wrapText="1"/>
    </xf>
    <xf numFmtId="0" fontId="3" fillId="0" borderId="0" xfId="50" applyFont="1" applyAlignment="1">
      <alignment horizontal="center" vertical="center" wrapText="1"/>
    </xf>
    <xf numFmtId="0" fontId="3" fillId="0" borderId="0" xfId="0" applyFont="1" applyAlignment="1">
      <alignment horizontal="center" vertical="center" wrapText="1"/>
    </xf>
    <xf numFmtId="0" fontId="11" fillId="0" borderId="0" xfId="0" applyFont="1" applyAlignment="1">
      <alignment horizontal="center" vertical="center" wrapText="1"/>
    </xf>
    <xf numFmtId="0" fontId="11" fillId="0" borderId="0" xfId="0" applyFont="1" applyFill="1" applyAlignment="1">
      <alignment horizontal="center" vertical="center" wrapText="1"/>
    </xf>
    <xf numFmtId="0" fontId="13" fillId="0" borderId="1" xfId="0" applyFont="1" applyBorder="1"/>
    <xf numFmtId="3" fontId="3" fillId="0" borderId="0" xfId="50" applyNumberFormat="1" applyFont="1"/>
    <xf numFmtId="3" fontId="3" fillId="0" borderId="0" xfId="50" applyNumberFormat="1" applyFont="1" applyFill="1"/>
    <xf numFmtId="3" fontId="11" fillId="0" borderId="0" xfId="0" applyNumberFormat="1" applyFont="1" applyBorder="1" applyAlignment="1">
      <alignment vertical="center"/>
    </xf>
    <xf numFmtId="3" fontId="3" fillId="0" borderId="1" xfId="50" applyNumberFormat="1" applyFont="1" applyBorder="1"/>
    <xf numFmtId="3" fontId="3" fillId="0" borderId="1" xfId="50" applyNumberFormat="1" applyFont="1" applyFill="1" applyBorder="1"/>
    <xf numFmtId="3" fontId="11" fillId="0" borderId="1" xfId="0" applyNumberFormat="1" applyFont="1" applyBorder="1" applyAlignment="1">
      <alignment vertical="center"/>
    </xf>
    <xf numFmtId="0" fontId="7" fillId="0" borderId="0" xfId="2" applyFont="1" applyBorder="1" applyAlignment="1">
      <alignment horizontal="center"/>
    </xf>
    <xf numFmtId="1" fontId="0" fillId="0" borderId="0" xfId="0" applyNumberFormat="1" applyBorder="1"/>
    <xf numFmtId="9" fontId="26" fillId="0" borderId="0" xfId="1" applyFont="1" applyAlignment="1">
      <alignment horizontal="center"/>
    </xf>
    <xf numFmtId="9" fontId="26" fillId="0" borderId="0" xfId="1" applyFont="1" applyFill="1" applyBorder="1" applyAlignment="1">
      <alignment horizontal="center"/>
    </xf>
    <xf numFmtId="165" fontId="13" fillId="0" borderId="0" xfId="0" applyNumberFormat="1" applyFont="1" applyFill="1"/>
    <xf numFmtId="9" fontId="13" fillId="0" borderId="0" xfId="1" applyNumberFormat="1" applyFont="1" applyFill="1" applyAlignment="1">
      <alignment horizontal="center"/>
    </xf>
    <xf numFmtId="0" fontId="58" fillId="0" borderId="0" xfId="0" applyFont="1" applyAlignment="1">
      <alignment horizontal="center" vertical="center" wrapText="1"/>
    </xf>
    <xf numFmtId="2" fontId="3" fillId="0" borderId="0" xfId="2" applyNumberFormat="1" applyFont="1"/>
    <xf numFmtId="0" fontId="33" fillId="0" borderId="0" xfId="0" applyFont="1" applyAlignment="1">
      <alignment vertical="center"/>
    </xf>
    <xf numFmtId="0" fontId="2" fillId="0" borderId="4" xfId="0" applyFont="1" applyBorder="1"/>
    <xf numFmtId="0" fontId="33" fillId="0" borderId="1" xfId="0" applyFont="1" applyBorder="1" applyAlignment="1">
      <alignment vertical="center"/>
    </xf>
    <xf numFmtId="167" fontId="26" fillId="0" borderId="0" xfId="0" applyNumberFormat="1" applyFont="1"/>
    <xf numFmtId="167" fontId="32" fillId="0" borderId="1" xfId="0" applyNumberFormat="1" applyFont="1" applyBorder="1" applyAlignment="1">
      <alignment horizontal="right"/>
    </xf>
    <xf numFmtId="0" fontId="3" fillId="0" borderId="0" xfId="2" applyFont="1" applyFill="1" applyBorder="1" applyAlignment="1">
      <alignment horizontal="center" wrapText="1"/>
    </xf>
    <xf numFmtId="3" fontId="44" fillId="0" borderId="0" xfId="0" applyNumberFormat="1" applyFont="1" applyBorder="1"/>
    <xf numFmtId="164" fontId="31" fillId="0" borderId="0" xfId="0" applyNumberFormat="1" applyFont="1" applyBorder="1" applyAlignment="1">
      <alignment horizontal="center"/>
    </xf>
    <xf numFmtId="0" fontId="9" fillId="0" borderId="1" xfId="2" applyFont="1" applyBorder="1" applyAlignment="1">
      <alignment horizontal="center"/>
    </xf>
    <xf numFmtId="164" fontId="38" fillId="0" borderId="0" xfId="0" applyNumberFormat="1" applyFont="1" applyBorder="1" applyAlignment="1">
      <alignment horizontal="center"/>
    </xf>
    <xf numFmtId="0" fontId="9" fillId="0" borderId="0" xfId="2" applyFont="1" applyBorder="1" applyAlignment="1">
      <alignment horizontal="center"/>
    </xf>
    <xf numFmtId="0" fontId="38" fillId="0" borderId="0" xfId="0" applyFont="1" applyBorder="1" applyAlignment="1">
      <alignment horizontal="center"/>
    </xf>
    <xf numFmtId="0" fontId="24" fillId="0" borderId="0" xfId="0" applyFont="1" applyBorder="1" applyAlignment="1"/>
    <xf numFmtId="167" fontId="31" fillId="0" borderId="0" xfId="0" applyNumberFormat="1" applyFont="1" applyBorder="1" applyAlignment="1">
      <alignment horizontal="center"/>
    </xf>
    <xf numFmtId="3" fontId="19" fillId="0" borderId="0" xfId="0" applyNumberFormat="1" applyFont="1" applyFill="1"/>
    <xf numFmtId="0" fontId="4" fillId="0" borderId="0" xfId="2" applyFont="1" applyBorder="1" applyAlignment="1">
      <alignment wrapText="1"/>
    </xf>
    <xf numFmtId="0" fontId="4" fillId="0" borderId="1" xfId="2" applyFont="1" applyBorder="1" applyAlignment="1">
      <alignment wrapText="1"/>
    </xf>
    <xf numFmtId="0" fontId="3" fillId="0" borderId="2" xfId="2" applyFont="1" applyFill="1" applyBorder="1" applyAlignment="1">
      <alignment horizontal="center" wrapText="1"/>
    </xf>
    <xf numFmtId="3" fontId="3" fillId="0" borderId="0" xfId="2" applyNumberFormat="1" applyFont="1" applyFill="1" applyBorder="1" applyAlignment="1">
      <alignment horizontal="left"/>
    </xf>
    <xf numFmtId="0" fontId="58" fillId="0" borderId="0" xfId="0" applyFont="1" applyAlignment="1">
      <alignment horizontal="center"/>
    </xf>
    <xf numFmtId="0" fontId="58" fillId="0" borderId="0" xfId="0" applyFont="1" applyAlignment="1">
      <alignment horizontal="center" vertical="center"/>
    </xf>
    <xf numFmtId="0" fontId="3" fillId="0" borderId="1" xfId="2" applyFont="1" applyBorder="1" applyAlignment="1">
      <alignment horizontal="center"/>
    </xf>
    <xf numFmtId="0" fontId="12" fillId="0" borderId="0" xfId="0" quotePrefix="1" applyFont="1" applyBorder="1" applyAlignment="1">
      <alignment horizontal="center" vertical="center"/>
    </xf>
    <xf numFmtId="0" fontId="12" fillId="0" borderId="0" xfId="0" applyFont="1" applyBorder="1" applyAlignment="1">
      <alignment horizontal="center" vertical="center"/>
    </xf>
    <xf numFmtId="0" fontId="56" fillId="0" borderId="0" xfId="0" applyFont="1" applyBorder="1" applyAlignment="1">
      <alignment horizontal="center" vertical="center"/>
    </xf>
    <xf numFmtId="0" fontId="12" fillId="0" borderId="0" xfId="0" applyFont="1" applyBorder="1" applyAlignment="1">
      <alignment vertical="center"/>
    </xf>
    <xf numFmtId="0" fontId="58" fillId="0" borderId="0" xfId="0" applyFont="1" applyFill="1" applyAlignment="1">
      <alignment horizontal="center"/>
    </xf>
    <xf numFmtId="0" fontId="58" fillId="0" borderId="0" xfId="0" applyFont="1" applyBorder="1" applyAlignment="1">
      <alignment horizontal="center"/>
    </xf>
    <xf numFmtId="0" fontId="28" fillId="0" borderId="3" xfId="0" applyFont="1" applyBorder="1" applyAlignment="1">
      <alignment horizontal="center"/>
    </xf>
    <xf numFmtId="0" fontId="34" fillId="0" borderId="3" xfId="0" applyFont="1" applyBorder="1" applyAlignment="1">
      <alignment horizontal="center" wrapText="1"/>
    </xf>
    <xf numFmtId="0" fontId="25" fillId="36" borderId="0" xfId="0" applyFont="1" applyFill="1"/>
    <xf numFmtId="0" fontId="25" fillId="4" borderId="0" xfId="0" applyFont="1" applyFill="1"/>
    <xf numFmtId="0" fontId="25" fillId="37" borderId="0" xfId="0" applyFont="1" applyFill="1"/>
    <xf numFmtId="0" fontId="23" fillId="0" borderId="0" xfId="0" applyFont="1" applyAlignment="1">
      <alignment horizontal="left"/>
    </xf>
    <xf numFmtId="0" fontId="4" fillId="0" borderId="0" xfId="2" applyFont="1"/>
    <xf numFmtId="0" fontId="68" fillId="0" borderId="0" xfId="0" applyFont="1"/>
    <xf numFmtId="0" fontId="90" fillId="0" borderId="0" xfId="0" applyFont="1" applyAlignment="1">
      <alignment horizontal="left" vertical="center"/>
    </xf>
    <xf numFmtId="0" fontId="0" fillId="36" borderId="0" xfId="0" applyFont="1" applyFill="1"/>
    <xf numFmtId="0" fontId="0" fillId="0" borderId="0" xfId="0" applyFont="1" applyAlignment="1">
      <alignment horizontal="left"/>
    </xf>
    <xf numFmtId="0" fontId="0" fillId="0" borderId="0" xfId="0" applyFont="1" applyAlignment="1">
      <alignment horizontal="left" vertical="center"/>
    </xf>
    <xf numFmtId="0" fontId="0" fillId="4" borderId="0" xfId="0" applyFont="1" applyFill="1" applyAlignment="1">
      <alignment horizontal="left"/>
    </xf>
    <xf numFmtId="0" fontId="25" fillId="38" borderId="0" xfId="0" applyFont="1" applyFill="1" applyAlignment="1">
      <alignment horizontal="left"/>
    </xf>
    <xf numFmtId="0" fontId="0" fillId="0" borderId="0" xfId="0" applyFont="1" applyAlignment="1"/>
    <xf numFmtId="0" fontId="0" fillId="37" borderId="0" xfId="0" applyFont="1" applyFill="1" applyAlignment="1"/>
    <xf numFmtId="0" fontId="0" fillId="38" borderId="0" xfId="0" applyFont="1" applyFill="1" applyAlignment="1"/>
    <xf numFmtId="0" fontId="10" fillId="0" borderId="0" xfId="3" applyAlignment="1" applyProtection="1">
      <alignment horizontal="left"/>
    </xf>
    <xf numFmtId="0" fontId="10" fillId="0" borderId="0" xfId="3" applyAlignment="1" applyProtection="1">
      <alignment horizontal="left" vertical="center"/>
    </xf>
    <xf numFmtId="0" fontId="53" fillId="0" borderId="0" xfId="0" applyFont="1" applyAlignment="1">
      <alignment vertical="center"/>
    </xf>
    <xf numFmtId="0" fontId="43" fillId="0" borderId="0" xfId="0" applyFont="1"/>
    <xf numFmtId="0" fontId="43" fillId="0" borderId="0" xfId="0" applyFont="1" applyAlignment="1">
      <alignment vertical="center"/>
    </xf>
    <xf numFmtId="0" fontId="23" fillId="0" borderId="0" xfId="0" applyFont="1" applyAlignment="1">
      <alignment horizontal="left" vertical="center"/>
    </xf>
    <xf numFmtId="0" fontId="3" fillId="0" borderId="1" xfId="2" applyFont="1" applyFill="1" applyBorder="1" applyAlignment="1">
      <alignment horizontal="center" wrapText="1"/>
    </xf>
    <xf numFmtId="0" fontId="12" fillId="0" borderId="0" xfId="0" applyFont="1" applyAlignment="1">
      <alignment horizontal="left" vertical="center"/>
    </xf>
    <xf numFmtId="0" fontId="43" fillId="0" borderId="0" xfId="0" applyFont="1" applyAlignment="1">
      <alignment horizontal="left" vertical="center"/>
    </xf>
    <xf numFmtId="167" fontId="51" fillId="0" borderId="1" xfId="0" applyNumberFormat="1" applyFont="1" applyBorder="1" applyAlignment="1">
      <alignment horizontal="right"/>
    </xf>
    <xf numFmtId="0" fontId="52" fillId="0" borderId="0" xfId="0" applyFont="1" applyAlignment="1">
      <alignment horizontal="left" vertical="center"/>
    </xf>
    <xf numFmtId="0" fontId="3" fillId="0" borderId="0" xfId="53" applyFont="1" applyFill="1" applyBorder="1" applyAlignment="1">
      <alignment horizontal="center" vertical="center" wrapText="1"/>
    </xf>
    <xf numFmtId="0" fontId="6" fillId="0" borderId="0" xfId="53" applyFont="1" applyFill="1" applyBorder="1" applyAlignment="1">
      <alignment horizontal="center" vertical="center" wrapText="1"/>
    </xf>
    <xf numFmtId="0" fontId="0" fillId="0" borderId="0" xfId="0" applyAlignment="1">
      <alignment horizontal="left"/>
    </xf>
    <xf numFmtId="9" fontId="3" fillId="0" borderId="0" xfId="1" applyFont="1" applyFill="1" applyBorder="1" applyAlignment="1">
      <alignment horizontal="center"/>
    </xf>
    <xf numFmtId="0" fontId="12" fillId="0" borderId="0" xfId="0" applyFont="1" applyBorder="1" applyAlignment="1">
      <alignment horizontal="center" wrapText="1"/>
    </xf>
    <xf numFmtId="0" fontId="56" fillId="0" borderId="0" xfId="0" applyFont="1" applyBorder="1" applyAlignment="1">
      <alignment horizontal="center" wrapText="1"/>
    </xf>
    <xf numFmtId="0" fontId="12" fillId="0" borderId="1" xfId="0" applyFont="1" applyBorder="1" applyAlignment="1">
      <alignment horizontal="center" vertical="center" wrapText="1"/>
    </xf>
    <xf numFmtId="0" fontId="56" fillId="0" borderId="1" xfId="0" applyFont="1" applyBorder="1" applyAlignment="1">
      <alignment horizontal="center" vertical="center" wrapText="1"/>
    </xf>
    <xf numFmtId="0" fontId="0" fillId="0" borderId="0" xfId="0" applyAlignment="1">
      <alignment horizontal="center" vertical="center"/>
    </xf>
    <xf numFmtId="0" fontId="56" fillId="0" borderId="0" xfId="0" applyFont="1" applyFill="1" applyBorder="1" applyAlignment="1">
      <alignment horizontal="center" wrapText="1"/>
    </xf>
    <xf numFmtId="0" fontId="56" fillId="0" borderId="1" xfId="0" applyFont="1" applyFill="1" applyBorder="1" applyAlignment="1">
      <alignment horizontal="center" vertical="center" wrapText="1"/>
    </xf>
    <xf numFmtId="0" fontId="2" fillId="0" borderId="1" xfId="0" applyFont="1" applyBorder="1"/>
    <xf numFmtId="0" fontId="94" fillId="0" borderId="0" xfId="0" applyFont="1" applyBorder="1" applyAlignment="1">
      <alignment horizontal="center"/>
    </xf>
    <xf numFmtId="3" fontId="95" fillId="0" borderId="0" xfId="2" applyNumberFormat="1" applyFont="1" applyBorder="1" applyAlignment="1"/>
    <xf numFmtId="0" fontId="22" fillId="0" borderId="16" xfId="0" applyFont="1" applyBorder="1"/>
    <xf numFmtId="0" fontId="23" fillId="0" borderId="3" xfId="0" applyFont="1" applyBorder="1" applyAlignment="1">
      <alignment horizontal="center" wrapText="1"/>
    </xf>
    <xf numFmtId="0" fontId="3" fillId="0" borderId="1" xfId="2" applyFont="1" applyBorder="1" applyAlignment="1">
      <alignment horizontal="center"/>
    </xf>
    <xf numFmtId="0" fontId="56" fillId="0" borderId="0" xfId="0" applyFont="1" applyBorder="1" applyAlignment="1">
      <alignment horizontal="center" wrapText="1"/>
    </xf>
    <xf numFmtId="0" fontId="24" fillId="0" borderId="1" xfId="0" applyFont="1" applyBorder="1" applyAlignment="1">
      <alignment horizontal="center" vertical="center" wrapText="1"/>
    </xf>
    <xf numFmtId="0" fontId="24" fillId="0" borderId="5" xfId="0" applyFont="1" applyBorder="1" applyAlignment="1">
      <alignment horizontal="center" vertical="center" wrapText="1"/>
    </xf>
    <xf numFmtId="0" fontId="0" fillId="0" borderId="0" xfId="0"/>
    <xf numFmtId="0" fontId="0" fillId="0" borderId="0" xfId="0"/>
    <xf numFmtId="0" fontId="56" fillId="0" borderId="0" xfId="0" applyFont="1" applyBorder="1" applyAlignment="1">
      <alignment horizontal="center" wrapText="1"/>
    </xf>
    <xf numFmtId="0" fontId="93" fillId="0" borderId="0" xfId="52" applyFont="1" applyFill="1" applyBorder="1" applyAlignment="1">
      <alignment horizontal="center" vertical="center" wrapText="1"/>
    </xf>
    <xf numFmtId="0" fontId="11" fillId="0" borderId="0" xfId="0" applyFont="1" applyFill="1" applyAlignment="1">
      <alignment horizontal="center" wrapText="1"/>
    </xf>
    <xf numFmtId="3" fontId="92" fillId="0" borderId="0" xfId="52" applyNumberFormat="1" applyFont="1" applyFill="1" applyBorder="1" applyAlignment="1">
      <alignment horizontal="center" vertical="center" wrapText="1"/>
    </xf>
    <xf numFmtId="0" fontId="11" fillId="0" borderId="0" xfId="0" applyFont="1" applyFill="1" applyAlignment="1">
      <alignment wrapText="1"/>
    </xf>
    <xf numFmtId="0" fontId="0" fillId="0" borderId="0" xfId="0" applyFill="1" applyBorder="1" applyAlignment="1">
      <alignment wrapText="1"/>
    </xf>
    <xf numFmtId="0" fontId="0" fillId="0" borderId="0" xfId="0" applyFill="1" applyAlignment="1">
      <alignment wrapText="1"/>
    </xf>
    <xf numFmtId="9" fontId="0" fillId="0" borderId="0" xfId="1" applyFont="1" applyFill="1" applyAlignment="1">
      <alignment vertical="center" wrapText="1"/>
    </xf>
    <xf numFmtId="3" fontId="0" fillId="0" borderId="0" xfId="0" applyNumberFormat="1" applyFill="1" applyBorder="1"/>
    <xf numFmtId="169" fontId="0" fillId="0" borderId="0" xfId="0" applyNumberFormat="1" applyAlignment="1">
      <alignment horizontal="center"/>
    </xf>
    <xf numFmtId="0" fontId="2" fillId="0" borderId="1" xfId="0" applyFont="1" applyBorder="1" applyAlignment="1">
      <alignment horizontal="center" wrapText="1"/>
    </xf>
    <xf numFmtId="6" fontId="0" fillId="0" borderId="0" xfId="0" applyNumberFormat="1"/>
    <xf numFmtId="0" fontId="11" fillId="0" borderId="0" xfId="0" applyFont="1" applyAlignment="1">
      <alignment vertical="center"/>
    </xf>
    <xf numFmtId="8" fontId="11" fillId="0" borderId="0" xfId="0" applyNumberFormat="1" applyFont="1" applyAlignment="1">
      <alignment vertical="center"/>
    </xf>
    <xf numFmtId="8" fontId="11" fillId="0" borderId="0" xfId="0" applyNumberFormat="1" applyFont="1"/>
    <xf numFmtId="6" fontId="11" fillId="0" borderId="0" xfId="0" applyNumberFormat="1" applyFont="1"/>
    <xf numFmtId="10" fontId="11" fillId="0" borderId="0" xfId="0" applyNumberFormat="1" applyFont="1" applyAlignment="1">
      <alignment vertical="center"/>
    </xf>
    <xf numFmtId="166" fontId="11" fillId="0" borderId="0" xfId="1" applyNumberFormat="1" applyFont="1"/>
    <xf numFmtId="0" fontId="50" fillId="0" borderId="0" xfId="0" applyFont="1" applyAlignment="1">
      <alignment horizontal="center"/>
    </xf>
    <xf numFmtId="0" fontId="64" fillId="0" borderId="0" xfId="0" applyFont="1" applyAlignment="1">
      <alignment horizontal="center"/>
    </xf>
    <xf numFmtId="0" fontId="50" fillId="0" borderId="0" xfId="0" applyFont="1" applyAlignment="1">
      <alignment vertical="center"/>
    </xf>
    <xf numFmtId="0" fontId="50" fillId="0" borderId="1" xfId="0" applyFont="1" applyBorder="1"/>
    <xf numFmtId="10" fontId="11" fillId="0" borderId="1" xfId="0" applyNumberFormat="1" applyFont="1" applyBorder="1" applyAlignment="1">
      <alignment vertical="center"/>
    </xf>
    <xf numFmtId="166" fontId="11" fillId="0" borderId="1" xfId="1" applyNumberFormat="1" applyFont="1" applyBorder="1"/>
    <xf numFmtId="6" fontId="0" fillId="0" borderId="1" xfId="0" applyNumberFormat="1" applyBorder="1"/>
    <xf numFmtId="3" fontId="11" fillId="0" borderId="0" xfId="0" applyNumberFormat="1" applyFont="1" applyAlignment="1">
      <alignment horizontal="center"/>
    </xf>
    <xf numFmtId="3" fontId="11" fillId="0" borderId="0" xfId="1" applyNumberFormat="1" applyFont="1" applyAlignment="1">
      <alignment horizontal="center"/>
    </xf>
    <xf numFmtId="3" fontId="96" fillId="0" borderId="0" xfId="0" applyNumberFormat="1" applyFont="1" applyFill="1"/>
    <xf numFmtId="0" fontId="62" fillId="0" borderId="0" xfId="7" applyFont="1" applyFill="1" applyAlignment="1">
      <alignment horizontal="center"/>
    </xf>
    <xf numFmtId="0" fontId="96" fillId="0" borderId="0" xfId="0" applyFont="1" applyFill="1"/>
    <xf numFmtId="2" fontId="0" fillId="0" borderId="0" xfId="0" applyNumberFormat="1" applyFill="1"/>
    <xf numFmtId="0" fontId="62" fillId="0" borderId="1" xfId="7" applyFont="1" applyFill="1" applyBorder="1" applyAlignment="1">
      <alignment horizontal="center"/>
    </xf>
    <xf numFmtId="0" fontId="2" fillId="0" borderId="0" xfId="0" applyFont="1" applyFill="1" applyBorder="1" applyAlignment="1">
      <alignment horizontal="center"/>
    </xf>
    <xf numFmtId="0" fontId="97" fillId="0" borderId="0" xfId="2" applyFont="1" applyFill="1" applyAlignment="1">
      <alignment horizontal="center"/>
    </xf>
    <xf numFmtId="3" fontId="9" fillId="0" borderId="0" xfId="2" applyNumberFormat="1" applyFont="1" applyFill="1" applyAlignment="1">
      <alignment horizontal="center"/>
    </xf>
    <xf numFmtId="167" fontId="68" fillId="0" borderId="0" xfId="0" applyNumberFormat="1" applyFont="1"/>
    <xf numFmtId="172" fontId="15" fillId="0" borderId="0" xfId="0" applyNumberFormat="1" applyFont="1"/>
    <xf numFmtId="0" fontId="15" fillId="0" borderId="0" xfId="0" applyFont="1" applyFill="1"/>
    <xf numFmtId="1" fontId="15" fillId="0" borderId="0" xfId="0" applyNumberFormat="1" applyFont="1" applyFill="1"/>
    <xf numFmtId="9" fontId="15" fillId="0" borderId="0" xfId="1" applyFont="1" applyFill="1"/>
    <xf numFmtId="3" fontId="15" fillId="0" borderId="0" xfId="0" applyNumberFormat="1" applyFont="1" applyFill="1"/>
    <xf numFmtId="164" fontId="68" fillId="0" borderId="0" xfId="1" applyNumberFormat="1" applyFont="1" applyFill="1"/>
    <xf numFmtId="0" fontId="68" fillId="0" borderId="0" xfId="0" applyFont="1" applyFill="1"/>
    <xf numFmtId="3" fontId="68" fillId="0" borderId="0" xfId="0" applyNumberFormat="1" applyFont="1" applyFill="1"/>
    <xf numFmtId="0" fontId="0" fillId="0" borderId="0" xfId="0"/>
    <xf numFmtId="0" fontId="3" fillId="0" borderId="1" xfId="2" applyFont="1" applyFill="1" applyBorder="1" applyAlignment="1">
      <alignment horizontal="center"/>
    </xf>
    <xf numFmtId="0" fontId="56" fillId="0" borderId="0" xfId="0" applyFont="1" applyBorder="1" applyAlignment="1">
      <alignment horizontal="center" wrapText="1"/>
    </xf>
    <xf numFmtId="0" fontId="10" fillId="38" borderId="0" xfId="3" applyFill="1" applyAlignment="1" applyProtection="1">
      <alignment horizontal="center"/>
    </xf>
    <xf numFmtId="0" fontId="98" fillId="38" borderId="0" xfId="3" applyFont="1" applyFill="1" applyAlignment="1" applyProtection="1">
      <alignment horizontal="center"/>
    </xf>
    <xf numFmtId="0" fontId="65" fillId="0" borderId="1" xfId="0" applyFont="1" applyBorder="1"/>
    <xf numFmtId="0" fontId="65" fillId="0" borderId="1" xfId="0" applyFont="1" applyFill="1" applyBorder="1" applyAlignment="1">
      <alignment horizontal="center" wrapText="1"/>
    </xf>
    <xf numFmtId="0" fontId="98" fillId="0" borderId="0" xfId="3" applyFont="1" applyFill="1" applyAlignment="1" applyProtection="1">
      <alignment horizontal="center"/>
    </xf>
    <xf numFmtId="0" fontId="19" fillId="0" borderId="1" xfId="0" applyFont="1" applyBorder="1" applyAlignment="1">
      <alignment horizontal="center"/>
    </xf>
    <xf numFmtId="0" fontId="33" fillId="0" borderId="1" xfId="0" applyFont="1" applyBorder="1" applyAlignment="1">
      <alignment horizontal="center" vertical="center" wrapText="1"/>
    </xf>
    <xf numFmtId="0" fontId="15" fillId="0" borderId="0" xfId="0" applyFont="1" applyFill="1" applyAlignment="1">
      <alignment horizontal="center"/>
    </xf>
    <xf numFmtId="0" fontId="33" fillId="0" borderId="1" xfId="0" applyFont="1" applyFill="1" applyBorder="1" applyAlignment="1">
      <alignment horizontal="center" vertical="center" wrapText="1"/>
    </xf>
    <xf numFmtId="0" fontId="65" fillId="0" borderId="0" xfId="0" applyFont="1" applyFill="1" applyBorder="1" applyAlignment="1">
      <alignment horizontal="center" wrapText="1"/>
    </xf>
    <xf numFmtId="9" fontId="65" fillId="0" borderId="0" xfId="1" applyFont="1" applyBorder="1" applyAlignment="1">
      <alignment vertical="center" wrapText="1"/>
    </xf>
    <xf numFmtId="0" fontId="65" fillId="0" borderId="0" xfId="0" applyFont="1" applyBorder="1" applyAlignment="1">
      <alignment vertical="center" wrapText="1"/>
    </xf>
    <xf numFmtId="0" fontId="0" fillId="0" borderId="0" xfId="0" applyFill="1" applyAlignment="1">
      <alignment horizontal="center"/>
    </xf>
    <xf numFmtId="9" fontId="65" fillId="0" borderId="0" xfId="1" applyFont="1" applyAlignment="1">
      <alignment horizontal="center" vertical="center" wrapText="1"/>
    </xf>
    <xf numFmtId="0" fontId="99" fillId="0" borderId="0" xfId="54"/>
    <xf numFmtId="0" fontId="65" fillId="0" borderId="5" xfId="0" applyFont="1" applyBorder="1" applyAlignment="1"/>
    <xf numFmtId="9" fontId="0" fillId="0" borderId="1" xfId="1" applyFont="1" applyBorder="1"/>
    <xf numFmtId="166" fontId="0" fillId="0" borderId="1" xfId="1" applyNumberFormat="1" applyFont="1" applyBorder="1"/>
    <xf numFmtId="3" fontId="19" fillId="0" borderId="0" xfId="0" applyNumberFormat="1" applyFont="1" applyAlignment="1">
      <alignment horizontal="center"/>
    </xf>
    <xf numFmtId="3" fontId="13" fillId="0" borderId="0" xfId="0" applyNumberFormat="1" applyFont="1" applyAlignment="1">
      <alignment horizontal="center"/>
    </xf>
    <xf numFmtId="3" fontId="0" fillId="0" borderId="1" xfId="0" applyNumberFormat="1" applyBorder="1"/>
    <xf numFmtId="3" fontId="19" fillId="0" borderId="1" xfId="0" applyNumberFormat="1" applyFont="1" applyBorder="1" applyAlignment="1">
      <alignment horizontal="center"/>
    </xf>
    <xf numFmtId="3" fontId="19" fillId="0" borderId="0" xfId="0" applyNumberFormat="1" applyFont="1" applyFill="1" applyBorder="1" applyAlignment="1">
      <alignment horizontal="center"/>
    </xf>
    <xf numFmtId="169" fontId="19" fillId="0" borderId="0" xfId="0" applyNumberFormat="1" applyFont="1" applyFill="1" applyBorder="1"/>
    <xf numFmtId="3" fontId="19" fillId="0" borderId="0" xfId="0" applyNumberFormat="1" applyFont="1" applyBorder="1" applyAlignment="1">
      <alignment horizontal="center"/>
    </xf>
    <xf numFmtId="3" fontId="13" fillId="0" borderId="0" xfId="0" applyNumberFormat="1" applyFont="1" applyBorder="1" applyAlignment="1">
      <alignment horizontal="center"/>
    </xf>
    <xf numFmtId="0" fontId="19" fillId="0" borderId="0" xfId="0" applyFont="1" applyBorder="1"/>
    <xf numFmtId="0" fontId="25" fillId="0" borderId="1" xfId="0" applyFont="1" applyFill="1" applyBorder="1" applyAlignment="1"/>
    <xf numFmtId="0" fontId="2" fillId="0" borderId="1" xfId="0" applyFont="1" applyFill="1" applyBorder="1" applyAlignment="1"/>
    <xf numFmtId="9" fontId="65" fillId="0" borderId="0" xfId="1" applyFont="1" applyBorder="1" applyAlignment="1">
      <alignment horizontal="center" vertical="center" wrapText="1"/>
    </xf>
    <xf numFmtId="0" fontId="0" fillId="0" borderId="0" xfId="0"/>
    <xf numFmtId="0" fontId="56" fillId="0" borderId="0" xfId="0" applyFont="1" applyBorder="1" applyAlignment="1">
      <alignment horizontal="center" wrapText="1"/>
    </xf>
    <xf numFmtId="165" fontId="15" fillId="0" borderId="0" xfId="0" applyNumberFormat="1" applyFont="1" applyFill="1"/>
    <xf numFmtId="0" fontId="2" fillId="0" borderId="0" xfId="0" applyFont="1" applyFill="1"/>
    <xf numFmtId="0" fontId="15" fillId="0" borderId="0" xfId="0" quotePrefix="1" applyFont="1" applyFill="1" applyAlignment="1">
      <alignment horizontal="center"/>
    </xf>
    <xf numFmtId="0" fontId="3" fillId="0" borderId="1" xfId="2" applyFont="1" applyBorder="1" applyAlignment="1">
      <alignment horizontal="center" wrapText="1"/>
    </xf>
    <xf numFmtId="0" fontId="58" fillId="0" borderId="0" xfId="0" applyFont="1" applyAlignment="1">
      <alignment horizontal="center"/>
    </xf>
    <xf numFmtId="0" fontId="56" fillId="0" borderId="0" xfId="0" applyFont="1" applyBorder="1" applyAlignment="1">
      <alignment horizontal="center" wrapText="1"/>
    </xf>
    <xf numFmtId="0" fontId="98" fillId="38" borderId="1" xfId="3" applyFont="1" applyFill="1" applyBorder="1" applyAlignment="1" applyProtection="1">
      <alignment horizontal="center"/>
    </xf>
    <xf numFmtId="0" fontId="98" fillId="0" borderId="1" xfId="3" applyFont="1" applyFill="1" applyBorder="1" applyAlignment="1" applyProtection="1">
      <alignment horizontal="center"/>
    </xf>
    <xf numFmtId="0" fontId="0" fillId="0" borderId="0" xfId="0"/>
    <xf numFmtId="10" fontId="13" fillId="0" borderId="0" xfId="1" applyNumberFormat="1" applyFont="1" applyFill="1" applyAlignment="1">
      <alignment horizontal="center"/>
    </xf>
    <xf numFmtId="9" fontId="3" fillId="0" borderId="0" xfId="1" applyNumberFormat="1" applyFont="1" applyFill="1" applyBorder="1" applyAlignment="1">
      <alignment horizontal="center"/>
    </xf>
    <xf numFmtId="9" fontId="60" fillId="0" borderId="0" xfId="1" applyFont="1" applyFill="1" applyBorder="1" applyAlignment="1">
      <alignment horizontal="center"/>
    </xf>
    <xf numFmtId="0" fontId="3" fillId="0" borderId="0" xfId="2" applyFont="1" applyBorder="1" applyAlignment="1">
      <alignment wrapText="1"/>
    </xf>
    <xf numFmtId="9" fontId="3" fillId="0" borderId="0" xfId="1" applyNumberFormat="1" applyFont="1" applyFill="1" applyBorder="1" applyAlignment="1"/>
    <xf numFmtId="9" fontId="60" fillId="0" borderId="0" xfId="1" applyNumberFormat="1" applyFont="1" applyFill="1" applyBorder="1" applyAlignment="1"/>
    <xf numFmtId="0" fontId="0" fillId="0" borderId="0" xfId="0" applyBorder="1" applyAlignment="1"/>
    <xf numFmtId="9" fontId="0" fillId="0" borderId="0" xfId="0" applyNumberFormat="1" applyBorder="1" applyAlignment="1">
      <alignment horizontal="center"/>
    </xf>
    <xf numFmtId="0" fontId="0" fillId="0" borderId="5" xfId="0" applyBorder="1" applyAlignment="1"/>
    <xf numFmtId="3" fontId="26" fillId="0" borderId="1" xfId="0" applyNumberFormat="1" applyFont="1" applyFill="1" applyBorder="1"/>
    <xf numFmtId="0" fontId="26" fillId="0" borderId="0" xfId="0" applyFont="1" applyFill="1"/>
    <xf numFmtId="9" fontId="19" fillId="0" borderId="1" xfId="1" applyFont="1" applyFill="1" applyBorder="1"/>
    <xf numFmtId="2" fontId="0" fillId="0" borderId="1" xfId="0" applyNumberFormat="1" applyFill="1" applyBorder="1"/>
    <xf numFmtId="164" fontId="0" fillId="0" borderId="0" xfId="0" applyNumberFormat="1" applyFill="1"/>
    <xf numFmtId="169" fontId="0" fillId="0" borderId="0" xfId="0" applyNumberFormat="1" applyFont="1" applyFill="1"/>
    <xf numFmtId="169" fontId="0" fillId="0" borderId="0" xfId="0" applyNumberFormat="1" applyFont="1" applyFill="1" applyAlignment="1">
      <alignment horizontal="center"/>
    </xf>
    <xf numFmtId="164" fontId="15" fillId="0" borderId="0" xfId="0" applyNumberFormat="1" applyFont="1" applyFill="1"/>
    <xf numFmtId="0" fontId="58" fillId="0" borderId="0" xfId="0" applyFont="1" applyBorder="1" applyAlignment="1">
      <alignment horizontal="center" wrapText="1"/>
    </xf>
    <xf numFmtId="0" fontId="58" fillId="0" borderId="0" xfId="0" applyFont="1" applyBorder="1" applyAlignment="1">
      <alignment horizontal="center" vertical="center"/>
    </xf>
    <xf numFmtId="166" fontId="4" fillId="0" borderId="0" xfId="6" applyNumberFormat="1" applyFont="1"/>
    <xf numFmtId="3" fontId="15" fillId="0" borderId="0" xfId="0" applyNumberFormat="1" applyFont="1" applyFill="1" applyAlignment="1">
      <alignment horizontal="center"/>
    </xf>
    <xf numFmtId="0" fontId="13" fillId="0" borderId="0" xfId="0" applyFont="1"/>
    <xf numFmtId="166" fontId="13" fillId="0" borderId="0" xfId="1" applyNumberFormat="1" applyFont="1" applyFill="1" applyAlignment="1">
      <alignment horizontal="center"/>
    </xf>
    <xf numFmtId="0" fontId="101" fillId="0" borderId="1" xfId="7" applyFont="1" applyBorder="1" applyAlignment="1">
      <alignment horizontal="center"/>
    </xf>
    <xf numFmtId="3" fontId="101" fillId="0" borderId="0" xfId="2" applyNumberFormat="1" applyFont="1" applyFill="1" applyAlignment="1">
      <alignment horizontal="center"/>
    </xf>
    <xf numFmtId="167" fontId="64" fillId="0" borderId="0" xfId="0" applyNumberFormat="1" applyFont="1"/>
    <xf numFmtId="0" fontId="101" fillId="0" borderId="0" xfId="2" applyFont="1" applyFill="1" applyAlignment="1">
      <alignment horizontal="center"/>
    </xf>
    <xf numFmtId="0" fontId="101" fillId="0" borderId="1" xfId="2" applyFont="1" applyFill="1" applyBorder="1" applyAlignment="1">
      <alignment horizontal="center"/>
    </xf>
    <xf numFmtId="3" fontId="7" fillId="0" borderId="0" xfId="2" applyNumberFormat="1" applyFont="1" applyFill="1" applyAlignment="1">
      <alignment horizontal="center"/>
    </xf>
    <xf numFmtId="0" fontId="0" fillId="0" borderId="16" xfId="0" applyBorder="1"/>
    <xf numFmtId="0" fontId="28" fillId="0" borderId="1" xfId="0" applyFont="1" applyBorder="1" applyAlignment="1">
      <alignment horizontal="center"/>
    </xf>
    <xf numFmtId="0" fontId="58" fillId="0" borderId="0" xfId="0" applyFont="1" applyAlignment="1">
      <alignment horizontal="center"/>
    </xf>
    <xf numFmtId="0" fontId="3" fillId="0" borderId="1" xfId="2" applyFont="1" applyBorder="1" applyAlignment="1">
      <alignment horizontal="center"/>
    </xf>
    <xf numFmtId="0" fontId="3" fillId="0" borderId="1" xfId="2" applyFont="1" applyFill="1" applyBorder="1" applyAlignment="1">
      <alignment horizontal="center"/>
    </xf>
    <xf numFmtId="0" fontId="56" fillId="0" borderId="0" xfId="0" applyFont="1" applyBorder="1" applyAlignment="1">
      <alignment horizontal="center" wrapText="1"/>
    </xf>
    <xf numFmtId="3" fontId="3" fillId="39" borderId="0" xfId="2" applyNumberFormat="1" applyFont="1" applyFill="1" applyAlignment="1">
      <alignment horizontal="center"/>
    </xf>
    <xf numFmtId="0" fontId="0" fillId="0" borderId="0" xfId="0"/>
    <xf numFmtId="0" fontId="0" fillId="0" borderId="0" xfId="0" applyNumberFormat="1"/>
    <xf numFmtId="1" fontId="13" fillId="0" borderId="0" xfId="1" applyNumberFormat="1" applyFont="1" applyFill="1" applyAlignment="1">
      <alignment horizontal="center"/>
    </xf>
    <xf numFmtId="169" fontId="13" fillId="0" borderId="0" xfId="1" applyNumberFormat="1" applyFont="1" applyFill="1" applyAlignment="1">
      <alignment horizontal="center"/>
    </xf>
    <xf numFmtId="0" fontId="0" fillId="0" borderId="0" xfId="0" applyAlignment="1">
      <alignment vertical="center" wrapText="1"/>
    </xf>
    <xf numFmtId="15" fontId="0" fillId="0" borderId="0" xfId="0" applyNumberFormat="1" applyAlignment="1">
      <alignment vertical="center" wrapText="1"/>
    </xf>
    <xf numFmtId="164" fontId="68" fillId="0" borderId="0" xfId="1" applyNumberFormat="1" applyFont="1" applyFill="1" applyAlignment="1">
      <alignment horizontal="center"/>
    </xf>
    <xf numFmtId="2" fontId="68" fillId="0" borderId="0" xfId="1" applyNumberFormat="1" applyFont="1" applyFill="1" applyAlignment="1">
      <alignment horizontal="center"/>
    </xf>
    <xf numFmtId="3" fontId="68" fillId="0" borderId="0" xfId="0" applyNumberFormat="1" applyFont="1" applyFill="1" applyAlignment="1">
      <alignment horizontal="center"/>
    </xf>
    <xf numFmtId="0" fontId="15" fillId="0" borderId="1" xfId="0" applyFont="1" applyFill="1" applyBorder="1"/>
    <xf numFmtId="167" fontId="13" fillId="0" borderId="0" xfId="0" applyNumberFormat="1" applyFont="1" applyFill="1" applyAlignment="1">
      <alignment horizontal="center"/>
    </xf>
    <xf numFmtId="0" fontId="0" fillId="0" borderId="0" xfId="0" applyNumberFormat="1"/>
    <xf numFmtId="0" fontId="19" fillId="0" borderId="1" xfId="0" applyFont="1" applyFill="1" applyBorder="1" applyAlignment="1">
      <alignment horizontal="center"/>
    </xf>
    <xf numFmtId="4" fontId="0" fillId="0" borderId="0" xfId="0" applyNumberFormat="1" applyAlignment="1">
      <alignment vertical="center" wrapText="1"/>
    </xf>
    <xf numFmtId="0" fontId="2" fillId="0" borderId="0" xfId="0" applyFont="1" applyFill="1" applyBorder="1"/>
    <xf numFmtId="0" fontId="21" fillId="0" borderId="0" xfId="0" applyFont="1" applyFill="1" applyBorder="1"/>
    <xf numFmtId="0" fontId="65" fillId="0" borderId="0" xfId="0" applyFont="1" applyFill="1" applyBorder="1"/>
    <xf numFmtId="3" fontId="2" fillId="0" borderId="0" xfId="0" applyNumberFormat="1" applyFont="1" applyFill="1" applyBorder="1"/>
    <xf numFmtId="3" fontId="4" fillId="0" borderId="0" xfId="2" applyNumberFormat="1" applyFont="1" applyFill="1" applyBorder="1" applyAlignment="1">
      <alignment horizontal="center"/>
    </xf>
    <xf numFmtId="9" fontId="4" fillId="0" borderId="0" xfId="1" applyFont="1" applyFill="1" applyBorder="1" applyAlignment="1">
      <alignment horizontal="center"/>
    </xf>
    <xf numFmtId="10" fontId="65" fillId="0" borderId="0" xfId="1" applyNumberFormat="1" applyFont="1"/>
    <xf numFmtId="3" fontId="0" fillId="0" borderId="0" xfId="0" applyNumberFormat="1" applyAlignment="1"/>
    <xf numFmtId="9" fontId="0" fillId="0" borderId="0" xfId="1" applyFont="1" applyFill="1" applyAlignment="1">
      <alignment horizontal="center"/>
    </xf>
    <xf numFmtId="0" fontId="3" fillId="0" borderId="1" xfId="2" applyFont="1" applyBorder="1" applyAlignment="1">
      <alignment horizontal="center"/>
    </xf>
    <xf numFmtId="0" fontId="2" fillId="0" borderId="0" xfId="0" applyFont="1" applyFill="1" applyAlignment="1">
      <alignment horizontal="center"/>
    </xf>
    <xf numFmtId="0" fontId="58" fillId="0" borderId="0" xfId="0" applyFont="1" applyAlignment="1">
      <alignment horizontal="center"/>
    </xf>
    <xf numFmtId="0" fontId="56" fillId="0" borderId="0" xfId="0" applyFont="1" applyBorder="1" applyAlignment="1">
      <alignment horizontal="center" wrapText="1"/>
    </xf>
    <xf numFmtId="0" fontId="12" fillId="0" borderId="1" xfId="0" applyFont="1" applyFill="1" applyBorder="1" applyAlignment="1">
      <alignment horizontal="center" vertical="center" wrapText="1"/>
    </xf>
    <xf numFmtId="0" fontId="12" fillId="0" borderId="0" xfId="0" applyFont="1" applyFill="1" applyBorder="1" applyAlignment="1">
      <alignment horizontal="center" wrapText="1"/>
    </xf>
    <xf numFmtId="0" fontId="56" fillId="0" borderId="0" xfId="0" applyFont="1" applyAlignment="1">
      <alignment horizontal="center" vertical="center"/>
    </xf>
    <xf numFmtId="0" fontId="3" fillId="0" borderId="1" xfId="2" applyFont="1" applyFill="1" applyBorder="1" applyAlignment="1">
      <alignment horizontal="center"/>
    </xf>
    <xf numFmtId="0" fontId="56" fillId="0" borderId="0" xfId="0" applyFont="1" applyBorder="1" applyAlignment="1">
      <alignment horizontal="center" wrapText="1"/>
    </xf>
    <xf numFmtId="0" fontId="0" fillId="0" borderId="0" xfId="0"/>
    <xf numFmtId="173" fontId="0" fillId="0" borderId="0" xfId="1" applyNumberFormat="1" applyFont="1" applyFill="1"/>
    <xf numFmtId="3" fontId="0" fillId="0" borderId="0" xfId="0" applyNumberFormat="1" applyAlignment="1">
      <alignment horizontal="center"/>
    </xf>
    <xf numFmtId="3" fontId="0" fillId="0" borderId="0" xfId="0" applyNumberFormat="1" applyFill="1" applyAlignment="1">
      <alignment horizontal="center"/>
    </xf>
    <xf numFmtId="0" fontId="0" fillId="40" borderId="0" xfId="0" applyFill="1"/>
    <xf numFmtId="3" fontId="32" fillId="0" borderId="0" xfId="2" applyNumberFormat="1" applyFont="1" applyFill="1" applyAlignment="1">
      <alignment horizontal="center"/>
    </xf>
    <xf numFmtId="0" fontId="3" fillId="0" borderId="1" xfId="2" applyFont="1" applyBorder="1" applyAlignment="1">
      <alignment horizontal="center"/>
    </xf>
    <xf numFmtId="0" fontId="3" fillId="0" borderId="1" xfId="2" applyFont="1" applyBorder="1" applyAlignment="1"/>
    <xf numFmtId="2" fontId="0" fillId="0" borderId="0" xfId="0" applyNumberFormat="1"/>
    <xf numFmtId="0" fontId="28" fillId="0" borderId="1" xfId="0" applyFont="1" applyBorder="1" applyAlignment="1">
      <alignment horizontal="center"/>
    </xf>
    <xf numFmtId="0" fontId="3" fillId="0" borderId="1" xfId="2" applyFont="1" applyFill="1" applyBorder="1" applyAlignment="1">
      <alignment horizontal="center"/>
    </xf>
    <xf numFmtId="0" fontId="2" fillId="0" borderId="0" xfId="0" applyFont="1" applyFill="1" applyBorder="1" applyAlignment="1">
      <alignment horizontal="center"/>
    </xf>
    <xf numFmtId="0" fontId="56" fillId="0" borderId="0" xfId="0" applyFont="1" applyBorder="1" applyAlignment="1">
      <alignment horizontal="center" wrapText="1"/>
    </xf>
    <xf numFmtId="0" fontId="3" fillId="0" borderId="0" xfId="2" applyFont="1" applyAlignment="1"/>
    <xf numFmtId="0" fontId="0" fillId="0" borderId="0" xfId="0" applyAlignment="1"/>
    <xf numFmtId="3" fontId="0" fillId="0" borderId="0" xfId="0" applyNumberFormat="1" applyAlignment="1">
      <alignment vertical="center" wrapText="1"/>
    </xf>
    <xf numFmtId="9" fontId="0" fillId="0" borderId="0" xfId="0" applyNumberFormat="1"/>
    <xf numFmtId="9" fontId="0" fillId="0" borderId="0" xfId="1" applyNumberFormat="1" applyFont="1"/>
    <xf numFmtId="0" fontId="12" fillId="0" borderId="5" xfId="0" applyFont="1" applyBorder="1" applyAlignment="1">
      <alignment horizontal="center" vertical="center" wrapText="1"/>
    </xf>
    <xf numFmtId="0" fontId="23" fillId="0" borderId="5" xfId="0" applyFont="1" applyBorder="1" applyAlignment="1">
      <alignment horizontal="center" wrapText="1"/>
    </xf>
    <xf numFmtId="0" fontId="24" fillId="0" borderId="0" xfId="0" applyFont="1" applyBorder="1" applyAlignment="1">
      <alignment horizontal="center" vertical="center" wrapText="1"/>
    </xf>
    <xf numFmtId="0" fontId="22" fillId="0" borderId="0" xfId="0" applyFont="1" applyBorder="1" applyAlignment="1">
      <alignment horizontal="center" wrapText="1"/>
    </xf>
    <xf numFmtId="0" fontId="12" fillId="0" borderId="0" xfId="0" applyFont="1" applyBorder="1" applyAlignment="1">
      <alignment horizontal="center" vertical="center" wrapText="1"/>
    </xf>
    <xf numFmtId="0" fontId="22" fillId="0" borderId="0" xfId="0" applyFont="1" applyBorder="1" applyAlignment="1">
      <alignment wrapText="1"/>
    </xf>
    <xf numFmtId="0" fontId="12" fillId="0" borderId="0" xfId="0" applyFont="1" applyBorder="1" applyAlignment="1">
      <alignment horizontal="center" wrapText="1"/>
    </xf>
    <xf numFmtId="0" fontId="26" fillId="0" borderId="0" xfId="0" applyFont="1" applyAlignment="1">
      <alignment horizontal="center"/>
    </xf>
    <xf numFmtId="0" fontId="60" fillId="0" borderId="0" xfId="0" applyFont="1" applyAlignment="1">
      <alignment wrapText="1"/>
    </xf>
    <xf numFmtId="166" fontId="26" fillId="0" borderId="0" xfId="1" applyNumberFormat="1" applyFont="1" applyAlignment="1">
      <alignment horizontal="center"/>
    </xf>
    <xf numFmtId="3" fontId="26" fillId="0" borderId="1" xfId="0" applyNumberFormat="1" applyFont="1" applyBorder="1" applyAlignment="1">
      <alignment horizontal="center"/>
    </xf>
    <xf numFmtId="0" fontId="26" fillId="0" borderId="0" xfId="0" applyFont="1" applyBorder="1"/>
    <xf numFmtId="3" fontId="26" fillId="0" borderId="0" xfId="0" quotePrefix="1" applyNumberFormat="1" applyFont="1" applyAlignment="1">
      <alignment horizontal="center"/>
    </xf>
    <xf numFmtId="0" fontId="12" fillId="0" borderId="0" xfId="0" applyFont="1" applyFill="1" applyBorder="1" applyAlignment="1">
      <alignment horizontal="center" wrapText="1"/>
    </xf>
    <xf numFmtId="3" fontId="28" fillId="0" borderId="0" xfId="0" applyNumberFormat="1" applyFont="1" applyFill="1" applyBorder="1" applyAlignment="1">
      <alignment horizontal="center"/>
    </xf>
    <xf numFmtId="0" fontId="12" fillId="0" borderId="0" xfId="0" applyFont="1" applyFill="1" applyBorder="1" applyAlignment="1">
      <alignment horizontal="center" vertical="center" wrapText="1"/>
    </xf>
    <xf numFmtId="44" fontId="12" fillId="0" borderId="0" xfId="56" applyFont="1" applyBorder="1" applyAlignment="1">
      <alignment horizontal="center" wrapText="1"/>
    </xf>
    <xf numFmtId="44" fontId="0" fillId="0" borderId="0" xfId="56" applyFont="1" applyBorder="1"/>
    <xf numFmtId="3" fontId="26" fillId="0" borderId="0" xfId="0" quotePrefix="1" applyNumberFormat="1" applyFont="1" applyFill="1" applyAlignment="1">
      <alignment horizontal="center"/>
    </xf>
    <xf numFmtId="0" fontId="22" fillId="0" borderId="5" xfId="0" applyFont="1" applyBorder="1" applyAlignment="1">
      <alignment horizontal="center" wrapText="1"/>
    </xf>
    <xf numFmtId="0" fontId="23" fillId="0" borderId="0" xfId="0" applyFont="1" applyBorder="1" applyAlignment="1">
      <alignment horizontal="center" wrapText="1"/>
    </xf>
    <xf numFmtId="0" fontId="26" fillId="0" borderId="0" xfId="0" applyFont="1" applyFill="1" applyAlignment="1">
      <alignment horizontal="center"/>
    </xf>
    <xf numFmtId="0" fontId="23" fillId="0" borderId="0" xfId="0" applyFont="1" applyBorder="1" applyAlignment="1">
      <alignment wrapText="1"/>
    </xf>
    <xf numFmtId="0" fontId="0" fillId="2" borderId="0" xfId="0" applyFill="1"/>
    <xf numFmtId="0" fontId="56" fillId="0" borderId="0" xfId="0" applyFont="1" applyBorder="1" applyAlignment="1">
      <alignment horizontal="center" vertical="center" wrapText="1"/>
    </xf>
    <xf numFmtId="3" fontId="26" fillId="0" borderId="5" xfId="0" applyNumberFormat="1" applyFont="1" applyFill="1" applyBorder="1" applyAlignment="1">
      <alignment horizontal="center"/>
    </xf>
    <xf numFmtId="0" fontId="26" fillId="0" borderId="1" xfId="0" applyFont="1" applyBorder="1" applyAlignment="1">
      <alignment horizontal="center"/>
    </xf>
    <xf numFmtId="3" fontId="0" fillId="0" borderId="0" xfId="0" applyNumberFormat="1" applyBorder="1"/>
    <xf numFmtId="3" fontId="28" fillId="0" borderId="0" xfId="0" applyNumberFormat="1" applyFont="1" applyFill="1" applyAlignment="1">
      <alignment horizontal="center"/>
    </xf>
    <xf numFmtId="0" fontId="102" fillId="0" borderId="0" xfId="0" applyFont="1" applyBorder="1" applyAlignment="1">
      <alignment horizontal="left" wrapText="1"/>
    </xf>
    <xf numFmtId="164" fontId="54" fillId="0" borderId="0" xfId="1" applyNumberFormat="1" applyFont="1" applyFill="1" applyAlignment="1">
      <alignment horizontal="center"/>
    </xf>
    <xf numFmtId="0" fontId="103" fillId="0" borderId="0" xfId="0" applyFont="1"/>
    <xf numFmtId="164" fontId="54" fillId="0" borderId="0" xfId="1" quotePrefix="1" applyNumberFormat="1" applyFont="1" applyFill="1" applyBorder="1" applyAlignment="1">
      <alignment horizontal="center"/>
    </xf>
    <xf numFmtId="0" fontId="54" fillId="0" borderId="0" xfId="0" applyFont="1" applyAlignment="1"/>
    <xf numFmtId="164" fontId="54" fillId="0" borderId="0" xfId="1" applyNumberFormat="1" applyFont="1" applyAlignment="1">
      <alignment horizontal="center"/>
    </xf>
    <xf numFmtId="0" fontId="53" fillId="0" borderId="0" xfId="0" applyFont="1" applyBorder="1" applyAlignment="1">
      <alignment horizontal="left"/>
    </xf>
    <xf numFmtId="164" fontId="53" fillId="0" borderId="0" xfId="0" applyNumberFormat="1" applyFont="1" applyBorder="1" applyAlignment="1">
      <alignment horizontal="left"/>
    </xf>
    <xf numFmtId="0" fontId="54" fillId="0" borderId="0" xfId="0" applyFont="1" applyBorder="1" applyAlignment="1">
      <alignment horizontal="left" wrapText="1"/>
    </xf>
    <xf numFmtId="164" fontId="54" fillId="0" borderId="0" xfId="1" quotePrefix="1" applyNumberFormat="1" applyFont="1" applyBorder="1" applyAlignment="1">
      <alignment horizontal="center"/>
    </xf>
    <xf numFmtId="164" fontId="54" fillId="0" borderId="0" xfId="1" applyNumberFormat="1" applyFont="1" applyBorder="1" applyAlignment="1">
      <alignment horizontal="center"/>
    </xf>
    <xf numFmtId="164" fontId="102" fillId="0" borderId="0" xfId="1" applyNumberFormat="1" applyFont="1" applyBorder="1" applyAlignment="1">
      <alignment horizontal="center"/>
    </xf>
    <xf numFmtId="0" fontId="53" fillId="0" borderId="0" xfId="0" applyFont="1" applyAlignment="1"/>
    <xf numFmtId="169" fontId="54" fillId="0" borderId="0" xfId="0" applyNumberFormat="1" applyFont="1" applyAlignment="1"/>
    <xf numFmtId="164" fontId="54" fillId="0" borderId="0" xfId="1" applyNumberFormat="1" applyFont="1" applyFill="1" applyBorder="1" applyAlignment="1">
      <alignment horizontal="center"/>
    </xf>
    <xf numFmtId="0" fontId="104" fillId="0" borderId="0" xfId="0" applyFont="1" applyAlignment="1">
      <alignment horizontal="left" wrapText="1"/>
    </xf>
    <xf numFmtId="0" fontId="103" fillId="0" borderId="0" xfId="0" applyFont="1" applyFill="1"/>
    <xf numFmtId="0" fontId="54" fillId="0" borderId="0" xfId="0" applyFont="1" applyAlignment="1">
      <alignment horizontal="left"/>
    </xf>
    <xf numFmtId="0" fontId="53" fillId="0" borderId="0" xfId="0" applyFont="1" applyAlignment="1">
      <alignment horizontal="left"/>
    </xf>
    <xf numFmtId="164" fontId="102" fillId="0" borderId="0" xfId="1" applyNumberFormat="1" applyFont="1" applyFill="1" applyBorder="1" applyAlignment="1">
      <alignment horizontal="center"/>
    </xf>
    <xf numFmtId="0" fontId="54" fillId="0" borderId="0" xfId="0" applyFont="1" applyFill="1" applyBorder="1" applyAlignment="1">
      <alignment horizontal="left" wrapText="1"/>
    </xf>
    <xf numFmtId="0" fontId="12" fillId="0" borderId="0" xfId="0" applyFont="1" applyFill="1" applyBorder="1" applyAlignment="1">
      <alignment horizontal="center" wrapText="1"/>
    </xf>
    <xf numFmtId="0" fontId="12" fillId="0" borderId="1" xfId="0" applyFont="1" applyBorder="1" applyAlignment="1">
      <alignment horizontal="center" vertical="center" wrapText="1"/>
    </xf>
    <xf numFmtId="0" fontId="0" fillId="0" borderId="0" xfId="0"/>
    <xf numFmtId="164" fontId="0" fillId="0" borderId="0" xfId="0" applyNumberFormat="1"/>
    <xf numFmtId="171" fontId="26" fillId="0" borderId="0" xfId="0" applyNumberFormat="1" applyFont="1" applyFill="1" applyBorder="1" applyAlignment="1">
      <alignment horizontal="center"/>
    </xf>
    <xf numFmtId="168" fontId="26" fillId="0" borderId="0" xfId="0" applyNumberFormat="1" applyFont="1" applyFill="1" applyBorder="1" applyAlignment="1">
      <alignment horizontal="center"/>
    </xf>
    <xf numFmtId="0" fontId="12" fillId="0" borderId="0" xfId="0" applyFont="1" applyFill="1" applyBorder="1" applyAlignment="1">
      <alignment wrapText="1"/>
    </xf>
    <xf numFmtId="3" fontId="26" fillId="2" borderId="0" xfId="0" applyNumberFormat="1" applyFont="1" applyFill="1" applyBorder="1" applyAlignment="1">
      <alignment horizontal="center"/>
    </xf>
    <xf numFmtId="10" fontId="0" fillId="0" borderId="0" xfId="0" applyNumberFormat="1" applyFill="1"/>
    <xf numFmtId="0" fontId="3" fillId="0" borderId="1" xfId="0" applyFont="1" applyBorder="1" applyAlignment="1">
      <alignment horizontal="center" vertical="center"/>
    </xf>
    <xf numFmtId="0" fontId="95" fillId="0" borderId="0" xfId="0" applyFont="1"/>
    <xf numFmtId="164" fontId="95" fillId="0" borderId="0" xfId="0" applyNumberFormat="1" applyFont="1" applyAlignment="1">
      <alignment horizontal="center"/>
    </xf>
    <xf numFmtId="164" fontId="3" fillId="0" borderId="0" xfId="2" applyNumberFormat="1" applyFont="1" applyAlignment="1">
      <alignment horizontal="center"/>
    </xf>
    <xf numFmtId="0" fontId="95" fillId="0" borderId="1" xfId="0" applyFont="1" applyBorder="1"/>
    <xf numFmtId="0" fontId="105" fillId="0" borderId="0" xfId="3" applyFont="1" applyAlignment="1" applyProtection="1">
      <alignment vertical="center"/>
    </xf>
    <xf numFmtId="11" fontId="0" fillId="0" borderId="0" xfId="0" applyNumberFormat="1"/>
    <xf numFmtId="0" fontId="0" fillId="0" borderId="0" xfId="0"/>
    <xf numFmtId="0" fontId="3" fillId="0" borderId="0" xfId="2" applyFont="1" applyBorder="1" applyAlignment="1"/>
    <xf numFmtId="3" fontId="3" fillId="0" borderId="0" xfId="2" applyNumberFormat="1" applyFont="1" applyBorder="1" applyAlignment="1"/>
    <xf numFmtId="3" fontId="3" fillId="0" borderId="0" xfId="2" applyNumberFormat="1" applyFont="1" applyFill="1" applyBorder="1" applyAlignment="1"/>
    <xf numFmtId="169" fontId="3" fillId="0" borderId="0" xfId="2" applyNumberFormat="1" applyFont="1" applyBorder="1" applyAlignment="1">
      <alignment horizontal="center"/>
    </xf>
    <xf numFmtId="0" fontId="6" fillId="0" borderId="0" xfId="2" applyFont="1" applyAlignment="1">
      <alignment horizontal="center"/>
    </xf>
    <xf numFmtId="2" fontId="3" fillId="0" borderId="0" xfId="2" applyNumberFormat="1" applyFont="1" applyAlignment="1">
      <alignment horizontal="center"/>
    </xf>
    <xf numFmtId="0" fontId="3" fillId="0" borderId="0" xfId="2" applyFont="1"/>
    <xf numFmtId="0" fontId="3" fillId="0" borderId="0" xfId="2" applyFont="1" applyBorder="1" applyAlignment="1">
      <alignment horizontal="center"/>
    </xf>
    <xf numFmtId="2" fontId="3" fillId="0" borderId="0" xfId="2" applyNumberFormat="1" applyFont="1" applyBorder="1" applyAlignment="1">
      <alignment horizontal="center"/>
    </xf>
    <xf numFmtId="0" fontId="0" fillId="0" borderId="0" xfId="0" applyNumberFormat="1" applyBorder="1" applyAlignment="1">
      <alignment horizontal="center"/>
    </xf>
    <xf numFmtId="9" fontId="0" fillId="0" borderId="0" xfId="1" applyNumberFormat="1" applyFont="1" applyBorder="1" applyAlignment="1">
      <alignment horizontal="center"/>
    </xf>
    <xf numFmtId="0" fontId="56" fillId="0" borderId="0" xfId="0" applyFont="1" applyBorder="1" applyAlignment="1">
      <alignment horizontal="center" wrapText="1"/>
    </xf>
    <xf numFmtId="0" fontId="12" fillId="0" borderId="0" xfId="0" applyFont="1" applyFill="1" applyBorder="1" applyAlignment="1">
      <alignment horizontal="center" wrapText="1"/>
    </xf>
    <xf numFmtId="0" fontId="12" fillId="0" borderId="0" xfId="0" applyFont="1" applyBorder="1" applyAlignment="1">
      <alignment horizontal="center" wrapText="1"/>
    </xf>
    <xf numFmtId="0" fontId="23" fillId="0" borderId="0" xfId="0" applyFont="1" applyBorder="1" applyAlignment="1">
      <alignment horizontal="center" wrapText="1"/>
    </xf>
    <xf numFmtId="0" fontId="12" fillId="0" borderId="1" xfId="0" applyFont="1" applyBorder="1" applyAlignment="1">
      <alignment horizontal="center" vertical="center" wrapText="1"/>
    </xf>
    <xf numFmtId="0" fontId="12" fillId="0" borderId="1" xfId="0" applyFont="1" applyFill="1" applyBorder="1" applyAlignment="1">
      <alignment horizontal="center" vertical="center" wrapText="1"/>
    </xf>
    <xf numFmtId="0" fontId="22" fillId="0" borderId="0" xfId="0" applyFont="1" applyBorder="1" applyAlignment="1">
      <alignment horizontal="center" wrapText="1"/>
    </xf>
    <xf numFmtId="0" fontId="3" fillId="0" borderId="1" xfId="2" applyFont="1" applyBorder="1" applyAlignment="1">
      <alignment horizontal="center" wrapText="1"/>
    </xf>
    <xf numFmtId="0" fontId="58" fillId="0" borderId="0" xfId="0" applyFont="1" applyAlignment="1">
      <alignment horizontal="center"/>
    </xf>
    <xf numFmtId="0" fontId="58" fillId="0" borderId="0" xfId="0" applyFont="1" applyAlignment="1">
      <alignment horizontal="center" vertical="center"/>
    </xf>
    <xf numFmtId="0" fontId="2" fillId="0" borderId="0" xfId="0" applyFont="1" applyFill="1" applyBorder="1" applyAlignment="1">
      <alignment horizontal="center"/>
    </xf>
    <xf numFmtId="0" fontId="3" fillId="0" borderId="0" xfId="2" applyFont="1" applyAlignment="1"/>
    <xf numFmtId="4" fontId="0" fillId="0" borderId="0" xfId="0" applyNumberFormat="1" applyBorder="1" applyAlignment="1">
      <alignment vertical="center" wrapText="1"/>
    </xf>
    <xf numFmtId="0" fontId="31" fillId="0" borderId="0" xfId="2" applyFont="1" applyFill="1" applyAlignment="1">
      <alignment horizontal="center"/>
    </xf>
    <xf numFmtId="11" fontId="65" fillId="0" borderId="0" xfId="0" applyNumberFormat="1" applyFont="1"/>
    <xf numFmtId="0" fontId="65" fillId="0" borderId="0" xfId="0" applyFont="1" applyFill="1"/>
    <xf numFmtId="3" fontId="26" fillId="0" borderId="1" xfId="0" applyNumberFormat="1" applyFont="1" applyFill="1" applyBorder="1" applyAlignment="1">
      <alignment horizontal="center"/>
    </xf>
    <xf numFmtId="11" fontId="65" fillId="0" borderId="0" xfId="0" applyNumberFormat="1" applyFont="1" applyFill="1"/>
    <xf numFmtId="3" fontId="26" fillId="0" borderId="0" xfId="1" applyNumberFormat="1" applyFont="1" applyFill="1" applyBorder="1" applyAlignment="1">
      <alignment horizontal="center"/>
    </xf>
    <xf numFmtId="0" fontId="22" fillId="0" borderId="0" xfId="0" applyFont="1" applyFill="1" applyBorder="1" applyAlignment="1">
      <alignment horizontal="center" wrapText="1"/>
    </xf>
    <xf numFmtId="164" fontId="35" fillId="0" borderId="0" xfId="0" applyNumberFormat="1" applyFont="1" applyAlignment="1">
      <alignment horizontal="center"/>
    </xf>
    <xf numFmtId="0" fontId="35" fillId="0" borderId="0" xfId="0" applyFont="1"/>
    <xf numFmtId="164" fontId="35" fillId="0" borderId="0" xfId="0" applyNumberFormat="1" applyFont="1" applyBorder="1" applyAlignment="1">
      <alignment horizontal="center"/>
    </xf>
    <xf numFmtId="0" fontId="35" fillId="0" borderId="0" xfId="0" applyFont="1" applyBorder="1"/>
    <xf numFmtId="164" fontId="35" fillId="0" borderId="1" xfId="0" applyNumberFormat="1" applyFont="1" applyBorder="1" applyAlignment="1">
      <alignment horizontal="center"/>
    </xf>
    <xf numFmtId="0" fontId="35" fillId="0" borderId="1" xfId="0" applyFont="1" applyBorder="1"/>
    <xf numFmtId="169" fontId="26" fillId="0" borderId="0" xfId="0" applyNumberFormat="1" applyFont="1" applyAlignment="1">
      <alignment horizontal="center"/>
    </xf>
    <xf numFmtId="0" fontId="26" fillId="0" borderId="1" xfId="0" applyFont="1" applyBorder="1" applyAlignment="1">
      <alignment horizontal="center" wrapText="1"/>
    </xf>
    <xf numFmtId="169" fontId="26" fillId="0" borderId="0" xfId="0" applyNumberFormat="1" applyFont="1" applyAlignment="1">
      <alignment horizontal="right"/>
    </xf>
    <xf numFmtId="1" fontId="13" fillId="0" borderId="0" xfId="0" applyNumberFormat="1" applyFont="1" applyFill="1" applyAlignment="1">
      <alignment horizontal="center"/>
    </xf>
    <xf numFmtId="169" fontId="0" fillId="0" borderId="0" xfId="0" applyNumberFormat="1"/>
    <xf numFmtId="3" fontId="22" fillId="0" borderId="1" xfId="0" applyNumberFormat="1" applyFont="1" applyFill="1" applyBorder="1"/>
    <xf numFmtId="0" fontId="96" fillId="0" borderId="0" xfId="0" applyFont="1" applyFill="1" applyAlignment="1">
      <alignment horizontal="center"/>
    </xf>
    <xf numFmtId="0" fontId="6" fillId="0" borderId="0" xfId="2" applyFont="1"/>
    <xf numFmtId="0" fontId="6" fillId="0" borderId="1" xfId="2" applyFont="1" applyBorder="1" applyAlignment="1">
      <alignment horizontal="center"/>
    </xf>
    <xf numFmtId="165" fontId="3" fillId="0" borderId="0" xfId="2" applyNumberFormat="1" applyFont="1" applyAlignment="1">
      <alignment horizontal="center"/>
    </xf>
    <xf numFmtId="3" fontId="96" fillId="0" borderId="0" xfId="0" applyNumberFormat="1" applyFont="1" applyFill="1" applyAlignment="1">
      <alignment horizontal="right"/>
    </xf>
    <xf numFmtId="3" fontId="4" fillId="0" borderId="0" xfId="2" applyNumberFormat="1" applyFont="1" applyFill="1" applyAlignment="1">
      <alignment horizontal="center"/>
    </xf>
    <xf numFmtId="3" fontId="32" fillId="0" borderId="0" xfId="0" applyNumberFormat="1" applyFont="1" applyFill="1" applyBorder="1" applyAlignment="1">
      <alignment horizontal="center"/>
    </xf>
    <xf numFmtId="166" fontId="26" fillId="0" borderId="0" xfId="1" applyNumberFormat="1" applyFont="1" applyFill="1" applyAlignment="1">
      <alignment horizontal="center"/>
    </xf>
    <xf numFmtId="3" fontId="26" fillId="0" borderId="0" xfId="0" applyNumberFormat="1" applyFont="1" applyFill="1" applyBorder="1"/>
    <xf numFmtId="1" fontId="32" fillId="0" borderId="0" xfId="2" applyNumberFormat="1" applyFont="1" applyFill="1" applyAlignment="1">
      <alignment horizontal="center"/>
    </xf>
    <xf numFmtId="0" fontId="23" fillId="0" borderId="0" xfId="0" applyFont="1" applyFill="1" applyBorder="1" applyAlignment="1">
      <alignment horizontal="center" wrapText="1"/>
    </xf>
    <xf numFmtId="0" fontId="31" fillId="0" borderId="1" xfId="0" applyFont="1" applyFill="1" applyBorder="1" applyAlignment="1">
      <alignment horizontal="center" vertical="center" wrapText="1"/>
    </xf>
    <xf numFmtId="3" fontId="32" fillId="0" borderId="0" xfId="0" applyNumberFormat="1" applyFont="1" applyFill="1" applyBorder="1"/>
    <xf numFmtId="0" fontId="32" fillId="0" borderId="1" xfId="0" applyFont="1" applyFill="1" applyBorder="1"/>
    <xf numFmtId="0" fontId="49" fillId="3" borderId="0" xfId="0" applyFont="1" applyFill="1"/>
    <xf numFmtId="164" fontId="53" fillId="0" borderId="0" xfId="0" applyNumberFormat="1" applyFont="1" applyFill="1" applyBorder="1" applyAlignment="1">
      <alignment horizontal="left"/>
    </xf>
    <xf numFmtId="0" fontId="106" fillId="0" borderId="0" xfId="0" applyFont="1" applyFill="1" applyBorder="1" applyAlignment="1">
      <alignment horizontal="left" wrapText="1"/>
    </xf>
    <xf numFmtId="3" fontId="48" fillId="0" borderId="0" xfId="0" applyNumberFormat="1" applyFont="1" applyFill="1" applyBorder="1"/>
    <xf numFmtId="164" fontId="102" fillId="0" borderId="0" xfId="1" applyNumberFormat="1" applyFont="1" applyFill="1" applyBorder="1" applyAlignment="1">
      <alignment horizontal="center" vertical="center"/>
    </xf>
    <xf numFmtId="0" fontId="103" fillId="0" borderId="1" xfId="0" applyFont="1" applyFill="1" applyBorder="1" applyAlignment="1">
      <alignment vertical="center"/>
    </xf>
    <xf numFmtId="0" fontId="65" fillId="0" borderId="0" xfId="0" applyFont="1" applyFill="1" applyAlignment="1">
      <alignment horizontal="center"/>
    </xf>
    <xf numFmtId="9" fontId="65" fillId="0" borderId="0" xfId="1" applyFont="1" applyFill="1" applyAlignment="1">
      <alignment horizontal="center"/>
    </xf>
    <xf numFmtId="0" fontId="91" fillId="0" borderId="0" xfId="64"/>
    <xf numFmtId="0" fontId="110" fillId="0" borderId="0" xfId="64" applyFont="1" applyBorder="1" applyAlignment="1"/>
    <xf numFmtId="0" fontId="91" fillId="0" borderId="1" xfId="64" applyBorder="1"/>
    <xf numFmtId="4" fontId="64" fillId="0" borderId="1" xfId="64" applyNumberFormat="1" applyFont="1" applyBorder="1" applyAlignment="1">
      <alignment horizontal="center"/>
    </xf>
    <xf numFmtId="4" fontId="50" fillId="0" borderId="0" xfId="64" applyNumberFormat="1" applyFont="1" applyBorder="1" applyAlignment="1">
      <alignment horizontal="center"/>
    </xf>
    <xf numFmtId="1" fontId="50" fillId="0" borderId="0" xfId="64" applyNumberFormat="1" applyFont="1" applyAlignment="1">
      <alignment horizontal="center"/>
    </xf>
    <xf numFmtId="3" fontId="11" fillId="0" borderId="0" xfId="64" applyNumberFormat="1" applyFont="1" applyAlignment="1">
      <alignment horizontal="center"/>
    </xf>
    <xf numFmtId="167" fontId="11" fillId="0" borderId="0" xfId="64" applyNumberFormat="1" applyFont="1" applyAlignment="1">
      <alignment horizontal="center"/>
    </xf>
    <xf numFmtId="4" fontId="11" fillId="0" borderId="0" xfId="64" applyNumberFormat="1" applyFont="1" applyAlignment="1">
      <alignment horizontal="center"/>
    </xf>
    <xf numFmtId="0" fontId="11" fillId="0" borderId="0" xfId="64" applyFont="1"/>
    <xf numFmtId="0" fontId="68" fillId="0" borderId="0" xfId="64" applyFont="1"/>
    <xf numFmtId="4" fontId="64" fillId="0" borderId="0" xfId="64" applyNumberFormat="1" applyFont="1" applyBorder="1" applyAlignment="1">
      <alignment horizontal="center"/>
    </xf>
    <xf numFmtId="166" fontId="13" fillId="0" borderId="0" xfId="1" applyNumberFormat="1" applyFont="1" applyBorder="1" applyAlignment="1">
      <alignment horizontal="center"/>
    </xf>
    <xf numFmtId="0" fontId="25" fillId="41" borderId="0" xfId="0" applyFont="1" applyFill="1"/>
    <xf numFmtId="0" fontId="0" fillId="41" borderId="0" xfId="0" applyFont="1" applyFill="1" applyAlignment="1"/>
    <xf numFmtId="164" fontId="35" fillId="0" borderId="0" xfId="0" applyNumberFormat="1" applyFont="1" applyFill="1" applyBorder="1" applyAlignment="1">
      <alignment horizontal="center"/>
    </xf>
    <xf numFmtId="3" fontId="26" fillId="0" borderId="0" xfId="0" applyNumberFormat="1" applyFont="1"/>
    <xf numFmtId="0" fontId="2" fillId="0" borderId="0" xfId="0" applyFont="1" applyAlignment="1">
      <alignment horizontal="left"/>
    </xf>
    <xf numFmtId="1" fontId="0" fillId="0" borderId="0" xfId="0" applyNumberFormat="1" applyAlignment="1">
      <alignment horizontal="center"/>
    </xf>
    <xf numFmtId="0" fontId="111" fillId="0" borderId="0" xfId="0" applyFont="1" applyFill="1" applyAlignment="1"/>
    <xf numFmtId="0" fontId="49" fillId="0" borderId="1" xfId="0" applyFont="1" applyFill="1" applyBorder="1" applyAlignment="1">
      <alignment horizontal="left" vertical="top" wrapText="1"/>
    </xf>
    <xf numFmtId="0" fontId="48" fillId="0" borderId="1" xfId="0" applyFont="1" applyFill="1" applyBorder="1" applyAlignment="1"/>
    <xf numFmtId="0" fontId="0" fillId="0" borderId="1" xfId="0" applyBorder="1" applyAlignment="1"/>
    <xf numFmtId="0" fontId="111" fillId="0" borderId="1" xfId="0" applyFont="1" applyBorder="1" applyAlignment="1">
      <alignment horizontal="center" wrapText="1"/>
    </xf>
    <xf numFmtId="3" fontId="111" fillId="0" borderId="1" xfId="0" applyNumberFormat="1" applyFont="1" applyBorder="1" applyAlignment="1"/>
    <xf numFmtId="0" fontId="49" fillId="0" borderId="0" xfId="0" applyFont="1" applyFill="1" applyBorder="1" applyAlignment="1">
      <alignment horizontal="center" wrapText="1"/>
    </xf>
    <xf numFmtId="0" fontId="49" fillId="0" borderId="1" xfId="0" applyFont="1" applyFill="1" applyBorder="1" applyAlignment="1">
      <alignment horizontal="center" wrapText="1"/>
    </xf>
    <xf numFmtId="3" fontId="112" fillId="0" borderId="1" xfId="0" applyNumberFormat="1" applyFont="1" applyFill="1" applyBorder="1" applyAlignment="1">
      <alignment horizontal="center" wrapText="1"/>
    </xf>
    <xf numFmtId="3" fontId="113" fillId="0" borderId="1" xfId="0" applyNumberFormat="1" applyFont="1" applyFill="1" applyBorder="1" applyAlignment="1">
      <alignment horizontal="center" wrapText="1"/>
    </xf>
    <xf numFmtId="0" fontId="49" fillId="0" borderId="0" xfId="0" applyFont="1" applyFill="1" applyAlignment="1">
      <alignment horizontal="left"/>
    </xf>
    <xf numFmtId="3" fontId="48" fillId="0" borderId="0" xfId="0" applyNumberFormat="1" applyFont="1" applyFill="1" applyAlignment="1">
      <alignment horizontal="right"/>
    </xf>
    <xf numFmtId="9" fontId="0" fillId="42" borderId="0" xfId="1" applyFont="1" applyFill="1"/>
    <xf numFmtId="9" fontId="0" fillId="43" borderId="0" xfId="1" applyFont="1" applyFill="1"/>
    <xf numFmtId="0" fontId="49" fillId="0" borderId="1" xfId="0" applyFont="1" applyFill="1" applyBorder="1" applyAlignment="1">
      <alignment horizontal="left"/>
    </xf>
    <xf numFmtId="3" fontId="48" fillId="0" borderId="1" xfId="0" applyNumberFormat="1" applyFont="1" applyFill="1" applyBorder="1" applyAlignment="1">
      <alignment horizontal="right"/>
    </xf>
    <xf numFmtId="0" fontId="48" fillId="0" borderId="0" xfId="0" applyFont="1" applyFill="1" applyAlignment="1"/>
    <xf numFmtId="3" fontId="19" fillId="0" borderId="0" xfId="0" applyNumberFormat="1" applyFont="1"/>
    <xf numFmtId="3" fontId="19" fillId="0" borderId="0" xfId="0" applyNumberFormat="1" applyFont="1" applyBorder="1"/>
    <xf numFmtId="164" fontId="102" fillId="0" borderId="1" xfId="1" applyNumberFormat="1" applyFont="1" applyBorder="1" applyAlignment="1">
      <alignment horizontal="center" vertical="center"/>
    </xf>
    <xf numFmtId="0" fontId="2" fillId="0" borderId="0" xfId="0" applyFont="1" applyFill="1" applyBorder="1" applyAlignment="1"/>
    <xf numFmtId="4" fontId="13" fillId="0" borderId="0" xfId="0" applyNumberFormat="1" applyFont="1" applyFill="1" applyAlignment="1">
      <alignment horizontal="center"/>
    </xf>
    <xf numFmtId="0" fontId="12" fillId="0" borderId="0" xfId="0" applyFont="1" applyFill="1" applyBorder="1" applyAlignment="1">
      <alignment horizontal="center" wrapText="1"/>
    </xf>
    <xf numFmtId="0" fontId="22" fillId="0" borderId="0" xfId="0" applyFont="1" applyBorder="1" applyAlignment="1">
      <alignment horizontal="center" wrapText="1"/>
    </xf>
    <xf numFmtId="0" fontId="3" fillId="0" borderId="1" xfId="2" applyFont="1" applyBorder="1" applyAlignment="1">
      <alignment horizontal="center"/>
    </xf>
    <xf numFmtId="9" fontId="0" fillId="3" borderId="0" xfId="1" applyFont="1" applyFill="1" applyAlignment="1">
      <alignment horizontal="center"/>
    </xf>
    <xf numFmtId="0" fontId="3" fillId="0" borderId="0" xfId="50" applyFill="1" applyBorder="1" applyAlignment="1">
      <alignment horizontal="center"/>
    </xf>
    <xf numFmtId="0" fontId="3" fillId="0" borderId="1" xfId="50" applyFill="1" applyBorder="1" applyAlignment="1">
      <alignment horizontal="center"/>
    </xf>
    <xf numFmtId="3" fontId="3" fillId="0" borderId="0" xfId="50" applyNumberFormat="1" applyFont="1" applyFill="1" applyBorder="1"/>
    <xf numFmtId="9" fontId="11" fillId="0" borderId="0" xfId="1" applyFont="1" applyBorder="1"/>
    <xf numFmtId="0" fontId="40" fillId="0" borderId="0" xfId="0" applyFont="1"/>
    <xf numFmtId="0" fontId="42" fillId="0" borderId="1" xfId="0" applyFont="1" applyFill="1" applyBorder="1"/>
    <xf numFmtId="0" fontId="42" fillId="0" borderId="0" xfId="0" applyFont="1" applyBorder="1" applyAlignment="1">
      <alignment horizontal="center"/>
    </xf>
    <xf numFmtId="0" fontId="3" fillId="0" borderId="1" xfId="50" applyFont="1" applyFill="1" applyBorder="1" applyAlignment="1">
      <alignment horizontal="center" vertical="center" wrapText="1"/>
    </xf>
    <xf numFmtId="0" fontId="3" fillId="0" borderId="0" xfId="50" applyFont="1" applyFill="1" applyBorder="1" applyAlignment="1">
      <alignment horizontal="center" vertical="center" wrapText="1"/>
    </xf>
    <xf numFmtId="3" fontId="9" fillId="0" borderId="0" xfId="0" applyNumberFormat="1" applyFont="1" applyFill="1" applyBorder="1" applyAlignment="1">
      <alignment horizontal="center" vertical="center"/>
    </xf>
    <xf numFmtId="10" fontId="9" fillId="0" borderId="0" xfId="1" applyNumberFormat="1" applyFont="1" applyFill="1" applyAlignment="1">
      <alignment horizontal="center" vertical="center"/>
    </xf>
    <xf numFmtId="3" fontId="9" fillId="42" borderId="0" xfId="0" applyNumberFormat="1" applyFont="1" applyFill="1" applyAlignment="1">
      <alignment horizontal="center"/>
    </xf>
    <xf numFmtId="10" fontId="9" fillId="0" borderId="0" xfId="0" applyNumberFormat="1" applyFont="1" applyAlignment="1">
      <alignment horizontal="center" vertical="center"/>
    </xf>
    <xf numFmtId="0" fontId="114" fillId="0" borderId="0" xfId="0" applyFont="1"/>
    <xf numFmtId="10" fontId="9" fillId="0" borderId="0" xfId="1" quotePrefix="1" applyNumberFormat="1" applyFont="1" applyFill="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horizontal="center" wrapText="1"/>
    </xf>
    <xf numFmtId="0" fontId="12" fillId="0" borderId="0" xfId="0" applyFont="1" applyFill="1" applyBorder="1" applyAlignment="1">
      <alignment horizontal="center" wrapText="1"/>
    </xf>
    <xf numFmtId="0" fontId="56" fillId="0" borderId="0" xfId="0" applyFont="1" applyBorder="1" applyAlignment="1">
      <alignment horizontal="center" wrapText="1"/>
    </xf>
    <xf numFmtId="3" fontId="9" fillId="0" borderId="0" xfId="0" applyNumberFormat="1" applyFont="1" applyFill="1" applyAlignment="1">
      <alignment horizontal="center"/>
    </xf>
    <xf numFmtId="0" fontId="58" fillId="0" borderId="0" xfId="0" applyFont="1" applyAlignment="1">
      <alignment horizontal="center"/>
    </xf>
    <xf numFmtId="4" fontId="0" fillId="0" borderId="0" xfId="0" applyNumberFormat="1" applyFill="1"/>
    <xf numFmtId="0" fontId="51" fillId="0" borderId="0" xfId="2" applyFont="1" applyFill="1" applyAlignment="1">
      <alignment horizontal="center"/>
    </xf>
    <xf numFmtId="1" fontId="19" fillId="0" borderId="0" xfId="0" applyNumberFormat="1" applyFont="1"/>
    <xf numFmtId="1" fontId="19" fillId="0" borderId="0" xfId="0" applyNumberFormat="1" applyFont="1" applyFill="1"/>
    <xf numFmtId="11" fontId="19" fillId="0" borderId="0" xfId="0" applyNumberFormat="1" applyFont="1" applyFill="1"/>
    <xf numFmtId="11" fontId="19" fillId="0" borderId="0" xfId="0" applyNumberFormat="1" applyFont="1"/>
    <xf numFmtId="0" fontId="12" fillId="0" borderId="1" xfId="0" applyFont="1" applyBorder="1" applyAlignment="1">
      <alignment horizontal="center" vertical="center" wrapText="1"/>
    </xf>
    <xf numFmtId="0" fontId="3" fillId="0" borderId="1" xfId="2" applyFont="1" applyBorder="1" applyAlignment="1">
      <alignment horizontal="center"/>
    </xf>
    <xf numFmtId="0" fontId="3" fillId="0" borderId="0" xfId="50" applyFont="1" applyBorder="1" applyAlignment="1">
      <alignment horizontal="center" vertical="center" wrapText="1"/>
    </xf>
    <xf numFmtId="0" fontId="6" fillId="0" borderId="0" xfId="50" applyFont="1" applyFill="1" applyBorder="1" applyAlignment="1">
      <alignment horizontal="center"/>
    </xf>
    <xf numFmtId="0" fontId="68" fillId="0" borderId="0" xfId="0" applyFont="1" applyAlignment="1">
      <alignment horizontal="center"/>
    </xf>
    <xf numFmtId="9" fontId="68" fillId="0" borderId="0" xfId="1" applyFont="1" applyAlignment="1">
      <alignment horizontal="center" vertical="center"/>
    </xf>
    <xf numFmtId="0" fontId="68" fillId="0" borderId="0" xfId="0" applyFont="1" applyAlignment="1">
      <alignment horizontal="center" vertical="center"/>
    </xf>
    <xf numFmtId="0" fontId="9" fillId="0" borderId="0" xfId="0" applyFont="1" applyFill="1" applyAlignment="1">
      <alignment vertical="center"/>
    </xf>
    <xf numFmtId="0" fontId="9" fillId="0" borderId="0" xfId="0" applyFont="1" applyAlignment="1">
      <alignment vertical="center"/>
    </xf>
    <xf numFmtId="0" fontId="9" fillId="0" borderId="0" xfId="0" applyFont="1" applyFill="1"/>
    <xf numFmtId="0" fontId="9" fillId="0" borderId="0" xfId="0" applyFont="1" applyFill="1" applyAlignment="1">
      <alignment horizontal="left" vertical="top"/>
    </xf>
    <xf numFmtId="175" fontId="9" fillId="0" borderId="0" xfId="55" applyNumberFormat="1" applyFont="1" applyFill="1" applyAlignment="1">
      <alignment horizontal="left" vertical="top"/>
    </xf>
    <xf numFmtId="0" fontId="9" fillId="0" borderId="0" xfId="0" applyFont="1"/>
    <xf numFmtId="3" fontId="9" fillId="0" borderId="0" xfId="0" applyNumberFormat="1" applyFont="1" applyFill="1" applyAlignment="1">
      <alignment horizontal="center" vertical="center"/>
    </xf>
    <xf numFmtId="3" fontId="9" fillId="0" borderId="0" xfId="55" applyNumberFormat="1" applyFont="1" applyFill="1" applyAlignment="1">
      <alignment horizontal="center" vertical="center"/>
    </xf>
    <xf numFmtId="3" fontId="9" fillId="0" borderId="0" xfId="0" applyNumberFormat="1" applyFont="1" applyFill="1" applyAlignment="1">
      <alignment horizontal="center" vertical="center" wrapText="1"/>
    </xf>
    <xf numFmtId="0" fontId="9" fillId="0" borderId="0" xfId="0" applyFont="1" applyFill="1" applyAlignment="1">
      <alignment wrapText="1"/>
    </xf>
    <xf numFmtId="3" fontId="9" fillId="0" borderId="0" xfId="0" quotePrefix="1" applyNumberFormat="1" applyFont="1" applyFill="1" applyBorder="1" applyAlignment="1">
      <alignment horizontal="center" vertical="center"/>
    </xf>
    <xf numFmtId="166" fontId="9" fillId="0" borderId="0" xfId="1" applyNumberFormat="1" applyFont="1" applyFill="1" applyAlignment="1">
      <alignment horizontal="center"/>
    </xf>
    <xf numFmtId="166" fontId="9" fillId="0" borderId="0" xfId="1" applyNumberFormat="1" applyFont="1" applyFill="1"/>
    <xf numFmtId="0" fontId="9" fillId="0" borderId="1" xfId="0" applyFont="1" applyBorder="1"/>
    <xf numFmtId="0" fontId="68" fillId="0" borderId="1" xfId="0" applyFont="1" applyBorder="1"/>
    <xf numFmtId="3" fontId="9" fillId="0" borderId="0" xfId="0" applyNumberFormat="1" applyFont="1" applyFill="1"/>
    <xf numFmtId="0" fontId="110" fillId="0" borderId="0" xfId="0" applyFont="1" applyAlignment="1">
      <alignment vertical="center"/>
    </xf>
    <xf numFmtId="0" fontId="115" fillId="0" borderId="0" xfId="0" applyFont="1" applyAlignment="1">
      <alignment vertical="center"/>
    </xf>
    <xf numFmtId="0" fontId="11" fillId="0" borderId="17" xfId="0" applyFont="1" applyBorder="1" applyAlignment="1">
      <alignment horizontal="center" wrapText="1"/>
    </xf>
    <xf numFmtId="0" fontId="11" fillId="0" borderId="20" xfId="0" applyFont="1" applyBorder="1" applyAlignment="1">
      <alignment horizontal="center" wrapText="1"/>
    </xf>
    <xf numFmtId="0" fontId="11" fillId="0" borderId="21" xfId="0" applyFont="1" applyFill="1" applyBorder="1" applyAlignment="1">
      <alignment horizontal="center" wrapText="1"/>
    </xf>
    <xf numFmtId="10" fontId="11" fillId="0" borderId="0" xfId="1" applyNumberFormat="1" applyFont="1" applyAlignment="1">
      <alignment vertical="center"/>
    </xf>
    <xf numFmtId="175" fontId="11" fillId="0" borderId="0" xfId="55" applyNumberFormat="1" applyFont="1" applyAlignment="1">
      <alignment vertical="center"/>
    </xf>
    <xf numFmtId="169" fontId="116" fillId="0" borderId="0" xfId="0" applyNumberFormat="1" applyFont="1" applyAlignment="1">
      <alignment vertical="center"/>
    </xf>
    <xf numFmtId="169" fontId="11" fillId="0" borderId="0" xfId="0" applyNumberFormat="1" applyFont="1" applyAlignment="1">
      <alignment vertical="center"/>
    </xf>
    <xf numFmtId="10" fontId="26" fillId="0" borderId="0" xfId="1" applyNumberFormat="1" applyFont="1" applyAlignment="1">
      <alignment horizontal="center"/>
    </xf>
    <xf numFmtId="3" fontId="68" fillId="0" borderId="0" xfId="1" applyNumberFormat="1" applyFont="1" applyAlignment="1">
      <alignment horizontal="center" vertical="center"/>
    </xf>
    <xf numFmtId="164" fontId="32" fillId="0" borderId="0" xfId="53" applyNumberFormat="1" applyFont="1" applyFill="1" applyBorder="1" applyAlignment="1" applyProtection="1">
      <alignment horizontal="center"/>
    </xf>
    <xf numFmtId="164" fontId="35" fillId="0" borderId="1" xfId="0" applyNumberFormat="1" applyFont="1" applyFill="1" applyBorder="1" applyAlignment="1">
      <alignment horizontal="center"/>
    </xf>
    <xf numFmtId="3" fontId="3" fillId="0" borderId="0" xfId="2" quotePrefix="1" applyNumberFormat="1" applyFont="1" applyFill="1" applyAlignment="1">
      <alignment horizontal="center"/>
    </xf>
    <xf numFmtId="3" fontId="0" fillId="0" borderId="1" xfId="0" applyNumberFormat="1" applyFill="1" applyBorder="1" applyAlignment="1">
      <alignment horizontal="center"/>
    </xf>
    <xf numFmtId="3" fontId="95" fillId="0" borderId="0" xfId="0" applyNumberFormat="1" applyFont="1" applyFill="1"/>
    <xf numFmtId="0" fontId="52" fillId="0" borderId="0" xfId="0" applyFont="1" applyBorder="1" applyAlignment="1">
      <alignment horizontal="center"/>
    </xf>
    <xf numFmtId="0" fontId="65" fillId="0" borderId="0" xfId="0" applyFont="1" applyAlignment="1">
      <alignment horizontal="center" wrapText="1"/>
    </xf>
    <xf numFmtId="1" fontId="26" fillId="0" borderId="0" xfId="1" applyNumberFormat="1" applyFont="1" applyFill="1" applyAlignment="1">
      <alignment horizontal="center"/>
    </xf>
    <xf numFmtId="0" fontId="2" fillId="0" borderId="0" xfId="0" applyFont="1" applyBorder="1"/>
    <xf numFmtId="0" fontId="22" fillId="0" borderId="0" xfId="0" applyFont="1" applyBorder="1" applyAlignment="1">
      <alignment horizontal="left"/>
    </xf>
    <xf numFmtId="0" fontId="2" fillId="0" borderId="1" xfId="0" applyFont="1" applyBorder="1" applyAlignment="1">
      <alignment horizontal="center"/>
    </xf>
    <xf numFmtId="0" fontId="12" fillId="0" borderId="0" xfId="0" applyFont="1" applyFill="1" applyBorder="1" applyAlignment="1">
      <alignment horizontal="center" wrapText="1"/>
    </xf>
    <xf numFmtId="0" fontId="12" fillId="0" borderId="0" xfId="0" applyFont="1" applyBorder="1" applyAlignment="1">
      <alignment horizontal="center" wrapText="1"/>
    </xf>
    <xf numFmtId="0" fontId="12" fillId="0" borderId="1" xfId="0" applyFont="1" applyBorder="1" applyAlignment="1">
      <alignment horizontal="center" vertical="center" wrapText="1"/>
    </xf>
    <xf numFmtId="0" fontId="12" fillId="0" borderId="1" xfId="0" applyFont="1" applyFill="1" applyBorder="1" applyAlignment="1">
      <alignment horizontal="center" vertical="center" wrapText="1"/>
    </xf>
    <xf numFmtId="0" fontId="22" fillId="0" borderId="2" xfId="0" applyFont="1" applyBorder="1" applyAlignment="1">
      <alignment horizontal="center" wrapText="1"/>
    </xf>
    <xf numFmtId="0" fontId="22" fillId="0" borderId="2" xfId="0" applyFont="1" applyFill="1" applyBorder="1" applyAlignment="1">
      <alignment horizontal="center" wrapText="1"/>
    </xf>
    <xf numFmtId="0" fontId="12" fillId="0" borderId="1" xfId="0" applyFont="1" applyBorder="1" applyAlignment="1">
      <alignment horizontal="center" wrapText="1"/>
    </xf>
    <xf numFmtId="0" fontId="23" fillId="0" borderId="5" xfId="0" applyFont="1" applyBorder="1" applyAlignment="1">
      <alignment horizontal="center" wrapText="1"/>
    </xf>
    <xf numFmtId="0" fontId="23" fillId="0" borderId="2" xfId="0" applyFont="1" applyBorder="1" applyAlignment="1">
      <alignment horizontal="center" wrapText="1"/>
    </xf>
    <xf numFmtId="0" fontId="23" fillId="0" borderId="0" xfId="0" applyFont="1" applyBorder="1" applyAlignment="1">
      <alignment horizontal="center" wrapText="1"/>
    </xf>
    <xf numFmtId="0" fontId="12" fillId="0" borderId="2" xfId="0" applyFont="1" applyBorder="1" applyAlignment="1">
      <alignment horizontal="center" wrapText="1"/>
    </xf>
    <xf numFmtId="0" fontId="22" fillId="0" borderId="5" xfId="0" applyFont="1" applyBorder="1" applyAlignment="1">
      <alignment horizontal="center" vertical="center" wrapText="1"/>
    </xf>
    <xf numFmtId="0" fontId="22" fillId="0" borderId="5" xfId="0" applyFont="1" applyBorder="1" applyAlignment="1">
      <alignment horizontal="center" wrapText="1"/>
    </xf>
    <xf numFmtId="0" fontId="22" fillId="0" borderId="0" xfId="0" applyFont="1" applyBorder="1" applyAlignment="1">
      <alignment horizontal="center" wrapText="1"/>
    </xf>
    <xf numFmtId="43" fontId="12" fillId="0" borderId="0" xfId="55" applyFont="1" applyFill="1" applyBorder="1" applyAlignment="1">
      <alignment horizontal="center" wrapText="1"/>
    </xf>
    <xf numFmtId="0" fontId="0" fillId="0" borderId="1" xfId="0" applyBorder="1" applyAlignment="1">
      <alignment horizontal="center"/>
    </xf>
    <xf numFmtId="9" fontId="15" fillId="0" borderId="1" xfId="1" applyFont="1" applyFill="1" applyBorder="1"/>
    <xf numFmtId="0" fontId="12" fillId="0" borderId="0" xfId="0" applyFont="1" applyFill="1" applyBorder="1" applyAlignment="1">
      <alignment horizontal="center" wrapText="1"/>
    </xf>
    <xf numFmtId="0" fontId="23" fillId="0" borderId="0" xfId="0" applyFont="1" applyBorder="1" applyAlignment="1">
      <alignment horizontal="center" wrapText="1"/>
    </xf>
    <xf numFmtId="0" fontId="12" fillId="0" borderId="1" xfId="0" applyFont="1" applyBorder="1" applyAlignment="1">
      <alignment horizontal="center" vertical="center" wrapText="1"/>
    </xf>
    <xf numFmtId="0" fontId="12" fillId="0" borderId="1" xfId="0" applyFont="1" applyFill="1" applyBorder="1" applyAlignment="1">
      <alignment horizontal="center" vertical="center" wrapText="1"/>
    </xf>
    <xf numFmtId="0" fontId="21" fillId="0" borderId="1" xfId="0" applyFont="1" applyBorder="1" applyAlignment="1">
      <alignment horizontal="center"/>
    </xf>
    <xf numFmtId="3" fontId="26" fillId="0" borderId="0" xfId="1" applyNumberFormat="1" applyFont="1" applyFill="1" applyAlignment="1">
      <alignment horizontal="center"/>
    </xf>
    <xf numFmtId="1" fontId="26" fillId="0" borderId="0" xfId="1" applyNumberFormat="1" applyFont="1" applyFill="1" applyBorder="1" applyAlignment="1">
      <alignment horizontal="center"/>
    </xf>
    <xf numFmtId="0" fontId="23" fillId="0" borderId="5" xfId="0" applyFont="1" applyFill="1" applyBorder="1" applyAlignment="1">
      <alignment horizontal="center" wrapText="1"/>
    </xf>
    <xf numFmtId="9" fontId="26" fillId="0" borderId="0" xfId="1" applyNumberFormat="1" applyFont="1" applyFill="1" applyBorder="1" applyAlignment="1">
      <alignment horizontal="center"/>
    </xf>
    <xf numFmtId="3" fontId="95" fillId="0" borderId="0" xfId="2" applyNumberFormat="1" applyFont="1" applyBorder="1" applyAlignment="1">
      <alignment horizontal="center"/>
    </xf>
    <xf numFmtId="3" fontId="95" fillId="0" borderId="1" xfId="2" applyNumberFormat="1" applyFont="1" applyBorder="1" applyAlignment="1">
      <alignment horizontal="center"/>
    </xf>
    <xf numFmtId="169" fontId="0" fillId="0" borderId="0" xfId="1" applyNumberFormat="1" applyFont="1" applyAlignment="1">
      <alignment horizontal="center"/>
    </xf>
    <xf numFmtId="169" fontId="0" fillId="0" borderId="1" xfId="1" applyNumberFormat="1" applyFont="1" applyBorder="1" applyAlignment="1">
      <alignment horizontal="center"/>
    </xf>
    <xf numFmtId="169" fontId="2" fillId="0" borderId="0" xfId="0" applyNumberFormat="1" applyFont="1" applyAlignment="1">
      <alignment horizontal="center"/>
    </xf>
    <xf numFmtId="3" fontId="95" fillId="0" borderId="0" xfId="2" applyNumberFormat="1" applyFont="1" applyFill="1" applyBorder="1" applyAlignment="1">
      <alignment horizontal="center"/>
    </xf>
    <xf numFmtId="0" fontId="7" fillId="0" borderId="0" xfId="2" applyFont="1" applyFill="1" applyBorder="1" applyAlignment="1">
      <alignment horizontal="center"/>
    </xf>
    <xf numFmtId="3" fontId="65" fillId="0" borderId="0" xfId="0" applyNumberFormat="1" applyFont="1"/>
    <xf numFmtId="164" fontId="65" fillId="0" borderId="0" xfId="0" applyNumberFormat="1" applyFont="1" applyAlignment="1">
      <alignment horizontal="center"/>
    </xf>
    <xf numFmtId="169" fontId="65" fillId="0" borderId="0" xfId="0" applyNumberFormat="1" applyFont="1" applyAlignment="1">
      <alignment horizontal="center"/>
    </xf>
    <xf numFmtId="169" fontId="65" fillId="43" borderId="0" xfId="0" applyNumberFormat="1" applyFont="1" applyFill="1" applyAlignment="1">
      <alignment horizontal="center"/>
    </xf>
    <xf numFmtId="9" fontId="65" fillId="0" borderId="0" xfId="1" applyFont="1"/>
    <xf numFmtId="0" fontId="22" fillId="0" borderId="0" xfId="0" applyFont="1" applyBorder="1" applyAlignment="1">
      <alignment horizontal="center" vertical="center" wrapText="1"/>
    </xf>
    <xf numFmtId="0" fontId="0" fillId="0" borderId="0" xfId="0"/>
    <xf numFmtId="0" fontId="0" fillId="0" borderId="0" xfId="0" applyNumberFormat="1"/>
    <xf numFmtId="0" fontId="0" fillId="0" borderId="0" xfId="0"/>
    <xf numFmtId="0" fontId="0" fillId="0" borderId="0" xfId="0" applyNumberFormat="1"/>
    <xf numFmtId="9" fontId="28" fillId="0" borderId="0" xfId="1" applyNumberFormat="1" applyFont="1" applyFill="1" applyBorder="1" applyAlignment="1">
      <alignment horizontal="center"/>
    </xf>
    <xf numFmtId="169" fontId="65" fillId="3" borderId="0" xfId="0" applyNumberFormat="1" applyFont="1" applyFill="1" applyAlignment="1">
      <alignment horizontal="center"/>
    </xf>
    <xf numFmtId="0" fontId="65" fillId="0" borderId="0" xfId="0" applyFont="1" applyAlignment="1">
      <alignment horizontal="left"/>
    </xf>
    <xf numFmtId="2" fontId="65" fillId="0" borderId="0" xfId="0" applyNumberFormat="1" applyFont="1" applyAlignment="1">
      <alignment horizontal="center"/>
    </xf>
    <xf numFmtId="0" fontId="21" fillId="0" borderId="1" xfId="0" applyFont="1" applyBorder="1"/>
    <xf numFmtId="3" fontId="2" fillId="0" borderId="1" xfId="0" applyNumberFormat="1" applyFont="1" applyBorder="1"/>
    <xf numFmtId="9" fontId="2" fillId="0" borderId="1" xfId="1" applyNumberFormat="1" applyFont="1" applyBorder="1"/>
    <xf numFmtId="164" fontId="0" fillId="0" borderId="0" xfId="0" applyNumberFormat="1" applyBorder="1" applyAlignment="1">
      <alignment horizontal="left"/>
    </xf>
    <xf numFmtId="9" fontId="2" fillId="0" borderId="0" xfId="1" applyNumberFormat="1" applyFont="1" applyBorder="1"/>
    <xf numFmtId="3" fontId="21" fillId="0" borderId="1" xfId="0" applyNumberFormat="1" applyFont="1" applyBorder="1"/>
    <xf numFmtId="9" fontId="65" fillId="0" borderId="0" xfId="1" applyFont="1" applyAlignment="1">
      <alignment horizontal="center"/>
    </xf>
    <xf numFmtId="3" fontId="26" fillId="38" borderId="0" xfId="0" applyNumberFormat="1" applyFont="1" applyFill="1" applyAlignment="1">
      <alignment horizontal="center"/>
    </xf>
    <xf numFmtId="3" fontId="26" fillId="0" borderId="0" xfId="0" quotePrefix="1" applyNumberFormat="1" applyFont="1" applyBorder="1" applyAlignment="1">
      <alignment horizontal="center"/>
    </xf>
    <xf numFmtId="3" fontId="26" fillId="0" borderId="0" xfId="0" quotePrefix="1" applyNumberFormat="1" applyFont="1" applyFill="1" applyBorder="1" applyAlignment="1">
      <alignment horizontal="center"/>
    </xf>
    <xf numFmtId="0" fontId="0" fillId="0" borderId="0" xfId="0" applyNumberFormat="1" applyBorder="1"/>
    <xf numFmtId="3" fontId="0" fillId="0" borderId="0" xfId="0" applyNumberFormat="1" applyFill="1" applyAlignment="1">
      <alignment vertical="center" wrapText="1"/>
    </xf>
    <xf numFmtId="9" fontId="65" fillId="0" borderId="0" xfId="1" applyNumberFormat="1" applyFont="1" applyAlignment="1">
      <alignment horizontal="center" vertical="center" wrapText="1"/>
    </xf>
    <xf numFmtId="0" fontId="23" fillId="0" borderId="5" xfId="0" applyFont="1" applyBorder="1" applyAlignment="1">
      <alignment horizontal="center" wrapText="1"/>
    </xf>
    <xf numFmtId="0" fontId="23" fillId="0" borderId="0" xfId="0" applyFont="1" applyBorder="1" applyAlignment="1">
      <alignment horizontal="center" wrapText="1"/>
    </xf>
    <xf numFmtId="0" fontId="12" fillId="0" borderId="1" xfId="0" applyFont="1" applyFill="1" applyBorder="1" applyAlignment="1">
      <alignment horizontal="center" vertical="center" wrapText="1"/>
    </xf>
    <xf numFmtId="0" fontId="12" fillId="0" borderId="1" xfId="0" applyFont="1" applyBorder="1" applyAlignment="1">
      <alignment horizontal="center" vertical="center" wrapText="1"/>
    </xf>
    <xf numFmtId="0" fontId="56" fillId="0" borderId="0" xfId="0" applyFont="1" applyFill="1" applyBorder="1" applyAlignment="1">
      <alignment horizontal="center" wrapText="1"/>
    </xf>
    <xf numFmtId="0" fontId="100" fillId="0" borderId="1" xfId="0" applyFont="1" applyFill="1" applyBorder="1" applyAlignment="1">
      <alignment horizontal="center"/>
    </xf>
    <xf numFmtId="0" fontId="56" fillId="0" borderId="0" xfId="0" applyFont="1" applyBorder="1" applyAlignment="1">
      <alignment horizontal="center" wrapText="1"/>
    </xf>
    <xf numFmtId="0" fontId="12" fillId="0" borderId="0" xfId="0" applyFont="1" applyBorder="1" applyAlignment="1">
      <alignment horizontal="center" wrapText="1"/>
    </xf>
    <xf numFmtId="0" fontId="23" fillId="0" borderId="0" xfId="0" applyFont="1" applyBorder="1" applyAlignment="1">
      <alignment horizontal="center" wrapText="1"/>
    </xf>
    <xf numFmtId="0" fontId="22" fillId="0" borderId="0" xfId="0" applyFont="1" applyBorder="1" applyAlignment="1">
      <alignment horizontal="center" wrapText="1"/>
    </xf>
    <xf numFmtId="9" fontId="0" fillId="43" borderId="0" xfId="1" applyNumberFormat="1" applyFont="1" applyFill="1"/>
    <xf numFmtId="171" fontId="0" fillId="0" borderId="0" xfId="0" applyNumberFormat="1"/>
    <xf numFmtId="0" fontId="26" fillId="0" borderId="1" xfId="0" applyFont="1" applyFill="1" applyBorder="1"/>
    <xf numFmtId="0" fontId="0" fillId="0" borderId="0" xfId="0" applyFill="1" applyAlignment="1">
      <alignment vertical="center" wrapText="1"/>
    </xf>
    <xf numFmtId="0" fontId="12" fillId="0" borderId="1" xfId="0" applyFont="1" applyBorder="1" applyAlignment="1">
      <alignment horizontal="center" vertical="center" wrapText="1"/>
    </xf>
    <xf numFmtId="0" fontId="12" fillId="0" borderId="1" xfId="0" applyFont="1" applyFill="1" applyBorder="1" applyAlignment="1">
      <alignment horizontal="center" vertical="center" wrapText="1"/>
    </xf>
    <xf numFmtId="0" fontId="56" fillId="0" borderId="0" xfId="0" applyFont="1" applyFill="1" applyBorder="1" applyAlignment="1">
      <alignment horizontal="center" wrapText="1"/>
    </xf>
    <xf numFmtId="0" fontId="4" fillId="0" borderId="0" xfId="53" applyFont="1"/>
    <xf numFmtId="0" fontId="3" fillId="0" borderId="0" xfId="53"/>
    <xf numFmtId="0" fontId="118" fillId="0" borderId="0" xfId="53" applyFont="1"/>
    <xf numFmtId="0" fontId="118" fillId="0" borderId="4" xfId="53" applyFont="1" applyBorder="1"/>
    <xf numFmtId="0" fontId="3" fillId="0" borderId="4" xfId="53" applyBorder="1"/>
    <xf numFmtId="0" fontId="119" fillId="0" borderId="22" xfId="53" applyFont="1" applyBorder="1"/>
    <xf numFmtId="0" fontId="119" fillId="0" borderId="23" xfId="53" applyFont="1" applyBorder="1" applyAlignment="1">
      <alignment horizontal="centerContinuous"/>
    </xf>
    <xf numFmtId="0" fontId="119" fillId="0" borderId="24" xfId="53" applyFont="1" applyBorder="1" applyAlignment="1">
      <alignment horizontal="centerContinuous"/>
    </xf>
    <xf numFmtId="0" fontId="119" fillId="0" borderId="25" xfId="53" applyFont="1" applyBorder="1" applyAlignment="1">
      <alignment horizontal="center"/>
    </xf>
    <xf numFmtId="0" fontId="119" fillId="0" borderId="21" xfId="53" applyFont="1" applyBorder="1" applyAlignment="1">
      <alignment horizontal="center"/>
    </xf>
    <xf numFmtId="0" fontId="119" fillId="0" borderId="17" xfId="53" applyFont="1" applyBorder="1" applyAlignment="1">
      <alignment horizontal="centerContinuous"/>
    </xf>
    <xf numFmtId="0" fontId="119" fillId="0" borderId="17" xfId="53" applyFont="1" applyBorder="1" applyAlignment="1">
      <alignment horizontal="left"/>
    </xf>
    <xf numFmtId="0" fontId="119" fillId="0" borderId="18" xfId="53" applyFont="1" applyBorder="1" applyAlignment="1">
      <alignment horizontal="centerContinuous"/>
    </xf>
    <xf numFmtId="0" fontId="119" fillId="0" borderId="26" xfId="53" applyFont="1" applyBorder="1" applyAlignment="1">
      <alignment horizontal="centerContinuous" vertical="center"/>
    </xf>
    <xf numFmtId="0" fontId="119" fillId="0" borderId="27" xfId="53" applyFont="1" applyBorder="1" applyAlignment="1">
      <alignment horizontal="centerContinuous" vertical="center"/>
    </xf>
    <xf numFmtId="0" fontId="119" fillId="0" borderId="25" xfId="53" applyFont="1" applyBorder="1"/>
    <xf numFmtId="0" fontId="119" fillId="0" borderId="20" xfId="53" applyFont="1" applyBorder="1" applyAlignment="1">
      <alignment horizontal="centerContinuous" vertical="center"/>
    </xf>
    <xf numFmtId="0" fontId="119" fillId="0" borderId="28" xfId="53" applyFont="1" applyBorder="1" applyAlignment="1">
      <alignment horizontal="centerContinuous" vertical="center"/>
    </xf>
    <xf numFmtId="0" fontId="119" fillId="0" borderId="29" xfId="53" applyFont="1" applyBorder="1" applyAlignment="1">
      <alignment horizontal="center"/>
    </xf>
    <xf numFmtId="176" fontId="119" fillId="0" borderId="17" xfId="53" applyNumberFormat="1" applyFont="1" applyBorder="1" applyAlignment="1">
      <alignment horizontal="center"/>
    </xf>
    <xf numFmtId="176" fontId="119" fillId="0" borderId="18" xfId="53" applyNumberFormat="1" applyFont="1" applyBorder="1" applyAlignment="1">
      <alignment horizontal="center"/>
    </xf>
    <xf numFmtId="177" fontId="120" fillId="0" borderId="25" xfId="53" applyNumberFormat="1" applyFont="1" applyBorder="1"/>
    <xf numFmtId="178" fontId="120" fillId="0" borderId="21" xfId="53" applyNumberFormat="1" applyFont="1" applyBorder="1"/>
    <xf numFmtId="178" fontId="120" fillId="0" borderId="6" xfId="53" applyNumberFormat="1" applyFont="1" applyBorder="1"/>
    <xf numFmtId="2" fontId="2" fillId="0" borderId="0" xfId="0" applyNumberFormat="1" applyFont="1" applyBorder="1"/>
    <xf numFmtId="2" fontId="2" fillId="0" borderId="0" xfId="0" applyNumberFormat="1" applyFont="1"/>
    <xf numFmtId="177" fontId="119" fillId="0" borderId="25" xfId="53" applyNumberFormat="1" applyFont="1" applyBorder="1"/>
    <xf numFmtId="178" fontId="119" fillId="0" borderId="21" xfId="53" applyNumberFormat="1" applyFont="1" applyBorder="1"/>
    <xf numFmtId="178" fontId="119" fillId="0" borderId="6" xfId="53" applyNumberFormat="1" applyFont="1" applyBorder="1"/>
    <xf numFmtId="2" fontId="0" fillId="0" borderId="0" xfId="0" applyNumberFormat="1" applyBorder="1"/>
    <xf numFmtId="0" fontId="3" fillId="0" borderId="5" xfId="53" applyBorder="1"/>
    <xf numFmtId="3" fontId="3" fillId="0" borderId="5" xfId="53" applyNumberFormat="1" applyBorder="1"/>
    <xf numFmtId="177" fontId="119" fillId="0" borderId="30" xfId="53" applyNumberFormat="1" applyFont="1" applyBorder="1"/>
    <xf numFmtId="179" fontId="120" fillId="0" borderId="21" xfId="53" applyNumberFormat="1" applyFont="1" applyBorder="1"/>
    <xf numFmtId="179" fontId="119" fillId="0" borderId="21" xfId="53" applyNumberFormat="1" applyFont="1" applyBorder="1"/>
    <xf numFmtId="180" fontId="121" fillId="0" borderId="0" xfId="50" applyNumberFormat="1" applyFont="1" applyBorder="1"/>
    <xf numFmtId="181" fontId="118" fillId="0" borderId="0" xfId="50" applyNumberFormat="1" applyFont="1" applyBorder="1"/>
    <xf numFmtId="177" fontId="120" fillId="0" borderId="0" xfId="53" applyNumberFormat="1" applyFont="1" applyBorder="1"/>
    <xf numFmtId="177" fontId="119" fillId="0" borderId="0" xfId="53" applyNumberFormat="1" applyFont="1" applyBorder="1"/>
    <xf numFmtId="177" fontId="119" fillId="0" borderId="31" xfId="53" applyNumberFormat="1" applyFont="1" applyBorder="1"/>
    <xf numFmtId="49" fontId="118" fillId="0" borderId="0" xfId="53" applyNumberFormat="1" applyFont="1" applyAlignment="1"/>
    <xf numFmtId="0" fontId="122" fillId="0" borderId="0" xfId="0" applyFont="1" applyAlignment="1">
      <alignment vertical="center"/>
    </xf>
    <xf numFmtId="0" fontId="119" fillId="0" borderId="0" xfId="53" applyFont="1" applyBorder="1" applyAlignment="1">
      <alignment horizontal="centerContinuous"/>
    </xf>
    <xf numFmtId="0" fontId="119" fillId="0" borderId="0" xfId="53" applyFont="1" applyBorder="1" applyAlignment="1">
      <alignment horizontal="centerContinuous" vertical="center"/>
    </xf>
    <xf numFmtId="179" fontId="120" fillId="0" borderId="0" xfId="53" applyNumberFormat="1" applyFont="1" applyBorder="1"/>
    <xf numFmtId="1" fontId="65" fillId="0" borderId="0" xfId="0" applyNumberFormat="1" applyFont="1"/>
    <xf numFmtId="1" fontId="65" fillId="0" borderId="0" xfId="0" applyNumberFormat="1" applyFont="1" applyFill="1"/>
    <xf numFmtId="0" fontId="0" fillId="0" borderId="0" xfId="0" applyFill="1" applyBorder="1" applyAlignment="1">
      <alignment horizontal="center"/>
    </xf>
    <xf numFmtId="0" fontId="19" fillId="0" borderId="0" xfId="0" applyFont="1" applyAlignment="1">
      <alignment horizontal="center"/>
    </xf>
    <xf numFmtId="0" fontId="103" fillId="0" borderId="0" xfId="0" applyFont="1" applyFill="1" applyBorder="1" applyAlignment="1">
      <alignment vertical="center"/>
    </xf>
    <xf numFmtId="3" fontId="19" fillId="0" borderId="1" xfId="0" applyNumberFormat="1" applyFont="1" applyFill="1" applyBorder="1" applyAlignment="1">
      <alignment horizontal="center"/>
    </xf>
    <xf numFmtId="0" fontId="12" fillId="0" borderId="1" xfId="0" applyFont="1" applyBorder="1" applyAlignment="1">
      <alignment horizontal="center" vertical="center" wrapText="1"/>
    </xf>
    <xf numFmtId="0" fontId="102" fillId="0" borderId="1" xfId="0" applyFont="1" applyBorder="1" applyAlignment="1">
      <alignment horizontal="left" vertical="center" wrapText="1"/>
    </xf>
    <xf numFmtId="164" fontId="102" fillId="0" borderId="1" xfId="1" applyNumberFormat="1" applyFont="1" applyFill="1" applyBorder="1" applyAlignment="1">
      <alignment horizontal="center" vertical="center"/>
    </xf>
    <xf numFmtId="0" fontId="103" fillId="0" borderId="1" xfId="0" applyFont="1" applyBorder="1" applyAlignment="1">
      <alignment vertical="center"/>
    </xf>
    <xf numFmtId="0" fontId="0" fillId="0" borderId="1" xfId="0" applyBorder="1" applyAlignment="1">
      <alignment horizontal="center"/>
    </xf>
    <xf numFmtId="0" fontId="100" fillId="0" borderId="1" xfId="0" applyFont="1" applyFill="1" applyBorder="1" applyAlignment="1">
      <alignment horizontal="center"/>
    </xf>
    <xf numFmtId="0" fontId="56" fillId="0" borderId="0" xfId="0" applyFont="1" applyBorder="1" applyAlignment="1">
      <alignment horizontal="center" wrapText="1"/>
    </xf>
    <xf numFmtId="0" fontId="3" fillId="0" borderId="2" xfId="2" applyFont="1" applyBorder="1" applyAlignment="1">
      <alignment horizontal="center" wrapText="1"/>
    </xf>
    <xf numFmtId="0" fontId="56" fillId="0" borderId="0" xfId="0" applyFont="1" applyBorder="1" applyAlignment="1">
      <alignment horizontal="center" wrapText="1"/>
    </xf>
    <xf numFmtId="165" fontId="0" fillId="0" borderId="0" xfId="0" applyNumberFormat="1" applyAlignment="1">
      <alignment horizontal="center"/>
    </xf>
    <xf numFmtId="165" fontId="0" fillId="0" borderId="0" xfId="0" applyNumberFormat="1" applyFill="1" applyAlignment="1">
      <alignment horizontal="center"/>
    </xf>
    <xf numFmtId="0" fontId="22" fillId="0" borderId="1" xfId="0" applyFont="1" applyBorder="1" applyAlignment="1">
      <alignment horizontal="center" wrapText="1"/>
    </xf>
    <xf numFmtId="0" fontId="12" fillId="0" borderId="1" xfId="0" applyFont="1" applyBorder="1" applyAlignment="1">
      <alignment horizontal="center" vertical="center" wrapText="1"/>
    </xf>
    <xf numFmtId="0" fontId="2" fillId="0" borderId="0" xfId="0" applyFont="1" applyAlignment="1">
      <alignment horizontal="center"/>
    </xf>
    <xf numFmtId="0" fontId="58" fillId="0" borderId="0" xfId="0" applyFont="1" applyBorder="1" applyAlignment="1">
      <alignment horizontal="center"/>
    </xf>
    <xf numFmtId="0" fontId="58" fillId="0" borderId="0" xfId="0" applyFont="1" applyAlignment="1">
      <alignment horizontal="center" vertical="center"/>
    </xf>
    <xf numFmtId="164" fontId="2" fillId="0" borderId="0" xfId="0" applyNumberFormat="1" applyFont="1" applyAlignment="1">
      <alignment horizontal="center"/>
    </xf>
    <xf numFmtId="17" fontId="0" fillId="0" borderId="0" xfId="0" quotePrefix="1" applyNumberFormat="1"/>
    <xf numFmtId="0" fontId="0" fillId="0" borderId="0" xfId="0" quotePrefix="1"/>
    <xf numFmtId="0" fontId="2" fillId="0" borderId="0" xfId="0" applyFont="1" applyFill="1" applyBorder="1" applyAlignment="1">
      <alignment horizontal="center"/>
    </xf>
    <xf numFmtId="0" fontId="58" fillId="0" borderId="1" xfId="0" applyFont="1" applyBorder="1" applyAlignment="1">
      <alignment horizontal="center" vertical="center"/>
    </xf>
    <xf numFmtId="169" fontId="65" fillId="0" borderId="0" xfId="0" applyNumberFormat="1" applyFont="1"/>
    <xf numFmtId="1" fontId="0" fillId="0" borderId="0" xfId="0" applyNumberFormat="1"/>
    <xf numFmtId="165" fontId="0" fillId="0" borderId="1" xfId="0" applyNumberFormat="1" applyFill="1" applyBorder="1"/>
    <xf numFmtId="0" fontId="123" fillId="0" borderId="0" xfId="0" applyFont="1" applyFill="1" applyBorder="1" applyAlignment="1">
      <alignment horizontal="left"/>
    </xf>
    <xf numFmtId="0" fontId="0" fillId="0" borderId="0" xfId="0"/>
    <xf numFmtId="167" fontId="26" fillId="0" borderId="0" xfId="0" applyNumberFormat="1" applyFont="1" applyBorder="1" applyAlignment="1">
      <alignment horizontal="center"/>
    </xf>
    <xf numFmtId="168" fontId="65" fillId="0" borderId="0" xfId="0" applyNumberFormat="1" applyFont="1"/>
    <xf numFmtId="0" fontId="0" fillId="0" borderId="0" xfId="0"/>
    <xf numFmtId="164" fontId="22" fillId="0" borderId="0" xfId="0" applyNumberFormat="1" applyFont="1" applyFill="1" applyBorder="1" applyAlignment="1">
      <alignment horizontal="center"/>
    </xf>
    <xf numFmtId="164" fontId="22" fillId="0" borderId="0" xfId="0" applyNumberFormat="1" applyFont="1" applyFill="1" applyAlignment="1">
      <alignment horizontal="center"/>
    </xf>
    <xf numFmtId="166" fontId="49" fillId="2" borderId="0" xfId="0" applyNumberFormat="1" applyFont="1" applyFill="1"/>
    <xf numFmtId="166" fontId="50" fillId="0" borderId="0" xfId="1" applyNumberFormat="1" applyFont="1" applyFill="1"/>
    <xf numFmtId="0" fontId="58" fillId="0" borderId="1" xfId="0" applyFont="1" applyFill="1" applyBorder="1" applyAlignment="1">
      <alignment horizontal="center"/>
    </xf>
    <xf numFmtId="0" fontId="58" fillId="0" borderId="0" xfId="0" applyFont="1" applyFill="1" applyBorder="1" applyAlignment="1">
      <alignment horizontal="center"/>
    </xf>
    <xf numFmtId="164" fontId="26" fillId="0" borderId="1" xfId="0" applyNumberFormat="1" applyFont="1" applyBorder="1" applyAlignment="1">
      <alignment horizontal="right"/>
    </xf>
    <xf numFmtId="169" fontId="26" fillId="0" borderId="1" xfId="0" applyNumberFormat="1" applyFont="1" applyBorder="1" applyAlignment="1">
      <alignment horizontal="center"/>
    </xf>
    <xf numFmtId="169" fontId="26" fillId="0" borderId="1" xfId="0" applyNumberFormat="1" applyFont="1" applyBorder="1" applyAlignment="1">
      <alignment horizontal="right"/>
    </xf>
    <xf numFmtId="0" fontId="2" fillId="0" borderId="2" xfId="0" applyFont="1" applyBorder="1" applyAlignment="1">
      <alignment horizontal="center"/>
    </xf>
    <xf numFmtId="0" fontId="0" fillId="0" borderId="0" xfId="0"/>
    <xf numFmtId="0" fontId="0" fillId="0" borderId="0" xfId="0" applyNumberFormat="1"/>
    <xf numFmtId="0" fontId="2" fillId="0" borderId="0" xfId="0" applyFont="1" applyBorder="1" applyAlignment="1">
      <alignment horizontal="center"/>
    </xf>
    <xf numFmtId="164" fontId="95" fillId="0" borderId="0" xfId="0" applyNumberFormat="1" applyFont="1" applyFill="1" applyAlignment="1">
      <alignment horizontal="center"/>
    </xf>
    <xf numFmtId="0" fontId="2" fillId="0" borderId="0" xfId="0" applyFont="1" applyBorder="1" applyAlignment="1"/>
    <xf numFmtId="0" fontId="58" fillId="0" borderId="0" xfId="0" applyFont="1" applyAlignment="1">
      <alignment horizontal="center"/>
    </xf>
    <xf numFmtId="0" fontId="0" fillId="0" borderId="0" xfId="0"/>
    <xf numFmtId="11" fontId="15" fillId="0" borderId="0" xfId="0" applyNumberFormat="1" applyFont="1"/>
    <xf numFmtId="3" fontId="15" fillId="0" borderId="0" xfId="0" applyNumberFormat="1" applyFont="1"/>
    <xf numFmtId="182" fontId="65" fillId="0" borderId="0" xfId="0" applyNumberFormat="1" applyFont="1"/>
    <xf numFmtId="11" fontId="15" fillId="0" borderId="0" xfId="0" applyNumberFormat="1" applyFont="1" applyFill="1"/>
    <xf numFmtId="9" fontId="65" fillId="0" borderId="0" xfId="1" applyFont="1" applyFill="1"/>
    <xf numFmtId="10" fontId="65" fillId="0" borderId="0" xfId="1" applyNumberFormat="1" applyFont="1" applyFill="1"/>
    <xf numFmtId="0" fontId="21" fillId="0" borderId="0" xfId="0" applyFont="1" applyFill="1"/>
    <xf numFmtId="166" fontId="65" fillId="0" borderId="0" xfId="1" applyNumberFormat="1" applyFont="1" applyFill="1"/>
    <xf numFmtId="183" fontId="19" fillId="0" borderId="0" xfId="0" applyNumberFormat="1" applyFont="1"/>
    <xf numFmtId="0" fontId="2" fillId="0" borderId="1" xfId="0" applyFont="1" applyFill="1" applyBorder="1" applyAlignment="1">
      <alignment horizontal="center"/>
    </xf>
    <xf numFmtId="171" fontId="15" fillId="0" borderId="0" xfId="0" applyNumberFormat="1" applyFont="1"/>
    <xf numFmtId="0" fontId="12" fillId="0" borderId="0" xfId="0" applyFont="1" applyBorder="1" applyAlignment="1">
      <alignment horizontal="center" wrapText="1"/>
    </xf>
    <xf numFmtId="0" fontId="56" fillId="0" borderId="0" xfId="0" applyFont="1" applyFill="1" applyBorder="1" applyAlignment="1">
      <alignment horizontal="center" wrapText="1"/>
    </xf>
    <xf numFmtId="0" fontId="12" fillId="0" borderId="1" xfId="0" applyFont="1" applyBorder="1" applyAlignment="1">
      <alignment horizontal="center" vertical="center" wrapText="1"/>
    </xf>
    <xf numFmtId="0" fontId="50" fillId="0" borderId="0" xfId="0" applyFont="1" applyAlignment="1">
      <alignment horizontal="center" vertical="center"/>
    </xf>
    <xf numFmtId="0" fontId="2" fillId="0" borderId="0" xfId="0" applyFont="1" applyAlignment="1">
      <alignment horizontal="center"/>
    </xf>
    <xf numFmtId="0" fontId="0" fillId="0" borderId="0" xfId="0" applyFont="1" applyFill="1"/>
    <xf numFmtId="1" fontId="0" fillId="0" borderId="0" xfId="0" applyNumberFormat="1" applyFont="1" applyFill="1" applyAlignment="1">
      <alignment horizontal="center"/>
    </xf>
    <xf numFmtId="0" fontId="2" fillId="0" borderId="1" xfId="0" applyFont="1" applyFill="1" applyBorder="1"/>
    <xf numFmtId="1" fontId="2" fillId="0" borderId="1" xfId="0" applyNumberFormat="1" applyFont="1" applyFill="1" applyBorder="1" applyAlignment="1">
      <alignment horizontal="center"/>
    </xf>
    <xf numFmtId="0" fontId="124" fillId="0" borderId="0" xfId="0" applyFont="1" applyFill="1" applyAlignment="1">
      <alignment vertical="center"/>
    </xf>
    <xf numFmtId="4" fontId="0" fillId="0" borderId="0" xfId="0" applyNumberFormat="1"/>
    <xf numFmtId="3" fontId="13" fillId="0" borderId="0" xfId="0" applyNumberFormat="1" applyFont="1" applyFill="1"/>
    <xf numFmtId="0" fontId="4" fillId="0" borderId="1" xfId="2" applyFont="1" applyFill="1" applyBorder="1" applyAlignment="1">
      <alignment horizontal="center"/>
    </xf>
    <xf numFmtId="0" fontId="21" fillId="0" borderId="0" xfId="0" applyFont="1"/>
    <xf numFmtId="184" fontId="0" fillId="0" borderId="0" xfId="0" applyNumberFormat="1"/>
    <xf numFmtId="171" fontId="11" fillId="0" borderId="0" xfId="64" applyNumberFormat="1" applyFont="1" applyAlignment="1">
      <alignment horizontal="center"/>
    </xf>
    <xf numFmtId="164" fontId="13" fillId="0" borderId="0" xfId="0" applyNumberFormat="1" applyFont="1" applyFill="1" applyAlignment="1">
      <alignment horizontal="center"/>
    </xf>
    <xf numFmtId="0" fontId="12" fillId="0" borderId="0" xfId="0" applyFont="1" applyFill="1" applyBorder="1" applyAlignment="1">
      <alignment horizontal="left"/>
    </xf>
    <xf numFmtId="0" fontId="52" fillId="0" borderId="0" xfId="0" applyFont="1" applyFill="1" applyBorder="1" applyAlignment="1"/>
    <xf numFmtId="164" fontId="23" fillId="0" borderId="0" xfId="0" applyNumberFormat="1" applyFont="1" applyFill="1" applyBorder="1" applyAlignment="1">
      <alignment horizontal="center"/>
    </xf>
    <xf numFmtId="1" fontId="23" fillId="0" borderId="0" xfId="0" applyNumberFormat="1" applyFont="1" applyFill="1" applyBorder="1" applyAlignment="1">
      <alignment horizontal="center"/>
    </xf>
    <xf numFmtId="0" fontId="22" fillId="0" borderId="0" xfId="0" applyFont="1" applyFill="1" applyBorder="1" applyAlignment="1">
      <alignment horizontal="left"/>
    </xf>
    <xf numFmtId="9" fontId="22" fillId="0" borderId="0" xfId="1" applyFont="1" applyFill="1" applyAlignment="1">
      <alignment horizontal="center"/>
    </xf>
    <xf numFmtId="0" fontId="52" fillId="0" borderId="1" xfId="0" applyFont="1" applyFill="1" applyBorder="1" applyAlignment="1"/>
    <xf numFmtId="164" fontId="23" fillId="0" borderId="1" xfId="0" applyNumberFormat="1" applyFont="1" applyFill="1" applyBorder="1" applyAlignment="1">
      <alignment horizontal="center"/>
    </xf>
    <xf numFmtId="0" fontId="23" fillId="0" borderId="16" xfId="0" applyFont="1" applyBorder="1" applyAlignment="1">
      <alignment horizontal="center" vertical="center"/>
    </xf>
    <xf numFmtId="0" fontId="23" fillId="0" borderId="1" xfId="0" applyFont="1" applyBorder="1" applyAlignment="1">
      <alignment horizontal="center" vertical="center"/>
    </xf>
    <xf numFmtId="164" fontId="23" fillId="0" borderId="0" xfId="0" applyNumberFormat="1" applyFont="1" applyFill="1" applyBorder="1" applyAlignment="1">
      <alignment horizontal="center" vertical="top"/>
    </xf>
    <xf numFmtId="164" fontId="35" fillId="0" borderId="0" xfId="0" applyNumberFormat="1" applyFont="1" applyFill="1" applyAlignment="1">
      <alignment horizontal="center"/>
    </xf>
    <xf numFmtId="0" fontId="98" fillId="38" borderId="0" xfId="3" applyFont="1" applyFill="1" applyBorder="1" applyAlignment="1" applyProtection="1">
      <alignment horizontal="center"/>
    </xf>
    <xf numFmtId="9" fontId="0" fillId="0" borderId="0" xfId="1" applyFont="1" applyBorder="1"/>
    <xf numFmtId="0" fontId="0" fillId="0" borderId="0" xfId="0" applyFont="1" applyAlignment="1">
      <alignment vertical="center"/>
    </xf>
    <xf numFmtId="1" fontId="23" fillId="0" borderId="0" xfId="0" applyNumberFormat="1" applyFont="1" applyFill="1" applyBorder="1" applyAlignment="1">
      <alignment horizontal="center" vertical="top"/>
    </xf>
    <xf numFmtId="2" fontId="2" fillId="0" borderId="0" xfId="0" applyNumberFormat="1" applyFont="1" applyFill="1"/>
    <xf numFmtId="0" fontId="52" fillId="0" borderId="0" xfId="0" applyFont="1" applyAlignment="1">
      <alignment vertical="center"/>
    </xf>
    <xf numFmtId="3" fontId="0" fillId="0" borderId="0" xfId="1" applyNumberFormat="1" applyFont="1" applyFill="1"/>
    <xf numFmtId="3" fontId="19" fillId="0" borderId="0" xfId="1" applyNumberFormat="1" applyFont="1" applyFill="1"/>
    <xf numFmtId="182" fontId="0" fillId="0" borderId="0" xfId="1" applyNumberFormat="1" applyFont="1" applyFill="1"/>
    <xf numFmtId="182" fontId="0" fillId="0" borderId="0" xfId="0" applyNumberFormat="1" applyFill="1"/>
    <xf numFmtId="182" fontId="2" fillId="0" borderId="0" xfId="1" applyNumberFormat="1" applyFont="1" applyFill="1"/>
    <xf numFmtId="9" fontId="0" fillId="0" borderId="0" xfId="1" applyNumberFormat="1" applyFont="1" applyFill="1"/>
    <xf numFmtId="0" fontId="58" fillId="0" borderId="0" xfId="0" applyFont="1" applyAlignment="1">
      <alignment horizontal="center" vertical="center"/>
    </xf>
    <xf numFmtId="1" fontId="22" fillId="0" borderId="0" xfId="0" applyNumberFormat="1" applyFont="1" applyFill="1" applyBorder="1" applyAlignment="1">
      <alignment horizontal="center"/>
    </xf>
    <xf numFmtId="169" fontId="3" fillId="0" borderId="0" xfId="2" applyNumberFormat="1" applyFont="1" applyFill="1" applyBorder="1" applyAlignment="1">
      <alignment horizontal="center"/>
    </xf>
    <xf numFmtId="164" fontId="54" fillId="0" borderId="0" xfId="0" applyNumberFormat="1" applyFont="1" applyAlignment="1"/>
    <xf numFmtId="164" fontId="53" fillId="0" borderId="0" xfId="0" applyNumberFormat="1" applyFont="1" applyAlignment="1"/>
    <xf numFmtId="0" fontId="104" fillId="0" borderId="0" xfId="0" applyFont="1" applyAlignment="1">
      <alignment vertical="center" wrapText="1"/>
    </xf>
    <xf numFmtId="0" fontId="56" fillId="0" borderId="0" xfId="0" applyFont="1"/>
    <xf numFmtId="0" fontId="56" fillId="0" borderId="0" xfId="0" applyFont="1" applyAlignment="1">
      <alignment vertical="center"/>
    </xf>
    <xf numFmtId="0" fontId="125" fillId="0" borderId="1" xfId="0" applyFont="1" applyBorder="1" applyAlignment="1">
      <alignment vertical="center"/>
    </xf>
    <xf numFmtId="0" fontId="58" fillId="0" borderId="0" xfId="0" applyFont="1" applyAlignment="1">
      <alignment horizontal="left"/>
    </xf>
    <xf numFmtId="0" fontId="58" fillId="0" borderId="0" xfId="0" applyFont="1" applyBorder="1" applyAlignment="1">
      <alignment horizontal="left" wrapText="1"/>
    </xf>
    <xf numFmtId="0" fontId="58" fillId="0" borderId="0" xfId="0" applyFont="1" applyAlignment="1">
      <alignment horizontal="left" wrapText="1"/>
    </xf>
    <xf numFmtId="0" fontId="58" fillId="0" borderId="0" xfId="0" applyFont="1" applyAlignment="1">
      <alignment horizontal="left" vertical="center" wrapText="1"/>
    </xf>
    <xf numFmtId="0" fontId="58" fillId="0" borderId="0" xfId="0" applyFont="1" applyBorder="1" applyAlignment="1">
      <alignment horizontal="left" vertical="center" wrapText="1"/>
    </xf>
    <xf numFmtId="0" fontId="58" fillId="0" borderId="0" xfId="0" applyFont="1" applyAlignment="1">
      <alignment horizontal="left" vertical="center"/>
    </xf>
    <xf numFmtId="0" fontId="58" fillId="0" borderId="0" xfId="0" applyFont="1" applyBorder="1" applyAlignment="1">
      <alignment horizontal="left"/>
    </xf>
    <xf numFmtId="0" fontId="58" fillId="0" borderId="1" xfId="0" applyFont="1" applyBorder="1" applyAlignment="1">
      <alignment horizontal="left" vertical="center" wrapText="1"/>
    </xf>
    <xf numFmtId="3" fontId="96" fillId="0" borderId="0" xfId="0" applyNumberFormat="1" applyFont="1" applyFill="1" applyAlignment="1">
      <alignment horizontal="center"/>
    </xf>
    <xf numFmtId="4" fontId="64" fillId="0" borderId="0" xfId="64" applyNumberFormat="1" applyFont="1" applyFill="1" applyBorder="1" applyAlignment="1">
      <alignment horizontal="center"/>
    </xf>
    <xf numFmtId="165" fontId="0" fillId="0" borderId="0" xfId="0" applyNumberFormat="1" applyBorder="1" applyAlignment="1">
      <alignment horizontal="center"/>
    </xf>
    <xf numFmtId="165" fontId="0" fillId="0" borderId="0" xfId="0" applyNumberFormat="1" applyFill="1" applyBorder="1" applyAlignment="1">
      <alignment horizontal="center"/>
    </xf>
    <xf numFmtId="166" fontId="3" fillId="0" borderId="0" xfId="1" applyNumberFormat="1" applyFont="1" applyFill="1" applyAlignment="1">
      <alignment horizontal="center"/>
    </xf>
    <xf numFmtId="166" fontId="60" fillId="0" borderId="0" xfId="1" applyNumberFormat="1" applyFont="1" applyFill="1" applyAlignment="1">
      <alignment horizontal="center"/>
    </xf>
    <xf numFmtId="0" fontId="52" fillId="0" borderId="0" xfId="0" applyFont="1" applyBorder="1" applyAlignment="1">
      <alignment horizontal="left"/>
    </xf>
    <xf numFmtId="0" fontId="23" fillId="0" borderId="3" xfId="0" applyFont="1" applyBorder="1" applyAlignment="1">
      <alignment horizontal="center"/>
    </xf>
    <xf numFmtId="166" fontId="3" fillId="0" borderId="0" xfId="2" applyNumberFormat="1" applyFont="1" applyFill="1" applyBorder="1" applyAlignment="1">
      <alignment horizontal="center"/>
    </xf>
    <xf numFmtId="166" fontId="3" fillId="0" borderId="0" xfId="1" applyNumberFormat="1" applyFont="1" applyFill="1" applyBorder="1" applyAlignment="1">
      <alignment horizontal="center"/>
    </xf>
    <xf numFmtId="166" fontId="3" fillId="0" borderId="0" xfId="2" applyNumberFormat="1" applyFont="1" applyFill="1" applyBorder="1" applyAlignment="1">
      <alignment horizontal="left"/>
    </xf>
    <xf numFmtId="166" fontId="3" fillId="0" borderId="0" xfId="2" applyNumberFormat="1" applyFont="1" applyBorder="1" applyAlignment="1">
      <alignment horizontal="center"/>
    </xf>
    <xf numFmtId="166" fontId="2" fillId="0" borderId="0" xfId="0" applyNumberFormat="1" applyFont="1" applyBorder="1" applyAlignment="1">
      <alignment horizontal="center"/>
    </xf>
    <xf numFmtId="166" fontId="2" fillId="0" borderId="0" xfId="0" applyNumberFormat="1" applyFont="1" applyBorder="1"/>
    <xf numFmtId="166" fontId="0" fillId="0" borderId="0" xfId="0" applyNumberFormat="1" applyBorder="1"/>
    <xf numFmtId="166" fontId="0" fillId="0" borderId="0" xfId="0" applyNumberFormat="1" applyAlignment="1">
      <alignment horizontal="center"/>
    </xf>
    <xf numFmtId="166" fontId="0" fillId="0" borderId="0" xfId="0" applyNumberFormat="1" applyFill="1" applyAlignment="1">
      <alignment horizontal="center"/>
    </xf>
    <xf numFmtId="0" fontId="126" fillId="0" borderId="1" xfId="0" applyFont="1" applyBorder="1" applyAlignment="1">
      <alignment horizontal="center" vertical="center" wrapText="1"/>
    </xf>
    <xf numFmtId="0" fontId="127" fillId="0" borderId="0" xfId="0" applyFont="1"/>
    <xf numFmtId="166" fontId="3" fillId="0" borderId="0" xfId="1" applyNumberFormat="1" applyFont="1" applyFill="1" applyAlignment="1">
      <alignment horizontal="center"/>
    </xf>
    <xf numFmtId="0" fontId="25" fillId="0" borderId="0" xfId="0" applyFont="1" applyAlignment="1">
      <alignment horizontal="left" vertical="center"/>
    </xf>
    <xf numFmtId="0" fontId="21" fillId="0" borderId="0" xfId="0" applyFont="1" applyAlignment="1">
      <alignment horizontal="center" wrapText="1"/>
    </xf>
    <xf numFmtId="169" fontId="68" fillId="0" borderId="0" xfId="0" applyNumberFormat="1" applyFont="1" applyAlignment="1">
      <alignment horizontal="center"/>
    </xf>
    <xf numFmtId="0" fontId="2" fillId="0" borderId="1" xfId="0" applyFont="1" applyBorder="1" applyAlignment="1">
      <alignment horizontal="center"/>
    </xf>
    <xf numFmtId="0" fontId="2" fillId="0" borderId="0" xfId="0" applyFont="1" applyAlignment="1">
      <alignment horizontal="center"/>
    </xf>
    <xf numFmtId="4" fontId="94" fillId="0" borderId="0" xfId="64" applyNumberFormat="1" applyFont="1" applyBorder="1" applyAlignment="1">
      <alignment horizontal="center"/>
    </xf>
    <xf numFmtId="169" fontId="65" fillId="0" borderId="0" xfId="0" applyNumberFormat="1" applyFont="1" applyBorder="1"/>
    <xf numFmtId="167" fontId="11" fillId="0" borderId="0" xfId="64" applyNumberFormat="1" applyFont="1" applyBorder="1" applyAlignment="1">
      <alignment horizontal="center"/>
    </xf>
    <xf numFmtId="1" fontId="65" fillId="0" borderId="0" xfId="0" applyNumberFormat="1" applyFont="1" applyBorder="1"/>
    <xf numFmtId="0" fontId="50" fillId="0" borderId="0" xfId="64" applyFont="1" applyBorder="1" applyAlignment="1"/>
    <xf numFmtId="166" fontId="0" fillId="0" borderId="1" xfId="0" applyNumberFormat="1" applyBorder="1"/>
    <xf numFmtId="3" fontId="2" fillId="0" borderId="0" xfId="0" applyNumberFormat="1" applyFont="1" applyBorder="1"/>
    <xf numFmtId="166" fontId="0" fillId="0" borderId="0" xfId="1" applyNumberFormat="1" applyFont="1" applyBorder="1"/>
    <xf numFmtId="0" fontId="65" fillId="0" borderId="0" xfId="0" applyFont="1" applyBorder="1"/>
    <xf numFmtId="0" fontId="50" fillId="0" borderId="1" xfId="0" applyFont="1" applyBorder="1" applyAlignment="1">
      <alignment horizontal="center"/>
    </xf>
    <xf numFmtId="3" fontId="3" fillId="0" borderId="1" xfId="2" applyNumberFormat="1" applyFont="1" applyBorder="1"/>
    <xf numFmtId="10" fontId="0" fillId="0" borderId="1" xfId="1" applyNumberFormat="1" applyFont="1" applyBorder="1"/>
    <xf numFmtId="173" fontId="0" fillId="0" borderId="0" xfId="1" applyNumberFormat="1" applyFont="1" applyBorder="1"/>
    <xf numFmtId="3" fontId="3" fillId="0" borderId="0" xfId="2" applyNumberFormat="1" applyFont="1" applyBorder="1"/>
    <xf numFmtId="9" fontId="26" fillId="0" borderId="0" xfId="1" applyFont="1" applyBorder="1" applyAlignment="1">
      <alignment horizontal="center"/>
    </xf>
    <xf numFmtId="185" fontId="0" fillId="0" borderId="1" xfId="1" applyNumberFormat="1" applyFont="1" applyBorder="1"/>
    <xf numFmtId="1" fontId="0" fillId="0" borderId="1" xfId="1" applyNumberFormat="1" applyFont="1" applyBorder="1"/>
    <xf numFmtId="0" fontId="12" fillId="0" borderId="0" xfId="0" applyFont="1" applyBorder="1" applyAlignment="1">
      <alignment horizontal="center" wrapText="1"/>
    </xf>
    <xf numFmtId="0" fontId="12" fillId="0" borderId="1" xfId="0" applyFont="1" applyFill="1" applyBorder="1" applyAlignment="1">
      <alignment horizontal="center" vertical="center" wrapText="1"/>
    </xf>
    <xf numFmtId="0" fontId="12" fillId="0" borderId="1" xfId="0" applyFont="1" applyBorder="1" applyAlignment="1">
      <alignment horizontal="center" vertical="center" wrapText="1"/>
    </xf>
    <xf numFmtId="0" fontId="22" fillId="0" borderId="1" xfId="0" applyFont="1" applyFill="1" applyBorder="1" applyAlignment="1">
      <alignment horizontal="center" wrapText="1"/>
    </xf>
    <xf numFmtId="0" fontId="49" fillId="0" borderId="0" xfId="0" applyFont="1" applyFill="1"/>
    <xf numFmtId="166" fontId="49" fillId="0" borderId="0" xfId="0" applyNumberFormat="1" applyFont="1" applyFill="1"/>
    <xf numFmtId="3" fontId="11" fillId="0" borderId="0" xfId="0" applyNumberFormat="1" applyFont="1" applyFill="1"/>
    <xf numFmtId="0" fontId="50" fillId="0" borderId="0" xfId="0" applyFont="1" applyFill="1"/>
    <xf numFmtId="166" fontId="11" fillId="0" borderId="0" xfId="1" applyNumberFormat="1" applyFont="1" applyFill="1"/>
    <xf numFmtId="0" fontId="49" fillId="0" borderId="1" xfId="0" applyFont="1" applyFill="1" applyBorder="1"/>
    <xf numFmtId="166" fontId="48" fillId="0" borderId="1" xfId="0" applyNumberFormat="1" applyFont="1" applyFill="1" applyBorder="1"/>
    <xf numFmtId="166" fontId="49" fillId="0" borderId="1" xfId="0" applyNumberFormat="1" applyFont="1" applyFill="1" applyBorder="1"/>
    <xf numFmtId="0" fontId="11" fillId="0" borderId="1" xfId="0" applyFont="1" applyFill="1" applyBorder="1"/>
    <xf numFmtId="183" fontId="0" fillId="0" borderId="0" xfId="0" applyNumberFormat="1"/>
    <xf numFmtId="186" fontId="65" fillId="0" borderId="0" xfId="0" applyNumberFormat="1" applyFont="1"/>
    <xf numFmtId="3" fontId="0" fillId="0" borderId="0" xfId="1" applyNumberFormat="1" applyFont="1" applyFill="1" applyAlignment="1">
      <alignment horizontal="center"/>
    </xf>
    <xf numFmtId="171" fontId="0" fillId="0" borderId="0" xfId="0" applyNumberFormat="1" applyFill="1"/>
    <xf numFmtId="3" fontId="0" fillId="0" borderId="0" xfId="1" applyNumberFormat="1" applyFont="1"/>
    <xf numFmtId="1" fontId="6" fillId="0" borderId="0" xfId="2" applyNumberFormat="1" applyFont="1" applyFill="1" applyBorder="1" applyAlignment="1">
      <alignment horizontal="center"/>
    </xf>
    <xf numFmtId="1" fontId="26" fillId="0" borderId="0" xfId="0" quotePrefix="1" applyNumberFormat="1" applyFont="1" applyAlignment="1">
      <alignment horizontal="center"/>
    </xf>
    <xf numFmtId="3" fontId="3" fillId="0" borderId="0" xfId="50" applyNumberFormat="1" applyFont="1" applyFill="1" applyBorder="1" applyAlignment="1">
      <alignment horizontal="center"/>
    </xf>
    <xf numFmtId="164" fontId="0" fillId="0" borderId="0" xfId="1" applyNumberFormat="1" applyFont="1"/>
    <xf numFmtId="0" fontId="0" fillId="0" borderId="1" xfId="0" applyBorder="1" applyAlignment="1">
      <alignment horizontal="center"/>
    </xf>
    <xf numFmtId="0" fontId="65" fillId="0" borderId="0" xfId="0" applyFont="1" applyFill="1" applyAlignment="1">
      <alignment horizontal="center" vertical="center" wrapText="1"/>
    </xf>
    <xf numFmtId="0" fontId="23" fillId="0" borderId="0" xfId="0" applyFont="1" applyBorder="1" applyAlignment="1">
      <alignment vertical="center" wrapText="1"/>
    </xf>
    <xf numFmtId="0" fontId="23" fillId="0" borderId="0" xfId="0" applyFont="1" applyBorder="1" applyAlignment="1">
      <alignment horizontal="center" vertical="center" wrapText="1"/>
    </xf>
    <xf numFmtId="0" fontId="10" fillId="0" borderId="0" xfId="3" applyFill="1" applyAlignment="1" applyProtection="1">
      <alignment horizontal="center"/>
    </xf>
    <xf numFmtId="1" fontId="0" fillId="0" borderId="0" xfId="0" applyNumberFormat="1" applyFill="1" applyBorder="1"/>
    <xf numFmtId="2" fontId="0" fillId="0" borderId="0" xfId="0" applyNumberFormat="1" applyFill="1" applyAlignment="1">
      <alignment horizontal="center"/>
    </xf>
    <xf numFmtId="3" fontId="129" fillId="0" borderId="0" xfId="0" applyNumberFormat="1" applyFont="1" applyFill="1"/>
    <xf numFmtId="184" fontId="0" fillId="0" borderId="0" xfId="0" applyNumberFormat="1" applyBorder="1"/>
    <xf numFmtId="169" fontId="0" fillId="0" borderId="0" xfId="0" applyNumberFormat="1" applyFill="1" applyAlignment="1">
      <alignment horizontal="center"/>
    </xf>
    <xf numFmtId="169" fontId="95" fillId="0" borderId="0" xfId="0" applyNumberFormat="1" applyFont="1" applyFill="1" applyAlignment="1">
      <alignment horizontal="center"/>
    </xf>
    <xf numFmtId="0" fontId="0" fillId="0" borderId="0" xfId="0" applyFill="1" applyAlignment="1">
      <alignment horizontal="left"/>
    </xf>
    <xf numFmtId="0" fontId="0" fillId="0" borderId="1" xfId="0" applyBorder="1" applyAlignment="1">
      <alignment horizontal="right"/>
    </xf>
    <xf numFmtId="165" fontId="0" fillId="0" borderId="0" xfId="1" applyNumberFormat="1" applyFont="1"/>
    <xf numFmtId="10" fontId="0" fillId="0" borderId="0" xfId="1" applyNumberFormat="1" applyFont="1"/>
    <xf numFmtId="166" fontId="0" fillId="0" borderId="0" xfId="1" applyNumberFormat="1" applyFont="1" applyFill="1" applyBorder="1" applyAlignment="1">
      <alignment horizontal="center"/>
    </xf>
    <xf numFmtId="10" fontId="0" fillId="0" borderId="0" xfId="1" applyNumberFormat="1" applyFont="1" applyFill="1" applyBorder="1" applyAlignment="1">
      <alignment horizontal="center"/>
    </xf>
    <xf numFmtId="166" fontId="0" fillId="0" borderId="0" xfId="1" applyNumberFormat="1" applyFont="1" applyFill="1" applyAlignment="1">
      <alignment horizontal="center"/>
    </xf>
    <xf numFmtId="10" fontId="0" fillId="0" borderId="0" xfId="1" applyNumberFormat="1" applyFont="1" applyFill="1" applyAlignment="1">
      <alignment horizontal="center"/>
    </xf>
    <xf numFmtId="165" fontId="0" fillId="3" borderId="0" xfId="0" applyNumberFormat="1" applyFill="1"/>
    <xf numFmtId="1" fontId="0" fillId="0" borderId="0" xfId="1" applyNumberFormat="1" applyFont="1"/>
    <xf numFmtId="10" fontId="0" fillId="0" borderId="0" xfId="0" applyNumberFormat="1"/>
    <xf numFmtId="0" fontId="94" fillId="0" borderId="0" xfId="0" applyFont="1" applyFill="1" applyBorder="1" applyAlignment="1">
      <alignment horizontal="center"/>
    </xf>
    <xf numFmtId="0" fontId="94" fillId="0" borderId="1" xfId="0" applyFont="1" applyBorder="1" applyAlignment="1">
      <alignment horizontal="center"/>
    </xf>
    <xf numFmtId="3" fontId="15" fillId="0" borderId="0" xfId="0" applyNumberFormat="1" applyFont="1" applyBorder="1" applyAlignment="1">
      <alignment horizontal="center"/>
    </xf>
    <xf numFmtId="173" fontId="0" fillId="0" borderId="0" xfId="1" applyNumberFormat="1" applyFont="1"/>
    <xf numFmtId="0" fontId="15" fillId="0" borderId="0" xfId="0" applyFont="1" applyBorder="1" applyAlignment="1"/>
    <xf numFmtId="166" fontId="15" fillId="0" borderId="0" xfId="1" applyNumberFormat="1" applyFont="1" applyBorder="1" applyAlignment="1">
      <alignment horizontal="center"/>
    </xf>
    <xf numFmtId="184" fontId="0" fillId="0" borderId="0" xfId="1" applyNumberFormat="1" applyFont="1" applyFill="1"/>
    <xf numFmtId="184" fontId="0" fillId="0" borderId="0" xfId="1" applyNumberFormat="1" applyFont="1"/>
    <xf numFmtId="166" fontId="15" fillId="0" borderId="0" xfId="1" applyNumberFormat="1" applyFont="1"/>
    <xf numFmtId="0" fontId="2" fillId="0" borderId="0" xfId="0" applyFont="1" applyFill="1" applyAlignment="1">
      <alignment horizontal="left"/>
    </xf>
    <xf numFmtId="1" fontId="2" fillId="0" borderId="0" xfId="0" applyNumberFormat="1" applyFont="1" applyFill="1" applyAlignment="1">
      <alignment horizontal="center"/>
    </xf>
    <xf numFmtId="164" fontId="0" fillId="0" borderId="0" xfId="0" applyNumberFormat="1" applyFont="1" applyFill="1" applyAlignment="1">
      <alignment horizontal="center"/>
    </xf>
    <xf numFmtId="184" fontId="65" fillId="0" borderId="0" xfId="0" applyNumberFormat="1" applyFont="1"/>
    <xf numFmtId="16" fontId="0" fillId="0" borderId="0" xfId="0" applyNumberFormat="1" applyFill="1"/>
    <xf numFmtId="0" fontId="21" fillId="0" borderId="1" xfId="0" applyFont="1" applyBorder="1" applyAlignment="1">
      <alignment horizontal="center" wrapText="1"/>
    </xf>
    <xf numFmtId="164" fontId="15" fillId="0" borderId="0" xfId="0" applyNumberFormat="1" applyFont="1" applyAlignment="1">
      <alignment horizontal="center"/>
    </xf>
    <xf numFmtId="169" fontId="15" fillId="0" borderId="0" xfId="0" applyNumberFormat="1" applyFont="1" applyAlignment="1">
      <alignment horizontal="center"/>
    </xf>
    <xf numFmtId="3" fontId="5" fillId="0" borderId="1" xfId="0" applyNumberFormat="1" applyFont="1" applyFill="1" applyBorder="1" applyAlignment="1">
      <alignment vertical="center"/>
    </xf>
    <xf numFmtId="0" fontId="100" fillId="0" borderId="1" xfId="0" applyFont="1" applyFill="1" applyBorder="1" applyAlignment="1"/>
    <xf numFmtId="3" fontId="100" fillId="0" borderId="1" xfId="0" applyNumberFormat="1" applyFont="1" applyFill="1" applyBorder="1" applyAlignment="1"/>
    <xf numFmtId="0" fontId="56" fillId="0" borderId="0" xfId="0" applyFont="1" applyFill="1" applyAlignment="1">
      <alignment vertical="center"/>
    </xf>
    <xf numFmtId="0" fontId="52" fillId="0" borderId="0" xfId="0" applyFont="1" applyBorder="1" applyAlignment="1">
      <alignment horizontal="left"/>
    </xf>
    <xf numFmtId="0" fontId="2" fillId="0" borderId="0" xfId="0" applyFont="1" applyAlignment="1">
      <alignment horizontal="center"/>
    </xf>
    <xf numFmtId="0" fontId="130" fillId="0" borderId="1" xfId="0" applyFont="1" applyFill="1" applyBorder="1" applyAlignment="1">
      <alignment vertical="center"/>
    </xf>
    <xf numFmtId="3" fontId="130" fillId="0" borderId="1" xfId="0" applyNumberFormat="1" applyFont="1" applyFill="1" applyBorder="1" applyAlignment="1">
      <alignment vertical="center"/>
    </xf>
    <xf numFmtId="3" fontId="130" fillId="0" borderId="0" xfId="0" applyNumberFormat="1" applyFont="1" applyFill="1" applyBorder="1" applyAlignment="1">
      <alignment vertical="center"/>
    </xf>
    <xf numFmtId="3" fontId="32" fillId="0" borderId="0" xfId="50" applyNumberFormat="1" applyFont="1" applyFill="1" applyBorder="1" applyAlignment="1">
      <alignment horizontal="center"/>
    </xf>
    <xf numFmtId="0" fontId="9" fillId="0" borderId="0" xfId="2" applyFont="1" applyFill="1" applyBorder="1" applyAlignment="1">
      <alignment horizontal="center"/>
    </xf>
    <xf numFmtId="3" fontId="13" fillId="0" borderId="1" xfId="0" applyNumberFormat="1" applyFont="1" applyFill="1" applyBorder="1" applyAlignment="1">
      <alignment horizontal="center"/>
    </xf>
    <xf numFmtId="9" fontId="2" fillId="0" borderId="1" xfId="1" applyFont="1" applyBorder="1"/>
    <xf numFmtId="11" fontId="0" fillId="0" borderId="0" xfId="0" applyNumberFormat="1" applyFill="1"/>
    <xf numFmtId="175" fontId="0" fillId="0" borderId="0" xfId="55" applyNumberFormat="1" applyFont="1" applyFill="1"/>
    <xf numFmtId="166" fontId="0" fillId="0" borderId="0" xfId="0" applyNumberFormat="1" applyFill="1"/>
    <xf numFmtId="0" fontId="3" fillId="0" borderId="0" xfId="0" applyFont="1" applyFill="1" applyBorder="1" applyAlignment="1">
      <alignment vertical="center"/>
    </xf>
    <xf numFmtId="0" fontId="10" fillId="0" borderId="0" xfId="3" applyFill="1" applyAlignment="1" applyProtection="1">
      <alignment horizontal="left"/>
    </xf>
    <xf numFmtId="0" fontId="0" fillId="0" borderId="0" xfId="0" applyFont="1" applyFill="1" applyAlignment="1">
      <alignment horizontal="left"/>
    </xf>
    <xf numFmtId="0" fontId="127" fillId="0" borderId="0" xfId="0" applyFont="1" applyFill="1"/>
    <xf numFmtId="182" fontId="26" fillId="0" borderId="0" xfId="0" applyNumberFormat="1" applyFont="1" applyFill="1" applyBorder="1" applyAlignment="1">
      <alignment horizontal="center"/>
    </xf>
    <xf numFmtId="0" fontId="52" fillId="0" borderId="0" xfId="0" applyFont="1" applyBorder="1" applyAlignment="1">
      <alignment horizontal="left"/>
    </xf>
    <xf numFmtId="166" fontId="3" fillId="0" borderId="0" xfId="1" applyNumberFormat="1" applyFont="1" applyFill="1" applyAlignment="1">
      <alignment horizontal="center"/>
    </xf>
    <xf numFmtId="0" fontId="65" fillId="0" borderId="1" xfId="0" applyNumberFormat="1" applyFont="1" applyFill="1" applyBorder="1"/>
    <xf numFmtId="0" fontId="65" fillId="0" borderId="0" xfId="0" applyNumberFormat="1" applyFont="1" applyFill="1" applyBorder="1"/>
    <xf numFmtId="0" fontId="35" fillId="0" borderId="0" xfId="0" applyFont="1" applyAlignment="1">
      <alignment horizontal="center"/>
    </xf>
    <xf numFmtId="0" fontId="35" fillId="0" borderId="0" xfId="0" applyFont="1" applyBorder="1" applyAlignment="1">
      <alignment horizontal="center"/>
    </xf>
    <xf numFmtId="0" fontId="35" fillId="0" borderId="1" xfId="0" applyFont="1" applyBorder="1" applyAlignment="1">
      <alignment horizontal="center"/>
    </xf>
    <xf numFmtId="171" fontId="26" fillId="0" borderId="0" xfId="0" applyNumberFormat="1" applyFont="1" applyFill="1" applyAlignment="1">
      <alignment horizontal="center"/>
    </xf>
    <xf numFmtId="167" fontId="0" fillId="0" borderId="0" xfId="0" applyNumberFormat="1" applyFill="1"/>
    <xf numFmtId="0" fontId="21" fillId="0" borderId="1" xfId="0" applyFont="1" applyFill="1" applyBorder="1" applyAlignment="1">
      <alignment horizontal="center" wrapText="1"/>
    </xf>
    <xf numFmtId="0" fontId="2" fillId="0" borderId="1" xfId="0" applyFont="1" applyFill="1" applyBorder="1" applyAlignment="1">
      <alignment horizontal="center" wrapText="1"/>
    </xf>
    <xf numFmtId="0" fontId="131" fillId="0" borderId="0" xfId="0" applyFont="1" applyAlignment="1">
      <alignment vertical="center"/>
    </xf>
    <xf numFmtId="0" fontId="131" fillId="0" borderId="0" xfId="0" applyFont="1" applyAlignment="1">
      <alignment horizontal="center" vertical="center"/>
    </xf>
    <xf numFmtId="0" fontId="131" fillId="0" borderId="1" xfId="0" applyFont="1" applyBorder="1" applyAlignment="1">
      <alignment vertical="center"/>
    </xf>
    <xf numFmtId="0" fontId="131" fillId="0" borderId="1" xfId="0" applyFont="1" applyBorder="1" applyAlignment="1">
      <alignment horizontal="center" vertical="center"/>
    </xf>
    <xf numFmtId="169" fontId="15" fillId="0" borderId="0" xfId="0" applyNumberFormat="1" applyFont="1"/>
    <xf numFmtId="169" fontId="15" fillId="0" borderId="0" xfId="0" applyNumberFormat="1" applyFont="1" applyFill="1" applyAlignment="1">
      <alignment horizontal="center"/>
    </xf>
    <xf numFmtId="0" fontId="0" fillId="0" borderId="0" xfId="0" applyFill="1" applyAlignment="1">
      <alignment horizontal="center"/>
    </xf>
    <xf numFmtId="0" fontId="43" fillId="0" borderId="0" xfId="0" applyFont="1" applyFill="1" applyAlignment="1">
      <alignment vertical="center"/>
    </xf>
    <xf numFmtId="0" fontId="15" fillId="0" borderId="0" xfId="0" applyFont="1" applyFill="1" applyBorder="1"/>
    <xf numFmtId="164" fontId="15" fillId="0" borderId="0" xfId="0" applyNumberFormat="1" applyFont="1" applyFill="1" applyBorder="1"/>
    <xf numFmtId="9" fontId="15" fillId="0" borderId="0" xfId="0" applyNumberFormat="1" applyFont="1" applyFill="1" applyBorder="1"/>
    <xf numFmtId="0" fontId="52" fillId="0" borderId="0" xfId="0" applyFont="1" applyFill="1" applyAlignment="1">
      <alignment horizontal="left"/>
    </xf>
    <xf numFmtId="0" fontId="25" fillId="0" borderId="0" xfId="0" applyFont="1" applyFill="1" applyBorder="1" applyAlignment="1">
      <alignment horizontal="center"/>
    </xf>
    <xf numFmtId="0" fontId="23" fillId="0" borderId="3" xfId="0" applyFont="1" applyFill="1" applyBorder="1" applyAlignment="1">
      <alignment horizontal="center" vertical="center"/>
    </xf>
    <xf numFmtId="0" fontId="23" fillId="0" borderId="3" xfId="0" applyFont="1" applyFill="1" applyBorder="1" applyAlignment="1">
      <alignment horizontal="center" vertical="center" wrapText="1"/>
    </xf>
    <xf numFmtId="0" fontId="23" fillId="0" borderId="0" xfId="0" applyFont="1" applyFill="1" applyBorder="1" applyAlignment="1">
      <alignment horizontal="center" vertical="center" wrapText="1"/>
    </xf>
    <xf numFmtId="0" fontId="52" fillId="0" borderId="0" xfId="0" applyFont="1" applyFill="1" applyBorder="1" applyAlignment="1">
      <alignment horizontal="center"/>
    </xf>
    <xf numFmtId="0" fontId="52" fillId="0" borderId="0" xfId="0" applyFont="1" applyFill="1" applyBorder="1" applyAlignment="1">
      <alignment vertical="top"/>
    </xf>
    <xf numFmtId="164" fontId="0" fillId="0" borderId="0" xfId="0" applyNumberFormat="1" applyFill="1" applyAlignment="1">
      <alignment horizontal="center"/>
    </xf>
    <xf numFmtId="0" fontId="0" fillId="0" borderId="0" xfId="0" applyFont="1" applyFill="1" applyBorder="1"/>
    <xf numFmtId="9" fontId="22" fillId="0" borderId="0" xfId="1" applyFont="1" applyFill="1" applyBorder="1" applyAlignment="1">
      <alignment horizontal="center"/>
    </xf>
    <xf numFmtId="0" fontId="25" fillId="0" borderId="0" xfId="0" applyFont="1" applyFill="1" applyAlignment="1">
      <alignment horizontal="center"/>
    </xf>
    <xf numFmtId="184" fontId="0" fillId="0" borderId="0" xfId="0" applyNumberFormat="1" applyFill="1"/>
    <xf numFmtId="0" fontId="129" fillId="0" borderId="0" xfId="0" applyFont="1" applyFill="1"/>
    <xf numFmtId="1" fontId="128" fillId="0" borderId="0" xfId="0" applyNumberFormat="1" applyFont="1" applyFill="1" applyAlignment="1">
      <alignment horizontal="right" vertical="center"/>
    </xf>
    <xf numFmtId="0" fontId="10" fillId="0" borderId="0" xfId="3" applyFill="1" applyAlignment="1" applyProtection="1"/>
    <xf numFmtId="0" fontId="0" fillId="0" borderId="0" xfId="0" applyFont="1" applyFill="1" applyAlignment="1">
      <alignment vertical="center"/>
    </xf>
    <xf numFmtId="0" fontId="22" fillId="0" borderId="1" xfId="0" applyFont="1" applyBorder="1" applyAlignment="1">
      <alignment horizontal="left"/>
    </xf>
    <xf numFmtId="1" fontId="0" fillId="0" borderId="0" xfId="1" applyNumberFormat="1" applyFont="1" applyFill="1" applyAlignment="1">
      <alignment horizontal="center"/>
    </xf>
    <xf numFmtId="164" fontId="0" fillId="0" borderId="0" xfId="1" applyNumberFormat="1" applyFont="1" applyFill="1" applyAlignment="1">
      <alignment horizontal="center"/>
    </xf>
    <xf numFmtId="0" fontId="65" fillId="0" borderId="0" xfId="0" applyNumberFormat="1" applyFont="1" applyFill="1"/>
    <xf numFmtId="0" fontId="58" fillId="0" borderId="0" xfId="0" applyFont="1" applyAlignment="1">
      <alignment vertical="center"/>
    </xf>
    <xf numFmtId="0" fontId="58" fillId="0" borderId="0" xfId="0" applyFont="1" applyAlignment="1">
      <alignment vertical="center" wrapText="1"/>
    </xf>
    <xf numFmtId="0" fontId="2" fillId="0" borderId="0" xfId="0" applyFont="1" applyFill="1" applyBorder="1" applyAlignment="1">
      <alignment wrapText="1"/>
    </xf>
    <xf numFmtId="0" fontId="0" fillId="0" borderId="0" xfId="0" applyFill="1" applyAlignment="1"/>
    <xf numFmtId="164" fontId="15" fillId="0" borderId="1" xfId="0" applyNumberFormat="1" applyFont="1" applyFill="1" applyBorder="1"/>
    <xf numFmtId="0" fontId="132" fillId="0" borderId="0" xfId="0" applyFont="1"/>
    <xf numFmtId="0" fontId="0" fillId="0" borderId="1" xfId="0" applyNumberFormat="1" applyBorder="1" applyAlignment="1">
      <alignment horizontal="center"/>
    </xf>
    <xf numFmtId="4" fontId="15" fillId="0" borderId="0" xfId="0" applyNumberFormat="1" applyFont="1" applyAlignment="1">
      <alignment horizontal="center"/>
    </xf>
    <xf numFmtId="3" fontId="15" fillId="0" borderId="0" xfId="1" applyNumberFormat="1" applyFont="1" applyFill="1"/>
    <xf numFmtId="0" fontId="23" fillId="0" borderId="3" xfId="0" applyFont="1" applyBorder="1" applyAlignment="1">
      <alignment horizontal="center"/>
    </xf>
    <xf numFmtId="0" fontId="23" fillId="0" borderId="0" xfId="0" applyFont="1" applyBorder="1" applyAlignment="1">
      <alignment horizontal="center" wrapText="1"/>
    </xf>
    <xf numFmtId="169" fontId="15" fillId="0" borderId="0" xfId="0" applyNumberFormat="1" applyFont="1" applyFill="1"/>
    <xf numFmtId="166" fontId="3" fillId="0" borderId="0" xfId="1" applyNumberFormat="1" applyFont="1" applyBorder="1"/>
    <xf numFmtId="0" fontId="23" fillId="0" borderId="3" xfId="0" applyFont="1" applyBorder="1" applyAlignment="1">
      <alignment horizontal="center"/>
    </xf>
    <xf numFmtId="0" fontId="23" fillId="0" borderId="0" xfId="0" applyFont="1" applyBorder="1" applyAlignment="1">
      <alignment horizontal="center" wrapText="1"/>
    </xf>
    <xf numFmtId="0" fontId="22" fillId="0" borderId="3" xfId="0" applyFont="1" applyBorder="1"/>
    <xf numFmtId="3" fontId="0" fillId="40" borderId="0" xfId="0" applyNumberFormat="1" applyFill="1"/>
    <xf numFmtId="0" fontId="133" fillId="40" borderId="0" xfId="0" applyFont="1" applyFill="1" applyAlignment="1">
      <alignment vertical="center"/>
    </xf>
    <xf numFmtId="0" fontId="65" fillId="40" borderId="0" xfId="0" applyFont="1" applyFill="1" applyAlignment="1"/>
    <xf numFmtId="0" fontId="2" fillId="40" borderId="0" xfId="0" applyFont="1" applyFill="1"/>
    <xf numFmtId="0" fontId="134" fillId="40" borderId="0" xfId="0" applyFont="1" applyFill="1" applyAlignment="1">
      <alignment vertical="center"/>
    </xf>
    <xf numFmtId="0" fontId="135" fillId="40" borderId="0" xfId="0" applyFont="1" applyFill="1" applyAlignment="1">
      <alignment horizontal="center" vertical="center"/>
    </xf>
    <xf numFmtId="3" fontId="134" fillId="40" borderId="0" xfId="0" applyNumberFormat="1" applyFont="1" applyFill="1" applyAlignment="1">
      <alignment horizontal="right" vertical="center"/>
    </xf>
    <xf numFmtId="3" fontId="0" fillId="40" borderId="0" xfId="0" quotePrefix="1" applyNumberFormat="1" applyFill="1"/>
    <xf numFmtId="2" fontId="134" fillId="40" borderId="0" xfId="0" applyNumberFormat="1" applyFont="1" applyFill="1" applyAlignment="1">
      <alignment horizontal="right" vertical="center"/>
    </xf>
    <xf numFmtId="0" fontId="134" fillId="40" borderId="0" xfId="0" applyFont="1" applyFill="1" applyAlignment="1">
      <alignment horizontal="right" vertical="center"/>
    </xf>
    <xf numFmtId="2" fontId="0" fillId="40" borderId="0" xfId="0" applyNumberFormat="1" applyFill="1"/>
    <xf numFmtId="0" fontId="136" fillId="0" borderId="0" xfId="0" applyFont="1" applyBorder="1" applyAlignment="1">
      <alignment horizontal="center"/>
    </xf>
    <xf numFmtId="169" fontId="0" fillId="0" borderId="0" xfId="0" applyNumberFormat="1" applyBorder="1" applyAlignment="1">
      <alignment horizontal="center"/>
    </xf>
    <xf numFmtId="169" fontId="2" fillId="0" borderId="0" xfId="0" applyNumberFormat="1" applyFont="1" applyBorder="1" applyAlignment="1">
      <alignment horizontal="center"/>
    </xf>
    <xf numFmtId="0" fontId="52" fillId="0" borderId="0" xfId="0" applyFont="1" applyBorder="1" applyAlignment="1">
      <alignment horizontal="left"/>
    </xf>
    <xf numFmtId="0" fontId="2" fillId="0" borderId="1" xfId="0" applyFont="1" applyFill="1" applyBorder="1" applyAlignment="1">
      <alignment horizontal="center"/>
    </xf>
    <xf numFmtId="0" fontId="0" fillId="0" borderId="0" xfId="0"/>
    <xf numFmtId="0" fontId="0" fillId="0" borderId="0" xfId="0" applyNumberFormat="1"/>
    <xf numFmtId="0" fontId="0" fillId="0" borderId="0" xfId="0"/>
    <xf numFmtId="0" fontId="0" fillId="0" borderId="0" xfId="0" applyNumberFormat="1"/>
    <xf numFmtId="0" fontId="16" fillId="0" borderId="0" xfId="0" applyFont="1"/>
    <xf numFmtId="0" fontId="22" fillId="0" borderId="1" xfId="0" applyFont="1" applyBorder="1" applyAlignment="1">
      <alignment horizontal="center" wrapText="1"/>
    </xf>
    <xf numFmtId="0" fontId="2" fillId="0" borderId="0" xfId="0" applyFont="1" applyAlignment="1">
      <alignment horizontal="center"/>
    </xf>
    <xf numFmtId="166" fontId="28" fillId="0" borderId="0" xfId="1" applyNumberFormat="1" applyFont="1" applyFill="1" applyBorder="1" applyAlignment="1">
      <alignment horizontal="center"/>
    </xf>
    <xf numFmtId="1" fontId="65" fillId="0" borderId="0" xfId="0" applyNumberFormat="1" applyFont="1" applyFill="1" applyAlignment="1">
      <alignment horizontal="center" vertical="center" wrapText="1"/>
    </xf>
    <xf numFmtId="9" fontId="0" fillId="0" borderId="1" xfId="1" applyFont="1" applyFill="1" applyBorder="1"/>
    <xf numFmtId="3" fontId="137" fillId="0" borderId="0" xfId="2" applyNumberFormat="1" applyFont="1" applyBorder="1" applyAlignment="1">
      <alignment horizontal="center"/>
    </xf>
    <xf numFmtId="3" fontId="137" fillId="0" borderId="0" xfId="2" applyNumberFormat="1" applyFont="1" applyFill="1" applyBorder="1" applyAlignment="1">
      <alignment horizontal="center"/>
    </xf>
    <xf numFmtId="168" fontId="28" fillId="0" borderId="0" xfId="0" applyNumberFormat="1" applyFont="1" applyFill="1" applyBorder="1" applyAlignment="1">
      <alignment horizontal="center"/>
    </xf>
    <xf numFmtId="0" fontId="2" fillId="0" borderId="0" xfId="0" applyFont="1" applyAlignment="1"/>
    <xf numFmtId="3" fontId="13" fillId="0" borderId="0" xfId="0" applyNumberFormat="1" applyFont="1" applyFill="1" applyBorder="1"/>
    <xf numFmtId="9" fontId="15" fillId="0" borderId="0" xfId="1" applyFont="1"/>
    <xf numFmtId="3" fontId="15" fillId="0" borderId="0" xfId="0" applyNumberFormat="1" applyFont="1" applyFill="1" applyBorder="1" applyAlignment="1">
      <alignment horizontal="center"/>
    </xf>
    <xf numFmtId="0" fontId="15" fillId="0" borderId="0" xfId="0" applyFont="1" applyFill="1" applyBorder="1" applyAlignment="1">
      <alignment horizontal="center"/>
    </xf>
    <xf numFmtId="0" fontId="137" fillId="0" borderId="0" xfId="2" applyFont="1" applyFill="1" applyAlignment="1">
      <alignment horizontal="center"/>
    </xf>
    <xf numFmtId="0" fontId="1" fillId="0" borderId="0" xfId="0" applyFont="1"/>
    <xf numFmtId="3" fontId="1" fillId="0" borderId="0" xfId="0" applyNumberFormat="1" applyFont="1"/>
    <xf numFmtId="171" fontId="1" fillId="0" borderId="0" xfId="0" applyNumberFormat="1" applyFont="1"/>
    <xf numFmtId="0" fontId="2" fillId="0" borderId="0" xfId="0" applyFont="1" applyBorder="1" applyAlignment="1">
      <alignment wrapText="1"/>
    </xf>
    <xf numFmtId="0" fontId="21" fillId="0" borderId="0" xfId="0" applyFont="1" applyBorder="1" applyAlignment="1">
      <alignment wrapText="1"/>
    </xf>
    <xf numFmtId="2" fontId="35" fillId="0" borderId="0" xfId="0" applyNumberFormat="1" applyFont="1" applyFill="1" applyBorder="1" applyAlignment="1">
      <alignment horizontal="center"/>
    </xf>
    <xf numFmtId="3" fontId="19" fillId="0" borderId="1" xfId="0" applyNumberFormat="1" applyFont="1" applyFill="1" applyBorder="1"/>
    <xf numFmtId="0" fontId="97" fillId="0" borderId="0" xfId="2" applyFont="1" applyFill="1" applyBorder="1" applyAlignment="1">
      <alignment horizontal="center"/>
    </xf>
    <xf numFmtId="3" fontId="96" fillId="0" borderId="0" xfId="0" applyNumberFormat="1" applyFont="1" applyFill="1" applyBorder="1"/>
    <xf numFmtId="0" fontId="96" fillId="0" borderId="0" xfId="0" applyFont="1" applyFill="1" applyBorder="1"/>
    <xf numFmtId="0" fontId="96" fillId="0" borderId="0" xfId="0" applyFont="1" applyFill="1" applyBorder="1" applyAlignment="1">
      <alignment horizontal="center"/>
    </xf>
    <xf numFmtId="3" fontId="96" fillId="0" borderId="0" xfId="0" applyNumberFormat="1" applyFont="1" applyFill="1" applyBorder="1" applyAlignment="1">
      <alignment horizontal="right"/>
    </xf>
    <xf numFmtId="0" fontId="23" fillId="0" borderId="3" xfId="0" applyFont="1" applyFill="1" applyBorder="1" applyAlignment="1">
      <alignment horizontal="center"/>
    </xf>
    <xf numFmtId="0" fontId="23" fillId="0" borderId="3" xfId="0" applyFont="1" applyFill="1" applyBorder="1" applyAlignment="1">
      <alignment horizontal="center" wrapText="1"/>
    </xf>
    <xf numFmtId="187" fontId="0" fillId="0" borderId="0" xfId="0" applyNumberFormat="1"/>
    <xf numFmtId="0" fontId="131" fillId="0" borderId="0" xfId="0" applyFont="1" applyBorder="1" applyAlignment="1">
      <alignment vertical="center"/>
    </xf>
    <xf numFmtId="0" fontId="131" fillId="0" borderId="0" xfId="0" applyFont="1" applyBorder="1" applyAlignment="1">
      <alignment horizontal="center" vertical="center"/>
    </xf>
    <xf numFmtId="0" fontId="22" fillId="0" borderId="0" xfId="0" applyFont="1" applyAlignment="1">
      <alignment horizontal="center" vertical="center"/>
    </xf>
    <xf numFmtId="0" fontId="0" fillId="38" borderId="0" xfId="0" applyFill="1"/>
    <xf numFmtId="0" fontId="10" fillId="38" borderId="0" xfId="3" applyFill="1" applyAlignment="1" applyProtection="1">
      <alignment horizontal="left"/>
    </xf>
    <xf numFmtId="0" fontId="2" fillId="0" borderId="0" xfId="0" applyFont="1" applyFill="1" applyBorder="1" applyAlignment="1">
      <alignment horizontal="center" vertical="center"/>
    </xf>
    <xf numFmtId="0" fontId="0" fillId="0" borderId="0" xfId="0"/>
    <xf numFmtId="0" fontId="22" fillId="0" borderId="16" xfId="0" applyFont="1" applyBorder="1" applyAlignment="1">
      <alignment horizontal="center" vertical="center"/>
    </xf>
    <xf numFmtId="0" fontId="22" fillId="0" borderId="0" xfId="0" applyFont="1" applyAlignment="1">
      <alignment horizontal="center" vertical="center" wrapText="1"/>
    </xf>
    <xf numFmtId="1" fontId="22" fillId="0" borderId="0" xfId="0" applyNumberFormat="1" applyFont="1" applyAlignment="1">
      <alignment horizontal="right" vertical="center" indent="1"/>
    </xf>
    <xf numFmtId="164" fontId="22" fillId="0" borderId="0" xfId="0" applyNumberFormat="1" applyFont="1" applyAlignment="1">
      <alignment horizontal="right" vertical="center" indent="1"/>
    </xf>
    <xf numFmtId="0" fontId="22" fillId="0" borderId="0" xfId="0" quotePrefix="1" applyFont="1" applyAlignment="1">
      <alignment horizontal="center" vertical="center"/>
    </xf>
    <xf numFmtId="0" fontId="23" fillId="0" borderId="0" xfId="0" applyFont="1" applyAlignment="1">
      <alignment horizontal="center" vertical="center"/>
    </xf>
    <xf numFmtId="3" fontId="23" fillId="0" borderId="0" xfId="55" applyNumberFormat="1" applyFont="1" applyAlignment="1">
      <alignment horizontal="right" vertical="center" indent="1"/>
    </xf>
    <xf numFmtId="1" fontId="23" fillId="0" borderId="0" xfId="55" applyNumberFormat="1" applyFont="1" applyAlignment="1">
      <alignment horizontal="right" vertical="center" indent="1"/>
    </xf>
    <xf numFmtId="164" fontId="23" fillId="0" borderId="0" xfId="0" applyNumberFormat="1" applyFont="1" applyAlignment="1">
      <alignment horizontal="right" vertical="center" indent="1"/>
    </xf>
    <xf numFmtId="1" fontId="22" fillId="0" borderId="0" xfId="55" applyNumberFormat="1" applyFont="1" applyAlignment="1">
      <alignment horizontal="right" vertical="center" indent="1"/>
    </xf>
    <xf numFmtId="3" fontId="23" fillId="0" borderId="1" xfId="55" applyNumberFormat="1" applyFont="1" applyBorder="1" applyAlignment="1">
      <alignment horizontal="right" vertical="center" indent="1"/>
    </xf>
    <xf numFmtId="1" fontId="23" fillId="0" borderId="1" xfId="55" applyNumberFormat="1" applyFont="1" applyBorder="1" applyAlignment="1">
      <alignment horizontal="right" vertical="center" indent="1"/>
    </xf>
    <xf numFmtId="164" fontId="23" fillId="0" borderId="1" xfId="0" applyNumberFormat="1" applyFont="1" applyBorder="1" applyAlignment="1">
      <alignment horizontal="right" vertical="center" indent="1"/>
    </xf>
    <xf numFmtId="0" fontId="139" fillId="0" borderId="0" xfId="0" applyFont="1" applyAlignment="1">
      <alignment horizontal="left" vertical="center"/>
    </xf>
    <xf numFmtId="3" fontId="11" fillId="0" borderId="0" xfId="1" applyNumberFormat="1" applyFont="1" applyBorder="1" applyAlignment="1">
      <alignment horizontal="center"/>
    </xf>
    <xf numFmtId="9" fontId="0" fillId="0" borderId="0" xfId="0" applyNumberFormat="1" applyFill="1"/>
    <xf numFmtId="0" fontId="6" fillId="0" borderId="1" xfId="2" applyFont="1" applyFill="1" applyBorder="1" applyAlignment="1">
      <alignment horizontal="center"/>
    </xf>
    <xf numFmtId="0" fontId="2" fillId="0" borderId="0" xfId="0" applyFont="1" applyFill="1" applyBorder="1" applyAlignment="1">
      <alignment horizontal="center"/>
    </xf>
    <xf numFmtId="0" fontId="2" fillId="0" borderId="1" xfId="0" applyFont="1" applyBorder="1" applyAlignment="1">
      <alignment horizontal="center"/>
    </xf>
    <xf numFmtId="3" fontId="0" fillId="0" borderId="1" xfId="1" applyNumberFormat="1" applyFont="1" applyFill="1" applyBorder="1" applyAlignment="1">
      <alignment horizontal="center"/>
    </xf>
    <xf numFmtId="0" fontId="21" fillId="0" borderId="0" xfId="0" applyFont="1" applyFill="1" applyBorder="1" applyAlignment="1">
      <alignment horizontal="center" wrapText="1"/>
    </xf>
    <xf numFmtId="166" fontId="15" fillId="0" borderId="0" xfId="1" applyNumberFormat="1" applyFont="1" applyFill="1"/>
    <xf numFmtId="0" fontId="2" fillId="0" borderId="1" xfId="0" applyFont="1" applyBorder="1" applyAlignment="1">
      <alignment horizontal="center"/>
    </xf>
    <xf numFmtId="3" fontId="0" fillId="0" borderId="0" xfId="0" applyNumberFormat="1" applyFont="1"/>
    <xf numFmtId="4" fontId="26" fillId="0" borderId="0" xfId="0" applyNumberFormat="1" applyFont="1" applyFill="1" applyAlignment="1">
      <alignment horizontal="center"/>
    </xf>
    <xf numFmtId="0" fontId="25" fillId="0" borderId="0" xfId="0" applyFont="1" applyAlignment="1">
      <alignment vertical="center"/>
    </xf>
    <xf numFmtId="0" fontId="35" fillId="0" borderId="0" xfId="0" applyFont="1" applyAlignment="1">
      <alignment vertical="center"/>
    </xf>
    <xf numFmtId="0" fontId="84" fillId="0" borderId="0" xfId="0" applyFont="1"/>
    <xf numFmtId="173" fontId="29" fillId="0" borderId="0" xfId="1" applyNumberFormat="1" applyFont="1" applyBorder="1" applyAlignment="1">
      <alignment horizontal="center" vertical="center" wrapText="1"/>
    </xf>
    <xf numFmtId="3" fontId="5" fillId="0" borderId="0" xfId="0" applyNumberFormat="1" applyFont="1" applyFill="1" applyAlignment="1">
      <alignment vertical="center"/>
    </xf>
    <xf numFmtId="0" fontId="21" fillId="0" borderId="1" xfId="0" applyFont="1" applyFill="1" applyBorder="1" applyAlignment="1"/>
    <xf numFmtId="0" fontId="16" fillId="0" borderId="2" xfId="0" applyFont="1" applyBorder="1"/>
    <xf numFmtId="166" fontId="11" fillId="0" borderId="0" xfId="1" applyNumberFormat="1" applyFont="1" applyFill="1" applyAlignment="1">
      <alignment horizontal="center"/>
    </xf>
    <xf numFmtId="166" fontId="1" fillId="0" borderId="0" xfId="1" applyNumberFormat="1" applyFont="1"/>
    <xf numFmtId="0" fontId="6" fillId="0" borderId="2" xfId="2" applyFont="1" applyFill="1" applyBorder="1" applyAlignment="1">
      <alignment horizontal="center" wrapText="1"/>
    </xf>
    <xf numFmtId="166" fontId="0" fillId="0" borderId="0" xfId="0" applyNumberFormat="1" applyFont="1" applyAlignment="1">
      <alignment horizontal="center"/>
    </xf>
    <xf numFmtId="0" fontId="15" fillId="0" borderId="1" xfId="0" applyFont="1" applyBorder="1" applyAlignment="1">
      <alignment horizontal="center" wrapText="1"/>
    </xf>
    <xf numFmtId="0" fontId="15" fillId="0" borderId="0" xfId="0" applyFont="1" applyAlignment="1">
      <alignment horizontal="center"/>
    </xf>
    <xf numFmtId="0" fontId="141" fillId="0" borderId="1" xfId="0" applyFont="1" applyBorder="1" applyAlignment="1">
      <alignment horizontal="center" wrapText="1"/>
    </xf>
    <xf numFmtId="0" fontId="28" fillId="0" borderId="16" xfId="0" applyFont="1" applyBorder="1" applyAlignment="1">
      <alignment horizontal="center"/>
    </xf>
    <xf numFmtId="0" fontId="28" fillId="0" borderId="1" xfId="0" applyFont="1" applyBorder="1" applyAlignment="1">
      <alignment horizontal="center"/>
    </xf>
    <xf numFmtId="0" fontId="38" fillId="0" borderId="3" xfId="0" applyFont="1" applyBorder="1" applyAlignment="1">
      <alignment horizontal="center"/>
    </xf>
    <xf numFmtId="0" fontId="53" fillId="0" borderId="0" xfId="0" applyFont="1" applyAlignment="1">
      <alignment horizontal="left" vertical="center" wrapText="1"/>
    </xf>
    <xf numFmtId="0" fontId="53" fillId="0" borderId="0" xfId="0" applyFont="1" applyFill="1" applyBorder="1" applyAlignment="1">
      <alignment horizontal="left"/>
    </xf>
    <xf numFmtId="0" fontId="53" fillId="0" borderId="0" xfId="0" applyFont="1" applyAlignment="1">
      <alignment horizontal="left"/>
    </xf>
    <xf numFmtId="0" fontId="23" fillId="0" borderId="16" xfId="0" applyFont="1" applyBorder="1" applyAlignment="1">
      <alignment horizontal="center" vertical="center" wrapText="1"/>
    </xf>
    <xf numFmtId="0" fontId="43" fillId="0" borderId="0" xfId="0" applyFont="1" applyFill="1" applyAlignment="1">
      <alignment horizontal="left" vertical="center" wrapText="1"/>
    </xf>
    <xf numFmtId="0" fontId="12" fillId="0" borderId="0" xfId="0" applyFont="1" applyAlignment="1">
      <alignment horizontal="left" vertical="top" wrapText="1"/>
    </xf>
    <xf numFmtId="0" fontId="43" fillId="0" borderId="0" xfId="0" applyFont="1" applyAlignment="1">
      <alignment horizontal="left" vertical="top" wrapText="1"/>
    </xf>
    <xf numFmtId="0" fontId="52" fillId="0" borderId="0" xfId="0" applyFont="1" applyBorder="1" applyAlignment="1">
      <alignment horizontal="left"/>
    </xf>
    <xf numFmtId="0" fontId="43" fillId="0" borderId="0" xfId="0" applyFont="1" applyAlignment="1">
      <alignment horizontal="left" vertical="center" wrapText="1"/>
    </xf>
    <xf numFmtId="0" fontId="0" fillId="0" borderId="2" xfId="0" applyBorder="1" applyAlignment="1">
      <alignment horizontal="center"/>
    </xf>
    <xf numFmtId="0" fontId="0" fillId="0" borderId="2" xfId="0" applyBorder="1" applyAlignment="1">
      <alignment horizontal="center" wrapText="1"/>
    </xf>
    <xf numFmtId="0" fontId="23" fillId="0" borderId="3" xfId="0" applyFont="1" applyBorder="1" applyAlignment="1">
      <alignment horizontal="center"/>
    </xf>
    <xf numFmtId="0" fontId="2" fillId="0" borderId="1" xfId="0" applyFont="1" applyBorder="1" applyAlignment="1">
      <alignment horizontal="center"/>
    </xf>
    <xf numFmtId="0" fontId="58" fillId="0" borderId="0" xfId="0" applyFont="1" applyAlignment="1">
      <alignment horizontal="center"/>
    </xf>
    <xf numFmtId="0" fontId="58" fillId="0" borderId="0" xfId="0" applyFont="1" applyAlignment="1">
      <alignment horizontal="center" vertical="center"/>
    </xf>
    <xf numFmtId="0" fontId="58" fillId="0" borderId="1" xfId="0" applyFont="1" applyBorder="1" applyAlignment="1">
      <alignment horizontal="center"/>
    </xf>
    <xf numFmtId="0" fontId="57" fillId="0" borderId="0" xfId="0" applyFont="1" applyAlignment="1">
      <alignment horizontal="left"/>
    </xf>
    <xf numFmtId="0" fontId="58" fillId="0" borderId="0" xfId="0" applyFont="1" applyBorder="1" applyAlignment="1">
      <alignment horizontal="center"/>
    </xf>
    <xf numFmtId="0" fontId="57" fillId="0" borderId="5" xfId="0" applyFont="1" applyBorder="1"/>
    <xf numFmtId="0" fontId="57" fillId="0" borderId="0" xfId="0" applyFont="1"/>
    <xf numFmtId="0" fontId="56" fillId="0" borderId="0" xfId="0" applyFont="1" applyFill="1" applyBorder="1" applyAlignment="1">
      <alignment horizontal="left" vertical="center" wrapText="1"/>
    </xf>
    <xf numFmtId="0" fontId="131" fillId="0" borderId="16" xfId="0" applyFont="1" applyBorder="1" applyAlignment="1">
      <alignment horizontal="center" vertical="center" wrapText="1"/>
    </xf>
    <xf numFmtId="0" fontId="131" fillId="0" borderId="1" xfId="0" applyFont="1" applyBorder="1" applyAlignment="1">
      <alignment horizontal="center" vertical="center" wrapText="1"/>
    </xf>
    <xf numFmtId="0" fontId="24" fillId="0" borderId="0" xfId="0" applyFont="1" applyAlignment="1">
      <alignment horizontal="left"/>
    </xf>
    <xf numFmtId="0" fontId="22" fillId="0" borderId="3" xfId="0" applyFont="1" applyBorder="1" applyAlignment="1">
      <alignment horizontal="center" vertical="center"/>
    </xf>
    <xf numFmtId="0" fontId="22" fillId="0" borderId="16" xfId="0" applyFont="1" applyBorder="1" applyAlignment="1">
      <alignment horizontal="center" vertical="center" wrapText="1"/>
    </xf>
    <xf numFmtId="0" fontId="22" fillId="0" borderId="1" xfId="0" applyFont="1" applyBorder="1" applyAlignment="1">
      <alignment horizontal="center" vertical="center" wrapText="1"/>
    </xf>
    <xf numFmtId="0" fontId="138" fillId="0" borderId="0" xfId="0" applyFont="1" applyBorder="1" applyAlignment="1">
      <alignment horizontal="left" vertical="center" wrapText="1"/>
    </xf>
    <xf numFmtId="0" fontId="3" fillId="0" borderId="2" xfId="2" applyFont="1" applyFill="1" applyBorder="1" applyAlignment="1">
      <alignment horizontal="center"/>
    </xf>
    <xf numFmtId="0" fontId="2" fillId="0" borderId="1" xfId="0" applyFont="1" applyFill="1" applyBorder="1" applyAlignment="1">
      <alignment horizontal="center" wrapText="1"/>
    </xf>
    <xf numFmtId="0" fontId="2" fillId="0" borderId="0" xfId="0" applyFont="1" applyAlignment="1">
      <alignment horizontal="center"/>
    </xf>
    <xf numFmtId="166" fontId="3" fillId="0" borderId="0" xfId="1" applyNumberFormat="1" applyFont="1" applyFill="1" applyAlignment="1">
      <alignment horizontal="center"/>
    </xf>
    <xf numFmtId="166" fontId="60" fillId="0" borderId="0" xfId="1" applyNumberFormat="1" applyFont="1" applyFill="1" applyAlignment="1">
      <alignment horizontal="center"/>
    </xf>
    <xf numFmtId="0" fontId="3" fillId="0" borderId="2" xfId="2" applyFont="1" applyBorder="1" applyAlignment="1">
      <alignment horizontal="center" wrapText="1"/>
    </xf>
    <xf numFmtId="0" fontId="23" fillId="0" borderId="5" xfId="0" applyFont="1" applyBorder="1" applyAlignment="1">
      <alignment horizontal="center" wrapText="1"/>
    </xf>
    <xf numFmtId="0" fontId="23" fillId="0" borderId="0" xfId="0" applyFont="1" applyBorder="1" applyAlignment="1">
      <alignment horizontal="center" wrapText="1"/>
    </xf>
    <xf numFmtId="0" fontId="23" fillId="0" borderId="2" xfId="0" applyFont="1" applyBorder="1" applyAlignment="1">
      <alignment horizontal="center" wrapText="1"/>
    </xf>
    <xf numFmtId="0" fontId="12" fillId="0" borderId="5" xfId="0" applyFont="1" applyFill="1" applyBorder="1" applyAlignment="1">
      <alignment horizontal="center" wrapText="1"/>
    </xf>
    <xf numFmtId="0" fontId="12" fillId="0" borderId="0" xfId="0" applyFont="1" applyFill="1" applyBorder="1" applyAlignment="1">
      <alignment horizontal="center" wrapText="1"/>
    </xf>
    <xf numFmtId="0" fontId="22" fillId="0" borderId="2" xfId="0" applyFont="1" applyFill="1" applyBorder="1" applyAlignment="1">
      <alignment horizontal="center" wrapText="1"/>
    </xf>
    <xf numFmtId="43" fontId="22" fillId="0" borderId="2" xfId="55" applyFont="1" applyFill="1" applyBorder="1" applyAlignment="1">
      <alignment horizontal="center" wrapText="1"/>
    </xf>
    <xf numFmtId="0" fontId="22" fillId="0" borderId="1" xfId="0" applyFont="1" applyBorder="1" applyAlignment="1">
      <alignment horizontal="center" wrapText="1"/>
    </xf>
    <xf numFmtId="0" fontId="23" fillId="0" borderId="1" xfId="0" applyFont="1" applyBorder="1" applyAlignment="1">
      <alignment horizontal="center" wrapText="1"/>
    </xf>
    <xf numFmtId="0" fontId="23" fillId="0" borderId="5" xfId="0" applyFont="1" applyBorder="1" applyAlignment="1">
      <alignment horizontal="center" vertical="top" wrapText="1"/>
    </xf>
    <xf numFmtId="0" fontId="23" fillId="0" borderId="0" xfId="0" applyFont="1" applyBorder="1" applyAlignment="1">
      <alignment horizontal="center" vertical="top" wrapText="1"/>
    </xf>
    <xf numFmtId="0" fontId="12" fillId="0" borderId="5" xfId="0" applyFont="1" applyBorder="1" applyAlignment="1">
      <alignment horizontal="center" wrapText="1"/>
    </xf>
    <xf numFmtId="0" fontId="12" fillId="0" borderId="0" xfId="0" applyFont="1" applyBorder="1" applyAlignment="1">
      <alignment horizontal="center" wrapText="1"/>
    </xf>
    <xf numFmtId="43" fontId="12" fillId="0" borderId="0" xfId="55" applyFont="1" applyBorder="1" applyAlignment="1">
      <alignment horizontal="center" wrapText="1"/>
    </xf>
    <xf numFmtId="0" fontId="12" fillId="0" borderId="2" xfId="0" applyFont="1" applyBorder="1" applyAlignment="1">
      <alignment horizontal="center" wrapText="1"/>
    </xf>
    <xf numFmtId="0" fontId="12" fillId="0" borderId="5" xfId="0" quotePrefix="1" applyFont="1" applyFill="1" applyBorder="1" applyAlignment="1">
      <alignment horizontal="center" wrapText="1"/>
    </xf>
    <xf numFmtId="0" fontId="22" fillId="0" borderId="5" xfId="0" applyFont="1" applyBorder="1" applyAlignment="1">
      <alignment horizontal="center" vertical="center" wrapText="1"/>
    </xf>
    <xf numFmtId="0" fontId="56" fillId="0" borderId="0" xfId="0" applyFont="1" applyFill="1" applyBorder="1" applyAlignment="1">
      <alignment horizontal="center" wrapText="1"/>
    </xf>
    <xf numFmtId="0" fontId="56" fillId="0" borderId="5" xfId="0" applyFont="1" applyFill="1" applyBorder="1" applyAlignment="1">
      <alignment horizontal="center" wrapText="1"/>
    </xf>
    <xf numFmtId="43" fontId="12" fillId="0" borderId="5" xfId="55" applyFont="1" applyFill="1" applyBorder="1" applyAlignment="1">
      <alignment horizontal="center" wrapText="1"/>
    </xf>
    <xf numFmtId="43" fontId="12" fillId="0" borderId="0" xfId="55" applyFont="1" applyFill="1" applyBorder="1" applyAlignment="1">
      <alignment horizontal="center" wrapText="1"/>
    </xf>
    <xf numFmtId="0" fontId="23" fillId="0" borderId="5" xfId="0" applyFont="1" applyFill="1" applyBorder="1" applyAlignment="1">
      <alignment horizontal="center" wrapText="1"/>
    </xf>
    <xf numFmtId="0" fontId="23" fillId="0" borderId="0" xfId="0" applyFont="1" applyFill="1" applyBorder="1" applyAlignment="1">
      <alignment horizontal="center" wrapText="1"/>
    </xf>
    <xf numFmtId="0" fontId="22" fillId="0" borderId="2" xfId="0" applyFont="1" applyBorder="1" applyAlignment="1">
      <alignment horizontal="center" wrapText="1"/>
    </xf>
    <xf numFmtId="0" fontId="22" fillId="0" borderId="1" xfId="0" applyFont="1" applyFill="1" applyBorder="1" applyAlignment="1">
      <alignment horizontal="center" wrapText="1"/>
    </xf>
    <xf numFmtId="0" fontId="12" fillId="0" borderId="1" xfId="0" applyFont="1" applyBorder="1" applyAlignment="1">
      <alignment horizontal="center" vertical="center" wrapText="1"/>
    </xf>
    <xf numFmtId="0" fontId="12" fillId="0" borderId="1" xfId="0" applyFont="1" applyBorder="1" applyAlignment="1">
      <alignment horizontal="center" wrapText="1"/>
    </xf>
    <xf numFmtId="43" fontId="23" fillId="0" borderId="5" xfId="55" applyFont="1" applyBorder="1" applyAlignment="1">
      <alignment horizontal="center" wrapText="1"/>
    </xf>
    <xf numFmtId="43" fontId="23" fillId="0" borderId="0" xfId="55" applyFont="1" applyBorder="1" applyAlignment="1">
      <alignment horizontal="center" wrapText="1"/>
    </xf>
    <xf numFmtId="0" fontId="12" fillId="0" borderId="1" xfId="0" applyFont="1" applyFill="1" applyBorder="1" applyAlignment="1">
      <alignment horizontal="center" vertical="center" wrapText="1"/>
    </xf>
    <xf numFmtId="0" fontId="12" fillId="0" borderId="1" xfId="0" applyFont="1" applyFill="1" applyBorder="1" applyAlignment="1">
      <alignment horizontal="center" wrapText="1"/>
    </xf>
    <xf numFmtId="0" fontId="22" fillId="0" borderId="5" xfId="0" applyFont="1" applyBorder="1" applyAlignment="1">
      <alignment horizontal="center" wrapText="1"/>
    </xf>
    <xf numFmtId="0" fontId="22" fillId="0" borderId="0" xfId="0" applyFont="1" applyBorder="1" applyAlignment="1">
      <alignment horizontal="center" wrapText="1"/>
    </xf>
    <xf numFmtId="0" fontId="24" fillId="0" borderId="5" xfId="0" applyFont="1" applyFill="1" applyBorder="1" applyAlignment="1">
      <alignment horizontal="center" wrapText="1"/>
    </xf>
    <xf numFmtId="0" fontId="24" fillId="0" borderId="0" xfId="0" applyFont="1" applyFill="1" applyBorder="1" applyAlignment="1">
      <alignment horizontal="center" wrapText="1"/>
    </xf>
    <xf numFmtId="0" fontId="26" fillId="0" borderId="0" xfId="0" applyFont="1" applyBorder="1" applyAlignment="1">
      <alignment horizontal="center" wrapText="1"/>
    </xf>
    <xf numFmtId="0" fontId="52" fillId="0" borderId="1" xfId="0" applyFont="1" applyBorder="1" applyAlignment="1">
      <alignment horizontal="center"/>
    </xf>
    <xf numFmtId="0" fontId="23" fillId="0" borderId="2" xfId="0" applyFont="1" applyFill="1" applyBorder="1" applyAlignment="1">
      <alignment horizontal="center" wrapText="1"/>
    </xf>
    <xf numFmtId="0" fontId="12" fillId="0" borderId="2" xfId="0" applyFont="1" applyFill="1" applyBorder="1" applyAlignment="1">
      <alignment horizontal="center" wrapText="1"/>
    </xf>
    <xf numFmtId="0" fontId="0" fillId="0" borderId="1" xfId="0" applyBorder="1" applyAlignment="1">
      <alignment horizontal="center"/>
    </xf>
    <xf numFmtId="0" fontId="100" fillId="2" borderId="1" xfId="0" applyFont="1" applyFill="1" applyBorder="1" applyAlignment="1">
      <alignment horizontal="center"/>
    </xf>
    <xf numFmtId="0" fontId="3" fillId="0" borderId="1" xfId="2" applyFont="1" applyFill="1" applyBorder="1" applyAlignment="1">
      <alignment horizontal="center"/>
    </xf>
    <xf numFmtId="0" fontId="100" fillId="0" borderId="1" xfId="0" applyFont="1" applyFill="1" applyBorder="1" applyAlignment="1">
      <alignment horizontal="center"/>
    </xf>
    <xf numFmtId="0" fontId="100" fillId="4" borderId="1" xfId="0" applyFont="1" applyFill="1" applyBorder="1" applyAlignment="1">
      <alignment horizontal="center"/>
    </xf>
    <xf numFmtId="0" fontId="3" fillId="0" borderId="1" xfId="2" applyFont="1" applyBorder="1" applyAlignment="1">
      <alignment horizontal="center"/>
    </xf>
    <xf numFmtId="0" fontId="6" fillId="0" borderId="1" xfId="2" applyFont="1" applyFill="1" applyBorder="1" applyAlignment="1">
      <alignment horizontal="center"/>
    </xf>
    <xf numFmtId="0" fontId="25" fillId="36" borderId="1" xfId="0" applyFont="1" applyFill="1" applyBorder="1" applyAlignment="1">
      <alignment horizontal="center"/>
    </xf>
    <xf numFmtId="0" fontId="25" fillId="4" borderId="1" xfId="0" applyFont="1" applyFill="1" applyBorder="1" applyAlignment="1">
      <alignment horizontal="center"/>
    </xf>
    <xf numFmtId="0" fontId="21" fillId="2" borderId="1" xfId="0" applyFont="1" applyFill="1" applyBorder="1" applyAlignment="1">
      <alignment horizontal="center"/>
    </xf>
    <xf numFmtId="0" fontId="2" fillId="0" borderId="2" xfId="0" applyFont="1" applyBorder="1" applyAlignment="1">
      <alignment horizontal="center"/>
    </xf>
    <xf numFmtId="0" fontId="9" fillId="0" borderId="1" xfId="2" applyFont="1" applyFill="1" applyBorder="1" applyAlignment="1">
      <alignment horizontal="center"/>
    </xf>
    <xf numFmtId="0" fontId="25" fillId="0" borderId="2" xfId="0" applyFont="1" applyBorder="1" applyAlignment="1">
      <alignment horizontal="center"/>
    </xf>
    <xf numFmtId="0" fontId="25" fillId="0" borderId="1" xfId="0" applyFont="1" applyBorder="1" applyAlignment="1">
      <alignment horizontal="center"/>
    </xf>
    <xf numFmtId="0" fontId="9" fillId="0" borderId="2" xfId="2" applyFont="1" applyBorder="1" applyAlignment="1">
      <alignment horizontal="center"/>
    </xf>
    <xf numFmtId="0" fontId="9" fillId="0" borderId="1" xfId="2" applyFont="1" applyBorder="1" applyAlignment="1">
      <alignment horizontal="center"/>
    </xf>
    <xf numFmtId="0" fontId="2" fillId="0" borderId="1" xfId="0" applyFont="1" applyFill="1" applyBorder="1" applyAlignment="1">
      <alignment horizontal="center"/>
    </xf>
    <xf numFmtId="0" fontId="21" fillId="0" borderId="1" xfId="0" applyFont="1" applyFill="1" applyBorder="1" applyAlignment="1">
      <alignment horizontal="center"/>
    </xf>
    <xf numFmtId="0" fontId="2" fillId="0" borderId="2" xfId="0" applyFont="1" applyFill="1" applyBorder="1" applyAlignment="1">
      <alignment horizontal="center"/>
    </xf>
    <xf numFmtId="0" fontId="21" fillId="0" borderId="1" xfId="0" applyFont="1" applyBorder="1" applyAlignment="1">
      <alignment horizontal="center"/>
    </xf>
    <xf numFmtId="0" fontId="64" fillId="0" borderId="2" xfId="0" applyFont="1" applyBorder="1" applyAlignment="1">
      <alignment horizontal="center"/>
    </xf>
    <xf numFmtId="0" fontId="2" fillId="0" borderId="0" xfId="0" applyFont="1" applyFill="1" applyBorder="1" applyAlignment="1">
      <alignment horizontal="center"/>
    </xf>
    <xf numFmtId="0" fontId="56" fillId="0" borderId="0" xfId="0" applyFont="1" applyBorder="1" applyAlignment="1">
      <alignment horizontal="center" wrapText="1"/>
    </xf>
    <xf numFmtId="0" fontId="50" fillId="0" borderId="0" xfId="0" applyFont="1" applyAlignment="1">
      <alignment horizontal="center" vertical="center"/>
    </xf>
    <xf numFmtId="0" fontId="11" fillId="0" borderId="17"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19" xfId="0" applyFont="1" applyBorder="1" applyAlignment="1">
      <alignment horizontal="center" vertical="center" wrapText="1"/>
    </xf>
    <xf numFmtId="0" fontId="65" fillId="0" borderId="2" xfId="0" applyFont="1" applyBorder="1" applyAlignment="1">
      <alignment horizontal="center" vertical="center" wrapText="1"/>
    </xf>
    <xf numFmtId="0" fontId="65" fillId="0" borderId="2" xfId="0" applyFont="1" applyBorder="1" applyAlignment="1">
      <alignment horizontal="center"/>
    </xf>
    <xf numFmtId="0" fontId="11" fillId="0" borderId="17" xfId="0" applyFont="1" applyBorder="1" applyAlignment="1">
      <alignment horizontal="center" wrapText="1"/>
    </xf>
    <xf numFmtId="0" fontId="65" fillId="0" borderId="1" xfId="0" applyFont="1" applyBorder="1" applyAlignment="1">
      <alignment horizontal="center" vertical="center" wrapText="1"/>
    </xf>
    <xf numFmtId="0" fontId="4" fillId="0" borderId="0" xfId="2" applyFont="1" applyAlignment="1">
      <alignment horizontal="center" vertical="center"/>
    </xf>
    <xf numFmtId="0" fontId="5" fillId="0" borderId="0" xfId="0" applyFont="1" applyAlignment="1">
      <alignment horizontal="center" vertical="center"/>
    </xf>
    <xf numFmtId="0" fontId="4" fillId="0" borderId="1" xfId="2" applyFont="1" applyBorder="1" applyAlignment="1">
      <alignment horizontal="center" vertical="center"/>
    </xf>
    <xf numFmtId="0" fontId="5" fillId="0" borderId="1" xfId="0" applyFont="1" applyBorder="1" applyAlignment="1">
      <alignment horizontal="center" vertical="center"/>
    </xf>
    <xf numFmtId="0" fontId="4" fillId="0" borderId="0" xfId="2" applyFont="1" applyAlignment="1"/>
    <xf numFmtId="0" fontId="3" fillId="0" borderId="0" xfId="2" applyFont="1" applyAlignment="1"/>
    <xf numFmtId="0" fontId="5" fillId="0" borderId="0" xfId="0" applyFont="1" applyAlignment="1"/>
    <xf numFmtId="0" fontId="2" fillId="0" borderId="5" xfId="0" applyFont="1" applyBorder="1" applyAlignment="1">
      <alignment horizontal="center"/>
    </xf>
    <xf numFmtId="0" fontId="2" fillId="0" borderId="0" xfId="0" applyFont="1" applyBorder="1" applyAlignment="1">
      <alignment horizontal="center"/>
    </xf>
    <xf numFmtId="0" fontId="110" fillId="0" borderId="1" xfId="64" applyFont="1" applyBorder="1" applyAlignment="1">
      <alignment horizontal="center"/>
    </xf>
    <xf numFmtId="0" fontId="0" fillId="0" borderId="0" xfId="0" applyAlignment="1">
      <alignment horizontal="left" vertical="center"/>
    </xf>
    <xf numFmtId="0" fontId="0" fillId="0" borderId="0" xfId="0" applyAlignment="1">
      <alignment horizontal="center" vertical="center"/>
    </xf>
    <xf numFmtId="1" fontId="0" fillId="0" borderId="0" xfId="0" applyNumberFormat="1" applyAlignment="1">
      <alignment horizontal="center" vertical="center"/>
    </xf>
    <xf numFmtId="3" fontId="111" fillId="0" borderId="2" xfId="0" applyNumberFormat="1" applyFont="1" applyBorder="1" applyAlignment="1">
      <alignment horizontal="center"/>
    </xf>
    <xf numFmtId="0" fontId="42" fillId="0" borderId="2" xfId="0" applyFont="1" applyBorder="1" applyAlignment="1">
      <alignment horizontal="center"/>
    </xf>
    <xf numFmtId="0" fontId="21" fillId="0" borderId="0" xfId="0" applyFont="1" applyAlignment="1">
      <alignment horizontal="center"/>
    </xf>
    <xf numFmtId="0" fontId="3" fillId="0" borderId="1" xfId="2" applyFont="1" applyBorder="1" applyAlignment="1">
      <alignment horizontal="center" wrapText="1"/>
    </xf>
    <xf numFmtId="0" fontId="52" fillId="0" borderId="0" xfId="0" applyFont="1" applyFill="1" applyBorder="1" applyAlignment="1">
      <alignment horizontal="left"/>
    </xf>
    <xf numFmtId="0" fontId="52" fillId="0" borderId="1" xfId="0" applyFont="1" applyFill="1" applyBorder="1" applyAlignment="1">
      <alignment horizontal="left"/>
    </xf>
  </cellXfs>
  <cellStyles count="66">
    <cellStyle name="20% - Accent1" xfId="27" builtinId="30" customBuiltin="1"/>
    <cellStyle name="20% - Accent2" xfId="31" builtinId="34" customBuiltin="1"/>
    <cellStyle name="20% - Accent3" xfId="35" builtinId="38" customBuiltin="1"/>
    <cellStyle name="20% - Accent4" xfId="39" builtinId="42" customBuiltin="1"/>
    <cellStyle name="20% - Accent5" xfId="43" builtinId="46" customBuiltin="1"/>
    <cellStyle name="20% - Accent6" xfId="47" builtinId="50" customBuiltin="1"/>
    <cellStyle name="40% - Accent1" xfId="28" builtinId="31" customBuiltin="1"/>
    <cellStyle name="40% - Accent2" xfId="32" builtinId="35" customBuiltin="1"/>
    <cellStyle name="40% - Accent3" xfId="36" builtinId="39" customBuiltin="1"/>
    <cellStyle name="40% - Accent4" xfId="40" builtinId="43" customBuiltin="1"/>
    <cellStyle name="40% - Accent5" xfId="44" builtinId="47" customBuiltin="1"/>
    <cellStyle name="40% - Accent6" xfId="48" builtinId="51" customBuiltin="1"/>
    <cellStyle name="60% - Accent1" xfId="29" builtinId="32" customBuiltin="1"/>
    <cellStyle name="60% - Accent2" xfId="33" builtinId="36" customBuiltin="1"/>
    <cellStyle name="60% - Accent3" xfId="37" builtinId="40" customBuiltin="1"/>
    <cellStyle name="60% - Accent4" xfId="41" builtinId="44" customBuiltin="1"/>
    <cellStyle name="60% - Accent5" xfId="45" builtinId="48" customBuiltin="1"/>
    <cellStyle name="60% - Accent6" xfId="49" builtinId="52" customBuiltin="1"/>
    <cellStyle name="Accent1" xfId="26" builtinId="29" customBuiltin="1"/>
    <cellStyle name="Accent2" xfId="30" builtinId="33" customBuiltin="1"/>
    <cellStyle name="Accent3" xfId="34" builtinId="37" customBuiltin="1"/>
    <cellStyle name="Accent4" xfId="38" builtinId="41" customBuiltin="1"/>
    <cellStyle name="Accent5" xfId="42" builtinId="45" customBuiltin="1"/>
    <cellStyle name="Accent6" xfId="46" builtinId="49" customBuiltin="1"/>
    <cellStyle name="Bad" xfId="15" builtinId="27" customBuiltin="1"/>
    <cellStyle name="Calculation" xfId="19" builtinId="22" customBuiltin="1"/>
    <cellStyle name="Check Cell" xfId="21" builtinId="23" customBuiltin="1"/>
    <cellStyle name="Comma" xfId="55" builtinId="3"/>
    <cellStyle name="Currency" xfId="56" builtinId="4"/>
    <cellStyle name="Date" xfId="58"/>
    <cellStyle name="En-tête 1" xfId="59"/>
    <cellStyle name="En-tête 2" xfId="60"/>
    <cellStyle name="Explanatory Text" xfId="24" builtinId="53" customBuiltin="1"/>
    <cellStyle name="Financier0" xfId="61"/>
    <cellStyle name="Good" xfId="14" builtinId="26" customBuiltin="1"/>
    <cellStyle name="Heading 1" xfId="10" builtinId="16" customBuiltin="1"/>
    <cellStyle name="Heading 2" xfId="11" builtinId="17" customBuiltin="1"/>
    <cellStyle name="Heading 3" xfId="12" builtinId="18" customBuiltin="1"/>
    <cellStyle name="Heading 4" xfId="13" builtinId="19" customBuiltin="1"/>
    <cellStyle name="Hyperlink" xfId="3" builtinId="8"/>
    <cellStyle name="Input" xfId="17" builtinId="20" customBuiltin="1"/>
    <cellStyle name="Linked Cell" xfId="20" builtinId="24" customBuiltin="1"/>
    <cellStyle name="Monétaire0" xfId="62"/>
    <cellStyle name="Neutral" xfId="16" builtinId="28" customBuiltin="1"/>
    <cellStyle name="Normal" xfId="0" builtinId="0"/>
    <cellStyle name="Normal 11" xfId="52"/>
    <cellStyle name="Normal 2" xfId="8"/>
    <cellStyle name="Normal 2 3" xfId="53"/>
    <cellStyle name="Normal 3" xfId="50"/>
    <cellStyle name="Normal 4" xfId="51"/>
    <cellStyle name="Normal 5" xfId="54"/>
    <cellStyle name="Normal 6" xfId="57"/>
    <cellStyle name="Normal 7" xfId="65"/>
    <cellStyle name="Normal 9" xfId="64"/>
    <cellStyle name="Normal_Comp1398" xfId="7"/>
    <cellStyle name="Normal_TabAnnexeB" xfId="2"/>
    <cellStyle name="Normal_TabAnnexeH" xfId="6"/>
    <cellStyle name="Note" xfId="23" builtinId="10" customBuiltin="1"/>
    <cellStyle name="Output" xfId="18" builtinId="21" customBuiltin="1"/>
    <cellStyle name="Percent" xfId="1" builtinId="5"/>
    <cellStyle name="Stub" xfId="4"/>
    <cellStyle name="style_col_headings" xfId="5"/>
    <cellStyle name="Title" xfId="9" builtinId="15" customBuiltin="1"/>
    <cellStyle name="Total" xfId="25" builtinId="25" customBuiltin="1"/>
    <cellStyle name="Virgule fixe" xfId="63"/>
    <cellStyle name="Warning Text" xfId="22" builtinId="11" customBuiltin="1"/>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29.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3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35.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a:pPr>
            <a:r>
              <a:rPr lang="en-US" sz="1300" b="1"/>
              <a:t>Pre-tax national income: Top 1% share</a:t>
            </a:r>
          </a:p>
        </c:rich>
      </c:tx>
      <c:layout>
        <c:manualLayout>
          <c:xMode val="edge"/>
          <c:yMode val="edge"/>
          <c:x val="0.28516750221037185"/>
          <c:y val="0"/>
        </c:manualLayout>
      </c:layout>
      <c:overlay val="0"/>
    </c:title>
    <c:autoTitleDeleted val="0"/>
    <c:plotArea>
      <c:layout>
        <c:manualLayout>
          <c:layoutTarget val="inner"/>
          <c:xMode val="edge"/>
          <c:yMode val="edge"/>
          <c:x val="0.15110888916663198"/>
          <c:y val="5.1229782174664056E-2"/>
          <c:w val="0.80338828016868247"/>
          <c:h val="0.88565515848980403"/>
        </c:manualLayout>
      </c:layout>
      <c:lineChart>
        <c:grouping val="standard"/>
        <c:varyColors val="0"/>
        <c:ser>
          <c:idx val="0"/>
          <c:order val="0"/>
          <c:tx>
            <c:strRef>
              <c:f>'F-1'!$B$32</c:f>
              <c:strCache>
                <c:ptCount val="1"/>
                <c:pt idx="0">
                  <c:v>PSZ pre-tax income</c:v>
                </c:pt>
              </c:strCache>
            </c:strRef>
          </c:tx>
          <c:spPr>
            <a:ln w="25400">
              <a:solidFill>
                <a:schemeClr val="tx2"/>
              </a:solidFill>
              <a:prstDash val="solid"/>
            </a:ln>
          </c:spPr>
          <c:marker>
            <c:symbol val="none"/>
          </c:marker>
          <c:dPt>
            <c:idx val="54"/>
            <c:bubble3D val="0"/>
            <c:spPr>
              <a:ln w="25400">
                <a:solidFill>
                  <a:schemeClr val="tx2"/>
                </a:solidFill>
                <a:prstDash val="solid"/>
              </a:ln>
            </c:spPr>
            <c:extLst xmlns:c16r2="http://schemas.microsoft.com/office/drawing/2015/06/chart">
              <c:ext xmlns:c16="http://schemas.microsoft.com/office/drawing/2014/chart" uri="{C3380CC4-5D6E-409C-BE32-E72D297353CC}">
                <c16:uniqueId val="{00000001-F4EA-4393-8455-8E2C3D53375C}"/>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'F-1'!$B$33:$B$88</c:f>
              <c:numCache>
                <c:formatCode>0.000</c:formatCode>
                <c:ptCount val="56"/>
                <c:pt idx="0">
                  <c:v>0.12591519166871309</c:v>
                </c:pt>
                <c:pt idx="1">
                  <c:v>0.12453469169407759</c:v>
                </c:pt>
                <c:pt idx="2">
                  <c:v>0.12573906779289246</c:v>
                </c:pt>
                <c:pt idx="3">
                  <c:v>0.127462238073349</c:v>
                </c:pt>
                <c:pt idx="4">
                  <c:v>0.12919537723064423</c:v>
                </c:pt>
                <c:pt idx="5">
                  <c:v>0.127784363925457</c:v>
                </c:pt>
                <c:pt idx="6">
                  <c:v>0.12638157606124878</c:v>
                </c:pt>
                <c:pt idx="7">
                  <c:v>0.12336727976799011</c:v>
                </c:pt>
                <c:pt idx="8">
                  <c:v>0.12171453237533569</c:v>
                </c:pt>
                <c:pt idx="9">
                  <c:v>0.1149782408028841</c:v>
                </c:pt>
                <c:pt idx="10">
                  <c:v>0.11042817542329431</c:v>
                </c:pt>
                <c:pt idx="11">
                  <c:v>0.11082132125739008</c:v>
                </c:pt>
                <c:pt idx="12">
                  <c:v>0.11084715268225409</c:v>
                </c:pt>
                <c:pt idx="13">
                  <c:v>0.10920314674876863</c:v>
                </c:pt>
                <c:pt idx="14">
                  <c:v>0.10653001488572045</c:v>
                </c:pt>
                <c:pt idx="15">
                  <c:v>0.10555587813587408</c:v>
                </c:pt>
                <c:pt idx="16">
                  <c:v>0.10529308792285974</c:v>
                </c:pt>
                <c:pt idx="17">
                  <c:v>0.10665341100676073</c:v>
                </c:pt>
                <c:pt idx="18">
                  <c:v>0.10769409781094197</c:v>
                </c:pt>
                <c:pt idx="19">
                  <c:v>0.11153456568717957</c:v>
                </c:pt>
                <c:pt idx="20">
                  <c:v>0.10670077055692673</c:v>
                </c:pt>
                <c:pt idx="21">
                  <c:v>0.11048658937215805</c:v>
                </c:pt>
                <c:pt idx="22">
                  <c:v>0.1126394122838974</c:v>
                </c:pt>
                <c:pt idx="23">
                  <c:v>0.11513808369636536</c:v>
                </c:pt>
                <c:pt idx="24">
                  <c:v>0.12498427182435989</c:v>
                </c:pt>
                <c:pt idx="25">
                  <c:v>0.12553958594799042</c:v>
                </c:pt>
                <c:pt idx="26">
                  <c:v>0.12209108471870422</c:v>
                </c:pt>
                <c:pt idx="27">
                  <c:v>0.13306523859500885</c:v>
                </c:pt>
                <c:pt idx="28">
                  <c:v>0.14876338839530945</c:v>
                </c:pt>
                <c:pt idx="29">
                  <c:v>0.1446424275636673</c:v>
                </c:pt>
                <c:pt idx="30">
                  <c:v>0.14542049169540405</c:v>
                </c:pt>
                <c:pt idx="31">
                  <c:v>0.13891473412513733</c:v>
                </c:pt>
                <c:pt idx="32">
                  <c:v>0.15014225244522095</c:v>
                </c:pt>
                <c:pt idx="33">
                  <c:v>0.14641934633255005</c:v>
                </c:pt>
                <c:pt idx="34">
                  <c:v>0.14685395359992981</c:v>
                </c:pt>
                <c:pt idx="35">
                  <c:v>0.15284636616706848</c:v>
                </c:pt>
                <c:pt idx="36">
                  <c:v>0.15964031219482422</c:v>
                </c:pt>
                <c:pt idx="37">
                  <c:v>0.16627532243728638</c:v>
                </c:pt>
                <c:pt idx="38">
                  <c:v>0.16923791170120239</c:v>
                </c:pt>
                <c:pt idx="39">
                  <c:v>0.17707523703575134</c:v>
                </c:pt>
                <c:pt idx="40">
                  <c:v>0.18267017602920532</c:v>
                </c:pt>
                <c:pt idx="41">
                  <c:v>0.17269401252269745</c:v>
                </c:pt>
                <c:pt idx="42">
                  <c:v>0.17056876420974731</c:v>
                </c:pt>
                <c:pt idx="43">
                  <c:v>0.17203257977962494</c:v>
                </c:pt>
                <c:pt idx="44">
                  <c:v>0.18320697546005249</c:v>
                </c:pt>
                <c:pt idx="45">
                  <c:v>0.19373923540115356</c:v>
                </c:pt>
                <c:pt idx="46">
                  <c:v>0.20098753273487091</c:v>
                </c:pt>
                <c:pt idx="47">
                  <c:v>0.19863876700401306</c:v>
                </c:pt>
                <c:pt idx="48">
                  <c:v>0.19521696865558624</c:v>
                </c:pt>
                <c:pt idx="49">
                  <c:v>0.18539862334728241</c:v>
                </c:pt>
                <c:pt idx="50">
                  <c:v>0.19798023998737335</c:v>
                </c:pt>
                <c:pt idx="51">
                  <c:v>0.19600512087345123</c:v>
                </c:pt>
                <c:pt idx="52">
                  <c:v>0.20779828727245331</c:v>
                </c:pt>
                <c:pt idx="53">
                  <c:v>0.1959569901227951</c:v>
                </c:pt>
                <c:pt idx="54">
                  <c:v>0.20195885002613068</c:v>
                </c:pt>
              </c:numCache>
            </c:numRef>
          </c:val>
          <c:smooth val="0"/>
          <c:extLst xmlns:c16r2="http://schemas.microsoft.com/office/drawing/2015/06/chart">
            <c:ext xmlns:c16="http://schemas.microsoft.com/office/drawing/2014/chart" uri="{C3380CC4-5D6E-409C-BE32-E72D297353CC}">
              <c16:uniqueId val="{00000002-F4EA-4393-8455-8E2C3D53375C}"/>
            </c:ext>
          </c:extLst>
        </c:ser>
        <c:ser>
          <c:idx val="1"/>
          <c:order val="1"/>
          <c:tx>
            <c:strRef>
              <c:f>'F-1'!$C$32</c:f>
              <c:strCache>
                <c:ptCount val="1"/>
                <c:pt idx="0">
                  <c:v>AS pre-tax income</c:v>
                </c:pt>
              </c:strCache>
            </c:strRef>
          </c:tx>
          <c:spPr>
            <a:ln w="25400">
              <a:solidFill>
                <a:schemeClr val="accent2">
                  <a:lumMod val="75000"/>
                </a:schemeClr>
              </a:solidFill>
              <a:prstDash val="solid"/>
            </a:ln>
          </c:spPr>
          <c:marker>
            <c:symbol val="none"/>
          </c:marker>
          <c:dPt>
            <c:idx val="1"/>
            <c:bubble3D val="0"/>
            <c:extLst xmlns:c16r2="http://schemas.microsoft.com/office/drawing/2015/06/chart">
              <c:ext xmlns:c16="http://schemas.microsoft.com/office/drawing/2014/chart" uri="{C3380CC4-5D6E-409C-BE32-E72D297353CC}">
                <c16:uniqueId val="{00000003-F4EA-4393-8455-8E2C3D53375C}"/>
              </c:ext>
            </c:extLst>
          </c:dPt>
          <c:dPt>
            <c:idx val="3"/>
            <c:bubble3D val="0"/>
            <c:extLst xmlns:c16r2="http://schemas.microsoft.com/office/drawing/2015/06/chart">
              <c:ext xmlns:c16="http://schemas.microsoft.com/office/drawing/2014/chart" uri="{C3380CC4-5D6E-409C-BE32-E72D297353CC}">
                <c16:uniqueId val="{00000004-F4EA-4393-8455-8E2C3D53375C}"/>
              </c:ext>
            </c:extLst>
          </c:dPt>
          <c:dPt>
            <c:idx val="5"/>
            <c:bubble3D val="0"/>
            <c:extLst xmlns:c16r2="http://schemas.microsoft.com/office/drawing/2015/06/chart">
              <c:ext xmlns:c16="http://schemas.microsoft.com/office/drawing/2014/chart" uri="{C3380CC4-5D6E-409C-BE32-E72D297353CC}">
                <c16:uniqueId val="{00000005-F4EA-4393-8455-8E2C3D53375C}"/>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'F-1'!$C$33:$C$88</c:f>
              <c:numCache>
                <c:formatCode>0.000</c:formatCode>
                <c:ptCount val="56"/>
                <c:pt idx="0">
                  <c:v>0.1103860864630547</c:v>
                </c:pt>
                <c:pt idx="1">
                  <c:v>0.11081719513306594</c:v>
                </c:pt>
                <c:pt idx="2">
                  <c:v>0.11120373480640794</c:v>
                </c:pt>
                <c:pt idx="3">
                  <c:v>0.11305834004238841</c:v>
                </c:pt>
                <c:pt idx="4">
                  <c:v>0.1146899307735081</c:v>
                </c:pt>
                <c:pt idx="5">
                  <c:v>0.11494324669163405</c:v>
                </c:pt>
                <c:pt idx="6">
                  <c:v>0.11515736868552763</c:v>
                </c:pt>
                <c:pt idx="7">
                  <c:v>0.11224971747213815</c:v>
                </c:pt>
                <c:pt idx="8">
                  <c:v>0.11145129761914908</c:v>
                </c:pt>
                <c:pt idx="9">
                  <c:v>0.10106026471086935</c:v>
                </c:pt>
                <c:pt idx="10">
                  <c:v>9.3299155800116204E-2</c:v>
                </c:pt>
                <c:pt idx="11">
                  <c:v>9.6309616480635699E-2</c:v>
                </c:pt>
                <c:pt idx="12">
                  <c:v>9.8115968640821435E-2</c:v>
                </c:pt>
                <c:pt idx="13">
                  <c:v>9.7143648904541954E-2</c:v>
                </c:pt>
                <c:pt idx="14">
                  <c:v>9.3850207684448211E-2</c:v>
                </c:pt>
                <c:pt idx="15">
                  <c:v>9.4064651760773887E-2</c:v>
                </c:pt>
                <c:pt idx="16">
                  <c:v>9.4291204392316835E-2</c:v>
                </c:pt>
                <c:pt idx="17">
                  <c:v>9.4899274095405453E-2</c:v>
                </c:pt>
                <c:pt idx="18">
                  <c:v>9.3930708108198674E-2</c:v>
                </c:pt>
                <c:pt idx="19">
                  <c:v>9.4899986792237198E-2</c:v>
                </c:pt>
                <c:pt idx="20">
                  <c:v>9.261465973160031E-2</c:v>
                </c:pt>
                <c:pt idx="21">
                  <c:v>8.9262196264253163E-2</c:v>
                </c:pt>
                <c:pt idx="22">
                  <c:v>9.0401597762518424E-2</c:v>
                </c:pt>
                <c:pt idx="23">
                  <c:v>9.2487534110957156E-2</c:v>
                </c:pt>
                <c:pt idx="24">
                  <c:v>9.5430599975374134E-2</c:v>
                </c:pt>
                <c:pt idx="25">
                  <c:v>9.5622856413381044E-2</c:v>
                </c:pt>
                <c:pt idx="26">
                  <c:v>9.2931372728020101E-2</c:v>
                </c:pt>
                <c:pt idx="27">
                  <c:v>9.6691378643522452E-2</c:v>
                </c:pt>
                <c:pt idx="28">
                  <c:v>0.11618417948029981</c:v>
                </c:pt>
                <c:pt idx="29">
                  <c:v>0.11126510038595104</c:v>
                </c:pt>
                <c:pt idx="30">
                  <c:v>0.11287840931465051</c:v>
                </c:pt>
                <c:pt idx="31">
                  <c:v>0.10924309169780609</c:v>
                </c:pt>
                <c:pt idx="32">
                  <c:v>0.11597736769774794</c:v>
                </c:pt>
                <c:pt idx="33">
                  <c:v>0.10954075171346821</c:v>
                </c:pt>
                <c:pt idx="34">
                  <c:v>0.10947565686902427</c:v>
                </c:pt>
                <c:pt idx="35">
                  <c:v>0.11512130249241838</c:v>
                </c:pt>
                <c:pt idx="36">
                  <c:v>0.11931018728926303</c:v>
                </c:pt>
                <c:pt idx="37">
                  <c:v>0.12490294670435617</c:v>
                </c:pt>
                <c:pt idx="38">
                  <c:v>0.12637675646198396</c:v>
                </c:pt>
                <c:pt idx="39">
                  <c:v>0.13162035713692485</c:v>
                </c:pt>
                <c:pt idx="40">
                  <c:v>0.13670178501652119</c:v>
                </c:pt>
                <c:pt idx="41">
                  <c:v>0.12713426863166885</c:v>
                </c:pt>
                <c:pt idx="42">
                  <c:v>0.12068197568424517</c:v>
                </c:pt>
                <c:pt idx="43">
                  <c:v>0.12377478129489432</c:v>
                </c:pt>
                <c:pt idx="44">
                  <c:v>0.13260924234253701</c:v>
                </c:pt>
                <c:pt idx="45">
                  <c:v>0.14257478164468423</c:v>
                </c:pt>
                <c:pt idx="46">
                  <c:v>0.14696344047345955</c:v>
                </c:pt>
                <c:pt idx="47">
                  <c:v>0.14610594510750965</c:v>
                </c:pt>
                <c:pt idx="48">
                  <c:v>0.13955021491106612</c:v>
                </c:pt>
                <c:pt idx="49">
                  <c:v>0.13091121874891942</c:v>
                </c:pt>
                <c:pt idx="50">
                  <c:v>0.14296488171438282</c:v>
                </c:pt>
                <c:pt idx="51">
                  <c:v>0.13842295139515765</c:v>
                </c:pt>
                <c:pt idx="52">
                  <c:v>0.15229122380983121</c:v>
                </c:pt>
                <c:pt idx="53">
                  <c:v>0.13896760061229452</c:v>
                </c:pt>
                <c:pt idx="54">
                  <c:v>0.14277984870529348</c:v>
                </c:pt>
                <c:pt idx="55">
                  <c:v>0.14118367565625728</c:v>
                </c:pt>
              </c:numCache>
            </c:numRef>
          </c:val>
          <c:smooth val="0"/>
          <c:extLst xmlns:c16r2="http://schemas.microsoft.com/office/drawing/2015/06/chart">
            <c:ext xmlns:c16="http://schemas.microsoft.com/office/drawing/2014/chart" uri="{C3380CC4-5D6E-409C-BE32-E72D297353CC}">
              <c16:uniqueId val="{00000006-F4EA-4393-8455-8E2C3D53375C}"/>
            </c:ext>
          </c:extLst>
        </c:ser>
        <c:dLbls>
          <c:showLegendKey val="0"/>
          <c:showVal val="0"/>
          <c:showCatName val="0"/>
          <c:showSerName val="0"/>
          <c:showPercent val="0"/>
          <c:showBubbleSize val="0"/>
        </c:dLbls>
        <c:smooth val="0"/>
        <c:axId val="506946920"/>
        <c:axId val="506948880"/>
      </c:lineChart>
      <c:catAx>
        <c:axId val="506946920"/>
        <c:scaling>
          <c:orientation val="minMax"/>
        </c:scaling>
        <c:delete val="0"/>
        <c:axPos val="b"/>
        <c:majorGridlines>
          <c:spPr>
            <a:ln w="6350">
              <a:solidFill>
                <a:schemeClr val="tx1">
                  <a:lumMod val="50000"/>
                  <a:lumOff val="50000"/>
                </a:schemeClr>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506948880"/>
        <c:crossesAt val="0"/>
        <c:auto val="1"/>
        <c:lblAlgn val="ctr"/>
        <c:lblOffset val="100"/>
        <c:tickLblSkip val="10"/>
        <c:tickMarkSkip val="10"/>
        <c:noMultiLvlLbl val="0"/>
      </c:catAx>
      <c:valAx>
        <c:axId val="506948880"/>
        <c:scaling>
          <c:orientation val="minMax"/>
          <c:max val="0.20750000000000002"/>
          <c:min val="0"/>
        </c:scaling>
        <c:delete val="0"/>
        <c:axPos val="l"/>
        <c:majorGridlines>
          <c:spPr>
            <a:ln w="6350">
              <a:solidFill>
                <a:schemeClr val="tx1">
                  <a:lumMod val="50000"/>
                  <a:lumOff val="50000"/>
                </a:schemeClr>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506946920"/>
        <c:crosses val="autoZero"/>
        <c:crossBetween val="midCat"/>
        <c:majorUnit val="0.05"/>
        <c:minorUnit val="0.05"/>
      </c:valAx>
      <c:spPr>
        <a:solidFill>
          <a:srgbClr val="FFFFFF"/>
        </a:solidFill>
        <a:ln w="3175">
          <a:noFill/>
          <a:prstDash val="solid"/>
        </a:ln>
      </c:spPr>
    </c:plotArea>
    <c:plotVisOnly val="1"/>
    <c:dispBlanksAs val="span"/>
    <c:showDLblsOverMax val="0"/>
  </c:chart>
  <c:spPr>
    <a:solidFill>
      <a:schemeClr val="bg1"/>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866" r="0.75000000000000866" t="1" header="0.5" footer="0.5"/>
    <c:pageSetup orientation="landscape" verticalDpi="96"/>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a:pPr>
            <a:r>
              <a:rPr lang="en-US" sz="1300" b="1"/>
              <a:t>After-tax national income: Top 1% Share</a:t>
            </a:r>
          </a:p>
        </c:rich>
      </c:tx>
      <c:layout>
        <c:manualLayout>
          <c:xMode val="edge"/>
          <c:yMode val="edge"/>
          <c:x val="0.26165192313923724"/>
          <c:y val="0"/>
        </c:manualLayout>
      </c:layout>
      <c:overlay val="0"/>
    </c:title>
    <c:autoTitleDeleted val="0"/>
    <c:plotArea>
      <c:layout>
        <c:manualLayout>
          <c:layoutTarget val="inner"/>
          <c:xMode val="edge"/>
          <c:yMode val="edge"/>
          <c:x val="0.15110888916663198"/>
          <c:y val="5.407878502366692E-2"/>
          <c:w val="0.80338828016868247"/>
          <c:h val="0.88280615564080134"/>
        </c:manualLayout>
      </c:layout>
      <c:lineChart>
        <c:grouping val="standard"/>
        <c:varyColors val="0"/>
        <c:ser>
          <c:idx val="0"/>
          <c:order val="0"/>
          <c:tx>
            <c:strRef>
              <c:f>'F-1'!$D$32</c:f>
              <c:strCache>
                <c:ptCount val="1"/>
                <c:pt idx="0">
                  <c:v>PSZ post-tax Income</c:v>
                </c:pt>
              </c:strCache>
            </c:strRef>
          </c:tx>
          <c:spPr>
            <a:ln w="28575">
              <a:solidFill>
                <a:schemeClr val="tx2"/>
              </a:solidFill>
              <a:prstDash val="solid"/>
            </a:ln>
          </c:spPr>
          <c:marker>
            <c:symbol val="none"/>
          </c:marker>
          <c:dPt>
            <c:idx val="54"/>
            <c:bubble3D val="0"/>
            <c:spPr>
              <a:ln w="28575">
                <a:solidFill>
                  <a:schemeClr val="tx2"/>
                </a:solidFill>
                <a:prstDash val="solid"/>
              </a:ln>
            </c:spPr>
            <c:extLst xmlns:c16r2="http://schemas.microsoft.com/office/drawing/2015/06/chart">
              <c:ext xmlns:c16="http://schemas.microsoft.com/office/drawing/2014/chart" uri="{C3380CC4-5D6E-409C-BE32-E72D297353CC}">
                <c16:uniqueId val="{00000001-82EE-4D9B-A105-919CA10CDD7C}"/>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'F-1'!$D$33:$D$88</c:f>
              <c:numCache>
                <c:formatCode>0.000</c:formatCode>
                <c:ptCount val="56"/>
                <c:pt idx="0">
                  <c:v>0.10015657326110061</c:v>
                </c:pt>
                <c:pt idx="1">
                  <c:v>9.6557325937502436E-2</c:v>
                </c:pt>
                <c:pt idx="2">
                  <c:v>0.10066854953765869</c:v>
                </c:pt>
                <c:pt idx="3">
                  <c:v>0.10268303379416466</c:v>
                </c:pt>
                <c:pt idx="4">
                  <c:v>0.10469751805067062</c:v>
                </c:pt>
                <c:pt idx="5">
                  <c:v>0.10321642458438873</c:v>
                </c:pt>
                <c:pt idx="6">
                  <c:v>0.10173679143190384</c:v>
                </c:pt>
                <c:pt idx="7">
                  <c:v>9.605623222887516E-2</c:v>
                </c:pt>
                <c:pt idx="8">
                  <c:v>9.2759302351623774E-2</c:v>
                </c:pt>
                <c:pt idx="9">
                  <c:v>8.7514247396029532E-2</c:v>
                </c:pt>
                <c:pt idx="10">
                  <c:v>8.4887352684745565E-2</c:v>
                </c:pt>
                <c:pt idx="11">
                  <c:v>8.5458639288845006E-2</c:v>
                </c:pt>
                <c:pt idx="12">
                  <c:v>8.6487888178453431E-2</c:v>
                </c:pt>
                <c:pt idx="13">
                  <c:v>8.6489023362901207E-2</c:v>
                </c:pt>
                <c:pt idx="14">
                  <c:v>8.4209321462935804E-2</c:v>
                </c:pt>
                <c:pt idx="15">
                  <c:v>8.4134438639836162E-2</c:v>
                </c:pt>
                <c:pt idx="16">
                  <c:v>8.3880229295779429E-2</c:v>
                </c:pt>
                <c:pt idx="17">
                  <c:v>8.5985069722307017E-2</c:v>
                </c:pt>
                <c:pt idx="18">
                  <c:v>8.8024218939337207E-2</c:v>
                </c:pt>
                <c:pt idx="19">
                  <c:v>9.1394543647766113E-2</c:v>
                </c:pt>
                <c:pt idx="20">
                  <c:v>8.5684642195701599E-2</c:v>
                </c:pt>
                <c:pt idx="21">
                  <c:v>9.2760540544986725E-2</c:v>
                </c:pt>
                <c:pt idx="22">
                  <c:v>9.415377676486969E-2</c:v>
                </c:pt>
                <c:pt idx="23">
                  <c:v>9.7093850374221802E-2</c:v>
                </c:pt>
                <c:pt idx="24">
                  <c:v>0.10806571692228317</c:v>
                </c:pt>
                <c:pt idx="25">
                  <c:v>0.10700137913227081</c:v>
                </c:pt>
                <c:pt idx="26">
                  <c:v>9.9708005785942078E-2</c:v>
                </c:pt>
                <c:pt idx="27">
                  <c:v>0.10979178547859192</c:v>
                </c:pt>
                <c:pt idx="28">
                  <c:v>0.12418262660503387</c:v>
                </c:pt>
                <c:pt idx="29">
                  <c:v>0.12061177939176559</c:v>
                </c:pt>
                <c:pt idx="30">
                  <c:v>0.1208227202296257</c:v>
                </c:pt>
                <c:pt idx="31">
                  <c:v>0.11496724188327789</c:v>
                </c:pt>
                <c:pt idx="32">
                  <c:v>0.12335435301065445</c:v>
                </c:pt>
                <c:pt idx="33">
                  <c:v>0.11723674833774567</c:v>
                </c:pt>
                <c:pt idx="34">
                  <c:v>0.1162799745798111</c:v>
                </c:pt>
                <c:pt idx="35">
                  <c:v>0.12045539170503616</c:v>
                </c:pt>
                <c:pt idx="36">
                  <c:v>0.12473166733980179</c:v>
                </c:pt>
                <c:pt idx="37">
                  <c:v>0.12977787852287292</c:v>
                </c:pt>
                <c:pt idx="38">
                  <c:v>0.13113458454608917</c:v>
                </c:pt>
                <c:pt idx="39">
                  <c:v>0.13691259920597076</c:v>
                </c:pt>
                <c:pt idx="40">
                  <c:v>0.14076106250286102</c:v>
                </c:pt>
                <c:pt idx="41">
                  <c:v>0.1376899778842926</c:v>
                </c:pt>
                <c:pt idx="42">
                  <c:v>0.13940544426441193</c:v>
                </c:pt>
                <c:pt idx="43">
                  <c:v>0.14093117415904999</c:v>
                </c:pt>
                <c:pt idx="44">
                  <c:v>0.14785221219062805</c:v>
                </c:pt>
                <c:pt idx="45">
                  <c:v>0.15258103609085083</c:v>
                </c:pt>
                <c:pt idx="46">
                  <c:v>0.15777617692947388</c:v>
                </c:pt>
                <c:pt idx="47">
                  <c:v>0.15263952314853668</c:v>
                </c:pt>
                <c:pt idx="48">
                  <c:v>0.15322943031787872</c:v>
                </c:pt>
                <c:pt idx="49">
                  <c:v>0.15093521773815155</c:v>
                </c:pt>
                <c:pt idx="50">
                  <c:v>0.15936015546321869</c:v>
                </c:pt>
                <c:pt idx="51">
                  <c:v>0.15827284753322601</c:v>
                </c:pt>
                <c:pt idx="52">
                  <c:v>0.16669024527072906</c:v>
                </c:pt>
                <c:pt idx="53">
                  <c:v>0.15344133973121643</c:v>
                </c:pt>
                <c:pt idx="54">
                  <c:v>0.15664321184158325</c:v>
                </c:pt>
              </c:numCache>
            </c:numRef>
          </c:val>
          <c:smooth val="0"/>
          <c:extLst xmlns:c16r2="http://schemas.microsoft.com/office/drawing/2015/06/chart">
            <c:ext xmlns:c16="http://schemas.microsoft.com/office/drawing/2014/chart" uri="{C3380CC4-5D6E-409C-BE32-E72D297353CC}">
              <c16:uniqueId val="{00000002-82EE-4D9B-A105-919CA10CDD7C}"/>
            </c:ext>
          </c:extLst>
        </c:ser>
        <c:ser>
          <c:idx val="1"/>
          <c:order val="1"/>
          <c:tx>
            <c:v>AS after-tax income</c:v>
          </c:tx>
          <c:spPr>
            <a:ln w="28575">
              <a:solidFill>
                <a:schemeClr val="accent2">
                  <a:lumMod val="75000"/>
                </a:schemeClr>
              </a:solidFill>
              <a:prstDash val="solid"/>
            </a:ln>
          </c:spPr>
          <c:marker>
            <c:symbol val="none"/>
          </c:marker>
          <c:dPt>
            <c:idx val="1"/>
            <c:bubble3D val="0"/>
            <c:extLst xmlns:c16r2="http://schemas.microsoft.com/office/drawing/2015/06/chart">
              <c:ext xmlns:c16="http://schemas.microsoft.com/office/drawing/2014/chart" uri="{C3380CC4-5D6E-409C-BE32-E72D297353CC}">
                <c16:uniqueId val="{00000003-82EE-4D9B-A105-919CA10CDD7C}"/>
              </c:ext>
            </c:extLst>
          </c:dPt>
          <c:dPt>
            <c:idx val="3"/>
            <c:bubble3D val="0"/>
            <c:extLst xmlns:c16r2="http://schemas.microsoft.com/office/drawing/2015/06/chart">
              <c:ext xmlns:c16="http://schemas.microsoft.com/office/drawing/2014/chart" uri="{C3380CC4-5D6E-409C-BE32-E72D297353CC}">
                <c16:uniqueId val="{00000004-82EE-4D9B-A105-919CA10CDD7C}"/>
              </c:ext>
            </c:extLst>
          </c:dPt>
          <c:dPt>
            <c:idx val="5"/>
            <c:bubble3D val="0"/>
            <c:extLst xmlns:c16r2="http://schemas.microsoft.com/office/drawing/2015/06/chart">
              <c:ext xmlns:c16="http://schemas.microsoft.com/office/drawing/2014/chart" uri="{C3380CC4-5D6E-409C-BE32-E72D297353CC}">
                <c16:uniqueId val="{00000005-82EE-4D9B-A105-919CA10CDD7C}"/>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'F-1'!$E$33:$E$88</c:f>
              <c:numCache>
                <c:formatCode>0.000</c:formatCode>
                <c:ptCount val="56"/>
                <c:pt idx="0">
                  <c:v>7.8989479518218247E-2</c:v>
                </c:pt>
                <c:pt idx="1">
                  <c:v>8.1199464095742274E-2</c:v>
                </c:pt>
                <c:pt idx="2">
                  <c:v>8.3180970305290119E-2</c:v>
                </c:pt>
                <c:pt idx="3">
                  <c:v>8.4699843262851141E-2</c:v>
                </c:pt>
                <c:pt idx="4">
                  <c:v>8.6036076453784915E-2</c:v>
                </c:pt>
                <c:pt idx="5">
                  <c:v>8.7343239886431404E-2</c:v>
                </c:pt>
                <c:pt idx="6">
                  <c:v>8.8448156715799003E-2</c:v>
                </c:pt>
                <c:pt idx="7">
                  <c:v>8.153302970705105E-2</c:v>
                </c:pt>
                <c:pt idx="8">
                  <c:v>7.9426378845157936E-2</c:v>
                </c:pt>
                <c:pt idx="9">
                  <c:v>7.2454336341204142E-2</c:v>
                </c:pt>
                <c:pt idx="10">
                  <c:v>6.5568941024082714E-2</c:v>
                </c:pt>
                <c:pt idx="11">
                  <c:v>6.7289153268485863E-2</c:v>
                </c:pt>
                <c:pt idx="12">
                  <c:v>6.9600404183633544E-2</c:v>
                </c:pt>
                <c:pt idx="13">
                  <c:v>7.3304543140487885E-2</c:v>
                </c:pt>
                <c:pt idx="14">
                  <c:v>7.0153054150191477E-2</c:v>
                </c:pt>
                <c:pt idx="15">
                  <c:v>6.7785973094478993E-2</c:v>
                </c:pt>
                <c:pt idx="16">
                  <c:v>6.8293424459802965E-2</c:v>
                </c:pt>
                <c:pt idx="17">
                  <c:v>7.1347738673522759E-2</c:v>
                </c:pt>
                <c:pt idx="18">
                  <c:v>7.2830273756297539E-2</c:v>
                </c:pt>
                <c:pt idx="19">
                  <c:v>7.2139807023017671E-2</c:v>
                </c:pt>
                <c:pt idx="20">
                  <c:v>6.7709847776369403E-2</c:v>
                </c:pt>
                <c:pt idx="21">
                  <c:v>6.7240971676688424E-2</c:v>
                </c:pt>
                <c:pt idx="22">
                  <c:v>6.5611154786142545E-2</c:v>
                </c:pt>
                <c:pt idx="23">
                  <c:v>6.6815370630912127E-2</c:v>
                </c:pt>
                <c:pt idx="24">
                  <c:v>7.2297376537959604E-2</c:v>
                </c:pt>
                <c:pt idx="25">
                  <c:v>7.0868369231104497E-2</c:v>
                </c:pt>
                <c:pt idx="26">
                  <c:v>6.6271363796234981E-2</c:v>
                </c:pt>
                <c:pt idx="27">
                  <c:v>7.0054384975182071E-2</c:v>
                </c:pt>
                <c:pt idx="28">
                  <c:v>8.7459750123910995E-2</c:v>
                </c:pt>
                <c:pt idx="29">
                  <c:v>8.2664002007293388E-2</c:v>
                </c:pt>
                <c:pt idx="30">
                  <c:v>8.3336941022029556E-2</c:v>
                </c:pt>
                <c:pt idx="31">
                  <c:v>7.7543395194042242E-2</c:v>
                </c:pt>
                <c:pt idx="32">
                  <c:v>7.9735921906976981E-2</c:v>
                </c:pt>
                <c:pt idx="33">
                  <c:v>7.2809681793638795E-2</c:v>
                </c:pt>
                <c:pt idx="34">
                  <c:v>7.3669655385035615E-2</c:v>
                </c:pt>
                <c:pt idx="35">
                  <c:v>7.7604961237693143E-2</c:v>
                </c:pt>
                <c:pt idx="36">
                  <c:v>8.1103190969653641E-2</c:v>
                </c:pt>
                <c:pt idx="37">
                  <c:v>8.5504586668831761E-2</c:v>
                </c:pt>
                <c:pt idx="38">
                  <c:v>8.6803083366503303E-2</c:v>
                </c:pt>
                <c:pt idx="39">
                  <c:v>9.06087050726571E-2</c:v>
                </c:pt>
                <c:pt idx="40">
                  <c:v>9.4509605359795038E-2</c:v>
                </c:pt>
                <c:pt idx="41">
                  <c:v>8.6020749470970284E-2</c:v>
                </c:pt>
                <c:pt idx="42">
                  <c:v>8.036672533413558E-2</c:v>
                </c:pt>
                <c:pt idx="43">
                  <c:v>8.3090076888733974E-2</c:v>
                </c:pt>
                <c:pt idx="44">
                  <c:v>8.9180091516531806E-2</c:v>
                </c:pt>
                <c:pt idx="45">
                  <c:v>9.5123410492338856E-2</c:v>
                </c:pt>
                <c:pt idx="46">
                  <c:v>9.8223339611121438E-2</c:v>
                </c:pt>
                <c:pt idx="47">
                  <c:v>9.4563324470752594E-2</c:v>
                </c:pt>
                <c:pt idx="48">
                  <c:v>8.4723553346400554E-2</c:v>
                </c:pt>
                <c:pt idx="49">
                  <c:v>7.7804968638845548E-2</c:v>
                </c:pt>
                <c:pt idx="50">
                  <c:v>8.5720370581185562E-2</c:v>
                </c:pt>
                <c:pt idx="51">
                  <c:v>8.1359490192568745E-2</c:v>
                </c:pt>
                <c:pt idx="52">
                  <c:v>9.3432484478077574E-2</c:v>
                </c:pt>
                <c:pt idx="53">
                  <c:v>8.280797718239509E-2</c:v>
                </c:pt>
                <c:pt idx="54">
                  <c:v>8.6381387551909522E-2</c:v>
                </c:pt>
                <c:pt idx="55">
                  <c:v>8.5472598105556033E-2</c:v>
                </c:pt>
              </c:numCache>
            </c:numRef>
          </c:val>
          <c:smooth val="0"/>
          <c:extLst xmlns:c16r2="http://schemas.microsoft.com/office/drawing/2015/06/chart">
            <c:ext xmlns:c16="http://schemas.microsoft.com/office/drawing/2014/chart" uri="{C3380CC4-5D6E-409C-BE32-E72D297353CC}">
              <c16:uniqueId val="{00000006-82EE-4D9B-A105-919CA10CDD7C}"/>
            </c:ext>
          </c:extLst>
        </c:ser>
        <c:dLbls>
          <c:showLegendKey val="0"/>
          <c:showVal val="0"/>
          <c:showCatName val="0"/>
          <c:showSerName val="0"/>
          <c:showPercent val="0"/>
          <c:showBubbleSize val="0"/>
        </c:dLbls>
        <c:smooth val="0"/>
        <c:axId val="506947704"/>
        <c:axId val="506945352"/>
      </c:lineChart>
      <c:catAx>
        <c:axId val="506947704"/>
        <c:scaling>
          <c:orientation val="minMax"/>
        </c:scaling>
        <c:delete val="0"/>
        <c:axPos val="b"/>
        <c:majorGridlines>
          <c:spPr>
            <a:ln w="6350">
              <a:solidFill>
                <a:schemeClr val="tx1">
                  <a:lumMod val="50000"/>
                  <a:lumOff val="50000"/>
                </a:schemeClr>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506945352"/>
        <c:crossesAt val="0"/>
        <c:auto val="1"/>
        <c:lblAlgn val="ctr"/>
        <c:lblOffset val="100"/>
        <c:tickLblSkip val="10"/>
        <c:tickMarkSkip val="10"/>
        <c:noMultiLvlLbl val="0"/>
      </c:catAx>
      <c:valAx>
        <c:axId val="506945352"/>
        <c:scaling>
          <c:orientation val="minMax"/>
          <c:max val="0.20750000000000002"/>
          <c:min val="0"/>
        </c:scaling>
        <c:delete val="0"/>
        <c:axPos val="l"/>
        <c:majorGridlines>
          <c:spPr>
            <a:ln w="6350">
              <a:solidFill>
                <a:schemeClr val="tx1">
                  <a:lumMod val="50000"/>
                  <a:lumOff val="50000"/>
                </a:schemeClr>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506947704"/>
        <c:crosses val="autoZero"/>
        <c:crossBetween val="midCat"/>
        <c:majorUnit val="0.05"/>
        <c:minorUnit val="0.05"/>
      </c:valAx>
      <c:spPr>
        <a:solidFill>
          <a:srgbClr val="FFFFFF"/>
        </a:solidFill>
        <a:ln w="3175">
          <a:noFill/>
          <a:prstDash val="solid"/>
        </a:ln>
      </c:spPr>
    </c:plotArea>
    <c:plotVisOnly val="1"/>
    <c:dispBlanksAs val="span"/>
    <c:showDLblsOverMax val="0"/>
  </c:chart>
  <c:spPr>
    <a:solidFill>
      <a:schemeClr val="bg1"/>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866" r="0.75000000000000866" t="1" header="0.5" footer="0.5"/>
    <c:pageSetup orientation="landscape" verticalDpi="96"/>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0" i="0" u="none" strike="noStrike" baseline="0">
                <a:solidFill>
                  <a:srgbClr val="000000"/>
                </a:solidFill>
                <a:latin typeface="Arial"/>
                <a:ea typeface="Arial"/>
                <a:cs typeface="Arial"/>
              </a:defRPr>
            </a:pPr>
            <a:r>
              <a:rPr lang="en-US" sz="1300" b="1" i="0" u="none" strike="noStrike" baseline="0">
                <a:solidFill>
                  <a:srgbClr val="000000"/>
                </a:solidFill>
                <a:latin typeface="Arial" panose="020B0604020202020204" pitchFamily="34" charset="0"/>
                <a:cs typeface="Arial" panose="020B0604020202020204" pitchFamily="34" charset="0"/>
              </a:rPr>
              <a:t>Pre-tax Income Expansions, Increases</a:t>
            </a:r>
          </a:p>
          <a:p>
            <a:pPr>
              <a:defRPr sz="900" b="0" i="0" u="none" strike="noStrike" baseline="0">
                <a:solidFill>
                  <a:srgbClr val="000000"/>
                </a:solidFill>
                <a:latin typeface="Arial"/>
                <a:ea typeface="Arial"/>
                <a:cs typeface="Arial"/>
              </a:defRPr>
            </a:pPr>
            <a:r>
              <a:rPr lang="en-US" sz="1200" b="0" i="0" u="none" strike="noStrike" baseline="0">
                <a:solidFill>
                  <a:srgbClr val="000000"/>
                </a:solidFill>
                <a:latin typeface="Calibri"/>
              </a:rPr>
              <a:t> </a:t>
            </a:r>
          </a:p>
        </c:rich>
      </c:tx>
      <c:layout>
        <c:manualLayout>
          <c:xMode val="edge"/>
          <c:yMode val="edge"/>
          <c:x val="0.27018027468320255"/>
          <c:y val="2.6164034104955321E-2"/>
        </c:manualLayout>
      </c:layout>
      <c:overlay val="0"/>
      <c:spPr>
        <a:noFill/>
        <a:ln w="25400">
          <a:noFill/>
        </a:ln>
      </c:spPr>
    </c:title>
    <c:autoTitleDeleted val="0"/>
    <c:plotArea>
      <c:layout>
        <c:manualLayout>
          <c:layoutTarget val="inner"/>
          <c:xMode val="edge"/>
          <c:yMode val="edge"/>
          <c:x val="0.11948073101317647"/>
          <c:y val="7.9415145454085123E-2"/>
          <c:w val="0.83950746460233783"/>
          <c:h val="0.86599571847106283"/>
        </c:manualLayout>
      </c:layout>
      <c:lineChart>
        <c:grouping val="standard"/>
        <c:varyColors val="0"/>
        <c:ser>
          <c:idx val="3"/>
          <c:order val="0"/>
          <c:tx>
            <c:v>adjusted income</c:v>
          </c:tx>
          <c:spPr>
            <a:ln w="22225">
              <a:solidFill>
                <a:schemeClr val="accent4">
                  <a:lumMod val="75000"/>
                </a:schemeClr>
              </a:solidFill>
              <a:prstDash val="sysDash"/>
            </a:ln>
          </c:spPr>
          <c:marker>
            <c:symbol val="none"/>
          </c:marker>
          <c:dPt>
            <c:idx val="1"/>
            <c:bubble3D val="0"/>
            <c:extLst xmlns:c16r2="http://schemas.microsoft.com/office/drawing/2015/06/chart">
              <c:ext xmlns:c16="http://schemas.microsoft.com/office/drawing/2014/chart" uri="{C3380CC4-5D6E-409C-BE32-E72D297353CC}">
                <c16:uniqueId val="{00000000-6C75-49BC-8ACC-FD5F5B1B2C6E}"/>
              </c:ext>
            </c:extLst>
          </c:dPt>
          <c:dPt>
            <c:idx val="3"/>
            <c:bubble3D val="0"/>
            <c:extLst xmlns:c16r2="http://schemas.microsoft.com/office/drawing/2015/06/chart">
              <c:ext xmlns:c16="http://schemas.microsoft.com/office/drawing/2014/chart" uri="{C3380CC4-5D6E-409C-BE32-E72D297353CC}">
                <c16:uniqueId val="{00000001-6C75-49BC-8ACC-FD5F5B1B2C6E}"/>
              </c:ext>
            </c:extLst>
          </c:dPt>
          <c:dPt>
            <c:idx val="5"/>
            <c:bubble3D val="0"/>
            <c:extLst xmlns:c16r2="http://schemas.microsoft.com/office/drawing/2015/06/chart">
              <c:ext xmlns:c16="http://schemas.microsoft.com/office/drawing/2014/chart" uri="{C3380CC4-5D6E-409C-BE32-E72D297353CC}">
                <c16:uniqueId val="{00000002-6C75-49BC-8ACC-FD5F5B1B2C6E}"/>
              </c:ext>
            </c:extLst>
          </c:dPt>
          <c:val>
            <c:numRef>
              <c:f>'C2-Shares'!$BX$6:$BX$61</c:f>
              <c:numCache>
                <c:formatCode>0.0000</c:formatCode>
                <c:ptCount val="56"/>
                <c:pt idx="0">
                  <c:v>8.0704586205879808E-2</c:v>
                </c:pt>
                <c:pt idx="1">
                  <c:v>8.149957649088807E-2</c:v>
                </c:pt>
                <c:pt idx="2">
                  <c:v>8.2214429288364338E-2</c:v>
                </c:pt>
                <c:pt idx="3">
                  <c:v>8.0967758094705133E-2</c:v>
                </c:pt>
                <c:pt idx="4">
                  <c:v>7.9874426398425166E-2</c:v>
                </c:pt>
                <c:pt idx="5">
                  <c:v>8.0942606090687402E-2</c:v>
                </c:pt>
                <c:pt idx="6">
                  <c:v>8.1849257384406654E-2</c:v>
                </c:pt>
                <c:pt idx="7">
                  <c:v>8.1902669150399454E-2</c:v>
                </c:pt>
                <c:pt idx="8">
                  <c:v>8.0797040939430936E-2</c:v>
                </c:pt>
                <c:pt idx="9">
                  <c:v>7.7469838484041459E-2</c:v>
                </c:pt>
                <c:pt idx="10">
                  <c:v>7.6548360653977784E-2</c:v>
                </c:pt>
                <c:pt idx="11">
                  <c:v>7.6113282297781026E-2</c:v>
                </c:pt>
                <c:pt idx="12">
                  <c:v>7.569426623644547E-2</c:v>
                </c:pt>
                <c:pt idx="13">
                  <c:v>7.5956575572732332E-2</c:v>
                </c:pt>
                <c:pt idx="14">
                  <c:v>7.9597320416450526E-2</c:v>
                </c:pt>
                <c:pt idx="15">
                  <c:v>7.8475891101724565E-2</c:v>
                </c:pt>
                <c:pt idx="16">
                  <c:v>7.7610610225101809E-2</c:v>
                </c:pt>
                <c:pt idx="17">
                  <c:v>7.6882434532392352E-2</c:v>
                </c:pt>
                <c:pt idx="18">
                  <c:v>7.7404652184791117E-2</c:v>
                </c:pt>
                <c:pt idx="19">
                  <c:v>7.8707776493680548E-2</c:v>
                </c:pt>
                <c:pt idx="20">
                  <c:v>8.110096637032263E-2</c:v>
                </c:pt>
                <c:pt idx="21">
                  <c:v>8.1618252475079658E-2</c:v>
                </c:pt>
                <c:pt idx="22">
                  <c:v>8.6607538124679195E-2</c:v>
                </c:pt>
                <c:pt idx="23">
                  <c:v>8.846684875985851E-2</c:v>
                </c:pt>
                <c:pt idx="24">
                  <c:v>9.2034590145962256E-2</c:v>
                </c:pt>
                <c:pt idx="25">
                  <c:v>9.470650408387235E-2</c:v>
                </c:pt>
                <c:pt idx="26">
                  <c:v>9.4282128943826704E-2</c:v>
                </c:pt>
                <c:pt idx="27">
                  <c:v>0.10221733570411845</c:v>
                </c:pt>
                <c:pt idx="28">
                  <c:v>0.12466069524279622</c:v>
                </c:pt>
                <c:pt idx="29">
                  <c:v>0.12016591313348901</c:v>
                </c:pt>
                <c:pt idx="30">
                  <c:v>0.12286913374777618</c:v>
                </c:pt>
                <c:pt idx="31">
                  <c:v>0.117369918919983</c:v>
                </c:pt>
                <c:pt idx="32">
                  <c:v>0.12835934955831774</c:v>
                </c:pt>
                <c:pt idx="33">
                  <c:v>0.12106439281110408</c:v>
                </c:pt>
                <c:pt idx="34">
                  <c:v>0.1206813187726582</c:v>
                </c:pt>
                <c:pt idx="35">
                  <c:v>0.12562985563124796</c:v>
                </c:pt>
                <c:pt idx="36">
                  <c:v>0.13088842906252657</c:v>
                </c:pt>
                <c:pt idx="37">
                  <c:v>0.13689142666218143</c:v>
                </c:pt>
                <c:pt idx="38">
                  <c:v>0.14141976475947396</c:v>
                </c:pt>
                <c:pt idx="39">
                  <c:v>0.1460381311045342</c:v>
                </c:pt>
                <c:pt idx="40">
                  <c:v>0.15521715110622217</c:v>
                </c:pt>
                <c:pt idx="41">
                  <c:v>0.14288442195661791</c:v>
                </c:pt>
                <c:pt idx="42">
                  <c:v>0.13583231385395272</c:v>
                </c:pt>
                <c:pt idx="43">
                  <c:v>0.13847854862355136</c:v>
                </c:pt>
                <c:pt idx="44">
                  <c:v>0.14934451168947063</c:v>
                </c:pt>
                <c:pt idx="45">
                  <c:v>0.16168975764572671</c:v>
                </c:pt>
                <c:pt idx="46">
                  <c:v>0.16645839396458695</c:v>
                </c:pt>
                <c:pt idx="47">
                  <c:v>0.16892829082122229</c:v>
                </c:pt>
                <c:pt idx="48">
                  <c:v>0.16216968588305175</c:v>
                </c:pt>
                <c:pt idx="49">
                  <c:v>0.14755019418906146</c:v>
                </c:pt>
                <c:pt idx="50">
                  <c:v>0.15482841124332933</c:v>
                </c:pt>
                <c:pt idx="51">
                  <c:v>0.15328369880170672</c:v>
                </c:pt>
                <c:pt idx="52">
                  <c:v>0.17017301099258811</c:v>
                </c:pt>
                <c:pt idx="53">
                  <c:v>0.15593337345642794</c:v>
                </c:pt>
                <c:pt idx="54">
                  <c:v>0.16090553148425707</c:v>
                </c:pt>
                <c:pt idx="55">
                  <c:v>0.1613898547580471</c:v>
                </c:pt>
              </c:numCache>
            </c:numRef>
          </c:val>
          <c:smooth val="0"/>
          <c:extLst xmlns:c16r2="http://schemas.microsoft.com/office/drawing/2015/06/chart">
            <c:ext xmlns:c16="http://schemas.microsoft.com/office/drawing/2014/chart" uri="{C3380CC4-5D6E-409C-BE32-E72D297353CC}">
              <c16:uniqueId val="{00000003-6C75-49BC-8ACC-FD5F5B1B2C6E}"/>
            </c:ext>
          </c:extLst>
        </c:ser>
        <c:ser>
          <c:idx val="1"/>
          <c:order val="1"/>
          <c:tx>
            <c:v>Add C-corp retained earnings</c:v>
          </c:tx>
          <c:spPr>
            <a:ln w="22225">
              <a:solidFill>
                <a:schemeClr val="accent6">
                  <a:lumMod val="50000"/>
                </a:schemeClr>
              </a:solidFill>
            </a:ln>
          </c:spPr>
          <c:marker>
            <c:symbol val="none"/>
          </c:marker>
          <c:dPt>
            <c:idx val="1"/>
            <c:bubble3D val="0"/>
            <c:extLst xmlns:c16r2="http://schemas.microsoft.com/office/drawing/2015/06/chart">
              <c:ext xmlns:c16="http://schemas.microsoft.com/office/drawing/2014/chart" uri="{C3380CC4-5D6E-409C-BE32-E72D297353CC}">
                <c16:uniqueId val="{00000004-6C75-49BC-8ACC-FD5F5B1B2C6E}"/>
              </c:ext>
            </c:extLst>
          </c:dPt>
          <c:dPt>
            <c:idx val="3"/>
            <c:bubble3D val="0"/>
            <c:extLst xmlns:c16r2="http://schemas.microsoft.com/office/drawing/2015/06/chart">
              <c:ext xmlns:c16="http://schemas.microsoft.com/office/drawing/2014/chart" uri="{C3380CC4-5D6E-409C-BE32-E72D297353CC}">
                <c16:uniqueId val="{00000005-6C75-49BC-8ACC-FD5F5B1B2C6E}"/>
              </c:ext>
            </c:extLst>
          </c:dPt>
          <c:dPt>
            <c:idx val="5"/>
            <c:bubble3D val="0"/>
            <c:extLst xmlns:c16r2="http://schemas.microsoft.com/office/drawing/2015/06/chart">
              <c:ext xmlns:c16="http://schemas.microsoft.com/office/drawing/2014/chart" uri="{C3380CC4-5D6E-409C-BE32-E72D297353CC}">
                <c16:uniqueId val="{00000006-6C75-49BC-8ACC-FD5F5B1B2C6E}"/>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'C2-Shares'!$CF$6:$CF$61</c:f>
              <c:numCache>
                <c:formatCode>0.0000</c:formatCode>
                <c:ptCount val="56"/>
                <c:pt idx="0">
                  <c:v>0.10435240750969214</c:v>
                </c:pt>
                <c:pt idx="1">
                  <c:v>0.1072382155440879</c:v>
                </c:pt>
                <c:pt idx="2">
                  <c:v>0.10980425903557879</c:v>
                </c:pt>
                <c:pt idx="3">
                  <c:v>0.11149078489602103</c:v>
                </c:pt>
                <c:pt idx="4">
                  <c:v>0.11296008554190762</c:v>
                </c:pt>
                <c:pt idx="5">
                  <c:v>0.11408489060352213</c:v>
                </c:pt>
                <c:pt idx="6">
                  <c:v>0.11503125361666532</c:v>
                </c:pt>
                <c:pt idx="7">
                  <c:v>0.11161215954593177</c:v>
                </c:pt>
                <c:pt idx="8">
                  <c:v>0.10716999020469445</c:v>
                </c:pt>
                <c:pt idx="9">
                  <c:v>9.7588318042790181E-2</c:v>
                </c:pt>
                <c:pt idx="10">
                  <c:v>9.066620610031248E-2</c:v>
                </c:pt>
                <c:pt idx="11">
                  <c:v>9.4215928472953125E-2</c:v>
                </c:pt>
                <c:pt idx="12">
                  <c:v>9.5925581230348014E-2</c:v>
                </c:pt>
                <c:pt idx="13">
                  <c:v>9.5821925702025357E-2</c:v>
                </c:pt>
                <c:pt idx="14">
                  <c:v>9.2664148198815577E-2</c:v>
                </c:pt>
                <c:pt idx="15">
                  <c:v>9.3825675921294538E-2</c:v>
                </c:pt>
                <c:pt idx="16">
                  <c:v>9.5518021534694034E-2</c:v>
                </c:pt>
                <c:pt idx="17">
                  <c:v>9.6367770337470349E-2</c:v>
                </c:pt>
                <c:pt idx="18">
                  <c:v>9.6624941616537494E-2</c:v>
                </c:pt>
                <c:pt idx="19">
                  <c:v>9.6934529540592798E-2</c:v>
                </c:pt>
                <c:pt idx="20">
                  <c:v>9.2821878712346442E-2</c:v>
                </c:pt>
                <c:pt idx="21">
                  <c:v>9.2620651122692285E-2</c:v>
                </c:pt>
                <c:pt idx="22">
                  <c:v>9.632471569911645E-2</c:v>
                </c:pt>
                <c:pt idx="23">
                  <c:v>9.968710540479131E-2</c:v>
                </c:pt>
                <c:pt idx="24">
                  <c:v>0.10342218922426571</c:v>
                </c:pt>
                <c:pt idx="25">
                  <c:v>0.10469377555600336</c:v>
                </c:pt>
                <c:pt idx="26">
                  <c:v>0.10123904914898944</c:v>
                </c:pt>
                <c:pt idx="27">
                  <c:v>0.10665308676646147</c:v>
                </c:pt>
                <c:pt idx="28">
                  <c:v>0.13019037090226221</c:v>
                </c:pt>
                <c:pt idx="29">
                  <c:v>0.1239953711916988</c:v>
                </c:pt>
                <c:pt idx="30">
                  <c:v>0.12584532902608009</c:v>
                </c:pt>
                <c:pt idx="31">
                  <c:v>0.12197138346488783</c:v>
                </c:pt>
                <c:pt idx="32">
                  <c:v>0.13302907378088683</c:v>
                </c:pt>
                <c:pt idx="33">
                  <c:v>0.12572459730839136</c:v>
                </c:pt>
                <c:pt idx="34">
                  <c:v>0.12585230013384427</c:v>
                </c:pt>
                <c:pt idx="35">
                  <c:v>0.13188386048885528</c:v>
                </c:pt>
                <c:pt idx="36">
                  <c:v>0.136778324321251</c:v>
                </c:pt>
                <c:pt idx="37">
                  <c:v>0.14305028863887007</c:v>
                </c:pt>
                <c:pt idx="38">
                  <c:v>0.14562503652173667</c:v>
                </c:pt>
                <c:pt idx="39">
                  <c:v>0.1505526577341248</c:v>
                </c:pt>
                <c:pt idx="40">
                  <c:v>0.15735168532279675</c:v>
                </c:pt>
                <c:pt idx="41">
                  <c:v>0.14581392917439465</c:v>
                </c:pt>
                <c:pt idx="42">
                  <c:v>0.1398411392022669</c:v>
                </c:pt>
                <c:pt idx="43">
                  <c:v>0.144340473432686</c:v>
                </c:pt>
                <c:pt idx="44">
                  <c:v>0.15533618364682594</c:v>
                </c:pt>
                <c:pt idx="45">
                  <c:v>0.16792162713844605</c:v>
                </c:pt>
                <c:pt idx="46">
                  <c:v>0.17295868697005534</c:v>
                </c:pt>
                <c:pt idx="47">
                  <c:v>0.17189689391687527</c:v>
                </c:pt>
                <c:pt idx="48">
                  <c:v>0.16381519694332966</c:v>
                </c:pt>
                <c:pt idx="49">
                  <c:v>0.15451715712421249</c:v>
                </c:pt>
                <c:pt idx="50">
                  <c:v>0.16695721820987194</c:v>
                </c:pt>
                <c:pt idx="51">
                  <c:v>0.16237991353127132</c:v>
                </c:pt>
                <c:pt idx="52">
                  <c:v>0.17974416465966014</c:v>
                </c:pt>
                <c:pt idx="53">
                  <c:v>0.16371535562004141</c:v>
                </c:pt>
                <c:pt idx="54">
                  <c:v>0.16864109806562586</c:v>
                </c:pt>
                <c:pt idx="55">
                  <c:v>0.16779354164189941</c:v>
                </c:pt>
              </c:numCache>
            </c:numRef>
          </c:val>
          <c:smooth val="0"/>
          <c:extLst xmlns:c16r2="http://schemas.microsoft.com/office/drawing/2015/06/chart">
            <c:ext xmlns:c16="http://schemas.microsoft.com/office/drawing/2014/chart" uri="{C3380CC4-5D6E-409C-BE32-E72D297353CC}">
              <c16:uniqueId val="{00000007-6C75-49BC-8ACC-FD5F5B1B2C6E}"/>
            </c:ext>
          </c:extLst>
        </c:ser>
        <c:ser>
          <c:idx val="2"/>
          <c:order val="2"/>
          <c:tx>
            <c:v>Add C-corp taxes</c:v>
          </c:tx>
          <c:spPr>
            <a:ln w="22225">
              <a:solidFill>
                <a:schemeClr val="accent1"/>
              </a:solidFill>
              <a:prstDash val="sysDash"/>
            </a:ln>
          </c:spPr>
          <c:marker>
            <c:symbol val="none"/>
          </c:marker>
          <c:dPt>
            <c:idx val="1"/>
            <c:bubble3D val="0"/>
            <c:extLst xmlns:c16r2="http://schemas.microsoft.com/office/drawing/2015/06/chart">
              <c:ext xmlns:c16="http://schemas.microsoft.com/office/drawing/2014/chart" uri="{C3380CC4-5D6E-409C-BE32-E72D297353CC}">
                <c16:uniqueId val="{00000008-6C75-49BC-8ACC-FD5F5B1B2C6E}"/>
              </c:ext>
            </c:extLst>
          </c:dPt>
          <c:dPt>
            <c:idx val="3"/>
            <c:bubble3D val="0"/>
            <c:extLst xmlns:c16r2="http://schemas.microsoft.com/office/drawing/2015/06/chart">
              <c:ext xmlns:c16="http://schemas.microsoft.com/office/drawing/2014/chart" uri="{C3380CC4-5D6E-409C-BE32-E72D297353CC}">
                <c16:uniqueId val="{00000009-6C75-49BC-8ACC-FD5F5B1B2C6E}"/>
              </c:ext>
            </c:extLst>
          </c:dPt>
          <c:dPt>
            <c:idx val="5"/>
            <c:bubble3D val="0"/>
            <c:extLst xmlns:c16r2="http://schemas.microsoft.com/office/drawing/2015/06/chart">
              <c:ext xmlns:c16="http://schemas.microsoft.com/office/drawing/2014/chart" uri="{C3380CC4-5D6E-409C-BE32-E72D297353CC}">
                <c16:uniqueId val="{0000000A-6C75-49BC-8ACC-FD5F5B1B2C6E}"/>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'C2-Shares'!$CN$6:$CN$59</c:f>
              <c:numCache>
                <c:formatCode>0.0000</c:formatCode>
                <c:ptCount val="54"/>
                <c:pt idx="0">
                  <c:v>0.11794533236698555</c:v>
                </c:pt>
                <c:pt idx="1">
                  <c:v>0.11931130623414278</c:v>
                </c:pt>
                <c:pt idx="2">
                  <c:v>0.12052981296371795</c:v>
                </c:pt>
                <c:pt idx="3">
                  <c:v>0.1228059384618316</c:v>
                </c:pt>
                <c:pt idx="4">
                  <c:v>0.12478960107625568</c:v>
                </c:pt>
                <c:pt idx="5">
                  <c:v>0.12511039251179984</c:v>
                </c:pt>
                <c:pt idx="6">
                  <c:v>0.12537998074218315</c:v>
                </c:pt>
                <c:pt idx="7">
                  <c:v>0.12141001965135181</c:v>
                </c:pt>
                <c:pt idx="8">
                  <c:v>0.1188958403482767</c:v>
                </c:pt>
                <c:pt idx="9">
                  <c:v>0.1069022763009579</c:v>
                </c:pt>
                <c:pt idx="10">
                  <c:v>9.7913440191029544E-2</c:v>
                </c:pt>
                <c:pt idx="11">
                  <c:v>0.10181610316348</c:v>
                </c:pt>
                <c:pt idx="12">
                  <c:v>0.10380625515185894</c:v>
                </c:pt>
                <c:pt idx="13">
                  <c:v>0.10267460092390231</c:v>
                </c:pt>
                <c:pt idx="14">
                  <c:v>9.7349204917050486E-2</c:v>
                </c:pt>
                <c:pt idx="15">
                  <c:v>9.8110438610724687E-2</c:v>
                </c:pt>
                <c:pt idx="16">
                  <c:v>0.1007918386047469</c:v>
                </c:pt>
                <c:pt idx="17">
                  <c:v>0.10074906513857911</c:v>
                </c:pt>
                <c:pt idx="18">
                  <c:v>0.10063221406085618</c:v>
                </c:pt>
                <c:pt idx="19">
                  <c:v>0.10113620088012711</c:v>
                </c:pt>
                <c:pt idx="20">
                  <c:v>9.6940946045983939E-2</c:v>
                </c:pt>
                <c:pt idx="21">
                  <c:v>9.5030333745010437E-2</c:v>
                </c:pt>
                <c:pt idx="22">
                  <c:v>9.7901067741718431E-2</c:v>
                </c:pt>
                <c:pt idx="23">
                  <c:v>0.10130148924826195</c:v>
                </c:pt>
                <c:pt idx="24">
                  <c:v>0.10475959461737072</c:v>
                </c:pt>
                <c:pt idx="25">
                  <c:v>0.10585544214633977</c:v>
                </c:pt>
                <c:pt idx="26">
                  <c:v>0.10256915924697807</c:v>
                </c:pt>
                <c:pt idx="27">
                  <c:v>0.10747754919821843</c:v>
                </c:pt>
                <c:pt idx="28">
                  <c:v>0.13102247544280121</c:v>
                </c:pt>
                <c:pt idx="29">
                  <c:v>0.124843644372388</c:v>
                </c:pt>
                <c:pt idx="30">
                  <c:v>0.12668903649329583</c:v>
                </c:pt>
                <c:pt idx="31">
                  <c:v>0.12321526644963668</c:v>
                </c:pt>
                <c:pt idx="32">
                  <c:v>0.13451115004077571</c:v>
                </c:pt>
                <c:pt idx="33">
                  <c:v>0.12742553331110071</c:v>
                </c:pt>
                <c:pt idx="34">
                  <c:v>0.12776107748258364</c:v>
                </c:pt>
                <c:pt idx="35">
                  <c:v>0.1337149287743605</c:v>
                </c:pt>
                <c:pt idx="36">
                  <c:v>0.13848874948899037</c:v>
                </c:pt>
                <c:pt idx="37">
                  <c:v>0.14462668857720246</c:v>
                </c:pt>
                <c:pt idx="38">
                  <c:v>0.1473168819286384</c:v>
                </c:pt>
                <c:pt idx="39">
                  <c:v>0.15244374949957129</c:v>
                </c:pt>
                <c:pt idx="40">
                  <c:v>0.15882041378998732</c:v>
                </c:pt>
                <c:pt idx="41">
                  <c:v>0.14693555901448818</c:v>
                </c:pt>
                <c:pt idx="42">
                  <c:v>0.14049719585397874</c:v>
                </c:pt>
                <c:pt idx="43">
                  <c:v>0.14556327539647013</c:v>
                </c:pt>
                <c:pt idx="44">
                  <c:v>0.15684625933194268</c:v>
                </c:pt>
                <c:pt idx="45">
                  <c:v>0.16970906403718347</c:v>
                </c:pt>
                <c:pt idx="46">
                  <c:v>0.17513656343077766</c:v>
                </c:pt>
                <c:pt idx="47">
                  <c:v>0.1735516305968075</c:v>
                </c:pt>
                <c:pt idx="48">
                  <c:v>0.16485097702879642</c:v>
                </c:pt>
                <c:pt idx="49">
                  <c:v>0.15563366005089441</c:v>
                </c:pt>
                <c:pt idx="50">
                  <c:v>0.16868826460179637</c:v>
                </c:pt>
                <c:pt idx="51">
                  <c:v>0.16385122278970773</c:v>
                </c:pt>
                <c:pt idx="52">
                  <c:v>0.18151505551436412</c:v>
                </c:pt>
                <c:pt idx="53">
                  <c:v>0.16564883246638523</c:v>
                </c:pt>
              </c:numCache>
            </c:numRef>
          </c:val>
          <c:smooth val="0"/>
          <c:extLst xmlns:c16r2="http://schemas.microsoft.com/office/drawing/2015/06/chart">
            <c:ext xmlns:c16="http://schemas.microsoft.com/office/drawing/2014/chart" uri="{C3380CC4-5D6E-409C-BE32-E72D297353CC}">
              <c16:uniqueId val="{0000000B-6C75-49BC-8ACC-FD5F5B1B2C6E}"/>
            </c:ext>
          </c:extLst>
        </c:ser>
        <c:ser>
          <c:idx val="0"/>
          <c:order val="3"/>
          <c:tx>
            <c:v>Inflation correction</c:v>
          </c:tx>
          <c:spPr>
            <a:ln w="25400">
              <a:solidFill>
                <a:schemeClr val="tx1"/>
              </a:solidFill>
              <a:prstDash val="solid"/>
            </a:ln>
          </c:spPr>
          <c:marker>
            <c:symbol val="none"/>
          </c:marker>
          <c:val>
            <c:numRef>
              <c:f>'C2-Shares'!$DD$6:$DD$61</c:f>
              <c:numCache>
                <c:formatCode>0.0000</c:formatCode>
                <c:ptCount val="56"/>
                <c:pt idx="0">
                  <c:v>0.12489815857193759</c:v>
                </c:pt>
                <c:pt idx="1">
                  <c:v>0.12539758349710639</c:v>
                </c:pt>
                <c:pt idx="2">
                  <c:v>0.12584290957299207</c:v>
                </c:pt>
                <c:pt idx="3">
                  <c:v>0.12900553892270014</c:v>
                </c:pt>
                <c:pt idx="4">
                  <c:v>0.13176486896510159</c:v>
                </c:pt>
                <c:pt idx="5">
                  <c:v>0.1317125316745007</c:v>
                </c:pt>
                <c:pt idx="6">
                  <c:v>0.13166846415164082</c:v>
                </c:pt>
                <c:pt idx="7">
                  <c:v>0.12822203217910291</c:v>
                </c:pt>
                <c:pt idx="8">
                  <c:v>0.1268266519958513</c:v>
                </c:pt>
                <c:pt idx="9">
                  <c:v>0.11505657887799296</c:v>
                </c:pt>
                <c:pt idx="10">
                  <c:v>0.10556960499550036</c:v>
                </c:pt>
                <c:pt idx="11">
                  <c:v>0.10979918439918999</c:v>
                </c:pt>
                <c:pt idx="12">
                  <c:v>0.11120762354061052</c:v>
                </c:pt>
                <c:pt idx="13">
                  <c:v>0.10985233145100629</c:v>
                </c:pt>
                <c:pt idx="14">
                  <c:v>0.10568930219445548</c:v>
                </c:pt>
                <c:pt idx="15">
                  <c:v>0.10705481756768256</c:v>
                </c:pt>
                <c:pt idx="16">
                  <c:v>0.10699677758838899</c:v>
                </c:pt>
                <c:pt idx="17">
                  <c:v>0.10756560631928994</c:v>
                </c:pt>
                <c:pt idx="18">
                  <c:v>0.10650812180297514</c:v>
                </c:pt>
                <c:pt idx="19">
                  <c:v>0.10838534139735505</c:v>
                </c:pt>
                <c:pt idx="20">
                  <c:v>0.10623238403525713</c:v>
                </c:pt>
                <c:pt idx="21">
                  <c:v>0.10134820991892021</c:v>
                </c:pt>
                <c:pt idx="22">
                  <c:v>0.10305064866202335</c:v>
                </c:pt>
                <c:pt idx="23">
                  <c:v>0.10694542990190849</c:v>
                </c:pt>
                <c:pt idx="24">
                  <c:v>0.10927978694627985</c:v>
                </c:pt>
                <c:pt idx="25">
                  <c:v>0.1107108230385955</c:v>
                </c:pt>
                <c:pt idx="26">
                  <c:v>0.10722893115605255</c:v>
                </c:pt>
                <c:pt idx="27">
                  <c:v>0.11085876736169488</c:v>
                </c:pt>
                <c:pt idx="28">
                  <c:v>0.13598324691201102</c:v>
                </c:pt>
                <c:pt idx="29">
                  <c:v>0.13074973120255531</c:v>
                </c:pt>
                <c:pt idx="30">
                  <c:v>0.13198069357134254</c:v>
                </c:pt>
                <c:pt idx="31">
                  <c:v>0.12695061726522514</c:v>
                </c:pt>
                <c:pt idx="32">
                  <c:v>0.13796739962166549</c:v>
                </c:pt>
                <c:pt idx="33">
                  <c:v>0.13058290576749282</c:v>
                </c:pt>
                <c:pt idx="34">
                  <c:v>0.13035964038212597</c:v>
                </c:pt>
                <c:pt idx="35">
                  <c:v>0.13652748933790682</c:v>
                </c:pt>
                <c:pt idx="36">
                  <c:v>0.14136655996489042</c:v>
                </c:pt>
                <c:pt idx="37">
                  <c:v>0.14759222024989466</c:v>
                </c:pt>
                <c:pt idx="38">
                  <c:v>0.14994443908909733</c:v>
                </c:pt>
                <c:pt idx="39">
                  <c:v>0.1555002547181098</c:v>
                </c:pt>
                <c:pt idx="40">
                  <c:v>0.16276506144193015</c:v>
                </c:pt>
                <c:pt idx="41">
                  <c:v>0.15054930942442268</c:v>
                </c:pt>
                <c:pt idx="42">
                  <c:v>0.14339470081271682</c:v>
                </c:pt>
                <c:pt idx="43">
                  <c:v>0.14887732588618172</c:v>
                </c:pt>
                <c:pt idx="44">
                  <c:v>0.16031238667217479</c:v>
                </c:pt>
                <c:pt idx="45">
                  <c:v>0.17378261965959818</c:v>
                </c:pt>
                <c:pt idx="46">
                  <c:v>0.17973578461344783</c:v>
                </c:pt>
                <c:pt idx="47">
                  <c:v>0.17840564335669787</c:v>
                </c:pt>
                <c:pt idx="48">
                  <c:v>0.17080071708380432</c:v>
                </c:pt>
                <c:pt idx="49">
                  <c:v>0.15842811884378469</c:v>
                </c:pt>
                <c:pt idx="50">
                  <c:v>0.1724783338043504</c:v>
                </c:pt>
                <c:pt idx="51">
                  <c:v>0.16728510361617613</c:v>
                </c:pt>
                <c:pt idx="52">
                  <c:v>0.18544080649044928</c:v>
                </c:pt>
                <c:pt idx="53">
                  <c:v>0.16884648389514048</c:v>
                </c:pt>
                <c:pt idx="54">
                  <c:v>0.17377247971667889</c:v>
                </c:pt>
                <c:pt idx="55">
                  <c:v>0.17226577574121224</c:v>
                </c:pt>
              </c:numCache>
            </c:numRef>
          </c:val>
          <c:smooth val="0"/>
          <c:extLst xmlns:c16r2="http://schemas.microsoft.com/office/drawing/2015/06/chart">
            <c:ext xmlns:c16="http://schemas.microsoft.com/office/drawing/2014/chart" uri="{C3380CC4-5D6E-409C-BE32-E72D297353CC}">
              <c16:uniqueId val="{0000000C-6C75-49BC-8ACC-FD5F5B1B2C6E}"/>
            </c:ext>
          </c:extLst>
        </c:ser>
        <c:ser>
          <c:idx val="4"/>
          <c:order val="4"/>
          <c:tx>
            <c:v>corrected fiscal income</c:v>
          </c:tx>
          <c:spPr>
            <a:ln w="22225">
              <a:solidFill>
                <a:schemeClr val="tx1">
                  <a:lumMod val="65000"/>
                  <a:lumOff val="35000"/>
                </a:schemeClr>
              </a:solidFill>
            </a:ln>
          </c:spPr>
          <c:marker>
            <c:symbol val="none"/>
          </c:marker>
          <c:val>
            <c:numRef>
              <c:f>'C2-Shares'!$BP$6:$BP$61</c:f>
              <c:numCache>
                <c:formatCode>0.0000</c:formatCode>
                <c:ptCount val="56"/>
                <c:pt idx="0">
                  <c:v>7.8734821284945827E-2</c:v>
                </c:pt>
                <c:pt idx="1">
                  <c:v>7.950580993348802E-2</c:v>
                </c:pt>
                <c:pt idx="2">
                  <c:v>8.01991627298589E-2</c:v>
                </c:pt>
                <c:pt idx="3">
                  <c:v>7.8654253251748574E-2</c:v>
                </c:pt>
                <c:pt idx="4">
                  <c:v>7.7297682530302586E-2</c:v>
                </c:pt>
                <c:pt idx="5">
                  <c:v>7.8269866719329409E-2</c:v>
                </c:pt>
                <c:pt idx="6">
                  <c:v>7.9094625499009849E-2</c:v>
                </c:pt>
                <c:pt idx="7">
                  <c:v>7.9345653690986118E-2</c:v>
                </c:pt>
                <c:pt idx="8">
                  <c:v>7.8435878694217948E-2</c:v>
                </c:pt>
                <c:pt idx="9">
                  <c:v>7.5528787271575581E-2</c:v>
                </c:pt>
                <c:pt idx="10">
                  <c:v>7.4341140918063334E-2</c:v>
                </c:pt>
                <c:pt idx="11">
                  <c:v>7.423599001305331E-2</c:v>
                </c:pt>
                <c:pt idx="12">
                  <c:v>7.3463359725325902E-2</c:v>
                </c:pt>
                <c:pt idx="13">
                  <c:v>7.3623033167327101E-2</c:v>
                </c:pt>
                <c:pt idx="14">
                  <c:v>7.6791537387204303E-2</c:v>
                </c:pt>
                <c:pt idx="15">
                  <c:v>7.5870166266314279E-2</c:v>
                </c:pt>
                <c:pt idx="16">
                  <c:v>7.5214581457125812E-2</c:v>
                </c:pt>
                <c:pt idx="17">
                  <c:v>7.4266218805855419E-2</c:v>
                </c:pt>
                <c:pt idx="18">
                  <c:v>7.4731796052208407E-2</c:v>
                </c:pt>
                <c:pt idx="19">
                  <c:v>7.607353491735129E-2</c:v>
                </c:pt>
                <c:pt idx="20">
                  <c:v>7.8603752106997424E-2</c:v>
                </c:pt>
                <c:pt idx="21">
                  <c:v>7.9004294111532938E-2</c:v>
                </c:pt>
                <c:pt idx="22">
                  <c:v>8.3988722508275881E-2</c:v>
                </c:pt>
                <c:pt idx="23">
                  <c:v>8.6063122192691466E-2</c:v>
                </c:pt>
                <c:pt idx="24">
                  <c:v>8.9801623126416277E-2</c:v>
                </c:pt>
                <c:pt idx="25">
                  <c:v>9.205939695431975E-2</c:v>
                </c:pt>
                <c:pt idx="26">
                  <c:v>9.2263808815653187E-2</c:v>
                </c:pt>
                <c:pt idx="27">
                  <c:v>9.9576121349569113E-2</c:v>
                </c:pt>
                <c:pt idx="28">
                  <c:v>0.12179341061546657</c:v>
                </c:pt>
                <c:pt idx="29">
                  <c:v>0.11720271976048928</c:v>
                </c:pt>
                <c:pt idx="30">
                  <c:v>0.11981887010048813</c:v>
                </c:pt>
                <c:pt idx="31">
                  <c:v>0.11417176859008872</c:v>
                </c:pt>
                <c:pt idx="32">
                  <c:v>0.12527151639312997</c:v>
                </c:pt>
                <c:pt idx="33">
                  <c:v>0.11794091750620227</c:v>
                </c:pt>
                <c:pt idx="34">
                  <c:v>0.11740972444136223</c:v>
                </c:pt>
                <c:pt idx="35">
                  <c:v>0.12248438485226811</c:v>
                </c:pt>
                <c:pt idx="36">
                  <c:v>0.12794129726924547</c:v>
                </c:pt>
                <c:pt idx="37">
                  <c:v>0.13381134042884052</c:v>
                </c:pt>
                <c:pt idx="38">
                  <c:v>0.13850871610760548</c:v>
                </c:pt>
                <c:pt idx="39">
                  <c:v>0.14331342716628531</c:v>
                </c:pt>
                <c:pt idx="40">
                  <c:v>0.15271323970005557</c:v>
                </c:pt>
                <c:pt idx="41">
                  <c:v>0.14053008771631226</c:v>
                </c:pt>
                <c:pt idx="42">
                  <c:v>0.13421125592858837</c:v>
                </c:pt>
                <c:pt idx="43">
                  <c:v>0.13652782606305219</c:v>
                </c:pt>
                <c:pt idx="44">
                  <c:v>0.14697923353687528</c:v>
                </c:pt>
                <c:pt idx="45">
                  <c:v>0.15887801351172548</c:v>
                </c:pt>
                <c:pt idx="46">
                  <c:v>0.1630196904090282</c:v>
                </c:pt>
                <c:pt idx="47">
                  <c:v>0.16543577742164467</c:v>
                </c:pt>
                <c:pt idx="48">
                  <c:v>0.15942822025416023</c:v>
                </c:pt>
                <c:pt idx="49">
                  <c:v>0.14629922888309324</c:v>
                </c:pt>
                <c:pt idx="50">
                  <c:v>0.15308304286902652</c:v>
                </c:pt>
                <c:pt idx="51">
                  <c:v>0.15147672392649897</c:v>
                </c:pt>
                <c:pt idx="52">
                  <c:v>0.16740885633823213</c:v>
                </c:pt>
                <c:pt idx="53">
                  <c:v>0.15344573015693216</c:v>
                </c:pt>
                <c:pt idx="54">
                  <c:v>0.15889326616238297</c:v>
                </c:pt>
                <c:pt idx="55">
                  <c:v>0.15950579949102328</c:v>
                </c:pt>
              </c:numCache>
            </c:numRef>
          </c:val>
          <c:smooth val="0"/>
          <c:extLst xmlns:c16r2="http://schemas.microsoft.com/office/drawing/2015/06/chart">
            <c:ext xmlns:c16="http://schemas.microsoft.com/office/drawing/2014/chart" uri="{C3380CC4-5D6E-409C-BE32-E72D297353CC}">
              <c16:uniqueId val="{0000000D-6C75-49BC-8ACC-FD5F5B1B2C6E}"/>
            </c:ext>
          </c:extLst>
        </c:ser>
        <c:dLbls>
          <c:showLegendKey val="0"/>
          <c:showVal val="0"/>
          <c:showCatName val="0"/>
          <c:showSerName val="0"/>
          <c:showPercent val="0"/>
          <c:showBubbleSize val="0"/>
        </c:dLbls>
        <c:smooth val="0"/>
        <c:axId val="506946136"/>
        <c:axId val="506941824"/>
      </c:lineChart>
      <c:catAx>
        <c:axId val="506946136"/>
        <c:scaling>
          <c:orientation val="minMax"/>
        </c:scaling>
        <c:delete val="0"/>
        <c:axPos val="b"/>
        <c:majorGridlines>
          <c:spPr>
            <a:ln w="6350">
              <a:solidFill>
                <a:schemeClr val="tx1">
                  <a:lumMod val="50000"/>
                  <a:lumOff val="50000"/>
                </a:schemeClr>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506941824"/>
        <c:crossesAt val="0"/>
        <c:auto val="1"/>
        <c:lblAlgn val="ctr"/>
        <c:lblOffset val="100"/>
        <c:tickLblSkip val="10"/>
        <c:tickMarkSkip val="10"/>
        <c:noMultiLvlLbl val="0"/>
      </c:catAx>
      <c:valAx>
        <c:axId val="506941824"/>
        <c:scaling>
          <c:orientation val="minMax"/>
          <c:max val="0.2"/>
          <c:min val="0"/>
        </c:scaling>
        <c:delete val="0"/>
        <c:axPos val="l"/>
        <c:majorGridlines>
          <c:spPr>
            <a:ln w="6350">
              <a:solidFill>
                <a:schemeClr val="tx1">
                  <a:lumMod val="50000"/>
                  <a:lumOff val="50000"/>
                </a:schemeClr>
              </a:solidFill>
              <a:prstDash val="sysDash"/>
            </a:ln>
          </c:spPr>
        </c:majorGridlines>
        <c:title>
          <c:tx>
            <c:rich>
              <a:bodyPr/>
              <a:lstStyle/>
              <a:p>
                <a:pPr>
                  <a:defRPr sz="2050" b="0" i="0" u="none" strike="noStrike" baseline="0">
                    <a:solidFill>
                      <a:srgbClr val="000000"/>
                    </a:solidFill>
                    <a:latin typeface="Arial"/>
                    <a:ea typeface="Arial"/>
                    <a:cs typeface="Arial"/>
                  </a:defRPr>
                </a:pPr>
                <a:r>
                  <a:rPr lang="en-US" sz="1200" b="0"/>
                  <a:t>Top 1%  Income Share</a:t>
                </a:r>
              </a:p>
            </c:rich>
          </c:tx>
          <c:layout>
            <c:manualLayout>
              <c:xMode val="edge"/>
              <c:yMode val="edge"/>
              <c:x val="1.0303939663528568E-4"/>
              <c:y val="0.3457230471441570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506946136"/>
        <c:crosses val="autoZero"/>
        <c:crossBetween val="midCat"/>
        <c:majorUnit val="0.05"/>
        <c:minorUnit val="0.05"/>
      </c:valAx>
      <c:spPr>
        <a:solidFill>
          <a:srgbClr val="FFFFFF"/>
        </a:solidFill>
        <a:ln w="3175">
          <a:noFill/>
          <a:prstDash val="solid"/>
        </a:ln>
      </c:spPr>
    </c:plotArea>
    <c:plotVisOnly val="1"/>
    <c:dispBlanksAs val="span"/>
    <c:showDLblsOverMax val="0"/>
  </c:chart>
  <c:spPr>
    <a:solidFill>
      <a:srgbClr val="FFFFFF"/>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755" r="0.75000000000000755" t="1" header="0.5" footer="0.5"/>
    <c:pageSetup orientation="landscape" verticalDpi="96"/>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0" i="0" u="none" strike="noStrike" baseline="0">
                <a:solidFill>
                  <a:srgbClr val="000000"/>
                </a:solidFill>
                <a:latin typeface="Arial"/>
                <a:ea typeface="Arial"/>
                <a:cs typeface="Arial"/>
              </a:defRPr>
            </a:pPr>
            <a:r>
              <a:rPr lang="en-US" sz="1300" b="1" i="0" u="none" strike="noStrike" baseline="0">
                <a:solidFill>
                  <a:srgbClr val="000000"/>
                </a:solidFill>
                <a:latin typeface="Arial" panose="020B0604020202020204" pitchFamily="34" charset="0"/>
                <a:cs typeface="Arial" panose="020B0604020202020204" pitchFamily="34" charset="0"/>
              </a:rPr>
              <a:t>Pre-tax Income Expansions, Decreases</a:t>
            </a:r>
          </a:p>
          <a:p>
            <a:pPr>
              <a:defRPr sz="1100" b="0" i="0" u="none" strike="noStrike" baseline="0">
                <a:solidFill>
                  <a:srgbClr val="000000"/>
                </a:solidFill>
                <a:latin typeface="Arial"/>
                <a:ea typeface="Arial"/>
                <a:cs typeface="Arial"/>
              </a:defRPr>
            </a:pPr>
            <a:r>
              <a:rPr lang="en-US" sz="1100" b="0" i="0" u="none" strike="noStrike" baseline="0">
                <a:solidFill>
                  <a:srgbClr val="000000"/>
                </a:solidFill>
                <a:latin typeface="Calibri"/>
              </a:rPr>
              <a:t> </a:t>
            </a:r>
          </a:p>
        </c:rich>
      </c:tx>
      <c:layout>
        <c:manualLayout>
          <c:xMode val="edge"/>
          <c:yMode val="edge"/>
          <c:x val="0.23926587769343199"/>
          <c:y val="2.3113439560212452E-2"/>
        </c:manualLayout>
      </c:layout>
      <c:overlay val="0"/>
      <c:spPr>
        <a:noFill/>
        <a:ln w="25400">
          <a:noFill/>
        </a:ln>
      </c:spPr>
    </c:title>
    <c:autoTitleDeleted val="0"/>
    <c:plotArea>
      <c:layout>
        <c:manualLayout>
          <c:layoutTarget val="inner"/>
          <c:xMode val="edge"/>
          <c:yMode val="edge"/>
          <c:x val="0.11129473336790985"/>
          <c:y val="6.8916444499555668E-2"/>
          <c:w val="0.68622314426265574"/>
          <c:h val="0.87746150825634983"/>
        </c:manualLayout>
      </c:layout>
      <c:lineChart>
        <c:grouping val="standard"/>
        <c:varyColors val="0"/>
        <c:ser>
          <c:idx val="0"/>
          <c:order val="0"/>
          <c:tx>
            <c:v>Consistent market income (increases only)</c:v>
          </c:tx>
          <c:spPr>
            <a:ln w="25400">
              <a:solidFill>
                <a:srgbClr val="000000"/>
              </a:solidFill>
              <a:prstDash val="solid"/>
            </a:ln>
          </c:spPr>
          <c:marker>
            <c:symbol val="none"/>
          </c:marker>
          <c:dPt>
            <c:idx val="1"/>
            <c:bubble3D val="0"/>
            <c:extLst xmlns:c16r2="http://schemas.microsoft.com/office/drawing/2015/06/chart">
              <c:ext xmlns:c16="http://schemas.microsoft.com/office/drawing/2014/chart" uri="{C3380CC4-5D6E-409C-BE32-E72D297353CC}">
                <c16:uniqueId val="{00000000-8F3B-4CA3-93D4-EF04679E9783}"/>
              </c:ext>
            </c:extLst>
          </c:dPt>
          <c:dPt>
            <c:idx val="3"/>
            <c:bubble3D val="0"/>
            <c:extLst xmlns:c16r2="http://schemas.microsoft.com/office/drawing/2015/06/chart">
              <c:ext xmlns:c16="http://schemas.microsoft.com/office/drawing/2014/chart" uri="{C3380CC4-5D6E-409C-BE32-E72D297353CC}">
                <c16:uniqueId val="{00000001-8F3B-4CA3-93D4-EF04679E9783}"/>
              </c:ext>
            </c:extLst>
          </c:dPt>
          <c:dPt>
            <c:idx val="5"/>
            <c:bubble3D val="0"/>
            <c:extLst xmlns:c16r2="http://schemas.microsoft.com/office/drawing/2015/06/chart">
              <c:ext xmlns:c16="http://schemas.microsoft.com/office/drawing/2014/chart" uri="{C3380CC4-5D6E-409C-BE32-E72D297353CC}">
                <c16:uniqueId val="{00000002-8F3B-4CA3-93D4-EF04679E9783}"/>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'C2-Shares'!$DD$6:$DD$61</c:f>
              <c:numCache>
                <c:formatCode>0.0000</c:formatCode>
                <c:ptCount val="56"/>
                <c:pt idx="0">
                  <c:v>0.12489815857193759</c:v>
                </c:pt>
                <c:pt idx="1">
                  <c:v>0.12539758349710639</c:v>
                </c:pt>
                <c:pt idx="2">
                  <c:v>0.12584290957299207</c:v>
                </c:pt>
                <c:pt idx="3">
                  <c:v>0.12900553892270014</c:v>
                </c:pt>
                <c:pt idx="4">
                  <c:v>0.13176486896510159</c:v>
                </c:pt>
                <c:pt idx="5">
                  <c:v>0.1317125316745007</c:v>
                </c:pt>
                <c:pt idx="6">
                  <c:v>0.13166846415164082</c:v>
                </c:pt>
                <c:pt idx="7">
                  <c:v>0.12822203217910291</c:v>
                </c:pt>
                <c:pt idx="8">
                  <c:v>0.1268266519958513</c:v>
                </c:pt>
                <c:pt idx="9">
                  <c:v>0.11505657887799296</c:v>
                </c:pt>
                <c:pt idx="10">
                  <c:v>0.10556960499550036</c:v>
                </c:pt>
                <c:pt idx="11">
                  <c:v>0.10979918439918999</c:v>
                </c:pt>
                <c:pt idx="12">
                  <c:v>0.11120762354061052</c:v>
                </c:pt>
                <c:pt idx="13">
                  <c:v>0.10985233145100629</c:v>
                </c:pt>
                <c:pt idx="14">
                  <c:v>0.10568930219445548</c:v>
                </c:pt>
                <c:pt idx="15">
                  <c:v>0.10705481756768256</c:v>
                </c:pt>
                <c:pt idx="16">
                  <c:v>0.10699677758838899</c:v>
                </c:pt>
                <c:pt idx="17">
                  <c:v>0.10756560631928994</c:v>
                </c:pt>
                <c:pt idx="18">
                  <c:v>0.10650812180297514</c:v>
                </c:pt>
                <c:pt idx="19">
                  <c:v>0.10838534139735505</c:v>
                </c:pt>
                <c:pt idx="20">
                  <c:v>0.10623238403525713</c:v>
                </c:pt>
                <c:pt idx="21">
                  <c:v>0.10134820991892021</c:v>
                </c:pt>
                <c:pt idx="22">
                  <c:v>0.10305064866202335</c:v>
                </c:pt>
                <c:pt idx="23">
                  <c:v>0.10694542990190849</c:v>
                </c:pt>
                <c:pt idx="24">
                  <c:v>0.10927978694627985</c:v>
                </c:pt>
                <c:pt idx="25">
                  <c:v>0.1107108230385955</c:v>
                </c:pt>
                <c:pt idx="26">
                  <c:v>0.10722893115605255</c:v>
                </c:pt>
                <c:pt idx="27">
                  <c:v>0.11085876736169488</c:v>
                </c:pt>
                <c:pt idx="28">
                  <c:v>0.13598324691201102</c:v>
                </c:pt>
                <c:pt idx="29">
                  <c:v>0.13074973120255531</c:v>
                </c:pt>
                <c:pt idx="30">
                  <c:v>0.13198069357134254</c:v>
                </c:pt>
                <c:pt idx="31">
                  <c:v>0.12695061726522514</c:v>
                </c:pt>
                <c:pt idx="32">
                  <c:v>0.13796739962166549</c:v>
                </c:pt>
                <c:pt idx="33">
                  <c:v>0.13058290576749282</c:v>
                </c:pt>
                <c:pt idx="34">
                  <c:v>0.13035964038212597</c:v>
                </c:pt>
                <c:pt idx="35">
                  <c:v>0.13652748933790682</c:v>
                </c:pt>
                <c:pt idx="36">
                  <c:v>0.14136655996489042</c:v>
                </c:pt>
                <c:pt idx="37">
                  <c:v>0.14759222024989466</c:v>
                </c:pt>
                <c:pt idx="38">
                  <c:v>0.14994443908909733</c:v>
                </c:pt>
                <c:pt idx="39">
                  <c:v>0.1555002547181098</c:v>
                </c:pt>
                <c:pt idx="40">
                  <c:v>0.16276506144193015</c:v>
                </c:pt>
                <c:pt idx="41">
                  <c:v>0.15054930942442268</c:v>
                </c:pt>
                <c:pt idx="42">
                  <c:v>0.14339470081271682</c:v>
                </c:pt>
                <c:pt idx="43">
                  <c:v>0.14887732588618172</c:v>
                </c:pt>
                <c:pt idx="44">
                  <c:v>0.16031238667217479</c:v>
                </c:pt>
                <c:pt idx="45">
                  <c:v>0.17378261965959818</c:v>
                </c:pt>
                <c:pt idx="46">
                  <c:v>0.17973578461344783</c:v>
                </c:pt>
                <c:pt idx="47">
                  <c:v>0.17840564335669787</c:v>
                </c:pt>
                <c:pt idx="48">
                  <c:v>0.17080071708380432</c:v>
                </c:pt>
                <c:pt idx="49">
                  <c:v>0.15842811884378469</c:v>
                </c:pt>
                <c:pt idx="50">
                  <c:v>0.1724783338043504</c:v>
                </c:pt>
                <c:pt idx="51">
                  <c:v>0.16728510361617613</c:v>
                </c:pt>
                <c:pt idx="52">
                  <c:v>0.18544080649044928</c:v>
                </c:pt>
                <c:pt idx="53">
                  <c:v>0.16884648389514048</c:v>
                </c:pt>
                <c:pt idx="54">
                  <c:v>0.17377247971667889</c:v>
                </c:pt>
                <c:pt idx="55">
                  <c:v>0.17226577574121224</c:v>
                </c:pt>
              </c:numCache>
            </c:numRef>
          </c:val>
          <c:smooth val="0"/>
          <c:extLst xmlns:c16r2="http://schemas.microsoft.com/office/drawing/2015/06/chart">
            <c:ext xmlns:c16="http://schemas.microsoft.com/office/drawing/2014/chart" uri="{C3380CC4-5D6E-409C-BE32-E72D297353CC}">
              <c16:uniqueId val="{00000003-8F3B-4CA3-93D4-EF04679E9783}"/>
            </c:ext>
          </c:extLst>
        </c:ser>
        <c:ser>
          <c:idx val="1"/>
          <c:order val="1"/>
          <c:tx>
            <c:v>Add imputed rent</c:v>
          </c:tx>
          <c:spPr>
            <a:ln w="15875">
              <a:solidFill>
                <a:schemeClr val="accent1"/>
              </a:solidFill>
              <a:prstDash val="sysDash"/>
            </a:ln>
          </c:spPr>
          <c:marker>
            <c:symbol val="none"/>
          </c:marker>
          <c:dPt>
            <c:idx val="1"/>
            <c:bubble3D val="0"/>
            <c:extLst xmlns:c16r2="http://schemas.microsoft.com/office/drawing/2015/06/chart">
              <c:ext xmlns:c16="http://schemas.microsoft.com/office/drawing/2014/chart" uri="{C3380CC4-5D6E-409C-BE32-E72D297353CC}">
                <c16:uniqueId val="{00000004-8F3B-4CA3-93D4-EF04679E9783}"/>
              </c:ext>
            </c:extLst>
          </c:dPt>
          <c:dPt>
            <c:idx val="3"/>
            <c:bubble3D val="0"/>
            <c:extLst xmlns:c16r2="http://schemas.microsoft.com/office/drawing/2015/06/chart">
              <c:ext xmlns:c16="http://schemas.microsoft.com/office/drawing/2014/chart" uri="{C3380CC4-5D6E-409C-BE32-E72D297353CC}">
                <c16:uniqueId val="{00000005-8F3B-4CA3-93D4-EF04679E9783}"/>
              </c:ext>
            </c:extLst>
          </c:dPt>
          <c:dPt>
            <c:idx val="5"/>
            <c:bubble3D val="0"/>
            <c:extLst xmlns:c16r2="http://schemas.microsoft.com/office/drawing/2015/06/chart">
              <c:ext xmlns:c16="http://schemas.microsoft.com/office/drawing/2014/chart" uri="{C3380CC4-5D6E-409C-BE32-E72D297353CC}">
                <c16:uniqueId val="{00000006-8F3B-4CA3-93D4-EF04679E9783}"/>
              </c:ext>
            </c:extLst>
          </c:dPt>
          <c:val>
            <c:numRef>
              <c:f>'C2-Shares'!$DT$6:$DT$61</c:f>
              <c:numCache>
                <c:formatCode>0.0000</c:formatCode>
                <c:ptCount val="56"/>
                <c:pt idx="0">
                  <c:v>0.1223245972428688</c:v>
                </c:pt>
                <c:pt idx="1">
                  <c:v>0.12261742586693777</c:v>
                </c:pt>
                <c:pt idx="2">
                  <c:v>0.12288004575400741</c:v>
                </c:pt>
                <c:pt idx="3">
                  <c:v>0.12543817128675544</c:v>
                </c:pt>
                <c:pt idx="4">
                  <c:v>0.1277058893283945</c:v>
                </c:pt>
                <c:pt idx="5">
                  <c:v>0.12778741191772466</c:v>
                </c:pt>
                <c:pt idx="6">
                  <c:v>0.12785580497962659</c:v>
                </c:pt>
                <c:pt idx="7">
                  <c:v>0.12497406073514186</c:v>
                </c:pt>
                <c:pt idx="8">
                  <c:v>0.12439187503041041</c:v>
                </c:pt>
                <c:pt idx="9">
                  <c:v>0.11317961149423557</c:v>
                </c:pt>
                <c:pt idx="10">
                  <c:v>0.10413267098475423</c:v>
                </c:pt>
                <c:pt idx="11">
                  <c:v>0.10819241843778195</c:v>
                </c:pt>
                <c:pt idx="12">
                  <c:v>0.11033310163287927</c:v>
                </c:pt>
                <c:pt idx="13">
                  <c:v>0.10947737577240134</c:v>
                </c:pt>
                <c:pt idx="14">
                  <c:v>0.10600692985661379</c:v>
                </c:pt>
                <c:pt idx="15">
                  <c:v>0.10669852810449232</c:v>
                </c:pt>
                <c:pt idx="16">
                  <c:v>0.10685305661545297</c:v>
                </c:pt>
                <c:pt idx="17">
                  <c:v>0.10797046098002407</c:v>
                </c:pt>
                <c:pt idx="18">
                  <c:v>0.10687342460159026</c:v>
                </c:pt>
                <c:pt idx="19">
                  <c:v>0.10856822793366704</c:v>
                </c:pt>
                <c:pt idx="20">
                  <c:v>0.10627471678860237</c:v>
                </c:pt>
                <c:pt idx="21">
                  <c:v>0.10250493960734117</c:v>
                </c:pt>
                <c:pt idx="22">
                  <c:v>0.10401298820614706</c:v>
                </c:pt>
                <c:pt idx="23">
                  <c:v>0.1069298800396315</c:v>
                </c:pt>
                <c:pt idx="24">
                  <c:v>0.11067448544668827</c:v>
                </c:pt>
                <c:pt idx="25">
                  <c:v>0.11117036381001354</c:v>
                </c:pt>
                <c:pt idx="26">
                  <c:v>0.10815288028299629</c:v>
                </c:pt>
                <c:pt idx="27">
                  <c:v>0.11151674653537307</c:v>
                </c:pt>
                <c:pt idx="28">
                  <c:v>0.13328397275060927</c:v>
                </c:pt>
                <c:pt idx="29">
                  <c:v>0.12837367767431751</c:v>
                </c:pt>
                <c:pt idx="30">
                  <c:v>0.12950022910287701</c:v>
                </c:pt>
                <c:pt idx="31">
                  <c:v>0.12510375060278933</c:v>
                </c:pt>
                <c:pt idx="32">
                  <c:v>0.13270819001394604</c:v>
                </c:pt>
                <c:pt idx="33">
                  <c:v>0.1260328712417009</c:v>
                </c:pt>
                <c:pt idx="34">
                  <c:v>0.12566918549045694</c:v>
                </c:pt>
                <c:pt idx="35">
                  <c:v>0.1313528531216353</c:v>
                </c:pt>
                <c:pt idx="36">
                  <c:v>0.13557822746598167</c:v>
                </c:pt>
                <c:pt idx="37">
                  <c:v>0.14157456728565201</c:v>
                </c:pt>
                <c:pt idx="38">
                  <c:v>0.14308967953859331</c:v>
                </c:pt>
                <c:pt idx="39">
                  <c:v>0.14838101246211446</c:v>
                </c:pt>
                <c:pt idx="40">
                  <c:v>0.15410534678725157</c:v>
                </c:pt>
                <c:pt idx="41">
                  <c:v>0.14370707023369617</c:v>
                </c:pt>
                <c:pt idx="42">
                  <c:v>0.1371002316210444</c:v>
                </c:pt>
                <c:pt idx="43">
                  <c:v>0.14100470726124911</c:v>
                </c:pt>
                <c:pt idx="44">
                  <c:v>0.15115044431893934</c:v>
                </c:pt>
                <c:pt idx="45">
                  <c:v>0.16250129666359026</c:v>
                </c:pt>
                <c:pt idx="46">
                  <c:v>0.16737603179832153</c:v>
                </c:pt>
                <c:pt idx="47">
                  <c:v>0.16644054317272292</c:v>
                </c:pt>
                <c:pt idx="48">
                  <c:v>0.15941624658980974</c:v>
                </c:pt>
                <c:pt idx="49">
                  <c:v>0.14853350106617252</c:v>
                </c:pt>
                <c:pt idx="50">
                  <c:v>0.16114929916602908</c:v>
                </c:pt>
                <c:pt idx="51">
                  <c:v>0.156283862379995</c:v>
                </c:pt>
                <c:pt idx="52">
                  <c:v>0.1719716335768138</c:v>
                </c:pt>
                <c:pt idx="53">
                  <c:v>0.15815260508853818</c:v>
                </c:pt>
                <c:pt idx="54">
                  <c:v>0.16240661627009537</c:v>
                </c:pt>
                <c:pt idx="55">
                  <c:v>0.16081478858004195</c:v>
                </c:pt>
              </c:numCache>
            </c:numRef>
          </c:val>
          <c:smooth val="0"/>
          <c:extLst xmlns:c16r2="http://schemas.microsoft.com/office/drawing/2015/06/chart">
            <c:ext xmlns:c16="http://schemas.microsoft.com/office/drawing/2014/chart" uri="{C3380CC4-5D6E-409C-BE32-E72D297353CC}">
              <c16:uniqueId val="{00000007-8F3B-4CA3-93D4-EF04679E9783}"/>
            </c:ext>
          </c:extLst>
        </c:ser>
        <c:ser>
          <c:idx val="2"/>
          <c:order val="2"/>
          <c:tx>
            <c:v>Add employer health insurance</c:v>
          </c:tx>
          <c:spPr>
            <a:ln w="22225">
              <a:solidFill>
                <a:schemeClr val="accent6">
                  <a:lumMod val="50000"/>
                </a:schemeClr>
              </a:solidFill>
              <a:prstDash val="solid"/>
            </a:ln>
          </c:spPr>
          <c:marker>
            <c:symbol val="none"/>
          </c:marker>
          <c:dPt>
            <c:idx val="1"/>
            <c:bubble3D val="0"/>
            <c:extLst xmlns:c16r2="http://schemas.microsoft.com/office/drawing/2015/06/chart">
              <c:ext xmlns:c16="http://schemas.microsoft.com/office/drawing/2014/chart" uri="{C3380CC4-5D6E-409C-BE32-E72D297353CC}">
                <c16:uniqueId val="{00000008-8F3B-4CA3-93D4-EF04679E9783}"/>
              </c:ext>
            </c:extLst>
          </c:dPt>
          <c:dPt>
            <c:idx val="3"/>
            <c:bubble3D val="0"/>
            <c:extLst xmlns:c16r2="http://schemas.microsoft.com/office/drawing/2015/06/chart">
              <c:ext xmlns:c16="http://schemas.microsoft.com/office/drawing/2014/chart" uri="{C3380CC4-5D6E-409C-BE32-E72D297353CC}">
                <c16:uniqueId val="{00000009-8F3B-4CA3-93D4-EF04679E9783}"/>
              </c:ext>
            </c:extLst>
          </c:dPt>
          <c:dPt>
            <c:idx val="5"/>
            <c:bubble3D val="0"/>
            <c:extLst xmlns:c16r2="http://schemas.microsoft.com/office/drawing/2015/06/chart">
              <c:ext xmlns:c16="http://schemas.microsoft.com/office/drawing/2014/chart" uri="{C3380CC4-5D6E-409C-BE32-E72D297353CC}">
                <c16:uniqueId val="{0000000A-8F3B-4CA3-93D4-EF04679E9783}"/>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'C2-Shares'!$EJ$6:$EJ$61</c:f>
              <c:numCache>
                <c:formatCode>0.0000</c:formatCode>
                <c:ptCount val="56"/>
                <c:pt idx="0">
                  <c:v>0.11847203583538561</c:v>
                </c:pt>
                <c:pt idx="1">
                  <c:v>0.11857803484998797</c:v>
                </c:pt>
                <c:pt idx="2">
                  <c:v>0.11867283033181501</c:v>
                </c:pt>
                <c:pt idx="3">
                  <c:v>0.12112094364290385</c:v>
                </c:pt>
                <c:pt idx="4">
                  <c:v>0.12328855357848659</c:v>
                </c:pt>
                <c:pt idx="5">
                  <c:v>0.12308193170123156</c:v>
                </c:pt>
                <c:pt idx="6">
                  <c:v>0.12290916021977369</c:v>
                </c:pt>
                <c:pt idx="7">
                  <c:v>0.12006687120545061</c:v>
                </c:pt>
                <c:pt idx="8">
                  <c:v>0.11925151471541726</c:v>
                </c:pt>
                <c:pt idx="9">
                  <c:v>0.10831566363669641</c:v>
                </c:pt>
                <c:pt idx="10">
                  <c:v>9.9604069111316196E-2</c:v>
                </c:pt>
                <c:pt idx="11">
                  <c:v>0.10322993856442476</c:v>
                </c:pt>
                <c:pt idx="12">
                  <c:v>0.10490788555285881</c:v>
                </c:pt>
                <c:pt idx="13">
                  <c:v>0.10359930210869121</c:v>
                </c:pt>
                <c:pt idx="14">
                  <c:v>0.10014081423581761</c:v>
                </c:pt>
                <c:pt idx="15">
                  <c:v>0.10060799102297832</c:v>
                </c:pt>
                <c:pt idx="16">
                  <c:v>0.1004036646900409</c:v>
                </c:pt>
                <c:pt idx="17">
                  <c:v>0.10119709014379631</c:v>
                </c:pt>
                <c:pt idx="18">
                  <c:v>9.9880057733525096E-2</c:v>
                </c:pt>
                <c:pt idx="19">
                  <c:v>0.10119041864391339</c:v>
                </c:pt>
                <c:pt idx="20">
                  <c:v>9.8936813194267559E-2</c:v>
                </c:pt>
                <c:pt idx="21">
                  <c:v>9.5317814849073521E-2</c:v>
                </c:pt>
                <c:pt idx="22">
                  <c:v>9.641906591269285E-2</c:v>
                </c:pt>
                <c:pt idx="23">
                  <c:v>9.8959648608510267E-2</c:v>
                </c:pt>
                <c:pt idx="24">
                  <c:v>0.10220792236963767</c:v>
                </c:pt>
                <c:pt idx="25">
                  <c:v>0.10263329476742744</c:v>
                </c:pt>
                <c:pt idx="26">
                  <c:v>0.10000637338366052</c:v>
                </c:pt>
                <c:pt idx="27">
                  <c:v>0.10268923732661954</c:v>
                </c:pt>
                <c:pt idx="28">
                  <c:v>0.12244637739133926</c:v>
                </c:pt>
                <c:pt idx="29">
                  <c:v>0.11781695389276747</c:v>
                </c:pt>
                <c:pt idx="30">
                  <c:v>0.11843980919319068</c:v>
                </c:pt>
                <c:pt idx="31">
                  <c:v>0.11426077179454276</c:v>
                </c:pt>
                <c:pt idx="32">
                  <c:v>0.12091263770766777</c:v>
                </c:pt>
                <c:pt idx="33">
                  <c:v>0.11469967797614036</c:v>
                </c:pt>
                <c:pt idx="34">
                  <c:v>0.1148272781281392</c:v>
                </c:pt>
                <c:pt idx="35">
                  <c:v>0.12062964956612199</c:v>
                </c:pt>
                <c:pt idx="36">
                  <c:v>0.12493281298834284</c:v>
                </c:pt>
                <c:pt idx="37">
                  <c:v>0.13077942599262726</c:v>
                </c:pt>
                <c:pt idx="38">
                  <c:v>0.13227861402508262</c:v>
                </c:pt>
                <c:pt idx="39">
                  <c:v>0.13727382252720124</c:v>
                </c:pt>
                <c:pt idx="40">
                  <c:v>0.14219954784920752</c:v>
                </c:pt>
                <c:pt idx="41">
                  <c:v>0.13216224404889598</c:v>
                </c:pt>
                <c:pt idx="42">
                  <c:v>0.12580906830572749</c:v>
                </c:pt>
                <c:pt idx="43">
                  <c:v>0.12898869616468414</c:v>
                </c:pt>
                <c:pt idx="44">
                  <c:v>0.13818884731019557</c:v>
                </c:pt>
                <c:pt idx="45">
                  <c:v>0.1484679019054326</c:v>
                </c:pt>
                <c:pt idx="46">
                  <c:v>0.15333909966112272</c:v>
                </c:pt>
                <c:pt idx="47">
                  <c:v>0.15243162152335388</c:v>
                </c:pt>
                <c:pt idx="48">
                  <c:v>0.1457270055674105</c:v>
                </c:pt>
                <c:pt idx="49">
                  <c:v>0.13589784716766851</c:v>
                </c:pt>
                <c:pt idx="50">
                  <c:v>0.14793618221127564</c:v>
                </c:pt>
                <c:pt idx="51">
                  <c:v>0.14342488299690548</c:v>
                </c:pt>
                <c:pt idx="52">
                  <c:v>0.15791741975509516</c:v>
                </c:pt>
                <c:pt idx="53">
                  <c:v>0.1451819718659941</c:v>
                </c:pt>
                <c:pt idx="54">
                  <c:v>0.14927047325684104</c:v>
                </c:pt>
                <c:pt idx="55">
                  <c:v>0.14772678602813641</c:v>
                </c:pt>
              </c:numCache>
            </c:numRef>
          </c:val>
          <c:smooth val="0"/>
          <c:extLst xmlns:c16r2="http://schemas.microsoft.com/office/drawing/2015/06/chart">
            <c:ext xmlns:c16="http://schemas.microsoft.com/office/drawing/2014/chart" uri="{C3380CC4-5D6E-409C-BE32-E72D297353CC}">
              <c16:uniqueId val="{0000000B-8F3B-4CA3-93D4-EF04679E9783}"/>
            </c:ext>
          </c:extLst>
        </c:ser>
        <c:ser>
          <c:idx val="3"/>
          <c:order val="3"/>
          <c:tx>
            <c:v>Retirement account income, indirect taxes, etc.</c:v>
          </c:tx>
          <c:spPr>
            <a:ln w="25400">
              <a:solidFill>
                <a:schemeClr val="accent3">
                  <a:lumMod val="75000"/>
                </a:schemeClr>
              </a:solidFill>
              <a:prstDash val="sysDash"/>
            </a:ln>
          </c:spPr>
          <c:marker>
            <c:symbol val="none"/>
          </c:marker>
          <c:val>
            <c:numRef>
              <c:f>'C2-Shares'!$EZ$6:$EZ$61</c:f>
              <c:numCache>
                <c:formatCode>0.0000</c:formatCode>
                <c:ptCount val="56"/>
                <c:pt idx="0">
                  <c:v>0.1103860864630547</c:v>
                </c:pt>
                <c:pt idx="1">
                  <c:v>0.11081719513306594</c:v>
                </c:pt>
                <c:pt idx="2">
                  <c:v>0.11120373480640794</c:v>
                </c:pt>
                <c:pt idx="3">
                  <c:v>0.11305834004238841</c:v>
                </c:pt>
                <c:pt idx="4">
                  <c:v>0.1146899307735081</c:v>
                </c:pt>
                <c:pt idx="5">
                  <c:v>0.11494324669163405</c:v>
                </c:pt>
                <c:pt idx="6">
                  <c:v>0.11515736868552763</c:v>
                </c:pt>
                <c:pt idx="7">
                  <c:v>0.11224971747213815</c:v>
                </c:pt>
                <c:pt idx="8">
                  <c:v>0.11145129761914908</c:v>
                </c:pt>
                <c:pt idx="9">
                  <c:v>0.10106026471086935</c:v>
                </c:pt>
                <c:pt idx="10">
                  <c:v>9.3299155800116204E-2</c:v>
                </c:pt>
                <c:pt idx="11">
                  <c:v>9.6309616480635699E-2</c:v>
                </c:pt>
                <c:pt idx="12">
                  <c:v>9.8115968640821435E-2</c:v>
                </c:pt>
                <c:pt idx="13">
                  <c:v>9.7143648904541954E-2</c:v>
                </c:pt>
                <c:pt idx="14">
                  <c:v>9.3850207684448211E-2</c:v>
                </c:pt>
                <c:pt idx="15">
                  <c:v>9.4064651760773887E-2</c:v>
                </c:pt>
                <c:pt idx="16">
                  <c:v>9.4291204392316835E-2</c:v>
                </c:pt>
                <c:pt idx="17">
                  <c:v>9.4899274095405453E-2</c:v>
                </c:pt>
                <c:pt idx="18">
                  <c:v>9.3930708108198674E-2</c:v>
                </c:pt>
                <c:pt idx="19">
                  <c:v>9.4899986792237198E-2</c:v>
                </c:pt>
                <c:pt idx="20">
                  <c:v>9.261465973160031E-2</c:v>
                </c:pt>
                <c:pt idx="21">
                  <c:v>8.9262196264253163E-2</c:v>
                </c:pt>
                <c:pt idx="22">
                  <c:v>9.0401597762518424E-2</c:v>
                </c:pt>
                <c:pt idx="23">
                  <c:v>9.2487534110957156E-2</c:v>
                </c:pt>
                <c:pt idx="24">
                  <c:v>9.5430599975374134E-2</c:v>
                </c:pt>
                <c:pt idx="25">
                  <c:v>9.5622856413381044E-2</c:v>
                </c:pt>
                <c:pt idx="26">
                  <c:v>9.2931372728020101E-2</c:v>
                </c:pt>
                <c:pt idx="27">
                  <c:v>9.6691378643522452E-2</c:v>
                </c:pt>
                <c:pt idx="28">
                  <c:v>0.11618417948029981</c:v>
                </c:pt>
                <c:pt idx="29">
                  <c:v>0.11126510038595104</c:v>
                </c:pt>
                <c:pt idx="30">
                  <c:v>0.11287840931465051</c:v>
                </c:pt>
                <c:pt idx="31">
                  <c:v>0.10924309169780609</c:v>
                </c:pt>
                <c:pt idx="32">
                  <c:v>0.11597736769774794</c:v>
                </c:pt>
                <c:pt idx="33">
                  <c:v>0.10954075171346821</c:v>
                </c:pt>
                <c:pt idx="34">
                  <c:v>0.10947565686902427</c:v>
                </c:pt>
                <c:pt idx="35">
                  <c:v>0.11512130249241838</c:v>
                </c:pt>
                <c:pt idx="36">
                  <c:v>0.11931018728926303</c:v>
                </c:pt>
                <c:pt idx="37">
                  <c:v>0.12490294670435617</c:v>
                </c:pt>
                <c:pt idx="38">
                  <c:v>0.12637675646198396</c:v>
                </c:pt>
                <c:pt idx="39">
                  <c:v>0.13162035713692485</c:v>
                </c:pt>
                <c:pt idx="40">
                  <c:v>0.13670178501652119</c:v>
                </c:pt>
                <c:pt idx="41">
                  <c:v>0.12713426863166885</c:v>
                </c:pt>
                <c:pt idx="42">
                  <c:v>0.12068197568424517</c:v>
                </c:pt>
                <c:pt idx="43">
                  <c:v>0.12377478129489432</c:v>
                </c:pt>
                <c:pt idx="44">
                  <c:v>0.13260924234253701</c:v>
                </c:pt>
                <c:pt idx="45">
                  <c:v>0.14257478164468423</c:v>
                </c:pt>
                <c:pt idx="46">
                  <c:v>0.14696344047345955</c:v>
                </c:pt>
                <c:pt idx="47">
                  <c:v>0.14610594510750965</c:v>
                </c:pt>
                <c:pt idx="48">
                  <c:v>0.13955021491106612</c:v>
                </c:pt>
                <c:pt idx="49">
                  <c:v>0.13091121874891942</c:v>
                </c:pt>
                <c:pt idx="50">
                  <c:v>0.14296488171438282</c:v>
                </c:pt>
                <c:pt idx="51">
                  <c:v>0.13842295139515765</c:v>
                </c:pt>
                <c:pt idx="52">
                  <c:v>0.15229122380983121</c:v>
                </c:pt>
                <c:pt idx="53">
                  <c:v>0.13896760061229452</c:v>
                </c:pt>
                <c:pt idx="54">
                  <c:v>0.14277984870529348</c:v>
                </c:pt>
                <c:pt idx="55">
                  <c:v>0.14118367565625728</c:v>
                </c:pt>
              </c:numCache>
            </c:numRef>
          </c:val>
          <c:smooth val="0"/>
          <c:extLst xmlns:c16r2="http://schemas.microsoft.com/office/drawing/2015/06/chart">
            <c:ext xmlns:c16="http://schemas.microsoft.com/office/drawing/2014/chart" uri="{C3380CC4-5D6E-409C-BE32-E72D297353CC}">
              <c16:uniqueId val="{0000000C-8F3B-4CA3-93D4-EF04679E9783}"/>
            </c:ext>
          </c:extLst>
        </c:ser>
        <c:dLbls>
          <c:showLegendKey val="0"/>
          <c:showVal val="0"/>
          <c:showCatName val="0"/>
          <c:showSerName val="0"/>
          <c:showPercent val="0"/>
          <c:showBubbleSize val="0"/>
        </c:dLbls>
        <c:smooth val="0"/>
        <c:axId val="506942216"/>
        <c:axId val="506942608"/>
      </c:lineChart>
      <c:catAx>
        <c:axId val="506942216"/>
        <c:scaling>
          <c:orientation val="minMax"/>
        </c:scaling>
        <c:delete val="0"/>
        <c:axPos val="b"/>
        <c:majorGridlines>
          <c:spPr>
            <a:ln w="6350">
              <a:solidFill>
                <a:schemeClr val="tx1">
                  <a:lumMod val="50000"/>
                  <a:lumOff val="50000"/>
                </a:schemeClr>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506942608"/>
        <c:crossesAt val="0"/>
        <c:auto val="1"/>
        <c:lblAlgn val="ctr"/>
        <c:lblOffset val="100"/>
        <c:tickLblSkip val="10"/>
        <c:tickMarkSkip val="10"/>
        <c:noMultiLvlLbl val="0"/>
      </c:catAx>
      <c:valAx>
        <c:axId val="506942608"/>
        <c:scaling>
          <c:orientation val="minMax"/>
          <c:max val="0.2"/>
          <c:min val="0"/>
        </c:scaling>
        <c:delete val="0"/>
        <c:axPos val="l"/>
        <c:majorGridlines>
          <c:spPr>
            <a:ln w="6350">
              <a:solidFill>
                <a:schemeClr val="tx1">
                  <a:lumMod val="50000"/>
                  <a:lumOff val="50000"/>
                </a:schemeClr>
              </a:solidFill>
              <a:prstDash val="sysDash"/>
            </a:ln>
          </c:spPr>
        </c:majorGridlines>
        <c:title>
          <c:tx>
            <c:rich>
              <a:bodyPr/>
              <a:lstStyle/>
              <a:p>
                <a:pPr>
                  <a:defRPr sz="2050" b="0" i="0" u="none" strike="noStrike" baseline="0">
                    <a:solidFill>
                      <a:srgbClr val="000000"/>
                    </a:solidFill>
                    <a:latin typeface="Arial"/>
                    <a:ea typeface="Arial"/>
                    <a:cs typeface="Arial"/>
                  </a:defRPr>
                </a:pPr>
                <a:r>
                  <a:rPr lang="en-US" sz="1200" b="0"/>
                  <a:t>Top 1%  Income Share</a:t>
                </a:r>
              </a:p>
            </c:rich>
          </c:tx>
          <c:layout>
            <c:manualLayout>
              <c:xMode val="edge"/>
              <c:yMode val="edge"/>
              <c:x val="4.1979034057868517E-4"/>
              <c:y val="0.3223781180895695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506942216"/>
        <c:crosses val="autoZero"/>
        <c:crossBetween val="midCat"/>
        <c:majorUnit val="0.05"/>
        <c:minorUnit val="0.05"/>
      </c:valAx>
      <c:spPr>
        <a:solidFill>
          <a:srgbClr val="FFFFFF"/>
        </a:solidFill>
        <a:ln w="3175">
          <a:noFill/>
          <a:prstDash val="solid"/>
        </a:ln>
      </c:spPr>
    </c:plotArea>
    <c:plotVisOnly val="1"/>
    <c:dispBlanksAs val="span"/>
    <c:showDLblsOverMax val="0"/>
  </c:chart>
  <c:spPr>
    <a:solidFill>
      <a:srgbClr val="FFFFFF"/>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711" r="0.75000000000000711" t="1" header="0.5" footer="0.5"/>
    <c:pageSetup orientation="landscape" verticalDpi="96"/>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03975808784347"/>
          <c:y val="1.8568512269299675E-2"/>
          <c:w val="0.69969997395282135"/>
          <c:h val="0.92738386868308131"/>
        </c:manualLayout>
      </c:layout>
      <c:lineChart>
        <c:grouping val="standard"/>
        <c:varyColors val="0"/>
        <c:ser>
          <c:idx val="0"/>
          <c:order val="0"/>
          <c:tx>
            <c:v>Piketty-Saez (with capital gains)</c:v>
          </c:tx>
          <c:spPr>
            <a:ln w="25400">
              <a:solidFill>
                <a:schemeClr val="bg1">
                  <a:lumMod val="65000"/>
                </a:schemeClr>
              </a:solidFill>
              <a:prstDash val="solid"/>
            </a:ln>
          </c:spPr>
          <c:marker>
            <c:symbol val="none"/>
          </c:marker>
          <c:dPt>
            <c:idx val="54"/>
            <c:bubble3D val="0"/>
            <c:spPr>
              <a:ln w="25400">
                <a:solidFill>
                  <a:schemeClr val="bg1">
                    <a:lumMod val="65000"/>
                  </a:schemeClr>
                </a:solidFill>
                <a:prstDash val="solid"/>
              </a:ln>
            </c:spPr>
            <c:extLst xmlns:c16r2="http://schemas.microsoft.com/office/drawing/2015/06/chart">
              <c:ext xmlns:c16="http://schemas.microsoft.com/office/drawing/2014/chart" uri="{C3380CC4-5D6E-409C-BE32-E72D297353CC}">
                <c16:uniqueId val="{00000001-DB3D-45A9-A7FF-DDD7F6E9A7A6}"/>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'F-3'!$B$33:$B$88</c:f>
              <c:numCache>
                <c:formatCode>0.000</c:formatCode>
                <c:ptCount val="56"/>
                <c:pt idx="0">
                  <c:v>9.0105832408147998E-2</c:v>
                </c:pt>
                <c:pt idx="1">
                  <c:v>9.2444206572269622E-2</c:v>
                </c:pt>
                <c:pt idx="2">
                  <c:v>8.9177964232870735E-2</c:v>
                </c:pt>
                <c:pt idx="3">
                  <c:v>8.8607620182328192E-2</c:v>
                </c:pt>
                <c:pt idx="4">
                  <c:v>9.1037087301424735E-2</c:v>
                </c:pt>
                <c:pt idx="5">
                  <c:v>9.3038000414193717E-2</c:v>
                </c:pt>
                <c:pt idx="6">
                  <c:v>9.4211121977307091E-2</c:v>
                </c:pt>
                <c:pt idx="7">
                  <c:v>9.83155222315856E-2</c:v>
                </c:pt>
                <c:pt idx="8">
                  <c:v>0.10071040556088344</c:v>
                </c:pt>
                <c:pt idx="9">
                  <c:v>9.4004230313392861E-2</c:v>
                </c:pt>
                <c:pt idx="10">
                  <c:v>8.4378963453325906E-2</c:v>
                </c:pt>
                <c:pt idx="11">
                  <c:v>8.6532162950564581E-2</c:v>
                </c:pt>
                <c:pt idx="12">
                  <c:v>8.7008334911934548E-2</c:v>
                </c:pt>
                <c:pt idx="13">
                  <c:v>8.3408372023335953E-2</c:v>
                </c:pt>
                <c:pt idx="14">
                  <c:v>8.5290385295910306E-2</c:v>
                </c:pt>
                <c:pt idx="15">
                  <c:v>8.3664366142884583E-2</c:v>
                </c:pt>
                <c:pt idx="16">
                  <c:v>8.3258655587151509E-2</c:v>
                </c:pt>
                <c:pt idx="17">
                  <c:v>8.3637714427930984E-2</c:v>
                </c:pt>
                <c:pt idx="18">
                  <c:v>8.3597660274637844E-2</c:v>
                </c:pt>
                <c:pt idx="19">
                  <c:v>8.9960423031537951E-2</c:v>
                </c:pt>
                <c:pt idx="20">
                  <c:v>9.1534435937670189E-2</c:v>
                </c:pt>
                <c:pt idx="21">
                  <c:v>8.9310266913414246E-2</c:v>
                </c:pt>
                <c:pt idx="22">
                  <c:v>9.7572076572603694E-2</c:v>
                </c:pt>
                <c:pt idx="23">
                  <c:v>0.10282245251280001</c:v>
                </c:pt>
                <c:pt idx="24">
                  <c:v>0.10629430295039832</c:v>
                </c:pt>
                <c:pt idx="25">
                  <c:v>0.11093374495182488</c:v>
                </c:pt>
                <c:pt idx="26">
                  <c:v>0.1314262208412354</c:v>
                </c:pt>
                <c:pt idx="27">
                  <c:v>0.11750102422462874</c:v>
                </c:pt>
                <c:pt idx="28">
                  <c:v>0.14653249100073071</c:v>
                </c:pt>
                <c:pt idx="29">
                  <c:v>0.1381328299421444</c:v>
                </c:pt>
                <c:pt idx="30">
                  <c:v>0.13809777272165719</c:v>
                </c:pt>
                <c:pt idx="31">
                  <c:v>0.1271712014755865</c:v>
                </c:pt>
                <c:pt idx="32">
                  <c:v>0.14224378100303567</c:v>
                </c:pt>
                <c:pt idx="33">
                  <c:v>0.13684379989648174</c:v>
                </c:pt>
                <c:pt idx="34">
                  <c:v>0.1364511900969064</c:v>
                </c:pt>
                <c:pt idx="35">
                  <c:v>0.14617000000000002</c:v>
                </c:pt>
                <c:pt idx="36">
                  <c:v>0.15836</c:v>
                </c:pt>
                <c:pt idx="37">
                  <c:v>0.16985</c:v>
                </c:pt>
                <c:pt idx="38">
                  <c:v>0.17693999999999999</c:v>
                </c:pt>
                <c:pt idx="39">
                  <c:v>0.18365999999999999</c:v>
                </c:pt>
                <c:pt idx="40">
                  <c:v>0.19295000000000001</c:v>
                </c:pt>
                <c:pt idx="41">
                  <c:v>0.16760000000000003</c:v>
                </c:pt>
                <c:pt idx="42">
                  <c:v>0.15912999999999999</c:v>
                </c:pt>
                <c:pt idx="43">
                  <c:v>0.16390999999999997</c:v>
                </c:pt>
                <c:pt idx="44">
                  <c:v>0.18118999999999999</c:v>
                </c:pt>
                <c:pt idx="45">
                  <c:v>0.20036999999999999</c:v>
                </c:pt>
                <c:pt idx="46">
                  <c:v>0.20864000000000002</c:v>
                </c:pt>
                <c:pt idx="47">
                  <c:v>0.21513000000000002</c:v>
                </c:pt>
                <c:pt idx="48">
                  <c:v>0.19574000000000003</c:v>
                </c:pt>
                <c:pt idx="49">
                  <c:v>0.17478000000000002</c:v>
                </c:pt>
                <c:pt idx="50">
                  <c:v>0.18827000000000002</c:v>
                </c:pt>
                <c:pt idx="51">
                  <c:v>0.18845999999999999</c:v>
                </c:pt>
                <c:pt idx="52">
                  <c:v>0.2122</c:v>
                </c:pt>
                <c:pt idx="53">
                  <c:v>0.18920000000000001</c:v>
                </c:pt>
                <c:pt idx="54">
                  <c:v>0.20019999999999999</c:v>
                </c:pt>
                <c:pt idx="55">
                  <c:v>0.20309999999999997</c:v>
                </c:pt>
              </c:numCache>
            </c:numRef>
          </c:val>
          <c:smooth val="0"/>
          <c:extLst xmlns:c16r2="http://schemas.microsoft.com/office/drawing/2015/06/chart">
            <c:ext xmlns:c16="http://schemas.microsoft.com/office/drawing/2014/chart" uri="{C3380CC4-5D6E-409C-BE32-E72D297353CC}">
              <c16:uniqueId val="{00000002-DB3D-45A9-A7FF-DDD7F6E9A7A6}"/>
            </c:ext>
          </c:extLst>
        </c:ser>
        <c:ser>
          <c:idx val="1"/>
          <c:order val="1"/>
          <c:tx>
            <c:v>Consistent market income</c:v>
          </c:tx>
          <c:spPr>
            <a:ln w="25400">
              <a:solidFill>
                <a:schemeClr val="tx1">
                  <a:lumMod val="65000"/>
                  <a:lumOff val="35000"/>
                </a:schemeClr>
              </a:solidFill>
              <a:prstDash val="solid"/>
            </a:ln>
          </c:spPr>
          <c:marker>
            <c:symbol val="none"/>
          </c:marker>
          <c:dPt>
            <c:idx val="1"/>
            <c:bubble3D val="0"/>
            <c:extLst xmlns:c16r2="http://schemas.microsoft.com/office/drawing/2015/06/chart">
              <c:ext xmlns:c16="http://schemas.microsoft.com/office/drawing/2014/chart" uri="{C3380CC4-5D6E-409C-BE32-E72D297353CC}">
                <c16:uniqueId val="{00000003-DB3D-45A9-A7FF-DDD7F6E9A7A6}"/>
              </c:ext>
            </c:extLst>
          </c:dPt>
          <c:dPt>
            <c:idx val="3"/>
            <c:bubble3D val="0"/>
            <c:extLst xmlns:c16r2="http://schemas.microsoft.com/office/drawing/2015/06/chart">
              <c:ext xmlns:c16="http://schemas.microsoft.com/office/drawing/2014/chart" uri="{C3380CC4-5D6E-409C-BE32-E72D297353CC}">
                <c16:uniqueId val="{00000004-DB3D-45A9-A7FF-DDD7F6E9A7A6}"/>
              </c:ext>
            </c:extLst>
          </c:dPt>
          <c:dPt>
            <c:idx val="5"/>
            <c:bubble3D val="0"/>
            <c:extLst xmlns:c16r2="http://schemas.microsoft.com/office/drawing/2015/06/chart">
              <c:ext xmlns:c16="http://schemas.microsoft.com/office/drawing/2014/chart" uri="{C3380CC4-5D6E-409C-BE32-E72D297353CC}">
                <c16:uniqueId val="{00000005-DB3D-45A9-A7FF-DDD7F6E9A7A6}"/>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'F-3'!$C$33:$C$88</c:f>
              <c:numCache>
                <c:formatCode>0.000</c:formatCode>
                <c:ptCount val="56"/>
                <c:pt idx="0">
                  <c:v>0.1103860864630547</c:v>
                </c:pt>
                <c:pt idx="1">
                  <c:v>0.11081719513306594</c:v>
                </c:pt>
                <c:pt idx="2">
                  <c:v>0.11120373480640794</c:v>
                </c:pt>
                <c:pt idx="3">
                  <c:v>0.11305834004238841</c:v>
                </c:pt>
                <c:pt idx="4">
                  <c:v>0.1146899307735081</c:v>
                </c:pt>
                <c:pt idx="5">
                  <c:v>0.11494324669163405</c:v>
                </c:pt>
                <c:pt idx="6">
                  <c:v>0.11515736868552763</c:v>
                </c:pt>
                <c:pt idx="7">
                  <c:v>0.11224971747213815</c:v>
                </c:pt>
                <c:pt idx="8">
                  <c:v>0.11145129761914908</c:v>
                </c:pt>
                <c:pt idx="9">
                  <c:v>0.10106026471086935</c:v>
                </c:pt>
                <c:pt idx="10">
                  <c:v>9.3299155800116204E-2</c:v>
                </c:pt>
                <c:pt idx="11">
                  <c:v>9.6309616480635699E-2</c:v>
                </c:pt>
                <c:pt idx="12">
                  <c:v>9.8115968640821435E-2</c:v>
                </c:pt>
                <c:pt idx="13">
                  <c:v>9.7143648904541954E-2</c:v>
                </c:pt>
                <c:pt idx="14">
                  <c:v>9.3850207684448211E-2</c:v>
                </c:pt>
                <c:pt idx="15">
                  <c:v>9.4064651760773887E-2</c:v>
                </c:pt>
                <c:pt idx="16">
                  <c:v>9.4291204392316835E-2</c:v>
                </c:pt>
                <c:pt idx="17">
                  <c:v>9.4899274095405453E-2</c:v>
                </c:pt>
                <c:pt idx="18">
                  <c:v>9.3930708108198674E-2</c:v>
                </c:pt>
                <c:pt idx="19">
                  <c:v>9.4899986792237198E-2</c:v>
                </c:pt>
                <c:pt idx="20">
                  <c:v>9.261465973160031E-2</c:v>
                </c:pt>
                <c:pt idx="21">
                  <c:v>8.9262196264253163E-2</c:v>
                </c:pt>
                <c:pt idx="22">
                  <c:v>9.0401597762518424E-2</c:v>
                </c:pt>
                <c:pt idx="23">
                  <c:v>9.2487534110957156E-2</c:v>
                </c:pt>
                <c:pt idx="24">
                  <c:v>9.5430599975374134E-2</c:v>
                </c:pt>
                <c:pt idx="25">
                  <c:v>9.5622856413381044E-2</c:v>
                </c:pt>
                <c:pt idx="26">
                  <c:v>9.2931372728020101E-2</c:v>
                </c:pt>
                <c:pt idx="27">
                  <c:v>9.6691378643522452E-2</c:v>
                </c:pt>
                <c:pt idx="28">
                  <c:v>0.11618417948029981</c:v>
                </c:pt>
                <c:pt idx="29">
                  <c:v>0.11126510038595104</c:v>
                </c:pt>
                <c:pt idx="30">
                  <c:v>0.11287840931465051</c:v>
                </c:pt>
                <c:pt idx="31">
                  <c:v>0.10924309169780609</c:v>
                </c:pt>
                <c:pt idx="32">
                  <c:v>0.11597736769774794</c:v>
                </c:pt>
                <c:pt idx="33">
                  <c:v>0.10954075171346821</c:v>
                </c:pt>
                <c:pt idx="34">
                  <c:v>0.10947565686902427</c:v>
                </c:pt>
                <c:pt idx="35">
                  <c:v>0.11512130249241838</c:v>
                </c:pt>
                <c:pt idx="36">
                  <c:v>0.11931018728926303</c:v>
                </c:pt>
                <c:pt idx="37">
                  <c:v>0.12490294670435617</c:v>
                </c:pt>
                <c:pt idx="38">
                  <c:v>0.12637675646198396</c:v>
                </c:pt>
                <c:pt idx="39">
                  <c:v>0.13162035713692485</c:v>
                </c:pt>
                <c:pt idx="40">
                  <c:v>0.13670178501652119</c:v>
                </c:pt>
                <c:pt idx="41">
                  <c:v>0.12713426863166885</c:v>
                </c:pt>
                <c:pt idx="42">
                  <c:v>0.12068197568424517</c:v>
                </c:pt>
                <c:pt idx="43">
                  <c:v>0.12377478129489432</c:v>
                </c:pt>
                <c:pt idx="44">
                  <c:v>0.13260924234253701</c:v>
                </c:pt>
                <c:pt idx="45">
                  <c:v>0.14257478164468423</c:v>
                </c:pt>
                <c:pt idx="46">
                  <c:v>0.14696344047345955</c:v>
                </c:pt>
                <c:pt idx="47">
                  <c:v>0.14610594510750965</c:v>
                </c:pt>
                <c:pt idx="48">
                  <c:v>0.13955021491106612</c:v>
                </c:pt>
                <c:pt idx="49">
                  <c:v>0.13091121874891942</c:v>
                </c:pt>
                <c:pt idx="50">
                  <c:v>0.14296488171438282</c:v>
                </c:pt>
                <c:pt idx="51">
                  <c:v>0.13842295139515765</c:v>
                </c:pt>
                <c:pt idx="52">
                  <c:v>0.15229122380983121</c:v>
                </c:pt>
                <c:pt idx="53">
                  <c:v>0.13896760061229452</c:v>
                </c:pt>
                <c:pt idx="54">
                  <c:v>0.14277984870529348</c:v>
                </c:pt>
                <c:pt idx="55">
                  <c:v>0.14118367565625728</c:v>
                </c:pt>
              </c:numCache>
            </c:numRef>
          </c:val>
          <c:smooth val="0"/>
          <c:extLst xmlns:c16r2="http://schemas.microsoft.com/office/drawing/2015/06/chart">
            <c:ext xmlns:c16="http://schemas.microsoft.com/office/drawing/2014/chart" uri="{C3380CC4-5D6E-409C-BE32-E72D297353CC}">
              <c16:uniqueId val="{00000006-DB3D-45A9-A7FF-DDD7F6E9A7A6}"/>
            </c:ext>
          </c:extLst>
        </c:ser>
        <c:ser>
          <c:idx val="2"/>
          <c:order val="2"/>
          <c:tx>
            <c:v>Pre-tax income</c:v>
          </c:tx>
          <c:spPr>
            <a:ln w="19050">
              <a:solidFill>
                <a:schemeClr val="tx1">
                  <a:lumMod val="65000"/>
                  <a:lumOff val="35000"/>
                </a:schemeClr>
              </a:solidFill>
              <a:prstDash val="sysDash"/>
            </a:ln>
          </c:spPr>
          <c:marker>
            <c:symbol val="none"/>
          </c:marker>
          <c:dPt>
            <c:idx val="1"/>
            <c:bubble3D val="0"/>
            <c:extLst xmlns:c16r2="http://schemas.microsoft.com/office/drawing/2015/06/chart">
              <c:ext xmlns:c16="http://schemas.microsoft.com/office/drawing/2014/chart" uri="{C3380CC4-5D6E-409C-BE32-E72D297353CC}">
                <c16:uniqueId val="{00000007-DB3D-45A9-A7FF-DDD7F6E9A7A6}"/>
              </c:ext>
            </c:extLst>
          </c:dPt>
          <c:dPt>
            <c:idx val="3"/>
            <c:bubble3D val="0"/>
            <c:extLst xmlns:c16r2="http://schemas.microsoft.com/office/drawing/2015/06/chart">
              <c:ext xmlns:c16="http://schemas.microsoft.com/office/drawing/2014/chart" uri="{C3380CC4-5D6E-409C-BE32-E72D297353CC}">
                <c16:uniqueId val="{00000008-DB3D-45A9-A7FF-DDD7F6E9A7A6}"/>
              </c:ext>
            </c:extLst>
          </c:dPt>
          <c:dPt>
            <c:idx val="5"/>
            <c:bubble3D val="0"/>
            <c:extLst xmlns:c16r2="http://schemas.microsoft.com/office/drawing/2015/06/chart">
              <c:ext xmlns:c16="http://schemas.microsoft.com/office/drawing/2014/chart" uri="{C3380CC4-5D6E-409C-BE32-E72D297353CC}">
                <c16:uniqueId val="{00000009-DB3D-45A9-A7FF-DDD7F6E9A7A6}"/>
              </c:ext>
            </c:extLst>
          </c:dPt>
          <c:val>
            <c:numRef>
              <c:f>'F-3'!$D$33:$D$88</c:f>
              <c:numCache>
                <c:formatCode>0.000</c:formatCode>
                <c:ptCount val="56"/>
                <c:pt idx="0">
                  <c:v>0.10547561256553753</c:v>
                </c:pt>
                <c:pt idx="1">
                  <c:v>0.10574892929572076</c:v>
                </c:pt>
                <c:pt idx="2">
                  <c:v>0.10599329544961571</c:v>
                </c:pt>
                <c:pt idx="3">
                  <c:v>0.10787582966725633</c:v>
                </c:pt>
                <c:pt idx="4">
                  <c:v>0.10953579287619661</c:v>
                </c:pt>
                <c:pt idx="5">
                  <c:v>0.10979524163767666</c:v>
                </c:pt>
                <c:pt idx="6">
                  <c:v>0.11001450916324675</c:v>
                </c:pt>
                <c:pt idx="7">
                  <c:v>0.10666714511172948</c:v>
                </c:pt>
                <c:pt idx="8">
                  <c:v>0.105470357862509</c:v>
                </c:pt>
                <c:pt idx="9">
                  <c:v>9.5507100877327486E-2</c:v>
                </c:pt>
                <c:pt idx="10">
                  <c:v>8.742571198859439E-2</c:v>
                </c:pt>
                <c:pt idx="11">
                  <c:v>8.960980370049855E-2</c:v>
                </c:pt>
                <c:pt idx="12">
                  <c:v>9.1278796098654649E-2</c:v>
                </c:pt>
                <c:pt idx="13">
                  <c:v>9.033291392156774E-2</c:v>
                </c:pt>
                <c:pt idx="14">
                  <c:v>8.6511865633795648E-2</c:v>
                </c:pt>
                <c:pt idx="15">
                  <c:v>8.5442158826000994E-2</c:v>
                </c:pt>
                <c:pt idx="16">
                  <c:v>8.5926386415201478E-2</c:v>
                </c:pt>
                <c:pt idx="17">
                  <c:v>8.6809827305294684E-2</c:v>
                </c:pt>
                <c:pt idx="18">
                  <c:v>8.6304517369871839E-2</c:v>
                </c:pt>
                <c:pt idx="19">
                  <c:v>8.6903574030698996E-2</c:v>
                </c:pt>
                <c:pt idx="20">
                  <c:v>8.4047989673063372E-2</c:v>
                </c:pt>
                <c:pt idx="21">
                  <c:v>8.0968223140013368E-2</c:v>
                </c:pt>
                <c:pt idx="22">
                  <c:v>8.1431776540895423E-2</c:v>
                </c:pt>
                <c:pt idx="23">
                  <c:v>8.3266688648198986E-2</c:v>
                </c:pt>
                <c:pt idx="24">
                  <c:v>8.6710232120910974E-2</c:v>
                </c:pt>
                <c:pt idx="25">
                  <c:v>8.7272923610391115E-2</c:v>
                </c:pt>
                <c:pt idx="26">
                  <c:v>8.4532499321062451E-2</c:v>
                </c:pt>
                <c:pt idx="27">
                  <c:v>8.8118347589807716E-2</c:v>
                </c:pt>
                <c:pt idx="28">
                  <c:v>0.10586704503713266</c:v>
                </c:pt>
                <c:pt idx="29">
                  <c:v>0.10133937109209022</c:v>
                </c:pt>
                <c:pt idx="30">
                  <c:v>0.10216340310442139</c:v>
                </c:pt>
                <c:pt idx="31">
                  <c:v>9.7937989104130208E-2</c:v>
                </c:pt>
                <c:pt idx="32">
                  <c:v>0.10321475471347732</c:v>
                </c:pt>
                <c:pt idx="33">
                  <c:v>9.7294801851661686E-2</c:v>
                </c:pt>
                <c:pt idx="34">
                  <c:v>9.7496605700246583E-2</c:v>
                </c:pt>
                <c:pt idx="35">
                  <c:v>0.10248804676769482</c:v>
                </c:pt>
                <c:pt idx="36">
                  <c:v>0.10636785657879491</c:v>
                </c:pt>
                <c:pt idx="37">
                  <c:v>0.11178826593549564</c:v>
                </c:pt>
                <c:pt idx="38">
                  <c:v>0.1134947367984665</c:v>
                </c:pt>
                <c:pt idx="39">
                  <c:v>0.11841283354898033</c:v>
                </c:pt>
                <c:pt idx="40">
                  <c:v>0.12324734072667641</c:v>
                </c:pt>
                <c:pt idx="41">
                  <c:v>0.11389875547142124</c:v>
                </c:pt>
                <c:pt idx="42">
                  <c:v>0.10745535683987288</c:v>
                </c:pt>
                <c:pt idx="43">
                  <c:v>0.11008174195775861</c:v>
                </c:pt>
                <c:pt idx="44">
                  <c:v>0.11794330030636968</c:v>
                </c:pt>
                <c:pt idx="45">
                  <c:v>0.12686541570563556</c:v>
                </c:pt>
                <c:pt idx="46">
                  <c:v>0.13083180114309842</c:v>
                </c:pt>
                <c:pt idx="47">
                  <c:v>0.12947409854791339</c:v>
                </c:pt>
                <c:pt idx="48">
                  <c:v>0.1212739988736156</c:v>
                </c:pt>
                <c:pt idx="49">
                  <c:v>0.1127544427547378</c:v>
                </c:pt>
                <c:pt idx="50">
                  <c:v>0.12244289272562482</c:v>
                </c:pt>
                <c:pt idx="51">
                  <c:v>0.1191544734605352</c:v>
                </c:pt>
                <c:pt idx="52">
                  <c:v>0.13192084270089083</c:v>
                </c:pt>
                <c:pt idx="53">
                  <c:v>0.1205447789407159</c:v>
                </c:pt>
                <c:pt idx="54">
                  <c:v>0.12383528715122835</c:v>
                </c:pt>
                <c:pt idx="55">
                  <c:v>0.12226367697635226</c:v>
                </c:pt>
              </c:numCache>
            </c:numRef>
          </c:val>
          <c:smooth val="0"/>
          <c:extLst xmlns:c16r2="http://schemas.microsoft.com/office/drawing/2015/06/chart">
            <c:ext xmlns:c16="http://schemas.microsoft.com/office/drawing/2014/chart" uri="{C3380CC4-5D6E-409C-BE32-E72D297353CC}">
              <c16:uniqueId val="{0000000A-DB3D-45A9-A7FF-DDD7F6E9A7A6}"/>
            </c:ext>
          </c:extLst>
        </c:ser>
        <c:ser>
          <c:idx val="3"/>
          <c:order val="3"/>
          <c:tx>
            <c:v>After-tax income</c:v>
          </c:tx>
          <c:spPr>
            <a:ln w="25400">
              <a:solidFill>
                <a:schemeClr val="tx1"/>
              </a:solidFill>
            </a:ln>
          </c:spPr>
          <c:marker>
            <c:symbol val="none"/>
          </c:marker>
          <c:dPt>
            <c:idx val="1"/>
            <c:bubble3D val="0"/>
            <c:extLst xmlns:c16r2="http://schemas.microsoft.com/office/drawing/2015/06/chart">
              <c:ext xmlns:c16="http://schemas.microsoft.com/office/drawing/2014/chart" uri="{C3380CC4-5D6E-409C-BE32-E72D297353CC}">
                <c16:uniqueId val="{0000000B-DB3D-45A9-A7FF-DDD7F6E9A7A6}"/>
              </c:ext>
            </c:extLst>
          </c:dPt>
          <c:dPt>
            <c:idx val="3"/>
            <c:bubble3D val="0"/>
            <c:extLst xmlns:c16r2="http://schemas.microsoft.com/office/drawing/2015/06/chart">
              <c:ext xmlns:c16="http://schemas.microsoft.com/office/drawing/2014/chart" uri="{C3380CC4-5D6E-409C-BE32-E72D297353CC}">
                <c16:uniqueId val="{0000000C-DB3D-45A9-A7FF-DDD7F6E9A7A6}"/>
              </c:ext>
            </c:extLst>
          </c:dPt>
          <c:dPt>
            <c:idx val="5"/>
            <c:bubble3D val="0"/>
            <c:extLst xmlns:c16r2="http://schemas.microsoft.com/office/drawing/2015/06/chart">
              <c:ext xmlns:c16="http://schemas.microsoft.com/office/drawing/2014/chart" uri="{C3380CC4-5D6E-409C-BE32-E72D297353CC}">
                <c16:uniqueId val="{0000000D-DB3D-45A9-A7FF-DDD7F6E9A7A6}"/>
              </c:ext>
            </c:extLst>
          </c:dPt>
          <c:val>
            <c:numRef>
              <c:f>'F-3'!$E$33:$E$88</c:f>
              <c:numCache>
                <c:formatCode>0.000</c:formatCode>
                <c:ptCount val="56"/>
                <c:pt idx="0">
                  <c:v>7.8989479518218247E-2</c:v>
                </c:pt>
                <c:pt idx="1">
                  <c:v>8.1199464095742274E-2</c:v>
                </c:pt>
                <c:pt idx="2">
                  <c:v>8.3180970305290119E-2</c:v>
                </c:pt>
                <c:pt idx="3">
                  <c:v>8.4699843262851141E-2</c:v>
                </c:pt>
                <c:pt idx="4">
                  <c:v>8.6036076453784915E-2</c:v>
                </c:pt>
                <c:pt idx="5">
                  <c:v>8.7343239886431404E-2</c:v>
                </c:pt>
                <c:pt idx="6">
                  <c:v>8.8448156715799003E-2</c:v>
                </c:pt>
                <c:pt idx="7">
                  <c:v>8.153302970705105E-2</c:v>
                </c:pt>
                <c:pt idx="8">
                  <c:v>7.9426378845157936E-2</c:v>
                </c:pt>
                <c:pt idx="9">
                  <c:v>7.2454336341204142E-2</c:v>
                </c:pt>
                <c:pt idx="10">
                  <c:v>6.5568941024082714E-2</c:v>
                </c:pt>
                <c:pt idx="11">
                  <c:v>6.7289153268485863E-2</c:v>
                </c:pt>
                <c:pt idx="12">
                  <c:v>6.9600404183633544E-2</c:v>
                </c:pt>
                <c:pt idx="13">
                  <c:v>7.3304543140487885E-2</c:v>
                </c:pt>
                <c:pt idx="14">
                  <c:v>7.0153054150191477E-2</c:v>
                </c:pt>
                <c:pt idx="15">
                  <c:v>6.7785973094478993E-2</c:v>
                </c:pt>
                <c:pt idx="16">
                  <c:v>6.8293424459802965E-2</c:v>
                </c:pt>
                <c:pt idx="17">
                  <c:v>7.1347738673522759E-2</c:v>
                </c:pt>
                <c:pt idx="18">
                  <c:v>7.2830273756297539E-2</c:v>
                </c:pt>
                <c:pt idx="19">
                  <c:v>7.2139807023017671E-2</c:v>
                </c:pt>
                <c:pt idx="20">
                  <c:v>6.7709847776369403E-2</c:v>
                </c:pt>
                <c:pt idx="21">
                  <c:v>6.7240971676688424E-2</c:v>
                </c:pt>
                <c:pt idx="22">
                  <c:v>6.5611154786142545E-2</c:v>
                </c:pt>
                <c:pt idx="23">
                  <c:v>6.6815370630912127E-2</c:v>
                </c:pt>
                <c:pt idx="24">
                  <c:v>7.2297376537959604E-2</c:v>
                </c:pt>
                <c:pt idx="25">
                  <c:v>7.0868369231104497E-2</c:v>
                </c:pt>
                <c:pt idx="26">
                  <c:v>6.6271363796234981E-2</c:v>
                </c:pt>
                <c:pt idx="27">
                  <c:v>7.0054384975182071E-2</c:v>
                </c:pt>
                <c:pt idx="28">
                  <c:v>8.7459750123910995E-2</c:v>
                </c:pt>
                <c:pt idx="29">
                  <c:v>8.2664002007293388E-2</c:v>
                </c:pt>
                <c:pt idx="30">
                  <c:v>8.3336941022029556E-2</c:v>
                </c:pt>
                <c:pt idx="31">
                  <c:v>7.7543395194042242E-2</c:v>
                </c:pt>
                <c:pt idx="32">
                  <c:v>7.9735921906976981E-2</c:v>
                </c:pt>
                <c:pt idx="33">
                  <c:v>7.2809681793638795E-2</c:v>
                </c:pt>
                <c:pt idx="34">
                  <c:v>7.3669655385035615E-2</c:v>
                </c:pt>
                <c:pt idx="35">
                  <c:v>7.7604961237693143E-2</c:v>
                </c:pt>
                <c:pt idx="36">
                  <c:v>8.1103190969653641E-2</c:v>
                </c:pt>
                <c:pt idx="37">
                  <c:v>8.5504586668831761E-2</c:v>
                </c:pt>
                <c:pt idx="38">
                  <c:v>8.6803083366503303E-2</c:v>
                </c:pt>
                <c:pt idx="39">
                  <c:v>9.06087050726571E-2</c:v>
                </c:pt>
                <c:pt idx="40">
                  <c:v>9.4509605359795038E-2</c:v>
                </c:pt>
                <c:pt idx="41">
                  <c:v>8.6020749470970284E-2</c:v>
                </c:pt>
                <c:pt idx="42">
                  <c:v>8.036672533413558E-2</c:v>
                </c:pt>
                <c:pt idx="43">
                  <c:v>8.3090076888733974E-2</c:v>
                </c:pt>
                <c:pt idx="44">
                  <c:v>8.9180091516531806E-2</c:v>
                </c:pt>
                <c:pt idx="45">
                  <c:v>9.5123410492338856E-2</c:v>
                </c:pt>
                <c:pt idx="46">
                  <c:v>9.8223339611121438E-2</c:v>
                </c:pt>
                <c:pt idx="47">
                  <c:v>9.4563324470752594E-2</c:v>
                </c:pt>
                <c:pt idx="48">
                  <c:v>8.4723553346400554E-2</c:v>
                </c:pt>
                <c:pt idx="49">
                  <c:v>7.7804968638845548E-2</c:v>
                </c:pt>
                <c:pt idx="50">
                  <c:v>8.5720370581185562E-2</c:v>
                </c:pt>
                <c:pt idx="51">
                  <c:v>8.1359490192568745E-2</c:v>
                </c:pt>
                <c:pt idx="52">
                  <c:v>9.3432484478077574E-2</c:v>
                </c:pt>
                <c:pt idx="53">
                  <c:v>8.280797718239509E-2</c:v>
                </c:pt>
                <c:pt idx="54">
                  <c:v>8.6381387551909522E-2</c:v>
                </c:pt>
                <c:pt idx="55">
                  <c:v>8.5472598105556033E-2</c:v>
                </c:pt>
              </c:numCache>
            </c:numRef>
          </c:val>
          <c:smooth val="0"/>
          <c:extLst xmlns:c16r2="http://schemas.microsoft.com/office/drawing/2015/06/chart">
            <c:ext xmlns:c16="http://schemas.microsoft.com/office/drawing/2014/chart" uri="{C3380CC4-5D6E-409C-BE32-E72D297353CC}">
              <c16:uniqueId val="{0000000E-DB3D-45A9-A7FF-DDD7F6E9A7A6}"/>
            </c:ext>
          </c:extLst>
        </c:ser>
        <c:dLbls>
          <c:showLegendKey val="0"/>
          <c:showVal val="0"/>
          <c:showCatName val="0"/>
          <c:showSerName val="0"/>
          <c:showPercent val="0"/>
          <c:showBubbleSize val="0"/>
        </c:dLbls>
        <c:smooth val="0"/>
        <c:axId val="512033024"/>
        <c:axId val="512025576"/>
      </c:lineChart>
      <c:catAx>
        <c:axId val="512033024"/>
        <c:scaling>
          <c:orientation val="minMax"/>
        </c:scaling>
        <c:delete val="0"/>
        <c:axPos val="b"/>
        <c:majorGridlines>
          <c:spPr>
            <a:ln w="6350">
              <a:solidFill>
                <a:schemeClr val="tx1">
                  <a:lumMod val="50000"/>
                  <a:lumOff val="50000"/>
                </a:schemeClr>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512025576"/>
        <c:crossesAt val="0"/>
        <c:auto val="1"/>
        <c:lblAlgn val="ctr"/>
        <c:lblOffset val="100"/>
        <c:tickLblSkip val="10"/>
        <c:tickMarkSkip val="10"/>
        <c:noMultiLvlLbl val="0"/>
      </c:catAx>
      <c:valAx>
        <c:axId val="512025576"/>
        <c:scaling>
          <c:orientation val="minMax"/>
          <c:max val="0.22000000000000003"/>
          <c:min val="0"/>
        </c:scaling>
        <c:delete val="0"/>
        <c:axPos val="l"/>
        <c:majorGridlines>
          <c:spPr>
            <a:ln w="6350">
              <a:solidFill>
                <a:schemeClr val="tx1">
                  <a:lumMod val="50000"/>
                  <a:lumOff val="50000"/>
                </a:schemeClr>
              </a:solidFill>
              <a:prstDash val="sysDash"/>
            </a:ln>
          </c:spPr>
        </c:majorGridlines>
        <c:title>
          <c:tx>
            <c:rich>
              <a:bodyPr/>
              <a:lstStyle/>
              <a:p>
                <a:pPr>
                  <a:defRPr sz="1200" b="0" i="0" u="none" strike="noStrike" baseline="0">
                    <a:solidFill>
                      <a:srgbClr val="000000"/>
                    </a:solidFill>
                    <a:latin typeface="Arial"/>
                    <a:ea typeface="Arial"/>
                    <a:cs typeface="Arial"/>
                  </a:defRPr>
                </a:pPr>
                <a:r>
                  <a:rPr lang="en-US" sz="1200" b="0"/>
                  <a:t>Top 1% Income Share</a:t>
                </a:r>
              </a:p>
            </c:rich>
          </c:tx>
          <c:layout>
            <c:manualLayout>
              <c:xMode val="edge"/>
              <c:yMode val="edge"/>
              <c:x val="9.2478781828425616E-4"/>
              <c:y val="0.342624671916010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512033024"/>
        <c:crosses val="autoZero"/>
        <c:crossBetween val="midCat"/>
        <c:majorUnit val="0.05"/>
        <c:minorUnit val="0.05"/>
      </c:valAx>
      <c:spPr>
        <a:solidFill>
          <a:srgbClr val="FFFFFF"/>
        </a:solidFill>
        <a:ln w="3175">
          <a:noFill/>
          <a:prstDash val="solid"/>
        </a:ln>
      </c:spPr>
    </c:plotArea>
    <c:plotVisOnly val="1"/>
    <c:dispBlanksAs val="span"/>
    <c:showDLblsOverMax val="0"/>
  </c:chart>
  <c:spPr>
    <a:solidFill>
      <a:schemeClr val="bg1"/>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866" r="0.75000000000000866" t="1" header="0.5" footer="0.5"/>
    <c:pageSetup orientation="landscape" verticalDpi="96"/>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03975808784347"/>
          <c:y val="1.8568512269299675E-2"/>
          <c:w val="0.68577881746083225"/>
          <c:h val="0.92738386868308131"/>
        </c:manualLayout>
      </c:layout>
      <c:lineChart>
        <c:grouping val="standard"/>
        <c:varyColors val="0"/>
        <c:ser>
          <c:idx val="0"/>
          <c:order val="0"/>
          <c:tx>
            <c:v>Piketty-Saez (with capital gains)</c:v>
          </c:tx>
          <c:spPr>
            <a:ln w="25400">
              <a:solidFill>
                <a:schemeClr val="accent1"/>
              </a:solidFill>
              <a:prstDash val="solid"/>
            </a:ln>
          </c:spPr>
          <c:marker>
            <c:symbol val="none"/>
          </c:marker>
          <c:dPt>
            <c:idx val="54"/>
            <c:bubble3D val="0"/>
            <c:spPr>
              <a:ln w="25400">
                <a:solidFill>
                  <a:schemeClr val="accent1"/>
                </a:solidFill>
                <a:prstDash val="solid"/>
              </a:ln>
            </c:spPr>
            <c:extLst xmlns:c16r2="http://schemas.microsoft.com/office/drawing/2015/06/chart">
              <c:ext xmlns:c16="http://schemas.microsoft.com/office/drawing/2014/chart" uri="{C3380CC4-5D6E-409C-BE32-E72D297353CC}">
                <c16:uniqueId val="{00000001-E26B-4152-8E64-A19063CCADFE}"/>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'F-3'!$B$33:$B$88</c:f>
              <c:numCache>
                <c:formatCode>0.000</c:formatCode>
                <c:ptCount val="56"/>
                <c:pt idx="0">
                  <c:v>9.0105832408147998E-2</c:v>
                </c:pt>
                <c:pt idx="1">
                  <c:v>9.2444206572269622E-2</c:v>
                </c:pt>
                <c:pt idx="2">
                  <c:v>8.9177964232870735E-2</c:v>
                </c:pt>
                <c:pt idx="3">
                  <c:v>8.8607620182328192E-2</c:v>
                </c:pt>
                <c:pt idx="4">
                  <c:v>9.1037087301424735E-2</c:v>
                </c:pt>
                <c:pt idx="5">
                  <c:v>9.3038000414193717E-2</c:v>
                </c:pt>
                <c:pt idx="6">
                  <c:v>9.4211121977307091E-2</c:v>
                </c:pt>
                <c:pt idx="7">
                  <c:v>9.83155222315856E-2</c:v>
                </c:pt>
                <c:pt idx="8">
                  <c:v>0.10071040556088344</c:v>
                </c:pt>
                <c:pt idx="9">
                  <c:v>9.4004230313392861E-2</c:v>
                </c:pt>
                <c:pt idx="10">
                  <c:v>8.4378963453325906E-2</c:v>
                </c:pt>
                <c:pt idx="11">
                  <c:v>8.6532162950564581E-2</c:v>
                </c:pt>
                <c:pt idx="12">
                  <c:v>8.7008334911934548E-2</c:v>
                </c:pt>
                <c:pt idx="13">
                  <c:v>8.3408372023335953E-2</c:v>
                </c:pt>
                <c:pt idx="14">
                  <c:v>8.5290385295910306E-2</c:v>
                </c:pt>
                <c:pt idx="15">
                  <c:v>8.3664366142884583E-2</c:v>
                </c:pt>
                <c:pt idx="16">
                  <c:v>8.3258655587151509E-2</c:v>
                </c:pt>
                <c:pt idx="17">
                  <c:v>8.3637714427930984E-2</c:v>
                </c:pt>
                <c:pt idx="18">
                  <c:v>8.3597660274637844E-2</c:v>
                </c:pt>
                <c:pt idx="19">
                  <c:v>8.9960423031537951E-2</c:v>
                </c:pt>
                <c:pt idx="20">
                  <c:v>9.1534435937670189E-2</c:v>
                </c:pt>
                <c:pt idx="21">
                  <c:v>8.9310266913414246E-2</c:v>
                </c:pt>
                <c:pt idx="22">
                  <c:v>9.7572076572603694E-2</c:v>
                </c:pt>
                <c:pt idx="23">
                  <c:v>0.10282245251280001</c:v>
                </c:pt>
                <c:pt idx="24">
                  <c:v>0.10629430295039832</c:v>
                </c:pt>
                <c:pt idx="25">
                  <c:v>0.11093374495182488</c:v>
                </c:pt>
                <c:pt idx="26">
                  <c:v>0.1314262208412354</c:v>
                </c:pt>
                <c:pt idx="27">
                  <c:v>0.11750102422462874</c:v>
                </c:pt>
                <c:pt idx="28">
                  <c:v>0.14653249100073071</c:v>
                </c:pt>
                <c:pt idx="29">
                  <c:v>0.1381328299421444</c:v>
                </c:pt>
                <c:pt idx="30">
                  <c:v>0.13809777272165719</c:v>
                </c:pt>
                <c:pt idx="31">
                  <c:v>0.1271712014755865</c:v>
                </c:pt>
                <c:pt idx="32">
                  <c:v>0.14224378100303567</c:v>
                </c:pt>
                <c:pt idx="33">
                  <c:v>0.13684379989648174</c:v>
                </c:pt>
                <c:pt idx="34">
                  <c:v>0.1364511900969064</c:v>
                </c:pt>
                <c:pt idx="35">
                  <c:v>0.14617000000000002</c:v>
                </c:pt>
                <c:pt idx="36">
                  <c:v>0.15836</c:v>
                </c:pt>
                <c:pt idx="37">
                  <c:v>0.16985</c:v>
                </c:pt>
                <c:pt idx="38">
                  <c:v>0.17693999999999999</c:v>
                </c:pt>
                <c:pt idx="39">
                  <c:v>0.18365999999999999</c:v>
                </c:pt>
                <c:pt idx="40">
                  <c:v>0.19295000000000001</c:v>
                </c:pt>
                <c:pt idx="41">
                  <c:v>0.16760000000000003</c:v>
                </c:pt>
                <c:pt idx="42">
                  <c:v>0.15912999999999999</c:v>
                </c:pt>
                <c:pt idx="43">
                  <c:v>0.16390999999999997</c:v>
                </c:pt>
                <c:pt idx="44">
                  <c:v>0.18118999999999999</c:v>
                </c:pt>
                <c:pt idx="45">
                  <c:v>0.20036999999999999</c:v>
                </c:pt>
                <c:pt idx="46">
                  <c:v>0.20864000000000002</c:v>
                </c:pt>
                <c:pt idx="47">
                  <c:v>0.21513000000000002</c:v>
                </c:pt>
                <c:pt idx="48">
                  <c:v>0.19574000000000003</c:v>
                </c:pt>
                <c:pt idx="49">
                  <c:v>0.17478000000000002</c:v>
                </c:pt>
                <c:pt idx="50">
                  <c:v>0.18827000000000002</c:v>
                </c:pt>
                <c:pt idx="51">
                  <c:v>0.18845999999999999</c:v>
                </c:pt>
                <c:pt idx="52">
                  <c:v>0.2122</c:v>
                </c:pt>
                <c:pt idx="53">
                  <c:v>0.18920000000000001</c:v>
                </c:pt>
                <c:pt idx="54">
                  <c:v>0.20019999999999999</c:v>
                </c:pt>
                <c:pt idx="55">
                  <c:v>0.20309999999999997</c:v>
                </c:pt>
              </c:numCache>
            </c:numRef>
          </c:val>
          <c:smooth val="0"/>
          <c:extLst xmlns:c16r2="http://schemas.microsoft.com/office/drawing/2015/06/chart">
            <c:ext xmlns:c16="http://schemas.microsoft.com/office/drawing/2014/chart" uri="{C3380CC4-5D6E-409C-BE32-E72D297353CC}">
              <c16:uniqueId val="{00000002-E26B-4152-8E64-A19063CCADFE}"/>
            </c:ext>
          </c:extLst>
        </c:ser>
        <c:ser>
          <c:idx val="1"/>
          <c:order val="1"/>
          <c:tx>
            <c:v>Consistent market income</c:v>
          </c:tx>
          <c:spPr>
            <a:ln w="25400">
              <a:solidFill>
                <a:schemeClr val="accent3">
                  <a:lumMod val="75000"/>
                </a:schemeClr>
              </a:solidFill>
              <a:prstDash val="solid"/>
            </a:ln>
          </c:spPr>
          <c:marker>
            <c:symbol val="none"/>
          </c:marker>
          <c:dPt>
            <c:idx val="1"/>
            <c:bubble3D val="0"/>
            <c:extLst xmlns:c16r2="http://schemas.microsoft.com/office/drawing/2015/06/chart">
              <c:ext xmlns:c16="http://schemas.microsoft.com/office/drawing/2014/chart" uri="{C3380CC4-5D6E-409C-BE32-E72D297353CC}">
                <c16:uniqueId val="{00000003-E26B-4152-8E64-A19063CCADFE}"/>
              </c:ext>
            </c:extLst>
          </c:dPt>
          <c:dPt>
            <c:idx val="3"/>
            <c:bubble3D val="0"/>
            <c:extLst xmlns:c16r2="http://schemas.microsoft.com/office/drawing/2015/06/chart">
              <c:ext xmlns:c16="http://schemas.microsoft.com/office/drawing/2014/chart" uri="{C3380CC4-5D6E-409C-BE32-E72D297353CC}">
                <c16:uniqueId val="{00000004-E26B-4152-8E64-A19063CCADFE}"/>
              </c:ext>
            </c:extLst>
          </c:dPt>
          <c:dPt>
            <c:idx val="5"/>
            <c:bubble3D val="0"/>
            <c:extLst xmlns:c16r2="http://schemas.microsoft.com/office/drawing/2015/06/chart">
              <c:ext xmlns:c16="http://schemas.microsoft.com/office/drawing/2014/chart" uri="{C3380CC4-5D6E-409C-BE32-E72D297353CC}">
                <c16:uniqueId val="{00000005-E26B-4152-8E64-A19063CCADFE}"/>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'F-3'!$C$33:$C$88</c:f>
              <c:numCache>
                <c:formatCode>0.000</c:formatCode>
                <c:ptCount val="56"/>
                <c:pt idx="0">
                  <c:v>0.1103860864630547</c:v>
                </c:pt>
                <c:pt idx="1">
                  <c:v>0.11081719513306594</c:v>
                </c:pt>
                <c:pt idx="2">
                  <c:v>0.11120373480640794</c:v>
                </c:pt>
                <c:pt idx="3">
                  <c:v>0.11305834004238841</c:v>
                </c:pt>
                <c:pt idx="4">
                  <c:v>0.1146899307735081</c:v>
                </c:pt>
                <c:pt idx="5">
                  <c:v>0.11494324669163405</c:v>
                </c:pt>
                <c:pt idx="6">
                  <c:v>0.11515736868552763</c:v>
                </c:pt>
                <c:pt idx="7">
                  <c:v>0.11224971747213815</c:v>
                </c:pt>
                <c:pt idx="8">
                  <c:v>0.11145129761914908</c:v>
                </c:pt>
                <c:pt idx="9">
                  <c:v>0.10106026471086935</c:v>
                </c:pt>
                <c:pt idx="10">
                  <c:v>9.3299155800116204E-2</c:v>
                </c:pt>
                <c:pt idx="11">
                  <c:v>9.6309616480635699E-2</c:v>
                </c:pt>
                <c:pt idx="12">
                  <c:v>9.8115968640821435E-2</c:v>
                </c:pt>
                <c:pt idx="13">
                  <c:v>9.7143648904541954E-2</c:v>
                </c:pt>
                <c:pt idx="14">
                  <c:v>9.3850207684448211E-2</c:v>
                </c:pt>
                <c:pt idx="15">
                  <c:v>9.4064651760773887E-2</c:v>
                </c:pt>
                <c:pt idx="16">
                  <c:v>9.4291204392316835E-2</c:v>
                </c:pt>
                <c:pt idx="17">
                  <c:v>9.4899274095405453E-2</c:v>
                </c:pt>
                <c:pt idx="18">
                  <c:v>9.3930708108198674E-2</c:v>
                </c:pt>
                <c:pt idx="19">
                  <c:v>9.4899986792237198E-2</c:v>
                </c:pt>
                <c:pt idx="20">
                  <c:v>9.261465973160031E-2</c:v>
                </c:pt>
                <c:pt idx="21">
                  <c:v>8.9262196264253163E-2</c:v>
                </c:pt>
                <c:pt idx="22">
                  <c:v>9.0401597762518424E-2</c:v>
                </c:pt>
                <c:pt idx="23">
                  <c:v>9.2487534110957156E-2</c:v>
                </c:pt>
                <c:pt idx="24">
                  <c:v>9.5430599975374134E-2</c:v>
                </c:pt>
                <c:pt idx="25">
                  <c:v>9.5622856413381044E-2</c:v>
                </c:pt>
                <c:pt idx="26">
                  <c:v>9.2931372728020101E-2</c:v>
                </c:pt>
                <c:pt idx="27">
                  <c:v>9.6691378643522452E-2</c:v>
                </c:pt>
                <c:pt idx="28">
                  <c:v>0.11618417948029981</c:v>
                </c:pt>
                <c:pt idx="29">
                  <c:v>0.11126510038595104</c:v>
                </c:pt>
                <c:pt idx="30">
                  <c:v>0.11287840931465051</c:v>
                </c:pt>
                <c:pt idx="31">
                  <c:v>0.10924309169780609</c:v>
                </c:pt>
                <c:pt idx="32">
                  <c:v>0.11597736769774794</c:v>
                </c:pt>
                <c:pt idx="33">
                  <c:v>0.10954075171346821</c:v>
                </c:pt>
                <c:pt idx="34">
                  <c:v>0.10947565686902427</c:v>
                </c:pt>
                <c:pt idx="35">
                  <c:v>0.11512130249241838</c:v>
                </c:pt>
                <c:pt idx="36">
                  <c:v>0.11931018728926303</c:v>
                </c:pt>
                <c:pt idx="37">
                  <c:v>0.12490294670435617</c:v>
                </c:pt>
                <c:pt idx="38">
                  <c:v>0.12637675646198396</c:v>
                </c:pt>
                <c:pt idx="39">
                  <c:v>0.13162035713692485</c:v>
                </c:pt>
                <c:pt idx="40">
                  <c:v>0.13670178501652119</c:v>
                </c:pt>
                <c:pt idx="41">
                  <c:v>0.12713426863166885</c:v>
                </c:pt>
                <c:pt idx="42">
                  <c:v>0.12068197568424517</c:v>
                </c:pt>
                <c:pt idx="43">
                  <c:v>0.12377478129489432</c:v>
                </c:pt>
                <c:pt idx="44">
                  <c:v>0.13260924234253701</c:v>
                </c:pt>
                <c:pt idx="45">
                  <c:v>0.14257478164468423</c:v>
                </c:pt>
                <c:pt idx="46">
                  <c:v>0.14696344047345955</c:v>
                </c:pt>
                <c:pt idx="47">
                  <c:v>0.14610594510750965</c:v>
                </c:pt>
                <c:pt idx="48">
                  <c:v>0.13955021491106612</c:v>
                </c:pt>
                <c:pt idx="49">
                  <c:v>0.13091121874891942</c:v>
                </c:pt>
                <c:pt idx="50">
                  <c:v>0.14296488171438282</c:v>
                </c:pt>
                <c:pt idx="51">
                  <c:v>0.13842295139515765</c:v>
                </c:pt>
                <c:pt idx="52">
                  <c:v>0.15229122380983121</c:v>
                </c:pt>
                <c:pt idx="53">
                  <c:v>0.13896760061229452</c:v>
                </c:pt>
                <c:pt idx="54">
                  <c:v>0.14277984870529348</c:v>
                </c:pt>
                <c:pt idx="55">
                  <c:v>0.14118367565625728</c:v>
                </c:pt>
              </c:numCache>
            </c:numRef>
          </c:val>
          <c:smooth val="0"/>
          <c:extLst xmlns:c16r2="http://schemas.microsoft.com/office/drawing/2015/06/chart">
            <c:ext xmlns:c16="http://schemas.microsoft.com/office/drawing/2014/chart" uri="{C3380CC4-5D6E-409C-BE32-E72D297353CC}">
              <c16:uniqueId val="{00000006-E26B-4152-8E64-A19063CCADFE}"/>
            </c:ext>
          </c:extLst>
        </c:ser>
        <c:ser>
          <c:idx val="2"/>
          <c:order val="2"/>
          <c:tx>
            <c:v>Pre-tax income</c:v>
          </c:tx>
          <c:spPr>
            <a:ln w="22225">
              <a:solidFill>
                <a:schemeClr val="tx1"/>
              </a:solidFill>
              <a:prstDash val="sysDash"/>
            </a:ln>
          </c:spPr>
          <c:marker>
            <c:symbol val="none"/>
          </c:marker>
          <c:dPt>
            <c:idx val="1"/>
            <c:bubble3D val="0"/>
            <c:extLst xmlns:c16r2="http://schemas.microsoft.com/office/drawing/2015/06/chart">
              <c:ext xmlns:c16="http://schemas.microsoft.com/office/drawing/2014/chart" uri="{C3380CC4-5D6E-409C-BE32-E72D297353CC}">
                <c16:uniqueId val="{00000007-E26B-4152-8E64-A19063CCADFE}"/>
              </c:ext>
            </c:extLst>
          </c:dPt>
          <c:dPt>
            <c:idx val="3"/>
            <c:bubble3D val="0"/>
            <c:extLst xmlns:c16r2="http://schemas.microsoft.com/office/drawing/2015/06/chart">
              <c:ext xmlns:c16="http://schemas.microsoft.com/office/drawing/2014/chart" uri="{C3380CC4-5D6E-409C-BE32-E72D297353CC}">
                <c16:uniqueId val="{00000008-E26B-4152-8E64-A19063CCADFE}"/>
              </c:ext>
            </c:extLst>
          </c:dPt>
          <c:dPt>
            <c:idx val="5"/>
            <c:bubble3D val="0"/>
            <c:extLst xmlns:c16r2="http://schemas.microsoft.com/office/drawing/2015/06/chart">
              <c:ext xmlns:c16="http://schemas.microsoft.com/office/drawing/2014/chart" uri="{C3380CC4-5D6E-409C-BE32-E72D297353CC}">
                <c16:uniqueId val="{00000009-E26B-4152-8E64-A19063CCADFE}"/>
              </c:ext>
            </c:extLst>
          </c:dPt>
          <c:val>
            <c:numRef>
              <c:f>'F-3'!$D$33:$D$88</c:f>
              <c:numCache>
                <c:formatCode>0.000</c:formatCode>
                <c:ptCount val="56"/>
                <c:pt idx="0">
                  <c:v>0.10547561256553753</c:v>
                </c:pt>
                <c:pt idx="1">
                  <c:v>0.10574892929572076</c:v>
                </c:pt>
                <c:pt idx="2">
                  <c:v>0.10599329544961571</c:v>
                </c:pt>
                <c:pt idx="3">
                  <c:v>0.10787582966725633</c:v>
                </c:pt>
                <c:pt idx="4">
                  <c:v>0.10953579287619661</c:v>
                </c:pt>
                <c:pt idx="5">
                  <c:v>0.10979524163767666</c:v>
                </c:pt>
                <c:pt idx="6">
                  <c:v>0.11001450916324675</c:v>
                </c:pt>
                <c:pt idx="7">
                  <c:v>0.10666714511172948</c:v>
                </c:pt>
                <c:pt idx="8">
                  <c:v>0.105470357862509</c:v>
                </c:pt>
                <c:pt idx="9">
                  <c:v>9.5507100877327486E-2</c:v>
                </c:pt>
                <c:pt idx="10">
                  <c:v>8.742571198859439E-2</c:v>
                </c:pt>
                <c:pt idx="11">
                  <c:v>8.960980370049855E-2</c:v>
                </c:pt>
                <c:pt idx="12">
                  <c:v>9.1278796098654649E-2</c:v>
                </c:pt>
                <c:pt idx="13">
                  <c:v>9.033291392156774E-2</c:v>
                </c:pt>
                <c:pt idx="14">
                  <c:v>8.6511865633795648E-2</c:v>
                </c:pt>
                <c:pt idx="15">
                  <c:v>8.5442158826000994E-2</c:v>
                </c:pt>
                <c:pt idx="16">
                  <c:v>8.5926386415201478E-2</c:v>
                </c:pt>
                <c:pt idx="17">
                  <c:v>8.6809827305294684E-2</c:v>
                </c:pt>
                <c:pt idx="18">
                  <c:v>8.6304517369871839E-2</c:v>
                </c:pt>
                <c:pt idx="19">
                  <c:v>8.6903574030698996E-2</c:v>
                </c:pt>
                <c:pt idx="20">
                  <c:v>8.4047989673063372E-2</c:v>
                </c:pt>
                <c:pt idx="21">
                  <c:v>8.0968223140013368E-2</c:v>
                </c:pt>
                <c:pt idx="22">
                  <c:v>8.1431776540895423E-2</c:v>
                </c:pt>
                <c:pt idx="23">
                  <c:v>8.3266688648198986E-2</c:v>
                </c:pt>
                <c:pt idx="24">
                  <c:v>8.6710232120910974E-2</c:v>
                </c:pt>
                <c:pt idx="25">
                  <c:v>8.7272923610391115E-2</c:v>
                </c:pt>
                <c:pt idx="26">
                  <c:v>8.4532499321062451E-2</c:v>
                </c:pt>
                <c:pt idx="27">
                  <c:v>8.8118347589807716E-2</c:v>
                </c:pt>
                <c:pt idx="28">
                  <c:v>0.10586704503713266</c:v>
                </c:pt>
                <c:pt idx="29">
                  <c:v>0.10133937109209022</c:v>
                </c:pt>
                <c:pt idx="30">
                  <c:v>0.10216340310442139</c:v>
                </c:pt>
                <c:pt idx="31">
                  <c:v>9.7937989104130208E-2</c:v>
                </c:pt>
                <c:pt idx="32">
                  <c:v>0.10321475471347732</c:v>
                </c:pt>
                <c:pt idx="33">
                  <c:v>9.7294801851661686E-2</c:v>
                </c:pt>
                <c:pt idx="34">
                  <c:v>9.7496605700246583E-2</c:v>
                </c:pt>
                <c:pt idx="35">
                  <c:v>0.10248804676769482</c:v>
                </c:pt>
                <c:pt idx="36">
                  <c:v>0.10636785657879491</c:v>
                </c:pt>
                <c:pt idx="37">
                  <c:v>0.11178826593549564</c:v>
                </c:pt>
                <c:pt idx="38">
                  <c:v>0.1134947367984665</c:v>
                </c:pt>
                <c:pt idx="39">
                  <c:v>0.11841283354898033</c:v>
                </c:pt>
                <c:pt idx="40">
                  <c:v>0.12324734072667641</c:v>
                </c:pt>
                <c:pt idx="41">
                  <c:v>0.11389875547142124</c:v>
                </c:pt>
                <c:pt idx="42">
                  <c:v>0.10745535683987288</c:v>
                </c:pt>
                <c:pt idx="43">
                  <c:v>0.11008174195775861</c:v>
                </c:pt>
                <c:pt idx="44">
                  <c:v>0.11794330030636968</c:v>
                </c:pt>
                <c:pt idx="45">
                  <c:v>0.12686541570563556</c:v>
                </c:pt>
                <c:pt idx="46">
                  <c:v>0.13083180114309842</c:v>
                </c:pt>
                <c:pt idx="47">
                  <c:v>0.12947409854791339</c:v>
                </c:pt>
                <c:pt idx="48">
                  <c:v>0.1212739988736156</c:v>
                </c:pt>
                <c:pt idx="49">
                  <c:v>0.1127544427547378</c:v>
                </c:pt>
                <c:pt idx="50">
                  <c:v>0.12244289272562482</c:v>
                </c:pt>
                <c:pt idx="51">
                  <c:v>0.1191544734605352</c:v>
                </c:pt>
                <c:pt idx="52">
                  <c:v>0.13192084270089083</c:v>
                </c:pt>
                <c:pt idx="53">
                  <c:v>0.1205447789407159</c:v>
                </c:pt>
                <c:pt idx="54">
                  <c:v>0.12383528715122835</c:v>
                </c:pt>
                <c:pt idx="55">
                  <c:v>0.12226367697635226</c:v>
                </c:pt>
              </c:numCache>
            </c:numRef>
          </c:val>
          <c:smooth val="0"/>
          <c:extLst xmlns:c16r2="http://schemas.microsoft.com/office/drawing/2015/06/chart">
            <c:ext xmlns:c16="http://schemas.microsoft.com/office/drawing/2014/chart" uri="{C3380CC4-5D6E-409C-BE32-E72D297353CC}">
              <c16:uniqueId val="{0000000A-E26B-4152-8E64-A19063CCADFE}"/>
            </c:ext>
          </c:extLst>
        </c:ser>
        <c:ser>
          <c:idx val="3"/>
          <c:order val="3"/>
          <c:tx>
            <c:v>After-tax income</c:v>
          </c:tx>
          <c:spPr>
            <a:ln w="25400">
              <a:solidFill>
                <a:schemeClr val="accent2">
                  <a:lumMod val="75000"/>
                </a:schemeClr>
              </a:solidFill>
            </a:ln>
          </c:spPr>
          <c:marker>
            <c:symbol val="none"/>
          </c:marker>
          <c:dPt>
            <c:idx val="1"/>
            <c:bubble3D val="0"/>
            <c:extLst xmlns:c16r2="http://schemas.microsoft.com/office/drawing/2015/06/chart">
              <c:ext xmlns:c16="http://schemas.microsoft.com/office/drawing/2014/chart" uri="{C3380CC4-5D6E-409C-BE32-E72D297353CC}">
                <c16:uniqueId val="{0000000B-E26B-4152-8E64-A19063CCADFE}"/>
              </c:ext>
            </c:extLst>
          </c:dPt>
          <c:dPt>
            <c:idx val="3"/>
            <c:bubble3D val="0"/>
            <c:extLst xmlns:c16r2="http://schemas.microsoft.com/office/drawing/2015/06/chart">
              <c:ext xmlns:c16="http://schemas.microsoft.com/office/drawing/2014/chart" uri="{C3380CC4-5D6E-409C-BE32-E72D297353CC}">
                <c16:uniqueId val="{0000000C-E26B-4152-8E64-A19063CCADFE}"/>
              </c:ext>
            </c:extLst>
          </c:dPt>
          <c:dPt>
            <c:idx val="5"/>
            <c:bubble3D val="0"/>
            <c:extLst xmlns:c16r2="http://schemas.microsoft.com/office/drawing/2015/06/chart">
              <c:ext xmlns:c16="http://schemas.microsoft.com/office/drawing/2014/chart" uri="{C3380CC4-5D6E-409C-BE32-E72D297353CC}">
                <c16:uniqueId val="{0000000D-E26B-4152-8E64-A19063CCADFE}"/>
              </c:ext>
            </c:extLst>
          </c:dPt>
          <c:val>
            <c:numRef>
              <c:f>'F-3'!$E$33:$E$88</c:f>
              <c:numCache>
                <c:formatCode>0.000</c:formatCode>
                <c:ptCount val="56"/>
                <c:pt idx="0">
                  <c:v>7.8989479518218247E-2</c:v>
                </c:pt>
                <c:pt idx="1">
                  <c:v>8.1199464095742274E-2</c:v>
                </c:pt>
                <c:pt idx="2">
                  <c:v>8.3180970305290119E-2</c:v>
                </c:pt>
                <c:pt idx="3">
                  <c:v>8.4699843262851141E-2</c:v>
                </c:pt>
                <c:pt idx="4">
                  <c:v>8.6036076453784915E-2</c:v>
                </c:pt>
                <c:pt idx="5">
                  <c:v>8.7343239886431404E-2</c:v>
                </c:pt>
                <c:pt idx="6">
                  <c:v>8.8448156715799003E-2</c:v>
                </c:pt>
                <c:pt idx="7">
                  <c:v>8.153302970705105E-2</c:v>
                </c:pt>
                <c:pt idx="8">
                  <c:v>7.9426378845157936E-2</c:v>
                </c:pt>
                <c:pt idx="9">
                  <c:v>7.2454336341204142E-2</c:v>
                </c:pt>
                <c:pt idx="10">
                  <c:v>6.5568941024082714E-2</c:v>
                </c:pt>
                <c:pt idx="11">
                  <c:v>6.7289153268485863E-2</c:v>
                </c:pt>
                <c:pt idx="12">
                  <c:v>6.9600404183633544E-2</c:v>
                </c:pt>
                <c:pt idx="13">
                  <c:v>7.3304543140487885E-2</c:v>
                </c:pt>
                <c:pt idx="14">
                  <c:v>7.0153054150191477E-2</c:v>
                </c:pt>
                <c:pt idx="15">
                  <c:v>6.7785973094478993E-2</c:v>
                </c:pt>
                <c:pt idx="16">
                  <c:v>6.8293424459802965E-2</c:v>
                </c:pt>
                <c:pt idx="17">
                  <c:v>7.1347738673522759E-2</c:v>
                </c:pt>
                <c:pt idx="18">
                  <c:v>7.2830273756297539E-2</c:v>
                </c:pt>
                <c:pt idx="19">
                  <c:v>7.2139807023017671E-2</c:v>
                </c:pt>
                <c:pt idx="20">
                  <c:v>6.7709847776369403E-2</c:v>
                </c:pt>
                <c:pt idx="21">
                  <c:v>6.7240971676688424E-2</c:v>
                </c:pt>
                <c:pt idx="22">
                  <c:v>6.5611154786142545E-2</c:v>
                </c:pt>
                <c:pt idx="23">
                  <c:v>6.6815370630912127E-2</c:v>
                </c:pt>
                <c:pt idx="24">
                  <c:v>7.2297376537959604E-2</c:v>
                </c:pt>
                <c:pt idx="25">
                  <c:v>7.0868369231104497E-2</c:v>
                </c:pt>
                <c:pt idx="26">
                  <c:v>6.6271363796234981E-2</c:v>
                </c:pt>
                <c:pt idx="27">
                  <c:v>7.0054384975182071E-2</c:v>
                </c:pt>
                <c:pt idx="28">
                  <c:v>8.7459750123910995E-2</c:v>
                </c:pt>
                <c:pt idx="29">
                  <c:v>8.2664002007293388E-2</c:v>
                </c:pt>
                <c:pt idx="30">
                  <c:v>8.3336941022029556E-2</c:v>
                </c:pt>
                <c:pt idx="31">
                  <c:v>7.7543395194042242E-2</c:v>
                </c:pt>
                <c:pt idx="32">
                  <c:v>7.9735921906976981E-2</c:v>
                </c:pt>
                <c:pt idx="33">
                  <c:v>7.2809681793638795E-2</c:v>
                </c:pt>
                <c:pt idx="34">
                  <c:v>7.3669655385035615E-2</c:v>
                </c:pt>
                <c:pt idx="35">
                  <c:v>7.7604961237693143E-2</c:v>
                </c:pt>
                <c:pt idx="36">
                  <c:v>8.1103190969653641E-2</c:v>
                </c:pt>
                <c:pt idx="37">
                  <c:v>8.5504586668831761E-2</c:v>
                </c:pt>
                <c:pt idx="38">
                  <c:v>8.6803083366503303E-2</c:v>
                </c:pt>
                <c:pt idx="39">
                  <c:v>9.06087050726571E-2</c:v>
                </c:pt>
                <c:pt idx="40">
                  <c:v>9.4509605359795038E-2</c:v>
                </c:pt>
                <c:pt idx="41">
                  <c:v>8.6020749470970284E-2</c:v>
                </c:pt>
                <c:pt idx="42">
                  <c:v>8.036672533413558E-2</c:v>
                </c:pt>
                <c:pt idx="43">
                  <c:v>8.3090076888733974E-2</c:v>
                </c:pt>
                <c:pt idx="44">
                  <c:v>8.9180091516531806E-2</c:v>
                </c:pt>
                <c:pt idx="45">
                  <c:v>9.5123410492338856E-2</c:v>
                </c:pt>
                <c:pt idx="46">
                  <c:v>9.8223339611121438E-2</c:v>
                </c:pt>
                <c:pt idx="47">
                  <c:v>9.4563324470752594E-2</c:v>
                </c:pt>
                <c:pt idx="48">
                  <c:v>8.4723553346400554E-2</c:v>
                </c:pt>
                <c:pt idx="49">
                  <c:v>7.7804968638845548E-2</c:v>
                </c:pt>
                <c:pt idx="50">
                  <c:v>8.5720370581185562E-2</c:v>
                </c:pt>
                <c:pt idx="51">
                  <c:v>8.1359490192568745E-2</c:v>
                </c:pt>
                <c:pt idx="52">
                  <c:v>9.3432484478077574E-2</c:v>
                </c:pt>
                <c:pt idx="53">
                  <c:v>8.280797718239509E-2</c:v>
                </c:pt>
                <c:pt idx="54">
                  <c:v>8.6381387551909522E-2</c:v>
                </c:pt>
                <c:pt idx="55">
                  <c:v>8.5472598105556033E-2</c:v>
                </c:pt>
              </c:numCache>
            </c:numRef>
          </c:val>
          <c:smooth val="0"/>
          <c:extLst xmlns:c16r2="http://schemas.microsoft.com/office/drawing/2015/06/chart">
            <c:ext xmlns:c16="http://schemas.microsoft.com/office/drawing/2014/chart" uri="{C3380CC4-5D6E-409C-BE32-E72D297353CC}">
              <c16:uniqueId val="{0000000E-E26B-4152-8E64-A19063CCADFE}"/>
            </c:ext>
          </c:extLst>
        </c:ser>
        <c:dLbls>
          <c:showLegendKey val="0"/>
          <c:showVal val="0"/>
          <c:showCatName val="0"/>
          <c:showSerName val="0"/>
          <c:showPercent val="0"/>
          <c:showBubbleSize val="0"/>
        </c:dLbls>
        <c:smooth val="0"/>
        <c:axId val="512027536"/>
        <c:axId val="512030280"/>
      </c:lineChart>
      <c:catAx>
        <c:axId val="512027536"/>
        <c:scaling>
          <c:orientation val="minMax"/>
        </c:scaling>
        <c:delete val="0"/>
        <c:axPos val="b"/>
        <c:majorGridlines>
          <c:spPr>
            <a:ln w="6350">
              <a:solidFill>
                <a:schemeClr val="tx1">
                  <a:lumMod val="50000"/>
                  <a:lumOff val="50000"/>
                </a:schemeClr>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512030280"/>
        <c:crossesAt val="0"/>
        <c:auto val="1"/>
        <c:lblAlgn val="ctr"/>
        <c:lblOffset val="100"/>
        <c:tickLblSkip val="10"/>
        <c:tickMarkSkip val="10"/>
        <c:noMultiLvlLbl val="0"/>
      </c:catAx>
      <c:valAx>
        <c:axId val="512030280"/>
        <c:scaling>
          <c:orientation val="minMax"/>
          <c:max val="0.22000000000000003"/>
          <c:min val="0"/>
        </c:scaling>
        <c:delete val="0"/>
        <c:axPos val="l"/>
        <c:majorGridlines>
          <c:spPr>
            <a:ln w="6350">
              <a:solidFill>
                <a:schemeClr val="tx1">
                  <a:lumMod val="50000"/>
                  <a:lumOff val="50000"/>
                </a:schemeClr>
              </a:solidFill>
              <a:prstDash val="sysDash"/>
            </a:ln>
          </c:spPr>
        </c:majorGridlines>
        <c:title>
          <c:tx>
            <c:rich>
              <a:bodyPr/>
              <a:lstStyle/>
              <a:p>
                <a:pPr>
                  <a:defRPr sz="1200" b="0" i="0" u="none" strike="noStrike" baseline="0">
                    <a:solidFill>
                      <a:srgbClr val="000000"/>
                    </a:solidFill>
                    <a:latin typeface="Arial"/>
                    <a:ea typeface="Arial"/>
                    <a:cs typeface="Arial"/>
                  </a:defRPr>
                </a:pPr>
                <a:r>
                  <a:rPr lang="en-US" sz="1400" b="0"/>
                  <a:t>Top 1% Income Share</a:t>
                </a:r>
              </a:p>
            </c:rich>
          </c:tx>
          <c:layout>
            <c:manualLayout>
              <c:xMode val="edge"/>
              <c:yMode val="edge"/>
              <c:x val="9.2475151948350181E-4"/>
              <c:y val="0.308436637727976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300" b="0" i="0" u="none" strike="noStrike" baseline="0">
                <a:solidFill>
                  <a:srgbClr val="000000"/>
                </a:solidFill>
                <a:latin typeface="Arial"/>
                <a:ea typeface="Arial"/>
                <a:cs typeface="Arial"/>
              </a:defRPr>
            </a:pPr>
            <a:endParaRPr lang="en-US"/>
          </a:p>
        </c:txPr>
        <c:crossAx val="512027536"/>
        <c:crosses val="autoZero"/>
        <c:crossBetween val="midCat"/>
        <c:majorUnit val="0.05"/>
        <c:minorUnit val="0.05"/>
      </c:valAx>
      <c:spPr>
        <a:solidFill>
          <a:srgbClr val="FFFFFF"/>
        </a:solidFill>
        <a:ln w="3175">
          <a:noFill/>
          <a:prstDash val="solid"/>
        </a:ln>
      </c:spPr>
    </c:plotArea>
    <c:plotVisOnly val="1"/>
    <c:dispBlanksAs val="span"/>
    <c:showDLblsOverMax val="0"/>
  </c:chart>
  <c:spPr>
    <a:solidFill>
      <a:schemeClr val="bg1"/>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866" r="0.75000000000000866" t="1" header="0.5" footer="0.5"/>
    <c:pageSetup orientation="landscape" verticalDpi="96"/>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b="1"/>
              <a:t>Top 1%</a:t>
            </a:r>
          </a:p>
        </c:rich>
      </c:tx>
      <c:layout>
        <c:manualLayout>
          <c:xMode val="edge"/>
          <c:yMode val="edge"/>
          <c:x val="0.47669121005891962"/>
          <c:y val="2.9034054078959263E-2"/>
        </c:manualLayout>
      </c:layout>
      <c:overlay val="0"/>
    </c:title>
    <c:autoTitleDeleted val="0"/>
    <c:plotArea>
      <c:layout>
        <c:manualLayout>
          <c:layoutTarget val="inner"/>
          <c:xMode val="edge"/>
          <c:yMode val="edge"/>
          <c:x val="0.13062845020478636"/>
          <c:y val="7.9415073115860532E-2"/>
          <c:w val="0.82695251589126584"/>
          <c:h val="0.84922608554527712"/>
        </c:manualLayout>
      </c:layout>
      <c:areaChart>
        <c:grouping val="stacked"/>
        <c:varyColors val="0"/>
        <c:ser>
          <c:idx val="15"/>
          <c:order val="0"/>
          <c:tx>
            <c:strRef>
              <c:f>'F-4'!$G$39</c:f>
              <c:strCache>
                <c:ptCount val="1"/>
                <c:pt idx="0">
                  <c:v>Sales and other taxes</c:v>
                </c:pt>
              </c:strCache>
            </c:strRef>
          </c:tx>
          <c:spPr>
            <a:solidFill>
              <a:schemeClr val="bg1">
                <a:lumMod val="75000"/>
              </a:schemeClr>
            </a:solidFill>
            <a:ln w="25400">
              <a:noFill/>
            </a:ln>
          </c:spPr>
          <c:cat>
            <c:numRef>
              <c:f>'F-4'!$A$41:$A$96</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'F-4'!$G$41:$G$96</c:f>
              <c:numCache>
                <c:formatCode>0.0%</c:formatCode>
                <c:ptCount val="56"/>
                <c:pt idx="0">
                  <c:v>3.1628359621073791E-2</c:v>
                </c:pt>
                <c:pt idx="1">
                  <c:v>3.3104909594753318E-2</c:v>
                </c:pt>
                <c:pt idx="2">
                  <c:v>3.4581459568432844E-2</c:v>
                </c:pt>
                <c:pt idx="3">
                  <c:v>3.5008957531213303E-2</c:v>
                </c:pt>
                <c:pt idx="4">
                  <c:v>3.5436455493993754E-2</c:v>
                </c:pt>
                <c:pt idx="5">
                  <c:v>3.3922263888069418E-2</c:v>
                </c:pt>
                <c:pt idx="6">
                  <c:v>3.2408072282145081E-2</c:v>
                </c:pt>
                <c:pt idx="7">
                  <c:v>3.2998421637068918E-2</c:v>
                </c:pt>
                <c:pt idx="8">
                  <c:v>3.1764065402012688E-2</c:v>
                </c:pt>
                <c:pt idx="9">
                  <c:v>3.5818678035020236E-2</c:v>
                </c:pt>
                <c:pt idx="10">
                  <c:v>3.950534809227034E-2</c:v>
                </c:pt>
                <c:pt idx="11">
                  <c:v>4.028055815100464E-2</c:v>
                </c:pt>
                <c:pt idx="12">
                  <c:v>3.824570772184812E-2</c:v>
                </c:pt>
                <c:pt idx="13">
                  <c:v>3.6911120426976127E-2</c:v>
                </c:pt>
                <c:pt idx="14">
                  <c:v>3.8605818408060461E-2</c:v>
                </c:pt>
                <c:pt idx="15">
                  <c:v>3.7684658835525554E-2</c:v>
                </c:pt>
                <c:pt idx="16">
                  <c:v>3.6221862960332363E-2</c:v>
                </c:pt>
                <c:pt idx="17">
                  <c:v>3.5911932315880774E-2</c:v>
                </c:pt>
                <c:pt idx="18">
                  <c:v>3.1702728441354029E-2</c:v>
                </c:pt>
                <c:pt idx="19">
                  <c:v>3.1118960122248601E-2</c:v>
                </c:pt>
                <c:pt idx="20">
                  <c:v>3.4810060775015035E-2</c:v>
                </c:pt>
                <c:pt idx="21">
                  <c:v>3.7501689865971591E-2</c:v>
                </c:pt>
                <c:pt idx="22">
                  <c:v>3.7512703044932615E-2</c:v>
                </c:pt>
                <c:pt idx="23">
                  <c:v>3.4623272700806028E-2</c:v>
                </c:pt>
                <c:pt idx="24">
                  <c:v>3.4261065386364475E-2</c:v>
                </c:pt>
                <c:pt idx="25">
                  <c:v>3.4372203303882784E-2</c:v>
                </c:pt>
                <c:pt idx="26">
                  <c:v>3.3863503077076487E-2</c:v>
                </c:pt>
                <c:pt idx="27">
                  <c:v>3.6132121440267263E-2</c:v>
                </c:pt>
                <c:pt idx="28">
                  <c:v>3.6320763523319435E-2</c:v>
                </c:pt>
                <c:pt idx="29">
                  <c:v>3.7854384007657969E-2</c:v>
                </c:pt>
                <c:pt idx="30">
                  <c:v>4.009149849846376E-2</c:v>
                </c:pt>
                <c:pt idx="31">
                  <c:v>3.9934455337466195E-2</c:v>
                </c:pt>
                <c:pt idx="32">
                  <c:v>3.9774761793160612E-2</c:v>
                </c:pt>
                <c:pt idx="33">
                  <c:v>3.833206844109574E-2</c:v>
                </c:pt>
                <c:pt idx="34">
                  <c:v>4.0335523308773505E-2</c:v>
                </c:pt>
                <c:pt idx="35">
                  <c:v>3.8127309099855802E-2</c:v>
                </c:pt>
                <c:pt idx="36">
                  <c:v>3.7933123392506519E-2</c:v>
                </c:pt>
                <c:pt idx="37">
                  <c:v>3.7441221704930888E-2</c:v>
                </c:pt>
                <c:pt idx="38">
                  <c:v>3.8925114444476779E-2</c:v>
                </c:pt>
                <c:pt idx="39">
                  <c:v>3.8060013961218955E-2</c:v>
                </c:pt>
                <c:pt idx="40">
                  <c:v>3.7730885894636905E-2</c:v>
                </c:pt>
                <c:pt idx="41">
                  <c:v>3.8213671997050128E-2</c:v>
                </c:pt>
                <c:pt idx="42">
                  <c:v>3.8652689759253914E-2</c:v>
                </c:pt>
                <c:pt idx="43">
                  <c:v>3.6898746907938908E-2</c:v>
                </c:pt>
                <c:pt idx="44">
                  <c:v>3.7624396597979386E-2</c:v>
                </c:pt>
                <c:pt idx="45">
                  <c:v>3.6781659381652593E-2</c:v>
                </c:pt>
                <c:pt idx="46">
                  <c:v>3.6380709953440074E-2</c:v>
                </c:pt>
                <c:pt idx="47">
                  <c:v>3.641699966725119E-2</c:v>
                </c:pt>
                <c:pt idx="48">
                  <c:v>3.7909789543783282E-2</c:v>
                </c:pt>
                <c:pt idx="49">
                  <c:v>3.6706287633465236E-2</c:v>
                </c:pt>
                <c:pt idx="50">
                  <c:v>3.4091850426047829E-2</c:v>
                </c:pt>
                <c:pt idx="51">
                  <c:v>3.2980032563108753E-2</c:v>
                </c:pt>
                <c:pt idx="52">
                  <c:v>3.2687852267439893E-2</c:v>
                </c:pt>
                <c:pt idx="53">
                  <c:v>3.4600204669804159E-2</c:v>
                </c:pt>
                <c:pt idx="54">
                  <c:v>3.4486260996880187E-2</c:v>
                </c:pt>
                <c:pt idx="55">
                  <c:v>3.6147727245449748E-2</c:v>
                </c:pt>
              </c:numCache>
            </c:numRef>
          </c:val>
          <c:extLst xmlns:c16r2="http://schemas.microsoft.com/office/drawing/2015/06/chart">
            <c:ext xmlns:c16="http://schemas.microsoft.com/office/drawing/2014/chart" uri="{C3380CC4-5D6E-409C-BE32-E72D297353CC}">
              <c16:uniqueId val="{00000000-BD64-42B8-90B5-4866CA0BBE51}"/>
            </c:ext>
          </c:extLst>
        </c:ser>
        <c:ser>
          <c:idx val="1"/>
          <c:order val="1"/>
          <c:tx>
            <c:strRef>
              <c:f>'F-4'!$D$39</c:f>
              <c:strCache>
                <c:ptCount val="1"/>
                <c:pt idx="0">
                  <c:v>State and local income tax</c:v>
                </c:pt>
              </c:strCache>
            </c:strRef>
          </c:tx>
          <c:spPr>
            <a:solidFill>
              <a:schemeClr val="bg1">
                <a:alpha val="74000"/>
              </a:schemeClr>
            </a:solidFill>
          </c:spPr>
          <c:cat>
            <c:numRef>
              <c:f>'F-4'!$A$41:$A$96</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'F-4'!$D$41:$D$96</c:f>
              <c:numCache>
                <c:formatCode>0.0%</c:formatCode>
                <c:ptCount val="56"/>
                <c:pt idx="0">
                  <c:v>1.2201975156463579E-2</c:v>
                </c:pt>
                <c:pt idx="1">
                  <c:v>1.3409623328725586E-2</c:v>
                </c:pt>
                <c:pt idx="2">
                  <c:v>1.4617271500987593E-2</c:v>
                </c:pt>
                <c:pt idx="3">
                  <c:v>1.4068842038060511E-2</c:v>
                </c:pt>
                <c:pt idx="4">
                  <c:v>1.3520412575133428E-2</c:v>
                </c:pt>
                <c:pt idx="5">
                  <c:v>1.4752459102807924E-2</c:v>
                </c:pt>
                <c:pt idx="6">
                  <c:v>1.5984505630482419E-2</c:v>
                </c:pt>
                <c:pt idx="7">
                  <c:v>1.5777733912386578E-2</c:v>
                </c:pt>
                <c:pt idx="8">
                  <c:v>1.575709101778542E-2</c:v>
                </c:pt>
                <c:pt idx="9">
                  <c:v>1.9991129082699715E-2</c:v>
                </c:pt>
                <c:pt idx="10">
                  <c:v>2.3116098337892254E-2</c:v>
                </c:pt>
                <c:pt idx="11">
                  <c:v>2.3467428254374291E-2</c:v>
                </c:pt>
                <c:pt idx="12">
                  <c:v>2.5999614742266138E-2</c:v>
                </c:pt>
                <c:pt idx="13">
                  <c:v>2.5796683812840039E-2</c:v>
                </c:pt>
                <c:pt idx="14">
                  <c:v>2.5343469182941676E-2</c:v>
                </c:pt>
                <c:pt idx="15">
                  <c:v>2.5882591070705056E-2</c:v>
                </c:pt>
                <c:pt idx="16">
                  <c:v>2.6040733150368096E-2</c:v>
                </c:pt>
                <c:pt idx="17">
                  <c:v>2.6240020175762709E-2</c:v>
                </c:pt>
                <c:pt idx="18">
                  <c:v>2.673512538678742E-2</c:v>
                </c:pt>
                <c:pt idx="19">
                  <c:v>2.6685486910889962E-2</c:v>
                </c:pt>
                <c:pt idx="20">
                  <c:v>2.9267072806658034E-2</c:v>
                </c:pt>
                <c:pt idx="21">
                  <c:v>3.0345860187267804E-2</c:v>
                </c:pt>
                <c:pt idx="22">
                  <c:v>3.1621209688447997E-2</c:v>
                </c:pt>
                <c:pt idx="23">
                  <c:v>3.3335013205235416E-2</c:v>
                </c:pt>
                <c:pt idx="24">
                  <c:v>3.5480552339219276E-2</c:v>
                </c:pt>
                <c:pt idx="25">
                  <c:v>3.9127515896188229E-2</c:v>
                </c:pt>
                <c:pt idx="26">
                  <c:v>4.4440140472839257E-2</c:v>
                </c:pt>
                <c:pt idx="27">
                  <c:v>4.734782156999548E-2</c:v>
                </c:pt>
                <c:pt idx="28">
                  <c:v>4.0687093760986767E-2</c:v>
                </c:pt>
                <c:pt idx="29">
                  <c:v>4.3441937674448629E-2</c:v>
                </c:pt>
                <c:pt idx="30">
                  <c:v>4.1970990321566287E-2</c:v>
                </c:pt>
                <c:pt idx="31">
                  <c:v>4.2209541264849236E-2</c:v>
                </c:pt>
                <c:pt idx="32">
                  <c:v>4.3878105022583609E-2</c:v>
                </c:pt>
                <c:pt idx="33">
                  <c:v>4.6145074063732784E-2</c:v>
                </c:pt>
                <c:pt idx="34">
                  <c:v>4.273854753514135E-2</c:v>
                </c:pt>
                <c:pt idx="35">
                  <c:v>4.3095071472452597E-2</c:v>
                </c:pt>
                <c:pt idx="36">
                  <c:v>4.4350230266131774E-2</c:v>
                </c:pt>
                <c:pt idx="37">
                  <c:v>4.5121515369468825E-2</c:v>
                </c:pt>
                <c:pt idx="38">
                  <c:v>4.8433014911166514E-2</c:v>
                </c:pt>
                <c:pt idx="39">
                  <c:v>4.9988635070192598E-2</c:v>
                </c:pt>
                <c:pt idx="40">
                  <c:v>5.3380854001364601E-2</c:v>
                </c:pt>
                <c:pt idx="41">
                  <c:v>5.2172451590822538E-2</c:v>
                </c:pt>
                <c:pt idx="42">
                  <c:v>4.44735352008633E-2</c:v>
                </c:pt>
                <c:pt idx="43">
                  <c:v>4.3042523307329474E-2</c:v>
                </c:pt>
                <c:pt idx="44">
                  <c:v>4.5775319818942561E-2</c:v>
                </c:pt>
                <c:pt idx="45">
                  <c:v>4.8383492335740776E-2</c:v>
                </c:pt>
                <c:pt idx="46">
                  <c:v>4.89592524112612E-2</c:v>
                </c:pt>
                <c:pt idx="47">
                  <c:v>5.3976029311534932E-2</c:v>
                </c:pt>
                <c:pt idx="48">
                  <c:v>5.4900798796641961E-2</c:v>
                </c:pt>
                <c:pt idx="49">
                  <c:v>4.7789712307209575E-2</c:v>
                </c:pt>
                <c:pt idx="50">
                  <c:v>4.4045867837747006E-2</c:v>
                </c:pt>
                <c:pt idx="51">
                  <c:v>4.7969508879265509E-2</c:v>
                </c:pt>
                <c:pt idx="52">
                  <c:v>4.6682610476308083E-2</c:v>
                </c:pt>
                <c:pt idx="53">
                  <c:v>5.7759825052009134E-2</c:v>
                </c:pt>
                <c:pt idx="54">
                  <c:v>5.3023474210859296E-2</c:v>
                </c:pt>
                <c:pt idx="55">
                  <c:v>5.6991641075469703E-2</c:v>
                </c:pt>
              </c:numCache>
            </c:numRef>
          </c:val>
          <c:extLst xmlns:c16r2="http://schemas.microsoft.com/office/drawing/2015/06/chart">
            <c:ext xmlns:c16="http://schemas.microsoft.com/office/drawing/2014/chart" uri="{C3380CC4-5D6E-409C-BE32-E72D297353CC}">
              <c16:uniqueId val="{00000001-BD64-42B8-90B5-4866CA0BBE51}"/>
            </c:ext>
          </c:extLst>
        </c:ser>
        <c:ser>
          <c:idx val="4"/>
          <c:order val="2"/>
          <c:tx>
            <c:strRef>
              <c:f>'F-4'!$F$39</c:f>
              <c:strCache>
                <c:ptCount val="1"/>
                <c:pt idx="0">
                  <c:v>Property taxes</c:v>
                </c:pt>
              </c:strCache>
            </c:strRef>
          </c:tx>
          <c:spPr>
            <a:solidFill>
              <a:schemeClr val="bg1">
                <a:lumMod val="65000"/>
                <a:alpha val="92000"/>
              </a:schemeClr>
            </a:solidFill>
            <a:ln w="25400">
              <a:noFill/>
            </a:ln>
          </c:spPr>
          <c:cat>
            <c:numRef>
              <c:f>'F-4'!$A$41:$A$96</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'F-4'!$F$41:$F$96</c:f>
              <c:numCache>
                <c:formatCode>0.0%</c:formatCode>
                <c:ptCount val="56"/>
                <c:pt idx="0">
                  <c:v>7.23441447606432E-2</c:v>
                </c:pt>
                <c:pt idx="1">
                  <c:v>6.7912205279901355E-2</c:v>
                </c:pt>
                <c:pt idx="2">
                  <c:v>6.348026579915951E-2</c:v>
                </c:pt>
                <c:pt idx="3">
                  <c:v>6.5062228344628464E-2</c:v>
                </c:pt>
                <c:pt idx="4">
                  <c:v>6.6644190890097432E-2</c:v>
                </c:pt>
                <c:pt idx="5">
                  <c:v>6.066004703391642E-2</c:v>
                </c:pt>
                <c:pt idx="6">
                  <c:v>5.4675903177735401E-2</c:v>
                </c:pt>
                <c:pt idx="7">
                  <c:v>6.1786968741274262E-2</c:v>
                </c:pt>
                <c:pt idx="8">
                  <c:v>6.389983313585515E-2</c:v>
                </c:pt>
                <c:pt idx="9">
                  <c:v>6.3260487306728105E-2</c:v>
                </c:pt>
                <c:pt idx="10">
                  <c:v>6.7692083273013112E-2</c:v>
                </c:pt>
                <c:pt idx="11">
                  <c:v>6.5439769427536071E-2</c:v>
                </c:pt>
                <c:pt idx="12">
                  <c:v>6.5119023709433788E-2</c:v>
                </c:pt>
                <c:pt idx="13">
                  <c:v>5.6353907435185417E-2</c:v>
                </c:pt>
                <c:pt idx="14">
                  <c:v>5.3829703652964571E-2</c:v>
                </c:pt>
                <c:pt idx="15">
                  <c:v>5.207628320316178E-2</c:v>
                </c:pt>
                <c:pt idx="16">
                  <c:v>5.1178847889812334E-2</c:v>
                </c:pt>
                <c:pt idx="17">
                  <c:v>4.5154800871533639E-2</c:v>
                </c:pt>
                <c:pt idx="18">
                  <c:v>3.981035241898509E-2</c:v>
                </c:pt>
                <c:pt idx="19">
                  <c:v>3.5966175279796772E-2</c:v>
                </c:pt>
                <c:pt idx="20">
                  <c:v>3.7546875799724211E-2</c:v>
                </c:pt>
                <c:pt idx="21">
                  <c:v>3.6739239644007285E-2</c:v>
                </c:pt>
                <c:pt idx="22">
                  <c:v>3.7649351081031762E-2</c:v>
                </c:pt>
                <c:pt idx="23">
                  <c:v>3.6643727150117211E-2</c:v>
                </c:pt>
                <c:pt idx="24">
                  <c:v>3.3293435632016088E-2</c:v>
                </c:pt>
                <c:pt idx="25">
                  <c:v>3.4424978848706912E-2</c:v>
                </c:pt>
                <c:pt idx="26">
                  <c:v>3.6387720122771069E-2</c:v>
                </c:pt>
                <c:pt idx="27">
                  <c:v>3.4283734555686354E-2</c:v>
                </c:pt>
                <c:pt idx="28">
                  <c:v>3.2791048708124389E-2</c:v>
                </c:pt>
                <c:pt idx="29">
                  <c:v>3.5406759146795981E-2</c:v>
                </c:pt>
                <c:pt idx="30">
                  <c:v>3.5963204881468397E-2</c:v>
                </c:pt>
                <c:pt idx="31">
                  <c:v>4.1194529692266162E-2</c:v>
                </c:pt>
                <c:pt idx="32">
                  <c:v>4.1321526972991303E-2</c:v>
                </c:pt>
                <c:pt idx="33">
                  <c:v>4.1612633414817711E-2</c:v>
                </c:pt>
                <c:pt idx="34">
                  <c:v>4.2078090191523178E-2</c:v>
                </c:pt>
                <c:pt idx="35">
                  <c:v>3.9894335430579277E-2</c:v>
                </c:pt>
                <c:pt idx="36">
                  <c:v>3.7850411080444325E-2</c:v>
                </c:pt>
                <c:pt idx="37">
                  <c:v>3.7459279806584922E-2</c:v>
                </c:pt>
                <c:pt idx="38">
                  <c:v>3.7088567154694413E-2</c:v>
                </c:pt>
                <c:pt idx="39">
                  <c:v>3.6393301725786323E-2</c:v>
                </c:pt>
                <c:pt idx="40">
                  <c:v>3.4968506201478337E-2</c:v>
                </c:pt>
                <c:pt idx="41">
                  <c:v>3.773908629590448E-2</c:v>
                </c:pt>
                <c:pt idx="42">
                  <c:v>3.9812624123929767E-2</c:v>
                </c:pt>
                <c:pt idx="43">
                  <c:v>4.1187603756603221E-2</c:v>
                </c:pt>
                <c:pt idx="44">
                  <c:v>4.0526070112569867E-2</c:v>
                </c:pt>
                <c:pt idx="45">
                  <c:v>3.973405556943773E-2</c:v>
                </c:pt>
                <c:pt idx="46">
                  <c:v>3.9722096017743007E-2</c:v>
                </c:pt>
                <c:pt idx="47">
                  <c:v>4.085414644511394E-2</c:v>
                </c:pt>
                <c:pt idx="48">
                  <c:v>4.2751416760067294E-2</c:v>
                </c:pt>
                <c:pt idx="49">
                  <c:v>4.8379758368452611E-2</c:v>
                </c:pt>
                <c:pt idx="50">
                  <c:v>4.513645513586529E-2</c:v>
                </c:pt>
                <c:pt idx="51">
                  <c:v>4.3242518148198433E-2</c:v>
                </c:pt>
                <c:pt idx="52">
                  <c:v>4.0356967260829373E-2</c:v>
                </c:pt>
                <c:pt idx="53">
                  <c:v>4.2464647734538799E-2</c:v>
                </c:pt>
                <c:pt idx="54">
                  <c:v>4.0542803241419866E-2</c:v>
                </c:pt>
                <c:pt idx="55">
                  <c:v>3.9503894541313186E-2</c:v>
                </c:pt>
              </c:numCache>
            </c:numRef>
          </c:val>
          <c:extLst xmlns:c16r2="http://schemas.microsoft.com/office/drawing/2015/06/chart">
            <c:ext xmlns:c16="http://schemas.microsoft.com/office/drawing/2014/chart" uri="{C3380CC4-5D6E-409C-BE32-E72D297353CC}">
              <c16:uniqueId val="{00000002-BD64-42B8-90B5-4866CA0BBE51}"/>
            </c:ext>
          </c:extLst>
        </c:ser>
        <c:ser>
          <c:idx val="3"/>
          <c:order val="3"/>
          <c:tx>
            <c:strRef>
              <c:f>'F-4'!$E$39</c:f>
              <c:strCache>
                <c:ptCount val="1"/>
                <c:pt idx="0">
                  <c:v>Corporate taxes</c:v>
                </c:pt>
              </c:strCache>
            </c:strRef>
          </c:tx>
          <c:spPr>
            <a:solidFill>
              <a:schemeClr val="bg1">
                <a:lumMod val="85000"/>
                <a:alpha val="86000"/>
              </a:schemeClr>
            </a:solidFill>
            <a:ln w="25400">
              <a:noFill/>
            </a:ln>
          </c:spPr>
          <c:cat>
            <c:numRef>
              <c:f>'F-4'!$A$41:$A$96</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'F-4'!$E$41:$E$96</c:f>
              <c:numCache>
                <c:formatCode>0.0%</c:formatCode>
                <c:ptCount val="56"/>
                <c:pt idx="0">
                  <c:v>0.13660130540178111</c:v>
                </c:pt>
                <c:pt idx="1">
                  <c:v>0.12435711016017603</c:v>
                </c:pt>
                <c:pt idx="2">
                  <c:v>0.11211291491857095</c:v>
                </c:pt>
                <c:pt idx="3">
                  <c:v>0.11521939533488308</c:v>
                </c:pt>
                <c:pt idx="4">
                  <c:v>0.11832587575119521</c:v>
                </c:pt>
                <c:pt idx="5">
                  <c:v>0.11347283502108546</c:v>
                </c:pt>
                <c:pt idx="6">
                  <c:v>0.10861979429097569</c:v>
                </c:pt>
                <c:pt idx="7">
                  <c:v>0.10591986029721621</c:v>
                </c:pt>
                <c:pt idx="8">
                  <c:v>0.11906238157479829</c:v>
                </c:pt>
                <c:pt idx="9">
                  <c:v>0.10604967421997052</c:v>
                </c:pt>
                <c:pt idx="10">
                  <c:v>8.6464736320650382E-2</c:v>
                </c:pt>
                <c:pt idx="11">
                  <c:v>8.8918182197491868E-2</c:v>
                </c:pt>
                <c:pt idx="12">
                  <c:v>8.9978854900339689E-2</c:v>
                </c:pt>
                <c:pt idx="13">
                  <c:v>8.3309784458265992E-2</c:v>
                </c:pt>
                <c:pt idx="14">
                  <c:v>6.3916876553542015E-2</c:v>
                </c:pt>
                <c:pt idx="15">
                  <c:v>6.1892328624782486E-2</c:v>
                </c:pt>
                <c:pt idx="16">
                  <c:v>7.3794432088467615E-2</c:v>
                </c:pt>
                <c:pt idx="17">
                  <c:v>6.8259943601410855E-2</c:v>
                </c:pt>
                <c:pt idx="18">
                  <c:v>6.5455121544143902E-2</c:v>
                </c:pt>
                <c:pt idx="19">
                  <c:v>6.3724327661925664E-2</c:v>
                </c:pt>
                <c:pt idx="20">
                  <c:v>5.8714797310779811E-2</c:v>
                </c:pt>
                <c:pt idx="21">
                  <c:v>4.2666458212421633E-2</c:v>
                </c:pt>
                <c:pt idx="22">
                  <c:v>2.9269691154915359E-2</c:v>
                </c:pt>
                <c:pt idx="23">
                  <c:v>3.334162335291236E-2</c:v>
                </c:pt>
                <c:pt idx="24">
                  <c:v>3.2168209755689077E-2</c:v>
                </c:pt>
                <c:pt idx="25">
                  <c:v>3.0321942685235595E-2</c:v>
                </c:pt>
                <c:pt idx="26">
                  <c:v>3.3958288260906973E-2</c:v>
                </c:pt>
                <c:pt idx="27">
                  <c:v>3.3400524711213873E-2</c:v>
                </c:pt>
                <c:pt idx="28">
                  <c:v>3.3366698744517066E-2</c:v>
                </c:pt>
                <c:pt idx="29">
                  <c:v>3.2706481529453928E-2</c:v>
                </c:pt>
                <c:pt idx="30">
                  <c:v>2.9368491437559045E-2</c:v>
                </c:pt>
                <c:pt idx="31">
                  <c:v>3.1586274306184485E-2</c:v>
                </c:pt>
                <c:pt idx="32">
                  <c:v>3.4251956481745199E-2</c:v>
                </c:pt>
                <c:pt idx="33">
                  <c:v>3.9562800708230726E-2</c:v>
                </c:pt>
                <c:pt idx="34">
                  <c:v>4.117416975853519E-2</c:v>
                </c:pt>
                <c:pt idx="35">
                  <c:v>4.3477001623304055E-2</c:v>
                </c:pt>
                <c:pt idx="36">
                  <c:v>4.2331011422380091E-2</c:v>
                </c:pt>
                <c:pt idx="37">
                  <c:v>4.2346926401331128E-2</c:v>
                </c:pt>
                <c:pt idx="38">
                  <c:v>3.9999785046849146E-2</c:v>
                </c:pt>
                <c:pt idx="39">
                  <c:v>4.0576826287513405E-2</c:v>
                </c:pt>
                <c:pt idx="40">
                  <c:v>3.7288511533988822E-2</c:v>
                </c:pt>
                <c:pt idx="41">
                  <c:v>2.6957639729039459E-2</c:v>
                </c:pt>
                <c:pt idx="42">
                  <c:v>2.3414273297364209E-2</c:v>
                </c:pt>
                <c:pt idx="43">
                  <c:v>3.1312081960513966E-2</c:v>
                </c:pt>
                <c:pt idx="44">
                  <c:v>3.8404523046268485E-2</c:v>
                </c:pt>
                <c:pt idx="45">
                  <c:v>4.7653204099595815E-2</c:v>
                </c:pt>
                <c:pt idx="46">
                  <c:v>5.1183943204367137E-2</c:v>
                </c:pt>
                <c:pt idx="47">
                  <c:v>4.4517973802072869E-2</c:v>
                </c:pt>
                <c:pt idx="48">
                  <c:v>2.9787342491058778E-2</c:v>
                </c:pt>
                <c:pt idx="49">
                  <c:v>2.641137300119463E-2</c:v>
                </c:pt>
                <c:pt idx="50">
                  <c:v>3.4131884253416095E-2</c:v>
                </c:pt>
                <c:pt idx="51">
                  <c:v>3.2253635055686312E-2</c:v>
                </c:pt>
                <c:pt idx="52">
                  <c:v>3.6129940290781037E-2</c:v>
                </c:pt>
                <c:pt idx="53">
                  <c:v>3.8911861201505159E-2</c:v>
                </c:pt>
                <c:pt idx="54">
                  <c:v>3.876567741756809E-2</c:v>
                </c:pt>
                <c:pt idx="55">
                  <c:v>3.6754163949209814E-2</c:v>
                </c:pt>
              </c:numCache>
            </c:numRef>
          </c:val>
          <c:extLst xmlns:c16r2="http://schemas.microsoft.com/office/drawing/2015/06/chart">
            <c:ext xmlns:c16="http://schemas.microsoft.com/office/drawing/2014/chart" uri="{C3380CC4-5D6E-409C-BE32-E72D297353CC}">
              <c16:uniqueId val="{00000003-BD64-42B8-90B5-4866CA0BBE51}"/>
            </c:ext>
          </c:extLst>
        </c:ser>
        <c:ser>
          <c:idx val="0"/>
          <c:order val="4"/>
          <c:tx>
            <c:strRef>
              <c:f>'F-4'!$C$39</c:f>
              <c:strCache>
                <c:ptCount val="1"/>
                <c:pt idx="0">
                  <c:v>Federal income tax</c:v>
                </c:pt>
              </c:strCache>
            </c:strRef>
          </c:tx>
          <c:spPr>
            <a:solidFill>
              <a:schemeClr val="bg1">
                <a:lumMod val="65000"/>
                <a:alpha val="82000"/>
              </a:schemeClr>
            </a:solidFill>
            <a:ln>
              <a:noFill/>
            </a:ln>
          </c:spPr>
          <c:cat>
            <c:numRef>
              <c:f>'F-4'!$A$41:$A$96</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'F-4'!$C$41:$C$96</c:f>
              <c:numCache>
                <c:formatCode>0.0%</c:formatCode>
                <c:ptCount val="56"/>
                <c:pt idx="0">
                  <c:v>0.16225464954458724</c:v>
                </c:pt>
                <c:pt idx="1">
                  <c:v>0.15989751360766408</c:v>
                </c:pt>
                <c:pt idx="2">
                  <c:v>0.15754037767074094</c:v>
                </c:pt>
                <c:pt idx="3">
                  <c:v>0.15190094401697352</c:v>
                </c:pt>
                <c:pt idx="4">
                  <c:v>0.14626151036320612</c:v>
                </c:pt>
                <c:pt idx="5">
                  <c:v>0.14908326099262556</c:v>
                </c:pt>
                <c:pt idx="6">
                  <c:v>0.15190501162204501</c:v>
                </c:pt>
                <c:pt idx="7">
                  <c:v>0.16573598901727693</c:v>
                </c:pt>
                <c:pt idx="8">
                  <c:v>0.17901577657705203</c:v>
                </c:pt>
                <c:pt idx="9">
                  <c:v>0.19756614083601159</c:v>
                </c:pt>
                <c:pt idx="10">
                  <c:v>0.18011655120863548</c:v>
                </c:pt>
                <c:pt idx="11">
                  <c:v>0.16198344272613241</c:v>
                </c:pt>
                <c:pt idx="12">
                  <c:v>0.17283660672052448</c:v>
                </c:pt>
                <c:pt idx="13">
                  <c:v>0.15470084649185409</c:v>
                </c:pt>
                <c:pt idx="14">
                  <c:v>0.17461403624635174</c:v>
                </c:pt>
                <c:pt idx="15">
                  <c:v>0.15717772456012485</c:v>
                </c:pt>
                <c:pt idx="16">
                  <c:v>0.16725837179228681</c:v>
                </c:pt>
                <c:pt idx="17">
                  <c:v>0.16922551037021624</c:v>
                </c:pt>
                <c:pt idx="18">
                  <c:v>0.17092870011683292</c:v>
                </c:pt>
                <c:pt idx="19">
                  <c:v>0.1935110292703518</c:v>
                </c:pt>
                <c:pt idx="20">
                  <c:v>0.19999652680173041</c:v>
                </c:pt>
                <c:pt idx="21">
                  <c:v>0.198648451666328</c:v>
                </c:pt>
                <c:pt idx="22">
                  <c:v>0.20807875183709096</c:v>
                </c:pt>
                <c:pt idx="23">
                  <c:v>0.19889624371494782</c:v>
                </c:pt>
                <c:pt idx="24">
                  <c:v>0.18960621479659348</c:v>
                </c:pt>
                <c:pt idx="25">
                  <c:v>0.20506562307040013</c:v>
                </c:pt>
                <c:pt idx="26">
                  <c:v>0.23487075840260713</c:v>
                </c:pt>
                <c:pt idx="27">
                  <c:v>0.22703236548111458</c:v>
                </c:pt>
                <c:pt idx="28">
                  <c:v>0.20135952415482972</c:v>
                </c:pt>
                <c:pt idx="29">
                  <c:v>0.20423433158029813</c:v>
                </c:pt>
                <c:pt idx="30">
                  <c:v>0.19956064874174756</c:v>
                </c:pt>
                <c:pt idx="31">
                  <c:v>0.19458636454181039</c:v>
                </c:pt>
                <c:pt idx="32">
                  <c:v>0.19961834893882474</c:v>
                </c:pt>
                <c:pt idx="33">
                  <c:v>0.22341165185697881</c:v>
                </c:pt>
                <c:pt idx="34">
                  <c:v>0.22315008287772337</c:v>
                </c:pt>
                <c:pt idx="35">
                  <c:v>0.22789969402708907</c:v>
                </c:pt>
                <c:pt idx="36">
                  <c:v>0.24702011836930793</c:v>
                </c:pt>
                <c:pt idx="37">
                  <c:v>0.25626001626348094</c:v>
                </c:pt>
                <c:pt idx="38">
                  <c:v>0.27353308312481345</c:v>
                </c:pt>
                <c:pt idx="39">
                  <c:v>0.27621794690704349</c:v>
                </c:pt>
                <c:pt idx="40">
                  <c:v>0.28742855939745882</c:v>
                </c:pt>
                <c:pt idx="41">
                  <c:v>0.26951771185277729</c:v>
                </c:pt>
                <c:pt idx="42">
                  <c:v>0.22969141555302069</c:v>
                </c:pt>
                <c:pt idx="43">
                  <c:v>0.20503902984042655</c:v>
                </c:pt>
                <c:pt idx="44">
                  <c:v>0.19906462907226533</c:v>
                </c:pt>
                <c:pt idx="45">
                  <c:v>0.21729079655519457</c:v>
                </c:pt>
                <c:pt idx="46">
                  <c:v>0.22551062843771402</c:v>
                </c:pt>
                <c:pt idx="47">
                  <c:v>0.2474632324322901</c:v>
                </c:pt>
                <c:pt idx="48">
                  <c:v>0.23728518510614355</c:v>
                </c:pt>
                <c:pt idx="49">
                  <c:v>0.17834359556902643</c:v>
                </c:pt>
                <c:pt idx="50">
                  <c:v>0.17580129690239985</c:v>
                </c:pt>
                <c:pt idx="51">
                  <c:v>0.20199179717002252</c:v>
                </c:pt>
                <c:pt idx="52">
                  <c:v>0.1987892753517384</c:v>
                </c:pt>
                <c:pt idx="53">
                  <c:v>0.23629619505734908</c:v>
                </c:pt>
                <c:pt idx="54">
                  <c:v>0.24505667675764325</c:v>
                </c:pt>
                <c:pt idx="55">
                  <c:v>0.2540702729627185</c:v>
                </c:pt>
              </c:numCache>
            </c:numRef>
          </c:val>
          <c:extLst xmlns:c16r2="http://schemas.microsoft.com/office/drawing/2015/06/chart">
            <c:ext xmlns:c16="http://schemas.microsoft.com/office/drawing/2014/chart" uri="{C3380CC4-5D6E-409C-BE32-E72D297353CC}">
              <c16:uniqueId val="{00000004-BD64-42B8-90B5-4866CA0BBE51}"/>
            </c:ext>
          </c:extLst>
        </c:ser>
        <c:dLbls>
          <c:showLegendKey val="0"/>
          <c:showVal val="0"/>
          <c:showCatName val="0"/>
          <c:showSerName val="0"/>
          <c:showPercent val="0"/>
          <c:showBubbleSize val="0"/>
        </c:dLbls>
        <c:axId val="512031456"/>
        <c:axId val="512029104"/>
      </c:areaChart>
      <c:catAx>
        <c:axId val="512031456"/>
        <c:scaling>
          <c:orientation val="minMax"/>
        </c:scaling>
        <c:delete val="0"/>
        <c:axPos val="b"/>
        <c:majorGridlines>
          <c:spPr>
            <a:ln w="12700">
              <a:no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300" b="0" i="0" u="none" strike="noStrike" baseline="0">
                <a:solidFill>
                  <a:srgbClr val="000000"/>
                </a:solidFill>
                <a:latin typeface="Arial"/>
                <a:ea typeface="Arial"/>
                <a:cs typeface="Arial"/>
              </a:defRPr>
            </a:pPr>
            <a:endParaRPr lang="en-US"/>
          </a:p>
        </c:txPr>
        <c:crossAx val="512029104"/>
        <c:crossesAt val="0"/>
        <c:auto val="1"/>
        <c:lblAlgn val="ctr"/>
        <c:lblOffset val="100"/>
        <c:tickLblSkip val="10"/>
        <c:tickMarkSkip val="10"/>
        <c:noMultiLvlLbl val="0"/>
      </c:catAx>
      <c:valAx>
        <c:axId val="512029104"/>
        <c:scaling>
          <c:orientation val="minMax"/>
          <c:max val="0.45"/>
          <c:min val="0"/>
        </c:scaling>
        <c:delete val="0"/>
        <c:axPos val="l"/>
        <c:majorGridlines>
          <c:spPr>
            <a:ln w="3175">
              <a:solidFill>
                <a:schemeClr val="bg1">
                  <a:lumMod val="50000"/>
                </a:schemeClr>
              </a:solidFill>
              <a:prstDash val="sysDash"/>
            </a:ln>
          </c:spPr>
        </c:majorGridlines>
        <c:title>
          <c:tx>
            <c:rich>
              <a:bodyPr/>
              <a:lstStyle/>
              <a:p>
                <a:pPr>
                  <a:defRPr sz="2050" b="0" i="0" u="none" strike="noStrike" baseline="0">
                    <a:solidFill>
                      <a:srgbClr val="000000"/>
                    </a:solidFill>
                    <a:latin typeface="Arial"/>
                    <a:ea typeface="Arial"/>
                    <a:cs typeface="Arial"/>
                  </a:defRPr>
                </a:pPr>
                <a:r>
                  <a:rPr lang="en-US" sz="1350" b="0"/>
                  <a:t>Taxes</a:t>
                </a:r>
                <a:r>
                  <a:rPr lang="en-US" sz="1350" b="0" baseline="0"/>
                  <a:t> as s</a:t>
                </a:r>
                <a:r>
                  <a:rPr lang="en-US" sz="1350" b="0"/>
                  <a:t>hares of</a:t>
                </a:r>
                <a:r>
                  <a:rPr lang="en-US" sz="1350" b="0" baseline="0"/>
                  <a:t> pre-tax after-transfer income</a:t>
                </a:r>
                <a:endParaRPr lang="en-US" sz="1350" b="0"/>
              </a:p>
            </c:rich>
          </c:tx>
          <c:layout>
            <c:manualLayout>
              <c:xMode val="edge"/>
              <c:yMode val="edge"/>
              <c:x val="1.9683490891072242E-2"/>
              <c:y val="0.170657456898234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512031456"/>
        <c:crosses val="autoZero"/>
        <c:crossBetween val="midCat"/>
        <c:majorUnit val="0.1"/>
        <c:minorUnit val="0.05"/>
      </c:valAx>
      <c:spPr>
        <a:solidFill>
          <a:srgbClr val="FFFFFF"/>
        </a:solidFill>
        <a:ln w="6350">
          <a:solidFill>
            <a:srgbClr val="000000"/>
          </a:solidFill>
          <a:prstDash val="solid"/>
        </a:ln>
      </c:spPr>
    </c:plotArea>
    <c:plotVisOnly val="1"/>
    <c:dispBlanksAs val="span"/>
    <c:showDLblsOverMax val="0"/>
  </c:chart>
  <c:spPr>
    <a:solidFill>
      <a:schemeClr val="bg1"/>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933" r="0.75000000000000933" t="1" header="0.5" footer="0.5"/>
    <c:pageSetup orientation="landscape" verticalDpi="96"/>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b="1"/>
              <a:t>Bottom 90%</a:t>
            </a:r>
          </a:p>
        </c:rich>
      </c:tx>
      <c:layout>
        <c:manualLayout>
          <c:xMode val="edge"/>
          <c:yMode val="edge"/>
          <c:x val="0.44325954830867381"/>
          <c:y val="3.1267442854263819E-2"/>
        </c:manualLayout>
      </c:layout>
      <c:overlay val="0"/>
    </c:title>
    <c:autoTitleDeleted val="0"/>
    <c:plotArea>
      <c:layout>
        <c:manualLayout>
          <c:layoutTarget val="inner"/>
          <c:xMode val="edge"/>
          <c:yMode val="edge"/>
          <c:x val="0.13062845020478636"/>
          <c:y val="7.9415073115860532E-2"/>
          <c:w val="0.82695251589126584"/>
          <c:h val="0.84922608554527712"/>
        </c:manualLayout>
      </c:layout>
      <c:areaChart>
        <c:grouping val="stacked"/>
        <c:varyColors val="0"/>
        <c:ser>
          <c:idx val="15"/>
          <c:order val="0"/>
          <c:tx>
            <c:strRef>
              <c:f>'F-4'!$G$39</c:f>
              <c:strCache>
                <c:ptCount val="1"/>
                <c:pt idx="0">
                  <c:v>Sales and other taxes</c:v>
                </c:pt>
              </c:strCache>
            </c:strRef>
          </c:tx>
          <c:spPr>
            <a:solidFill>
              <a:schemeClr val="bg1">
                <a:lumMod val="75000"/>
              </a:schemeClr>
            </a:solidFill>
            <a:ln w="25400">
              <a:noFill/>
            </a:ln>
          </c:spPr>
          <c:cat>
            <c:numRef>
              <c:f>'F-4'!$A$41:$A$96</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'F-4'!$N$41:$N$96</c:f>
              <c:numCache>
                <c:formatCode>0.0%</c:formatCode>
                <c:ptCount val="56"/>
                <c:pt idx="0">
                  <c:v>6.7230917553371489E-2</c:v>
                </c:pt>
                <c:pt idx="1">
                  <c:v>6.5640354774314125E-2</c:v>
                </c:pt>
                <c:pt idx="2">
                  <c:v>6.4049791995256775E-2</c:v>
                </c:pt>
                <c:pt idx="3">
                  <c:v>6.4113225573149774E-2</c:v>
                </c:pt>
                <c:pt idx="4">
                  <c:v>6.4176659151042773E-2</c:v>
                </c:pt>
                <c:pt idx="5">
                  <c:v>6.1594780830694376E-2</c:v>
                </c:pt>
                <c:pt idx="6">
                  <c:v>5.9012902510345973E-2</c:v>
                </c:pt>
                <c:pt idx="7">
                  <c:v>5.9037266474409884E-2</c:v>
                </c:pt>
                <c:pt idx="8">
                  <c:v>6.1200386478146553E-2</c:v>
                </c:pt>
                <c:pt idx="9">
                  <c:v>6.1621504327182851E-2</c:v>
                </c:pt>
                <c:pt idx="10">
                  <c:v>6.0659496145600927E-2</c:v>
                </c:pt>
                <c:pt idx="11">
                  <c:v>6.1437150677123797E-2</c:v>
                </c:pt>
                <c:pt idx="12">
                  <c:v>5.943060292758761E-2</c:v>
                </c:pt>
                <c:pt idx="13">
                  <c:v>5.9541749008654193E-2</c:v>
                </c:pt>
                <c:pt idx="14">
                  <c:v>6.0369481003130367E-2</c:v>
                </c:pt>
                <c:pt idx="15">
                  <c:v>5.9914162590138709E-2</c:v>
                </c:pt>
                <c:pt idx="16">
                  <c:v>5.7583780574780405E-2</c:v>
                </c:pt>
                <c:pt idx="17">
                  <c:v>5.5948052900050109E-2</c:v>
                </c:pt>
                <c:pt idx="18">
                  <c:v>5.449487595104166E-2</c:v>
                </c:pt>
                <c:pt idx="19">
                  <c:v>5.4471372014768295E-2</c:v>
                </c:pt>
                <c:pt idx="20">
                  <c:v>5.6174110444187589E-2</c:v>
                </c:pt>
                <c:pt idx="21">
                  <c:v>5.996039962198034E-2</c:v>
                </c:pt>
                <c:pt idx="22">
                  <c:v>5.5383169290086416E-2</c:v>
                </c:pt>
                <c:pt idx="23">
                  <c:v>5.4682086570075575E-2</c:v>
                </c:pt>
                <c:pt idx="24">
                  <c:v>5.6590499953050127E-2</c:v>
                </c:pt>
                <c:pt idx="25">
                  <c:v>5.7133571139958976E-2</c:v>
                </c:pt>
                <c:pt idx="26">
                  <c:v>5.5968169390352485E-2</c:v>
                </c:pt>
                <c:pt idx="27">
                  <c:v>5.3624096723376091E-2</c:v>
                </c:pt>
                <c:pt idx="28">
                  <c:v>5.3203708491249405E-2</c:v>
                </c:pt>
                <c:pt idx="29">
                  <c:v>5.3548399206330817E-2</c:v>
                </c:pt>
                <c:pt idx="30">
                  <c:v>5.4042250713442951E-2</c:v>
                </c:pt>
                <c:pt idx="31">
                  <c:v>5.5081614012022835E-2</c:v>
                </c:pt>
                <c:pt idx="32">
                  <c:v>5.431879465174437E-2</c:v>
                </c:pt>
                <c:pt idx="33">
                  <c:v>5.3597527365577512E-2</c:v>
                </c:pt>
                <c:pt idx="34">
                  <c:v>5.6006288074552338E-2</c:v>
                </c:pt>
                <c:pt idx="35">
                  <c:v>5.482787085925378E-2</c:v>
                </c:pt>
                <c:pt idx="36">
                  <c:v>5.4798432662825462E-2</c:v>
                </c:pt>
                <c:pt idx="37">
                  <c:v>5.4402991050472235E-2</c:v>
                </c:pt>
                <c:pt idx="38">
                  <c:v>5.5777072031878455E-2</c:v>
                </c:pt>
                <c:pt idx="39">
                  <c:v>5.5309040690161765E-2</c:v>
                </c:pt>
                <c:pt idx="40">
                  <c:v>5.6177810289025291E-2</c:v>
                </c:pt>
                <c:pt idx="41">
                  <c:v>5.4179841581935284E-2</c:v>
                </c:pt>
                <c:pt idx="42">
                  <c:v>5.3063391872603616E-2</c:v>
                </c:pt>
                <c:pt idx="43">
                  <c:v>5.1920277890527243E-2</c:v>
                </c:pt>
                <c:pt idx="44">
                  <c:v>5.2950576103086365E-2</c:v>
                </c:pt>
                <c:pt idx="45">
                  <c:v>5.3632747193835789E-2</c:v>
                </c:pt>
                <c:pt idx="46">
                  <c:v>5.3151427098284153E-2</c:v>
                </c:pt>
                <c:pt idx="47">
                  <c:v>5.350862050325933E-2</c:v>
                </c:pt>
                <c:pt idx="48">
                  <c:v>5.2804219090037671E-2</c:v>
                </c:pt>
                <c:pt idx="49">
                  <c:v>5.0325139740535693E-2</c:v>
                </c:pt>
                <c:pt idx="50">
                  <c:v>5.0547747555443258E-2</c:v>
                </c:pt>
                <c:pt idx="51">
                  <c:v>5.1179486642442783E-2</c:v>
                </c:pt>
                <c:pt idx="52">
                  <c:v>4.949129747678916E-2</c:v>
                </c:pt>
                <c:pt idx="53">
                  <c:v>5.1445777566576222E-2</c:v>
                </c:pt>
                <c:pt idx="54">
                  <c:v>5.3058978535218439E-2</c:v>
                </c:pt>
                <c:pt idx="55">
                  <c:v>5.4067499601943833E-2</c:v>
                </c:pt>
              </c:numCache>
            </c:numRef>
          </c:val>
          <c:extLst xmlns:c16r2="http://schemas.microsoft.com/office/drawing/2015/06/chart">
            <c:ext xmlns:c16="http://schemas.microsoft.com/office/drawing/2014/chart" uri="{C3380CC4-5D6E-409C-BE32-E72D297353CC}">
              <c16:uniqueId val="{00000000-27EE-4AB4-ACB2-0C3919BC8344}"/>
            </c:ext>
          </c:extLst>
        </c:ser>
        <c:ser>
          <c:idx val="1"/>
          <c:order val="1"/>
          <c:tx>
            <c:strRef>
              <c:f>'F-4'!$D$39</c:f>
              <c:strCache>
                <c:ptCount val="1"/>
                <c:pt idx="0">
                  <c:v>State and local income tax</c:v>
                </c:pt>
              </c:strCache>
            </c:strRef>
          </c:tx>
          <c:spPr>
            <a:solidFill>
              <a:schemeClr val="bg1"/>
            </a:solidFill>
          </c:spPr>
          <c:cat>
            <c:numRef>
              <c:f>'F-4'!$A$41:$A$96</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'F-4'!$K$41:$K$96</c:f>
              <c:numCache>
                <c:formatCode>0.0%</c:formatCode>
                <c:ptCount val="56"/>
                <c:pt idx="0">
                  <c:v>2.976467665548389E-3</c:v>
                </c:pt>
                <c:pt idx="1">
                  <c:v>3.3254297811218738E-3</c:v>
                </c:pt>
                <c:pt idx="2">
                  <c:v>3.6743918966953585E-3</c:v>
                </c:pt>
                <c:pt idx="3">
                  <c:v>4.1092541275844253E-3</c:v>
                </c:pt>
                <c:pt idx="4">
                  <c:v>4.544116358473493E-3</c:v>
                </c:pt>
                <c:pt idx="5">
                  <c:v>4.7711481159419863E-3</c:v>
                </c:pt>
                <c:pt idx="6">
                  <c:v>4.9981798734104787E-3</c:v>
                </c:pt>
                <c:pt idx="7">
                  <c:v>5.5616600167611562E-3</c:v>
                </c:pt>
                <c:pt idx="8">
                  <c:v>6.9841891413073296E-3</c:v>
                </c:pt>
                <c:pt idx="9">
                  <c:v>7.9451435707822409E-3</c:v>
                </c:pt>
                <c:pt idx="10">
                  <c:v>8.2246848873049564E-3</c:v>
                </c:pt>
                <c:pt idx="11">
                  <c:v>8.637115926800323E-3</c:v>
                </c:pt>
                <c:pt idx="12">
                  <c:v>1.1214869498315929E-2</c:v>
                </c:pt>
                <c:pt idx="13">
                  <c:v>1.0822150768374868E-2</c:v>
                </c:pt>
                <c:pt idx="14">
                  <c:v>1.0820415732400713E-2</c:v>
                </c:pt>
                <c:pt idx="15">
                  <c:v>1.0927628973135338E-2</c:v>
                </c:pt>
                <c:pt idx="16">
                  <c:v>1.1559530764069291E-2</c:v>
                </c:pt>
                <c:pt idx="17">
                  <c:v>1.225009155633601E-2</c:v>
                </c:pt>
                <c:pt idx="18">
                  <c:v>1.2553793453640836E-2</c:v>
                </c:pt>
                <c:pt idx="19">
                  <c:v>1.2227597714912193E-2</c:v>
                </c:pt>
                <c:pt idx="20">
                  <c:v>1.2214150589113588E-2</c:v>
                </c:pt>
                <c:pt idx="21">
                  <c:v>1.2237620087703851E-2</c:v>
                </c:pt>
                <c:pt idx="22">
                  <c:v>1.2292389183086944E-2</c:v>
                </c:pt>
                <c:pt idx="23">
                  <c:v>1.2738257655241827E-2</c:v>
                </c:pt>
                <c:pt idx="24">
                  <c:v>1.3184746826523546E-2</c:v>
                </c:pt>
                <c:pt idx="25">
                  <c:v>1.2373829935945047E-2</c:v>
                </c:pt>
                <c:pt idx="26">
                  <c:v>1.2292043019384176E-2</c:v>
                </c:pt>
                <c:pt idx="27">
                  <c:v>1.2694666079103618E-2</c:v>
                </c:pt>
                <c:pt idx="28">
                  <c:v>1.2485070462440745E-2</c:v>
                </c:pt>
                <c:pt idx="29">
                  <c:v>1.3449391748262197E-2</c:v>
                </c:pt>
                <c:pt idx="30">
                  <c:v>1.4036951619068833E-2</c:v>
                </c:pt>
                <c:pt idx="31">
                  <c:v>1.3551846668116273E-2</c:v>
                </c:pt>
                <c:pt idx="32">
                  <c:v>1.3182515748677627E-2</c:v>
                </c:pt>
                <c:pt idx="33">
                  <c:v>1.3116288699052136E-2</c:v>
                </c:pt>
                <c:pt idx="34">
                  <c:v>1.3338568527555626E-2</c:v>
                </c:pt>
                <c:pt idx="35">
                  <c:v>1.3389144185160507E-2</c:v>
                </c:pt>
                <c:pt idx="36">
                  <c:v>1.3420603838921481E-2</c:v>
                </c:pt>
                <c:pt idx="37">
                  <c:v>1.3289705997916656E-2</c:v>
                </c:pt>
                <c:pt idx="38">
                  <c:v>1.37558327712816E-2</c:v>
                </c:pt>
                <c:pt idx="39">
                  <c:v>1.3175530462899114E-2</c:v>
                </c:pt>
                <c:pt idx="40">
                  <c:v>1.3331771081695471E-2</c:v>
                </c:pt>
                <c:pt idx="41">
                  <c:v>1.3635477550350307E-2</c:v>
                </c:pt>
                <c:pt idx="42">
                  <c:v>1.1954318301808493E-2</c:v>
                </c:pt>
                <c:pt idx="43">
                  <c:v>1.1608895595267493E-2</c:v>
                </c:pt>
                <c:pt idx="44">
                  <c:v>1.1331166830605968E-2</c:v>
                </c:pt>
                <c:pt idx="45">
                  <c:v>1.1576948556018278E-2</c:v>
                </c:pt>
                <c:pt idx="46">
                  <c:v>1.2148861224373588E-2</c:v>
                </c:pt>
                <c:pt idx="47">
                  <c:v>1.2054797162773251E-2</c:v>
                </c:pt>
                <c:pt idx="48">
                  <c:v>1.239511926860528E-2</c:v>
                </c:pt>
                <c:pt idx="49">
                  <c:v>1.0341503923202284E-2</c:v>
                </c:pt>
                <c:pt idx="50">
                  <c:v>9.9695161983614326E-3</c:v>
                </c:pt>
                <c:pt idx="51">
                  <c:v>1.0611621877538819E-2</c:v>
                </c:pt>
                <c:pt idx="52">
                  <c:v>1.0800978069918761E-2</c:v>
                </c:pt>
                <c:pt idx="53">
                  <c:v>1.0928270760761707E-2</c:v>
                </c:pt>
                <c:pt idx="54">
                  <c:v>1.0666950192132728E-2</c:v>
                </c:pt>
                <c:pt idx="55">
                  <c:v>1.076866517985859E-2</c:v>
                </c:pt>
              </c:numCache>
            </c:numRef>
          </c:val>
          <c:extLst xmlns:c16r2="http://schemas.microsoft.com/office/drawing/2015/06/chart">
            <c:ext xmlns:c16="http://schemas.microsoft.com/office/drawing/2014/chart" uri="{C3380CC4-5D6E-409C-BE32-E72D297353CC}">
              <c16:uniqueId val="{00000001-27EE-4AB4-ACB2-0C3919BC8344}"/>
            </c:ext>
          </c:extLst>
        </c:ser>
        <c:ser>
          <c:idx val="4"/>
          <c:order val="2"/>
          <c:tx>
            <c:strRef>
              <c:f>'F-4'!$F$39</c:f>
              <c:strCache>
                <c:ptCount val="1"/>
                <c:pt idx="0">
                  <c:v>Property taxes</c:v>
                </c:pt>
              </c:strCache>
            </c:strRef>
          </c:tx>
          <c:spPr>
            <a:solidFill>
              <a:schemeClr val="bg1">
                <a:lumMod val="65000"/>
              </a:schemeClr>
            </a:solidFill>
            <a:ln w="25400">
              <a:noFill/>
            </a:ln>
          </c:spPr>
          <c:cat>
            <c:numRef>
              <c:f>'F-4'!$A$41:$A$96</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'F-4'!$M$41:$M$96</c:f>
              <c:numCache>
                <c:formatCode>0.0%</c:formatCode>
                <c:ptCount val="56"/>
                <c:pt idx="0">
                  <c:v>2.0146765592235386E-2</c:v>
                </c:pt>
                <c:pt idx="1">
                  <c:v>2.2645351231841186E-2</c:v>
                </c:pt>
                <c:pt idx="2">
                  <c:v>2.514393687144699E-2</c:v>
                </c:pt>
                <c:pt idx="3">
                  <c:v>2.541661100957112E-2</c:v>
                </c:pt>
                <c:pt idx="4">
                  <c:v>2.5689285147695255E-2</c:v>
                </c:pt>
                <c:pt idx="5">
                  <c:v>2.5746251788499045E-2</c:v>
                </c:pt>
                <c:pt idx="6">
                  <c:v>2.5803218429302836E-2</c:v>
                </c:pt>
                <c:pt idx="7">
                  <c:v>2.519629097124302E-2</c:v>
                </c:pt>
                <c:pt idx="8">
                  <c:v>2.5042089064274284E-2</c:v>
                </c:pt>
                <c:pt idx="9">
                  <c:v>2.5935506000383846E-2</c:v>
                </c:pt>
                <c:pt idx="10">
                  <c:v>2.8149419773007368E-2</c:v>
                </c:pt>
                <c:pt idx="11">
                  <c:v>2.8607668375937235E-2</c:v>
                </c:pt>
                <c:pt idx="12">
                  <c:v>2.8646065648528798E-2</c:v>
                </c:pt>
                <c:pt idx="13">
                  <c:v>2.808890370155117E-2</c:v>
                </c:pt>
                <c:pt idx="14">
                  <c:v>2.794180514925847E-2</c:v>
                </c:pt>
                <c:pt idx="15">
                  <c:v>2.7729153217394123E-2</c:v>
                </c:pt>
                <c:pt idx="16">
                  <c:v>2.7539606670382334E-2</c:v>
                </c:pt>
                <c:pt idx="17">
                  <c:v>2.724868657834971E-2</c:v>
                </c:pt>
                <c:pt idx="18">
                  <c:v>2.4972603383801112E-2</c:v>
                </c:pt>
                <c:pt idx="19">
                  <c:v>2.2726622471292049E-2</c:v>
                </c:pt>
                <c:pt idx="20">
                  <c:v>2.2222385053041988E-2</c:v>
                </c:pt>
                <c:pt idx="21">
                  <c:v>2.2234275032437089E-2</c:v>
                </c:pt>
                <c:pt idx="22">
                  <c:v>2.3937962039394214E-2</c:v>
                </c:pt>
                <c:pt idx="23">
                  <c:v>2.4219806648322673E-2</c:v>
                </c:pt>
                <c:pt idx="24">
                  <c:v>2.4001063112263635E-2</c:v>
                </c:pt>
                <c:pt idx="25">
                  <c:v>2.4215317044489742E-2</c:v>
                </c:pt>
                <c:pt idx="26">
                  <c:v>2.4898064358761428E-2</c:v>
                </c:pt>
                <c:pt idx="27">
                  <c:v>2.5569981871375644E-2</c:v>
                </c:pt>
                <c:pt idx="28">
                  <c:v>2.5175327249990113E-2</c:v>
                </c:pt>
                <c:pt idx="29">
                  <c:v>2.5849160326335014E-2</c:v>
                </c:pt>
                <c:pt idx="30">
                  <c:v>2.5801740918556634E-2</c:v>
                </c:pt>
                <c:pt idx="31">
                  <c:v>2.6240332960794702E-2</c:v>
                </c:pt>
                <c:pt idx="32">
                  <c:v>2.5313141212346686E-2</c:v>
                </c:pt>
                <c:pt idx="33">
                  <c:v>2.4276027420881866E-2</c:v>
                </c:pt>
                <c:pt idx="34">
                  <c:v>2.4306008495082888E-2</c:v>
                </c:pt>
                <c:pt idx="35">
                  <c:v>2.3193224825013511E-2</c:v>
                </c:pt>
                <c:pt idx="36">
                  <c:v>2.2949857833940573E-2</c:v>
                </c:pt>
                <c:pt idx="37">
                  <c:v>2.2562440945598498E-2</c:v>
                </c:pt>
                <c:pt idx="38">
                  <c:v>2.1788895365506898E-2</c:v>
                </c:pt>
                <c:pt idx="39">
                  <c:v>2.176225105695161E-2</c:v>
                </c:pt>
                <c:pt idx="40">
                  <c:v>2.1583544530804175E-2</c:v>
                </c:pt>
                <c:pt idx="41">
                  <c:v>2.1884854342639731E-2</c:v>
                </c:pt>
                <c:pt idx="42">
                  <c:v>2.2697924135812276E-2</c:v>
                </c:pt>
                <c:pt idx="43">
                  <c:v>2.2613745009863032E-2</c:v>
                </c:pt>
                <c:pt idx="44">
                  <c:v>2.2144586104764934E-2</c:v>
                </c:pt>
                <c:pt idx="45">
                  <c:v>2.2538935651288738E-2</c:v>
                </c:pt>
                <c:pt idx="46">
                  <c:v>2.2588017695464861E-2</c:v>
                </c:pt>
                <c:pt idx="47">
                  <c:v>2.3948886602191643E-2</c:v>
                </c:pt>
                <c:pt idx="48">
                  <c:v>2.3385430909543772E-2</c:v>
                </c:pt>
                <c:pt idx="49">
                  <c:v>2.4576411143366252E-2</c:v>
                </c:pt>
                <c:pt idx="50">
                  <c:v>2.2919294664215981E-2</c:v>
                </c:pt>
                <c:pt idx="51">
                  <c:v>2.2239448341500868E-2</c:v>
                </c:pt>
                <c:pt idx="52">
                  <c:v>2.1226746866585475E-2</c:v>
                </c:pt>
                <c:pt idx="53">
                  <c:v>2.0679839665296317E-2</c:v>
                </c:pt>
                <c:pt idx="54">
                  <c:v>1.981109414941826E-2</c:v>
                </c:pt>
                <c:pt idx="55">
                  <c:v>1.9159533815405409E-2</c:v>
                </c:pt>
              </c:numCache>
            </c:numRef>
          </c:val>
          <c:extLst xmlns:c16r2="http://schemas.microsoft.com/office/drawing/2015/06/chart">
            <c:ext xmlns:c16="http://schemas.microsoft.com/office/drawing/2014/chart" uri="{C3380CC4-5D6E-409C-BE32-E72D297353CC}">
              <c16:uniqueId val="{00000002-27EE-4AB4-ACB2-0C3919BC8344}"/>
            </c:ext>
          </c:extLst>
        </c:ser>
        <c:ser>
          <c:idx val="3"/>
          <c:order val="3"/>
          <c:tx>
            <c:strRef>
              <c:f>'F-4'!$E$39</c:f>
              <c:strCache>
                <c:ptCount val="1"/>
                <c:pt idx="0">
                  <c:v>Corporate taxes</c:v>
                </c:pt>
              </c:strCache>
            </c:strRef>
          </c:tx>
          <c:spPr>
            <a:solidFill>
              <a:schemeClr val="bg1">
                <a:lumMod val="75000"/>
                <a:alpha val="68000"/>
              </a:schemeClr>
            </a:solidFill>
            <a:ln w="25400">
              <a:noFill/>
            </a:ln>
          </c:spPr>
          <c:cat>
            <c:numRef>
              <c:f>'F-4'!$A$41:$A$96</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'F-4'!$L$41:$L$96</c:f>
              <c:numCache>
                <c:formatCode>0.0%</c:formatCode>
                <c:ptCount val="56"/>
                <c:pt idx="0">
                  <c:v>2.4256801477081997E-2</c:v>
                </c:pt>
                <c:pt idx="1">
                  <c:v>2.6548883636604275E-2</c:v>
                </c:pt>
                <c:pt idx="2">
                  <c:v>2.8840965796126553E-2</c:v>
                </c:pt>
                <c:pt idx="3">
                  <c:v>2.8204567967439913E-2</c:v>
                </c:pt>
                <c:pt idx="4">
                  <c:v>2.7568170138753269E-2</c:v>
                </c:pt>
                <c:pt idx="5">
                  <c:v>2.906559295369843E-2</c:v>
                </c:pt>
                <c:pt idx="6">
                  <c:v>3.0563015768643592E-2</c:v>
                </c:pt>
                <c:pt idx="7">
                  <c:v>2.6860698873953939E-2</c:v>
                </c:pt>
                <c:pt idx="8">
                  <c:v>2.8742045719612939E-2</c:v>
                </c:pt>
                <c:pt idx="9">
                  <c:v>2.8211176839343124E-2</c:v>
                </c:pt>
                <c:pt idx="10">
                  <c:v>2.3070151969064371E-2</c:v>
                </c:pt>
                <c:pt idx="11">
                  <c:v>2.2967535511969082E-2</c:v>
                </c:pt>
                <c:pt idx="12">
                  <c:v>2.3279996093452368E-2</c:v>
                </c:pt>
                <c:pt idx="13">
                  <c:v>2.5996830766030564E-2</c:v>
                </c:pt>
                <c:pt idx="14">
                  <c:v>2.7188862334272302E-2</c:v>
                </c:pt>
                <c:pt idx="15">
                  <c:v>2.3708967458517857E-2</c:v>
                </c:pt>
                <c:pt idx="16">
                  <c:v>2.6828486611482384E-2</c:v>
                </c:pt>
                <c:pt idx="17">
                  <c:v>2.9120597292550697E-2</c:v>
                </c:pt>
                <c:pt idx="18">
                  <c:v>3.0044574032055626E-2</c:v>
                </c:pt>
                <c:pt idx="19">
                  <c:v>2.7967955196264827E-2</c:v>
                </c:pt>
                <c:pt idx="20">
                  <c:v>2.3463064369482561E-2</c:v>
                </c:pt>
                <c:pt idx="21">
                  <c:v>2.0255758532537957E-2</c:v>
                </c:pt>
                <c:pt idx="22">
                  <c:v>1.4103112277772485E-2</c:v>
                </c:pt>
                <c:pt idx="23">
                  <c:v>1.7130695385868155E-2</c:v>
                </c:pt>
                <c:pt idx="24">
                  <c:v>1.9503208001561342E-2</c:v>
                </c:pt>
                <c:pt idx="25">
                  <c:v>1.8196982083941549E-2</c:v>
                </c:pt>
                <c:pt idx="26">
                  <c:v>1.9504216047411517E-2</c:v>
                </c:pt>
                <c:pt idx="27">
                  <c:v>2.3164426963480592E-2</c:v>
                </c:pt>
                <c:pt idx="28">
                  <c:v>2.3406629850067199E-2</c:v>
                </c:pt>
                <c:pt idx="29">
                  <c:v>2.1811540561511977E-2</c:v>
                </c:pt>
                <c:pt idx="30">
                  <c:v>1.9241501630451331E-2</c:v>
                </c:pt>
                <c:pt idx="31">
                  <c:v>1.6754747271535548E-2</c:v>
                </c:pt>
                <c:pt idx="32">
                  <c:v>1.6820607741752914E-2</c:v>
                </c:pt>
                <c:pt idx="33">
                  <c:v>1.9014624816885886E-2</c:v>
                </c:pt>
                <c:pt idx="34">
                  <c:v>2.0230331094294014E-2</c:v>
                </c:pt>
                <c:pt idx="35">
                  <c:v>2.1496651560670921E-2</c:v>
                </c:pt>
                <c:pt idx="36">
                  <c:v>2.2096655473975303E-2</c:v>
                </c:pt>
                <c:pt idx="37">
                  <c:v>2.1734403648834263E-2</c:v>
                </c:pt>
                <c:pt idx="38">
                  <c:v>2.0189285377204866E-2</c:v>
                </c:pt>
                <c:pt idx="39">
                  <c:v>2.021575236888469E-2</c:v>
                </c:pt>
                <c:pt idx="40">
                  <c:v>2.0123230034690652E-2</c:v>
                </c:pt>
                <c:pt idx="41">
                  <c:v>1.4695193612282734E-2</c:v>
                </c:pt>
                <c:pt idx="42">
                  <c:v>1.3538860393887117E-2</c:v>
                </c:pt>
                <c:pt idx="43">
                  <c:v>1.6563050230172262E-2</c:v>
                </c:pt>
                <c:pt idx="44">
                  <c:v>1.961751643626148E-2</c:v>
                </c:pt>
                <c:pt idx="45">
                  <c:v>2.5231734124796717E-2</c:v>
                </c:pt>
                <c:pt idx="46">
                  <c:v>2.7015925549261785E-2</c:v>
                </c:pt>
                <c:pt idx="47">
                  <c:v>2.4960172791157496E-2</c:v>
                </c:pt>
                <c:pt idx="48">
                  <c:v>1.6075523853051683E-2</c:v>
                </c:pt>
                <c:pt idx="49">
                  <c:v>1.2498325895110955E-2</c:v>
                </c:pt>
                <c:pt idx="50">
                  <c:v>1.4892166548525267E-2</c:v>
                </c:pt>
                <c:pt idx="51">
                  <c:v>1.514122993186259E-2</c:v>
                </c:pt>
                <c:pt idx="52">
                  <c:v>1.679777295394469E-2</c:v>
                </c:pt>
                <c:pt idx="53">
                  <c:v>1.7753072045926462E-2</c:v>
                </c:pt>
                <c:pt idx="54">
                  <c:v>1.7792552055424158E-2</c:v>
                </c:pt>
                <c:pt idx="55">
                  <c:v>1.6772015609028655E-2</c:v>
                </c:pt>
              </c:numCache>
            </c:numRef>
          </c:val>
          <c:extLst xmlns:c16r2="http://schemas.microsoft.com/office/drawing/2015/06/chart">
            <c:ext xmlns:c16="http://schemas.microsoft.com/office/drawing/2014/chart" uri="{C3380CC4-5D6E-409C-BE32-E72D297353CC}">
              <c16:uniqueId val="{00000003-27EE-4AB4-ACB2-0C3919BC8344}"/>
            </c:ext>
          </c:extLst>
        </c:ser>
        <c:ser>
          <c:idx val="0"/>
          <c:order val="4"/>
          <c:tx>
            <c:strRef>
              <c:f>'F-4'!$C$39</c:f>
              <c:strCache>
                <c:ptCount val="1"/>
                <c:pt idx="0">
                  <c:v>Federal income tax</c:v>
                </c:pt>
              </c:strCache>
            </c:strRef>
          </c:tx>
          <c:spPr>
            <a:solidFill>
              <a:schemeClr val="bg1">
                <a:lumMod val="75000"/>
              </a:schemeClr>
            </a:solidFill>
          </c:spPr>
          <c:cat>
            <c:numRef>
              <c:f>'F-4'!$A$41:$A$96</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'F-4'!$J$41:$J$96</c:f>
              <c:numCache>
                <c:formatCode>0.0%</c:formatCode>
                <c:ptCount val="56"/>
                <c:pt idx="0">
                  <c:v>6.0298464492064753E-2</c:v>
                </c:pt>
                <c:pt idx="1">
                  <c:v>6.0301988761090192E-2</c:v>
                </c:pt>
                <c:pt idx="2">
                  <c:v>6.0305513030115637E-2</c:v>
                </c:pt>
                <c:pt idx="3">
                  <c:v>5.5095714330959111E-2</c:v>
                </c:pt>
                <c:pt idx="4">
                  <c:v>4.9885915631802592E-2</c:v>
                </c:pt>
                <c:pt idx="5">
                  <c:v>5.2922869987565457E-2</c:v>
                </c:pt>
                <c:pt idx="6">
                  <c:v>5.5959824343328329E-2</c:v>
                </c:pt>
                <c:pt idx="7">
                  <c:v>5.7458769436875105E-2</c:v>
                </c:pt>
                <c:pt idx="8">
                  <c:v>6.2625038609255113E-2</c:v>
                </c:pt>
                <c:pt idx="9">
                  <c:v>7.1560350682747784E-2</c:v>
                </c:pt>
                <c:pt idx="10">
                  <c:v>6.6412197542251167E-2</c:v>
                </c:pt>
                <c:pt idx="11">
                  <c:v>5.7571328033611355E-2</c:v>
                </c:pt>
                <c:pt idx="12">
                  <c:v>6.1908534651319166E-2</c:v>
                </c:pt>
                <c:pt idx="13">
                  <c:v>6.0055082529909251E-2</c:v>
                </c:pt>
                <c:pt idx="14">
                  <c:v>6.4109990825008609E-2</c:v>
                </c:pt>
                <c:pt idx="15">
                  <c:v>5.4209198835729569E-2</c:v>
                </c:pt>
                <c:pt idx="16">
                  <c:v>5.6561914123518679E-2</c:v>
                </c:pt>
                <c:pt idx="17">
                  <c:v>5.8669812814354259E-2</c:v>
                </c:pt>
                <c:pt idx="18">
                  <c:v>6.1957522348510922E-2</c:v>
                </c:pt>
                <c:pt idx="19">
                  <c:v>6.5590014448160483E-2</c:v>
                </c:pt>
                <c:pt idx="20">
                  <c:v>6.7018719504798915E-2</c:v>
                </c:pt>
                <c:pt idx="21">
                  <c:v>7.0862930884119935E-2</c:v>
                </c:pt>
                <c:pt idx="22">
                  <c:v>6.686817601184758E-2</c:v>
                </c:pt>
                <c:pt idx="23">
                  <c:v>5.8750492966637549E-2</c:v>
                </c:pt>
                <c:pt idx="24">
                  <c:v>5.5258860013827349E-2</c:v>
                </c:pt>
                <c:pt idx="25">
                  <c:v>5.6459629954942817E-2</c:v>
                </c:pt>
                <c:pt idx="26">
                  <c:v>5.3468213858664265E-2</c:v>
                </c:pt>
                <c:pt idx="27">
                  <c:v>5.5177096940981558E-2</c:v>
                </c:pt>
                <c:pt idx="28">
                  <c:v>5.1634307698558569E-2</c:v>
                </c:pt>
                <c:pt idx="29">
                  <c:v>5.5582194016962433E-2</c:v>
                </c:pt>
                <c:pt idx="30">
                  <c:v>5.5463640114681828E-2</c:v>
                </c:pt>
                <c:pt idx="31">
                  <c:v>5.2171537494545797E-2</c:v>
                </c:pt>
                <c:pt idx="32">
                  <c:v>4.7971232666619991E-2</c:v>
                </c:pt>
                <c:pt idx="33">
                  <c:v>4.720858465357556E-2</c:v>
                </c:pt>
                <c:pt idx="34">
                  <c:v>4.7609853361648573E-2</c:v>
                </c:pt>
                <c:pt idx="35">
                  <c:v>4.7726927220786877E-2</c:v>
                </c:pt>
                <c:pt idx="36">
                  <c:v>4.9501605502528384E-2</c:v>
                </c:pt>
                <c:pt idx="37">
                  <c:v>5.1414182756036132E-2</c:v>
                </c:pt>
                <c:pt idx="38">
                  <c:v>5.1862901885250723E-2</c:v>
                </c:pt>
                <c:pt idx="39">
                  <c:v>5.1645584419733458E-2</c:v>
                </c:pt>
                <c:pt idx="40">
                  <c:v>5.3082502698539737E-2</c:v>
                </c:pt>
                <c:pt idx="41">
                  <c:v>5.3769198983800399E-2</c:v>
                </c:pt>
                <c:pt idx="42">
                  <c:v>4.1633106802880383E-2</c:v>
                </c:pt>
                <c:pt idx="43">
                  <c:v>3.6840857101833366E-2</c:v>
                </c:pt>
                <c:pt idx="44">
                  <c:v>3.3864609314719282E-2</c:v>
                </c:pt>
                <c:pt idx="45">
                  <c:v>3.5310102016596269E-2</c:v>
                </c:pt>
                <c:pt idx="46">
                  <c:v>3.6996848889401114E-2</c:v>
                </c:pt>
                <c:pt idx="47">
                  <c:v>3.9571710515753949E-2</c:v>
                </c:pt>
                <c:pt idx="48">
                  <c:v>4.0568266877340192E-2</c:v>
                </c:pt>
                <c:pt idx="49">
                  <c:v>3.0716110863501483E-2</c:v>
                </c:pt>
                <c:pt idx="50">
                  <c:v>3.1468184683285404E-2</c:v>
                </c:pt>
                <c:pt idx="51">
                  <c:v>3.6632904693323698E-2</c:v>
                </c:pt>
                <c:pt idx="52">
                  <c:v>3.4292647595019821E-2</c:v>
                </c:pt>
                <c:pt idx="53">
                  <c:v>3.7260552464639406E-2</c:v>
                </c:pt>
                <c:pt idx="54">
                  <c:v>3.7604710573494037E-2</c:v>
                </c:pt>
                <c:pt idx="55">
                  <c:v>3.9819935190245362E-2</c:v>
                </c:pt>
              </c:numCache>
            </c:numRef>
          </c:val>
          <c:extLst xmlns:c16r2="http://schemas.microsoft.com/office/drawing/2015/06/chart">
            <c:ext xmlns:c16="http://schemas.microsoft.com/office/drawing/2014/chart" uri="{C3380CC4-5D6E-409C-BE32-E72D297353CC}">
              <c16:uniqueId val="{00000004-27EE-4AB4-ACB2-0C3919BC8344}"/>
            </c:ext>
          </c:extLst>
        </c:ser>
        <c:dLbls>
          <c:showLegendKey val="0"/>
          <c:showVal val="0"/>
          <c:showCatName val="0"/>
          <c:showSerName val="0"/>
          <c:showPercent val="0"/>
          <c:showBubbleSize val="0"/>
        </c:dLbls>
        <c:axId val="512029496"/>
        <c:axId val="512028320"/>
      </c:areaChart>
      <c:catAx>
        <c:axId val="512029496"/>
        <c:scaling>
          <c:orientation val="minMax"/>
        </c:scaling>
        <c:delete val="0"/>
        <c:axPos val="b"/>
        <c:majorGridlines>
          <c:spPr>
            <a:ln w="12700">
              <a:no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300" b="0" i="0" u="none" strike="noStrike" baseline="0">
                <a:solidFill>
                  <a:srgbClr val="000000"/>
                </a:solidFill>
                <a:latin typeface="Arial"/>
                <a:ea typeface="Arial"/>
                <a:cs typeface="Arial"/>
              </a:defRPr>
            </a:pPr>
            <a:endParaRPr lang="en-US"/>
          </a:p>
        </c:txPr>
        <c:crossAx val="512028320"/>
        <c:crossesAt val="0"/>
        <c:auto val="1"/>
        <c:lblAlgn val="ctr"/>
        <c:lblOffset val="100"/>
        <c:tickLblSkip val="10"/>
        <c:tickMarkSkip val="10"/>
        <c:noMultiLvlLbl val="0"/>
      </c:catAx>
      <c:valAx>
        <c:axId val="512028320"/>
        <c:scaling>
          <c:orientation val="minMax"/>
          <c:max val="0.45"/>
          <c:min val="0"/>
        </c:scaling>
        <c:delete val="0"/>
        <c:axPos val="l"/>
        <c:majorGridlines>
          <c:spPr>
            <a:ln w="3175">
              <a:solidFill>
                <a:schemeClr val="bg1">
                  <a:lumMod val="50000"/>
                </a:schemeClr>
              </a:solidFill>
              <a:prstDash val="sysDash"/>
            </a:ln>
          </c:spPr>
        </c:majorGridlines>
        <c:title>
          <c:tx>
            <c:rich>
              <a:bodyPr/>
              <a:lstStyle/>
              <a:p>
                <a:pPr>
                  <a:defRPr sz="2050" b="0" i="0" u="none" strike="noStrike" baseline="0">
                    <a:solidFill>
                      <a:srgbClr val="000000"/>
                    </a:solidFill>
                    <a:latin typeface="Arial"/>
                    <a:ea typeface="Arial"/>
                    <a:cs typeface="Arial"/>
                  </a:defRPr>
                </a:pPr>
                <a:r>
                  <a:rPr lang="en-US" sz="1350" b="0"/>
                  <a:t>Taxes</a:t>
                </a:r>
                <a:r>
                  <a:rPr lang="en-US" sz="1350" b="0" baseline="0"/>
                  <a:t> as s</a:t>
                </a:r>
                <a:r>
                  <a:rPr lang="en-US" sz="1350" b="0"/>
                  <a:t>hares of</a:t>
                </a:r>
                <a:r>
                  <a:rPr lang="en-US" sz="1350" b="0" baseline="0"/>
                  <a:t> pre-tax after-transfer income</a:t>
                </a:r>
                <a:endParaRPr lang="en-US" sz="1350" b="0"/>
              </a:p>
            </c:rich>
          </c:tx>
          <c:layout>
            <c:manualLayout>
              <c:xMode val="edge"/>
              <c:yMode val="edge"/>
              <c:x val="1.7716922552822492E-2"/>
              <c:y val="0.17735762322414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512029496"/>
        <c:crosses val="autoZero"/>
        <c:crossBetween val="midCat"/>
        <c:majorUnit val="0.1"/>
        <c:minorUnit val="0.05"/>
      </c:valAx>
      <c:spPr>
        <a:solidFill>
          <a:srgbClr val="FFFFFF"/>
        </a:solidFill>
        <a:ln w="6350">
          <a:solidFill>
            <a:srgbClr val="000000"/>
          </a:solidFill>
          <a:prstDash val="solid"/>
        </a:ln>
      </c:spPr>
    </c:plotArea>
    <c:plotVisOnly val="1"/>
    <c:dispBlanksAs val="span"/>
    <c:showDLblsOverMax val="0"/>
  </c:chart>
  <c:spPr>
    <a:solidFill>
      <a:schemeClr val="bg1"/>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933" r="0.75000000000000933" t="1" header="0.5" footer="0.5"/>
    <c:pageSetup orientation="landscape" verticalDpi="96"/>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70866141732283"/>
          <c:y val="1.9601942469741892E-2"/>
          <c:w val="0.71066258384368608"/>
          <c:h val="0.92196949065577327"/>
        </c:manualLayout>
      </c:layout>
      <c:scatterChart>
        <c:scatterStyle val="lineMarker"/>
        <c:varyColors val="0"/>
        <c:ser>
          <c:idx val="2"/>
          <c:order val="0"/>
          <c:tx>
            <c:v>Bottom 90% social insurance transfers</c:v>
          </c:tx>
          <c:spPr>
            <a:ln w="25400">
              <a:solidFill>
                <a:srgbClr val="0070C0"/>
              </a:solidFill>
              <a:prstDash val="sysDash"/>
            </a:ln>
          </c:spPr>
          <c:marker>
            <c:symbol val="none"/>
          </c:marker>
          <c:dPt>
            <c:idx val="1"/>
            <c:bubble3D val="0"/>
            <c:extLst xmlns:c16r2="http://schemas.microsoft.com/office/drawing/2015/06/chart">
              <c:ext xmlns:c16="http://schemas.microsoft.com/office/drawing/2014/chart" uri="{C3380CC4-5D6E-409C-BE32-E72D297353CC}">
                <c16:uniqueId val="{00000000-2BBB-4E8D-A41F-B889E2267002}"/>
              </c:ext>
            </c:extLst>
          </c:dPt>
          <c:dPt>
            <c:idx val="3"/>
            <c:bubble3D val="0"/>
            <c:extLst xmlns:c16r2="http://schemas.microsoft.com/office/drawing/2015/06/chart">
              <c:ext xmlns:c16="http://schemas.microsoft.com/office/drawing/2014/chart" uri="{C3380CC4-5D6E-409C-BE32-E72D297353CC}">
                <c16:uniqueId val="{00000001-2BBB-4E8D-A41F-B889E2267002}"/>
              </c:ext>
            </c:extLst>
          </c:dPt>
          <c:dPt>
            <c:idx val="5"/>
            <c:bubble3D val="0"/>
            <c:extLst xmlns:c16r2="http://schemas.microsoft.com/office/drawing/2015/06/chart">
              <c:ext xmlns:c16="http://schemas.microsoft.com/office/drawing/2014/chart" uri="{C3380CC4-5D6E-409C-BE32-E72D297353CC}">
                <c16:uniqueId val="{00000002-2BBB-4E8D-A41F-B889E2267002}"/>
              </c:ext>
            </c:extLst>
          </c:dPt>
          <c:xVal>
            <c:numRef>
              <c:f>'F-5'!$A$39:$A$94</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xVal>
          <c:yVal>
            <c:numRef>
              <c:f>'F-5'!$E$39:$E$94</c:f>
              <c:numCache>
                <c:formatCode>0.0%</c:formatCode>
                <c:ptCount val="56"/>
                <c:pt idx="0">
                  <c:v>4.2426782978746885E-2</c:v>
                </c:pt>
                <c:pt idx="1">
                  <c:v>4.4283775993978911E-2</c:v>
                </c:pt>
                <c:pt idx="2">
                  <c:v>4.5931528226994228E-2</c:v>
                </c:pt>
                <c:pt idx="3">
                  <c:v>4.4514151912308259E-2</c:v>
                </c:pt>
                <c:pt idx="4">
                  <c:v>4.327263389743792E-2</c:v>
                </c:pt>
                <c:pt idx="5">
                  <c:v>4.3004656052217829E-2</c:v>
                </c:pt>
                <c:pt idx="6">
                  <c:v>4.2777061744735001E-2</c:v>
                </c:pt>
                <c:pt idx="7">
                  <c:v>4.7111261893001299E-2</c:v>
                </c:pt>
                <c:pt idx="8">
                  <c:v>4.9041924998460211E-2</c:v>
                </c:pt>
                <c:pt idx="9">
                  <c:v>4.797612752465525E-2</c:v>
                </c:pt>
                <c:pt idx="10">
                  <c:v>5.4797933628627372E-2</c:v>
                </c:pt>
                <c:pt idx="11">
                  <c:v>6.0814420842863953E-2</c:v>
                </c:pt>
                <c:pt idx="12">
                  <c:v>6.0119678375369079E-2</c:v>
                </c:pt>
                <c:pt idx="13">
                  <c:v>6.2286260394185528E-2</c:v>
                </c:pt>
                <c:pt idx="14">
                  <c:v>6.7835000370426238E-2</c:v>
                </c:pt>
                <c:pt idx="15">
                  <c:v>8.0405488977205231E-2</c:v>
                </c:pt>
                <c:pt idx="16">
                  <c:v>7.8676532155877443E-2</c:v>
                </c:pt>
                <c:pt idx="17">
                  <c:v>7.6073224046728172E-2</c:v>
                </c:pt>
                <c:pt idx="18">
                  <c:v>7.177909276679785E-2</c:v>
                </c:pt>
                <c:pt idx="19">
                  <c:v>7.4105956126490194E-2</c:v>
                </c:pt>
                <c:pt idx="20">
                  <c:v>8.1632953965848756E-2</c:v>
                </c:pt>
                <c:pt idx="21">
                  <c:v>8.2738278100818116E-2</c:v>
                </c:pt>
                <c:pt idx="22">
                  <c:v>9.1755350197691946E-2</c:v>
                </c:pt>
                <c:pt idx="23">
                  <c:v>9.1607335681261573E-2</c:v>
                </c:pt>
                <c:pt idx="24">
                  <c:v>8.28878883334217E-2</c:v>
                </c:pt>
                <c:pt idx="25">
                  <c:v>8.1136251779543103E-2</c:v>
                </c:pt>
                <c:pt idx="26">
                  <c:v>8.230697228156704E-2</c:v>
                </c:pt>
                <c:pt idx="27">
                  <c:v>7.972469842638652E-2</c:v>
                </c:pt>
                <c:pt idx="28">
                  <c:v>7.8813868915903321E-2</c:v>
                </c:pt>
                <c:pt idx="29">
                  <c:v>7.8990498489507538E-2</c:v>
                </c:pt>
                <c:pt idx="30">
                  <c:v>8.1850791301777137E-2</c:v>
                </c:pt>
                <c:pt idx="31">
                  <c:v>8.6377509659535542E-2</c:v>
                </c:pt>
                <c:pt idx="32">
                  <c:v>9.107804095730708E-2</c:v>
                </c:pt>
                <c:pt idx="33">
                  <c:v>9.1015432516324921E-2</c:v>
                </c:pt>
                <c:pt idx="34">
                  <c:v>8.8008480838614539E-2</c:v>
                </c:pt>
                <c:pt idx="35">
                  <c:v>8.8200997283412491E-2</c:v>
                </c:pt>
                <c:pt idx="36">
                  <c:v>8.7672313944300362E-2</c:v>
                </c:pt>
                <c:pt idx="37">
                  <c:v>8.6552192639998707E-2</c:v>
                </c:pt>
                <c:pt idx="38">
                  <c:v>8.3185639447866E-2</c:v>
                </c:pt>
                <c:pt idx="39">
                  <c:v>8.1028190789870211E-2</c:v>
                </c:pt>
                <c:pt idx="40">
                  <c:v>8.0170853132711814E-2</c:v>
                </c:pt>
                <c:pt idx="41">
                  <c:v>8.2792575449129061E-2</c:v>
                </c:pt>
                <c:pt idx="42">
                  <c:v>8.6508966514547411E-2</c:v>
                </c:pt>
                <c:pt idx="43">
                  <c:v>8.6650982805348289E-2</c:v>
                </c:pt>
                <c:pt idx="44">
                  <c:v>8.4214341928621123E-2</c:v>
                </c:pt>
                <c:pt idx="45">
                  <c:v>8.3974895275148259E-2</c:v>
                </c:pt>
                <c:pt idx="46">
                  <c:v>8.5368627584671258E-2</c:v>
                </c:pt>
                <c:pt idx="47">
                  <c:v>8.7251551594200047E-2</c:v>
                </c:pt>
                <c:pt idx="48">
                  <c:v>9.0435218510794418E-2</c:v>
                </c:pt>
                <c:pt idx="49">
                  <c:v>0.10619958683925006</c:v>
                </c:pt>
                <c:pt idx="50">
                  <c:v>0.10605326955007448</c:v>
                </c:pt>
                <c:pt idx="51">
                  <c:v>0.10214623883753494</c:v>
                </c:pt>
                <c:pt idx="52">
                  <c:v>0.10295672817920351</c:v>
                </c:pt>
                <c:pt idx="53">
                  <c:v>0.10034510051485802</c:v>
                </c:pt>
                <c:pt idx="54">
                  <c:v>9.8482134242585853E-2</c:v>
                </c:pt>
                <c:pt idx="55">
                  <c:v>9.7841286969107114E-2</c:v>
                </c:pt>
              </c:numCache>
            </c:numRef>
          </c:yVal>
          <c:smooth val="0"/>
          <c:extLst xmlns:c16r2="http://schemas.microsoft.com/office/drawing/2015/06/chart">
            <c:ext xmlns:c16="http://schemas.microsoft.com/office/drawing/2014/chart" uri="{C3380CC4-5D6E-409C-BE32-E72D297353CC}">
              <c16:uniqueId val="{00000003-2BBB-4E8D-A41F-B889E2267002}"/>
            </c:ext>
          </c:extLst>
        </c:ser>
        <c:ser>
          <c:idx val="1"/>
          <c:order val="1"/>
          <c:tx>
            <c:v>Bottom 90% payroll taxes</c:v>
          </c:tx>
          <c:spPr>
            <a:ln w="25400">
              <a:solidFill>
                <a:srgbClr val="0070C0"/>
              </a:solidFill>
            </a:ln>
          </c:spPr>
          <c:marker>
            <c:symbol val="none"/>
          </c:marker>
          <c:dPt>
            <c:idx val="1"/>
            <c:bubble3D val="0"/>
            <c:extLst xmlns:c16r2="http://schemas.microsoft.com/office/drawing/2015/06/chart">
              <c:ext xmlns:c16="http://schemas.microsoft.com/office/drawing/2014/chart" uri="{C3380CC4-5D6E-409C-BE32-E72D297353CC}">
                <c16:uniqueId val="{00000004-2BBB-4E8D-A41F-B889E2267002}"/>
              </c:ext>
            </c:extLst>
          </c:dPt>
          <c:dPt>
            <c:idx val="3"/>
            <c:bubble3D val="0"/>
            <c:extLst xmlns:c16r2="http://schemas.microsoft.com/office/drawing/2015/06/chart">
              <c:ext xmlns:c16="http://schemas.microsoft.com/office/drawing/2014/chart" uri="{C3380CC4-5D6E-409C-BE32-E72D297353CC}">
                <c16:uniqueId val="{00000005-2BBB-4E8D-A41F-B889E2267002}"/>
              </c:ext>
            </c:extLst>
          </c:dPt>
          <c:dPt>
            <c:idx val="5"/>
            <c:bubble3D val="0"/>
            <c:extLst xmlns:c16r2="http://schemas.microsoft.com/office/drawing/2015/06/chart">
              <c:ext xmlns:c16="http://schemas.microsoft.com/office/drawing/2014/chart" uri="{C3380CC4-5D6E-409C-BE32-E72D297353CC}">
                <c16:uniqueId val="{00000006-2BBB-4E8D-A41F-B889E2267002}"/>
              </c:ext>
            </c:extLst>
          </c:dPt>
          <c:xVal>
            <c:numRef>
              <c:f>'F-5'!$A$39:$A$94</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xVal>
          <c:yVal>
            <c:numRef>
              <c:f>'F-5'!$F$39:$F$94</c:f>
              <c:numCache>
                <c:formatCode>0.0%</c:formatCode>
                <c:ptCount val="56"/>
                <c:pt idx="0">
                  <c:v>4.167147418942023E-2</c:v>
                </c:pt>
                <c:pt idx="1">
                  <c:v>4.2199417889571558E-2</c:v>
                </c:pt>
                <c:pt idx="2">
                  <c:v>4.2667874345651953E-2</c:v>
                </c:pt>
                <c:pt idx="3">
                  <c:v>4.2874499956630924E-2</c:v>
                </c:pt>
                <c:pt idx="4">
                  <c:v>4.3055488862910232E-2</c:v>
                </c:pt>
                <c:pt idx="5">
                  <c:v>4.7326505739659887E-2</c:v>
                </c:pt>
                <c:pt idx="6">
                  <c:v>5.0953891904784568E-2</c:v>
                </c:pt>
                <c:pt idx="7">
                  <c:v>5.3286245430011606E-2</c:v>
                </c:pt>
                <c:pt idx="8">
                  <c:v>5.3008753285201451E-2</c:v>
                </c:pt>
                <c:pt idx="9">
                  <c:v>5.4919115616639883E-2</c:v>
                </c:pt>
                <c:pt idx="10">
                  <c:v>5.3982025176342582E-2</c:v>
                </c:pt>
                <c:pt idx="11">
                  <c:v>5.464791472532534E-2</c:v>
                </c:pt>
                <c:pt idx="12">
                  <c:v>5.751772852464658E-2</c:v>
                </c:pt>
                <c:pt idx="13">
                  <c:v>6.495210781979964E-2</c:v>
                </c:pt>
                <c:pt idx="14">
                  <c:v>6.6488681228688215E-2</c:v>
                </c:pt>
                <c:pt idx="15">
                  <c:v>6.3391873246754632E-2</c:v>
                </c:pt>
                <c:pt idx="16">
                  <c:v>6.4456194611829179E-2</c:v>
                </c:pt>
                <c:pt idx="17">
                  <c:v>6.5043419801867328E-2</c:v>
                </c:pt>
                <c:pt idx="18">
                  <c:v>6.7277107756266136E-2</c:v>
                </c:pt>
                <c:pt idx="19">
                  <c:v>6.989259116168596E-2</c:v>
                </c:pt>
                <c:pt idx="20">
                  <c:v>6.8675000176613349E-2</c:v>
                </c:pt>
                <c:pt idx="21">
                  <c:v>7.1336127000240501E-2</c:v>
                </c:pt>
                <c:pt idx="22">
                  <c:v>7.146532263381275E-2</c:v>
                </c:pt>
                <c:pt idx="23">
                  <c:v>7.1406781607484926E-2</c:v>
                </c:pt>
                <c:pt idx="24">
                  <c:v>7.4203926723184113E-2</c:v>
                </c:pt>
                <c:pt idx="25">
                  <c:v>7.620829232113098E-2</c:v>
                </c:pt>
                <c:pt idx="26">
                  <c:v>7.7323229648230102E-2</c:v>
                </c:pt>
                <c:pt idx="27">
                  <c:v>7.7461292445420438E-2</c:v>
                </c:pt>
                <c:pt idx="28">
                  <c:v>8.1235944951358399E-2</c:v>
                </c:pt>
                <c:pt idx="29">
                  <c:v>7.996283551584088E-2</c:v>
                </c:pt>
                <c:pt idx="30">
                  <c:v>8.1988992605606895E-2</c:v>
                </c:pt>
                <c:pt idx="31">
                  <c:v>8.1686030222251849E-2</c:v>
                </c:pt>
                <c:pt idx="32">
                  <c:v>8.0022463420574882E-2</c:v>
                </c:pt>
                <c:pt idx="33">
                  <c:v>7.9710933310438728E-2</c:v>
                </c:pt>
                <c:pt idx="34">
                  <c:v>7.8349403447435462E-2</c:v>
                </c:pt>
                <c:pt idx="35">
                  <c:v>7.828387155524287E-2</c:v>
                </c:pt>
                <c:pt idx="36">
                  <c:v>7.7824727837322971E-2</c:v>
                </c:pt>
                <c:pt idx="37">
                  <c:v>7.8011115042397078E-2</c:v>
                </c:pt>
                <c:pt idx="38">
                  <c:v>7.8370578219504966E-2</c:v>
                </c:pt>
                <c:pt idx="39">
                  <c:v>7.8932099628244295E-2</c:v>
                </c:pt>
                <c:pt idx="40">
                  <c:v>7.9150529459227001E-2</c:v>
                </c:pt>
                <c:pt idx="41">
                  <c:v>7.7399488492553764E-2</c:v>
                </c:pt>
                <c:pt idx="42">
                  <c:v>7.5403731125617351E-2</c:v>
                </c:pt>
                <c:pt idx="43">
                  <c:v>7.4960625023799229E-2</c:v>
                </c:pt>
                <c:pt idx="44">
                  <c:v>7.5770567302137687E-2</c:v>
                </c:pt>
                <c:pt idx="45">
                  <c:v>7.542479002125925E-2</c:v>
                </c:pt>
                <c:pt idx="46">
                  <c:v>7.4458998803171417E-2</c:v>
                </c:pt>
                <c:pt idx="47">
                  <c:v>7.4575160770462612E-2</c:v>
                </c:pt>
                <c:pt idx="48">
                  <c:v>7.3004638774393851E-2</c:v>
                </c:pt>
                <c:pt idx="49">
                  <c:v>6.9940574199217453E-2</c:v>
                </c:pt>
                <c:pt idx="50">
                  <c:v>6.9139748136841858E-2</c:v>
                </c:pt>
                <c:pt idx="51">
                  <c:v>6.1097565083481471E-2</c:v>
                </c:pt>
                <c:pt idx="52">
                  <c:v>6.1675965750154681E-2</c:v>
                </c:pt>
                <c:pt idx="53">
                  <c:v>6.9292800965287726E-2</c:v>
                </c:pt>
                <c:pt idx="54">
                  <c:v>6.9478965876997048E-2</c:v>
                </c:pt>
                <c:pt idx="55">
                  <c:v>6.9132778824152821E-2</c:v>
                </c:pt>
              </c:numCache>
            </c:numRef>
          </c:yVal>
          <c:smooth val="0"/>
          <c:extLst xmlns:c16r2="http://schemas.microsoft.com/office/drawing/2015/06/chart">
            <c:ext xmlns:c16="http://schemas.microsoft.com/office/drawing/2014/chart" uri="{C3380CC4-5D6E-409C-BE32-E72D297353CC}">
              <c16:uniqueId val="{00000007-2BBB-4E8D-A41F-B889E2267002}"/>
            </c:ext>
          </c:extLst>
        </c:ser>
        <c:ser>
          <c:idx val="0"/>
          <c:order val="2"/>
          <c:tx>
            <c:v>Top 1% Social insurance transfers</c:v>
          </c:tx>
          <c:spPr>
            <a:ln w="25400">
              <a:solidFill>
                <a:schemeClr val="accent2">
                  <a:lumMod val="75000"/>
                </a:schemeClr>
              </a:solidFill>
              <a:prstDash val="sysDash"/>
            </a:ln>
          </c:spPr>
          <c:marker>
            <c:symbol val="none"/>
          </c:marker>
          <c:dPt>
            <c:idx val="1"/>
            <c:bubble3D val="0"/>
            <c:extLst xmlns:c16r2="http://schemas.microsoft.com/office/drawing/2015/06/chart">
              <c:ext xmlns:c16="http://schemas.microsoft.com/office/drawing/2014/chart" uri="{C3380CC4-5D6E-409C-BE32-E72D297353CC}">
                <c16:uniqueId val="{00000008-2BBB-4E8D-A41F-B889E2267002}"/>
              </c:ext>
            </c:extLst>
          </c:dPt>
          <c:dPt>
            <c:idx val="3"/>
            <c:bubble3D val="0"/>
            <c:extLst xmlns:c16r2="http://schemas.microsoft.com/office/drawing/2015/06/chart">
              <c:ext xmlns:c16="http://schemas.microsoft.com/office/drawing/2014/chart" uri="{C3380CC4-5D6E-409C-BE32-E72D297353CC}">
                <c16:uniqueId val="{00000009-2BBB-4E8D-A41F-B889E2267002}"/>
              </c:ext>
            </c:extLst>
          </c:dPt>
          <c:dPt>
            <c:idx val="5"/>
            <c:bubble3D val="0"/>
            <c:extLst xmlns:c16r2="http://schemas.microsoft.com/office/drawing/2015/06/chart">
              <c:ext xmlns:c16="http://schemas.microsoft.com/office/drawing/2014/chart" uri="{C3380CC4-5D6E-409C-BE32-E72D297353CC}">
                <c16:uniqueId val="{0000000A-2BBB-4E8D-A41F-B889E2267002}"/>
              </c:ext>
            </c:extLst>
          </c:dPt>
          <c:xVal>
            <c:numRef>
              <c:f>'F-5'!$A$39:$A$92</c:f>
              <c:numCache>
                <c:formatCode>General</c:formatCode>
                <c:ptCount val="54"/>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numCache>
            </c:numRef>
          </c:xVal>
          <c:yVal>
            <c:numRef>
              <c:f>'F-5'!$B$39:$B$94</c:f>
              <c:numCache>
                <c:formatCode>0.0%</c:formatCode>
                <c:ptCount val="56"/>
                <c:pt idx="0">
                  <c:v>3.3121546018338266E-3</c:v>
                </c:pt>
                <c:pt idx="1">
                  <c:v>3.5361752391555568E-3</c:v>
                </c:pt>
                <c:pt idx="2">
                  <c:v>3.7354886524990829E-3</c:v>
                </c:pt>
                <c:pt idx="3">
                  <c:v>3.6357932705896427E-3</c:v>
                </c:pt>
                <c:pt idx="4">
                  <c:v>3.5507278675752513E-3</c:v>
                </c:pt>
                <c:pt idx="5">
                  <c:v>3.8483553516894353E-3</c:v>
                </c:pt>
                <c:pt idx="6">
                  <c:v>4.0987942818300257E-3</c:v>
                </c:pt>
                <c:pt idx="7">
                  <c:v>4.4295883902183194E-3</c:v>
                </c:pt>
                <c:pt idx="8">
                  <c:v>5.0156460554913193E-3</c:v>
                </c:pt>
                <c:pt idx="9">
                  <c:v>5.1344691337820072E-3</c:v>
                </c:pt>
                <c:pt idx="10">
                  <c:v>6.1736161382083569E-3</c:v>
                </c:pt>
                <c:pt idx="11">
                  <c:v>6.424438857288447E-3</c:v>
                </c:pt>
                <c:pt idx="12">
                  <c:v>6.4178304619693597E-3</c:v>
                </c:pt>
                <c:pt idx="13">
                  <c:v>7.2494406489656289E-3</c:v>
                </c:pt>
                <c:pt idx="14">
                  <c:v>7.1524880946701973E-3</c:v>
                </c:pt>
                <c:pt idx="15">
                  <c:v>7.7541702676276426E-3</c:v>
                </c:pt>
                <c:pt idx="16">
                  <c:v>8.4008344211607498E-3</c:v>
                </c:pt>
                <c:pt idx="17">
                  <c:v>8.7188657886112849E-3</c:v>
                </c:pt>
                <c:pt idx="18">
                  <c:v>8.2061183167299202E-3</c:v>
                </c:pt>
                <c:pt idx="19">
                  <c:v>6.6656775561812391E-3</c:v>
                </c:pt>
                <c:pt idx="20">
                  <c:v>7.1132250494105884E-3</c:v>
                </c:pt>
                <c:pt idx="21">
                  <c:v>7.7366571567748683E-3</c:v>
                </c:pt>
                <c:pt idx="22">
                  <c:v>7.9491115079679403E-3</c:v>
                </c:pt>
                <c:pt idx="23">
                  <c:v>7.5260737669844303E-3</c:v>
                </c:pt>
                <c:pt idx="24">
                  <c:v>7.0303900301389765E-3</c:v>
                </c:pt>
                <c:pt idx="25">
                  <c:v>7.8429944860294778E-3</c:v>
                </c:pt>
                <c:pt idx="26">
                  <c:v>7.0262875995317194E-3</c:v>
                </c:pt>
                <c:pt idx="27">
                  <c:v>6.7065242532305296E-3</c:v>
                </c:pt>
                <c:pt idx="28">
                  <c:v>4.9662800283878528E-3</c:v>
                </c:pt>
                <c:pt idx="29">
                  <c:v>5.3273552991707027E-3</c:v>
                </c:pt>
                <c:pt idx="30">
                  <c:v>4.9690359612220699E-3</c:v>
                </c:pt>
                <c:pt idx="31">
                  <c:v>5.8589637562274314E-3</c:v>
                </c:pt>
                <c:pt idx="32">
                  <c:v>5.0735060551207163E-3</c:v>
                </c:pt>
                <c:pt idx="33">
                  <c:v>5.1964409114487464E-3</c:v>
                </c:pt>
                <c:pt idx="34">
                  <c:v>5.1557955192376844E-3</c:v>
                </c:pt>
                <c:pt idx="35">
                  <c:v>5.065131385239144E-3</c:v>
                </c:pt>
                <c:pt idx="36">
                  <c:v>4.9046702277890913E-3</c:v>
                </c:pt>
                <c:pt idx="37">
                  <c:v>4.5745429880392277E-3</c:v>
                </c:pt>
                <c:pt idx="38">
                  <c:v>4.2665276635035446E-3</c:v>
                </c:pt>
                <c:pt idx="39">
                  <c:v>3.7801707800719101E-3</c:v>
                </c:pt>
                <c:pt idx="40">
                  <c:v>3.9759396803639314E-3</c:v>
                </c:pt>
                <c:pt idx="41">
                  <c:v>4.3642928634531767E-3</c:v>
                </c:pt>
                <c:pt idx="42">
                  <c:v>4.8824123855900348E-3</c:v>
                </c:pt>
                <c:pt idx="43">
                  <c:v>4.665470354099038E-3</c:v>
                </c:pt>
                <c:pt idx="44">
                  <c:v>4.2720710166470419E-3</c:v>
                </c:pt>
                <c:pt idx="45">
                  <c:v>3.732869910816942E-3</c:v>
                </c:pt>
                <c:pt idx="46">
                  <c:v>3.8542959460863171E-3</c:v>
                </c:pt>
                <c:pt idx="47">
                  <c:v>3.8308600128421737E-3</c:v>
                </c:pt>
                <c:pt idx="48">
                  <c:v>4.1421439823225697E-3</c:v>
                </c:pt>
                <c:pt idx="49">
                  <c:v>5.2410029380523639E-3</c:v>
                </c:pt>
                <c:pt idx="50">
                  <c:v>4.6879654196872733E-3</c:v>
                </c:pt>
                <c:pt idx="51">
                  <c:v>4.6621921597319533E-3</c:v>
                </c:pt>
                <c:pt idx="52">
                  <c:v>4.1913172853863924E-3</c:v>
                </c:pt>
                <c:pt idx="53">
                  <c:v>4.8500338711959298E-3</c:v>
                </c:pt>
                <c:pt idx="54">
                  <c:v>4.5603869421088255E-3</c:v>
                </c:pt>
                <c:pt idx="55">
                  <c:v>4.6351275497303456E-3</c:v>
                </c:pt>
              </c:numCache>
            </c:numRef>
          </c:yVal>
          <c:smooth val="0"/>
          <c:extLst xmlns:c16r2="http://schemas.microsoft.com/office/drawing/2015/06/chart">
            <c:ext xmlns:c16="http://schemas.microsoft.com/office/drawing/2014/chart" uri="{C3380CC4-5D6E-409C-BE32-E72D297353CC}">
              <c16:uniqueId val="{0000000B-2BBB-4E8D-A41F-B889E2267002}"/>
            </c:ext>
          </c:extLst>
        </c:ser>
        <c:ser>
          <c:idx val="3"/>
          <c:order val="3"/>
          <c:tx>
            <c:v>Top 1% Payroll Taxes</c:v>
          </c:tx>
          <c:spPr>
            <a:ln w="25400">
              <a:solidFill>
                <a:schemeClr val="accent2">
                  <a:lumMod val="75000"/>
                </a:schemeClr>
              </a:solidFill>
            </a:ln>
          </c:spPr>
          <c:marker>
            <c:symbol val="none"/>
          </c:marker>
          <c:dPt>
            <c:idx val="1"/>
            <c:bubble3D val="0"/>
            <c:extLst xmlns:c16r2="http://schemas.microsoft.com/office/drawing/2015/06/chart">
              <c:ext xmlns:c16="http://schemas.microsoft.com/office/drawing/2014/chart" uri="{C3380CC4-5D6E-409C-BE32-E72D297353CC}">
                <c16:uniqueId val="{0000000C-2BBB-4E8D-A41F-B889E2267002}"/>
              </c:ext>
            </c:extLst>
          </c:dPt>
          <c:dPt>
            <c:idx val="3"/>
            <c:bubble3D val="0"/>
            <c:extLst xmlns:c16r2="http://schemas.microsoft.com/office/drawing/2015/06/chart">
              <c:ext xmlns:c16="http://schemas.microsoft.com/office/drawing/2014/chart" uri="{C3380CC4-5D6E-409C-BE32-E72D297353CC}">
                <c16:uniqueId val="{0000000D-2BBB-4E8D-A41F-B889E2267002}"/>
              </c:ext>
            </c:extLst>
          </c:dPt>
          <c:dPt>
            <c:idx val="5"/>
            <c:bubble3D val="0"/>
            <c:extLst xmlns:c16r2="http://schemas.microsoft.com/office/drawing/2015/06/chart">
              <c:ext xmlns:c16="http://schemas.microsoft.com/office/drawing/2014/chart" uri="{C3380CC4-5D6E-409C-BE32-E72D297353CC}">
                <c16:uniqueId val="{0000000E-2BBB-4E8D-A41F-B889E2267002}"/>
              </c:ext>
            </c:extLst>
          </c:dPt>
          <c:xVal>
            <c:numRef>
              <c:f>'F-5'!$A$39:$A$92</c:f>
              <c:numCache>
                <c:formatCode>General</c:formatCode>
                <c:ptCount val="54"/>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numCache>
            </c:numRef>
          </c:xVal>
          <c:yVal>
            <c:numRef>
              <c:f>'F-5'!$C$39:$C$94</c:f>
              <c:numCache>
                <c:formatCode>0.0%</c:formatCode>
                <c:ptCount val="56"/>
                <c:pt idx="0">
                  <c:v>2.7363735513388741E-3</c:v>
                </c:pt>
                <c:pt idx="1">
                  <c:v>3.0904560280915496E-3</c:v>
                </c:pt>
                <c:pt idx="2">
                  <c:v>3.4054867676271694E-3</c:v>
                </c:pt>
                <c:pt idx="3">
                  <c:v>3.4463256979498842E-3</c:v>
                </c:pt>
                <c:pt idx="4">
                  <c:v>3.4811716442490316E-3</c:v>
                </c:pt>
                <c:pt idx="5">
                  <c:v>3.9942340698403446E-3</c:v>
                </c:pt>
                <c:pt idx="6">
                  <c:v>4.4259509347215698E-3</c:v>
                </c:pt>
                <c:pt idx="7">
                  <c:v>4.5037748175236264E-3</c:v>
                </c:pt>
                <c:pt idx="8">
                  <c:v>4.7297332841240349E-3</c:v>
                </c:pt>
                <c:pt idx="9">
                  <c:v>5.7076044831165292E-3</c:v>
                </c:pt>
                <c:pt idx="10">
                  <c:v>6.0883820098083857E-3</c:v>
                </c:pt>
                <c:pt idx="11">
                  <c:v>6.1107347888093308E-3</c:v>
                </c:pt>
                <c:pt idx="12">
                  <c:v>5.9310024738686096E-3</c:v>
                </c:pt>
                <c:pt idx="13">
                  <c:v>7.1879286039302145E-3</c:v>
                </c:pt>
                <c:pt idx="14">
                  <c:v>8.6053397357094639E-3</c:v>
                </c:pt>
                <c:pt idx="15">
                  <c:v>8.5018158062575341E-3</c:v>
                </c:pt>
                <c:pt idx="16">
                  <c:v>8.7082388442059743E-3</c:v>
                </c:pt>
                <c:pt idx="17">
                  <c:v>8.7232237026097295E-3</c:v>
                </c:pt>
                <c:pt idx="18">
                  <c:v>9.3337209233551963E-3</c:v>
                </c:pt>
                <c:pt idx="19">
                  <c:v>1.053069066485853E-2</c:v>
                </c:pt>
                <c:pt idx="20">
                  <c:v>1.1613547753714431E-2</c:v>
                </c:pt>
                <c:pt idx="21">
                  <c:v>1.332356735549477E-2</c:v>
                </c:pt>
                <c:pt idx="22">
                  <c:v>1.4561922478517808E-2</c:v>
                </c:pt>
                <c:pt idx="23">
                  <c:v>1.482707117777398E-2</c:v>
                </c:pt>
                <c:pt idx="24">
                  <c:v>1.377589727661593E-2</c:v>
                </c:pt>
                <c:pt idx="25">
                  <c:v>1.432337747898854E-2</c:v>
                </c:pt>
                <c:pt idx="26">
                  <c:v>1.607519281092306E-2</c:v>
                </c:pt>
                <c:pt idx="27">
                  <c:v>1.5120795709126422E-2</c:v>
                </c:pt>
                <c:pt idx="28">
                  <c:v>1.3350465213995974E-2</c:v>
                </c:pt>
                <c:pt idx="29">
                  <c:v>1.3971944827983862E-2</c:v>
                </c:pt>
                <c:pt idx="30">
                  <c:v>1.4189383270712522E-2</c:v>
                </c:pt>
                <c:pt idx="31">
                  <c:v>1.7141671508800221E-2</c:v>
                </c:pt>
                <c:pt idx="32">
                  <c:v>1.7513866518071991E-2</c:v>
                </c:pt>
                <c:pt idx="33">
                  <c:v>1.8553706334281356E-2</c:v>
                </c:pt>
                <c:pt idx="34">
                  <c:v>2.4829622782298579E-2</c:v>
                </c:pt>
                <c:pt idx="35">
                  <c:v>2.3880314197761269E-2</c:v>
                </c:pt>
                <c:pt idx="36">
                  <c:v>2.3082146068683335E-2</c:v>
                </c:pt>
                <c:pt idx="37">
                  <c:v>2.236104922914647E-2</c:v>
                </c:pt>
                <c:pt idx="38">
                  <c:v>2.2718288646979036E-2</c:v>
                </c:pt>
                <c:pt idx="39">
                  <c:v>2.2757697314228952E-2</c:v>
                </c:pt>
                <c:pt idx="40">
                  <c:v>2.3190692324518831E-2</c:v>
                </c:pt>
                <c:pt idx="41">
                  <c:v>2.3566228316669394E-2</c:v>
                </c:pt>
                <c:pt idx="42">
                  <c:v>2.4177142063177517E-2</c:v>
                </c:pt>
                <c:pt idx="43">
                  <c:v>2.3289348564524061E-2</c:v>
                </c:pt>
                <c:pt idx="44">
                  <c:v>2.1962376717593431E-2</c:v>
                </c:pt>
                <c:pt idx="45">
                  <c:v>2.032543612169992E-2</c:v>
                </c:pt>
                <c:pt idx="46">
                  <c:v>1.9607961577657883E-2</c:v>
                </c:pt>
                <c:pt idx="47">
                  <c:v>2.0525355791103803E-2</c:v>
                </c:pt>
                <c:pt idx="48">
                  <c:v>2.1625261099642131E-2</c:v>
                </c:pt>
                <c:pt idx="49">
                  <c:v>2.2425046936212324E-2</c:v>
                </c:pt>
                <c:pt idx="50">
                  <c:v>2.0452131082764034E-2</c:v>
                </c:pt>
                <c:pt idx="51">
                  <c:v>1.9530379679265793E-2</c:v>
                </c:pt>
                <c:pt idx="52">
                  <c:v>1.8206429583015084E-2</c:v>
                </c:pt>
                <c:pt idx="53">
                  <c:v>2.1038580511827696E-2</c:v>
                </c:pt>
                <c:pt idx="54">
                  <c:v>2.0828775384596401E-2</c:v>
                </c:pt>
                <c:pt idx="55">
                  <c:v>2.1095988780563998E-2</c:v>
                </c:pt>
              </c:numCache>
            </c:numRef>
          </c:yVal>
          <c:smooth val="0"/>
          <c:extLst xmlns:c16r2="http://schemas.microsoft.com/office/drawing/2015/06/chart">
            <c:ext xmlns:c16="http://schemas.microsoft.com/office/drawing/2014/chart" uri="{C3380CC4-5D6E-409C-BE32-E72D297353CC}">
              <c16:uniqueId val="{0000000F-2BBB-4E8D-A41F-B889E2267002}"/>
            </c:ext>
          </c:extLst>
        </c:ser>
        <c:dLbls>
          <c:showLegendKey val="0"/>
          <c:showVal val="0"/>
          <c:showCatName val="0"/>
          <c:showSerName val="0"/>
          <c:showPercent val="0"/>
          <c:showBubbleSize val="0"/>
        </c:dLbls>
        <c:axId val="512026360"/>
        <c:axId val="512031064"/>
      </c:scatterChart>
      <c:valAx>
        <c:axId val="512026360"/>
        <c:scaling>
          <c:orientation val="minMax"/>
          <c:max val="2015"/>
          <c:min val="1960"/>
        </c:scaling>
        <c:delete val="0"/>
        <c:axPos val="b"/>
        <c:majorGridlines>
          <c:spPr>
            <a:ln w="6350">
              <a:solidFill>
                <a:schemeClr val="bg1">
                  <a:lumMod val="50000"/>
                </a:schemeClr>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300" b="0" i="0" u="none" strike="noStrike" baseline="0">
                <a:solidFill>
                  <a:srgbClr val="000000"/>
                </a:solidFill>
                <a:latin typeface="Arial"/>
                <a:ea typeface="Arial"/>
                <a:cs typeface="Arial"/>
              </a:defRPr>
            </a:pPr>
            <a:endParaRPr lang="en-US"/>
          </a:p>
        </c:txPr>
        <c:crossAx val="512031064"/>
        <c:crossesAt val="0"/>
        <c:crossBetween val="midCat"/>
        <c:majorUnit val="10"/>
        <c:minorUnit val="5"/>
      </c:valAx>
      <c:valAx>
        <c:axId val="512031064"/>
        <c:scaling>
          <c:orientation val="minMax"/>
          <c:max val="0.11000000000000001"/>
          <c:min val="0"/>
        </c:scaling>
        <c:delete val="0"/>
        <c:axPos val="l"/>
        <c:majorGridlines>
          <c:spPr>
            <a:ln w="6350">
              <a:solidFill>
                <a:schemeClr val="tx1">
                  <a:lumMod val="50000"/>
                  <a:lumOff val="50000"/>
                </a:schemeClr>
              </a:solidFill>
              <a:prstDash val="sysDash"/>
            </a:ln>
          </c:spPr>
        </c:majorGridlines>
        <c:title>
          <c:tx>
            <c:rich>
              <a:bodyPr/>
              <a:lstStyle/>
              <a:p>
                <a:pPr>
                  <a:defRPr sz="1300" b="0" i="0" u="none" strike="noStrike" baseline="0">
                    <a:solidFill>
                      <a:srgbClr val="000000"/>
                    </a:solidFill>
                    <a:latin typeface="Arial"/>
                    <a:ea typeface="Arial"/>
                    <a:cs typeface="Arial"/>
                  </a:defRPr>
                </a:pPr>
                <a:r>
                  <a:rPr lang="en-US" sz="1300" b="0" baseline="0"/>
                  <a:t>S</a:t>
                </a:r>
                <a:r>
                  <a:rPr lang="en-US" sz="1300" b="0"/>
                  <a:t>hare of</a:t>
                </a:r>
                <a:r>
                  <a:rPr lang="en-US" sz="1300" b="0" baseline="0"/>
                  <a:t> pre-tax after-transfer income</a:t>
                </a:r>
                <a:endParaRPr lang="en-US" sz="1300" b="0"/>
              </a:p>
            </c:rich>
          </c:tx>
          <c:layout>
            <c:manualLayout>
              <c:xMode val="edge"/>
              <c:yMode val="edge"/>
              <c:x val="1.9224701079031788E-2"/>
              <c:y val="0.1553669758891474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300" b="0" i="0" u="none" strike="noStrike" baseline="0">
                <a:solidFill>
                  <a:srgbClr val="000000"/>
                </a:solidFill>
                <a:latin typeface="Arial"/>
                <a:ea typeface="Arial"/>
                <a:cs typeface="Arial"/>
              </a:defRPr>
            </a:pPr>
            <a:endParaRPr lang="en-US"/>
          </a:p>
        </c:txPr>
        <c:crossAx val="512026360"/>
        <c:crosses val="autoZero"/>
        <c:crossBetween val="midCat"/>
        <c:majorUnit val="5.000000000000001E-2"/>
        <c:minorUnit val="0.05"/>
      </c:valAx>
      <c:spPr>
        <a:solidFill>
          <a:srgbClr val="FFFFFF"/>
        </a:solidFill>
        <a:ln w="6350">
          <a:noFill/>
          <a:prstDash val="solid"/>
        </a:ln>
      </c:spPr>
    </c:plotArea>
    <c:plotVisOnly val="1"/>
    <c:dispBlanksAs val="span"/>
    <c:showDLblsOverMax val="0"/>
  </c:chart>
  <c:spPr>
    <a:solidFill>
      <a:schemeClr val="bg1"/>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933" r="0.75000000000000933" t="1" header="0.5" footer="0.5"/>
    <c:pageSetup orientation="landscape" verticalDpi="96"/>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400" b="1"/>
              <a:t>Top 10% income shares</a:t>
            </a:r>
          </a:p>
        </c:rich>
      </c:tx>
      <c:layout>
        <c:manualLayout>
          <c:xMode val="edge"/>
          <c:yMode val="edge"/>
          <c:x val="0.35767489711934164"/>
          <c:y val="1.8518518518518517E-2"/>
        </c:manualLayout>
      </c:layout>
      <c:overlay val="0"/>
    </c:title>
    <c:autoTitleDeleted val="0"/>
    <c:plotArea>
      <c:layout>
        <c:manualLayout>
          <c:layoutTarget val="inner"/>
          <c:xMode val="edge"/>
          <c:yMode val="edge"/>
          <c:x val="0.11304705627102432"/>
          <c:y val="7.6769570470357873E-2"/>
          <c:w val="0.6824031511256462"/>
          <c:h val="0.86918281048202306"/>
        </c:manualLayout>
      </c:layout>
      <c:lineChart>
        <c:grouping val="standard"/>
        <c:varyColors val="0"/>
        <c:ser>
          <c:idx val="0"/>
          <c:order val="0"/>
          <c:tx>
            <c:v>Piketty-Saez (with capital gains)</c:v>
          </c:tx>
          <c:spPr>
            <a:ln w="25400">
              <a:solidFill>
                <a:schemeClr val="tx2"/>
              </a:solidFill>
              <a:prstDash val="solid"/>
            </a:ln>
          </c:spPr>
          <c:marker>
            <c:symbol val="none"/>
          </c:marker>
          <c:dPt>
            <c:idx val="54"/>
            <c:bubble3D val="0"/>
            <c:spPr>
              <a:ln w="25400">
                <a:solidFill>
                  <a:schemeClr val="tx2"/>
                </a:solidFill>
                <a:prstDash val="solid"/>
              </a:ln>
            </c:spPr>
            <c:extLst xmlns:c16r2="http://schemas.microsoft.com/office/drawing/2015/06/chart">
              <c:ext xmlns:c16="http://schemas.microsoft.com/office/drawing/2014/chart" uri="{C3380CC4-5D6E-409C-BE32-E72D297353CC}">
                <c16:uniqueId val="{00000001-9903-49DC-BEFF-329D133254D9}"/>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'F-A1'!$B$34:$B$89</c:f>
              <c:numCache>
                <c:formatCode>0.000</c:formatCode>
                <c:ptCount val="56"/>
                <c:pt idx="0">
                  <c:v>0.32185832553689214</c:v>
                </c:pt>
                <c:pt idx="1">
                  <c:v>0.32563952632825982</c:v>
                </c:pt>
                <c:pt idx="2">
                  <c:v>0.32436758339982819</c:v>
                </c:pt>
                <c:pt idx="3">
                  <c:v>0.32482890170911571</c:v>
                </c:pt>
                <c:pt idx="4">
                  <c:v>0.32731582757280719</c:v>
                </c:pt>
                <c:pt idx="5">
                  <c:v>0.32847576917648147</c:v>
                </c:pt>
                <c:pt idx="6">
                  <c:v>0.32818476173093986</c:v>
                </c:pt>
                <c:pt idx="7">
                  <c:v>0.33389184478120076</c:v>
                </c:pt>
                <c:pt idx="8">
                  <c:v>0.33586725874472562</c:v>
                </c:pt>
                <c:pt idx="9">
                  <c:v>0.32918162758885733</c:v>
                </c:pt>
                <c:pt idx="10">
                  <c:v>0.31908310857482858</c:v>
                </c:pt>
                <c:pt idx="11">
                  <c:v>0.32419576567028741</c:v>
                </c:pt>
                <c:pt idx="12">
                  <c:v>0.32449152238235479</c:v>
                </c:pt>
                <c:pt idx="13">
                  <c:v>0.32273123150329008</c:v>
                </c:pt>
                <c:pt idx="14">
                  <c:v>0.32549459694630223</c:v>
                </c:pt>
                <c:pt idx="15">
                  <c:v>0.32749847967703588</c:v>
                </c:pt>
                <c:pt idx="16">
                  <c:v>0.32634352954001167</c:v>
                </c:pt>
                <c:pt idx="17">
                  <c:v>0.32688275703477132</c:v>
                </c:pt>
                <c:pt idx="18">
                  <c:v>0.32630370615684501</c:v>
                </c:pt>
                <c:pt idx="19">
                  <c:v>0.33011451464707631</c:v>
                </c:pt>
                <c:pt idx="20">
                  <c:v>0.33543732482458516</c:v>
                </c:pt>
                <c:pt idx="21">
                  <c:v>0.33322739527638134</c:v>
                </c:pt>
                <c:pt idx="22">
                  <c:v>0.34272148200520136</c:v>
                </c:pt>
                <c:pt idx="23">
                  <c:v>0.34981760082848062</c:v>
                </c:pt>
                <c:pt idx="24">
                  <c:v>0.35333576515705317</c:v>
                </c:pt>
                <c:pt idx="25">
                  <c:v>0.35970763059564687</c:v>
                </c:pt>
                <c:pt idx="26">
                  <c:v>0.37863731617617075</c:v>
                </c:pt>
                <c:pt idx="27">
                  <c:v>0.37304580019867584</c:v>
                </c:pt>
                <c:pt idx="28">
                  <c:v>0.39779173031059578</c:v>
                </c:pt>
                <c:pt idx="29">
                  <c:v>0.3934302478443843</c:v>
                </c:pt>
                <c:pt idx="30">
                  <c:v>0.3937974074215928</c:v>
                </c:pt>
                <c:pt idx="31">
                  <c:v>0.38779603176544697</c:v>
                </c:pt>
                <c:pt idx="32">
                  <c:v>0.40314083088873487</c:v>
                </c:pt>
                <c:pt idx="33">
                  <c:v>0.40052688123875319</c:v>
                </c:pt>
                <c:pt idx="34">
                  <c:v>0.40132684465197571</c:v>
                </c:pt>
                <c:pt idx="35">
                  <c:v>0.41497999999999996</c:v>
                </c:pt>
                <c:pt idx="36">
                  <c:v>0.42692000000000002</c:v>
                </c:pt>
                <c:pt idx="37">
                  <c:v>0.43767</c:v>
                </c:pt>
                <c:pt idx="38">
                  <c:v>0.44353000000000004</c:v>
                </c:pt>
                <c:pt idx="39">
                  <c:v>0.45008999999999999</c:v>
                </c:pt>
                <c:pt idx="40">
                  <c:v>0.45293999999999995</c:v>
                </c:pt>
                <c:pt idx="41">
                  <c:v>0.43148000000000003</c:v>
                </c:pt>
                <c:pt idx="42">
                  <c:v>0.42948999999999998</c:v>
                </c:pt>
                <c:pt idx="43">
                  <c:v>0.43518999999999997</c:v>
                </c:pt>
                <c:pt idx="44">
                  <c:v>0.44871</c:v>
                </c:pt>
                <c:pt idx="45">
                  <c:v>0.46582000000000001</c:v>
                </c:pt>
                <c:pt idx="46">
                  <c:v>0.47554999999999997</c:v>
                </c:pt>
                <c:pt idx="47">
                  <c:v>0.48027000000000003</c:v>
                </c:pt>
                <c:pt idx="48">
                  <c:v>0.46973999999999999</c:v>
                </c:pt>
                <c:pt idx="49">
                  <c:v>0.45851999999999998</c:v>
                </c:pt>
                <c:pt idx="50">
                  <c:v>0.47076999999999997</c:v>
                </c:pt>
                <c:pt idx="51">
                  <c:v>0.47409999999999997</c:v>
                </c:pt>
                <c:pt idx="52">
                  <c:v>0.49182000000000003</c:v>
                </c:pt>
                <c:pt idx="53">
                  <c:v>0.47609999999999997</c:v>
                </c:pt>
                <c:pt idx="54">
                  <c:v>0.48570000000000002</c:v>
                </c:pt>
                <c:pt idx="55">
                  <c:v>0.4879</c:v>
                </c:pt>
              </c:numCache>
            </c:numRef>
          </c:val>
          <c:smooth val="0"/>
          <c:extLst xmlns:c16r2="http://schemas.microsoft.com/office/drawing/2015/06/chart">
            <c:ext xmlns:c16="http://schemas.microsoft.com/office/drawing/2014/chart" uri="{C3380CC4-5D6E-409C-BE32-E72D297353CC}">
              <c16:uniqueId val="{00000002-9903-49DC-BEFF-329D133254D9}"/>
            </c:ext>
          </c:extLst>
        </c:ser>
        <c:ser>
          <c:idx val="1"/>
          <c:order val="1"/>
          <c:tx>
            <c:v>Consistent market income</c:v>
          </c:tx>
          <c:spPr>
            <a:ln w="25400">
              <a:solidFill>
                <a:schemeClr val="accent3">
                  <a:lumMod val="75000"/>
                </a:schemeClr>
              </a:solidFill>
              <a:prstDash val="solid"/>
            </a:ln>
          </c:spPr>
          <c:marker>
            <c:symbol val="none"/>
          </c:marker>
          <c:dPt>
            <c:idx val="1"/>
            <c:bubble3D val="0"/>
            <c:extLst xmlns:c16r2="http://schemas.microsoft.com/office/drawing/2015/06/chart">
              <c:ext xmlns:c16="http://schemas.microsoft.com/office/drawing/2014/chart" uri="{C3380CC4-5D6E-409C-BE32-E72D297353CC}">
                <c16:uniqueId val="{00000003-9903-49DC-BEFF-329D133254D9}"/>
              </c:ext>
            </c:extLst>
          </c:dPt>
          <c:dPt>
            <c:idx val="3"/>
            <c:bubble3D val="0"/>
            <c:extLst xmlns:c16r2="http://schemas.microsoft.com/office/drawing/2015/06/chart">
              <c:ext xmlns:c16="http://schemas.microsoft.com/office/drawing/2014/chart" uri="{C3380CC4-5D6E-409C-BE32-E72D297353CC}">
                <c16:uniqueId val="{00000004-9903-49DC-BEFF-329D133254D9}"/>
              </c:ext>
            </c:extLst>
          </c:dPt>
          <c:dPt>
            <c:idx val="5"/>
            <c:bubble3D val="0"/>
            <c:extLst xmlns:c16r2="http://schemas.microsoft.com/office/drawing/2015/06/chart">
              <c:ext xmlns:c16="http://schemas.microsoft.com/office/drawing/2014/chart" uri="{C3380CC4-5D6E-409C-BE32-E72D297353CC}">
                <c16:uniqueId val="{00000005-9903-49DC-BEFF-329D133254D9}"/>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'F-A1'!$C$34:$C$89</c:f>
              <c:numCache>
                <c:formatCode>0.000</c:formatCode>
                <c:ptCount val="56"/>
                <c:pt idx="0">
                  <c:v>0.34504687012307472</c:v>
                </c:pt>
                <c:pt idx="1">
                  <c:v>0.34266318569439302</c:v>
                </c:pt>
                <c:pt idx="2">
                  <c:v>0.34052593199362885</c:v>
                </c:pt>
                <c:pt idx="3">
                  <c:v>0.3377197837532987</c:v>
                </c:pt>
                <c:pt idx="4">
                  <c:v>0.33525107215352262</c:v>
                </c:pt>
                <c:pt idx="5">
                  <c:v>0.33707168699711321</c:v>
                </c:pt>
                <c:pt idx="6">
                  <c:v>0.3386106099487613</c:v>
                </c:pt>
                <c:pt idx="7">
                  <c:v>0.33724544195553463</c:v>
                </c:pt>
                <c:pt idx="8">
                  <c:v>0.33467599610798704</c:v>
                </c:pt>
                <c:pt idx="9">
                  <c:v>0.3235824944093259</c:v>
                </c:pt>
                <c:pt idx="10">
                  <c:v>0.31593808942955437</c:v>
                </c:pt>
                <c:pt idx="11">
                  <c:v>0.32241885409564053</c:v>
                </c:pt>
                <c:pt idx="12">
                  <c:v>0.32229560384238032</c:v>
                </c:pt>
                <c:pt idx="13">
                  <c:v>0.3206064846850587</c:v>
                </c:pt>
                <c:pt idx="14">
                  <c:v>0.31989753778937369</c:v>
                </c:pt>
                <c:pt idx="15">
                  <c:v>0.32090789217632776</c:v>
                </c:pt>
                <c:pt idx="16">
                  <c:v>0.32093268384414436</c:v>
                </c:pt>
                <c:pt idx="17">
                  <c:v>0.3187585100112324</c:v>
                </c:pt>
                <c:pt idx="18">
                  <c:v>0.31787966314069732</c:v>
                </c:pt>
                <c:pt idx="19">
                  <c:v>0.31832863072825673</c:v>
                </c:pt>
                <c:pt idx="20">
                  <c:v>0.31985016409628225</c:v>
                </c:pt>
                <c:pt idx="21">
                  <c:v>0.31760788097102827</c:v>
                </c:pt>
                <c:pt idx="22">
                  <c:v>0.32141713103455299</c:v>
                </c:pt>
                <c:pt idx="23">
                  <c:v>0.32367402869752337</c:v>
                </c:pt>
                <c:pt idx="24">
                  <c:v>0.32457844655547768</c:v>
                </c:pt>
                <c:pt idx="25">
                  <c:v>0.32334437828617424</c:v>
                </c:pt>
                <c:pt idx="26">
                  <c:v>0.32228463636367444</c:v>
                </c:pt>
                <c:pt idx="27">
                  <c:v>0.32456996568930119</c:v>
                </c:pt>
                <c:pt idx="28">
                  <c:v>0.34251412069762516</c:v>
                </c:pt>
                <c:pt idx="29">
                  <c:v>0.33959059685859005</c:v>
                </c:pt>
                <c:pt idx="30">
                  <c:v>0.3444563079305108</c:v>
                </c:pt>
                <c:pt idx="31">
                  <c:v>0.34506484492522677</c:v>
                </c:pt>
                <c:pt idx="32">
                  <c:v>0.35484914978920135</c:v>
                </c:pt>
                <c:pt idx="33">
                  <c:v>0.35029756127374367</c:v>
                </c:pt>
                <c:pt idx="34">
                  <c:v>0.34775758422856967</c:v>
                </c:pt>
                <c:pt idx="35">
                  <c:v>0.35393997672871408</c:v>
                </c:pt>
                <c:pt idx="36">
                  <c:v>0.35909230388094693</c:v>
                </c:pt>
                <c:pt idx="37">
                  <c:v>0.36454889486084574</c:v>
                </c:pt>
                <c:pt idx="38">
                  <c:v>0.36427159366026718</c:v>
                </c:pt>
                <c:pt idx="39">
                  <c:v>0.36697262954928933</c:v>
                </c:pt>
                <c:pt idx="40">
                  <c:v>0.37355893415513064</c:v>
                </c:pt>
                <c:pt idx="41">
                  <c:v>0.36554924747285483</c:v>
                </c:pt>
                <c:pt idx="42">
                  <c:v>0.36067174549670872</c:v>
                </c:pt>
                <c:pt idx="43">
                  <c:v>0.36502796503224905</c:v>
                </c:pt>
                <c:pt idx="44">
                  <c:v>0.37273995396635468</c:v>
                </c:pt>
                <c:pt idx="45">
                  <c:v>0.38129798226128003</c:v>
                </c:pt>
                <c:pt idx="46">
                  <c:v>0.38568927081796567</c:v>
                </c:pt>
                <c:pt idx="47">
                  <c:v>0.38344385290919636</c:v>
                </c:pt>
                <c:pt idx="48">
                  <c:v>0.38189062084369929</c:v>
                </c:pt>
                <c:pt idx="49">
                  <c:v>0.37736972718995332</c:v>
                </c:pt>
                <c:pt idx="50">
                  <c:v>0.39089238152210198</c:v>
                </c:pt>
                <c:pt idx="51">
                  <c:v>0.38977190885856111</c:v>
                </c:pt>
                <c:pt idx="52">
                  <c:v>0.40273873080732059</c:v>
                </c:pt>
                <c:pt idx="53">
                  <c:v>0.39157707424278443</c:v>
                </c:pt>
                <c:pt idx="54">
                  <c:v>0.39546114940567656</c:v>
                </c:pt>
                <c:pt idx="55">
                  <c:v>0.39328481941907656</c:v>
                </c:pt>
              </c:numCache>
            </c:numRef>
          </c:val>
          <c:smooth val="0"/>
          <c:extLst xmlns:c16r2="http://schemas.microsoft.com/office/drawing/2015/06/chart">
            <c:ext xmlns:c16="http://schemas.microsoft.com/office/drawing/2014/chart" uri="{C3380CC4-5D6E-409C-BE32-E72D297353CC}">
              <c16:uniqueId val="{00000006-9903-49DC-BEFF-329D133254D9}"/>
            </c:ext>
          </c:extLst>
        </c:ser>
        <c:ser>
          <c:idx val="2"/>
          <c:order val="2"/>
          <c:tx>
            <c:v>Pre-tax income</c:v>
          </c:tx>
          <c:spPr>
            <a:ln w="22225">
              <a:solidFill>
                <a:schemeClr val="tx1"/>
              </a:solidFill>
              <a:prstDash val="sysDash"/>
            </a:ln>
          </c:spPr>
          <c:marker>
            <c:symbol val="none"/>
          </c:marker>
          <c:dPt>
            <c:idx val="1"/>
            <c:bubble3D val="0"/>
            <c:extLst xmlns:c16r2="http://schemas.microsoft.com/office/drawing/2015/06/chart">
              <c:ext xmlns:c16="http://schemas.microsoft.com/office/drawing/2014/chart" uri="{C3380CC4-5D6E-409C-BE32-E72D297353CC}">
                <c16:uniqueId val="{00000007-9903-49DC-BEFF-329D133254D9}"/>
              </c:ext>
            </c:extLst>
          </c:dPt>
          <c:dPt>
            <c:idx val="3"/>
            <c:bubble3D val="0"/>
            <c:extLst xmlns:c16r2="http://schemas.microsoft.com/office/drawing/2015/06/chart">
              <c:ext xmlns:c16="http://schemas.microsoft.com/office/drawing/2014/chart" uri="{C3380CC4-5D6E-409C-BE32-E72D297353CC}">
                <c16:uniqueId val="{00000008-9903-49DC-BEFF-329D133254D9}"/>
              </c:ext>
            </c:extLst>
          </c:dPt>
          <c:dPt>
            <c:idx val="5"/>
            <c:bubble3D val="0"/>
            <c:extLst xmlns:c16r2="http://schemas.microsoft.com/office/drawing/2015/06/chart">
              <c:ext xmlns:c16="http://schemas.microsoft.com/office/drawing/2014/chart" uri="{C3380CC4-5D6E-409C-BE32-E72D297353CC}">
                <c16:uniqueId val="{00000009-9903-49DC-BEFF-329D133254D9}"/>
              </c:ext>
            </c:extLst>
          </c:dPt>
          <c:val>
            <c:numRef>
              <c:f>'F-A1'!$D$34:$D$89</c:f>
              <c:numCache>
                <c:formatCode>0.000</c:formatCode>
                <c:ptCount val="56"/>
                <c:pt idx="0">
                  <c:v>0.33087556367350091</c:v>
                </c:pt>
                <c:pt idx="1">
                  <c:v>0.32818656537841823</c:v>
                </c:pt>
                <c:pt idx="2">
                  <c:v>0.32578239432471462</c:v>
                </c:pt>
                <c:pt idx="3">
                  <c:v>0.32339210632700965</c:v>
                </c:pt>
                <c:pt idx="4">
                  <c:v>0.32128442079450731</c:v>
                </c:pt>
                <c:pt idx="5">
                  <c:v>0.3230923390921725</c:v>
                </c:pt>
                <c:pt idx="6">
                  <c:v>0.32462026225241625</c:v>
                </c:pt>
                <c:pt idx="7">
                  <c:v>0.32151894643991635</c:v>
                </c:pt>
                <c:pt idx="8">
                  <c:v>0.31815538067610644</c:v>
                </c:pt>
                <c:pt idx="9">
                  <c:v>0.30719224916964566</c:v>
                </c:pt>
                <c:pt idx="10">
                  <c:v>0.2973079041600985</c:v>
                </c:pt>
                <c:pt idx="11">
                  <c:v>0.30148254742519137</c:v>
                </c:pt>
                <c:pt idx="12">
                  <c:v>0.30129822034637832</c:v>
                </c:pt>
                <c:pt idx="13">
                  <c:v>0.29937314691343692</c:v>
                </c:pt>
                <c:pt idx="14">
                  <c:v>0.29655348705430468</c:v>
                </c:pt>
                <c:pt idx="15">
                  <c:v>0.29318814853206487</c:v>
                </c:pt>
                <c:pt idx="16">
                  <c:v>0.29427078990133998</c:v>
                </c:pt>
                <c:pt idx="17">
                  <c:v>0.29340956957570741</c:v>
                </c:pt>
                <c:pt idx="18">
                  <c:v>0.29367177504020514</c:v>
                </c:pt>
                <c:pt idx="19">
                  <c:v>0.29347825318810095</c:v>
                </c:pt>
                <c:pt idx="20">
                  <c:v>0.29211360436938694</c:v>
                </c:pt>
                <c:pt idx="21">
                  <c:v>0.29044319472284275</c:v>
                </c:pt>
                <c:pt idx="22">
                  <c:v>0.29211049452007321</c:v>
                </c:pt>
                <c:pt idx="23">
                  <c:v>0.29406720090087157</c:v>
                </c:pt>
                <c:pt idx="24">
                  <c:v>0.29740342751476812</c:v>
                </c:pt>
                <c:pt idx="25">
                  <c:v>0.29740643820470791</c:v>
                </c:pt>
                <c:pt idx="26">
                  <c:v>0.29566998406369083</c:v>
                </c:pt>
                <c:pt idx="27">
                  <c:v>0.29829918032557595</c:v>
                </c:pt>
                <c:pt idx="28">
                  <c:v>0.31529179940784213</c:v>
                </c:pt>
                <c:pt idx="29">
                  <c:v>0.31206930616646333</c:v>
                </c:pt>
                <c:pt idx="30">
                  <c:v>0.31489085442194931</c:v>
                </c:pt>
                <c:pt idx="31">
                  <c:v>0.31249051451924331</c:v>
                </c:pt>
                <c:pt idx="32">
                  <c:v>0.31925322876161699</c:v>
                </c:pt>
                <c:pt idx="33">
                  <c:v>0.3143134658831519</c:v>
                </c:pt>
                <c:pt idx="34">
                  <c:v>0.31280023457281447</c:v>
                </c:pt>
                <c:pt idx="35">
                  <c:v>0.31819364231188624</c:v>
                </c:pt>
                <c:pt idx="36">
                  <c:v>0.32358636367776872</c:v>
                </c:pt>
                <c:pt idx="37">
                  <c:v>0.3297671238592545</c:v>
                </c:pt>
                <c:pt idx="38">
                  <c:v>0.33082729116662191</c:v>
                </c:pt>
                <c:pt idx="39">
                  <c:v>0.33356473880910598</c:v>
                </c:pt>
                <c:pt idx="40">
                  <c:v>0.34035717480419475</c:v>
                </c:pt>
                <c:pt idx="41">
                  <c:v>0.33124952192916163</c:v>
                </c:pt>
                <c:pt idx="42">
                  <c:v>0.32507060799945703</c:v>
                </c:pt>
                <c:pt idx="43">
                  <c:v>0.3284904960705069</c:v>
                </c:pt>
                <c:pt idx="44">
                  <c:v>0.33563407849504034</c:v>
                </c:pt>
                <c:pt idx="45">
                  <c:v>0.3431560059324546</c:v>
                </c:pt>
                <c:pt idx="46">
                  <c:v>0.34768627311106143</c:v>
                </c:pt>
                <c:pt idx="47">
                  <c:v>0.34430617385189838</c:v>
                </c:pt>
                <c:pt idx="48">
                  <c:v>0.33676750238387826</c:v>
                </c:pt>
                <c:pt idx="49">
                  <c:v>0.33014959116639553</c:v>
                </c:pt>
                <c:pt idx="50">
                  <c:v>0.34039904714381775</c:v>
                </c:pt>
                <c:pt idx="51">
                  <c:v>0.34078660818871037</c:v>
                </c:pt>
                <c:pt idx="52">
                  <c:v>0.35426884958009985</c:v>
                </c:pt>
                <c:pt idx="53">
                  <c:v>0.34519642810558837</c:v>
                </c:pt>
                <c:pt idx="54">
                  <c:v>0.34819286328477511</c:v>
                </c:pt>
                <c:pt idx="55">
                  <c:v>0.34581875020390701</c:v>
                </c:pt>
              </c:numCache>
            </c:numRef>
          </c:val>
          <c:smooth val="0"/>
          <c:extLst xmlns:c16r2="http://schemas.microsoft.com/office/drawing/2015/06/chart">
            <c:ext xmlns:c16="http://schemas.microsoft.com/office/drawing/2014/chart" uri="{C3380CC4-5D6E-409C-BE32-E72D297353CC}">
              <c16:uniqueId val="{0000000A-9903-49DC-BEFF-329D133254D9}"/>
            </c:ext>
          </c:extLst>
        </c:ser>
        <c:ser>
          <c:idx val="3"/>
          <c:order val="3"/>
          <c:tx>
            <c:v>After-tax income</c:v>
          </c:tx>
          <c:spPr>
            <a:ln w="25400">
              <a:solidFill>
                <a:schemeClr val="accent2">
                  <a:lumMod val="75000"/>
                </a:schemeClr>
              </a:solidFill>
            </a:ln>
          </c:spPr>
          <c:marker>
            <c:symbol val="none"/>
          </c:marker>
          <c:dPt>
            <c:idx val="1"/>
            <c:bubble3D val="0"/>
            <c:extLst xmlns:c16r2="http://schemas.microsoft.com/office/drawing/2015/06/chart">
              <c:ext xmlns:c16="http://schemas.microsoft.com/office/drawing/2014/chart" uri="{C3380CC4-5D6E-409C-BE32-E72D297353CC}">
                <c16:uniqueId val="{0000000B-9903-49DC-BEFF-329D133254D9}"/>
              </c:ext>
            </c:extLst>
          </c:dPt>
          <c:dPt>
            <c:idx val="3"/>
            <c:bubble3D val="0"/>
            <c:extLst xmlns:c16r2="http://schemas.microsoft.com/office/drawing/2015/06/chart">
              <c:ext xmlns:c16="http://schemas.microsoft.com/office/drawing/2014/chart" uri="{C3380CC4-5D6E-409C-BE32-E72D297353CC}">
                <c16:uniqueId val="{0000000C-9903-49DC-BEFF-329D133254D9}"/>
              </c:ext>
            </c:extLst>
          </c:dPt>
          <c:dPt>
            <c:idx val="5"/>
            <c:bubble3D val="0"/>
            <c:extLst xmlns:c16r2="http://schemas.microsoft.com/office/drawing/2015/06/chart">
              <c:ext xmlns:c16="http://schemas.microsoft.com/office/drawing/2014/chart" uri="{C3380CC4-5D6E-409C-BE32-E72D297353CC}">
                <c16:uniqueId val="{0000000D-9903-49DC-BEFF-329D133254D9}"/>
              </c:ext>
            </c:extLst>
          </c:dPt>
          <c:val>
            <c:numRef>
              <c:f>'F-A1'!$E$34:$E$89</c:f>
              <c:numCache>
                <c:formatCode>0.000</c:formatCode>
                <c:ptCount val="56"/>
                <c:pt idx="0">
                  <c:v>0.2785484204605238</c:v>
                </c:pt>
                <c:pt idx="1">
                  <c:v>0.27927768443373591</c:v>
                </c:pt>
                <c:pt idx="2">
                  <c:v>0.27993155374396356</c:v>
                </c:pt>
                <c:pt idx="3">
                  <c:v>0.27719883030592074</c:v>
                </c:pt>
                <c:pt idx="4">
                  <c:v>0.27479470839343417</c:v>
                </c:pt>
                <c:pt idx="5">
                  <c:v>0.27825844985974474</c:v>
                </c:pt>
                <c:pt idx="6">
                  <c:v>0.28118627521281209</c:v>
                </c:pt>
                <c:pt idx="7">
                  <c:v>0.27332241717965833</c:v>
                </c:pt>
                <c:pt idx="8">
                  <c:v>0.26789364358508194</c:v>
                </c:pt>
                <c:pt idx="9">
                  <c:v>0.25926263599557298</c:v>
                </c:pt>
                <c:pt idx="10">
                  <c:v>0.25019922161709224</c:v>
                </c:pt>
                <c:pt idx="11">
                  <c:v>0.25324420564344213</c:v>
                </c:pt>
                <c:pt idx="12">
                  <c:v>0.25394813259979693</c:v>
                </c:pt>
                <c:pt idx="13">
                  <c:v>0.25871115199547423</c:v>
                </c:pt>
                <c:pt idx="14">
                  <c:v>0.25566131174271839</c:v>
                </c:pt>
                <c:pt idx="15">
                  <c:v>0.24829735367712408</c:v>
                </c:pt>
                <c:pt idx="16">
                  <c:v>0.24958783398605794</c:v>
                </c:pt>
                <c:pt idx="17">
                  <c:v>0.25148188580481168</c:v>
                </c:pt>
                <c:pt idx="18">
                  <c:v>0.25547507731378255</c:v>
                </c:pt>
                <c:pt idx="19">
                  <c:v>0.2538666725449617</c:v>
                </c:pt>
                <c:pt idx="20">
                  <c:v>0.24868169542293567</c:v>
                </c:pt>
                <c:pt idx="21">
                  <c:v>0.24881254170883332</c:v>
                </c:pt>
                <c:pt idx="22">
                  <c:v>0.24661885333885653</c:v>
                </c:pt>
                <c:pt idx="23">
                  <c:v>0.24936364232903957</c:v>
                </c:pt>
                <c:pt idx="24">
                  <c:v>0.2580939581332552</c:v>
                </c:pt>
                <c:pt idx="25">
                  <c:v>0.25654205202455915</c:v>
                </c:pt>
                <c:pt idx="26">
                  <c:v>0.25219261587195774</c:v>
                </c:pt>
                <c:pt idx="27">
                  <c:v>0.25325921090731734</c:v>
                </c:pt>
                <c:pt idx="28">
                  <c:v>0.27284710423575148</c:v>
                </c:pt>
                <c:pt idx="29">
                  <c:v>0.26809757288261615</c:v>
                </c:pt>
                <c:pt idx="30">
                  <c:v>0.2698794705975251</c:v>
                </c:pt>
                <c:pt idx="31">
                  <c:v>0.26471943382483232</c:v>
                </c:pt>
                <c:pt idx="32">
                  <c:v>0.26766900829428297</c:v>
                </c:pt>
                <c:pt idx="33">
                  <c:v>0.26218681391462734</c:v>
                </c:pt>
                <c:pt idx="34">
                  <c:v>0.2620212673758931</c:v>
                </c:pt>
                <c:pt idx="35">
                  <c:v>0.26706394893417895</c:v>
                </c:pt>
                <c:pt idx="36">
                  <c:v>0.27246854806668164</c:v>
                </c:pt>
                <c:pt idx="37">
                  <c:v>0.27818525727702448</c:v>
                </c:pt>
                <c:pt idx="38">
                  <c:v>0.27958494454520194</c:v>
                </c:pt>
                <c:pt idx="39">
                  <c:v>0.28110777420162364</c:v>
                </c:pt>
                <c:pt idx="40">
                  <c:v>0.28771448940491928</c:v>
                </c:pt>
                <c:pt idx="41">
                  <c:v>0.2773402775792132</c:v>
                </c:pt>
                <c:pt idx="42">
                  <c:v>0.26931509889210314</c:v>
                </c:pt>
                <c:pt idx="43">
                  <c:v>0.27317870333695515</c:v>
                </c:pt>
                <c:pt idx="44">
                  <c:v>0.27966923164299773</c:v>
                </c:pt>
                <c:pt idx="45">
                  <c:v>0.28486938817881424</c:v>
                </c:pt>
                <c:pt idx="46">
                  <c:v>0.28930844105980374</c:v>
                </c:pt>
                <c:pt idx="47">
                  <c:v>0.28253038069514347</c:v>
                </c:pt>
                <c:pt idx="48">
                  <c:v>0.26842797782053579</c:v>
                </c:pt>
                <c:pt idx="49">
                  <c:v>0.25876091323354833</c:v>
                </c:pt>
                <c:pt idx="50">
                  <c:v>0.26779190732398478</c:v>
                </c:pt>
                <c:pt idx="51">
                  <c:v>0.26681420084971713</c:v>
                </c:pt>
                <c:pt idx="52">
                  <c:v>0.28350015518595711</c:v>
                </c:pt>
                <c:pt idx="53">
                  <c:v>0.27679958116382547</c:v>
                </c:pt>
                <c:pt idx="54">
                  <c:v>0.28124490712257594</c:v>
                </c:pt>
                <c:pt idx="55">
                  <c:v>0.27949007478346288</c:v>
                </c:pt>
              </c:numCache>
            </c:numRef>
          </c:val>
          <c:smooth val="0"/>
          <c:extLst xmlns:c16r2="http://schemas.microsoft.com/office/drawing/2015/06/chart">
            <c:ext xmlns:c16="http://schemas.microsoft.com/office/drawing/2014/chart" uri="{C3380CC4-5D6E-409C-BE32-E72D297353CC}">
              <c16:uniqueId val="{0000000E-9903-49DC-BEFF-329D133254D9}"/>
            </c:ext>
          </c:extLst>
        </c:ser>
        <c:dLbls>
          <c:showLegendKey val="0"/>
          <c:showVal val="0"/>
          <c:showCatName val="0"/>
          <c:showSerName val="0"/>
          <c:showPercent val="0"/>
          <c:showBubbleSize val="0"/>
        </c:dLbls>
        <c:smooth val="0"/>
        <c:axId val="512031848"/>
        <c:axId val="512032240"/>
      </c:lineChart>
      <c:catAx>
        <c:axId val="512031848"/>
        <c:scaling>
          <c:orientation val="minMax"/>
        </c:scaling>
        <c:delete val="0"/>
        <c:axPos val="b"/>
        <c:majorGridlines>
          <c:spPr>
            <a:ln w="6350">
              <a:solidFill>
                <a:schemeClr val="tx1">
                  <a:lumMod val="50000"/>
                  <a:lumOff val="50000"/>
                </a:schemeClr>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512032240"/>
        <c:crossesAt val="0"/>
        <c:auto val="1"/>
        <c:lblAlgn val="ctr"/>
        <c:lblOffset val="100"/>
        <c:tickLblSkip val="10"/>
        <c:tickMarkSkip val="10"/>
        <c:noMultiLvlLbl val="0"/>
      </c:catAx>
      <c:valAx>
        <c:axId val="512032240"/>
        <c:scaling>
          <c:orientation val="minMax"/>
          <c:max val="0.5"/>
          <c:min val="0"/>
        </c:scaling>
        <c:delete val="0"/>
        <c:axPos val="l"/>
        <c:majorGridlines>
          <c:spPr>
            <a:ln w="6350">
              <a:solidFill>
                <a:schemeClr val="tx1">
                  <a:lumMod val="50000"/>
                  <a:lumOff val="50000"/>
                </a:schemeClr>
              </a:solidFill>
              <a:prstDash val="sysDash"/>
            </a:ln>
          </c:spPr>
        </c:majorGridlines>
        <c:title>
          <c:tx>
            <c:rich>
              <a:bodyPr/>
              <a:lstStyle/>
              <a:p>
                <a:pPr>
                  <a:defRPr sz="2050" b="0" i="0" u="none" strike="noStrike" baseline="0">
                    <a:solidFill>
                      <a:srgbClr val="000000"/>
                    </a:solidFill>
                    <a:latin typeface="Arial"/>
                    <a:ea typeface="Arial"/>
                    <a:cs typeface="Arial"/>
                  </a:defRPr>
                </a:pPr>
                <a:r>
                  <a:rPr lang="en-US" sz="1400" b="0"/>
                  <a:t>Top 10% Income Share</a:t>
                </a:r>
              </a:p>
            </c:rich>
          </c:tx>
          <c:layout>
            <c:manualLayout>
              <c:xMode val="edge"/>
              <c:yMode val="edge"/>
              <c:x val="6.86627134571141E-4"/>
              <c:y val="0.2982616756238803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512031848"/>
        <c:crosses val="autoZero"/>
        <c:crossBetween val="midCat"/>
        <c:majorUnit val="0.1"/>
        <c:minorUnit val="0.05"/>
      </c:valAx>
      <c:spPr>
        <a:solidFill>
          <a:srgbClr val="FFFFFF"/>
        </a:solidFill>
        <a:ln w="3175">
          <a:noFill/>
          <a:prstDash val="solid"/>
        </a:ln>
      </c:spPr>
    </c:plotArea>
    <c:plotVisOnly val="1"/>
    <c:dispBlanksAs val="span"/>
    <c:showDLblsOverMax val="0"/>
  </c:chart>
  <c:spPr>
    <a:solidFill>
      <a:srgbClr val="FFFFFF"/>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866" r="0.75000000000000866" t="1" header="0.5" footer="0.5"/>
    <c:pageSetup orientation="landscape" verticalDpi="96"/>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400" b="1"/>
              <a:t>Top 0.1% income shares</a:t>
            </a:r>
          </a:p>
        </c:rich>
      </c:tx>
      <c:layout>
        <c:manualLayout>
          <c:xMode val="edge"/>
          <c:yMode val="edge"/>
          <c:x val="0.35767489711934164"/>
          <c:y val="1.8518518518518517E-2"/>
        </c:manualLayout>
      </c:layout>
      <c:overlay val="0"/>
    </c:title>
    <c:autoTitleDeleted val="0"/>
    <c:plotArea>
      <c:layout>
        <c:manualLayout>
          <c:layoutTarget val="inner"/>
          <c:xMode val="edge"/>
          <c:yMode val="edge"/>
          <c:x val="0.1034009110930099"/>
          <c:y val="7.6769570470357873E-2"/>
          <c:w val="0.69450085980631748"/>
          <c:h val="0.86918281048202306"/>
        </c:manualLayout>
      </c:layout>
      <c:lineChart>
        <c:grouping val="standard"/>
        <c:varyColors val="0"/>
        <c:ser>
          <c:idx val="0"/>
          <c:order val="0"/>
          <c:tx>
            <c:v>Piketty-Saez (with capital gains)</c:v>
          </c:tx>
          <c:spPr>
            <a:ln w="25400">
              <a:solidFill>
                <a:schemeClr val="tx2"/>
              </a:solidFill>
              <a:prstDash val="solid"/>
            </a:ln>
          </c:spPr>
          <c:marker>
            <c:symbol val="none"/>
          </c:marker>
          <c:dPt>
            <c:idx val="54"/>
            <c:bubble3D val="0"/>
            <c:spPr>
              <a:ln w="25400">
                <a:solidFill>
                  <a:schemeClr val="tx2"/>
                </a:solidFill>
                <a:prstDash val="solid"/>
              </a:ln>
            </c:spPr>
            <c:extLst xmlns:c16r2="http://schemas.microsoft.com/office/drawing/2015/06/chart">
              <c:ext xmlns:c16="http://schemas.microsoft.com/office/drawing/2014/chart" uri="{C3380CC4-5D6E-409C-BE32-E72D297353CC}">
                <c16:uniqueId val="{00000001-673B-4EE6-B8AA-5B096E106CBE}"/>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'F-A1'!$G$34:$G$89</c:f>
              <c:numCache>
                <c:formatCode>0.000</c:formatCode>
                <c:ptCount val="56"/>
                <c:pt idx="0">
                  <c:v>2.5221412402363488E-2</c:v>
                </c:pt>
                <c:pt idx="1">
                  <c:v>2.652211161842382E-2</c:v>
                </c:pt>
                <c:pt idx="2">
                  <c:v>2.4387097658957732E-2</c:v>
                </c:pt>
                <c:pt idx="3">
                  <c:v>2.4056610413729321E-2</c:v>
                </c:pt>
                <c:pt idx="4">
                  <c:v>2.4842850186318599E-2</c:v>
                </c:pt>
                <c:pt idx="5">
                  <c:v>2.6196736711012362E-2</c:v>
                </c:pt>
                <c:pt idx="6">
                  <c:v>2.7506071164949328E-2</c:v>
                </c:pt>
                <c:pt idx="7">
                  <c:v>2.8737618816344686E-2</c:v>
                </c:pt>
                <c:pt idx="8">
                  <c:v>3.0000312471159071E-2</c:v>
                </c:pt>
                <c:pt idx="9">
                  <c:v>2.7860595319203554E-2</c:v>
                </c:pt>
                <c:pt idx="10">
                  <c:v>2.2868032397756907E-2</c:v>
                </c:pt>
                <c:pt idx="11">
                  <c:v>2.3787539595435191E-2</c:v>
                </c:pt>
                <c:pt idx="12">
                  <c:v>2.3938827439958899E-2</c:v>
                </c:pt>
                <c:pt idx="13">
                  <c:v>2.1882629661278165E-2</c:v>
                </c:pt>
                <c:pt idx="14">
                  <c:v>2.3066216574268755E-2</c:v>
                </c:pt>
                <c:pt idx="15">
                  <c:v>2.2298094810769404E-2</c:v>
                </c:pt>
                <c:pt idx="16">
                  <c:v>2.2432738210389852E-2</c:v>
                </c:pt>
                <c:pt idx="17">
                  <c:v>2.2667596757527643E-2</c:v>
                </c:pt>
                <c:pt idx="18">
                  <c:v>2.2758458534052294E-2</c:v>
                </c:pt>
                <c:pt idx="19">
                  <c:v>2.7447906059297141E-2</c:v>
                </c:pt>
                <c:pt idx="20">
                  <c:v>2.7687207655503799E-2</c:v>
                </c:pt>
                <c:pt idx="21">
                  <c:v>2.7223019788246351E-2</c:v>
                </c:pt>
                <c:pt idx="22">
                  <c:v>3.2823450408407451E-2</c:v>
                </c:pt>
                <c:pt idx="23">
                  <c:v>3.5414063667141962E-2</c:v>
                </c:pt>
                <c:pt idx="24">
                  <c:v>3.8673054887381736E-2</c:v>
                </c:pt>
                <c:pt idx="25">
                  <c:v>4.0709515097490545E-2</c:v>
                </c:pt>
                <c:pt idx="26">
                  <c:v>4.8919275208926756E-2</c:v>
                </c:pt>
                <c:pt idx="27">
                  <c:v>4.2452021853704197E-2</c:v>
                </c:pt>
                <c:pt idx="28">
                  <c:v>6.0999488667388316E-2</c:v>
                </c:pt>
                <c:pt idx="29">
                  <c:v>5.4703204788940356E-2</c:v>
                </c:pt>
                <c:pt idx="30">
                  <c:v>5.3985926784496485E-2</c:v>
                </c:pt>
                <c:pt idx="31">
                  <c:v>4.6662719309980977E-2</c:v>
                </c:pt>
                <c:pt idx="32">
                  <c:v>5.6669144449461258E-2</c:v>
                </c:pt>
                <c:pt idx="33">
                  <c:v>5.2709349326827103E-2</c:v>
                </c:pt>
                <c:pt idx="34">
                  <c:v>5.1760269187222381E-2</c:v>
                </c:pt>
                <c:pt idx="35">
                  <c:v>5.5820000000000002E-2</c:v>
                </c:pt>
                <c:pt idx="36">
                  <c:v>6.3469999999999999E-2</c:v>
                </c:pt>
                <c:pt idx="37">
                  <c:v>7.1459999999999996E-2</c:v>
                </c:pt>
                <c:pt idx="38">
                  <c:v>7.5830000000000009E-2</c:v>
                </c:pt>
                <c:pt idx="39">
                  <c:v>7.9960000000000003E-2</c:v>
                </c:pt>
                <c:pt idx="40">
                  <c:v>8.7809999999999999E-2</c:v>
                </c:pt>
                <c:pt idx="41">
                  <c:v>7.0910000000000001E-2</c:v>
                </c:pt>
                <c:pt idx="42">
                  <c:v>6.5610000000000002E-2</c:v>
                </c:pt>
                <c:pt idx="43">
                  <c:v>6.9150000000000003E-2</c:v>
                </c:pt>
                <c:pt idx="44">
                  <c:v>8.1430000000000002E-2</c:v>
                </c:pt>
                <c:pt idx="45">
                  <c:v>9.4320000000000001E-2</c:v>
                </c:pt>
                <c:pt idx="46">
                  <c:v>9.9250000000000005E-2</c:v>
                </c:pt>
                <c:pt idx="47">
                  <c:v>0.10490000000000001</c:v>
                </c:pt>
                <c:pt idx="48">
                  <c:v>9.1249999999999998E-2</c:v>
                </c:pt>
                <c:pt idx="49">
                  <c:v>7.6730000000000007E-2</c:v>
                </c:pt>
                <c:pt idx="50">
                  <c:v>8.6389999999999995E-2</c:v>
                </c:pt>
                <c:pt idx="51">
                  <c:v>8.4540000000000004E-2</c:v>
                </c:pt>
                <c:pt idx="52">
                  <c:v>0.1011</c:v>
                </c:pt>
                <c:pt idx="53">
                  <c:v>8.4499999999999992E-2</c:v>
                </c:pt>
                <c:pt idx="54">
                  <c:v>9.1700000000000004E-2</c:v>
                </c:pt>
                <c:pt idx="55">
                  <c:v>9.2899999999999996E-2</c:v>
                </c:pt>
              </c:numCache>
            </c:numRef>
          </c:val>
          <c:smooth val="0"/>
          <c:extLst xmlns:c16r2="http://schemas.microsoft.com/office/drawing/2015/06/chart">
            <c:ext xmlns:c16="http://schemas.microsoft.com/office/drawing/2014/chart" uri="{C3380CC4-5D6E-409C-BE32-E72D297353CC}">
              <c16:uniqueId val="{00000002-673B-4EE6-B8AA-5B096E106CBE}"/>
            </c:ext>
          </c:extLst>
        </c:ser>
        <c:ser>
          <c:idx val="1"/>
          <c:order val="1"/>
          <c:tx>
            <c:v>Consistent market income</c:v>
          </c:tx>
          <c:spPr>
            <a:ln w="25400">
              <a:solidFill>
                <a:schemeClr val="accent3">
                  <a:lumMod val="75000"/>
                </a:schemeClr>
              </a:solidFill>
              <a:prstDash val="solid"/>
            </a:ln>
          </c:spPr>
          <c:marker>
            <c:symbol val="none"/>
          </c:marker>
          <c:dPt>
            <c:idx val="1"/>
            <c:bubble3D val="0"/>
            <c:extLst xmlns:c16r2="http://schemas.microsoft.com/office/drawing/2015/06/chart">
              <c:ext xmlns:c16="http://schemas.microsoft.com/office/drawing/2014/chart" uri="{C3380CC4-5D6E-409C-BE32-E72D297353CC}">
                <c16:uniqueId val="{00000003-673B-4EE6-B8AA-5B096E106CBE}"/>
              </c:ext>
            </c:extLst>
          </c:dPt>
          <c:dPt>
            <c:idx val="3"/>
            <c:bubble3D val="0"/>
            <c:extLst xmlns:c16r2="http://schemas.microsoft.com/office/drawing/2015/06/chart">
              <c:ext xmlns:c16="http://schemas.microsoft.com/office/drawing/2014/chart" uri="{C3380CC4-5D6E-409C-BE32-E72D297353CC}">
                <c16:uniqueId val="{00000004-673B-4EE6-B8AA-5B096E106CBE}"/>
              </c:ext>
            </c:extLst>
          </c:dPt>
          <c:dPt>
            <c:idx val="5"/>
            <c:bubble3D val="0"/>
            <c:extLst xmlns:c16r2="http://schemas.microsoft.com/office/drawing/2015/06/chart">
              <c:ext xmlns:c16="http://schemas.microsoft.com/office/drawing/2014/chart" uri="{C3380CC4-5D6E-409C-BE32-E72D297353CC}">
                <c16:uniqueId val="{00000005-673B-4EE6-B8AA-5B096E106CBE}"/>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'F-A1'!$H$34:$H$89</c:f>
              <c:numCache>
                <c:formatCode>0.000</c:formatCode>
                <c:ptCount val="56"/>
                <c:pt idx="0">
                  <c:v>4.0069490722777414E-2</c:v>
                </c:pt>
                <c:pt idx="1">
                  <c:v>4.0496310282309045E-2</c:v>
                </c:pt>
                <c:pt idx="2">
                  <c:v>4.0879004263186386E-2</c:v>
                </c:pt>
                <c:pt idx="3">
                  <c:v>4.2506153194381217E-2</c:v>
                </c:pt>
                <c:pt idx="4">
                  <c:v>4.3937639023701285E-2</c:v>
                </c:pt>
                <c:pt idx="5">
                  <c:v>4.3695361955490675E-2</c:v>
                </c:pt>
                <c:pt idx="6">
                  <c:v>4.3490570842070989E-2</c:v>
                </c:pt>
                <c:pt idx="7">
                  <c:v>4.143309667044285E-2</c:v>
                </c:pt>
                <c:pt idx="8">
                  <c:v>4.1901963530445077E-2</c:v>
                </c:pt>
                <c:pt idx="9">
                  <c:v>3.614239633533483E-2</c:v>
                </c:pt>
                <c:pt idx="10">
                  <c:v>3.207870569698875E-2</c:v>
                </c:pt>
                <c:pt idx="11">
                  <c:v>3.3948900732679498E-2</c:v>
                </c:pt>
                <c:pt idx="12">
                  <c:v>3.4546480744558565E-2</c:v>
                </c:pt>
                <c:pt idx="13">
                  <c:v>3.2828926084614345E-2</c:v>
                </c:pt>
                <c:pt idx="14">
                  <c:v>3.1526002331477135E-2</c:v>
                </c:pt>
                <c:pt idx="15">
                  <c:v>3.1448412792339453E-2</c:v>
                </c:pt>
                <c:pt idx="16">
                  <c:v>3.198964804341653E-2</c:v>
                </c:pt>
                <c:pt idx="17">
                  <c:v>3.251375566468636E-2</c:v>
                </c:pt>
                <c:pt idx="18">
                  <c:v>3.2412746269080632E-2</c:v>
                </c:pt>
                <c:pt idx="19">
                  <c:v>3.3450541624270087E-2</c:v>
                </c:pt>
                <c:pt idx="20">
                  <c:v>3.1603826630484409E-2</c:v>
                </c:pt>
                <c:pt idx="21">
                  <c:v>3.0021450201966081E-2</c:v>
                </c:pt>
                <c:pt idx="22">
                  <c:v>3.1660146995153349E-2</c:v>
                </c:pt>
                <c:pt idx="23">
                  <c:v>3.256370126361479E-2</c:v>
                </c:pt>
                <c:pt idx="24">
                  <c:v>3.4130596402716533E-2</c:v>
                </c:pt>
                <c:pt idx="25">
                  <c:v>3.5572869025839907E-2</c:v>
                </c:pt>
                <c:pt idx="26">
                  <c:v>3.2923647379730726E-2</c:v>
                </c:pt>
                <c:pt idx="27">
                  <c:v>3.4953024282406576E-2</c:v>
                </c:pt>
                <c:pt idx="28">
                  <c:v>4.8375036349912769E-2</c:v>
                </c:pt>
                <c:pt idx="29">
                  <c:v>4.4401631085287427E-2</c:v>
                </c:pt>
                <c:pt idx="30">
                  <c:v>4.4463136654842132E-2</c:v>
                </c:pt>
                <c:pt idx="31">
                  <c:v>4.1813383006239879E-2</c:v>
                </c:pt>
                <c:pt idx="32">
                  <c:v>4.6206088990362666E-2</c:v>
                </c:pt>
                <c:pt idx="33">
                  <c:v>4.204719444165099E-2</c:v>
                </c:pt>
                <c:pt idx="34">
                  <c:v>4.2082962830750692E-2</c:v>
                </c:pt>
                <c:pt idx="35">
                  <c:v>4.5089049183774821E-2</c:v>
                </c:pt>
                <c:pt idx="36">
                  <c:v>4.7215680608212372E-2</c:v>
                </c:pt>
                <c:pt idx="37">
                  <c:v>5.0917528638180394E-2</c:v>
                </c:pt>
                <c:pt idx="38">
                  <c:v>5.2169140360109799E-2</c:v>
                </c:pt>
                <c:pt idx="39">
                  <c:v>5.510593713309362E-2</c:v>
                </c:pt>
                <c:pt idx="40">
                  <c:v>5.836558986320619E-2</c:v>
                </c:pt>
                <c:pt idx="41">
                  <c:v>5.1364844109383474E-2</c:v>
                </c:pt>
                <c:pt idx="42">
                  <c:v>4.7364585365923591E-2</c:v>
                </c:pt>
                <c:pt idx="43">
                  <c:v>5.0082464971426627E-2</c:v>
                </c:pt>
                <c:pt idx="44">
                  <c:v>5.6638486860089515E-2</c:v>
                </c:pt>
                <c:pt idx="45">
                  <c:v>6.3320031701625701E-2</c:v>
                </c:pt>
                <c:pt idx="46">
                  <c:v>6.5065247324399861E-2</c:v>
                </c:pt>
                <c:pt idx="47">
                  <c:v>6.4601484308223295E-2</c:v>
                </c:pt>
                <c:pt idx="48">
                  <c:v>6.0143725175425218E-2</c:v>
                </c:pt>
                <c:pt idx="49">
                  <c:v>5.5063100209195859E-2</c:v>
                </c:pt>
                <c:pt idx="50">
                  <c:v>6.2887019420814247E-2</c:v>
                </c:pt>
                <c:pt idx="51">
                  <c:v>5.7957854003290163E-2</c:v>
                </c:pt>
                <c:pt idx="52">
                  <c:v>6.8872268011629129E-2</c:v>
                </c:pt>
                <c:pt idx="53">
                  <c:v>5.9108297589906385E-2</c:v>
                </c:pt>
                <c:pt idx="54">
                  <c:v>6.1335411612925633E-2</c:v>
                </c:pt>
                <c:pt idx="55">
                  <c:v>6.050308208043377E-2</c:v>
                </c:pt>
              </c:numCache>
            </c:numRef>
          </c:val>
          <c:smooth val="0"/>
          <c:extLst xmlns:c16r2="http://schemas.microsoft.com/office/drawing/2015/06/chart">
            <c:ext xmlns:c16="http://schemas.microsoft.com/office/drawing/2014/chart" uri="{C3380CC4-5D6E-409C-BE32-E72D297353CC}">
              <c16:uniqueId val="{00000006-673B-4EE6-B8AA-5B096E106CBE}"/>
            </c:ext>
          </c:extLst>
        </c:ser>
        <c:ser>
          <c:idx val="2"/>
          <c:order val="2"/>
          <c:tx>
            <c:v>Pre-tax income</c:v>
          </c:tx>
          <c:spPr>
            <a:ln w="19050">
              <a:solidFill>
                <a:schemeClr val="tx1"/>
              </a:solidFill>
              <a:prstDash val="sysDash"/>
            </a:ln>
          </c:spPr>
          <c:marker>
            <c:symbol val="none"/>
          </c:marker>
          <c:dPt>
            <c:idx val="1"/>
            <c:bubble3D val="0"/>
            <c:extLst xmlns:c16r2="http://schemas.microsoft.com/office/drawing/2015/06/chart">
              <c:ext xmlns:c16="http://schemas.microsoft.com/office/drawing/2014/chart" uri="{C3380CC4-5D6E-409C-BE32-E72D297353CC}">
                <c16:uniqueId val="{00000007-673B-4EE6-B8AA-5B096E106CBE}"/>
              </c:ext>
            </c:extLst>
          </c:dPt>
          <c:dPt>
            <c:idx val="3"/>
            <c:bubble3D val="0"/>
            <c:extLst xmlns:c16r2="http://schemas.microsoft.com/office/drawing/2015/06/chart">
              <c:ext xmlns:c16="http://schemas.microsoft.com/office/drawing/2014/chart" uri="{C3380CC4-5D6E-409C-BE32-E72D297353CC}">
                <c16:uniqueId val="{00000008-673B-4EE6-B8AA-5B096E106CBE}"/>
              </c:ext>
            </c:extLst>
          </c:dPt>
          <c:dPt>
            <c:idx val="5"/>
            <c:bubble3D val="0"/>
            <c:extLst xmlns:c16r2="http://schemas.microsoft.com/office/drawing/2015/06/chart">
              <c:ext xmlns:c16="http://schemas.microsoft.com/office/drawing/2014/chart" uri="{C3380CC4-5D6E-409C-BE32-E72D297353CC}">
                <c16:uniqueId val="{00000009-673B-4EE6-B8AA-5B096E106CBE}"/>
              </c:ext>
            </c:extLst>
          </c:dPt>
          <c:val>
            <c:numRef>
              <c:f>'F-A1'!$I$34:$I$89</c:f>
              <c:numCache>
                <c:formatCode>0.000</c:formatCode>
                <c:ptCount val="56"/>
                <c:pt idx="0">
                  <c:v>3.8171306462410848E-2</c:v>
                </c:pt>
                <c:pt idx="1">
                  <c:v>3.8521849955839675E-2</c:v>
                </c:pt>
                <c:pt idx="2">
                  <c:v>3.8835262768896095E-2</c:v>
                </c:pt>
                <c:pt idx="3">
                  <c:v>4.0427774124271711E-2</c:v>
                </c:pt>
                <c:pt idx="4">
                  <c:v>4.1832003718066987E-2</c:v>
                </c:pt>
                <c:pt idx="5">
                  <c:v>4.1599174756376131E-2</c:v>
                </c:pt>
                <c:pt idx="6">
                  <c:v>4.1402404380523207E-2</c:v>
                </c:pt>
                <c:pt idx="7">
                  <c:v>3.9180159003977137E-2</c:v>
                </c:pt>
                <c:pt idx="8">
                  <c:v>3.9498306339737672E-2</c:v>
                </c:pt>
                <c:pt idx="9">
                  <c:v>3.4017367479668971E-2</c:v>
                </c:pt>
                <c:pt idx="10">
                  <c:v>2.9897414571328017E-2</c:v>
                </c:pt>
                <c:pt idx="11">
                  <c:v>3.1427045123253131E-2</c:v>
                </c:pt>
                <c:pt idx="12">
                  <c:v>3.1933520992802424E-2</c:v>
                </c:pt>
                <c:pt idx="13">
                  <c:v>3.0304338738571093E-2</c:v>
                </c:pt>
                <c:pt idx="14">
                  <c:v>2.8907652398204295E-2</c:v>
                </c:pt>
                <c:pt idx="15">
                  <c:v>2.838722928990841E-2</c:v>
                </c:pt>
                <c:pt idx="16">
                  <c:v>2.8940445867997034E-2</c:v>
                </c:pt>
                <c:pt idx="17">
                  <c:v>2.9550757740439648E-2</c:v>
                </c:pt>
                <c:pt idx="18">
                  <c:v>2.9584699348912571E-2</c:v>
                </c:pt>
                <c:pt idx="19">
                  <c:v>3.0464991381641746E-2</c:v>
                </c:pt>
                <c:pt idx="20">
                  <c:v>2.8524717972860103E-2</c:v>
                </c:pt>
                <c:pt idx="21">
                  <c:v>2.7063687555561891E-2</c:v>
                </c:pt>
                <c:pt idx="22">
                  <c:v>2.8333037540593294E-2</c:v>
                </c:pt>
                <c:pt idx="23">
                  <c:v>2.9142115210443655E-2</c:v>
                </c:pt>
                <c:pt idx="24">
                  <c:v>3.0821711127873616E-2</c:v>
                </c:pt>
                <c:pt idx="25">
                  <c:v>3.2198875313782703E-2</c:v>
                </c:pt>
                <c:pt idx="26">
                  <c:v>2.973797524538753E-2</c:v>
                </c:pt>
                <c:pt idx="27">
                  <c:v>3.167859377743211E-2</c:v>
                </c:pt>
                <c:pt idx="28">
                  <c:v>4.3894382223625232E-2</c:v>
                </c:pt>
                <c:pt idx="29">
                  <c:v>4.0278473411573569E-2</c:v>
                </c:pt>
                <c:pt idx="30">
                  <c:v>4.0110340110812936E-2</c:v>
                </c:pt>
                <c:pt idx="31">
                  <c:v>3.73215804202E-2</c:v>
                </c:pt>
                <c:pt idx="32">
                  <c:v>4.0969559818766474E-2</c:v>
                </c:pt>
                <c:pt idx="33">
                  <c:v>3.7198420910429769E-2</c:v>
                </c:pt>
                <c:pt idx="34">
                  <c:v>3.7338570974322118E-2</c:v>
                </c:pt>
                <c:pt idx="35">
                  <c:v>3.9971853841719189E-2</c:v>
                </c:pt>
                <c:pt idx="36">
                  <c:v>4.1914528776875626E-2</c:v>
                </c:pt>
                <c:pt idx="37">
                  <c:v>4.5354646210073908E-2</c:v>
                </c:pt>
                <c:pt idx="38">
                  <c:v>4.6602695448886074E-2</c:v>
                </c:pt>
                <c:pt idx="39">
                  <c:v>4.9402178853190114E-2</c:v>
                </c:pt>
                <c:pt idx="40">
                  <c:v>5.2409760277444241E-2</c:v>
                </c:pt>
                <c:pt idx="41">
                  <c:v>4.5846125608125669E-2</c:v>
                </c:pt>
                <c:pt idx="42">
                  <c:v>4.1952198328812189E-2</c:v>
                </c:pt>
                <c:pt idx="43">
                  <c:v>4.4357988180083789E-2</c:v>
                </c:pt>
                <c:pt idx="44">
                  <c:v>5.0185610799291694E-2</c:v>
                </c:pt>
                <c:pt idx="45">
                  <c:v>5.6133168869641752E-2</c:v>
                </c:pt>
                <c:pt idx="46">
                  <c:v>5.7716788369612332E-2</c:v>
                </c:pt>
                <c:pt idx="47">
                  <c:v>5.705522683830213E-2</c:v>
                </c:pt>
                <c:pt idx="48">
                  <c:v>5.2072023819197739E-2</c:v>
                </c:pt>
                <c:pt idx="49">
                  <c:v>4.7198793964718232E-2</c:v>
                </c:pt>
                <c:pt idx="50">
                  <c:v>5.3629048755441923E-2</c:v>
                </c:pt>
                <c:pt idx="51">
                  <c:v>4.970294621160886E-2</c:v>
                </c:pt>
                <c:pt idx="52">
                  <c:v>5.9428316348775628E-2</c:v>
                </c:pt>
                <c:pt idx="53">
                  <c:v>5.1038799820476377E-2</c:v>
                </c:pt>
                <c:pt idx="54">
                  <c:v>5.2962710780850221E-2</c:v>
                </c:pt>
                <c:pt idx="55">
                  <c:v>5.2152947409730255E-2</c:v>
                </c:pt>
              </c:numCache>
            </c:numRef>
          </c:val>
          <c:smooth val="0"/>
          <c:extLst xmlns:c16r2="http://schemas.microsoft.com/office/drawing/2015/06/chart">
            <c:ext xmlns:c16="http://schemas.microsoft.com/office/drawing/2014/chart" uri="{C3380CC4-5D6E-409C-BE32-E72D297353CC}">
              <c16:uniqueId val="{0000000A-673B-4EE6-B8AA-5B096E106CBE}"/>
            </c:ext>
          </c:extLst>
        </c:ser>
        <c:ser>
          <c:idx val="3"/>
          <c:order val="3"/>
          <c:tx>
            <c:v>After-tax income</c:v>
          </c:tx>
          <c:spPr>
            <a:ln w="25400">
              <a:solidFill>
                <a:schemeClr val="accent2">
                  <a:lumMod val="75000"/>
                </a:schemeClr>
              </a:solidFill>
            </a:ln>
          </c:spPr>
          <c:marker>
            <c:symbol val="none"/>
          </c:marker>
          <c:dPt>
            <c:idx val="1"/>
            <c:bubble3D val="0"/>
            <c:extLst xmlns:c16r2="http://schemas.microsoft.com/office/drawing/2015/06/chart">
              <c:ext xmlns:c16="http://schemas.microsoft.com/office/drawing/2014/chart" uri="{C3380CC4-5D6E-409C-BE32-E72D297353CC}">
                <c16:uniqueId val="{0000000B-673B-4EE6-B8AA-5B096E106CBE}"/>
              </c:ext>
            </c:extLst>
          </c:dPt>
          <c:dPt>
            <c:idx val="3"/>
            <c:bubble3D val="0"/>
            <c:extLst xmlns:c16r2="http://schemas.microsoft.com/office/drawing/2015/06/chart">
              <c:ext xmlns:c16="http://schemas.microsoft.com/office/drawing/2014/chart" uri="{C3380CC4-5D6E-409C-BE32-E72D297353CC}">
                <c16:uniqueId val="{0000000C-673B-4EE6-B8AA-5B096E106CBE}"/>
              </c:ext>
            </c:extLst>
          </c:dPt>
          <c:dPt>
            <c:idx val="5"/>
            <c:bubble3D val="0"/>
            <c:extLst xmlns:c16r2="http://schemas.microsoft.com/office/drawing/2015/06/chart">
              <c:ext xmlns:c16="http://schemas.microsoft.com/office/drawing/2014/chart" uri="{C3380CC4-5D6E-409C-BE32-E72D297353CC}">
                <c16:uniqueId val="{0000000D-673B-4EE6-B8AA-5B096E106CBE}"/>
              </c:ext>
            </c:extLst>
          </c:dPt>
          <c:val>
            <c:numRef>
              <c:f>'F-A1'!$J$34:$J$89</c:f>
              <c:numCache>
                <c:formatCode>0.000</c:formatCode>
                <c:ptCount val="56"/>
                <c:pt idx="0">
                  <c:v>2.5600823370329828E-2</c:v>
                </c:pt>
                <c:pt idx="1">
                  <c:v>2.7420155076939408E-2</c:v>
                </c:pt>
                <c:pt idx="2">
                  <c:v>2.9051395905738808E-2</c:v>
                </c:pt>
                <c:pt idx="3">
                  <c:v>3.0102935624349892E-2</c:v>
                </c:pt>
                <c:pt idx="4">
                  <c:v>3.1028030950195705E-2</c:v>
                </c:pt>
                <c:pt idx="5">
                  <c:v>3.1345732151740267E-2</c:v>
                </c:pt>
                <c:pt idx="6">
                  <c:v>3.16142780699704E-2</c:v>
                </c:pt>
                <c:pt idx="7">
                  <c:v>2.8009281234900076E-2</c:v>
                </c:pt>
                <c:pt idx="8">
                  <c:v>2.7573578136338723E-2</c:v>
                </c:pt>
                <c:pt idx="9">
                  <c:v>2.3708336263691562E-2</c:v>
                </c:pt>
                <c:pt idx="10">
                  <c:v>2.0361251085688491E-2</c:v>
                </c:pt>
                <c:pt idx="11">
                  <c:v>2.177742819448681E-2</c:v>
                </c:pt>
                <c:pt idx="12">
                  <c:v>2.2698896417323054E-2</c:v>
                </c:pt>
                <c:pt idx="13">
                  <c:v>2.3600288851660354E-2</c:v>
                </c:pt>
                <c:pt idx="14">
                  <c:v>2.2440619805014772E-2</c:v>
                </c:pt>
                <c:pt idx="15">
                  <c:v>2.1812477759741777E-2</c:v>
                </c:pt>
                <c:pt idx="16">
                  <c:v>2.1982422965175181E-2</c:v>
                </c:pt>
                <c:pt idx="17">
                  <c:v>2.3624604353716144E-2</c:v>
                </c:pt>
                <c:pt idx="18">
                  <c:v>2.4500578639924504E-2</c:v>
                </c:pt>
                <c:pt idx="19">
                  <c:v>2.4438659610013083E-2</c:v>
                </c:pt>
                <c:pt idx="20">
                  <c:v>2.2149804891476346E-2</c:v>
                </c:pt>
                <c:pt idx="21">
                  <c:v>2.1983895696245766E-2</c:v>
                </c:pt>
                <c:pt idx="22">
                  <c:v>2.2080997315925117E-2</c:v>
                </c:pt>
                <c:pt idx="23">
                  <c:v>2.2214766115906143E-2</c:v>
                </c:pt>
                <c:pt idx="24">
                  <c:v>2.4175009223710776E-2</c:v>
                </c:pt>
                <c:pt idx="25">
                  <c:v>2.4775406045931706E-2</c:v>
                </c:pt>
                <c:pt idx="26">
                  <c:v>2.2202390488319207E-2</c:v>
                </c:pt>
                <c:pt idx="27">
                  <c:v>2.4061457667487702E-2</c:v>
                </c:pt>
                <c:pt idx="28">
                  <c:v>3.5294339871102143E-2</c:v>
                </c:pt>
                <c:pt idx="29">
                  <c:v>3.1993936412909929E-2</c:v>
                </c:pt>
                <c:pt idx="30">
                  <c:v>3.1796067774602123E-2</c:v>
                </c:pt>
                <c:pt idx="31">
                  <c:v>2.8345510161212839E-2</c:v>
                </c:pt>
                <c:pt idx="32">
                  <c:v>3.0105916666723426E-2</c:v>
                </c:pt>
                <c:pt idx="33">
                  <c:v>2.5405055818283017E-2</c:v>
                </c:pt>
                <c:pt idx="34">
                  <c:v>2.6024174741139865E-2</c:v>
                </c:pt>
                <c:pt idx="35">
                  <c:v>2.8196084587845935E-2</c:v>
                </c:pt>
                <c:pt idx="36">
                  <c:v>2.9545851037879076E-2</c:v>
                </c:pt>
                <c:pt idx="37">
                  <c:v>3.237809985147895E-2</c:v>
                </c:pt>
                <c:pt idx="38">
                  <c:v>3.3404812895808544E-2</c:v>
                </c:pt>
                <c:pt idx="39">
                  <c:v>3.5597468018666513E-2</c:v>
                </c:pt>
                <c:pt idx="40">
                  <c:v>3.7918385143765013E-2</c:v>
                </c:pt>
                <c:pt idx="41">
                  <c:v>3.224129457101578E-2</c:v>
                </c:pt>
                <c:pt idx="42">
                  <c:v>2.9152480112039719E-2</c:v>
                </c:pt>
                <c:pt idx="43">
                  <c:v>3.1314286677159263E-2</c:v>
                </c:pt>
                <c:pt idx="44">
                  <c:v>3.5612038694097091E-2</c:v>
                </c:pt>
                <c:pt idx="45">
                  <c:v>3.9738183673759905E-2</c:v>
                </c:pt>
                <c:pt idx="46">
                  <c:v>4.0899000060021652E-2</c:v>
                </c:pt>
                <c:pt idx="47">
                  <c:v>3.8905381676456595E-2</c:v>
                </c:pt>
                <c:pt idx="48">
                  <c:v>3.3461743529264662E-2</c:v>
                </c:pt>
                <c:pt idx="49">
                  <c:v>2.9960354426224176E-2</c:v>
                </c:pt>
                <c:pt idx="50">
                  <c:v>3.5003270165454688E-2</c:v>
                </c:pt>
                <c:pt idx="51">
                  <c:v>3.1035106179935882E-2</c:v>
                </c:pt>
                <c:pt idx="52">
                  <c:v>3.9524362019882069E-2</c:v>
                </c:pt>
                <c:pt idx="53">
                  <c:v>3.1260671320889943E-2</c:v>
                </c:pt>
                <c:pt idx="54">
                  <c:v>3.328272667171378E-2</c:v>
                </c:pt>
                <c:pt idx="55">
                  <c:v>3.3091910019640194E-2</c:v>
                </c:pt>
              </c:numCache>
            </c:numRef>
          </c:val>
          <c:smooth val="0"/>
          <c:extLst xmlns:c16r2="http://schemas.microsoft.com/office/drawing/2015/06/chart">
            <c:ext xmlns:c16="http://schemas.microsoft.com/office/drawing/2014/chart" uri="{C3380CC4-5D6E-409C-BE32-E72D297353CC}">
              <c16:uniqueId val="{0000000E-673B-4EE6-B8AA-5B096E106CBE}"/>
            </c:ext>
          </c:extLst>
        </c:ser>
        <c:dLbls>
          <c:showLegendKey val="0"/>
          <c:showVal val="0"/>
          <c:showCatName val="0"/>
          <c:showSerName val="0"/>
          <c:showPercent val="0"/>
          <c:showBubbleSize val="0"/>
        </c:dLbls>
        <c:smooth val="0"/>
        <c:axId val="512027144"/>
        <c:axId val="512028712"/>
      </c:lineChart>
      <c:catAx>
        <c:axId val="512027144"/>
        <c:scaling>
          <c:orientation val="minMax"/>
        </c:scaling>
        <c:delete val="0"/>
        <c:axPos val="b"/>
        <c:majorGridlines>
          <c:spPr>
            <a:ln w="6350">
              <a:solidFill>
                <a:schemeClr val="tx1">
                  <a:lumMod val="50000"/>
                  <a:lumOff val="50000"/>
                </a:schemeClr>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512028712"/>
        <c:crossesAt val="0"/>
        <c:auto val="1"/>
        <c:lblAlgn val="ctr"/>
        <c:lblOffset val="100"/>
        <c:tickLblSkip val="10"/>
        <c:tickMarkSkip val="10"/>
        <c:noMultiLvlLbl val="0"/>
      </c:catAx>
      <c:valAx>
        <c:axId val="512028712"/>
        <c:scaling>
          <c:orientation val="minMax"/>
          <c:max val="0.11000000000000001"/>
          <c:min val="0"/>
        </c:scaling>
        <c:delete val="0"/>
        <c:axPos val="l"/>
        <c:majorGridlines>
          <c:spPr>
            <a:ln w="6350">
              <a:solidFill>
                <a:schemeClr val="tx1">
                  <a:lumMod val="50000"/>
                  <a:lumOff val="50000"/>
                </a:schemeClr>
              </a:solidFill>
              <a:prstDash val="sysDash"/>
            </a:ln>
          </c:spPr>
        </c:majorGridlines>
        <c:title>
          <c:tx>
            <c:rich>
              <a:bodyPr/>
              <a:lstStyle/>
              <a:p>
                <a:pPr>
                  <a:defRPr sz="2050" b="0" i="0" u="none" strike="noStrike" baseline="0">
                    <a:solidFill>
                      <a:srgbClr val="000000"/>
                    </a:solidFill>
                    <a:latin typeface="Arial"/>
                    <a:ea typeface="Arial"/>
                    <a:cs typeface="Arial"/>
                  </a:defRPr>
                </a:pPr>
                <a:r>
                  <a:rPr lang="en-US" sz="1400" b="0"/>
                  <a:t>Top 0.1% Income Share</a:t>
                </a:r>
              </a:p>
            </c:rich>
          </c:tx>
          <c:layout>
            <c:manualLayout>
              <c:xMode val="edge"/>
              <c:yMode val="edge"/>
              <c:x val="6.4337647449241257E-3"/>
              <c:y val="0.3352987126609173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512027144"/>
        <c:crosses val="autoZero"/>
        <c:crossBetween val="midCat"/>
        <c:majorUnit val="2.0000000000000004E-2"/>
      </c:valAx>
      <c:spPr>
        <a:solidFill>
          <a:srgbClr val="FFFFFF"/>
        </a:solidFill>
        <a:ln w="3175">
          <a:noFill/>
          <a:prstDash val="solid"/>
        </a:ln>
      </c:spPr>
    </c:plotArea>
    <c:plotVisOnly val="1"/>
    <c:dispBlanksAs val="span"/>
    <c:showDLblsOverMax val="0"/>
  </c:chart>
  <c:spPr>
    <a:solidFill>
      <a:srgbClr val="FFFFFF"/>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866" r="0.75000000000000866" t="1" header="0.5" footer="0.5"/>
    <c:pageSetup orientation="landscape" verticalDpi="96"/>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0" i="0" u="none" strike="noStrike" baseline="0">
                <a:solidFill>
                  <a:srgbClr val="000000"/>
                </a:solidFill>
                <a:latin typeface="Arial"/>
                <a:ea typeface="Arial"/>
                <a:cs typeface="Arial"/>
              </a:defRPr>
            </a:pPr>
            <a:r>
              <a:rPr lang="en-US" sz="1200" b="1" i="0" u="none" strike="noStrike" baseline="0">
                <a:solidFill>
                  <a:srgbClr val="000000"/>
                </a:solidFill>
                <a:latin typeface="Arial" panose="020B0604020202020204" pitchFamily="34" charset="0"/>
                <a:cs typeface="Arial" panose="020B0604020202020204" pitchFamily="34" charset="0"/>
              </a:rPr>
              <a:t>Pre-tax Income Corrections, Correct Sample &amp; Increases</a:t>
            </a:r>
          </a:p>
          <a:p>
            <a:pPr>
              <a:defRPr sz="900" b="0" i="0" u="none" strike="noStrike" baseline="0">
                <a:solidFill>
                  <a:srgbClr val="000000"/>
                </a:solidFill>
                <a:latin typeface="Arial"/>
                <a:ea typeface="Arial"/>
                <a:cs typeface="Arial"/>
              </a:defRPr>
            </a:pPr>
            <a:r>
              <a:rPr lang="en-US" sz="1200" b="0" i="0" u="none" strike="noStrike" baseline="0">
                <a:solidFill>
                  <a:srgbClr val="000000"/>
                </a:solidFill>
                <a:latin typeface="Calibri"/>
              </a:rPr>
              <a:t> </a:t>
            </a:r>
          </a:p>
        </c:rich>
      </c:tx>
      <c:layout>
        <c:manualLayout>
          <c:xMode val="edge"/>
          <c:yMode val="edge"/>
          <c:x val="0.15004043905257078"/>
          <c:y val="2.2949240719910013E-2"/>
        </c:manualLayout>
      </c:layout>
      <c:overlay val="0"/>
      <c:spPr>
        <a:noFill/>
        <a:ln w="25400">
          <a:noFill/>
        </a:ln>
      </c:spPr>
    </c:title>
    <c:autoTitleDeleted val="0"/>
    <c:plotArea>
      <c:layout>
        <c:manualLayout>
          <c:layoutTarget val="inner"/>
          <c:xMode val="edge"/>
          <c:yMode val="edge"/>
          <c:x val="0.11203464384976142"/>
          <c:y val="7.9415073115860518E-2"/>
          <c:w val="0.83195149133221435"/>
          <c:h val="0.86599571847106283"/>
        </c:manualLayout>
      </c:layout>
      <c:lineChart>
        <c:grouping val="standard"/>
        <c:varyColors val="0"/>
        <c:ser>
          <c:idx val="0"/>
          <c:order val="0"/>
          <c:tx>
            <c:v>Piketty-Saez (no capital gains)</c:v>
          </c:tx>
          <c:spPr>
            <a:ln w="22225">
              <a:solidFill>
                <a:srgbClr val="000000"/>
              </a:solidFill>
              <a:prstDash val="solid"/>
            </a:ln>
          </c:spPr>
          <c:marker>
            <c:symbol val="none"/>
          </c:marker>
          <c:dPt>
            <c:idx val="1"/>
            <c:bubble3D val="0"/>
            <c:extLst xmlns:c16r2="http://schemas.microsoft.com/office/drawing/2015/06/chart">
              <c:ext xmlns:c16="http://schemas.microsoft.com/office/drawing/2014/chart" uri="{C3380CC4-5D6E-409C-BE32-E72D297353CC}">
                <c16:uniqueId val="{00000000-BDE9-4923-999B-141D435EE467}"/>
              </c:ext>
            </c:extLst>
          </c:dPt>
          <c:dPt>
            <c:idx val="3"/>
            <c:bubble3D val="0"/>
            <c:extLst xmlns:c16r2="http://schemas.microsoft.com/office/drawing/2015/06/chart">
              <c:ext xmlns:c16="http://schemas.microsoft.com/office/drawing/2014/chart" uri="{C3380CC4-5D6E-409C-BE32-E72D297353CC}">
                <c16:uniqueId val="{00000001-BDE9-4923-999B-141D435EE467}"/>
              </c:ext>
            </c:extLst>
          </c:dPt>
          <c:dPt>
            <c:idx val="5"/>
            <c:bubble3D val="0"/>
            <c:extLst xmlns:c16r2="http://schemas.microsoft.com/office/drawing/2015/06/chart">
              <c:ext xmlns:c16="http://schemas.microsoft.com/office/drawing/2014/chart" uri="{C3380CC4-5D6E-409C-BE32-E72D297353CC}">
                <c16:uniqueId val="{00000002-BDE9-4923-999B-141D435EE467}"/>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'C2-Shares'!$D$6:$D$61</c:f>
              <c:numCache>
                <c:formatCode>0.0000</c:formatCode>
                <c:ptCount val="56"/>
                <c:pt idx="0">
                  <c:v>8.3104745159463742E-2</c:v>
                </c:pt>
                <c:pt idx="1">
                  <c:v>8.3249493264220153E-2</c:v>
                </c:pt>
                <c:pt idx="2">
                  <c:v>8.3379974548626307E-2</c:v>
                </c:pt>
                <c:pt idx="3">
                  <c:v>8.2278348725228073E-2</c:v>
                </c:pt>
                <c:pt idx="4">
                  <c:v>8.1312112463057445E-2</c:v>
                </c:pt>
                <c:pt idx="5">
                  <c:v>8.2509193858697635E-2</c:v>
                </c:pt>
                <c:pt idx="6">
                  <c:v>8.3530356748191648E-2</c:v>
                </c:pt>
                <c:pt idx="7">
                  <c:v>8.4170459087170538E-2</c:v>
                </c:pt>
                <c:pt idx="8">
                  <c:v>8.3457486933375333E-2</c:v>
                </c:pt>
                <c:pt idx="9">
                  <c:v>7.938790656877541E-2</c:v>
                </c:pt>
                <c:pt idx="10">
                  <c:v>7.8046383165970817E-2</c:v>
                </c:pt>
                <c:pt idx="11">
                  <c:v>7.8167691934429628E-2</c:v>
                </c:pt>
                <c:pt idx="12">
                  <c:v>7.7866088725652427E-2</c:v>
                </c:pt>
                <c:pt idx="13">
                  <c:v>7.7562388224320947E-2</c:v>
                </c:pt>
                <c:pt idx="14">
                  <c:v>8.1053420311755511E-2</c:v>
                </c:pt>
                <c:pt idx="15">
                  <c:v>8.0639477723279437E-2</c:v>
                </c:pt>
                <c:pt idx="16">
                  <c:v>7.9325864821953862E-2</c:v>
                </c:pt>
                <c:pt idx="17">
                  <c:v>7.968447611744002E-2</c:v>
                </c:pt>
                <c:pt idx="18">
                  <c:v>8.0099599392997087E-2</c:v>
                </c:pt>
                <c:pt idx="19">
                  <c:v>8.0866177381523116E-2</c:v>
                </c:pt>
                <c:pt idx="20">
                  <c:v>8.2237498702260325E-2</c:v>
                </c:pt>
                <c:pt idx="21">
                  <c:v>8.0489363606599071E-2</c:v>
                </c:pt>
                <c:pt idx="22">
                  <c:v>8.5157856075436883E-2</c:v>
                </c:pt>
                <c:pt idx="23">
                  <c:v>8.7214414139489688E-2</c:v>
                </c:pt>
                <c:pt idx="24">
                  <c:v>9.0060885078286759E-2</c:v>
                </c:pt>
                <c:pt idx="25">
                  <c:v>9.2281216049099252E-2</c:v>
                </c:pt>
                <c:pt idx="26">
                  <c:v>9.4249423098889507E-2</c:v>
                </c:pt>
                <c:pt idx="27">
                  <c:v>0.10934234493361181</c:v>
                </c:pt>
                <c:pt idx="28">
                  <c:v>0.13390887550348279</c:v>
                </c:pt>
                <c:pt idx="29">
                  <c:v>0.12843244430452086</c:v>
                </c:pt>
                <c:pt idx="30">
                  <c:v>0.13159761521820432</c:v>
                </c:pt>
                <c:pt idx="31">
                  <c:v>0.12506133414448184</c:v>
                </c:pt>
                <c:pt idx="32">
                  <c:v>0.13713010130934056</c:v>
                </c:pt>
                <c:pt idx="33">
                  <c:v>0.13059955285752309</c:v>
                </c:pt>
                <c:pt idx="34">
                  <c:v>0.13058830719162121</c:v>
                </c:pt>
                <c:pt idx="35">
                  <c:v>0.13623280223168013</c:v>
                </c:pt>
                <c:pt idx="36">
                  <c:v>0.14211630294199273</c:v>
                </c:pt>
                <c:pt idx="37">
                  <c:v>0.14851792242140666</c:v>
                </c:pt>
                <c:pt idx="38">
                  <c:v>0.15293231550216271</c:v>
                </c:pt>
                <c:pt idx="39">
                  <c:v>0.15826690404785865</c:v>
                </c:pt>
                <c:pt idx="40">
                  <c:v>0.16676514207446289</c:v>
                </c:pt>
                <c:pt idx="41">
                  <c:v>0.15627880124956517</c:v>
                </c:pt>
                <c:pt idx="42">
                  <c:v>0.15024999167473227</c:v>
                </c:pt>
                <c:pt idx="43">
                  <c:v>0.15285699444851517</c:v>
                </c:pt>
                <c:pt idx="44">
                  <c:v>0.16465369594380561</c:v>
                </c:pt>
                <c:pt idx="45">
                  <c:v>0.17795486600175159</c:v>
                </c:pt>
                <c:pt idx="46">
                  <c:v>0.18227275590687367</c:v>
                </c:pt>
                <c:pt idx="47">
                  <c:v>0.18507058152321654</c:v>
                </c:pt>
                <c:pt idx="48">
                  <c:v>0.18090102275007411</c:v>
                </c:pt>
                <c:pt idx="49">
                  <c:v>0.16755037533105335</c:v>
                </c:pt>
                <c:pt idx="50">
                  <c:v>0.17579080672847322</c:v>
                </c:pt>
                <c:pt idx="51">
                  <c:v>0.1748995357114809</c:v>
                </c:pt>
                <c:pt idx="52">
                  <c:v>0.19247966604562486</c:v>
                </c:pt>
                <c:pt idx="53">
                  <c:v>0.17793099911196669</c:v>
                </c:pt>
                <c:pt idx="54">
                  <c:v>0.18396159361301589</c:v>
                </c:pt>
                <c:pt idx="55">
                  <c:v>0.18562615712261096</c:v>
                </c:pt>
              </c:numCache>
            </c:numRef>
          </c:val>
          <c:smooth val="0"/>
          <c:extLst xmlns:c16r2="http://schemas.microsoft.com/office/drawing/2015/06/chart">
            <c:ext xmlns:c16="http://schemas.microsoft.com/office/drawing/2014/chart" uri="{C3380CC4-5D6E-409C-BE32-E72D297353CC}">
              <c16:uniqueId val="{00000003-BDE9-4923-999B-141D435EE467}"/>
            </c:ext>
          </c:extLst>
        </c:ser>
        <c:ser>
          <c:idx val="1"/>
          <c:order val="1"/>
          <c:tx>
            <c:v>Correct Sample</c:v>
          </c:tx>
          <c:spPr>
            <a:ln w="15875">
              <a:solidFill>
                <a:schemeClr val="tx1"/>
              </a:solidFill>
              <a:prstDash val="sysDash"/>
            </a:ln>
          </c:spPr>
          <c:marker>
            <c:symbol val="none"/>
          </c:marker>
          <c:val>
            <c:numRef>
              <c:f>'C2-Shares'!$AJ$6:$AJ$61</c:f>
              <c:numCache>
                <c:formatCode>0.0000</c:formatCode>
                <c:ptCount val="56"/>
                <c:pt idx="0">
                  <c:v>8.3164274487250237E-2</c:v>
                </c:pt>
                <c:pt idx="1">
                  <c:v>8.3462164316174148E-2</c:v>
                </c:pt>
                <c:pt idx="2">
                  <c:v>8.3729994715721984E-2</c:v>
                </c:pt>
                <c:pt idx="3">
                  <c:v>8.2599712745283563E-2</c:v>
                </c:pt>
                <c:pt idx="4">
                  <c:v>8.1605754122725846E-2</c:v>
                </c:pt>
                <c:pt idx="5">
                  <c:v>8.261603228527066E-2</c:v>
                </c:pt>
                <c:pt idx="6">
                  <c:v>8.3473123125376414E-2</c:v>
                </c:pt>
                <c:pt idx="7">
                  <c:v>8.4031915520138459E-2</c:v>
                </c:pt>
                <c:pt idx="8">
                  <c:v>8.3331908357056811E-2</c:v>
                </c:pt>
                <c:pt idx="9">
                  <c:v>7.9206850186086322E-2</c:v>
                </c:pt>
                <c:pt idx="10">
                  <c:v>7.7660236109739322E-2</c:v>
                </c:pt>
                <c:pt idx="11">
                  <c:v>7.7915182155443283E-2</c:v>
                </c:pt>
                <c:pt idx="12">
                  <c:v>7.7813696343126168E-2</c:v>
                </c:pt>
                <c:pt idx="13">
                  <c:v>7.7010165707415937E-2</c:v>
                </c:pt>
                <c:pt idx="14">
                  <c:v>8.0391707492183287E-2</c:v>
                </c:pt>
                <c:pt idx="15">
                  <c:v>7.9995940444333571E-2</c:v>
                </c:pt>
                <c:pt idx="16">
                  <c:v>7.8541931324834752E-2</c:v>
                </c:pt>
                <c:pt idx="17">
                  <c:v>7.8866218058582863E-2</c:v>
                </c:pt>
                <c:pt idx="18">
                  <c:v>7.9285383848549079E-2</c:v>
                </c:pt>
                <c:pt idx="19">
                  <c:v>7.9930621197604357E-2</c:v>
                </c:pt>
                <c:pt idx="20">
                  <c:v>8.1194793813409313E-2</c:v>
                </c:pt>
                <c:pt idx="21">
                  <c:v>7.9660270996997198E-2</c:v>
                </c:pt>
                <c:pt idx="22">
                  <c:v>8.4862420269479225E-2</c:v>
                </c:pt>
                <c:pt idx="23">
                  <c:v>8.6909906990103217E-2</c:v>
                </c:pt>
                <c:pt idx="24">
                  <c:v>8.957263750945943E-2</c:v>
                </c:pt>
                <c:pt idx="25">
                  <c:v>9.176783190208837E-2</c:v>
                </c:pt>
                <c:pt idx="26">
                  <c:v>9.3335029333015199E-2</c:v>
                </c:pt>
                <c:pt idx="27">
                  <c:v>0.10734724427392583</c:v>
                </c:pt>
                <c:pt idx="28">
                  <c:v>0.131354139798248</c:v>
                </c:pt>
                <c:pt idx="29">
                  <c:v>0.12593221702492816</c:v>
                </c:pt>
                <c:pt idx="30">
                  <c:v>0.12893739422770159</c:v>
                </c:pt>
                <c:pt idx="31">
                  <c:v>0.12256591313031542</c:v>
                </c:pt>
                <c:pt idx="32">
                  <c:v>0.1344665552317757</c:v>
                </c:pt>
                <c:pt idx="33">
                  <c:v>0.1280944031911771</c:v>
                </c:pt>
                <c:pt idx="34">
                  <c:v>0.12803254250784574</c:v>
                </c:pt>
                <c:pt idx="35">
                  <c:v>0.13344928620159516</c:v>
                </c:pt>
                <c:pt idx="36">
                  <c:v>0.13923596061912577</c:v>
                </c:pt>
                <c:pt idx="37">
                  <c:v>0.14557611333445836</c:v>
                </c:pt>
                <c:pt idx="38">
                  <c:v>0.14971445180293455</c:v>
                </c:pt>
                <c:pt idx="39">
                  <c:v>0.15467359906383726</c:v>
                </c:pt>
                <c:pt idx="40">
                  <c:v>0.16314570663598796</c:v>
                </c:pt>
                <c:pt idx="41">
                  <c:v>0.15242520993959766</c:v>
                </c:pt>
                <c:pt idx="42">
                  <c:v>0.14663321912350749</c:v>
                </c:pt>
                <c:pt idx="43">
                  <c:v>0.14953244226895551</c:v>
                </c:pt>
                <c:pt idx="44">
                  <c:v>0.16114873389988735</c:v>
                </c:pt>
                <c:pt idx="45">
                  <c:v>0.17392016559930465</c:v>
                </c:pt>
                <c:pt idx="46">
                  <c:v>0.17833410150552453</c:v>
                </c:pt>
                <c:pt idx="47">
                  <c:v>0.1805785320338357</c:v>
                </c:pt>
                <c:pt idx="48">
                  <c:v>0.17610621085567005</c:v>
                </c:pt>
                <c:pt idx="49">
                  <c:v>0.1636361111022625</c:v>
                </c:pt>
                <c:pt idx="50">
                  <c:v>0.17179787860553344</c:v>
                </c:pt>
                <c:pt idx="51">
                  <c:v>0.17101288211048174</c:v>
                </c:pt>
                <c:pt idx="52">
                  <c:v>0.18837733099936049</c:v>
                </c:pt>
                <c:pt idx="53">
                  <c:v>0.17404345892226927</c:v>
                </c:pt>
                <c:pt idx="54">
                  <c:v>0.18031008946391389</c:v>
                </c:pt>
                <c:pt idx="55">
                  <c:v>0.18193854994537673</c:v>
                </c:pt>
              </c:numCache>
            </c:numRef>
          </c:val>
          <c:smooth val="0"/>
          <c:extLst xmlns:c16r2="http://schemas.microsoft.com/office/drawing/2015/06/chart">
            <c:ext xmlns:c16="http://schemas.microsoft.com/office/drawing/2014/chart" uri="{C3380CC4-5D6E-409C-BE32-E72D297353CC}">
              <c16:uniqueId val="{00000004-BDE9-4923-999B-141D435EE467}"/>
            </c:ext>
          </c:extLst>
        </c:ser>
        <c:ser>
          <c:idx val="3"/>
          <c:order val="2"/>
          <c:tx>
            <c:v>Remove TRA86 non-deductible losses</c:v>
          </c:tx>
          <c:spPr>
            <a:ln w="25400">
              <a:solidFill>
                <a:schemeClr val="tx1">
                  <a:lumMod val="75000"/>
                  <a:lumOff val="25000"/>
                </a:schemeClr>
              </a:solidFill>
              <a:prstDash val="sysDash"/>
            </a:ln>
          </c:spPr>
          <c:marker>
            <c:symbol val="none"/>
          </c:marker>
          <c:dPt>
            <c:idx val="1"/>
            <c:bubble3D val="0"/>
            <c:extLst xmlns:c16r2="http://schemas.microsoft.com/office/drawing/2015/06/chart">
              <c:ext xmlns:c16="http://schemas.microsoft.com/office/drawing/2014/chart" uri="{C3380CC4-5D6E-409C-BE32-E72D297353CC}">
                <c16:uniqueId val="{00000005-BDE9-4923-999B-141D435EE467}"/>
              </c:ext>
            </c:extLst>
          </c:dPt>
          <c:dPt>
            <c:idx val="2"/>
            <c:bubble3D val="0"/>
            <c:extLst xmlns:c16r2="http://schemas.microsoft.com/office/drawing/2015/06/chart">
              <c:ext xmlns:c16="http://schemas.microsoft.com/office/drawing/2014/chart" uri="{C3380CC4-5D6E-409C-BE32-E72D297353CC}">
                <c16:uniqueId val="{00000006-BDE9-4923-999B-141D435EE467}"/>
              </c:ext>
            </c:extLst>
          </c:dPt>
          <c:dPt>
            <c:idx val="3"/>
            <c:bubble3D val="0"/>
            <c:extLst xmlns:c16r2="http://schemas.microsoft.com/office/drawing/2015/06/chart">
              <c:ext xmlns:c16="http://schemas.microsoft.com/office/drawing/2014/chart" uri="{C3380CC4-5D6E-409C-BE32-E72D297353CC}">
                <c16:uniqueId val="{00000007-BDE9-4923-999B-141D435EE467}"/>
              </c:ext>
            </c:extLst>
          </c:dPt>
          <c:dPt>
            <c:idx val="5"/>
            <c:bubble3D val="0"/>
            <c:extLst xmlns:c16r2="http://schemas.microsoft.com/office/drawing/2015/06/chart">
              <c:ext xmlns:c16="http://schemas.microsoft.com/office/drawing/2014/chart" uri="{C3380CC4-5D6E-409C-BE32-E72D297353CC}">
                <c16:uniqueId val="{00000008-BDE9-4923-999B-141D435EE467}"/>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'C2-Shares'!$AR$6:$AR$61</c:f>
              <c:numCache>
                <c:formatCode>0.0000</c:formatCode>
                <c:ptCount val="56"/>
                <c:pt idx="0">
                  <c:v>8.3559380562637509E-2</c:v>
                </c:pt>
                <c:pt idx="1">
                  <c:v>8.3880614375959159E-2</c:v>
                </c:pt>
                <c:pt idx="2">
                  <c:v>8.4169429085088981E-2</c:v>
                </c:pt>
                <c:pt idx="3">
                  <c:v>8.3116060688026613E-2</c:v>
                </c:pt>
                <c:pt idx="4">
                  <c:v>8.219001987903185E-2</c:v>
                </c:pt>
                <c:pt idx="5">
                  <c:v>8.3178829925052961E-2</c:v>
                </c:pt>
                <c:pt idx="6">
                  <c:v>8.4017138029696209E-2</c:v>
                </c:pt>
                <c:pt idx="7">
                  <c:v>8.461482239701118E-2</c:v>
                </c:pt>
                <c:pt idx="8">
                  <c:v>8.4121057664634152E-2</c:v>
                </c:pt>
                <c:pt idx="9">
                  <c:v>8.0168847694406478E-2</c:v>
                </c:pt>
                <c:pt idx="10">
                  <c:v>7.8739083968077134E-2</c:v>
                </c:pt>
                <c:pt idx="11">
                  <c:v>7.9277451036189911E-2</c:v>
                </c:pt>
                <c:pt idx="12">
                  <c:v>7.911802177997776E-2</c:v>
                </c:pt>
                <c:pt idx="13">
                  <c:v>7.8812859043034714E-2</c:v>
                </c:pt>
                <c:pt idx="14">
                  <c:v>8.2334065377472412E-2</c:v>
                </c:pt>
                <c:pt idx="15">
                  <c:v>8.1981776493895486E-2</c:v>
                </c:pt>
                <c:pt idx="16">
                  <c:v>8.0557276673069111E-2</c:v>
                </c:pt>
                <c:pt idx="17">
                  <c:v>8.0754446531314278E-2</c:v>
                </c:pt>
                <c:pt idx="18">
                  <c:v>8.1339244799930099E-2</c:v>
                </c:pt>
                <c:pt idx="19">
                  <c:v>8.2319791453424954E-2</c:v>
                </c:pt>
                <c:pt idx="20">
                  <c:v>8.4087001958533317E-2</c:v>
                </c:pt>
                <c:pt idx="21">
                  <c:v>8.3549179062917506E-2</c:v>
                </c:pt>
                <c:pt idx="22">
                  <c:v>8.8678355295959743E-2</c:v>
                </c:pt>
                <c:pt idx="23">
                  <c:v>9.1190587883369395E-2</c:v>
                </c:pt>
                <c:pt idx="24">
                  <c:v>9.4893555303363977E-2</c:v>
                </c:pt>
                <c:pt idx="25">
                  <c:v>9.6530190043480402E-2</c:v>
                </c:pt>
                <c:pt idx="26">
                  <c:v>9.8112387462535838E-2</c:v>
                </c:pt>
              </c:numCache>
            </c:numRef>
          </c:val>
          <c:smooth val="0"/>
          <c:extLst xmlns:c16r2="http://schemas.microsoft.com/office/drawing/2015/06/chart">
            <c:ext xmlns:c16="http://schemas.microsoft.com/office/drawing/2014/chart" uri="{C3380CC4-5D6E-409C-BE32-E72D297353CC}">
              <c16:uniqueId val="{00000009-BDE9-4923-999B-141D435EE467}"/>
            </c:ext>
          </c:extLst>
        </c:ser>
        <c:ser>
          <c:idx val="5"/>
          <c:order val="3"/>
          <c:tx>
            <c:v>Add tax-exempt interest</c:v>
          </c:tx>
          <c:spPr>
            <a:ln w="25400">
              <a:solidFill>
                <a:schemeClr val="bg1">
                  <a:lumMod val="50000"/>
                </a:schemeClr>
              </a:solidFill>
            </a:ln>
          </c:spPr>
          <c:marker>
            <c:symbol val="none"/>
          </c:marker>
          <c:dPt>
            <c:idx val="1"/>
            <c:bubble3D val="0"/>
            <c:extLst xmlns:c16r2="http://schemas.microsoft.com/office/drawing/2015/06/chart">
              <c:ext xmlns:c16="http://schemas.microsoft.com/office/drawing/2014/chart" uri="{C3380CC4-5D6E-409C-BE32-E72D297353CC}">
                <c16:uniqueId val="{0000000A-BDE9-4923-999B-141D435EE467}"/>
              </c:ext>
            </c:extLst>
          </c:dPt>
          <c:dPt>
            <c:idx val="3"/>
            <c:bubble3D val="0"/>
            <c:extLst xmlns:c16r2="http://schemas.microsoft.com/office/drawing/2015/06/chart">
              <c:ext xmlns:c16="http://schemas.microsoft.com/office/drawing/2014/chart" uri="{C3380CC4-5D6E-409C-BE32-E72D297353CC}">
                <c16:uniqueId val="{0000000B-BDE9-4923-999B-141D435EE467}"/>
              </c:ext>
            </c:extLst>
          </c:dPt>
          <c:dPt>
            <c:idx val="5"/>
            <c:bubble3D val="0"/>
            <c:extLst xmlns:c16r2="http://schemas.microsoft.com/office/drawing/2015/06/chart">
              <c:ext xmlns:c16="http://schemas.microsoft.com/office/drawing/2014/chart" uri="{C3380CC4-5D6E-409C-BE32-E72D297353CC}">
                <c16:uniqueId val="{0000000C-BDE9-4923-999B-141D435EE467}"/>
              </c:ext>
            </c:extLst>
          </c:dPt>
          <c:val>
            <c:numRef>
              <c:f>'C2-Shares'!$AZ$6:$AZ$61</c:f>
              <c:numCache>
                <c:formatCode>0.0000</c:formatCode>
                <c:ptCount val="56"/>
                <c:pt idx="0">
                  <c:v>8.6599140546202352E-2</c:v>
                </c:pt>
                <c:pt idx="1">
                  <c:v>8.7048172285468503E-2</c:v>
                </c:pt>
                <c:pt idx="2">
                  <c:v>8.7451752643102773E-2</c:v>
                </c:pt>
                <c:pt idx="3">
                  <c:v>8.6388602167318654E-2</c:v>
                </c:pt>
                <c:pt idx="4">
                  <c:v>8.5454129294224898E-2</c:v>
                </c:pt>
                <c:pt idx="5">
                  <c:v>8.6351049424249524E-2</c:v>
                </c:pt>
                <c:pt idx="6">
                  <c:v>8.711145648007336E-2</c:v>
                </c:pt>
                <c:pt idx="7">
                  <c:v>8.7681883787068232E-2</c:v>
                </c:pt>
                <c:pt idx="8">
                  <c:v>8.7188731774046721E-2</c:v>
                </c:pt>
                <c:pt idx="9">
                  <c:v>8.3332672113992284E-2</c:v>
                </c:pt>
                <c:pt idx="10">
                  <c:v>8.2093740787040612E-2</c:v>
                </c:pt>
                <c:pt idx="11">
                  <c:v>8.2840324470955129E-2</c:v>
                </c:pt>
                <c:pt idx="12">
                  <c:v>8.2734296287745826E-2</c:v>
                </c:pt>
                <c:pt idx="13">
                  <c:v>8.2352941613815664E-2</c:v>
                </c:pt>
                <c:pt idx="14">
                  <c:v>8.5891000732937761E-2</c:v>
                </c:pt>
                <c:pt idx="15">
                  <c:v>8.5707495471719283E-2</c:v>
                </c:pt>
                <c:pt idx="16">
                  <c:v>8.4245774137245724E-2</c:v>
                </c:pt>
                <c:pt idx="17">
                  <c:v>8.4297951064445181E-2</c:v>
                </c:pt>
                <c:pt idx="18">
                  <c:v>8.4647070819577369E-2</c:v>
                </c:pt>
                <c:pt idx="19">
                  <c:v>8.5604078836749239E-2</c:v>
                </c:pt>
                <c:pt idx="20">
                  <c:v>8.7288476202784668E-2</c:v>
                </c:pt>
                <c:pt idx="21">
                  <c:v>8.6851318639556016E-2</c:v>
                </c:pt>
                <c:pt idx="22">
                  <c:v>9.1929699555189218E-2</c:v>
                </c:pt>
                <c:pt idx="23">
                  <c:v>9.4844520015405415E-2</c:v>
                </c:pt>
                <c:pt idx="24">
                  <c:v>9.8665401243309012E-2</c:v>
                </c:pt>
                <c:pt idx="25">
                  <c:v>0.10052133224533213</c:v>
                </c:pt>
                <c:pt idx="26">
                  <c:v>0.10241469171415755</c:v>
                </c:pt>
                <c:pt idx="27">
                  <c:v>0.1112036542410637</c:v>
                </c:pt>
                <c:pt idx="28">
                  <c:v>0.13436217929103739</c:v>
                </c:pt>
                <c:pt idx="29">
                  <c:v>0.12928434453568302</c:v>
                </c:pt>
                <c:pt idx="30">
                  <c:v>0.13229639007058402</c:v>
                </c:pt>
                <c:pt idx="31">
                  <c:v>0.12635470818473027</c:v>
                </c:pt>
                <c:pt idx="32">
                  <c:v>0.13765965188224497</c:v>
                </c:pt>
                <c:pt idx="33">
                  <c:v>0.13120643049930747</c:v>
                </c:pt>
                <c:pt idx="34">
                  <c:v>0.13114628489534952</c:v>
                </c:pt>
                <c:pt idx="35">
                  <c:v>0.13654603154635775</c:v>
                </c:pt>
                <c:pt idx="36">
                  <c:v>0.14222958199200389</c:v>
                </c:pt>
                <c:pt idx="37">
                  <c:v>0.14831007740826058</c:v>
                </c:pt>
                <c:pt idx="38">
                  <c:v>0.15249688597937786</c:v>
                </c:pt>
                <c:pt idx="39">
                  <c:v>0.15738261132368891</c:v>
                </c:pt>
                <c:pt idx="40">
                  <c:v>0.16599461095892284</c:v>
                </c:pt>
                <c:pt idx="41">
                  <c:v>0.15513441169107955</c:v>
                </c:pt>
                <c:pt idx="42">
                  <c:v>0.14925370415722755</c:v>
                </c:pt>
                <c:pt idx="43">
                  <c:v>0.15208472023846939</c:v>
                </c:pt>
                <c:pt idx="44">
                  <c:v>0.16349820558537945</c:v>
                </c:pt>
                <c:pt idx="45">
                  <c:v>0.17642248172209671</c:v>
                </c:pt>
                <c:pt idx="46">
                  <c:v>0.18137841504736363</c:v>
                </c:pt>
                <c:pt idx="47">
                  <c:v>0.18391379392640647</c:v>
                </c:pt>
                <c:pt idx="48">
                  <c:v>0.17926776706706951</c:v>
                </c:pt>
                <c:pt idx="49">
                  <c:v>0.16642660951446694</c:v>
                </c:pt>
                <c:pt idx="50">
                  <c:v>0.17446889047538655</c:v>
                </c:pt>
                <c:pt idx="51">
                  <c:v>0.17351467030538748</c:v>
                </c:pt>
                <c:pt idx="52">
                  <c:v>0.19054762590439758</c:v>
                </c:pt>
                <c:pt idx="53">
                  <c:v>0.17603164828673193</c:v>
                </c:pt>
                <c:pt idx="54">
                  <c:v>0.18200942254031119</c:v>
                </c:pt>
                <c:pt idx="55">
                  <c:v>0.18346745327349573</c:v>
                </c:pt>
              </c:numCache>
            </c:numRef>
          </c:val>
          <c:smooth val="0"/>
          <c:extLst xmlns:c16r2="http://schemas.microsoft.com/office/drawing/2015/06/chart">
            <c:ext xmlns:c16="http://schemas.microsoft.com/office/drawing/2014/chart" uri="{C3380CC4-5D6E-409C-BE32-E72D297353CC}">
              <c16:uniqueId val="{0000000D-BDE9-4923-999B-141D435EE467}"/>
            </c:ext>
          </c:extLst>
        </c:ser>
        <c:dLbls>
          <c:showLegendKey val="0"/>
          <c:showVal val="0"/>
          <c:showCatName val="0"/>
          <c:showSerName val="0"/>
          <c:showPercent val="0"/>
          <c:showBubbleSize val="0"/>
        </c:dLbls>
        <c:smooth val="0"/>
        <c:axId val="182976608"/>
        <c:axId val="510753864"/>
      </c:lineChart>
      <c:catAx>
        <c:axId val="182976608"/>
        <c:scaling>
          <c:orientation val="minMax"/>
        </c:scaling>
        <c:delete val="0"/>
        <c:axPos val="b"/>
        <c:majorGridlines>
          <c:spPr>
            <a:ln w="6350">
              <a:solidFill>
                <a:schemeClr val="tx1">
                  <a:lumMod val="50000"/>
                  <a:lumOff val="50000"/>
                </a:schemeClr>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510753864"/>
        <c:crossesAt val="0"/>
        <c:auto val="1"/>
        <c:lblAlgn val="ctr"/>
        <c:lblOffset val="100"/>
        <c:tickLblSkip val="10"/>
        <c:tickMarkSkip val="10"/>
        <c:noMultiLvlLbl val="0"/>
      </c:catAx>
      <c:valAx>
        <c:axId val="510753864"/>
        <c:scaling>
          <c:orientation val="minMax"/>
          <c:max val="0.2"/>
          <c:min val="0"/>
        </c:scaling>
        <c:delete val="0"/>
        <c:axPos val="l"/>
        <c:majorGridlines>
          <c:spPr>
            <a:ln w="6350">
              <a:solidFill>
                <a:schemeClr val="tx1">
                  <a:lumMod val="50000"/>
                  <a:lumOff val="50000"/>
                </a:schemeClr>
              </a:solidFill>
              <a:prstDash val="sysDash"/>
            </a:ln>
          </c:spPr>
        </c:majorGridlines>
        <c:minorGridlines/>
        <c:title>
          <c:tx>
            <c:rich>
              <a:bodyPr/>
              <a:lstStyle/>
              <a:p>
                <a:pPr>
                  <a:defRPr sz="2050" b="0" i="0" u="none" strike="noStrike" baseline="0">
                    <a:solidFill>
                      <a:srgbClr val="000000"/>
                    </a:solidFill>
                    <a:latin typeface="Arial"/>
                    <a:ea typeface="Arial"/>
                    <a:cs typeface="Arial"/>
                  </a:defRPr>
                </a:pPr>
                <a:r>
                  <a:rPr lang="en-US" sz="1200" b="0"/>
                  <a:t>Top 1% Income Share</a:t>
                </a:r>
              </a:p>
            </c:rich>
          </c:tx>
          <c:layout>
            <c:manualLayout>
              <c:xMode val="edge"/>
              <c:yMode val="edge"/>
              <c:x val="1.9772831688933176E-3"/>
              <c:y val="0.292282833383302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82976608"/>
        <c:crosses val="autoZero"/>
        <c:crossBetween val="midCat"/>
        <c:majorUnit val="0.05"/>
        <c:minorUnit val="0.05"/>
      </c:valAx>
      <c:spPr>
        <a:solidFill>
          <a:srgbClr val="FFFFFF"/>
        </a:solidFill>
        <a:ln w="3175">
          <a:noFill/>
          <a:prstDash val="solid"/>
        </a:ln>
      </c:spPr>
    </c:plotArea>
    <c:plotVisOnly val="1"/>
    <c:dispBlanksAs val="span"/>
    <c:showDLblsOverMax val="0"/>
  </c:chart>
  <c:spPr>
    <a:solidFill>
      <a:srgbClr val="FFFFFF"/>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711" r="0.75000000000000711" t="1" header="0.5" footer="0.5"/>
    <c:pageSetup orientation="landscape" verticalDpi="96"/>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0" i="0" u="none" strike="noStrike" baseline="0">
                <a:solidFill>
                  <a:srgbClr val="000000"/>
                </a:solidFill>
                <a:latin typeface="Arial"/>
                <a:ea typeface="Arial"/>
                <a:cs typeface="Arial"/>
              </a:defRPr>
            </a:pPr>
            <a:r>
              <a:rPr lang="en-US" sz="1300" b="1" i="0" u="none" strike="noStrike" baseline="0">
                <a:solidFill>
                  <a:srgbClr val="000000"/>
                </a:solidFill>
                <a:latin typeface="Arial" panose="020B0604020202020204" pitchFamily="34" charset="0"/>
                <a:cs typeface="Arial" panose="020B0604020202020204" pitchFamily="34" charset="0"/>
              </a:rPr>
              <a:t>Pre-tax Income Corrections, Decreases</a:t>
            </a:r>
          </a:p>
          <a:p>
            <a:pPr>
              <a:defRPr sz="900" b="0" i="0" u="none" strike="noStrike" baseline="0">
                <a:solidFill>
                  <a:srgbClr val="000000"/>
                </a:solidFill>
                <a:latin typeface="Arial"/>
                <a:ea typeface="Arial"/>
                <a:cs typeface="Arial"/>
              </a:defRPr>
            </a:pPr>
            <a:r>
              <a:rPr lang="en-US" sz="1200" b="0" i="0" u="none" strike="noStrike" baseline="0">
                <a:solidFill>
                  <a:srgbClr val="000000"/>
                </a:solidFill>
                <a:latin typeface="Calibri"/>
              </a:rPr>
              <a:t> </a:t>
            </a:r>
          </a:p>
        </c:rich>
      </c:tx>
      <c:layout>
        <c:manualLayout>
          <c:xMode val="edge"/>
          <c:yMode val="edge"/>
          <c:x val="0.2724620468953009"/>
          <c:y val="2.5304576058427484E-2"/>
        </c:manualLayout>
      </c:layout>
      <c:overlay val="0"/>
      <c:spPr>
        <a:noFill/>
        <a:ln w="25400">
          <a:noFill/>
        </a:ln>
      </c:spPr>
    </c:title>
    <c:autoTitleDeleted val="0"/>
    <c:plotArea>
      <c:layout>
        <c:manualLayout>
          <c:layoutTarget val="inner"/>
          <c:xMode val="edge"/>
          <c:yMode val="edge"/>
          <c:x val="0.14205926279417094"/>
          <c:y val="7.9415145454085123E-2"/>
          <c:w val="0.84447272373781557"/>
          <c:h val="0.86696282059230789"/>
        </c:manualLayout>
      </c:layout>
      <c:lineChart>
        <c:grouping val="standard"/>
        <c:varyColors val="0"/>
        <c:ser>
          <c:idx val="0"/>
          <c:order val="0"/>
          <c:tx>
            <c:v>Corrected market income (increases only)</c:v>
          </c:tx>
          <c:spPr>
            <a:ln w="22225">
              <a:solidFill>
                <a:srgbClr val="000000"/>
              </a:solidFill>
              <a:prstDash val="solid"/>
            </a:ln>
          </c:spPr>
          <c:marker>
            <c:symbol val="none"/>
          </c:marker>
          <c:dPt>
            <c:idx val="1"/>
            <c:bubble3D val="0"/>
            <c:extLst xmlns:c16r2="http://schemas.microsoft.com/office/drawing/2015/06/chart">
              <c:ext xmlns:c16="http://schemas.microsoft.com/office/drawing/2014/chart" uri="{C3380CC4-5D6E-409C-BE32-E72D297353CC}">
                <c16:uniqueId val="{00000000-7E53-43C6-83AB-1032787D4206}"/>
              </c:ext>
            </c:extLst>
          </c:dPt>
          <c:dPt>
            <c:idx val="3"/>
            <c:bubble3D val="0"/>
            <c:extLst xmlns:c16r2="http://schemas.microsoft.com/office/drawing/2015/06/chart">
              <c:ext xmlns:c16="http://schemas.microsoft.com/office/drawing/2014/chart" uri="{C3380CC4-5D6E-409C-BE32-E72D297353CC}">
                <c16:uniqueId val="{00000001-7E53-43C6-83AB-1032787D4206}"/>
              </c:ext>
            </c:extLst>
          </c:dPt>
          <c:dPt>
            <c:idx val="5"/>
            <c:bubble3D val="0"/>
            <c:extLst xmlns:c16r2="http://schemas.microsoft.com/office/drawing/2015/06/chart">
              <c:ext xmlns:c16="http://schemas.microsoft.com/office/drawing/2014/chart" uri="{C3380CC4-5D6E-409C-BE32-E72D297353CC}">
                <c16:uniqueId val="{00000002-7E53-43C6-83AB-1032787D4206}"/>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'C2-Shares'!$AZ$6:$AZ$61</c:f>
              <c:numCache>
                <c:formatCode>0.0000</c:formatCode>
                <c:ptCount val="56"/>
                <c:pt idx="0">
                  <c:v>8.6599140546202352E-2</c:v>
                </c:pt>
                <c:pt idx="1">
                  <c:v>8.7048172285468503E-2</c:v>
                </c:pt>
                <c:pt idx="2">
                  <c:v>8.7451752643102773E-2</c:v>
                </c:pt>
                <c:pt idx="3">
                  <c:v>8.6388602167318654E-2</c:v>
                </c:pt>
                <c:pt idx="4">
                  <c:v>8.5454129294224898E-2</c:v>
                </c:pt>
                <c:pt idx="5">
                  <c:v>8.6351049424249524E-2</c:v>
                </c:pt>
                <c:pt idx="6">
                  <c:v>8.711145648007336E-2</c:v>
                </c:pt>
                <c:pt idx="7">
                  <c:v>8.7681883787068232E-2</c:v>
                </c:pt>
                <c:pt idx="8">
                  <c:v>8.7188731774046721E-2</c:v>
                </c:pt>
                <c:pt idx="9">
                  <c:v>8.3332672113992284E-2</c:v>
                </c:pt>
                <c:pt idx="10">
                  <c:v>8.2093740787040612E-2</c:v>
                </c:pt>
                <c:pt idx="11">
                  <c:v>8.2840324470955129E-2</c:v>
                </c:pt>
                <c:pt idx="12">
                  <c:v>8.2734296287745826E-2</c:v>
                </c:pt>
                <c:pt idx="13">
                  <c:v>8.2352941613815664E-2</c:v>
                </c:pt>
                <c:pt idx="14">
                  <c:v>8.5891000732937761E-2</c:v>
                </c:pt>
                <c:pt idx="15">
                  <c:v>8.5707495471719283E-2</c:v>
                </c:pt>
                <c:pt idx="16">
                  <c:v>8.4245774137245724E-2</c:v>
                </c:pt>
                <c:pt idx="17">
                  <c:v>8.4297951064445181E-2</c:v>
                </c:pt>
                <c:pt idx="18">
                  <c:v>8.4647070819577369E-2</c:v>
                </c:pt>
                <c:pt idx="19">
                  <c:v>8.5604078836749239E-2</c:v>
                </c:pt>
                <c:pt idx="20">
                  <c:v>8.7288476202784668E-2</c:v>
                </c:pt>
                <c:pt idx="21">
                  <c:v>8.6851318639556016E-2</c:v>
                </c:pt>
                <c:pt idx="22">
                  <c:v>9.1929699555189218E-2</c:v>
                </c:pt>
                <c:pt idx="23">
                  <c:v>9.4844520015405415E-2</c:v>
                </c:pt>
                <c:pt idx="24">
                  <c:v>9.8665401243309012E-2</c:v>
                </c:pt>
                <c:pt idx="25">
                  <c:v>0.10052133224533213</c:v>
                </c:pt>
                <c:pt idx="26">
                  <c:v>0.10241469171415755</c:v>
                </c:pt>
                <c:pt idx="27">
                  <c:v>0.1112036542410637</c:v>
                </c:pt>
                <c:pt idx="28">
                  <c:v>0.13436217929103739</c:v>
                </c:pt>
                <c:pt idx="29">
                  <c:v>0.12928434453568302</c:v>
                </c:pt>
                <c:pt idx="30">
                  <c:v>0.13229639007058402</c:v>
                </c:pt>
                <c:pt idx="31">
                  <c:v>0.12635470818473027</c:v>
                </c:pt>
                <c:pt idx="32">
                  <c:v>0.13765965188224497</c:v>
                </c:pt>
                <c:pt idx="33">
                  <c:v>0.13120643049930747</c:v>
                </c:pt>
                <c:pt idx="34">
                  <c:v>0.13114628489534952</c:v>
                </c:pt>
                <c:pt idx="35">
                  <c:v>0.13654603154635775</c:v>
                </c:pt>
                <c:pt idx="36">
                  <c:v>0.14222958199200389</c:v>
                </c:pt>
                <c:pt idx="37">
                  <c:v>0.14831007740826058</c:v>
                </c:pt>
                <c:pt idx="38">
                  <c:v>0.15249688597937786</c:v>
                </c:pt>
                <c:pt idx="39">
                  <c:v>0.15738261132368891</c:v>
                </c:pt>
                <c:pt idx="40">
                  <c:v>0.16599461095892284</c:v>
                </c:pt>
                <c:pt idx="41">
                  <c:v>0.15513441169107955</c:v>
                </c:pt>
                <c:pt idx="42">
                  <c:v>0.14925370415722755</c:v>
                </c:pt>
                <c:pt idx="43">
                  <c:v>0.15208472023846939</c:v>
                </c:pt>
                <c:pt idx="44">
                  <c:v>0.16349820558537945</c:v>
                </c:pt>
                <c:pt idx="45">
                  <c:v>0.17642248172209671</c:v>
                </c:pt>
                <c:pt idx="46">
                  <c:v>0.18137841504736363</c:v>
                </c:pt>
                <c:pt idx="47">
                  <c:v>0.18391379392640647</c:v>
                </c:pt>
                <c:pt idx="48">
                  <c:v>0.17926776706706951</c:v>
                </c:pt>
                <c:pt idx="49">
                  <c:v>0.16642660951446694</c:v>
                </c:pt>
                <c:pt idx="50">
                  <c:v>0.17446889047538655</c:v>
                </c:pt>
                <c:pt idx="51">
                  <c:v>0.17351467030538748</c:v>
                </c:pt>
                <c:pt idx="52">
                  <c:v>0.19054762590439758</c:v>
                </c:pt>
                <c:pt idx="53">
                  <c:v>0.17603164828673193</c:v>
                </c:pt>
                <c:pt idx="54">
                  <c:v>0.18200942254031119</c:v>
                </c:pt>
                <c:pt idx="55">
                  <c:v>0.18346745327349573</c:v>
                </c:pt>
              </c:numCache>
            </c:numRef>
          </c:val>
          <c:smooth val="0"/>
          <c:extLst xmlns:c16r2="http://schemas.microsoft.com/office/drawing/2015/06/chart">
            <c:ext xmlns:c16="http://schemas.microsoft.com/office/drawing/2014/chart" uri="{C3380CC4-5D6E-409C-BE32-E72D297353CC}">
              <c16:uniqueId val="{00000003-7E53-43C6-83AB-1032787D4206}"/>
            </c:ext>
          </c:extLst>
        </c:ser>
        <c:ser>
          <c:idx val="6"/>
          <c:order val="1"/>
          <c:tx>
            <c:v>Correct income definition</c:v>
          </c:tx>
          <c:spPr>
            <a:ln w="22225">
              <a:solidFill>
                <a:schemeClr val="tx1">
                  <a:lumMod val="50000"/>
                  <a:lumOff val="50000"/>
                </a:schemeClr>
              </a:solidFill>
              <a:prstDash val="sysDash"/>
            </a:ln>
          </c:spPr>
          <c:marker>
            <c:symbol val="none"/>
          </c:marker>
          <c:dPt>
            <c:idx val="1"/>
            <c:bubble3D val="0"/>
            <c:extLst xmlns:c16r2="http://schemas.microsoft.com/office/drawing/2015/06/chart">
              <c:ext xmlns:c16="http://schemas.microsoft.com/office/drawing/2014/chart" uri="{C3380CC4-5D6E-409C-BE32-E72D297353CC}">
                <c16:uniqueId val="{00000004-7E53-43C6-83AB-1032787D4206}"/>
              </c:ext>
            </c:extLst>
          </c:dPt>
          <c:dPt>
            <c:idx val="3"/>
            <c:bubble3D val="0"/>
            <c:extLst xmlns:c16r2="http://schemas.microsoft.com/office/drawing/2015/06/chart">
              <c:ext xmlns:c16="http://schemas.microsoft.com/office/drawing/2014/chart" uri="{C3380CC4-5D6E-409C-BE32-E72D297353CC}">
                <c16:uniqueId val="{00000005-7E53-43C6-83AB-1032787D4206}"/>
              </c:ext>
            </c:extLst>
          </c:dPt>
          <c:dPt>
            <c:idx val="5"/>
            <c:bubble3D val="0"/>
            <c:extLst xmlns:c16r2="http://schemas.microsoft.com/office/drawing/2015/06/chart">
              <c:ext xmlns:c16="http://schemas.microsoft.com/office/drawing/2014/chart" uri="{C3380CC4-5D6E-409C-BE32-E72D297353CC}">
                <c16:uniqueId val="{00000006-7E53-43C6-83AB-1032787D4206}"/>
              </c:ext>
            </c:extLst>
          </c:dPt>
          <c:val>
            <c:numRef>
              <c:f>'C2-Shares'!$BH$6:$BH$61</c:f>
              <c:numCache>
                <c:formatCode>0.0000</c:formatCode>
                <c:ptCount val="56"/>
                <c:pt idx="0">
                  <c:v>8.6920610846777532E-2</c:v>
                </c:pt>
                <c:pt idx="1">
                  <c:v>8.7249170335084308E-2</c:v>
                </c:pt>
                <c:pt idx="2">
                  <c:v>8.754464503555158E-2</c:v>
                </c:pt>
                <c:pt idx="3">
                  <c:v>8.6553258292552587E-2</c:v>
                </c:pt>
                <c:pt idx="4">
                  <c:v>8.5682730764410825E-2</c:v>
                </c:pt>
                <c:pt idx="5">
                  <c:v>8.642236958410221E-2</c:v>
                </c:pt>
                <c:pt idx="6">
                  <c:v>8.704984698727164E-2</c:v>
                </c:pt>
                <c:pt idx="7">
                  <c:v>8.7589903230738411E-2</c:v>
                </c:pt>
                <c:pt idx="8">
                  <c:v>8.7072320830237707E-2</c:v>
                </c:pt>
                <c:pt idx="9">
                  <c:v>8.3348141138257295E-2</c:v>
                </c:pt>
                <c:pt idx="10">
                  <c:v>8.2024649945314054E-2</c:v>
                </c:pt>
                <c:pt idx="11">
                  <c:v>8.2681217733976076E-2</c:v>
                </c:pt>
                <c:pt idx="12">
                  <c:v>8.2604337694857519E-2</c:v>
                </c:pt>
                <c:pt idx="13">
                  <c:v>8.205222342264494E-2</c:v>
                </c:pt>
                <c:pt idx="14">
                  <c:v>8.5748417788936548E-2</c:v>
                </c:pt>
                <c:pt idx="15">
                  <c:v>8.4805413231090476E-2</c:v>
                </c:pt>
                <c:pt idx="16">
                  <c:v>8.4225882460541412E-2</c:v>
                </c:pt>
                <c:pt idx="17">
                  <c:v>8.3595187552851308E-2</c:v>
                </c:pt>
                <c:pt idx="18">
                  <c:v>8.4243229786982107E-2</c:v>
                </c:pt>
                <c:pt idx="19">
                  <c:v>8.5158943075727231E-2</c:v>
                </c:pt>
                <c:pt idx="20">
                  <c:v>8.7017816116233312E-2</c:v>
                </c:pt>
                <c:pt idx="21">
                  <c:v>8.6305197644932108E-2</c:v>
                </c:pt>
                <c:pt idx="22">
                  <c:v>9.1158334317269205E-2</c:v>
                </c:pt>
                <c:pt idx="23">
                  <c:v>9.4090854230306928E-2</c:v>
                </c:pt>
                <c:pt idx="24">
                  <c:v>9.7664413515328966E-2</c:v>
                </c:pt>
                <c:pt idx="25">
                  <c:v>9.9253177413548041E-2</c:v>
                </c:pt>
                <c:pt idx="26">
                  <c:v>0.10072027478021189</c:v>
                </c:pt>
                <c:pt idx="27">
                  <c:v>0.10946642758009148</c:v>
                </c:pt>
                <c:pt idx="28">
                  <c:v>0.13230991144035925</c:v>
                </c:pt>
                <c:pt idx="29">
                  <c:v>0.12748527356395023</c:v>
                </c:pt>
                <c:pt idx="30">
                  <c:v>0.13041327410473499</c:v>
                </c:pt>
                <c:pt idx="31">
                  <c:v>0.12432323570423709</c:v>
                </c:pt>
                <c:pt idx="32">
                  <c:v>0.13580396868183453</c:v>
                </c:pt>
                <c:pt idx="33">
                  <c:v>0.1292984985578472</c:v>
                </c:pt>
                <c:pt idx="34">
                  <c:v>0.12921731275904036</c:v>
                </c:pt>
                <c:pt idx="35">
                  <c:v>0.13430384821363464</c:v>
                </c:pt>
                <c:pt idx="36">
                  <c:v>0.14024014473833857</c:v>
                </c:pt>
                <c:pt idx="37">
                  <c:v>0.14617082192665834</c:v>
                </c:pt>
                <c:pt idx="38">
                  <c:v>0.15046977296462452</c:v>
                </c:pt>
                <c:pt idx="39">
                  <c:v>0.15555466391933642</c:v>
                </c:pt>
                <c:pt idx="40">
                  <c:v>0.16435578952673349</c:v>
                </c:pt>
                <c:pt idx="41">
                  <c:v>0.15303735126815196</c:v>
                </c:pt>
                <c:pt idx="42">
                  <c:v>0.14690123159338461</c:v>
                </c:pt>
                <c:pt idx="43">
                  <c:v>0.14950149203255866</c:v>
                </c:pt>
                <c:pt idx="44">
                  <c:v>0.16101208310720044</c:v>
                </c:pt>
                <c:pt idx="45">
                  <c:v>0.17391746231909511</c:v>
                </c:pt>
                <c:pt idx="46">
                  <c:v>0.17861899536094583</c:v>
                </c:pt>
                <c:pt idx="47">
                  <c:v>0.180899236259805</c:v>
                </c:pt>
                <c:pt idx="48">
                  <c:v>0.17587052078191776</c:v>
                </c:pt>
                <c:pt idx="49">
                  <c:v>0.16249501709951886</c:v>
                </c:pt>
                <c:pt idx="50">
                  <c:v>0.17018681968481936</c:v>
                </c:pt>
                <c:pt idx="51">
                  <c:v>0.16901254389139231</c:v>
                </c:pt>
                <c:pt idx="52">
                  <c:v>0.18581131838758286</c:v>
                </c:pt>
                <c:pt idx="53">
                  <c:v>0.1710932688250123</c:v>
                </c:pt>
                <c:pt idx="54">
                  <c:v>0.17691432009654673</c:v>
                </c:pt>
                <c:pt idx="55">
                  <c:v>0.1783031585558186</c:v>
                </c:pt>
              </c:numCache>
            </c:numRef>
          </c:val>
          <c:smooth val="0"/>
          <c:extLst xmlns:c16r2="http://schemas.microsoft.com/office/drawing/2015/06/chart">
            <c:ext xmlns:c16="http://schemas.microsoft.com/office/drawing/2014/chart" uri="{C3380CC4-5D6E-409C-BE32-E72D297353CC}">
              <c16:uniqueId val="{00000007-7E53-43C6-83AB-1032787D4206}"/>
            </c:ext>
          </c:extLst>
        </c:ser>
        <c:ser>
          <c:idx val="2"/>
          <c:order val="2"/>
          <c:tx>
            <c:v>Set income groups by #adults</c:v>
          </c:tx>
          <c:spPr>
            <a:ln w="25400">
              <a:solidFill>
                <a:schemeClr val="bg1">
                  <a:lumMod val="50000"/>
                </a:schemeClr>
              </a:solidFill>
            </a:ln>
          </c:spPr>
          <c:marker>
            <c:symbol val="none"/>
          </c:marker>
          <c:val>
            <c:numRef>
              <c:f>'C2-Shares'!$BP$6:$BP$61</c:f>
              <c:numCache>
                <c:formatCode>0.0000</c:formatCode>
                <c:ptCount val="56"/>
                <c:pt idx="0">
                  <c:v>7.8734821284945827E-2</c:v>
                </c:pt>
                <c:pt idx="1">
                  <c:v>7.950580993348802E-2</c:v>
                </c:pt>
                <c:pt idx="2">
                  <c:v>8.01991627298589E-2</c:v>
                </c:pt>
                <c:pt idx="3">
                  <c:v>7.8654253251748574E-2</c:v>
                </c:pt>
                <c:pt idx="4">
                  <c:v>7.7297682530302586E-2</c:v>
                </c:pt>
                <c:pt idx="5">
                  <c:v>7.8269866719329409E-2</c:v>
                </c:pt>
                <c:pt idx="6">
                  <c:v>7.9094625499009849E-2</c:v>
                </c:pt>
                <c:pt idx="7">
                  <c:v>7.9345653690986118E-2</c:v>
                </c:pt>
                <c:pt idx="8">
                  <c:v>7.8435878694217948E-2</c:v>
                </c:pt>
                <c:pt idx="9">
                  <c:v>7.5528787271575581E-2</c:v>
                </c:pt>
                <c:pt idx="10">
                  <c:v>7.4341140918063334E-2</c:v>
                </c:pt>
                <c:pt idx="11">
                  <c:v>7.423599001305331E-2</c:v>
                </c:pt>
                <c:pt idx="12">
                  <c:v>7.3463359725325902E-2</c:v>
                </c:pt>
                <c:pt idx="13">
                  <c:v>7.3623033167327101E-2</c:v>
                </c:pt>
                <c:pt idx="14">
                  <c:v>7.6791537387204303E-2</c:v>
                </c:pt>
                <c:pt idx="15">
                  <c:v>7.5870166266314279E-2</c:v>
                </c:pt>
                <c:pt idx="16">
                  <c:v>7.5214581457125812E-2</c:v>
                </c:pt>
                <c:pt idx="17">
                  <c:v>7.4266218805855419E-2</c:v>
                </c:pt>
                <c:pt idx="18">
                  <c:v>7.4731796052208407E-2</c:v>
                </c:pt>
                <c:pt idx="19">
                  <c:v>7.607353491735129E-2</c:v>
                </c:pt>
                <c:pt idx="20">
                  <c:v>7.8603752106997424E-2</c:v>
                </c:pt>
                <c:pt idx="21">
                  <c:v>7.9004294111532938E-2</c:v>
                </c:pt>
                <c:pt idx="22">
                  <c:v>8.3988722508275881E-2</c:v>
                </c:pt>
                <c:pt idx="23">
                  <c:v>8.6063122192691466E-2</c:v>
                </c:pt>
                <c:pt idx="24">
                  <c:v>8.9801623126416277E-2</c:v>
                </c:pt>
                <c:pt idx="25">
                  <c:v>9.205939695431975E-2</c:v>
                </c:pt>
                <c:pt idx="26">
                  <c:v>9.2263808815653187E-2</c:v>
                </c:pt>
                <c:pt idx="27">
                  <c:v>9.9576121349569113E-2</c:v>
                </c:pt>
                <c:pt idx="28">
                  <c:v>0.12179341061546657</c:v>
                </c:pt>
                <c:pt idx="29">
                  <c:v>0.11720271976048928</c:v>
                </c:pt>
                <c:pt idx="30">
                  <c:v>0.11981887010048813</c:v>
                </c:pt>
                <c:pt idx="31">
                  <c:v>0.11417176859008872</c:v>
                </c:pt>
                <c:pt idx="32">
                  <c:v>0.12527151639312997</c:v>
                </c:pt>
                <c:pt idx="33">
                  <c:v>0.11794091750620227</c:v>
                </c:pt>
                <c:pt idx="34">
                  <c:v>0.11740972444136223</c:v>
                </c:pt>
                <c:pt idx="35">
                  <c:v>0.12248438485226811</c:v>
                </c:pt>
                <c:pt idx="36">
                  <c:v>0.12794129726924547</c:v>
                </c:pt>
                <c:pt idx="37">
                  <c:v>0.13381134042884052</c:v>
                </c:pt>
                <c:pt idx="38">
                  <c:v>0.13850871610760548</c:v>
                </c:pt>
                <c:pt idx="39">
                  <c:v>0.14331342716628531</c:v>
                </c:pt>
                <c:pt idx="40">
                  <c:v>0.15271323970005557</c:v>
                </c:pt>
                <c:pt idx="41">
                  <c:v>0.14053008771631226</c:v>
                </c:pt>
                <c:pt idx="42">
                  <c:v>0.13421125592858837</c:v>
                </c:pt>
                <c:pt idx="43">
                  <c:v>0.13652782606305219</c:v>
                </c:pt>
                <c:pt idx="44">
                  <c:v>0.14697923353687528</c:v>
                </c:pt>
                <c:pt idx="45">
                  <c:v>0.15887801351172548</c:v>
                </c:pt>
                <c:pt idx="46">
                  <c:v>0.1630196904090282</c:v>
                </c:pt>
                <c:pt idx="47">
                  <c:v>0.16543577742164467</c:v>
                </c:pt>
                <c:pt idx="48">
                  <c:v>0.15942822025416023</c:v>
                </c:pt>
                <c:pt idx="49">
                  <c:v>0.14629922888309324</c:v>
                </c:pt>
                <c:pt idx="50">
                  <c:v>0.15308304286902652</c:v>
                </c:pt>
                <c:pt idx="51">
                  <c:v>0.15147672392649897</c:v>
                </c:pt>
                <c:pt idx="52">
                  <c:v>0.16740885633823213</c:v>
                </c:pt>
                <c:pt idx="53">
                  <c:v>0.15344573015693216</c:v>
                </c:pt>
                <c:pt idx="54">
                  <c:v>0.15889326616238297</c:v>
                </c:pt>
                <c:pt idx="55">
                  <c:v>0.15950579949102328</c:v>
                </c:pt>
              </c:numCache>
            </c:numRef>
          </c:val>
          <c:smooth val="0"/>
          <c:extLst xmlns:c16r2="http://schemas.microsoft.com/office/drawing/2015/06/chart">
            <c:ext xmlns:c16="http://schemas.microsoft.com/office/drawing/2014/chart" uri="{C3380CC4-5D6E-409C-BE32-E72D297353CC}">
              <c16:uniqueId val="{00000008-7E53-43C6-83AB-1032787D4206}"/>
            </c:ext>
          </c:extLst>
        </c:ser>
        <c:dLbls>
          <c:showLegendKey val="0"/>
          <c:showVal val="0"/>
          <c:showCatName val="0"/>
          <c:showSerName val="0"/>
          <c:showPercent val="0"/>
          <c:showBubbleSize val="0"/>
        </c:dLbls>
        <c:smooth val="0"/>
        <c:axId val="510748768"/>
        <c:axId val="510747984"/>
      </c:lineChart>
      <c:catAx>
        <c:axId val="510748768"/>
        <c:scaling>
          <c:orientation val="minMax"/>
        </c:scaling>
        <c:delete val="0"/>
        <c:axPos val="b"/>
        <c:majorGridlines>
          <c:spPr>
            <a:ln w="6350">
              <a:solidFill>
                <a:schemeClr val="tx1">
                  <a:lumMod val="50000"/>
                  <a:lumOff val="50000"/>
                </a:schemeClr>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510747984"/>
        <c:crossesAt val="0"/>
        <c:auto val="1"/>
        <c:lblAlgn val="ctr"/>
        <c:lblOffset val="100"/>
        <c:tickLblSkip val="10"/>
        <c:tickMarkSkip val="10"/>
        <c:noMultiLvlLbl val="0"/>
      </c:catAx>
      <c:valAx>
        <c:axId val="510747984"/>
        <c:scaling>
          <c:orientation val="minMax"/>
          <c:max val="0.2"/>
          <c:min val="0"/>
        </c:scaling>
        <c:delete val="0"/>
        <c:axPos val="l"/>
        <c:majorGridlines>
          <c:spPr>
            <a:ln w="6350">
              <a:solidFill>
                <a:schemeClr val="tx1">
                  <a:lumMod val="50000"/>
                  <a:lumOff val="50000"/>
                </a:schemeClr>
              </a:solidFill>
              <a:prstDash val="sysDash"/>
            </a:ln>
          </c:spPr>
        </c:majorGridlines>
        <c:title>
          <c:tx>
            <c:rich>
              <a:bodyPr/>
              <a:lstStyle/>
              <a:p>
                <a:pPr>
                  <a:defRPr sz="2050" b="0" i="0" u="none" strike="noStrike" baseline="0">
                    <a:solidFill>
                      <a:srgbClr val="000000"/>
                    </a:solidFill>
                    <a:latin typeface="Arial"/>
                    <a:ea typeface="Arial"/>
                    <a:cs typeface="Arial"/>
                  </a:defRPr>
                </a:pPr>
                <a:r>
                  <a:rPr lang="en-US" sz="1200" b="0"/>
                  <a:t>Top 1% Income Share</a:t>
                </a:r>
              </a:p>
            </c:rich>
          </c:tx>
          <c:layout>
            <c:manualLayout>
              <c:xMode val="edge"/>
              <c:yMode val="edge"/>
              <c:x val="3.4338730914449615E-4"/>
              <c:y val="0.2987560708454750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510748768"/>
        <c:crosses val="autoZero"/>
        <c:crossBetween val="midCat"/>
        <c:majorUnit val="0.05"/>
        <c:minorUnit val="0.05"/>
      </c:valAx>
      <c:spPr>
        <a:solidFill>
          <a:srgbClr val="FFFFFF"/>
        </a:solidFill>
        <a:ln w="3175">
          <a:noFill/>
          <a:prstDash val="solid"/>
        </a:ln>
      </c:spPr>
    </c:plotArea>
    <c:plotVisOnly val="1"/>
    <c:dispBlanksAs val="span"/>
    <c:showDLblsOverMax val="0"/>
  </c:chart>
  <c:spPr>
    <a:solidFill>
      <a:srgbClr val="FFFFFF"/>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666" r="0.75000000000000666" t="1" header="0.5" footer="0.5"/>
    <c:pageSetup orientation="landscape" verticalDpi="96"/>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47248305191796"/>
          <c:y val="1.906194561500708E-2"/>
          <c:w val="0.68172021278088901"/>
          <c:h val="0.92877942422551507"/>
        </c:manualLayout>
      </c:layout>
      <c:lineChart>
        <c:grouping val="standard"/>
        <c:varyColors val="0"/>
        <c:ser>
          <c:idx val="0"/>
          <c:order val="0"/>
          <c:tx>
            <c:v>Consistent market income</c:v>
          </c:tx>
          <c:spPr>
            <a:ln w="19050">
              <a:solidFill>
                <a:schemeClr val="bg1">
                  <a:lumMod val="50000"/>
                </a:schemeClr>
              </a:solidFill>
              <a:prstDash val="solid"/>
            </a:ln>
          </c:spPr>
          <c:marker>
            <c:symbol val="none"/>
          </c:marker>
          <c:dPt>
            <c:idx val="1"/>
            <c:bubble3D val="0"/>
            <c:extLst xmlns:c16r2="http://schemas.microsoft.com/office/drawing/2015/06/chart">
              <c:ext xmlns:c16="http://schemas.microsoft.com/office/drawing/2014/chart" uri="{C3380CC4-5D6E-409C-BE32-E72D297353CC}">
                <c16:uniqueId val="{00000000-68B7-4C76-A960-4FF9F1E37ACD}"/>
              </c:ext>
            </c:extLst>
          </c:dPt>
          <c:dPt>
            <c:idx val="3"/>
            <c:bubble3D val="0"/>
            <c:extLst xmlns:c16r2="http://schemas.microsoft.com/office/drawing/2015/06/chart">
              <c:ext xmlns:c16="http://schemas.microsoft.com/office/drawing/2014/chart" uri="{C3380CC4-5D6E-409C-BE32-E72D297353CC}">
                <c16:uniqueId val="{00000001-68B7-4C76-A960-4FF9F1E37ACD}"/>
              </c:ext>
            </c:extLst>
          </c:dPt>
          <c:dPt>
            <c:idx val="5"/>
            <c:bubble3D val="0"/>
            <c:extLst xmlns:c16r2="http://schemas.microsoft.com/office/drawing/2015/06/chart">
              <c:ext xmlns:c16="http://schemas.microsoft.com/office/drawing/2014/chart" uri="{C3380CC4-5D6E-409C-BE32-E72D297353CC}">
                <c16:uniqueId val="{00000002-68B7-4C76-A960-4FF9F1E37ACD}"/>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'C2-Shares'!$L$6:$L$61</c:f>
              <c:numCache>
                <c:formatCode>0.0000</c:formatCode>
                <c:ptCount val="56"/>
                <c:pt idx="0">
                  <c:v>0.1103860864630547</c:v>
                </c:pt>
                <c:pt idx="1">
                  <c:v>0.11081719513306594</c:v>
                </c:pt>
                <c:pt idx="2">
                  <c:v>0.11120373480640794</c:v>
                </c:pt>
                <c:pt idx="3">
                  <c:v>0.11305834004238841</c:v>
                </c:pt>
                <c:pt idx="4">
                  <c:v>0.1146899307735081</c:v>
                </c:pt>
                <c:pt idx="5">
                  <c:v>0.11494324669163405</c:v>
                </c:pt>
                <c:pt idx="6">
                  <c:v>0.11515736868552763</c:v>
                </c:pt>
                <c:pt idx="7">
                  <c:v>0.11224971747213815</c:v>
                </c:pt>
                <c:pt idx="8">
                  <c:v>0.11145129761914908</c:v>
                </c:pt>
                <c:pt idx="9">
                  <c:v>0.10106026471086935</c:v>
                </c:pt>
                <c:pt idx="10">
                  <c:v>9.3299155800116204E-2</c:v>
                </c:pt>
                <c:pt idx="11">
                  <c:v>9.6309616480635699E-2</c:v>
                </c:pt>
                <c:pt idx="12">
                  <c:v>9.8115968640821435E-2</c:v>
                </c:pt>
                <c:pt idx="13">
                  <c:v>9.7143648904541954E-2</c:v>
                </c:pt>
                <c:pt idx="14">
                  <c:v>9.3850207684448211E-2</c:v>
                </c:pt>
                <c:pt idx="15">
                  <c:v>9.4064651760773887E-2</c:v>
                </c:pt>
                <c:pt idx="16">
                  <c:v>9.4291204392316835E-2</c:v>
                </c:pt>
                <c:pt idx="17">
                  <c:v>9.4899274095405453E-2</c:v>
                </c:pt>
                <c:pt idx="18">
                  <c:v>9.3930708108198674E-2</c:v>
                </c:pt>
                <c:pt idx="19">
                  <c:v>9.4899986792237198E-2</c:v>
                </c:pt>
                <c:pt idx="20">
                  <c:v>9.261465973160031E-2</c:v>
                </c:pt>
                <c:pt idx="21">
                  <c:v>8.9262196264253163E-2</c:v>
                </c:pt>
                <c:pt idx="22">
                  <c:v>9.0401597762518424E-2</c:v>
                </c:pt>
                <c:pt idx="23">
                  <c:v>9.2487534110957156E-2</c:v>
                </c:pt>
                <c:pt idx="24">
                  <c:v>9.5430599975374134E-2</c:v>
                </c:pt>
                <c:pt idx="25">
                  <c:v>9.5622856413381044E-2</c:v>
                </c:pt>
                <c:pt idx="26">
                  <c:v>9.2931372728020101E-2</c:v>
                </c:pt>
                <c:pt idx="27">
                  <c:v>9.6691378643522452E-2</c:v>
                </c:pt>
                <c:pt idx="28">
                  <c:v>0.11618417948029981</c:v>
                </c:pt>
                <c:pt idx="29">
                  <c:v>0.11126510038595104</c:v>
                </c:pt>
                <c:pt idx="30">
                  <c:v>0.11287840931465051</c:v>
                </c:pt>
                <c:pt idx="31">
                  <c:v>0.10924309169780609</c:v>
                </c:pt>
                <c:pt idx="32">
                  <c:v>0.11597736769774794</c:v>
                </c:pt>
                <c:pt idx="33">
                  <c:v>0.10954075171346821</c:v>
                </c:pt>
                <c:pt idx="34">
                  <c:v>0.10947565686902427</c:v>
                </c:pt>
                <c:pt idx="35">
                  <c:v>0.11512130249241838</c:v>
                </c:pt>
                <c:pt idx="36">
                  <c:v>0.11931018728926303</c:v>
                </c:pt>
                <c:pt idx="37">
                  <c:v>0.12490294670435617</c:v>
                </c:pt>
                <c:pt idx="38">
                  <c:v>0.12637675646198396</c:v>
                </c:pt>
                <c:pt idx="39">
                  <c:v>0.13162035713692485</c:v>
                </c:pt>
                <c:pt idx="40">
                  <c:v>0.13670178501652119</c:v>
                </c:pt>
                <c:pt idx="41">
                  <c:v>0.12713426863166885</c:v>
                </c:pt>
                <c:pt idx="42">
                  <c:v>0.12068197568424517</c:v>
                </c:pt>
                <c:pt idx="43">
                  <c:v>0.12377478129489432</c:v>
                </c:pt>
                <c:pt idx="44">
                  <c:v>0.13260924234253701</c:v>
                </c:pt>
                <c:pt idx="45">
                  <c:v>0.14257478164468423</c:v>
                </c:pt>
                <c:pt idx="46">
                  <c:v>0.14696344047345955</c:v>
                </c:pt>
                <c:pt idx="47">
                  <c:v>0.14610594510750965</c:v>
                </c:pt>
                <c:pt idx="48">
                  <c:v>0.13955021491106612</c:v>
                </c:pt>
                <c:pt idx="49">
                  <c:v>0.13091121874891942</c:v>
                </c:pt>
                <c:pt idx="50">
                  <c:v>0.14296488171438282</c:v>
                </c:pt>
                <c:pt idx="51">
                  <c:v>0.13842295139515765</c:v>
                </c:pt>
                <c:pt idx="52">
                  <c:v>0.15229122380983121</c:v>
                </c:pt>
                <c:pt idx="53">
                  <c:v>0.13896760061229452</c:v>
                </c:pt>
                <c:pt idx="54">
                  <c:v>0.14277984870529348</c:v>
                </c:pt>
                <c:pt idx="55">
                  <c:v>0.14118367565625728</c:v>
                </c:pt>
              </c:numCache>
            </c:numRef>
          </c:val>
          <c:smooth val="0"/>
          <c:extLst xmlns:c16r2="http://schemas.microsoft.com/office/drawing/2015/06/chart">
            <c:ext xmlns:c16="http://schemas.microsoft.com/office/drawing/2014/chart" uri="{C3380CC4-5D6E-409C-BE32-E72D297353CC}">
              <c16:uniqueId val="{00000003-68B7-4C76-A960-4FF9F1E37ACD}"/>
            </c:ext>
          </c:extLst>
        </c:ser>
        <c:ser>
          <c:idx val="3"/>
          <c:order val="1"/>
          <c:tx>
            <c:v>Add Soc Sec benefits</c:v>
          </c:tx>
          <c:spPr>
            <a:ln w="19050">
              <a:solidFill>
                <a:schemeClr val="tx1"/>
              </a:solidFill>
            </a:ln>
          </c:spPr>
          <c:marker>
            <c:symbol val="none"/>
          </c:marker>
          <c:dPt>
            <c:idx val="1"/>
            <c:bubble3D val="0"/>
            <c:extLst xmlns:c16r2="http://schemas.microsoft.com/office/drawing/2015/06/chart">
              <c:ext xmlns:c16="http://schemas.microsoft.com/office/drawing/2014/chart" uri="{C3380CC4-5D6E-409C-BE32-E72D297353CC}">
                <c16:uniqueId val="{00000004-68B7-4C76-A960-4FF9F1E37ACD}"/>
              </c:ext>
            </c:extLst>
          </c:dPt>
          <c:dPt>
            <c:idx val="3"/>
            <c:bubble3D val="0"/>
            <c:extLst xmlns:c16r2="http://schemas.microsoft.com/office/drawing/2015/06/chart">
              <c:ext xmlns:c16="http://schemas.microsoft.com/office/drawing/2014/chart" uri="{C3380CC4-5D6E-409C-BE32-E72D297353CC}">
                <c16:uniqueId val="{00000005-68B7-4C76-A960-4FF9F1E37ACD}"/>
              </c:ext>
            </c:extLst>
          </c:dPt>
          <c:dPt>
            <c:idx val="5"/>
            <c:bubble3D val="0"/>
            <c:extLst xmlns:c16r2="http://schemas.microsoft.com/office/drawing/2015/06/chart">
              <c:ext xmlns:c16="http://schemas.microsoft.com/office/drawing/2014/chart" uri="{C3380CC4-5D6E-409C-BE32-E72D297353CC}">
                <c16:uniqueId val="{00000006-68B7-4C76-A960-4FF9F1E37ACD}"/>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'C2-Shares'!$FH$6:$FH$61</c:f>
              <c:numCache>
                <c:formatCode>0.0000</c:formatCode>
                <c:ptCount val="56"/>
                <c:pt idx="0">
                  <c:v>0.10803048045492174</c:v>
                </c:pt>
                <c:pt idx="1">
                  <c:v>0.10828271932434626</c:v>
                </c:pt>
                <c:pt idx="2">
                  <c:v>0.10850811448501747</c:v>
                </c:pt>
                <c:pt idx="3">
                  <c:v>0.11033709187161125</c:v>
                </c:pt>
                <c:pt idx="4">
                  <c:v>0.11194695836983386</c:v>
                </c:pt>
                <c:pt idx="5">
                  <c:v>0.11215743709955242</c:v>
                </c:pt>
                <c:pt idx="6">
                  <c:v>0.11233517203049642</c:v>
                </c:pt>
                <c:pt idx="7">
                  <c:v>0.10942242903564565</c:v>
                </c:pt>
                <c:pt idx="8">
                  <c:v>0.10849967377157242</c:v>
                </c:pt>
                <c:pt idx="9">
                  <c:v>9.8424345886577072E-2</c:v>
                </c:pt>
                <c:pt idx="10">
                  <c:v>9.0592411256250352E-2</c:v>
                </c:pt>
                <c:pt idx="11">
                  <c:v>9.3287250929624602E-2</c:v>
                </c:pt>
                <c:pt idx="12">
                  <c:v>9.4993094641620757E-2</c:v>
                </c:pt>
                <c:pt idx="13">
                  <c:v>9.3768142792508294E-2</c:v>
                </c:pt>
                <c:pt idx="14">
                  <c:v>9.0388631677252723E-2</c:v>
                </c:pt>
                <c:pt idx="15">
                  <c:v>9.0354211001225204E-2</c:v>
                </c:pt>
                <c:pt idx="16">
                  <c:v>9.0562007409070139E-2</c:v>
                </c:pt>
                <c:pt idx="17">
                  <c:v>9.1162163208599142E-2</c:v>
                </c:pt>
                <c:pt idx="18">
                  <c:v>9.0314950533124994E-2</c:v>
                </c:pt>
                <c:pt idx="19">
                  <c:v>9.1168530579304352E-2</c:v>
                </c:pt>
                <c:pt idx="20">
                  <c:v>8.8728838796038795E-2</c:v>
                </c:pt>
                <c:pt idx="21">
                  <c:v>8.5400055179676609E-2</c:v>
                </c:pt>
                <c:pt idx="22">
                  <c:v>8.6237898892085926E-2</c:v>
                </c:pt>
                <c:pt idx="23">
                  <c:v>8.822641185087339E-2</c:v>
                </c:pt>
                <c:pt idx="24">
                  <c:v>9.1309518643493737E-2</c:v>
                </c:pt>
                <c:pt idx="25">
                  <c:v>9.1857017074527661E-2</c:v>
                </c:pt>
                <c:pt idx="26">
                  <c:v>8.9098634602939028E-2</c:v>
                </c:pt>
                <c:pt idx="27">
                  <c:v>9.278781180073975E-2</c:v>
                </c:pt>
                <c:pt idx="28">
                  <c:v>0.11135677382321564</c:v>
                </c:pt>
                <c:pt idx="29">
                  <c:v>0.10680742152294617</c:v>
                </c:pt>
                <c:pt idx="30">
                  <c:v>0.10809485660376186</c:v>
                </c:pt>
                <c:pt idx="31">
                  <c:v>0.10447410240713817</c:v>
                </c:pt>
                <c:pt idx="32">
                  <c:v>0.11076124169123606</c:v>
                </c:pt>
                <c:pt idx="33">
                  <c:v>0.10460508574292064</c:v>
                </c:pt>
                <c:pt idx="34">
                  <c:v>0.10461528467856671</c:v>
                </c:pt>
                <c:pt idx="35">
                  <c:v>0.11004415001233736</c:v>
                </c:pt>
                <c:pt idx="36">
                  <c:v>0.11413490835644124</c:v>
                </c:pt>
                <c:pt idx="37">
                  <c:v>0.11964792353672739</c:v>
                </c:pt>
                <c:pt idx="38">
                  <c:v>0.12116956724971432</c:v>
                </c:pt>
                <c:pt idx="39">
                  <c:v>0.12629576341763057</c:v>
                </c:pt>
                <c:pt idx="40">
                  <c:v>0.13129935865214534</c:v>
                </c:pt>
                <c:pt idx="41">
                  <c:v>0.12198334756862593</c:v>
                </c:pt>
                <c:pt idx="42">
                  <c:v>0.11571922100514412</c:v>
                </c:pt>
                <c:pt idx="43">
                  <c:v>0.11869874269985575</c:v>
                </c:pt>
                <c:pt idx="44">
                  <c:v>0.12722257964706676</c:v>
                </c:pt>
                <c:pt idx="45">
                  <c:v>0.13679929428006951</c:v>
                </c:pt>
                <c:pt idx="46">
                  <c:v>0.14105903969996286</c:v>
                </c:pt>
                <c:pt idx="47">
                  <c:v>0.14002061120114662</c:v>
                </c:pt>
                <c:pt idx="48">
                  <c:v>0.13354392413068331</c:v>
                </c:pt>
                <c:pt idx="49">
                  <c:v>0.12470112823661926</c:v>
                </c:pt>
                <c:pt idx="50">
                  <c:v>0.13618281101350857</c:v>
                </c:pt>
                <c:pt idx="51">
                  <c:v>0.13188987127386423</c:v>
                </c:pt>
                <c:pt idx="52">
                  <c:v>0.14498473631034522</c:v>
                </c:pt>
                <c:pt idx="53">
                  <c:v>0.13228403313325238</c:v>
                </c:pt>
                <c:pt idx="54">
                  <c:v>0.13590998486770958</c:v>
                </c:pt>
                <c:pt idx="55">
                  <c:v>0.13438787882080966</c:v>
                </c:pt>
              </c:numCache>
            </c:numRef>
          </c:val>
          <c:smooth val="0"/>
          <c:extLst xmlns:c16r2="http://schemas.microsoft.com/office/drawing/2015/06/chart">
            <c:ext xmlns:c16="http://schemas.microsoft.com/office/drawing/2014/chart" uri="{C3380CC4-5D6E-409C-BE32-E72D297353CC}">
              <c16:uniqueId val="{00000007-68B7-4C76-A960-4FF9F1E37ACD}"/>
            </c:ext>
          </c:extLst>
        </c:ser>
        <c:ser>
          <c:idx val="2"/>
          <c:order val="3"/>
          <c:tx>
            <c:v>Add other cash transfers</c:v>
          </c:tx>
          <c:spPr>
            <a:ln w="15875">
              <a:solidFill>
                <a:schemeClr val="tx1"/>
              </a:solidFill>
              <a:prstDash val="sysDash"/>
            </a:ln>
          </c:spPr>
          <c:marker>
            <c:symbol val="none"/>
          </c:marker>
          <c:dPt>
            <c:idx val="1"/>
            <c:bubble3D val="0"/>
            <c:extLst xmlns:c16r2="http://schemas.microsoft.com/office/drawing/2015/06/chart">
              <c:ext xmlns:c16="http://schemas.microsoft.com/office/drawing/2014/chart" uri="{C3380CC4-5D6E-409C-BE32-E72D297353CC}">
                <c16:uniqueId val="{00000008-68B7-4C76-A960-4FF9F1E37ACD}"/>
              </c:ext>
            </c:extLst>
          </c:dPt>
          <c:dPt>
            <c:idx val="3"/>
            <c:bubble3D val="0"/>
            <c:extLst xmlns:c16r2="http://schemas.microsoft.com/office/drawing/2015/06/chart">
              <c:ext xmlns:c16="http://schemas.microsoft.com/office/drawing/2014/chart" uri="{C3380CC4-5D6E-409C-BE32-E72D297353CC}">
                <c16:uniqueId val="{00000009-68B7-4C76-A960-4FF9F1E37ACD}"/>
              </c:ext>
            </c:extLst>
          </c:dPt>
          <c:dPt>
            <c:idx val="5"/>
            <c:bubble3D val="0"/>
            <c:extLst xmlns:c16r2="http://schemas.microsoft.com/office/drawing/2015/06/chart">
              <c:ext xmlns:c16="http://schemas.microsoft.com/office/drawing/2014/chart" uri="{C3380CC4-5D6E-409C-BE32-E72D297353CC}">
                <c16:uniqueId val="{0000000A-68B7-4C76-A960-4FF9F1E37ACD}"/>
              </c:ext>
            </c:extLst>
          </c:dPt>
          <c:val>
            <c:numRef>
              <c:f>'C2-Shares'!$FX$6:$FX$61</c:f>
              <c:numCache>
                <c:formatCode>0.0000</c:formatCode>
                <c:ptCount val="56"/>
                <c:pt idx="0">
                  <c:v>0.10577661071085745</c:v>
                </c:pt>
                <c:pt idx="1">
                  <c:v>0.10608775300438418</c:v>
                </c:pt>
                <c:pt idx="2">
                  <c:v>0.10636612223319651</c:v>
                </c:pt>
                <c:pt idx="3">
                  <c:v>0.10828415952760033</c:v>
                </c:pt>
                <c:pt idx="4">
                  <c:v>0.10997627758149009</c:v>
                </c:pt>
                <c:pt idx="5">
                  <c:v>0.11035500676806856</c:v>
                </c:pt>
                <c:pt idx="6">
                  <c:v>0.11067576854798181</c:v>
                </c:pt>
                <c:pt idx="7">
                  <c:v>0.10767661993439634</c:v>
                </c:pt>
                <c:pt idx="8">
                  <c:v>0.10680517432600703</c:v>
                </c:pt>
                <c:pt idx="9">
                  <c:v>9.682133586779261E-2</c:v>
                </c:pt>
                <c:pt idx="10">
                  <c:v>8.8805884341200847E-2</c:v>
                </c:pt>
                <c:pt idx="11">
                  <c:v>9.1207140170582235E-2</c:v>
                </c:pt>
                <c:pt idx="12">
                  <c:v>9.2929075381534554E-2</c:v>
                </c:pt>
                <c:pt idx="13">
                  <c:v>9.196450383446958E-2</c:v>
                </c:pt>
                <c:pt idx="14">
                  <c:v>8.8388659913261114E-2</c:v>
                </c:pt>
                <c:pt idx="15">
                  <c:v>8.762487085309438E-2</c:v>
                </c:pt>
                <c:pt idx="16">
                  <c:v>8.8054715567276606E-2</c:v>
                </c:pt>
                <c:pt idx="17">
                  <c:v>8.9010069387910978E-2</c:v>
                </c:pt>
                <c:pt idx="18">
                  <c:v>8.8536994519356357E-2</c:v>
                </c:pt>
                <c:pt idx="19">
                  <c:v>8.947176727995497E-2</c:v>
                </c:pt>
                <c:pt idx="20">
                  <c:v>8.6855005557195303E-2</c:v>
                </c:pt>
                <c:pt idx="21">
                  <c:v>8.3731554872143191E-2</c:v>
                </c:pt>
                <c:pt idx="22">
                  <c:v>8.4333284171894896E-2</c:v>
                </c:pt>
                <c:pt idx="23">
                  <c:v>8.6340996978585646E-2</c:v>
                </c:pt>
                <c:pt idx="24">
                  <c:v>8.9767038930382376E-2</c:v>
                </c:pt>
                <c:pt idx="25">
                  <c:v>9.0360956989681357E-2</c:v>
                </c:pt>
                <c:pt idx="26">
                  <c:v>8.7630406901744604E-2</c:v>
                </c:pt>
                <c:pt idx="27">
                  <c:v>9.1352626046438443E-2</c:v>
                </c:pt>
                <c:pt idx="28">
                  <c:v>0.1096952807145785</c:v>
                </c:pt>
                <c:pt idx="29">
                  <c:v>0.1051843793916285</c:v>
                </c:pt>
                <c:pt idx="30">
                  <c:v>0.10634832739217775</c:v>
                </c:pt>
                <c:pt idx="31">
                  <c:v>0.10252633621499502</c:v>
                </c:pt>
                <c:pt idx="32">
                  <c:v>0.10842885484768344</c:v>
                </c:pt>
                <c:pt idx="33">
                  <c:v>0.10249153213737115</c:v>
                </c:pt>
                <c:pt idx="34">
                  <c:v>0.10274515255786391</c:v>
                </c:pt>
                <c:pt idx="35">
                  <c:v>0.10808130082694145</c:v>
                </c:pt>
                <c:pt idx="36">
                  <c:v>0.1121533852521652</c:v>
                </c:pt>
                <c:pt idx="37">
                  <c:v>0.11771153554056711</c:v>
                </c:pt>
                <c:pt idx="38">
                  <c:v>0.1192632948194436</c:v>
                </c:pt>
                <c:pt idx="39">
                  <c:v>0.12438107115812487</c:v>
                </c:pt>
                <c:pt idx="40">
                  <c:v>0.12937807987136724</c:v>
                </c:pt>
                <c:pt idx="41">
                  <c:v>0.12006862474180104</c:v>
                </c:pt>
                <c:pt idx="42">
                  <c:v>0.11359456984747196</c:v>
                </c:pt>
                <c:pt idx="43">
                  <c:v>0.11649920768263082</c:v>
                </c:pt>
                <c:pt idx="44">
                  <c:v>0.12508547205989498</c:v>
                </c:pt>
                <c:pt idx="45">
                  <c:v>0.13455950599941</c:v>
                </c:pt>
                <c:pt idx="46">
                  <c:v>0.13885305927636254</c:v>
                </c:pt>
                <c:pt idx="47">
                  <c:v>0.137767521827006</c:v>
                </c:pt>
                <c:pt idx="48">
                  <c:v>0.1302037129689976</c:v>
                </c:pt>
                <c:pt idx="49">
                  <c:v>0.12146319030419389</c:v>
                </c:pt>
                <c:pt idx="50">
                  <c:v>0.13198869756159903</c:v>
                </c:pt>
                <c:pt idx="51">
                  <c:v>0.12818694639094752</c:v>
                </c:pt>
                <c:pt idx="52">
                  <c:v>0.1417474360410875</c:v>
                </c:pt>
                <c:pt idx="53">
                  <c:v>0.12951736188224419</c:v>
                </c:pt>
                <c:pt idx="54">
                  <c:v>0.13320544354946753</c:v>
                </c:pt>
                <c:pt idx="55">
                  <c:v>0.13171746776085341</c:v>
                </c:pt>
              </c:numCache>
            </c:numRef>
          </c:val>
          <c:smooth val="0"/>
          <c:extLst xmlns:c16r2="http://schemas.microsoft.com/office/drawing/2015/06/chart">
            <c:ext xmlns:c16="http://schemas.microsoft.com/office/drawing/2014/chart" uri="{C3380CC4-5D6E-409C-BE32-E72D297353CC}">
              <c16:uniqueId val="{0000000B-68B7-4C76-A960-4FF9F1E37ACD}"/>
            </c:ext>
          </c:extLst>
        </c:ser>
        <c:ser>
          <c:idx val="4"/>
          <c:order val="4"/>
          <c:tx>
            <c:v>Add Medicare</c:v>
          </c:tx>
          <c:spPr>
            <a:ln w="22225">
              <a:solidFill>
                <a:schemeClr val="bg1">
                  <a:lumMod val="65000"/>
                </a:schemeClr>
              </a:solidFill>
              <a:prstDash val="sysDash"/>
            </a:ln>
          </c:spPr>
          <c:marker>
            <c:symbol val="none"/>
          </c:marker>
          <c:dPt>
            <c:idx val="1"/>
            <c:bubble3D val="0"/>
            <c:extLst xmlns:c16r2="http://schemas.microsoft.com/office/drawing/2015/06/chart">
              <c:ext xmlns:c16="http://schemas.microsoft.com/office/drawing/2014/chart" uri="{C3380CC4-5D6E-409C-BE32-E72D297353CC}">
                <c16:uniqueId val="{0000000C-68B7-4C76-A960-4FF9F1E37ACD}"/>
              </c:ext>
            </c:extLst>
          </c:dPt>
          <c:dPt>
            <c:idx val="3"/>
            <c:bubble3D val="0"/>
            <c:extLst xmlns:c16r2="http://schemas.microsoft.com/office/drawing/2015/06/chart">
              <c:ext xmlns:c16="http://schemas.microsoft.com/office/drawing/2014/chart" uri="{C3380CC4-5D6E-409C-BE32-E72D297353CC}">
                <c16:uniqueId val="{0000000D-68B7-4C76-A960-4FF9F1E37ACD}"/>
              </c:ext>
            </c:extLst>
          </c:dPt>
          <c:dPt>
            <c:idx val="5"/>
            <c:bubble3D val="0"/>
            <c:extLst xmlns:c16r2="http://schemas.microsoft.com/office/drawing/2015/06/chart">
              <c:ext xmlns:c16="http://schemas.microsoft.com/office/drawing/2014/chart" uri="{C3380CC4-5D6E-409C-BE32-E72D297353CC}">
                <c16:uniqueId val="{0000000E-68B7-4C76-A960-4FF9F1E37ACD}"/>
              </c:ext>
            </c:extLst>
          </c:dPt>
          <c:val>
            <c:numRef>
              <c:f>'C2-Shares'!$GG$6:$GG$61</c:f>
              <c:numCache>
                <c:formatCode>0.0000</c:formatCode>
                <c:ptCount val="56"/>
                <c:pt idx="0">
                  <c:v>0.10577661071085745</c:v>
                </c:pt>
                <c:pt idx="1">
                  <c:v>0.10608775300438418</c:v>
                </c:pt>
                <c:pt idx="2">
                  <c:v>0.10636612223319651</c:v>
                </c:pt>
                <c:pt idx="3">
                  <c:v>0.10828415952760033</c:v>
                </c:pt>
                <c:pt idx="4">
                  <c:v>0.10997627758149009</c:v>
                </c:pt>
                <c:pt idx="5">
                  <c:v>0.11031040632130691</c:v>
                </c:pt>
                <c:pt idx="6">
                  <c:v>0.11059313625780118</c:v>
                </c:pt>
                <c:pt idx="7">
                  <c:v>0.10738870672783757</c:v>
                </c:pt>
                <c:pt idx="8">
                  <c:v>0.10633324505681449</c:v>
                </c:pt>
                <c:pt idx="9">
                  <c:v>9.6343382472934946E-2</c:v>
                </c:pt>
                <c:pt idx="10">
                  <c:v>8.8380790347767205E-2</c:v>
                </c:pt>
                <c:pt idx="11">
                  <c:v>9.0740927273014485E-2</c:v>
                </c:pt>
                <c:pt idx="12">
                  <c:v>9.2490431061729036E-2</c:v>
                </c:pt>
                <c:pt idx="13">
                  <c:v>9.1563463680121568E-2</c:v>
                </c:pt>
                <c:pt idx="14">
                  <c:v>8.7829919496967862E-2</c:v>
                </c:pt>
                <c:pt idx="15">
                  <c:v>8.7023777742676139E-2</c:v>
                </c:pt>
                <c:pt idx="16">
                  <c:v>8.7437289050230488E-2</c:v>
                </c:pt>
                <c:pt idx="17">
                  <c:v>8.8285468856868235E-2</c:v>
                </c:pt>
                <c:pt idx="18">
                  <c:v>8.7810112710752924E-2</c:v>
                </c:pt>
                <c:pt idx="19">
                  <c:v>8.8485439997729259E-2</c:v>
                </c:pt>
                <c:pt idx="20">
                  <c:v>8.5802014348051472E-2</c:v>
                </c:pt>
                <c:pt idx="21">
                  <c:v>8.2633525482566472E-2</c:v>
                </c:pt>
                <c:pt idx="22">
                  <c:v>8.3075070403505327E-2</c:v>
                </c:pt>
                <c:pt idx="23">
                  <c:v>8.4990366355785607E-2</c:v>
                </c:pt>
                <c:pt idx="24">
                  <c:v>8.8396219912995969E-2</c:v>
                </c:pt>
                <c:pt idx="25">
                  <c:v>8.8966401124973782E-2</c:v>
                </c:pt>
                <c:pt idx="26">
                  <c:v>8.6218272770441154E-2</c:v>
                </c:pt>
                <c:pt idx="27">
                  <c:v>8.9871006025787417E-2</c:v>
                </c:pt>
                <c:pt idx="28">
                  <c:v>0.10797921729859219</c:v>
                </c:pt>
                <c:pt idx="29">
                  <c:v>0.10348182102769574</c:v>
                </c:pt>
                <c:pt idx="30">
                  <c:v>0.10453304602474597</c:v>
                </c:pt>
                <c:pt idx="31">
                  <c:v>0.10065635359557674</c:v>
                </c:pt>
                <c:pt idx="32">
                  <c:v>0.1063452708970694</c:v>
                </c:pt>
                <c:pt idx="33">
                  <c:v>0.1003726161939117</c:v>
                </c:pt>
                <c:pt idx="34">
                  <c:v>0.10055845293434386</c:v>
                </c:pt>
                <c:pt idx="35">
                  <c:v>0.10570070769449537</c:v>
                </c:pt>
                <c:pt idx="36">
                  <c:v>0.1096223651033775</c:v>
                </c:pt>
                <c:pt idx="37">
                  <c:v>0.11503586436327726</c:v>
                </c:pt>
                <c:pt idx="38">
                  <c:v>0.1167157387454105</c:v>
                </c:pt>
                <c:pt idx="39">
                  <c:v>0.12179800299260163</c:v>
                </c:pt>
                <c:pt idx="40">
                  <c:v>0.12676285691777653</c:v>
                </c:pt>
                <c:pt idx="41">
                  <c:v>0.11747483370642925</c:v>
                </c:pt>
                <c:pt idx="42">
                  <c:v>0.11106504543849566</c:v>
                </c:pt>
                <c:pt idx="43">
                  <c:v>0.11387701690004122</c:v>
                </c:pt>
                <c:pt idx="44">
                  <c:v>0.12218616314814069</c:v>
                </c:pt>
                <c:pt idx="45">
                  <c:v>0.13140692625452868</c:v>
                </c:pt>
                <c:pt idx="46">
                  <c:v>0.13519109785952171</c:v>
                </c:pt>
                <c:pt idx="47">
                  <c:v>0.13396901019662866</c:v>
                </c:pt>
                <c:pt idx="48">
                  <c:v>0.12642462812058666</c:v>
                </c:pt>
                <c:pt idx="49">
                  <c:v>0.11766018083271693</c:v>
                </c:pt>
                <c:pt idx="50">
                  <c:v>0.12786384624249394</c:v>
                </c:pt>
                <c:pt idx="51">
                  <c:v>0.12423140101899548</c:v>
                </c:pt>
                <c:pt idx="52">
                  <c:v>0.13738563502667289</c:v>
                </c:pt>
                <c:pt idx="53">
                  <c:v>0.12555234701955248</c:v>
                </c:pt>
                <c:pt idx="54">
                  <c:v>0.12914059716816831</c:v>
                </c:pt>
                <c:pt idx="55">
                  <c:v>0.12763065527731021</c:v>
                </c:pt>
              </c:numCache>
            </c:numRef>
          </c:val>
          <c:smooth val="0"/>
          <c:extLst xmlns:c16r2="http://schemas.microsoft.com/office/drawing/2015/06/chart">
            <c:ext xmlns:c16="http://schemas.microsoft.com/office/drawing/2014/chart" uri="{C3380CC4-5D6E-409C-BE32-E72D297353CC}">
              <c16:uniqueId val="{0000000F-68B7-4C76-A960-4FF9F1E37ACD}"/>
            </c:ext>
          </c:extLst>
        </c:ser>
        <c:ser>
          <c:idx val="5"/>
          <c:order val="5"/>
          <c:tx>
            <c:v>Add other transfers</c:v>
          </c:tx>
          <c:spPr>
            <a:ln w="25400">
              <a:solidFill>
                <a:schemeClr val="tx1"/>
              </a:solidFill>
            </a:ln>
          </c:spPr>
          <c:marker>
            <c:symbol val="none"/>
          </c:marker>
          <c:dPt>
            <c:idx val="1"/>
            <c:bubble3D val="0"/>
            <c:extLst xmlns:c16r2="http://schemas.microsoft.com/office/drawing/2015/06/chart">
              <c:ext xmlns:c16="http://schemas.microsoft.com/office/drawing/2014/chart" uri="{C3380CC4-5D6E-409C-BE32-E72D297353CC}">
                <c16:uniqueId val="{00000010-68B7-4C76-A960-4FF9F1E37ACD}"/>
              </c:ext>
            </c:extLst>
          </c:dPt>
          <c:dPt>
            <c:idx val="3"/>
            <c:bubble3D val="0"/>
            <c:extLst xmlns:c16r2="http://schemas.microsoft.com/office/drawing/2015/06/chart">
              <c:ext xmlns:c16="http://schemas.microsoft.com/office/drawing/2014/chart" uri="{C3380CC4-5D6E-409C-BE32-E72D297353CC}">
                <c16:uniqueId val="{00000011-68B7-4C76-A960-4FF9F1E37ACD}"/>
              </c:ext>
            </c:extLst>
          </c:dPt>
          <c:dPt>
            <c:idx val="5"/>
            <c:bubble3D val="0"/>
            <c:extLst xmlns:c16r2="http://schemas.microsoft.com/office/drawing/2015/06/chart">
              <c:ext xmlns:c16="http://schemas.microsoft.com/office/drawing/2014/chart" uri="{C3380CC4-5D6E-409C-BE32-E72D297353CC}">
                <c16:uniqueId val="{00000012-68B7-4C76-A960-4FF9F1E37ACD}"/>
              </c:ext>
            </c:extLst>
          </c:dPt>
          <c:val>
            <c:numRef>
              <c:f>'C2-Shares'!$GO$6:$GO$61</c:f>
              <c:numCache>
                <c:formatCode>0.0000</c:formatCode>
                <c:ptCount val="56"/>
                <c:pt idx="0">
                  <c:v>0.10547561256553753</c:v>
                </c:pt>
                <c:pt idx="1">
                  <c:v>0.10574892929572076</c:v>
                </c:pt>
                <c:pt idx="2">
                  <c:v>0.10599329544961571</c:v>
                </c:pt>
                <c:pt idx="3">
                  <c:v>0.10787582966725633</c:v>
                </c:pt>
                <c:pt idx="4">
                  <c:v>0.10953579287619661</c:v>
                </c:pt>
                <c:pt idx="5">
                  <c:v>0.10979524163767666</c:v>
                </c:pt>
                <c:pt idx="6">
                  <c:v>0.11001450916324675</c:v>
                </c:pt>
                <c:pt idx="7">
                  <c:v>0.10666714511172948</c:v>
                </c:pt>
                <c:pt idx="8">
                  <c:v>0.105470357862509</c:v>
                </c:pt>
                <c:pt idx="9">
                  <c:v>9.5507100877327486E-2</c:v>
                </c:pt>
                <c:pt idx="10">
                  <c:v>8.742571198859439E-2</c:v>
                </c:pt>
                <c:pt idx="11">
                  <c:v>8.960980370049855E-2</c:v>
                </c:pt>
                <c:pt idx="12">
                  <c:v>9.1278796098654649E-2</c:v>
                </c:pt>
                <c:pt idx="13">
                  <c:v>9.033291392156774E-2</c:v>
                </c:pt>
                <c:pt idx="14">
                  <c:v>8.6511865633795648E-2</c:v>
                </c:pt>
                <c:pt idx="15">
                  <c:v>8.5442158826000994E-2</c:v>
                </c:pt>
                <c:pt idx="16">
                  <c:v>8.5926386415201478E-2</c:v>
                </c:pt>
                <c:pt idx="17">
                  <c:v>8.6809827305294684E-2</c:v>
                </c:pt>
                <c:pt idx="18">
                  <c:v>8.6304517369871839E-2</c:v>
                </c:pt>
                <c:pt idx="19">
                  <c:v>8.6903574030698996E-2</c:v>
                </c:pt>
                <c:pt idx="20">
                  <c:v>8.4047989673063372E-2</c:v>
                </c:pt>
                <c:pt idx="21">
                  <c:v>8.0968223140013368E-2</c:v>
                </c:pt>
                <c:pt idx="22">
                  <c:v>8.1431776540895423E-2</c:v>
                </c:pt>
                <c:pt idx="23">
                  <c:v>8.3266688648198986E-2</c:v>
                </c:pt>
                <c:pt idx="24">
                  <c:v>8.6710232120910974E-2</c:v>
                </c:pt>
                <c:pt idx="25">
                  <c:v>8.7272923610391115E-2</c:v>
                </c:pt>
                <c:pt idx="26">
                  <c:v>8.4532499321062451E-2</c:v>
                </c:pt>
                <c:pt idx="27">
                  <c:v>8.8118347589807716E-2</c:v>
                </c:pt>
                <c:pt idx="28">
                  <c:v>0.10586704503713266</c:v>
                </c:pt>
                <c:pt idx="29">
                  <c:v>0.10133937109209022</c:v>
                </c:pt>
                <c:pt idx="30">
                  <c:v>0.10216340310442139</c:v>
                </c:pt>
                <c:pt idx="31">
                  <c:v>9.7937989104130208E-2</c:v>
                </c:pt>
                <c:pt idx="32">
                  <c:v>0.10321475471347732</c:v>
                </c:pt>
                <c:pt idx="33">
                  <c:v>9.7294801851661686E-2</c:v>
                </c:pt>
                <c:pt idx="34">
                  <c:v>9.7496605700246583E-2</c:v>
                </c:pt>
                <c:pt idx="35">
                  <c:v>0.10248804676769482</c:v>
                </c:pt>
                <c:pt idx="36">
                  <c:v>0.10636785657879491</c:v>
                </c:pt>
                <c:pt idx="37">
                  <c:v>0.11178826593549564</c:v>
                </c:pt>
                <c:pt idx="38">
                  <c:v>0.1134947367984665</c:v>
                </c:pt>
                <c:pt idx="39">
                  <c:v>0.11841283354898033</c:v>
                </c:pt>
                <c:pt idx="40">
                  <c:v>0.12324734072667641</c:v>
                </c:pt>
                <c:pt idx="41">
                  <c:v>0.11389875547142124</c:v>
                </c:pt>
                <c:pt idx="42">
                  <c:v>0.10745535683987288</c:v>
                </c:pt>
                <c:pt idx="43">
                  <c:v>0.11008174195775861</c:v>
                </c:pt>
                <c:pt idx="44">
                  <c:v>0.11794330030636968</c:v>
                </c:pt>
                <c:pt idx="45">
                  <c:v>0.12686541570563556</c:v>
                </c:pt>
                <c:pt idx="46">
                  <c:v>0.13083180114309842</c:v>
                </c:pt>
                <c:pt idx="47">
                  <c:v>0.12947409854791339</c:v>
                </c:pt>
                <c:pt idx="48">
                  <c:v>0.1212739988736156</c:v>
                </c:pt>
                <c:pt idx="49">
                  <c:v>0.1127544427547378</c:v>
                </c:pt>
                <c:pt idx="50">
                  <c:v>0.12244289272562482</c:v>
                </c:pt>
                <c:pt idx="51">
                  <c:v>0.1191544734605352</c:v>
                </c:pt>
                <c:pt idx="52">
                  <c:v>0.13192084270089083</c:v>
                </c:pt>
                <c:pt idx="53">
                  <c:v>0.1205447789407159</c:v>
                </c:pt>
                <c:pt idx="54">
                  <c:v>0.12383528715122835</c:v>
                </c:pt>
                <c:pt idx="55">
                  <c:v>0.12226367697635226</c:v>
                </c:pt>
              </c:numCache>
            </c:numRef>
          </c:val>
          <c:smooth val="0"/>
          <c:extLst xmlns:c16r2="http://schemas.microsoft.com/office/drawing/2015/06/chart">
            <c:ext xmlns:c16="http://schemas.microsoft.com/office/drawing/2014/chart" uri="{C3380CC4-5D6E-409C-BE32-E72D297353CC}">
              <c16:uniqueId val="{00000013-68B7-4C76-A960-4FF9F1E37ACD}"/>
            </c:ext>
          </c:extLst>
        </c:ser>
        <c:dLbls>
          <c:showLegendKey val="0"/>
          <c:showVal val="0"/>
          <c:showCatName val="0"/>
          <c:showSerName val="0"/>
          <c:showPercent val="0"/>
          <c:showBubbleSize val="0"/>
        </c:dLbls>
        <c:smooth val="0"/>
        <c:axId val="510752688"/>
        <c:axId val="510749160"/>
        <c:extLst xmlns:c16r2="http://schemas.microsoft.com/office/drawing/2015/06/chart">
          <c:ext xmlns:c15="http://schemas.microsoft.com/office/drawing/2012/chart" uri="{02D57815-91ED-43cb-92C2-25804820EDAC}">
            <c15:filteredLineSeries>
              <c15:ser>
                <c:idx val="1"/>
                <c:order val="2"/>
                <c:tx>
                  <c:v>Add UI benefits</c:v>
                </c:tx>
                <c:spPr>
                  <a:ln w="19050">
                    <a:solidFill>
                      <a:schemeClr val="bg1">
                        <a:lumMod val="50000"/>
                      </a:schemeClr>
                    </a:solidFill>
                  </a:ln>
                </c:spPr>
                <c:marker>
                  <c:symbol val="none"/>
                </c:marker>
                <c:dPt>
                  <c:idx val="1"/>
                  <c:bubble3D val="0"/>
                  <c:extLst xmlns:c16r2="http://schemas.microsoft.com/office/drawing/2015/06/chart">
                    <c:ext xmlns:c16="http://schemas.microsoft.com/office/drawing/2014/chart" uri="{C3380CC4-5D6E-409C-BE32-E72D297353CC}">
                      <c16:uniqueId val="{00000014-68B7-4C76-A960-4FF9F1E37ACD}"/>
                    </c:ext>
                  </c:extLst>
                </c:dPt>
                <c:dPt>
                  <c:idx val="3"/>
                  <c:bubble3D val="0"/>
                  <c:extLst xmlns:c16r2="http://schemas.microsoft.com/office/drawing/2015/06/chart">
                    <c:ext xmlns:c16="http://schemas.microsoft.com/office/drawing/2014/chart" uri="{C3380CC4-5D6E-409C-BE32-E72D297353CC}">
                      <c16:uniqueId val="{00000015-68B7-4C76-A960-4FF9F1E37ACD}"/>
                    </c:ext>
                  </c:extLst>
                </c:dPt>
                <c:dPt>
                  <c:idx val="5"/>
                  <c:bubble3D val="0"/>
                  <c:extLst xmlns:c16r2="http://schemas.microsoft.com/office/drawing/2015/06/chart">
                    <c:ext xmlns:c16="http://schemas.microsoft.com/office/drawing/2014/chart" uri="{C3380CC4-5D6E-409C-BE32-E72D297353CC}">
                      <c16:uniqueId val="{00000016-68B7-4C76-A960-4FF9F1E37ACD}"/>
                    </c:ext>
                  </c:extLst>
                </c:dPt>
                <c:val>
                  <c:numRef>
                    <c:extLst xmlns:c16r2="http://schemas.microsoft.com/office/drawing/2015/06/chart">
                      <c:ext uri="{02D57815-91ED-43cb-92C2-25804820EDAC}">
                        <c15:formulaRef>
                          <c15:sqref>'C2-Shares'!$FP$6:$FP$61</c15:sqref>
                        </c15:formulaRef>
                      </c:ext>
                    </c:extLst>
                    <c:numCache>
                      <c:formatCode>0.0000</c:formatCode>
                      <c:ptCount val="56"/>
                      <c:pt idx="0">
                        <c:v>0.10736182864418553</c:v>
                      </c:pt>
                      <c:pt idx="1">
                        <c:v>0.10763942401113902</c:v>
                      </c:pt>
                      <c:pt idx="2">
                        <c:v>0.10788759531837348</c:v>
                      </c:pt>
                      <c:pt idx="3">
                        <c:v>0.10978356872917779</c:v>
                      </c:pt>
                      <c:pt idx="4">
                        <c:v>0.11145463410237826</c:v>
                      </c:pt>
                      <c:pt idx="5">
                        <c:v>0.11177560814329947</c:v>
                      </c:pt>
                      <c:pt idx="6">
                        <c:v>0.11204715047850979</c:v>
                      </c:pt>
                      <c:pt idx="7">
                        <c:v>0.10911206664747801</c:v>
                      </c:pt>
                      <c:pt idx="8">
                        <c:v>0.10822270427092938</c:v>
                      </c:pt>
                      <c:pt idx="9">
                        <c:v>9.8179339061149978E-2</c:v>
                      </c:pt>
                      <c:pt idx="10">
                        <c:v>9.0206716324503583E-2</c:v>
                      </c:pt>
                      <c:pt idx="11">
                        <c:v>9.2749116689237188E-2</c:v>
                      </c:pt>
                      <c:pt idx="12">
                        <c:v>9.4506881373807361E-2</c:v>
                      </c:pt>
                      <c:pt idx="13">
                        <c:v>9.3444059719484204E-2</c:v>
                      </c:pt>
                      <c:pt idx="14">
                        <c:v>8.99437720390623E-2</c:v>
                      </c:pt>
                      <c:pt idx="15">
                        <c:v>8.9295084139127859E-2</c:v>
                      </c:pt>
                      <c:pt idx="16">
                        <c:v>8.9698878824719677E-2</c:v>
                      </c:pt>
                      <c:pt idx="17">
                        <c:v>9.0535500653765116E-2</c:v>
                      </c:pt>
                      <c:pt idx="18">
                        <c:v>8.9918877507231709E-2</c:v>
                      </c:pt>
                      <c:pt idx="19">
                        <c:v>9.0797044051042428E-2</c:v>
                      </c:pt>
                      <c:pt idx="20">
                        <c:v>8.8175604618347544E-2</c:v>
                      </c:pt>
                      <c:pt idx="21">
                        <c:v>8.4940117442617424E-2</c:v>
                      </c:pt>
                      <c:pt idx="22">
                        <c:v>8.5521367652100777E-2</c:v>
                      </c:pt>
                      <c:pt idx="23">
                        <c:v>8.7519303942361987E-2</c:v>
                      </c:pt>
                      <c:pt idx="24">
                        <c:v>9.0911912346434295E-2</c:v>
                      </c:pt>
                      <c:pt idx="25">
                        <c:v>9.1488157181362204E-2</c:v>
                      </c:pt>
                      <c:pt idx="26">
                        <c:v>8.8740428791471579E-2</c:v>
                      </c:pt>
                      <c:pt idx="27">
                        <c:v>9.2478541013523027E-2</c:v>
                      </c:pt>
                      <c:pt idx="28">
                        <c:v>0.11104224498679521</c:v>
                      </c:pt>
                      <c:pt idx="29">
                        <c:v>0.10650089406451649</c:v>
                      </c:pt>
                      <c:pt idx="30">
                        <c:v>0.10772985438865439</c:v>
                      </c:pt>
                      <c:pt idx="31">
                        <c:v>0.10393665697769444</c:v>
                      </c:pt>
                      <c:pt idx="32">
                        <c:v>0.11001517735552679</c:v>
                      </c:pt>
                      <c:pt idx="33">
                        <c:v>0.10400056614683613</c:v>
                      </c:pt>
                      <c:pt idx="34">
                        <c:v>0.10423518325214873</c:v>
                      </c:pt>
                      <c:pt idx="35">
                        <c:v>0.10968670649002243</c:v>
                      </c:pt>
                      <c:pt idx="36">
                        <c:v>0.11378823131129791</c:v>
                      </c:pt>
                      <c:pt idx="37">
                        <c:v>0.11934100487380947</c:v>
                      </c:pt>
                      <c:pt idx="38">
                        <c:v>0.12086141071870077</c:v>
                      </c:pt>
                      <c:pt idx="39">
                        <c:v>0.12601235727019172</c:v>
                      </c:pt>
                      <c:pt idx="40">
                        <c:v>0.1310130745323308</c:v>
                      </c:pt>
                      <c:pt idx="41">
                        <c:v>0.12158486548648798</c:v>
                      </c:pt>
                      <c:pt idx="42">
                        <c:v>0.11511446633281278</c:v>
                      </c:pt>
                      <c:pt idx="43">
                        <c:v>0.11811578089074889</c:v>
                      </c:pt>
                      <c:pt idx="44">
                        <c:v>0.1268115599254441</c:v>
                      </c:pt>
                      <c:pt idx="45">
                        <c:v>0.1364280721700839</c:v>
                      </c:pt>
                      <c:pt idx="46">
                        <c:v>0.14073010438743411</c:v>
                      </c:pt>
                      <c:pt idx="47">
                        <c:v>0.13966859971368706</c:v>
                      </c:pt>
                      <c:pt idx="48">
                        <c:v>0.13302779421318606</c:v>
                      </c:pt>
                      <c:pt idx="49">
                        <c:v>0.12346152706614844</c:v>
                      </c:pt>
                      <c:pt idx="50">
                        <c:v>0.1348012442594462</c:v>
                      </c:pt>
                      <c:pt idx="51">
                        <c:v>0.13090270555808528</c:v>
                      </c:pt>
                      <c:pt idx="52">
                        <c:v>0.14417836324982464</c:v>
                      </c:pt>
                      <c:pt idx="53">
                        <c:v>0.13175223806006456</c:v>
                      </c:pt>
                      <c:pt idx="54">
                        <c:v>0.13559857351111421</c:v>
                      </c:pt>
                      <c:pt idx="55">
                        <c:v>0.13413385193375246</c:v>
                      </c:pt>
                    </c:numCache>
                  </c:numRef>
                </c:val>
                <c:smooth val="0"/>
                <c:extLst xmlns:c16r2="http://schemas.microsoft.com/office/drawing/2015/06/chart">
                  <c:ext xmlns:c16="http://schemas.microsoft.com/office/drawing/2014/chart" uri="{C3380CC4-5D6E-409C-BE32-E72D297353CC}">
                    <c16:uniqueId val="{00000017-68B7-4C76-A960-4FF9F1E37ACD}"/>
                  </c:ext>
                </c:extLst>
              </c15:ser>
            </c15:filteredLineSeries>
          </c:ext>
        </c:extLst>
      </c:lineChart>
      <c:catAx>
        <c:axId val="510752688"/>
        <c:scaling>
          <c:orientation val="minMax"/>
        </c:scaling>
        <c:delete val="0"/>
        <c:axPos val="b"/>
        <c:majorGridlines>
          <c:spPr>
            <a:ln w="6350">
              <a:solidFill>
                <a:schemeClr val="tx1">
                  <a:lumMod val="50000"/>
                  <a:lumOff val="50000"/>
                </a:schemeClr>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510749160"/>
        <c:crossesAt val="0"/>
        <c:auto val="1"/>
        <c:lblAlgn val="ctr"/>
        <c:lblOffset val="100"/>
        <c:tickLblSkip val="10"/>
        <c:tickMarkSkip val="10"/>
        <c:noMultiLvlLbl val="0"/>
      </c:catAx>
      <c:valAx>
        <c:axId val="510749160"/>
        <c:scaling>
          <c:orientation val="minMax"/>
          <c:max val="0.2"/>
          <c:min val="0"/>
        </c:scaling>
        <c:delete val="0"/>
        <c:axPos val="l"/>
        <c:majorGridlines>
          <c:spPr>
            <a:ln w="6350">
              <a:solidFill>
                <a:schemeClr val="tx1">
                  <a:lumMod val="50000"/>
                  <a:lumOff val="50000"/>
                </a:schemeClr>
              </a:solidFill>
              <a:prstDash val="sysDash"/>
            </a:ln>
          </c:spPr>
        </c:majorGridlines>
        <c:title>
          <c:tx>
            <c:rich>
              <a:bodyPr/>
              <a:lstStyle/>
              <a:p>
                <a:pPr>
                  <a:defRPr sz="2050" b="0" i="0" u="none" strike="noStrike" baseline="0">
                    <a:solidFill>
                      <a:srgbClr val="000000"/>
                    </a:solidFill>
                    <a:latin typeface="Arial"/>
                    <a:ea typeface="Arial"/>
                    <a:cs typeface="Arial"/>
                  </a:defRPr>
                </a:pPr>
                <a:r>
                  <a:rPr lang="en-US" sz="1200" b="0"/>
                  <a:t>Top 1% Income Share</a:t>
                </a:r>
              </a:p>
            </c:rich>
          </c:tx>
          <c:layout>
            <c:manualLayout>
              <c:xMode val="edge"/>
              <c:yMode val="edge"/>
              <c:x val="6.9879152050811993E-3"/>
              <c:y val="0.2987561483044284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510752688"/>
        <c:crosses val="autoZero"/>
        <c:crossBetween val="midCat"/>
        <c:majorUnit val="0.05"/>
        <c:minorUnit val="0.05"/>
      </c:valAx>
      <c:spPr>
        <a:solidFill>
          <a:srgbClr val="FFFFFF"/>
        </a:solidFill>
        <a:ln w="3175">
          <a:noFill/>
          <a:prstDash val="solid"/>
        </a:ln>
      </c:spPr>
    </c:plotArea>
    <c:plotVisOnly val="1"/>
    <c:dispBlanksAs val="span"/>
    <c:showDLblsOverMax val="0"/>
  </c:chart>
  <c:spPr>
    <a:solidFill>
      <a:srgbClr val="FFFFFF"/>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711" r="0.75000000000000711" t="1" header="0.5" footer="0.5"/>
    <c:pageSetup orientation="landscape" verticalDpi="96"/>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0" i="0" u="none" strike="noStrike" baseline="0">
                <a:solidFill>
                  <a:srgbClr val="000000"/>
                </a:solidFill>
                <a:latin typeface="Arial"/>
                <a:ea typeface="Arial"/>
                <a:cs typeface="Arial"/>
              </a:defRPr>
            </a:pPr>
            <a:r>
              <a:rPr lang="en-US" sz="1200" b="1" i="0" u="none" strike="noStrike" baseline="0">
                <a:solidFill>
                  <a:srgbClr val="000000"/>
                </a:solidFill>
                <a:latin typeface="Arial" panose="020B0604020202020204" pitchFamily="34" charset="0"/>
                <a:cs typeface="Arial" panose="020B0604020202020204" pitchFamily="34" charset="0"/>
              </a:rPr>
              <a:t>After-tax Income, increases</a:t>
            </a:r>
          </a:p>
          <a:p>
            <a:pPr>
              <a:defRPr sz="900" b="0" i="0" u="none" strike="noStrike" baseline="0">
                <a:solidFill>
                  <a:srgbClr val="000000"/>
                </a:solidFill>
                <a:latin typeface="Arial"/>
                <a:ea typeface="Arial"/>
                <a:cs typeface="Arial"/>
              </a:defRPr>
            </a:pPr>
            <a:r>
              <a:rPr lang="en-US" sz="1050" b="0" i="0" u="none" strike="noStrike" baseline="0">
                <a:solidFill>
                  <a:srgbClr val="000000"/>
                </a:solidFill>
                <a:latin typeface="Calibri"/>
              </a:rPr>
              <a:t> </a:t>
            </a:r>
            <a:endParaRPr lang="en-US" sz="1200" b="0" i="0" u="none" strike="noStrike" baseline="0">
              <a:solidFill>
                <a:srgbClr val="000000"/>
              </a:solidFill>
              <a:latin typeface="Calibri"/>
            </a:endParaRPr>
          </a:p>
        </c:rich>
      </c:tx>
      <c:layout>
        <c:manualLayout>
          <c:xMode val="edge"/>
          <c:yMode val="edge"/>
          <c:x val="0.2822032267364582"/>
          <c:y val="3.5588794078564447E-2"/>
        </c:manualLayout>
      </c:layout>
      <c:overlay val="0"/>
      <c:spPr>
        <a:noFill/>
        <a:ln w="25400">
          <a:noFill/>
        </a:ln>
      </c:spPr>
    </c:title>
    <c:autoTitleDeleted val="0"/>
    <c:plotArea>
      <c:layout>
        <c:manualLayout>
          <c:layoutTarget val="inner"/>
          <c:xMode val="edge"/>
          <c:yMode val="edge"/>
          <c:x val="0.10129571178780969"/>
          <c:y val="8.4664448324712552E-2"/>
          <c:w val="0.66945233842916574"/>
          <c:h val="0.86171347676028687"/>
        </c:manualLayout>
      </c:layout>
      <c:lineChart>
        <c:grouping val="standard"/>
        <c:varyColors val="0"/>
        <c:ser>
          <c:idx val="0"/>
          <c:order val="0"/>
          <c:tx>
            <c:v>After-tax income (decreases only)</c:v>
          </c:tx>
          <c:spPr>
            <a:ln w="19050">
              <a:solidFill>
                <a:schemeClr val="tx1"/>
              </a:solidFill>
              <a:prstDash val="sysDash"/>
            </a:ln>
          </c:spPr>
          <c:marker>
            <c:symbol val="none"/>
          </c:marker>
          <c:dPt>
            <c:idx val="1"/>
            <c:bubble3D val="0"/>
            <c:extLst xmlns:c16r2="http://schemas.microsoft.com/office/drawing/2015/06/chart">
              <c:ext xmlns:c16="http://schemas.microsoft.com/office/drawing/2014/chart" uri="{C3380CC4-5D6E-409C-BE32-E72D297353CC}">
                <c16:uniqueId val="{00000000-0787-4B2C-9CB3-73608F9D8292}"/>
              </c:ext>
            </c:extLst>
          </c:dPt>
          <c:dPt>
            <c:idx val="3"/>
            <c:bubble3D val="0"/>
            <c:extLst xmlns:c16r2="http://schemas.microsoft.com/office/drawing/2015/06/chart">
              <c:ext xmlns:c16="http://schemas.microsoft.com/office/drawing/2014/chart" uri="{C3380CC4-5D6E-409C-BE32-E72D297353CC}">
                <c16:uniqueId val="{00000001-0787-4B2C-9CB3-73608F9D8292}"/>
              </c:ext>
            </c:extLst>
          </c:dPt>
          <c:dPt>
            <c:idx val="5"/>
            <c:bubble3D val="0"/>
            <c:extLst xmlns:c16r2="http://schemas.microsoft.com/office/drawing/2015/06/chart">
              <c:ext xmlns:c16="http://schemas.microsoft.com/office/drawing/2014/chart" uri="{C3380CC4-5D6E-409C-BE32-E72D297353CC}">
                <c16:uniqueId val="{00000002-0787-4B2C-9CB3-73608F9D8292}"/>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'C2-Shares'!$HU$6:$HU$61</c:f>
              <c:numCache>
                <c:formatCode>0.0000</c:formatCode>
                <c:ptCount val="56"/>
                <c:pt idx="0">
                  <c:v>7.7361626969973077E-2</c:v>
                </c:pt>
                <c:pt idx="1">
                  <c:v>7.971861389776673E-2</c:v>
                </c:pt>
                <c:pt idx="2">
                  <c:v>8.1825171231328417E-2</c:v>
                </c:pt>
                <c:pt idx="3">
                  <c:v>8.2991120842296567E-2</c:v>
                </c:pt>
                <c:pt idx="4">
                  <c:v>8.4008303191102501E-2</c:v>
                </c:pt>
                <c:pt idx="5">
                  <c:v>8.5491467024462572E-2</c:v>
                </c:pt>
                <c:pt idx="6">
                  <c:v>8.6753890395539379E-2</c:v>
                </c:pt>
                <c:pt idx="7">
                  <c:v>8.2006263195493034E-2</c:v>
                </c:pt>
                <c:pt idx="8">
                  <c:v>7.8820557825536056E-2</c:v>
                </c:pt>
                <c:pt idx="9">
                  <c:v>7.117388177217919E-2</c:v>
                </c:pt>
                <c:pt idx="10">
                  <c:v>6.6983656161663865E-2</c:v>
                </c:pt>
                <c:pt idx="11">
                  <c:v>6.966125863911389E-2</c:v>
                </c:pt>
                <c:pt idx="12">
                  <c:v>7.0454367943420873E-2</c:v>
                </c:pt>
                <c:pt idx="13">
                  <c:v>7.296930790751685E-2</c:v>
                </c:pt>
                <c:pt idx="14">
                  <c:v>7.0629210058056557E-2</c:v>
                </c:pt>
                <c:pt idx="15">
                  <c:v>7.0450364928930878E-2</c:v>
                </c:pt>
                <c:pt idx="16">
                  <c:v>6.9573715460618482E-2</c:v>
                </c:pt>
                <c:pt idx="17">
                  <c:v>7.1687764925470326E-2</c:v>
                </c:pt>
                <c:pt idx="18">
                  <c:v>7.2309491969584999E-2</c:v>
                </c:pt>
                <c:pt idx="19">
                  <c:v>7.1199541187837598E-2</c:v>
                </c:pt>
                <c:pt idx="20">
                  <c:v>6.7868886226558595E-2</c:v>
                </c:pt>
                <c:pt idx="21">
                  <c:v>6.7024179757246199E-2</c:v>
                </c:pt>
                <c:pt idx="22">
                  <c:v>6.689565968299889E-2</c:v>
                </c:pt>
                <c:pt idx="23">
                  <c:v>6.8542045292464548E-2</c:v>
                </c:pt>
                <c:pt idx="24">
                  <c:v>7.2664182774303115E-2</c:v>
                </c:pt>
                <c:pt idx="25">
                  <c:v>7.1404821317475109E-2</c:v>
                </c:pt>
                <c:pt idx="26">
                  <c:v>6.7100810791176857E-2</c:v>
                </c:pt>
                <c:pt idx="27">
                  <c:v>7.0132436645193696E-2</c:v>
                </c:pt>
                <c:pt idx="28">
                  <c:v>8.7180221880348394E-2</c:v>
                </c:pt>
                <c:pt idx="29">
                  <c:v>8.2788134496317639E-2</c:v>
                </c:pt>
                <c:pt idx="30">
                  <c:v>8.3983466189090167E-2</c:v>
                </c:pt>
                <c:pt idx="31">
                  <c:v>7.9578011800082546E-2</c:v>
                </c:pt>
                <c:pt idx="32">
                  <c:v>8.2588528603035422E-2</c:v>
                </c:pt>
                <c:pt idx="33">
                  <c:v>7.5050873924182346E-2</c:v>
                </c:pt>
                <c:pt idx="34">
                  <c:v>7.5537475390667963E-2</c:v>
                </c:pt>
                <c:pt idx="35">
                  <c:v>7.8995881969961351E-2</c:v>
                </c:pt>
                <c:pt idx="36">
                  <c:v>8.1260117852814645E-2</c:v>
                </c:pt>
                <c:pt idx="37">
                  <c:v>8.4341000175755132E-2</c:v>
                </c:pt>
                <c:pt idx="38">
                  <c:v>8.4469588601515447E-2</c:v>
                </c:pt>
                <c:pt idx="39">
                  <c:v>8.7888174036298422E-2</c:v>
                </c:pt>
                <c:pt idx="40">
                  <c:v>9.1337855988716507E-2</c:v>
                </c:pt>
                <c:pt idx="41">
                  <c:v>8.5631669229738111E-2</c:v>
                </c:pt>
                <c:pt idx="42">
                  <c:v>8.3916981014281217E-2</c:v>
                </c:pt>
                <c:pt idx="43">
                  <c:v>8.7532068206168351E-2</c:v>
                </c:pt>
                <c:pt idx="44">
                  <c:v>9.3538058021051917E-2</c:v>
                </c:pt>
                <c:pt idx="45">
                  <c:v>9.8060168113048407E-2</c:v>
                </c:pt>
                <c:pt idx="46">
                  <c:v>0.10030812535581282</c:v>
                </c:pt>
                <c:pt idx="47">
                  <c:v>9.7426174086394562E-2</c:v>
                </c:pt>
                <c:pt idx="48">
                  <c:v>9.2800961775174939E-2</c:v>
                </c:pt>
                <c:pt idx="49">
                  <c:v>9.0611259560224214E-2</c:v>
                </c:pt>
                <c:pt idx="50">
                  <c:v>9.8870676270853108E-2</c:v>
                </c:pt>
                <c:pt idx="51">
                  <c:v>9.4251339090369132E-2</c:v>
                </c:pt>
                <c:pt idx="52">
                  <c:v>0.10493941256017682</c:v>
                </c:pt>
                <c:pt idx="53">
                  <c:v>9.0096080085176347E-2</c:v>
                </c:pt>
                <c:pt idx="54">
                  <c:v>9.2743891208860355E-2</c:v>
                </c:pt>
                <c:pt idx="55">
                  <c:v>9.1186228668997241E-2</c:v>
                </c:pt>
              </c:numCache>
            </c:numRef>
          </c:val>
          <c:smooth val="0"/>
          <c:extLst xmlns:c16r2="http://schemas.microsoft.com/office/drawing/2015/06/chart">
            <c:ext xmlns:c16="http://schemas.microsoft.com/office/drawing/2014/chart" uri="{C3380CC4-5D6E-409C-BE32-E72D297353CC}">
              <c16:uniqueId val="{00000003-0787-4B2C-9CB3-73608F9D8292}"/>
            </c:ext>
          </c:extLst>
        </c:ser>
        <c:ser>
          <c:idx val="4"/>
          <c:order val="1"/>
          <c:tx>
            <c:v>Payroll tax</c:v>
          </c:tx>
          <c:spPr>
            <a:ln w="19050">
              <a:solidFill>
                <a:schemeClr val="tx1">
                  <a:lumMod val="50000"/>
                  <a:lumOff val="50000"/>
                </a:schemeClr>
              </a:solidFill>
              <a:prstDash val="sysDash"/>
            </a:ln>
          </c:spPr>
          <c:marker>
            <c:symbol val="none"/>
          </c:marker>
          <c:dPt>
            <c:idx val="1"/>
            <c:bubble3D val="0"/>
            <c:extLst xmlns:c16r2="http://schemas.microsoft.com/office/drawing/2015/06/chart">
              <c:ext xmlns:c16="http://schemas.microsoft.com/office/drawing/2014/chart" uri="{C3380CC4-5D6E-409C-BE32-E72D297353CC}">
                <c16:uniqueId val="{00000004-0787-4B2C-9CB3-73608F9D8292}"/>
              </c:ext>
            </c:extLst>
          </c:dPt>
          <c:dPt>
            <c:idx val="3"/>
            <c:bubble3D val="0"/>
            <c:extLst xmlns:c16r2="http://schemas.microsoft.com/office/drawing/2015/06/chart">
              <c:ext xmlns:c16="http://schemas.microsoft.com/office/drawing/2014/chart" uri="{C3380CC4-5D6E-409C-BE32-E72D297353CC}">
                <c16:uniqueId val="{00000005-0787-4B2C-9CB3-73608F9D8292}"/>
              </c:ext>
            </c:extLst>
          </c:dPt>
          <c:dPt>
            <c:idx val="5"/>
            <c:bubble3D val="0"/>
            <c:extLst xmlns:c16r2="http://schemas.microsoft.com/office/drawing/2015/06/chart">
              <c:ext xmlns:c16="http://schemas.microsoft.com/office/drawing/2014/chart" uri="{C3380CC4-5D6E-409C-BE32-E72D297353CC}">
                <c16:uniqueId val="{00000006-0787-4B2C-9CB3-73608F9D8292}"/>
              </c:ext>
            </c:extLst>
          </c:dPt>
          <c:val>
            <c:numRef>
              <c:f>'C2-Shares'!$IC$6:$IC$61</c:f>
              <c:numCache>
                <c:formatCode>0.0000</c:formatCode>
                <c:ptCount val="56"/>
                <c:pt idx="0">
                  <c:v>8.0125104753880252E-2</c:v>
                </c:pt>
                <c:pt idx="1">
                  <c:v>8.2473048422717091E-2</c:v>
                </c:pt>
                <c:pt idx="2">
                  <c:v>8.4575020198293951E-2</c:v>
                </c:pt>
                <c:pt idx="3">
                  <c:v>8.5945725435180309E-2</c:v>
                </c:pt>
                <c:pt idx="4">
                  <c:v>8.7142712698869806E-2</c:v>
                </c:pt>
                <c:pt idx="5">
                  <c:v>8.9025481580505564E-2</c:v>
                </c:pt>
                <c:pt idx="6">
                  <c:v>9.0640462734045649E-2</c:v>
                </c:pt>
                <c:pt idx="7">
                  <c:v>8.5701231970372882E-2</c:v>
                </c:pt>
                <c:pt idx="8">
                  <c:v>8.2411010331258638E-2</c:v>
                </c:pt>
                <c:pt idx="9">
                  <c:v>7.464889999859195E-2</c:v>
                </c:pt>
                <c:pt idx="10">
                  <c:v>6.9947685861984299E-2</c:v>
                </c:pt>
                <c:pt idx="11">
                  <c:v>7.2911309145744868E-2</c:v>
                </c:pt>
                <c:pt idx="12">
                  <c:v>7.3948960965535299E-2</c:v>
                </c:pt>
                <c:pt idx="13">
                  <c:v>7.7158437181794895E-2</c:v>
                </c:pt>
                <c:pt idx="14">
                  <c:v>7.484918448615431E-2</c:v>
                </c:pt>
                <c:pt idx="15">
                  <c:v>7.4372117704932073E-2</c:v>
                </c:pt>
                <c:pt idx="16">
                  <c:v>7.3463336131083037E-2</c:v>
                </c:pt>
                <c:pt idx="17">
                  <c:v>7.586686910446877E-2</c:v>
                </c:pt>
                <c:pt idx="18">
                  <c:v>7.6674891128441752E-2</c:v>
                </c:pt>
                <c:pt idx="19">
                  <c:v>7.557290896635134E-2</c:v>
                </c:pt>
                <c:pt idx="20">
                  <c:v>7.1966680912987024E-2</c:v>
                </c:pt>
                <c:pt idx="21">
                  <c:v>7.1134739915833523E-2</c:v>
                </c:pt>
                <c:pt idx="22">
                  <c:v>7.0979915169311902E-2</c:v>
                </c:pt>
                <c:pt idx="23">
                  <c:v>7.2627841829323053E-2</c:v>
                </c:pt>
                <c:pt idx="24">
                  <c:v>7.7199071473955647E-2</c:v>
                </c:pt>
                <c:pt idx="25">
                  <c:v>7.5945668803380495E-2</c:v>
                </c:pt>
                <c:pt idx="26">
                  <c:v>7.1180744296100093E-2</c:v>
                </c:pt>
                <c:pt idx="27">
                  <c:v>7.4738982191699152E-2</c:v>
                </c:pt>
                <c:pt idx="28">
                  <c:v>9.335281954486549E-2</c:v>
                </c:pt>
                <c:pt idx="29">
                  <c:v>8.8445028428225186E-2</c:v>
                </c:pt>
                <c:pt idx="30">
                  <c:v>8.9764176004748508E-2</c:v>
                </c:pt>
                <c:pt idx="31">
                  <c:v>8.4648723137939141E-2</c:v>
                </c:pt>
                <c:pt idx="32">
                  <c:v>8.7706690734544568E-2</c:v>
                </c:pt>
                <c:pt idx="33">
                  <c:v>7.9471039932693568E-2</c:v>
                </c:pt>
                <c:pt idx="34">
                  <c:v>7.926824829204808E-2</c:v>
                </c:pt>
                <c:pt idx="35">
                  <c:v>8.2951457788191976E-2</c:v>
                </c:pt>
                <c:pt idx="36">
                  <c:v>8.5353153425607967E-2</c:v>
                </c:pt>
                <c:pt idx="37">
                  <c:v>8.8640150077693824E-2</c:v>
                </c:pt>
                <c:pt idx="38">
                  <c:v>8.8685429996351539E-2</c:v>
                </c:pt>
                <c:pt idx="39">
                  <c:v>9.2339884905110872E-2</c:v>
                </c:pt>
                <c:pt idx="40">
                  <c:v>9.5940725300767263E-2</c:v>
                </c:pt>
                <c:pt idx="41">
                  <c:v>8.9915777501971619E-2</c:v>
                </c:pt>
                <c:pt idx="42">
                  <c:v>8.7893901268691788E-2</c:v>
                </c:pt>
                <c:pt idx="43">
                  <c:v>9.1818986143658715E-2</c:v>
                </c:pt>
                <c:pt idx="44">
                  <c:v>9.8195828782921213E-2</c:v>
                </c:pt>
                <c:pt idx="45">
                  <c:v>0.10302621700417443</c:v>
                </c:pt>
                <c:pt idx="46">
                  <c:v>0.10536675375438738</c:v>
                </c:pt>
                <c:pt idx="47">
                  <c:v>0.1022138657419428</c:v>
                </c:pt>
                <c:pt idx="48">
                  <c:v>9.7169350296019003E-2</c:v>
                </c:pt>
                <c:pt idx="49">
                  <c:v>9.4617755610349519E-2</c:v>
                </c:pt>
                <c:pt idx="50">
                  <c:v>0.10339434117495667</c:v>
                </c:pt>
                <c:pt idx="51">
                  <c:v>9.7827674384978372E-2</c:v>
                </c:pt>
                <c:pt idx="52">
                  <c:v>0.1090342052713506</c:v>
                </c:pt>
                <c:pt idx="53">
                  <c:v>9.396488602550486E-2</c:v>
                </c:pt>
                <c:pt idx="54">
                  <c:v>9.6739255345187805E-2</c:v>
                </c:pt>
                <c:pt idx="55">
                  <c:v>9.5105665030894682E-2</c:v>
                </c:pt>
              </c:numCache>
            </c:numRef>
          </c:val>
          <c:smooth val="0"/>
          <c:extLst xmlns:c16r2="http://schemas.microsoft.com/office/drawing/2015/06/chart">
            <c:ext xmlns:c16="http://schemas.microsoft.com/office/drawing/2014/chart" uri="{C3380CC4-5D6E-409C-BE32-E72D297353CC}">
              <c16:uniqueId val="{00000007-0787-4B2C-9CB3-73608F9D8292}"/>
            </c:ext>
          </c:extLst>
        </c:ser>
        <c:ser>
          <c:idx val="5"/>
          <c:order val="2"/>
          <c:tx>
            <c:v>Sales and other taxes</c:v>
          </c:tx>
          <c:spPr>
            <a:ln w="19050">
              <a:solidFill>
                <a:schemeClr val="tx1">
                  <a:lumMod val="50000"/>
                  <a:lumOff val="50000"/>
                </a:schemeClr>
              </a:solidFill>
            </a:ln>
          </c:spPr>
          <c:marker>
            <c:symbol val="none"/>
          </c:marker>
          <c:dPt>
            <c:idx val="3"/>
            <c:bubble3D val="0"/>
            <c:extLst xmlns:c16r2="http://schemas.microsoft.com/office/drawing/2015/06/chart">
              <c:ext xmlns:c16="http://schemas.microsoft.com/office/drawing/2014/chart" uri="{C3380CC4-5D6E-409C-BE32-E72D297353CC}">
                <c16:uniqueId val="{00000008-0787-4B2C-9CB3-73608F9D8292}"/>
              </c:ext>
            </c:extLst>
          </c:dPt>
          <c:dPt>
            <c:idx val="5"/>
            <c:bubble3D val="0"/>
            <c:extLst xmlns:c16r2="http://schemas.microsoft.com/office/drawing/2015/06/chart">
              <c:ext xmlns:c16="http://schemas.microsoft.com/office/drawing/2014/chart" uri="{C3380CC4-5D6E-409C-BE32-E72D297353CC}">
                <c16:uniqueId val="{00000009-0787-4B2C-9CB3-73608F9D8292}"/>
              </c:ext>
            </c:extLst>
          </c:dPt>
          <c:val>
            <c:numRef>
              <c:f>'C2-Shares'!$IK$6:$IK$61</c:f>
              <c:numCache>
                <c:formatCode>0.0000</c:formatCode>
                <c:ptCount val="56"/>
                <c:pt idx="0">
                  <c:v>8.2667392720965266E-2</c:v>
                </c:pt>
                <c:pt idx="1">
                  <c:v>8.5018391324533552E-2</c:v>
                </c:pt>
                <c:pt idx="2">
                  <c:v>8.7122885666407052E-2</c:v>
                </c:pt>
                <c:pt idx="3">
                  <c:v>8.847508702234691E-2</c:v>
                </c:pt>
                <c:pt idx="4">
                  <c:v>8.9655662905210015E-2</c:v>
                </c:pt>
                <c:pt idx="5">
                  <c:v>9.1558206149950694E-2</c:v>
                </c:pt>
                <c:pt idx="6">
                  <c:v>9.3183245193234551E-2</c:v>
                </c:pt>
                <c:pt idx="7">
                  <c:v>8.8030389998766848E-2</c:v>
                </c:pt>
                <c:pt idx="8">
                  <c:v>8.4912468082789919E-2</c:v>
                </c:pt>
                <c:pt idx="9">
                  <c:v>7.6729566627514512E-2</c:v>
                </c:pt>
                <c:pt idx="10">
                  <c:v>7.1782450462713171E-2</c:v>
                </c:pt>
                <c:pt idx="11">
                  <c:v>7.4769832930948646E-2</c:v>
                </c:pt>
                <c:pt idx="12">
                  <c:v>7.5980652843752258E-2</c:v>
                </c:pt>
                <c:pt idx="13">
                  <c:v>7.9201302863923198E-2</c:v>
                </c:pt>
                <c:pt idx="14">
                  <c:v>7.670826268219362E-2</c:v>
                </c:pt>
                <c:pt idx="15">
                  <c:v>7.6275580859394412E-2</c:v>
                </c:pt>
                <c:pt idx="16">
                  <c:v>7.5356999834379504E-2</c:v>
                </c:pt>
                <c:pt idx="17">
                  <c:v>7.7912756782430662E-2</c:v>
                </c:pt>
                <c:pt idx="18">
                  <c:v>7.8812598190260263E-2</c:v>
                </c:pt>
                <c:pt idx="19">
                  <c:v>7.7580030342176101E-2</c:v>
                </c:pt>
                <c:pt idx="20">
                  <c:v>7.3836101133574764E-2</c:v>
                </c:pt>
                <c:pt idx="21">
                  <c:v>7.3082654365438149E-2</c:v>
                </c:pt>
                <c:pt idx="22">
                  <c:v>7.2514071751294845E-2</c:v>
                </c:pt>
                <c:pt idx="23">
                  <c:v>7.4118988581477932E-2</c:v>
                </c:pt>
                <c:pt idx="24">
                  <c:v>7.8995798400506065E-2</c:v>
                </c:pt>
                <c:pt idx="25">
                  <c:v>7.7580536616715656E-2</c:v>
                </c:pt>
                <c:pt idx="26">
                  <c:v>7.2708785976962134E-2</c:v>
                </c:pt>
                <c:pt idx="27">
                  <c:v>7.6042579185628401E-2</c:v>
                </c:pt>
                <c:pt idx="28">
                  <c:v>9.4888297572564118E-2</c:v>
                </c:pt>
                <c:pt idx="29">
                  <c:v>8.9744465132477122E-2</c:v>
                </c:pt>
                <c:pt idx="30">
                  <c:v>9.1082936186793778E-2</c:v>
                </c:pt>
                <c:pt idx="31">
                  <c:v>8.5841601565141312E-2</c:v>
                </c:pt>
                <c:pt idx="32">
                  <c:v>8.8826246838682968E-2</c:v>
                </c:pt>
                <c:pt idx="33">
                  <c:v>8.0468430035425295E-2</c:v>
                </c:pt>
                <c:pt idx="34">
                  <c:v>8.025905376298767E-2</c:v>
                </c:pt>
                <c:pt idx="35">
                  <c:v>8.4060102326838068E-2</c:v>
                </c:pt>
                <c:pt idx="36">
                  <c:v>8.6486115289081081E-2</c:v>
                </c:pt>
                <c:pt idx="37">
                  <c:v>8.9840825458352494E-2</c:v>
                </c:pt>
                <c:pt idx="38">
                  <c:v>8.9828930683435754E-2</c:v>
                </c:pt>
                <c:pt idx="39">
                  <c:v>9.3554880622038941E-2</c:v>
                </c:pt>
                <c:pt idx="40">
                  <c:v>9.718753549681014E-2</c:v>
                </c:pt>
                <c:pt idx="41">
                  <c:v>9.1004841153369528E-2</c:v>
                </c:pt>
                <c:pt idx="42">
                  <c:v>8.8992791673933896E-2</c:v>
                </c:pt>
                <c:pt idx="43">
                  <c:v>9.2978222482160644E-2</c:v>
                </c:pt>
                <c:pt idx="44">
                  <c:v>9.9430454445890062E-2</c:v>
                </c:pt>
                <c:pt idx="45">
                  <c:v>0.10425605392044553</c:v>
                </c:pt>
                <c:pt idx="46">
                  <c:v>0.10664194806685444</c:v>
                </c:pt>
                <c:pt idx="47">
                  <c:v>0.10334047077141677</c:v>
                </c:pt>
                <c:pt idx="48">
                  <c:v>9.8166719353875928E-2</c:v>
                </c:pt>
                <c:pt idx="49">
                  <c:v>9.5655650449754978E-2</c:v>
                </c:pt>
                <c:pt idx="50">
                  <c:v>0.10474219793160351</c:v>
                </c:pt>
                <c:pt idx="51">
                  <c:v>9.8981382430897838E-2</c:v>
                </c:pt>
                <c:pt idx="52">
                  <c:v>0.11032943307641184</c:v>
                </c:pt>
                <c:pt idx="53">
                  <c:v>9.5123421395374649E-2</c:v>
                </c:pt>
                <c:pt idx="54">
                  <c:v>9.7947029989139789E-2</c:v>
                </c:pt>
                <c:pt idx="55">
                  <c:v>9.6154183950202463E-2</c:v>
                </c:pt>
              </c:numCache>
            </c:numRef>
          </c:val>
          <c:smooth val="0"/>
          <c:extLst xmlns:c16r2="http://schemas.microsoft.com/office/drawing/2015/06/chart">
            <c:ext xmlns:c16="http://schemas.microsoft.com/office/drawing/2014/chart" uri="{C3380CC4-5D6E-409C-BE32-E72D297353CC}">
              <c16:uniqueId val="{0000000A-0787-4B2C-9CB3-73608F9D8292}"/>
            </c:ext>
          </c:extLst>
        </c:ser>
        <c:dLbls>
          <c:showLegendKey val="0"/>
          <c:showVal val="0"/>
          <c:showCatName val="0"/>
          <c:showSerName val="0"/>
          <c:showPercent val="0"/>
          <c:showBubbleSize val="0"/>
        </c:dLbls>
        <c:smooth val="0"/>
        <c:axId val="510749552"/>
        <c:axId val="510750336"/>
      </c:lineChart>
      <c:catAx>
        <c:axId val="510749552"/>
        <c:scaling>
          <c:orientation val="minMax"/>
        </c:scaling>
        <c:delete val="0"/>
        <c:axPos val="b"/>
        <c:majorGridlines>
          <c:spPr>
            <a:ln w="6350">
              <a:solidFill>
                <a:schemeClr val="tx1">
                  <a:lumMod val="50000"/>
                  <a:lumOff val="50000"/>
                </a:schemeClr>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510750336"/>
        <c:crossesAt val="0"/>
        <c:auto val="1"/>
        <c:lblAlgn val="ctr"/>
        <c:lblOffset val="100"/>
        <c:tickLblSkip val="10"/>
        <c:tickMarkSkip val="10"/>
        <c:noMultiLvlLbl val="0"/>
      </c:catAx>
      <c:valAx>
        <c:axId val="510750336"/>
        <c:scaling>
          <c:orientation val="minMax"/>
          <c:max val="0.2"/>
          <c:min val="0"/>
        </c:scaling>
        <c:delete val="0"/>
        <c:axPos val="l"/>
        <c:majorGridlines>
          <c:spPr>
            <a:ln w="6350">
              <a:solidFill>
                <a:schemeClr val="tx1">
                  <a:lumMod val="50000"/>
                  <a:lumOff val="50000"/>
                </a:schemeClr>
              </a:solidFill>
              <a:prstDash val="sysDash"/>
            </a:ln>
          </c:spPr>
        </c:majorGridlines>
        <c:title>
          <c:tx>
            <c:rich>
              <a:bodyPr/>
              <a:lstStyle/>
              <a:p>
                <a:pPr>
                  <a:defRPr sz="2050" b="0" i="0" u="none" strike="noStrike" baseline="0">
                    <a:solidFill>
                      <a:srgbClr val="000000"/>
                    </a:solidFill>
                    <a:latin typeface="Arial"/>
                    <a:ea typeface="Arial"/>
                    <a:cs typeface="Arial"/>
                  </a:defRPr>
                </a:pPr>
                <a:r>
                  <a:rPr lang="en-US" sz="1200" b="0"/>
                  <a:t>Top 1% Income Share</a:t>
                </a:r>
              </a:p>
            </c:rich>
          </c:tx>
          <c:layout>
            <c:manualLayout>
              <c:xMode val="edge"/>
              <c:yMode val="edge"/>
              <c:x val="3.9815451404653479E-4"/>
              <c:y val="0.2987560708454750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510749552"/>
        <c:crosses val="autoZero"/>
        <c:crossBetween val="midCat"/>
        <c:majorUnit val="0.05"/>
        <c:minorUnit val="0.05"/>
      </c:valAx>
      <c:spPr>
        <a:solidFill>
          <a:srgbClr val="FFFFFF"/>
        </a:solidFill>
        <a:ln w="3175">
          <a:noFill/>
          <a:prstDash val="solid"/>
        </a:ln>
      </c:spPr>
    </c:plotArea>
    <c:plotVisOnly val="1"/>
    <c:dispBlanksAs val="span"/>
    <c:showDLblsOverMax val="0"/>
  </c:chart>
  <c:spPr>
    <a:solidFill>
      <a:srgbClr val="FFFFFF"/>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711" r="0.75000000000000711" t="1" header="0.5" footer="0.5"/>
    <c:pageSetup orientation="landscape" verticalDpi="96"/>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0" i="0" u="none" strike="noStrike" baseline="0">
                <a:solidFill>
                  <a:srgbClr val="000000"/>
                </a:solidFill>
                <a:latin typeface="Arial"/>
                <a:ea typeface="Arial"/>
                <a:cs typeface="Arial"/>
              </a:defRPr>
            </a:pPr>
            <a:r>
              <a:rPr lang="en-US" sz="1200" b="1" i="0" u="none" strike="noStrike" baseline="0">
                <a:solidFill>
                  <a:srgbClr val="000000"/>
                </a:solidFill>
                <a:latin typeface="Arial" panose="020B0604020202020204" pitchFamily="34" charset="0"/>
                <a:cs typeface="Arial" panose="020B0604020202020204" pitchFamily="34" charset="0"/>
              </a:rPr>
              <a:t>After-tax Income, decreases</a:t>
            </a:r>
          </a:p>
          <a:p>
            <a:pPr>
              <a:defRPr sz="900" b="0" i="0" u="none" strike="noStrike" baseline="0">
                <a:solidFill>
                  <a:srgbClr val="000000"/>
                </a:solidFill>
                <a:latin typeface="Arial"/>
                <a:ea typeface="Arial"/>
                <a:cs typeface="Arial"/>
              </a:defRPr>
            </a:pPr>
            <a:r>
              <a:rPr lang="en-US" sz="1050" b="0" i="0" u="none" strike="noStrike" baseline="0">
                <a:solidFill>
                  <a:srgbClr val="000000"/>
                </a:solidFill>
                <a:latin typeface="Calibri"/>
              </a:rPr>
              <a:t> </a:t>
            </a:r>
            <a:endParaRPr lang="en-US" sz="1200" b="0" i="0" u="none" strike="noStrike" baseline="0">
              <a:solidFill>
                <a:srgbClr val="000000"/>
              </a:solidFill>
              <a:latin typeface="Calibri"/>
            </a:endParaRPr>
          </a:p>
        </c:rich>
      </c:tx>
      <c:layout>
        <c:manualLayout>
          <c:xMode val="edge"/>
          <c:yMode val="edge"/>
          <c:x val="0.26507551724573752"/>
          <c:y val="2.7220593241744362E-2"/>
        </c:manualLayout>
      </c:layout>
      <c:overlay val="0"/>
      <c:spPr>
        <a:noFill/>
        <a:ln w="25400">
          <a:noFill/>
        </a:ln>
      </c:spPr>
    </c:title>
    <c:autoTitleDeleted val="0"/>
    <c:plotArea>
      <c:layout>
        <c:manualLayout>
          <c:layoutTarget val="inner"/>
          <c:xMode val="edge"/>
          <c:yMode val="edge"/>
          <c:x val="0.11287723865977427"/>
          <c:y val="7.3836303934811498E-2"/>
          <c:w val="0.68084899499922069"/>
          <c:h val="0.86696282059230789"/>
        </c:manualLayout>
      </c:layout>
      <c:lineChart>
        <c:grouping val="standard"/>
        <c:varyColors val="0"/>
        <c:ser>
          <c:idx val="0"/>
          <c:order val="0"/>
          <c:tx>
            <c:v>Pre-tax after-transfer income</c:v>
          </c:tx>
          <c:spPr>
            <a:ln w="15875">
              <a:solidFill>
                <a:srgbClr val="000000"/>
              </a:solidFill>
              <a:prstDash val="solid"/>
            </a:ln>
          </c:spPr>
          <c:marker>
            <c:symbol val="none"/>
          </c:marker>
          <c:dPt>
            <c:idx val="1"/>
            <c:bubble3D val="0"/>
            <c:extLst xmlns:c16r2="http://schemas.microsoft.com/office/drawing/2015/06/chart">
              <c:ext xmlns:c16="http://schemas.microsoft.com/office/drawing/2014/chart" uri="{C3380CC4-5D6E-409C-BE32-E72D297353CC}">
                <c16:uniqueId val="{00000000-EAFE-4943-94EC-2674B8100103}"/>
              </c:ext>
            </c:extLst>
          </c:dPt>
          <c:dPt>
            <c:idx val="3"/>
            <c:bubble3D val="0"/>
            <c:extLst xmlns:c16r2="http://schemas.microsoft.com/office/drawing/2015/06/chart">
              <c:ext xmlns:c16="http://schemas.microsoft.com/office/drawing/2014/chart" uri="{C3380CC4-5D6E-409C-BE32-E72D297353CC}">
                <c16:uniqueId val="{00000001-EAFE-4943-94EC-2674B8100103}"/>
              </c:ext>
            </c:extLst>
          </c:dPt>
          <c:dPt>
            <c:idx val="5"/>
            <c:bubble3D val="0"/>
            <c:extLst xmlns:c16r2="http://schemas.microsoft.com/office/drawing/2015/06/chart">
              <c:ext xmlns:c16="http://schemas.microsoft.com/office/drawing/2014/chart" uri="{C3380CC4-5D6E-409C-BE32-E72D297353CC}">
                <c16:uniqueId val="{00000002-EAFE-4943-94EC-2674B8100103}"/>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'C2-Shares'!$T$6:$T$61</c:f>
              <c:numCache>
                <c:formatCode>0.0000</c:formatCode>
                <c:ptCount val="56"/>
                <c:pt idx="0">
                  <c:v>0.10547561256553753</c:v>
                </c:pt>
                <c:pt idx="1">
                  <c:v>0.10574892929572076</c:v>
                </c:pt>
                <c:pt idx="2">
                  <c:v>0.10599329544961571</c:v>
                </c:pt>
                <c:pt idx="3">
                  <c:v>0.10787582966725633</c:v>
                </c:pt>
                <c:pt idx="4">
                  <c:v>0.10953579287619661</c:v>
                </c:pt>
                <c:pt idx="5">
                  <c:v>0.10979524163767666</c:v>
                </c:pt>
                <c:pt idx="6">
                  <c:v>0.11001450916324675</c:v>
                </c:pt>
                <c:pt idx="7">
                  <c:v>0.10666714511172948</c:v>
                </c:pt>
                <c:pt idx="8">
                  <c:v>0.105470357862509</c:v>
                </c:pt>
                <c:pt idx="9">
                  <c:v>9.5507100877327486E-2</c:v>
                </c:pt>
                <c:pt idx="10">
                  <c:v>8.742571198859439E-2</c:v>
                </c:pt>
                <c:pt idx="11">
                  <c:v>8.960980370049855E-2</c:v>
                </c:pt>
                <c:pt idx="12">
                  <c:v>9.1278796098654649E-2</c:v>
                </c:pt>
                <c:pt idx="13">
                  <c:v>9.033291392156774E-2</c:v>
                </c:pt>
                <c:pt idx="14">
                  <c:v>8.6511865633795648E-2</c:v>
                </c:pt>
                <c:pt idx="15">
                  <c:v>8.5442158826000994E-2</c:v>
                </c:pt>
                <c:pt idx="16">
                  <c:v>8.5926386415201478E-2</c:v>
                </c:pt>
                <c:pt idx="17">
                  <c:v>8.6809827305294684E-2</c:v>
                </c:pt>
                <c:pt idx="18">
                  <c:v>8.6304517369871839E-2</c:v>
                </c:pt>
                <c:pt idx="19">
                  <c:v>8.6903574030698996E-2</c:v>
                </c:pt>
                <c:pt idx="20">
                  <c:v>8.4047989673063372E-2</c:v>
                </c:pt>
                <c:pt idx="21">
                  <c:v>8.0968223140013368E-2</c:v>
                </c:pt>
                <c:pt idx="22">
                  <c:v>8.1431776540895423E-2</c:v>
                </c:pt>
                <c:pt idx="23">
                  <c:v>8.3266688648198986E-2</c:v>
                </c:pt>
                <c:pt idx="24">
                  <c:v>8.6710232120910974E-2</c:v>
                </c:pt>
                <c:pt idx="25">
                  <c:v>8.7272923610391115E-2</c:v>
                </c:pt>
                <c:pt idx="26">
                  <c:v>8.4532499321062451E-2</c:v>
                </c:pt>
                <c:pt idx="27">
                  <c:v>8.8118347589807716E-2</c:v>
                </c:pt>
                <c:pt idx="28">
                  <c:v>0.10586704503713266</c:v>
                </c:pt>
                <c:pt idx="29">
                  <c:v>0.10133937109209022</c:v>
                </c:pt>
                <c:pt idx="30">
                  <c:v>0.10216340310442139</c:v>
                </c:pt>
                <c:pt idx="31">
                  <c:v>9.7937989104130208E-2</c:v>
                </c:pt>
                <c:pt idx="32">
                  <c:v>0.10321475471347732</c:v>
                </c:pt>
                <c:pt idx="33">
                  <c:v>9.7294801851661686E-2</c:v>
                </c:pt>
                <c:pt idx="34">
                  <c:v>9.7496605700246583E-2</c:v>
                </c:pt>
                <c:pt idx="35">
                  <c:v>0.10248804676769482</c:v>
                </c:pt>
                <c:pt idx="36">
                  <c:v>0.10636785657879491</c:v>
                </c:pt>
                <c:pt idx="37">
                  <c:v>0.11178826593549564</c:v>
                </c:pt>
                <c:pt idx="38">
                  <c:v>0.1134947367984665</c:v>
                </c:pt>
                <c:pt idx="39">
                  <c:v>0.11841283354898033</c:v>
                </c:pt>
                <c:pt idx="40">
                  <c:v>0.12324734072667641</c:v>
                </c:pt>
                <c:pt idx="41">
                  <c:v>0.11389875547142124</c:v>
                </c:pt>
                <c:pt idx="42">
                  <c:v>0.10745535683987288</c:v>
                </c:pt>
                <c:pt idx="43">
                  <c:v>0.11008174195775861</c:v>
                </c:pt>
                <c:pt idx="44">
                  <c:v>0.11794330030636968</c:v>
                </c:pt>
                <c:pt idx="45">
                  <c:v>0.12686541570563556</c:v>
                </c:pt>
                <c:pt idx="46">
                  <c:v>0.13083180114309842</c:v>
                </c:pt>
                <c:pt idx="47">
                  <c:v>0.12947409854791339</c:v>
                </c:pt>
                <c:pt idx="48">
                  <c:v>0.1212739988736156</c:v>
                </c:pt>
                <c:pt idx="49">
                  <c:v>0.1127544427547378</c:v>
                </c:pt>
                <c:pt idx="50">
                  <c:v>0.12244289272562482</c:v>
                </c:pt>
                <c:pt idx="51">
                  <c:v>0.1191544734605352</c:v>
                </c:pt>
                <c:pt idx="52">
                  <c:v>0.13192084270089083</c:v>
                </c:pt>
                <c:pt idx="53">
                  <c:v>0.1205447789407159</c:v>
                </c:pt>
                <c:pt idx="54">
                  <c:v>0.12383528715122835</c:v>
                </c:pt>
                <c:pt idx="55">
                  <c:v>0.12226367697635226</c:v>
                </c:pt>
              </c:numCache>
            </c:numRef>
          </c:val>
          <c:smooth val="0"/>
          <c:extLst xmlns:c16r2="http://schemas.microsoft.com/office/drawing/2015/06/chart">
            <c:ext xmlns:c16="http://schemas.microsoft.com/office/drawing/2014/chart" uri="{C3380CC4-5D6E-409C-BE32-E72D297353CC}">
              <c16:uniqueId val="{00000003-EAFE-4943-94EC-2674B8100103}"/>
            </c:ext>
          </c:extLst>
        </c:ser>
        <c:ser>
          <c:idx val="3"/>
          <c:order val="1"/>
          <c:tx>
            <c:v>Federal indiv. income tax</c:v>
          </c:tx>
          <c:spPr>
            <a:ln w="22225">
              <a:solidFill>
                <a:schemeClr val="bg1">
                  <a:lumMod val="65000"/>
                </a:schemeClr>
              </a:solidFill>
            </a:ln>
          </c:spPr>
          <c:marker>
            <c:symbol val="none"/>
          </c:marker>
          <c:dPt>
            <c:idx val="1"/>
            <c:bubble3D val="0"/>
            <c:extLst xmlns:c16r2="http://schemas.microsoft.com/office/drawing/2015/06/chart">
              <c:ext xmlns:c16="http://schemas.microsoft.com/office/drawing/2014/chart" uri="{C3380CC4-5D6E-409C-BE32-E72D297353CC}">
                <c16:uniqueId val="{00000004-EAFE-4943-94EC-2674B8100103}"/>
              </c:ext>
            </c:extLst>
          </c:dPt>
          <c:dPt>
            <c:idx val="3"/>
            <c:bubble3D val="0"/>
            <c:extLst xmlns:c16r2="http://schemas.microsoft.com/office/drawing/2015/06/chart">
              <c:ext xmlns:c16="http://schemas.microsoft.com/office/drawing/2014/chart" uri="{C3380CC4-5D6E-409C-BE32-E72D297353CC}">
                <c16:uniqueId val="{00000005-EAFE-4943-94EC-2674B8100103}"/>
              </c:ext>
            </c:extLst>
          </c:dPt>
          <c:dPt>
            <c:idx val="5"/>
            <c:bubble3D val="0"/>
            <c:extLst xmlns:c16r2="http://schemas.microsoft.com/office/drawing/2015/06/chart">
              <c:ext xmlns:c16="http://schemas.microsoft.com/office/drawing/2014/chart" uri="{C3380CC4-5D6E-409C-BE32-E72D297353CC}">
                <c16:uniqueId val="{00000006-EAFE-4943-94EC-2674B8100103}"/>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'C2-Shares'!$GW$6:$GW$61</c:f>
              <c:numCache>
                <c:formatCode>0.0000</c:formatCode>
                <c:ptCount val="56"/>
                <c:pt idx="0">
                  <c:v>9.6191811579473874E-2</c:v>
                </c:pt>
                <c:pt idx="1">
                  <c:v>9.6714033513160297E-2</c:v>
                </c:pt>
                <c:pt idx="2">
                  <c:v>9.7180822839653458E-2</c:v>
                </c:pt>
                <c:pt idx="3">
                  <c:v>9.9028550178258165E-2</c:v>
                </c:pt>
                <c:pt idx="4">
                  <c:v>0.10063997640512333</c:v>
                </c:pt>
                <c:pt idx="5">
                  <c:v>0.10104068322614926</c:v>
                </c:pt>
                <c:pt idx="6">
                  <c:v>0.10138137429953822</c:v>
                </c:pt>
                <c:pt idx="7">
                  <c:v>9.6427665266135859E-2</c:v>
                </c:pt>
                <c:pt idx="8">
                  <c:v>9.4851258485956755E-2</c:v>
                </c:pt>
                <c:pt idx="9">
                  <c:v>8.5060711488912949E-2</c:v>
                </c:pt>
                <c:pt idx="10">
                  <c:v>7.8417111029254263E-2</c:v>
                </c:pt>
                <c:pt idx="11">
                  <c:v>8.1340427059833964E-2</c:v>
                </c:pt>
                <c:pt idx="12">
                  <c:v>8.2558777871934275E-2</c:v>
                </c:pt>
                <c:pt idx="13">
                  <c:v>8.2973476259639051E-2</c:v>
                </c:pt>
                <c:pt idx="14">
                  <c:v>7.8182927486938156E-2</c:v>
                </c:pt>
                <c:pt idx="15">
                  <c:v>7.7602494110715695E-2</c:v>
                </c:pt>
                <c:pt idx="16">
                  <c:v>7.7641864080662218E-2</c:v>
                </c:pt>
                <c:pt idx="17">
                  <c:v>7.8608241411545821E-2</c:v>
                </c:pt>
                <c:pt idx="18">
                  <c:v>7.8510176456757536E-2</c:v>
                </c:pt>
                <c:pt idx="19">
                  <c:v>7.7361899905123349E-2</c:v>
                </c:pt>
                <c:pt idx="20">
                  <c:v>7.4304200497668935E-2</c:v>
                </c:pt>
                <c:pt idx="21">
                  <c:v>7.1969387400906137E-2</c:v>
                </c:pt>
                <c:pt idx="22">
                  <c:v>7.0983688606234427E-2</c:v>
                </c:pt>
                <c:pt idx="23">
                  <c:v>7.2970570562346168E-2</c:v>
                </c:pt>
                <c:pt idx="24">
                  <c:v>7.6608359978785345E-2</c:v>
                </c:pt>
                <c:pt idx="25">
                  <c:v>7.5771645912640656E-2</c:v>
                </c:pt>
                <c:pt idx="26">
                  <c:v>7.1695858844497556E-2</c:v>
                </c:pt>
                <c:pt idx="27">
                  <c:v>7.5025098946849195E-2</c:v>
                </c:pt>
                <c:pt idx="28">
                  <c:v>9.2180188681619396E-2</c:v>
                </c:pt>
                <c:pt idx="29">
                  <c:v>8.8093004513480427E-2</c:v>
                </c:pt>
                <c:pt idx="30">
                  <c:v>8.9163825085727066E-2</c:v>
                </c:pt>
                <c:pt idx="31">
                  <c:v>8.5563897424820637E-2</c:v>
                </c:pt>
                <c:pt idx="32">
                  <c:v>8.9372035158106211E-2</c:v>
                </c:pt>
                <c:pt idx="33">
                  <c:v>8.2214978348882223E-2</c:v>
                </c:pt>
                <c:pt idx="34">
                  <c:v>8.2378887411712912E-2</c:v>
                </c:pt>
                <c:pt idx="35">
                  <c:v>8.6264237681254283E-2</c:v>
                </c:pt>
                <c:pt idx="36">
                  <c:v>8.8194407023029817E-2</c:v>
                </c:pt>
                <c:pt idx="37">
                  <c:v>9.2017795025792604E-2</c:v>
                </c:pt>
                <c:pt idx="38">
                  <c:v>9.2036199302524713E-2</c:v>
                </c:pt>
                <c:pt idx="39">
                  <c:v>9.5896809906232797E-2</c:v>
                </c:pt>
                <c:pt idx="40">
                  <c:v>9.9239758216726065E-2</c:v>
                </c:pt>
                <c:pt idx="41">
                  <c:v>9.2707883140076816E-2</c:v>
                </c:pt>
                <c:pt idx="42">
                  <c:v>9.0102366737835074E-2</c:v>
                </c:pt>
                <c:pt idx="43">
                  <c:v>9.4408591635051067E-2</c:v>
                </c:pt>
                <c:pt idx="44">
                  <c:v>0.10147966367420919</c:v>
                </c:pt>
                <c:pt idx="45">
                  <c:v>0.10740761829202475</c:v>
                </c:pt>
                <c:pt idx="46">
                  <c:v>0.11012983249412489</c:v>
                </c:pt>
                <c:pt idx="47">
                  <c:v>0.1070110351031595</c:v>
                </c:pt>
                <c:pt idx="48">
                  <c:v>0.10132057505770925</c:v>
                </c:pt>
                <c:pt idx="49">
                  <c:v>9.8570721169614559E-2</c:v>
                </c:pt>
                <c:pt idx="50">
                  <c:v>0.10758321365324085</c:v>
                </c:pt>
                <c:pt idx="51">
                  <c:v>0.10276245414329231</c:v>
                </c:pt>
                <c:pt idx="52">
                  <c:v>0.11399894835188271</c:v>
                </c:pt>
                <c:pt idx="53">
                  <c:v>0.10015179406580688</c:v>
                </c:pt>
                <c:pt idx="54">
                  <c:v>0.10224434799468196</c:v>
                </c:pt>
                <c:pt idx="55">
                  <c:v>0.10063841068910727</c:v>
                </c:pt>
              </c:numCache>
            </c:numRef>
          </c:val>
          <c:smooth val="0"/>
          <c:extLst xmlns:c16r2="http://schemas.microsoft.com/office/drawing/2015/06/chart">
            <c:ext xmlns:c16="http://schemas.microsoft.com/office/drawing/2014/chart" uri="{C3380CC4-5D6E-409C-BE32-E72D297353CC}">
              <c16:uniqueId val="{00000007-EAFE-4943-94EC-2674B8100103}"/>
            </c:ext>
          </c:extLst>
        </c:ser>
        <c:ser>
          <c:idx val="1"/>
          <c:order val="2"/>
          <c:tx>
            <c:v>State indiv. income tax</c:v>
          </c:tx>
          <c:spPr>
            <a:ln w="19050">
              <a:solidFill>
                <a:schemeClr val="tx1">
                  <a:lumMod val="65000"/>
                  <a:lumOff val="35000"/>
                </a:schemeClr>
              </a:solidFill>
              <a:prstDash val="sysDash"/>
            </a:ln>
          </c:spPr>
          <c:marker>
            <c:symbol val="none"/>
          </c:marker>
          <c:dPt>
            <c:idx val="1"/>
            <c:bubble3D val="0"/>
            <c:extLst xmlns:c16r2="http://schemas.microsoft.com/office/drawing/2015/06/chart">
              <c:ext xmlns:c16="http://schemas.microsoft.com/office/drawing/2014/chart" uri="{C3380CC4-5D6E-409C-BE32-E72D297353CC}">
                <c16:uniqueId val="{00000008-EAFE-4943-94EC-2674B8100103}"/>
              </c:ext>
            </c:extLst>
          </c:dPt>
          <c:dPt>
            <c:idx val="3"/>
            <c:bubble3D val="0"/>
            <c:extLst xmlns:c16r2="http://schemas.microsoft.com/office/drawing/2015/06/chart">
              <c:ext xmlns:c16="http://schemas.microsoft.com/office/drawing/2014/chart" uri="{C3380CC4-5D6E-409C-BE32-E72D297353CC}">
                <c16:uniqueId val="{00000009-EAFE-4943-94EC-2674B8100103}"/>
              </c:ext>
            </c:extLst>
          </c:dPt>
          <c:dPt>
            <c:idx val="5"/>
            <c:bubble3D val="0"/>
            <c:extLst xmlns:c16r2="http://schemas.microsoft.com/office/drawing/2015/06/chart">
              <c:ext xmlns:c16="http://schemas.microsoft.com/office/drawing/2014/chart" uri="{C3380CC4-5D6E-409C-BE32-E72D297353CC}">
                <c16:uniqueId val="{0000000A-EAFE-4943-94EC-2674B8100103}"/>
              </c:ext>
            </c:extLst>
          </c:dPt>
          <c:val>
            <c:numRef>
              <c:f>'C2-Shares'!$HE$6:$HE$61</c:f>
              <c:numCache>
                <c:formatCode>0.0000</c:formatCode>
                <c:ptCount val="56"/>
                <c:pt idx="0">
                  <c:v>9.5312492097992141E-2</c:v>
                </c:pt>
                <c:pt idx="1">
                  <c:v>9.5777500548432509E-2</c:v>
                </c:pt>
                <c:pt idx="2">
                  <c:v>9.6193427712406673E-2</c:v>
                </c:pt>
                <c:pt idx="3">
                  <c:v>9.8117504776756084E-2</c:v>
                </c:pt>
                <c:pt idx="4">
                  <c:v>9.9796580326000139E-2</c:v>
                </c:pt>
                <c:pt idx="5">
                  <c:v>0.10007029832073042</c:v>
                </c:pt>
                <c:pt idx="6">
                  <c:v>0.1003032554736136</c:v>
                </c:pt>
                <c:pt idx="7">
                  <c:v>9.5642651725928882E-2</c:v>
                </c:pt>
                <c:pt idx="8">
                  <c:v>9.4130327299388E-2</c:v>
                </c:pt>
                <c:pt idx="9">
                  <c:v>8.4193633351275651E-2</c:v>
                </c:pt>
                <c:pt idx="10">
                  <c:v>7.7464484353796575E-2</c:v>
                </c:pt>
                <c:pt idx="11">
                  <c:v>8.0310053933682207E-2</c:v>
                </c:pt>
                <c:pt idx="12">
                  <c:v>8.1406424534417363E-2</c:v>
                </c:pt>
                <c:pt idx="13">
                  <c:v>8.1796141266049796E-2</c:v>
                </c:pt>
                <c:pt idx="14">
                  <c:v>7.7320102911991692E-2</c:v>
                </c:pt>
                <c:pt idx="15">
                  <c:v>7.6493591583001383E-2</c:v>
                </c:pt>
                <c:pt idx="16">
                  <c:v>7.6519264485348529E-2</c:v>
                </c:pt>
                <c:pt idx="17">
                  <c:v>7.7554160144359757E-2</c:v>
                </c:pt>
                <c:pt idx="18">
                  <c:v>7.7494459259307785E-2</c:v>
                </c:pt>
                <c:pt idx="19">
                  <c:v>7.629305281826404E-2</c:v>
                </c:pt>
                <c:pt idx="20">
                  <c:v>7.2984380589024289E-2</c:v>
                </c:pt>
                <c:pt idx="21">
                  <c:v>7.0628732471463909E-2</c:v>
                </c:pt>
                <c:pt idx="22">
                  <c:v>6.9748279309866074E-2</c:v>
                </c:pt>
                <c:pt idx="23">
                  <c:v>7.1382736253489079E-2</c:v>
                </c:pt>
                <c:pt idx="24">
                  <c:v>7.4961237306809717E-2</c:v>
                </c:pt>
                <c:pt idx="25">
                  <c:v>7.3752286460785729E-2</c:v>
                </c:pt>
                <c:pt idx="26">
                  <c:v>6.9506667005512973E-2</c:v>
                </c:pt>
                <c:pt idx="27">
                  <c:v>7.237135423723523E-2</c:v>
                </c:pt>
                <c:pt idx="28">
                  <c:v>8.9651445205449376E-2</c:v>
                </c:pt>
                <c:pt idx="29">
                  <c:v>8.5304264795355397E-2</c:v>
                </c:pt>
                <c:pt idx="30">
                  <c:v>8.65238358564029E-2</c:v>
                </c:pt>
                <c:pt idx="31">
                  <c:v>8.2907239570666605E-2</c:v>
                </c:pt>
                <c:pt idx="32">
                  <c:v>8.6426886690285379E-2</c:v>
                </c:pt>
                <c:pt idx="33">
                  <c:v>7.9259319957552143E-2</c:v>
                </c:pt>
                <c:pt idx="34">
                  <c:v>7.9847383126963725E-2</c:v>
                </c:pt>
                <c:pt idx="35">
                  <c:v>8.3457054680334458E-2</c:v>
                </c:pt>
                <c:pt idx="36">
                  <c:v>8.5279339437361823E-2</c:v>
                </c:pt>
                <c:pt idx="37">
                  <c:v>8.8702173575612525E-2</c:v>
                </c:pt>
                <c:pt idx="38">
                  <c:v>8.8559892155940637E-2</c:v>
                </c:pt>
                <c:pt idx="39">
                  <c:v>9.2149319892117013E-2</c:v>
                </c:pt>
                <c:pt idx="40">
                  <c:v>9.5125357027458862E-2</c:v>
                </c:pt>
                <c:pt idx="41">
                  <c:v>8.8982687143667055E-2</c:v>
                </c:pt>
                <c:pt idx="42">
                  <c:v>8.7053282074600724E-2</c:v>
                </c:pt>
                <c:pt idx="43">
                  <c:v>9.1404393958092481E-2</c:v>
                </c:pt>
                <c:pt idx="44">
                  <c:v>9.8001131398701702E-2</c:v>
                </c:pt>
                <c:pt idx="45">
                  <c:v>0.10338073091257056</c:v>
                </c:pt>
                <c:pt idx="46">
                  <c:v>0.10600595620643299</c:v>
                </c:pt>
                <c:pt idx="47">
                  <c:v>0.10245983680960981</c:v>
                </c:pt>
                <c:pt idx="48">
                  <c:v>9.6992354406792824E-2</c:v>
                </c:pt>
                <c:pt idx="49">
                  <c:v>9.4984751491076186E-2</c:v>
                </c:pt>
                <c:pt idx="50">
                  <c:v>0.10406334011434677</c:v>
                </c:pt>
                <c:pt idx="51">
                  <c:v>9.8935856608560052E-2</c:v>
                </c:pt>
                <c:pt idx="52">
                  <c:v>0.11002303613405834</c:v>
                </c:pt>
                <c:pt idx="53">
                  <c:v>9.5379276885846964E-2</c:v>
                </c:pt>
                <c:pt idx="54">
                  <c:v>9.784207204601203E-2</c:v>
                </c:pt>
                <c:pt idx="55">
                  <c:v>9.6020168615460283E-2</c:v>
                </c:pt>
              </c:numCache>
            </c:numRef>
          </c:val>
          <c:smooth val="0"/>
          <c:extLst xmlns:c16r2="http://schemas.microsoft.com/office/drawing/2015/06/chart">
            <c:ext xmlns:c16="http://schemas.microsoft.com/office/drawing/2014/chart" uri="{C3380CC4-5D6E-409C-BE32-E72D297353CC}">
              <c16:uniqueId val="{0000000B-EAFE-4943-94EC-2674B8100103}"/>
            </c:ext>
          </c:extLst>
        </c:ser>
        <c:ser>
          <c:idx val="4"/>
          <c:order val="3"/>
          <c:tx>
            <c:v>Corporate taxes</c:v>
          </c:tx>
          <c:spPr>
            <a:ln w="15875">
              <a:solidFill>
                <a:schemeClr val="tx1"/>
              </a:solidFill>
              <a:prstDash val="sysDash"/>
            </a:ln>
          </c:spPr>
          <c:marker>
            <c:symbol val="none"/>
          </c:marker>
          <c:val>
            <c:numRef>
              <c:f>'C2-Shares'!$HM$6:$HM$61</c:f>
              <c:numCache>
                <c:formatCode>0.0000</c:formatCode>
                <c:ptCount val="56"/>
                <c:pt idx="0">
                  <c:v>8.342527262629168E-2</c:v>
                </c:pt>
                <c:pt idx="1">
                  <c:v>8.4942727081414149E-2</c:v>
                </c:pt>
                <c:pt idx="2">
                  <c:v>8.6296759285360639E-2</c:v>
                </c:pt>
                <c:pt idx="3">
                  <c:v>8.7714795437217261E-2</c:v>
                </c:pt>
                <c:pt idx="4">
                  <c:v>8.8951996352150925E-2</c:v>
                </c:pt>
                <c:pt idx="5">
                  <c:v>8.9762033630956875E-2</c:v>
                </c:pt>
                <c:pt idx="6">
                  <c:v>9.0452503677506596E-2</c:v>
                </c:pt>
                <c:pt idx="7">
                  <c:v>8.6471160405884678E-2</c:v>
                </c:pt>
                <c:pt idx="8">
                  <c:v>8.3662173492490596E-2</c:v>
                </c:pt>
                <c:pt idx="9">
                  <c:v>7.5430062211865337E-2</c:v>
                </c:pt>
                <c:pt idx="10">
                  <c:v>7.111954335039522E-2</c:v>
                </c:pt>
                <c:pt idx="11">
                  <c:v>7.3646037726774763E-2</c:v>
                </c:pt>
                <c:pt idx="12">
                  <c:v>7.4300133898406201E-2</c:v>
                </c:pt>
                <c:pt idx="13">
                  <c:v>7.5893812619365258E-2</c:v>
                </c:pt>
                <c:pt idx="14">
                  <c:v>7.3303575990754322E-2</c:v>
                </c:pt>
                <c:pt idx="15">
                  <c:v>7.277688657223827E-2</c:v>
                </c:pt>
                <c:pt idx="16">
                  <c:v>7.1952694250938809E-2</c:v>
                </c:pt>
                <c:pt idx="17">
                  <c:v>7.3570746194908221E-2</c:v>
                </c:pt>
                <c:pt idx="18">
                  <c:v>7.3932320314260724E-2</c:v>
                </c:pt>
                <c:pt idx="19">
                  <c:v>7.2650090736452039E-2</c:v>
                </c:pt>
                <c:pt idx="20">
                  <c:v>6.9473412964573197E-2</c:v>
                </c:pt>
                <c:pt idx="21">
                  <c:v>6.847178733490146E-2</c:v>
                </c:pt>
                <c:pt idx="22">
                  <c:v>6.8289381535450347E-2</c:v>
                </c:pt>
                <c:pt idx="23">
                  <c:v>6.9843233969666602E-2</c:v>
                </c:pt>
                <c:pt idx="24">
                  <c:v>7.3630865783829463E-2</c:v>
                </c:pt>
                <c:pt idx="25">
                  <c:v>7.2523321900868534E-2</c:v>
                </c:pt>
                <c:pt idx="26">
                  <c:v>6.8250061226628841E-2</c:v>
                </c:pt>
                <c:pt idx="27">
                  <c:v>7.1279744024855249E-2</c:v>
                </c:pt>
                <c:pt idx="28">
                  <c:v>8.8334233181825289E-2</c:v>
                </c:pt>
                <c:pt idx="29">
                  <c:v>8.4089652925784825E-2</c:v>
                </c:pt>
                <c:pt idx="30">
                  <c:v>8.5345213876724876E-2</c:v>
                </c:pt>
                <c:pt idx="31">
                  <c:v>8.1331992838475059E-2</c:v>
                </c:pt>
                <c:pt idx="32">
                  <c:v>8.4516360276928548E-2</c:v>
                </c:pt>
                <c:pt idx="33">
                  <c:v>7.7045391895699131E-2</c:v>
                </c:pt>
                <c:pt idx="34">
                  <c:v>7.7590628225780611E-2</c:v>
                </c:pt>
                <c:pt idx="35">
                  <c:v>8.0944148196404123E-2</c:v>
                </c:pt>
                <c:pt idx="36">
                  <c:v>8.301194755720806E-2</c:v>
                </c:pt>
                <c:pt idx="37">
                  <c:v>8.6284019381925911E-2</c:v>
                </c:pt>
                <c:pt idx="38">
                  <c:v>8.6322210036295532E-2</c:v>
                </c:pt>
                <c:pt idx="39">
                  <c:v>8.9774941532402397E-2</c:v>
                </c:pt>
                <c:pt idx="40">
                  <c:v>9.3137354707712366E-2</c:v>
                </c:pt>
                <c:pt idx="41">
                  <c:v>8.7624462112761661E-2</c:v>
                </c:pt>
                <c:pt idx="42">
                  <c:v>8.5956388286297508E-2</c:v>
                </c:pt>
                <c:pt idx="43">
                  <c:v>8.974570908246518E-2</c:v>
                </c:pt>
                <c:pt idx="44">
                  <c:v>9.5756899602832138E-2</c:v>
                </c:pt>
                <c:pt idx="45">
                  <c:v>0.10042487746047052</c:v>
                </c:pt>
                <c:pt idx="46">
                  <c:v>0.1027475987943882</c:v>
                </c:pt>
                <c:pt idx="47">
                  <c:v>9.9867647731907608E-2</c:v>
                </c:pt>
                <c:pt idx="48">
                  <c:v>9.5295614903080236E-2</c:v>
                </c:pt>
                <c:pt idx="49">
                  <c:v>9.3405169845283909E-2</c:v>
                </c:pt>
                <c:pt idx="50">
                  <c:v>0.10171398558986751</c:v>
                </c:pt>
                <c:pt idx="51">
                  <c:v>9.6880451900486553E-2</c:v>
                </c:pt>
                <c:pt idx="52">
                  <c:v>0.10754024088671692</c:v>
                </c:pt>
                <c:pt idx="53">
                  <c:v>9.283175657014496E-2</c:v>
                </c:pt>
                <c:pt idx="54">
                  <c:v>9.5327172079325229E-2</c:v>
                </c:pt>
                <c:pt idx="55">
                  <c:v>9.3691887984854769E-2</c:v>
                </c:pt>
              </c:numCache>
            </c:numRef>
          </c:val>
          <c:smooth val="0"/>
          <c:extLst xmlns:c16r2="http://schemas.microsoft.com/office/drawing/2015/06/chart">
            <c:ext xmlns:c16="http://schemas.microsoft.com/office/drawing/2014/chart" uri="{C3380CC4-5D6E-409C-BE32-E72D297353CC}">
              <c16:uniqueId val="{0000000C-EAFE-4943-94EC-2674B8100103}"/>
            </c:ext>
          </c:extLst>
        </c:ser>
        <c:ser>
          <c:idx val="2"/>
          <c:order val="4"/>
          <c:tx>
            <c:v>Property tax</c:v>
          </c:tx>
          <c:spPr>
            <a:ln w="25400">
              <a:solidFill>
                <a:schemeClr val="tx1"/>
              </a:solidFill>
            </a:ln>
          </c:spPr>
          <c:marker>
            <c:symbol val="none"/>
          </c:marker>
          <c:dPt>
            <c:idx val="1"/>
            <c:bubble3D val="0"/>
            <c:extLst xmlns:c16r2="http://schemas.microsoft.com/office/drawing/2015/06/chart">
              <c:ext xmlns:c16="http://schemas.microsoft.com/office/drawing/2014/chart" uri="{C3380CC4-5D6E-409C-BE32-E72D297353CC}">
                <c16:uniqueId val="{0000000D-EAFE-4943-94EC-2674B8100103}"/>
              </c:ext>
            </c:extLst>
          </c:dPt>
          <c:dPt>
            <c:idx val="3"/>
            <c:bubble3D val="0"/>
            <c:extLst xmlns:c16r2="http://schemas.microsoft.com/office/drawing/2015/06/chart">
              <c:ext xmlns:c16="http://schemas.microsoft.com/office/drawing/2014/chart" uri="{C3380CC4-5D6E-409C-BE32-E72D297353CC}">
                <c16:uniqueId val="{0000000E-EAFE-4943-94EC-2674B8100103}"/>
              </c:ext>
            </c:extLst>
          </c:dPt>
          <c:dPt>
            <c:idx val="5"/>
            <c:bubble3D val="0"/>
            <c:extLst xmlns:c16r2="http://schemas.microsoft.com/office/drawing/2015/06/chart">
              <c:ext xmlns:c16="http://schemas.microsoft.com/office/drawing/2014/chart" uri="{C3380CC4-5D6E-409C-BE32-E72D297353CC}">
                <c16:uniqueId val="{0000000F-EAFE-4943-94EC-2674B8100103}"/>
              </c:ext>
            </c:extLst>
          </c:dPt>
          <c:val>
            <c:numRef>
              <c:f>'C2-Shares'!$HU$6:$HU$61</c:f>
              <c:numCache>
                <c:formatCode>0.0000</c:formatCode>
                <c:ptCount val="56"/>
                <c:pt idx="0">
                  <c:v>7.7361626969973077E-2</c:v>
                </c:pt>
                <c:pt idx="1">
                  <c:v>7.971861389776673E-2</c:v>
                </c:pt>
                <c:pt idx="2">
                  <c:v>8.1825171231328417E-2</c:v>
                </c:pt>
                <c:pt idx="3">
                  <c:v>8.2991120842296567E-2</c:v>
                </c:pt>
                <c:pt idx="4">
                  <c:v>8.4008303191102501E-2</c:v>
                </c:pt>
                <c:pt idx="5">
                  <c:v>8.5491467024462572E-2</c:v>
                </c:pt>
                <c:pt idx="6">
                  <c:v>8.6753890395539379E-2</c:v>
                </c:pt>
                <c:pt idx="7">
                  <c:v>8.2006263195493034E-2</c:v>
                </c:pt>
                <c:pt idx="8">
                  <c:v>7.8820557825536056E-2</c:v>
                </c:pt>
                <c:pt idx="9">
                  <c:v>7.117388177217919E-2</c:v>
                </c:pt>
                <c:pt idx="10">
                  <c:v>6.6983656161663865E-2</c:v>
                </c:pt>
                <c:pt idx="11">
                  <c:v>6.966125863911389E-2</c:v>
                </c:pt>
                <c:pt idx="12">
                  <c:v>7.0454367943420873E-2</c:v>
                </c:pt>
                <c:pt idx="13">
                  <c:v>7.296930790751685E-2</c:v>
                </c:pt>
                <c:pt idx="14">
                  <c:v>7.0629210058056557E-2</c:v>
                </c:pt>
                <c:pt idx="15">
                  <c:v>7.0450364928930878E-2</c:v>
                </c:pt>
                <c:pt idx="16">
                  <c:v>6.9573715460618482E-2</c:v>
                </c:pt>
                <c:pt idx="17">
                  <c:v>7.1687764925470326E-2</c:v>
                </c:pt>
                <c:pt idx="18">
                  <c:v>7.2309491969584999E-2</c:v>
                </c:pt>
                <c:pt idx="19">
                  <c:v>7.1199541187837598E-2</c:v>
                </c:pt>
                <c:pt idx="20">
                  <c:v>6.7868886226558595E-2</c:v>
                </c:pt>
                <c:pt idx="21">
                  <c:v>6.7024179757246199E-2</c:v>
                </c:pt>
                <c:pt idx="22">
                  <c:v>6.689565968299889E-2</c:v>
                </c:pt>
                <c:pt idx="23">
                  <c:v>6.8542045292464548E-2</c:v>
                </c:pt>
                <c:pt idx="24">
                  <c:v>7.2664182774303115E-2</c:v>
                </c:pt>
                <c:pt idx="25">
                  <c:v>7.1404821317475109E-2</c:v>
                </c:pt>
                <c:pt idx="26">
                  <c:v>6.7100810791176857E-2</c:v>
                </c:pt>
                <c:pt idx="27">
                  <c:v>7.0132436645193696E-2</c:v>
                </c:pt>
                <c:pt idx="28">
                  <c:v>8.7180221880348394E-2</c:v>
                </c:pt>
                <c:pt idx="29">
                  <c:v>8.2788134496317639E-2</c:v>
                </c:pt>
                <c:pt idx="30">
                  <c:v>8.3983466189090167E-2</c:v>
                </c:pt>
                <c:pt idx="31">
                  <c:v>7.9578011800082546E-2</c:v>
                </c:pt>
                <c:pt idx="32">
                  <c:v>8.2588528603035422E-2</c:v>
                </c:pt>
                <c:pt idx="33">
                  <c:v>7.5050873924182346E-2</c:v>
                </c:pt>
                <c:pt idx="34">
                  <c:v>7.5537475390667963E-2</c:v>
                </c:pt>
                <c:pt idx="35">
                  <c:v>7.8995881969961351E-2</c:v>
                </c:pt>
                <c:pt idx="36">
                  <c:v>8.1260117852814645E-2</c:v>
                </c:pt>
                <c:pt idx="37">
                  <c:v>8.4341000175755132E-2</c:v>
                </c:pt>
                <c:pt idx="38">
                  <c:v>8.4469588601515447E-2</c:v>
                </c:pt>
                <c:pt idx="39">
                  <c:v>8.7888174036298422E-2</c:v>
                </c:pt>
                <c:pt idx="40">
                  <c:v>9.1337855988716507E-2</c:v>
                </c:pt>
                <c:pt idx="41">
                  <c:v>8.5631669229738111E-2</c:v>
                </c:pt>
                <c:pt idx="42">
                  <c:v>8.3916981014281217E-2</c:v>
                </c:pt>
                <c:pt idx="43">
                  <c:v>8.7532068206168351E-2</c:v>
                </c:pt>
                <c:pt idx="44">
                  <c:v>9.3538058021051917E-2</c:v>
                </c:pt>
                <c:pt idx="45">
                  <c:v>9.8060168113048407E-2</c:v>
                </c:pt>
                <c:pt idx="46">
                  <c:v>0.10030812535581282</c:v>
                </c:pt>
                <c:pt idx="47">
                  <c:v>9.7426174086394562E-2</c:v>
                </c:pt>
                <c:pt idx="48">
                  <c:v>9.2800961775174939E-2</c:v>
                </c:pt>
                <c:pt idx="49">
                  <c:v>9.0611259560224214E-2</c:v>
                </c:pt>
                <c:pt idx="50">
                  <c:v>9.8870676270853108E-2</c:v>
                </c:pt>
                <c:pt idx="51">
                  <c:v>9.4251339090369132E-2</c:v>
                </c:pt>
                <c:pt idx="52">
                  <c:v>0.10493941256017682</c:v>
                </c:pt>
                <c:pt idx="53">
                  <c:v>9.0096080085176347E-2</c:v>
                </c:pt>
                <c:pt idx="54">
                  <c:v>9.2743891208860355E-2</c:v>
                </c:pt>
                <c:pt idx="55">
                  <c:v>9.1186228668997241E-2</c:v>
                </c:pt>
              </c:numCache>
            </c:numRef>
          </c:val>
          <c:smooth val="0"/>
          <c:extLst xmlns:c16r2="http://schemas.microsoft.com/office/drawing/2015/06/chart">
            <c:ext xmlns:c16="http://schemas.microsoft.com/office/drawing/2014/chart" uri="{C3380CC4-5D6E-409C-BE32-E72D297353CC}">
              <c16:uniqueId val="{00000010-EAFE-4943-94EC-2674B8100103}"/>
            </c:ext>
          </c:extLst>
        </c:ser>
        <c:dLbls>
          <c:showLegendKey val="0"/>
          <c:showVal val="0"/>
          <c:showCatName val="0"/>
          <c:showSerName val="0"/>
          <c:showPercent val="0"/>
          <c:showBubbleSize val="0"/>
        </c:dLbls>
        <c:smooth val="0"/>
        <c:axId val="510750728"/>
        <c:axId val="510754256"/>
      </c:lineChart>
      <c:catAx>
        <c:axId val="510750728"/>
        <c:scaling>
          <c:orientation val="minMax"/>
        </c:scaling>
        <c:delete val="0"/>
        <c:axPos val="b"/>
        <c:majorGridlines>
          <c:spPr>
            <a:ln w="6350">
              <a:solidFill>
                <a:schemeClr val="tx1">
                  <a:lumMod val="50000"/>
                  <a:lumOff val="50000"/>
                </a:schemeClr>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510754256"/>
        <c:crossesAt val="0"/>
        <c:auto val="1"/>
        <c:lblAlgn val="ctr"/>
        <c:lblOffset val="100"/>
        <c:tickLblSkip val="10"/>
        <c:tickMarkSkip val="10"/>
        <c:noMultiLvlLbl val="0"/>
      </c:catAx>
      <c:valAx>
        <c:axId val="510754256"/>
        <c:scaling>
          <c:orientation val="minMax"/>
          <c:max val="0.2"/>
          <c:min val="0"/>
        </c:scaling>
        <c:delete val="0"/>
        <c:axPos val="l"/>
        <c:majorGridlines>
          <c:spPr>
            <a:ln w="6350">
              <a:solidFill>
                <a:schemeClr val="tx1">
                  <a:lumMod val="50000"/>
                  <a:lumOff val="50000"/>
                </a:schemeClr>
              </a:solidFill>
              <a:prstDash val="sysDash"/>
            </a:ln>
          </c:spPr>
        </c:majorGridlines>
        <c:title>
          <c:tx>
            <c:rich>
              <a:bodyPr/>
              <a:lstStyle/>
              <a:p>
                <a:pPr>
                  <a:defRPr sz="2050" b="0" i="0" u="none" strike="noStrike" baseline="0">
                    <a:solidFill>
                      <a:srgbClr val="000000"/>
                    </a:solidFill>
                    <a:latin typeface="Arial"/>
                    <a:ea typeface="Arial"/>
                    <a:cs typeface="Arial"/>
                  </a:defRPr>
                </a:pPr>
                <a:r>
                  <a:rPr lang="en-US" sz="1200" b="0"/>
                  <a:t>Top 1% Income Share</a:t>
                </a:r>
              </a:p>
            </c:rich>
          </c:tx>
          <c:layout>
            <c:manualLayout>
              <c:xMode val="edge"/>
              <c:yMode val="edge"/>
              <c:x val="3.9815451404653479E-4"/>
              <c:y val="0.2987560708454750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510750728"/>
        <c:crosses val="autoZero"/>
        <c:crossBetween val="midCat"/>
        <c:majorUnit val="0.05"/>
        <c:minorUnit val="0.05"/>
      </c:valAx>
      <c:spPr>
        <a:solidFill>
          <a:srgbClr val="FFFFFF"/>
        </a:solidFill>
        <a:ln w="3175">
          <a:noFill/>
          <a:prstDash val="solid"/>
        </a:ln>
      </c:spPr>
    </c:plotArea>
    <c:plotVisOnly val="1"/>
    <c:dispBlanksAs val="span"/>
    <c:showDLblsOverMax val="0"/>
  </c:chart>
  <c:spPr>
    <a:solidFill>
      <a:srgbClr val="FFFFFF"/>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711" r="0.75000000000000711" t="1" header="0.5" footer="0.5"/>
    <c:pageSetup orientation="landscape" verticalDpi="96"/>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71435517014787"/>
          <c:y val="1.9434896724865914E-2"/>
          <c:w val="0.75425519711627942"/>
          <c:h val="0.92134771197078624"/>
        </c:manualLayout>
      </c:layout>
      <c:lineChart>
        <c:grouping val="standard"/>
        <c:varyColors val="0"/>
        <c:ser>
          <c:idx val="0"/>
          <c:order val="0"/>
          <c:tx>
            <c:v>Top 10%</c:v>
          </c:tx>
          <c:spPr>
            <a:ln w="19050">
              <a:solidFill>
                <a:schemeClr val="tx1">
                  <a:lumMod val="50000"/>
                  <a:lumOff val="50000"/>
                </a:schemeClr>
              </a:solidFill>
              <a:prstDash val="solid"/>
            </a:ln>
          </c:spPr>
          <c:marker>
            <c:symbol val="none"/>
          </c:marker>
          <c:cat>
            <c:numRef>
              <c:f>'F-B4'!$A$34:$A$89</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'F-B4'!$K$34:$K$89</c:f>
              <c:numCache>
                <c:formatCode>#,##0</c:formatCode>
                <c:ptCount val="56"/>
                <c:pt idx="0" formatCode="0.0%">
                  <c:v>0.92443859649123772</c:v>
                </c:pt>
                <c:pt idx="2" formatCode="0%">
                  <c:v>0.92455938386705394</c:v>
                </c:pt>
                <c:pt idx="4" formatCode="0%">
                  <c:v>0.90796999999999783</c:v>
                </c:pt>
                <c:pt idx="6" formatCode="0%">
                  <c:v>0.89177952741824806</c:v>
                </c:pt>
                <c:pt idx="7" formatCode="0%">
                  <c:v>0.88347499999998169</c:v>
                </c:pt>
                <c:pt idx="8" formatCode="0%">
                  <c:v>0.87531000000001802</c:v>
                </c:pt>
                <c:pt idx="9" formatCode="0%">
                  <c:v>0.86714499999999095</c:v>
                </c:pt>
                <c:pt idx="10" formatCode="0%">
                  <c:v>0.85898000013699582</c:v>
                </c:pt>
                <c:pt idx="11" formatCode="0%">
                  <c:v>0.85081499997648269</c:v>
                </c:pt>
                <c:pt idx="12" formatCode="0%">
                  <c:v>0.84264999999999946</c:v>
                </c:pt>
                <c:pt idx="13" formatCode="0%">
                  <c:v>0.83448499999999703</c:v>
                </c:pt>
                <c:pt idx="14" formatCode="0%">
                  <c:v>0.82631999999999661</c:v>
                </c:pt>
                <c:pt idx="15" formatCode="0%">
                  <c:v>0.81815500000000918</c:v>
                </c:pt>
                <c:pt idx="16" formatCode="0%">
                  <c:v>0.80998999999999832</c:v>
                </c:pt>
                <c:pt idx="17" formatCode="0%">
                  <c:v>0.80182499943776953</c:v>
                </c:pt>
                <c:pt idx="18" formatCode="0%">
                  <c:v>0.79365999999999282</c:v>
                </c:pt>
                <c:pt idx="19" formatCode="0%">
                  <c:v>0.78549499999107508</c:v>
                </c:pt>
                <c:pt idx="20" formatCode="0%">
                  <c:v>0.77732999999999863</c:v>
                </c:pt>
                <c:pt idx="21" formatCode="0%">
                  <c:v>0.76916499966327134</c:v>
                </c:pt>
                <c:pt idx="22" formatCode="0%">
                  <c:v>0.73399999999999888</c:v>
                </c:pt>
                <c:pt idx="23" formatCode="0%">
                  <c:v>0.73399999999999566</c:v>
                </c:pt>
                <c:pt idx="24" formatCode="0%">
                  <c:v>0.73399999999999888</c:v>
                </c:pt>
                <c:pt idx="25" formatCode="0%">
                  <c:v>0.73400000000000365</c:v>
                </c:pt>
                <c:pt idx="26" formatCode="0%">
                  <c:v>0.73399999993583998</c:v>
                </c:pt>
                <c:pt idx="27" formatCode="0%">
                  <c:v>0.73467624524594144</c:v>
                </c:pt>
                <c:pt idx="28" formatCode="0%">
                  <c:v>0.7151440711938245</c:v>
                </c:pt>
                <c:pt idx="29" formatCode="0%">
                  <c:v>0.72263268747792975</c:v>
                </c:pt>
                <c:pt idx="30" formatCode="0%">
                  <c:v>0.7198888557449209</c:v>
                </c:pt>
                <c:pt idx="31" formatCode="0%">
                  <c:v>0.71606873122361814</c:v>
                </c:pt>
                <c:pt idx="32" formatCode="0%">
                  <c:v>0.6893311464496632</c:v>
                </c:pt>
                <c:pt idx="33" formatCode="0%">
                  <c:v>0.66809345434110023</c:v>
                </c:pt>
                <c:pt idx="34" formatCode="0%">
                  <c:v>0.6504593330213525</c:v>
                </c:pt>
                <c:pt idx="35" formatCode="0%">
                  <c:v>0.66566262271473031</c:v>
                </c:pt>
                <c:pt idx="36" formatCode="0%">
                  <c:v>0.70737227359553445</c:v>
                </c:pt>
                <c:pt idx="37" formatCode="0%">
                  <c:v>0.70400749084311287</c:v>
                </c:pt>
                <c:pt idx="38" formatCode="0%">
                  <c:v>0.7158141736955711</c:v>
                </c:pt>
                <c:pt idx="39" formatCode="0%">
                  <c:v>0.711745853248412</c:v>
                </c:pt>
                <c:pt idx="40" formatCode="0%">
                  <c:v>0.73346460790608892</c:v>
                </c:pt>
                <c:pt idx="41" formatCode="0%">
                  <c:v>0.70804092971361043</c:v>
                </c:pt>
                <c:pt idx="42" formatCode="0%">
                  <c:v>0.69993377816055291</c:v>
                </c:pt>
                <c:pt idx="43" formatCode="0%">
                  <c:v>0.68248827005138313</c:v>
                </c:pt>
                <c:pt idx="44" formatCode="0%">
                  <c:v>0.70599606587634256</c:v>
                </c:pt>
                <c:pt idx="45" formatCode="0%">
                  <c:v>0.73008083378961697</c:v>
                </c:pt>
                <c:pt idx="46" formatCode="0%">
                  <c:v>0.74040184409383891</c:v>
                </c:pt>
                <c:pt idx="47" formatCode="0%">
                  <c:v>0.7738200211642694</c:v>
                </c:pt>
                <c:pt idx="48" formatCode="0%">
                  <c:v>0.74447747202247161</c:v>
                </c:pt>
                <c:pt idx="49" formatCode="0%">
                  <c:v>0.69989159975463466</c:v>
                </c:pt>
                <c:pt idx="50" formatCode="0%">
                  <c:v>0.71300422890027937</c:v>
                </c:pt>
                <c:pt idx="51" formatCode="0%">
                  <c:v>0.70605763622645323</c:v>
                </c:pt>
                <c:pt idx="52" formatCode="0%">
                  <c:v>0.71572235354419667</c:v>
                </c:pt>
                <c:pt idx="53" formatCode="0%">
                  <c:v>0.71059791594198762</c:v>
                </c:pt>
                <c:pt idx="54" formatCode="0%">
                  <c:v>0.71679003842356226</c:v>
                </c:pt>
                <c:pt idx="55" formatCode="0%">
                  <c:v>0.70787666885661693</c:v>
                </c:pt>
              </c:numCache>
            </c:numRef>
          </c:val>
          <c:smooth val="0"/>
          <c:extLst xmlns:c16r2="http://schemas.microsoft.com/office/drawing/2015/06/chart">
            <c:ext xmlns:c16="http://schemas.microsoft.com/office/drawing/2014/chart" uri="{C3380CC4-5D6E-409C-BE32-E72D297353CC}">
              <c16:uniqueId val="{00000000-C961-41F1-A565-D91A293CF47D}"/>
            </c:ext>
          </c:extLst>
        </c:ser>
        <c:ser>
          <c:idx val="1"/>
          <c:order val="1"/>
          <c:tx>
            <c:v>Top 5%</c:v>
          </c:tx>
          <c:spPr>
            <a:ln w="22225">
              <a:solidFill>
                <a:schemeClr val="tx1"/>
              </a:solidFill>
            </a:ln>
          </c:spPr>
          <c:marker>
            <c:symbol val="none"/>
          </c:marker>
          <c:dPt>
            <c:idx val="3"/>
            <c:bubble3D val="0"/>
            <c:extLst xmlns:c16r2="http://schemas.microsoft.com/office/drawing/2015/06/chart">
              <c:ext xmlns:c16="http://schemas.microsoft.com/office/drawing/2014/chart" uri="{C3380CC4-5D6E-409C-BE32-E72D297353CC}">
                <c16:uniqueId val="{00000001-C961-41F1-A565-D91A293CF47D}"/>
              </c:ext>
            </c:extLst>
          </c:dPt>
          <c:dPt>
            <c:idx val="5"/>
            <c:bubble3D val="0"/>
            <c:extLst xmlns:c16r2="http://schemas.microsoft.com/office/drawing/2015/06/chart">
              <c:ext xmlns:c16="http://schemas.microsoft.com/office/drawing/2014/chart" uri="{C3380CC4-5D6E-409C-BE32-E72D297353CC}">
                <c16:uniqueId val="{00000002-C961-41F1-A565-D91A293CF47D}"/>
              </c:ext>
            </c:extLst>
          </c:dPt>
          <c:cat>
            <c:numRef>
              <c:f>'F-B4'!$A$34:$A$89</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'F-B4'!$L$34:$L$89</c:f>
              <c:numCache>
                <c:formatCode>#,##0</c:formatCode>
                <c:ptCount val="56"/>
                <c:pt idx="0" formatCode="0.0%">
                  <c:v>0.92443859649122673</c:v>
                </c:pt>
                <c:pt idx="2" formatCode="0%">
                  <c:v>0.92455938386704484</c:v>
                </c:pt>
                <c:pt idx="4" formatCode="0%">
                  <c:v>0.89938000000000506</c:v>
                </c:pt>
                <c:pt idx="6" formatCode="0%">
                  <c:v>0.87459683902264906</c:v>
                </c:pt>
                <c:pt idx="7" formatCode="0%">
                  <c:v>0.86199999999999866</c:v>
                </c:pt>
                <c:pt idx="8" formatCode="0%">
                  <c:v>0.84953999999999763</c:v>
                </c:pt>
                <c:pt idx="9" formatCode="0%">
                  <c:v>0.83708000000000338</c:v>
                </c:pt>
                <c:pt idx="10" formatCode="0%">
                  <c:v>0.82462000013698267</c:v>
                </c:pt>
                <c:pt idx="11" formatCode="0%">
                  <c:v>0.81215999997649213</c:v>
                </c:pt>
                <c:pt idx="12" formatCode="0%">
                  <c:v>0.79969999999999775</c:v>
                </c:pt>
                <c:pt idx="13" formatCode="0%">
                  <c:v>0.78723999999998695</c:v>
                </c:pt>
                <c:pt idx="14" formatCode="0%">
                  <c:v>0.77477999999999869</c:v>
                </c:pt>
                <c:pt idx="15" formatCode="0%">
                  <c:v>0.76232000000000599</c:v>
                </c:pt>
                <c:pt idx="16" formatCode="0%">
                  <c:v>0.7498600000000043</c:v>
                </c:pt>
                <c:pt idx="17" formatCode="0%">
                  <c:v>0.73740000000000483</c:v>
                </c:pt>
                <c:pt idx="18" formatCode="0%">
                  <c:v>0.72494000000000047</c:v>
                </c:pt>
                <c:pt idx="19" formatCode="0%">
                  <c:v>0.7124799999910757</c:v>
                </c:pt>
                <c:pt idx="20" formatCode="0%">
                  <c:v>0.70002000000000353</c:v>
                </c:pt>
                <c:pt idx="21" formatCode="0%">
                  <c:v>0.68756000000000472</c:v>
                </c:pt>
                <c:pt idx="22" formatCode="0%">
                  <c:v>0.64809999999999435</c:v>
                </c:pt>
                <c:pt idx="23" formatCode="0%">
                  <c:v>0.64810000000000223</c:v>
                </c:pt>
                <c:pt idx="24" formatCode="0%">
                  <c:v>0.64809999999999945</c:v>
                </c:pt>
                <c:pt idx="25" formatCode="0%">
                  <c:v>0.64810000000000156</c:v>
                </c:pt>
                <c:pt idx="26" formatCode="0%">
                  <c:v>0.64809999993584078</c:v>
                </c:pt>
                <c:pt idx="27" formatCode="0%">
                  <c:v>0.65143967361947963</c:v>
                </c:pt>
                <c:pt idx="28" formatCode="0%">
                  <c:v>0.6342974812873251</c:v>
                </c:pt>
                <c:pt idx="29" formatCode="0%">
                  <c:v>0.64064992821926481</c:v>
                </c:pt>
                <c:pt idx="30" formatCode="0%">
                  <c:v>0.62715883257841076</c:v>
                </c:pt>
                <c:pt idx="31" formatCode="0%">
                  <c:v>0.62721290261775076</c:v>
                </c:pt>
                <c:pt idx="32" formatCode="0%">
                  <c:v>0.58250617503675239</c:v>
                </c:pt>
                <c:pt idx="33" formatCode="0%">
                  <c:v>0.58407238498142244</c:v>
                </c:pt>
                <c:pt idx="34" formatCode="0%">
                  <c:v>0.57425064441878315</c:v>
                </c:pt>
                <c:pt idx="35" formatCode="0%">
                  <c:v>0.58838551049063081</c:v>
                </c:pt>
                <c:pt idx="36" formatCode="0%">
                  <c:v>0.61992352284407215</c:v>
                </c:pt>
                <c:pt idx="37" formatCode="0%">
                  <c:v>0.61279214656666037</c:v>
                </c:pt>
                <c:pt idx="38" formatCode="0%">
                  <c:v>0.63480955590188304</c:v>
                </c:pt>
                <c:pt idx="39" formatCode="0%">
                  <c:v>0.62985301596205623</c:v>
                </c:pt>
                <c:pt idx="40" formatCode="0%">
                  <c:v>0.66138966986295578</c:v>
                </c:pt>
                <c:pt idx="41" formatCode="0%">
                  <c:v>0.64480601720025377</c:v>
                </c:pt>
                <c:pt idx="42" formatCode="0%">
                  <c:v>0.6217158564402866</c:v>
                </c:pt>
                <c:pt idx="43" formatCode="0%">
                  <c:v>0.61754993198303532</c:v>
                </c:pt>
                <c:pt idx="44" formatCode="0%">
                  <c:v>0.63770797196468432</c:v>
                </c:pt>
                <c:pt idx="45" formatCode="0%">
                  <c:v>0.65670853287233322</c:v>
                </c:pt>
                <c:pt idx="46" formatCode="0%">
                  <c:v>0.66607486886322687</c:v>
                </c:pt>
                <c:pt idx="47" formatCode="0%">
                  <c:v>0.70575228505293441</c:v>
                </c:pt>
                <c:pt idx="48" formatCode="0%">
                  <c:v>0.66657181806554189</c:v>
                </c:pt>
                <c:pt idx="49" formatCode="0%">
                  <c:v>0.62493292294338221</c:v>
                </c:pt>
                <c:pt idx="50" formatCode="0%">
                  <c:v>0.63903489265130309</c:v>
                </c:pt>
                <c:pt idx="51" formatCode="0%">
                  <c:v>0.63210386387792694</c:v>
                </c:pt>
                <c:pt idx="52" formatCode="0%">
                  <c:v>0.6330058984929422</c:v>
                </c:pt>
                <c:pt idx="53" formatCode="0%">
                  <c:v>0.62956102684422444</c:v>
                </c:pt>
                <c:pt idx="54" formatCode="0%">
                  <c:v>0.63157115579340817</c:v>
                </c:pt>
                <c:pt idx="55" formatCode="0%">
                  <c:v>0.61823198702013171</c:v>
                </c:pt>
              </c:numCache>
            </c:numRef>
          </c:val>
          <c:smooth val="0"/>
          <c:extLst xmlns:c16r2="http://schemas.microsoft.com/office/drawing/2015/06/chart">
            <c:ext xmlns:c16="http://schemas.microsoft.com/office/drawing/2014/chart" uri="{C3380CC4-5D6E-409C-BE32-E72D297353CC}">
              <c16:uniqueId val="{00000003-C961-41F1-A565-D91A293CF47D}"/>
            </c:ext>
          </c:extLst>
        </c:ser>
        <c:ser>
          <c:idx val="2"/>
          <c:order val="2"/>
          <c:tx>
            <c:v>Top 1%</c:v>
          </c:tx>
          <c:spPr>
            <a:ln w="22225">
              <a:solidFill>
                <a:schemeClr val="bg1">
                  <a:lumMod val="75000"/>
                </a:schemeClr>
              </a:solidFill>
              <a:prstDash val="sysDash"/>
            </a:ln>
          </c:spPr>
          <c:marker>
            <c:symbol val="none"/>
          </c:marker>
          <c:cat>
            <c:numRef>
              <c:f>'F-B4'!$A$34:$A$89</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'F-B4'!$M$34:$M$89</c:f>
              <c:numCache>
                <c:formatCode>#,##0</c:formatCode>
                <c:ptCount val="56"/>
                <c:pt idx="0" formatCode="0.0%">
                  <c:v>0.82112310691258328</c:v>
                </c:pt>
                <c:pt idx="2" formatCode="0%">
                  <c:v>0.82123039506095741</c:v>
                </c:pt>
                <c:pt idx="4" formatCode="0%">
                  <c:v>0.78670000000000495</c:v>
                </c:pt>
                <c:pt idx="6" formatCode="0%">
                  <c:v>0.75251773858225635</c:v>
                </c:pt>
                <c:pt idx="7" formatCode="0%">
                  <c:v>0.73524999999999952</c:v>
                </c:pt>
                <c:pt idx="8" formatCode="0%">
                  <c:v>0.71810000000000229</c:v>
                </c:pt>
                <c:pt idx="9" formatCode="0%">
                  <c:v>0.70095000000000007</c:v>
                </c:pt>
                <c:pt idx="10" formatCode="0%">
                  <c:v>0.68380000013698405</c:v>
                </c:pt>
                <c:pt idx="11" formatCode="0%">
                  <c:v>0.66664999997649277</c:v>
                </c:pt>
                <c:pt idx="12" formatCode="0%">
                  <c:v>0.64949999999999941</c:v>
                </c:pt>
                <c:pt idx="13" formatCode="0%">
                  <c:v>0.63235000000000063</c:v>
                </c:pt>
                <c:pt idx="14" formatCode="0%">
                  <c:v>0.61520000000000008</c:v>
                </c:pt>
                <c:pt idx="15" formatCode="0%">
                  <c:v>0.5980500000000003</c:v>
                </c:pt>
                <c:pt idx="16" formatCode="0%">
                  <c:v>0.58090000000000075</c:v>
                </c:pt>
                <c:pt idx="17" formatCode="0%">
                  <c:v>0.56375000000000075</c:v>
                </c:pt>
                <c:pt idx="18" formatCode="0%">
                  <c:v>0.54659999999999942</c:v>
                </c:pt>
                <c:pt idx="19" formatCode="0%">
                  <c:v>0.52944999999107678</c:v>
                </c:pt>
                <c:pt idx="20" formatCode="0%">
                  <c:v>0.5123000000000002</c:v>
                </c:pt>
                <c:pt idx="21" formatCode="0%">
                  <c:v>0.49515000000000037</c:v>
                </c:pt>
                <c:pt idx="22" formatCode="0%">
                  <c:v>0.45100000000000195</c:v>
                </c:pt>
                <c:pt idx="23" formatCode="0%">
                  <c:v>0.4510000000000024</c:v>
                </c:pt>
                <c:pt idx="24" formatCode="0%">
                  <c:v>0.45100000000000051</c:v>
                </c:pt>
                <c:pt idx="25" formatCode="0%">
                  <c:v>0.45099999999999957</c:v>
                </c:pt>
                <c:pt idx="26" formatCode="0%">
                  <c:v>0.45099999993583684</c:v>
                </c:pt>
                <c:pt idx="27" formatCode="0%">
                  <c:v>0.45344629160390976</c:v>
                </c:pt>
                <c:pt idx="28" formatCode="0%">
                  <c:v>0.41175734401007325</c:v>
                </c:pt>
                <c:pt idx="29" formatCode="0%">
                  <c:v>0.41542435560421082</c:v>
                </c:pt>
                <c:pt idx="30" formatCode="0%">
                  <c:v>0.41565225679140694</c:v>
                </c:pt>
                <c:pt idx="31" formatCode="0%">
                  <c:v>0.42998189354845234</c:v>
                </c:pt>
                <c:pt idx="32" formatCode="0%">
                  <c:v>0.38989938332601987</c:v>
                </c:pt>
                <c:pt idx="33" formatCode="0%">
                  <c:v>0.37811507087494639</c:v>
                </c:pt>
                <c:pt idx="34" formatCode="0%">
                  <c:v>0.38145518971430803</c:v>
                </c:pt>
                <c:pt idx="35" formatCode="0%">
                  <c:v>0.40096317026015232</c:v>
                </c:pt>
                <c:pt idx="36" formatCode="0%">
                  <c:v>0.41575142474363785</c:v>
                </c:pt>
                <c:pt idx="37" formatCode="0%">
                  <c:v>0.4128389913872047</c:v>
                </c:pt>
                <c:pt idx="38" formatCode="0%">
                  <c:v>0.4351400896201803</c:v>
                </c:pt>
                <c:pt idx="39" formatCode="0%">
                  <c:v>0.43848952177386208</c:v>
                </c:pt>
                <c:pt idx="40" formatCode="0%">
                  <c:v>0.47377139969730936</c:v>
                </c:pt>
                <c:pt idx="41" formatCode="0%">
                  <c:v>0.44559461839514541</c:v>
                </c:pt>
                <c:pt idx="42" formatCode="0%">
                  <c:v>0.43427111982637634</c:v>
                </c:pt>
                <c:pt idx="43" formatCode="0%">
                  <c:v>0.44016435339104593</c:v>
                </c:pt>
                <c:pt idx="44" formatCode="0%">
                  <c:v>0.4568385734570789</c:v>
                </c:pt>
                <c:pt idx="45" formatCode="0%">
                  <c:v>0.47839205583802108</c:v>
                </c:pt>
                <c:pt idx="46" formatCode="0%">
                  <c:v>0.49216603788283464</c:v>
                </c:pt>
                <c:pt idx="47" formatCode="0%">
                  <c:v>0.51738002032580888</c:v>
                </c:pt>
                <c:pt idx="48" formatCode="0%">
                  <c:v>0.49336390928094503</c:v>
                </c:pt>
                <c:pt idx="49" formatCode="0%">
                  <c:v>0.44939258906817975</c:v>
                </c:pt>
                <c:pt idx="50" formatCode="0%">
                  <c:v>0.44998242743991906</c:v>
                </c:pt>
                <c:pt idx="51" formatCode="0%">
                  <c:v>0.44932018231455456</c:v>
                </c:pt>
                <c:pt idx="52" formatCode="0%">
                  <c:v>0.45246037337478023</c:v>
                </c:pt>
                <c:pt idx="53" formatCode="0%">
                  <c:v>0.43019279737849409</c:v>
                </c:pt>
                <c:pt idx="54" formatCode="0%">
                  <c:v>0.43211157133895711</c:v>
                </c:pt>
                <c:pt idx="55" formatCode="0%">
                  <c:v>0.422369147154599</c:v>
                </c:pt>
              </c:numCache>
            </c:numRef>
          </c:val>
          <c:smooth val="0"/>
          <c:extLst xmlns:c16r2="http://schemas.microsoft.com/office/drawing/2015/06/chart">
            <c:ext xmlns:c16="http://schemas.microsoft.com/office/drawing/2014/chart" uri="{C3380CC4-5D6E-409C-BE32-E72D297353CC}">
              <c16:uniqueId val="{00000004-C961-41F1-A565-D91A293CF47D}"/>
            </c:ext>
          </c:extLst>
        </c:ser>
        <c:ser>
          <c:idx val="3"/>
          <c:order val="3"/>
          <c:tx>
            <c:v>Top 0.5%</c:v>
          </c:tx>
          <c:spPr>
            <a:ln w="22225">
              <a:solidFill>
                <a:schemeClr val="tx1">
                  <a:lumMod val="95000"/>
                  <a:lumOff val="5000"/>
                </a:schemeClr>
              </a:solidFill>
              <a:prstDash val="sysDash"/>
            </a:ln>
          </c:spPr>
          <c:marker>
            <c:symbol val="none"/>
          </c:marker>
          <c:cat>
            <c:numRef>
              <c:f>'F-B4'!$A$34:$A$89</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'F-B4'!$N$34:$N$89</c:f>
              <c:numCache>
                <c:formatCode>#,##0</c:formatCode>
                <c:ptCount val="56"/>
                <c:pt idx="0" formatCode="0.0%">
                  <c:v>0.64509671614934794</c:v>
                </c:pt>
                <c:pt idx="2" formatCode="0%">
                  <c:v>0.64518100464594297</c:v>
                </c:pt>
                <c:pt idx="4" formatCode="0%">
                  <c:v>0.61987000000000181</c:v>
                </c:pt>
                <c:pt idx="6" formatCode="0%">
                  <c:v>0.59483306731048602</c:v>
                </c:pt>
                <c:pt idx="7" formatCode="0%">
                  <c:v>0.58217500000000244</c:v>
                </c:pt>
                <c:pt idx="8" formatCode="0%">
                  <c:v>0.56961000000000006</c:v>
                </c:pt>
                <c:pt idx="9" formatCode="0%">
                  <c:v>0.55704499999999946</c:v>
                </c:pt>
                <c:pt idx="10" formatCode="0%">
                  <c:v>0.54448000013698505</c:v>
                </c:pt>
                <c:pt idx="11" formatCode="0%">
                  <c:v>0.53191499997649339</c:v>
                </c:pt>
                <c:pt idx="12" formatCode="0%">
                  <c:v>0.51935000000000053</c:v>
                </c:pt>
                <c:pt idx="13" formatCode="0%">
                  <c:v>0.50678499999999982</c:v>
                </c:pt>
                <c:pt idx="14" formatCode="0%">
                  <c:v>0.49422000000000021</c:v>
                </c:pt>
                <c:pt idx="15" formatCode="0%">
                  <c:v>0.48165499999999911</c:v>
                </c:pt>
                <c:pt idx="16" formatCode="0%">
                  <c:v>0.46909000000000028</c:v>
                </c:pt>
                <c:pt idx="17" formatCode="0%">
                  <c:v>0.45652499999999913</c:v>
                </c:pt>
                <c:pt idx="18" formatCode="0%">
                  <c:v>0.4439600000000003</c:v>
                </c:pt>
                <c:pt idx="19" formatCode="0%">
                  <c:v>0.43139499999107561</c:v>
                </c:pt>
                <c:pt idx="20" formatCode="0%">
                  <c:v>0.41882999999999987</c:v>
                </c:pt>
                <c:pt idx="21" formatCode="0%">
                  <c:v>0.40626500000000021</c:v>
                </c:pt>
                <c:pt idx="22" formatCode="0%">
                  <c:v>0.36670000000000003</c:v>
                </c:pt>
                <c:pt idx="23" formatCode="0%">
                  <c:v>0.36670000000000036</c:v>
                </c:pt>
                <c:pt idx="24" formatCode="0%">
                  <c:v>0.36670000000000069</c:v>
                </c:pt>
                <c:pt idx="25" formatCode="0%">
                  <c:v>0.3667000000000003</c:v>
                </c:pt>
                <c:pt idx="26" formatCode="0%">
                  <c:v>0.36669999993583741</c:v>
                </c:pt>
                <c:pt idx="27" formatCode="0%">
                  <c:v>0.3687942032040552</c:v>
                </c:pt>
                <c:pt idx="28" formatCode="0%">
                  <c:v>0.33411734356313949</c:v>
                </c:pt>
                <c:pt idx="29" formatCode="0%">
                  <c:v>0.3275540423753503</c:v>
                </c:pt>
                <c:pt idx="30" formatCode="0%">
                  <c:v>0.33525819245956429</c:v>
                </c:pt>
                <c:pt idx="31" formatCode="0%">
                  <c:v>0.34727932673162165</c:v>
                </c:pt>
                <c:pt idx="32" formatCode="0%">
                  <c:v>0.31797591607509518</c:v>
                </c:pt>
                <c:pt idx="33" formatCode="0%">
                  <c:v>0.30680776650156594</c:v>
                </c:pt>
                <c:pt idx="34" formatCode="0%">
                  <c:v>0.30518034007089895</c:v>
                </c:pt>
                <c:pt idx="35" formatCode="0%">
                  <c:v>0.32322651367943717</c:v>
                </c:pt>
                <c:pt idx="36" formatCode="0%">
                  <c:v>0.33208717201941534</c:v>
                </c:pt>
                <c:pt idx="37" formatCode="0%">
                  <c:v>0.33431653903949438</c:v>
                </c:pt>
                <c:pt idx="38" formatCode="0%">
                  <c:v>0.35155404488918784</c:v>
                </c:pt>
                <c:pt idx="39" formatCode="0%">
                  <c:v>0.35908544287108096</c:v>
                </c:pt>
                <c:pt idx="40" formatCode="0%">
                  <c:v>0.39159887547125677</c:v>
                </c:pt>
                <c:pt idx="41" formatCode="0%">
                  <c:v>0.37180693915218843</c:v>
                </c:pt>
                <c:pt idx="42" formatCode="0%">
                  <c:v>0.35981737408949727</c:v>
                </c:pt>
                <c:pt idx="43" formatCode="0%">
                  <c:v>0.36296256637080798</c:v>
                </c:pt>
                <c:pt idx="44" formatCode="0%">
                  <c:v>0.37141306019193432</c:v>
                </c:pt>
                <c:pt idx="45" formatCode="0%">
                  <c:v>0.3913902641816126</c:v>
                </c:pt>
                <c:pt idx="46" formatCode="0%">
                  <c:v>0.4072080621941504</c:v>
                </c:pt>
                <c:pt idx="47" formatCode="0%">
                  <c:v>0.42825499715542381</c:v>
                </c:pt>
                <c:pt idx="48" formatCode="0%">
                  <c:v>0.40304089325574827</c:v>
                </c:pt>
                <c:pt idx="49" formatCode="0%">
                  <c:v>0.36809203746261199</c:v>
                </c:pt>
                <c:pt idx="50" formatCode="0%">
                  <c:v>0.36955110110185851</c:v>
                </c:pt>
                <c:pt idx="51" formatCode="0%">
                  <c:v>0.36937320007390156</c:v>
                </c:pt>
                <c:pt idx="52" formatCode="0%">
                  <c:v>0.36863204015560835</c:v>
                </c:pt>
                <c:pt idx="53" formatCode="0%">
                  <c:v>0.34724580179847048</c:v>
                </c:pt>
                <c:pt idx="54" formatCode="0%">
                  <c:v>0.34814842756335856</c:v>
                </c:pt>
                <c:pt idx="55" formatCode="0%">
                  <c:v>0.34026515562898879</c:v>
                </c:pt>
              </c:numCache>
            </c:numRef>
          </c:val>
          <c:smooth val="0"/>
          <c:extLst xmlns:c16r2="http://schemas.microsoft.com/office/drawing/2015/06/chart">
            <c:ext xmlns:c16="http://schemas.microsoft.com/office/drawing/2014/chart" uri="{C3380CC4-5D6E-409C-BE32-E72D297353CC}">
              <c16:uniqueId val="{00000005-C961-41F1-A565-D91A293CF47D}"/>
            </c:ext>
          </c:extLst>
        </c:ser>
        <c:ser>
          <c:idx val="4"/>
          <c:order val="4"/>
          <c:tx>
            <c:v>Top 0.1%</c:v>
          </c:tx>
          <c:spPr>
            <a:ln w="25400">
              <a:solidFill>
                <a:schemeClr val="tx1">
                  <a:lumMod val="50000"/>
                  <a:lumOff val="50000"/>
                </a:schemeClr>
              </a:solidFill>
              <a:prstDash val="dash"/>
            </a:ln>
          </c:spPr>
          <c:marker>
            <c:symbol val="none"/>
          </c:marker>
          <c:cat>
            <c:numRef>
              <c:f>'F-B4'!$A$34:$A$89</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'F-B4'!$O$34:$O$89</c:f>
              <c:numCache>
                <c:formatCode>#,##0</c:formatCode>
                <c:ptCount val="56"/>
                <c:pt idx="0" formatCode="0.0%">
                  <c:v>0.30684600389863559</c:v>
                </c:pt>
                <c:pt idx="2" formatCode="0%">
                  <c:v>0.30688609647344978</c:v>
                </c:pt>
                <c:pt idx="4" formatCode="0%">
                  <c:v>0.30011000000000027</c:v>
                </c:pt>
                <c:pt idx="6" formatCode="0%">
                  <c:v>0.29346591554333495</c:v>
                </c:pt>
                <c:pt idx="7" formatCode="0%">
                  <c:v>0.29007499999999986</c:v>
                </c:pt>
                <c:pt idx="8" formatCode="0%">
                  <c:v>0.28672999999999899</c:v>
                </c:pt>
                <c:pt idx="9" formatCode="0%">
                  <c:v>0.28338499999999983</c:v>
                </c:pt>
                <c:pt idx="10" formatCode="0%">
                  <c:v>0.28004000013698654</c:v>
                </c:pt>
                <c:pt idx="11" formatCode="0%">
                  <c:v>0.27669499997649266</c:v>
                </c:pt>
                <c:pt idx="12" formatCode="0%">
                  <c:v>0.27334999999999976</c:v>
                </c:pt>
                <c:pt idx="13" formatCode="0%">
                  <c:v>0.27000500000000044</c:v>
                </c:pt>
                <c:pt idx="14" formatCode="0%">
                  <c:v>0.26665999999999995</c:v>
                </c:pt>
                <c:pt idx="15" formatCode="0%">
                  <c:v>0.26331499999999963</c:v>
                </c:pt>
                <c:pt idx="16" formatCode="0%">
                  <c:v>0.25996999999999998</c:v>
                </c:pt>
                <c:pt idx="17" formatCode="0%">
                  <c:v>0.25662499999999999</c:v>
                </c:pt>
                <c:pt idx="18" formatCode="0%">
                  <c:v>0.25328000000000006</c:v>
                </c:pt>
                <c:pt idx="19" formatCode="0%">
                  <c:v>0.2499349999910758</c:v>
                </c:pt>
                <c:pt idx="20" formatCode="0%">
                  <c:v>0.24659000000000067</c:v>
                </c:pt>
                <c:pt idx="21" formatCode="0%">
                  <c:v>0.2432449999999996</c:v>
                </c:pt>
                <c:pt idx="22" formatCode="0%">
                  <c:v>0.21290000000000012</c:v>
                </c:pt>
                <c:pt idx="23" formatCode="0%">
                  <c:v>0.21290000000000026</c:v>
                </c:pt>
                <c:pt idx="24" formatCode="0%">
                  <c:v>0.21289999999999953</c:v>
                </c:pt>
                <c:pt idx="25" formatCode="0%">
                  <c:v>0.21289999999999948</c:v>
                </c:pt>
                <c:pt idx="26" formatCode="0%">
                  <c:v>0.21289999999999976</c:v>
                </c:pt>
                <c:pt idx="27" formatCode="0%">
                  <c:v>0.21388663232446156</c:v>
                </c:pt>
                <c:pt idx="28" formatCode="0%">
                  <c:v>0.18224691137294258</c:v>
                </c:pt>
                <c:pt idx="29" formatCode="0%">
                  <c:v>0.17817481040952274</c:v>
                </c:pt>
                <c:pt idx="30" formatCode="0%">
                  <c:v>0.17579149911883132</c:v>
                </c:pt>
                <c:pt idx="31" formatCode="0%">
                  <c:v>0.19324737693989505</c:v>
                </c:pt>
                <c:pt idx="32" formatCode="0%">
                  <c:v>0.16811075675471809</c:v>
                </c:pt>
                <c:pt idx="33" formatCode="0%">
                  <c:v>0.16731056567291441</c:v>
                </c:pt>
                <c:pt idx="34" formatCode="0%">
                  <c:v>0.16992866030544804</c:v>
                </c:pt>
                <c:pt idx="35" formatCode="0%">
                  <c:v>0.18220778090058787</c:v>
                </c:pt>
                <c:pt idx="36" formatCode="0%">
                  <c:v>0.18557671608285409</c:v>
                </c:pt>
                <c:pt idx="37" formatCode="0%">
                  <c:v>0.18831621897746634</c:v>
                </c:pt>
                <c:pt idx="38" formatCode="0%">
                  <c:v>0.19604528705651855</c:v>
                </c:pt>
                <c:pt idx="39" formatCode="0%">
                  <c:v>0.20098983104315185</c:v>
                </c:pt>
                <c:pt idx="40" formatCode="0%">
                  <c:v>0.22786078475216248</c:v>
                </c:pt>
                <c:pt idx="41" formatCode="0%">
                  <c:v>0.21395003364187437</c:v>
                </c:pt>
                <c:pt idx="42" formatCode="0%">
                  <c:v>0.20970665003784539</c:v>
                </c:pt>
                <c:pt idx="43" formatCode="0%">
                  <c:v>0.20818445238441124</c:v>
                </c:pt>
                <c:pt idx="44" formatCode="0%">
                  <c:v>0.21215275657559535</c:v>
                </c:pt>
                <c:pt idx="45" formatCode="0%">
                  <c:v>0.23531869406903724</c:v>
                </c:pt>
                <c:pt idx="46" formatCode="0%">
                  <c:v>0.24052812685859695</c:v>
                </c:pt>
                <c:pt idx="47" formatCode="0%">
                  <c:v>0.25379737355152593</c:v>
                </c:pt>
                <c:pt idx="48" formatCode="0%">
                  <c:v>0.23368953898799824</c:v>
                </c:pt>
                <c:pt idx="49" formatCode="0%">
                  <c:v>0.21319478720141277</c:v>
                </c:pt>
                <c:pt idx="50" formatCode="0%">
                  <c:v>0.21353814613106026</c:v>
                </c:pt>
                <c:pt idx="51" formatCode="0%">
                  <c:v>0.20919324447615437</c:v>
                </c:pt>
                <c:pt idx="52" formatCode="0%">
                  <c:v>0.20588114360955592</c:v>
                </c:pt>
                <c:pt idx="53" formatCode="0%">
                  <c:v>0.20008115230417639</c:v>
                </c:pt>
                <c:pt idx="54" formatCode="0%">
                  <c:v>0.19862317085810757</c:v>
                </c:pt>
                <c:pt idx="55" formatCode="0%">
                  <c:v>0.18811724439758404</c:v>
                </c:pt>
              </c:numCache>
            </c:numRef>
          </c:val>
          <c:smooth val="0"/>
          <c:extLst xmlns:c16r2="http://schemas.microsoft.com/office/drawing/2015/06/chart">
            <c:ext xmlns:c16="http://schemas.microsoft.com/office/drawing/2014/chart" uri="{C3380CC4-5D6E-409C-BE32-E72D297353CC}">
              <c16:uniqueId val="{00000006-C961-41F1-A565-D91A293CF47D}"/>
            </c:ext>
          </c:extLst>
        </c:ser>
        <c:ser>
          <c:idx val="5"/>
          <c:order val="5"/>
          <c:tx>
            <c:v>Top 0.01%</c:v>
          </c:tx>
          <c:spPr>
            <a:ln w="25400">
              <a:solidFill>
                <a:schemeClr val="tx1"/>
              </a:solidFill>
            </a:ln>
          </c:spPr>
          <c:marker>
            <c:symbol val="none"/>
          </c:marker>
          <c:cat>
            <c:numRef>
              <c:f>'F-B4'!$A$34:$A$89</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'F-B4'!$P$34:$P$89</c:f>
              <c:numCache>
                <c:formatCode>#,##0</c:formatCode>
                <c:ptCount val="56"/>
                <c:pt idx="0" formatCode="0.0%">
                  <c:v>0.1041156095366622</c:v>
                </c:pt>
                <c:pt idx="2" formatCode="0%">
                  <c:v>0.10412921330797295</c:v>
                </c:pt>
                <c:pt idx="4" formatCode="0%">
                  <c:v>0.10136999999999995</c:v>
                </c:pt>
                <c:pt idx="6" formatCode="0%">
                  <c:v>9.8655435584467752E-2</c:v>
                </c:pt>
                <c:pt idx="7" formatCode="0%">
                  <c:v>9.7274999999999973E-2</c:v>
                </c:pt>
                <c:pt idx="8" formatCode="0%">
                  <c:v>9.5909999999999995E-2</c:v>
                </c:pt>
                <c:pt idx="9" formatCode="0%">
                  <c:v>9.454499999999999E-2</c:v>
                </c:pt>
                <c:pt idx="10" formatCode="0%">
                  <c:v>9.318000000000011E-2</c:v>
                </c:pt>
                <c:pt idx="11" formatCode="0%">
                  <c:v>9.1814999999999966E-2</c:v>
                </c:pt>
                <c:pt idx="12" formatCode="0%">
                  <c:v>9.0449999999999989E-2</c:v>
                </c:pt>
                <c:pt idx="13" formatCode="0%">
                  <c:v>8.90849999999999E-2</c:v>
                </c:pt>
                <c:pt idx="14" formatCode="0%">
                  <c:v>8.7719999999999923E-2</c:v>
                </c:pt>
                <c:pt idx="15" formatCode="0%">
                  <c:v>8.635499999999989E-2</c:v>
                </c:pt>
                <c:pt idx="16" formatCode="0%">
                  <c:v>8.4989999999999996E-2</c:v>
                </c:pt>
                <c:pt idx="17" formatCode="0%">
                  <c:v>8.3625000000000019E-2</c:v>
                </c:pt>
                <c:pt idx="18" formatCode="0%">
                  <c:v>8.225999999999993E-2</c:v>
                </c:pt>
                <c:pt idx="19" formatCode="0%">
                  <c:v>8.0894999991076286E-2</c:v>
                </c:pt>
                <c:pt idx="20" formatCode="0%">
                  <c:v>7.9530000000000059E-2</c:v>
                </c:pt>
                <c:pt idx="21" formatCode="0%">
                  <c:v>7.8164999999999887E-2</c:v>
                </c:pt>
                <c:pt idx="22" formatCode="0%">
                  <c:v>7.6799999999999966E-2</c:v>
                </c:pt>
                <c:pt idx="23" formatCode="0%">
                  <c:v>7.6800000000000035E-2</c:v>
                </c:pt>
                <c:pt idx="24" formatCode="0%">
                  <c:v>7.6800000000000007E-2</c:v>
                </c:pt>
                <c:pt idx="25" formatCode="0%">
                  <c:v>7.6800000000000035E-2</c:v>
                </c:pt>
                <c:pt idx="26" formatCode="0%">
                  <c:v>7.6799999999999952E-2</c:v>
                </c:pt>
                <c:pt idx="27" formatCode="0%">
                  <c:v>7.6949695609867905E-2</c:v>
                </c:pt>
                <c:pt idx="28" formatCode="0%">
                  <c:v>5.7712865954890114E-2</c:v>
                </c:pt>
                <c:pt idx="29" formatCode="0%">
                  <c:v>6.0773826531399115E-2</c:v>
                </c:pt>
                <c:pt idx="30" formatCode="0%">
                  <c:v>6.1169669951302776E-2</c:v>
                </c:pt>
                <c:pt idx="31" formatCode="0%">
                  <c:v>6.9482435239356446E-2</c:v>
                </c:pt>
                <c:pt idx="32" formatCode="0%">
                  <c:v>5.6005176596669204E-2</c:v>
                </c:pt>
                <c:pt idx="33" formatCode="0%">
                  <c:v>5.7859140931677863E-2</c:v>
                </c:pt>
                <c:pt idx="34" formatCode="0%">
                  <c:v>5.8830980969529989E-2</c:v>
                </c:pt>
                <c:pt idx="35" formatCode="0%">
                  <c:v>6.3065555247179578E-2</c:v>
                </c:pt>
                <c:pt idx="36" formatCode="0%">
                  <c:v>6.5021403672051073E-2</c:v>
                </c:pt>
                <c:pt idx="37" formatCode="0%">
                  <c:v>6.831037524645206E-2</c:v>
                </c:pt>
                <c:pt idx="38" formatCode="0%">
                  <c:v>6.9722528932336436E-2</c:v>
                </c:pt>
                <c:pt idx="39" formatCode="0%">
                  <c:v>6.9928431457643617E-2</c:v>
                </c:pt>
                <c:pt idx="40" formatCode="0%">
                  <c:v>8.7184665120759508E-2</c:v>
                </c:pt>
                <c:pt idx="41" formatCode="0%">
                  <c:v>8.0531334582809769E-2</c:v>
                </c:pt>
                <c:pt idx="42" formatCode="0%">
                  <c:v>7.8839337054625452E-2</c:v>
                </c:pt>
                <c:pt idx="43" formatCode="0%">
                  <c:v>7.9179141712864623E-2</c:v>
                </c:pt>
                <c:pt idx="44" formatCode="0%">
                  <c:v>8.2008185482412913E-2</c:v>
                </c:pt>
                <c:pt idx="45" formatCode="0%">
                  <c:v>9.4849462340563032E-2</c:v>
                </c:pt>
                <c:pt idx="46" formatCode="0%">
                  <c:v>9.4461067179952909E-2</c:v>
                </c:pt>
                <c:pt idx="47" formatCode="0%">
                  <c:v>9.9392543531170705E-2</c:v>
                </c:pt>
                <c:pt idx="48" formatCode="0%">
                  <c:v>8.4478612922273433E-2</c:v>
                </c:pt>
                <c:pt idx="49" formatCode="0%">
                  <c:v>7.8407778839056141E-2</c:v>
                </c:pt>
                <c:pt idx="50" formatCode="0%">
                  <c:v>7.6684717303287867E-2</c:v>
                </c:pt>
                <c:pt idx="51" formatCode="0%">
                  <c:v>7.3937435247487318E-2</c:v>
                </c:pt>
                <c:pt idx="52" formatCode="0%">
                  <c:v>7.3505669666780502E-2</c:v>
                </c:pt>
                <c:pt idx="53" formatCode="0%">
                  <c:v>7.2688662464857515E-2</c:v>
                </c:pt>
                <c:pt idx="54" formatCode="0%">
                  <c:v>7.0426706418188323E-2</c:v>
                </c:pt>
                <c:pt idx="55" formatCode="0%">
                  <c:v>6.7931071035497337E-2</c:v>
                </c:pt>
              </c:numCache>
            </c:numRef>
          </c:val>
          <c:smooth val="0"/>
          <c:extLst xmlns:c16r2="http://schemas.microsoft.com/office/drawing/2015/06/chart">
            <c:ext xmlns:c16="http://schemas.microsoft.com/office/drawing/2014/chart" uri="{C3380CC4-5D6E-409C-BE32-E72D297353CC}">
              <c16:uniqueId val="{00000007-C961-41F1-A565-D91A293CF47D}"/>
            </c:ext>
          </c:extLst>
        </c:ser>
        <c:dLbls>
          <c:showLegendKey val="0"/>
          <c:showVal val="0"/>
          <c:showCatName val="0"/>
          <c:showSerName val="0"/>
          <c:showPercent val="0"/>
          <c:showBubbleSize val="0"/>
        </c:dLbls>
        <c:smooth val="0"/>
        <c:axId val="510753080"/>
        <c:axId val="510747200"/>
      </c:lineChart>
      <c:catAx>
        <c:axId val="510753080"/>
        <c:scaling>
          <c:orientation val="minMax"/>
        </c:scaling>
        <c:delete val="0"/>
        <c:axPos val="b"/>
        <c:majorGridlines>
          <c:spPr>
            <a:ln w="6350">
              <a:solidFill>
                <a:schemeClr val="tx1">
                  <a:lumMod val="50000"/>
                  <a:lumOff val="50000"/>
                </a:schemeClr>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510747200"/>
        <c:crossesAt val="0"/>
        <c:auto val="1"/>
        <c:lblAlgn val="ctr"/>
        <c:lblOffset val="100"/>
        <c:tickLblSkip val="10"/>
        <c:tickMarkSkip val="10"/>
        <c:noMultiLvlLbl val="0"/>
      </c:catAx>
      <c:valAx>
        <c:axId val="510747200"/>
        <c:scaling>
          <c:orientation val="minMax"/>
          <c:max val="0.95000000000000007"/>
          <c:min val="0"/>
        </c:scaling>
        <c:delete val="0"/>
        <c:axPos val="l"/>
        <c:majorGridlines>
          <c:spPr>
            <a:ln w="6350">
              <a:solidFill>
                <a:schemeClr val="tx1">
                  <a:lumMod val="50000"/>
                  <a:lumOff val="50000"/>
                </a:schemeClr>
              </a:solidFill>
              <a:prstDash val="sysDash"/>
            </a:ln>
          </c:spPr>
        </c:majorGridlines>
        <c:title>
          <c:tx>
            <c:rich>
              <a:bodyPr/>
              <a:lstStyle/>
              <a:p>
                <a:pPr>
                  <a:defRPr sz="1300" b="0" i="0" u="none" strike="noStrike" baseline="0">
                    <a:solidFill>
                      <a:srgbClr val="000000"/>
                    </a:solidFill>
                    <a:latin typeface="Arial"/>
                    <a:ea typeface="Arial"/>
                    <a:cs typeface="Arial"/>
                  </a:defRPr>
                </a:pPr>
                <a:r>
                  <a:rPr lang="en-US" sz="1300" b="0"/>
                  <a:t>Share of tax-exempt interest</a:t>
                </a:r>
              </a:p>
            </c:rich>
          </c:tx>
          <c:layout>
            <c:manualLayout>
              <c:xMode val="edge"/>
              <c:yMode val="edge"/>
              <c:x val="1.3678680902947913E-3"/>
              <c:y val="0.2174084943927463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510753080"/>
        <c:crosses val="autoZero"/>
        <c:crossBetween val="midCat"/>
        <c:majorUnit val="0.2"/>
        <c:minorUnit val="0.05"/>
      </c:valAx>
      <c:spPr>
        <a:solidFill>
          <a:srgbClr val="FFFFFF"/>
        </a:solidFill>
        <a:ln w="3175">
          <a:noFill/>
          <a:prstDash val="solid"/>
        </a:ln>
      </c:spPr>
    </c:plotArea>
    <c:plotVisOnly val="1"/>
    <c:dispBlanksAs val="span"/>
    <c:showDLblsOverMax val="0"/>
  </c:chart>
  <c:spPr>
    <a:solidFill>
      <a:srgbClr val="FFFFFF"/>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866" r="0.75000000000000866" t="1" header="0.5" footer="0.5"/>
    <c:pageSetup orientation="landscape" verticalDpi="96"/>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75810832611271"/>
          <c:y val="1.8568512269299675E-2"/>
          <c:w val="0.83014488447857138"/>
          <c:h val="0.92738386868308131"/>
        </c:manualLayout>
      </c:layout>
      <c:lineChart>
        <c:grouping val="standard"/>
        <c:varyColors val="0"/>
        <c:ser>
          <c:idx val="1"/>
          <c:order val="0"/>
          <c:tx>
            <c:strRef>
              <c:f>'F-B5'!$B$33</c:f>
              <c:strCache>
                <c:ptCount val="1"/>
                <c:pt idx="0">
                  <c:v>Pre-tax Income</c:v>
                </c:pt>
              </c:strCache>
            </c:strRef>
          </c:tx>
          <c:spPr>
            <a:ln w="25400">
              <a:solidFill>
                <a:schemeClr val="accent3">
                  <a:lumMod val="75000"/>
                </a:schemeClr>
              </a:solidFill>
              <a:prstDash val="solid"/>
            </a:ln>
          </c:spPr>
          <c:marker>
            <c:symbol val="none"/>
          </c:marker>
          <c:dPt>
            <c:idx val="1"/>
            <c:bubble3D val="0"/>
            <c:extLst xmlns:c16r2="http://schemas.microsoft.com/office/drawing/2015/06/chart">
              <c:ext xmlns:c16="http://schemas.microsoft.com/office/drawing/2014/chart" uri="{C3380CC4-5D6E-409C-BE32-E72D297353CC}">
                <c16:uniqueId val="{00000000-44F1-4AC3-A1A6-BAA996B5D230}"/>
              </c:ext>
            </c:extLst>
          </c:dPt>
          <c:dPt>
            <c:idx val="3"/>
            <c:bubble3D val="0"/>
            <c:extLst xmlns:c16r2="http://schemas.microsoft.com/office/drawing/2015/06/chart">
              <c:ext xmlns:c16="http://schemas.microsoft.com/office/drawing/2014/chart" uri="{C3380CC4-5D6E-409C-BE32-E72D297353CC}">
                <c16:uniqueId val="{00000001-44F1-4AC3-A1A6-BAA996B5D230}"/>
              </c:ext>
            </c:extLst>
          </c:dPt>
          <c:dPt>
            <c:idx val="5"/>
            <c:bubble3D val="0"/>
            <c:extLst xmlns:c16r2="http://schemas.microsoft.com/office/drawing/2015/06/chart">
              <c:ext xmlns:c16="http://schemas.microsoft.com/office/drawing/2014/chart" uri="{C3380CC4-5D6E-409C-BE32-E72D297353CC}">
                <c16:uniqueId val="{00000002-44F1-4AC3-A1A6-BAA996B5D230}"/>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'F-B5'!$B$34:$B$89</c:f>
              <c:numCache>
                <c:formatCode>0.000</c:formatCode>
                <c:ptCount val="56"/>
                <c:pt idx="0">
                  <c:v>0.20947745914564761</c:v>
                </c:pt>
                <c:pt idx="2">
                  <c:v>0.21225141833997949</c:v>
                </c:pt>
                <c:pt idx="4">
                  <c:v>0.2160273806738113</c:v>
                </c:pt>
                <c:pt idx="6">
                  <c:v>0.22082984548621631</c:v>
                </c:pt>
                <c:pt idx="7">
                  <c:v>0.22150037950092505</c:v>
                </c:pt>
                <c:pt idx="8">
                  <c:v>0.22163220492487556</c:v>
                </c:pt>
                <c:pt idx="9">
                  <c:v>0.22584653361518653</c:v>
                </c:pt>
                <c:pt idx="10">
                  <c:v>0.22736954610783389</c:v>
                </c:pt>
                <c:pt idx="11">
                  <c:v>0.22121176184067426</c:v>
                </c:pt>
                <c:pt idx="12">
                  <c:v>0.2242920594885319</c:v>
                </c:pt>
                <c:pt idx="13">
                  <c:v>0.22801969176074516</c:v>
                </c:pt>
                <c:pt idx="14">
                  <c:v>0.22343558807208166</c:v>
                </c:pt>
                <c:pt idx="15">
                  <c:v>0.21571640328955421</c:v>
                </c:pt>
                <c:pt idx="16">
                  <c:v>0.21850693347259359</c:v>
                </c:pt>
                <c:pt idx="17">
                  <c:v>0.22057241362864669</c:v>
                </c:pt>
                <c:pt idx="18">
                  <c:v>0.22338228409232966</c:v>
                </c:pt>
                <c:pt idx="19">
                  <c:v>0.22039115997543643</c:v>
                </c:pt>
                <c:pt idx="20">
                  <c:v>0.21349316632192744</c:v>
                </c:pt>
                <c:pt idx="21">
                  <c:v>0.21380412551157588</c:v>
                </c:pt>
                <c:pt idx="22">
                  <c:v>0.20838398598569485</c:v>
                </c:pt>
                <c:pt idx="23">
                  <c:v>0.20435981407678255</c:v>
                </c:pt>
                <c:pt idx="24">
                  <c:v>0.20629974709949608</c:v>
                </c:pt>
                <c:pt idx="25">
                  <c:v>0.20762240907796711</c:v>
                </c:pt>
                <c:pt idx="26">
                  <c:v>0.20553491315378319</c:v>
                </c:pt>
                <c:pt idx="27">
                  <c:v>0.20576359893726615</c:v>
                </c:pt>
                <c:pt idx="28">
                  <c:v>0.19983288460198209</c:v>
                </c:pt>
                <c:pt idx="29">
                  <c:v>0.20019483663645293</c:v>
                </c:pt>
                <c:pt idx="30">
                  <c:v>0.19608897730303512</c:v>
                </c:pt>
                <c:pt idx="31">
                  <c:v>0.19244269451763121</c:v>
                </c:pt>
                <c:pt idx="32">
                  <c:v>0.18645979747340799</c:v>
                </c:pt>
                <c:pt idx="33">
                  <c:v>0.18727214122523872</c:v>
                </c:pt>
                <c:pt idx="34">
                  <c:v>0.19164715338485591</c:v>
                </c:pt>
                <c:pt idx="35">
                  <c:v>0.1913169279017311</c:v>
                </c:pt>
                <c:pt idx="36">
                  <c:v>0.18977937379752943</c:v>
                </c:pt>
                <c:pt idx="37">
                  <c:v>0.18857748320365458</c:v>
                </c:pt>
                <c:pt idx="38">
                  <c:v>0.1902396030344386</c:v>
                </c:pt>
                <c:pt idx="39">
                  <c:v>0.19187970885686859</c:v>
                </c:pt>
                <c:pt idx="40">
                  <c:v>0.18886228621487641</c:v>
                </c:pt>
                <c:pt idx="41">
                  <c:v>0.18925978316145603</c:v>
                </c:pt>
                <c:pt idx="42">
                  <c:v>0.18711379464413366</c:v>
                </c:pt>
                <c:pt idx="43">
                  <c:v>0.18270615977426796</c:v>
                </c:pt>
                <c:pt idx="44">
                  <c:v>0.18002618587512501</c:v>
                </c:pt>
                <c:pt idx="45">
                  <c:v>0.18001426325092088</c:v>
                </c:pt>
                <c:pt idx="46">
                  <c:v>0.17878055750787319</c:v>
                </c:pt>
                <c:pt idx="47">
                  <c:v>0.18108203869836245</c:v>
                </c:pt>
                <c:pt idx="48">
                  <c:v>0.17662145278939076</c:v>
                </c:pt>
                <c:pt idx="49">
                  <c:v>0.17133636594321366</c:v>
                </c:pt>
                <c:pt idx="50">
                  <c:v>0.1667933164362887</c:v>
                </c:pt>
                <c:pt idx="51">
                  <c:v>0.16716442870742476</c:v>
                </c:pt>
                <c:pt idx="52">
                  <c:v>0.16346817447282053</c:v>
                </c:pt>
                <c:pt idx="53">
                  <c:v>0.16470545333799838</c:v>
                </c:pt>
                <c:pt idx="54">
                  <c:v>0.16362086544483825</c:v>
                </c:pt>
                <c:pt idx="55">
                  <c:v>0.16451584277074988</c:v>
                </c:pt>
              </c:numCache>
            </c:numRef>
          </c:val>
          <c:smooth val="0"/>
          <c:extLst xmlns:c16r2="http://schemas.microsoft.com/office/drawing/2015/06/chart">
            <c:ext xmlns:c16="http://schemas.microsoft.com/office/drawing/2014/chart" uri="{C3380CC4-5D6E-409C-BE32-E72D297353CC}">
              <c16:uniqueId val="{00000003-44F1-4AC3-A1A6-BAA996B5D230}"/>
            </c:ext>
          </c:extLst>
        </c:ser>
        <c:ser>
          <c:idx val="2"/>
          <c:order val="1"/>
          <c:tx>
            <c:strRef>
              <c:f>'F-B5'!$C$33</c:f>
              <c:strCache>
                <c:ptCount val="1"/>
                <c:pt idx="0">
                  <c:v>Pre-tax after-transfer income</c:v>
                </c:pt>
              </c:strCache>
            </c:strRef>
          </c:tx>
          <c:spPr>
            <a:ln w="19050">
              <a:solidFill>
                <a:schemeClr val="tx1">
                  <a:lumMod val="65000"/>
                  <a:lumOff val="35000"/>
                </a:schemeClr>
              </a:solidFill>
              <a:prstDash val="sysDash"/>
            </a:ln>
          </c:spPr>
          <c:marker>
            <c:symbol val="none"/>
          </c:marker>
          <c:dPt>
            <c:idx val="1"/>
            <c:bubble3D val="0"/>
            <c:extLst xmlns:c16r2="http://schemas.microsoft.com/office/drawing/2015/06/chart">
              <c:ext xmlns:c16="http://schemas.microsoft.com/office/drawing/2014/chart" uri="{C3380CC4-5D6E-409C-BE32-E72D297353CC}">
                <c16:uniqueId val="{00000004-44F1-4AC3-A1A6-BAA996B5D230}"/>
              </c:ext>
            </c:extLst>
          </c:dPt>
          <c:dPt>
            <c:idx val="3"/>
            <c:bubble3D val="0"/>
            <c:extLst xmlns:c16r2="http://schemas.microsoft.com/office/drawing/2015/06/chart">
              <c:ext xmlns:c16="http://schemas.microsoft.com/office/drawing/2014/chart" uri="{C3380CC4-5D6E-409C-BE32-E72D297353CC}">
                <c16:uniqueId val="{00000005-44F1-4AC3-A1A6-BAA996B5D230}"/>
              </c:ext>
            </c:extLst>
          </c:dPt>
          <c:dPt>
            <c:idx val="5"/>
            <c:bubble3D val="0"/>
            <c:extLst xmlns:c16r2="http://schemas.microsoft.com/office/drawing/2015/06/chart">
              <c:ext xmlns:c16="http://schemas.microsoft.com/office/drawing/2014/chart" uri="{C3380CC4-5D6E-409C-BE32-E72D297353CC}">
                <c16:uniqueId val="{00000006-44F1-4AC3-A1A6-BAA996B5D230}"/>
              </c:ext>
            </c:extLst>
          </c:dPt>
          <c:val>
            <c:numRef>
              <c:f>'F-B5'!$C$34:$C$89</c:f>
              <c:numCache>
                <c:formatCode>0.000</c:formatCode>
                <c:ptCount val="56"/>
                <c:pt idx="0">
                  <c:v>0.23760595395399728</c:v>
                </c:pt>
                <c:pt idx="2">
                  <c:v>0.24228261640526308</c:v>
                </c:pt>
                <c:pt idx="4">
                  <c:v>0.24534451739694502</c:v>
                </c:pt>
                <c:pt idx="6">
                  <c:v>0.25002472315482943</c:v>
                </c:pt>
                <c:pt idx="7">
                  <c:v>0.25458156544508281</c:v>
                </c:pt>
                <c:pt idx="8">
                  <c:v>0.25645397864935487</c:v>
                </c:pt>
                <c:pt idx="9">
                  <c:v>0.26161130614012384</c:v>
                </c:pt>
                <c:pt idx="10">
                  <c:v>0.2694033182994538</c:v>
                </c:pt>
                <c:pt idx="11">
                  <c:v>0.26751801805605568</c:v>
                </c:pt>
                <c:pt idx="12">
                  <c:v>0.26993773947107169</c:v>
                </c:pt>
                <c:pt idx="13">
                  <c:v>0.27509535615057806</c:v>
                </c:pt>
                <c:pt idx="14">
                  <c:v>0.27499362441320752</c:v>
                </c:pt>
                <c:pt idx="15">
                  <c:v>0.27554784676087779</c:v>
                </c:pt>
                <c:pt idx="16">
                  <c:v>0.277423025191672</c:v>
                </c:pt>
                <c:pt idx="17">
                  <c:v>0.2769810103869616</c:v>
                </c:pt>
                <c:pt idx="18">
                  <c:v>0.27738983705414527</c:v>
                </c:pt>
                <c:pt idx="19">
                  <c:v>0.275131859158949</c:v>
                </c:pt>
                <c:pt idx="20">
                  <c:v>0.27398359070063383</c:v>
                </c:pt>
                <c:pt idx="21">
                  <c:v>0.2732803069895014</c:v>
                </c:pt>
                <c:pt idx="22">
                  <c:v>0.27109926197156403</c:v>
                </c:pt>
                <c:pt idx="23">
                  <c:v>0.26692061464072736</c:v>
                </c:pt>
                <c:pt idx="24">
                  <c:v>0.26280823986300716</c:v>
                </c:pt>
                <c:pt idx="25">
                  <c:v>0.26406953858649274</c:v>
                </c:pt>
                <c:pt idx="26">
                  <c:v>0.26319064620122723</c:v>
                </c:pt>
                <c:pt idx="27">
                  <c:v>0.26210586396622093</c:v>
                </c:pt>
                <c:pt idx="28">
                  <c:v>0.25529626031504765</c:v>
                </c:pt>
                <c:pt idx="29">
                  <c:v>0.2564280612434689</c:v>
                </c:pt>
                <c:pt idx="30">
                  <c:v>0.25514052426254596</c:v>
                </c:pt>
                <c:pt idx="31">
                  <c:v>0.25723496216209357</c:v>
                </c:pt>
                <c:pt idx="32">
                  <c:v>0.25594380907048264</c:v>
                </c:pt>
                <c:pt idx="33">
                  <c:v>0.25839403765649482</c:v>
                </c:pt>
                <c:pt idx="34">
                  <c:v>0.26126380349136152</c:v>
                </c:pt>
                <c:pt idx="35">
                  <c:v>0.26030016072659601</c:v>
                </c:pt>
                <c:pt idx="36">
                  <c:v>0.25723291902643797</c:v>
                </c:pt>
                <c:pt idx="37">
                  <c:v>0.25344179610705447</c:v>
                </c:pt>
                <c:pt idx="38">
                  <c:v>0.2521307943705236</c:v>
                </c:pt>
                <c:pt idx="39">
                  <c:v>0.25280736064472525</c:v>
                </c:pt>
                <c:pt idx="40">
                  <c:v>0.24795507532920724</c:v>
                </c:pt>
                <c:pt idx="41">
                  <c:v>0.25152336071054893</c:v>
                </c:pt>
                <c:pt idx="42">
                  <c:v>0.25328942511477071</c:v>
                </c:pt>
                <c:pt idx="43">
                  <c:v>0.24983625143849195</c:v>
                </c:pt>
                <c:pt idx="44">
                  <c:v>0.24721596336830276</c:v>
                </c:pt>
                <c:pt idx="45">
                  <c:v>0.24681245299781598</c:v>
                </c:pt>
                <c:pt idx="46">
                  <c:v>0.24321260784277693</c:v>
                </c:pt>
                <c:pt idx="47">
                  <c:v>0.24736416148055537</c:v>
                </c:pt>
                <c:pt idx="48">
                  <c:v>0.25169130481635987</c:v>
                </c:pt>
                <c:pt idx="49">
                  <c:v>0.25374703920045988</c:v>
                </c:pt>
                <c:pt idx="50">
                  <c:v>0.25252156135433368</c:v>
                </c:pt>
                <c:pt idx="51">
                  <c:v>0.25026964872498164</c:v>
                </c:pt>
                <c:pt idx="52">
                  <c:v>0.2414385634782952</c:v>
                </c:pt>
                <c:pt idx="53">
                  <c:v>0.24201963221125658</c:v>
                </c:pt>
                <c:pt idx="54">
                  <c:v>0.24194706731329171</c:v>
                </c:pt>
                <c:pt idx="55">
                  <c:v>0.24329781804926157</c:v>
                </c:pt>
              </c:numCache>
            </c:numRef>
          </c:val>
          <c:smooth val="0"/>
          <c:extLst xmlns:c16r2="http://schemas.microsoft.com/office/drawing/2015/06/chart">
            <c:ext xmlns:c16="http://schemas.microsoft.com/office/drawing/2014/chart" uri="{C3380CC4-5D6E-409C-BE32-E72D297353CC}">
              <c16:uniqueId val="{00000007-44F1-4AC3-A1A6-BAA996B5D230}"/>
            </c:ext>
          </c:extLst>
        </c:ser>
        <c:ser>
          <c:idx val="3"/>
          <c:order val="2"/>
          <c:tx>
            <c:strRef>
              <c:f>'F-B5'!$D$33</c:f>
              <c:strCache>
                <c:ptCount val="1"/>
                <c:pt idx="0">
                  <c:v>After-tax income</c:v>
                </c:pt>
              </c:strCache>
            </c:strRef>
          </c:tx>
          <c:spPr>
            <a:ln w="25400">
              <a:solidFill>
                <a:schemeClr val="accent2">
                  <a:lumMod val="75000"/>
                </a:schemeClr>
              </a:solidFill>
            </a:ln>
          </c:spPr>
          <c:marker>
            <c:symbol val="none"/>
          </c:marker>
          <c:dPt>
            <c:idx val="1"/>
            <c:bubble3D val="0"/>
            <c:extLst xmlns:c16r2="http://schemas.microsoft.com/office/drawing/2015/06/chart">
              <c:ext xmlns:c16="http://schemas.microsoft.com/office/drawing/2014/chart" uri="{C3380CC4-5D6E-409C-BE32-E72D297353CC}">
                <c16:uniqueId val="{00000008-44F1-4AC3-A1A6-BAA996B5D230}"/>
              </c:ext>
            </c:extLst>
          </c:dPt>
          <c:dPt>
            <c:idx val="3"/>
            <c:bubble3D val="0"/>
            <c:extLst xmlns:c16r2="http://schemas.microsoft.com/office/drawing/2015/06/chart">
              <c:ext xmlns:c16="http://schemas.microsoft.com/office/drawing/2014/chart" uri="{C3380CC4-5D6E-409C-BE32-E72D297353CC}">
                <c16:uniqueId val="{00000009-44F1-4AC3-A1A6-BAA996B5D230}"/>
              </c:ext>
            </c:extLst>
          </c:dPt>
          <c:dPt>
            <c:idx val="5"/>
            <c:bubble3D val="0"/>
            <c:extLst xmlns:c16r2="http://schemas.microsoft.com/office/drawing/2015/06/chart">
              <c:ext xmlns:c16="http://schemas.microsoft.com/office/drawing/2014/chart" uri="{C3380CC4-5D6E-409C-BE32-E72D297353CC}">
                <c16:uniqueId val="{0000000A-44F1-4AC3-A1A6-BAA996B5D230}"/>
              </c:ext>
            </c:extLst>
          </c:dPt>
          <c:val>
            <c:numRef>
              <c:f>'F-B5'!$D$34:$D$89</c:f>
              <c:numCache>
                <c:formatCode>0.000</c:formatCode>
                <c:ptCount val="56"/>
                <c:pt idx="0">
                  <c:v>0.28688065699623017</c:v>
                </c:pt>
                <c:pt idx="2">
                  <c:v>0.29107835462994397</c:v>
                </c:pt>
                <c:pt idx="4">
                  <c:v>0.29313085452238263</c:v>
                </c:pt>
                <c:pt idx="6">
                  <c:v>0.2971702958066631</c:v>
                </c:pt>
                <c:pt idx="7">
                  <c:v>0.30405999311784648</c:v>
                </c:pt>
                <c:pt idx="8">
                  <c:v>0.30982528351743865</c:v>
                </c:pt>
                <c:pt idx="9">
                  <c:v>0.31458391228400528</c:v>
                </c:pt>
                <c:pt idx="10">
                  <c:v>0.32410129832261114</c:v>
                </c:pt>
                <c:pt idx="11">
                  <c:v>0.3223491131684697</c:v>
                </c:pt>
                <c:pt idx="12">
                  <c:v>0.3251955664782144</c:v>
                </c:pt>
                <c:pt idx="13">
                  <c:v>0.32453684769292557</c:v>
                </c:pt>
                <c:pt idx="14">
                  <c:v>0.32684646499194164</c:v>
                </c:pt>
                <c:pt idx="15">
                  <c:v>0.33530479369736765</c:v>
                </c:pt>
                <c:pt idx="16">
                  <c:v>0.33418301962160907</c:v>
                </c:pt>
                <c:pt idx="17">
                  <c:v>0.33089221028396931</c:v>
                </c:pt>
                <c:pt idx="18">
                  <c:v>0.32787343814029074</c:v>
                </c:pt>
                <c:pt idx="19">
                  <c:v>0.327121573608532</c:v>
                </c:pt>
                <c:pt idx="20">
                  <c:v>0.33068152385122168</c:v>
                </c:pt>
                <c:pt idx="21">
                  <c:v>0.32989848333955929</c:v>
                </c:pt>
                <c:pt idx="22">
                  <c:v>0.33246239391281746</c:v>
                </c:pt>
                <c:pt idx="23">
                  <c:v>0.32613541082974401</c:v>
                </c:pt>
                <c:pt idx="24">
                  <c:v>0.31556168483488733</c:v>
                </c:pt>
                <c:pt idx="25">
                  <c:v>0.31713835514639088</c:v>
                </c:pt>
                <c:pt idx="26">
                  <c:v>0.31594812531058497</c:v>
                </c:pt>
                <c:pt idx="27">
                  <c:v>0.3159876604982329</c:v>
                </c:pt>
                <c:pt idx="28">
                  <c:v>0.30677144730956157</c:v>
                </c:pt>
                <c:pt idx="29">
                  <c:v>0.30985468364603896</c:v>
                </c:pt>
                <c:pt idx="30">
                  <c:v>0.30986258701927211</c:v>
                </c:pt>
                <c:pt idx="31">
                  <c:v>0.31533261003487856</c:v>
                </c:pt>
                <c:pt idx="32">
                  <c:v>0.31592666885006632</c:v>
                </c:pt>
                <c:pt idx="33">
                  <c:v>0.31765637633055588</c:v>
                </c:pt>
                <c:pt idx="34">
                  <c:v>0.31855132740002551</c:v>
                </c:pt>
                <c:pt idx="35">
                  <c:v>0.31788587664600215</c:v>
                </c:pt>
                <c:pt idx="36">
                  <c:v>0.31261930333998839</c:v>
                </c:pt>
                <c:pt idx="37">
                  <c:v>0.30760918372969814</c:v>
                </c:pt>
                <c:pt idx="38">
                  <c:v>0.30522131843951511</c:v>
                </c:pt>
                <c:pt idx="39">
                  <c:v>0.30674095623736303</c:v>
                </c:pt>
                <c:pt idx="40">
                  <c:v>0.30010299272517077</c:v>
                </c:pt>
                <c:pt idx="41">
                  <c:v>0.30843820399710398</c:v>
                </c:pt>
                <c:pt idx="42">
                  <c:v>0.31262294790258849</c:v>
                </c:pt>
                <c:pt idx="43">
                  <c:v>0.30893175459172906</c:v>
                </c:pt>
                <c:pt idx="44">
                  <c:v>0.30489333390049683</c:v>
                </c:pt>
                <c:pt idx="45">
                  <c:v>0.30448577773131597</c:v>
                </c:pt>
                <c:pt idx="46">
                  <c:v>0.30073656300133628</c:v>
                </c:pt>
                <c:pt idx="47">
                  <c:v>0.30788791200658833</c:v>
                </c:pt>
                <c:pt idx="48">
                  <c:v>0.31987845396176229</c:v>
                </c:pt>
                <c:pt idx="49">
                  <c:v>0.32847328116242747</c:v>
                </c:pt>
                <c:pt idx="50">
                  <c:v>0.32813152187812661</c:v>
                </c:pt>
                <c:pt idx="51">
                  <c:v>0.32432803558161244</c:v>
                </c:pt>
                <c:pt idx="52">
                  <c:v>0.3094236464691153</c:v>
                </c:pt>
                <c:pt idx="53">
                  <c:v>0.30730167669372804</c:v>
                </c:pt>
                <c:pt idx="54">
                  <c:v>0.30490617350639238</c:v>
                </c:pt>
                <c:pt idx="55">
                  <c:v>0.30551406454462848</c:v>
                </c:pt>
              </c:numCache>
            </c:numRef>
          </c:val>
          <c:smooth val="0"/>
          <c:extLst xmlns:c16r2="http://schemas.microsoft.com/office/drawing/2015/06/chart">
            <c:ext xmlns:c16="http://schemas.microsoft.com/office/drawing/2014/chart" uri="{C3380CC4-5D6E-409C-BE32-E72D297353CC}">
              <c16:uniqueId val="{0000000B-44F1-4AC3-A1A6-BAA996B5D230}"/>
            </c:ext>
          </c:extLst>
        </c:ser>
        <c:dLbls>
          <c:showLegendKey val="0"/>
          <c:showVal val="0"/>
          <c:showCatName val="0"/>
          <c:showSerName val="0"/>
          <c:showPercent val="0"/>
          <c:showBubbleSize val="0"/>
        </c:dLbls>
        <c:smooth val="0"/>
        <c:axId val="510751904"/>
        <c:axId val="510752296"/>
      </c:lineChart>
      <c:catAx>
        <c:axId val="510751904"/>
        <c:scaling>
          <c:orientation val="minMax"/>
        </c:scaling>
        <c:delete val="0"/>
        <c:axPos val="b"/>
        <c:majorGridlines>
          <c:spPr>
            <a:ln w="6350">
              <a:solidFill>
                <a:schemeClr val="tx1">
                  <a:lumMod val="50000"/>
                  <a:lumOff val="50000"/>
                </a:schemeClr>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510752296"/>
        <c:crossesAt val="0"/>
        <c:auto val="1"/>
        <c:lblAlgn val="ctr"/>
        <c:lblOffset val="100"/>
        <c:tickLblSkip val="10"/>
        <c:tickMarkSkip val="10"/>
        <c:noMultiLvlLbl val="0"/>
      </c:catAx>
      <c:valAx>
        <c:axId val="510752296"/>
        <c:scaling>
          <c:orientation val="minMax"/>
          <c:max val="0.35000000000000003"/>
          <c:min val="0"/>
        </c:scaling>
        <c:delete val="0"/>
        <c:axPos val="l"/>
        <c:majorGridlines>
          <c:spPr>
            <a:ln w="6350">
              <a:solidFill>
                <a:schemeClr val="tx1">
                  <a:lumMod val="50000"/>
                  <a:lumOff val="50000"/>
                </a:schemeClr>
              </a:solidFill>
              <a:prstDash val="sysDash"/>
            </a:ln>
          </c:spPr>
        </c:majorGridlines>
        <c:title>
          <c:tx>
            <c:rich>
              <a:bodyPr/>
              <a:lstStyle/>
              <a:p>
                <a:pPr>
                  <a:defRPr sz="1200" b="0" i="0" u="none" strike="noStrike" baseline="0">
                    <a:solidFill>
                      <a:srgbClr val="000000"/>
                    </a:solidFill>
                    <a:latin typeface="Arial"/>
                    <a:ea typeface="Arial"/>
                    <a:cs typeface="Arial"/>
                  </a:defRPr>
                </a:pPr>
                <a:r>
                  <a:rPr lang="en-US" sz="1200" b="0"/>
                  <a:t>Bottom</a:t>
                </a:r>
                <a:r>
                  <a:rPr lang="en-US" sz="1200" b="0" baseline="0"/>
                  <a:t> 50</a:t>
                </a:r>
                <a:r>
                  <a:rPr lang="en-US" sz="1200" b="0"/>
                  <a:t>% Income Share</a:t>
                </a:r>
              </a:p>
            </c:rich>
          </c:tx>
          <c:layout>
            <c:manualLayout>
              <c:xMode val="edge"/>
              <c:yMode val="edge"/>
              <c:x val="9.2472413179531786E-4"/>
              <c:y val="0.2685505978419364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510751904"/>
        <c:crosses val="autoZero"/>
        <c:crossBetween val="midCat"/>
        <c:majorUnit val="0.1"/>
        <c:minorUnit val="0.05"/>
      </c:valAx>
      <c:spPr>
        <a:solidFill>
          <a:srgbClr val="FFFFFF"/>
        </a:solidFill>
        <a:ln w="3175">
          <a:noFill/>
          <a:prstDash val="solid"/>
        </a:ln>
      </c:spPr>
    </c:plotArea>
    <c:plotVisOnly val="1"/>
    <c:dispBlanksAs val="span"/>
    <c:showDLblsOverMax val="0"/>
  </c:chart>
  <c:spPr>
    <a:solidFill>
      <a:schemeClr val="bg1"/>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866" r="0.75000000000000866" t="1" header="0.5" footer="0.5"/>
    <c:pageSetup orientation="landscape" verticalDpi="96"/>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07529131284403"/>
          <c:y val="1.8568512269299675E-2"/>
          <c:w val="0.80465067642685439"/>
          <c:h val="0.92738386868308131"/>
        </c:manualLayout>
      </c:layout>
      <c:lineChart>
        <c:grouping val="standard"/>
        <c:varyColors val="0"/>
        <c:ser>
          <c:idx val="1"/>
          <c:order val="0"/>
          <c:tx>
            <c:strRef>
              <c:f>'F-B5'!$B$33</c:f>
              <c:strCache>
                <c:ptCount val="1"/>
                <c:pt idx="0">
                  <c:v>Pre-tax Income</c:v>
                </c:pt>
              </c:strCache>
            </c:strRef>
          </c:tx>
          <c:spPr>
            <a:ln w="25400">
              <a:solidFill>
                <a:schemeClr val="accent3">
                  <a:lumMod val="75000"/>
                </a:schemeClr>
              </a:solidFill>
              <a:prstDash val="solid"/>
            </a:ln>
          </c:spPr>
          <c:marker>
            <c:symbol val="none"/>
          </c:marker>
          <c:dPt>
            <c:idx val="1"/>
            <c:bubble3D val="0"/>
            <c:extLst xmlns:c16r2="http://schemas.microsoft.com/office/drawing/2015/06/chart">
              <c:ext xmlns:c16="http://schemas.microsoft.com/office/drawing/2014/chart" uri="{C3380CC4-5D6E-409C-BE32-E72D297353CC}">
                <c16:uniqueId val="{00000000-EF51-4192-8292-579CDB255DD4}"/>
              </c:ext>
            </c:extLst>
          </c:dPt>
          <c:dPt>
            <c:idx val="3"/>
            <c:bubble3D val="0"/>
            <c:extLst xmlns:c16r2="http://schemas.microsoft.com/office/drawing/2015/06/chart">
              <c:ext xmlns:c16="http://schemas.microsoft.com/office/drawing/2014/chart" uri="{C3380CC4-5D6E-409C-BE32-E72D297353CC}">
                <c16:uniqueId val="{00000001-EF51-4192-8292-579CDB255DD4}"/>
              </c:ext>
            </c:extLst>
          </c:dPt>
          <c:dPt>
            <c:idx val="5"/>
            <c:bubble3D val="0"/>
            <c:extLst xmlns:c16r2="http://schemas.microsoft.com/office/drawing/2015/06/chart">
              <c:ext xmlns:c16="http://schemas.microsoft.com/office/drawing/2014/chart" uri="{C3380CC4-5D6E-409C-BE32-E72D297353CC}">
                <c16:uniqueId val="{00000002-EF51-4192-8292-579CDB255DD4}"/>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'F-B5'!$G$34:$G$89</c:f>
              <c:numCache>
                <c:formatCode>#,##0</c:formatCode>
                <c:ptCount val="56"/>
                <c:pt idx="0">
                  <c:v>6940.8092759298315</c:v>
                </c:pt>
                <c:pt idx="2">
                  <c:v>7536.7767536565798</c:v>
                </c:pt>
                <c:pt idx="4">
                  <c:v>8377.5188288165627</c:v>
                </c:pt>
                <c:pt idx="6">
                  <c:v>9265.6508660505824</c:v>
                </c:pt>
                <c:pt idx="7">
                  <c:v>9369.1429628159185</c:v>
                </c:pt>
                <c:pt idx="8">
                  <c:v>9794.7532810766133</c:v>
                </c:pt>
                <c:pt idx="9">
                  <c:v>10241.183878651762</c:v>
                </c:pt>
                <c:pt idx="10">
                  <c:v>10399.763992877326</c:v>
                </c:pt>
                <c:pt idx="11">
                  <c:v>10137.883070524613</c:v>
                </c:pt>
                <c:pt idx="12">
                  <c:v>11028.318322885696</c:v>
                </c:pt>
                <c:pt idx="13">
                  <c:v>11694.388489995426</c:v>
                </c:pt>
                <c:pt idx="14">
                  <c:v>10992.495608127454</c:v>
                </c:pt>
                <c:pt idx="15">
                  <c:v>10526.043158897068</c:v>
                </c:pt>
                <c:pt idx="16">
                  <c:v>11103.897326751539</c:v>
                </c:pt>
                <c:pt idx="17">
                  <c:v>11770.438029479541</c:v>
                </c:pt>
                <c:pt idx="18">
                  <c:v>12394.937252215213</c:v>
                </c:pt>
                <c:pt idx="19">
                  <c:v>12191.1187284389</c:v>
                </c:pt>
                <c:pt idx="20">
                  <c:v>11305.97272831111</c:v>
                </c:pt>
                <c:pt idx="21">
                  <c:v>11573.85790450987</c:v>
                </c:pt>
                <c:pt idx="22">
                  <c:v>11059.913844374209</c:v>
                </c:pt>
                <c:pt idx="23">
                  <c:v>11111.008960404311</c:v>
                </c:pt>
                <c:pt idx="24">
                  <c:v>11981.794593351178</c:v>
                </c:pt>
                <c:pt idx="25">
                  <c:v>12377.558213412345</c:v>
                </c:pt>
                <c:pt idx="26">
                  <c:v>12465.029001518053</c:v>
                </c:pt>
                <c:pt idx="27">
                  <c:v>12999.009993867006</c:v>
                </c:pt>
                <c:pt idx="28">
                  <c:v>13005.758083715058</c:v>
                </c:pt>
                <c:pt idx="29">
                  <c:v>13166.734471412305</c:v>
                </c:pt>
                <c:pt idx="30">
                  <c:v>12773.679963671377</c:v>
                </c:pt>
                <c:pt idx="31">
                  <c:v>12336.293927118115</c:v>
                </c:pt>
                <c:pt idx="32">
                  <c:v>12234.943665850489</c:v>
                </c:pt>
                <c:pt idx="33">
                  <c:v>12402.379178043224</c:v>
                </c:pt>
                <c:pt idx="34">
                  <c:v>13254.759072118119</c:v>
                </c:pt>
                <c:pt idx="35">
                  <c:v>13464.101909271501</c:v>
                </c:pt>
                <c:pt idx="36">
                  <c:v>13855.848111139285</c:v>
                </c:pt>
                <c:pt idx="37">
                  <c:v>14322.571899143628</c:v>
                </c:pt>
                <c:pt idx="38">
                  <c:v>15088.734455468302</c:v>
                </c:pt>
                <c:pt idx="39">
                  <c:v>16044.261686209133</c:v>
                </c:pt>
                <c:pt idx="40">
                  <c:v>15975.743834696192</c:v>
                </c:pt>
                <c:pt idx="41">
                  <c:v>15925.16677327827</c:v>
                </c:pt>
                <c:pt idx="42">
                  <c:v>15663.203652268603</c:v>
                </c:pt>
                <c:pt idx="43">
                  <c:v>15450.811700324683</c:v>
                </c:pt>
                <c:pt idx="44">
                  <c:v>15698.059658810462</c:v>
                </c:pt>
                <c:pt idx="45">
                  <c:v>16284.804681718644</c:v>
                </c:pt>
                <c:pt idx="46">
                  <c:v>16623.202062180371</c:v>
                </c:pt>
                <c:pt idx="47">
                  <c:v>16673.762316063079</c:v>
                </c:pt>
                <c:pt idx="48">
                  <c:v>15769.855947686281</c:v>
                </c:pt>
                <c:pt idx="49">
                  <c:v>14821.606805862033</c:v>
                </c:pt>
                <c:pt idx="50">
                  <c:v>14759.138253854244</c:v>
                </c:pt>
                <c:pt idx="51">
                  <c:v>14991.444869133114</c:v>
                </c:pt>
                <c:pt idx="52">
                  <c:v>14988.998076241598</c:v>
                </c:pt>
                <c:pt idx="53">
                  <c:v>15170.72798749203</c:v>
                </c:pt>
                <c:pt idx="54">
                  <c:v>15465.037101063157</c:v>
                </c:pt>
                <c:pt idx="55">
                  <c:v>15978.692472289602</c:v>
                </c:pt>
              </c:numCache>
            </c:numRef>
          </c:val>
          <c:smooth val="0"/>
          <c:extLst xmlns:c16r2="http://schemas.microsoft.com/office/drawing/2015/06/chart">
            <c:ext xmlns:c16="http://schemas.microsoft.com/office/drawing/2014/chart" uri="{C3380CC4-5D6E-409C-BE32-E72D297353CC}">
              <c16:uniqueId val="{00000003-EF51-4192-8292-579CDB255DD4}"/>
            </c:ext>
          </c:extLst>
        </c:ser>
        <c:ser>
          <c:idx val="2"/>
          <c:order val="1"/>
          <c:tx>
            <c:strRef>
              <c:f>'F-B5'!$C$33</c:f>
              <c:strCache>
                <c:ptCount val="1"/>
                <c:pt idx="0">
                  <c:v>Pre-tax after-transfer income</c:v>
                </c:pt>
              </c:strCache>
            </c:strRef>
          </c:tx>
          <c:spPr>
            <a:ln w="19050">
              <a:solidFill>
                <a:schemeClr val="tx1">
                  <a:lumMod val="65000"/>
                  <a:lumOff val="35000"/>
                </a:schemeClr>
              </a:solidFill>
              <a:prstDash val="sysDash"/>
            </a:ln>
          </c:spPr>
          <c:marker>
            <c:symbol val="none"/>
          </c:marker>
          <c:dPt>
            <c:idx val="1"/>
            <c:bubble3D val="0"/>
            <c:extLst xmlns:c16r2="http://schemas.microsoft.com/office/drawing/2015/06/chart">
              <c:ext xmlns:c16="http://schemas.microsoft.com/office/drawing/2014/chart" uri="{C3380CC4-5D6E-409C-BE32-E72D297353CC}">
                <c16:uniqueId val="{00000004-EF51-4192-8292-579CDB255DD4}"/>
              </c:ext>
            </c:extLst>
          </c:dPt>
          <c:dPt>
            <c:idx val="3"/>
            <c:bubble3D val="0"/>
            <c:extLst xmlns:c16r2="http://schemas.microsoft.com/office/drawing/2015/06/chart">
              <c:ext xmlns:c16="http://schemas.microsoft.com/office/drawing/2014/chart" uri="{C3380CC4-5D6E-409C-BE32-E72D297353CC}">
                <c16:uniqueId val="{00000005-EF51-4192-8292-579CDB255DD4}"/>
              </c:ext>
            </c:extLst>
          </c:dPt>
          <c:dPt>
            <c:idx val="5"/>
            <c:bubble3D val="0"/>
            <c:extLst xmlns:c16r2="http://schemas.microsoft.com/office/drawing/2015/06/chart">
              <c:ext xmlns:c16="http://schemas.microsoft.com/office/drawing/2014/chart" uri="{C3380CC4-5D6E-409C-BE32-E72D297353CC}">
                <c16:uniqueId val="{00000006-EF51-4192-8292-579CDB255DD4}"/>
              </c:ext>
            </c:extLst>
          </c:dPt>
          <c:val>
            <c:numRef>
              <c:f>'F-B5'!$H$34:$H$89</c:f>
              <c:numCache>
                <c:formatCode>0.0</c:formatCode>
                <c:ptCount val="56"/>
                <c:pt idx="0" formatCode="#,##0">
                  <c:v>8273.5942082588736</c:v>
                </c:pt>
                <c:pt idx="2" formatCode="#,##0">
                  <c:v>9066.7787539427336</c:v>
                </c:pt>
                <c:pt idx="4" formatCode="#,##0">
                  <c:v>10004.235459734051</c:v>
                </c:pt>
                <c:pt idx="6" formatCode="#,##0">
                  <c:v>11032.629588048685</c:v>
                </c:pt>
                <c:pt idx="7" formatCode="#,##0">
                  <c:v>11407.458987763193</c:v>
                </c:pt>
                <c:pt idx="8" formatCode="#,##0">
                  <c:v>12048.410418468176</c:v>
                </c:pt>
                <c:pt idx="9" formatCode="#,##0">
                  <c:v>12628.660986838719</c:v>
                </c:pt>
                <c:pt idx="10" formatCode="#,##0">
                  <c:v>13248.241932472716</c:v>
                </c:pt>
                <c:pt idx="11" formatCode="#,##0">
                  <c:v>13273.98951589098</c:v>
                </c:pt>
                <c:pt idx="12" formatCode="#,##0">
                  <c:v>14376.911548690168</c:v>
                </c:pt>
                <c:pt idx="13" formatCode="#,##0">
                  <c:v>15310.62559188154</c:v>
                </c:pt>
                <c:pt idx="14" formatCode="#,##0">
                  <c:v>14798.553838063362</c:v>
                </c:pt>
                <c:pt idx="15" formatCode="#,##0">
                  <c:v>14939.300984603027</c:v>
                </c:pt>
                <c:pt idx="16" formatCode="#,##0">
                  <c:v>15630.801784335446</c:v>
                </c:pt>
                <c:pt idx="17" formatCode="#,##0">
                  <c:v>16319.201180824784</c:v>
                </c:pt>
                <c:pt idx="18" formatCode="#,##0">
                  <c:v>16915.398327538427</c:v>
                </c:pt>
                <c:pt idx="19" formatCode="#,##0">
                  <c:v>16739.703463246002</c:v>
                </c:pt>
                <c:pt idx="20" formatCode="#,##0">
                  <c:v>16114.644605048095</c:v>
                </c:pt>
                <c:pt idx="21" formatCode="#,##0">
                  <c:v>16446.05281417643</c:v>
                </c:pt>
                <c:pt idx="22" formatCode="#,##0">
                  <c:v>16107.703433843504</c:v>
                </c:pt>
                <c:pt idx="23" formatCode="#,##0">
                  <c:v>16249.188912656698</c:v>
                </c:pt>
                <c:pt idx="24" formatCode="#,##0">
                  <c:v>16929.078472188525</c:v>
                </c:pt>
                <c:pt idx="25" formatCode="#,##0">
                  <c:v>17441.218220806422</c:v>
                </c:pt>
                <c:pt idx="26" formatCode="#,##0">
                  <c:v>17715.717997614549</c:v>
                </c:pt>
                <c:pt idx="27" formatCode="#,##0">
                  <c:v>18329.145612117554</c:v>
                </c:pt>
                <c:pt idx="28" formatCode="#,##0">
                  <c:v>18346.43334503824</c:v>
                </c:pt>
                <c:pt idx="29" formatCode="#,##0">
                  <c:v>18659.567571354251</c:v>
                </c:pt>
                <c:pt idx="30" formatCode="#,##0">
                  <c:v>18479.644906987043</c:v>
                </c:pt>
                <c:pt idx="31" formatCode="#,##0">
                  <c:v>18520.110162120676</c:v>
                </c:pt>
                <c:pt idx="32" formatCode="#,##0">
                  <c:v>18985.798867290174</c:v>
                </c:pt>
                <c:pt idx="33" formatCode="#,##0">
                  <c:v>19386.585437602123</c:v>
                </c:pt>
                <c:pt idx="34" formatCode="#,##0">
                  <c:v>20418.927519941648</c:v>
                </c:pt>
                <c:pt idx="35" formatCode="#,##0">
                  <c:v>20707.88404472607</c:v>
                </c:pt>
                <c:pt idx="36" formatCode="#,##0">
                  <c:v>21196.662012042747</c:v>
                </c:pt>
                <c:pt idx="37" formatCode="#,##0">
                  <c:v>21638.452223771543</c:v>
                </c:pt>
                <c:pt idx="38" formatCode="#,##0">
                  <c:v>22382.305115496518</c:v>
                </c:pt>
                <c:pt idx="39" formatCode="#,##0">
                  <c:v>23610.21517467422</c:v>
                </c:pt>
                <c:pt idx="40" formatCode="#,##0">
                  <c:v>23386.45096490315</c:v>
                </c:pt>
                <c:pt idx="41" formatCode="#,##0">
                  <c:v>23752.201673536685</c:v>
                </c:pt>
                <c:pt idx="42" formatCode="#,##0">
                  <c:v>23956.012815935541</c:v>
                </c:pt>
                <c:pt idx="43" formatCode="#,##0">
                  <c:v>23898.613385771434</c:v>
                </c:pt>
                <c:pt idx="44" formatCode="#,##0">
                  <c:v>24365.050749699312</c:v>
                </c:pt>
                <c:pt idx="45" formatCode="#,##0">
                  <c:v>25214.944874750046</c:v>
                </c:pt>
                <c:pt idx="46" formatCode="#,##0">
                  <c:v>25527.928822937043</c:v>
                </c:pt>
                <c:pt idx="47" formatCode="#,##0">
                  <c:v>25820.8476350243</c:v>
                </c:pt>
                <c:pt idx="48" formatCode="#,##0">
                  <c:v>25994.47966902901</c:v>
                </c:pt>
                <c:pt idx="49" formatCode="#,##0">
                  <c:v>25655.136320330213</c:v>
                </c:pt>
                <c:pt idx="50" formatCode="#,##0">
                  <c:v>26244.54131580839</c:v>
                </c:pt>
                <c:pt idx="51" formatCode="#,##0">
                  <c:v>26218.093990928857</c:v>
                </c:pt>
                <c:pt idx="52" formatCode="#,##0">
                  <c:v>25692.086269116484</c:v>
                </c:pt>
                <c:pt idx="53" formatCode="#,##0">
                  <c:v>25862.891451695206</c:v>
                </c:pt>
                <c:pt idx="54" formatCode="#,##0">
                  <c:v>26525.21436119327</c:v>
                </c:pt>
                <c:pt idx="55" formatCode="#,##0">
                  <c:v>27457.406923913899</c:v>
                </c:pt>
              </c:numCache>
            </c:numRef>
          </c:val>
          <c:smooth val="0"/>
          <c:extLst xmlns:c16r2="http://schemas.microsoft.com/office/drawing/2015/06/chart">
            <c:ext xmlns:c16="http://schemas.microsoft.com/office/drawing/2014/chart" uri="{C3380CC4-5D6E-409C-BE32-E72D297353CC}">
              <c16:uniqueId val="{00000007-EF51-4192-8292-579CDB255DD4}"/>
            </c:ext>
          </c:extLst>
        </c:ser>
        <c:ser>
          <c:idx val="3"/>
          <c:order val="2"/>
          <c:tx>
            <c:strRef>
              <c:f>'F-B5'!$D$33</c:f>
              <c:strCache>
                <c:ptCount val="1"/>
                <c:pt idx="0">
                  <c:v>After-tax income</c:v>
                </c:pt>
              </c:strCache>
            </c:strRef>
          </c:tx>
          <c:spPr>
            <a:ln w="25400">
              <a:solidFill>
                <a:schemeClr val="accent2">
                  <a:lumMod val="75000"/>
                </a:schemeClr>
              </a:solidFill>
            </a:ln>
          </c:spPr>
          <c:marker>
            <c:symbol val="none"/>
          </c:marker>
          <c:dPt>
            <c:idx val="1"/>
            <c:bubble3D val="0"/>
            <c:extLst xmlns:c16r2="http://schemas.microsoft.com/office/drawing/2015/06/chart">
              <c:ext xmlns:c16="http://schemas.microsoft.com/office/drawing/2014/chart" uri="{C3380CC4-5D6E-409C-BE32-E72D297353CC}">
                <c16:uniqueId val="{00000008-EF51-4192-8292-579CDB255DD4}"/>
              </c:ext>
            </c:extLst>
          </c:dPt>
          <c:dPt>
            <c:idx val="3"/>
            <c:bubble3D val="0"/>
            <c:extLst xmlns:c16r2="http://schemas.microsoft.com/office/drawing/2015/06/chart">
              <c:ext xmlns:c16="http://schemas.microsoft.com/office/drawing/2014/chart" uri="{C3380CC4-5D6E-409C-BE32-E72D297353CC}">
                <c16:uniqueId val="{00000009-EF51-4192-8292-579CDB255DD4}"/>
              </c:ext>
            </c:extLst>
          </c:dPt>
          <c:dPt>
            <c:idx val="5"/>
            <c:bubble3D val="0"/>
            <c:extLst xmlns:c16r2="http://schemas.microsoft.com/office/drawing/2015/06/chart">
              <c:ext xmlns:c16="http://schemas.microsoft.com/office/drawing/2014/chart" uri="{C3380CC4-5D6E-409C-BE32-E72D297353CC}">
                <c16:uniqueId val="{0000000A-EF51-4192-8292-579CDB255DD4}"/>
              </c:ext>
            </c:extLst>
          </c:dPt>
          <c:val>
            <c:numRef>
              <c:f>'F-B5'!$I$34:$I$89</c:f>
              <c:numCache>
                <c:formatCode>0</c:formatCode>
                <c:ptCount val="56"/>
                <c:pt idx="0" formatCode="#,##0">
                  <c:v>9505.4806053372449</c:v>
                </c:pt>
                <c:pt idx="2" formatCode="#,##0">
                  <c:v>10335.820574605539</c:v>
                </c:pt>
                <c:pt idx="4" formatCode="#,##0">
                  <c:v>11367.58333785626</c:v>
                </c:pt>
                <c:pt idx="6" formatCode="#,##0">
                  <c:v>12468.768443155848</c:v>
                </c:pt>
                <c:pt idx="7" formatCode="#,##0">
                  <c:v>12861.294193773743</c:v>
                </c:pt>
                <c:pt idx="8" formatCode="#,##0">
                  <c:v>13692.334168319774</c:v>
                </c:pt>
                <c:pt idx="9" formatCode="#,##0">
                  <c:v>14265.048213914755</c:v>
                </c:pt>
                <c:pt idx="10" formatCode="#,##0">
                  <c:v>14824.223692392516</c:v>
                </c:pt>
                <c:pt idx="11" formatCode="#,##0">
                  <c:v>14772.892679833874</c:v>
                </c:pt>
                <c:pt idx="12" formatCode="#,##0">
                  <c:v>15989.6887678106</c:v>
                </c:pt>
                <c:pt idx="13" formatCode="#,##0">
                  <c:v>16644.439552272572</c:v>
                </c:pt>
                <c:pt idx="14" formatCode="#,##0">
                  <c:v>16080.062992457695</c:v>
                </c:pt>
                <c:pt idx="15" formatCode="#,##0">
                  <c:v>16361.448068026813</c:v>
                </c:pt>
                <c:pt idx="16" formatCode="#,##0">
                  <c:v>16982.225136977468</c:v>
                </c:pt>
                <c:pt idx="17" formatCode="#,##0">
                  <c:v>17657.44950382656</c:v>
                </c:pt>
                <c:pt idx="18" formatCode="#,##0">
                  <c:v>18192.89613287877</c:v>
                </c:pt>
                <c:pt idx="19" formatCode="#,##0">
                  <c:v>18094.999558693082</c:v>
                </c:pt>
                <c:pt idx="20" formatCode="#,##0">
                  <c:v>17511.924877167745</c:v>
                </c:pt>
                <c:pt idx="21" formatCode="#,##0">
                  <c:v>17858.393330575138</c:v>
                </c:pt>
                <c:pt idx="22" formatCode="#,##0">
                  <c:v>17645.335920499092</c:v>
                </c:pt>
                <c:pt idx="23" formatCode="#,##0">
                  <c:v>17731.927817633088</c:v>
                </c:pt>
                <c:pt idx="24" formatCode="#,##0">
                  <c:v>18327.677771703278</c:v>
                </c:pt>
                <c:pt idx="25" formatCode="#,##0">
                  <c:v>18906.429561060588</c:v>
                </c:pt>
                <c:pt idx="26" formatCode="#,##0">
                  <c:v>19161.233897158025</c:v>
                </c:pt>
                <c:pt idx="27" formatCode="#,##0">
                  <c:v>19962.358638602058</c:v>
                </c:pt>
                <c:pt idx="28" formatCode="#,##0">
                  <c:v>19965.658998747822</c:v>
                </c:pt>
                <c:pt idx="29" formatCode="#,##0">
                  <c:v>20379.018824044837</c:v>
                </c:pt>
                <c:pt idx="30" formatCode="#,##0">
                  <c:v>20185.150505337409</c:v>
                </c:pt>
                <c:pt idx="31" formatCode="#,##0">
                  <c:v>20213.995506278778</c:v>
                </c:pt>
                <c:pt idx="32" formatCode="#,##0">
                  <c:v>20730.179096497308</c:v>
                </c:pt>
                <c:pt idx="33" formatCode="#,##0">
                  <c:v>21037.271223573724</c:v>
                </c:pt>
                <c:pt idx="34" formatCode="#,##0">
                  <c:v>22031.744391797518</c:v>
                </c:pt>
                <c:pt idx="35" formatCode="#,##0">
                  <c:v>22371.50619979799</c:v>
                </c:pt>
                <c:pt idx="36" formatCode="#,##0">
                  <c:v>22824.427634113341</c:v>
                </c:pt>
                <c:pt idx="37" formatCode="#,##0">
                  <c:v>23363.100280893454</c:v>
                </c:pt>
                <c:pt idx="38" formatCode="#,##0">
                  <c:v>24208.436890230834</c:v>
                </c:pt>
                <c:pt idx="39" formatCode="#,##0">
                  <c:v>25648.528450819082</c:v>
                </c:pt>
                <c:pt idx="40" formatCode="#,##0">
                  <c:v>25385.526310680532</c:v>
                </c:pt>
                <c:pt idx="41" formatCode="#,##0">
                  <c:v>25953.373484074942</c:v>
                </c:pt>
                <c:pt idx="42" formatCode="#,##0">
                  <c:v>26169.513095940627</c:v>
                </c:pt>
                <c:pt idx="43" formatCode="#,##0">
                  <c:v>26125.262412307446</c:v>
                </c:pt>
                <c:pt idx="44" formatCode="#,##0">
                  <c:v>26586.319772744526</c:v>
                </c:pt>
                <c:pt idx="45" formatCode="#,##0">
                  <c:v>27544.991875471907</c:v>
                </c:pt>
                <c:pt idx="46" formatCode="#,##0">
                  <c:v>27962.798214435003</c:v>
                </c:pt>
                <c:pt idx="47" formatCode="#,##0">
                  <c:v>28349.856792468407</c:v>
                </c:pt>
                <c:pt idx="48" formatCode="#,##0">
                  <c:v>28560.727250730648</c:v>
                </c:pt>
                <c:pt idx="49" formatCode="#,##0">
                  <c:v>28414.87732519344</c:v>
                </c:pt>
                <c:pt idx="50" formatCode="#,##0">
                  <c:v>29035.566893933446</c:v>
                </c:pt>
                <c:pt idx="51" formatCode="#,##0">
                  <c:v>29086.007726236014</c:v>
                </c:pt>
                <c:pt idx="52" formatCode="#,##0">
                  <c:v>28372.192058952558</c:v>
                </c:pt>
                <c:pt idx="53" formatCode="#,##0">
                  <c:v>28305.013906574895</c:v>
                </c:pt>
                <c:pt idx="54" formatCode="#,##0">
                  <c:v>28818.972890772682</c:v>
                </c:pt>
                <c:pt idx="55" formatCode="#,##0">
                  <c:v>29673.222962000349</c:v>
                </c:pt>
              </c:numCache>
            </c:numRef>
          </c:val>
          <c:smooth val="0"/>
          <c:extLst xmlns:c16r2="http://schemas.microsoft.com/office/drawing/2015/06/chart">
            <c:ext xmlns:c16="http://schemas.microsoft.com/office/drawing/2014/chart" uri="{C3380CC4-5D6E-409C-BE32-E72D297353CC}">
              <c16:uniqueId val="{0000000B-EF51-4192-8292-579CDB255DD4}"/>
            </c:ext>
          </c:extLst>
        </c:ser>
        <c:dLbls>
          <c:showLegendKey val="0"/>
          <c:showVal val="0"/>
          <c:showCatName val="0"/>
          <c:showSerName val="0"/>
          <c:showPercent val="0"/>
          <c:showBubbleSize val="0"/>
        </c:dLbls>
        <c:smooth val="0"/>
        <c:axId val="506943784"/>
        <c:axId val="566412576"/>
      </c:lineChart>
      <c:catAx>
        <c:axId val="506943784"/>
        <c:scaling>
          <c:orientation val="minMax"/>
        </c:scaling>
        <c:delete val="0"/>
        <c:axPos val="b"/>
        <c:majorGridlines>
          <c:spPr>
            <a:ln w="6350">
              <a:solidFill>
                <a:schemeClr val="tx1">
                  <a:lumMod val="50000"/>
                  <a:lumOff val="50000"/>
                </a:schemeClr>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566412576"/>
        <c:crossesAt val="0"/>
        <c:auto val="1"/>
        <c:lblAlgn val="ctr"/>
        <c:lblOffset val="100"/>
        <c:tickLblSkip val="10"/>
        <c:tickMarkSkip val="10"/>
        <c:noMultiLvlLbl val="0"/>
      </c:catAx>
      <c:valAx>
        <c:axId val="566412576"/>
        <c:scaling>
          <c:orientation val="minMax"/>
          <c:max val="30000"/>
          <c:min val="0"/>
        </c:scaling>
        <c:delete val="0"/>
        <c:axPos val="l"/>
        <c:majorGridlines>
          <c:spPr>
            <a:ln w="6350">
              <a:solidFill>
                <a:schemeClr val="tx1">
                  <a:lumMod val="50000"/>
                  <a:lumOff val="50000"/>
                </a:schemeClr>
              </a:solidFill>
              <a:prstDash val="sysDash"/>
            </a:ln>
          </c:spPr>
        </c:majorGridlines>
        <c:title>
          <c:tx>
            <c:rich>
              <a:bodyPr/>
              <a:lstStyle/>
              <a:p>
                <a:pPr>
                  <a:defRPr sz="1200" b="0" i="0" u="none" strike="noStrike" baseline="0">
                    <a:solidFill>
                      <a:srgbClr val="000000"/>
                    </a:solidFill>
                    <a:latin typeface="Arial"/>
                    <a:ea typeface="Arial"/>
                    <a:cs typeface="Arial"/>
                  </a:defRPr>
                </a:pPr>
                <a:r>
                  <a:rPr lang="en-US" sz="1200" b="0"/>
                  <a:t>Bottom</a:t>
                </a:r>
                <a:r>
                  <a:rPr lang="en-US" sz="1200" b="0" baseline="0"/>
                  <a:t> 50</a:t>
                </a:r>
                <a:r>
                  <a:rPr lang="en-US" sz="1200" b="0"/>
                  <a:t>% average</a:t>
                </a:r>
                <a:r>
                  <a:rPr lang="en-US" sz="1200" b="0" baseline="0"/>
                  <a:t> real income ($2015)</a:t>
                </a:r>
                <a:endParaRPr lang="en-US" sz="1200" b="0"/>
              </a:p>
            </c:rich>
          </c:tx>
          <c:layout>
            <c:manualLayout>
              <c:xMode val="edge"/>
              <c:yMode val="edge"/>
              <c:x val="9.2468970793163695E-4"/>
              <c:y val="0.163137492428831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506943784"/>
        <c:crosses val="autoZero"/>
        <c:crossBetween val="midCat"/>
        <c:majorUnit val="10000"/>
        <c:minorUnit val="0.05"/>
      </c:valAx>
      <c:spPr>
        <a:solidFill>
          <a:srgbClr val="FFFFFF"/>
        </a:solidFill>
        <a:ln w="3175">
          <a:noFill/>
          <a:prstDash val="solid"/>
        </a:ln>
      </c:spPr>
    </c:plotArea>
    <c:plotVisOnly val="1"/>
    <c:dispBlanksAs val="span"/>
    <c:showDLblsOverMax val="0"/>
  </c:chart>
  <c:spPr>
    <a:solidFill>
      <a:schemeClr val="bg1"/>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866" r="0.75000000000000866" t="1" header="0.5" footer="0.5"/>
    <c:pageSetup orientation="landscape" verticalDpi="96"/>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75810832611271"/>
          <c:y val="1.8568512269299675E-2"/>
          <c:w val="0.83014488447857138"/>
          <c:h val="0.92738386868308131"/>
        </c:manualLayout>
      </c:layout>
      <c:lineChart>
        <c:grouping val="standard"/>
        <c:varyColors val="0"/>
        <c:ser>
          <c:idx val="1"/>
          <c:order val="0"/>
          <c:tx>
            <c:strRef>
              <c:f>'F-B6'!$B$33</c:f>
              <c:strCache>
                <c:ptCount val="1"/>
                <c:pt idx="0">
                  <c:v>Pre-tax Income</c:v>
                </c:pt>
              </c:strCache>
            </c:strRef>
          </c:tx>
          <c:spPr>
            <a:ln w="25400">
              <a:solidFill>
                <a:schemeClr val="accent3">
                  <a:lumMod val="75000"/>
                </a:schemeClr>
              </a:solidFill>
              <a:prstDash val="solid"/>
            </a:ln>
          </c:spPr>
          <c:marker>
            <c:symbol val="none"/>
          </c:marker>
          <c:dPt>
            <c:idx val="1"/>
            <c:bubble3D val="0"/>
            <c:extLst xmlns:c16r2="http://schemas.microsoft.com/office/drawing/2015/06/chart">
              <c:ext xmlns:c16="http://schemas.microsoft.com/office/drawing/2014/chart" uri="{C3380CC4-5D6E-409C-BE32-E72D297353CC}">
                <c16:uniqueId val="{00000000-0753-42C3-B966-A86D82400D8A}"/>
              </c:ext>
            </c:extLst>
          </c:dPt>
          <c:dPt>
            <c:idx val="3"/>
            <c:bubble3D val="0"/>
            <c:extLst xmlns:c16r2="http://schemas.microsoft.com/office/drawing/2015/06/chart">
              <c:ext xmlns:c16="http://schemas.microsoft.com/office/drawing/2014/chart" uri="{C3380CC4-5D6E-409C-BE32-E72D297353CC}">
                <c16:uniqueId val="{00000001-0753-42C3-B966-A86D82400D8A}"/>
              </c:ext>
            </c:extLst>
          </c:dPt>
          <c:dPt>
            <c:idx val="5"/>
            <c:bubble3D val="0"/>
            <c:extLst xmlns:c16r2="http://schemas.microsoft.com/office/drawing/2015/06/chart">
              <c:ext xmlns:c16="http://schemas.microsoft.com/office/drawing/2014/chart" uri="{C3380CC4-5D6E-409C-BE32-E72D297353CC}">
                <c16:uniqueId val="{00000002-0753-42C3-B966-A86D82400D8A}"/>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'F-B6'!$B$34:$B$89</c:f>
              <c:numCache>
                <c:formatCode>0.000</c:formatCode>
                <c:ptCount val="56"/>
                <c:pt idx="0">
                  <c:v>0.44547567073127764</c:v>
                </c:pt>
                <c:pt idx="2">
                  <c:v>0.44722264966639164</c:v>
                </c:pt>
                <c:pt idx="4">
                  <c:v>0.44872154717266605</c:v>
                </c:pt>
                <c:pt idx="6">
                  <c:v>0.44055954456502239</c:v>
                </c:pt>
                <c:pt idx="7">
                  <c:v>0.44125417854354032</c:v>
                </c:pt>
                <c:pt idx="8">
                  <c:v>0.4436917989671374</c:v>
                </c:pt>
                <c:pt idx="9">
                  <c:v>0.45057097197548762</c:v>
                </c:pt>
                <c:pt idx="10">
                  <c:v>0.45669236446261174</c:v>
                </c:pt>
                <c:pt idx="11">
                  <c:v>0.45636938406368521</c:v>
                </c:pt>
                <c:pt idx="12">
                  <c:v>0.45341233666908776</c:v>
                </c:pt>
                <c:pt idx="13">
                  <c:v>0.4513738235541962</c:v>
                </c:pt>
                <c:pt idx="14">
                  <c:v>0.45666687413854468</c:v>
                </c:pt>
                <c:pt idx="15">
                  <c:v>0.46337570453411803</c:v>
                </c:pt>
                <c:pt idx="16">
                  <c:v>0.4605603826832621</c:v>
                </c:pt>
                <c:pt idx="17">
                  <c:v>0.46066907636012094</c:v>
                </c:pt>
                <c:pt idx="18">
                  <c:v>0.45873805276697305</c:v>
                </c:pt>
                <c:pt idx="19">
                  <c:v>0.46128020929630681</c:v>
                </c:pt>
                <c:pt idx="20">
                  <c:v>0.46665666958179025</c:v>
                </c:pt>
                <c:pt idx="21">
                  <c:v>0.46858799351739583</c:v>
                </c:pt>
                <c:pt idx="22">
                  <c:v>0.47019888297975215</c:v>
                </c:pt>
                <c:pt idx="23">
                  <c:v>0.47196615722569402</c:v>
                </c:pt>
                <c:pt idx="24">
                  <c:v>0.46912180634502626</c:v>
                </c:pt>
                <c:pt idx="25">
                  <c:v>0.46903321263585862</c:v>
                </c:pt>
                <c:pt idx="26">
                  <c:v>0.47218045048254242</c:v>
                </c:pt>
                <c:pt idx="27">
                  <c:v>0.46966643537343267</c:v>
                </c:pt>
                <c:pt idx="28">
                  <c:v>0.45765299470039272</c:v>
                </c:pt>
                <c:pt idx="29">
                  <c:v>0.46021456650495696</c:v>
                </c:pt>
                <c:pt idx="30">
                  <c:v>0.45945471476645411</c:v>
                </c:pt>
                <c:pt idx="31">
                  <c:v>0.46249246055714205</c:v>
                </c:pt>
                <c:pt idx="32">
                  <c:v>0.45869105273739064</c:v>
                </c:pt>
                <c:pt idx="33">
                  <c:v>0.46243029750101761</c:v>
                </c:pt>
                <c:pt idx="34">
                  <c:v>0.46059526238657439</c:v>
                </c:pt>
                <c:pt idx="35">
                  <c:v>0.45474309536955487</c:v>
                </c:pt>
                <c:pt idx="36">
                  <c:v>0.45112832232152367</c:v>
                </c:pt>
                <c:pt idx="37">
                  <c:v>0.44687362193549962</c:v>
                </c:pt>
                <c:pt idx="38">
                  <c:v>0.44548880330529417</c:v>
                </c:pt>
                <c:pt idx="39">
                  <c:v>0.44114766159384211</c:v>
                </c:pt>
                <c:pt idx="40">
                  <c:v>0.43757877962999292</c:v>
                </c:pt>
                <c:pt idx="41">
                  <c:v>0.44519096936568919</c:v>
                </c:pt>
                <c:pt idx="42">
                  <c:v>0.45221445985915759</c:v>
                </c:pt>
                <c:pt idx="43">
                  <c:v>0.45226587519348299</c:v>
                </c:pt>
                <c:pt idx="44">
                  <c:v>0.44723386015852035</c:v>
                </c:pt>
                <c:pt idx="45">
                  <c:v>0.43868775448779912</c:v>
                </c:pt>
                <c:pt idx="46">
                  <c:v>0.43553017167416119</c:v>
                </c:pt>
                <c:pt idx="47">
                  <c:v>0.43547410839244116</c:v>
                </c:pt>
                <c:pt idx="48">
                  <c:v>0.44148792636690992</c:v>
                </c:pt>
                <c:pt idx="49">
                  <c:v>0.45129390686683302</c:v>
                </c:pt>
                <c:pt idx="50">
                  <c:v>0.44231430204160932</c:v>
                </c:pt>
                <c:pt idx="51">
                  <c:v>0.44306366243401413</c:v>
                </c:pt>
                <c:pt idx="52">
                  <c:v>0.43379309471985883</c:v>
                </c:pt>
                <c:pt idx="53">
                  <c:v>0.44371747241921722</c:v>
                </c:pt>
                <c:pt idx="54">
                  <c:v>0.44091798514948521</c:v>
                </c:pt>
                <c:pt idx="55">
                  <c:v>0.44219933781017362</c:v>
                </c:pt>
              </c:numCache>
            </c:numRef>
          </c:val>
          <c:smooth val="0"/>
          <c:extLst xmlns:c16r2="http://schemas.microsoft.com/office/drawing/2015/06/chart">
            <c:ext xmlns:c16="http://schemas.microsoft.com/office/drawing/2014/chart" uri="{C3380CC4-5D6E-409C-BE32-E72D297353CC}">
              <c16:uniqueId val="{00000003-0753-42C3-B966-A86D82400D8A}"/>
            </c:ext>
          </c:extLst>
        </c:ser>
        <c:ser>
          <c:idx val="2"/>
          <c:order val="1"/>
          <c:tx>
            <c:strRef>
              <c:f>'F-B6'!$C$33</c:f>
              <c:strCache>
                <c:ptCount val="1"/>
                <c:pt idx="0">
                  <c:v>Pre-tax after-transfer income</c:v>
                </c:pt>
              </c:strCache>
            </c:strRef>
          </c:tx>
          <c:spPr>
            <a:ln w="19050">
              <a:solidFill>
                <a:schemeClr val="tx1">
                  <a:lumMod val="65000"/>
                  <a:lumOff val="35000"/>
                </a:schemeClr>
              </a:solidFill>
              <a:prstDash val="sysDash"/>
            </a:ln>
          </c:spPr>
          <c:marker>
            <c:symbol val="none"/>
          </c:marker>
          <c:dPt>
            <c:idx val="1"/>
            <c:bubble3D val="0"/>
            <c:extLst xmlns:c16r2="http://schemas.microsoft.com/office/drawing/2015/06/chart">
              <c:ext xmlns:c16="http://schemas.microsoft.com/office/drawing/2014/chart" uri="{C3380CC4-5D6E-409C-BE32-E72D297353CC}">
                <c16:uniqueId val="{00000004-0753-42C3-B966-A86D82400D8A}"/>
              </c:ext>
            </c:extLst>
          </c:dPt>
          <c:dPt>
            <c:idx val="3"/>
            <c:bubble3D val="0"/>
            <c:extLst xmlns:c16r2="http://schemas.microsoft.com/office/drawing/2015/06/chart">
              <c:ext xmlns:c16="http://schemas.microsoft.com/office/drawing/2014/chart" uri="{C3380CC4-5D6E-409C-BE32-E72D297353CC}">
                <c16:uniqueId val="{00000005-0753-42C3-B966-A86D82400D8A}"/>
              </c:ext>
            </c:extLst>
          </c:dPt>
          <c:dPt>
            <c:idx val="5"/>
            <c:bubble3D val="0"/>
            <c:extLst xmlns:c16r2="http://schemas.microsoft.com/office/drawing/2015/06/chart">
              <c:ext xmlns:c16="http://schemas.microsoft.com/office/drawing/2014/chart" uri="{C3380CC4-5D6E-409C-BE32-E72D297353CC}">
                <c16:uniqueId val="{00000006-0753-42C3-B966-A86D82400D8A}"/>
              </c:ext>
            </c:extLst>
          </c:dPt>
          <c:val>
            <c:numRef>
              <c:f>'F-B6'!$C$34:$C$89</c:f>
              <c:numCache>
                <c:formatCode>0.000</c:formatCode>
                <c:ptCount val="56"/>
                <c:pt idx="0">
                  <c:v>0.43151848237250179</c:v>
                </c:pt>
                <c:pt idx="2">
                  <c:v>0.43193498927002233</c:v>
                </c:pt>
                <c:pt idx="4">
                  <c:v>0.43337106180854762</c:v>
                </c:pt>
                <c:pt idx="6">
                  <c:v>0.42535501459275438</c:v>
                </c:pt>
                <c:pt idx="7">
                  <c:v>0.42389948811500083</c:v>
                </c:pt>
                <c:pt idx="8">
                  <c:v>0.42539064067453863</c:v>
                </c:pt>
                <c:pt idx="9">
                  <c:v>0.4311964446902305</c:v>
                </c:pt>
                <c:pt idx="10">
                  <c:v>0.43328877754044776</c:v>
                </c:pt>
                <c:pt idx="11">
                  <c:v>0.43099943451875294</c:v>
                </c:pt>
                <c:pt idx="12">
                  <c:v>0.42876404018254999</c:v>
                </c:pt>
                <c:pt idx="13">
                  <c:v>0.42553149693598508</c:v>
                </c:pt>
                <c:pt idx="14">
                  <c:v>0.42845288853248781</c:v>
                </c:pt>
                <c:pt idx="15">
                  <c:v>0.43126400470705728</c:v>
                </c:pt>
                <c:pt idx="16">
                  <c:v>0.42830618490698796</c:v>
                </c:pt>
                <c:pt idx="17">
                  <c:v>0.42960942003733094</c:v>
                </c:pt>
                <c:pt idx="18">
                  <c:v>0.42893838790564964</c:v>
                </c:pt>
                <c:pt idx="19">
                  <c:v>0.43138988765295005</c:v>
                </c:pt>
                <c:pt idx="20">
                  <c:v>0.43390280492997924</c:v>
                </c:pt>
                <c:pt idx="21">
                  <c:v>0.43627649828765591</c:v>
                </c:pt>
                <c:pt idx="22">
                  <c:v>0.43679024350836282</c:v>
                </c:pt>
                <c:pt idx="23">
                  <c:v>0.43901218445840107</c:v>
                </c:pt>
                <c:pt idx="24">
                  <c:v>0.43978833262222472</c:v>
                </c:pt>
                <c:pt idx="25">
                  <c:v>0.43852402320879935</c:v>
                </c:pt>
                <c:pt idx="26">
                  <c:v>0.44113936973508194</c:v>
                </c:pt>
                <c:pt idx="27">
                  <c:v>0.43959495570820312</c:v>
                </c:pt>
                <c:pt idx="28">
                  <c:v>0.42941194027711016</c:v>
                </c:pt>
                <c:pt idx="29">
                  <c:v>0.43150263259006783</c:v>
                </c:pt>
                <c:pt idx="30">
                  <c:v>0.42996862131550473</c:v>
                </c:pt>
                <c:pt idx="31">
                  <c:v>0.43027452331866317</c:v>
                </c:pt>
                <c:pt idx="32">
                  <c:v>0.42480296216790037</c:v>
                </c:pt>
                <c:pt idx="33">
                  <c:v>0.42729249646035328</c:v>
                </c:pt>
                <c:pt idx="34">
                  <c:v>0.42593596193582406</c:v>
                </c:pt>
                <c:pt idx="35">
                  <c:v>0.42150619696151775</c:v>
                </c:pt>
                <c:pt idx="36">
                  <c:v>0.41918071729579331</c:v>
                </c:pt>
                <c:pt idx="37">
                  <c:v>0.41679108003369097</c:v>
                </c:pt>
                <c:pt idx="38">
                  <c:v>0.41704191446285455</c:v>
                </c:pt>
                <c:pt idx="39">
                  <c:v>0.41362790054616883</c:v>
                </c:pt>
                <c:pt idx="40">
                  <c:v>0.41168774986659801</c:v>
                </c:pt>
                <c:pt idx="41">
                  <c:v>0.41722711736028945</c:v>
                </c:pt>
                <c:pt idx="42">
                  <c:v>0.42163996688577227</c:v>
                </c:pt>
                <c:pt idx="43">
                  <c:v>0.42167325249100113</c:v>
                </c:pt>
                <c:pt idx="44">
                  <c:v>0.4171499581366569</c:v>
                </c:pt>
                <c:pt idx="45">
                  <c:v>0.41003154106972944</c:v>
                </c:pt>
                <c:pt idx="46">
                  <c:v>0.40910111904616159</c:v>
                </c:pt>
                <c:pt idx="47">
                  <c:v>0.40832966466754622</c:v>
                </c:pt>
                <c:pt idx="48">
                  <c:v>0.41154119279976192</c:v>
                </c:pt>
                <c:pt idx="49">
                  <c:v>0.41610336963314454</c:v>
                </c:pt>
                <c:pt idx="50">
                  <c:v>0.40707939150184858</c:v>
                </c:pt>
                <c:pt idx="51">
                  <c:v>0.40894374308630804</c:v>
                </c:pt>
                <c:pt idx="52">
                  <c:v>0.40429258694160497</c:v>
                </c:pt>
                <c:pt idx="53">
                  <c:v>0.41278393968315508</c:v>
                </c:pt>
                <c:pt idx="54">
                  <c:v>0.40986006940193315</c:v>
                </c:pt>
                <c:pt idx="55">
                  <c:v>0.41088343174683145</c:v>
                </c:pt>
              </c:numCache>
            </c:numRef>
          </c:val>
          <c:smooth val="0"/>
          <c:extLst xmlns:c16r2="http://schemas.microsoft.com/office/drawing/2015/06/chart">
            <c:ext xmlns:c16="http://schemas.microsoft.com/office/drawing/2014/chart" uri="{C3380CC4-5D6E-409C-BE32-E72D297353CC}">
              <c16:uniqueId val="{00000007-0753-42C3-B966-A86D82400D8A}"/>
            </c:ext>
          </c:extLst>
        </c:ser>
        <c:ser>
          <c:idx val="3"/>
          <c:order val="2"/>
          <c:tx>
            <c:strRef>
              <c:f>'F-B6'!$D$33</c:f>
              <c:strCache>
                <c:ptCount val="1"/>
                <c:pt idx="0">
                  <c:v>After-tax income</c:v>
                </c:pt>
              </c:strCache>
            </c:strRef>
          </c:tx>
          <c:spPr>
            <a:ln w="25400">
              <a:solidFill>
                <a:schemeClr val="accent2">
                  <a:lumMod val="75000"/>
                </a:schemeClr>
              </a:solidFill>
            </a:ln>
          </c:spPr>
          <c:marker>
            <c:symbol val="none"/>
          </c:marker>
          <c:dPt>
            <c:idx val="1"/>
            <c:bubble3D val="0"/>
            <c:extLst xmlns:c16r2="http://schemas.microsoft.com/office/drawing/2015/06/chart">
              <c:ext xmlns:c16="http://schemas.microsoft.com/office/drawing/2014/chart" uri="{C3380CC4-5D6E-409C-BE32-E72D297353CC}">
                <c16:uniqueId val="{00000008-0753-42C3-B966-A86D82400D8A}"/>
              </c:ext>
            </c:extLst>
          </c:dPt>
          <c:dPt>
            <c:idx val="3"/>
            <c:bubble3D val="0"/>
            <c:extLst xmlns:c16r2="http://schemas.microsoft.com/office/drawing/2015/06/chart">
              <c:ext xmlns:c16="http://schemas.microsoft.com/office/drawing/2014/chart" uri="{C3380CC4-5D6E-409C-BE32-E72D297353CC}">
                <c16:uniqueId val="{00000009-0753-42C3-B966-A86D82400D8A}"/>
              </c:ext>
            </c:extLst>
          </c:dPt>
          <c:dPt>
            <c:idx val="5"/>
            <c:bubble3D val="0"/>
            <c:extLst xmlns:c16r2="http://schemas.microsoft.com/office/drawing/2015/06/chart">
              <c:ext xmlns:c16="http://schemas.microsoft.com/office/drawing/2014/chart" uri="{C3380CC4-5D6E-409C-BE32-E72D297353CC}">
                <c16:uniqueId val="{0000000A-0753-42C3-B966-A86D82400D8A}"/>
              </c:ext>
            </c:extLst>
          </c:dPt>
          <c:val>
            <c:numRef>
              <c:f>'F-B6'!$D$34:$D$89</c:f>
              <c:numCache>
                <c:formatCode>0.000</c:formatCode>
                <c:ptCount val="56"/>
                <c:pt idx="0">
                  <c:v>0.43457092254324609</c:v>
                </c:pt>
                <c:pt idx="2">
                  <c:v>0.42899009162609242</c:v>
                </c:pt>
                <c:pt idx="4">
                  <c:v>0.43207443708418319</c:v>
                </c:pt>
                <c:pt idx="6">
                  <c:v>0.42164342898052481</c:v>
                </c:pt>
                <c:pt idx="7">
                  <c:v>0.42261758970249519</c:v>
                </c:pt>
                <c:pt idx="8">
                  <c:v>0.4222810728974794</c:v>
                </c:pt>
                <c:pt idx="9">
                  <c:v>0.42615345172042174</c:v>
                </c:pt>
                <c:pt idx="10">
                  <c:v>0.42569948006029662</c:v>
                </c:pt>
                <c:pt idx="11">
                  <c:v>0.42440668118808816</c:v>
                </c:pt>
                <c:pt idx="12">
                  <c:v>0.42085630092198861</c:v>
                </c:pt>
                <c:pt idx="13">
                  <c:v>0.4167520003116002</c:v>
                </c:pt>
                <c:pt idx="14">
                  <c:v>0.41749222326534002</c:v>
                </c:pt>
                <c:pt idx="15">
                  <c:v>0.41639785262550827</c:v>
                </c:pt>
                <c:pt idx="16">
                  <c:v>0.41622914639233294</c:v>
                </c:pt>
                <c:pt idx="17">
                  <c:v>0.41762590391121901</c:v>
                </c:pt>
                <c:pt idx="18">
                  <c:v>0.41665148454592665</c:v>
                </c:pt>
                <c:pt idx="19">
                  <c:v>0.4190117538465063</c:v>
                </c:pt>
                <c:pt idx="20">
                  <c:v>0.4206367807258426</c:v>
                </c:pt>
                <c:pt idx="21">
                  <c:v>0.42128897495160739</c:v>
                </c:pt>
                <c:pt idx="22">
                  <c:v>0.42091875274832596</c:v>
                </c:pt>
                <c:pt idx="23">
                  <c:v>0.42450094684121636</c:v>
                </c:pt>
                <c:pt idx="24">
                  <c:v>0.42634435703185747</c:v>
                </c:pt>
                <c:pt idx="25">
                  <c:v>0.42631959282904996</c:v>
                </c:pt>
                <c:pt idx="26">
                  <c:v>0.43185925881745735</c:v>
                </c:pt>
                <c:pt idx="27">
                  <c:v>0.43075312859444975</c:v>
                </c:pt>
                <c:pt idx="28">
                  <c:v>0.420381448454687</c:v>
                </c:pt>
                <c:pt idx="29">
                  <c:v>0.42204774347134488</c:v>
                </c:pt>
                <c:pt idx="30">
                  <c:v>0.42025794238320274</c:v>
                </c:pt>
                <c:pt idx="31">
                  <c:v>0.41994795614028912</c:v>
                </c:pt>
                <c:pt idx="32">
                  <c:v>0.41640432285565065</c:v>
                </c:pt>
                <c:pt idx="33">
                  <c:v>0.42015680975481678</c:v>
                </c:pt>
                <c:pt idx="34">
                  <c:v>0.41942740522408134</c:v>
                </c:pt>
                <c:pt idx="35">
                  <c:v>0.41505017441981884</c:v>
                </c:pt>
                <c:pt idx="36">
                  <c:v>0.41491214859332992</c:v>
                </c:pt>
                <c:pt idx="37">
                  <c:v>0.41420555899327738</c:v>
                </c:pt>
                <c:pt idx="38">
                  <c:v>0.41519373701528289</c:v>
                </c:pt>
                <c:pt idx="39">
                  <c:v>0.41215126956101328</c:v>
                </c:pt>
                <c:pt idx="40">
                  <c:v>0.41218251786990989</c:v>
                </c:pt>
                <c:pt idx="41">
                  <c:v>0.41422151842368282</c:v>
                </c:pt>
                <c:pt idx="42">
                  <c:v>0.41806195320530837</c:v>
                </c:pt>
                <c:pt idx="43">
                  <c:v>0.41788954207131579</c:v>
                </c:pt>
                <c:pt idx="44">
                  <c:v>0.41543743445650538</c:v>
                </c:pt>
                <c:pt idx="45">
                  <c:v>0.41064483408986985</c:v>
                </c:pt>
                <c:pt idx="46">
                  <c:v>0.40995499593885992</c:v>
                </c:pt>
                <c:pt idx="47">
                  <c:v>0.40958170729826826</c:v>
                </c:pt>
                <c:pt idx="48">
                  <c:v>0.41169356821770192</c:v>
                </c:pt>
                <c:pt idx="49">
                  <c:v>0.41276580560402421</c:v>
                </c:pt>
                <c:pt idx="50">
                  <c:v>0.40407657079788856</c:v>
                </c:pt>
                <c:pt idx="51">
                  <c:v>0.40885776356867037</c:v>
                </c:pt>
                <c:pt idx="52">
                  <c:v>0.40707619834492753</c:v>
                </c:pt>
                <c:pt idx="53">
                  <c:v>0.41589874214244654</c:v>
                </c:pt>
                <c:pt idx="54">
                  <c:v>0.41384891937103169</c:v>
                </c:pt>
                <c:pt idx="55">
                  <c:v>0.41499586067190863</c:v>
                </c:pt>
              </c:numCache>
            </c:numRef>
          </c:val>
          <c:smooth val="0"/>
          <c:extLst xmlns:c16r2="http://schemas.microsoft.com/office/drawing/2015/06/chart">
            <c:ext xmlns:c16="http://schemas.microsoft.com/office/drawing/2014/chart" uri="{C3380CC4-5D6E-409C-BE32-E72D297353CC}">
              <c16:uniqueId val="{0000000B-0753-42C3-B966-A86D82400D8A}"/>
            </c:ext>
          </c:extLst>
        </c:ser>
        <c:dLbls>
          <c:showLegendKey val="0"/>
          <c:showVal val="0"/>
          <c:showCatName val="0"/>
          <c:showSerName val="0"/>
          <c:showPercent val="0"/>
          <c:showBubbleSize val="0"/>
        </c:dLbls>
        <c:smooth val="0"/>
        <c:axId val="566412968"/>
        <c:axId val="566413752"/>
      </c:lineChart>
      <c:catAx>
        <c:axId val="566412968"/>
        <c:scaling>
          <c:orientation val="minMax"/>
        </c:scaling>
        <c:delete val="0"/>
        <c:axPos val="b"/>
        <c:majorGridlines>
          <c:spPr>
            <a:ln w="6350">
              <a:solidFill>
                <a:schemeClr val="tx1">
                  <a:lumMod val="50000"/>
                  <a:lumOff val="50000"/>
                </a:schemeClr>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566413752"/>
        <c:crossesAt val="0"/>
        <c:auto val="1"/>
        <c:lblAlgn val="ctr"/>
        <c:lblOffset val="100"/>
        <c:tickLblSkip val="10"/>
        <c:tickMarkSkip val="10"/>
        <c:noMultiLvlLbl val="0"/>
      </c:catAx>
      <c:valAx>
        <c:axId val="566413752"/>
        <c:scaling>
          <c:orientation val="minMax"/>
          <c:max val="0.5"/>
          <c:min val="0"/>
        </c:scaling>
        <c:delete val="0"/>
        <c:axPos val="l"/>
        <c:majorGridlines>
          <c:spPr>
            <a:ln w="6350">
              <a:solidFill>
                <a:schemeClr val="tx1">
                  <a:lumMod val="50000"/>
                  <a:lumOff val="50000"/>
                </a:schemeClr>
              </a:solidFill>
              <a:prstDash val="sysDash"/>
            </a:ln>
          </c:spPr>
        </c:majorGridlines>
        <c:title>
          <c:tx>
            <c:rich>
              <a:bodyPr/>
              <a:lstStyle/>
              <a:p>
                <a:pPr>
                  <a:defRPr sz="1200" b="0" i="0" u="none" strike="noStrike" baseline="0">
                    <a:solidFill>
                      <a:srgbClr val="000000"/>
                    </a:solidFill>
                    <a:latin typeface="Arial"/>
                    <a:ea typeface="Arial"/>
                    <a:cs typeface="Arial"/>
                  </a:defRPr>
                </a:pPr>
                <a:r>
                  <a:rPr lang="en-US" sz="1200" b="0"/>
                  <a:t>P50-90 Income Share</a:t>
                </a:r>
              </a:p>
            </c:rich>
          </c:tx>
          <c:layout>
            <c:manualLayout>
              <c:xMode val="edge"/>
              <c:yMode val="edge"/>
              <c:x val="9.2472413179531786E-4"/>
              <c:y val="0.2827956120869506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566412968"/>
        <c:crosses val="autoZero"/>
        <c:crossBetween val="midCat"/>
        <c:majorUnit val="0.1"/>
        <c:minorUnit val="0.05"/>
      </c:valAx>
      <c:spPr>
        <a:solidFill>
          <a:srgbClr val="FFFFFF"/>
        </a:solidFill>
        <a:ln w="3175">
          <a:noFill/>
          <a:prstDash val="solid"/>
        </a:ln>
      </c:spPr>
    </c:plotArea>
    <c:plotVisOnly val="1"/>
    <c:dispBlanksAs val="span"/>
    <c:showDLblsOverMax val="0"/>
  </c:chart>
  <c:spPr>
    <a:solidFill>
      <a:schemeClr val="bg1"/>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866" r="0.75000000000000866" t="1" header="0.5" footer="0.5"/>
    <c:pageSetup orientation="landscape" verticalDpi="96"/>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07529131284403"/>
          <c:y val="1.8568512269299675E-2"/>
          <c:w val="0.80465067642685439"/>
          <c:h val="0.92738386868308131"/>
        </c:manualLayout>
      </c:layout>
      <c:lineChart>
        <c:grouping val="standard"/>
        <c:varyColors val="0"/>
        <c:ser>
          <c:idx val="1"/>
          <c:order val="0"/>
          <c:tx>
            <c:strRef>
              <c:f>'F-B6'!$B$33</c:f>
              <c:strCache>
                <c:ptCount val="1"/>
                <c:pt idx="0">
                  <c:v>Pre-tax Income</c:v>
                </c:pt>
              </c:strCache>
            </c:strRef>
          </c:tx>
          <c:spPr>
            <a:ln w="25400">
              <a:solidFill>
                <a:schemeClr val="accent3">
                  <a:lumMod val="75000"/>
                </a:schemeClr>
              </a:solidFill>
              <a:prstDash val="solid"/>
            </a:ln>
          </c:spPr>
          <c:marker>
            <c:symbol val="none"/>
          </c:marker>
          <c:dPt>
            <c:idx val="1"/>
            <c:bubble3D val="0"/>
            <c:extLst xmlns:c16r2="http://schemas.microsoft.com/office/drawing/2015/06/chart">
              <c:ext xmlns:c16="http://schemas.microsoft.com/office/drawing/2014/chart" uri="{C3380CC4-5D6E-409C-BE32-E72D297353CC}">
                <c16:uniqueId val="{00000000-274C-4879-B8C1-397727655312}"/>
              </c:ext>
            </c:extLst>
          </c:dPt>
          <c:dPt>
            <c:idx val="3"/>
            <c:bubble3D val="0"/>
            <c:extLst xmlns:c16r2="http://schemas.microsoft.com/office/drawing/2015/06/chart">
              <c:ext xmlns:c16="http://schemas.microsoft.com/office/drawing/2014/chart" uri="{C3380CC4-5D6E-409C-BE32-E72D297353CC}">
                <c16:uniqueId val="{00000001-274C-4879-B8C1-397727655312}"/>
              </c:ext>
            </c:extLst>
          </c:dPt>
          <c:dPt>
            <c:idx val="5"/>
            <c:bubble3D val="0"/>
            <c:extLst xmlns:c16r2="http://schemas.microsoft.com/office/drawing/2015/06/chart">
              <c:ext xmlns:c16="http://schemas.microsoft.com/office/drawing/2014/chart" uri="{C3380CC4-5D6E-409C-BE32-E72D297353CC}">
                <c16:uniqueId val="{00000002-274C-4879-B8C1-397727655312}"/>
              </c:ext>
            </c:extLst>
          </c:dPt>
          <c:cat>
            <c:numRef>
              <c:f>'C2-Shares'!$A$6:$A$61</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'F-B6'!$G$34:$G$89</c:f>
              <c:numCache>
                <c:formatCode>#,##0</c:formatCode>
                <c:ptCount val="56"/>
                <c:pt idx="0">
                  <c:v>18450.443786549033</c:v>
                </c:pt>
                <c:pt idx="2">
                  <c:v>19850.381307672717</c:v>
                </c:pt>
                <c:pt idx="4">
                  <c:v>21751.71729741773</c:v>
                </c:pt>
                <c:pt idx="6">
                  <c:v>23106.426786752785</c:v>
                </c:pt>
                <c:pt idx="7">
                  <c:v>23330.510149854297</c:v>
                </c:pt>
                <c:pt idx="8">
                  <c:v>24510.493100456806</c:v>
                </c:pt>
                <c:pt idx="9">
                  <c:v>25539.356861715933</c:v>
                </c:pt>
                <c:pt idx="10">
                  <c:v>26111.087044545038</c:v>
                </c:pt>
                <c:pt idx="11">
                  <c:v>26143.611296408249</c:v>
                </c:pt>
                <c:pt idx="12">
                  <c:v>27867.546847806421</c:v>
                </c:pt>
                <c:pt idx="13">
                  <c:v>28936.869476584765</c:v>
                </c:pt>
                <c:pt idx="14">
                  <c:v>28083.645110318055</c:v>
                </c:pt>
                <c:pt idx="15">
                  <c:v>28263.454878321303</c:v>
                </c:pt>
                <c:pt idx="16">
                  <c:v>29255.45153653996</c:v>
                </c:pt>
                <c:pt idx="17">
                  <c:v>30728.439280961426</c:v>
                </c:pt>
                <c:pt idx="18">
                  <c:v>31817.817392917339</c:v>
                </c:pt>
                <c:pt idx="19">
                  <c:v>31895.118883382092</c:v>
                </c:pt>
                <c:pt idx="20">
                  <c:v>30890.962874079127</c:v>
                </c:pt>
                <c:pt idx="21">
                  <c:v>31707.590064931279</c:v>
                </c:pt>
                <c:pt idx="22">
                  <c:v>31194.570391760106</c:v>
                </c:pt>
                <c:pt idx="23">
                  <c:v>32075.901429255446</c:v>
                </c:pt>
                <c:pt idx="24">
                  <c:v>34057.973906392297</c:v>
                </c:pt>
                <c:pt idx="25">
                  <c:v>34952.187478255619</c:v>
                </c:pt>
                <c:pt idx="26">
                  <c:v>35795.275112280928</c:v>
                </c:pt>
                <c:pt idx="27">
                  <c:v>37088.670680427997</c:v>
                </c:pt>
                <c:pt idx="28">
                  <c:v>37231.885953206613</c:v>
                </c:pt>
                <c:pt idx="29">
                  <c:v>37835.160354627282</c:v>
                </c:pt>
                <c:pt idx="30">
                  <c:v>37412.400514211367</c:v>
                </c:pt>
                <c:pt idx="31">
                  <c:v>37059.362962634208</c:v>
                </c:pt>
                <c:pt idx="32">
                  <c:v>37622.447749574509</c:v>
                </c:pt>
                <c:pt idx="33">
                  <c:v>38281.427335506531</c:v>
                </c:pt>
                <c:pt idx="34">
                  <c:v>39819.788116244337</c:v>
                </c:pt>
                <c:pt idx="35">
                  <c:v>40003.695998990166</c:v>
                </c:pt>
                <c:pt idx="36">
                  <c:v>41171.265003941458</c:v>
                </c:pt>
                <c:pt idx="37">
                  <c:v>42425.39638925116</c:v>
                </c:pt>
                <c:pt idx="38">
                  <c:v>44167.08028152457</c:v>
                </c:pt>
                <c:pt idx="39">
                  <c:v>46108.891392409671</c:v>
                </c:pt>
                <c:pt idx="40">
                  <c:v>46268.147488391325</c:v>
                </c:pt>
                <c:pt idx="41">
                  <c:v>46825.455431396484</c:v>
                </c:pt>
                <c:pt idx="42">
                  <c:v>47318.312318620243</c:v>
                </c:pt>
                <c:pt idx="43">
                  <c:v>47808.150562154791</c:v>
                </c:pt>
                <c:pt idx="44">
                  <c:v>48747.795939242227</c:v>
                </c:pt>
                <c:pt idx="45">
                  <c:v>49606.794130374314</c:v>
                </c:pt>
                <c:pt idx="46">
                  <c:v>50620.060067191982</c:v>
                </c:pt>
                <c:pt idx="47">
                  <c:v>50122.252808228935</c:v>
                </c:pt>
                <c:pt idx="48">
                  <c:v>49273.466582729154</c:v>
                </c:pt>
                <c:pt idx="49">
                  <c:v>48799.482852332942</c:v>
                </c:pt>
                <c:pt idx="50">
                  <c:v>48924.1571168019</c:v>
                </c:pt>
                <c:pt idx="51">
                  <c:v>49667.896754824891</c:v>
                </c:pt>
                <c:pt idx="52">
                  <c:v>49720.105176527381</c:v>
                </c:pt>
                <c:pt idx="53">
                  <c:v>51087.539460179833</c:v>
                </c:pt>
                <c:pt idx="54">
                  <c:v>52093.088649821671</c:v>
                </c:pt>
                <c:pt idx="55">
                  <c:v>53686.069919759175</c:v>
                </c:pt>
              </c:numCache>
            </c:numRef>
          </c:val>
          <c:smooth val="0"/>
          <c:extLst xmlns:c16r2="http://schemas.microsoft.com/office/drawing/2015/06/chart">
            <c:ext xmlns:c16="http://schemas.microsoft.com/office/drawing/2014/chart" uri="{C3380CC4-5D6E-409C-BE32-E72D297353CC}">
              <c16:uniqueId val="{00000003-274C-4879-B8C1-397727655312}"/>
            </c:ext>
          </c:extLst>
        </c:ser>
        <c:ser>
          <c:idx val="2"/>
          <c:order val="1"/>
          <c:tx>
            <c:strRef>
              <c:f>'F-B6'!$C$33</c:f>
              <c:strCache>
                <c:ptCount val="1"/>
                <c:pt idx="0">
                  <c:v>Pre-tax after-transfer income</c:v>
                </c:pt>
              </c:strCache>
            </c:strRef>
          </c:tx>
          <c:spPr>
            <a:ln w="19050">
              <a:solidFill>
                <a:schemeClr val="tx1">
                  <a:lumMod val="65000"/>
                  <a:lumOff val="35000"/>
                </a:schemeClr>
              </a:solidFill>
              <a:prstDash val="sysDash"/>
            </a:ln>
          </c:spPr>
          <c:marker>
            <c:symbol val="none"/>
          </c:marker>
          <c:dPt>
            <c:idx val="1"/>
            <c:bubble3D val="0"/>
            <c:extLst xmlns:c16r2="http://schemas.microsoft.com/office/drawing/2015/06/chart">
              <c:ext xmlns:c16="http://schemas.microsoft.com/office/drawing/2014/chart" uri="{C3380CC4-5D6E-409C-BE32-E72D297353CC}">
                <c16:uniqueId val="{00000004-274C-4879-B8C1-397727655312}"/>
              </c:ext>
            </c:extLst>
          </c:dPt>
          <c:dPt>
            <c:idx val="3"/>
            <c:bubble3D val="0"/>
            <c:extLst xmlns:c16r2="http://schemas.microsoft.com/office/drawing/2015/06/chart">
              <c:ext xmlns:c16="http://schemas.microsoft.com/office/drawing/2014/chart" uri="{C3380CC4-5D6E-409C-BE32-E72D297353CC}">
                <c16:uniqueId val="{00000005-274C-4879-B8C1-397727655312}"/>
              </c:ext>
            </c:extLst>
          </c:dPt>
          <c:dPt>
            <c:idx val="5"/>
            <c:bubble3D val="0"/>
            <c:extLst xmlns:c16r2="http://schemas.microsoft.com/office/drawing/2015/06/chart">
              <c:ext xmlns:c16="http://schemas.microsoft.com/office/drawing/2014/chart" uri="{C3380CC4-5D6E-409C-BE32-E72D297353CC}">
                <c16:uniqueId val="{00000006-274C-4879-B8C1-397727655312}"/>
              </c:ext>
            </c:extLst>
          </c:dPt>
          <c:val>
            <c:numRef>
              <c:f>'F-B6'!$H$34:$H$89</c:f>
              <c:numCache>
                <c:formatCode>0.0</c:formatCode>
                <c:ptCount val="56"/>
                <c:pt idx="0" formatCode="#,##0">
                  <c:v>18782.193570394575</c:v>
                </c:pt>
                <c:pt idx="2" formatCode="#,##0">
                  <c:v>20205.014302631829</c:v>
                </c:pt>
                <c:pt idx="4" formatCode="#,##0">
                  <c:v>22089.071878225175</c:v>
                </c:pt>
                <c:pt idx="6" formatCode="#,##0">
                  <c:v>23461.601417886908</c:v>
                </c:pt>
                <c:pt idx="7" formatCode="#,##0">
                  <c:v>23742.960419932682</c:v>
                </c:pt>
                <c:pt idx="8" formatCode="#,##0">
                  <c:v>24981.485245495409</c:v>
                </c:pt>
                <c:pt idx="9" formatCode="#,##0">
                  <c:v>26018.723153952669</c:v>
                </c:pt>
                <c:pt idx="10" formatCode="#,##0">
                  <c:v>26634.390528834287</c:v>
                </c:pt>
                <c:pt idx="11" formatCode="#,##0">
                  <c:v>26732.227312806979</c:v>
                </c:pt>
                <c:pt idx="12" formatCode="#,##0">
                  <c:v>28545.020664034291</c:v>
                </c:pt>
                <c:pt idx="13" formatCode="#,##0">
                  <c:v>29604.068559655978</c:v>
                </c:pt>
                <c:pt idx="14" formatCode="#,##0">
                  <c:v>28821.046085847262</c:v>
                </c:pt>
                <c:pt idx="15" formatCode="#,##0">
                  <c:v>29227.150773814035</c:v>
                </c:pt>
                <c:pt idx="16" formatCode="#,##0">
                  <c:v>30164.984839761535</c:v>
                </c:pt>
                <c:pt idx="17" formatCode="#,##0">
                  <c:v>31639.725702548953</c:v>
                </c:pt>
                <c:pt idx="18" formatCode="#,##0">
                  <c:v>32696.14960686168</c:v>
                </c:pt>
                <c:pt idx="19" formatCode="#,##0">
                  <c:v>32808.535961758083</c:v>
                </c:pt>
                <c:pt idx="20" formatCode="#,##0">
                  <c:v>31900.585162324973</c:v>
                </c:pt>
                <c:pt idx="21" formatCode="#,##0">
                  <c:v>32818.987267432254</c:v>
                </c:pt>
                <c:pt idx="22" formatCode="#,##0">
                  <c:v>32440.551728461443</c:v>
                </c:pt>
                <c:pt idx="23" formatCode="#,##0">
                  <c:v>33406.898572747908</c:v>
                </c:pt>
                <c:pt idx="24" formatCode="#,##0">
                  <c:v>35411.804430083321</c:v>
                </c:pt>
                <c:pt idx="25" formatCode="#,##0">
                  <c:v>36204.446491589144</c:v>
                </c:pt>
                <c:pt idx="26" formatCode="#,##0">
                  <c:v>37117.108760663141</c:v>
                </c:pt>
                <c:pt idx="27" formatCode="#,##0">
                  <c:v>38426.267117808668</c:v>
                </c:pt>
                <c:pt idx="28" formatCode="#,##0">
                  <c:v>38573.702226070112</c:v>
                </c:pt>
                <c:pt idx="29" formatCode="#,##0">
                  <c:v>39249.080672897151</c:v>
                </c:pt>
                <c:pt idx="30" formatCode="#,##0">
                  <c:v>38927.897998678054</c:v>
                </c:pt>
                <c:pt idx="31" formatCode="#,##0">
                  <c:v>38723.019534540377</c:v>
                </c:pt>
                <c:pt idx="32" formatCode="#,##0">
                  <c:v>39389.620456339137</c:v>
                </c:pt>
                <c:pt idx="33" formatCode="#,##0">
                  <c:v>40073.208367172279</c:v>
                </c:pt>
                <c:pt idx="34" formatCode="#,##0">
                  <c:v>41610.985805730743</c:v>
                </c:pt>
                <c:pt idx="35" formatCode="#,##0">
                  <c:v>41915.559264581498</c:v>
                </c:pt>
                <c:pt idx="36" formatCode="#,##0">
                  <c:v>43176.977601238526</c:v>
                </c:pt>
                <c:pt idx="37" formatCode="#,##0">
                  <c:v>44481.188635484752</c:v>
                </c:pt>
                <c:pt idx="38" formatCode="#,##0">
                  <c:v>46277.366667778602</c:v>
                </c:pt>
                <c:pt idx="39" formatCode="#,##0">
                  <c:v>48286.982770390488</c:v>
                </c:pt>
                <c:pt idx="40" formatCode="#,##0">
                  <c:v>48536.59156968067</c:v>
                </c:pt>
                <c:pt idx="41" formatCode="#,##0">
                  <c:v>49250.209837439186</c:v>
                </c:pt>
                <c:pt idx="42" formatCode="#,##0">
                  <c:v>49848.174898386053</c:v>
                </c:pt>
                <c:pt idx="43" formatCode="#,##0">
                  <c:v>50420.055027944007</c:v>
                </c:pt>
                <c:pt idx="44" formatCode="#,##0">
                  <c:v>51391.70505897118</c:v>
                </c:pt>
                <c:pt idx="45" formatCode="#,##0">
                  <c:v>52362.241954387544</c:v>
                </c:pt>
                <c:pt idx="46" formatCode="#,##0">
                  <c:v>53674.768040527713</c:v>
                </c:pt>
                <c:pt idx="47" formatCode="#,##0">
                  <c:v>53278.827827844339</c:v>
                </c:pt>
                <c:pt idx="48" formatCode="#,##0">
                  <c:v>53129.562704831689</c:v>
                </c:pt>
                <c:pt idx="49" formatCode="#,##0">
                  <c:v>52587.749914855602</c:v>
                </c:pt>
                <c:pt idx="50" formatCode="#,##0">
                  <c:v>52884.651966873796</c:v>
                </c:pt>
                <c:pt idx="51" formatCode="#,##0">
                  <c:v>53550.867773328479</c:v>
                </c:pt>
                <c:pt idx="52" formatCode="#,##0">
                  <c:v>53777.241878976849</c:v>
                </c:pt>
                <c:pt idx="53" formatCode="#,##0">
                  <c:v>55139.050742946289</c:v>
                </c:pt>
                <c:pt idx="54" formatCode="#,##0">
                  <c:v>56167.379500111943</c:v>
                </c:pt>
                <c:pt idx="55" formatCode="#,##0">
                  <c:v>57962.878963646734</c:v>
                </c:pt>
              </c:numCache>
            </c:numRef>
          </c:val>
          <c:smooth val="0"/>
          <c:extLst xmlns:c16r2="http://schemas.microsoft.com/office/drawing/2015/06/chart">
            <c:ext xmlns:c16="http://schemas.microsoft.com/office/drawing/2014/chart" uri="{C3380CC4-5D6E-409C-BE32-E72D297353CC}">
              <c16:uniqueId val="{00000007-274C-4879-B8C1-397727655312}"/>
            </c:ext>
          </c:extLst>
        </c:ser>
        <c:ser>
          <c:idx val="3"/>
          <c:order val="2"/>
          <c:tx>
            <c:strRef>
              <c:f>'F-B6'!$D$33</c:f>
              <c:strCache>
                <c:ptCount val="1"/>
                <c:pt idx="0">
                  <c:v>After-tax income</c:v>
                </c:pt>
              </c:strCache>
            </c:strRef>
          </c:tx>
          <c:spPr>
            <a:ln w="25400">
              <a:solidFill>
                <a:schemeClr val="accent2">
                  <a:lumMod val="75000"/>
                </a:schemeClr>
              </a:solidFill>
            </a:ln>
          </c:spPr>
          <c:marker>
            <c:symbol val="none"/>
          </c:marker>
          <c:dPt>
            <c:idx val="1"/>
            <c:bubble3D val="0"/>
            <c:extLst xmlns:c16r2="http://schemas.microsoft.com/office/drawing/2015/06/chart">
              <c:ext xmlns:c16="http://schemas.microsoft.com/office/drawing/2014/chart" uri="{C3380CC4-5D6E-409C-BE32-E72D297353CC}">
                <c16:uniqueId val="{00000008-274C-4879-B8C1-397727655312}"/>
              </c:ext>
            </c:extLst>
          </c:dPt>
          <c:dPt>
            <c:idx val="3"/>
            <c:bubble3D val="0"/>
            <c:extLst xmlns:c16r2="http://schemas.microsoft.com/office/drawing/2015/06/chart">
              <c:ext xmlns:c16="http://schemas.microsoft.com/office/drawing/2014/chart" uri="{C3380CC4-5D6E-409C-BE32-E72D297353CC}">
                <c16:uniqueId val="{00000009-274C-4879-B8C1-397727655312}"/>
              </c:ext>
            </c:extLst>
          </c:dPt>
          <c:dPt>
            <c:idx val="5"/>
            <c:bubble3D val="0"/>
            <c:extLst xmlns:c16r2="http://schemas.microsoft.com/office/drawing/2015/06/chart">
              <c:ext xmlns:c16="http://schemas.microsoft.com/office/drawing/2014/chart" uri="{C3380CC4-5D6E-409C-BE32-E72D297353CC}">
                <c16:uniqueId val="{0000000A-274C-4879-B8C1-397727655312}"/>
              </c:ext>
            </c:extLst>
          </c:dPt>
          <c:val>
            <c:numRef>
              <c:f>'F-B6'!$I$34:$I$89</c:f>
              <c:numCache>
                <c:formatCode>0</c:formatCode>
                <c:ptCount val="56"/>
                <c:pt idx="0" formatCode="#,##0">
                  <c:v>17998.79747527132</c:v>
                </c:pt>
                <c:pt idx="2" formatCode="#,##0">
                  <c:v>19041.112748523952</c:v>
                </c:pt>
                <c:pt idx="4" formatCode="#,##0">
                  <c:v>20944.750850753349</c:v>
                </c:pt>
                <c:pt idx="6" formatCode="#,##0">
                  <c:v>22114.31608291026</c:v>
                </c:pt>
                <c:pt idx="7" formatCode="#,##0">
                  <c:v>22345.134495056373</c:v>
                </c:pt>
                <c:pt idx="8" formatCode="#,##0">
                  <c:v>23327.718357205369</c:v>
                </c:pt>
                <c:pt idx="9" formatCode="#,##0">
                  <c:v>24155.317937197226</c:v>
                </c:pt>
                <c:pt idx="10" formatCode="#,##0">
                  <c:v>24339.089162901837</c:v>
                </c:pt>
                <c:pt idx="11" formatCode="#,##0">
                  <c:v>24312.593464928148</c:v>
                </c:pt>
                <c:pt idx="12" formatCode="#,##0">
                  <c:v>25866.593680042737</c:v>
                </c:pt>
                <c:pt idx="13" formatCode="#,##0">
                  <c:v>26717.31856793067</c:v>
                </c:pt>
                <c:pt idx="14" formatCode="#,##0">
                  <c:v>25674.521403854691</c:v>
                </c:pt>
                <c:pt idx="15" formatCode="#,##0">
                  <c:v>25398.05562517231</c:v>
                </c:pt>
                <c:pt idx="16" formatCode="#,##0">
                  <c:v>26439.468261321716</c:v>
                </c:pt>
                <c:pt idx="17" formatCode="#,##0">
                  <c:v>27857.290382696596</c:v>
                </c:pt>
                <c:pt idx="18" formatCode="#,##0">
                  <c:v>28898.716319276857</c:v>
                </c:pt>
                <c:pt idx="19" formatCode="#,##0">
                  <c:v>28972.475803495854</c:v>
                </c:pt>
                <c:pt idx="20" formatCode="#,##0">
                  <c:v>27844.614732537852</c:v>
                </c:pt>
                <c:pt idx="21" formatCode="#,##0">
                  <c:v>28507.04307716063</c:v>
                </c:pt>
                <c:pt idx="22" formatCode="#,##0">
                  <c:v>27925.161324521789</c:v>
                </c:pt>
                <c:pt idx="23" formatCode="#,##0">
                  <c:v>28850.056977693788</c:v>
                </c:pt>
                <c:pt idx="24" formatCode="#,##0">
                  <c:v>30952.35563671331</c:v>
                </c:pt>
                <c:pt idx="25" formatCode="#,##0">
                  <c:v>31769.183786528629</c:v>
                </c:pt>
                <c:pt idx="26" formatCode="#,##0">
                  <c:v>32738.587468750262</c:v>
                </c:pt>
                <c:pt idx="27" formatCode="#,##0">
                  <c:v>34015.76039450425</c:v>
                </c:pt>
                <c:pt idx="28" formatCode="#,##0">
                  <c:v>34199.697864875088</c:v>
                </c:pt>
                <c:pt idx="29" formatCode="#,##0">
                  <c:v>34697.389465126667</c:v>
                </c:pt>
                <c:pt idx="30" formatCode="#,##0">
                  <c:v>34220.692386867442</c:v>
                </c:pt>
                <c:pt idx="31" formatCode="#,##0">
                  <c:v>33650.286349038812</c:v>
                </c:pt>
                <c:pt idx="32" formatCode="#,##0">
                  <c:v>34154.034149654202</c:v>
                </c:pt>
                <c:pt idx="33" formatCode="#,##0">
                  <c:v>34781.895712860089</c:v>
                </c:pt>
                <c:pt idx="34" formatCode="#,##0">
                  <c:v>36260.708196671832</c:v>
                </c:pt>
                <c:pt idx="35" formatCode="#,##0">
                  <c:v>36511.914465298527</c:v>
                </c:pt>
                <c:pt idx="36" formatCode="#,##0">
                  <c:v>37866.073083560201</c:v>
                </c:pt>
                <c:pt idx="37" formatCode="#,##0">
                  <c:v>39323.947900101288</c:v>
                </c:pt>
                <c:pt idx="38" formatCode="#,##0">
                  <c:v>41163.537622231124</c:v>
                </c:pt>
                <c:pt idx="39" formatCode="#,##0">
                  <c:v>43078.179439448249</c:v>
                </c:pt>
                <c:pt idx="40" formatCode="#,##0">
                  <c:v>43582.829919374613</c:v>
                </c:pt>
                <c:pt idx="41" formatCode="#,##0">
                  <c:v>43568.069849460859</c:v>
                </c:pt>
                <c:pt idx="42" formatCode="#,##0">
                  <c:v>43744.700415953725</c:v>
                </c:pt>
                <c:pt idx="43" formatCode="#,##0">
                  <c:v>44174.294903740883</c:v>
                </c:pt>
                <c:pt idx="44" formatCode="#,##0">
                  <c:v>45282.034936330441</c:v>
                </c:pt>
                <c:pt idx="45" formatCode="#,##0">
                  <c:v>46435.701787897618</c:v>
                </c:pt>
                <c:pt idx="46" formatCode="#,##0">
                  <c:v>47647.552038704576</c:v>
                </c:pt>
                <c:pt idx="47" formatCode="#,##0">
                  <c:v>47142.086023468779</c:v>
                </c:pt>
                <c:pt idx="48" formatCode="#,##0">
                  <c:v>45948.18581525742</c:v>
                </c:pt>
                <c:pt idx="49" formatCode="#,##0">
                  <c:v>44633.347683434738</c:v>
                </c:pt>
                <c:pt idx="50" formatCode="#,##0">
                  <c:v>44694.701359836909</c:v>
                </c:pt>
                <c:pt idx="51" formatCode="#,##0">
                  <c:v>45833.379963453175</c:v>
                </c:pt>
                <c:pt idx="52" formatCode="#,##0">
                  <c:v>46657.892075579308</c:v>
                </c:pt>
                <c:pt idx="53" formatCode="#,##0">
                  <c:v>47884.621907715496</c:v>
                </c:pt>
                <c:pt idx="54" formatCode="#,##0">
                  <c:v>48894.962715387941</c:v>
                </c:pt>
                <c:pt idx="55" formatCode="#,##0">
                  <c:v>50383.378914074303</c:v>
                </c:pt>
              </c:numCache>
            </c:numRef>
          </c:val>
          <c:smooth val="0"/>
          <c:extLst xmlns:c16r2="http://schemas.microsoft.com/office/drawing/2015/06/chart">
            <c:ext xmlns:c16="http://schemas.microsoft.com/office/drawing/2014/chart" uri="{C3380CC4-5D6E-409C-BE32-E72D297353CC}">
              <c16:uniqueId val="{0000000B-274C-4879-B8C1-397727655312}"/>
            </c:ext>
          </c:extLst>
        </c:ser>
        <c:dLbls>
          <c:showLegendKey val="0"/>
          <c:showVal val="0"/>
          <c:showCatName val="0"/>
          <c:showSerName val="0"/>
          <c:showPercent val="0"/>
          <c:showBubbleSize val="0"/>
        </c:dLbls>
        <c:smooth val="0"/>
        <c:axId val="566414928"/>
        <c:axId val="566413360"/>
      </c:lineChart>
      <c:catAx>
        <c:axId val="566414928"/>
        <c:scaling>
          <c:orientation val="minMax"/>
        </c:scaling>
        <c:delete val="0"/>
        <c:axPos val="b"/>
        <c:majorGridlines>
          <c:spPr>
            <a:ln w="6350">
              <a:solidFill>
                <a:schemeClr val="tx1">
                  <a:lumMod val="50000"/>
                  <a:lumOff val="50000"/>
                </a:schemeClr>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566413360"/>
        <c:crossesAt val="0"/>
        <c:auto val="1"/>
        <c:lblAlgn val="ctr"/>
        <c:lblOffset val="100"/>
        <c:tickLblSkip val="10"/>
        <c:tickMarkSkip val="10"/>
        <c:noMultiLvlLbl val="0"/>
      </c:catAx>
      <c:valAx>
        <c:axId val="566413360"/>
        <c:scaling>
          <c:orientation val="minMax"/>
          <c:max val="60000"/>
          <c:min val="0"/>
        </c:scaling>
        <c:delete val="0"/>
        <c:axPos val="l"/>
        <c:majorGridlines>
          <c:spPr>
            <a:ln w="6350">
              <a:solidFill>
                <a:schemeClr val="tx1">
                  <a:lumMod val="50000"/>
                  <a:lumOff val="50000"/>
                </a:schemeClr>
              </a:solidFill>
              <a:prstDash val="sysDash"/>
            </a:ln>
          </c:spPr>
        </c:majorGridlines>
        <c:title>
          <c:tx>
            <c:rich>
              <a:bodyPr/>
              <a:lstStyle/>
              <a:p>
                <a:pPr>
                  <a:defRPr sz="1200" b="0" i="0" u="none" strike="noStrike" baseline="0">
                    <a:solidFill>
                      <a:srgbClr val="000000"/>
                    </a:solidFill>
                    <a:latin typeface="Arial"/>
                    <a:ea typeface="Arial"/>
                    <a:cs typeface="Arial"/>
                  </a:defRPr>
                </a:pPr>
                <a:r>
                  <a:rPr lang="en-US" sz="1200" b="0"/>
                  <a:t>P50-90 average</a:t>
                </a:r>
                <a:r>
                  <a:rPr lang="en-US" sz="1200" b="0" baseline="0"/>
                  <a:t> real income ($2015)</a:t>
                </a:r>
                <a:endParaRPr lang="en-US" sz="1200" b="0"/>
              </a:p>
            </c:rich>
          </c:tx>
          <c:layout>
            <c:manualLayout>
              <c:xMode val="edge"/>
              <c:yMode val="edge"/>
              <c:x val="9.2468987668064271E-4"/>
              <c:y val="0.2030235323148708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566414928"/>
        <c:crosses val="autoZero"/>
        <c:crossBetween val="midCat"/>
        <c:majorUnit val="20000"/>
        <c:minorUnit val="0.05"/>
      </c:valAx>
      <c:spPr>
        <a:solidFill>
          <a:srgbClr val="FFFFFF"/>
        </a:solidFill>
        <a:ln w="3175">
          <a:noFill/>
          <a:prstDash val="solid"/>
        </a:ln>
      </c:spPr>
    </c:plotArea>
    <c:plotVisOnly val="1"/>
    <c:dispBlanksAs val="span"/>
    <c:showDLblsOverMax val="0"/>
  </c:chart>
  <c:spPr>
    <a:solidFill>
      <a:schemeClr val="bg1"/>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866" r="0.75000000000000866" t="1" header="0.5" footer="0.5"/>
    <c:pageSetup orientation="landscape" verticalDpi="96"/>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348619256420843E-2"/>
          <c:y val="7.9415073115860532E-2"/>
          <c:w val="0.60615891856247939"/>
          <c:h val="0.84922608554527712"/>
        </c:manualLayout>
      </c:layout>
      <c:areaChart>
        <c:grouping val="stacked"/>
        <c:varyColors val="0"/>
        <c:ser>
          <c:idx val="0"/>
          <c:order val="0"/>
          <c:tx>
            <c:v>NF Income</c:v>
          </c:tx>
          <c:spPr>
            <a:solidFill>
              <a:schemeClr val="bg1">
                <a:lumMod val="75000"/>
              </a:schemeClr>
            </a:solidFill>
          </c:spPr>
          <c:val>
            <c:numRef>
              <c:f>'F-B7'!$D$42:$D$97</c:f>
              <c:numCache>
                <c:formatCode>0.0%</c:formatCode>
                <c:ptCount val="56"/>
                <c:pt idx="0">
                  <c:v>1.3635565456049152E-2</c:v>
                </c:pt>
                <c:pt idx="1">
                  <c:v>1.4155915624116061E-2</c:v>
                </c:pt>
                <c:pt idx="2">
                  <c:v>1.4676265792182969E-2</c:v>
                </c:pt>
                <c:pt idx="3">
                  <c:v>1.4258664008760285E-2</c:v>
                </c:pt>
                <c:pt idx="4">
                  <c:v>1.38410622253376E-2</c:v>
                </c:pt>
                <c:pt idx="5">
                  <c:v>1.1503292914300798E-2</c:v>
                </c:pt>
                <c:pt idx="6">
                  <c:v>9.1655236032639961E-3</c:v>
                </c:pt>
                <c:pt idx="7">
                  <c:v>8.3583163117709313E-3</c:v>
                </c:pt>
                <c:pt idx="8">
                  <c:v>6.4425119214872395E-3</c:v>
                </c:pt>
                <c:pt idx="9">
                  <c:v>4.6292520726819199E-3</c:v>
                </c:pt>
                <c:pt idx="10">
                  <c:v>8.8244484764157787E-3</c:v>
                </c:pt>
                <c:pt idx="11">
                  <c:v>1.0840086680135624E-2</c:v>
                </c:pt>
                <c:pt idx="12">
                  <c:v>8.8353423678571245E-3</c:v>
                </c:pt>
                <c:pt idx="13">
                  <c:v>6.7059245738268717E-3</c:v>
                </c:pt>
                <c:pt idx="14">
                  <c:v>5.4097023814240058E-3</c:v>
                </c:pt>
                <c:pt idx="15">
                  <c:v>9.1327607651784347E-3</c:v>
                </c:pt>
                <c:pt idx="16">
                  <c:v>8.2480128170883821E-3</c:v>
                </c:pt>
                <c:pt idx="17">
                  <c:v>8.0787847897344049E-3</c:v>
                </c:pt>
                <c:pt idx="18">
                  <c:v>6.6745131129535076E-3</c:v>
                </c:pt>
                <c:pt idx="19">
                  <c:v>5.8220387872322792E-3</c:v>
                </c:pt>
                <c:pt idx="20">
                  <c:v>6.8767301848703215E-3</c:v>
                </c:pt>
                <c:pt idx="21">
                  <c:v>7.0295750509579702E-3</c:v>
                </c:pt>
                <c:pt idx="22">
                  <c:v>9.0582918708669285E-3</c:v>
                </c:pt>
                <c:pt idx="23">
                  <c:v>9.5782383265457689E-3</c:v>
                </c:pt>
                <c:pt idx="24">
                  <c:v>7.8910615413325738E-3</c:v>
                </c:pt>
                <c:pt idx="25">
                  <c:v>7.4069367856237087E-3</c:v>
                </c:pt>
                <c:pt idx="26">
                  <c:v>7.5720813231875024E-3</c:v>
                </c:pt>
                <c:pt idx="27">
                  <c:v>5.8074871278389929E-3</c:v>
                </c:pt>
                <c:pt idx="28">
                  <c:v>5.1009838973237092E-3</c:v>
                </c:pt>
                <c:pt idx="29">
                  <c:v>4.6569633211359018E-3</c:v>
                </c:pt>
                <c:pt idx="30">
                  <c:v>5.2812857427912679E-3</c:v>
                </c:pt>
                <c:pt idx="31">
                  <c:v>5.4744470340854492E-3</c:v>
                </c:pt>
                <c:pt idx="32">
                  <c:v>7.6950981318998713E-3</c:v>
                </c:pt>
                <c:pt idx="33">
                  <c:v>7.7932902229076199E-3</c:v>
                </c:pt>
                <c:pt idx="34">
                  <c:v>7.6084418183390255E-3</c:v>
                </c:pt>
                <c:pt idx="35">
                  <c:v>6.7642268978034201E-3</c:v>
                </c:pt>
                <c:pt idx="36">
                  <c:v>6.2353676363937479E-3</c:v>
                </c:pt>
                <c:pt idx="37">
                  <c:v>5.8912488704791748E-3</c:v>
                </c:pt>
                <c:pt idx="38">
                  <c:v>5.3030656008514207E-3</c:v>
                </c:pt>
                <c:pt idx="39">
                  <c:v>3.3457527076188515E-3</c:v>
                </c:pt>
                <c:pt idx="40">
                  <c:v>4.0886483266705945E-3</c:v>
                </c:pt>
                <c:pt idx="41">
                  <c:v>5.5980336662013568E-3</c:v>
                </c:pt>
                <c:pt idx="42">
                  <c:v>7.4243863068585896E-3</c:v>
                </c:pt>
                <c:pt idx="43">
                  <c:v>8.4664336427876241E-3</c:v>
                </c:pt>
                <c:pt idx="44">
                  <c:v>8.6084895112060241E-3</c:v>
                </c:pt>
                <c:pt idx="45">
                  <c:v>8.35803522344984E-3</c:v>
                </c:pt>
                <c:pt idx="46">
                  <c:v>7.1476627319653268E-3</c:v>
                </c:pt>
                <c:pt idx="47">
                  <c:v>5.0956303387233179E-3</c:v>
                </c:pt>
                <c:pt idx="48">
                  <c:v>7.0464541562655029E-3</c:v>
                </c:pt>
                <c:pt idx="49">
                  <c:v>8.7083949299833416E-3</c:v>
                </c:pt>
                <c:pt idx="50">
                  <c:v>8.5731517630890739E-3</c:v>
                </c:pt>
                <c:pt idx="51">
                  <c:v>8.2508417872784751E-3</c:v>
                </c:pt>
                <c:pt idx="52">
                  <c:v>1.0015683434219522E-2</c:v>
                </c:pt>
                <c:pt idx="53">
                  <c:v>9.7490557574620666E-3</c:v>
                </c:pt>
                <c:pt idx="54">
                  <c:v>1.0124123242472921E-2</c:v>
                </c:pt>
                <c:pt idx="55">
                  <c:v>1.0381925127596338E-2</c:v>
                </c:pt>
              </c:numCache>
            </c:numRef>
          </c:val>
          <c:extLst xmlns:c16r2="http://schemas.microsoft.com/office/drawing/2015/06/chart">
            <c:ext xmlns:c16="http://schemas.microsoft.com/office/drawing/2014/chart" uri="{C3380CC4-5D6E-409C-BE32-E72D297353CC}">
              <c16:uniqueId val="{00000000-0C44-4333-B98F-98B6C9E657E5}"/>
            </c:ext>
          </c:extLst>
        </c:ser>
        <c:ser>
          <c:idx val="1"/>
          <c:order val="1"/>
          <c:tx>
            <c:v>Dividends</c:v>
          </c:tx>
          <c:spPr>
            <a:solidFill>
              <a:schemeClr val="bg1"/>
            </a:solidFill>
          </c:spPr>
          <c:val>
            <c:numRef>
              <c:f>'F-B7'!$E$42:$E$97</c:f>
              <c:numCache>
                <c:formatCode>0.0%</c:formatCode>
                <c:ptCount val="56"/>
                <c:pt idx="0">
                  <c:v>1.9426896649318053E-2</c:v>
                </c:pt>
                <c:pt idx="1">
                  <c:v>1.9475426533511708E-2</c:v>
                </c:pt>
                <c:pt idx="2">
                  <c:v>1.9523956417705362E-2</c:v>
                </c:pt>
                <c:pt idx="3">
                  <c:v>1.8418211759107309E-2</c:v>
                </c:pt>
                <c:pt idx="4">
                  <c:v>1.7312467100509252E-2</c:v>
                </c:pt>
                <c:pt idx="5">
                  <c:v>1.7717386097351805E-2</c:v>
                </c:pt>
                <c:pt idx="6">
                  <c:v>1.8122305094194359E-2</c:v>
                </c:pt>
                <c:pt idx="7">
                  <c:v>1.7640163855637634E-2</c:v>
                </c:pt>
                <c:pt idx="8">
                  <c:v>1.8072791925709025E-2</c:v>
                </c:pt>
                <c:pt idx="9">
                  <c:v>1.674045649457714E-2</c:v>
                </c:pt>
                <c:pt idx="10">
                  <c:v>1.5645430020640914E-2</c:v>
                </c:pt>
                <c:pt idx="11">
                  <c:v>1.4093743611760001E-2</c:v>
                </c:pt>
                <c:pt idx="12">
                  <c:v>1.4055179472161491E-2</c:v>
                </c:pt>
                <c:pt idx="13">
                  <c:v>1.3821362279174186E-2</c:v>
                </c:pt>
                <c:pt idx="14">
                  <c:v>1.4311003889532804E-2</c:v>
                </c:pt>
                <c:pt idx="15">
                  <c:v>1.3453573223416488E-2</c:v>
                </c:pt>
                <c:pt idx="16">
                  <c:v>1.3663547098524709E-2</c:v>
                </c:pt>
                <c:pt idx="17">
                  <c:v>1.3606081314716753E-2</c:v>
                </c:pt>
                <c:pt idx="18">
                  <c:v>1.3539507661581371E-2</c:v>
                </c:pt>
                <c:pt idx="19">
                  <c:v>1.3538169647280386E-2</c:v>
                </c:pt>
                <c:pt idx="20">
                  <c:v>1.4372321116161166E-2</c:v>
                </c:pt>
                <c:pt idx="21">
                  <c:v>1.5331038092823749E-2</c:v>
                </c:pt>
                <c:pt idx="22">
                  <c:v>1.6396279308968004E-2</c:v>
                </c:pt>
                <c:pt idx="23">
                  <c:v>1.417027045773012E-2</c:v>
                </c:pt>
                <c:pt idx="24">
                  <c:v>1.2733137156929916E-2</c:v>
                </c:pt>
                <c:pt idx="25">
                  <c:v>1.3483633435329963E-2</c:v>
                </c:pt>
                <c:pt idx="26">
                  <c:v>1.4483745349230592E-2</c:v>
                </c:pt>
                <c:pt idx="27">
                  <c:v>1.465067746600179E-2</c:v>
                </c:pt>
                <c:pt idx="28">
                  <c:v>1.5585989581777406E-2</c:v>
                </c:pt>
                <c:pt idx="29">
                  <c:v>1.5367107963286478E-2</c:v>
                </c:pt>
                <c:pt idx="30">
                  <c:v>1.431722046276883E-2</c:v>
                </c:pt>
                <c:pt idx="31">
                  <c:v>1.3268417296631779E-2</c:v>
                </c:pt>
                <c:pt idx="32">
                  <c:v>1.2533447709570787E-2</c:v>
                </c:pt>
                <c:pt idx="33">
                  <c:v>1.2229206367890245E-2</c:v>
                </c:pt>
                <c:pt idx="34">
                  <c:v>1.1877153664139278E-2</c:v>
                </c:pt>
                <c:pt idx="35">
                  <c:v>1.291525195912808E-2</c:v>
                </c:pt>
                <c:pt idx="36">
                  <c:v>1.3388844171767817E-2</c:v>
                </c:pt>
                <c:pt idx="37">
                  <c:v>1.4522994966962089E-2</c:v>
                </c:pt>
                <c:pt idx="38">
                  <c:v>1.3472706298323207E-2</c:v>
                </c:pt>
                <c:pt idx="39">
                  <c:v>1.4369343326822362E-2</c:v>
                </c:pt>
                <c:pt idx="40">
                  <c:v>1.4837492170973791E-2</c:v>
                </c:pt>
                <c:pt idx="41">
                  <c:v>1.1595684375482106E-2</c:v>
                </c:pt>
                <c:pt idx="42">
                  <c:v>9.682717795266681E-3</c:v>
                </c:pt>
                <c:pt idx="43">
                  <c:v>1.0319183524385718E-2</c:v>
                </c:pt>
                <c:pt idx="44">
                  <c:v>1.2324797948444949E-2</c:v>
                </c:pt>
                <c:pt idx="45">
                  <c:v>1.3115075968789199E-2</c:v>
                </c:pt>
                <c:pt idx="46">
                  <c:v>1.4706010488566578E-2</c:v>
                </c:pt>
                <c:pt idx="47">
                  <c:v>1.694575015930392E-2</c:v>
                </c:pt>
                <c:pt idx="48">
                  <c:v>1.5254010603674284E-2</c:v>
                </c:pt>
                <c:pt idx="49">
                  <c:v>1.1532259552737286E-2</c:v>
                </c:pt>
                <c:pt idx="50">
                  <c:v>1.226554732060846E-2</c:v>
                </c:pt>
                <c:pt idx="51">
                  <c:v>1.2476473307995574E-2</c:v>
                </c:pt>
                <c:pt idx="52">
                  <c:v>1.5955934619941044E-2</c:v>
                </c:pt>
                <c:pt idx="53">
                  <c:v>1.2818892148134819E-2</c:v>
                </c:pt>
                <c:pt idx="54">
                  <c:v>1.4489605986721584E-2</c:v>
                </c:pt>
                <c:pt idx="55">
                  <c:v>1.420346419209002E-2</c:v>
                </c:pt>
              </c:numCache>
            </c:numRef>
          </c:val>
          <c:extLst xmlns:c16r2="http://schemas.microsoft.com/office/drawing/2015/06/chart">
            <c:ext xmlns:c16="http://schemas.microsoft.com/office/drawing/2014/chart" uri="{C3380CC4-5D6E-409C-BE32-E72D297353CC}">
              <c16:uniqueId val="{00000001-0C44-4333-B98F-98B6C9E657E5}"/>
            </c:ext>
          </c:extLst>
        </c:ser>
        <c:ser>
          <c:idx val="3"/>
          <c:order val="2"/>
          <c:tx>
            <c:v>Interest</c:v>
          </c:tx>
          <c:spPr>
            <a:solidFill>
              <a:schemeClr val="bg1">
                <a:lumMod val="65000"/>
              </a:schemeClr>
            </a:solidFill>
            <a:ln w="25400">
              <a:noFill/>
            </a:ln>
          </c:spPr>
          <c:val>
            <c:numRef>
              <c:f>'F-B7'!$F$42:$F$97</c:f>
              <c:numCache>
                <c:formatCode>0.0%</c:formatCode>
                <c:ptCount val="56"/>
                <c:pt idx="0">
                  <c:v>1.256718359353063E-2</c:v>
                </c:pt>
                <c:pt idx="1">
                  <c:v>1.256718359353063E-2</c:v>
                </c:pt>
                <c:pt idx="2">
                  <c:v>1.256718359353063E-2</c:v>
                </c:pt>
                <c:pt idx="3">
                  <c:v>1.3591072532878831E-2</c:v>
                </c:pt>
                <c:pt idx="4">
                  <c:v>1.4614961472227029E-2</c:v>
                </c:pt>
                <c:pt idx="5">
                  <c:v>1.6189940501807769E-2</c:v>
                </c:pt>
                <c:pt idx="6">
                  <c:v>1.776491953138851E-2</c:v>
                </c:pt>
                <c:pt idx="7">
                  <c:v>1.9019902826498382E-2</c:v>
                </c:pt>
                <c:pt idx="8">
                  <c:v>1.9406515639550828E-2</c:v>
                </c:pt>
                <c:pt idx="9">
                  <c:v>2.0960302588314383E-2</c:v>
                </c:pt>
                <c:pt idx="10">
                  <c:v>2.2664555031054853E-2</c:v>
                </c:pt>
                <c:pt idx="11">
                  <c:v>2.2359784103224319E-2</c:v>
                </c:pt>
                <c:pt idx="12">
                  <c:v>2.3280021882051437E-2</c:v>
                </c:pt>
                <c:pt idx="13">
                  <c:v>2.3970227986493856E-2</c:v>
                </c:pt>
                <c:pt idx="14">
                  <c:v>2.735818659053044E-2</c:v>
                </c:pt>
                <c:pt idx="15">
                  <c:v>2.7263620996461985E-2</c:v>
                </c:pt>
                <c:pt idx="16">
                  <c:v>2.7749641524622559E-2</c:v>
                </c:pt>
                <c:pt idx="17">
                  <c:v>2.8065439403707884E-2</c:v>
                </c:pt>
                <c:pt idx="18">
                  <c:v>2.8036611667639301E-2</c:v>
                </c:pt>
                <c:pt idx="19">
                  <c:v>3.0569663147901473E-2</c:v>
                </c:pt>
                <c:pt idx="20">
                  <c:v>3.8647383666312166E-2</c:v>
                </c:pt>
                <c:pt idx="21">
                  <c:v>4.71183673079697E-2</c:v>
                </c:pt>
                <c:pt idx="22">
                  <c:v>5.0328976667574035E-2</c:v>
                </c:pt>
                <c:pt idx="23">
                  <c:v>4.5778312614201816E-2</c:v>
                </c:pt>
                <c:pt idx="24">
                  <c:v>4.7019870887165936E-2</c:v>
                </c:pt>
                <c:pt idx="25">
                  <c:v>4.5647044158124248E-2</c:v>
                </c:pt>
                <c:pt idx="26">
                  <c:v>4.0027050741311028E-2</c:v>
                </c:pt>
                <c:pt idx="27">
                  <c:v>3.7480438870261486E-2</c:v>
                </c:pt>
                <c:pt idx="28">
                  <c:v>3.8029981036671011E-2</c:v>
                </c:pt>
                <c:pt idx="29">
                  <c:v>4.1893790974333982E-2</c:v>
                </c:pt>
                <c:pt idx="30">
                  <c:v>4.0850748485128527E-2</c:v>
                </c:pt>
                <c:pt idx="31">
                  <c:v>3.6212369782355848E-2</c:v>
                </c:pt>
                <c:pt idx="32">
                  <c:v>2.6369936646085085E-2</c:v>
                </c:pt>
                <c:pt idx="33">
                  <c:v>2.0380282717336811E-2</c:v>
                </c:pt>
                <c:pt idx="34">
                  <c:v>1.8477626376190083E-2</c:v>
                </c:pt>
                <c:pt idx="35">
                  <c:v>2.1443091780861765E-2</c:v>
                </c:pt>
                <c:pt idx="36">
                  <c:v>2.1631077659764852E-2</c:v>
                </c:pt>
                <c:pt idx="37">
                  <c:v>2.1045709149639515E-2</c:v>
                </c:pt>
                <c:pt idx="38">
                  <c:v>2.0645240364304346E-2</c:v>
                </c:pt>
                <c:pt idx="39">
                  <c:v>1.9500561495597712E-2</c:v>
                </c:pt>
                <c:pt idx="40">
                  <c:v>2.0509709980353501E-2</c:v>
                </c:pt>
                <c:pt idx="41">
                  <c:v>1.959344596161159E-2</c:v>
                </c:pt>
                <c:pt idx="42">
                  <c:v>1.4288040202552098E-2</c:v>
                </c:pt>
                <c:pt idx="43">
                  <c:v>1.1670401399446077E-2</c:v>
                </c:pt>
                <c:pt idx="44">
                  <c:v>1.0783831966268104E-2</c:v>
                </c:pt>
                <c:pt idx="45">
                  <c:v>1.3097526507384171E-2</c:v>
                </c:pt>
                <c:pt idx="46">
                  <c:v>1.6746356039793048E-2</c:v>
                </c:pt>
                <c:pt idx="47">
                  <c:v>1.9536498656691992E-2</c:v>
                </c:pt>
                <c:pt idx="48">
                  <c:v>1.5847896708690058E-2</c:v>
                </c:pt>
                <c:pt idx="49">
                  <c:v>1.2162170379444651E-2</c:v>
                </c:pt>
                <c:pt idx="50">
                  <c:v>9.5971280819058084E-3</c:v>
                </c:pt>
                <c:pt idx="51">
                  <c:v>7.9351779566922721E-3</c:v>
                </c:pt>
                <c:pt idx="52">
                  <c:v>7.0741420585285469E-3</c:v>
                </c:pt>
                <c:pt idx="53">
                  <c:v>6.2314754993655005E-3</c:v>
                </c:pt>
                <c:pt idx="54">
                  <c:v>5.6126472514335911E-3</c:v>
                </c:pt>
                <c:pt idx="55">
                  <c:v>5.4791902897737927E-3</c:v>
                </c:pt>
              </c:numCache>
            </c:numRef>
          </c:val>
          <c:extLst xmlns:c16r2="http://schemas.microsoft.com/office/drawing/2015/06/chart">
            <c:ext xmlns:c16="http://schemas.microsoft.com/office/drawing/2014/chart" uri="{C3380CC4-5D6E-409C-BE32-E72D297353CC}">
              <c16:uniqueId val="{00000002-0C44-4333-B98F-98B6C9E657E5}"/>
            </c:ext>
          </c:extLst>
        </c:ser>
        <c:ser>
          <c:idx val="4"/>
          <c:order val="3"/>
          <c:tx>
            <c:v>Self-empl.</c:v>
          </c:tx>
          <c:spPr>
            <a:solidFill>
              <a:schemeClr val="bg1">
                <a:lumMod val="95000"/>
              </a:schemeClr>
            </a:solidFill>
            <a:ln w="25400">
              <a:noFill/>
            </a:ln>
          </c:spPr>
          <c:val>
            <c:numRef>
              <c:f>'F-B7'!$G$42:$G$97</c:f>
              <c:numCache>
                <c:formatCode>0.0%</c:formatCode>
                <c:ptCount val="56"/>
                <c:pt idx="0">
                  <c:v>4.9994406035702224E-2</c:v>
                </c:pt>
                <c:pt idx="1">
                  <c:v>5.206412910487513E-2</c:v>
                </c:pt>
                <c:pt idx="2">
                  <c:v>5.4133852174048036E-2</c:v>
                </c:pt>
                <c:pt idx="3">
                  <c:v>6.2075023356103189E-2</c:v>
                </c:pt>
                <c:pt idx="4">
                  <c:v>7.0016194538158341E-2</c:v>
                </c:pt>
                <c:pt idx="5">
                  <c:v>5.9931137887620757E-2</c:v>
                </c:pt>
                <c:pt idx="6">
                  <c:v>4.9846081237083173E-2</c:v>
                </c:pt>
                <c:pt idx="7">
                  <c:v>4.4584219254546267E-2</c:v>
                </c:pt>
                <c:pt idx="8">
                  <c:v>4.1205110622664881E-2</c:v>
                </c:pt>
                <c:pt idx="9">
                  <c:v>4.1058907335602524E-2</c:v>
                </c:pt>
                <c:pt idx="10">
                  <c:v>3.7955204648566707E-2</c:v>
                </c:pt>
                <c:pt idx="11">
                  <c:v>3.6313763344718891E-2</c:v>
                </c:pt>
                <c:pt idx="12">
                  <c:v>3.7128858208496048E-2</c:v>
                </c:pt>
                <c:pt idx="13">
                  <c:v>3.9410087666877487E-2</c:v>
                </c:pt>
                <c:pt idx="14">
                  <c:v>2.8539111514343712E-2</c:v>
                </c:pt>
                <c:pt idx="15">
                  <c:v>3.1446155770377633E-2</c:v>
                </c:pt>
                <c:pt idx="16">
                  <c:v>3.1252566873779586E-2</c:v>
                </c:pt>
                <c:pt idx="17">
                  <c:v>2.8202288896697833E-2</c:v>
                </c:pt>
                <c:pt idx="18">
                  <c:v>2.8801162411634381E-2</c:v>
                </c:pt>
                <c:pt idx="19">
                  <c:v>2.8594341666969381E-2</c:v>
                </c:pt>
                <c:pt idx="20">
                  <c:v>2.4035157080095897E-2</c:v>
                </c:pt>
                <c:pt idx="21">
                  <c:v>1.4991128662065685E-2</c:v>
                </c:pt>
                <c:pt idx="22">
                  <c:v>1.1507163529635725E-2</c:v>
                </c:pt>
                <c:pt idx="23">
                  <c:v>1.314005964505038E-2</c:v>
                </c:pt>
                <c:pt idx="24">
                  <c:v>8.8945787080256505E-3</c:v>
                </c:pt>
                <c:pt idx="25">
                  <c:v>1.3531641068089403E-2</c:v>
                </c:pt>
                <c:pt idx="26">
                  <c:v>1.5467904757017367E-2</c:v>
                </c:pt>
                <c:pt idx="27">
                  <c:v>1.9968399582957562E-2</c:v>
                </c:pt>
                <c:pt idx="28">
                  <c:v>2.4470621972704654E-2</c:v>
                </c:pt>
                <c:pt idx="29">
                  <c:v>2.4690645658838335E-2</c:v>
                </c:pt>
                <c:pt idx="30">
                  <c:v>2.4809628314352114E-2</c:v>
                </c:pt>
                <c:pt idx="31">
                  <c:v>2.2356854739725315E-2</c:v>
                </c:pt>
                <c:pt idx="32">
                  <c:v>2.4861425123929397E-2</c:v>
                </c:pt>
                <c:pt idx="33">
                  <c:v>2.262245452881945E-2</c:v>
                </c:pt>
                <c:pt idx="34">
                  <c:v>2.2749530926318821E-2</c:v>
                </c:pt>
                <c:pt idx="35">
                  <c:v>2.2052807285617024E-2</c:v>
                </c:pt>
                <c:pt idx="36">
                  <c:v>2.3053517265084426E-2</c:v>
                </c:pt>
                <c:pt idx="37">
                  <c:v>2.2882408088548314E-2</c:v>
                </c:pt>
                <c:pt idx="38">
                  <c:v>2.4338046620748718E-2</c:v>
                </c:pt>
                <c:pt idx="39">
                  <c:v>2.8673257447476674E-2</c:v>
                </c:pt>
                <c:pt idx="40">
                  <c:v>2.7310809084446986E-2</c:v>
                </c:pt>
                <c:pt idx="41">
                  <c:v>2.3342237765354351E-2</c:v>
                </c:pt>
                <c:pt idx="42">
                  <c:v>2.2177340489322132E-2</c:v>
                </c:pt>
                <c:pt idx="43">
                  <c:v>2.2253078025620963E-2</c:v>
                </c:pt>
                <c:pt idx="44">
                  <c:v>2.2061072335017671E-2</c:v>
                </c:pt>
                <c:pt idx="45">
                  <c:v>2.3101094128845243E-2</c:v>
                </c:pt>
                <c:pt idx="46">
                  <c:v>2.2603286732365089E-2</c:v>
                </c:pt>
                <c:pt idx="47">
                  <c:v>2.2391119592815034E-2</c:v>
                </c:pt>
                <c:pt idx="48">
                  <c:v>1.8942436110996389E-2</c:v>
                </c:pt>
                <c:pt idx="49">
                  <c:v>1.4358249187899089E-2</c:v>
                </c:pt>
                <c:pt idx="50">
                  <c:v>1.4823425554170698E-2</c:v>
                </c:pt>
                <c:pt idx="51">
                  <c:v>1.4843416479879678E-2</c:v>
                </c:pt>
                <c:pt idx="52">
                  <c:v>1.6119642736298342E-2</c:v>
                </c:pt>
                <c:pt idx="53">
                  <c:v>1.6431378707461884E-2</c:v>
                </c:pt>
                <c:pt idx="54">
                  <c:v>1.7790334640760287E-2</c:v>
                </c:pt>
                <c:pt idx="55">
                  <c:v>1.7166386633566781E-2</c:v>
                </c:pt>
              </c:numCache>
            </c:numRef>
          </c:val>
          <c:extLst xmlns:c16r2="http://schemas.microsoft.com/office/drawing/2015/06/chart">
            <c:ext xmlns:c16="http://schemas.microsoft.com/office/drawing/2014/chart" uri="{C3380CC4-5D6E-409C-BE32-E72D297353CC}">
              <c16:uniqueId val="{00000003-0C44-4333-B98F-98B6C9E657E5}"/>
            </c:ext>
          </c:extLst>
        </c:ser>
        <c:ser>
          <c:idx val="15"/>
          <c:order val="4"/>
          <c:tx>
            <c:v>Partn. &amp; S Corp.</c:v>
          </c:tx>
          <c:spPr>
            <a:solidFill>
              <a:schemeClr val="bg1">
                <a:lumMod val="65000"/>
              </a:schemeClr>
            </a:solidFill>
            <a:ln w="25400">
              <a:noFill/>
            </a:ln>
          </c:spPr>
          <c:val>
            <c:numRef>
              <c:f>'F-B7'!$H$42:$H$97</c:f>
              <c:numCache>
                <c:formatCode>0.0%</c:formatCode>
                <c:ptCount val="56"/>
                <c:pt idx="0">
                  <c:v>1.6869707829659925E-2</c:v>
                </c:pt>
                <c:pt idx="1">
                  <c:v>1.6869707829659925E-2</c:v>
                </c:pt>
                <c:pt idx="2">
                  <c:v>1.6869707829659925E-2</c:v>
                </c:pt>
                <c:pt idx="3">
                  <c:v>1.3780797166854609E-2</c:v>
                </c:pt>
                <c:pt idx="4">
                  <c:v>1.0691886504049293E-2</c:v>
                </c:pt>
                <c:pt idx="5">
                  <c:v>1.3539944777471131E-2</c:v>
                </c:pt>
                <c:pt idx="6">
                  <c:v>1.6388003050892969E-2</c:v>
                </c:pt>
                <c:pt idx="7">
                  <c:v>1.6838757450013911E-2</c:v>
                </c:pt>
                <c:pt idx="8">
                  <c:v>1.5408603715498043E-2</c:v>
                </c:pt>
                <c:pt idx="9">
                  <c:v>1.4732152252645824E-2</c:v>
                </c:pt>
                <c:pt idx="10">
                  <c:v>1.2167283398381181E-2</c:v>
                </c:pt>
                <c:pt idx="11">
                  <c:v>1.1164626284844142E-2</c:v>
                </c:pt>
                <c:pt idx="12">
                  <c:v>1.1454691408897997E-2</c:v>
                </c:pt>
                <c:pt idx="13">
                  <c:v>9.5309313916164713E-3</c:v>
                </c:pt>
                <c:pt idx="14">
                  <c:v>9.5561114419910678E-3</c:v>
                </c:pt>
                <c:pt idx="15">
                  <c:v>7.7985790479339571E-3</c:v>
                </c:pt>
                <c:pt idx="16">
                  <c:v>7.5724954194009431E-3</c:v>
                </c:pt>
                <c:pt idx="17">
                  <c:v>7.6972503236578636E-3</c:v>
                </c:pt>
                <c:pt idx="18">
                  <c:v>7.7676249946947223E-3</c:v>
                </c:pt>
                <c:pt idx="19">
                  <c:v>5.9381216442628967E-3</c:v>
                </c:pt>
                <c:pt idx="20">
                  <c:v>3.7465967144311085E-3</c:v>
                </c:pt>
                <c:pt idx="21">
                  <c:v>-3.0676135019996892E-4</c:v>
                </c:pt>
                <c:pt idx="22">
                  <c:v>-2.8399091028298649E-4</c:v>
                </c:pt>
                <c:pt idx="23">
                  <c:v>-1.5670288939494603E-4</c:v>
                </c:pt>
                <c:pt idx="24">
                  <c:v>-5.9590184045398193E-4</c:v>
                </c:pt>
                <c:pt idx="25">
                  <c:v>-6.4889200563858029E-4</c:v>
                </c:pt>
                <c:pt idx="26">
                  <c:v>-1.3696593764760236E-3</c:v>
                </c:pt>
                <c:pt idx="27">
                  <c:v>5.3357425172606745E-3</c:v>
                </c:pt>
                <c:pt idx="28">
                  <c:v>1.1504687544692695E-2</c:v>
                </c:pt>
                <c:pt idx="29">
                  <c:v>1.1924403783813944E-2</c:v>
                </c:pt>
                <c:pt idx="30">
                  <c:v>1.1969434582547903E-2</c:v>
                </c:pt>
                <c:pt idx="31">
                  <c:v>1.0848701435046933E-2</c:v>
                </c:pt>
                <c:pt idx="32">
                  <c:v>1.4097728206413052E-2</c:v>
                </c:pt>
                <c:pt idx="33">
                  <c:v>1.424460340168794E-2</c:v>
                </c:pt>
                <c:pt idx="34">
                  <c:v>1.648555226724133E-2</c:v>
                </c:pt>
                <c:pt idx="35">
                  <c:v>1.7169980178315811E-2</c:v>
                </c:pt>
                <c:pt idx="36">
                  <c:v>1.8850047022758665E-2</c:v>
                </c:pt>
                <c:pt idx="37">
                  <c:v>2.0287734401031283E-2</c:v>
                </c:pt>
                <c:pt idx="38">
                  <c:v>2.1306215512838803E-2</c:v>
                </c:pt>
                <c:pt idx="39">
                  <c:v>2.2786957168333382E-2</c:v>
                </c:pt>
                <c:pt idx="40">
                  <c:v>2.1506773786038356E-2</c:v>
                </c:pt>
                <c:pt idx="41">
                  <c:v>2.1839630923608338E-2</c:v>
                </c:pt>
                <c:pt idx="42">
                  <c:v>2.2320569094854768E-2</c:v>
                </c:pt>
                <c:pt idx="43">
                  <c:v>2.2750890061428306E-2</c:v>
                </c:pt>
                <c:pt idx="44">
                  <c:v>2.6523037403632047E-2</c:v>
                </c:pt>
                <c:pt idx="45">
                  <c:v>3.1694995477817206E-2</c:v>
                </c:pt>
                <c:pt idx="46">
                  <c:v>3.1383201924249475E-2</c:v>
                </c:pt>
                <c:pt idx="47">
                  <c:v>2.9684896034381243E-2</c:v>
                </c:pt>
                <c:pt idx="48">
                  <c:v>2.5554540278078353E-2</c:v>
                </c:pt>
                <c:pt idx="49">
                  <c:v>2.4310367516287196E-2</c:v>
                </c:pt>
                <c:pt idx="50">
                  <c:v>2.6364092523744987E-2</c:v>
                </c:pt>
                <c:pt idx="51">
                  <c:v>2.7280894781574756E-2</c:v>
                </c:pt>
                <c:pt idx="52">
                  <c:v>3.2785340326402276E-2</c:v>
                </c:pt>
                <c:pt idx="53">
                  <c:v>3.171592422873324E-2</c:v>
                </c:pt>
                <c:pt idx="54">
                  <c:v>3.3213335074574968E-2</c:v>
                </c:pt>
                <c:pt idx="55">
                  <c:v>3.4329559490974881E-2</c:v>
                </c:pt>
              </c:numCache>
            </c:numRef>
          </c:val>
          <c:extLst xmlns:c16r2="http://schemas.microsoft.com/office/drawing/2015/06/chart">
            <c:ext xmlns:c16="http://schemas.microsoft.com/office/drawing/2014/chart" uri="{C3380CC4-5D6E-409C-BE32-E72D297353CC}">
              <c16:uniqueId val="{00000004-0C44-4333-B98F-98B6C9E657E5}"/>
            </c:ext>
          </c:extLst>
        </c:ser>
        <c:ser>
          <c:idx val="5"/>
          <c:order val="5"/>
          <c:tx>
            <c:v>Retirement</c:v>
          </c:tx>
          <c:spPr>
            <a:solidFill>
              <a:schemeClr val="bg1">
                <a:lumMod val="50000"/>
              </a:schemeClr>
            </a:solidFill>
            <a:ln w="25400">
              <a:noFill/>
            </a:ln>
          </c:spPr>
          <c:val>
            <c:numRef>
              <c:f>'F-B7'!$I$42:$I$97</c:f>
              <c:numCache>
                <c:formatCode>0.0%</c:formatCode>
                <c:ptCount val="56"/>
                <c:pt idx="0">
                  <c:v>4.4783352188653737E-3</c:v>
                </c:pt>
                <c:pt idx="1">
                  <c:v>4.2596185172896553E-3</c:v>
                </c:pt>
                <c:pt idx="2">
                  <c:v>4.0409018157139378E-3</c:v>
                </c:pt>
                <c:pt idx="3">
                  <c:v>4.3499435258872853E-3</c:v>
                </c:pt>
                <c:pt idx="4">
                  <c:v>4.6589852360606329E-3</c:v>
                </c:pt>
                <c:pt idx="5">
                  <c:v>5.4774590218892305E-3</c:v>
                </c:pt>
                <c:pt idx="6">
                  <c:v>6.295932807717829E-3</c:v>
                </c:pt>
                <c:pt idx="7">
                  <c:v>6.3959506470173252E-3</c:v>
                </c:pt>
                <c:pt idx="8">
                  <c:v>8.7478151615730734E-3</c:v>
                </c:pt>
                <c:pt idx="9">
                  <c:v>8.8678333543867286E-3</c:v>
                </c:pt>
                <c:pt idx="10">
                  <c:v>9.3027365200013829E-3</c:v>
                </c:pt>
                <c:pt idx="11">
                  <c:v>1.0097896991806909E-2</c:v>
                </c:pt>
                <c:pt idx="12">
                  <c:v>1.0694351929182755E-2</c:v>
                </c:pt>
                <c:pt idx="13">
                  <c:v>1.1484083866372081E-2</c:v>
                </c:pt>
                <c:pt idx="14">
                  <c:v>1.3105007326282999E-2</c:v>
                </c:pt>
                <c:pt idx="15">
                  <c:v>1.4817991571786952E-2</c:v>
                </c:pt>
                <c:pt idx="16">
                  <c:v>1.5062733439257117E-2</c:v>
                </c:pt>
                <c:pt idx="17">
                  <c:v>1.6914305703950784E-2</c:v>
                </c:pt>
                <c:pt idx="18">
                  <c:v>1.6561651356378843E-2</c:v>
                </c:pt>
                <c:pt idx="19">
                  <c:v>1.51023945591932E-2</c:v>
                </c:pt>
                <c:pt idx="20">
                  <c:v>1.6080197330903306E-2</c:v>
                </c:pt>
                <c:pt idx="21">
                  <c:v>1.7145071899506099E-2</c:v>
                </c:pt>
                <c:pt idx="22">
                  <c:v>1.9839357793427163E-2</c:v>
                </c:pt>
                <c:pt idx="23">
                  <c:v>2.1409381733696949E-2</c:v>
                </c:pt>
                <c:pt idx="24">
                  <c:v>2.4839984636312127E-2</c:v>
                </c:pt>
                <c:pt idx="25">
                  <c:v>2.3296729894098079E-2</c:v>
                </c:pt>
                <c:pt idx="26">
                  <c:v>2.5225284751442915E-2</c:v>
                </c:pt>
                <c:pt idx="27">
                  <c:v>2.7360096905908127E-2</c:v>
                </c:pt>
                <c:pt idx="28">
                  <c:v>3.021357120372661E-2</c:v>
                </c:pt>
                <c:pt idx="29">
                  <c:v>3.0473221144157809E-2</c:v>
                </c:pt>
                <c:pt idx="30">
                  <c:v>3.1583258540133642E-2</c:v>
                </c:pt>
                <c:pt idx="31">
                  <c:v>3.3843621415385362E-2</c:v>
                </c:pt>
                <c:pt idx="32">
                  <c:v>3.4220771898783649E-2</c:v>
                </c:pt>
                <c:pt idx="33">
                  <c:v>3.3912690430571941E-2</c:v>
                </c:pt>
                <c:pt idx="34">
                  <c:v>3.4377362915176971E-2</c:v>
                </c:pt>
                <c:pt idx="35">
                  <c:v>3.5275474427793808E-2</c:v>
                </c:pt>
                <c:pt idx="36">
                  <c:v>3.6513491858618026E-2</c:v>
                </c:pt>
                <c:pt idx="37">
                  <c:v>3.795553604001619E-2</c:v>
                </c:pt>
                <c:pt idx="38">
                  <c:v>4.0338927034574541E-2</c:v>
                </c:pt>
                <c:pt idx="39">
                  <c:v>4.2439355821459988E-2</c:v>
                </c:pt>
                <c:pt idx="40">
                  <c:v>4.2870898744470295E-2</c:v>
                </c:pt>
                <c:pt idx="41">
                  <c:v>4.2014417972829066E-2</c:v>
                </c:pt>
                <c:pt idx="42">
                  <c:v>4.1835492059244153E-2</c:v>
                </c:pt>
                <c:pt idx="43">
                  <c:v>4.1340140735441289E-2</c:v>
                </c:pt>
                <c:pt idx="44">
                  <c:v>4.1627923887129041E-2</c:v>
                </c:pt>
                <c:pt idx="45">
                  <c:v>4.1945112382448524E-2</c:v>
                </c:pt>
                <c:pt idx="46">
                  <c:v>4.2442391999473209E-2</c:v>
                </c:pt>
                <c:pt idx="47">
                  <c:v>4.5712983143284175E-2</c:v>
                </c:pt>
                <c:pt idx="48">
                  <c:v>4.6496489952086877E-2</c:v>
                </c:pt>
                <c:pt idx="49">
                  <c:v>4.6462955447365908E-2</c:v>
                </c:pt>
                <c:pt idx="50">
                  <c:v>5.0315440789900717E-2</c:v>
                </c:pt>
                <c:pt idx="51">
                  <c:v>5.1194033837649838E-2</c:v>
                </c:pt>
                <c:pt idx="52">
                  <c:v>5.1671881120634873E-2</c:v>
                </c:pt>
                <c:pt idx="53">
                  <c:v>5.0844913827481297E-2</c:v>
                </c:pt>
                <c:pt idx="54">
                  <c:v>5.112655810015837E-2</c:v>
                </c:pt>
                <c:pt idx="55">
                  <c:v>5.1547829625067175E-2</c:v>
                </c:pt>
              </c:numCache>
            </c:numRef>
          </c:val>
          <c:extLst xmlns:c16r2="http://schemas.microsoft.com/office/drawing/2015/06/chart">
            <c:ext xmlns:c16="http://schemas.microsoft.com/office/drawing/2014/chart" uri="{C3380CC4-5D6E-409C-BE32-E72D297353CC}">
              <c16:uniqueId val="{00000005-0C44-4333-B98F-98B6C9E657E5}"/>
            </c:ext>
          </c:extLst>
        </c:ser>
        <c:ser>
          <c:idx val="2"/>
          <c:order val="6"/>
          <c:tx>
            <c:v>Wages &amp; Salaries</c:v>
          </c:tx>
          <c:spPr>
            <a:solidFill>
              <a:schemeClr val="bg1">
                <a:lumMod val="95000"/>
                <a:alpha val="78000"/>
              </a:schemeClr>
            </a:solidFill>
            <a:ln w="19050">
              <a:noFill/>
            </a:ln>
          </c:spPr>
          <c:dPt>
            <c:idx val="1"/>
            <c:bubble3D val="0"/>
            <c:extLst xmlns:c16r2="http://schemas.microsoft.com/office/drawing/2015/06/chart">
              <c:ext xmlns:c16="http://schemas.microsoft.com/office/drawing/2014/chart" uri="{C3380CC4-5D6E-409C-BE32-E72D297353CC}">
                <c16:uniqueId val="{00000006-0C44-4333-B98F-98B6C9E657E5}"/>
              </c:ext>
            </c:extLst>
          </c:dPt>
          <c:dPt>
            <c:idx val="3"/>
            <c:bubble3D val="0"/>
            <c:extLst xmlns:c16r2="http://schemas.microsoft.com/office/drawing/2015/06/chart">
              <c:ext xmlns:c16="http://schemas.microsoft.com/office/drawing/2014/chart" uri="{C3380CC4-5D6E-409C-BE32-E72D297353CC}">
                <c16:uniqueId val="{00000007-0C44-4333-B98F-98B6C9E657E5}"/>
              </c:ext>
            </c:extLst>
          </c:dPt>
          <c:dPt>
            <c:idx val="5"/>
            <c:bubble3D val="0"/>
            <c:extLst xmlns:c16r2="http://schemas.microsoft.com/office/drawing/2015/06/chart">
              <c:ext xmlns:c16="http://schemas.microsoft.com/office/drawing/2014/chart" uri="{C3380CC4-5D6E-409C-BE32-E72D297353CC}">
                <c16:uniqueId val="{00000008-0C44-4333-B98F-98B6C9E657E5}"/>
              </c:ext>
            </c:extLst>
          </c:dPt>
          <c:cat>
            <c:numRef>
              <c:f>'F-B7'!$A$103:$A$158</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'F-B7'!$C$42:$C$97</c:f>
              <c:numCache>
                <c:formatCode>0.0%</c:formatCode>
                <c:ptCount val="56"/>
                <c:pt idx="0">
                  <c:v>0.51018395171395292</c:v>
                </c:pt>
                <c:pt idx="1">
                  <c:v>0.50520375112990767</c:v>
                </c:pt>
                <c:pt idx="2">
                  <c:v>0.50022355054586243</c:v>
                </c:pt>
                <c:pt idx="3">
                  <c:v>0.49721778632738267</c:v>
                </c:pt>
                <c:pt idx="4">
                  <c:v>0.49421202210890292</c:v>
                </c:pt>
                <c:pt idx="5">
                  <c:v>0.49808711990646798</c:v>
                </c:pt>
                <c:pt idx="6">
                  <c:v>0.50196221770403304</c:v>
                </c:pt>
                <c:pt idx="7">
                  <c:v>0.51079012746856134</c:v>
                </c:pt>
                <c:pt idx="8">
                  <c:v>0.51058770146563848</c:v>
                </c:pt>
                <c:pt idx="9">
                  <c:v>0.51917531482387003</c:v>
                </c:pt>
                <c:pt idx="10">
                  <c:v>0.52621160670426581</c:v>
                </c:pt>
                <c:pt idx="11">
                  <c:v>0.5132861824420718</c:v>
                </c:pt>
                <c:pt idx="12">
                  <c:v>0.51062168460588109</c:v>
                </c:pt>
                <c:pt idx="13">
                  <c:v>0.50384588054199031</c:v>
                </c:pt>
                <c:pt idx="14">
                  <c:v>0.51429598001791943</c:v>
                </c:pt>
                <c:pt idx="15">
                  <c:v>0.49273626268858334</c:v>
                </c:pt>
                <c:pt idx="16">
                  <c:v>0.49208045999893851</c:v>
                </c:pt>
                <c:pt idx="17">
                  <c:v>0.48814066877383644</c:v>
                </c:pt>
                <c:pt idx="18">
                  <c:v>0.48871442234031082</c:v>
                </c:pt>
                <c:pt idx="19">
                  <c:v>0.49704754247402128</c:v>
                </c:pt>
                <c:pt idx="20">
                  <c:v>0.50081308208518305</c:v>
                </c:pt>
                <c:pt idx="21">
                  <c:v>0.49104590172001072</c:v>
                </c:pt>
                <c:pt idx="22">
                  <c:v>0.49216579275945321</c:v>
                </c:pt>
                <c:pt idx="23">
                  <c:v>0.47991334776562056</c:v>
                </c:pt>
                <c:pt idx="24">
                  <c:v>0.47309990081789899</c:v>
                </c:pt>
                <c:pt idx="25">
                  <c:v>0.47241010227837227</c:v>
                </c:pt>
                <c:pt idx="26">
                  <c:v>0.47637224015077745</c:v>
                </c:pt>
                <c:pt idx="27">
                  <c:v>0.47454598818779203</c:v>
                </c:pt>
                <c:pt idx="28">
                  <c:v>0.47122312297829211</c:v>
                </c:pt>
                <c:pt idx="29">
                  <c:v>0.4629592313226249</c:v>
                </c:pt>
                <c:pt idx="30">
                  <c:v>0.46422453415620407</c:v>
                </c:pt>
                <c:pt idx="31">
                  <c:v>0.45912451998382564</c:v>
                </c:pt>
                <c:pt idx="32">
                  <c:v>0.44983286940747946</c:v>
                </c:pt>
                <c:pt idx="33">
                  <c:v>0.44360898604836402</c:v>
                </c:pt>
                <c:pt idx="34">
                  <c:v>0.43622619382193228</c:v>
                </c:pt>
                <c:pt idx="35">
                  <c:v>0.43709279899790504</c:v>
                </c:pt>
                <c:pt idx="36">
                  <c:v>0.43366255183762015</c:v>
                </c:pt>
                <c:pt idx="37">
                  <c:v>0.43556566353090981</c:v>
                </c:pt>
                <c:pt idx="38">
                  <c:v>0.44117206271105797</c:v>
                </c:pt>
                <c:pt idx="39">
                  <c:v>0.44722500665745413</c:v>
                </c:pt>
                <c:pt idx="40">
                  <c:v>0.44969919389630636</c:v>
                </c:pt>
                <c:pt idx="41">
                  <c:v>0.44285320903173714</c:v>
                </c:pt>
                <c:pt idx="42">
                  <c:v>0.42759702673867034</c:v>
                </c:pt>
                <c:pt idx="43">
                  <c:v>0.41671263057371111</c:v>
                </c:pt>
                <c:pt idx="44">
                  <c:v>0.41309831165289851</c:v>
                </c:pt>
                <c:pt idx="45">
                  <c:v>0.40610370510858096</c:v>
                </c:pt>
                <c:pt idx="46">
                  <c:v>0.40355948356862925</c:v>
                </c:pt>
                <c:pt idx="47">
                  <c:v>0.41823007612845564</c:v>
                </c:pt>
                <c:pt idx="48">
                  <c:v>0.41389906270011401</c:v>
                </c:pt>
                <c:pt idx="49">
                  <c:v>0.40267668450333471</c:v>
                </c:pt>
                <c:pt idx="50">
                  <c:v>0.39011313985063051</c:v>
                </c:pt>
                <c:pt idx="51">
                  <c:v>0.3882139025231755</c:v>
                </c:pt>
                <c:pt idx="52">
                  <c:v>0.3861069402249816</c:v>
                </c:pt>
                <c:pt idx="53">
                  <c:v>0.38625435504198252</c:v>
                </c:pt>
                <c:pt idx="54">
                  <c:v>0.38582587664192114</c:v>
                </c:pt>
                <c:pt idx="55">
                  <c:v>0.38856136862896007</c:v>
                </c:pt>
              </c:numCache>
            </c:numRef>
          </c:val>
          <c:extLst xmlns:c16r2="http://schemas.microsoft.com/office/drawing/2015/06/chart">
            <c:ext xmlns:c16="http://schemas.microsoft.com/office/drawing/2014/chart" uri="{C3380CC4-5D6E-409C-BE32-E72D297353CC}">
              <c16:uniqueId val="{00000009-0C44-4333-B98F-98B6C9E657E5}"/>
            </c:ext>
          </c:extLst>
        </c:ser>
        <c:ser>
          <c:idx val="6"/>
          <c:order val="7"/>
          <c:tx>
            <c:v>Adjustments</c:v>
          </c:tx>
          <c:spPr>
            <a:solidFill>
              <a:schemeClr val="tx1">
                <a:lumMod val="65000"/>
                <a:lumOff val="35000"/>
                <a:alpha val="85000"/>
              </a:schemeClr>
            </a:solidFill>
            <a:ln w="25400">
              <a:noFill/>
            </a:ln>
          </c:spPr>
          <c:val>
            <c:numRef>
              <c:f>'F-B7'!$J$42:$J$97</c:f>
              <c:numCache>
                <c:formatCode>0.0%</c:formatCode>
                <c:ptCount val="56"/>
                <c:pt idx="0">
                  <c:v>1.9503502018935238E-2</c:v>
                </c:pt>
                <c:pt idx="1">
                  <c:v>2.0222558819046249E-2</c:v>
                </c:pt>
                <c:pt idx="2">
                  <c:v>2.0941615619157257E-2</c:v>
                </c:pt>
                <c:pt idx="3">
                  <c:v>2.1034395267452877E-2</c:v>
                </c:pt>
                <c:pt idx="4">
                  <c:v>2.1127174915748496E-2</c:v>
                </c:pt>
                <c:pt idx="5">
                  <c:v>2.2637015499585779E-2</c:v>
                </c:pt>
                <c:pt idx="6">
                  <c:v>2.4146856083423065E-2</c:v>
                </c:pt>
                <c:pt idx="7">
                  <c:v>2.3626707829355824E-2</c:v>
                </c:pt>
                <c:pt idx="8">
                  <c:v>2.4056724682083301E-2</c:v>
                </c:pt>
                <c:pt idx="9">
                  <c:v>2.3760224520325557E-2</c:v>
                </c:pt>
                <c:pt idx="10">
                  <c:v>2.2332949791479238E-2</c:v>
                </c:pt>
                <c:pt idx="11">
                  <c:v>2.1934473364743811E-2</c:v>
                </c:pt>
                <c:pt idx="12">
                  <c:v>2.2066447964930874E-2</c:v>
                </c:pt>
                <c:pt idx="13">
                  <c:v>2.4050580541686625E-2</c:v>
                </c:pt>
                <c:pt idx="14">
                  <c:v>2.4236526886581952E-2</c:v>
                </c:pt>
                <c:pt idx="15">
                  <c:v>2.307075182443374E-2</c:v>
                </c:pt>
                <c:pt idx="16">
                  <c:v>2.3076564583906178E-2</c:v>
                </c:pt>
                <c:pt idx="17">
                  <c:v>2.0943834657628516E-2</c:v>
                </c:pt>
                <c:pt idx="18">
                  <c:v>2.138591083174373E-2</c:v>
                </c:pt>
                <c:pt idx="19">
                  <c:v>2.110848952381348E-2</c:v>
                </c:pt>
                <c:pt idx="20">
                  <c:v>2.1232033187573236E-2</c:v>
                </c:pt>
                <c:pt idx="21">
                  <c:v>2.1571670396963925E-2</c:v>
                </c:pt>
                <c:pt idx="22">
                  <c:v>1.3516335772165364E-2</c:v>
                </c:pt>
                <c:pt idx="23">
                  <c:v>1.3618331497196635E-2</c:v>
                </c:pt>
                <c:pt idx="24">
                  <c:v>1.419943562488497E-2</c:v>
                </c:pt>
                <c:pt idx="25">
                  <c:v>1.416695098908873E-2</c:v>
                </c:pt>
                <c:pt idx="26">
                  <c:v>1.5697681997445249E-2</c:v>
                </c:pt>
                <c:pt idx="27">
                  <c:v>1.6871815241597574E-2</c:v>
                </c:pt>
                <c:pt idx="28">
                  <c:v>1.7859370370762743E-2</c:v>
                </c:pt>
                <c:pt idx="29">
                  <c:v>1.9773201901345194E-2</c:v>
                </c:pt>
                <c:pt idx="30">
                  <c:v>1.9796330228430279E-2</c:v>
                </c:pt>
                <c:pt idx="31">
                  <c:v>2.0044805748870412E-2</c:v>
                </c:pt>
                <c:pt idx="32">
                  <c:v>1.9519565173671278E-2</c:v>
                </c:pt>
                <c:pt idx="33">
                  <c:v>1.8866416584898269E-2</c:v>
                </c:pt>
                <c:pt idx="34">
                  <c:v>1.8835483110342745E-2</c:v>
                </c:pt>
                <c:pt idx="35">
                  <c:v>2.0150734658974847E-2</c:v>
                </c:pt>
                <c:pt idx="36">
                  <c:v>1.922430502568194E-2</c:v>
                </c:pt>
                <c:pt idx="37">
                  <c:v>1.9036524490359912E-2</c:v>
                </c:pt>
                <c:pt idx="38">
                  <c:v>1.8176695411840457E-2</c:v>
                </c:pt>
                <c:pt idx="39">
                  <c:v>1.7062464601775573E-2</c:v>
                </c:pt>
                <c:pt idx="40">
                  <c:v>1.572590570638532E-2</c:v>
                </c:pt>
                <c:pt idx="41">
                  <c:v>1.5565345200883053E-2</c:v>
                </c:pt>
                <c:pt idx="42">
                  <c:v>1.2708983219378195E-2</c:v>
                </c:pt>
                <c:pt idx="43">
                  <c:v>1.2251435171119615E-2</c:v>
                </c:pt>
                <c:pt idx="44">
                  <c:v>1.2307612047313201E-2</c:v>
                </c:pt>
                <c:pt idx="45">
                  <c:v>1.1925593828005124E-2</c:v>
                </c:pt>
                <c:pt idx="46">
                  <c:v>1.2775096552440513E-2</c:v>
                </c:pt>
                <c:pt idx="47">
                  <c:v>1.285886138490764E-2</c:v>
                </c:pt>
                <c:pt idx="48">
                  <c:v>1.3384633091351253E-2</c:v>
                </c:pt>
                <c:pt idx="49">
                  <c:v>1.3380756719164928E-2</c:v>
                </c:pt>
                <c:pt idx="50">
                  <c:v>1.4503748595210938E-2</c:v>
                </c:pt>
                <c:pt idx="51">
                  <c:v>1.5378459658288282E-2</c:v>
                </c:pt>
                <c:pt idx="52">
                  <c:v>1.5798225570687649E-2</c:v>
                </c:pt>
                <c:pt idx="53">
                  <c:v>1.4099344364675703E-2</c:v>
                </c:pt>
                <c:pt idx="54">
                  <c:v>1.2441926526084125E-2</c:v>
                </c:pt>
                <c:pt idx="55">
                  <c:v>1.1788352050756918E-2</c:v>
                </c:pt>
              </c:numCache>
            </c:numRef>
          </c:val>
          <c:extLst xmlns:c16r2="http://schemas.microsoft.com/office/drawing/2015/06/chart">
            <c:ext xmlns:c16="http://schemas.microsoft.com/office/drawing/2014/chart" uri="{C3380CC4-5D6E-409C-BE32-E72D297353CC}">
              <c16:uniqueId val="{0000000A-0C44-4333-B98F-98B6C9E657E5}"/>
            </c:ext>
          </c:extLst>
        </c:ser>
        <c:ser>
          <c:idx val="7"/>
          <c:order val="8"/>
          <c:tx>
            <c:v>Retained Earn.</c:v>
          </c:tx>
          <c:spPr>
            <a:solidFill>
              <a:schemeClr val="bg1">
                <a:lumMod val="75000"/>
                <a:alpha val="89000"/>
              </a:schemeClr>
            </a:solidFill>
            <a:ln w="25400">
              <a:noFill/>
            </a:ln>
          </c:spPr>
          <c:val>
            <c:numRef>
              <c:f>'F-B7'!$P$42:$P$97</c:f>
              <c:numCache>
                <c:formatCode>0.0%</c:formatCode>
                <c:ptCount val="56"/>
                <c:pt idx="0">
                  <c:v>3.6748918518075796E-2</c:v>
                </c:pt>
                <c:pt idx="1">
                  <c:v>4.0466334289233297E-2</c:v>
                </c:pt>
                <c:pt idx="2">
                  <c:v>4.418375006039079E-2</c:v>
                </c:pt>
                <c:pt idx="3">
                  <c:v>4.6604222342547338E-2</c:v>
                </c:pt>
                <c:pt idx="4">
                  <c:v>4.9024694624703886E-2</c:v>
                </c:pt>
                <c:pt idx="5">
                  <c:v>5.1974582478028997E-2</c:v>
                </c:pt>
                <c:pt idx="6">
                  <c:v>5.49244703313541E-2</c:v>
                </c:pt>
                <c:pt idx="7">
                  <c:v>4.8996080358659572E-2</c:v>
                </c:pt>
                <c:pt idx="8">
                  <c:v>4.3620310333092382E-2</c:v>
                </c:pt>
                <c:pt idx="9">
                  <c:v>3.5715046592098967E-2</c:v>
                </c:pt>
                <c:pt idx="10">
                  <c:v>2.6889866323284089E-2</c:v>
                </c:pt>
                <c:pt idx="11">
                  <c:v>3.4015170095458125E-2</c:v>
                </c:pt>
                <c:pt idx="12">
                  <c:v>3.9489416862957767E-2</c:v>
                </c:pt>
                <c:pt idx="13">
                  <c:v>3.9228533145111114E-2</c:v>
                </c:pt>
                <c:pt idx="14">
                  <c:v>2.6869999769587094E-2</c:v>
                </c:pt>
                <c:pt idx="15">
                  <c:v>3.3648117416453127E-2</c:v>
                </c:pt>
                <c:pt idx="16">
                  <c:v>3.91185664632029E-2</c:v>
                </c:pt>
                <c:pt idx="17">
                  <c:v>4.3594089285375982E-2</c:v>
                </c:pt>
                <c:pt idx="18">
                  <c:v>4.6133061044691406E-2</c:v>
                </c:pt>
                <c:pt idx="19">
                  <c:v>4.1024473281169746E-2</c:v>
                </c:pt>
                <c:pt idx="20">
                  <c:v>2.6825058478335304E-2</c:v>
                </c:pt>
                <c:pt idx="21">
                  <c:v>2.9541476740891623E-2</c:v>
                </c:pt>
                <c:pt idx="22">
                  <c:v>2.6933176380032554E-2</c:v>
                </c:pt>
                <c:pt idx="23">
                  <c:v>3.3750364679394913E-2</c:v>
                </c:pt>
                <c:pt idx="24">
                  <c:v>3.9150149012749595E-2</c:v>
                </c:pt>
                <c:pt idx="25">
                  <c:v>3.8595809562409905E-2</c:v>
                </c:pt>
                <c:pt idx="26">
                  <c:v>2.5407807514760176E-2</c:v>
                </c:pt>
                <c:pt idx="27">
                  <c:v>2.7025891363568186E-2</c:v>
                </c:pt>
                <c:pt idx="28">
                  <c:v>2.8888583397197475E-2</c:v>
                </c:pt>
                <c:pt idx="29">
                  <c:v>2.0827619863658088E-2</c:v>
                </c:pt>
                <c:pt idx="30">
                  <c:v>1.8335020461704335E-2</c:v>
                </c:pt>
                <c:pt idx="31">
                  <c:v>2.2700755160028275E-2</c:v>
                </c:pt>
                <c:pt idx="32">
                  <c:v>2.2045636190426248E-2</c:v>
                </c:pt>
                <c:pt idx="33">
                  <c:v>2.2339660258967064E-2</c:v>
                </c:pt>
                <c:pt idx="34">
                  <c:v>2.7786781357900362E-2</c:v>
                </c:pt>
                <c:pt idx="35">
                  <c:v>3.0886533873626543E-2</c:v>
                </c:pt>
                <c:pt idx="36">
                  <c:v>3.2240579117956643E-2</c:v>
                </c:pt>
                <c:pt idx="37">
                  <c:v>3.3857168943094963E-2</c:v>
                </c:pt>
                <c:pt idx="38">
                  <c:v>2.2591101082092203E-2</c:v>
                </c:pt>
                <c:pt idx="39">
                  <c:v>2.4043644529054102E-2</c:v>
                </c:pt>
                <c:pt idx="40">
                  <c:v>1.3233460920047829E-2</c:v>
                </c:pt>
                <c:pt idx="41">
                  <c:v>1.7479168827769873E-2</c:v>
                </c:pt>
                <c:pt idx="42">
                  <c:v>2.951096270917318E-2</c:v>
                </c:pt>
                <c:pt idx="43">
                  <c:v>3.3933511797719272E-2</c:v>
                </c:pt>
                <c:pt idx="44">
                  <c:v>3.4678497115962388E-2</c:v>
                </c:pt>
                <c:pt idx="45">
                  <c:v>3.8194705487593988E-2</c:v>
                </c:pt>
                <c:pt idx="46">
                  <c:v>3.2995542019205487E-2</c:v>
                </c:pt>
                <c:pt idx="47">
                  <c:v>1.8939846667545477E-2</c:v>
                </c:pt>
                <c:pt idx="48">
                  <c:v>1.1641246604513107E-2</c:v>
                </c:pt>
                <c:pt idx="49">
                  <c:v>3.9011895749751793E-2</c:v>
                </c:pt>
                <c:pt idx="50">
                  <c:v>5.4261279142782809E-2</c:v>
                </c:pt>
                <c:pt idx="51">
                  <c:v>4.7050613455667266E-2</c:v>
                </c:pt>
                <c:pt idx="52">
                  <c:v>4.235290313663951E-2</c:v>
                </c:pt>
                <c:pt idx="53">
                  <c:v>3.7938986572847631E-2</c:v>
                </c:pt>
                <c:pt idx="54">
                  <c:v>3.6940713770460223E-2</c:v>
                </c:pt>
                <c:pt idx="55">
                  <c:v>3.1172846916476548E-2</c:v>
                </c:pt>
              </c:numCache>
            </c:numRef>
          </c:val>
          <c:extLst xmlns:c16r2="http://schemas.microsoft.com/office/drawing/2015/06/chart">
            <c:ext xmlns:c16="http://schemas.microsoft.com/office/drawing/2014/chart" uri="{C3380CC4-5D6E-409C-BE32-E72D297353CC}">
              <c16:uniqueId val="{0000000B-0C44-4333-B98F-98B6C9E657E5}"/>
            </c:ext>
          </c:extLst>
        </c:ser>
        <c:ser>
          <c:idx val="8"/>
          <c:order val="9"/>
          <c:tx>
            <c:v>Corp. Tax</c:v>
          </c:tx>
          <c:spPr>
            <a:solidFill>
              <a:schemeClr val="tx1">
                <a:lumMod val="50000"/>
                <a:lumOff val="50000"/>
                <a:alpha val="90000"/>
              </a:schemeClr>
            </a:solidFill>
            <a:ln w="25400">
              <a:noFill/>
            </a:ln>
          </c:spPr>
          <c:val>
            <c:numRef>
              <c:f>'F-B7'!$Q$42:$Q$97</c:f>
              <c:numCache>
                <c:formatCode>0.0%</c:formatCode>
                <c:ptCount val="56"/>
                <c:pt idx="0">
                  <c:v>6.0846309940030097E-2</c:v>
                </c:pt>
                <c:pt idx="1">
                  <c:v>5.9971181875294655E-2</c:v>
                </c:pt>
                <c:pt idx="2">
                  <c:v>5.9096053810559206E-2</c:v>
                </c:pt>
                <c:pt idx="3">
                  <c:v>5.8900466521534196E-2</c:v>
                </c:pt>
                <c:pt idx="4">
                  <c:v>5.8704879232509187E-2</c:v>
                </c:pt>
                <c:pt idx="5">
                  <c:v>5.8551419537904922E-2</c:v>
                </c:pt>
                <c:pt idx="6">
                  <c:v>5.8397959843300651E-2</c:v>
                </c:pt>
                <c:pt idx="7">
                  <c:v>5.4516940365112176E-2</c:v>
                </c:pt>
                <c:pt idx="8">
                  <c:v>5.7907929086711017E-2</c:v>
                </c:pt>
                <c:pt idx="9">
                  <c:v>5.4381902084314433E-2</c:v>
                </c:pt>
                <c:pt idx="10">
                  <c:v>4.7358021009171671E-2</c:v>
                </c:pt>
                <c:pt idx="11">
                  <c:v>4.82932772704893E-2</c:v>
                </c:pt>
                <c:pt idx="12">
                  <c:v>4.8139518751831332E-2</c:v>
                </c:pt>
                <c:pt idx="13">
                  <c:v>4.8529456337262578E-2</c:v>
                </c:pt>
                <c:pt idx="14">
                  <c:v>4.6458209974150955E-2</c:v>
                </c:pt>
                <c:pt idx="15">
                  <c:v>4.2999606078928568E-2</c:v>
                </c:pt>
                <c:pt idx="16">
                  <c:v>4.7085156694864662E-2</c:v>
                </c:pt>
                <c:pt idx="17">
                  <c:v>4.7913062912265082E-2</c:v>
                </c:pt>
                <c:pt idx="18">
                  <c:v>4.6774955984507552E-2</c:v>
                </c:pt>
                <c:pt idx="19">
                  <c:v>4.3320281163520609E-2</c:v>
                </c:pt>
                <c:pt idx="20">
                  <c:v>3.8323102216144586E-2</c:v>
                </c:pt>
                <c:pt idx="21">
                  <c:v>3.3630406518537825E-2</c:v>
                </c:pt>
                <c:pt idx="22">
                  <c:v>2.7220616225100976E-2</c:v>
                </c:pt>
                <c:pt idx="23">
                  <c:v>3.0569825795293704E-2</c:v>
                </c:pt>
                <c:pt idx="24">
                  <c:v>3.23465268268677E-2</c:v>
                </c:pt>
                <c:pt idx="25">
                  <c:v>3.12993160600505E-2</c:v>
                </c:pt>
                <c:pt idx="26">
                  <c:v>3.3453063016766177E-2</c:v>
                </c:pt>
                <c:pt idx="27">
                  <c:v>3.6803724200972422E-2</c:v>
                </c:pt>
                <c:pt idx="28">
                  <c:v>3.7169386082426377E-2</c:v>
                </c:pt>
                <c:pt idx="29">
                  <c:v>3.6143619381723231E-2</c:v>
                </c:pt>
                <c:pt idx="30">
                  <c:v>3.475592379301938E-2</c:v>
                </c:pt>
                <c:pt idx="31">
                  <c:v>3.4077486046278485E-2</c:v>
                </c:pt>
                <c:pt idx="32">
                  <c:v>3.5033979883085181E-2</c:v>
                </c:pt>
                <c:pt idx="33">
                  <c:v>3.7344891810929183E-2</c:v>
                </c:pt>
                <c:pt idx="34">
                  <c:v>3.865893605341867E-2</c:v>
                </c:pt>
                <c:pt idx="35">
                  <c:v>3.998546526146466E-2</c:v>
                </c:pt>
                <c:pt idx="36">
                  <c:v>4.0592622264085582E-2</c:v>
                </c:pt>
                <c:pt idx="37">
                  <c:v>4.0575544212657966E-2</c:v>
                </c:pt>
                <c:pt idx="38">
                  <c:v>3.8550830693089067E-2</c:v>
                </c:pt>
                <c:pt idx="39">
                  <c:v>3.8545506415199653E-2</c:v>
                </c:pt>
                <c:pt idx="40">
                  <c:v>3.7513064637654796E-2</c:v>
                </c:pt>
                <c:pt idx="41">
                  <c:v>3.0617310357058364E-2</c:v>
                </c:pt>
                <c:pt idx="42">
                  <c:v>2.9885180470356452E-2</c:v>
                </c:pt>
                <c:pt idx="43">
                  <c:v>3.4239753619608501E-2</c:v>
                </c:pt>
                <c:pt idx="44">
                  <c:v>3.8488950187809408E-2</c:v>
                </c:pt>
                <c:pt idx="45">
                  <c:v>4.5285215686894829E-2</c:v>
                </c:pt>
                <c:pt idx="46">
                  <c:v>4.7306105743731411E-2</c:v>
                </c:pt>
                <c:pt idx="47">
                  <c:v>4.4616085168590697E-2</c:v>
                </c:pt>
                <c:pt idx="48">
                  <c:v>3.4434783665709796E-2</c:v>
                </c:pt>
                <c:pt idx="49">
                  <c:v>3.182539734677698E-2</c:v>
                </c:pt>
                <c:pt idx="50">
                  <c:v>3.4769499594745741E-2</c:v>
                </c:pt>
                <c:pt idx="51">
                  <c:v>3.4286116571381094E-2</c:v>
                </c:pt>
                <c:pt idx="52">
                  <c:v>3.6266054359697666E-2</c:v>
                </c:pt>
                <c:pt idx="53">
                  <c:v>3.7257549367493314E-2</c:v>
                </c:pt>
                <c:pt idx="54">
                  <c:v>3.6540731870591904E-2</c:v>
                </c:pt>
                <c:pt idx="55">
                  <c:v>3.4267773467656068E-2</c:v>
                </c:pt>
              </c:numCache>
            </c:numRef>
          </c:val>
          <c:extLst xmlns:c16r2="http://schemas.microsoft.com/office/drawing/2015/06/chart">
            <c:ext xmlns:c16="http://schemas.microsoft.com/office/drawing/2014/chart" uri="{C3380CC4-5D6E-409C-BE32-E72D297353CC}">
              <c16:uniqueId val="{0000000C-0C44-4333-B98F-98B6C9E657E5}"/>
            </c:ext>
          </c:extLst>
        </c:ser>
        <c:ser>
          <c:idx val="9"/>
          <c:order val="10"/>
          <c:tx>
            <c:v>Imputed rents</c:v>
          </c:tx>
          <c:spPr>
            <a:solidFill>
              <a:schemeClr val="bg1">
                <a:lumMod val="65000"/>
                <a:alpha val="85000"/>
              </a:schemeClr>
            </a:solidFill>
            <a:ln w="25400">
              <a:noFill/>
            </a:ln>
          </c:spPr>
          <c:val>
            <c:numRef>
              <c:f>'F-B7'!$O$42:$O$97</c:f>
              <c:numCache>
                <c:formatCode>0.0%</c:formatCode>
                <c:ptCount val="56"/>
                <c:pt idx="0">
                  <c:v>3.6550618720330941E-2</c:v>
                </c:pt>
                <c:pt idx="1">
                  <c:v>3.7230831360513292E-2</c:v>
                </c:pt>
                <c:pt idx="2">
                  <c:v>3.791104400069565E-2</c:v>
                </c:pt>
                <c:pt idx="3">
                  <c:v>3.7532659224919919E-2</c:v>
                </c:pt>
                <c:pt idx="4">
                  <c:v>3.7154274449144188E-2</c:v>
                </c:pt>
                <c:pt idx="5">
                  <c:v>3.6074725034181868E-2</c:v>
                </c:pt>
                <c:pt idx="6">
                  <c:v>3.4995175619219554E-2</c:v>
                </c:pt>
                <c:pt idx="7">
                  <c:v>3.5378952416518485E-2</c:v>
                </c:pt>
                <c:pt idx="8">
                  <c:v>3.3846891744309889E-2</c:v>
                </c:pt>
                <c:pt idx="9">
                  <c:v>3.3480245431072891E-2</c:v>
                </c:pt>
                <c:pt idx="10">
                  <c:v>3.4206917512651605E-2</c:v>
                </c:pt>
                <c:pt idx="11">
                  <c:v>3.4108710678019391E-2</c:v>
                </c:pt>
                <c:pt idx="12">
                  <c:v>3.2136583628393507E-2</c:v>
                </c:pt>
                <c:pt idx="13">
                  <c:v>2.9569120834889023E-2</c:v>
                </c:pt>
                <c:pt idx="14">
                  <c:v>2.8711597446548543E-2</c:v>
                </c:pt>
                <c:pt idx="15">
                  <c:v>2.7423714961445595E-2</c:v>
                </c:pt>
                <c:pt idx="16">
                  <c:v>2.5338593974573071E-2</c:v>
                </c:pt>
                <c:pt idx="17">
                  <c:v>2.1955915597483784E-2</c:v>
                </c:pt>
                <c:pt idx="18">
                  <c:v>1.9897398382331632E-2</c:v>
                </c:pt>
                <c:pt idx="19">
                  <c:v>1.7691106503667557E-2</c:v>
                </c:pt>
                <c:pt idx="20">
                  <c:v>1.7309026668482691E-2</c:v>
                </c:pt>
                <c:pt idx="21">
                  <c:v>1.698224334352624E-2</c:v>
                </c:pt>
                <c:pt idx="22">
                  <c:v>1.6411431416734765E-2</c:v>
                </c:pt>
                <c:pt idx="23">
                  <c:v>1.59919911356666E-2</c:v>
                </c:pt>
                <c:pt idx="24">
                  <c:v>1.4776175149813765E-2</c:v>
                </c:pt>
                <c:pt idx="25">
                  <c:v>1.4005484774557719E-2</c:v>
                </c:pt>
                <c:pt idx="26">
                  <c:v>1.3038361806522035E-2</c:v>
                </c:pt>
                <c:pt idx="27">
                  <c:v>1.347917154180203E-2</c:v>
                </c:pt>
                <c:pt idx="28">
                  <c:v>1.466519372471559E-2</c:v>
                </c:pt>
                <c:pt idx="29">
                  <c:v>1.5065574411491152E-2</c:v>
                </c:pt>
                <c:pt idx="30">
                  <c:v>1.5834952752400388E-2</c:v>
                </c:pt>
                <c:pt idx="31">
                  <c:v>1.7373438596476169E-2</c:v>
                </c:pt>
                <c:pt idx="32">
                  <c:v>1.9073181825515165E-2</c:v>
                </c:pt>
                <c:pt idx="33">
                  <c:v>2.1694061195291305E-2</c:v>
                </c:pt>
                <c:pt idx="34">
                  <c:v>2.3919691537385931E-2</c:v>
                </c:pt>
                <c:pt idx="35">
                  <c:v>2.3576806414629579E-2</c:v>
                </c:pt>
                <c:pt idx="36">
                  <c:v>2.4445621371952365E-2</c:v>
                </c:pt>
                <c:pt idx="37">
                  <c:v>2.3697945096768556E-2</c:v>
                </c:pt>
                <c:pt idx="38">
                  <c:v>2.4456522546876986E-2</c:v>
                </c:pt>
                <c:pt idx="39">
                  <c:v>2.5058311302276513E-2</c:v>
                </c:pt>
                <c:pt idx="40">
                  <c:v>2.4439199501989629E-2</c:v>
                </c:pt>
                <c:pt idx="41">
                  <c:v>2.5554589453038987E-2</c:v>
                </c:pt>
                <c:pt idx="42">
                  <c:v>2.670798726788913E-2</c:v>
                </c:pt>
                <c:pt idx="43">
                  <c:v>2.7965336379736517E-2</c:v>
                </c:pt>
                <c:pt idx="44">
                  <c:v>2.8187683490867137E-2</c:v>
                </c:pt>
                <c:pt idx="45">
                  <c:v>2.5640999800629369E-2</c:v>
                </c:pt>
                <c:pt idx="46">
                  <c:v>2.2329438260785307E-2</c:v>
                </c:pt>
                <c:pt idx="47">
                  <c:v>2.061567573250777E-2</c:v>
                </c:pt>
                <c:pt idx="48">
                  <c:v>2.3887758174492804E-2</c:v>
                </c:pt>
                <c:pt idx="49">
                  <c:v>2.9833941878243914E-2</c:v>
                </c:pt>
                <c:pt idx="50">
                  <c:v>3.1689788935934021E-2</c:v>
                </c:pt>
                <c:pt idx="51">
                  <c:v>3.4303427319525195E-2</c:v>
                </c:pt>
                <c:pt idx="52">
                  <c:v>3.4619396683078035E-2</c:v>
                </c:pt>
                <c:pt idx="53">
                  <c:v>3.6089916860105105E-2</c:v>
                </c:pt>
                <c:pt idx="54">
                  <c:v>3.6423800071228182E-2</c:v>
                </c:pt>
                <c:pt idx="55">
                  <c:v>3.7251100692116436E-2</c:v>
                </c:pt>
              </c:numCache>
            </c:numRef>
          </c:val>
          <c:extLst xmlns:c16r2="http://schemas.microsoft.com/office/drawing/2015/06/chart">
            <c:ext xmlns:c16="http://schemas.microsoft.com/office/drawing/2014/chart" uri="{C3380CC4-5D6E-409C-BE32-E72D297353CC}">
              <c16:uniqueId val="{0000000D-0C44-4333-B98F-98B6C9E657E5}"/>
            </c:ext>
          </c:extLst>
        </c:ser>
        <c:ser>
          <c:idx val="10"/>
          <c:order val="11"/>
          <c:tx>
            <c:v>Employer Payroll Tax</c:v>
          </c:tx>
          <c:spPr>
            <a:solidFill>
              <a:schemeClr val="tx1">
                <a:lumMod val="75000"/>
                <a:lumOff val="25000"/>
                <a:alpha val="84000"/>
              </a:schemeClr>
            </a:solidFill>
            <a:ln w="25400">
              <a:noFill/>
            </a:ln>
          </c:spPr>
          <c:val>
            <c:numRef>
              <c:f>'F-B7'!$R$42:$R$97</c:f>
              <c:numCache>
                <c:formatCode>0.0%</c:formatCode>
                <c:ptCount val="56"/>
                <c:pt idx="0">
                  <c:v>1.8342731291398722E-2</c:v>
                </c:pt>
                <c:pt idx="1">
                  <c:v>1.9083943254448808E-2</c:v>
                </c:pt>
                <c:pt idx="2">
                  <c:v>1.9825155217498891E-2</c:v>
                </c:pt>
                <c:pt idx="3">
                  <c:v>1.9786616042680047E-2</c:v>
                </c:pt>
                <c:pt idx="4">
                  <c:v>1.9748076867861203E-2</c:v>
                </c:pt>
                <c:pt idx="5">
                  <c:v>2.1002681324431085E-2</c:v>
                </c:pt>
                <c:pt idx="6">
                  <c:v>2.2257285781000967E-2</c:v>
                </c:pt>
                <c:pt idx="7">
                  <c:v>2.2375253363983244E-2</c:v>
                </c:pt>
                <c:pt idx="8">
                  <c:v>2.2554042897190364E-2</c:v>
                </c:pt>
                <c:pt idx="9">
                  <c:v>2.3761993279433329E-2</c:v>
                </c:pt>
                <c:pt idx="10">
                  <c:v>2.3584529922029779E-2</c:v>
                </c:pt>
                <c:pt idx="11">
                  <c:v>2.401722569335164E-2</c:v>
                </c:pt>
                <c:pt idx="12">
                  <c:v>2.5614068100326327E-2</c:v>
                </c:pt>
                <c:pt idx="13">
                  <c:v>2.9165179108801263E-2</c:v>
                </c:pt>
                <c:pt idx="14">
                  <c:v>3.0249307818491365E-2</c:v>
                </c:pt>
                <c:pt idx="15">
                  <c:v>2.8978575160200463E-2</c:v>
                </c:pt>
                <c:pt idx="16">
                  <c:v>3.0383970793096571E-2</c:v>
                </c:pt>
                <c:pt idx="17">
                  <c:v>3.0769099276837054E-2</c:v>
                </c:pt>
                <c:pt idx="18">
                  <c:v>3.2062472943553966E-2</c:v>
                </c:pt>
                <c:pt idx="19">
                  <c:v>3.3398605879815128E-2</c:v>
                </c:pt>
                <c:pt idx="20">
                  <c:v>3.2998903195894075E-2</c:v>
                </c:pt>
                <c:pt idx="21">
                  <c:v>3.423743448051747E-2</c:v>
                </c:pt>
                <c:pt idx="22">
                  <c:v>3.4520770627259917E-2</c:v>
                </c:pt>
                <c:pt idx="23">
                  <c:v>3.4983884989799152E-2</c:v>
                </c:pt>
                <c:pt idx="24">
                  <c:v>3.6399954651402458E-2</c:v>
                </c:pt>
                <c:pt idx="25">
                  <c:v>3.6194351322193438E-2</c:v>
                </c:pt>
                <c:pt idx="26">
                  <c:v>3.6962238543920181E-2</c:v>
                </c:pt>
                <c:pt idx="27">
                  <c:v>3.6462912424789794E-2</c:v>
                </c:pt>
                <c:pt idx="28">
                  <c:v>3.72133246241175E-2</c:v>
                </c:pt>
                <c:pt idx="29">
                  <c:v>3.6604212577738937E-2</c:v>
                </c:pt>
                <c:pt idx="30">
                  <c:v>3.6869882038253386E-2</c:v>
                </c:pt>
                <c:pt idx="31">
                  <c:v>3.6934459134711314E-2</c:v>
                </c:pt>
                <c:pt idx="32">
                  <c:v>3.6735167579512021E-2</c:v>
                </c:pt>
                <c:pt idx="33">
                  <c:v>3.6763254450639687E-2</c:v>
                </c:pt>
                <c:pt idx="34">
                  <c:v>3.6627099727777182E-2</c:v>
                </c:pt>
                <c:pt idx="35">
                  <c:v>3.6059865828731379E-2</c:v>
                </c:pt>
                <c:pt idx="36">
                  <c:v>3.5290422632839193E-2</c:v>
                </c:pt>
                <c:pt idx="37">
                  <c:v>3.4905442319355558E-2</c:v>
                </c:pt>
                <c:pt idx="38">
                  <c:v>3.4936086228350052E-2</c:v>
                </c:pt>
                <c:pt idx="39">
                  <c:v>3.4776482911486183E-2</c:v>
                </c:pt>
                <c:pt idx="40">
                  <c:v>3.4760666677970203E-2</c:v>
                </c:pt>
                <c:pt idx="41">
                  <c:v>3.4729964655481074E-2</c:v>
                </c:pt>
                <c:pt idx="42">
                  <c:v>3.4330962504343823E-2</c:v>
                </c:pt>
                <c:pt idx="43">
                  <c:v>3.4282324548902433E-2</c:v>
                </c:pt>
                <c:pt idx="44">
                  <c:v>3.4303058625492065E-2</c:v>
                </c:pt>
                <c:pt idx="45">
                  <c:v>3.3722741298430274E-2</c:v>
                </c:pt>
                <c:pt idx="46">
                  <c:v>3.3011776351280955E-2</c:v>
                </c:pt>
                <c:pt idx="47">
                  <c:v>3.3051948240821159E-2</c:v>
                </c:pt>
                <c:pt idx="48">
                  <c:v>3.2785800099868458E-2</c:v>
                </c:pt>
                <c:pt idx="49">
                  <c:v>3.2323331772848331E-2</c:v>
                </c:pt>
                <c:pt idx="50">
                  <c:v>3.1368591708741705E-2</c:v>
                </c:pt>
                <c:pt idx="51">
                  <c:v>3.1664948732954085E-2</c:v>
                </c:pt>
                <c:pt idx="52">
                  <c:v>3.1517206861744723E-2</c:v>
                </c:pt>
                <c:pt idx="53">
                  <c:v>3.1432096648830767E-2</c:v>
                </c:pt>
                <c:pt idx="54">
                  <c:v>3.119540017572486E-2</c:v>
                </c:pt>
                <c:pt idx="55">
                  <c:v>3.1243382502692964E-2</c:v>
                </c:pt>
              </c:numCache>
            </c:numRef>
          </c:val>
          <c:extLst xmlns:c16r2="http://schemas.microsoft.com/office/drawing/2015/06/chart">
            <c:ext xmlns:c16="http://schemas.microsoft.com/office/drawing/2014/chart" uri="{C3380CC4-5D6E-409C-BE32-E72D297353CC}">
              <c16:uniqueId val="{0000000E-0C44-4333-B98F-98B6C9E657E5}"/>
            </c:ext>
          </c:extLst>
        </c:ser>
        <c:ser>
          <c:idx val="11"/>
          <c:order val="12"/>
          <c:tx>
            <c:v>Empl. Health Insur.</c:v>
          </c:tx>
          <c:spPr>
            <a:solidFill>
              <a:schemeClr val="bg1">
                <a:lumMod val="65000"/>
              </a:schemeClr>
            </a:solidFill>
            <a:ln w="25400">
              <a:noFill/>
            </a:ln>
          </c:spPr>
          <c:val>
            <c:numRef>
              <c:f>'F-B7'!$S$42:$S$97</c:f>
              <c:numCache>
                <c:formatCode>0.0%</c:formatCode>
                <c:ptCount val="56"/>
                <c:pt idx="0">
                  <c:v>1.2681272065783225E-2</c:v>
                </c:pt>
                <c:pt idx="1">
                  <c:v>1.3105336420332769E-2</c:v>
                </c:pt>
                <c:pt idx="2">
                  <c:v>1.3529400774882313E-2</c:v>
                </c:pt>
                <c:pt idx="3">
                  <c:v>1.3988882085223505E-2</c:v>
                </c:pt>
                <c:pt idx="4">
                  <c:v>1.4448363395564696E-2</c:v>
                </c:pt>
                <c:pt idx="5">
                  <c:v>1.4749194826459245E-2</c:v>
                </c:pt>
                <c:pt idx="6">
                  <c:v>1.5050026257353794E-2</c:v>
                </c:pt>
                <c:pt idx="7">
                  <c:v>1.5479766270903774E-2</c:v>
                </c:pt>
                <c:pt idx="8">
                  <c:v>1.6748779224154148E-2</c:v>
                </c:pt>
                <c:pt idx="9">
                  <c:v>1.7542144814446738E-2</c:v>
                </c:pt>
                <c:pt idx="10">
                  <c:v>1.9273049515963845E-2</c:v>
                </c:pt>
                <c:pt idx="11">
                  <c:v>1.942102289390928E-2</c:v>
                </c:pt>
                <c:pt idx="12">
                  <c:v>2.0125750270054525E-2</c:v>
                </c:pt>
                <c:pt idx="13">
                  <c:v>2.0213947755749369E-2</c:v>
                </c:pt>
                <c:pt idx="14">
                  <c:v>2.1405442752392409E-2</c:v>
                </c:pt>
                <c:pt idx="15">
                  <c:v>2.322304957406357E-2</c:v>
                </c:pt>
                <c:pt idx="16">
                  <c:v>2.5680984762766906E-2</c:v>
                </c:pt>
                <c:pt idx="17">
                  <c:v>2.7953734749853614E-2</c:v>
                </c:pt>
                <c:pt idx="18">
                  <c:v>2.9466205142286424E-2</c:v>
                </c:pt>
                <c:pt idx="19">
                  <c:v>3.0322700515509927E-2</c:v>
                </c:pt>
                <c:pt idx="20">
                  <c:v>3.1628710374863755E-2</c:v>
                </c:pt>
                <c:pt idx="21">
                  <c:v>3.2033694971294699E-2</c:v>
                </c:pt>
                <c:pt idx="22">
                  <c:v>3.3950922706839803E-2</c:v>
                </c:pt>
                <c:pt idx="23">
                  <c:v>3.4293440453623036E-2</c:v>
                </c:pt>
                <c:pt idx="24">
                  <c:v>3.3559963368023714E-2</c:v>
                </c:pt>
                <c:pt idx="25">
                  <c:v>3.4717510853715078E-2</c:v>
                </c:pt>
                <c:pt idx="26">
                  <c:v>3.5926202934922553E-2</c:v>
                </c:pt>
                <c:pt idx="27">
                  <c:v>3.6587043354853736E-2</c:v>
                </c:pt>
                <c:pt idx="28">
                  <c:v>3.7872805855371464E-2</c:v>
                </c:pt>
                <c:pt idx="29">
                  <c:v>3.9324868735574836E-2</c:v>
                </c:pt>
                <c:pt idx="30">
                  <c:v>4.1417651465885719E-2</c:v>
                </c:pt>
                <c:pt idx="31">
                  <c:v>4.3288095337867497E-2</c:v>
                </c:pt>
                <c:pt idx="32">
                  <c:v>4.5636768511604656E-2</c:v>
                </c:pt>
                <c:pt idx="33">
                  <c:v>4.6695417950329991E-2</c:v>
                </c:pt>
                <c:pt idx="34">
                  <c:v>4.5655785956755533E-2</c:v>
                </c:pt>
                <c:pt idx="35">
                  <c:v>4.2537453040014737E-2</c:v>
                </c:pt>
                <c:pt idx="36">
                  <c:v>3.9926508393535419E-2</c:v>
                </c:pt>
                <c:pt idx="37">
                  <c:v>3.7718074173447899E-2</c:v>
                </c:pt>
                <c:pt idx="38">
                  <c:v>3.8106449889408547E-2</c:v>
                </c:pt>
                <c:pt idx="39">
                  <c:v>3.8933992358053095E-2</c:v>
                </c:pt>
                <c:pt idx="40">
                  <c:v>4.0547599750550882E-2</c:v>
                </c:pt>
                <c:pt idx="41">
                  <c:v>4.2487564572087404E-2</c:v>
                </c:pt>
                <c:pt idx="42">
                  <c:v>4.4310009013651903E-2</c:v>
                </c:pt>
                <c:pt idx="43">
                  <c:v>4.7093844068142245E-2</c:v>
                </c:pt>
                <c:pt idx="44">
                  <c:v>4.737642615515586E-2</c:v>
                </c:pt>
                <c:pt idx="45">
                  <c:v>4.7860983236128633E-2</c:v>
                </c:pt>
                <c:pt idx="46">
                  <c:v>4.5390159389151967E-2</c:v>
                </c:pt>
                <c:pt idx="47">
                  <c:v>4.5374604005880316E-2</c:v>
                </c:pt>
                <c:pt idx="48">
                  <c:v>4.505881505472837E-2</c:v>
                </c:pt>
                <c:pt idx="49">
                  <c:v>4.6043305606814071E-2</c:v>
                </c:pt>
                <c:pt idx="50">
                  <c:v>4.4112088355969428E-2</c:v>
                </c:pt>
                <c:pt idx="51">
                  <c:v>4.4059700859658657E-2</c:v>
                </c:pt>
                <c:pt idx="52">
                  <c:v>4.3235426352577135E-2</c:v>
                </c:pt>
                <c:pt idx="53">
                  <c:v>4.3648917187345031E-2</c:v>
                </c:pt>
                <c:pt idx="54">
                  <c:v>4.2945167360669632E-2</c:v>
                </c:pt>
                <c:pt idx="55">
                  <c:v>4.3130050427633203E-2</c:v>
                </c:pt>
              </c:numCache>
            </c:numRef>
          </c:val>
          <c:extLst xmlns:c16r2="http://schemas.microsoft.com/office/drawing/2015/06/chart">
            <c:ext xmlns:c16="http://schemas.microsoft.com/office/drawing/2014/chart" uri="{C3380CC4-5D6E-409C-BE32-E72D297353CC}">
              <c16:uniqueId val="{0000000F-0C44-4333-B98F-98B6C9E657E5}"/>
            </c:ext>
          </c:extLst>
        </c:ser>
        <c:ser>
          <c:idx val="16"/>
          <c:order val="13"/>
          <c:tx>
            <c:v>Underreported income</c:v>
          </c:tx>
          <c:spPr>
            <a:solidFill>
              <a:schemeClr val="tx1">
                <a:lumMod val="65000"/>
                <a:lumOff val="35000"/>
              </a:schemeClr>
            </a:solidFill>
            <a:ln w="25400">
              <a:noFill/>
            </a:ln>
          </c:spPr>
          <c:val>
            <c:numRef>
              <c:f>'F-B7'!$T$42:$T$97</c:f>
              <c:numCache>
                <c:formatCode>0.0%</c:formatCode>
                <c:ptCount val="56"/>
                <c:pt idx="0">
                  <c:v>4.7418322811815385E-2</c:v>
                </c:pt>
                <c:pt idx="1">
                  <c:v>4.446183946604388E-2</c:v>
                </c:pt>
                <c:pt idx="2">
                  <c:v>4.1505356120272376E-2</c:v>
                </c:pt>
                <c:pt idx="3">
                  <c:v>3.571882414334919E-2</c:v>
                </c:pt>
                <c:pt idx="4">
                  <c:v>2.9932292166426004E-2</c:v>
                </c:pt>
                <c:pt idx="5">
                  <c:v>3.2632733011198782E-2</c:v>
                </c:pt>
                <c:pt idx="6">
                  <c:v>3.533317385597156E-2</c:v>
                </c:pt>
                <c:pt idx="7">
                  <c:v>3.1541340689966522E-2</c:v>
                </c:pt>
                <c:pt idx="8">
                  <c:v>3.4749039840581177E-2</c:v>
                </c:pt>
                <c:pt idx="9">
                  <c:v>3.2903453642255449E-2</c:v>
                </c:pt>
                <c:pt idx="10">
                  <c:v>2.9888168118093722E-2</c:v>
                </c:pt>
                <c:pt idx="11">
                  <c:v>2.8769203732775788E-2</c:v>
                </c:pt>
                <c:pt idx="12">
                  <c:v>2.9649744441617984E-2</c:v>
                </c:pt>
                <c:pt idx="13">
                  <c:v>3.3776308820615678E-2</c:v>
                </c:pt>
                <c:pt idx="14">
                  <c:v>3.1195297856246751E-2</c:v>
                </c:pt>
                <c:pt idx="15">
                  <c:v>2.9289044046252259E-2</c:v>
                </c:pt>
                <c:pt idx="16">
                  <c:v>2.7337800478640664E-2</c:v>
                </c:pt>
                <c:pt idx="17">
                  <c:v>3.3549036511512281E-2</c:v>
                </c:pt>
                <c:pt idx="18">
                  <c:v>3.6103421982211066E-2</c:v>
                </c:pt>
                <c:pt idx="19">
                  <c:v>3.339380913939078E-2</c:v>
                </c:pt>
                <c:pt idx="20">
                  <c:v>2.900147997428619E-2</c:v>
                </c:pt>
                <c:pt idx="21">
                  <c:v>3.9254862753464556E-2</c:v>
                </c:pt>
                <c:pt idx="22">
                  <c:v>3.947824124832193E-2</c:v>
                </c:pt>
                <c:pt idx="23">
                  <c:v>3.9740431707577642E-2</c:v>
                </c:pt>
                <c:pt idx="24">
                  <c:v>4.9619172959723984E-2</c:v>
                </c:pt>
                <c:pt idx="25">
                  <c:v>4.8428975404776094E-2</c:v>
                </c:pt>
                <c:pt idx="26">
                  <c:v>4.8306841891423459E-2</c:v>
                </c:pt>
                <c:pt idx="27">
                  <c:v>4.5764766655932675E-2</c:v>
                </c:pt>
                <c:pt idx="28">
                  <c:v>4.0493598818766782E-2</c:v>
                </c:pt>
                <c:pt idx="29">
                  <c:v>4.1073383071644334E-2</c:v>
                </c:pt>
                <c:pt idx="30">
                  <c:v>3.9277342280809799E-2</c:v>
                </c:pt>
                <c:pt idx="31">
                  <c:v>3.8513769253313332E-2</c:v>
                </c:pt>
                <c:pt idx="32">
                  <c:v>3.8690002660226736E-2</c:v>
                </c:pt>
                <c:pt idx="33">
                  <c:v>4.5072442152916961E-2</c:v>
                </c:pt>
                <c:pt idx="34">
                  <c:v>4.686062633753451E-2</c:v>
                </c:pt>
                <c:pt idx="35">
                  <c:v>4.6075716742534564E-2</c:v>
                </c:pt>
                <c:pt idx="36">
                  <c:v>5.1145950950400039E-2</c:v>
                </c:pt>
                <c:pt idx="37">
                  <c:v>5.1849239955606606E-2</c:v>
                </c:pt>
                <c:pt idx="38">
                  <c:v>5.784079967484064E-2</c:v>
                </c:pt>
                <c:pt idx="39">
                  <c:v>5.2908658680988957E-2</c:v>
                </c:pt>
                <c:pt idx="40">
                  <c:v>6.1699752045183201E-2</c:v>
                </c:pt>
                <c:pt idx="41">
                  <c:v>6.9572086741219979E-2</c:v>
                </c:pt>
                <c:pt idx="42">
                  <c:v>7.3054662035906284E-2</c:v>
                </c:pt>
                <c:pt idx="43">
                  <c:v>7.4153842651043272E-2</c:v>
                </c:pt>
                <c:pt idx="44">
                  <c:v>7.0337044670940568E-2</c:v>
                </c:pt>
                <c:pt idx="45">
                  <c:v>6.3745804195013037E-2</c:v>
                </c:pt>
                <c:pt idx="46">
                  <c:v>6.9100611920993038E-2</c:v>
                </c:pt>
                <c:pt idx="47">
                  <c:v>6.2685087867417791E-2</c:v>
                </c:pt>
                <c:pt idx="48">
                  <c:v>6.9152809319396366E-2</c:v>
                </c:pt>
                <c:pt idx="49">
                  <c:v>6.3528028200425177E-2</c:v>
                </c:pt>
                <c:pt idx="50">
                  <c:v>5.9433806183075054E-2</c:v>
                </c:pt>
                <c:pt idx="51">
                  <c:v>6.4974895283597997E-2</c:v>
                </c:pt>
                <c:pt idx="52">
                  <c:v>6.3259164769093032E-2</c:v>
                </c:pt>
                <c:pt idx="53">
                  <c:v>6.4021529352314116E-2</c:v>
                </c:pt>
                <c:pt idx="54">
                  <c:v>6.1916218466350759E-2</c:v>
                </c:pt>
                <c:pt idx="55">
                  <c:v>6.2048581921383149E-2</c:v>
                </c:pt>
              </c:numCache>
            </c:numRef>
          </c:val>
          <c:extLst xmlns:c16r2="http://schemas.microsoft.com/office/drawing/2015/06/chart">
            <c:ext xmlns:c16="http://schemas.microsoft.com/office/drawing/2014/chart" uri="{C3380CC4-5D6E-409C-BE32-E72D297353CC}">
              <c16:uniqueId val="{00000010-0C44-4333-B98F-98B6C9E657E5}"/>
            </c:ext>
          </c:extLst>
        </c:ser>
        <c:ser>
          <c:idx val="17"/>
          <c:order val="14"/>
          <c:tx>
            <c:strRef>
              <c:f>'F-B7'!$U$40</c:f>
              <c:strCache>
                <c:ptCount val="1"/>
                <c:pt idx="0">
                  <c:v>Other retirement income</c:v>
                </c:pt>
              </c:strCache>
            </c:strRef>
          </c:tx>
          <c:spPr>
            <a:solidFill>
              <a:schemeClr val="bg1">
                <a:lumMod val="65000"/>
              </a:schemeClr>
            </a:solidFill>
            <a:ln w="25400">
              <a:noFill/>
            </a:ln>
          </c:spPr>
          <c:val>
            <c:numRef>
              <c:f>'F-B7'!$U$42:$U$97</c:f>
              <c:numCache>
                <c:formatCode>0.0%</c:formatCode>
                <c:ptCount val="56"/>
                <c:pt idx="0">
                  <c:v>2.9939967160621705E-2</c:v>
                </c:pt>
                <c:pt idx="1">
                  <c:v>2.9934793147088922E-2</c:v>
                </c:pt>
                <c:pt idx="2">
                  <c:v>2.9929619133556139E-2</c:v>
                </c:pt>
                <c:pt idx="3">
                  <c:v>3.1591347108311303E-2</c:v>
                </c:pt>
                <c:pt idx="4">
                  <c:v>3.3253075083066463E-2</c:v>
                </c:pt>
                <c:pt idx="5">
                  <c:v>3.2021953902081304E-2</c:v>
                </c:pt>
                <c:pt idx="6">
                  <c:v>3.0790832721096138E-2</c:v>
                </c:pt>
                <c:pt idx="7">
                  <c:v>3.2638561566133387E-2</c:v>
                </c:pt>
                <c:pt idx="8">
                  <c:v>2.9055064334952561E-2</c:v>
                </c:pt>
                <c:pt idx="9">
                  <c:v>3.2206654586283502E-2</c:v>
                </c:pt>
                <c:pt idx="10">
                  <c:v>3.4971524256723362E-2</c:v>
                </c:pt>
                <c:pt idx="11">
                  <c:v>3.6360806519855043E-2</c:v>
                </c:pt>
                <c:pt idx="12">
                  <c:v>3.368248291887329E-2</c:v>
                </c:pt>
                <c:pt idx="13">
                  <c:v>3.132614027188111E-2</c:v>
                </c:pt>
                <c:pt idx="14">
                  <c:v>3.3491137427474379E-2</c:v>
                </c:pt>
                <c:pt idx="15">
                  <c:v>3.7081670280756547E-2</c:v>
                </c:pt>
                <c:pt idx="16">
                  <c:v>3.1740279164530961E-2</c:v>
                </c:pt>
                <c:pt idx="17">
                  <c:v>3.4399273360573024E-2</c:v>
                </c:pt>
                <c:pt idx="18">
                  <c:v>3.3850469465072038E-2</c:v>
                </c:pt>
                <c:pt idx="19">
                  <c:v>3.7526646053575398E-2</c:v>
                </c:pt>
                <c:pt idx="20">
                  <c:v>4.1313744411653038E-2</c:v>
                </c:pt>
                <c:pt idx="21">
                  <c:v>3.7922079005200435E-2</c:v>
                </c:pt>
                <c:pt idx="22">
                  <c:v>4.3123106009874103E-2</c:v>
                </c:pt>
                <c:pt idx="23">
                  <c:v>4.7426556547563323E-2</c:v>
                </c:pt>
                <c:pt idx="24">
                  <c:v>4.6646124489954296E-2</c:v>
                </c:pt>
                <c:pt idx="25">
                  <c:v>4.786781978314153E-2</c:v>
                </c:pt>
                <c:pt idx="26">
                  <c:v>5.3240197147301528E-2</c:v>
                </c:pt>
                <c:pt idx="27">
                  <c:v>4.6568490056121847E-2</c:v>
                </c:pt>
                <c:pt idx="28">
                  <c:v>3.7218054245402581E-2</c:v>
                </c:pt>
                <c:pt idx="29">
                  <c:v>4.2985616857150376E-2</c:v>
                </c:pt>
                <c:pt idx="30">
                  <c:v>4.0428678981375525E-2</c:v>
                </c:pt>
                <c:pt idx="31">
                  <c:v>3.6342286218242134E-2</c:v>
                </c:pt>
                <c:pt idx="32">
                  <c:v>3.9884780538676327E-2</c:v>
                </c:pt>
                <c:pt idx="33">
                  <c:v>4.1843274204700548E-2</c:v>
                </c:pt>
                <c:pt idx="34">
                  <c:v>3.8736480338775414E-2</c:v>
                </c:pt>
                <c:pt idx="35">
                  <c:v>3.3050400657323897E-2</c:v>
                </c:pt>
                <c:pt idx="36">
                  <c:v>3.0809950032718556E-2</c:v>
                </c:pt>
                <c:pt idx="37">
                  <c:v>3.157126675459735E-2</c:v>
                </c:pt>
                <c:pt idx="38">
                  <c:v>3.2776057144001128E-2</c:v>
                </c:pt>
                <c:pt idx="39">
                  <c:v>2.7990151369883049E-2</c:v>
                </c:pt>
                <c:pt idx="40">
                  <c:v>3.0072936572674663E-2</c:v>
                </c:pt>
                <c:pt idx="41">
                  <c:v>3.2044116551487749E-2</c:v>
                </c:pt>
                <c:pt idx="42">
                  <c:v>3.3946963114083545E-2</c:v>
                </c:pt>
                <c:pt idx="43">
                  <c:v>3.2859215020996008E-2</c:v>
                </c:pt>
                <c:pt idx="44">
                  <c:v>3.0509026771652636E-2</c:v>
                </c:pt>
                <c:pt idx="45">
                  <c:v>2.7957652475579232E-2</c:v>
                </c:pt>
                <c:pt idx="46">
                  <c:v>3.0417103303812101E-2</c:v>
                </c:pt>
                <c:pt idx="47">
                  <c:v>3.1405483195165208E-2</c:v>
                </c:pt>
                <c:pt idx="48">
                  <c:v>3.617131997347376E-2</c:v>
                </c:pt>
                <c:pt idx="49">
                  <c:v>2.6721614753850959E-2</c:v>
                </c:pt>
                <c:pt idx="50">
                  <c:v>1.5237010584471704E-2</c:v>
                </c:pt>
                <c:pt idx="51">
                  <c:v>1.9433055003440617E-2</c:v>
                </c:pt>
                <c:pt idx="52">
                  <c:v>2.0892600415548395E-2</c:v>
                </c:pt>
                <c:pt idx="53">
                  <c:v>2.8337290685104884E-2</c:v>
                </c:pt>
                <c:pt idx="54">
                  <c:v>2.8013863489815549E-2</c:v>
                </c:pt>
                <c:pt idx="55">
                  <c:v>2.8436691661286241E-2</c:v>
                </c:pt>
              </c:numCache>
            </c:numRef>
          </c:val>
          <c:extLst xmlns:c16r2="http://schemas.microsoft.com/office/drawing/2015/06/chart">
            <c:ext xmlns:c16="http://schemas.microsoft.com/office/drawing/2014/chart" uri="{C3380CC4-5D6E-409C-BE32-E72D297353CC}">
              <c16:uniqueId val="{00000011-0C44-4333-B98F-98B6C9E657E5}"/>
            </c:ext>
          </c:extLst>
        </c:ser>
        <c:ser>
          <c:idx val="18"/>
          <c:order val="15"/>
          <c:tx>
            <c:strRef>
              <c:f>'F-B7'!$V$40</c:f>
              <c:strCache>
                <c:ptCount val="1"/>
                <c:pt idx="0">
                  <c:v>Other income</c:v>
                </c:pt>
              </c:strCache>
            </c:strRef>
          </c:tx>
          <c:spPr>
            <a:solidFill>
              <a:schemeClr val="tx1">
                <a:lumMod val="75000"/>
                <a:lumOff val="25000"/>
              </a:schemeClr>
            </a:solidFill>
            <a:ln w="25400">
              <a:noFill/>
            </a:ln>
          </c:spPr>
          <c:val>
            <c:numRef>
              <c:f>'F-B7'!$V$42:$V$97</c:f>
              <c:numCache>
                <c:formatCode>0.0%</c:formatCode>
                <c:ptCount val="56"/>
                <c:pt idx="0">
                  <c:v>6.2371235384688001E-2</c:v>
                </c:pt>
                <c:pt idx="1">
                  <c:v>6.113787777501492E-2</c:v>
                </c:pt>
                <c:pt idx="2">
                  <c:v>5.9904520165341847E-2</c:v>
                </c:pt>
                <c:pt idx="3">
                  <c:v>6.1102537602506932E-2</c:v>
                </c:pt>
                <c:pt idx="4">
                  <c:v>6.2300555039672009E-2</c:v>
                </c:pt>
                <c:pt idx="5">
                  <c:v>5.886684769161793E-2</c:v>
                </c:pt>
                <c:pt idx="6">
                  <c:v>5.5433140343563843E-2</c:v>
                </c:pt>
                <c:pt idx="7">
                  <c:v>5.5800919053072592E-2</c:v>
                </c:pt>
                <c:pt idx="8">
                  <c:v>5.8266306610440813E-2</c:v>
                </c:pt>
                <c:pt idx="9">
                  <c:v>5.9453020980549304E-2</c:v>
                </c:pt>
                <c:pt idx="10">
                  <c:v>5.8837164458364656E-2</c:v>
                </c:pt>
                <c:pt idx="11">
                  <c:v>5.8538241463437189E-2</c:v>
                </c:pt>
                <c:pt idx="12">
                  <c:v>5.6220729697243524E-2</c:v>
                </c:pt>
                <c:pt idx="13">
                  <c:v>5.6872942334730517E-2</c:v>
                </c:pt>
                <c:pt idx="14">
                  <c:v>5.9020464469586989E-2</c:v>
                </c:pt>
                <c:pt idx="15">
                  <c:v>5.7648907193643385E-2</c:v>
                </c:pt>
                <c:pt idx="16">
                  <c:v>5.6536929807125783E-2</c:v>
                </c:pt>
                <c:pt idx="17">
                  <c:v>5.3934549053146492E-2</c:v>
                </c:pt>
                <c:pt idx="18">
                  <c:v>5.4151368784517671E-2</c:v>
                </c:pt>
                <c:pt idx="19">
                  <c:v>5.4766159355202203E-2</c:v>
                </c:pt>
                <c:pt idx="20">
                  <c:v>5.7181155428846497E-2</c:v>
                </c:pt>
                <c:pt idx="21">
                  <c:v>6.1987567409818659E-2</c:v>
                </c:pt>
                <c:pt idx="22">
                  <c:v>5.9102852607148572E-2</c:v>
                </c:pt>
                <c:pt idx="23">
                  <c:v>5.8909568266218071E-2</c:v>
                </c:pt>
                <c:pt idx="24">
                  <c:v>6.1051173238628305E-2</c:v>
                </c:pt>
                <c:pt idx="25">
                  <c:v>6.2210557252471647E-2</c:v>
                </c:pt>
                <c:pt idx="26">
                  <c:v>6.1177844178224777E-2</c:v>
                </c:pt>
                <c:pt idx="27">
                  <c:v>5.8679278529873438E-2</c:v>
                </c:pt>
                <c:pt idx="28">
                  <c:v>5.8143186939858642E-2</c:v>
                </c:pt>
                <c:pt idx="29">
                  <c:v>6.0071974564968378E-2</c:v>
                </c:pt>
                <c:pt idx="30">
                  <c:v>5.9639267899058872E-2</c:v>
                </c:pt>
                <c:pt idx="31">
                  <c:v>5.9963986812277527E-2</c:v>
                </c:pt>
                <c:pt idx="32">
                  <c:v>5.8340267407972393E-2</c:v>
                </c:pt>
                <c:pt idx="33">
                  <c:v>5.7288825822438015E-2</c:v>
                </c:pt>
                <c:pt idx="34">
                  <c:v>6.0061243202949588E-2</c:v>
                </c:pt>
                <c:pt idx="35">
                  <c:v>5.9595577212259762E-2</c:v>
                </c:pt>
                <c:pt idx="36">
                  <c:v>5.9008545435933514E-2</c:v>
                </c:pt>
                <c:pt idx="37">
                  <c:v>5.8213946082480567E-2</c:v>
                </c:pt>
                <c:pt idx="38">
                  <c:v>5.9444460783025996E-2</c:v>
                </c:pt>
                <c:pt idx="39">
                  <c:v>5.7664994819763449E-2</c:v>
                </c:pt>
                <c:pt idx="40">
                  <c:v>5.8043627446795087E-2</c:v>
                </c:pt>
                <c:pt idx="41">
                  <c:v>5.6159093847477234E-2</c:v>
                </c:pt>
                <c:pt idx="42">
                  <c:v>5.5288001230820408E-2</c:v>
                </c:pt>
                <c:pt idx="43">
                  <c:v>5.3766187468151226E-2</c:v>
                </c:pt>
                <c:pt idx="44">
                  <c:v>5.3532005858735687E-2</c:v>
                </c:pt>
                <c:pt idx="45">
                  <c:v>5.3742824656094861E-2</c:v>
                </c:pt>
                <c:pt idx="46">
                  <c:v>5.3945357223250029E-2</c:v>
                </c:pt>
                <c:pt idx="47">
                  <c:v>5.4969169274124145E-2</c:v>
                </c:pt>
                <c:pt idx="48">
                  <c:v>5.4954664205095718E-2</c:v>
                </c:pt>
                <c:pt idx="49">
                  <c:v>5.2723896423713841E-2</c:v>
                </c:pt>
                <c:pt idx="50">
                  <c:v>5.398833501547249E-2</c:v>
                </c:pt>
                <c:pt idx="51">
                  <c:v>5.4718954314094057E-2</c:v>
                </c:pt>
                <c:pt idx="52">
                  <c:v>5.4010702693371479E-2</c:v>
                </c:pt>
                <c:pt idx="53">
                  <c:v>5.505827640687027E-2</c:v>
                </c:pt>
                <c:pt idx="54">
                  <c:v>5.7531811578668504E-2</c:v>
                </c:pt>
                <c:pt idx="55">
                  <c:v>5.9613068672680528E-2</c:v>
                </c:pt>
              </c:numCache>
            </c:numRef>
          </c:val>
          <c:extLst xmlns:c16r2="http://schemas.microsoft.com/office/drawing/2015/06/chart">
            <c:ext xmlns:c16="http://schemas.microsoft.com/office/drawing/2014/chart" uri="{C3380CC4-5D6E-409C-BE32-E72D297353CC}">
              <c16:uniqueId val="{00000012-0C44-4333-B98F-98B6C9E657E5}"/>
            </c:ext>
          </c:extLst>
        </c:ser>
        <c:ser>
          <c:idx val="14"/>
          <c:order val="16"/>
          <c:tx>
            <c:v>Other Transfers</c:v>
          </c:tx>
          <c:spPr>
            <a:solidFill>
              <a:schemeClr val="bg1">
                <a:lumMod val="75000"/>
              </a:schemeClr>
            </a:solidFill>
            <a:ln w="25400">
              <a:noFill/>
            </a:ln>
          </c:spPr>
          <c:val>
            <c:numRef>
              <c:f>'F-B7'!$Y$42:$Y$97</c:f>
              <c:numCache>
                <c:formatCode>0.0%</c:formatCode>
                <c:ptCount val="56"/>
                <c:pt idx="0">
                  <c:v>2.4488042023511656E-2</c:v>
                </c:pt>
                <c:pt idx="1">
                  <c:v>2.4215882986908865E-2</c:v>
                </c:pt>
                <c:pt idx="2">
                  <c:v>2.3943723950306074E-2</c:v>
                </c:pt>
                <c:pt idx="3">
                  <c:v>2.3073120195441384E-2</c:v>
                </c:pt>
                <c:pt idx="4">
                  <c:v>2.2202516440576695E-2</c:v>
                </c:pt>
                <c:pt idx="5">
                  <c:v>2.1346004388273714E-2</c:v>
                </c:pt>
                <c:pt idx="6">
                  <c:v>2.0489492335970735E-2</c:v>
                </c:pt>
                <c:pt idx="7">
                  <c:v>2.3125275731031687E-2</c:v>
                </c:pt>
                <c:pt idx="8">
                  <c:v>2.4133391164226702E-2</c:v>
                </c:pt>
                <c:pt idx="9">
                  <c:v>2.5433916951771062E-2</c:v>
                </c:pt>
                <c:pt idx="10">
                  <c:v>3.1023268144427612E-2</c:v>
                </c:pt>
                <c:pt idx="11">
                  <c:v>3.5192146745937736E-2</c:v>
                </c:pt>
                <c:pt idx="12">
                  <c:v>3.5243287205475163E-2</c:v>
                </c:pt>
                <c:pt idx="13">
                  <c:v>3.3101961448349884E-2</c:v>
                </c:pt>
                <c:pt idx="14">
                  <c:v>3.7512823536664928E-2</c:v>
                </c:pt>
                <c:pt idx="15">
                  <c:v>4.8587675640468807E-2</c:v>
                </c:pt>
                <c:pt idx="16">
                  <c:v>4.5129116661822566E-2</c:v>
                </c:pt>
                <c:pt idx="17">
                  <c:v>4.0465011272377401E-2</c:v>
                </c:pt>
                <c:pt idx="18">
                  <c:v>3.69891959069054E-2</c:v>
                </c:pt>
                <c:pt idx="19">
                  <c:v>3.6600281237322924E-2</c:v>
                </c:pt>
                <c:pt idx="20">
                  <c:v>4.1517250603972919E-2</c:v>
                </c:pt>
                <c:pt idx="21">
                  <c:v>3.976974919987683E-2</c:v>
                </c:pt>
                <c:pt idx="22">
                  <c:v>4.1723748976764431E-2</c:v>
                </c:pt>
                <c:pt idx="23">
                  <c:v>4.1515677066396757E-2</c:v>
                </c:pt>
                <c:pt idx="24">
                  <c:v>3.5884473195191849E-2</c:v>
                </c:pt>
                <c:pt idx="25">
                  <c:v>3.5256503725422508E-2</c:v>
                </c:pt>
                <c:pt idx="26">
                  <c:v>3.5905599288913105E-2</c:v>
                </c:pt>
                <c:pt idx="27">
                  <c:v>3.4838902641886098E-2</c:v>
                </c:pt>
                <c:pt idx="28">
                  <c:v>3.4254124307103243E-2</c:v>
                </c:pt>
                <c:pt idx="29">
                  <c:v>3.5637288166242689E-2</c:v>
                </c:pt>
                <c:pt idx="30">
                  <c:v>3.8518080115913657E-2</c:v>
                </c:pt>
                <c:pt idx="31">
                  <c:v>4.4861224621522922E-2</c:v>
                </c:pt>
                <c:pt idx="32">
                  <c:v>4.9801035378219713E-2</c:v>
                </c:pt>
                <c:pt idx="33">
                  <c:v>5.006345412048735E-2</c:v>
                </c:pt>
                <c:pt idx="34">
                  <c:v>4.7727976529182356E-2</c:v>
                </c:pt>
                <c:pt idx="35">
                  <c:v>4.7485513229946902E-2</c:v>
                </c:pt>
                <c:pt idx="36">
                  <c:v>4.6406446661144934E-2</c:v>
                </c:pt>
                <c:pt idx="37">
                  <c:v>4.3839089105797209E-2</c:v>
                </c:pt>
                <c:pt idx="38">
                  <c:v>4.2635313412690987E-2</c:v>
                </c:pt>
                <c:pt idx="39">
                  <c:v>4.2526519341217699E-2</c:v>
                </c:pt>
                <c:pt idx="40">
                  <c:v>4.189756863460032E-2</c:v>
                </c:pt>
                <c:pt idx="41">
                  <c:v>4.557312245945612E-2</c:v>
                </c:pt>
                <c:pt idx="42">
                  <c:v>5.0241501211775681E-2</c:v>
                </c:pt>
                <c:pt idx="43">
                  <c:v>5.1259252659288095E-2</c:v>
                </c:pt>
                <c:pt idx="44">
                  <c:v>5.0834019085277592E-2</c:v>
                </c:pt>
                <c:pt idx="45">
                  <c:v>5.017889829450322E-2</c:v>
                </c:pt>
                <c:pt idx="46">
                  <c:v>4.7250466260163666E-2</c:v>
                </c:pt>
                <c:pt idx="47">
                  <c:v>4.8895362795897221E-2</c:v>
                </c:pt>
                <c:pt idx="48">
                  <c:v>6.430537874476222E-2</c:v>
                </c:pt>
                <c:pt idx="49">
                  <c:v>6.6263733288746574E-2</c:v>
                </c:pt>
                <c:pt idx="50">
                  <c:v>7.1308123575885118E-2</c:v>
                </c:pt>
                <c:pt idx="51">
                  <c:v>6.7318934977129249E-2</c:v>
                </c:pt>
                <c:pt idx="52">
                  <c:v>6.0893060176694533E-2</c:v>
                </c:pt>
                <c:pt idx="53">
                  <c:v>5.9739248775384321E-2</c:v>
                </c:pt>
                <c:pt idx="54">
                  <c:v>5.9848017610271469E-2</c:v>
                </c:pt>
                <c:pt idx="55">
                  <c:v>6.0888559850719552E-2</c:v>
                </c:pt>
              </c:numCache>
            </c:numRef>
          </c:val>
          <c:extLst xmlns:c16r2="http://schemas.microsoft.com/office/drawing/2015/06/chart">
            <c:ext xmlns:c16="http://schemas.microsoft.com/office/drawing/2014/chart" uri="{C3380CC4-5D6E-409C-BE32-E72D297353CC}">
              <c16:uniqueId val="{00000013-0C44-4333-B98F-98B6C9E657E5}"/>
            </c:ext>
          </c:extLst>
        </c:ser>
        <c:ser>
          <c:idx val="13"/>
          <c:order val="17"/>
          <c:tx>
            <c:v>Medicare</c:v>
          </c:tx>
          <c:spPr>
            <a:solidFill>
              <a:schemeClr val="bg1">
                <a:lumMod val="95000"/>
              </a:schemeClr>
            </a:solidFill>
            <a:ln w="25400">
              <a:noFill/>
            </a:ln>
          </c:spPr>
          <c:val>
            <c:numRef>
              <c:f>'F-B7'!$X$42:$X$97</c:f>
              <c:numCache>
                <c:formatCode>0.0%</c:formatCode>
                <c:ptCount val="56"/>
                <c:pt idx="0">
                  <c:v>0</c:v>
                </c:pt>
                <c:pt idx="1">
                  <c:v>0</c:v>
                </c:pt>
                <c:pt idx="2">
                  <c:v>0</c:v>
                </c:pt>
                <c:pt idx="3">
                  <c:v>0</c:v>
                </c:pt>
                <c:pt idx="4">
                  <c:v>0</c:v>
                </c:pt>
                <c:pt idx="5">
                  <c:v>4.5317873815050051E-4</c:v>
                </c:pt>
                <c:pt idx="6">
                  <c:v>9.0635747630100102E-4</c:v>
                </c:pt>
                <c:pt idx="7">
                  <c:v>5.0402993176318321E-3</c:v>
                </c:pt>
                <c:pt idx="8">
                  <c:v>5.7182129811523237E-3</c:v>
                </c:pt>
                <c:pt idx="9">
                  <c:v>6.0370960335942728E-3</c:v>
                </c:pt>
                <c:pt idx="10">
                  <c:v>6.092266255290045E-3</c:v>
                </c:pt>
                <c:pt idx="11">
                  <c:v>6.1273622382607392E-3</c:v>
                </c:pt>
                <c:pt idx="12">
                  <c:v>6.1279090932962882E-3</c:v>
                </c:pt>
                <c:pt idx="13">
                  <c:v>6.3736286145317893E-3</c:v>
                </c:pt>
                <c:pt idx="14">
                  <c:v>7.3921094552638535E-3</c:v>
                </c:pt>
                <c:pt idx="15">
                  <c:v>8.5061458420115869E-3</c:v>
                </c:pt>
                <c:pt idx="16">
                  <c:v>9.3473243726326545E-3</c:v>
                </c:pt>
                <c:pt idx="17">
                  <c:v>9.9975402108261786E-3</c:v>
                </c:pt>
                <c:pt idx="18">
                  <c:v>1.0342487392722019E-2</c:v>
                </c:pt>
                <c:pt idx="19">
                  <c:v>1.1006694228279613E-2</c:v>
                </c:pt>
                <c:pt idx="20">
                  <c:v>1.2314297246140369E-2</c:v>
                </c:pt>
                <c:pt idx="21">
                  <c:v>1.3144121526218929E-2</c:v>
                </c:pt>
                <c:pt idx="22">
                  <c:v>1.4853155232583751E-2</c:v>
                </c:pt>
                <c:pt idx="23">
                  <c:v>1.5630135165734908E-2</c:v>
                </c:pt>
                <c:pt idx="24">
                  <c:v>1.5598222774243085E-2</c:v>
                </c:pt>
                <c:pt idx="25">
                  <c:v>1.5706007284794661E-2</c:v>
                </c:pt>
                <c:pt idx="26">
                  <c:v>1.6283201920668507E-2</c:v>
                </c:pt>
                <c:pt idx="27">
                  <c:v>1.6267731216295007E-2</c:v>
                </c:pt>
                <c:pt idx="28">
                  <c:v>1.5625996606557776E-2</c:v>
                </c:pt>
                <c:pt idx="29">
                  <c:v>1.6237374910176985E-2</c:v>
                </c:pt>
                <c:pt idx="30">
                  <c:v>1.7201337354435142E-2</c:v>
                </c:pt>
                <c:pt idx="31">
                  <c:v>1.8121632137693057E-2</c:v>
                </c:pt>
                <c:pt idx="32">
                  <c:v>1.9062405653097598E-2</c:v>
                </c:pt>
                <c:pt idx="33">
                  <c:v>2.0337674281514933E-2</c:v>
                </c:pt>
                <c:pt idx="34">
                  <c:v>2.1191312087767613E-2</c:v>
                </c:pt>
                <c:pt idx="35">
                  <c:v>2.2049736903443903E-2</c:v>
                </c:pt>
                <c:pt idx="36">
                  <c:v>2.2615381371358403E-2</c:v>
                </c:pt>
                <c:pt idx="37">
                  <c:v>2.2615319885135501E-2</c:v>
                </c:pt>
                <c:pt idx="38">
                  <c:v>2.099380907868886E-2</c:v>
                </c:pt>
                <c:pt idx="39">
                  <c:v>2.041046204024204E-2</c:v>
                </c:pt>
                <c:pt idx="40">
                  <c:v>1.9993475166302992E-2</c:v>
                </c:pt>
                <c:pt idx="41">
                  <c:v>2.1325420297746919E-2</c:v>
                </c:pt>
                <c:pt idx="42">
                  <c:v>2.1958141579326282E-2</c:v>
                </c:pt>
                <c:pt idx="43">
                  <c:v>2.2345973712936916E-2</c:v>
                </c:pt>
                <c:pt idx="44">
                  <c:v>2.2910896766322471E-2</c:v>
                </c:pt>
                <c:pt idx="45">
                  <c:v>2.3211135952303379E-2</c:v>
                </c:pt>
                <c:pt idx="46">
                  <c:v>2.6037359706822426E-2</c:v>
                </c:pt>
                <c:pt idx="47">
                  <c:v>2.7076151416983045E-2</c:v>
                </c:pt>
                <c:pt idx="48">
                  <c:v>2.8358413133762646E-2</c:v>
                </c:pt>
                <c:pt idx="49">
                  <c:v>3.0498677633950051E-2</c:v>
                </c:pt>
                <c:pt idx="50">
                  <c:v>3.0429327074750694E-2</c:v>
                </c:pt>
                <c:pt idx="51">
                  <c:v>3.0183469261229091E-2</c:v>
                </c:pt>
                <c:pt idx="52">
                  <c:v>3.0024295244615966E-2</c:v>
                </c:pt>
                <c:pt idx="53">
                  <c:v>2.9954774203107274E-2</c:v>
                </c:pt>
                <c:pt idx="54">
                  <c:v>2.982421258104391E-2</c:v>
                </c:pt>
                <c:pt idx="55">
                  <c:v>3.0152705496290753E-2</c:v>
                </c:pt>
              </c:numCache>
            </c:numRef>
          </c:val>
          <c:extLst xmlns:c16r2="http://schemas.microsoft.com/office/drawing/2015/06/chart">
            <c:ext xmlns:c16="http://schemas.microsoft.com/office/drawing/2014/chart" uri="{C3380CC4-5D6E-409C-BE32-E72D297353CC}">
              <c16:uniqueId val="{00000014-0C44-4333-B98F-98B6C9E657E5}"/>
            </c:ext>
          </c:extLst>
        </c:ser>
        <c:ser>
          <c:idx val="12"/>
          <c:order val="18"/>
          <c:tx>
            <c:v>Social Sec.</c:v>
          </c:tx>
          <c:spPr>
            <a:solidFill>
              <a:schemeClr val="bg1">
                <a:lumMod val="85000"/>
              </a:schemeClr>
            </a:solidFill>
            <a:ln w="25400">
              <a:noFill/>
            </a:ln>
          </c:spPr>
          <c:val>
            <c:numRef>
              <c:f>'F-B7'!$W$42:$W$97</c:f>
              <c:numCache>
                <c:formatCode>0.0%</c:formatCode>
                <c:ptCount val="56"/>
                <c:pt idx="0">
                  <c:v>2.3952632569600556E-2</c:v>
                </c:pt>
                <c:pt idx="1">
                  <c:v>2.5573089255914477E-2</c:v>
                </c:pt>
                <c:pt idx="2">
                  <c:v>2.7193545942228402E-2</c:v>
                </c:pt>
                <c:pt idx="3">
                  <c:v>2.6975031979721092E-2</c:v>
                </c:pt>
                <c:pt idx="4">
                  <c:v>2.6756518017213782E-2</c:v>
                </c:pt>
                <c:pt idx="5">
                  <c:v>2.7243150198552522E-2</c:v>
                </c:pt>
                <c:pt idx="6">
                  <c:v>2.7729782379891266E-2</c:v>
                </c:pt>
                <c:pt idx="7">
                  <c:v>2.7852651809431386E-2</c:v>
                </c:pt>
                <c:pt idx="8">
                  <c:v>2.9471746580794767E-2</c:v>
                </c:pt>
                <c:pt idx="9">
                  <c:v>2.9159977952958462E-2</c:v>
                </c:pt>
                <c:pt idx="10">
                  <c:v>3.2771406253082613E-2</c:v>
                </c:pt>
                <c:pt idx="11">
                  <c:v>3.5065912367529817E-2</c:v>
                </c:pt>
                <c:pt idx="12">
                  <c:v>3.5434013648947757E-2</c:v>
                </c:pt>
                <c:pt idx="13">
                  <c:v>3.9023996409034006E-2</c:v>
                </c:pt>
                <c:pt idx="14">
                  <c:v>4.0881979448430493E-2</c:v>
                </c:pt>
                <c:pt idx="15">
                  <c:v>4.2893550596684017E-2</c:v>
                </c:pt>
                <c:pt idx="16">
                  <c:v>4.3595339982572534E-2</c:v>
                </c:pt>
                <c:pt idx="17">
                  <c:v>4.3820184558603592E-2</c:v>
                </c:pt>
                <c:pt idx="18">
                  <c:v>4.2747423837686274E-2</c:v>
                </c:pt>
                <c:pt idx="19">
                  <c:v>4.3228481200636402E-2</c:v>
                </c:pt>
                <c:pt idx="20">
                  <c:v>4.578365928229073E-2</c:v>
                </c:pt>
                <c:pt idx="21">
                  <c:v>4.7570240256214015E-2</c:v>
                </c:pt>
                <c:pt idx="22">
                  <c:v>5.0153850165937409E-2</c:v>
                </c:pt>
                <c:pt idx="23">
                  <c:v>4.9736811247780302E-2</c:v>
                </c:pt>
                <c:pt idx="24">
                  <c:v>4.6886036036399903E-2</c:v>
                </c:pt>
                <c:pt idx="25">
                  <c:v>4.6423456040161001E-2</c:v>
                </c:pt>
                <c:pt idx="26">
                  <c:v>4.6822253821144404E-2</c:v>
                </c:pt>
                <c:pt idx="27">
                  <c:v>4.5501442496742532E-2</c:v>
                </c:pt>
                <c:pt idx="28">
                  <c:v>4.4467416614967531E-2</c:v>
                </c:pt>
                <c:pt idx="29">
                  <c:v>4.4289900848554969E-2</c:v>
                </c:pt>
                <c:pt idx="30">
                  <c:v>4.4889422040131639E-2</c:v>
                </c:pt>
                <c:pt idx="31">
                  <c:v>4.6649129058932905E-2</c:v>
                </c:pt>
                <c:pt idx="32">
                  <c:v>4.6565931915429737E-2</c:v>
                </c:pt>
                <c:pt idx="33">
                  <c:v>4.6899113734735175E-2</c:v>
                </c:pt>
                <c:pt idx="34">
                  <c:v>4.6136722105050723E-2</c:v>
                </c:pt>
                <c:pt idx="35">
                  <c:v>4.5832564586949585E-2</c:v>
                </c:pt>
                <c:pt idx="36">
                  <c:v>4.4958769456072266E-2</c:v>
                </c:pt>
                <c:pt idx="37">
                  <c:v>4.3969143949189778E-2</c:v>
                </c:pt>
                <c:pt idx="38">
                  <c:v>4.2915609902218231E-2</c:v>
                </c:pt>
                <c:pt idx="39">
                  <c:v>4.1738576922240873E-2</c:v>
                </c:pt>
                <c:pt idx="40">
                  <c:v>4.1249217053754915E-2</c:v>
                </c:pt>
                <c:pt idx="41">
                  <c:v>4.2055557363395286E-2</c:v>
                </c:pt>
                <c:pt idx="42">
                  <c:v>4.2731072670413706E-2</c:v>
                </c:pt>
                <c:pt idx="43">
                  <c:v>4.2336565125297113E-2</c:v>
                </c:pt>
                <c:pt idx="44">
                  <c:v>4.1507314497177462E-2</c:v>
                </c:pt>
                <c:pt idx="45">
                  <c:v>4.1117900315987332E-2</c:v>
                </c:pt>
                <c:pt idx="46">
                  <c:v>4.0852589781639859E-2</c:v>
                </c:pt>
                <c:pt idx="47">
                  <c:v>4.1914770136159164E-2</c:v>
                </c:pt>
                <c:pt idx="48">
                  <c:v>4.2823487575093452E-2</c:v>
                </c:pt>
                <c:pt idx="49">
                  <c:v>4.7634339101710332E-2</c:v>
                </c:pt>
                <c:pt idx="50">
                  <c:v>4.6846475237647837E-2</c:v>
                </c:pt>
                <c:pt idx="51">
                  <c:v>4.6432683860804867E-2</c:v>
                </c:pt>
                <c:pt idx="52">
                  <c:v>4.7401399192149384E-2</c:v>
                </c:pt>
                <c:pt idx="53">
                  <c:v>4.8376074529321793E-2</c:v>
                </c:pt>
                <c:pt idx="54">
                  <c:v>4.8195655638915466E-2</c:v>
                </c:pt>
                <c:pt idx="55">
                  <c:v>4.8337162374125851E-2</c:v>
                </c:pt>
              </c:numCache>
            </c:numRef>
          </c:val>
          <c:extLst xmlns:c16r2="http://schemas.microsoft.com/office/drawing/2015/06/chart">
            <c:ext xmlns:c16="http://schemas.microsoft.com/office/drawing/2014/chart" uri="{C3380CC4-5D6E-409C-BE32-E72D297353CC}">
              <c16:uniqueId val="{00000015-0C44-4333-B98F-98B6C9E657E5}"/>
            </c:ext>
          </c:extLst>
        </c:ser>
        <c:dLbls>
          <c:showLegendKey val="0"/>
          <c:showVal val="0"/>
          <c:showCatName val="0"/>
          <c:showSerName val="0"/>
          <c:showPercent val="0"/>
          <c:showBubbleSize val="0"/>
        </c:dLbls>
        <c:axId val="566414144"/>
        <c:axId val="566411792"/>
      </c:areaChart>
      <c:catAx>
        <c:axId val="566414144"/>
        <c:scaling>
          <c:orientation val="minMax"/>
        </c:scaling>
        <c:delete val="0"/>
        <c:axPos val="b"/>
        <c:majorGridlines>
          <c:spPr>
            <a:ln w="12700">
              <a:no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566411792"/>
        <c:crossesAt val="0"/>
        <c:auto val="1"/>
        <c:lblAlgn val="ctr"/>
        <c:lblOffset val="100"/>
        <c:tickLblSkip val="10"/>
        <c:tickMarkSkip val="10"/>
        <c:noMultiLvlLbl val="0"/>
      </c:catAx>
      <c:valAx>
        <c:axId val="566411792"/>
        <c:scaling>
          <c:orientation val="minMax"/>
          <c:max val="1"/>
          <c:min val="0"/>
        </c:scaling>
        <c:delete val="0"/>
        <c:axPos val="l"/>
        <c:majorGridlines>
          <c:spPr>
            <a:ln w="6350">
              <a:solidFill>
                <a:srgbClr val="000000"/>
              </a:solidFill>
              <a:prstDash val="sysDash"/>
            </a:ln>
          </c:spPr>
        </c:majorGridlines>
        <c:title>
          <c:tx>
            <c:rich>
              <a:bodyPr/>
              <a:lstStyle/>
              <a:p>
                <a:pPr>
                  <a:defRPr sz="2050" b="0" i="0" u="none" strike="noStrike" baseline="0">
                    <a:solidFill>
                      <a:srgbClr val="000000"/>
                    </a:solidFill>
                    <a:latin typeface="Arial"/>
                    <a:ea typeface="Arial"/>
                    <a:cs typeface="Arial"/>
                  </a:defRPr>
                </a:pPr>
                <a:r>
                  <a:rPr lang="en-US" sz="1400" b="0"/>
                  <a:t>Share of Pre-tax after-transfer Income</a:t>
                </a:r>
              </a:p>
            </c:rich>
          </c:tx>
          <c:layout>
            <c:manualLayout>
              <c:xMode val="edge"/>
              <c:yMode val="edge"/>
              <c:x val="1.1162959468776082E-2"/>
              <c:y val="0.2331923426067621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566414144"/>
        <c:crosses val="autoZero"/>
        <c:crossBetween val="midCat"/>
        <c:majorUnit val="0.2"/>
        <c:minorUnit val="0.05"/>
      </c:valAx>
      <c:spPr>
        <a:solidFill>
          <a:srgbClr val="FFFFFF"/>
        </a:solidFill>
        <a:ln w="12700">
          <a:noFill/>
          <a:prstDash val="solid"/>
        </a:ln>
      </c:spPr>
    </c:plotArea>
    <c:plotVisOnly val="1"/>
    <c:dispBlanksAs val="span"/>
    <c:showDLblsOverMax val="0"/>
  </c:chart>
  <c:spPr>
    <a:solidFill>
      <a:schemeClr val="bg1"/>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933" r="0.75000000000000933" t="1" header="0.5" footer="0.5"/>
    <c:pageSetup orientation="landscape" verticalDpi="96"/>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348619256420843E-2"/>
          <c:y val="7.9415073115860532E-2"/>
          <c:w val="0.60615891856247939"/>
          <c:h val="0.84922608554527712"/>
        </c:manualLayout>
      </c:layout>
      <c:areaChart>
        <c:grouping val="stacked"/>
        <c:varyColors val="0"/>
        <c:ser>
          <c:idx val="0"/>
          <c:order val="0"/>
          <c:tx>
            <c:v>NF Income</c:v>
          </c:tx>
          <c:spPr>
            <a:solidFill>
              <a:schemeClr val="tx2">
                <a:lumMod val="60000"/>
                <a:lumOff val="40000"/>
              </a:schemeClr>
            </a:solidFill>
          </c:spPr>
          <c:val>
            <c:numRef>
              <c:f>'F-B7'!$D$42:$D$97</c:f>
              <c:numCache>
                <c:formatCode>0.0%</c:formatCode>
                <c:ptCount val="56"/>
                <c:pt idx="0">
                  <c:v>1.3635565456049152E-2</c:v>
                </c:pt>
                <c:pt idx="1">
                  <c:v>1.4155915624116061E-2</c:v>
                </c:pt>
                <c:pt idx="2">
                  <c:v>1.4676265792182969E-2</c:v>
                </c:pt>
                <c:pt idx="3">
                  <c:v>1.4258664008760285E-2</c:v>
                </c:pt>
                <c:pt idx="4">
                  <c:v>1.38410622253376E-2</c:v>
                </c:pt>
                <c:pt idx="5">
                  <c:v>1.1503292914300798E-2</c:v>
                </c:pt>
                <c:pt idx="6">
                  <c:v>9.1655236032639961E-3</c:v>
                </c:pt>
                <c:pt idx="7">
                  <c:v>8.3583163117709313E-3</c:v>
                </c:pt>
                <c:pt idx="8">
                  <c:v>6.4425119214872395E-3</c:v>
                </c:pt>
                <c:pt idx="9">
                  <c:v>4.6292520726819199E-3</c:v>
                </c:pt>
                <c:pt idx="10">
                  <c:v>8.8244484764157787E-3</c:v>
                </c:pt>
                <c:pt idx="11">
                  <c:v>1.0840086680135624E-2</c:v>
                </c:pt>
                <c:pt idx="12">
                  <c:v>8.8353423678571245E-3</c:v>
                </c:pt>
                <c:pt idx="13">
                  <c:v>6.7059245738268717E-3</c:v>
                </c:pt>
                <c:pt idx="14">
                  <c:v>5.4097023814240058E-3</c:v>
                </c:pt>
                <c:pt idx="15">
                  <c:v>9.1327607651784347E-3</c:v>
                </c:pt>
                <c:pt idx="16">
                  <c:v>8.2480128170883821E-3</c:v>
                </c:pt>
                <c:pt idx="17">
                  <c:v>8.0787847897344049E-3</c:v>
                </c:pt>
                <c:pt idx="18">
                  <c:v>6.6745131129535076E-3</c:v>
                </c:pt>
                <c:pt idx="19">
                  <c:v>5.8220387872322792E-3</c:v>
                </c:pt>
                <c:pt idx="20">
                  <c:v>6.8767301848703215E-3</c:v>
                </c:pt>
                <c:pt idx="21">
                  <c:v>7.0295750509579702E-3</c:v>
                </c:pt>
                <c:pt idx="22">
                  <c:v>9.0582918708669285E-3</c:v>
                </c:pt>
                <c:pt idx="23">
                  <c:v>9.5782383265457689E-3</c:v>
                </c:pt>
                <c:pt idx="24">
                  <c:v>7.8910615413325738E-3</c:v>
                </c:pt>
                <c:pt idx="25">
                  <c:v>7.4069367856237087E-3</c:v>
                </c:pt>
                <c:pt idx="26">
                  <c:v>7.5720813231875024E-3</c:v>
                </c:pt>
                <c:pt idx="27">
                  <c:v>5.8074871278389929E-3</c:v>
                </c:pt>
                <c:pt idx="28">
                  <c:v>5.1009838973237092E-3</c:v>
                </c:pt>
                <c:pt idx="29">
                  <c:v>4.6569633211359018E-3</c:v>
                </c:pt>
                <c:pt idx="30">
                  <c:v>5.2812857427912679E-3</c:v>
                </c:pt>
                <c:pt idx="31">
                  <c:v>5.4744470340854492E-3</c:v>
                </c:pt>
                <c:pt idx="32">
                  <c:v>7.6950981318998713E-3</c:v>
                </c:pt>
                <c:pt idx="33">
                  <c:v>7.7932902229076199E-3</c:v>
                </c:pt>
                <c:pt idx="34">
                  <c:v>7.6084418183390255E-3</c:v>
                </c:pt>
                <c:pt idx="35">
                  <c:v>6.7642268978034201E-3</c:v>
                </c:pt>
                <c:pt idx="36">
                  <c:v>6.2353676363937479E-3</c:v>
                </c:pt>
                <c:pt idx="37">
                  <c:v>5.8912488704791748E-3</c:v>
                </c:pt>
                <c:pt idx="38">
                  <c:v>5.3030656008514207E-3</c:v>
                </c:pt>
                <c:pt idx="39">
                  <c:v>3.3457527076188515E-3</c:v>
                </c:pt>
                <c:pt idx="40">
                  <c:v>4.0886483266705945E-3</c:v>
                </c:pt>
                <c:pt idx="41">
                  <c:v>5.5980336662013568E-3</c:v>
                </c:pt>
                <c:pt idx="42">
                  <c:v>7.4243863068585896E-3</c:v>
                </c:pt>
                <c:pt idx="43">
                  <c:v>8.4664336427876241E-3</c:v>
                </c:pt>
                <c:pt idx="44">
                  <c:v>8.6084895112060241E-3</c:v>
                </c:pt>
                <c:pt idx="45">
                  <c:v>8.35803522344984E-3</c:v>
                </c:pt>
                <c:pt idx="46">
                  <c:v>7.1476627319653268E-3</c:v>
                </c:pt>
                <c:pt idx="47">
                  <c:v>5.0956303387233179E-3</c:v>
                </c:pt>
                <c:pt idx="48">
                  <c:v>7.0464541562655029E-3</c:v>
                </c:pt>
                <c:pt idx="49">
                  <c:v>8.7083949299833416E-3</c:v>
                </c:pt>
                <c:pt idx="50">
                  <c:v>8.5731517630890739E-3</c:v>
                </c:pt>
                <c:pt idx="51">
                  <c:v>8.2508417872784751E-3</c:v>
                </c:pt>
                <c:pt idx="52">
                  <c:v>1.0015683434219522E-2</c:v>
                </c:pt>
                <c:pt idx="53">
                  <c:v>9.7490557574620666E-3</c:v>
                </c:pt>
                <c:pt idx="54">
                  <c:v>1.0124123242472921E-2</c:v>
                </c:pt>
                <c:pt idx="55">
                  <c:v>1.0381925127596338E-2</c:v>
                </c:pt>
              </c:numCache>
            </c:numRef>
          </c:val>
          <c:extLst xmlns:c16r2="http://schemas.microsoft.com/office/drawing/2015/06/chart">
            <c:ext xmlns:c16="http://schemas.microsoft.com/office/drawing/2014/chart" uri="{C3380CC4-5D6E-409C-BE32-E72D297353CC}">
              <c16:uniqueId val="{00000000-7AE1-48C8-A5BF-D4E01B45D47A}"/>
            </c:ext>
          </c:extLst>
        </c:ser>
        <c:ser>
          <c:idx val="1"/>
          <c:order val="1"/>
          <c:tx>
            <c:v>Dividends</c:v>
          </c:tx>
          <c:spPr>
            <a:solidFill>
              <a:schemeClr val="accent1">
                <a:lumMod val="60000"/>
                <a:lumOff val="40000"/>
              </a:schemeClr>
            </a:solidFill>
          </c:spPr>
          <c:val>
            <c:numRef>
              <c:f>'F-B7'!$E$42:$E$97</c:f>
              <c:numCache>
                <c:formatCode>0.0%</c:formatCode>
                <c:ptCount val="56"/>
                <c:pt idx="0">
                  <c:v>1.9426896649318053E-2</c:v>
                </c:pt>
                <c:pt idx="1">
                  <c:v>1.9475426533511708E-2</c:v>
                </c:pt>
                <c:pt idx="2">
                  <c:v>1.9523956417705362E-2</c:v>
                </c:pt>
                <c:pt idx="3">
                  <c:v>1.8418211759107309E-2</c:v>
                </c:pt>
                <c:pt idx="4">
                  <c:v>1.7312467100509252E-2</c:v>
                </c:pt>
                <c:pt idx="5">
                  <c:v>1.7717386097351805E-2</c:v>
                </c:pt>
                <c:pt idx="6">
                  <c:v>1.8122305094194359E-2</c:v>
                </c:pt>
                <c:pt idx="7">
                  <c:v>1.7640163855637634E-2</c:v>
                </c:pt>
                <c:pt idx="8">
                  <c:v>1.8072791925709025E-2</c:v>
                </c:pt>
                <c:pt idx="9">
                  <c:v>1.674045649457714E-2</c:v>
                </c:pt>
                <c:pt idx="10">
                  <c:v>1.5645430020640914E-2</c:v>
                </c:pt>
                <c:pt idx="11">
                  <c:v>1.4093743611760001E-2</c:v>
                </c:pt>
                <c:pt idx="12">
                  <c:v>1.4055179472161491E-2</c:v>
                </c:pt>
                <c:pt idx="13">
                  <c:v>1.3821362279174186E-2</c:v>
                </c:pt>
                <c:pt idx="14">
                  <c:v>1.4311003889532804E-2</c:v>
                </c:pt>
                <c:pt idx="15">
                  <c:v>1.3453573223416488E-2</c:v>
                </c:pt>
                <c:pt idx="16">
                  <c:v>1.3663547098524709E-2</c:v>
                </c:pt>
                <c:pt idx="17">
                  <c:v>1.3606081314716753E-2</c:v>
                </c:pt>
                <c:pt idx="18">
                  <c:v>1.3539507661581371E-2</c:v>
                </c:pt>
                <c:pt idx="19">
                  <c:v>1.3538169647280386E-2</c:v>
                </c:pt>
                <c:pt idx="20">
                  <c:v>1.4372321116161166E-2</c:v>
                </c:pt>
                <c:pt idx="21">
                  <c:v>1.5331038092823749E-2</c:v>
                </c:pt>
                <c:pt idx="22">
                  <c:v>1.6396279308968004E-2</c:v>
                </c:pt>
                <c:pt idx="23">
                  <c:v>1.417027045773012E-2</c:v>
                </c:pt>
                <c:pt idx="24">
                  <c:v>1.2733137156929916E-2</c:v>
                </c:pt>
                <c:pt idx="25">
                  <c:v>1.3483633435329963E-2</c:v>
                </c:pt>
                <c:pt idx="26">
                  <c:v>1.4483745349230592E-2</c:v>
                </c:pt>
                <c:pt idx="27">
                  <c:v>1.465067746600179E-2</c:v>
                </c:pt>
                <c:pt idx="28">
                  <c:v>1.5585989581777406E-2</c:v>
                </c:pt>
                <c:pt idx="29">
                  <c:v>1.5367107963286478E-2</c:v>
                </c:pt>
                <c:pt idx="30">
                  <c:v>1.431722046276883E-2</c:v>
                </c:pt>
                <c:pt idx="31">
                  <c:v>1.3268417296631779E-2</c:v>
                </c:pt>
                <c:pt idx="32">
                  <c:v>1.2533447709570787E-2</c:v>
                </c:pt>
                <c:pt idx="33">
                  <c:v>1.2229206367890245E-2</c:v>
                </c:pt>
                <c:pt idx="34">
                  <c:v>1.1877153664139278E-2</c:v>
                </c:pt>
                <c:pt idx="35">
                  <c:v>1.291525195912808E-2</c:v>
                </c:pt>
                <c:pt idx="36">
                  <c:v>1.3388844171767817E-2</c:v>
                </c:pt>
                <c:pt idx="37">
                  <c:v>1.4522994966962089E-2</c:v>
                </c:pt>
                <c:pt idx="38">
                  <c:v>1.3472706298323207E-2</c:v>
                </c:pt>
                <c:pt idx="39">
                  <c:v>1.4369343326822362E-2</c:v>
                </c:pt>
                <c:pt idx="40">
                  <c:v>1.4837492170973791E-2</c:v>
                </c:pt>
                <c:pt idx="41">
                  <c:v>1.1595684375482106E-2</c:v>
                </c:pt>
                <c:pt idx="42">
                  <c:v>9.682717795266681E-3</c:v>
                </c:pt>
                <c:pt idx="43">
                  <c:v>1.0319183524385718E-2</c:v>
                </c:pt>
                <c:pt idx="44">
                  <c:v>1.2324797948444949E-2</c:v>
                </c:pt>
                <c:pt idx="45">
                  <c:v>1.3115075968789199E-2</c:v>
                </c:pt>
                <c:pt idx="46">
                  <c:v>1.4706010488566578E-2</c:v>
                </c:pt>
                <c:pt idx="47">
                  <c:v>1.694575015930392E-2</c:v>
                </c:pt>
                <c:pt idx="48">
                  <c:v>1.5254010603674284E-2</c:v>
                </c:pt>
                <c:pt idx="49">
                  <c:v>1.1532259552737286E-2</c:v>
                </c:pt>
                <c:pt idx="50">
                  <c:v>1.226554732060846E-2</c:v>
                </c:pt>
                <c:pt idx="51">
                  <c:v>1.2476473307995574E-2</c:v>
                </c:pt>
                <c:pt idx="52">
                  <c:v>1.5955934619941044E-2</c:v>
                </c:pt>
                <c:pt idx="53">
                  <c:v>1.2818892148134819E-2</c:v>
                </c:pt>
                <c:pt idx="54">
                  <c:v>1.4489605986721584E-2</c:v>
                </c:pt>
                <c:pt idx="55">
                  <c:v>1.420346419209002E-2</c:v>
                </c:pt>
              </c:numCache>
            </c:numRef>
          </c:val>
          <c:extLst xmlns:c16r2="http://schemas.microsoft.com/office/drawing/2015/06/chart">
            <c:ext xmlns:c16="http://schemas.microsoft.com/office/drawing/2014/chart" uri="{C3380CC4-5D6E-409C-BE32-E72D297353CC}">
              <c16:uniqueId val="{00000001-7AE1-48C8-A5BF-D4E01B45D47A}"/>
            </c:ext>
          </c:extLst>
        </c:ser>
        <c:ser>
          <c:idx val="3"/>
          <c:order val="2"/>
          <c:tx>
            <c:v>Interest</c:v>
          </c:tx>
          <c:spPr>
            <a:solidFill>
              <a:schemeClr val="tx2">
                <a:lumMod val="20000"/>
                <a:lumOff val="80000"/>
              </a:schemeClr>
            </a:solidFill>
            <a:ln w="25400">
              <a:noFill/>
            </a:ln>
          </c:spPr>
          <c:val>
            <c:numRef>
              <c:f>'F-B7'!$F$42:$F$97</c:f>
              <c:numCache>
                <c:formatCode>0.0%</c:formatCode>
                <c:ptCount val="56"/>
                <c:pt idx="0">
                  <c:v>1.256718359353063E-2</c:v>
                </c:pt>
                <c:pt idx="1">
                  <c:v>1.256718359353063E-2</c:v>
                </c:pt>
                <c:pt idx="2">
                  <c:v>1.256718359353063E-2</c:v>
                </c:pt>
                <c:pt idx="3">
                  <c:v>1.3591072532878831E-2</c:v>
                </c:pt>
                <c:pt idx="4">
                  <c:v>1.4614961472227029E-2</c:v>
                </c:pt>
                <c:pt idx="5">
                  <c:v>1.6189940501807769E-2</c:v>
                </c:pt>
                <c:pt idx="6">
                  <c:v>1.776491953138851E-2</c:v>
                </c:pt>
                <c:pt idx="7">
                  <c:v>1.9019902826498382E-2</c:v>
                </c:pt>
                <c:pt idx="8">
                  <c:v>1.9406515639550828E-2</c:v>
                </c:pt>
                <c:pt idx="9">
                  <c:v>2.0960302588314383E-2</c:v>
                </c:pt>
                <c:pt idx="10">
                  <c:v>2.2664555031054853E-2</c:v>
                </c:pt>
                <c:pt idx="11">
                  <c:v>2.2359784103224319E-2</c:v>
                </c:pt>
                <c:pt idx="12">
                  <c:v>2.3280021882051437E-2</c:v>
                </c:pt>
                <c:pt idx="13">
                  <c:v>2.3970227986493856E-2</c:v>
                </c:pt>
                <c:pt idx="14">
                  <c:v>2.735818659053044E-2</c:v>
                </c:pt>
                <c:pt idx="15">
                  <c:v>2.7263620996461985E-2</c:v>
                </c:pt>
                <c:pt idx="16">
                  <c:v>2.7749641524622559E-2</c:v>
                </c:pt>
                <c:pt idx="17">
                  <c:v>2.8065439403707884E-2</c:v>
                </c:pt>
                <c:pt idx="18">
                  <c:v>2.8036611667639301E-2</c:v>
                </c:pt>
                <c:pt idx="19">
                  <c:v>3.0569663147901473E-2</c:v>
                </c:pt>
                <c:pt idx="20">
                  <c:v>3.8647383666312166E-2</c:v>
                </c:pt>
                <c:pt idx="21">
                  <c:v>4.71183673079697E-2</c:v>
                </c:pt>
                <c:pt idx="22">
                  <c:v>5.0328976667574035E-2</c:v>
                </c:pt>
                <c:pt idx="23">
                  <c:v>4.5778312614201816E-2</c:v>
                </c:pt>
                <c:pt idx="24">
                  <c:v>4.7019870887165936E-2</c:v>
                </c:pt>
                <c:pt idx="25">
                  <c:v>4.5647044158124248E-2</c:v>
                </c:pt>
                <c:pt idx="26">
                  <c:v>4.0027050741311028E-2</c:v>
                </c:pt>
                <c:pt idx="27">
                  <c:v>3.7480438870261486E-2</c:v>
                </c:pt>
                <c:pt idx="28">
                  <c:v>3.8029981036671011E-2</c:v>
                </c:pt>
                <c:pt idx="29">
                  <c:v>4.1893790974333982E-2</c:v>
                </c:pt>
                <c:pt idx="30">
                  <c:v>4.0850748485128527E-2</c:v>
                </c:pt>
                <c:pt idx="31">
                  <c:v>3.6212369782355848E-2</c:v>
                </c:pt>
                <c:pt idx="32">
                  <c:v>2.6369936646085085E-2</c:v>
                </c:pt>
                <c:pt idx="33">
                  <c:v>2.0380282717336811E-2</c:v>
                </c:pt>
                <c:pt idx="34">
                  <c:v>1.8477626376190083E-2</c:v>
                </c:pt>
                <c:pt idx="35">
                  <c:v>2.1443091780861765E-2</c:v>
                </c:pt>
                <c:pt idx="36">
                  <c:v>2.1631077659764852E-2</c:v>
                </c:pt>
                <c:pt idx="37">
                  <c:v>2.1045709149639515E-2</c:v>
                </c:pt>
                <c:pt idx="38">
                  <c:v>2.0645240364304346E-2</c:v>
                </c:pt>
                <c:pt idx="39">
                  <c:v>1.9500561495597712E-2</c:v>
                </c:pt>
                <c:pt idx="40">
                  <c:v>2.0509709980353501E-2</c:v>
                </c:pt>
                <c:pt idx="41">
                  <c:v>1.959344596161159E-2</c:v>
                </c:pt>
                <c:pt idx="42">
                  <c:v>1.4288040202552098E-2</c:v>
                </c:pt>
                <c:pt idx="43">
                  <c:v>1.1670401399446077E-2</c:v>
                </c:pt>
                <c:pt idx="44">
                  <c:v>1.0783831966268104E-2</c:v>
                </c:pt>
                <c:pt idx="45">
                  <c:v>1.3097526507384171E-2</c:v>
                </c:pt>
                <c:pt idx="46">
                  <c:v>1.6746356039793048E-2</c:v>
                </c:pt>
                <c:pt idx="47">
                  <c:v>1.9536498656691992E-2</c:v>
                </c:pt>
                <c:pt idx="48">
                  <c:v>1.5847896708690058E-2</c:v>
                </c:pt>
                <c:pt idx="49">
                  <c:v>1.2162170379444651E-2</c:v>
                </c:pt>
                <c:pt idx="50">
                  <c:v>9.5971280819058084E-3</c:v>
                </c:pt>
                <c:pt idx="51">
                  <c:v>7.9351779566922721E-3</c:v>
                </c:pt>
                <c:pt idx="52">
                  <c:v>7.0741420585285469E-3</c:v>
                </c:pt>
                <c:pt idx="53">
                  <c:v>6.2314754993655005E-3</c:v>
                </c:pt>
                <c:pt idx="54">
                  <c:v>5.6126472514335911E-3</c:v>
                </c:pt>
                <c:pt idx="55">
                  <c:v>5.4791902897737927E-3</c:v>
                </c:pt>
              </c:numCache>
            </c:numRef>
          </c:val>
          <c:extLst xmlns:c16r2="http://schemas.microsoft.com/office/drawing/2015/06/chart">
            <c:ext xmlns:c16="http://schemas.microsoft.com/office/drawing/2014/chart" uri="{C3380CC4-5D6E-409C-BE32-E72D297353CC}">
              <c16:uniqueId val="{00000002-7AE1-48C8-A5BF-D4E01B45D47A}"/>
            </c:ext>
          </c:extLst>
        </c:ser>
        <c:ser>
          <c:idx val="4"/>
          <c:order val="3"/>
          <c:tx>
            <c:v>Self-empl.</c:v>
          </c:tx>
          <c:spPr>
            <a:solidFill>
              <a:schemeClr val="accent1">
                <a:lumMod val="20000"/>
                <a:lumOff val="80000"/>
              </a:schemeClr>
            </a:solidFill>
            <a:ln w="25400">
              <a:noFill/>
            </a:ln>
          </c:spPr>
          <c:val>
            <c:numRef>
              <c:f>'F-B7'!$G$42:$G$97</c:f>
              <c:numCache>
                <c:formatCode>0.0%</c:formatCode>
                <c:ptCount val="56"/>
                <c:pt idx="0">
                  <c:v>4.9994406035702224E-2</c:v>
                </c:pt>
                <c:pt idx="1">
                  <c:v>5.206412910487513E-2</c:v>
                </c:pt>
                <c:pt idx="2">
                  <c:v>5.4133852174048036E-2</c:v>
                </c:pt>
                <c:pt idx="3">
                  <c:v>6.2075023356103189E-2</c:v>
                </c:pt>
                <c:pt idx="4">
                  <c:v>7.0016194538158341E-2</c:v>
                </c:pt>
                <c:pt idx="5">
                  <c:v>5.9931137887620757E-2</c:v>
                </c:pt>
                <c:pt idx="6">
                  <c:v>4.9846081237083173E-2</c:v>
                </c:pt>
                <c:pt idx="7">
                  <c:v>4.4584219254546267E-2</c:v>
                </c:pt>
                <c:pt idx="8">
                  <c:v>4.1205110622664881E-2</c:v>
                </c:pt>
                <c:pt idx="9">
                  <c:v>4.1058907335602524E-2</c:v>
                </c:pt>
                <c:pt idx="10">
                  <c:v>3.7955204648566707E-2</c:v>
                </c:pt>
                <c:pt idx="11">
                  <c:v>3.6313763344718891E-2</c:v>
                </c:pt>
                <c:pt idx="12">
                  <c:v>3.7128858208496048E-2</c:v>
                </c:pt>
                <c:pt idx="13">
                  <c:v>3.9410087666877487E-2</c:v>
                </c:pt>
                <c:pt idx="14">
                  <c:v>2.8539111514343712E-2</c:v>
                </c:pt>
                <c:pt idx="15">
                  <c:v>3.1446155770377633E-2</c:v>
                </c:pt>
                <c:pt idx="16">
                  <c:v>3.1252566873779586E-2</c:v>
                </c:pt>
                <c:pt idx="17">
                  <c:v>2.8202288896697833E-2</c:v>
                </c:pt>
                <c:pt idx="18">
                  <c:v>2.8801162411634381E-2</c:v>
                </c:pt>
                <c:pt idx="19">
                  <c:v>2.8594341666969381E-2</c:v>
                </c:pt>
                <c:pt idx="20">
                  <c:v>2.4035157080095897E-2</c:v>
                </c:pt>
                <c:pt idx="21">
                  <c:v>1.4991128662065685E-2</c:v>
                </c:pt>
                <c:pt idx="22">
                  <c:v>1.1507163529635725E-2</c:v>
                </c:pt>
                <c:pt idx="23">
                  <c:v>1.314005964505038E-2</c:v>
                </c:pt>
                <c:pt idx="24">
                  <c:v>8.8945787080256505E-3</c:v>
                </c:pt>
                <c:pt idx="25">
                  <c:v>1.3531641068089403E-2</c:v>
                </c:pt>
                <c:pt idx="26">
                  <c:v>1.5467904757017367E-2</c:v>
                </c:pt>
                <c:pt idx="27">
                  <c:v>1.9968399582957562E-2</c:v>
                </c:pt>
                <c:pt idx="28">
                  <c:v>2.4470621972704654E-2</c:v>
                </c:pt>
                <c:pt idx="29">
                  <c:v>2.4690645658838335E-2</c:v>
                </c:pt>
                <c:pt idx="30">
                  <c:v>2.4809628314352114E-2</c:v>
                </c:pt>
                <c:pt idx="31">
                  <c:v>2.2356854739725315E-2</c:v>
                </c:pt>
                <c:pt idx="32">
                  <c:v>2.4861425123929397E-2</c:v>
                </c:pt>
                <c:pt idx="33">
                  <c:v>2.262245452881945E-2</c:v>
                </c:pt>
                <c:pt idx="34">
                  <c:v>2.2749530926318821E-2</c:v>
                </c:pt>
                <c:pt idx="35">
                  <c:v>2.2052807285617024E-2</c:v>
                </c:pt>
                <c:pt idx="36">
                  <c:v>2.3053517265084426E-2</c:v>
                </c:pt>
                <c:pt idx="37">
                  <c:v>2.2882408088548314E-2</c:v>
                </c:pt>
                <c:pt idx="38">
                  <c:v>2.4338046620748718E-2</c:v>
                </c:pt>
                <c:pt idx="39">
                  <c:v>2.8673257447476674E-2</c:v>
                </c:pt>
                <c:pt idx="40">
                  <c:v>2.7310809084446986E-2</c:v>
                </c:pt>
                <c:pt idx="41">
                  <c:v>2.3342237765354351E-2</c:v>
                </c:pt>
                <c:pt idx="42">
                  <c:v>2.2177340489322132E-2</c:v>
                </c:pt>
                <c:pt idx="43">
                  <c:v>2.2253078025620963E-2</c:v>
                </c:pt>
                <c:pt idx="44">
                  <c:v>2.2061072335017671E-2</c:v>
                </c:pt>
                <c:pt idx="45">
                  <c:v>2.3101094128845243E-2</c:v>
                </c:pt>
                <c:pt idx="46">
                  <c:v>2.2603286732365089E-2</c:v>
                </c:pt>
                <c:pt idx="47">
                  <c:v>2.2391119592815034E-2</c:v>
                </c:pt>
                <c:pt idx="48">
                  <c:v>1.8942436110996389E-2</c:v>
                </c:pt>
                <c:pt idx="49">
                  <c:v>1.4358249187899089E-2</c:v>
                </c:pt>
                <c:pt idx="50">
                  <c:v>1.4823425554170698E-2</c:v>
                </c:pt>
                <c:pt idx="51">
                  <c:v>1.4843416479879678E-2</c:v>
                </c:pt>
                <c:pt idx="52">
                  <c:v>1.6119642736298342E-2</c:v>
                </c:pt>
                <c:pt idx="53">
                  <c:v>1.6431378707461884E-2</c:v>
                </c:pt>
                <c:pt idx="54">
                  <c:v>1.7790334640760287E-2</c:v>
                </c:pt>
                <c:pt idx="55">
                  <c:v>1.7166386633566781E-2</c:v>
                </c:pt>
              </c:numCache>
            </c:numRef>
          </c:val>
          <c:extLst xmlns:c16r2="http://schemas.microsoft.com/office/drawing/2015/06/chart">
            <c:ext xmlns:c16="http://schemas.microsoft.com/office/drawing/2014/chart" uri="{C3380CC4-5D6E-409C-BE32-E72D297353CC}">
              <c16:uniqueId val="{00000003-7AE1-48C8-A5BF-D4E01B45D47A}"/>
            </c:ext>
          </c:extLst>
        </c:ser>
        <c:ser>
          <c:idx val="15"/>
          <c:order val="4"/>
          <c:tx>
            <c:v>Partn. &amp; S Corp.</c:v>
          </c:tx>
          <c:spPr>
            <a:solidFill>
              <a:schemeClr val="accent1">
                <a:lumMod val="60000"/>
                <a:lumOff val="40000"/>
              </a:schemeClr>
            </a:solidFill>
            <a:ln w="25400">
              <a:noFill/>
            </a:ln>
          </c:spPr>
          <c:val>
            <c:numRef>
              <c:f>'F-B7'!$H$42:$H$97</c:f>
              <c:numCache>
                <c:formatCode>0.0%</c:formatCode>
                <c:ptCount val="56"/>
                <c:pt idx="0">
                  <c:v>1.6869707829659925E-2</c:v>
                </c:pt>
                <c:pt idx="1">
                  <c:v>1.6869707829659925E-2</c:v>
                </c:pt>
                <c:pt idx="2">
                  <c:v>1.6869707829659925E-2</c:v>
                </c:pt>
                <c:pt idx="3">
                  <c:v>1.3780797166854609E-2</c:v>
                </c:pt>
                <c:pt idx="4">
                  <c:v>1.0691886504049293E-2</c:v>
                </c:pt>
                <c:pt idx="5">
                  <c:v>1.3539944777471131E-2</c:v>
                </c:pt>
                <c:pt idx="6">
                  <c:v>1.6388003050892969E-2</c:v>
                </c:pt>
                <c:pt idx="7">
                  <c:v>1.6838757450013911E-2</c:v>
                </c:pt>
                <c:pt idx="8">
                  <c:v>1.5408603715498043E-2</c:v>
                </c:pt>
                <c:pt idx="9">
                  <c:v>1.4732152252645824E-2</c:v>
                </c:pt>
                <c:pt idx="10">
                  <c:v>1.2167283398381181E-2</c:v>
                </c:pt>
                <c:pt idx="11">
                  <c:v>1.1164626284844142E-2</c:v>
                </c:pt>
                <c:pt idx="12">
                  <c:v>1.1454691408897997E-2</c:v>
                </c:pt>
                <c:pt idx="13">
                  <c:v>9.5309313916164713E-3</c:v>
                </c:pt>
                <c:pt idx="14">
                  <c:v>9.5561114419910678E-3</c:v>
                </c:pt>
                <c:pt idx="15">
                  <c:v>7.7985790479339571E-3</c:v>
                </c:pt>
                <c:pt idx="16">
                  <c:v>7.5724954194009431E-3</c:v>
                </c:pt>
                <c:pt idx="17">
                  <c:v>7.6972503236578636E-3</c:v>
                </c:pt>
                <c:pt idx="18">
                  <c:v>7.7676249946947223E-3</c:v>
                </c:pt>
                <c:pt idx="19">
                  <c:v>5.9381216442628967E-3</c:v>
                </c:pt>
                <c:pt idx="20">
                  <c:v>3.7465967144311085E-3</c:v>
                </c:pt>
                <c:pt idx="21">
                  <c:v>-3.0676135019996892E-4</c:v>
                </c:pt>
                <c:pt idx="22">
                  <c:v>-2.8399091028298649E-4</c:v>
                </c:pt>
                <c:pt idx="23">
                  <c:v>-1.5670288939494603E-4</c:v>
                </c:pt>
                <c:pt idx="24">
                  <c:v>-5.9590184045398193E-4</c:v>
                </c:pt>
                <c:pt idx="25">
                  <c:v>-6.4889200563858029E-4</c:v>
                </c:pt>
                <c:pt idx="26">
                  <c:v>-1.3696593764760236E-3</c:v>
                </c:pt>
                <c:pt idx="27">
                  <c:v>5.3357425172606745E-3</c:v>
                </c:pt>
                <c:pt idx="28">
                  <c:v>1.1504687544692695E-2</c:v>
                </c:pt>
                <c:pt idx="29">
                  <c:v>1.1924403783813944E-2</c:v>
                </c:pt>
                <c:pt idx="30">
                  <c:v>1.1969434582547903E-2</c:v>
                </c:pt>
                <c:pt idx="31">
                  <c:v>1.0848701435046933E-2</c:v>
                </c:pt>
                <c:pt idx="32">
                  <c:v>1.4097728206413052E-2</c:v>
                </c:pt>
                <c:pt idx="33">
                  <c:v>1.424460340168794E-2</c:v>
                </c:pt>
                <c:pt idx="34">
                  <c:v>1.648555226724133E-2</c:v>
                </c:pt>
                <c:pt idx="35">
                  <c:v>1.7169980178315811E-2</c:v>
                </c:pt>
                <c:pt idx="36">
                  <c:v>1.8850047022758665E-2</c:v>
                </c:pt>
                <c:pt idx="37">
                  <c:v>2.0287734401031283E-2</c:v>
                </c:pt>
                <c:pt idx="38">
                  <c:v>2.1306215512838803E-2</c:v>
                </c:pt>
                <c:pt idx="39">
                  <c:v>2.2786957168333382E-2</c:v>
                </c:pt>
                <c:pt idx="40">
                  <c:v>2.1506773786038356E-2</c:v>
                </c:pt>
                <c:pt idx="41">
                  <c:v>2.1839630923608338E-2</c:v>
                </c:pt>
                <c:pt idx="42">
                  <c:v>2.2320569094854768E-2</c:v>
                </c:pt>
                <c:pt idx="43">
                  <c:v>2.2750890061428306E-2</c:v>
                </c:pt>
                <c:pt idx="44">
                  <c:v>2.6523037403632047E-2</c:v>
                </c:pt>
                <c:pt idx="45">
                  <c:v>3.1694995477817206E-2</c:v>
                </c:pt>
                <c:pt idx="46">
                  <c:v>3.1383201924249475E-2</c:v>
                </c:pt>
                <c:pt idx="47">
                  <c:v>2.9684896034381243E-2</c:v>
                </c:pt>
                <c:pt idx="48">
                  <c:v>2.5554540278078353E-2</c:v>
                </c:pt>
                <c:pt idx="49">
                  <c:v>2.4310367516287196E-2</c:v>
                </c:pt>
                <c:pt idx="50">
                  <c:v>2.6364092523744987E-2</c:v>
                </c:pt>
                <c:pt idx="51">
                  <c:v>2.7280894781574756E-2</c:v>
                </c:pt>
                <c:pt idx="52">
                  <c:v>3.2785340326402276E-2</c:v>
                </c:pt>
                <c:pt idx="53">
                  <c:v>3.171592422873324E-2</c:v>
                </c:pt>
                <c:pt idx="54">
                  <c:v>3.3213335074574968E-2</c:v>
                </c:pt>
                <c:pt idx="55">
                  <c:v>3.4329559490974881E-2</c:v>
                </c:pt>
              </c:numCache>
            </c:numRef>
          </c:val>
          <c:extLst xmlns:c16r2="http://schemas.microsoft.com/office/drawing/2015/06/chart">
            <c:ext xmlns:c16="http://schemas.microsoft.com/office/drawing/2014/chart" uri="{C3380CC4-5D6E-409C-BE32-E72D297353CC}">
              <c16:uniqueId val="{00000004-7AE1-48C8-A5BF-D4E01B45D47A}"/>
            </c:ext>
          </c:extLst>
        </c:ser>
        <c:ser>
          <c:idx val="5"/>
          <c:order val="5"/>
          <c:tx>
            <c:v>Retirement</c:v>
          </c:tx>
          <c:spPr>
            <a:solidFill>
              <a:schemeClr val="accent1">
                <a:lumMod val="75000"/>
              </a:schemeClr>
            </a:solidFill>
            <a:ln w="25400">
              <a:noFill/>
            </a:ln>
          </c:spPr>
          <c:val>
            <c:numRef>
              <c:f>'F-B7'!$I$42:$I$97</c:f>
              <c:numCache>
                <c:formatCode>0.0%</c:formatCode>
                <c:ptCount val="56"/>
                <c:pt idx="0">
                  <c:v>4.4783352188653737E-3</c:v>
                </c:pt>
                <c:pt idx="1">
                  <c:v>4.2596185172896553E-3</c:v>
                </c:pt>
                <c:pt idx="2">
                  <c:v>4.0409018157139378E-3</c:v>
                </c:pt>
                <c:pt idx="3">
                  <c:v>4.3499435258872853E-3</c:v>
                </c:pt>
                <c:pt idx="4">
                  <c:v>4.6589852360606329E-3</c:v>
                </c:pt>
                <c:pt idx="5">
                  <c:v>5.4774590218892305E-3</c:v>
                </c:pt>
                <c:pt idx="6">
                  <c:v>6.295932807717829E-3</c:v>
                </c:pt>
                <c:pt idx="7">
                  <c:v>6.3959506470173252E-3</c:v>
                </c:pt>
                <c:pt idx="8">
                  <c:v>8.7478151615730734E-3</c:v>
                </c:pt>
                <c:pt idx="9">
                  <c:v>8.8678333543867286E-3</c:v>
                </c:pt>
                <c:pt idx="10">
                  <c:v>9.3027365200013829E-3</c:v>
                </c:pt>
                <c:pt idx="11">
                  <c:v>1.0097896991806909E-2</c:v>
                </c:pt>
                <c:pt idx="12">
                  <c:v>1.0694351929182755E-2</c:v>
                </c:pt>
                <c:pt idx="13">
                  <c:v>1.1484083866372081E-2</c:v>
                </c:pt>
                <c:pt idx="14">
                  <c:v>1.3105007326282999E-2</c:v>
                </c:pt>
                <c:pt idx="15">
                  <c:v>1.4817991571786952E-2</c:v>
                </c:pt>
                <c:pt idx="16">
                  <c:v>1.5062733439257117E-2</c:v>
                </c:pt>
                <c:pt idx="17">
                  <c:v>1.6914305703950784E-2</c:v>
                </c:pt>
                <c:pt idx="18">
                  <c:v>1.6561651356378843E-2</c:v>
                </c:pt>
                <c:pt idx="19">
                  <c:v>1.51023945591932E-2</c:v>
                </c:pt>
                <c:pt idx="20">
                  <c:v>1.6080197330903306E-2</c:v>
                </c:pt>
                <c:pt idx="21">
                  <c:v>1.7145071899506099E-2</c:v>
                </c:pt>
                <c:pt idx="22">
                  <c:v>1.9839357793427163E-2</c:v>
                </c:pt>
                <c:pt idx="23">
                  <c:v>2.1409381733696949E-2</c:v>
                </c:pt>
                <c:pt idx="24">
                  <c:v>2.4839984636312127E-2</c:v>
                </c:pt>
                <c:pt idx="25">
                  <c:v>2.3296729894098079E-2</c:v>
                </c:pt>
                <c:pt idx="26">
                  <c:v>2.5225284751442915E-2</c:v>
                </c:pt>
                <c:pt idx="27">
                  <c:v>2.7360096905908127E-2</c:v>
                </c:pt>
                <c:pt idx="28">
                  <c:v>3.021357120372661E-2</c:v>
                </c:pt>
                <c:pt idx="29">
                  <c:v>3.0473221144157809E-2</c:v>
                </c:pt>
                <c:pt idx="30">
                  <c:v>3.1583258540133642E-2</c:v>
                </c:pt>
                <c:pt idx="31">
                  <c:v>3.3843621415385362E-2</c:v>
                </c:pt>
                <c:pt idx="32">
                  <c:v>3.4220771898783649E-2</c:v>
                </c:pt>
                <c:pt idx="33">
                  <c:v>3.3912690430571941E-2</c:v>
                </c:pt>
                <c:pt idx="34">
                  <c:v>3.4377362915176971E-2</c:v>
                </c:pt>
                <c:pt idx="35">
                  <c:v>3.5275474427793808E-2</c:v>
                </c:pt>
                <c:pt idx="36">
                  <c:v>3.6513491858618026E-2</c:v>
                </c:pt>
                <c:pt idx="37">
                  <c:v>3.795553604001619E-2</c:v>
                </c:pt>
                <c:pt idx="38">
                  <c:v>4.0338927034574541E-2</c:v>
                </c:pt>
                <c:pt idx="39">
                  <c:v>4.2439355821459988E-2</c:v>
                </c:pt>
                <c:pt idx="40">
                  <c:v>4.2870898744470295E-2</c:v>
                </c:pt>
                <c:pt idx="41">
                  <c:v>4.2014417972829066E-2</c:v>
                </c:pt>
                <c:pt idx="42">
                  <c:v>4.1835492059244153E-2</c:v>
                </c:pt>
                <c:pt idx="43">
                  <c:v>4.1340140735441289E-2</c:v>
                </c:pt>
                <c:pt idx="44">
                  <c:v>4.1627923887129041E-2</c:v>
                </c:pt>
                <c:pt idx="45">
                  <c:v>4.1945112382448524E-2</c:v>
                </c:pt>
                <c:pt idx="46">
                  <c:v>4.2442391999473209E-2</c:v>
                </c:pt>
                <c:pt idx="47">
                  <c:v>4.5712983143284175E-2</c:v>
                </c:pt>
                <c:pt idx="48">
                  <c:v>4.6496489952086877E-2</c:v>
                </c:pt>
                <c:pt idx="49">
                  <c:v>4.6462955447365908E-2</c:v>
                </c:pt>
                <c:pt idx="50">
                  <c:v>5.0315440789900717E-2</c:v>
                </c:pt>
                <c:pt idx="51">
                  <c:v>5.1194033837649838E-2</c:v>
                </c:pt>
                <c:pt idx="52">
                  <c:v>5.1671881120634873E-2</c:v>
                </c:pt>
                <c:pt idx="53">
                  <c:v>5.0844913827481297E-2</c:v>
                </c:pt>
                <c:pt idx="54">
                  <c:v>5.112655810015837E-2</c:v>
                </c:pt>
                <c:pt idx="55">
                  <c:v>5.1547829625067175E-2</c:v>
                </c:pt>
              </c:numCache>
            </c:numRef>
          </c:val>
          <c:extLst xmlns:c16r2="http://schemas.microsoft.com/office/drawing/2015/06/chart">
            <c:ext xmlns:c16="http://schemas.microsoft.com/office/drawing/2014/chart" uri="{C3380CC4-5D6E-409C-BE32-E72D297353CC}">
              <c16:uniqueId val="{00000005-7AE1-48C8-A5BF-D4E01B45D47A}"/>
            </c:ext>
          </c:extLst>
        </c:ser>
        <c:ser>
          <c:idx val="2"/>
          <c:order val="6"/>
          <c:tx>
            <c:v>Wages &amp; Salaries</c:v>
          </c:tx>
          <c:spPr>
            <a:solidFill>
              <a:schemeClr val="accent1">
                <a:lumMod val="20000"/>
                <a:lumOff val="80000"/>
              </a:schemeClr>
            </a:solidFill>
            <a:ln w="19050">
              <a:noFill/>
            </a:ln>
          </c:spPr>
          <c:dPt>
            <c:idx val="1"/>
            <c:bubble3D val="0"/>
            <c:extLst xmlns:c16r2="http://schemas.microsoft.com/office/drawing/2015/06/chart">
              <c:ext xmlns:c16="http://schemas.microsoft.com/office/drawing/2014/chart" uri="{C3380CC4-5D6E-409C-BE32-E72D297353CC}">
                <c16:uniqueId val="{00000006-7AE1-48C8-A5BF-D4E01B45D47A}"/>
              </c:ext>
            </c:extLst>
          </c:dPt>
          <c:dPt>
            <c:idx val="3"/>
            <c:bubble3D val="0"/>
            <c:extLst xmlns:c16r2="http://schemas.microsoft.com/office/drawing/2015/06/chart">
              <c:ext xmlns:c16="http://schemas.microsoft.com/office/drawing/2014/chart" uri="{C3380CC4-5D6E-409C-BE32-E72D297353CC}">
                <c16:uniqueId val="{00000007-7AE1-48C8-A5BF-D4E01B45D47A}"/>
              </c:ext>
            </c:extLst>
          </c:dPt>
          <c:dPt>
            <c:idx val="5"/>
            <c:bubble3D val="0"/>
            <c:extLst xmlns:c16r2="http://schemas.microsoft.com/office/drawing/2015/06/chart">
              <c:ext xmlns:c16="http://schemas.microsoft.com/office/drawing/2014/chart" uri="{C3380CC4-5D6E-409C-BE32-E72D297353CC}">
                <c16:uniqueId val="{00000008-7AE1-48C8-A5BF-D4E01B45D47A}"/>
              </c:ext>
            </c:extLst>
          </c:dPt>
          <c:cat>
            <c:numRef>
              <c:f>'F-B7'!$A$103:$A$158</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'F-B7'!$C$42:$C$97</c:f>
              <c:numCache>
                <c:formatCode>0.0%</c:formatCode>
                <c:ptCount val="56"/>
                <c:pt idx="0">
                  <c:v>0.51018395171395292</c:v>
                </c:pt>
                <c:pt idx="1">
                  <c:v>0.50520375112990767</c:v>
                </c:pt>
                <c:pt idx="2">
                  <c:v>0.50022355054586243</c:v>
                </c:pt>
                <c:pt idx="3">
                  <c:v>0.49721778632738267</c:v>
                </c:pt>
                <c:pt idx="4">
                  <c:v>0.49421202210890292</c:v>
                </c:pt>
                <c:pt idx="5">
                  <c:v>0.49808711990646798</c:v>
                </c:pt>
                <c:pt idx="6">
                  <c:v>0.50196221770403304</c:v>
                </c:pt>
                <c:pt idx="7">
                  <c:v>0.51079012746856134</c:v>
                </c:pt>
                <c:pt idx="8">
                  <c:v>0.51058770146563848</c:v>
                </c:pt>
                <c:pt idx="9">
                  <c:v>0.51917531482387003</c:v>
                </c:pt>
                <c:pt idx="10">
                  <c:v>0.52621160670426581</c:v>
                </c:pt>
                <c:pt idx="11">
                  <c:v>0.5132861824420718</c:v>
                </c:pt>
                <c:pt idx="12">
                  <c:v>0.51062168460588109</c:v>
                </c:pt>
                <c:pt idx="13">
                  <c:v>0.50384588054199031</c:v>
                </c:pt>
                <c:pt idx="14">
                  <c:v>0.51429598001791943</c:v>
                </c:pt>
                <c:pt idx="15">
                  <c:v>0.49273626268858334</c:v>
                </c:pt>
                <c:pt idx="16">
                  <c:v>0.49208045999893851</c:v>
                </c:pt>
                <c:pt idx="17">
                  <c:v>0.48814066877383644</c:v>
                </c:pt>
                <c:pt idx="18">
                  <c:v>0.48871442234031082</c:v>
                </c:pt>
                <c:pt idx="19">
                  <c:v>0.49704754247402128</c:v>
                </c:pt>
                <c:pt idx="20">
                  <c:v>0.50081308208518305</c:v>
                </c:pt>
                <c:pt idx="21">
                  <c:v>0.49104590172001072</c:v>
                </c:pt>
                <c:pt idx="22">
                  <c:v>0.49216579275945321</c:v>
                </c:pt>
                <c:pt idx="23">
                  <c:v>0.47991334776562056</c:v>
                </c:pt>
                <c:pt idx="24">
                  <c:v>0.47309990081789899</c:v>
                </c:pt>
                <c:pt idx="25">
                  <c:v>0.47241010227837227</c:v>
                </c:pt>
                <c:pt idx="26">
                  <c:v>0.47637224015077745</c:v>
                </c:pt>
                <c:pt idx="27">
                  <c:v>0.47454598818779203</c:v>
                </c:pt>
                <c:pt idx="28">
                  <c:v>0.47122312297829211</c:v>
                </c:pt>
                <c:pt idx="29">
                  <c:v>0.4629592313226249</c:v>
                </c:pt>
                <c:pt idx="30">
                  <c:v>0.46422453415620407</c:v>
                </c:pt>
                <c:pt idx="31">
                  <c:v>0.45912451998382564</c:v>
                </c:pt>
                <c:pt idx="32">
                  <c:v>0.44983286940747946</c:v>
                </c:pt>
                <c:pt idx="33">
                  <c:v>0.44360898604836402</c:v>
                </c:pt>
                <c:pt idx="34">
                  <c:v>0.43622619382193228</c:v>
                </c:pt>
                <c:pt idx="35">
                  <c:v>0.43709279899790504</c:v>
                </c:pt>
                <c:pt idx="36">
                  <c:v>0.43366255183762015</c:v>
                </c:pt>
                <c:pt idx="37">
                  <c:v>0.43556566353090981</c:v>
                </c:pt>
                <c:pt idx="38">
                  <c:v>0.44117206271105797</c:v>
                </c:pt>
                <c:pt idx="39">
                  <c:v>0.44722500665745413</c:v>
                </c:pt>
                <c:pt idx="40">
                  <c:v>0.44969919389630636</c:v>
                </c:pt>
                <c:pt idx="41">
                  <c:v>0.44285320903173714</c:v>
                </c:pt>
                <c:pt idx="42">
                  <c:v>0.42759702673867034</c:v>
                </c:pt>
                <c:pt idx="43">
                  <c:v>0.41671263057371111</c:v>
                </c:pt>
                <c:pt idx="44">
                  <c:v>0.41309831165289851</c:v>
                </c:pt>
                <c:pt idx="45">
                  <c:v>0.40610370510858096</c:v>
                </c:pt>
                <c:pt idx="46">
                  <c:v>0.40355948356862925</c:v>
                </c:pt>
                <c:pt idx="47">
                  <c:v>0.41823007612845564</c:v>
                </c:pt>
                <c:pt idx="48">
                  <c:v>0.41389906270011401</c:v>
                </c:pt>
                <c:pt idx="49">
                  <c:v>0.40267668450333471</c:v>
                </c:pt>
                <c:pt idx="50">
                  <c:v>0.39011313985063051</c:v>
                </c:pt>
                <c:pt idx="51">
                  <c:v>0.3882139025231755</c:v>
                </c:pt>
                <c:pt idx="52">
                  <c:v>0.3861069402249816</c:v>
                </c:pt>
                <c:pt idx="53">
                  <c:v>0.38625435504198252</c:v>
                </c:pt>
                <c:pt idx="54">
                  <c:v>0.38582587664192114</c:v>
                </c:pt>
                <c:pt idx="55">
                  <c:v>0.38856136862896007</c:v>
                </c:pt>
              </c:numCache>
            </c:numRef>
          </c:val>
          <c:extLst xmlns:c16r2="http://schemas.microsoft.com/office/drawing/2015/06/chart">
            <c:ext xmlns:c16="http://schemas.microsoft.com/office/drawing/2014/chart" uri="{C3380CC4-5D6E-409C-BE32-E72D297353CC}">
              <c16:uniqueId val="{00000009-7AE1-48C8-A5BF-D4E01B45D47A}"/>
            </c:ext>
          </c:extLst>
        </c:ser>
        <c:ser>
          <c:idx val="6"/>
          <c:order val="7"/>
          <c:tx>
            <c:v>Adjustments</c:v>
          </c:tx>
          <c:spPr>
            <a:solidFill>
              <a:schemeClr val="accent3">
                <a:lumMod val="60000"/>
                <a:lumOff val="40000"/>
              </a:schemeClr>
            </a:solidFill>
            <a:ln w="25400">
              <a:noFill/>
            </a:ln>
          </c:spPr>
          <c:val>
            <c:numRef>
              <c:f>'F-B7'!$J$42:$J$97</c:f>
              <c:numCache>
                <c:formatCode>0.0%</c:formatCode>
                <c:ptCount val="56"/>
                <c:pt idx="0">
                  <c:v>1.9503502018935238E-2</c:v>
                </c:pt>
                <c:pt idx="1">
                  <c:v>2.0222558819046249E-2</c:v>
                </c:pt>
                <c:pt idx="2">
                  <c:v>2.0941615619157257E-2</c:v>
                </c:pt>
                <c:pt idx="3">
                  <c:v>2.1034395267452877E-2</c:v>
                </c:pt>
                <c:pt idx="4">
                  <c:v>2.1127174915748496E-2</c:v>
                </c:pt>
                <c:pt idx="5">
                  <c:v>2.2637015499585779E-2</c:v>
                </c:pt>
                <c:pt idx="6">
                  <c:v>2.4146856083423065E-2</c:v>
                </c:pt>
                <c:pt idx="7">
                  <c:v>2.3626707829355824E-2</c:v>
                </c:pt>
                <c:pt idx="8">
                  <c:v>2.4056724682083301E-2</c:v>
                </c:pt>
                <c:pt idx="9">
                  <c:v>2.3760224520325557E-2</c:v>
                </c:pt>
                <c:pt idx="10">
                  <c:v>2.2332949791479238E-2</c:v>
                </c:pt>
                <c:pt idx="11">
                  <c:v>2.1934473364743811E-2</c:v>
                </c:pt>
                <c:pt idx="12">
                  <c:v>2.2066447964930874E-2</c:v>
                </c:pt>
                <c:pt idx="13">
                  <c:v>2.4050580541686625E-2</c:v>
                </c:pt>
                <c:pt idx="14">
                  <c:v>2.4236526886581952E-2</c:v>
                </c:pt>
                <c:pt idx="15">
                  <c:v>2.307075182443374E-2</c:v>
                </c:pt>
                <c:pt idx="16">
                  <c:v>2.3076564583906178E-2</c:v>
                </c:pt>
                <c:pt idx="17">
                  <c:v>2.0943834657628516E-2</c:v>
                </c:pt>
                <c:pt idx="18">
                  <c:v>2.138591083174373E-2</c:v>
                </c:pt>
                <c:pt idx="19">
                  <c:v>2.110848952381348E-2</c:v>
                </c:pt>
                <c:pt idx="20">
                  <c:v>2.1232033187573236E-2</c:v>
                </c:pt>
                <c:pt idx="21">
                  <c:v>2.1571670396963925E-2</c:v>
                </c:pt>
                <c:pt idx="22">
                  <c:v>1.3516335772165364E-2</c:v>
                </c:pt>
                <c:pt idx="23">
                  <c:v>1.3618331497196635E-2</c:v>
                </c:pt>
                <c:pt idx="24">
                  <c:v>1.419943562488497E-2</c:v>
                </c:pt>
                <c:pt idx="25">
                  <c:v>1.416695098908873E-2</c:v>
                </c:pt>
                <c:pt idx="26">
                  <c:v>1.5697681997445249E-2</c:v>
                </c:pt>
                <c:pt idx="27">
                  <c:v>1.6871815241597574E-2</c:v>
                </c:pt>
                <c:pt idx="28">
                  <c:v>1.7859370370762743E-2</c:v>
                </c:pt>
                <c:pt idx="29">
                  <c:v>1.9773201901345194E-2</c:v>
                </c:pt>
                <c:pt idx="30">
                  <c:v>1.9796330228430279E-2</c:v>
                </c:pt>
                <c:pt idx="31">
                  <c:v>2.0044805748870412E-2</c:v>
                </c:pt>
                <c:pt idx="32">
                  <c:v>1.9519565173671278E-2</c:v>
                </c:pt>
                <c:pt idx="33">
                  <c:v>1.8866416584898269E-2</c:v>
                </c:pt>
                <c:pt idx="34">
                  <c:v>1.8835483110342745E-2</c:v>
                </c:pt>
                <c:pt idx="35">
                  <c:v>2.0150734658974847E-2</c:v>
                </c:pt>
                <c:pt idx="36">
                  <c:v>1.922430502568194E-2</c:v>
                </c:pt>
                <c:pt idx="37">
                  <c:v>1.9036524490359912E-2</c:v>
                </c:pt>
                <c:pt idx="38">
                  <c:v>1.8176695411840457E-2</c:v>
                </c:pt>
                <c:pt idx="39">
                  <c:v>1.7062464601775573E-2</c:v>
                </c:pt>
                <c:pt idx="40">
                  <c:v>1.572590570638532E-2</c:v>
                </c:pt>
                <c:pt idx="41">
                  <c:v>1.5565345200883053E-2</c:v>
                </c:pt>
                <c:pt idx="42">
                  <c:v>1.2708983219378195E-2</c:v>
                </c:pt>
                <c:pt idx="43">
                  <c:v>1.2251435171119615E-2</c:v>
                </c:pt>
                <c:pt idx="44">
                  <c:v>1.2307612047313201E-2</c:v>
                </c:pt>
                <c:pt idx="45">
                  <c:v>1.1925593828005124E-2</c:v>
                </c:pt>
                <c:pt idx="46">
                  <c:v>1.2775096552440513E-2</c:v>
                </c:pt>
                <c:pt idx="47">
                  <c:v>1.285886138490764E-2</c:v>
                </c:pt>
                <c:pt idx="48">
                  <c:v>1.3384633091351253E-2</c:v>
                </c:pt>
                <c:pt idx="49">
                  <c:v>1.3380756719164928E-2</c:v>
                </c:pt>
                <c:pt idx="50">
                  <c:v>1.4503748595210938E-2</c:v>
                </c:pt>
                <c:pt idx="51">
                  <c:v>1.5378459658288282E-2</c:v>
                </c:pt>
                <c:pt idx="52">
                  <c:v>1.5798225570687649E-2</c:v>
                </c:pt>
                <c:pt idx="53">
                  <c:v>1.4099344364675703E-2</c:v>
                </c:pt>
                <c:pt idx="54">
                  <c:v>1.2441926526084125E-2</c:v>
                </c:pt>
                <c:pt idx="55">
                  <c:v>1.1788352050756918E-2</c:v>
                </c:pt>
              </c:numCache>
            </c:numRef>
          </c:val>
          <c:extLst xmlns:c16r2="http://schemas.microsoft.com/office/drawing/2015/06/chart">
            <c:ext xmlns:c16="http://schemas.microsoft.com/office/drawing/2014/chart" uri="{C3380CC4-5D6E-409C-BE32-E72D297353CC}">
              <c16:uniqueId val="{0000000A-7AE1-48C8-A5BF-D4E01B45D47A}"/>
            </c:ext>
          </c:extLst>
        </c:ser>
        <c:ser>
          <c:idx val="7"/>
          <c:order val="8"/>
          <c:tx>
            <c:v>Retained Earn.</c:v>
          </c:tx>
          <c:spPr>
            <a:solidFill>
              <a:schemeClr val="accent3">
                <a:lumMod val="75000"/>
              </a:schemeClr>
            </a:solidFill>
            <a:ln w="25400">
              <a:noFill/>
            </a:ln>
          </c:spPr>
          <c:val>
            <c:numRef>
              <c:f>'F-B7'!$P$42:$P$97</c:f>
              <c:numCache>
                <c:formatCode>0.0%</c:formatCode>
                <c:ptCount val="56"/>
                <c:pt idx="0">
                  <c:v>3.6748918518075796E-2</c:v>
                </c:pt>
                <c:pt idx="1">
                  <c:v>4.0466334289233297E-2</c:v>
                </c:pt>
                <c:pt idx="2">
                  <c:v>4.418375006039079E-2</c:v>
                </c:pt>
                <c:pt idx="3">
                  <c:v>4.6604222342547338E-2</c:v>
                </c:pt>
                <c:pt idx="4">
                  <c:v>4.9024694624703886E-2</c:v>
                </c:pt>
                <c:pt idx="5">
                  <c:v>5.1974582478028997E-2</c:v>
                </c:pt>
                <c:pt idx="6">
                  <c:v>5.49244703313541E-2</c:v>
                </c:pt>
                <c:pt idx="7">
                  <c:v>4.8996080358659572E-2</c:v>
                </c:pt>
                <c:pt idx="8">
                  <c:v>4.3620310333092382E-2</c:v>
                </c:pt>
                <c:pt idx="9">
                  <c:v>3.5715046592098967E-2</c:v>
                </c:pt>
                <c:pt idx="10">
                  <c:v>2.6889866323284089E-2</c:v>
                </c:pt>
                <c:pt idx="11">
                  <c:v>3.4015170095458125E-2</c:v>
                </c:pt>
                <c:pt idx="12">
                  <c:v>3.9489416862957767E-2</c:v>
                </c:pt>
                <c:pt idx="13">
                  <c:v>3.9228533145111114E-2</c:v>
                </c:pt>
                <c:pt idx="14">
                  <c:v>2.6869999769587094E-2</c:v>
                </c:pt>
                <c:pt idx="15">
                  <c:v>3.3648117416453127E-2</c:v>
                </c:pt>
                <c:pt idx="16">
                  <c:v>3.91185664632029E-2</c:v>
                </c:pt>
                <c:pt idx="17">
                  <c:v>4.3594089285375982E-2</c:v>
                </c:pt>
                <c:pt idx="18">
                  <c:v>4.6133061044691406E-2</c:v>
                </c:pt>
                <c:pt idx="19">
                  <c:v>4.1024473281169746E-2</c:v>
                </c:pt>
                <c:pt idx="20">
                  <c:v>2.6825058478335304E-2</c:v>
                </c:pt>
                <c:pt idx="21">
                  <c:v>2.9541476740891623E-2</c:v>
                </c:pt>
                <c:pt idx="22">
                  <c:v>2.6933176380032554E-2</c:v>
                </c:pt>
                <c:pt idx="23">
                  <c:v>3.3750364679394913E-2</c:v>
                </c:pt>
                <c:pt idx="24">
                  <c:v>3.9150149012749595E-2</c:v>
                </c:pt>
                <c:pt idx="25">
                  <c:v>3.8595809562409905E-2</c:v>
                </c:pt>
                <c:pt idx="26">
                  <c:v>2.5407807514760176E-2</c:v>
                </c:pt>
                <c:pt idx="27">
                  <c:v>2.7025891363568186E-2</c:v>
                </c:pt>
                <c:pt idx="28">
                  <c:v>2.8888583397197475E-2</c:v>
                </c:pt>
                <c:pt idx="29">
                  <c:v>2.0827619863658088E-2</c:v>
                </c:pt>
                <c:pt idx="30">
                  <c:v>1.8335020461704335E-2</c:v>
                </c:pt>
                <c:pt idx="31">
                  <c:v>2.2700755160028275E-2</c:v>
                </c:pt>
                <c:pt idx="32">
                  <c:v>2.2045636190426248E-2</c:v>
                </c:pt>
                <c:pt idx="33">
                  <c:v>2.2339660258967064E-2</c:v>
                </c:pt>
                <c:pt idx="34">
                  <c:v>2.7786781357900362E-2</c:v>
                </c:pt>
                <c:pt idx="35">
                  <c:v>3.0886533873626543E-2</c:v>
                </c:pt>
                <c:pt idx="36">
                  <c:v>3.2240579117956643E-2</c:v>
                </c:pt>
                <c:pt idx="37">
                  <c:v>3.3857168943094963E-2</c:v>
                </c:pt>
                <c:pt idx="38">
                  <c:v>2.2591101082092203E-2</c:v>
                </c:pt>
                <c:pt idx="39">
                  <c:v>2.4043644529054102E-2</c:v>
                </c:pt>
                <c:pt idx="40">
                  <c:v>1.3233460920047829E-2</c:v>
                </c:pt>
                <c:pt idx="41">
                  <c:v>1.7479168827769873E-2</c:v>
                </c:pt>
                <c:pt idx="42">
                  <c:v>2.951096270917318E-2</c:v>
                </c:pt>
                <c:pt idx="43">
                  <c:v>3.3933511797719272E-2</c:v>
                </c:pt>
                <c:pt idx="44">
                  <c:v>3.4678497115962388E-2</c:v>
                </c:pt>
                <c:pt idx="45">
                  <c:v>3.8194705487593988E-2</c:v>
                </c:pt>
                <c:pt idx="46">
                  <c:v>3.2995542019205487E-2</c:v>
                </c:pt>
                <c:pt idx="47">
                  <c:v>1.8939846667545477E-2</c:v>
                </c:pt>
                <c:pt idx="48">
                  <c:v>1.1641246604513107E-2</c:v>
                </c:pt>
                <c:pt idx="49">
                  <c:v>3.9011895749751793E-2</c:v>
                </c:pt>
                <c:pt idx="50">
                  <c:v>5.4261279142782809E-2</c:v>
                </c:pt>
                <c:pt idx="51">
                  <c:v>4.7050613455667266E-2</c:v>
                </c:pt>
                <c:pt idx="52">
                  <c:v>4.235290313663951E-2</c:v>
                </c:pt>
                <c:pt idx="53">
                  <c:v>3.7938986572847631E-2</c:v>
                </c:pt>
                <c:pt idx="54">
                  <c:v>3.6940713770460223E-2</c:v>
                </c:pt>
                <c:pt idx="55">
                  <c:v>3.1172846916476548E-2</c:v>
                </c:pt>
              </c:numCache>
            </c:numRef>
          </c:val>
          <c:extLst xmlns:c16r2="http://schemas.microsoft.com/office/drawing/2015/06/chart">
            <c:ext xmlns:c16="http://schemas.microsoft.com/office/drawing/2014/chart" uri="{C3380CC4-5D6E-409C-BE32-E72D297353CC}">
              <c16:uniqueId val="{0000000B-7AE1-48C8-A5BF-D4E01B45D47A}"/>
            </c:ext>
          </c:extLst>
        </c:ser>
        <c:ser>
          <c:idx val="8"/>
          <c:order val="9"/>
          <c:tx>
            <c:v>Corp. Tax</c:v>
          </c:tx>
          <c:spPr>
            <a:solidFill>
              <a:schemeClr val="accent3">
                <a:lumMod val="40000"/>
                <a:lumOff val="60000"/>
              </a:schemeClr>
            </a:solidFill>
            <a:ln w="25400">
              <a:noFill/>
            </a:ln>
          </c:spPr>
          <c:val>
            <c:numRef>
              <c:f>'F-B7'!$Q$42:$Q$97</c:f>
              <c:numCache>
                <c:formatCode>0.0%</c:formatCode>
                <c:ptCount val="56"/>
                <c:pt idx="0">
                  <c:v>6.0846309940030097E-2</c:v>
                </c:pt>
                <c:pt idx="1">
                  <c:v>5.9971181875294655E-2</c:v>
                </c:pt>
                <c:pt idx="2">
                  <c:v>5.9096053810559206E-2</c:v>
                </c:pt>
                <c:pt idx="3">
                  <c:v>5.8900466521534196E-2</c:v>
                </c:pt>
                <c:pt idx="4">
                  <c:v>5.8704879232509187E-2</c:v>
                </c:pt>
                <c:pt idx="5">
                  <c:v>5.8551419537904922E-2</c:v>
                </c:pt>
                <c:pt idx="6">
                  <c:v>5.8397959843300651E-2</c:v>
                </c:pt>
                <c:pt idx="7">
                  <c:v>5.4516940365112176E-2</c:v>
                </c:pt>
                <c:pt idx="8">
                  <c:v>5.7907929086711017E-2</c:v>
                </c:pt>
                <c:pt idx="9">
                  <c:v>5.4381902084314433E-2</c:v>
                </c:pt>
                <c:pt idx="10">
                  <c:v>4.7358021009171671E-2</c:v>
                </c:pt>
                <c:pt idx="11">
                  <c:v>4.82932772704893E-2</c:v>
                </c:pt>
                <c:pt idx="12">
                  <c:v>4.8139518751831332E-2</c:v>
                </c:pt>
                <c:pt idx="13">
                  <c:v>4.8529456337262578E-2</c:v>
                </c:pt>
                <c:pt idx="14">
                  <c:v>4.6458209974150955E-2</c:v>
                </c:pt>
                <c:pt idx="15">
                  <c:v>4.2999606078928568E-2</c:v>
                </c:pt>
                <c:pt idx="16">
                  <c:v>4.7085156694864662E-2</c:v>
                </c:pt>
                <c:pt idx="17">
                  <c:v>4.7913062912265082E-2</c:v>
                </c:pt>
                <c:pt idx="18">
                  <c:v>4.6774955984507552E-2</c:v>
                </c:pt>
                <c:pt idx="19">
                  <c:v>4.3320281163520609E-2</c:v>
                </c:pt>
                <c:pt idx="20">
                  <c:v>3.8323102216144586E-2</c:v>
                </c:pt>
                <c:pt idx="21">
                  <c:v>3.3630406518537825E-2</c:v>
                </c:pt>
                <c:pt idx="22">
                  <c:v>2.7220616225100976E-2</c:v>
                </c:pt>
                <c:pt idx="23">
                  <c:v>3.0569825795293704E-2</c:v>
                </c:pt>
                <c:pt idx="24">
                  <c:v>3.23465268268677E-2</c:v>
                </c:pt>
                <c:pt idx="25">
                  <c:v>3.12993160600505E-2</c:v>
                </c:pt>
                <c:pt idx="26">
                  <c:v>3.3453063016766177E-2</c:v>
                </c:pt>
                <c:pt idx="27">
                  <c:v>3.6803724200972422E-2</c:v>
                </c:pt>
                <c:pt idx="28">
                  <c:v>3.7169386082426377E-2</c:v>
                </c:pt>
                <c:pt idx="29">
                  <c:v>3.6143619381723231E-2</c:v>
                </c:pt>
                <c:pt idx="30">
                  <c:v>3.475592379301938E-2</c:v>
                </c:pt>
                <c:pt idx="31">
                  <c:v>3.4077486046278485E-2</c:v>
                </c:pt>
                <c:pt idx="32">
                  <c:v>3.5033979883085181E-2</c:v>
                </c:pt>
                <c:pt idx="33">
                  <c:v>3.7344891810929183E-2</c:v>
                </c:pt>
                <c:pt idx="34">
                  <c:v>3.865893605341867E-2</c:v>
                </c:pt>
                <c:pt idx="35">
                  <c:v>3.998546526146466E-2</c:v>
                </c:pt>
                <c:pt idx="36">
                  <c:v>4.0592622264085582E-2</c:v>
                </c:pt>
                <c:pt idx="37">
                  <c:v>4.0575544212657966E-2</c:v>
                </c:pt>
                <c:pt idx="38">
                  <c:v>3.8550830693089067E-2</c:v>
                </c:pt>
                <c:pt idx="39">
                  <c:v>3.8545506415199653E-2</c:v>
                </c:pt>
                <c:pt idx="40">
                  <c:v>3.7513064637654796E-2</c:v>
                </c:pt>
                <c:pt idx="41">
                  <c:v>3.0617310357058364E-2</c:v>
                </c:pt>
                <c:pt idx="42">
                  <c:v>2.9885180470356452E-2</c:v>
                </c:pt>
                <c:pt idx="43">
                  <c:v>3.4239753619608501E-2</c:v>
                </c:pt>
                <c:pt idx="44">
                  <c:v>3.8488950187809408E-2</c:v>
                </c:pt>
                <c:pt idx="45">
                  <c:v>4.5285215686894829E-2</c:v>
                </c:pt>
                <c:pt idx="46">
                  <c:v>4.7306105743731411E-2</c:v>
                </c:pt>
                <c:pt idx="47">
                  <c:v>4.4616085168590697E-2</c:v>
                </c:pt>
                <c:pt idx="48">
                  <c:v>3.4434783665709796E-2</c:v>
                </c:pt>
                <c:pt idx="49">
                  <c:v>3.182539734677698E-2</c:v>
                </c:pt>
                <c:pt idx="50">
                  <c:v>3.4769499594745741E-2</c:v>
                </c:pt>
                <c:pt idx="51">
                  <c:v>3.4286116571381094E-2</c:v>
                </c:pt>
                <c:pt idx="52">
                  <c:v>3.6266054359697666E-2</c:v>
                </c:pt>
                <c:pt idx="53">
                  <c:v>3.7257549367493314E-2</c:v>
                </c:pt>
                <c:pt idx="54">
                  <c:v>3.6540731870591904E-2</c:v>
                </c:pt>
                <c:pt idx="55">
                  <c:v>3.4267773467656068E-2</c:v>
                </c:pt>
              </c:numCache>
            </c:numRef>
          </c:val>
          <c:extLst xmlns:c16r2="http://schemas.microsoft.com/office/drawing/2015/06/chart">
            <c:ext xmlns:c16="http://schemas.microsoft.com/office/drawing/2014/chart" uri="{C3380CC4-5D6E-409C-BE32-E72D297353CC}">
              <c16:uniqueId val="{0000000C-7AE1-48C8-A5BF-D4E01B45D47A}"/>
            </c:ext>
          </c:extLst>
        </c:ser>
        <c:ser>
          <c:idx val="9"/>
          <c:order val="10"/>
          <c:tx>
            <c:v>Imputed Rents</c:v>
          </c:tx>
          <c:spPr>
            <a:solidFill>
              <a:schemeClr val="accent3">
                <a:lumMod val="75000"/>
              </a:schemeClr>
            </a:solidFill>
            <a:ln w="25400">
              <a:noFill/>
            </a:ln>
          </c:spPr>
          <c:val>
            <c:numRef>
              <c:f>'F-B7'!$O$42:$O$97</c:f>
              <c:numCache>
                <c:formatCode>0.0%</c:formatCode>
                <c:ptCount val="56"/>
                <c:pt idx="0">
                  <c:v>3.6550618720330941E-2</c:v>
                </c:pt>
                <c:pt idx="1">
                  <c:v>3.7230831360513292E-2</c:v>
                </c:pt>
                <c:pt idx="2">
                  <c:v>3.791104400069565E-2</c:v>
                </c:pt>
                <c:pt idx="3">
                  <c:v>3.7532659224919919E-2</c:v>
                </c:pt>
                <c:pt idx="4">
                  <c:v>3.7154274449144188E-2</c:v>
                </c:pt>
                <c:pt idx="5">
                  <c:v>3.6074725034181868E-2</c:v>
                </c:pt>
                <c:pt idx="6">
                  <c:v>3.4995175619219554E-2</c:v>
                </c:pt>
                <c:pt idx="7">
                  <c:v>3.5378952416518485E-2</c:v>
                </c:pt>
                <c:pt idx="8">
                  <c:v>3.3846891744309889E-2</c:v>
                </c:pt>
                <c:pt idx="9">
                  <c:v>3.3480245431072891E-2</c:v>
                </c:pt>
                <c:pt idx="10">
                  <c:v>3.4206917512651605E-2</c:v>
                </c:pt>
                <c:pt idx="11">
                  <c:v>3.4108710678019391E-2</c:v>
                </c:pt>
                <c:pt idx="12">
                  <c:v>3.2136583628393507E-2</c:v>
                </c:pt>
                <c:pt idx="13">
                  <c:v>2.9569120834889023E-2</c:v>
                </c:pt>
                <c:pt idx="14">
                  <c:v>2.8711597446548543E-2</c:v>
                </c:pt>
                <c:pt idx="15">
                  <c:v>2.7423714961445595E-2</c:v>
                </c:pt>
                <c:pt idx="16">
                  <c:v>2.5338593974573071E-2</c:v>
                </c:pt>
                <c:pt idx="17">
                  <c:v>2.1955915597483784E-2</c:v>
                </c:pt>
                <c:pt idx="18">
                  <c:v>1.9897398382331632E-2</c:v>
                </c:pt>
                <c:pt idx="19">
                  <c:v>1.7691106503667557E-2</c:v>
                </c:pt>
                <c:pt idx="20">
                  <c:v>1.7309026668482691E-2</c:v>
                </c:pt>
                <c:pt idx="21">
                  <c:v>1.698224334352624E-2</c:v>
                </c:pt>
                <c:pt idx="22">
                  <c:v>1.6411431416734765E-2</c:v>
                </c:pt>
                <c:pt idx="23">
                  <c:v>1.59919911356666E-2</c:v>
                </c:pt>
                <c:pt idx="24">
                  <c:v>1.4776175149813765E-2</c:v>
                </c:pt>
                <c:pt idx="25">
                  <c:v>1.4005484774557719E-2</c:v>
                </c:pt>
                <c:pt idx="26">
                  <c:v>1.3038361806522035E-2</c:v>
                </c:pt>
                <c:pt idx="27">
                  <c:v>1.347917154180203E-2</c:v>
                </c:pt>
                <c:pt idx="28">
                  <c:v>1.466519372471559E-2</c:v>
                </c:pt>
                <c:pt idx="29">
                  <c:v>1.5065574411491152E-2</c:v>
                </c:pt>
                <c:pt idx="30">
                  <c:v>1.5834952752400388E-2</c:v>
                </c:pt>
                <c:pt idx="31">
                  <c:v>1.7373438596476169E-2</c:v>
                </c:pt>
                <c:pt idx="32">
                  <c:v>1.9073181825515165E-2</c:v>
                </c:pt>
                <c:pt idx="33">
                  <c:v>2.1694061195291305E-2</c:v>
                </c:pt>
                <c:pt idx="34">
                  <c:v>2.3919691537385931E-2</c:v>
                </c:pt>
                <c:pt idx="35">
                  <c:v>2.3576806414629579E-2</c:v>
                </c:pt>
                <c:pt idx="36">
                  <c:v>2.4445621371952365E-2</c:v>
                </c:pt>
                <c:pt idx="37">
                  <c:v>2.3697945096768556E-2</c:v>
                </c:pt>
                <c:pt idx="38">
                  <c:v>2.4456522546876986E-2</c:v>
                </c:pt>
                <c:pt idx="39">
                  <c:v>2.5058311302276513E-2</c:v>
                </c:pt>
                <c:pt idx="40">
                  <c:v>2.4439199501989629E-2</c:v>
                </c:pt>
                <c:pt idx="41">
                  <c:v>2.5554589453038987E-2</c:v>
                </c:pt>
                <c:pt idx="42">
                  <c:v>2.670798726788913E-2</c:v>
                </c:pt>
                <c:pt idx="43">
                  <c:v>2.7965336379736517E-2</c:v>
                </c:pt>
                <c:pt idx="44">
                  <c:v>2.8187683490867137E-2</c:v>
                </c:pt>
                <c:pt idx="45">
                  <c:v>2.5640999800629369E-2</c:v>
                </c:pt>
                <c:pt idx="46">
                  <c:v>2.2329438260785307E-2</c:v>
                </c:pt>
                <c:pt idx="47">
                  <c:v>2.061567573250777E-2</c:v>
                </c:pt>
                <c:pt idx="48">
                  <c:v>2.3887758174492804E-2</c:v>
                </c:pt>
                <c:pt idx="49">
                  <c:v>2.9833941878243914E-2</c:v>
                </c:pt>
                <c:pt idx="50">
                  <c:v>3.1689788935934021E-2</c:v>
                </c:pt>
                <c:pt idx="51">
                  <c:v>3.4303427319525195E-2</c:v>
                </c:pt>
                <c:pt idx="52">
                  <c:v>3.4619396683078035E-2</c:v>
                </c:pt>
                <c:pt idx="53">
                  <c:v>3.6089916860105105E-2</c:v>
                </c:pt>
                <c:pt idx="54">
                  <c:v>3.6423800071228182E-2</c:v>
                </c:pt>
                <c:pt idx="55">
                  <c:v>3.7251100692116436E-2</c:v>
                </c:pt>
              </c:numCache>
            </c:numRef>
          </c:val>
          <c:extLst xmlns:c16r2="http://schemas.microsoft.com/office/drawing/2015/06/chart">
            <c:ext xmlns:c16="http://schemas.microsoft.com/office/drawing/2014/chart" uri="{C3380CC4-5D6E-409C-BE32-E72D297353CC}">
              <c16:uniqueId val="{0000000D-7AE1-48C8-A5BF-D4E01B45D47A}"/>
            </c:ext>
          </c:extLst>
        </c:ser>
        <c:ser>
          <c:idx val="10"/>
          <c:order val="11"/>
          <c:tx>
            <c:v>Employer Payroll Tax</c:v>
          </c:tx>
          <c:spPr>
            <a:solidFill>
              <a:schemeClr val="accent3">
                <a:lumMod val="40000"/>
                <a:lumOff val="60000"/>
              </a:schemeClr>
            </a:solidFill>
            <a:ln w="25400">
              <a:noFill/>
            </a:ln>
          </c:spPr>
          <c:val>
            <c:numRef>
              <c:f>'F-B7'!$R$42:$R$97</c:f>
              <c:numCache>
                <c:formatCode>0.0%</c:formatCode>
                <c:ptCount val="56"/>
                <c:pt idx="0">
                  <c:v>1.8342731291398722E-2</c:v>
                </c:pt>
                <c:pt idx="1">
                  <c:v>1.9083943254448808E-2</c:v>
                </c:pt>
                <c:pt idx="2">
                  <c:v>1.9825155217498891E-2</c:v>
                </c:pt>
                <c:pt idx="3">
                  <c:v>1.9786616042680047E-2</c:v>
                </c:pt>
                <c:pt idx="4">
                  <c:v>1.9748076867861203E-2</c:v>
                </c:pt>
                <c:pt idx="5">
                  <c:v>2.1002681324431085E-2</c:v>
                </c:pt>
                <c:pt idx="6">
                  <c:v>2.2257285781000967E-2</c:v>
                </c:pt>
                <c:pt idx="7">
                  <c:v>2.2375253363983244E-2</c:v>
                </c:pt>
                <c:pt idx="8">
                  <c:v>2.2554042897190364E-2</c:v>
                </c:pt>
                <c:pt idx="9">
                  <c:v>2.3761993279433329E-2</c:v>
                </c:pt>
                <c:pt idx="10">
                  <c:v>2.3584529922029779E-2</c:v>
                </c:pt>
                <c:pt idx="11">
                  <c:v>2.401722569335164E-2</c:v>
                </c:pt>
                <c:pt idx="12">
                  <c:v>2.5614068100326327E-2</c:v>
                </c:pt>
                <c:pt idx="13">
                  <c:v>2.9165179108801263E-2</c:v>
                </c:pt>
                <c:pt idx="14">
                  <c:v>3.0249307818491365E-2</c:v>
                </c:pt>
                <c:pt idx="15">
                  <c:v>2.8978575160200463E-2</c:v>
                </c:pt>
                <c:pt idx="16">
                  <c:v>3.0383970793096571E-2</c:v>
                </c:pt>
                <c:pt idx="17">
                  <c:v>3.0769099276837054E-2</c:v>
                </c:pt>
                <c:pt idx="18">
                  <c:v>3.2062472943553966E-2</c:v>
                </c:pt>
                <c:pt idx="19">
                  <c:v>3.3398605879815128E-2</c:v>
                </c:pt>
                <c:pt idx="20">
                  <c:v>3.2998903195894075E-2</c:v>
                </c:pt>
                <c:pt idx="21">
                  <c:v>3.423743448051747E-2</c:v>
                </c:pt>
                <c:pt idx="22">
                  <c:v>3.4520770627259917E-2</c:v>
                </c:pt>
                <c:pt idx="23">
                  <c:v>3.4983884989799152E-2</c:v>
                </c:pt>
                <c:pt idx="24">
                  <c:v>3.6399954651402458E-2</c:v>
                </c:pt>
                <c:pt idx="25">
                  <c:v>3.6194351322193438E-2</c:v>
                </c:pt>
                <c:pt idx="26">
                  <c:v>3.6962238543920181E-2</c:v>
                </c:pt>
                <c:pt idx="27">
                  <c:v>3.6462912424789794E-2</c:v>
                </c:pt>
                <c:pt idx="28">
                  <c:v>3.72133246241175E-2</c:v>
                </c:pt>
                <c:pt idx="29">
                  <c:v>3.6604212577738937E-2</c:v>
                </c:pt>
                <c:pt idx="30">
                  <c:v>3.6869882038253386E-2</c:v>
                </c:pt>
                <c:pt idx="31">
                  <c:v>3.6934459134711314E-2</c:v>
                </c:pt>
                <c:pt idx="32">
                  <c:v>3.6735167579512021E-2</c:v>
                </c:pt>
                <c:pt idx="33">
                  <c:v>3.6763254450639687E-2</c:v>
                </c:pt>
                <c:pt idx="34">
                  <c:v>3.6627099727777182E-2</c:v>
                </c:pt>
                <c:pt idx="35">
                  <c:v>3.6059865828731379E-2</c:v>
                </c:pt>
                <c:pt idx="36">
                  <c:v>3.5290422632839193E-2</c:v>
                </c:pt>
                <c:pt idx="37">
                  <c:v>3.4905442319355558E-2</c:v>
                </c:pt>
                <c:pt idx="38">
                  <c:v>3.4936086228350052E-2</c:v>
                </c:pt>
                <c:pt idx="39">
                  <c:v>3.4776482911486183E-2</c:v>
                </c:pt>
                <c:pt idx="40">
                  <c:v>3.4760666677970203E-2</c:v>
                </c:pt>
                <c:pt idx="41">
                  <c:v>3.4729964655481074E-2</c:v>
                </c:pt>
                <c:pt idx="42">
                  <c:v>3.4330962504343823E-2</c:v>
                </c:pt>
                <c:pt idx="43">
                  <c:v>3.4282324548902433E-2</c:v>
                </c:pt>
                <c:pt idx="44">
                  <c:v>3.4303058625492065E-2</c:v>
                </c:pt>
                <c:pt idx="45">
                  <c:v>3.3722741298430274E-2</c:v>
                </c:pt>
                <c:pt idx="46">
                  <c:v>3.3011776351280955E-2</c:v>
                </c:pt>
                <c:pt idx="47">
                  <c:v>3.3051948240821159E-2</c:v>
                </c:pt>
                <c:pt idx="48">
                  <c:v>3.2785800099868458E-2</c:v>
                </c:pt>
                <c:pt idx="49">
                  <c:v>3.2323331772848331E-2</c:v>
                </c:pt>
                <c:pt idx="50">
                  <c:v>3.1368591708741705E-2</c:v>
                </c:pt>
                <c:pt idx="51">
                  <c:v>3.1664948732954085E-2</c:v>
                </c:pt>
                <c:pt idx="52">
                  <c:v>3.1517206861744723E-2</c:v>
                </c:pt>
                <c:pt idx="53">
                  <c:v>3.1432096648830767E-2</c:v>
                </c:pt>
                <c:pt idx="54">
                  <c:v>3.119540017572486E-2</c:v>
                </c:pt>
                <c:pt idx="55">
                  <c:v>3.1243382502692964E-2</c:v>
                </c:pt>
              </c:numCache>
            </c:numRef>
          </c:val>
          <c:extLst xmlns:c16r2="http://schemas.microsoft.com/office/drawing/2015/06/chart">
            <c:ext xmlns:c16="http://schemas.microsoft.com/office/drawing/2014/chart" uri="{C3380CC4-5D6E-409C-BE32-E72D297353CC}">
              <c16:uniqueId val="{0000000E-7AE1-48C8-A5BF-D4E01B45D47A}"/>
            </c:ext>
          </c:extLst>
        </c:ser>
        <c:ser>
          <c:idx val="11"/>
          <c:order val="12"/>
          <c:tx>
            <c:v>Empl. Health Insur.</c:v>
          </c:tx>
          <c:spPr>
            <a:solidFill>
              <a:schemeClr val="accent3">
                <a:lumMod val="50000"/>
              </a:schemeClr>
            </a:solidFill>
            <a:ln w="25400">
              <a:noFill/>
            </a:ln>
          </c:spPr>
          <c:val>
            <c:numRef>
              <c:f>'F-B7'!$S$42:$S$97</c:f>
              <c:numCache>
                <c:formatCode>0.0%</c:formatCode>
                <c:ptCount val="56"/>
                <c:pt idx="0">
                  <c:v>1.2681272065783225E-2</c:v>
                </c:pt>
                <c:pt idx="1">
                  <c:v>1.3105336420332769E-2</c:v>
                </c:pt>
                <c:pt idx="2">
                  <c:v>1.3529400774882313E-2</c:v>
                </c:pt>
                <c:pt idx="3">
                  <c:v>1.3988882085223505E-2</c:v>
                </c:pt>
                <c:pt idx="4">
                  <c:v>1.4448363395564696E-2</c:v>
                </c:pt>
                <c:pt idx="5">
                  <c:v>1.4749194826459245E-2</c:v>
                </c:pt>
                <c:pt idx="6">
                  <c:v>1.5050026257353794E-2</c:v>
                </c:pt>
                <c:pt idx="7">
                  <c:v>1.5479766270903774E-2</c:v>
                </c:pt>
                <c:pt idx="8">
                  <c:v>1.6748779224154148E-2</c:v>
                </c:pt>
                <c:pt idx="9">
                  <c:v>1.7542144814446738E-2</c:v>
                </c:pt>
                <c:pt idx="10">
                  <c:v>1.9273049515963845E-2</c:v>
                </c:pt>
                <c:pt idx="11">
                  <c:v>1.942102289390928E-2</c:v>
                </c:pt>
                <c:pt idx="12">
                  <c:v>2.0125750270054525E-2</c:v>
                </c:pt>
                <c:pt idx="13">
                  <c:v>2.0213947755749369E-2</c:v>
                </c:pt>
                <c:pt idx="14">
                  <c:v>2.1405442752392409E-2</c:v>
                </c:pt>
                <c:pt idx="15">
                  <c:v>2.322304957406357E-2</c:v>
                </c:pt>
                <c:pt idx="16">
                  <c:v>2.5680984762766906E-2</c:v>
                </c:pt>
                <c:pt idx="17">
                  <c:v>2.7953734749853614E-2</c:v>
                </c:pt>
                <c:pt idx="18">
                  <c:v>2.9466205142286424E-2</c:v>
                </c:pt>
                <c:pt idx="19">
                  <c:v>3.0322700515509927E-2</c:v>
                </c:pt>
                <c:pt idx="20">
                  <c:v>3.1628710374863755E-2</c:v>
                </c:pt>
                <c:pt idx="21">
                  <c:v>3.2033694971294699E-2</c:v>
                </c:pt>
                <c:pt idx="22">
                  <c:v>3.3950922706839803E-2</c:v>
                </c:pt>
                <c:pt idx="23">
                  <c:v>3.4293440453623036E-2</c:v>
                </c:pt>
                <c:pt idx="24">
                  <c:v>3.3559963368023714E-2</c:v>
                </c:pt>
                <c:pt idx="25">
                  <c:v>3.4717510853715078E-2</c:v>
                </c:pt>
                <c:pt idx="26">
                  <c:v>3.5926202934922553E-2</c:v>
                </c:pt>
                <c:pt idx="27">
                  <c:v>3.6587043354853736E-2</c:v>
                </c:pt>
                <c:pt idx="28">
                  <c:v>3.7872805855371464E-2</c:v>
                </c:pt>
                <c:pt idx="29">
                  <c:v>3.9324868735574836E-2</c:v>
                </c:pt>
                <c:pt idx="30">
                  <c:v>4.1417651465885719E-2</c:v>
                </c:pt>
                <c:pt idx="31">
                  <c:v>4.3288095337867497E-2</c:v>
                </c:pt>
                <c:pt idx="32">
                  <c:v>4.5636768511604656E-2</c:v>
                </c:pt>
                <c:pt idx="33">
                  <c:v>4.6695417950329991E-2</c:v>
                </c:pt>
                <c:pt idx="34">
                  <c:v>4.5655785956755533E-2</c:v>
                </c:pt>
                <c:pt idx="35">
                  <c:v>4.2537453040014737E-2</c:v>
                </c:pt>
                <c:pt idx="36">
                  <c:v>3.9926508393535419E-2</c:v>
                </c:pt>
                <c:pt idx="37">
                  <c:v>3.7718074173447899E-2</c:v>
                </c:pt>
                <c:pt idx="38">
                  <c:v>3.8106449889408547E-2</c:v>
                </c:pt>
                <c:pt idx="39">
                  <c:v>3.8933992358053095E-2</c:v>
                </c:pt>
                <c:pt idx="40">
                  <c:v>4.0547599750550882E-2</c:v>
                </c:pt>
                <c:pt idx="41">
                  <c:v>4.2487564572087404E-2</c:v>
                </c:pt>
                <c:pt idx="42">
                  <c:v>4.4310009013651903E-2</c:v>
                </c:pt>
                <c:pt idx="43">
                  <c:v>4.7093844068142245E-2</c:v>
                </c:pt>
                <c:pt idx="44">
                  <c:v>4.737642615515586E-2</c:v>
                </c:pt>
                <c:pt idx="45">
                  <c:v>4.7860983236128633E-2</c:v>
                </c:pt>
                <c:pt idx="46">
                  <c:v>4.5390159389151967E-2</c:v>
                </c:pt>
                <c:pt idx="47">
                  <c:v>4.5374604005880316E-2</c:v>
                </c:pt>
                <c:pt idx="48">
                  <c:v>4.505881505472837E-2</c:v>
                </c:pt>
                <c:pt idx="49">
                  <c:v>4.6043305606814071E-2</c:v>
                </c:pt>
                <c:pt idx="50">
                  <c:v>4.4112088355969428E-2</c:v>
                </c:pt>
                <c:pt idx="51">
                  <c:v>4.4059700859658657E-2</c:v>
                </c:pt>
                <c:pt idx="52">
                  <c:v>4.3235426352577135E-2</c:v>
                </c:pt>
                <c:pt idx="53">
                  <c:v>4.3648917187345031E-2</c:v>
                </c:pt>
                <c:pt idx="54">
                  <c:v>4.2945167360669632E-2</c:v>
                </c:pt>
                <c:pt idx="55">
                  <c:v>4.3130050427633203E-2</c:v>
                </c:pt>
              </c:numCache>
            </c:numRef>
          </c:val>
          <c:extLst xmlns:c16r2="http://schemas.microsoft.com/office/drawing/2015/06/chart">
            <c:ext xmlns:c16="http://schemas.microsoft.com/office/drawing/2014/chart" uri="{C3380CC4-5D6E-409C-BE32-E72D297353CC}">
              <c16:uniqueId val="{0000000F-7AE1-48C8-A5BF-D4E01B45D47A}"/>
            </c:ext>
          </c:extLst>
        </c:ser>
        <c:ser>
          <c:idx val="16"/>
          <c:order val="13"/>
          <c:tx>
            <c:v>Underreported income</c:v>
          </c:tx>
          <c:spPr>
            <a:solidFill>
              <a:schemeClr val="accent3">
                <a:lumMod val="60000"/>
                <a:lumOff val="40000"/>
              </a:schemeClr>
            </a:solidFill>
            <a:ln w="25400">
              <a:noFill/>
            </a:ln>
          </c:spPr>
          <c:val>
            <c:numRef>
              <c:f>'F-B7'!$T$42:$T$97</c:f>
              <c:numCache>
                <c:formatCode>0.0%</c:formatCode>
                <c:ptCount val="56"/>
                <c:pt idx="0">
                  <c:v>4.7418322811815385E-2</c:v>
                </c:pt>
                <c:pt idx="1">
                  <c:v>4.446183946604388E-2</c:v>
                </c:pt>
                <c:pt idx="2">
                  <c:v>4.1505356120272376E-2</c:v>
                </c:pt>
                <c:pt idx="3">
                  <c:v>3.571882414334919E-2</c:v>
                </c:pt>
                <c:pt idx="4">
                  <c:v>2.9932292166426004E-2</c:v>
                </c:pt>
                <c:pt idx="5">
                  <c:v>3.2632733011198782E-2</c:v>
                </c:pt>
                <c:pt idx="6">
                  <c:v>3.533317385597156E-2</c:v>
                </c:pt>
                <c:pt idx="7">
                  <c:v>3.1541340689966522E-2</c:v>
                </c:pt>
                <c:pt idx="8">
                  <c:v>3.4749039840581177E-2</c:v>
                </c:pt>
                <c:pt idx="9">
                  <c:v>3.2903453642255449E-2</c:v>
                </c:pt>
                <c:pt idx="10">
                  <c:v>2.9888168118093722E-2</c:v>
                </c:pt>
                <c:pt idx="11">
                  <c:v>2.8769203732775788E-2</c:v>
                </c:pt>
                <c:pt idx="12">
                  <c:v>2.9649744441617984E-2</c:v>
                </c:pt>
                <c:pt idx="13">
                  <c:v>3.3776308820615678E-2</c:v>
                </c:pt>
                <c:pt idx="14">
                  <c:v>3.1195297856246751E-2</c:v>
                </c:pt>
                <c:pt idx="15">
                  <c:v>2.9289044046252259E-2</c:v>
                </c:pt>
                <c:pt idx="16">
                  <c:v>2.7337800478640664E-2</c:v>
                </c:pt>
                <c:pt idx="17">
                  <c:v>3.3549036511512281E-2</c:v>
                </c:pt>
                <c:pt idx="18">
                  <c:v>3.6103421982211066E-2</c:v>
                </c:pt>
                <c:pt idx="19">
                  <c:v>3.339380913939078E-2</c:v>
                </c:pt>
                <c:pt idx="20">
                  <c:v>2.900147997428619E-2</c:v>
                </c:pt>
                <c:pt idx="21">
                  <c:v>3.9254862753464556E-2</c:v>
                </c:pt>
                <c:pt idx="22">
                  <c:v>3.947824124832193E-2</c:v>
                </c:pt>
                <c:pt idx="23">
                  <c:v>3.9740431707577642E-2</c:v>
                </c:pt>
                <c:pt idx="24">
                  <c:v>4.9619172959723984E-2</c:v>
                </c:pt>
                <c:pt idx="25">
                  <c:v>4.8428975404776094E-2</c:v>
                </c:pt>
                <c:pt idx="26">
                  <c:v>4.8306841891423459E-2</c:v>
                </c:pt>
                <c:pt idx="27">
                  <c:v>4.5764766655932675E-2</c:v>
                </c:pt>
                <c:pt idx="28">
                  <c:v>4.0493598818766782E-2</c:v>
                </c:pt>
                <c:pt idx="29">
                  <c:v>4.1073383071644334E-2</c:v>
                </c:pt>
                <c:pt idx="30">
                  <c:v>3.9277342280809799E-2</c:v>
                </c:pt>
                <c:pt idx="31">
                  <c:v>3.8513769253313332E-2</c:v>
                </c:pt>
                <c:pt idx="32">
                  <c:v>3.8690002660226736E-2</c:v>
                </c:pt>
                <c:pt idx="33">
                  <c:v>4.5072442152916961E-2</c:v>
                </c:pt>
                <c:pt idx="34">
                  <c:v>4.686062633753451E-2</c:v>
                </c:pt>
                <c:pt idx="35">
                  <c:v>4.6075716742534564E-2</c:v>
                </c:pt>
                <c:pt idx="36">
                  <c:v>5.1145950950400039E-2</c:v>
                </c:pt>
                <c:pt idx="37">
                  <c:v>5.1849239955606606E-2</c:v>
                </c:pt>
                <c:pt idx="38">
                  <c:v>5.784079967484064E-2</c:v>
                </c:pt>
                <c:pt idx="39">
                  <c:v>5.2908658680988957E-2</c:v>
                </c:pt>
                <c:pt idx="40">
                  <c:v>6.1699752045183201E-2</c:v>
                </c:pt>
                <c:pt idx="41">
                  <c:v>6.9572086741219979E-2</c:v>
                </c:pt>
                <c:pt idx="42">
                  <c:v>7.3054662035906284E-2</c:v>
                </c:pt>
                <c:pt idx="43">
                  <c:v>7.4153842651043272E-2</c:v>
                </c:pt>
                <c:pt idx="44">
                  <c:v>7.0337044670940568E-2</c:v>
                </c:pt>
                <c:pt idx="45">
                  <c:v>6.3745804195013037E-2</c:v>
                </c:pt>
                <c:pt idx="46">
                  <c:v>6.9100611920993038E-2</c:v>
                </c:pt>
                <c:pt idx="47">
                  <c:v>6.2685087867417791E-2</c:v>
                </c:pt>
                <c:pt idx="48">
                  <c:v>6.9152809319396366E-2</c:v>
                </c:pt>
                <c:pt idx="49">
                  <c:v>6.3528028200425177E-2</c:v>
                </c:pt>
                <c:pt idx="50">
                  <c:v>5.9433806183075054E-2</c:v>
                </c:pt>
                <c:pt idx="51">
                  <c:v>6.4974895283597997E-2</c:v>
                </c:pt>
                <c:pt idx="52">
                  <c:v>6.3259164769093032E-2</c:v>
                </c:pt>
                <c:pt idx="53">
                  <c:v>6.4021529352314116E-2</c:v>
                </c:pt>
                <c:pt idx="54">
                  <c:v>6.1916218466350759E-2</c:v>
                </c:pt>
                <c:pt idx="55">
                  <c:v>6.2048581921383149E-2</c:v>
                </c:pt>
              </c:numCache>
            </c:numRef>
          </c:val>
          <c:extLst xmlns:c16r2="http://schemas.microsoft.com/office/drawing/2015/06/chart">
            <c:ext xmlns:c16="http://schemas.microsoft.com/office/drawing/2014/chart" uri="{C3380CC4-5D6E-409C-BE32-E72D297353CC}">
              <c16:uniqueId val="{00000010-7AE1-48C8-A5BF-D4E01B45D47A}"/>
            </c:ext>
          </c:extLst>
        </c:ser>
        <c:ser>
          <c:idx val="17"/>
          <c:order val="14"/>
          <c:tx>
            <c:v>retire</c:v>
          </c:tx>
          <c:spPr>
            <a:solidFill>
              <a:schemeClr val="accent3">
                <a:lumMod val="75000"/>
              </a:schemeClr>
            </a:solidFill>
            <a:ln w="25400">
              <a:noFill/>
            </a:ln>
          </c:spPr>
          <c:val>
            <c:numRef>
              <c:f>'F-B7'!$U$42:$U$97</c:f>
              <c:numCache>
                <c:formatCode>0.0%</c:formatCode>
                <c:ptCount val="56"/>
                <c:pt idx="0">
                  <c:v>2.9939967160621705E-2</c:v>
                </c:pt>
                <c:pt idx="1">
                  <c:v>2.9934793147088922E-2</c:v>
                </c:pt>
                <c:pt idx="2">
                  <c:v>2.9929619133556139E-2</c:v>
                </c:pt>
                <c:pt idx="3">
                  <c:v>3.1591347108311303E-2</c:v>
                </c:pt>
                <c:pt idx="4">
                  <c:v>3.3253075083066463E-2</c:v>
                </c:pt>
                <c:pt idx="5">
                  <c:v>3.2021953902081304E-2</c:v>
                </c:pt>
                <c:pt idx="6">
                  <c:v>3.0790832721096138E-2</c:v>
                </c:pt>
                <c:pt idx="7">
                  <c:v>3.2638561566133387E-2</c:v>
                </c:pt>
                <c:pt idx="8">
                  <c:v>2.9055064334952561E-2</c:v>
                </c:pt>
                <c:pt idx="9">
                  <c:v>3.2206654586283502E-2</c:v>
                </c:pt>
                <c:pt idx="10">
                  <c:v>3.4971524256723362E-2</c:v>
                </c:pt>
                <c:pt idx="11">
                  <c:v>3.6360806519855043E-2</c:v>
                </c:pt>
                <c:pt idx="12">
                  <c:v>3.368248291887329E-2</c:v>
                </c:pt>
                <c:pt idx="13">
                  <c:v>3.132614027188111E-2</c:v>
                </c:pt>
                <c:pt idx="14">
                  <c:v>3.3491137427474379E-2</c:v>
                </c:pt>
                <c:pt idx="15">
                  <c:v>3.7081670280756547E-2</c:v>
                </c:pt>
                <c:pt idx="16">
                  <c:v>3.1740279164530961E-2</c:v>
                </c:pt>
                <c:pt idx="17">
                  <c:v>3.4399273360573024E-2</c:v>
                </c:pt>
                <c:pt idx="18">
                  <c:v>3.3850469465072038E-2</c:v>
                </c:pt>
                <c:pt idx="19">
                  <c:v>3.7526646053575398E-2</c:v>
                </c:pt>
                <c:pt idx="20">
                  <c:v>4.1313744411653038E-2</c:v>
                </c:pt>
                <c:pt idx="21">
                  <c:v>3.7922079005200435E-2</c:v>
                </c:pt>
                <c:pt idx="22">
                  <c:v>4.3123106009874103E-2</c:v>
                </c:pt>
                <c:pt idx="23">
                  <c:v>4.7426556547563323E-2</c:v>
                </c:pt>
                <c:pt idx="24">
                  <c:v>4.6646124489954296E-2</c:v>
                </c:pt>
                <c:pt idx="25">
                  <c:v>4.786781978314153E-2</c:v>
                </c:pt>
                <c:pt idx="26">
                  <c:v>5.3240197147301528E-2</c:v>
                </c:pt>
                <c:pt idx="27">
                  <c:v>4.6568490056121847E-2</c:v>
                </c:pt>
                <c:pt idx="28">
                  <c:v>3.7218054245402581E-2</c:v>
                </c:pt>
                <c:pt idx="29">
                  <c:v>4.2985616857150376E-2</c:v>
                </c:pt>
                <c:pt idx="30">
                  <c:v>4.0428678981375525E-2</c:v>
                </c:pt>
                <c:pt idx="31">
                  <c:v>3.6342286218242134E-2</c:v>
                </c:pt>
                <c:pt idx="32">
                  <c:v>3.9884780538676327E-2</c:v>
                </c:pt>
                <c:pt idx="33">
                  <c:v>4.1843274204700548E-2</c:v>
                </c:pt>
                <c:pt idx="34">
                  <c:v>3.8736480338775414E-2</c:v>
                </c:pt>
                <c:pt idx="35">
                  <c:v>3.3050400657323897E-2</c:v>
                </c:pt>
                <c:pt idx="36">
                  <c:v>3.0809950032718556E-2</c:v>
                </c:pt>
                <c:pt idx="37">
                  <c:v>3.157126675459735E-2</c:v>
                </c:pt>
                <c:pt idx="38">
                  <c:v>3.2776057144001128E-2</c:v>
                </c:pt>
                <c:pt idx="39">
                  <c:v>2.7990151369883049E-2</c:v>
                </c:pt>
                <c:pt idx="40">
                  <c:v>3.0072936572674663E-2</c:v>
                </c:pt>
                <c:pt idx="41">
                  <c:v>3.2044116551487749E-2</c:v>
                </c:pt>
                <c:pt idx="42">
                  <c:v>3.3946963114083545E-2</c:v>
                </c:pt>
                <c:pt idx="43">
                  <c:v>3.2859215020996008E-2</c:v>
                </c:pt>
                <c:pt idx="44">
                  <c:v>3.0509026771652636E-2</c:v>
                </c:pt>
                <c:pt idx="45">
                  <c:v>2.7957652475579232E-2</c:v>
                </c:pt>
                <c:pt idx="46">
                  <c:v>3.0417103303812101E-2</c:v>
                </c:pt>
                <c:pt idx="47">
                  <c:v>3.1405483195165208E-2</c:v>
                </c:pt>
                <c:pt idx="48">
                  <c:v>3.617131997347376E-2</c:v>
                </c:pt>
                <c:pt idx="49">
                  <c:v>2.6721614753850959E-2</c:v>
                </c:pt>
                <c:pt idx="50">
                  <c:v>1.5237010584471704E-2</c:v>
                </c:pt>
                <c:pt idx="51">
                  <c:v>1.9433055003440617E-2</c:v>
                </c:pt>
                <c:pt idx="52">
                  <c:v>2.0892600415548395E-2</c:v>
                </c:pt>
                <c:pt idx="53">
                  <c:v>2.8337290685104884E-2</c:v>
                </c:pt>
                <c:pt idx="54">
                  <c:v>2.8013863489815549E-2</c:v>
                </c:pt>
                <c:pt idx="55">
                  <c:v>2.8436691661286241E-2</c:v>
                </c:pt>
              </c:numCache>
            </c:numRef>
          </c:val>
          <c:extLst xmlns:c16r2="http://schemas.microsoft.com/office/drawing/2015/06/chart">
            <c:ext xmlns:c16="http://schemas.microsoft.com/office/drawing/2014/chart" uri="{C3380CC4-5D6E-409C-BE32-E72D297353CC}">
              <c16:uniqueId val="{00000011-7AE1-48C8-A5BF-D4E01B45D47A}"/>
            </c:ext>
          </c:extLst>
        </c:ser>
        <c:ser>
          <c:idx val="18"/>
          <c:order val="15"/>
          <c:tx>
            <c:v>other</c:v>
          </c:tx>
          <c:spPr>
            <a:solidFill>
              <a:schemeClr val="accent3">
                <a:lumMod val="50000"/>
              </a:schemeClr>
            </a:solidFill>
            <a:ln w="25400">
              <a:noFill/>
            </a:ln>
          </c:spPr>
          <c:val>
            <c:numRef>
              <c:f>'F-B7'!$V$42:$V$97</c:f>
              <c:numCache>
                <c:formatCode>0.0%</c:formatCode>
                <c:ptCount val="56"/>
                <c:pt idx="0">
                  <c:v>6.2371235384688001E-2</c:v>
                </c:pt>
                <c:pt idx="1">
                  <c:v>6.113787777501492E-2</c:v>
                </c:pt>
                <c:pt idx="2">
                  <c:v>5.9904520165341847E-2</c:v>
                </c:pt>
                <c:pt idx="3">
                  <c:v>6.1102537602506932E-2</c:v>
                </c:pt>
                <c:pt idx="4">
                  <c:v>6.2300555039672009E-2</c:v>
                </c:pt>
                <c:pt idx="5">
                  <c:v>5.886684769161793E-2</c:v>
                </c:pt>
                <c:pt idx="6">
                  <c:v>5.5433140343563843E-2</c:v>
                </c:pt>
                <c:pt idx="7">
                  <c:v>5.5800919053072592E-2</c:v>
                </c:pt>
                <c:pt idx="8">
                  <c:v>5.8266306610440813E-2</c:v>
                </c:pt>
                <c:pt idx="9">
                  <c:v>5.9453020980549304E-2</c:v>
                </c:pt>
                <c:pt idx="10">
                  <c:v>5.8837164458364656E-2</c:v>
                </c:pt>
                <c:pt idx="11">
                  <c:v>5.8538241463437189E-2</c:v>
                </c:pt>
                <c:pt idx="12">
                  <c:v>5.6220729697243524E-2</c:v>
                </c:pt>
                <c:pt idx="13">
                  <c:v>5.6872942334730517E-2</c:v>
                </c:pt>
                <c:pt idx="14">
                  <c:v>5.9020464469586989E-2</c:v>
                </c:pt>
                <c:pt idx="15">
                  <c:v>5.7648907193643385E-2</c:v>
                </c:pt>
                <c:pt idx="16">
                  <c:v>5.6536929807125783E-2</c:v>
                </c:pt>
                <c:pt idx="17">
                  <c:v>5.3934549053146492E-2</c:v>
                </c:pt>
                <c:pt idx="18">
                  <c:v>5.4151368784517671E-2</c:v>
                </c:pt>
                <c:pt idx="19">
                  <c:v>5.4766159355202203E-2</c:v>
                </c:pt>
                <c:pt idx="20">
                  <c:v>5.7181155428846497E-2</c:v>
                </c:pt>
                <c:pt idx="21">
                  <c:v>6.1987567409818659E-2</c:v>
                </c:pt>
                <c:pt idx="22">
                  <c:v>5.9102852607148572E-2</c:v>
                </c:pt>
                <c:pt idx="23">
                  <c:v>5.8909568266218071E-2</c:v>
                </c:pt>
                <c:pt idx="24">
                  <c:v>6.1051173238628305E-2</c:v>
                </c:pt>
                <c:pt idx="25">
                  <c:v>6.2210557252471647E-2</c:v>
                </c:pt>
                <c:pt idx="26">
                  <c:v>6.1177844178224777E-2</c:v>
                </c:pt>
                <c:pt idx="27">
                  <c:v>5.8679278529873438E-2</c:v>
                </c:pt>
                <c:pt idx="28">
                  <c:v>5.8143186939858642E-2</c:v>
                </c:pt>
                <c:pt idx="29">
                  <c:v>6.0071974564968378E-2</c:v>
                </c:pt>
                <c:pt idx="30">
                  <c:v>5.9639267899058872E-2</c:v>
                </c:pt>
                <c:pt idx="31">
                  <c:v>5.9963986812277527E-2</c:v>
                </c:pt>
                <c:pt idx="32">
                  <c:v>5.8340267407972393E-2</c:v>
                </c:pt>
                <c:pt idx="33">
                  <c:v>5.7288825822438015E-2</c:v>
                </c:pt>
                <c:pt idx="34">
                  <c:v>6.0061243202949588E-2</c:v>
                </c:pt>
                <c:pt idx="35">
                  <c:v>5.9595577212259762E-2</c:v>
                </c:pt>
                <c:pt idx="36">
                  <c:v>5.9008545435933514E-2</c:v>
                </c:pt>
                <c:pt idx="37">
                  <c:v>5.8213946082480567E-2</c:v>
                </c:pt>
                <c:pt idx="38">
                  <c:v>5.9444460783025996E-2</c:v>
                </c:pt>
                <c:pt idx="39">
                  <c:v>5.7664994819763449E-2</c:v>
                </c:pt>
                <c:pt idx="40">
                  <c:v>5.8043627446795087E-2</c:v>
                </c:pt>
                <c:pt idx="41">
                  <c:v>5.6159093847477234E-2</c:v>
                </c:pt>
                <c:pt idx="42">
                  <c:v>5.5288001230820408E-2</c:v>
                </c:pt>
                <c:pt idx="43">
                  <c:v>5.3766187468151226E-2</c:v>
                </c:pt>
                <c:pt idx="44">
                  <c:v>5.3532005858735687E-2</c:v>
                </c:pt>
                <c:pt idx="45">
                  <c:v>5.3742824656094861E-2</c:v>
                </c:pt>
                <c:pt idx="46">
                  <c:v>5.3945357223250029E-2</c:v>
                </c:pt>
                <c:pt idx="47">
                  <c:v>5.4969169274124145E-2</c:v>
                </c:pt>
                <c:pt idx="48">
                  <c:v>5.4954664205095718E-2</c:v>
                </c:pt>
                <c:pt idx="49">
                  <c:v>5.2723896423713841E-2</c:v>
                </c:pt>
                <c:pt idx="50">
                  <c:v>5.398833501547249E-2</c:v>
                </c:pt>
                <c:pt idx="51">
                  <c:v>5.4718954314094057E-2</c:v>
                </c:pt>
                <c:pt idx="52">
                  <c:v>5.4010702693371479E-2</c:v>
                </c:pt>
                <c:pt idx="53">
                  <c:v>5.505827640687027E-2</c:v>
                </c:pt>
                <c:pt idx="54">
                  <c:v>5.7531811578668504E-2</c:v>
                </c:pt>
                <c:pt idx="55">
                  <c:v>5.9613068672680528E-2</c:v>
                </c:pt>
              </c:numCache>
            </c:numRef>
          </c:val>
          <c:extLst xmlns:c16r2="http://schemas.microsoft.com/office/drawing/2015/06/chart">
            <c:ext xmlns:c16="http://schemas.microsoft.com/office/drawing/2014/chart" uri="{C3380CC4-5D6E-409C-BE32-E72D297353CC}">
              <c16:uniqueId val="{00000012-7AE1-48C8-A5BF-D4E01B45D47A}"/>
            </c:ext>
          </c:extLst>
        </c:ser>
        <c:ser>
          <c:idx val="12"/>
          <c:order val="16"/>
          <c:tx>
            <c:v>Social Sec.</c:v>
          </c:tx>
          <c:spPr>
            <a:solidFill>
              <a:schemeClr val="accent2">
                <a:lumMod val="40000"/>
                <a:lumOff val="60000"/>
              </a:schemeClr>
            </a:solidFill>
            <a:ln w="25400">
              <a:noFill/>
            </a:ln>
          </c:spPr>
          <c:val>
            <c:numRef>
              <c:f>'F-B7'!$W$42:$W$97</c:f>
              <c:numCache>
                <c:formatCode>0.0%</c:formatCode>
                <c:ptCount val="56"/>
                <c:pt idx="0">
                  <c:v>2.3952632569600556E-2</c:v>
                </c:pt>
                <c:pt idx="1">
                  <c:v>2.5573089255914477E-2</c:v>
                </c:pt>
                <c:pt idx="2">
                  <c:v>2.7193545942228402E-2</c:v>
                </c:pt>
                <c:pt idx="3">
                  <c:v>2.6975031979721092E-2</c:v>
                </c:pt>
                <c:pt idx="4">
                  <c:v>2.6756518017213782E-2</c:v>
                </c:pt>
                <c:pt idx="5">
                  <c:v>2.7243150198552522E-2</c:v>
                </c:pt>
                <c:pt idx="6">
                  <c:v>2.7729782379891266E-2</c:v>
                </c:pt>
                <c:pt idx="7">
                  <c:v>2.7852651809431386E-2</c:v>
                </c:pt>
                <c:pt idx="8">
                  <c:v>2.9471746580794767E-2</c:v>
                </c:pt>
                <c:pt idx="9">
                  <c:v>2.9159977952958462E-2</c:v>
                </c:pt>
                <c:pt idx="10">
                  <c:v>3.2771406253082613E-2</c:v>
                </c:pt>
                <c:pt idx="11">
                  <c:v>3.5065912367529817E-2</c:v>
                </c:pt>
                <c:pt idx="12">
                  <c:v>3.5434013648947757E-2</c:v>
                </c:pt>
                <c:pt idx="13">
                  <c:v>3.9023996409034006E-2</c:v>
                </c:pt>
                <c:pt idx="14">
                  <c:v>4.0881979448430493E-2</c:v>
                </c:pt>
                <c:pt idx="15">
                  <c:v>4.2893550596684017E-2</c:v>
                </c:pt>
                <c:pt idx="16">
                  <c:v>4.3595339982572534E-2</c:v>
                </c:pt>
                <c:pt idx="17">
                  <c:v>4.3820184558603592E-2</c:v>
                </c:pt>
                <c:pt idx="18">
                  <c:v>4.2747423837686274E-2</c:v>
                </c:pt>
                <c:pt idx="19">
                  <c:v>4.3228481200636402E-2</c:v>
                </c:pt>
                <c:pt idx="20">
                  <c:v>4.578365928229073E-2</c:v>
                </c:pt>
                <c:pt idx="21">
                  <c:v>4.7570240256214015E-2</c:v>
                </c:pt>
                <c:pt idx="22">
                  <c:v>5.0153850165937409E-2</c:v>
                </c:pt>
                <c:pt idx="23">
                  <c:v>4.9736811247780302E-2</c:v>
                </c:pt>
                <c:pt idx="24">
                  <c:v>4.6886036036399903E-2</c:v>
                </c:pt>
                <c:pt idx="25">
                  <c:v>4.6423456040161001E-2</c:v>
                </c:pt>
                <c:pt idx="26">
                  <c:v>4.6822253821144404E-2</c:v>
                </c:pt>
                <c:pt idx="27">
                  <c:v>4.5501442496742532E-2</c:v>
                </c:pt>
                <c:pt idx="28">
                  <c:v>4.4467416614967531E-2</c:v>
                </c:pt>
                <c:pt idx="29">
                  <c:v>4.4289900848554969E-2</c:v>
                </c:pt>
                <c:pt idx="30">
                  <c:v>4.4889422040131639E-2</c:v>
                </c:pt>
                <c:pt idx="31">
                  <c:v>4.6649129058932905E-2</c:v>
                </c:pt>
                <c:pt idx="32">
                  <c:v>4.6565931915429737E-2</c:v>
                </c:pt>
                <c:pt idx="33">
                  <c:v>4.6899113734735175E-2</c:v>
                </c:pt>
                <c:pt idx="34">
                  <c:v>4.6136722105050723E-2</c:v>
                </c:pt>
                <c:pt idx="35">
                  <c:v>4.5832564586949585E-2</c:v>
                </c:pt>
                <c:pt idx="36">
                  <c:v>4.4958769456072266E-2</c:v>
                </c:pt>
                <c:pt idx="37">
                  <c:v>4.3969143949189778E-2</c:v>
                </c:pt>
                <c:pt idx="38">
                  <c:v>4.2915609902218231E-2</c:v>
                </c:pt>
                <c:pt idx="39">
                  <c:v>4.1738576922240873E-2</c:v>
                </c:pt>
                <c:pt idx="40">
                  <c:v>4.1249217053754915E-2</c:v>
                </c:pt>
                <c:pt idx="41">
                  <c:v>4.2055557363395286E-2</c:v>
                </c:pt>
                <c:pt idx="42">
                  <c:v>4.2731072670413706E-2</c:v>
                </c:pt>
                <c:pt idx="43">
                  <c:v>4.2336565125297113E-2</c:v>
                </c:pt>
                <c:pt idx="44">
                  <c:v>4.1507314497177462E-2</c:v>
                </c:pt>
                <c:pt idx="45">
                  <c:v>4.1117900315987332E-2</c:v>
                </c:pt>
                <c:pt idx="46">
                  <c:v>4.0852589781639859E-2</c:v>
                </c:pt>
                <c:pt idx="47">
                  <c:v>4.1914770136159164E-2</c:v>
                </c:pt>
                <c:pt idx="48">
                  <c:v>4.2823487575093452E-2</c:v>
                </c:pt>
                <c:pt idx="49">
                  <c:v>4.7634339101710332E-2</c:v>
                </c:pt>
                <c:pt idx="50">
                  <c:v>4.6846475237647837E-2</c:v>
                </c:pt>
                <c:pt idx="51">
                  <c:v>4.6432683860804867E-2</c:v>
                </c:pt>
                <c:pt idx="52">
                  <c:v>4.7401399192149384E-2</c:v>
                </c:pt>
                <c:pt idx="53">
                  <c:v>4.8376074529321793E-2</c:v>
                </c:pt>
                <c:pt idx="54">
                  <c:v>4.8195655638915466E-2</c:v>
                </c:pt>
                <c:pt idx="55">
                  <c:v>4.8337162374125851E-2</c:v>
                </c:pt>
              </c:numCache>
            </c:numRef>
          </c:val>
          <c:extLst xmlns:c16r2="http://schemas.microsoft.com/office/drawing/2015/06/chart">
            <c:ext xmlns:c16="http://schemas.microsoft.com/office/drawing/2014/chart" uri="{C3380CC4-5D6E-409C-BE32-E72D297353CC}">
              <c16:uniqueId val="{00000013-7AE1-48C8-A5BF-D4E01B45D47A}"/>
            </c:ext>
          </c:extLst>
        </c:ser>
        <c:ser>
          <c:idx val="13"/>
          <c:order val="17"/>
          <c:tx>
            <c:v>Medicare</c:v>
          </c:tx>
          <c:spPr>
            <a:solidFill>
              <a:schemeClr val="accent2">
                <a:lumMod val="20000"/>
                <a:lumOff val="80000"/>
              </a:schemeClr>
            </a:solidFill>
            <a:ln w="25400">
              <a:noFill/>
            </a:ln>
          </c:spPr>
          <c:val>
            <c:numRef>
              <c:f>'F-B7'!$X$42:$X$97</c:f>
              <c:numCache>
                <c:formatCode>0.0%</c:formatCode>
                <c:ptCount val="56"/>
                <c:pt idx="0">
                  <c:v>0</c:v>
                </c:pt>
                <c:pt idx="1">
                  <c:v>0</c:v>
                </c:pt>
                <c:pt idx="2">
                  <c:v>0</c:v>
                </c:pt>
                <c:pt idx="3">
                  <c:v>0</c:v>
                </c:pt>
                <c:pt idx="4">
                  <c:v>0</c:v>
                </c:pt>
                <c:pt idx="5">
                  <c:v>4.5317873815050051E-4</c:v>
                </c:pt>
                <c:pt idx="6">
                  <c:v>9.0635747630100102E-4</c:v>
                </c:pt>
                <c:pt idx="7">
                  <c:v>5.0402993176318321E-3</c:v>
                </c:pt>
                <c:pt idx="8">
                  <c:v>5.7182129811523237E-3</c:v>
                </c:pt>
                <c:pt idx="9">
                  <c:v>6.0370960335942728E-3</c:v>
                </c:pt>
                <c:pt idx="10">
                  <c:v>6.092266255290045E-3</c:v>
                </c:pt>
                <c:pt idx="11">
                  <c:v>6.1273622382607392E-3</c:v>
                </c:pt>
                <c:pt idx="12">
                  <c:v>6.1279090932962882E-3</c:v>
                </c:pt>
                <c:pt idx="13">
                  <c:v>6.3736286145317893E-3</c:v>
                </c:pt>
                <c:pt idx="14">
                  <c:v>7.3921094552638535E-3</c:v>
                </c:pt>
                <c:pt idx="15">
                  <c:v>8.5061458420115869E-3</c:v>
                </c:pt>
                <c:pt idx="16">
                  <c:v>9.3473243726326545E-3</c:v>
                </c:pt>
                <c:pt idx="17">
                  <c:v>9.9975402108261786E-3</c:v>
                </c:pt>
                <c:pt idx="18">
                  <c:v>1.0342487392722019E-2</c:v>
                </c:pt>
                <c:pt idx="19">
                  <c:v>1.1006694228279613E-2</c:v>
                </c:pt>
                <c:pt idx="20">
                  <c:v>1.2314297246140369E-2</c:v>
                </c:pt>
                <c:pt idx="21">
                  <c:v>1.3144121526218929E-2</c:v>
                </c:pt>
                <c:pt idx="22">
                  <c:v>1.4853155232583751E-2</c:v>
                </c:pt>
                <c:pt idx="23">
                  <c:v>1.5630135165734908E-2</c:v>
                </c:pt>
                <c:pt idx="24">
                  <c:v>1.5598222774243085E-2</c:v>
                </c:pt>
                <c:pt idx="25">
                  <c:v>1.5706007284794661E-2</c:v>
                </c:pt>
                <c:pt idx="26">
                  <c:v>1.6283201920668507E-2</c:v>
                </c:pt>
                <c:pt idx="27">
                  <c:v>1.6267731216295007E-2</c:v>
                </c:pt>
                <c:pt idx="28">
                  <c:v>1.5625996606557776E-2</c:v>
                </c:pt>
                <c:pt idx="29">
                  <c:v>1.6237374910176985E-2</c:v>
                </c:pt>
                <c:pt idx="30">
                  <c:v>1.7201337354435142E-2</c:v>
                </c:pt>
                <c:pt idx="31">
                  <c:v>1.8121632137693057E-2</c:v>
                </c:pt>
                <c:pt idx="32">
                  <c:v>1.9062405653097598E-2</c:v>
                </c:pt>
                <c:pt idx="33">
                  <c:v>2.0337674281514933E-2</c:v>
                </c:pt>
                <c:pt idx="34">
                  <c:v>2.1191312087767613E-2</c:v>
                </c:pt>
                <c:pt idx="35">
                  <c:v>2.2049736903443903E-2</c:v>
                </c:pt>
                <c:pt idx="36">
                  <c:v>2.2615381371358403E-2</c:v>
                </c:pt>
                <c:pt idx="37">
                  <c:v>2.2615319885135501E-2</c:v>
                </c:pt>
                <c:pt idx="38">
                  <c:v>2.099380907868886E-2</c:v>
                </c:pt>
                <c:pt idx="39">
                  <c:v>2.041046204024204E-2</c:v>
                </c:pt>
                <c:pt idx="40">
                  <c:v>1.9993475166302992E-2</c:v>
                </c:pt>
                <c:pt idx="41">
                  <c:v>2.1325420297746919E-2</c:v>
                </c:pt>
                <c:pt idx="42">
                  <c:v>2.1958141579326282E-2</c:v>
                </c:pt>
                <c:pt idx="43">
                  <c:v>2.2345973712936916E-2</c:v>
                </c:pt>
                <c:pt idx="44">
                  <c:v>2.2910896766322471E-2</c:v>
                </c:pt>
                <c:pt idx="45">
                  <c:v>2.3211135952303379E-2</c:v>
                </c:pt>
                <c:pt idx="46">
                  <c:v>2.6037359706822426E-2</c:v>
                </c:pt>
                <c:pt idx="47">
                  <c:v>2.7076151416983045E-2</c:v>
                </c:pt>
                <c:pt idx="48">
                  <c:v>2.8358413133762646E-2</c:v>
                </c:pt>
                <c:pt idx="49">
                  <c:v>3.0498677633950051E-2</c:v>
                </c:pt>
                <c:pt idx="50">
                  <c:v>3.0429327074750694E-2</c:v>
                </c:pt>
                <c:pt idx="51">
                  <c:v>3.0183469261229091E-2</c:v>
                </c:pt>
                <c:pt idx="52">
                  <c:v>3.0024295244615966E-2</c:v>
                </c:pt>
                <c:pt idx="53">
                  <c:v>2.9954774203107274E-2</c:v>
                </c:pt>
                <c:pt idx="54">
                  <c:v>2.982421258104391E-2</c:v>
                </c:pt>
                <c:pt idx="55">
                  <c:v>3.0152705496290753E-2</c:v>
                </c:pt>
              </c:numCache>
            </c:numRef>
          </c:val>
          <c:extLst xmlns:c16r2="http://schemas.microsoft.com/office/drawing/2015/06/chart">
            <c:ext xmlns:c16="http://schemas.microsoft.com/office/drawing/2014/chart" uri="{C3380CC4-5D6E-409C-BE32-E72D297353CC}">
              <c16:uniqueId val="{00000014-7AE1-48C8-A5BF-D4E01B45D47A}"/>
            </c:ext>
          </c:extLst>
        </c:ser>
        <c:ser>
          <c:idx val="14"/>
          <c:order val="18"/>
          <c:tx>
            <c:v>Other Transfers</c:v>
          </c:tx>
          <c:spPr>
            <a:solidFill>
              <a:schemeClr val="accent2">
                <a:lumMod val="60000"/>
                <a:lumOff val="40000"/>
              </a:schemeClr>
            </a:solidFill>
            <a:ln w="25400">
              <a:noFill/>
            </a:ln>
          </c:spPr>
          <c:val>
            <c:numRef>
              <c:f>'F-B7'!$Y$42:$Y$97</c:f>
              <c:numCache>
                <c:formatCode>0.0%</c:formatCode>
                <c:ptCount val="56"/>
                <c:pt idx="0">
                  <c:v>2.4488042023511656E-2</c:v>
                </c:pt>
                <c:pt idx="1">
                  <c:v>2.4215882986908865E-2</c:v>
                </c:pt>
                <c:pt idx="2">
                  <c:v>2.3943723950306074E-2</c:v>
                </c:pt>
                <c:pt idx="3">
                  <c:v>2.3073120195441384E-2</c:v>
                </c:pt>
                <c:pt idx="4">
                  <c:v>2.2202516440576695E-2</c:v>
                </c:pt>
                <c:pt idx="5">
                  <c:v>2.1346004388273714E-2</c:v>
                </c:pt>
                <c:pt idx="6">
                  <c:v>2.0489492335970735E-2</c:v>
                </c:pt>
                <c:pt idx="7">
                  <c:v>2.3125275731031687E-2</c:v>
                </c:pt>
                <c:pt idx="8">
                  <c:v>2.4133391164226702E-2</c:v>
                </c:pt>
                <c:pt idx="9">
                  <c:v>2.5433916951771062E-2</c:v>
                </c:pt>
                <c:pt idx="10">
                  <c:v>3.1023268144427612E-2</c:v>
                </c:pt>
                <c:pt idx="11">
                  <c:v>3.5192146745937736E-2</c:v>
                </c:pt>
                <c:pt idx="12">
                  <c:v>3.5243287205475163E-2</c:v>
                </c:pt>
                <c:pt idx="13">
                  <c:v>3.3101961448349884E-2</c:v>
                </c:pt>
                <c:pt idx="14">
                  <c:v>3.7512823536664928E-2</c:v>
                </c:pt>
                <c:pt idx="15">
                  <c:v>4.8587675640468807E-2</c:v>
                </c:pt>
                <c:pt idx="16">
                  <c:v>4.5129116661822566E-2</c:v>
                </c:pt>
                <c:pt idx="17">
                  <c:v>4.0465011272377401E-2</c:v>
                </c:pt>
                <c:pt idx="18">
                  <c:v>3.69891959069054E-2</c:v>
                </c:pt>
                <c:pt idx="19">
                  <c:v>3.6600281237322924E-2</c:v>
                </c:pt>
                <c:pt idx="20">
                  <c:v>4.1517250603972919E-2</c:v>
                </c:pt>
                <c:pt idx="21">
                  <c:v>3.976974919987683E-2</c:v>
                </c:pt>
                <c:pt idx="22">
                  <c:v>4.1723748976764431E-2</c:v>
                </c:pt>
                <c:pt idx="23">
                  <c:v>4.1515677066396757E-2</c:v>
                </c:pt>
                <c:pt idx="24">
                  <c:v>3.5884473195191849E-2</c:v>
                </c:pt>
                <c:pt idx="25">
                  <c:v>3.5256503725422508E-2</c:v>
                </c:pt>
                <c:pt idx="26">
                  <c:v>3.5905599288913105E-2</c:v>
                </c:pt>
                <c:pt idx="27">
                  <c:v>3.4838902641886098E-2</c:v>
                </c:pt>
                <c:pt idx="28">
                  <c:v>3.4254124307103243E-2</c:v>
                </c:pt>
                <c:pt idx="29">
                  <c:v>3.5637288166242689E-2</c:v>
                </c:pt>
                <c:pt idx="30">
                  <c:v>3.8518080115913657E-2</c:v>
                </c:pt>
                <c:pt idx="31">
                  <c:v>4.4861224621522922E-2</c:v>
                </c:pt>
                <c:pt idx="32">
                  <c:v>4.9801035378219713E-2</c:v>
                </c:pt>
                <c:pt idx="33">
                  <c:v>5.006345412048735E-2</c:v>
                </c:pt>
                <c:pt idx="34">
                  <c:v>4.7727976529182356E-2</c:v>
                </c:pt>
                <c:pt idx="35">
                  <c:v>4.7485513229946902E-2</c:v>
                </c:pt>
                <c:pt idx="36">
                  <c:v>4.6406446661144934E-2</c:v>
                </c:pt>
                <c:pt idx="37">
                  <c:v>4.3839089105797209E-2</c:v>
                </c:pt>
                <c:pt idx="38">
                  <c:v>4.2635313412690987E-2</c:v>
                </c:pt>
                <c:pt idx="39">
                  <c:v>4.2526519341217699E-2</c:v>
                </c:pt>
                <c:pt idx="40">
                  <c:v>4.189756863460032E-2</c:v>
                </c:pt>
                <c:pt idx="41">
                  <c:v>4.557312245945612E-2</c:v>
                </c:pt>
                <c:pt idx="42">
                  <c:v>5.0241501211775681E-2</c:v>
                </c:pt>
                <c:pt idx="43">
                  <c:v>5.1259252659288095E-2</c:v>
                </c:pt>
                <c:pt idx="44">
                  <c:v>5.0834019085277592E-2</c:v>
                </c:pt>
                <c:pt idx="45">
                  <c:v>5.017889829450322E-2</c:v>
                </c:pt>
                <c:pt idx="46">
                  <c:v>4.7250466260163666E-2</c:v>
                </c:pt>
                <c:pt idx="47">
                  <c:v>4.8895362795897221E-2</c:v>
                </c:pt>
                <c:pt idx="48">
                  <c:v>6.430537874476222E-2</c:v>
                </c:pt>
                <c:pt idx="49">
                  <c:v>6.6263733288746574E-2</c:v>
                </c:pt>
                <c:pt idx="50">
                  <c:v>7.1308123575885118E-2</c:v>
                </c:pt>
                <c:pt idx="51">
                  <c:v>6.7318934977129249E-2</c:v>
                </c:pt>
                <c:pt idx="52">
                  <c:v>6.0893060176694533E-2</c:v>
                </c:pt>
                <c:pt idx="53">
                  <c:v>5.9739248775384321E-2</c:v>
                </c:pt>
                <c:pt idx="54">
                  <c:v>5.9848017610271469E-2</c:v>
                </c:pt>
                <c:pt idx="55">
                  <c:v>6.0888559850719552E-2</c:v>
                </c:pt>
              </c:numCache>
            </c:numRef>
          </c:val>
          <c:extLst xmlns:c16r2="http://schemas.microsoft.com/office/drawing/2015/06/chart">
            <c:ext xmlns:c16="http://schemas.microsoft.com/office/drawing/2014/chart" uri="{C3380CC4-5D6E-409C-BE32-E72D297353CC}">
              <c16:uniqueId val="{00000015-7AE1-48C8-A5BF-D4E01B45D47A}"/>
            </c:ext>
          </c:extLst>
        </c:ser>
        <c:dLbls>
          <c:showLegendKey val="0"/>
          <c:showVal val="0"/>
          <c:showCatName val="0"/>
          <c:showSerName val="0"/>
          <c:showPercent val="0"/>
          <c:showBubbleSize val="0"/>
        </c:dLbls>
        <c:axId val="566415712"/>
        <c:axId val="566415320"/>
      </c:areaChart>
      <c:catAx>
        <c:axId val="566415712"/>
        <c:scaling>
          <c:orientation val="minMax"/>
        </c:scaling>
        <c:delete val="0"/>
        <c:axPos val="b"/>
        <c:majorGridlines>
          <c:spPr>
            <a:ln w="12700">
              <a:no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en-US"/>
          </a:p>
        </c:txPr>
        <c:crossAx val="566415320"/>
        <c:crossesAt val="0"/>
        <c:auto val="1"/>
        <c:lblAlgn val="ctr"/>
        <c:lblOffset val="100"/>
        <c:tickLblSkip val="10"/>
        <c:tickMarkSkip val="10"/>
        <c:noMultiLvlLbl val="0"/>
      </c:catAx>
      <c:valAx>
        <c:axId val="566415320"/>
        <c:scaling>
          <c:orientation val="minMax"/>
          <c:max val="1"/>
          <c:min val="0"/>
        </c:scaling>
        <c:delete val="0"/>
        <c:axPos val="l"/>
        <c:majorGridlines>
          <c:spPr>
            <a:ln w="6350">
              <a:solidFill>
                <a:srgbClr val="000000"/>
              </a:solidFill>
              <a:prstDash val="sysDash"/>
            </a:ln>
          </c:spPr>
        </c:majorGridlines>
        <c:title>
          <c:tx>
            <c:rich>
              <a:bodyPr/>
              <a:lstStyle/>
              <a:p>
                <a:pPr>
                  <a:defRPr sz="2050" b="1" i="0" u="none" strike="noStrike" baseline="0">
                    <a:solidFill>
                      <a:srgbClr val="000000"/>
                    </a:solidFill>
                    <a:latin typeface="Arial"/>
                    <a:ea typeface="Arial"/>
                    <a:cs typeface="Arial"/>
                  </a:defRPr>
                </a:pPr>
                <a:r>
                  <a:rPr lang="en-US" sz="1400"/>
                  <a:t>Share of pre-tax after-transfer income</a:t>
                </a:r>
              </a:p>
            </c:rich>
          </c:tx>
          <c:layout>
            <c:manualLayout>
              <c:xMode val="edge"/>
              <c:yMode val="edge"/>
              <c:x val="3.5512012548100241E-3"/>
              <c:y val="0.2354257313820667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en-US"/>
          </a:p>
        </c:txPr>
        <c:crossAx val="566415712"/>
        <c:crosses val="autoZero"/>
        <c:crossBetween val="midCat"/>
        <c:majorUnit val="0.2"/>
        <c:minorUnit val="0.05"/>
      </c:valAx>
      <c:spPr>
        <a:solidFill>
          <a:srgbClr val="FFFFFF"/>
        </a:solidFill>
        <a:ln w="12700">
          <a:noFill/>
          <a:prstDash val="solid"/>
        </a:ln>
      </c:spPr>
    </c:plotArea>
    <c:plotVisOnly val="1"/>
    <c:dispBlanksAs val="span"/>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933" r="0.75000000000000933" t="1" header="0.5" footer="0.5"/>
    <c:pageSetup orientation="landscape" verticalDpi="96"/>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91342386549507"/>
          <c:y val="1.8940789181013391E-2"/>
          <c:w val="0.6996705916347612"/>
          <c:h val="0.92334734641220695"/>
        </c:manualLayout>
      </c:layout>
      <c:lineChart>
        <c:grouping val="standard"/>
        <c:varyColors val="0"/>
        <c:ser>
          <c:idx val="0"/>
          <c:order val="0"/>
          <c:tx>
            <c:v>Piketty-Saez (with capital gains)</c:v>
          </c:tx>
          <c:spPr>
            <a:ln w="25400">
              <a:solidFill>
                <a:schemeClr val="bg1">
                  <a:lumMod val="65000"/>
                </a:schemeClr>
              </a:solidFill>
              <a:prstDash val="solid"/>
            </a:ln>
          </c:spPr>
          <c:marker>
            <c:symbol val="none"/>
          </c:marker>
          <c:dPt>
            <c:idx val="54"/>
            <c:bubble3D val="0"/>
            <c:extLst xmlns:c16r2="http://schemas.microsoft.com/office/drawing/2015/06/chart">
              <c:ext xmlns:c16="http://schemas.microsoft.com/office/drawing/2014/chart" uri="{C3380CC4-5D6E-409C-BE32-E72D297353CC}">
                <c16:uniqueId val="{00000000-992A-4D4F-A07A-69048B9519F3}"/>
              </c:ext>
            </c:extLst>
          </c:dPt>
          <c:cat>
            <c:numRef>
              <c:f>'C26-PSshare'!$A$33:$A$88</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'C26-PSshare'!$H$33:$H$88</c:f>
              <c:numCache>
                <c:formatCode>0%</c:formatCode>
                <c:ptCount val="56"/>
                <c:pt idx="0">
                  <c:v>0.68467432142939977</c:v>
                </c:pt>
                <c:pt idx="1">
                  <c:v>0.69669183177479155</c:v>
                </c:pt>
                <c:pt idx="2">
                  <c:v>0.68075115040376066</c:v>
                </c:pt>
                <c:pt idx="3">
                  <c:v>0.68077717729486587</c:v>
                </c:pt>
                <c:pt idx="4">
                  <c:v>0.68786773966222048</c:v>
                </c:pt>
                <c:pt idx="5">
                  <c:v>0.68563756005075427</c:v>
                </c:pt>
                <c:pt idx="6">
                  <c:v>0.68207916195352247</c:v>
                </c:pt>
                <c:pt idx="7">
                  <c:v>0.69903613173517776</c:v>
                </c:pt>
                <c:pt idx="8">
                  <c:v>0.70338928532688549</c:v>
                </c:pt>
                <c:pt idx="9">
                  <c:v>0.69401334136475812</c:v>
                </c:pt>
                <c:pt idx="10">
                  <c:v>0.7014838709754857</c:v>
                </c:pt>
                <c:pt idx="11">
                  <c:v>0.69802787397742305</c:v>
                </c:pt>
                <c:pt idx="12">
                  <c:v>0.69947766220603846</c:v>
                </c:pt>
                <c:pt idx="13">
                  <c:v>0.68849028556120329</c:v>
                </c:pt>
                <c:pt idx="14">
                  <c:v>0.69730703862599064</c:v>
                </c:pt>
                <c:pt idx="15">
                  <c:v>0.68516193691754712</c:v>
                </c:pt>
                <c:pt idx="16">
                  <c:v>0.68495553226003514</c:v>
                </c:pt>
                <c:pt idx="17">
                  <c:v>0.67677195199392004</c:v>
                </c:pt>
                <c:pt idx="18">
                  <c:v>0.67257686591013688</c:v>
                </c:pt>
                <c:pt idx="19">
                  <c:v>0.68874985648819309</c:v>
                </c:pt>
                <c:pt idx="20">
                  <c:v>0.70300455832183384</c:v>
                </c:pt>
                <c:pt idx="21">
                  <c:v>0.69104820845294324</c:v>
                </c:pt>
                <c:pt idx="22">
                  <c:v>0.70222148389954875</c:v>
                </c:pt>
                <c:pt idx="23">
                  <c:v>0.69524987857433862</c:v>
                </c:pt>
                <c:pt idx="24">
                  <c:v>0.67704183206438362</c:v>
                </c:pt>
                <c:pt idx="25">
                  <c:v>0.68447000927597135</c:v>
                </c:pt>
                <c:pt idx="26">
                  <c:v>0.72771163392917049</c:v>
                </c:pt>
                <c:pt idx="27">
                  <c:v>0.68144173076738335</c:v>
                </c:pt>
                <c:pt idx="28">
                  <c:v>0.6924999700410166</c:v>
                </c:pt>
                <c:pt idx="29">
                  <c:v>0.68526637694904846</c:v>
                </c:pt>
                <c:pt idx="30">
                  <c:v>0.68369554633005936</c:v>
                </c:pt>
                <c:pt idx="31">
                  <c:v>0.67257199468436135</c:v>
                </c:pt>
                <c:pt idx="32">
                  <c:v>0.66573289351203802</c:v>
                </c:pt>
                <c:pt idx="33">
                  <c:v>0.65378099377033927</c:v>
                </c:pt>
                <c:pt idx="34">
                  <c:v>0.64238998124892144</c:v>
                </c:pt>
                <c:pt idx="35">
                  <c:v>0.65101445857097495</c:v>
                </c:pt>
                <c:pt idx="36">
                  <c:v>0.66074888334130322</c:v>
                </c:pt>
                <c:pt idx="37">
                  <c:v>0.6763019678557628</c:v>
                </c:pt>
                <c:pt idx="38">
                  <c:v>0.69200198319579986</c:v>
                </c:pt>
                <c:pt idx="39">
                  <c:v>0.70541674143311928</c:v>
                </c:pt>
                <c:pt idx="40">
                  <c:v>0.71033665851366568</c:v>
                </c:pt>
                <c:pt idx="41">
                  <c:v>0.6719295733289965</c:v>
                </c:pt>
                <c:pt idx="42">
                  <c:v>0.64232666218321344</c:v>
                </c:pt>
                <c:pt idx="43">
                  <c:v>0.63416270835706168</c:v>
                </c:pt>
                <c:pt idx="44">
                  <c:v>0.65032023648481119</c:v>
                </c:pt>
                <c:pt idx="45">
                  <c:v>0.66667153032699811</c:v>
                </c:pt>
                <c:pt idx="46">
                  <c:v>0.67285821417860048</c:v>
                </c:pt>
                <c:pt idx="47">
                  <c:v>0.70618500002050122</c:v>
                </c:pt>
                <c:pt idx="48">
                  <c:v>0.66632646221731062</c:v>
                </c:pt>
                <c:pt idx="49">
                  <c:v>0.62805847034795592</c:v>
                </c:pt>
                <c:pt idx="50">
                  <c:v>0.63090384254002219</c:v>
                </c:pt>
                <c:pt idx="51">
                  <c:v>0.62494971823111523</c:v>
                </c:pt>
                <c:pt idx="52">
                  <c:v>0.64857580597526632</c:v>
                </c:pt>
                <c:pt idx="53">
                  <c:v>0.6289804814029456</c:v>
                </c:pt>
                <c:pt idx="54">
                  <c:v>0.64672590914919903</c:v>
                </c:pt>
                <c:pt idx="55">
                  <c:v>0.62225474310782714</c:v>
                </c:pt>
              </c:numCache>
            </c:numRef>
          </c:val>
          <c:smooth val="0"/>
          <c:extLst xmlns:c16r2="http://schemas.microsoft.com/office/drawing/2015/06/chart">
            <c:ext xmlns:c16="http://schemas.microsoft.com/office/drawing/2014/chart" uri="{C3380CC4-5D6E-409C-BE32-E72D297353CC}">
              <c16:uniqueId val="{00000001-992A-4D4F-A07A-69048B9519F3}"/>
            </c:ext>
          </c:extLst>
        </c:ser>
        <c:ser>
          <c:idx val="1"/>
          <c:order val="1"/>
          <c:tx>
            <c:v>PS no cap gains</c:v>
          </c:tx>
          <c:spPr>
            <a:ln>
              <a:solidFill>
                <a:schemeClr val="tx1"/>
              </a:solidFill>
            </a:ln>
          </c:spPr>
          <c:marker>
            <c:symbol val="none"/>
          </c:marker>
          <c:val>
            <c:numRef>
              <c:f>'C26-PSshare'!$E$33:$E$88</c:f>
              <c:numCache>
                <c:formatCode>0%</c:formatCode>
                <c:ptCount val="56"/>
                <c:pt idx="0">
                  <c:v>0.66275746668665247</c:v>
                </c:pt>
                <c:pt idx="1">
                  <c:v>0.66621875592698188</c:v>
                </c:pt>
                <c:pt idx="2">
                  <c:v>0.65958853308539278</c:v>
                </c:pt>
                <c:pt idx="3">
                  <c:v>0.65813229772044135</c:v>
                </c:pt>
                <c:pt idx="4">
                  <c:v>0.66162254782870633</c:v>
                </c:pt>
                <c:pt idx="5">
                  <c:v>0.65456320241620392</c:v>
                </c:pt>
                <c:pt idx="6">
                  <c:v>0.65413248476383579</c:v>
                </c:pt>
                <c:pt idx="7">
                  <c:v>0.66272975325696748</c:v>
                </c:pt>
                <c:pt idx="8">
                  <c:v>0.65976304324090207</c:v>
                </c:pt>
                <c:pt idx="9">
                  <c:v>0.66113247156753296</c:v>
                </c:pt>
                <c:pt idx="10">
                  <c:v>0.68207524532146702</c:v>
                </c:pt>
                <c:pt idx="11">
                  <c:v>0.67216790717257435</c:v>
                </c:pt>
                <c:pt idx="12">
                  <c:v>0.66889018749598239</c:v>
                </c:pt>
                <c:pt idx="13">
                  <c:v>0.66166408307588132</c:v>
                </c:pt>
                <c:pt idx="14">
                  <c:v>0.6770585727521069</c:v>
                </c:pt>
                <c:pt idx="15">
                  <c:v>0.66567391777683926</c:v>
                </c:pt>
                <c:pt idx="16">
                  <c:v>0.66186922940643456</c:v>
                </c:pt>
                <c:pt idx="17">
                  <c:v>0.65334442039110396</c:v>
                </c:pt>
                <c:pt idx="18">
                  <c:v>0.6490692629723146</c:v>
                </c:pt>
                <c:pt idx="19">
                  <c:v>0.6566875368862799</c:v>
                </c:pt>
                <c:pt idx="20">
                  <c:v>0.67241799653060019</c:v>
                </c:pt>
                <c:pt idx="21">
                  <c:v>0.6626588797943771</c:v>
                </c:pt>
                <c:pt idx="22">
                  <c:v>0.67172449965923431</c:v>
                </c:pt>
                <c:pt idx="23">
                  <c:v>0.65492331904871637</c:v>
                </c:pt>
                <c:pt idx="24">
                  <c:v>0.63696604199897389</c:v>
                </c:pt>
                <c:pt idx="25">
                  <c:v>0.63772376471577097</c:v>
                </c:pt>
                <c:pt idx="26">
                  <c:v>0.64120138485966971</c:v>
                </c:pt>
                <c:pt idx="27">
                  <c:v>0.64792816817583032</c:v>
                </c:pt>
                <c:pt idx="28">
                  <c:v>0.65786495651442678</c:v>
                </c:pt>
                <c:pt idx="29">
                  <c:v>0.65459217176205686</c:v>
                </c:pt>
                <c:pt idx="30">
                  <c:v>0.66072099958302621</c:v>
                </c:pt>
                <c:pt idx="31">
                  <c:v>0.6531790953616492</c:v>
                </c:pt>
                <c:pt idx="32">
                  <c:v>0.64471811247116129</c:v>
                </c:pt>
                <c:pt idx="33">
                  <c:v>0.62939311057611347</c:v>
                </c:pt>
                <c:pt idx="34">
                  <c:v>0.61973594016999745</c:v>
                </c:pt>
                <c:pt idx="35">
                  <c:v>0.62517826440959523</c:v>
                </c:pt>
                <c:pt idx="36">
                  <c:v>0.62458164894361545</c:v>
                </c:pt>
                <c:pt idx="37">
                  <c:v>0.62825261531652687</c:v>
                </c:pt>
                <c:pt idx="38">
                  <c:v>0.63542922519303047</c:v>
                </c:pt>
                <c:pt idx="39">
                  <c:v>0.64278394812275541</c:v>
                </c:pt>
                <c:pt idx="40">
                  <c:v>0.64131922260160568</c:v>
                </c:pt>
                <c:pt idx="41">
                  <c:v>0.63652598126385895</c:v>
                </c:pt>
                <c:pt idx="42">
                  <c:v>0.61706731377750523</c:v>
                </c:pt>
                <c:pt idx="43">
                  <c:v>0.60435569332450145</c:v>
                </c:pt>
                <c:pt idx="44">
                  <c:v>0.60556751694711508</c:v>
                </c:pt>
                <c:pt idx="45">
                  <c:v>0.60767974931982893</c:v>
                </c:pt>
                <c:pt idx="46">
                  <c:v>0.60862980994097826</c:v>
                </c:pt>
                <c:pt idx="47">
                  <c:v>0.63349228955714632</c:v>
                </c:pt>
                <c:pt idx="48">
                  <c:v>0.62878335631000803</c:v>
                </c:pt>
                <c:pt idx="49">
                  <c:v>0.60899319631623683</c:v>
                </c:pt>
                <c:pt idx="50">
                  <c:v>0.60234645798098552</c:v>
                </c:pt>
                <c:pt idx="51">
                  <c:v>0.5968451021943485</c:v>
                </c:pt>
                <c:pt idx="52">
                  <c:v>0.60443729979565064</c:v>
                </c:pt>
                <c:pt idx="53">
                  <c:v>0.59376291726844144</c:v>
                </c:pt>
                <c:pt idx="54">
                  <c:v>0.60081076837372804</c:v>
                </c:pt>
                <c:pt idx="55">
                  <c:v>0.57807696886585602</c:v>
                </c:pt>
              </c:numCache>
            </c:numRef>
          </c:val>
          <c:smooth val="0"/>
          <c:extLst xmlns:c16r2="http://schemas.microsoft.com/office/drawing/2015/06/chart">
            <c:ext xmlns:c16="http://schemas.microsoft.com/office/drawing/2014/chart" uri="{C3380CC4-5D6E-409C-BE32-E72D297353CC}">
              <c16:uniqueId val="{00000002-992A-4D4F-A07A-69048B9519F3}"/>
            </c:ext>
          </c:extLst>
        </c:ser>
        <c:dLbls>
          <c:showLegendKey val="0"/>
          <c:showVal val="0"/>
          <c:showCatName val="0"/>
          <c:showSerName val="0"/>
          <c:showPercent val="0"/>
          <c:showBubbleSize val="0"/>
        </c:dLbls>
        <c:smooth val="0"/>
        <c:axId val="566410224"/>
        <c:axId val="566414536"/>
      </c:lineChart>
      <c:catAx>
        <c:axId val="566410224"/>
        <c:scaling>
          <c:orientation val="minMax"/>
        </c:scaling>
        <c:delete val="0"/>
        <c:axPos val="b"/>
        <c:majorGridlines>
          <c:spPr>
            <a:ln w="6350">
              <a:solidFill>
                <a:schemeClr val="tx1">
                  <a:lumMod val="50000"/>
                  <a:lumOff val="50000"/>
                </a:schemeClr>
              </a:solidFill>
              <a:prstDash val="sysDash"/>
            </a:ln>
          </c:spPr>
        </c:majorGridlines>
        <c:numFmt formatCode="General"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566414536"/>
        <c:crossesAt val="0"/>
        <c:auto val="1"/>
        <c:lblAlgn val="ctr"/>
        <c:lblOffset val="100"/>
        <c:tickLblSkip val="10"/>
        <c:tickMarkSkip val="10"/>
        <c:noMultiLvlLbl val="0"/>
      </c:catAx>
      <c:valAx>
        <c:axId val="566414536"/>
        <c:scaling>
          <c:orientation val="minMax"/>
          <c:max val="1.004"/>
          <c:min val="0"/>
        </c:scaling>
        <c:delete val="0"/>
        <c:axPos val="l"/>
        <c:majorGridlines>
          <c:spPr>
            <a:ln w="6350">
              <a:solidFill>
                <a:schemeClr val="tx1">
                  <a:lumMod val="50000"/>
                  <a:lumOff val="50000"/>
                </a:schemeClr>
              </a:solidFill>
              <a:prstDash val="sysDash"/>
            </a:ln>
          </c:spPr>
        </c:majorGridlines>
        <c:title>
          <c:tx>
            <c:rich>
              <a:bodyPr/>
              <a:lstStyle/>
              <a:p>
                <a:pPr>
                  <a:defRPr sz="1300" b="0" i="0" u="none" strike="noStrike" baseline="0">
                    <a:solidFill>
                      <a:srgbClr val="000000"/>
                    </a:solidFill>
                    <a:latin typeface="Arial"/>
                    <a:ea typeface="Arial"/>
                    <a:cs typeface="Arial"/>
                  </a:defRPr>
                </a:pPr>
                <a:r>
                  <a:rPr lang="en-US" sz="1300" b="0"/>
                  <a:t>Share of national Income</a:t>
                </a:r>
              </a:p>
            </c:rich>
          </c:tx>
          <c:layout>
            <c:manualLayout>
              <c:xMode val="edge"/>
              <c:yMode val="edge"/>
              <c:x val="7.1098910801287458E-3"/>
              <c:y val="0.2487905755966550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566410224"/>
        <c:crosses val="autoZero"/>
        <c:crossBetween val="midCat"/>
        <c:majorUnit val="0.2"/>
        <c:minorUnit val="0.05"/>
      </c:valAx>
      <c:spPr>
        <a:solidFill>
          <a:srgbClr val="FFFFFF"/>
        </a:solidFill>
        <a:ln w="3175">
          <a:noFill/>
          <a:prstDash val="solid"/>
        </a:ln>
      </c:spPr>
    </c:plotArea>
    <c:plotVisOnly val="1"/>
    <c:dispBlanksAs val="span"/>
    <c:showDLblsOverMax val="0"/>
  </c:chart>
  <c:spPr>
    <a:solidFill>
      <a:schemeClr val="bg1"/>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933" r="0.75000000000000933" t="1" header="0.5" footer="0.5"/>
    <c:pageSetup orientation="landscape" verticalDpi="96"/>
  </c:printSettings>
  <c:userShapes r:id="rId1"/>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0</xdr:col>
      <xdr:colOff>228600</xdr:colOff>
      <xdr:row>1</xdr:row>
      <xdr:rowOff>180975</xdr:rowOff>
    </xdr:from>
    <xdr:to>
      <xdr:col>8</xdr:col>
      <xdr:colOff>180975</xdr:colOff>
      <xdr:row>25</xdr:row>
      <xdr:rowOff>66675</xdr:rowOff>
    </xdr:to>
    <xdr:graphicFrame macro="">
      <xdr:nvGraphicFramePr>
        <xdr:cNvPr id="4" name="Chart 3">
          <a:extLst>
            <a:ext uri="{FF2B5EF4-FFF2-40B4-BE49-F238E27FC236}">
              <a16:creationId xmlns:a16="http://schemas.microsoft.com/office/drawing/2014/main" xmlns=""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352425</xdr:colOff>
      <xdr:row>2</xdr:row>
      <xdr:rowOff>0</xdr:rowOff>
    </xdr:from>
    <xdr:to>
      <xdr:col>17</xdr:col>
      <xdr:colOff>266700</xdr:colOff>
      <xdr:row>25</xdr:row>
      <xdr:rowOff>76200</xdr:rowOff>
    </xdr:to>
    <xdr:graphicFrame macro="">
      <xdr:nvGraphicFramePr>
        <xdr:cNvPr id="6" name="Chart 5">
          <a:extLst>
            <a:ext uri="{FF2B5EF4-FFF2-40B4-BE49-F238E27FC236}">
              <a16:creationId xmlns:a16="http://schemas.microsoft.com/office/drawing/2014/main" xmlns="" i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0.64743</cdr:x>
      <cdr:y>0.41524</cdr:y>
    </cdr:from>
    <cdr:to>
      <cdr:x>0.99295</cdr:x>
      <cdr:y>0.4829</cdr:y>
    </cdr:to>
    <cdr:sp macro="" textlink="">
      <cdr:nvSpPr>
        <cdr:cNvPr id="2" name="TextBox 1"/>
        <cdr:cNvSpPr txBox="1"/>
      </cdr:nvSpPr>
      <cdr:spPr>
        <a:xfrm xmlns:a="http://schemas.openxmlformats.org/drawingml/2006/main">
          <a:off x="3496579" y="1851031"/>
          <a:ext cx="1866041" cy="30160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600" b="1">
              <a:solidFill>
                <a:schemeClr val="accent2">
                  <a:lumMod val="75000"/>
                </a:schemeClr>
              </a:solidFill>
              <a:latin typeface="Arial" panose="020B0604020202020204" pitchFamily="34" charset="0"/>
              <a:cs typeface="Arial" panose="020B0604020202020204" pitchFamily="34" charset="0"/>
            </a:rPr>
            <a:t>Auten-Splinter</a:t>
          </a:r>
        </a:p>
      </cdr:txBody>
    </cdr:sp>
  </cdr:relSizeAnchor>
  <cdr:relSizeAnchor xmlns:cdr="http://schemas.openxmlformats.org/drawingml/2006/chartDrawing">
    <cdr:from>
      <cdr:x>0.74348</cdr:x>
      <cdr:y>0.1567</cdr:y>
    </cdr:from>
    <cdr:to>
      <cdr:x>0.93367</cdr:x>
      <cdr:y>0.21368</cdr:y>
    </cdr:to>
    <cdr:sp macro="" textlink="">
      <cdr:nvSpPr>
        <cdr:cNvPr id="7" name="TextBox 1"/>
        <cdr:cNvSpPr txBox="1"/>
      </cdr:nvSpPr>
      <cdr:spPr>
        <a:xfrm xmlns:a="http://schemas.openxmlformats.org/drawingml/2006/main">
          <a:off x="4015319" y="698522"/>
          <a:ext cx="1027154" cy="25397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100"/>
            </a:lnSpc>
          </a:pPr>
          <a:r>
            <a:rPr lang="en-US" sz="1600" b="1">
              <a:solidFill>
                <a:schemeClr val="tx2"/>
              </a:solidFill>
              <a:latin typeface="Arial" panose="020B0604020202020204" pitchFamily="34" charset="0"/>
              <a:cs typeface="Arial" panose="020B0604020202020204" pitchFamily="34" charset="0"/>
            </a:rPr>
            <a:t>PSZ</a:t>
          </a:r>
          <a:endParaRPr lang="en-US" sz="1400" b="1">
            <a:solidFill>
              <a:schemeClr val="tx2"/>
            </a:solidFill>
            <a:latin typeface="Arial" panose="020B0604020202020204" pitchFamily="34" charset="0"/>
            <a:cs typeface="Arial" panose="020B0604020202020204" pitchFamily="34" charset="0"/>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0.64743</cdr:x>
      <cdr:y>0.60329</cdr:y>
    </cdr:from>
    <cdr:to>
      <cdr:x>0.99295</cdr:x>
      <cdr:y>0.66409</cdr:y>
    </cdr:to>
    <cdr:sp macro="" textlink="">
      <cdr:nvSpPr>
        <cdr:cNvPr id="2" name="TextBox 1"/>
        <cdr:cNvSpPr txBox="1"/>
      </cdr:nvSpPr>
      <cdr:spPr>
        <a:xfrm xmlns:a="http://schemas.openxmlformats.org/drawingml/2006/main">
          <a:off x="3496559" y="2689274"/>
          <a:ext cx="1866041" cy="27102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600" b="1">
              <a:solidFill>
                <a:schemeClr val="accent2">
                  <a:lumMod val="75000"/>
                </a:schemeClr>
              </a:solidFill>
              <a:latin typeface="Arial" panose="020B0604020202020204" pitchFamily="34" charset="0"/>
              <a:cs typeface="Arial" panose="020B0604020202020204" pitchFamily="34" charset="0"/>
            </a:rPr>
            <a:t>Auten-Splinter</a:t>
          </a:r>
        </a:p>
      </cdr:txBody>
    </cdr:sp>
  </cdr:relSizeAnchor>
  <cdr:relSizeAnchor xmlns:cdr="http://schemas.openxmlformats.org/drawingml/2006/chartDrawing">
    <cdr:from>
      <cdr:x>0.73643</cdr:x>
      <cdr:y>0.21012</cdr:y>
    </cdr:from>
    <cdr:to>
      <cdr:x>0.92662</cdr:x>
      <cdr:y>0.2671</cdr:y>
    </cdr:to>
    <cdr:sp macro="" textlink="">
      <cdr:nvSpPr>
        <cdr:cNvPr id="7" name="TextBox 1"/>
        <cdr:cNvSpPr txBox="1"/>
      </cdr:nvSpPr>
      <cdr:spPr>
        <a:xfrm xmlns:a="http://schemas.openxmlformats.org/drawingml/2006/main">
          <a:off x="3977194" y="936647"/>
          <a:ext cx="1027154" cy="25399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100"/>
            </a:lnSpc>
          </a:pPr>
          <a:r>
            <a:rPr lang="en-US" sz="1600" b="1">
              <a:solidFill>
                <a:schemeClr val="tx2"/>
              </a:solidFill>
              <a:latin typeface="Arial" panose="020B0604020202020204" pitchFamily="34" charset="0"/>
              <a:cs typeface="Arial" panose="020B0604020202020204" pitchFamily="34" charset="0"/>
            </a:rPr>
            <a:t>PSZ</a:t>
          </a:r>
          <a:endParaRPr lang="en-US" sz="1400" b="1">
            <a:solidFill>
              <a:schemeClr val="tx2"/>
            </a:solidFill>
            <a:latin typeface="Arial" panose="020B0604020202020204" pitchFamily="34" charset="0"/>
            <a:cs typeface="Arial" panose="020B0604020202020204" pitchFamily="34" charset="0"/>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171450</xdr:colOff>
      <xdr:row>1</xdr:row>
      <xdr:rowOff>104775</xdr:rowOff>
    </xdr:from>
    <xdr:to>
      <xdr:col>8</xdr:col>
      <xdr:colOff>942975</xdr:colOff>
      <xdr:row>26</xdr:row>
      <xdr:rowOff>95250</xdr:rowOff>
    </xdr:to>
    <xdr:graphicFrame macro="">
      <xdr:nvGraphicFramePr>
        <xdr:cNvPr id="2" name="Chart 1">
          <a:extLst>
            <a:ext uri="{FF2B5EF4-FFF2-40B4-BE49-F238E27FC236}">
              <a16:creationId xmlns:a16="http://schemas.microsoft.com/office/drawing/2014/main" xmlns=""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27</xdr:row>
      <xdr:rowOff>19050</xdr:rowOff>
    </xdr:from>
    <xdr:to>
      <xdr:col>9</xdr:col>
      <xdr:colOff>466725</xdr:colOff>
      <xdr:row>52</xdr:row>
      <xdr:rowOff>95250</xdr:rowOff>
    </xdr:to>
    <xdr:graphicFrame macro="">
      <xdr:nvGraphicFramePr>
        <xdr:cNvPr id="3" name="Chart 2">
          <a:extLst>
            <a:ext uri="{FF2B5EF4-FFF2-40B4-BE49-F238E27FC236}">
              <a16:creationId xmlns:a16="http://schemas.microsoft.com/office/drawing/2014/main" xmlns=""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0.16582</cdr:x>
      <cdr:y>0.64796</cdr:y>
    </cdr:from>
    <cdr:to>
      <cdr:x>0.48229</cdr:x>
      <cdr:y>0.7014</cdr:y>
    </cdr:to>
    <cdr:sp macro="" textlink="">
      <cdr:nvSpPr>
        <cdr:cNvPr id="2" name="TextBox 1"/>
        <cdr:cNvSpPr txBox="1"/>
      </cdr:nvSpPr>
      <cdr:spPr>
        <a:xfrm xmlns:a="http://schemas.openxmlformats.org/drawingml/2006/main">
          <a:off x="936622" y="3079737"/>
          <a:ext cx="1787525" cy="25401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200"/>
            </a:lnSpc>
          </a:pPr>
          <a:r>
            <a:rPr lang="en-US" sz="1200">
              <a:latin typeface="Arial" panose="020B0604020202020204" pitchFamily="34" charset="0"/>
              <a:cs typeface="Arial" panose="020B0604020202020204" pitchFamily="34" charset="0"/>
            </a:rPr>
            <a:t>Corrected fiscal income </a:t>
          </a:r>
          <a:endParaRPr lang="en-US"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0.24958</cdr:x>
      <cdr:y>0.33667</cdr:y>
    </cdr:from>
    <cdr:to>
      <cdr:x>0.44013</cdr:x>
      <cdr:y>0.43487</cdr:y>
    </cdr:to>
    <cdr:sp macro="" textlink="">
      <cdr:nvSpPr>
        <cdr:cNvPr id="3" name="TextBox 1"/>
        <cdr:cNvSpPr txBox="1"/>
      </cdr:nvSpPr>
      <cdr:spPr>
        <a:xfrm xmlns:a="http://schemas.openxmlformats.org/drawingml/2006/main">
          <a:off x="1409700" y="1600193"/>
          <a:ext cx="1076325" cy="4667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200" baseline="0">
              <a:latin typeface="Arial" panose="020B0604020202020204" pitchFamily="34" charset="0"/>
              <a:cs typeface="Arial" panose="020B0604020202020204" pitchFamily="34" charset="0"/>
            </a:rPr>
            <a:t>    </a:t>
          </a:r>
          <a:r>
            <a:rPr lang="en-US" sz="1200">
              <a:solidFill>
                <a:schemeClr val="accent6">
                  <a:lumMod val="50000"/>
                </a:schemeClr>
              </a:solidFill>
              <a:latin typeface="Arial" panose="020B0604020202020204" pitchFamily="34" charset="0"/>
              <a:cs typeface="Arial" panose="020B0604020202020204" pitchFamily="34" charset="0"/>
            </a:rPr>
            <a:t>C-corp</a:t>
          </a:r>
          <a:r>
            <a:rPr lang="en-US" sz="1200" baseline="0">
              <a:solidFill>
                <a:schemeClr val="accent6">
                  <a:lumMod val="50000"/>
                </a:schemeClr>
              </a:solidFill>
              <a:latin typeface="Arial" panose="020B0604020202020204" pitchFamily="34" charset="0"/>
              <a:cs typeface="Arial" panose="020B0604020202020204" pitchFamily="34" charset="0"/>
            </a:rPr>
            <a:t> ret.   </a:t>
          </a:r>
        </a:p>
        <a:p xmlns:a="http://schemas.openxmlformats.org/drawingml/2006/main">
          <a:pPr algn="ctr"/>
          <a:r>
            <a:rPr lang="en-US" sz="1200" baseline="0">
              <a:solidFill>
                <a:schemeClr val="accent6">
                  <a:lumMod val="50000"/>
                </a:schemeClr>
              </a:solidFill>
              <a:latin typeface="Arial" panose="020B0604020202020204" pitchFamily="34" charset="0"/>
              <a:cs typeface="Arial" panose="020B0604020202020204" pitchFamily="34" charset="0"/>
            </a:rPr>
            <a:t>    earnings</a:t>
          </a:r>
          <a:endParaRPr lang="en-US" sz="1100">
            <a:solidFill>
              <a:schemeClr val="accent6">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0.19618</cdr:x>
      <cdr:y>0.28724</cdr:y>
    </cdr:from>
    <cdr:to>
      <cdr:x>0.41147</cdr:x>
      <cdr:y>0.34068</cdr:y>
    </cdr:to>
    <cdr:sp macro="" textlink="">
      <cdr:nvSpPr>
        <cdr:cNvPr id="4" name="TextBox 1"/>
        <cdr:cNvSpPr txBox="1"/>
      </cdr:nvSpPr>
      <cdr:spPr>
        <a:xfrm xmlns:a="http://schemas.openxmlformats.org/drawingml/2006/main">
          <a:off x="1108091" y="1365263"/>
          <a:ext cx="1216028" cy="25399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200">
              <a:solidFill>
                <a:schemeClr val="accent1"/>
              </a:solidFill>
              <a:latin typeface="Arial" panose="020B0604020202020204" pitchFamily="34" charset="0"/>
              <a:cs typeface="Arial" panose="020B0604020202020204" pitchFamily="34" charset="0"/>
            </a:rPr>
            <a:t>C-corp</a:t>
          </a:r>
          <a:r>
            <a:rPr lang="en-US" sz="1200" baseline="0">
              <a:solidFill>
                <a:schemeClr val="accent1"/>
              </a:solidFill>
              <a:latin typeface="Arial" panose="020B0604020202020204" pitchFamily="34" charset="0"/>
              <a:cs typeface="Arial" panose="020B0604020202020204" pitchFamily="34" charset="0"/>
            </a:rPr>
            <a:t> taxes</a:t>
          </a:r>
          <a:endParaRPr lang="en-US" sz="1100">
            <a:solidFill>
              <a:schemeClr val="accent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0.20911</cdr:x>
      <cdr:y>0.33267</cdr:y>
    </cdr:from>
    <cdr:to>
      <cdr:x>0.22597</cdr:x>
      <cdr:y>0.40281</cdr:y>
    </cdr:to>
    <cdr:cxnSp macro="">
      <cdr:nvCxnSpPr>
        <cdr:cNvPr id="8" name="Straight Arrow Connector 7">
          <a:extLst xmlns:a="http://schemas.openxmlformats.org/drawingml/2006/main">
            <a:ext uri="{FF2B5EF4-FFF2-40B4-BE49-F238E27FC236}">
              <a16:creationId xmlns:a16="http://schemas.microsoft.com/office/drawing/2014/main" xmlns="" id="{BDEA4102-E268-42E4-AC03-B9178AB15777}"/>
            </a:ext>
          </a:extLst>
        </cdr:cNvPr>
        <cdr:cNvCxnSpPr/>
      </cdr:nvCxnSpPr>
      <cdr:spPr>
        <a:xfrm xmlns:a="http://schemas.openxmlformats.org/drawingml/2006/main" flipH="1">
          <a:off x="1181121" y="1581172"/>
          <a:ext cx="95231" cy="333374"/>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0.22766</cdr:x>
      <cdr:y>0.37876</cdr:y>
    </cdr:from>
    <cdr:to>
      <cdr:x>0.29849</cdr:x>
      <cdr:y>0.45892</cdr:y>
    </cdr:to>
    <cdr:cxnSp macro="">
      <cdr:nvCxnSpPr>
        <cdr:cNvPr id="10" name="Straight Arrow Connector 9">
          <a:extLst xmlns:a="http://schemas.openxmlformats.org/drawingml/2006/main">
            <a:ext uri="{FF2B5EF4-FFF2-40B4-BE49-F238E27FC236}">
              <a16:creationId xmlns:a16="http://schemas.microsoft.com/office/drawing/2014/main" xmlns="" id="{4B10A8AE-3349-4B39-A5A0-19E672D30E10}"/>
            </a:ext>
          </a:extLst>
        </cdr:cNvPr>
        <cdr:cNvCxnSpPr/>
      </cdr:nvCxnSpPr>
      <cdr:spPr>
        <a:xfrm xmlns:a="http://schemas.openxmlformats.org/drawingml/2006/main" flipH="1">
          <a:off x="1285877" y="1800227"/>
          <a:ext cx="400071" cy="380999"/>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0.11016</cdr:x>
      <cdr:y>0.17502</cdr:y>
    </cdr:from>
    <cdr:to>
      <cdr:x>0.44013</cdr:x>
      <cdr:y>0.25852</cdr:y>
    </cdr:to>
    <cdr:sp macro="" textlink="">
      <cdr:nvSpPr>
        <cdr:cNvPr id="9" name="TextBox 1"/>
        <cdr:cNvSpPr txBox="1"/>
      </cdr:nvSpPr>
      <cdr:spPr>
        <a:xfrm xmlns:a="http://schemas.openxmlformats.org/drawingml/2006/main">
          <a:off x="622246" y="831856"/>
          <a:ext cx="1863779" cy="39687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200">
              <a:latin typeface="Arial" panose="020B0604020202020204" pitchFamily="34" charset="0"/>
              <a:cs typeface="Arial" panose="020B0604020202020204" pitchFamily="34" charset="0"/>
            </a:rPr>
            <a:t>Business property taxes &amp; inflation correction</a:t>
          </a:r>
          <a:endParaRPr lang="en-US"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0.17707</cdr:x>
      <cdr:y>0.26053</cdr:y>
    </cdr:from>
    <cdr:to>
      <cdr:x>0.18887</cdr:x>
      <cdr:y>0.37274</cdr:y>
    </cdr:to>
    <cdr:cxnSp macro="">
      <cdr:nvCxnSpPr>
        <cdr:cNvPr id="13" name="Straight Arrow Connector 12">
          <a:extLst xmlns:a="http://schemas.openxmlformats.org/drawingml/2006/main">
            <a:ext uri="{FF2B5EF4-FFF2-40B4-BE49-F238E27FC236}">
              <a16:creationId xmlns:a16="http://schemas.microsoft.com/office/drawing/2014/main" xmlns="" id="{5FFAE21B-B925-4136-AB2A-8BBCC23C2BE3}"/>
            </a:ext>
          </a:extLst>
        </cdr:cNvPr>
        <cdr:cNvCxnSpPr/>
      </cdr:nvCxnSpPr>
      <cdr:spPr>
        <a:xfrm xmlns:a="http://schemas.openxmlformats.org/drawingml/2006/main" flipH="1">
          <a:off x="1000149" y="1238273"/>
          <a:ext cx="66650" cy="533332"/>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0.14502</cdr:x>
      <cdr:y>0.60521</cdr:y>
    </cdr:from>
    <cdr:to>
      <cdr:x>0.17538</cdr:x>
      <cdr:y>0.66533</cdr:y>
    </cdr:to>
    <cdr:cxnSp macro="">
      <cdr:nvCxnSpPr>
        <cdr:cNvPr id="33" name="Straight Arrow Connector 32">
          <a:extLst xmlns:a="http://schemas.openxmlformats.org/drawingml/2006/main">
            <a:ext uri="{FF2B5EF4-FFF2-40B4-BE49-F238E27FC236}">
              <a16:creationId xmlns:a16="http://schemas.microsoft.com/office/drawing/2014/main" xmlns="" id="{EC75DEDF-62B4-449D-AE28-E6C6EC8EC299}"/>
            </a:ext>
          </a:extLst>
        </cdr:cNvPr>
        <cdr:cNvCxnSpPr/>
      </cdr:nvCxnSpPr>
      <cdr:spPr>
        <a:xfrm xmlns:a="http://schemas.openxmlformats.org/drawingml/2006/main" flipH="1" flipV="1">
          <a:off x="819128" y="2876531"/>
          <a:ext cx="171472" cy="285769"/>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0.11186</cdr:x>
      <cdr:y>0.54175</cdr:y>
    </cdr:from>
    <cdr:to>
      <cdr:x>0.46205</cdr:x>
      <cdr:y>0.59519</cdr:y>
    </cdr:to>
    <cdr:sp macro="" textlink="">
      <cdr:nvSpPr>
        <cdr:cNvPr id="12" name="TextBox 1"/>
        <cdr:cNvSpPr txBox="1"/>
      </cdr:nvSpPr>
      <cdr:spPr>
        <a:xfrm xmlns:a="http://schemas.openxmlformats.org/drawingml/2006/main">
          <a:off x="631835" y="2574943"/>
          <a:ext cx="1977987" cy="25399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200"/>
            </a:lnSpc>
          </a:pPr>
          <a:r>
            <a:rPr lang="en-US" sz="1200">
              <a:solidFill>
                <a:schemeClr val="accent4">
                  <a:lumMod val="75000"/>
                </a:schemeClr>
              </a:solidFill>
              <a:latin typeface="Arial" panose="020B0604020202020204" pitchFamily="34" charset="0"/>
              <a:cs typeface="Arial" panose="020B0604020202020204" pitchFamily="34" charset="0"/>
            </a:rPr>
            <a:t>Fiduciary ret.</a:t>
          </a:r>
          <a:r>
            <a:rPr lang="en-US" sz="1200" baseline="0">
              <a:solidFill>
                <a:schemeClr val="accent4">
                  <a:lumMod val="75000"/>
                </a:schemeClr>
              </a:solidFill>
              <a:latin typeface="Arial" panose="020B0604020202020204" pitchFamily="34" charset="0"/>
              <a:cs typeface="Arial" panose="020B0604020202020204" pitchFamily="34" charset="0"/>
            </a:rPr>
            <a:t> income</a:t>
          </a:r>
          <a:endParaRPr lang="en-US" sz="1100">
            <a:solidFill>
              <a:schemeClr val="accent4">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0.14053</cdr:x>
      <cdr:y>0.56313</cdr:y>
    </cdr:from>
    <cdr:to>
      <cdr:x>0.15683</cdr:x>
      <cdr:y>0.58584</cdr:y>
    </cdr:to>
    <cdr:cxnSp macro="">
      <cdr:nvCxnSpPr>
        <cdr:cNvPr id="14" name="Straight Arrow Connector 13">
          <a:extLst xmlns:a="http://schemas.openxmlformats.org/drawingml/2006/main">
            <a:ext uri="{FF2B5EF4-FFF2-40B4-BE49-F238E27FC236}">
              <a16:creationId xmlns:a16="http://schemas.microsoft.com/office/drawing/2014/main" xmlns="" id="{641BB825-5E24-4148-A004-6670C74A3256}"/>
            </a:ext>
          </a:extLst>
        </cdr:cNvPr>
        <cdr:cNvCxnSpPr/>
      </cdr:nvCxnSpPr>
      <cdr:spPr>
        <a:xfrm xmlns:a="http://schemas.openxmlformats.org/drawingml/2006/main" flipH="1">
          <a:off x="793751" y="2676525"/>
          <a:ext cx="92074" cy="107950"/>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6.xml><?xml version="1.0" encoding="utf-8"?>
<c:userShapes xmlns:c="http://schemas.openxmlformats.org/drawingml/2006/chart">
  <cdr:relSizeAnchor xmlns:cdr="http://schemas.openxmlformats.org/drawingml/2006/chartDrawing">
    <cdr:from>
      <cdr:x>0.75449</cdr:x>
      <cdr:y>0.08334</cdr:y>
    </cdr:from>
    <cdr:to>
      <cdr:x>1</cdr:x>
      <cdr:y>0.2067</cdr:y>
    </cdr:to>
    <cdr:sp macro="" textlink="">
      <cdr:nvSpPr>
        <cdr:cNvPr id="2" name="TextBox 1"/>
        <cdr:cNvSpPr txBox="1"/>
      </cdr:nvSpPr>
      <cdr:spPr>
        <a:xfrm xmlns:a="http://schemas.openxmlformats.org/drawingml/2006/main">
          <a:off x="4800601" y="403257"/>
          <a:ext cx="1562099" cy="59690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200"/>
            </a:lnSpc>
          </a:pPr>
          <a:r>
            <a:rPr lang="en-US" sz="1200">
              <a:latin typeface="Arial" panose="020B0604020202020204" pitchFamily="34" charset="0"/>
              <a:cs typeface="Arial" panose="020B0604020202020204" pitchFamily="34" charset="0"/>
            </a:rPr>
            <a:t>Pre-tax income   </a:t>
          </a:r>
          <a:r>
            <a:rPr lang="en-US" sz="1050">
              <a:latin typeface="Arial" panose="020B0604020202020204" pitchFamily="34" charset="0"/>
              <a:cs typeface="Arial" panose="020B0604020202020204" pitchFamily="34" charset="0"/>
            </a:rPr>
            <a:t>(after increases above</a:t>
          </a:r>
          <a:r>
            <a:rPr lang="en-US" sz="1050" baseline="0">
              <a:latin typeface="Arial" panose="020B0604020202020204" pitchFamily="34" charset="0"/>
              <a:cs typeface="Arial" panose="020B0604020202020204" pitchFamily="34" charset="0"/>
            </a:rPr>
            <a:t>)</a:t>
          </a:r>
          <a:endParaRPr lang="en-US" sz="105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0.81737</cdr:x>
      <cdr:y>0.29791</cdr:y>
    </cdr:from>
    <cdr:to>
      <cdr:x>0.9982</cdr:x>
      <cdr:y>0.40157</cdr:y>
    </cdr:to>
    <cdr:sp macro="" textlink="">
      <cdr:nvSpPr>
        <cdr:cNvPr id="4" name="TextBox 1"/>
        <cdr:cNvSpPr txBox="1"/>
      </cdr:nvSpPr>
      <cdr:spPr>
        <a:xfrm xmlns:a="http://schemas.openxmlformats.org/drawingml/2006/main">
          <a:off x="5200649" y="1441486"/>
          <a:ext cx="1150623" cy="50161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200"/>
            </a:lnSpc>
          </a:pPr>
          <a:r>
            <a:rPr lang="en-US" sz="1200">
              <a:solidFill>
                <a:schemeClr val="accent6">
                  <a:lumMod val="50000"/>
                </a:schemeClr>
              </a:solidFill>
              <a:latin typeface="Arial" panose="020B0604020202020204" pitchFamily="34" charset="0"/>
              <a:cs typeface="Arial" panose="020B0604020202020204" pitchFamily="34" charset="0"/>
            </a:rPr>
            <a:t>Employer payroll taxes &amp; insurance</a:t>
          </a:r>
          <a:endParaRPr lang="en-US" sz="1100">
            <a:solidFill>
              <a:schemeClr val="accent6">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0.80389</cdr:x>
      <cdr:y>0.29724</cdr:y>
    </cdr:from>
    <cdr:to>
      <cdr:x>0.84431</cdr:x>
      <cdr:y>0.32283</cdr:y>
    </cdr:to>
    <cdr:cxnSp macro="">
      <cdr:nvCxnSpPr>
        <cdr:cNvPr id="9" name="Straight Arrow Connector 8">
          <a:extLst xmlns:a="http://schemas.openxmlformats.org/drawingml/2006/main">
            <a:ext uri="{FF2B5EF4-FFF2-40B4-BE49-F238E27FC236}">
              <a16:creationId xmlns:a16="http://schemas.microsoft.com/office/drawing/2014/main" xmlns="" id="{C2CDEBA8-4E3E-407D-A5C2-FB7B6C21C120}"/>
            </a:ext>
          </a:extLst>
        </cdr:cNvPr>
        <cdr:cNvCxnSpPr/>
      </cdr:nvCxnSpPr>
      <cdr:spPr>
        <a:xfrm xmlns:a="http://schemas.openxmlformats.org/drawingml/2006/main" flipH="1" flipV="1">
          <a:off x="5114925" y="1438275"/>
          <a:ext cx="257175" cy="123826"/>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0.81138</cdr:x>
      <cdr:y>0.20145</cdr:y>
    </cdr:from>
    <cdr:to>
      <cdr:x>1</cdr:x>
      <cdr:y>0.32087</cdr:y>
    </cdr:to>
    <cdr:sp macro="" textlink="">
      <cdr:nvSpPr>
        <cdr:cNvPr id="8" name="TextBox 1"/>
        <cdr:cNvSpPr txBox="1"/>
      </cdr:nvSpPr>
      <cdr:spPr>
        <a:xfrm xmlns:a="http://schemas.openxmlformats.org/drawingml/2006/main">
          <a:off x="5162550" y="974747"/>
          <a:ext cx="1200150" cy="57782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200">
              <a:solidFill>
                <a:schemeClr val="accent1"/>
              </a:solidFill>
              <a:latin typeface="Arial" panose="020B0604020202020204" pitchFamily="34" charset="0"/>
              <a:cs typeface="Arial" panose="020B0604020202020204" pitchFamily="34" charset="0"/>
            </a:rPr>
            <a:t>Underreporting &amp; imputed rent</a:t>
          </a:r>
          <a:endParaRPr lang="en-US" sz="1100">
            <a:solidFill>
              <a:schemeClr val="accent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0.8009</cdr:x>
      <cdr:y>0.15748</cdr:y>
    </cdr:from>
    <cdr:to>
      <cdr:x>0.87874</cdr:x>
      <cdr:y>0.18898</cdr:y>
    </cdr:to>
    <cdr:cxnSp macro="">
      <cdr:nvCxnSpPr>
        <cdr:cNvPr id="13" name="Straight Arrow Connector 12">
          <a:extLst xmlns:a="http://schemas.openxmlformats.org/drawingml/2006/main">
            <a:ext uri="{FF2B5EF4-FFF2-40B4-BE49-F238E27FC236}">
              <a16:creationId xmlns:a16="http://schemas.microsoft.com/office/drawing/2014/main" xmlns="" id="{CCDBA49A-9BA2-4E51-A822-CD090D8C4DC1}"/>
            </a:ext>
          </a:extLst>
        </cdr:cNvPr>
        <cdr:cNvCxnSpPr/>
      </cdr:nvCxnSpPr>
      <cdr:spPr>
        <a:xfrm xmlns:a="http://schemas.openxmlformats.org/drawingml/2006/main" flipH="1">
          <a:off x="5095877" y="762000"/>
          <a:ext cx="495298" cy="152400"/>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0.7999</cdr:x>
      <cdr:y>0.23885</cdr:y>
    </cdr:from>
    <cdr:to>
      <cdr:x>0.83084</cdr:x>
      <cdr:y>0.25</cdr:y>
    </cdr:to>
    <cdr:cxnSp macro="">
      <cdr:nvCxnSpPr>
        <cdr:cNvPr id="16" name="Straight Arrow Connector 15">
          <a:extLst xmlns:a="http://schemas.openxmlformats.org/drawingml/2006/main">
            <a:ext uri="{FF2B5EF4-FFF2-40B4-BE49-F238E27FC236}">
              <a16:creationId xmlns:a16="http://schemas.microsoft.com/office/drawing/2014/main" xmlns="" id="{C02F2DF7-CF98-48CE-A4C1-591C5152B882}"/>
            </a:ext>
          </a:extLst>
        </cdr:cNvPr>
        <cdr:cNvCxnSpPr/>
      </cdr:nvCxnSpPr>
      <cdr:spPr>
        <a:xfrm xmlns:a="http://schemas.openxmlformats.org/drawingml/2006/main" flipH="1" flipV="1">
          <a:off x="5089505" y="1155709"/>
          <a:ext cx="196862" cy="53952"/>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0.77545</cdr:x>
      <cdr:y>0.41995</cdr:y>
    </cdr:from>
    <cdr:to>
      <cdr:x>1</cdr:x>
      <cdr:y>0.56496</cdr:y>
    </cdr:to>
    <cdr:sp macro="" textlink="">
      <cdr:nvSpPr>
        <cdr:cNvPr id="10" name="TextBox 1"/>
        <cdr:cNvSpPr txBox="1"/>
      </cdr:nvSpPr>
      <cdr:spPr>
        <a:xfrm xmlns:a="http://schemas.openxmlformats.org/drawingml/2006/main">
          <a:off x="4933950" y="2032000"/>
          <a:ext cx="1428750" cy="70167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200"/>
            </a:lnSpc>
          </a:pPr>
          <a:r>
            <a:rPr lang="en-US" sz="1200">
              <a:solidFill>
                <a:schemeClr val="accent3">
                  <a:lumMod val="75000"/>
                </a:schemeClr>
              </a:solidFill>
              <a:latin typeface="Arial" panose="020B0604020202020204" pitchFamily="34" charset="0"/>
              <a:cs typeface="Arial" panose="020B0604020202020204" pitchFamily="34" charset="0"/>
            </a:rPr>
            <a:t>Retirement</a:t>
          </a:r>
          <a:r>
            <a:rPr lang="en-US" sz="1200" baseline="0">
              <a:solidFill>
                <a:schemeClr val="accent3">
                  <a:lumMod val="75000"/>
                </a:schemeClr>
              </a:solidFill>
              <a:latin typeface="Arial" panose="020B0604020202020204" pitchFamily="34" charset="0"/>
              <a:cs typeface="Arial" panose="020B0604020202020204" pitchFamily="34" charset="0"/>
            </a:rPr>
            <a:t> account income, indirect taxes, etc.           </a:t>
          </a:r>
          <a:r>
            <a:rPr lang="en-US" sz="1100" baseline="0">
              <a:solidFill>
                <a:schemeClr val="accent3">
                  <a:lumMod val="75000"/>
                </a:schemeClr>
              </a:solidFill>
              <a:latin typeface="Arial" panose="020B0604020202020204" pitchFamily="34" charset="0"/>
              <a:cs typeface="Arial" panose="020B0604020202020204" pitchFamily="34" charset="0"/>
            </a:rPr>
            <a:t>(pre-tax income)</a:t>
          </a:r>
          <a:endParaRPr lang="en-US" sz="1050">
            <a:solidFill>
              <a:schemeClr val="accent3">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0.8014</cdr:x>
      <cdr:y>0.33136</cdr:y>
    </cdr:from>
    <cdr:to>
      <cdr:x>0.82036</cdr:x>
      <cdr:y>0.437</cdr:y>
    </cdr:to>
    <cdr:cxnSp macro="">
      <cdr:nvCxnSpPr>
        <cdr:cNvPr id="12" name="Straight Arrow Connector 11">
          <a:extLst xmlns:a="http://schemas.openxmlformats.org/drawingml/2006/main">
            <a:ext uri="{FF2B5EF4-FFF2-40B4-BE49-F238E27FC236}">
              <a16:creationId xmlns:a16="http://schemas.microsoft.com/office/drawing/2014/main" xmlns="" id="{01206C51-3FBA-4447-95C8-D215E60DF013}"/>
            </a:ext>
          </a:extLst>
        </cdr:cNvPr>
        <cdr:cNvCxnSpPr/>
      </cdr:nvCxnSpPr>
      <cdr:spPr>
        <a:xfrm xmlns:a="http://schemas.openxmlformats.org/drawingml/2006/main" flipH="1" flipV="1">
          <a:off x="5099074" y="1603366"/>
          <a:ext cx="120637" cy="511160"/>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7.xml><?xml version="1.0" encoding="utf-8"?>
<xdr:wsDr xmlns:xdr="http://schemas.openxmlformats.org/drawingml/2006/spreadsheetDrawing" xmlns:a="http://schemas.openxmlformats.org/drawingml/2006/main">
  <xdr:twoCellAnchor>
    <xdr:from>
      <xdr:col>0</xdr:col>
      <xdr:colOff>85724</xdr:colOff>
      <xdr:row>1</xdr:row>
      <xdr:rowOff>161925</xdr:rowOff>
    </xdr:from>
    <xdr:to>
      <xdr:col>9</xdr:col>
      <xdr:colOff>361950</xdr:colOff>
      <xdr:row>25</xdr:row>
      <xdr:rowOff>47625</xdr:rowOff>
    </xdr:to>
    <xdr:graphicFrame macro="">
      <xdr:nvGraphicFramePr>
        <xdr:cNvPr id="2" name="Chart 1">
          <a:extLst>
            <a:ext uri="{FF2B5EF4-FFF2-40B4-BE49-F238E27FC236}">
              <a16:creationId xmlns:a16="http://schemas.microsoft.com/office/drawing/2014/main" xmlns=""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533400</xdr:colOff>
      <xdr:row>2</xdr:row>
      <xdr:rowOff>76200</xdr:rowOff>
    </xdr:from>
    <xdr:to>
      <xdr:col>21</xdr:col>
      <xdr:colOff>285751</xdr:colOff>
      <xdr:row>25</xdr:row>
      <xdr:rowOff>152400</xdr:rowOff>
    </xdr:to>
    <xdr:graphicFrame macro="">
      <xdr:nvGraphicFramePr>
        <xdr:cNvPr id="5" name="Chart 4">
          <a:extLst>
            <a:ext uri="{FF2B5EF4-FFF2-40B4-BE49-F238E27FC236}">
              <a16:creationId xmlns:a16="http://schemas.microsoft.com/office/drawing/2014/main" xmlns=""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0.78217</cdr:x>
      <cdr:y>0.40242</cdr:y>
    </cdr:from>
    <cdr:to>
      <cdr:x>0.98392</cdr:x>
      <cdr:y>0.48931</cdr:y>
    </cdr:to>
    <cdr:sp macro="" textlink="">
      <cdr:nvSpPr>
        <cdr:cNvPr id="2" name="TextBox 1"/>
        <cdr:cNvSpPr txBox="1"/>
      </cdr:nvSpPr>
      <cdr:spPr>
        <a:xfrm xmlns:a="http://schemas.openxmlformats.org/drawingml/2006/main">
          <a:off x="5095903" y="1793887"/>
          <a:ext cx="1314422" cy="38732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200"/>
            </a:lnSpc>
          </a:pPr>
          <a:r>
            <a:rPr lang="en-US" sz="1300">
              <a:latin typeface="Arial" panose="020B0604020202020204" pitchFamily="34" charset="0"/>
              <a:cs typeface="Arial" panose="020B0604020202020204" pitchFamily="34" charset="0"/>
            </a:rPr>
            <a:t>Pre-tax         after-transfer </a:t>
          </a:r>
        </a:p>
      </cdr:txBody>
    </cdr:sp>
  </cdr:relSizeAnchor>
  <cdr:relSizeAnchor xmlns:cdr="http://schemas.openxmlformats.org/drawingml/2006/chartDrawing">
    <cdr:from>
      <cdr:x>0.78217</cdr:x>
      <cdr:y>0.57764</cdr:y>
    </cdr:from>
    <cdr:to>
      <cdr:x>0.99562</cdr:x>
      <cdr:y>0.63844</cdr:y>
    </cdr:to>
    <cdr:sp macro="" textlink="">
      <cdr:nvSpPr>
        <cdr:cNvPr id="3" name="TextBox 1"/>
        <cdr:cNvSpPr txBox="1"/>
      </cdr:nvSpPr>
      <cdr:spPr>
        <a:xfrm xmlns:a="http://schemas.openxmlformats.org/drawingml/2006/main">
          <a:off x="5095917" y="2574932"/>
          <a:ext cx="1390648" cy="27102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300">
              <a:latin typeface="Arial" panose="020B0604020202020204" pitchFamily="34" charset="0"/>
              <a:cs typeface="Arial" panose="020B0604020202020204" pitchFamily="34" charset="0"/>
            </a:rPr>
            <a:t>After-tax</a:t>
          </a:r>
          <a:r>
            <a:rPr lang="en-US" sz="1050">
              <a:latin typeface="Arial" panose="020B0604020202020204" pitchFamily="34" charset="0"/>
              <a:cs typeface="Arial" panose="020B0604020202020204" pitchFamily="34" charset="0"/>
            </a:rPr>
            <a:t> </a:t>
          </a:r>
          <a:r>
            <a:rPr lang="en-US" sz="1300">
              <a:latin typeface="Arial" panose="020B0604020202020204" pitchFamily="34" charset="0"/>
              <a:cs typeface="Arial" panose="020B0604020202020204" pitchFamily="34" charset="0"/>
            </a:rPr>
            <a:t>income</a:t>
          </a:r>
        </a:p>
      </cdr:txBody>
    </cdr:sp>
  </cdr:relSizeAnchor>
  <cdr:relSizeAnchor xmlns:cdr="http://schemas.openxmlformats.org/drawingml/2006/chartDrawing">
    <cdr:from>
      <cdr:x>0.80263</cdr:x>
      <cdr:y>0.32123</cdr:y>
    </cdr:from>
    <cdr:to>
      <cdr:x>1</cdr:x>
      <cdr:y>0.37179</cdr:y>
    </cdr:to>
    <cdr:sp macro="" textlink="">
      <cdr:nvSpPr>
        <cdr:cNvPr id="4" name="TextBox 1"/>
        <cdr:cNvSpPr txBox="1"/>
      </cdr:nvSpPr>
      <cdr:spPr>
        <a:xfrm xmlns:a="http://schemas.openxmlformats.org/drawingml/2006/main">
          <a:off x="5229216" y="1431965"/>
          <a:ext cx="1285885" cy="2253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150"/>
            </a:lnSpc>
          </a:pPr>
          <a:r>
            <a:rPr lang="en-US" sz="1250">
              <a:latin typeface="Arial" panose="020B0604020202020204" pitchFamily="34" charset="0"/>
              <a:cs typeface="Arial" panose="020B0604020202020204" pitchFamily="34" charset="0"/>
            </a:rPr>
            <a:t>Pre-tax income</a:t>
          </a:r>
        </a:p>
      </cdr:txBody>
    </cdr:sp>
  </cdr:relSizeAnchor>
  <cdr:relSizeAnchor xmlns:cdr="http://schemas.openxmlformats.org/drawingml/2006/chartDrawing">
    <cdr:from>
      <cdr:x>0.79811</cdr:x>
      <cdr:y>0.06054</cdr:y>
    </cdr:from>
    <cdr:to>
      <cdr:x>0.9883</cdr:x>
      <cdr:y>0.13888</cdr:y>
    </cdr:to>
    <cdr:sp macro="" textlink="">
      <cdr:nvSpPr>
        <cdr:cNvPr id="7" name="TextBox 1"/>
        <cdr:cNvSpPr txBox="1"/>
      </cdr:nvSpPr>
      <cdr:spPr>
        <a:xfrm xmlns:a="http://schemas.openxmlformats.org/drawingml/2006/main">
          <a:off x="5199794" y="269885"/>
          <a:ext cx="1239107" cy="34921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100"/>
            </a:lnSpc>
          </a:pPr>
          <a:r>
            <a:rPr lang="en-US" sz="1300">
              <a:latin typeface="Arial" panose="020B0604020202020204" pitchFamily="34" charset="0"/>
              <a:cs typeface="Arial" panose="020B0604020202020204" pitchFamily="34" charset="0"/>
            </a:rPr>
            <a:t>Piketty-Saez </a:t>
          </a:r>
          <a:r>
            <a:rPr lang="en-US" sz="1150">
              <a:latin typeface="Arial" panose="020B0604020202020204" pitchFamily="34" charset="0"/>
              <a:cs typeface="Arial" panose="020B0604020202020204" pitchFamily="34" charset="0"/>
            </a:rPr>
            <a:t>(with</a:t>
          </a:r>
          <a:r>
            <a:rPr lang="en-US" sz="1150" baseline="0">
              <a:latin typeface="Arial" panose="020B0604020202020204" pitchFamily="34" charset="0"/>
              <a:cs typeface="Arial" panose="020B0604020202020204" pitchFamily="34" charset="0"/>
            </a:rPr>
            <a:t> cap gains)</a:t>
          </a:r>
          <a:endParaRPr lang="en-US" sz="1150">
            <a:latin typeface="Arial" panose="020B0604020202020204" pitchFamily="34" charset="0"/>
            <a:cs typeface="Arial" panose="020B0604020202020204" pitchFamily="34" charset="0"/>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0.75958</cdr:x>
      <cdr:y>0.40242</cdr:y>
    </cdr:from>
    <cdr:to>
      <cdr:x>0.97197</cdr:x>
      <cdr:y>0.46322</cdr:y>
    </cdr:to>
    <cdr:sp macro="" textlink="">
      <cdr:nvSpPr>
        <cdr:cNvPr id="2" name="TextBox 1"/>
        <cdr:cNvSpPr txBox="1"/>
      </cdr:nvSpPr>
      <cdr:spPr>
        <a:xfrm xmlns:a="http://schemas.openxmlformats.org/drawingml/2006/main">
          <a:off x="4905361" y="1793871"/>
          <a:ext cx="1371604" cy="27102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200"/>
            </a:lnSpc>
          </a:pPr>
          <a:r>
            <a:rPr lang="en-US" sz="1300" b="1">
              <a:solidFill>
                <a:sysClr val="windowText" lastClr="000000"/>
              </a:solidFill>
              <a:latin typeface="Arial" panose="020B0604020202020204" pitchFamily="34" charset="0"/>
              <a:cs typeface="Arial" panose="020B0604020202020204" pitchFamily="34" charset="0"/>
            </a:rPr>
            <a:t>Pre-tax      after-transfer</a:t>
          </a:r>
        </a:p>
      </cdr:txBody>
    </cdr:sp>
  </cdr:relSizeAnchor>
  <cdr:relSizeAnchor xmlns:cdr="http://schemas.openxmlformats.org/drawingml/2006/chartDrawing">
    <cdr:from>
      <cdr:x>0.76549</cdr:x>
      <cdr:y>0.58192</cdr:y>
    </cdr:from>
    <cdr:to>
      <cdr:x>1</cdr:x>
      <cdr:y>0.64272</cdr:y>
    </cdr:to>
    <cdr:sp macro="" textlink="">
      <cdr:nvSpPr>
        <cdr:cNvPr id="3" name="TextBox 1"/>
        <cdr:cNvSpPr txBox="1"/>
      </cdr:nvSpPr>
      <cdr:spPr>
        <a:xfrm xmlns:a="http://schemas.openxmlformats.org/drawingml/2006/main">
          <a:off x="4943497" y="2594013"/>
          <a:ext cx="1514454" cy="27102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300" b="1">
              <a:solidFill>
                <a:schemeClr val="accent2">
                  <a:lumMod val="75000"/>
                </a:schemeClr>
              </a:solidFill>
              <a:latin typeface="Arial" panose="020B0604020202020204" pitchFamily="34" charset="0"/>
              <a:cs typeface="Arial" panose="020B0604020202020204" pitchFamily="34" charset="0"/>
            </a:rPr>
            <a:t>After-tax income</a:t>
          </a:r>
        </a:p>
      </cdr:txBody>
    </cdr:sp>
  </cdr:relSizeAnchor>
  <cdr:relSizeAnchor xmlns:cdr="http://schemas.openxmlformats.org/drawingml/2006/chartDrawing">
    <cdr:from>
      <cdr:x>0.78024</cdr:x>
      <cdr:y>0.32764</cdr:y>
    </cdr:from>
    <cdr:to>
      <cdr:x>1</cdr:x>
      <cdr:y>0.42521</cdr:y>
    </cdr:to>
    <cdr:sp macro="" textlink="">
      <cdr:nvSpPr>
        <cdr:cNvPr id="4" name="TextBox 1"/>
        <cdr:cNvSpPr txBox="1"/>
      </cdr:nvSpPr>
      <cdr:spPr>
        <a:xfrm xmlns:a="http://schemas.openxmlformats.org/drawingml/2006/main">
          <a:off x="5038752" y="1460509"/>
          <a:ext cx="1419199" cy="43493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150"/>
            </a:lnSpc>
          </a:pPr>
          <a:r>
            <a:rPr lang="en-US" sz="1300" b="1">
              <a:solidFill>
                <a:schemeClr val="accent3">
                  <a:lumMod val="75000"/>
                </a:schemeClr>
              </a:solidFill>
              <a:latin typeface="Arial" panose="020B0604020202020204" pitchFamily="34" charset="0"/>
              <a:cs typeface="Arial" panose="020B0604020202020204" pitchFamily="34" charset="0"/>
            </a:rPr>
            <a:t>Pre-tax income</a:t>
          </a:r>
        </a:p>
      </cdr:txBody>
    </cdr:sp>
  </cdr:relSizeAnchor>
  <cdr:relSizeAnchor xmlns:cdr="http://schemas.openxmlformats.org/drawingml/2006/chartDrawing">
    <cdr:from>
      <cdr:x>0.78024</cdr:x>
      <cdr:y>0.06695</cdr:y>
    </cdr:from>
    <cdr:to>
      <cdr:x>0.98813</cdr:x>
      <cdr:y>0.14529</cdr:y>
    </cdr:to>
    <cdr:sp macro="" textlink="">
      <cdr:nvSpPr>
        <cdr:cNvPr id="7" name="TextBox 1"/>
        <cdr:cNvSpPr txBox="1"/>
      </cdr:nvSpPr>
      <cdr:spPr>
        <a:xfrm xmlns:a="http://schemas.openxmlformats.org/drawingml/2006/main">
          <a:off x="5038752" y="298464"/>
          <a:ext cx="1342543" cy="34921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100"/>
            </a:lnSpc>
          </a:pPr>
          <a:r>
            <a:rPr lang="en-US" sz="1300" b="1">
              <a:solidFill>
                <a:schemeClr val="accent1"/>
              </a:solidFill>
              <a:latin typeface="Arial" panose="020B0604020202020204" pitchFamily="34" charset="0"/>
              <a:cs typeface="Arial" panose="020B0604020202020204" pitchFamily="34" charset="0"/>
            </a:rPr>
            <a:t>Piketty-Saez </a:t>
          </a:r>
          <a:r>
            <a:rPr lang="en-US" sz="1150" b="1">
              <a:solidFill>
                <a:schemeClr val="accent1"/>
              </a:solidFill>
              <a:latin typeface="Arial" panose="020B0604020202020204" pitchFamily="34" charset="0"/>
              <a:cs typeface="Arial" panose="020B0604020202020204" pitchFamily="34" charset="0"/>
            </a:rPr>
            <a:t>(with</a:t>
          </a:r>
          <a:r>
            <a:rPr lang="en-US" sz="1150" b="1" baseline="0">
              <a:solidFill>
                <a:schemeClr val="accent1"/>
              </a:solidFill>
              <a:latin typeface="Arial" panose="020B0604020202020204" pitchFamily="34" charset="0"/>
              <a:cs typeface="Arial" panose="020B0604020202020204" pitchFamily="34" charset="0"/>
            </a:rPr>
            <a:t> cap gains)</a:t>
          </a:r>
          <a:endParaRPr lang="en-US" sz="1150" b="1">
            <a:solidFill>
              <a:schemeClr val="accent1"/>
            </a:solidFill>
            <a:latin typeface="Arial" panose="020B0604020202020204" pitchFamily="34" charset="0"/>
            <a:cs typeface="Arial" panose="020B0604020202020204" pitchFamily="34" charset="0"/>
          </a:endParaRPr>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276226</xdr:colOff>
      <xdr:row>1</xdr:row>
      <xdr:rowOff>76200</xdr:rowOff>
    </xdr:from>
    <xdr:to>
      <xdr:col>10</xdr:col>
      <xdr:colOff>466726</xdr:colOff>
      <xdr:row>31</xdr:row>
      <xdr:rowOff>47626</xdr:rowOff>
    </xdr:to>
    <xdr:graphicFrame macro="">
      <xdr:nvGraphicFramePr>
        <xdr:cNvPr id="2" name="Chart 1">
          <a:extLst>
            <a:ext uri="{FF2B5EF4-FFF2-40B4-BE49-F238E27FC236}">
              <a16:creationId xmlns:a16="http://schemas.microsoft.com/office/drawing/2014/main" xmlns=""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xdr:row>
      <xdr:rowOff>9525</xdr:rowOff>
    </xdr:from>
    <xdr:to>
      <xdr:col>19</xdr:col>
      <xdr:colOff>647700</xdr:colOff>
      <xdr:row>30</xdr:row>
      <xdr:rowOff>161926</xdr:rowOff>
    </xdr:to>
    <xdr:graphicFrame macro="">
      <xdr:nvGraphicFramePr>
        <xdr:cNvPr id="4" name="Chart 3">
          <a:extLst>
            <a:ext uri="{FF2B5EF4-FFF2-40B4-BE49-F238E27FC236}">
              <a16:creationId xmlns:a16="http://schemas.microsoft.com/office/drawing/2014/main" xmlns=""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0.20672</cdr:x>
      <cdr:y>0.37745</cdr:y>
    </cdr:from>
    <cdr:to>
      <cdr:x>0.40414</cdr:x>
      <cdr:y>0.46063</cdr:y>
    </cdr:to>
    <cdr:sp macro="" textlink="">
      <cdr:nvSpPr>
        <cdr:cNvPr id="6" name="TextBox 1"/>
        <cdr:cNvSpPr txBox="1"/>
      </cdr:nvSpPr>
      <cdr:spPr>
        <a:xfrm xmlns:a="http://schemas.openxmlformats.org/drawingml/2006/main">
          <a:off x="1334960" y="2146336"/>
          <a:ext cx="1274929" cy="47299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700"/>
            </a:lnSpc>
          </a:pPr>
          <a:r>
            <a:rPr lang="en-US" sz="1600" b="0" baseline="0">
              <a:latin typeface="Arial" panose="020B0604020202020204" pitchFamily="34" charset="0"/>
              <a:cs typeface="Arial" panose="020B0604020202020204" pitchFamily="34" charset="0"/>
            </a:rPr>
            <a:t>Federal income tax</a:t>
          </a:r>
          <a:endParaRPr lang="en-US" sz="16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0.2006</cdr:x>
      <cdr:y>0.5952</cdr:y>
    </cdr:from>
    <cdr:to>
      <cdr:x>0.40119</cdr:x>
      <cdr:y>0.71692</cdr:y>
    </cdr:to>
    <cdr:sp macro="" textlink="">
      <cdr:nvSpPr>
        <cdr:cNvPr id="21" name="TextBox 1"/>
        <cdr:cNvSpPr txBox="1"/>
      </cdr:nvSpPr>
      <cdr:spPr>
        <a:xfrm xmlns:a="http://schemas.openxmlformats.org/drawingml/2006/main">
          <a:off x="1295470" y="3384584"/>
          <a:ext cx="1295400" cy="69215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700"/>
            </a:lnSpc>
          </a:pPr>
          <a:r>
            <a:rPr lang="en-US" sz="1600" b="0" baseline="0">
              <a:latin typeface="Arial" panose="020B0604020202020204" pitchFamily="34" charset="0"/>
              <a:cs typeface="Arial" panose="020B0604020202020204" pitchFamily="34" charset="0"/>
            </a:rPr>
            <a:t>Corporate income tax</a:t>
          </a:r>
          <a:endParaRPr lang="en-US" sz="16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0.21732</cdr:x>
      <cdr:y>0.73926</cdr:y>
    </cdr:from>
    <cdr:to>
      <cdr:x>0.57992</cdr:x>
      <cdr:y>0.80068</cdr:y>
    </cdr:to>
    <cdr:sp macro="" textlink="">
      <cdr:nvSpPr>
        <cdr:cNvPr id="22" name="TextBox 1"/>
        <cdr:cNvSpPr txBox="1"/>
      </cdr:nvSpPr>
      <cdr:spPr>
        <a:xfrm xmlns:a="http://schemas.openxmlformats.org/drawingml/2006/main">
          <a:off x="1403412" y="4203743"/>
          <a:ext cx="2341652" cy="34926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600" b="0" baseline="0">
              <a:latin typeface="Arial" panose="020B0604020202020204" pitchFamily="34" charset="0"/>
              <a:cs typeface="Arial" panose="020B0604020202020204" pitchFamily="34" charset="0"/>
            </a:rPr>
            <a:t>Property tax</a:t>
          </a:r>
          <a:endParaRPr lang="en-US" sz="16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0.53146</cdr:x>
      <cdr:y>0.79061</cdr:y>
    </cdr:from>
    <cdr:to>
      <cdr:x>0.94985</cdr:x>
      <cdr:y>0.84756</cdr:y>
    </cdr:to>
    <cdr:sp macro="" textlink="">
      <cdr:nvSpPr>
        <cdr:cNvPr id="23" name="TextBox 1"/>
        <cdr:cNvSpPr txBox="1"/>
      </cdr:nvSpPr>
      <cdr:spPr>
        <a:xfrm xmlns:a="http://schemas.openxmlformats.org/drawingml/2006/main">
          <a:off x="3432174" y="4495772"/>
          <a:ext cx="2701942" cy="3238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b="0" baseline="0">
              <a:latin typeface="Arial" panose="020B0604020202020204" pitchFamily="34" charset="0"/>
              <a:cs typeface="Arial" panose="020B0604020202020204" pitchFamily="34" charset="0"/>
            </a:rPr>
            <a:t>State/Local income tax</a:t>
          </a:r>
          <a:endParaRPr lang="en-US" sz="14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0.53589</cdr:x>
      <cdr:y>0.87158</cdr:y>
    </cdr:from>
    <cdr:to>
      <cdr:x>0.89849</cdr:x>
      <cdr:y>0.93299</cdr:y>
    </cdr:to>
    <cdr:sp macro="" textlink="">
      <cdr:nvSpPr>
        <cdr:cNvPr id="24" name="TextBox 1"/>
        <cdr:cNvSpPr txBox="1"/>
      </cdr:nvSpPr>
      <cdr:spPr>
        <a:xfrm xmlns:a="http://schemas.openxmlformats.org/drawingml/2006/main">
          <a:off x="3460751" y="4956174"/>
          <a:ext cx="2341652" cy="34920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b="0" baseline="0">
              <a:latin typeface="Arial" panose="020B0604020202020204" pitchFamily="34" charset="0"/>
              <a:cs typeface="Arial" panose="020B0604020202020204" pitchFamily="34" charset="0"/>
            </a:rPr>
            <a:t>Sales and other taxes</a:t>
          </a:r>
          <a:endParaRPr lang="en-US" sz="1400" b="0">
            <a:latin typeface="Arial" panose="020B0604020202020204" pitchFamily="34" charset="0"/>
            <a:cs typeface="Arial" panose="020B0604020202020204" pitchFamily="34" charset="0"/>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0.15952</cdr:x>
      <cdr:y>0.61529</cdr:y>
    </cdr:from>
    <cdr:to>
      <cdr:x>0.50738</cdr:x>
      <cdr:y>0.67671</cdr:y>
    </cdr:to>
    <cdr:sp macro="" textlink="">
      <cdr:nvSpPr>
        <cdr:cNvPr id="6" name="TextBox 1"/>
        <cdr:cNvSpPr txBox="1"/>
      </cdr:nvSpPr>
      <cdr:spPr>
        <a:xfrm xmlns:a="http://schemas.openxmlformats.org/drawingml/2006/main">
          <a:off x="1030173" y="3498825"/>
          <a:ext cx="2246463" cy="34926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b="0" baseline="0">
              <a:latin typeface="Arial" panose="020B0604020202020204" pitchFamily="34" charset="0"/>
              <a:cs typeface="Arial" panose="020B0604020202020204" pitchFamily="34" charset="0"/>
            </a:rPr>
            <a:t>Federal income tax</a:t>
          </a:r>
          <a:endParaRPr lang="en-US" sz="14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0.13865</cdr:x>
      <cdr:y>0.68732</cdr:y>
    </cdr:from>
    <cdr:to>
      <cdr:x>0.52065</cdr:x>
      <cdr:y>0.74372</cdr:y>
    </cdr:to>
    <cdr:sp macro="" textlink="">
      <cdr:nvSpPr>
        <cdr:cNvPr id="21" name="TextBox 1"/>
        <cdr:cNvSpPr txBox="1"/>
      </cdr:nvSpPr>
      <cdr:spPr>
        <a:xfrm xmlns:a="http://schemas.openxmlformats.org/drawingml/2006/main">
          <a:off x="895366" y="3908420"/>
          <a:ext cx="2466937" cy="32071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b="0" baseline="0">
              <a:latin typeface="Arial" panose="020B0604020202020204" pitchFamily="34" charset="0"/>
              <a:cs typeface="Arial" panose="020B0604020202020204" pitchFamily="34" charset="0"/>
            </a:rPr>
            <a:t>Corporate income tax</a:t>
          </a:r>
          <a:endParaRPr lang="en-US" sz="14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0.24976</cdr:x>
      <cdr:y>0.74036</cdr:y>
    </cdr:from>
    <cdr:to>
      <cdr:x>0.61236</cdr:x>
      <cdr:y>0.78726</cdr:y>
    </cdr:to>
    <cdr:sp macro="" textlink="">
      <cdr:nvSpPr>
        <cdr:cNvPr id="22" name="TextBox 1"/>
        <cdr:cNvSpPr txBox="1"/>
      </cdr:nvSpPr>
      <cdr:spPr>
        <a:xfrm xmlns:a="http://schemas.openxmlformats.org/drawingml/2006/main">
          <a:off x="1612940" y="4210000"/>
          <a:ext cx="2341653" cy="26669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b="0" baseline="0">
              <a:latin typeface="Arial" panose="020B0604020202020204" pitchFamily="34" charset="0"/>
              <a:cs typeface="Arial" panose="020B0604020202020204" pitchFamily="34" charset="0"/>
            </a:rPr>
            <a:t>Property tax</a:t>
          </a:r>
          <a:endParaRPr lang="en-US" sz="14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0.44691</cdr:x>
      <cdr:y>0.78783</cdr:y>
    </cdr:from>
    <cdr:to>
      <cdr:x>0.78761</cdr:x>
      <cdr:y>0.83585</cdr:y>
    </cdr:to>
    <cdr:sp macro="" textlink="">
      <cdr:nvSpPr>
        <cdr:cNvPr id="23" name="TextBox 1"/>
        <cdr:cNvSpPr txBox="1"/>
      </cdr:nvSpPr>
      <cdr:spPr>
        <a:xfrm xmlns:a="http://schemas.openxmlformats.org/drawingml/2006/main">
          <a:off x="2886091" y="4479964"/>
          <a:ext cx="2200223" cy="27306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300" b="0" baseline="0">
              <a:latin typeface="Arial" panose="020B0604020202020204" pitchFamily="34" charset="0"/>
              <a:cs typeface="Arial" panose="020B0604020202020204" pitchFamily="34" charset="0"/>
            </a:rPr>
            <a:t>State/Local income tax</a:t>
          </a:r>
          <a:endParaRPr lang="en-US" sz="13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0.44592</cdr:x>
      <cdr:y>0.84478</cdr:y>
    </cdr:from>
    <cdr:to>
      <cdr:x>0.80852</cdr:x>
      <cdr:y>0.9062</cdr:y>
    </cdr:to>
    <cdr:sp macro="" textlink="">
      <cdr:nvSpPr>
        <cdr:cNvPr id="24" name="TextBox 1"/>
        <cdr:cNvSpPr txBox="1"/>
      </cdr:nvSpPr>
      <cdr:spPr>
        <a:xfrm xmlns:a="http://schemas.openxmlformats.org/drawingml/2006/main">
          <a:off x="2879719" y="4803806"/>
          <a:ext cx="2341653" cy="34926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b="0" baseline="0">
              <a:latin typeface="Arial" panose="020B0604020202020204" pitchFamily="34" charset="0"/>
              <a:cs typeface="Arial" panose="020B0604020202020204" pitchFamily="34" charset="0"/>
            </a:rPr>
            <a:t>Sales and other taxes</a:t>
          </a:r>
          <a:endParaRPr lang="en-US" sz="1400" b="0">
            <a:latin typeface="Arial" panose="020B0604020202020204" pitchFamily="34" charset="0"/>
            <a:cs typeface="Arial" panose="020B0604020202020204" pitchFamily="34" charset="0"/>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161925</xdr:colOff>
      <xdr:row>2</xdr:row>
      <xdr:rowOff>57150</xdr:rowOff>
    </xdr:from>
    <xdr:to>
      <xdr:col>10</xdr:col>
      <xdr:colOff>571500</xdr:colOff>
      <xdr:row>27</xdr:row>
      <xdr:rowOff>0</xdr:rowOff>
    </xdr:to>
    <xdr:graphicFrame macro="">
      <xdr:nvGraphicFramePr>
        <xdr:cNvPr id="5" name="Chart 4">
          <a:extLst>
            <a:ext uri="{FF2B5EF4-FFF2-40B4-BE49-F238E27FC236}">
              <a16:creationId xmlns:a16="http://schemas.microsoft.com/office/drawing/2014/main" xmlns="" id="{00000000-0008-0000-0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0.79861</cdr:x>
      <cdr:y>0.08569</cdr:y>
    </cdr:from>
    <cdr:to>
      <cdr:x>1</cdr:x>
      <cdr:y>0.23481</cdr:y>
    </cdr:to>
    <cdr:sp macro="" textlink="">
      <cdr:nvSpPr>
        <cdr:cNvPr id="2" name="TextBox 1"/>
        <cdr:cNvSpPr txBox="1"/>
      </cdr:nvSpPr>
      <cdr:spPr>
        <a:xfrm xmlns:a="http://schemas.openxmlformats.org/drawingml/2006/main">
          <a:off x="5476867" y="403221"/>
          <a:ext cx="1381133" cy="70166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300"/>
            </a:lnSpc>
          </a:pPr>
          <a:r>
            <a:rPr lang="en-US" sz="1300">
              <a:solidFill>
                <a:schemeClr val="tx2"/>
              </a:solidFill>
              <a:latin typeface="Arial" panose="020B0604020202020204" pitchFamily="34" charset="0"/>
              <a:cs typeface="Arial" panose="020B0604020202020204" pitchFamily="34" charset="0"/>
            </a:rPr>
            <a:t>Bottom 90% social insurance transfers</a:t>
          </a:r>
        </a:p>
      </cdr:txBody>
    </cdr:sp>
  </cdr:relSizeAnchor>
  <cdr:relSizeAnchor xmlns:cdr="http://schemas.openxmlformats.org/drawingml/2006/chartDrawing">
    <cdr:from>
      <cdr:x>0.81389</cdr:x>
      <cdr:y>0.32254</cdr:y>
    </cdr:from>
    <cdr:to>
      <cdr:x>0.99305</cdr:x>
      <cdr:y>0.4332</cdr:y>
    </cdr:to>
    <cdr:sp macro="" textlink="">
      <cdr:nvSpPr>
        <cdr:cNvPr id="3" name="TextBox 1"/>
        <cdr:cNvSpPr txBox="1"/>
      </cdr:nvSpPr>
      <cdr:spPr>
        <a:xfrm xmlns:a="http://schemas.openxmlformats.org/drawingml/2006/main">
          <a:off x="5581665" y="1517683"/>
          <a:ext cx="1228680" cy="52069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300"/>
            </a:lnSpc>
          </a:pPr>
          <a:r>
            <a:rPr lang="en-US" sz="1300">
              <a:solidFill>
                <a:schemeClr val="tx2"/>
              </a:solidFill>
              <a:latin typeface="Arial" panose="020B0604020202020204" pitchFamily="34" charset="0"/>
              <a:cs typeface="Arial" panose="020B0604020202020204" pitchFamily="34" charset="0"/>
            </a:rPr>
            <a:t>Bottom 90% payroll taxes</a:t>
          </a:r>
        </a:p>
      </cdr:txBody>
    </cdr:sp>
  </cdr:relSizeAnchor>
  <cdr:relSizeAnchor xmlns:cdr="http://schemas.openxmlformats.org/drawingml/2006/chartDrawing">
    <cdr:from>
      <cdr:x>0.77778</cdr:x>
      <cdr:y>0.84852</cdr:y>
    </cdr:from>
    <cdr:to>
      <cdr:x>1</cdr:x>
      <cdr:y>0.94906</cdr:y>
    </cdr:to>
    <cdr:sp macro="" textlink="">
      <cdr:nvSpPr>
        <cdr:cNvPr id="4" name="TextBox 1"/>
        <cdr:cNvSpPr txBox="1"/>
      </cdr:nvSpPr>
      <cdr:spPr>
        <a:xfrm xmlns:a="http://schemas.openxmlformats.org/drawingml/2006/main">
          <a:off x="5719250" y="3790545"/>
          <a:ext cx="1634050" cy="44913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300"/>
            </a:lnSpc>
          </a:pPr>
          <a:r>
            <a:rPr lang="en-US" sz="1200">
              <a:solidFill>
                <a:schemeClr val="accent2">
                  <a:lumMod val="75000"/>
                </a:schemeClr>
              </a:solidFill>
              <a:latin typeface="Arial" panose="020B0604020202020204" pitchFamily="34" charset="0"/>
              <a:cs typeface="Arial" panose="020B0604020202020204" pitchFamily="34" charset="0"/>
            </a:rPr>
            <a:t>Top 1% social insurance transfers</a:t>
          </a:r>
        </a:p>
      </cdr:txBody>
    </cdr:sp>
  </cdr:relSizeAnchor>
  <cdr:relSizeAnchor xmlns:cdr="http://schemas.openxmlformats.org/drawingml/2006/chartDrawing">
    <cdr:from>
      <cdr:x>0.7785</cdr:x>
      <cdr:y>0.72672</cdr:y>
    </cdr:from>
    <cdr:to>
      <cdr:x>0.97083</cdr:x>
      <cdr:y>0.82794</cdr:y>
    </cdr:to>
    <cdr:sp macro="" textlink="">
      <cdr:nvSpPr>
        <cdr:cNvPr id="5" name="TextBox 1"/>
        <cdr:cNvSpPr txBox="1"/>
      </cdr:nvSpPr>
      <cdr:spPr>
        <a:xfrm xmlns:a="http://schemas.openxmlformats.org/drawingml/2006/main">
          <a:off x="5724525" y="3246422"/>
          <a:ext cx="1414279" cy="45217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300"/>
            </a:lnSpc>
          </a:pPr>
          <a:r>
            <a:rPr lang="en-US" sz="1300">
              <a:solidFill>
                <a:schemeClr val="accent2">
                  <a:lumMod val="75000"/>
                </a:schemeClr>
              </a:solidFill>
              <a:latin typeface="Arial" panose="020B0604020202020204" pitchFamily="34" charset="0"/>
              <a:cs typeface="Arial" panose="020B0604020202020204" pitchFamily="34" charset="0"/>
            </a:rPr>
            <a:t>Top 1%     payroll taxes</a:t>
          </a:r>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180975</xdr:colOff>
      <xdr:row>1</xdr:row>
      <xdr:rowOff>152400</xdr:rowOff>
    </xdr:from>
    <xdr:to>
      <xdr:col>8</xdr:col>
      <xdr:colOff>390525</xdr:colOff>
      <xdr:row>27</xdr:row>
      <xdr:rowOff>0</xdr:rowOff>
    </xdr:to>
    <xdr:graphicFrame macro="">
      <xdr:nvGraphicFramePr>
        <xdr:cNvPr id="6" name="Chart 5">
          <a:extLst>
            <a:ext uri="{FF2B5EF4-FFF2-40B4-BE49-F238E27FC236}">
              <a16:creationId xmlns:a16="http://schemas.microsoft.com/office/drawing/2014/main" xmlns=""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295275</xdr:colOff>
      <xdr:row>2</xdr:row>
      <xdr:rowOff>19050</xdr:rowOff>
    </xdr:from>
    <xdr:to>
      <xdr:col>20</xdr:col>
      <xdr:colOff>219075</xdr:colOff>
      <xdr:row>27</xdr:row>
      <xdr:rowOff>57150</xdr:rowOff>
    </xdr:to>
    <xdr:graphicFrame macro="">
      <xdr:nvGraphicFramePr>
        <xdr:cNvPr id="8" name="Chart 7">
          <a:extLst>
            <a:ext uri="{FF2B5EF4-FFF2-40B4-BE49-F238E27FC236}">
              <a16:creationId xmlns:a16="http://schemas.microsoft.com/office/drawing/2014/main" xmlns=""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0.78871</cdr:x>
      <cdr:y>0.23479</cdr:y>
    </cdr:from>
    <cdr:to>
      <cdr:x>0.98698</cdr:x>
      <cdr:y>0.3254</cdr:y>
    </cdr:to>
    <cdr:sp macro="" textlink="">
      <cdr:nvSpPr>
        <cdr:cNvPr id="2" name="TextBox 1"/>
        <cdr:cNvSpPr txBox="1"/>
      </cdr:nvSpPr>
      <cdr:spPr>
        <a:xfrm xmlns:a="http://schemas.openxmlformats.org/drawingml/2006/main">
          <a:off x="5191124" y="1127130"/>
          <a:ext cx="1304937" cy="4349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200"/>
            </a:lnSpc>
          </a:pPr>
          <a:r>
            <a:rPr lang="en-US" sz="1300">
              <a:solidFill>
                <a:schemeClr val="accent3">
                  <a:lumMod val="50000"/>
                </a:schemeClr>
              </a:solidFill>
              <a:latin typeface="Arial" panose="020B0604020202020204" pitchFamily="34" charset="0"/>
              <a:cs typeface="Arial" panose="020B0604020202020204" pitchFamily="34" charset="0"/>
            </a:rPr>
            <a:t>Pre-tax income</a:t>
          </a:r>
        </a:p>
      </cdr:txBody>
    </cdr:sp>
  </cdr:relSizeAnchor>
  <cdr:relSizeAnchor xmlns:cdr="http://schemas.openxmlformats.org/drawingml/2006/chartDrawing">
    <cdr:from>
      <cdr:x>0.767</cdr:x>
      <cdr:y>0.30225</cdr:y>
    </cdr:from>
    <cdr:to>
      <cdr:x>0.96237</cdr:x>
      <cdr:y>0.40476</cdr:y>
    </cdr:to>
    <cdr:sp macro="" textlink="">
      <cdr:nvSpPr>
        <cdr:cNvPr id="4" name="TextBox 1"/>
        <cdr:cNvSpPr txBox="1"/>
      </cdr:nvSpPr>
      <cdr:spPr>
        <a:xfrm xmlns:a="http://schemas.openxmlformats.org/drawingml/2006/main">
          <a:off x="5048249" y="1450988"/>
          <a:ext cx="1285875" cy="49211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300"/>
            </a:lnSpc>
          </a:pPr>
          <a:r>
            <a:rPr lang="en-US" sz="1300">
              <a:latin typeface="Arial" panose="020B0604020202020204" pitchFamily="34" charset="0"/>
              <a:cs typeface="Arial" panose="020B0604020202020204" pitchFamily="34" charset="0"/>
            </a:rPr>
            <a:t>Pre-tax       after-transfer</a:t>
          </a:r>
        </a:p>
      </cdr:txBody>
    </cdr:sp>
  </cdr:relSizeAnchor>
  <cdr:relSizeAnchor xmlns:cdr="http://schemas.openxmlformats.org/drawingml/2006/chartDrawing">
    <cdr:from>
      <cdr:x>0.78726</cdr:x>
      <cdr:y>0.41733</cdr:y>
    </cdr:from>
    <cdr:to>
      <cdr:x>1</cdr:x>
      <cdr:y>0.47379</cdr:y>
    </cdr:to>
    <cdr:sp macro="" textlink="">
      <cdr:nvSpPr>
        <cdr:cNvPr id="5" name="TextBox 1"/>
        <cdr:cNvSpPr txBox="1"/>
      </cdr:nvSpPr>
      <cdr:spPr>
        <a:xfrm xmlns:a="http://schemas.openxmlformats.org/drawingml/2006/main">
          <a:off x="5181599" y="2003434"/>
          <a:ext cx="1400175" cy="2710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300">
              <a:solidFill>
                <a:schemeClr val="accent2">
                  <a:lumMod val="50000"/>
                </a:schemeClr>
              </a:solidFill>
              <a:latin typeface="Arial" panose="020B0604020202020204" pitchFamily="34" charset="0"/>
              <a:cs typeface="Arial" panose="020B0604020202020204" pitchFamily="34" charset="0"/>
            </a:rPr>
            <a:t>After-tax</a:t>
          </a:r>
          <a:r>
            <a:rPr lang="en-US" sz="1300" baseline="0">
              <a:solidFill>
                <a:schemeClr val="accent2">
                  <a:lumMod val="50000"/>
                </a:schemeClr>
              </a:solidFill>
              <a:latin typeface="Arial" panose="020B0604020202020204" pitchFamily="34" charset="0"/>
              <a:cs typeface="Arial" panose="020B0604020202020204" pitchFamily="34" charset="0"/>
            </a:rPr>
            <a:t> </a:t>
          </a:r>
          <a:r>
            <a:rPr lang="en-US" sz="1300">
              <a:solidFill>
                <a:schemeClr val="accent2">
                  <a:lumMod val="50000"/>
                </a:schemeClr>
              </a:solidFill>
              <a:latin typeface="Arial" panose="020B0604020202020204" pitchFamily="34" charset="0"/>
              <a:cs typeface="Arial" panose="020B0604020202020204" pitchFamily="34" charset="0"/>
            </a:rPr>
            <a:t>income</a:t>
          </a:r>
        </a:p>
      </cdr:txBody>
    </cdr:sp>
  </cdr:relSizeAnchor>
  <cdr:relSizeAnchor xmlns:cdr="http://schemas.openxmlformats.org/drawingml/2006/chartDrawing">
    <cdr:from>
      <cdr:x>0.7863</cdr:x>
      <cdr:y>0.07209</cdr:y>
    </cdr:from>
    <cdr:to>
      <cdr:x>0.97292</cdr:x>
      <cdr:y>0.14484</cdr:y>
    </cdr:to>
    <cdr:sp macro="" textlink="">
      <cdr:nvSpPr>
        <cdr:cNvPr id="6" name="TextBox 1"/>
        <cdr:cNvSpPr txBox="1"/>
      </cdr:nvSpPr>
      <cdr:spPr>
        <a:xfrm xmlns:a="http://schemas.openxmlformats.org/drawingml/2006/main">
          <a:off x="5175221" y="346097"/>
          <a:ext cx="1228291" cy="3492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150"/>
            </a:lnSpc>
          </a:pPr>
          <a:r>
            <a:rPr lang="en-US" sz="1300">
              <a:solidFill>
                <a:schemeClr val="tx2"/>
              </a:solidFill>
              <a:latin typeface="Arial" panose="020B0604020202020204" pitchFamily="34" charset="0"/>
              <a:cs typeface="Arial" panose="020B0604020202020204" pitchFamily="34" charset="0"/>
            </a:rPr>
            <a:t>Piketty-Saez </a:t>
          </a:r>
          <a:r>
            <a:rPr lang="en-US" sz="1150">
              <a:solidFill>
                <a:schemeClr val="tx2"/>
              </a:solidFill>
              <a:latin typeface="Arial" panose="020B0604020202020204" pitchFamily="34" charset="0"/>
              <a:cs typeface="Arial" panose="020B0604020202020204" pitchFamily="34" charset="0"/>
            </a:rPr>
            <a:t>(with</a:t>
          </a:r>
          <a:r>
            <a:rPr lang="en-US" sz="1150" baseline="0">
              <a:solidFill>
                <a:schemeClr val="tx2"/>
              </a:solidFill>
              <a:latin typeface="Arial" panose="020B0604020202020204" pitchFamily="34" charset="0"/>
              <a:cs typeface="Arial" panose="020B0604020202020204" pitchFamily="34" charset="0"/>
            </a:rPr>
            <a:t> cap gains)</a:t>
          </a:r>
          <a:endParaRPr lang="en-US" sz="1150">
            <a:solidFill>
              <a:schemeClr val="tx2"/>
            </a:solidFill>
            <a:latin typeface="Arial" panose="020B0604020202020204" pitchFamily="34" charset="0"/>
            <a:cs typeface="Arial" panose="020B0604020202020204" pitchFamily="34" charset="0"/>
          </a:endParaRPr>
        </a:p>
      </cdr:txBody>
    </cdr:sp>
  </cdr:relSizeAnchor>
</c:userShapes>
</file>

<file path=xl/drawings/drawing17.xml><?xml version="1.0" encoding="utf-8"?>
<c:userShapes xmlns:c="http://schemas.openxmlformats.org/drawingml/2006/chart">
  <cdr:relSizeAnchor xmlns:cdr="http://schemas.openxmlformats.org/drawingml/2006/chartDrawing">
    <cdr:from>
      <cdr:x>0.78183</cdr:x>
      <cdr:y>0.44114</cdr:y>
    </cdr:from>
    <cdr:to>
      <cdr:x>1</cdr:x>
      <cdr:y>0.49008</cdr:y>
    </cdr:to>
    <cdr:sp macro="" textlink="">
      <cdr:nvSpPr>
        <cdr:cNvPr id="2" name="TextBox 1"/>
        <cdr:cNvSpPr txBox="1"/>
      </cdr:nvSpPr>
      <cdr:spPr>
        <a:xfrm xmlns:a="http://schemas.openxmlformats.org/drawingml/2006/main">
          <a:off x="5183064" y="2117754"/>
          <a:ext cx="1446336" cy="23492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200"/>
            </a:lnSpc>
          </a:pPr>
          <a:r>
            <a:rPr lang="en-US" sz="1300">
              <a:solidFill>
                <a:schemeClr val="accent3">
                  <a:lumMod val="50000"/>
                </a:schemeClr>
              </a:solidFill>
              <a:latin typeface="Arial" panose="020B0604020202020204" pitchFamily="34" charset="0"/>
              <a:cs typeface="Arial" panose="020B0604020202020204" pitchFamily="34" charset="0"/>
            </a:rPr>
            <a:t>Pre-tax income</a:t>
          </a:r>
        </a:p>
      </cdr:txBody>
    </cdr:sp>
  </cdr:relSizeAnchor>
  <cdr:relSizeAnchor xmlns:cdr="http://schemas.openxmlformats.org/drawingml/2006/chartDrawing">
    <cdr:from>
      <cdr:x>0.79023</cdr:x>
      <cdr:y>0.65543</cdr:y>
    </cdr:from>
    <cdr:to>
      <cdr:x>1</cdr:x>
      <cdr:y>0.71189</cdr:y>
    </cdr:to>
    <cdr:sp macro="" textlink="">
      <cdr:nvSpPr>
        <cdr:cNvPr id="5" name="TextBox 1"/>
        <cdr:cNvSpPr txBox="1"/>
      </cdr:nvSpPr>
      <cdr:spPr>
        <a:xfrm xmlns:a="http://schemas.openxmlformats.org/drawingml/2006/main">
          <a:off x="5238751" y="3146444"/>
          <a:ext cx="1390649" cy="2710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300">
              <a:solidFill>
                <a:schemeClr val="accent2">
                  <a:lumMod val="50000"/>
                </a:schemeClr>
              </a:solidFill>
              <a:latin typeface="Arial" panose="020B0604020202020204" pitchFamily="34" charset="0"/>
              <a:cs typeface="Arial" panose="020B0604020202020204" pitchFamily="34" charset="0"/>
            </a:rPr>
            <a:t>After-tax income</a:t>
          </a:r>
        </a:p>
      </cdr:txBody>
    </cdr:sp>
  </cdr:relSizeAnchor>
  <cdr:relSizeAnchor xmlns:cdr="http://schemas.openxmlformats.org/drawingml/2006/chartDrawing">
    <cdr:from>
      <cdr:x>0.78927</cdr:x>
      <cdr:y>0.17923</cdr:y>
    </cdr:from>
    <cdr:to>
      <cdr:x>0.97455</cdr:x>
      <cdr:y>0.25198</cdr:y>
    </cdr:to>
    <cdr:sp macro="" textlink="">
      <cdr:nvSpPr>
        <cdr:cNvPr id="6" name="TextBox 1"/>
        <cdr:cNvSpPr txBox="1"/>
      </cdr:nvSpPr>
      <cdr:spPr>
        <a:xfrm xmlns:a="http://schemas.openxmlformats.org/drawingml/2006/main">
          <a:off x="5232387" y="860430"/>
          <a:ext cx="1228295" cy="34924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150"/>
            </a:lnSpc>
          </a:pPr>
          <a:r>
            <a:rPr lang="en-US" sz="1300">
              <a:solidFill>
                <a:schemeClr val="tx2"/>
              </a:solidFill>
              <a:latin typeface="Arial" panose="020B0604020202020204" pitchFamily="34" charset="0"/>
              <a:cs typeface="Arial" panose="020B0604020202020204" pitchFamily="34" charset="0"/>
            </a:rPr>
            <a:t>Piketty-Saez </a:t>
          </a:r>
          <a:r>
            <a:rPr lang="en-US" sz="1150">
              <a:solidFill>
                <a:schemeClr val="tx2"/>
              </a:solidFill>
              <a:latin typeface="Arial" panose="020B0604020202020204" pitchFamily="34" charset="0"/>
              <a:cs typeface="Arial" panose="020B0604020202020204" pitchFamily="34" charset="0"/>
            </a:rPr>
            <a:t>(with</a:t>
          </a:r>
          <a:r>
            <a:rPr lang="en-US" sz="1150" baseline="0">
              <a:solidFill>
                <a:schemeClr val="tx2"/>
              </a:solidFill>
              <a:latin typeface="Arial" panose="020B0604020202020204" pitchFamily="34" charset="0"/>
              <a:cs typeface="Arial" panose="020B0604020202020204" pitchFamily="34" charset="0"/>
            </a:rPr>
            <a:t> cap gains)</a:t>
          </a:r>
          <a:endParaRPr lang="en-US" sz="1150">
            <a:solidFill>
              <a:schemeClr val="tx2"/>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0.77778</cdr:x>
      <cdr:y>0.50066</cdr:y>
    </cdr:from>
    <cdr:to>
      <cdr:x>0.97174</cdr:x>
      <cdr:y>0.60317</cdr:y>
    </cdr:to>
    <cdr:sp macro="" textlink="">
      <cdr:nvSpPr>
        <cdr:cNvPr id="7" name="TextBox 1"/>
        <cdr:cNvSpPr txBox="1"/>
      </cdr:nvSpPr>
      <cdr:spPr>
        <a:xfrm xmlns:a="http://schemas.openxmlformats.org/drawingml/2006/main">
          <a:off x="5156200" y="2403475"/>
          <a:ext cx="1285875" cy="49211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300"/>
            </a:lnSpc>
          </a:pPr>
          <a:r>
            <a:rPr lang="en-US" sz="1300">
              <a:latin typeface="Arial" panose="020B0604020202020204" pitchFamily="34" charset="0"/>
              <a:cs typeface="Arial" panose="020B0604020202020204" pitchFamily="34" charset="0"/>
            </a:rPr>
            <a:t>Pre-tax       after-transfer</a:t>
          </a:r>
        </a:p>
      </cdr:txBody>
    </cdr:sp>
  </cdr:relSizeAnchor>
</c:userShapes>
</file>

<file path=xl/drawings/drawing18.xml><?xml version="1.0" encoding="utf-8"?>
<xdr:wsDr xmlns:xdr="http://schemas.openxmlformats.org/drawingml/2006/spreadsheetDrawing" xmlns:a="http://schemas.openxmlformats.org/drawingml/2006/main">
  <xdr:twoCellAnchor>
    <xdr:from>
      <xdr:col>0</xdr:col>
      <xdr:colOff>285750</xdr:colOff>
      <xdr:row>1</xdr:row>
      <xdr:rowOff>180975</xdr:rowOff>
    </xdr:from>
    <xdr:to>
      <xdr:col>8</xdr:col>
      <xdr:colOff>561975</xdr:colOff>
      <xdr:row>24</xdr:row>
      <xdr:rowOff>66675</xdr:rowOff>
    </xdr:to>
    <xdr:graphicFrame macro="">
      <xdr:nvGraphicFramePr>
        <xdr:cNvPr id="5" name="Chart 4">
          <a:extLst>
            <a:ext uri="{FF2B5EF4-FFF2-40B4-BE49-F238E27FC236}">
              <a16:creationId xmlns:a16="http://schemas.microsoft.com/office/drawing/2014/main" xmlns="" id="{00000000-0008-0000-1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295275</xdr:colOff>
      <xdr:row>1</xdr:row>
      <xdr:rowOff>180975</xdr:rowOff>
    </xdr:from>
    <xdr:to>
      <xdr:col>18</xdr:col>
      <xdr:colOff>542925</xdr:colOff>
      <xdr:row>24</xdr:row>
      <xdr:rowOff>180975</xdr:rowOff>
    </xdr:to>
    <xdr:graphicFrame macro="">
      <xdr:nvGraphicFramePr>
        <xdr:cNvPr id="7" name="Chart 6">
          <a:extLst>
            <a:ext uri="{FF2B5EF4-FFF2-40B4-BE49-F238E27FC236}">
              <a16:creationId xmlns:a16="http://schemas.microsoft.com/office/drawing/2014/main" xmlns="" id="{00000000-0008-0000-1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0.29347</cdr:x>
      <cdr:y>0.40253</cdr:y>
    </cdr:from>
    <cdr:to>
      <cdr:x>0.52687</cdr:x>
      <cdr:y>0.5</cdr:y>
    </cdr:to>
    <cdr:sp macro="" textlink="">
      <cdr:nvSpPr>
        <cdr:cNvPr id="2" name="TextBox 1"/>
        <cdr:cNvSpPr txBox="1"/>
      </cdr:nvSpPr>
      <cdr:spPr>
        <a:xfrm xmlns:a="http://schemas.openxmlformats.org/drawingml/2006/main">
          <a:off x="1612876" y="1717673"/>
          <a:ext cx="1282749" cy="41592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200">
              <a:latin typeface="Arial" panose="020B0604020202020204" pitchFamily="34" charset="0"/>
              <a:cs typeface="Arial" panose="020B0604020202020204" pitchFamily="34" charset="0"/>
            </a:rPr>
            <a:t>Tax-exempt</a:t>
          </a:r>
          <a:r>
            <a:rPr lang="en-US" sz="1200" baseline="0">
              <a:latin typeface="Arial" panose="020B0604020202020204" pitchFamily="34" charset="0"/>
              <a:cs typeface="Arial" panose="020B0604020202020204" pitchFamily="34" charset="0"/>
            </a:rPr>
            <a:t> </a:t>
          </a:r>
          <a:r>
            <a:rPr lang="en-US" sz="1200">
              <a:latin typeface="Arial" panose="020B0604020202020204" pitchFamily="34" charset="0"/>
              <a:cs typeface="Arial" panose="020B0604020202020204" pitchFamily="34" charset="0"/>
            </a:rPr>
            <a:t>interest</a:t>
          </a:r>
          <a:endParaRPr lang="en-US"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0.55344</cdr:x>
      <cdr:y>0.5811</cdr:y>
    </cdr:from>
    <cdr:to>
      <cdr:x>0.87002</cdr:x>
      <cdr:y>0.64732</cdr:y>
    </cdr:to>
    <cdr:sp macro="" textlink="">
      <cdr:nvSpPr>
        <cdr:cNvPr id="3" name="TextBox 1"/>
        <cdr:cNvSpPr txBox="1"/>
      </cdr:nvSpPr>
      <cdr:spPr>
        <a:xfrm xmlns:a="http://schemas.openxmlformats.org/drawingml/2006/main">
          <a:off x="3041680" y="2479676"/>
          <a:ext cx="1739900" cy="28257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effectLst/>
              <a:latin typeface="Arial" panose="020B0604020202020204" pitchFamily="34" charset="0"/>
              <a:ea typeface="+mn-ea"/>
              <a:cs typeface="Arial" panose="020B0604020202020204" pitchFamily="34" charset="0"/>
            </a:rPr>
            <a:t>Post-TRA86 Loss Limits</a:t>
          </a:r>
        </a:p>
      </cdr:txBody>
    </cdr:sp>
  </cdr:relSizeAnchor>
  <cdr:relSizeAnchor xmlns:cdr="http://schemas.openxmlformats.org/drawingml/2006/chartDrawing">
    <cdr:from>
      <cdr:x>0.38359</cdr:x>
      <cdr:y>0.6436</cdr:y>
    </cdr:from>
    <cdr:to>
      <cdr:x>0.61872</cdr:x>
      <cdr:y>0.74107</cdr:y>
    </cdr:to>
    <cdr:sp macro="" textlink="">
      <cdr:nvSpPr>
        <cdr:cNvPr id="4" name="TextBox 1"/>
        <cdr:cNvSpPr txBox="1"/>
      </cdr:nvSpPr>
      <cdr:spPr>
        <a:xfrm xmlns:a="http://schemas.openxmlformats.org/drawingml/2006/main">
          <a:off x="2108194" y="2746358"/>
          <a:ext cx="1292257" cy="41592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200">
              <a:latin typeface="Arial" panose="020B0604020202020204" pitchFamily="34" charset="0"/>
              <a:cs typeface="Arial" panose="020B0604020202020204" pitchFamily="34" charset="0"/>
            </a:rPr>
            <a:t>Piketty-Saez       </a:t>
          </a:r>
          <a:r>
            <a:rPr lang="en-US" sz="1100">
              <a:latin typeface="Arial" panose="020B0604020202020204" pitchFamily="34" charset="0"/>
              <a:cs typeface="Arial" panose="020B0604020202020204" pitchFamily="34" charset="0"/>
            </a:rPr>
            <a:t>(no cap gains)</a:t>
          </a:r>
          <a:endParaRPr lang="en-US" sz="105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0.46274</cdr:x>
      <cdr:y>0.47767</cdr:y>
    </cdr:from>
    <cdr:to>
      <cdr:x>0.48354</cdr:x>
      <cdr:y>0.50669</cdr:y>
    </cdr:to>
    <cdr:cxnSp macro="">
      <cdr:nvCxnSpPr>
        <cdr:cNvPr id="5" name="Straight Arrow Connector 4">
          <a:extLst xmlns:a="http://schemas.openxmlformats.org/drawingml/2006/main">
            <a:ext uri="{FF2B5EF4-FFF2-40B4-BE49-F238E27FC236}">
              <a16:creationId xmlns:a16="http://schemas.microsoft.com/office/drawing/2014/main" xmlns="" id="{C9713AA7-3C9F-4751-9A70-322BE99844E7}"/>
            </a:ext>
          </a:extLst>
        </cdr:cNvPr>
        <cdr:cNvCxnSpPr/>
      </cdr:nvCxnSpPr>
      <cdr:spPr>
        <a:xfrm xmlns:a="http://schemas.openxmlformats.org/drawingml/2006/main">
          <a:off x="2543167" y="2038329"/>
          <a:ext cx="114316" cy="123834"/>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0.45118</cdr:x>
      <cdr:y>0.58556</cdr:y>
    </cdr:from>
    <cdr:to>
      <cdr:x>0.48527</cdr:x>
      <cdr:y>0.65178</cdr:y>
    </cdr:to>
    <cdr:cxnSp macro="">
      <cdr:nvCxnSpPr>
        <cdr:cNvPr id="8" name="Straight Arrow Connector 7">
          <a:extLst xmlns:a="http://schemas.openxmlformats.org/drawingml/2006/main">
            <a:ext uri="{FF2B5EF4-FFF2-40B4-BE49-F238E27FC236}">
              <a16:creationId xmlns:a16="http://schemas.microsoft.com/office/drawing/2014/main" xmlns="" id="{FA35EB1E-604D-4953-A5B1-9F80CF00809B}"/>
            </a:ext>
          </a:extLst>
        </cdr:cNvPr>
        <cdr:cNvCxnSpPr/>
      </cdr:nvCxnSpPr>
      <cdr:spPr>
        <a:xfrm xmlns:a="http://schemas.openxmlformats.org/drawingml/2006/main" flipH="1" flipV="1">
          <a:off x="2479651" y="2498717"/>
          <a:ext cx="187357" cy="282574"/>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0.47141</cdr:x>
      <cdr:y>0.53571</cdr:y>
    </cdr:from>
    <cdr:to>
      <cdr:x>0.56326</cdr:x>
      <cdr:y>0.60714</cdr:y>
    </cdr:to>
    <cdr:cxnSp macro="">
      <cdr:nvCxnSpPr>
        <cdr:cNvPr id="11" name="Straight Arrow Connector 10">
          <a:extLst xmlns:a="http://schemas.openxmlformats.org/drawingml/2006/main">
            <a:ext uri="{FF2B5EF4-FFF2-40B4-BE49-F238E27FC236}">
              <a16:creationId xmlns:a16="http://schemas.microsoft.com/office/drawing/2014/main" xmlns="" id="{0A74F386-3733-4CA8-85D9-5BCA987F466D}"/>
            </a:ext>
          </a:extLst>
        </cdr:cNvPr>
        <cdr:cNvCxnSpPr/>
      </cdr:nvCxnSpPr>
      <cdr:spPr>
        <a:xfrm xmlns:a="http://schemas.openxmlformats.org/drawingml/2006/main" flipH="1" flipV="1">
          <a:off x="2590809" y="2285982"/>
          <a:ext cx="504816" cy="304818"/>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0.5933</cdr:x>
      <cdr:y>0.41592</cdr:y>
    </cdr:from>
    <cdr:to>
      <cdr:x>0.82669</cdr:x>
      <cdr:y>0.48214</cdr:y>
    </cdr:to>
    <cdr:sp macro="" textlink="">
      <cdr:nvSpPr>
        <cdr:cNvPr id="9" name="TextBox 1"/>
        <cdr:cNvSpPr txBox="1"/>
      </cdr:nvSpPr>
      <cdr:spPr>
        <a:xfrm xmlns:a="http://schemas.openxmlformats.org/drawingml/2006/main">
          <a:off x="3260725" y="1774825"/>
          <a:ext cx="1282700" cy="28257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effectLst/>
              <a:latin typeface="Arial" panose="020B0604020202020204" pitchFamily="34" charset="0"/>
              <a:ea typeface="+mn-ea"/>
              <a:cs typeface="Arial" panose="020B0604020202020204" pitchFamily="34" charset="0"/>
            </a:rPr>
            <a:t>Correct Sample</a:t>
          </a:r>
        </a:p>
      </cdr:txBody>
    </cdr:sp>
  </cdr:relSizeAnchor>
  <cdr:relSizeAnchor xmlns:cdr="http://schemas.openxmlformats.org/drawingml/2006/chartDrawing">
    <cdr:from>
      <cdr:x>0.55517</cdr:x>
      <cdr:y>0.40253</cdr:y>
    </cdr:from>
    <cdr:to>
      <cdr:x>0.60485</cdr:x>
      <cdr:y>0.4442</cdr:y>
    </cdr:to>
    <cdr:cxnSp macro="">
      <cdr:nvCxnSpPr>
        <cdr:cNvPr id="10" name="Straight Arrow Connector 9">
          <a:extLst xmlns:a="http://schemas.openxmlformats.org/drawingml/2006/main">
            <a:ext uri="{FF2B5EF4-FFF2-40B4-BE49-F238E27FC236}">
              <a16:creationId xmlns:a16="http://schemas.microsoft.com/office/drawing/2014/main" xmlns="" id="{456DFC0B-5AA3-4E28-BEFD-4F72E30F0350}"/>
            </a:ext>
          </a:extLst>
        </cdr:cNvPr>
        <cdr:cNvCxnSpPr/>
      </cdr:nvCxnSpPr>
      <cdr:spPr>
        <a:xfrm xmlns:a="http://schemas.openxmlformats.org/drawingml/2006/main" flipH="1" flipV="1">
          <a:off x="3051176" y="1717675"/>
          <a:ext cx="273049" cy="177800"/>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20.xml><?xml version="1.0" encoding="utf-8"?>
<c:userShapes xmlns:c="http://schemas.openxmlformats.org/drawingml/2006/chart">
  <cdr:relSizeAnchor xmlns:cdr="http://schemas.openxmlformats.org/drawingml/2006/chartDrawing">
    <cdr:from>
      <cdr:x>0.56367</cdr:x>
      <cdr:y>0.45507</cdr:y>
    </cdr:from>
    <cdr:to>
      <cdr:x>0.8073</cdr:x>
      <cdr:y>0.55</cdr:y>
    </cdr:to>
    <cdr:sp macro="" textlink="">
      <cdr:nvSpPr>
        <cdr:cNvPr id="2" name="TextBox 1"/>
        <cdr:cNvSpPr txBox="1"/>
      </cdr:nvSpPr>
      <cdr:spPr>
        <a:xfrm xmlns:a="http://schemas.openxmlformats.org/drawingml/2006/main">
          <a:off x="3232125" y="1993897"/>
          <a:ext cx="1396987" cy="41593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200">
              <a:latin typeface="Arial" panose="020B0604020202020204" pitchFamily="34" charset="0"/>
              <a:cs typeface="Arial" panose="020B0604020202020204" pitchFamily="34" charset="0"/>
            </a:rPr>
            <a:t>Set income groups by sz-adj income &amp; #indivs</a:t>
          </a:r>
          <a:endParaRPr lang="en-US"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0.30399</cdr:x>
      <cdr:y>0.08768</cdr:y>
    </cdr:from>
    <cdr:to>
      <cdr:x>0.70431</cdr:x>
      <cdr:y>0.18261</cdr:y>
    </cdr:to>
    <cdr:sp macro="" textlink="">
      <cdr:nvSpPr>
        <cdr:cNvPr id="3" name="TextBox 1"/>
        <cdr:cNvSpPr txBox="1"/>
      </cdr:nvSpPr>
      <cdr:spPr>
        <a:xfrm xmlns:a="http://schemas.openxmlformats.org/drawingml/2006/main">
          <a:off x="1743075" y="384181"/>
          <a:ext cx="2295480" cy="41593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200">
              <a:latin typeface="Arial" panose="020B0604020202020204" pitchFamily="34" charset="0"/>
              <a:cs typeface="Arial" panose="020B0604020202020204" pitchFamily="34" charset="0"/>
            </a:rPr>
            <a:t>Corrected market income </a:t>
          </a:r>
          <a:r>
            <a:rPr lang="en-US" sz="1100">
              <a:latin typeface="Arial" panose="020B0604020202020204" pitchFamily="34" charset="0"/>
              <a:cs typeface="Arial" panose="020B0604020202020204" pitchFamily="34" charset="0"/>
            </a:rPr>
            <a:t>(correct sample &amp; increases only)</a:t>
          </a:r>
          <a:endParaRPr lang="en-US" sz="105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0.34884</cdr:x>
      <cdr:y>0.18985</cdr:y>
    </cdr:from>
    <cdr:to>
      <cdr:x>0.68439</cdr:x>
      <cdr:y>0.24348</cdr:y>
    </cdr:to>
    <cdr:sp macro="" textlink="">
      <cdr:nvSpPr>
        <cdr:cNvPr id="4" name="TextBox 1"/>
        <cdr:cNvSpPr txBox="1"/>
      </cdr:nvSpPr>
      <cdr:spPr>
        <a:xfrm xmlns:a="http://schemas.openxmlformats.org/drawingml/2006/main">
          <a:off x="2000287" y="831830"/>
          <a:ext cx="1924061" cy="234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200">
              <a:latin typeface="Arial" panose="020B0604020202020204" pitchFamily="34" charset="0"/>
              <a:cs typeface="Arial" panose="020B0604020202020204" pitchFamily="34" charset="0"/>
            </a:rPr>
            <a:t>Correct</a:t>
          </a:r>
          <a:r>
            <a:rPr lang="en-US" sz="1200" baseline="0">
              <a:latin typeface="Arial" panose="020B0604020202020204" pitchFamily="34" charset="0"/>
              <a:cs typeface="Arial" panose="020B0604020202020204" pitchFamily="34" charset="0"/>
            </a:rPr>
            <a:t> income definition</a:t>
          </a:r>
          <a:endParaRPr lang="en-US" sz="105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0.74252</cdr:x>
      <cdr:y>0.36521</cdr:y>
    </cdr:from>
    <cdr:to>
      <cdr:x>0.75415</cdr:x>
      <cdr:y>0.46087</cdr:y>
    </cdr:to>
    <cdr:cxnSp macro="">
      <cdr:nvCxnSpPr>
        <cdr:cNvPr id="5" name="Straight Arrow Connector 4">
          <a:extLst xmlns:a="http://schemas.openxmlformats.org/drawingml/2006/main">
            <a:ext uri="{FF2B5EF4-FFF2-40B4-BE49-F238E27FC236}">
              <a16:creationId xmlns:a16="http://schemas.microsoft.com/office/drawing/2014/main" xmlns="" id="{AABDA9AC-6C0C-43D0-8776-6D8F45F5E8B0}"/>
            </a:ext>
          </a:extLst>
        </cdr:cNvPr>
        <cdr:cNvCxnSpPr/>
      </cdr:nvCxnSpPr>
      <cdr:spPr>
        <a:xfrm xmlns:a="http://schemas.openxmlformats.org/drawingml/2006/main" flipV="1">
          <a:off x="4257660" y="1600179"/>
          <a:ext cx="66687" cy="419134"/>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0.69269</cdr:x>
      <cdr:y>0.15</cdr:y>
    </cdr:from>
    <cdr:to>
      <cdr:x>0.8206</cdr:x>
      <cdr:y>0.16087</cdr:y>
    </cdr:to>
    <cdr:cxnSp macro="">
      <cdr:nvCxnSpPr>
        <cdr:cNvPr id="7" name="Straight Arrow Connector 6">
          <a:extLst xmlns:a="http://schemas.openxmlformats.org/drawingml/2006/main">
            <a:ext uri="{FF2B5EF4-FFF2-40B4-BE49-F238E27FC236}">
              <a16:creationId xmlns:a16="http://schemas.microsoft.com/office/drawing/2014/main" xmlns="" id="{3ACF04F5-A76B-4ECB-A1BF-4F6B80AADEA3}"/>
            </a:ext>
          </a:extLst>
        </cdr:cNvPr>
        <cdr:cNvCxnSpPr/>
      </cdr:nvCxnSpPr>
      <cdr:spPr>
        <a:xfrm xmlns:a="http://schemas.openxmlformats.org/drawingml/2006/main" flipV="1">
          <a:off x="3971919" y="657225"/>
          <a:ext cx="733431" cy="47627"/>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0.68439</cdr:x>
      <cdr:y>0.17391</cdr:y>
    </cdr:from>
    <cdr:to>
      <cdr:x>0.83887</cdr:x>
      <cdr:y>0.21667</cdr:y>
    </cdr:to>
    <cdr:cxnSp macro="">
      <cdr:nvCxnSpPr>
        <cdr:cNvPr id="8" name="Straight Arrow Connector 7">
          <a:extLst xmlns:a="http://schemas.openxmlformats.org/drawingml/2006/main">
            <a:ext uri="{FF2B5EF4-FFF2-40B4-BE49-F238E27FC236}">
              <a16:creationId xmlns:a16="http://schemas.microsoft.com/office/drawing/2014/main" xmlns="" id="{7DCCFFF8-5284-46EF-998A-DDA38FBB8306}"/>
            </a:ext>
          </a:extLst>
        </cdr:cNvPr>
        <cdr:cNvCxnSpPr>
          <a:stCxn xmlns:a="http://schemas.openxmlformats.org/drawingml/2006/main" id="4" idx="3"/>
        </cdr:cNvCxnSpPr>
      </cdr:nvCxnSpPr>
      <cdr:spPr>
        <a:xfrm xmlns:a="http://schemas.openxmlformats.org/drawingml/2006/main" flipV="1">
          <a:off x="3924348" y="762000"/>
          <a:ext cx="885777" cy="187320"/>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21.xml><?xml version="1.0" encoding="utf-8"?>
<xdr:wsDr xmlns:xdr="http://schemas.openxmlformats.org/drawingml/2006/spreadsheetDrawing" xmlns:a="http://schemas.openxmlformats.org/drawingml/2006/main">
  <xdr:twoCellAnchor>
    <xdr:from>
      <xdr:col>0</xdr:col>
      <xdr:colOff>257175</xdr:colOff>
      <xdr:row>1</xdr:row>
      <xdr:rowOff>161925</xdr:rowOff>
    </xdr:from>
    <xdr:to>
      <xdr:col>11</xdr:col>
      <xdr:colOff>285750</xdr:colOff>
      <xdr:row>25</xdr:row>
      <xdr:rowOff>57150</xdr:rowOff>
    </xdr:to>
    <xdr:graphicFrame macro="">
      <xdr:nvGraphicFramePr>
        <xdr:cNvPr id="5" name="Chart 4">
          <a:extLst>
            <a:ext uri="{FF2B5EF4-FFF2-40B4-BE49-F238E27FC236}">
              <a16:creationId xmlns:a16="http://schemas.microsoft.com/office/drawing/2014/main" xmlns="" id="{00000000-0008-0000-1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c:userShapes xmlns:c="http://schemas.openxmlformats.org/drawingml/2006/chart">
  <cdr:relSizeAnchor xmlns:cdr="http://schemas.openxmlformats.org/drawingml/2006/chartDrawing">
    <cdr:from>
      <cdr:x>0.82487</cdr:x>
      <cdr:y>0.19048</cdr:y>
    </cdr:from>
    <cdr:to>
      <cdr:x>1</cdr:x>
      <cdr:y>0.2516</cdr:y>
    </cdr:to>
    <cdr:sp macro="" textlink="">
      <cdr:nvSpPr>
        <cdr:cNvPr id="2" name="TextBox 1"/>
        <cdr:cNvSpPr txBox="1"/>
      </cdr:nvSpPr>
      <cdr:spPr>
        <a:xfrm xmlns:a="http://schemas.openxmlformats.org/drawingml/2006/main">
          <a:off x="5876951" y="850896"/>
          <a:ext cx="1247749" cy="27303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200">
              <a:latin typeface="Arial" panose="020B0604020202020204" pitchFamily="34" charset="0"/>
              <a:cs typeface="Arial" panose="020B0604020202020204" pitchFamily="34" charset="0"/>
            </a:rPr>
            <a:t>Pre-tax income</a:t>
          </a:r>
          <a:endParaRPr lang="en-US"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0.80391</cdr:x>
      <cdr:y>0.25018</cdr:y>
    </cdr:from>
    <cdr:to>
      <cdr:x>0.98395</cdr:x>
      <cdr:y>0.3113</cdr:y>
    </cdr:to>
    <cdr:sp macro="" textlink="">
      <cdr:nvSpPr>
        <cdr:cNvPr id="3" name="TextBox 1"/>
        <cdr:cNvSpPr txBox="1"/>
      </cdr:nvSpPr>
      <cdr:spPr>
        <a:xfrm xmlns:a="http://schemas.openxmlformats.org/drawingml/2006/main">
          <a:off x="5727640" y="1117613"/>
          <a:ext cx="1282731" cy="27303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200">
              <a:latin typeface="Arial" panose="020B0604020202020204" pitchFamily="34" charset="0"/>
              <a:cs typeface="Arial" panose="020B0604020202020204" pitchFamily="34" charset="0"/>
            </a:rPr>
            <a:t>SS benefits</a:t>
          </a:r>
          <a:endParaRPr lang="en-US"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0.79411</cdr:x>
      <cdr:y>0.30988</cdr:y>
    </cdr:from>
    <cdr:to>
      <cdr:x>0.99866</cdr:x>
      <cdr:y>0.371</cdr:y>
    </cdr:to>
    <cdr:sp macro="" textlink="">
      <cdr:nvSpPr>
        <cdr:cNvPr id="5" name="TextBox 1"/>
        <cdr:cNvSpPr txBox="1"/>
      </cdr:nvSpPr>
      <cdr:spPr>
        <a:xfrm xmlns:a="http://schemas.openxmlformats.org/drawingml/2006/main">
          <a:off x="5657818" y="1384313"/>
          <a:ext cx="1457357" cy="27303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50">
              <a:latin typeface="Arial" panose="020B0604020202020204" pitchFamily="34" charset="0"/>
              <a:cs typeface="Arial" panose="020B0604020202020204" pitchFamily="34" charset="0"/>
            </a:rPr>
            <a:t>Other cash trans.</a:t>
          </a:r>
        </a:p>
      </cdr:txBody>
    </cdr:sp>
  </cdr:relSizeAnchor>
  <cdr:relSizeAnchor xmlns:cdr="http://schemas.openxmlformats.org/drawingml/2006/chartDrawing">
    <cdr:from>
      <cdr:x>0.79188</cdr:x>
      <cdr:y>0.34826</cdr:y>
    </cdr:from>
    <cdr:to>
      <cdr:x>0.97192</cdr:x>
      <cdr:y>0.40938</cdr:y>
    </cdr:to>
    <cdr:sp macro="" textlink="">
      <cdr:nvSpPr>
        <cdr:cNvPr id="6" name="TextBox 1"/>
        <cdr:cNvSpPr txBox="1"/>
      </cdr:nvSpPr>
      <cdr:spPr>
        <a:xfrm xmlns:a="http://schemas.openxmlformats.org/drawingml/2006/main">
          <a:off x="5641912" y="1555747"/>
          <a:ext cx="1282731" cy="27303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200">
              <a:latin typeface="Arial" panose="020B0604020202020204" pitchFamily="34" charset="0"/>
              <a:cs typeface="Arial" panose="020B0604020202020204" pitchFamily="34" charset="0"/>
            </a:rPr>
            <a:t>Medicare</a:t>
          </a:r>
          <a:endParaRPr lang="en-US"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0.72059</cdr:x>
      <cdr:y>0.39872</cdr:y>
    </cdr:from>
    <cdr:to>
      <cdr:x>1</cdr:x>
      <cdr:y>0.49041</cdr:y>
    </cdr:to>
    <cdr:sp macro="" textlink="">
      <cdr:nvSpPr>
        <cdr:cNvPr id="7" name="TextBox 1"/>
        <cdr:cNvSpPr txBox="1"/>
      </cdr:nvSpPr>
      <cdr:spPr>
        <a:xfrm xmlns:a="http://schemas.openxmlformats.org/drawingml/2006/main">
          <a:off x="5133975" y="1781175"/>
          <a:ext cx="1990725" cy="4095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300"/>
            </a:lnSpc>
          </a:pPr>
          <a:r>
            <a:rPr lang="en-US" sz="1200">
              <a:latin typeface="Arial" panose="020B0604020202020204" pitchFamily="34" charset="0"/>
              <a:cs typeface="Arial" panose="020B0604020202020204" pitchFamily="34" charset="0"/>
            </a:rPr>
            <a:t>       Other transfers</a:t>
          </a:r>
        </a:p>
        <a:p xmlns:a="http://schemas.openxmlformats.org/drawingml/2006/main">
          <a:pPr algn="ctr">
            <a:lnSpc>
              <a:spcPts val="1300"/>
            </a:lnSpc>
          </a:pPr>
          <a:r>
            <a:rPr lang="en-US" sz="1050">
              <a:latin typeface="Arial" panose="020B0604020202020204" pitchFamily="34" charset="0"/>
              <a:cs typeface="Arial" panose="020B0604020202020204" pitchFamily="34" charset="0"/>
            </a:rPr>
            <a:t>(pre-tax/after-transfer</a:t>
          </a:r>
          <a:r>
            <a:rPr lang="en-US" sz="1050" baseline="0">
              <a:latin typeface="Arial" panose="020B0604020202020204" pitchFamily="34" charset="0"/>
              <a:cs typeface="Arial" panose="020B0604020202020204" pitchFamily="34" charset="0"/>
            </a:rPr>
            <a:t> income)</a:t>
          </a:r>
          <a:endParaRPr lang="en-US" sz="10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0.7861</cdr:x>
      <cdr:y>0.38806</cdr:y>
    </cdr:from>
    <cdr:to>
      <cdr:x>0.80615</cdr:x>
      <cdr:y>0.42431</cdr:y>
    </cdr:to>
    <cdr:cxnSp macro="">
      <cdr:nvCxnSpPr>
        <cdr:cNvPr id="8" name="Straight Arrow Connector 7">
          <a:extLst xmlns:a="http://schemas.openxmlformats.org/drawingml/2006/main">
            <a:ext uri="{FF2B5EF4-FFF2-40B4-BE49-F238E27FC236}">
              <a16:creationId xmlns:a16="http://schemas.microsoft.com/office/drawing/2014/main" xmlns="" id="{B5E5230A-E0F5-47F0-A9D2-9BB9AE2D4C67}"/>
            </a:ext>
          </a:extLst>
        </cdr:cNvPr>
        <cdr:cNvCxnSpPr/>
      </cdr:nvCxnSpPr>
      <cdr:spPr>
        <a:xfrm xmlns:a="http://schemas.openxmlformats.org/drawingml/2006/main" flipH="1" flipV="1">
          <a:off x="5600701" y="1733551"/>
          <a:ext cx="142874" cy="161924"/>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0.78743</cdr:x>
      <cdr:y>0.35394</cdr:y>
    </cdr:from>
    <cdr:to>
      <cdr:x>0.82754</cdr:x>
      <cdr:y>0.37313</cdr:y>
    </cdr:to>
    <cdr:cxnSp macro="">
      <cdr:nvCxnSpPr>
        <cdr:cNvPr id="10" name="Straight Arrow Connector 9">
          <a:extLst xmlns:a="http://schemas.openxmlformats.org/drawingml/2006/main">
            <a:ext uri="{FF2B5EF4-FFF2-40B4-BE49-F238E27FC236}">
              <a16:creationId xmlns:a16="http://schemas.microsoft.com/office/drawing/2014/main" xmlns="" id="{7D8BD4E0-D0F3-4EC9-BD3A-22302CD01D8A}"/>
            </a:ext>
          </a:extLst>
        </cdr:cNvPr>
        <cdr:cNvCxnSpPr/>
      </cdr:nvCxnSpPr>
      <cdr:spPr>
        <a:xfrm xmlns:a="http://schemas.openxmlformats.org/drawingml/2006/main" flipH="1" flipV="1">
          <a:off x="5610226" y="1581151"/>
          <a:ext cx="285749" cy="85724"/>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0.78654</cdr:x>
      <cdr:y>0.33547</cdr:y>
    </cdr:from>
    <cdr:to>
      <cdr:x>0.81952</cdr:x>
      <cdr:y>0.33902</cdr:y>
    </cdr:to>
    <cdr:cxnSp macro="">
      <cdr:nvCxnSpPr>
        <cdr:cNvPr id="12" name="Straight Arrow Connector 11">
          <a:extLst xmlns:a="http://schemas.openxmlformats.org/drawingml/2006/main">
            <a:ext uri="{FF2B5EF4-FFF2-40B4-BE49-F238E27FC236}">
              <a16:creationId xmlns:a16="http://schemas.microsoft.com/office/drawing/2014/main" xmlns="" id="{94DA14E2-7437-4487-B723-DC2CF7D1C240}"/>
            </a:ext>
          </a:extLst>
        </cdr:cNvPr>
        <cdr:cNvCxnSpPr/>
      </cdr:nvCxnSpPr>
      <cdr:spPr>
        <a:xfrm xmlns:a="http://schemas.openxmlformats.org/drawingml/2006/main" flipH="1" flipV="1">
          <a:off x="5603863" y="1498598"/>
          <a:ext cx="234962" cy="15877"/>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0.78922</cdr:x>
      <cdr:y>0.27931</cdr:y>
    </cdr:from>
    <cdr:to>
      <cdr:x>0.83021</cdr:x>
      <cdr:y>0.31627</cdr:y>
    </cdr:to>
    <cdr:cxnSp macro="">
      <cdr:nvCxnSpPr>
        <cdr:cNvPr id="16" name="Straight Arrow Connector 15">
          <a:extLst xmlns:a="http://schemas.openxmlformats.org/drawingml/2006/main">
            <a:ext uri="{FF2B5EF4-FFF2-40B4-BE49-F238E27FC236}">
              <a16:creationId xmlns:a16="http://schemas.microsoft.com/office/drawing/2014/main" xmlns="" id="{CA8F9753-DBE1-48DA-B7BF-CBE058E3B5E6}"/>
            </a:ext>
          </a:extLst>
        </cdr:cNvPr>
        <cdr:cNvCxnSpPr/>
      </cdr:nvCxnSpPr>
      <cdr:spPr>
        <a:xfrm xmlns:a="http://schemas.openxmlformats.org/drawingml/2006/main" flipH="1">
          <a:off x="5622956" y="1247754"/>
          <a:ext cx="292041" cy="165108"/>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0.78743</cdr:x>
      <cdr:y>0.22388</cdr:y>
    </cdr:from>
    <cdr:to>
      <cdr:x>0.83289</cdr:x>
      <cdr:y>0.28358</cdr:y>
    </cdr:to>
    <cdr:cxnSp macro="">
      <cdr:nvCxnSpPr>
        <cdr:cNvPr id="18" name="Straight Arrow Connector 17">
          <a:extLst xmlns:a="http://schemas.openxmlformats.org/drawingml/2006/main">
            <a:ext uri="{FF2B5EF4-FFF2-40B4-BE49-F238E27FC236}">
              <a16:creationId xmlns:a16="http://schemas.microsoft.com/office/drawing/2014/main" xmlns="" id="{A051A92F-DDAD-4EB6-AECF-56A0FF72E3FE}"/>
            </a:ext>
          </a:extLst>
        </cdr:cNvPr>
        <cdr:cNvCxnSpPr/>
      </cdr:nvCxnSpPr>
      <cdr:spPr>
        <a:xfrm xmlns:a="http://schemas.openxmlformats.org/drawingml/2006/main" flipH="1">
          <a:off x="5610203" y="1000117"/>
          <a:ext cx="323888" cy="266693"/>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23.xml><?xml version="1.0" encoding="utf-8"?>
<xdr:wsDr xmlns:xdr="http://schemas.openxmlformats.org/drawingml/2006/spreadsheetDrawing" xmlns:a="http://schemas.openxmlformats.org/drawingml/2006/main">
  <xdr:twoCellAnchor>
    <xdr:from>
      <xdr:col>9</xdr:col>
      <xdr:colOff>733425</xdr:colOff>
      <xdr:row>2</xdr:row>
      <xdr:rowOff>152400</xdr:rowOff>
    </xdr:from>
    <xdr:to>
      <xdr:col>20</xdr:col>
      <xdr:colOff>523875</xdr:colOff>
      <xdr:row>26</xdr:row>
      <xdr:rowOff>133350</xdr:rowOff>
    </xdr:to>
    <xdr:graphicFrame macro="">
      <xdr:nvGraphicFramePr>
        <xdr:cNvPr id="5" name="Chart 4">
          <a:extLst>
            <a:ext uri="{FF2B5EF4-FFF2-40B4-BE49-F238E27FC236}">
              <a16:creationId xmlns:a16="http://schemas.microsoft.com/office/drawing/2014/main" xmlns="" id="{00000000-0008-0000-1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266700</xdr:colOff>
      <xdr:row>2</xdr:row>
      <xdr:rowOff>114300</xdr:rowOff>
    </xdr:from>
    <xdr:to>
      <xdr:col>9</xdr:col>
      <xdr:colOff>542925</xdr:colOff>
      <xdr:row>26</xdr:row>
      <xdr:rowOff>95250</xdr:rowOff>
    </xdr:to>
    <xdr:graphicFrame macro="">
      <xdr:nvGraphicFramePr>
        <xdr:cNvPr id="6" name="Chart 5">
          <a:extLst>
            <a:ext uri="{FF2B5EF4-FFF2-40B4-BE49-F238E27FC236}">
              <a16:creationId xmlns:a16="http://schemas.microsoft.com/office/drawing/2014/main" xmlns="" id="{00000000-0008-0000-1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c:userShapes xmlns:c="http://schemas.openxmlformats.org/drawingml/2006/chart">
  <cdr:relSizeAnchor xmlns:cdr="http://schemas.openxmlformats.org/drawingml/2006/chartDrawing">
    <cdr:from>
      <cdr:x>0.79173</cdr:x>
      <cdr:y>0.55927</cdr:y>
    </cdr:from>
    <cdr:to>
      <cdr:x>0.99102</cdr:x>
      <cdr:y>0.64853</cdr:y>
    </cdr:to>
    <cdr:sp macro="" textlink="">
      <cdr:nvSpPr>
        <cdr:cNvPr id="2" name="TextBox 1"/>
        <cdr:cNvSpPr txBox="1"/>
      </cdr:nvSpPr>
      <cdr:spPr>
        <a:xfrm xmlns:a="http://schemas.openxmlformats.org/drawingml/2006/main">
          <a:off x="5286396" y="2546351"/>
          <a:ext cx="1330664" cy="40639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200"/>
            </a:lnSpc>
          </a:pPr>
          <a:r>
            <a:rPr lang="en-US" sz="1200">
              <a:latin typeface="Arial" panose="020B0604020202020204" pitchFamily="34" charset="0"/>
              <a:cs typeface="Arial" panose="020B0604020202020204" pitchFamily="34" charset="0"/>
            </a:rPr>
            <a:t>After-tax income </a:t>
          </a:r>
          <a:r>
            <a:rPr lang="en-US" sz="1100">
              <a:latin typeface="Arial" panose="020B0604020202020204" pitchFamily="34" charset="0"/>
              <a:cs typeface="Arial" panose="020B0604020202020204" pitchFamily="34" charset="0"/>
            </a:rPr>
            <a:t>(decreases only)</a:t>
          </a:r>
          <a:endParaRPr lang="en-US" sz="105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0.77074</cdr:x>
      <cdr:y>0.50906</cdr:y>
    </cdr:from>
    <cdr:to>
      <cdr:x>0.97004</cdr:x>
      <cdr:y>0.56067</cdr:y>
    </cdr:to>
    <cdr:sp macro="" textlink="">
      <cdr:nvSpPr>
        <cdr:cNvPr id="3" name="TextBox 1"/>
        <cdr:cNvSpPr txBox="1"/>
      </cdr:nvSpPr>
      <cdr:spPr>
        <a:xfrm xmlns:a="http://schemas.openxmlformats.org/drawingml/2006/main">
          <a:off x="5146253" y="2317728"/>
          <a:ext cx="1330731" cy="23497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200"/>
            </a:lnSpc>
          </a:pPr>
          <a:r>
            <a:rPr lang="en-US" sz="1200">
              <a:latin typeface="Arial" panose="020B0604020202020204" pitchFamily="34" charset="0"/>
              <a:cs typeface="Arial" panose="020B0604020202020204" pitchFamily="34" charset="0"/>
            </a:rPr>
            <a:t>Payroll</a:t>
          </a:r>
          <a:r>
            <a:rPr lang="en-US" sz="1200" baseline="0">
              <a:latin typeface="Arial" panose="020B0604020202020204" pitchFamily="34" charset="0"/>
              <a:cs typeface="Arial" panose="020B0604020202020204" pitchFamily="34" charset="0"/>
            </a:rPr>
            <a:t> tax</a:t>
          </a:r>
          <a:endParaRPr lang="en-US" sz="105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0.77318</cdr:x>
      <cdr:y>0.42678</cdr:y>
    </cdr:from>
    <cdr:to>
      <cdr:x>1</cdr:x>
      <cdr:y>0.48117</cdr:y>
    </cdr:to>
    <cdr:sp macro="" textlink="">
      <cdr:nvSpPr>
        <cdr:cNvPr id="4" name="TextBox 1"/>
        <cdr:cNvSpPr txBox="1"/>
      </cdr:nvSpPr>
      <cdr:spPr>
        <a:xfrm xmlns:a="http://schemas.openxmlformats.org/drawingml/2006/main">
          <a:off x="5162542" y="1943108"/>
          <a:ext cx="1514483" cy="2476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100"/>
            </a:lnSpc>
          </a:pPr>
          <a:r>
            <a:rPr lang="en-US" sz="1200">
              <a:latin typeface="Arial" panose="020B0604020202020204" pitchFamily="34" charset="0"/>
              <a:cs typeface="Arial" panose="020B0604020202020204" pitchFamily="34" charset="0"/>
            </a:rPr>
            <a:t>Sales &amp;</a:t>
          </a:r>
          <a:r>
            <a:rPr lang="en-US" sz="1200" baseline="0">
              <a:latin typeface="Arial" panose="020B0604020202020204" pitchFamily="34" charset="0"/>
              <a:cs typeface="Arial" panose="020B0604020202020204" pitchFamily="34" charset="0"/>
            </a:rPr>
            <a:t> other taxes</a:t>
          </a:r>
          <a:endParaRPr lang="en-US" sz="1100" baseline="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0.77223</cdr:x>
      <cdr:y>0.45607</cdr:y>
    </cdr:from>
    <cdr:to>
      <cdr:x>0.78459</cdr:x>
      <cdr:y>0.51326</cdr:y>
    </cdr:to>
    <cdr:cxnSp macro="">
      <cdr:nvCxnSpPr>
        <cdr:cNvPr id="6" name="Straight Arrow Connector 5">
          <a:extLst xmlns:a="http://schemas.openxmlformats.org/drawingml/2006/main">
            <a:ext uri="{FF2B5EF4-FFF2-40B4-BE49-F238E27FC236}">
              <a16:creationId xmlns:a16="http://schemas.microsoft.com/office/drawing/2014/main" xmlns="" id="{189EB4D5-8F65-4E08-9A2E-373BC39B17EA}"/>
            </a:ext>
          </a:extLst>
        </cdr:cNvPr>
        <cdr:cNvCxnSpPr/>
      </cdr:nvCxnSpPr>
      <cdr:spPr>
        <a:xfrm xmlns:a="http://schemas.openxmlformats.org/drawingml/2006/main" flipH="1">
          <a:off x="5156203" y="2076450"/>
          <a:ext cx="82547" cy="260388"/>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0.77461</cdr:x>
      <cdr:y>0.54602</cdr:y>
    </cdr:from>
    <cdr:to>
      <cdr:x>0.80456</cdr:x>
      <cdr:y>0.57741</cdr:y>
    </cdr:to>
    <cdr:cxnSp macro="">
      <cdr:nvCxnSpPr>
        <cdr:cNvPr id="8" name="Straight Arrow Connector 7">
          <a:extLst xmlns:a="http://schemas.openxmlformats.org/drawingml/2006/main">
            <a:ext uri="{FF2B5EF4-FFF2-40B4-BE49-F238E27FC236}">
              <a16:creationId xmlns:a16="http://schemas.microsoft.com/office/drawing/2014/main" xmlns="" id="{8D6CDE38-715E-4BBE-8D0A-16A1D9BC39A9}"/>
            </a:ext>
          </a:extLst>
        </cdr:cNvPr>
        <cdr:cNvCxnSpPr/>
      </cdr:nvCxnSpPr>
      <cdr:spPr>
        <a:xfrm xmlns:a="http://schemas.openxmlformats.org/drawingml/2006/main" flipH="1" flipV="1">
          <a:off x="5172090" y="2486009"/>
          <a:ext cx="200010" cy="142891"/>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0.77318</cdr:x>
      <cdr:y>0.52719</cdr:y>
    </cdr:from>
    <cdr:to>
      <cdr:x>0.8117</cdr:x>
      <cdr:y>0.52929</cdr:y>
    </cdr:to>
    <cdr:cxnSp macro="">
      <cdr:nvCxnSpPr>
        <cdr:cNvPr id="10" name="Straight Arrow Connector 9">
          <a:extLst xmlns:a="http://schemas.openxmlformats.org/drawingml/2006/main">
            <a:ext uri="{FF2B5EF4-FFF2-40B4-BE49-F238E27FC236}">
              <a16:creationId xmlns:a16="http://schemas.microsoft.com/office/drawing/2014/main" xmlns="" id="{A74A2269-32EA-4E1A-9C50-FE47191173EE}"/>
            </a:ext>
          </a:extLst>
        </cdr:cNvPr>
        <cdr:cNvCxnSpPr/>
      </cdr:nvCxnSpPr>
      <cdr:spPr>
        <a:xfrm xmlns:a="http://schemas.openxmlformats.org/drawingml/2006/main" flipH="1" flipV="1">
          <a:off x="5162543" y="2400274"/>
          <a:ext cx="257182" cy="9551"/>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25.xml><?xml version="1.0" encoding="utf-8"?>
<c:userShapes xmlns:c="http://schemas.openxmlformats.org/drawingml/2006/chart">
  <cdr:relSizeAnchor xmlns:cdr="http://schemas.openxmlformats.org/drawingml/2006/chartDrawing">
    <cdr:from>
      <cdr:x>0.73034</cdr:x>
      <cdr:y>0.3145</cdr:y>
    </cdr:from>
    <cdr:to>
      <cdr:x>0.97592</cdr:x>
      <cdr:y>0.37447</cdr:y>
    </cdr:to>
    <cdr:sp macro="" textlink="">
      <cdr:nvSpPr>
        <cdr:cNvPr id="2" name="TextBox 1"/>
        <cdr:cNvSpPr txBox="1"/>
      </cdr:nvSpPr>
      <cdr:spPr>
        <a:xfrm xmlns:a="http://schemas.openxmlformats.org/drawingml/2006/main">
          <a:off x="4333875" y="1431901"/>
          <a:ext cx="1457325" cy="2730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100"/>
            </a:lnSpc>
          </a:pPr>
          <a:r>
            <a:rPr lang="en-US" sz="1200">
              <a:latin typeface="Arial" panose="020B0604020202020204" pitchFamily="34" charset="0"/>
              <a:cs typeface="Arial" panose="020B0604020202020204" pitchFamily="34" charset="0"/>
            </a:rPr>
            <a:t>Pre-tax               after-transfer income</a:t>
          </a:r>
          <a:endParaRPr lang="en-US"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0.78651</cdr:x>
      <cdr:y>0.42329</cdr:y>
    </cdr:from>
    <cdr:to>
      <cdr:x>0.99678</cdr:x>
      <cdr:y>0.48327</cdr:y>
    </cdr:to>
    <cdr:sp macro="" textlink="">
      <cdr:nvSpPr>
        <cdr:cNvPr id="3" name="TextBox 1"/>
        <cdr:cNvSpPr txBox="1"/>
      </cdr:nvSpPr>
      <cdr:spPr>
        <a:xfrm xmlns:a="http://schemas.openxmlformats.org/drawingml/2006/main">
          <a:off x="4667211" y="1927240"/>
          <a:ext cx="1247758" cy="27308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000"/>
            </a:lnSpc>
          </a:pPr>
          <a:r>
            <a:rPr lang="en-US" sz="1100">
              <a:latin typeface="Arial" panose="020B0604020202020204" pitchFamily="34" charset="0"/>
              <a:cs typeface="Arial" panose="020B0604020202020204" pitchFamily="34" charset="0"/>
            </a:rPr>
            <a:t>Federal indiv. income</a:t>
          </a:r>
          <a:r>
            <a:rPr lang="en-US" sz="1100" baseline="0">
              <a:latin typeface="Arial" panose="020B0604020202020204" pitchFamily="34" charset="0"/>
              <a:cs typeface="Arial" panose="020B0604020202020204" pitchFamily="34" charset="0"/>
            </a:rPr>
            <a:t> tax</a:t>
          </a:r>
          <a:endParaRPr lang="en-US" sz="105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0.79828</cdr:x>
      <cdr:y>0.60111</cdr:y>
    </cdr:from>
    <cdr:to>
      <cdr:x>0.98876</cdr:x>
      <cdr:y>0.66109</cdr:y>
    </cdr:to>
    <cdr:sp macro="" textlink="">
      <cdr:nvSpPr>
        <cdr:cNvPr id="6" name="TextBox 1"/>
        <cdr:cNvSpPr txBox="1"/>
      </cdr:nvSpPr>
      <cdr:spPr>
        <a:xfrm xmlns:a="http://schemas.openxmlformats.org/drawingml/2006/main">
          <a:off x="4737055" y="2736837"/>
          <a:ext cx="1130323" cy="27308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latin typeface="Arial" panose="020B0604020202020204" pitchFamily="34" charset="0"/>
              <a:cs typeface="Arial" panose="020B0604020202020204" pitchFamily="34" charset="0"/>
            </a:rPr>
            <a:t>Property tax</a:t>
          </a:r>
          <a:endParaRPr lang="en-US" sz="105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0.78973</cdr:x>
      <cdr:y>0.49442</cdr:y>
    </cdr:from>
    <cdr:to>
      <cdr:x>1</cdr:x>
      <cdr:y>0.5544</cdr:y>
    </cdr:to>
    <cdr:sp macro="" textlink="">
      <cdr:nvSpPr>
        <cdr:cNvPr id="7" name="TextBox 1"/>
        <cdr:cNvSpPr txBox="1"/>
      </cdr:nvSpPr>
      <cdr:spPr>
        <a:xfrm xmlns:a="http://schemas.openxmlformats.org/drawingml/2006/main">
          <a:off x="4686317" y="2251073"/>
          <a:ext cx="1247758" cy="27308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000"/>
            </a:lnSpc>
          </a:pPr>
          <a:r>
            <a:rPr lang="en-US" sz="1100">
              <a:latin typeface="Arial" panose="020B0604020202020204" pitchFamily="34" charset="0"/>
              <a:cs typeface="Arial" panose="020B0604020202020204" pitchFamily="34" charset="0"/>
            </a:rPr>
            <a:t>State indiv. income</a:t>
          </a:r>
          <a:r>
            <a:rPr lang="en-US" sz="1100" baseline="0">
              <a:latin typeface="Arial" panose="020B0604020202020204" pitchFamily="34" charset="0"/>
              <a:cs typeface="Arial" panose="020B0604020202020204" pitchFamily="34" charset="0"/>
            </a:rPr>
            <a:t> tax</a:t>
          </a:r>
          <a:endParaRPr lang="en-US" sz="105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0.79293</cdr:x>
      <cdr:y>0.46025</cdr:y>
    </cdr:from>
    <cdr:to>
      <cdr:x>0.81701</cdr:x>
      <cdr:y>0.49582</cdr:y>
    </cdr:to>
    <cdr:cxnSp macro="">
      <cdr:nvCxnSpPr>
        <cdr:cNvPr id="8" name="Straight Arrow Connector 7">
          <a:extLst xmlns:a="http://schemas.openxmlformats.org/drawingml/2006/main">
            <a:ext uri="{FF2B5EF4-FFF2-40B4-BE49-F238E27FC236}">
              <a16:creationId xmlns:a16="http://schemas.microsoft.com/office/drawing/2014/main" xmlns="" id="{53A3D10B-1939-4044-9712-5C071F65BE29}"/>
            </a:ext>
          </a:extLst>
        </cdr:cNvPr>
        <cdr:cNvCxnSpPr/>
      </cdr:nvCxnSpPr>
      <cdr:spPr>
        <a:xfrm xmlns:a="http://schemas.openxmlformats.org/drawingml/2006/main" flipH="1">
          <a:off x="4705303" y="2095505"/>
          <a:ext cx="142892" cy="161948"/>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0.79775</cdr:x>
      <cdr:y>0.51674</cdr:y>
    </cdr:from>
    <cdr:to>
      <cdr:x>0.82825</cdr:x>
      <cdr:y>0.5251</cdr:y>
    </cdr:to>
    <cdr:cxnSp macro="">
      <cdr:nvCxnSpPr>
        <cdr:cNvPr id="11" name="Straight Arrow Connector 10">
          <a:extLst xmlns:a="http://schemas.openxmlformats.org/drawingml/2006/main">
            <a:ext uri="{FF2B5EF4-FFF2-40B4-BE49-F238E27FC236}">
              <a16:creationId xmlns:a16="http://schemas.microsoft.com/office/drawing/2014/main" xmlns="" id="{B86EC81E-B706-4439-BA04-98417DEC027D}"/>
            </a:ext>
          </a:extLst>
        </cdr:cNvPr>
        <cdr:cNvCxnSpPr/>
      </cdr:nvCxnSpPr>
      <cdr:spPr>
        <a:xfrm xmlns:a="http://schemas.openxmlformats.org/drawingml/2006/main" flipH="1" flipV="1">
          <a:off x="4733910" y="2352696"/>
          <a:ext cx="180989" cy="38063"/>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0.79294</cdr:x>
      <cdr:y>0.54184</cdr:y>
    </cdr:from>
    <cdr:to>
      <cdr:x>0.82504</cdr:x>
      <cdr:y>0.61088</cdr:y>
    </cdr:to>
    <cdr:cxnSp macro="">
      <cdr:nvCxnSpPr>
        <cdr:cNvPr id="13" name="Straight Arrow Connector 12">
          <a:extLst xmlns:a="http://schemas.openxmlformats.org/drawingml/2006/main">
            <a:ext uri="{FF2B5EF4-FFF2-40B4-BE49-F238E27FC236}">
              <a16:creationId xmlns:a16="http://schemas.microsoft.com/office/drawing/2014/main" xmlns="" id="{A8FC22A9-665F-47F0-8477-132021FFAB80}"/>
            </a:ext>
          </a:extLst>
        </cdr:cNvPr>
        <cdr:cNvCxnSpPr/>
      </cdr:nvCxnSpPr>
      <cdr:spPr>
        <a:xfrm xmlns:a="http://schemas.openxmlformats.org/drawingml/2006/main" flipH="1" flipV="1">
          <a:off x="4705337" y="2466983"/>
          <a:ext cx="190483" cy="314336"/>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0.79668</cdr:x>
      <cdr:y>0.5258</cdr:y>
    </cdr:from>
    <cdr:to>
      <cdr:x>0.82986</cdr:x>
      <cdr:y>0.57113</cdr:y>
    </cdr:to>
    <cdr:cxnSp macro="">
      <cdr:nvCxnSpPr>
        <cdr:cNvPr id="9" name="Straight Arrow Connector 8">
          <a:extLst xmlns:a="http://schemas.openxmlformats.org/drawingml/2006/main">
            <a:ext uri="{FF2B5EF4-FFF2-40B4-BE49-F238E27FC236}">
              <a16:creationId xmlns:a16="http://schemas.microsoft.com/office/drawing/2014/main" xmlns="" id="{3DFB1918-6A8E-4F3D-AA37-CFDF5547B497}"/>
            </a:ext>
          </a:extLst>
        </cdr:cNvPr>
        <cdr:cNvCxnSpPr/>
      </cdr:nvCxnSpPr>
      <cdr:spPr>
        <a:xfrm xmlns:a="http://schemas.openxmlformats.org/drawingml/2006/main" flipH="1" flipV="1">
          <a:off x="4727560" y="2393927"/>
          <a:ext cx="196893" cy="206385"/>
        </a:xfrm>
        <a:prstGeom xmlns:a="http://schemas.openxmlformats.org/drawingml/2006/main" prst="straightConnector1">
          <a:avLst/>
        </a:prstGeom>
        <a:ln xmlns:a="http://schemas.openxmlformats.org/drawingml/2006/main" w="12700">
          <a:solidFill>
            <a:schemeClr val="tx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0.81702</cdr:x>
      <cdr:y>0.55718</cdr:y>
    </cdr:from>
    <cdr:to>
      <cdr:x>0.99519</cdr:x>
      <cdr:y>0.61716</cdr:y>
    </cdr:to>
    <cdr:sp macro="" textlink="">
      <cdr:nvSpPr>
        <cdr:cNvPr id="10" name="TextBox 1"/>
        <cdr:cNvSpPr txBox="1"/>
      </cdr:nvSpPr>
      <cdr:spPr>
        <a:xfrm xmlns:a="http://schemas.openxmlformats.org/drawingml/2006/main">
          <a:off x="4848232" y="2536826"/>
          <a:ext cx="1057274" cy="27308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latin typeface="Arial" panose="020B0604020202020204" pitchFamily="34" charset="0"/>
              <a:cs typeface="Arial" panose="020B0604020202020204" pitchFamily="34" charset="0"/>
            </a:rPr>
            <a:t>Corporate tax</a:t>
          </a:r>
          <a:endParaRPr lang="en-US" sz="1050">
            <a:latin typeface="Arial" panose="020B0604020202020204" pitchFamily="34" charset="0"/>
            <a:cs typeface="Arial" panose="020B0604020202020204" pitchFamily="34" charset="0"/>
          </a:endParaRPr>
        </a:p>
      </cdr:txBody>
    </cdr:sp>
  </cdr:relSizeAnchor>
</c:userShapes>
</file>

<file path=xl/drawings/drawing26.xml><?xml version="1.0" encoding="utf-8"?>
<xdr:wsDr xmlns:xdr="http://schemas.openxmlformats.org/drawingml/2006/spreadsheetDrawing" xmlns:a="http://schemas.openxmlformats.org/drawingml/2006/main">
  <xdr:twoCellAnchor>
    <xdr:from>
      <xdr:col>0</xdr:col>
      <xdr:colOff>161925</xdr:colOff>
      <xdr:row>1</xdr:row>
      <xdr:rowOff>114300</xdr:rowOff>
    </xdr:from>
    <xdr:to>
      <xdr:col>10</xdr:col>
      <xdr:colOff>647700</xdr:colOff>
      <xdr:row>23</xdr:row>
      <xdr:rowOff>114300</xdr:rowOff>
    </xdr:to>
    <xdr:graphicFrame macro="">
      <xdr:nvGraphicFramePr>
        <xdr:cNvPr id="6" name="Chart 5">
          <a:extLst>
            <a:ext uri="{FF2B5EF4-FFF2-40B4-BE49-F238E27FC236}">
              <a16:creationId xmlns:a16="http://schemas.microsoft.com/office/drawing/2014/main" xmlns="" id="{00000000-0008-0000-1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0.84749</cdr:x>
      <cdr:y>0.21667</cdr:y>
    </cdr:from>
    <cdr:to>
      <cdr:x>0.98177</cdr:x>
      <cdr:y>0.28637</cdr:y>
    </cdr:to>
    <cdr:sp macro="" textlink="">
      <cdr:nvSpPr>
        <cdr:cNvPr id="2" name="TextBox 1"/>
        <cdr:cNvSpPr txBox="1"/>
      </cdr:nvSpPr>
      <cdr:spPr>
        <a:xfrm xmlns:a="http://schemas.openxmlformats.org/drawingml/2006/main">
          <a:off x="5577978" y="908056"/>
          <a:ext cx="883801" cy="29211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300">
              <a:latin typeface="Arial" panose="020B0604020202020204" pitchFamily="34" charset="0"/>
              <a:cs typeface="Arial" panose="020B0604020202020204" pitchFamily="34" charset="0"/>
            </a:rPr>
            <a:t>Top 10%</a:t>
          </a:r>
        </a:p>
      </cdr:txBody>
    </cdr:sp>
  </cdr:relSizeAnchor>
  <cdr:relSizeAnchor xmlns:cdr="http://schemas.openxmlformats.org/drawingml/2006/chartDrawing">
    <cdr:from>
      <cdr:x>0.84519</cdr:x>
      <cdr:y>0.30076</cdr:y>
    </cdr:from>
    <cdr:to>
      <cdr:x>0.97946</cdr:x>
      <cdr:y>0.37046</cdr:y>
    </cdr:to>
    <cdr:sp macro="" textlink="">
      <cdr:nvSpPr>
        <cdr:cNvPr id="3" name="TextBox 1"/>
        <cdr:cNvSpPr txBox="1"/>
      </cdr:nvSpPr>
      <cdr:spPr>
        <a:xfrm xmlns:a="http://schemas.openxmlformats.org/drawingml/2006/main">
          <a:off x="5562869" y="1260478"/>
          <a:ext cx="883735" cy="29211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300">
              <a:latin typeface="Arial" panose="020B0604020202020204" pitchFamily="34" charset="0"/>
              <a:cs typeface="Arial" panose="020B0604020202020204" pitchFamily="34" charset="0"/>
            </a:rPr>
            <a:t>Top 5%</a:t>
          </a:r>
        </a:p>
      </cdr:txBody>
    </cdr:sp>
  </cdr:relSizeAnchor>
  <cdr:relSizeAnchor xmlns:cdr="http://schemas.openxmlformats.org/drawingml/2006/chartDrawing">
    <cdr:from>
      <cdr:x>0.84389</cdr:x>
      <cdr:y>0.49394</cdr:y>
    </cdr:from>
    <cdr:to>
      <cdr:x>0.97817</cdr:x>
      <cdr:y>0.56364</cdr:y>
    </cdr:to>
    <cdr:sp macro="" textlink="">
      <cdr:nvSpPr>
        <cdr:cNvPr id="4" name="TextBox 1"/>
        <cdr:cNvSpPr txBox="1"/>
      </cdr:nvSpPr>
      <cdr:spPr>
        <a:xfrm xmlns:a="http://schemas.openxmlformats.org/drawingml/2006/main">
          <a:off x="5554303" y="2070095"/>
          <a:ext cx="883800" cy="29211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300">
              <a:latin typeface="Arial" panose="020B0604020202020204" pitchFamily="34" charset="0"/>
              <a:cs typeface="Arial" panose="020B0604020202020204" pitchFamily="34" charset="0"/>
            </a:rPr>
            <a:t>Top 1%</a:t>
          </a:r>
        </a:p>
      </cdr:txBody>
    </cdr:sp>
  </cdr:relSizeAnchor>
  <cdr:relSizeAnchor xmlns:cdr="http://schemas.openxmlformats.org/drawingml/2006/chartDrawing">
    <cdr:from>
      <cdr:x>0.84515</cdr:x>
      <cdr:y>0.57803</cdr:y>
    </cdr:from>
    <cdr:to>
      <cdr:x>0.99184</cdr:x>
      <cdr:y>0.64773</cdr:y>
    </cdr:to>
    <cdr:sp macro="" textlink="">
      <cdr:nvSpPr>
        <cdr:cNvPr id="5" name="TextBox 1"/>
        <cdr:cNvSpPr txBox="1"/>
      </cdr:nvSpPr>
      <cdr:spPr>
        <a:xfrm xmlns:a="http://schemas.openxmlformats.org/drawingml/2006/main">
          <a:off x="5562587" y="2422516"/>
          <a:ext cx="965481" cy="29211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300">
              <a:latin typeface="Arial" panose="020B0604020202020204" pitchFamily="34" charset="0"/>
              <a:cs typeface="Arial" panose="020B0604020202020204" pitchFamily="34" charset="0"/>
            </a:rPr>
            <a:t>Top 0.5%</a:t>
          </a:r>
        </a:p>
      </cdr:txBody>
    </cdr:sp>
  </cdr:relSizeAnchor>
  <cdr:relSizeAnchor xmlns:cdr="http://schemas.openxmlformats.org/drawingml/2006/chartDrawing">
    <cdr:from>
      <cdr:x>0.83647</cdr:x>
      <cdr:y>0.72349</cdr:y>
    </cdr:from>
    <cdr:to>
      <cdr:x>0.99555</cdr:x>
      <cdr:y>0.79319</cdr:y>
    </cdr:to>
    <cdr:sp macro="" textlink="">
      <cdr:nvSpPr>
        <cdr:cNvPr id="6" name="TextBox 1"/>
        <cdr:cNvSpPr txBox="1"/>
      </cdr:nvSpPr>
      <cdr:spPr>
        <a:xfrm xmlns:a="http://schemas.openxmlformats.org/drawingml/2006/main">
          <a:off x="5505476" y="3032128"/>
          <a:ext cx="1047029" cy="29211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300">
              <a:latin typeface="Arial" panose="020B0604020202020204" pitchFamily="34" charset="0"/>
              <a:cs typeface="Arial" panose="020B0604020202020204" pitchFamily="34" charset="0"/>
            </a:rPr>
            <a:t>Top 0.1%</a:t>
          </a:r>
        </a:p>
      </cdr:txBody>
    </cdr:sp>
  </cdr:relSizeAnchor>
  <cdr:relSizeAnchor xmlns:cdr="http://schemas.openxmlformats.org/drawingml/2006/chartDrawing">
    <cdr:from>
      <cdr:x>0.84178</cdr:x>
      <cdr:y>0.83712</cdr:y>
    </cdr:from>
    <cdr:to>
      <cdr:x>1</cdr:x>
      <cdr:y>0.90682</cdr:y>
    </cdr:to>
    <cdr:sp macro="" textlink="">
      <cdr:nvSpPr>
        <cdr:cNvPr id="7" name="TextBox 1"/>
        <cdr:cNvSpPr txBox="1"/>
      </cdr:nvSpPr>
      <cdr:spPr>
        <a:xfrm xmlns:a="http://schemas.openxmlformats.org/drawingml/2006/main">
          <a:off x="5540424" y="3508375"/>
          <a:ext cx="1041351" cy="2921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300">
              <a:latin typeface="Arial" panose="020B0604020202020204" pitchFamily="34" charset="0"/>
              <a:cs typeface="Arial" panose="020B0604020202020204" pitchFamily="34" charset="0"/>
            </a:rPr>
            <a:t>Top 0.01%</a:t>
          </a:r>
        </a:p>
      </cdr:txBody>
    </cdr:sp>
  </cdr:relSizeAnchor>
</c:userShapes>
</file>

<file path=xl/drawings/drawing28.xml><?xml version="1.0" encoding="utf-8"?>
<xdr:wsDr xmlns:xdr="http://schemas.openxmlformats.org/drawingml/2006/spreadsheetDrawing" xmlns:a="http://schemas.openxmlformats.org/drawingml/2006/main">
  <xdr:twoCellAnchor>
    <xdr:from>
      <xdr:col>0</xdr:col>
      <xdr:colOff>22413</xdr:colOff>
      <xdr:row>2</xdr:row>
      <xdr:rowOff>22411</xdr:rowOff>
    </xdr:from>
    <xdr:to>
      <xdr:col>7</xdr:col>
      <xdr:colOff>515471</xdr:colOff>
      <xdr:row>25</xdr:row>
      <xdr:rowOff>98611</xdr:rowOff>
    </xdr:to>
    <xdr:graphicFrame macro="">
      <xdr:nvGraphicFramePr>
        <xdr:cNvPr id="3" name="Chart 2">
          <a:extLst>
            <a:ext uri="{FF2B5EF4-FFF2-40B4-BE49-F238E27FC236}">
              <a16:creationId xmlns:a16="http://schemas.microsoft.com/office/drawing/2014/main" xmlns="" id="{00000000-0008-0000-1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xdr:row>
      <xdr:rowOff>0</xdr:rowOff>
    </xdr:from>
    <xdr:to>
      <xdr:col>15</xdr:col>
      <xdr:colOff>403411</xdr:colOff>
      <xdr:row>25</xdr:row>
      <xdr:rowOff>76200</xdr:rowOff>
    </xdr:to>
    <xdr:graphicFrame macro="">
      <xdr:nvGraphicFramePr>
        <xdr:cNvPr id="4" name="Chart 3">
          <a:extLst>
            <a:ext uri="{FF2B5EF4-FFF2-40B4-BE49-F238E27FC236}">
              <a16:creationId xmlns:a16="http://schemas.microsoft.com/office/drawing/2014/main" xmlns="" id="{00000000-0008-0000-1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0.58046</cdr:x>
      <cdr:y>0.21137</cdr:y>
    </cdr:from>
    <cdr:to>
      <cdr:x>0.95547</cdr:x>
      <cdr:y>0.25641</cdr:y>
    </cdr:to>
    <cdr:sp macro="" textlink="">
      <cdr:nvSpPr>
        <cdr:cNvPr id="2" name="TextBox 1"/>
        <cdr:cNvSpPr txBox="1"/>
      </cdr:nvSpPr>
      <cdr:spPr>
        <a:xfrm xmlns:a="http://schemas.openxmlformats.org/drawingml/2006/main">
          <a:off x="3213233" y="942219"/>
          <a:ext cx="2075943" cy="2007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200"/>
            </a:lnSpc>
          </a:pPr>
          <a:r>
            <a:rPr lang="en-US" sz="1400">
              <a:latin typeface="Arial" panose="020B0604020202020204" pitchFamily="34" charset="0"/>
              <a:cs typeface="Arial" panose="020B0604020202020204" pitchFamily="34" charset="0"/>
            </a:rPr>
            <a:t>Pre-tax after-transfer </a:t>
          </a:r>
        </a:p>
      </cdr:txBody>
    </cdr:sp>
  </cdr:relSizeAnchor>
  <cdr:relSizeAnchor xmlns:cdr="http://schemas.openxmlformats.org/drawingml/2006/chartDrawing">
    <cdr:from>
      <cdr:x>0.65899</cdr:x>
      <cdr:y>0.02108</cdr:y>
    </cdr:from>
    <cdr:to>
      <cdr:x>0.98568</cdr:x>
      <cdr:y>0.08188</cdr:y>
    </cdr:to>
    <cdr:sp macro="" textlink="">
      <cdr:nvSpPr>
        <cdr:cNvPr id="3" name="TextBox 1"/>
        <cdr:cNvSpPr txBox="1"/>
      </cdr:nvSpPr>
      <cdr:spPr>
        <a:xfrm xmlns:a="http://schemas.openxmlformats.org/drawingml/2006/main">
          <a:off x="3611030" y="93950"/>
          <a:ext cx="1790203" cy="27102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solidFill>
                <a:schemeClr val="accent2">
                  <a:lumMod val="75000"/>
                </a:schemeClr>
              </a:solidFill>
              <a:latin typeface="Arial" panose="020B0604020202020204" pitchFamily="34" charset="0"/>
              <a:cs typeface="Arial" panose="020B0604020202020204" pitchFamily="34" charset="0"/>
            </a:rPr>
            <a:t>After-tax income</a:t>
          </a:r>
        </a:p>
      </cdr:txBody>
    </cdr:sp>
  </cdr:relSizeAnchor>
  <cdr:relSizeAnchor xmlns:cdr="http://schemas.openxmlformats.org/drawingml/2006/chartDrawing">
    <cdr:from>
      <cdr:x>0.5323</cdr:x>
      <cdr:y>0.36953</cdr:y>
    </cdr:from>
    <cdr:to>
      <cdr:x>0.84818</cdr:x>
      <cdr:y>0.43464</cdr:y>
    </cdr:to>
    <cdr:sp macro="" textlink="">
      <cdr:nvSpPr>
        <cdr:cNvPr id="4" name="TextBox 1"/>
        <cdr:cNvSpPr txBox="1"/>
      </cdr:nvSpPr>
      <cdr:spPr>
        <a:xfrm xmlns:a="http://schemas.openxmlformats.org/drawingml/2006/main">
          <a:off x="2946644" y="1647268"/>
          <a:ext cx="1748619" cy="29021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150"/>
            </a:lnSpc>
          </a:pPr>
          <a:r>
            <a:rPr lang="en-US" sz="1400">
              <a:solidFill>
                <a:schemeClr val="accent3">
                  <a:lumMod val="50000"/>
                </a:schemeClr>
              </a:solidFill>
              <a:latin typeface="Arial" panose="020B0604020202020204" pitchFamily="34" charset="0"/>
              <a:cs typeface="Arial" panose="020B0604020202020204" pitchFamily="34" charset="0"/>
            </a:rPr>
            <a:t>Pre-tax income</a:t>
          </a:r>
        </a:p>
      </cdr:txBody>
    </cdr:sp>
  </cdr:relSizeAnchor>
</c:userShapes>
</file>

<file path=xl/drawings/drawing30.xml><?xml version="1.0" encoding="utf-8"?>
<c:userShapes xmlns:c="http://schemas.openxmlformats.org/drawingml/2006/chart">
  <cdr:relSizeAnchor xmlns:cdr="http://schemas.openxmlformats.org/drawingml/2006/chartDrawing">
    <cdr:from>
      <cdr:x>0.68916</cdr:x>
      <cdr:y>0.21116</cdr:y>
    </cdr:from>
    <cdr:to>
      <cdr:x>0.97751</cdr:x>
      <cdr:y>0.29915</cdr:y>
    </cdr:to>
    <cdr:sp macro="" textlink="">
      <cdr:nvSpPr>
        <cdr:cNvPr id="2" name="TextBox 1"/>
        <cdr:cNvSpPr txBox="1"/>
      </cdr:nvSpPr>
      <cdr:spPr>
        <a:xfrm xmlns:a="http://schemas.openxmlformats.org/drawingml/2006/main">
          <a:off x="3776382" y="941294"/>
          <a:ext cx="1580028" cy="39220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200"/>
            </a:lnSpc>
          </a:pPr>
          <a:r>
            <a:rPr lang="en-US" sz="1400">
              <a:latin typeface="Arial" panose="020B0604020202020204" pitchFamily="34" charset="0"/>
              <a:cs typeface="Arial" panose="020B0604020202020204" pitchFamily="34" charset="0"/>
            </a:rPr>
            <a:t>Pre-tax          after-transfer </a:t>
          </a:r>
        </a:p>
      </cdr:txBody>
    </cdr:sp>
  </cdr:relSizeAnchor>
  <cdr:relSizeAnchor xmlns:cdr="http://schemas.openxmlformats.org/drawingml/2006/chartDrawing">
    <cdr:from>
      <cdr:x>0.53783</cdr:x>
      <cdr:y>0.08141</cdr:y>
    </cdr:from>
    <cdr:to>
      <cdr:x>0.77505</cdr:x>
      <cdr:y>0.14221</cdr:y>
    </cdr:to>
    <cdr:sp macro="" textlink="">
      <cdr:nvSpPr>
        <cdr:cNvPr id="3" name="TextBox 1"/>
        <cdr:cNvSpPr txBox="1"/>
      </cdr:nvSpPr>
      <cdr:spPr>
        <a:xfrm xmlns:a="http://schemas.openxmlformats.org/drawingml/2006/main">
          <a:off x="2947148" y="362909"/>
          <a:ext cx="1299854" cy="27102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400"/>
            </a:lnSpc>
          </a:pPr>
          <a:r>
            <a:rPr lang="en-US" sz="1400">
              <a:solidFill>
                <a:schemeClr val="accent2">
                  <a:lumMod val="75000"/>
                </a:schemeClr>
              </a:solidFill>
              <a:latin typeface="Arial" panose="020B0604020202020204" pitchFamily="34" charset="0"/>
              <a:cs typeface="Arial" panose="020B0604020202020204" pitchFamily="34" charset="0"/>
            </a:rPr>
            <a:t>After-tax income</a:t>
          </a:r>
        </a:p>
      </cdr:txBody>
    </cdr:sp>
  </cdr:relSizeAnchor>
  <cdr:relSizeAnchor xmlns:cdr="http://schemas.openxmlformats.org/drawingml/2006/chartDrawing">
    <cdr:from>
      <cdr:x>0.63095</cdr:x>
      <cdr:y>0.38461</cdr:y>
    </cdr:from>
    <cdr:to>
      <cdr:x>0.94683</cdr:x>
      <cdr:y>0.44972</cdr:y>
    </cdr:to>
    <cdr:sp macro="" textlink="">
      <cdr:nvSpPr>
        <cdr:cNvPr id="4" name="TextBox 1"/>
        <cdr:cNvSpPr txBox="1"/>
      </cdr:nvSpPr>
      <cdr:spPr>
        <a:xfrm xmlns:a="http://schemas.openxmlformats.org/drawingml/2006/main">
          <a:off x="3457403" y="1714491"/>
          <a:ext cx="1730920" cy="2902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150"/>
            </a:lnSpc>
          </a:pPr>
          <a:r>
            <a:rPr lang="en-US" sz="1400">
              <a:solidFill>
                <a:schemeClr val="accent3">
                  <a:lumMod val="50000"/>
                </a:schemeClr>
              </a:solidFill>
              <a:latin typeface="Arial" panose="020B0604020202020204" pitchFamily="34" charset="0"/>
              <a:cs typeface="Arial" panose="020B0604020202020204" pitchFamily="34" charset="0"/>
            </a:rPr>
            <a:t>Pre-tax income</a:t>
          </a:r>
        </a:p>
      </cdr:txBody>
    </cdr:sp>
  </cdr:relSizeAnchor>
</c:userShapes>
</file>

<file path=xl/drawings/drawing31.xml><?xml version="1.0" encoding="utf-8"?>
<xdr:wsDr xmlns:xdr="http://schemas.openxmlformats.org/drawingml/2006/spreadsheetDrawing" xmlns:a="http://schemas.openxmlformats.org/drawingml/2006/main">
  <xdr:twoCellAnchor>
    <xdr:from>
      <xdr:col>0</xdr:col>
      <xdr:colOff>22413</xdr:colOff>
      <xdr:row>2</xdr:row>
      <xdr:rowOff>22411</xdr:rowOff>
    </xdr:from>
    <xdr:to>
      <xdr:col>7</xdr:col>
      <xdr:colOff>515471</xdr:colOff>
      <xdr:row>25</xdr:row>
      <xdr:rowOff>98611</xdr:rowOff>
    </xdr:to>
    <xdr:graphicFrame macro="">
      <xdr:nvGraphicFramePr>
        <xdr:cNvPr id="2" name="Chart 1">
          <a:extLst>
            <a:ext uri="{FF2B5EF4-FFF2-40B4-BE49-F238E27FC236}">
              <a16:creationId xmlns:a16="http://schemas.microsoft.com/office/drawing/2014/main" xmlns="" id="{00000000-0008-0000-1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xdr:row>
      <xdr:rowOff>0</xdr:rowOff>
    </xdr:from>
    <xdr:to>
      <xdr:col>15</xdr:col>
      <xdr:colOff>403411</xdr:colOff>
      <xdr:row>25</xdr:row>
      <xdr:rowOff>76200</xdr:rowOff>
    </xdr:to>
    <xdr:graphicFrame macro="">
      <xdr:nvGraphicFramePr>
        <xdr:cNvPr id="3" name="Chart 2">
          <a:extLst>
            <a:ext uri="{FF2B5EF4-FFF2-40B4-BE49-F238E27FC236}">
              <a16:creationId xmlns:a16="http://schemas.microsoft.com/office/drawing/2014/main" xmlns="" id="{00000000-0008-0000-1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156882</xdr:colOff>
      <xdr:row>5</xdr:row>
      <xdr:rowOff>67235</xdr:rowOff>
    </xdr:from>
    <xdr:to>
      <xdr:col>13</xdr:col>
      <xdr:colOff>448235</xdr:colOff>
      <xdr:row>6</xdr:row>
      <xdr:rowOff>22412</xdr:rowOff>
    </xdr:to>
    <xdr:cxnSp macro="">
      <xdr:nvCxnSpPr>
        <xdr:cNvPr id="5" name="Straight Connector 4">
          <a:extLst>
            <a:ext uri="{FF2B5EF4-FFF2-40B4-BE49-F238E27FC236}">
              <a16:creationId xmlns:a16="http://schemas.microsoft.com/office/drawing/2014/main" xmlns="" id="{00000000-0008-0000-1A00-000005000000}"/>
            </a:ext>
          </a:extLst>
        </xdr:cNvPr>
        <xdr:cNvCxnSpPr/>
      </xdr:nvCxnSpPr>
      <xdr:spPr>
        <a:xfrm>
          <a:off x="9782735" y="1019735"/>
          <a:ext cx="291353" cy="145677"/>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51546</xdr:colOff>
      <xdr:row>6</xdr:row>
      <xdr:rowOff>141194</xdr:rowOff>
    </xdr:from>
    <xdr:to>
      <xdr:col>13</xdr:col>
      <xdr:colOff>381000</xdr:colOff>
      <xdr:row>7</xdr:row>
      <xdr:rowOff>56029</xdr:rowOff>
    </xdr:to>
    <xdr:cxnSp macro="">
      <xdr:nvCxnSpPr>
        <xdr:cNvPr id="6" name="Straight Connector 5">
          <a:extLst>
            <a:ext uri="{FF2B5EF4-FFF2-40B4-BE49-F238E27FC236}">
              <a16:creationId xmlns:a16="http://schemas.microsoft.com/office/drawing/2014/main" xmlns="" id="{00000000-0008-0000-1A00-000006000000}"/>
            </a:ext>
          </a:extLst>
        </xdr:cNvPr>
        <xdr:cNvCxnSpPr/>
      </xdr:nvCxnSpPr>
      <xdr:spPr>
        <a:xfrm>
          <a:off x="9677399" y="1284194"/>
          <a:ext cx="329454" cy="10533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c:userShapes xmlns:c="http://schemas.openxmlformats.org/drawingml/2006/chart">
  <cdr:relSizeAnchor xmlns:cdr="http://schemas.openxmlformats.org/drawingml/2006/chartDrawing">
    <cdr:from>
      <cdr:x>0.30515</cdr:x>
      <cdr:y>0.08568</cdr:y>
    </cdr:from>
    <cdr:to>
      <cdr:x>0.68016</cdr:x>
      <cdr:y>0.13072</cdr:y>
    </cdr:to>
    <cdr:sp macro="" textlink="">
      <cdr:nvSpPr>
        <cdr:cNvPr id="2" name="TextBox 1"/>
        <cdr:cNvSpPr txBox="1"/>
      </cdr:nvSpPr>
      <cdr:spPr>
        <a:xfrm xmlns:a="http://schemas.openxmlformats.org/drawingml/2006/main">
          <a:off x="1689230" y="381923"/>
          <a:ext cx="2075945" cy="2007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200"/>
            </a:lnSpc>
          </a:pPr>
          <a:r>
            <a:rPr lang="en-US" sz="1200">
              <a:latin typeface="Arial" panose="020B0604020202020204" pitchFamily="34" charset="0"/>
              <a:cs typeface="Arial" panose="020B0604020202020204" pitchFamily="34" charset="0"/>
            </a:rPr>
            <a:t>Pre-tax after-transfer </a:t>
          </a:r>
        </a:p>
      </cdr:txBody>
    </cdr:sp>
  </cdr:relSizeAnchor>
  <cdr:relSizeAnchor xmlns:cdr="http://schemas.openxmlformats.org/drawingml/2006/chartDrawing">
    <cdr:from>
      <cdr:x>0.32903</cdr:x>
      <cdr:y>0.15934</cdr:y>
    </cdr:from>
    <cdr:to>
      <cdr:x>0.65572</cdr:x>
      <cdr:y>0.22014</cdr:y>
    </cdr:to>
    <cdr:sp macro="" textlink="">
      <cdr:nvSpPr>
        <cdr:cNvPr id="3" name="TextBox 1"/>
        <cdr:cNvSpPr txBox="1"/>
      </cdr:nvSpPr>
      <cdr:spPr>
        <a:xfrm xmlns:a="http://schemas.openxmlformats.org/drawingml/2006/main">
          <a:off x="1821415" y="710292"/>
          <a:ext cx="1808460" cy="27102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200">
              <a:solidFill>
                <a:schemeClr val="accent2">
                  <a:lumMod val="75000"/>
                </a:schemeClr>
              </a:solidFill>
              <a:latin typeface="Arial" panose="020B0604020202020204" pitchFamily="34" charset="0"/>
              <a:cs typeface="Arial" panose="020B0604020202020204" pitchFamily="34" charset="0"/>
            </a:rPr>
            <a:t>After-tax income</a:t>
          </a:r>
        </a:p>
      </cdr:txBody>
    </cdr:sp>
  </cdr:relSizeAnchor>
  <cdr:relSizeAnchor xmlns:cdr="http://schemas.openxmlformats.org/drawingml/2006/chartDrawing">
    <cdr:from>
      <cdr:x>0.30153</cdr:x>
      <cdr:y>0.02514</cdr:y>
    </cdr:from>
    <cdr:to>
      <cdr:x>0.61741</cdr:x>
      <cdr:y>0.09025</cdr:y>
    </cdr:to>
    <cdr:sp macro="" textlink="">
      <cdr:nvSpPr>
        <cdr:cNvPr id="4" name="TextBox 1"/>
        <cdr:cNvSpPr txBox="1"/>
      </cdr:nvSpPr>
      <cdr:spPr>
        <a:xfrm xmlns:a="http://schemas.openxmlformats.org/drawingml/2006/main">
          <a:off x="1669175" y="112050"/>
          <a:ext cx="1748618" cy="2902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150"/>
            </a:lnSpc>
          </a:pPr>
          <a:r>
            <a:rPr lang="en-US" sz="1400">
              <a:solidFill>
                <a:schemeClr val="accent3">
                  <a:lumMod val="50000"/>
                </a:schemeClr>
              </a:solidFill>
              <a:latin typeface="Arial" panose="020B0604020202020204" pitchFamily="34" charset="0"/>
              <a:cs typeface="Arial" panose="020B0604020202020204" pitchFamily="34" charset="0"/>
            </a:rPr>
            <a:t>Pre-tax income</a:t>
          </a:r>
        </a:p>
      </cdr:txBody>
    </cdr:sp>
  </cdr:relSizeAnchor>
</c:userShapes>
</file>

<file path=xl/drawings/drawing33.xml><?xml version="1.0" encoding="utf-8"?>
<c:userShapes xmlns:c="http://schemas.openxmlformats.org/drawingml/2006/chart">
  <cdr:relSizeAnchor xmlns:cdr="http://schemas.openxmlformats.org/drawingml/2006/chartDrawing">
    <cdr:from>
      <cdr:x>0.51943</cdr:x>
      <cdr:y>0.06536</cdr:y>
    </cdr:from>
    <cdr:to>
      <cdr:x>0.80778</cdr:x>
      <cdr:y>0.15335</cdr:y>
    </cdr:to>
    <cdr:sp macro="" textlink="">
      <cdr:nvSpPr>
        <cdr:cNvPr id="2" name="TextBox 1"/>
        <cdr:cNvSpPr txBox="1"/>
      </cdr:nvSpPr>
      <cdr:spPr>
        <a:xfrm xmlns:a="http://schemas.openxmlformats.org/drawingml/2006/main">
          <a:off x="2846285" y="291347"/>
          <a:ext cx="1580064" cy="39223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200"/>
            </a:lnSpc>
          </a:pPr>
          <a:r>
            <a:rPr lang="en-US" sz="1400">
              <a:latin typeface="Arial" panose="020B0604020202020204" pitchFamily="34" charset="0"/>
              <a:cs typeface="Arial" panose="020B0604020202020204" pitchFamily="34" charset="0"/>
            </a:rPr>
            <a:t>Pre-tax          after-transfer </a:t>
          </a:r>
        </a:p>
      </cdr:txBody>
    </cdr:sp>
  </cdr:relSizeAnchor>
  <cdr:relSizeAnchor xmlns:cdr="http://schemas.openxmlformats.org/drawingml/2006/chartDrawing">
    <cdr:from>
      <cdr:x>0.55419</cdr:x>
      <cdr:y>0.42078</cdr:y>
    </cdr:from>
    <cdr:to>
      <cdr:x>0.79141</cdr:x>
      <cdr:y>0.48158</cdr:y>
    </cdr:to>
    <cdr:sp macro="" textlink="">
      <cdr:nvSpPr>
        <cdr:cNvPr id="3" name="TextBox 1"/>
        <cdr:cNvSpPr txBox="1"/>
      </cdr:nvSpPr>
      <cdr:spPr>
        <a:xfrm xmlns:a="http://schemas.openxmlformats.org/drawingml/2006/main">
          <a:off x="3036781" y="1875695"/>
          <a:ext cx="1299888" cy="27102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400"/>
            </a:lnSpc>
          </a:pPr>
          <a:r>
            <a:rPr lang="en-US" sz="1400">
              <a:solidFill>
                <a:schemeClr val="accent2">
                  <a:lumMod val="75000"/>
                </a:schemeClr>
              </a:solidFill>
              <a:latin typeface="Arial" panose="020B0604020202020204" pitchFamily="34" charset="0"/>
              <a:cs typeface="Arial" panose="020B0604020202020204" pitchFamily="34" charset="0"/>
            </a:rPr>
            <a:t>After-tax income</a:t>
          </a:r>
        </a:p>
      </cdr:txBody>
    </cdr:sp>
  </cdr:relSizeAnchor>
  <cdr:relSizeAnchor xmlns:cdr="http://schemas.openxmlformats.org/drawingml/2006/chartDrawing">
    <cdr:from>
      <cdr:x>0.52461</cdr:x>
      <cdr:y>0.1835</cdr:y>
    </cdr:from>
    <cdr:to>
      <cdr:x>0.72802</cdr:x>
      <cdr:y>0.24861</cdr:y>
    </cdr:to>
    <cdr:sp macro="" textlink="">
      <cdr:nvSpPr>
        <cdr:cNvPr id="4" name="TextBox 1"/>
        <cdr:cNvSpPr txBox="1"/>
      </cdr:nvSpPr>
      <cdr:spPr>
        <a:xfrm xmlns:a="http://schemas.openxmlformats.org/drawingml/2006/main">
          <a:off x="2874695" y="818006"/>
          <a:ext cx="1114599" cy="29024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lnSpc>
              <a:spcPts val="1150"/>
            </a:lnSpc>
          </a:pPr>
          <a:r>
            <a:rPr lang="en-US" sz="1400">
              <a:solidFill>
                <a:schemeClr val="accent3">
                  <a:lumMod val="50000"/>
                </a:schemeClr>
              </a:solidFill>
              <a:latin typeface="Arial" panose="020B0604020202020204" pitchFamily="34" charset="0"/>
              <a:cs typeface="Arial" panose="020B0604020202020204" pitchFamily="34" charset="0"/>
            </a:rPr>
            <a:t>Pre-tax income</a:t>
          </a:r>
        </a:p>
      </cdr:txBody>
    </cdr:sp>
  </cdr:relSizeAnchor>
</c:userShapes>
</file>

<file path=xl/drawings/drawing34.xml><?xml version="1.0" encoding="utf-8"?>
<xdr:wsDr xmlns:xdr="http://schemas.openxmlformats.org/drawingml/2006/spreadsheetDrawing" xmlns:a="http://schemas.openxmlformats.org/drawingml/2006/main">
  <xdr:twoCellAnchor>
    <xdr:from>
      <xdr:col>0</xdr:col>
      <xdr:colOff>59191</xdr:colOff>
      <xdr:row>1</xdr:row>
      <xdr:rowOff>63393</xdr:rowOff>
    </xdr:from>
    <xdr:to>
      <xdr:col>13</xdr:col>
      <xdr:colOff>699327</xdr:colOff>
      <xdr:row>31</xdr:row>
      <xdr:rowOff>34819</xdr:rowOff>
    </xdr:to>
    <xdr:graphicFrame macro="">
      <xdr:nvGraphicFramePr>
        <xdr:cNvPr id="2" name="Chart 1">
          <a:extLst>
            <a:ext uri="{FF2B5EF4-FFF2-40B4-BE49-F238E27FC236}">
              <a16:creationId xmlns:a16="http://schemas.microsoft.com/office/drawing/2014/main" xmlns="" id="{00000000-0008-0000-1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281853</xdr:colOff>
      <xdr:row>2</xdr:row>
      <xdr:rowOff>10244</xdr:rowOff>
    </xdr:from>
    <xdr:to>
      <xdr:col>28</xdr:col>
      <xdr:colOff>497541</xdr:colOff>
      <xdr:row>31</xdr:row>
      <xdr:rowOff>160964</xdr:rowOff>
    </xdr:to>
    <xdr:graphicFrame macro="">
      <xdr:nvGraphicFramePr>
        <xdr:cNvPr id="3" name="Chart 2">
          <a:extLst>
            <a:ext uri="{FF2B5EF4-FFF2-40B4-BE49-F238E27FC236}">
              <a16:creationId xmlns:a16="http://schemas.microsoft.com/office/drawing/2014/main" xmlns="" id="{00000000-0008-0000-1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0.68976</cdr:x>
      <cdr:y>0.53936</cdr:y>
    </cdr:from>
    <cdr:to>
      <cdr:x>0.78888</cdr:x>
      <cdr:y>0.65997</cdr:y>
    </cdr:to>
    <cdr:sp macro="" textlink="">
      <cdr:nvSpPr>
        <cdr:cNvPr id="2" name="TextBox 1"/>
        <cdr:cNvSpPr txBox="1"/>
      </cdr:nvSpPr>
      <cdr:spPr>
        <a:xfrm xmlns:a="http://schemas.openxmlformats.org/drawingml/2006/main">
          <a:off x="6970731" y="3067030"/>
          <a:ext cx="1001693" cy="68581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200" b="0">
              <a:latin typeface="Arial" panose="020B0604020202020204" pitchFamily="34" charset="0"/>
              <a:cs typeface="Arial" panose="020B0604020202020204" pitchFamily="34" charset="0"/>
            </a:rPr>
            <a:t>Wages &amp; Salaries    of Filers</a:t>
          </a:r>
        </a:p>
      </cdr:txBody>
    </cdr:sp>
  </cdr:relSizeAnchor>
  <cdr:relSizeAnchor xmlns:cdr="http://schemas.openxmlformats.org/drawingml/2006/chartDrawing">
    <cdr:from>
      <cdr:x>0.68628</cdr:x>
      <cdr:y>0.799</cdr:y>
    </cdr:from>
    <cdr:to>
      <cdr:x>0.8211</cdr:x>
      <cdr:y>0.84228</cdr:y>
    </cdr:to>
    <cdr:sp macro="" textlink="">
      <cdr:nvSpPr>
        <cdr:cNvPr id="3" name="TextBox 2"/>
        <cdr:cNvSpPr txBox="1"/>
      </cdr:nvSpPr>
      <cdr:spPr>
        <a:xfrm xmlns:a="http://schemas.openxmlformats.org/drawingml/2006/main">
          <a:off x="7119472" y="4543454"/>
          <a:ext cx="1398599" cy="24610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200" b="0">
              <a:latin typeface="Arial" panose="020B0604020202020204" pitchFamily="34" charset="0"/>
              <a:cs typeface="Arial" panose="020B0604020202020204" pitchFamily="34" charset="0"/>
            </a:rPr>
            <a:t>Retirement taxbl.</a:t>
          </a:r>
          <a:endParaRPr lang="en-US" sz="11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0.68505</cdr:x>
      <cdr:y>0.83305</cdr:y>
    </cdr:from>
    <cdr:to>
      <cdr:x>0.8775</cdr:x>
      <cdr:y>0.87604</cdr:y>
    </cdr:to>
    <cdr:sp macro="" textlink="">
      <cdr:nvSpPr>
        <cdr:cNvPr id="4" name="TextBox 1"/>
        <cdr:cNvSpPr txBox="1"/>
      </cdr:nvSpPr>
      <cdr:spPr>
        <a:xfrm xmlns:a="http://schemas.openxmlformats.org/drawingml/2006/main">
          <a:off x="7079718" y="4737079"/>
          <a:ext cx="1988898" cy="24445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0">
              <a:latin typeface="Arial" panose="020B0604020202020204" pitchFamily="34" charset="0"/>
              <a:cs typeface="Arial" panose="020B0604020202020204" pitchFamily="34" charset="0"/>
            </a:rPr>
            <a:t>Partnership &amp;</a:t>
          </a:r>
          <a:r>
            <a:rPr lang="en-US" sz="1200" b="0" baseline="0">
              <a:latin typeface="Arial" panose="020B0604020202020204" pitchFamily="34" charset="0"/>
              <a:cs typeface="Arial" panose="020B0604020202020204" pitchFamily="34" charset="0"/>
            </a:rPr>
            <a:t> S Corp.</a:t>
          </a:r>
          <a:endParaRPr lang="en-US" sz="12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0.68504</cdr:x>
      <cdr:y>0.85986</cdr:y>
    </cdr:from>
    <cdr:to>
      <cdr:x>0.86989</cdr:x>
      <cdr:y>0.90285</cdr:y>
    </cdr:to>
    <cdr:sp macro="" textlink="">
      <cdr:nvSpPr>
        <cdr:cNvPr id="5" name="TextBox 1"/>
        <cdr:cNvSpPr txBox="1"/>
      </cdr:nvSpPr>
      <cdr:spPr>
        <a:xfrm xmlns:a="http://schemas.openxmlformats.org/drawingml/2006/main">
          <a:off x="7079632" y="4889503"/>
          <a:ext cx="1910355" cy="24445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0" baseline="0">
              <a:latin typeface="Arial" panose="020B0604020202020204" pitchFamily="34" charset="0"/>
              <a:cs typeface="Arial" panose="020B0604020202020204" pitchFamily="34" charset="0"/>
            </a:rPr>
            <a:t>Sch. C &amp; Other</a:t>
          </a:r>
          <a:endParaRPr lang="en-US" sz="12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0.35903</cdr:x>
      <cdr:y>0.87079</cdr:y>
    </cdr:from>
    <cdr:to>
      <cdr:x>0.45979</cdr:x>
      <cdr:y>0.91378</cdr:y>
    </cdr:to>
    <cdr:sp macro="" textlink="">
      <cdr:nvSpPr>
        <cdr:cNvPr id="6" name="TextBox 1"/>
        <cdr:cNvSpPr txBox="1"/>
      </cdr:nvSpPr>
      <cdr:spPr>
        <a:xfrm xmlns:a="http://schemas.openxmlformats.org/drawingml/2006/main">
          <a:off x="3699527" y="4951693"/>
          <a:ext cx="1038268" cy="24446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300" b="0" baseline="0">
              <a:latin typeface="Arial" panose="020B0604020202020204" pitchFamily="34" charset="0"/>
              <a:cs typeface="Arial" panose="020B0604020202020204" pitchFamily="34" charset="0"/>
            </a:rPr>
            <a:t>Interest</a:t>
          </a:r>
          <a:endParaRPr lang="en-US" sz="13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0.68531</cdr:x>
      <cdr:y>0.88331</cdr:y>
    </cdr:from>
    <cdr:to>
      <cdr:x>0.80539</cdr:x>
      <cdr:y>0.9263</cdr:y>
    </cdr:to>
    <cdr:sp macro="" textlink="">
      <cdr:nvSpPr>
        <cdr:cNvPr id="7" name="TextBox 1"/>
        <cdr:cNvSpPr txBox="1"/>
      </cdr:nvSpPr>
      <cdr:spPr>
        <a:xfrm xmlns:a="http://schemas.openxmlformats.org/drawingml/2006/main">
          <a:off x="6906172" y="5022850"/>
          <a:ext cx="1210058" cy="24447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0" baseline="0">
              <a:latin typeface="Arial" panose="020B0604020202020204" pitchFamily="34" charset="0"/>
              <a:cs typeface="Arial" panose="020B0604020202020204" pitchFamily="34" charset="0"/>
            </a:rPr>
            <a:t>Dividends</a:t>
          </a:r>
          <a:endParaRPr lang="en-US" sz="12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0.68549</cdr:x>
      <cdr:y>0.90955</cdr:y>
    </cdr:from>
    <cdr:to>
      <cdr:x>0.80784</cdr:x>
      <cdr:y>0.95254</cdr:y>
    </cdr:to>
    <cdr:sp macro="" textlink="">
      <cdr:nvSpPr>
        <cdr:cNvPr id="8" name="TextBox 1"/>
        <cdr:cNvSpPr txBox="1"/>
      </cdr:nvSpPr>
      <cdr:spPr>
        <a:xfrm xmlns:a="http://schemas.openxmlformats.org/drawingml/2006/main">
          <a:off x="6907969" y="5172075"/>
          <a:ext cx="1232961" cy="24447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0" baseline="0">
              <a:latin typeface="Arial" panose="020B0604020202020204" pitchFamily="34" charset="0"/>
              <a:cs typeface="Arial" panose="020B0604020202020204" pitchFamily="34" charset="0"/>
            </a:rPr>
            <a:t>Non-Filers</a:t>
          </a:r>
          <a:endParaRPr lang="en-US" sz="12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0.68637</cdr:x>
      <cdr:y>0.15712</cdr:y>
    </cdr:from>
    <cdr:to>
      <cdr:x>0.83444</cdr:x>
      <cdr:y>0.20346</cdr:y>
    </cdr:to>
    <cdr:sp macro="" textlink="">
      <cdr:nvSpPr>
        <cdr:cNvPr id="9" name="TextBox 1"/>
        <cdr:cNvSpPr txBox="1"/>
      </cdr:nvSpPr>
      <cdr:spPr>
        <a:xfrm xmlns:a="http://schemas.openxmlformats.org/drawingml/2006/main">
          <a:off x="7072636" y="893440"/>
          <a:ext cx="1525767" cy="2635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0">
              <a:latin typeface="Arial" panose="020B0604020202020204" pitchFamily="34" charset="0"/>
              <a:cs typeface="Arial" panose="020B0604020202020204" pitchFamily="34" charset="0"/>
            </a:rPr>
            <a:t>Other Transfers</a:t>
          </a:r>
        </a:p>
      </cdr:txBody>
    </cdr:sp>
  </cdr:relSizeAnchor>
  <cdr:relSizeAnchor xmlns:cdr="http://schemas.openxmlformats.org/drawingml/2006/chartDrawing">
    <cdr:from>
      <cdr:x>0.68726</cdr:x>
      <cdr:y>0.11417</cdr:y>
    </cdr:from>
    <cdr:to>
      <cdr:x>0.79186</cdr:x>
      <cdr:y>0.16051</cdr:y>
    </cdr:to>
    <cdr:sp macro="" textlink="">
      <cdr:nvSpPr>
        <cdr:cNvPr id="10" name="TextBox 1"/>
        <cdr:cNvSpPr txBox="1"/>
      </cdr:nvSpPr>
      <cdr:spPr>
        <a:xfrm xmlns:a="http://schemas.openxmlformats.org/drawingml/2006/main">
          <a:off x="7081806" y="649216"/>
          <a:ext cx="1077837" cy="26350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0">
              <a:latin typeface="Arial" panose="020B0604020202020204" pitchFamily="34" charset="0"/>
              <a:cs typeface="Arial" panose="020B0604020202020204" pitchFamily="34" charset="0"/>
            </a:rPr>
            <a:t>Medicare</a:t>
          </a:r>
        </a:p>
      </cdr:txBody>
    </cdr:sp>
  </cdr:relSizeAnchor>
  <cdr:relSizeAnchor xmlns:cdr="http://schemas.openxmlformats.org/drawingml/2006/chartDrawing">
    <cdr:from>
      <cdr:x>0.68744</cdr:x>
      <cdr:y>0.07928</cdr:y>
    </cdr:from>
    <cdr:to>
      <cdr:x>0.8275</cdr:x>
      <cdr:y>0.12563</cdr:y>
    </cdr:to>
    <cdr:sp macro="" textlink="">
      <cdr:nvSpPr>
        <cdr:cNvPr id="11" name="TextBox 1"/>
        <cdr:cNvSpPr txBox="1"/>
      </cdr:nvSpPr>
      <cdr:spPr>
        <a:xfrm xmlns:a="http://schemas.openxmlformats.org/drawingml/2006/main">
          <a:off x="7104452" y="450848"/>
          <a:ext cx="1447467" cy="26356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0">
              <a:latin typeface="Arial" panose="020B0604020202020204" pitchFamily="34" charset="0"/>
              <a:cs typeface="Arial" panose="020B0604020202020204" pitchFamily="34" charset="0"/>
            </a:rPr>
            <a:t>Social Security</a:t>
          </a:r>
        </a:p>
      </cdr:txBody>
    </cdr:sp>
  </cdr:relSizeAnchor>
  <cdr:relSizeAnchor xmlns:cdr="http://schemas.openxmlformats.org/drawingml/2006/chartDrawing">
    <cdr:from>
      <cdr:x>0.68652</cdr:x>
      <cdr:y>0.31784</cdr:y>
    </cdr:from>
    <cdr:to>
      <cdr:x>0.84026</cdr:x>
      <cdr:y>0.36418</cdr:y>
    </cdr:to>
    <cdr:sp macro="" textlink="">
      <cdr:nvSpPr>
        <cdr:cNvPr id="12" name="TextBox 1"/>
        <cdr:cNvSpPr txBox="1"/>
      </cdr:nvSpPr>
      <cdr:spPr>
        <a:xfrm xmlns:a="http://schemas.openxmlformats.org/drawingml/2006/main">
          <a:off x="7074155" y="1807350"/>
          <a:ext cx="1584194" cy="2635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0">
              <a:latin typeface="Arial" panose="020B0604020202020204" pitchFamily="34" charset="0"/>
              <a:cs typeface="Arial" panose="020B0604020202020204" pitchFamily="34" charset="0"/>
            </a:rPr>
            <a:t>Emplr. Insurance</a:t>
          </a:r>
        </a:p>
      </cdr:txBody>
    </cdr:sp>
  </cdr:relSizeAnchor>
  <cdr:relSizeAnchor xmlns:cdr="http://schemas.openxmlformats.org/drawingml/2006/chartDrawing">
    <cdr:from>
      <cdr:x>0.68762</cdr:x>
      <cdr:y>0.3474</cdr:y>
    </cdr:from>
    <cdr:to>
      <cdr:x>0.84137</cdr:x>
      <cdr:y>0.39374</cdr:y>
    </cdr:to>
    <cdr:sp macro="" textlink="">
      <cdr:nvSpPr>
        <cdr:cNvPr id="13" name="TextBox 1"/>
        <cdr:cNvSpPr txBox="1"/>
      </cdr:nvSpPr>
      <cdr:spPr>
        <a:xfrm xmlns:a="http://schemas.openxmlformats.org/drawingml/2006/main">
          <a:off x="7085464" y="1975492"/>
          <a:ext cx="1584297" cy="2635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0">
              <a:latin typeface="Arial" panose="020B0604020202020204" pitchFamily="34" charset="0"/>
              <a:cs typeface="Arial" panose="020B0604020202020204" pitchFamily="34" charset="0"/>
            </a:rPr>
            <a:t>Emplr.</a:t>
          </a:r>
          <a:r>
            <a:rPr lang="en-US" sz="1200" b="0" baseline="0">
              <a:latin typeface="Arial" panose="020B0604020202020204" pitchFamily="34" charset="0"/>
              <a:cs typeface="Arial" panose="020B0604020202020204" pitchFamily="34" charset="0"/>
            </a:rPr>
            <a:t> Payroll Tax</a:t>
          </a:r>
          <a:endParaRPr lang="en-US" sz="12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0.68775</cdr:x>
      <cdr:y>0.41027</cdr:y>
    </cdr:from>
    <cdr:to>
      <cdr:x>0.8415</cdr:x>
      <cdr:y>0.45661</cdr:y>
    </cdr:to>
    <cdr:sp macro="" textlink="">
      <cdr:nvSpPr>
        <cdr:cNvPr id="14" name="TextBox 1"/>
        <cdr:cNvSpPr txBox="1"/>
      </cdr:nvSpPr>
      <cdr:spPr>
        <a:xfrm xmlns:a="http://schemas.openxmlformats.org/drawingml/2006/main">
          <a:off x="7086881" y="2332950"/>
          <a:ext cx="1584194" cy="2635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0">
              <a:latin typeface="Arial" panose="020B0604020202020204" pitchFamily="34" charset="0"/>
              <a:cs typeface="Arial" panose="020B0604020202020204" pitchFamily="34" charset="0"/>
            </a:rPr>
            <a:t>Corp. &amp; Bus.Tax</a:t>
          </a:r>
        </a:p>
      </cdr:txBody>
    </cdr:sp>
  </cdr:relSizeAnchor>
  <cdr:relSizeAnchor xmlns:cdr="http://schemas.openxmlformats.org/drawingml/2006/chartDrawing">
    <cdr:from>
      <cdr:x>0.68853</cdr:x>
      <cdr:y>0.43874</cdr:y>
    </cdr:from>
    <cdr:to>
      <cdr:x>0.84227</cdr:x>
      <cdr:y>0.48508</cdr:y>
    </cdr:to>
    <cdr:sp macro="" textlink="">
      <cdr:nvSpPr>
        <cdr:cNvPr id="15" name="TextBox 1"/>
        <cdr:cNvSpPr txBox="1"/>
      </cdr:nvSpPr>
      <cdr:spPr>
        <a:xfrm xmlns:a="http://schemas.openxmlformats.org/drawingml/2006/main">
          <a:off x="7094841" y="2494844"/>
          <a:ext cx="1584194" cy="2635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0">
              <a:latin typeface="Arial" panose="020B0604020202020204" pitchFamily="34" charset="0"/>
              <a:cs typeface="Arial" panose="020B0604020202020204" pitchFamily="34" charset="0"/>
            </a:rPr>
            <a:t>Retained</a:t>
          </a:r>
          <a:r>
            <a:rPr lang="en-US" sz="1200" b="0" baseline="0">
              <a:latin typeface="Arial" panose="020B0604020202020204" pitchFamily="34" charset="0"/>
              <a:cs typeface="Arial" panose="020B0604020202020204" pitchFamily="34" charset="0"/>
            </a:rPr>
            <a:t> Earn.</a:t>
          </a:r>
          <a:endParaRPr lang="en-US" sz="12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0.68873</cdr:x>
      <cdr:y>0.46947</cdr:y>
    </cdr:from>
    <cdr:to>
      <cdr:x>0.84246</cdr:x>
      <cdr:y>0.51581</cdr:y>
    </cdr:to>
    <cdr:sp macro="" textlink="">
      <cdr:nvSpPr>
        <cdr:cNvPr id="16" name="TextBox 1"/>
        <cdr:cNvSpPr txBox="1"/>
      </cdr:nvSpPr>
      <cdr:spPr>
        <a:xfrm xmlns:a="http://schemas.openxmlformats.org/drawingml/2006/main">
          <a:off x="7096877" y="2669594"/>
          <a:ext cx="1584193" cy="2635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0">
              <a:latin typeface="Arial" panose="020B0604020202020204" pitchFamily="34" charset="0"/>
              <a:cs typeface="Arial" panose="020B0604020202020204" pitchFamily="34" charset="0"/>
            </a:rPr>
            <a:t>Adjustments</a:t>
          </a:r>
        </a:p>
      </cdr:txBody>
    </cdr:sp>
  </cdr:relSizeAnchor>
  <cdr:relSizeAnchor xmlns:cdr="http://schemas.openxmlformats.org/drawingml/2006/chartDrawing">
    <cdr:from>
      <cdr:x>0.83067</cdr:x>
      <cdr:y>0.08796</cdr:y>
    </cdr:from>
    <cdr:to>
      <cdr:x>0.85368</cdr:x>
      <cdr:y>0.20041</cdr:y>
    </cdr:to>
    <cdr:sp macro="" textlink="">
      <cdr:nvSpPr>
        <cdr:cNvPr id="17" name="Right Brace 16"/>
        <cdr:cNvSpPr/>
      </cdr:nvSpPr>
      <cdr:spPr>
        <a:xfrm xmlns:a="http://schemas.openxmlformats.org/drawingml/2006/main">
          <a:off x="8559556" y="500178"/>
          <a:ext cx="237103" cy="639439"/>
        </a:xfrm>
        <a:prstGeom xmlns:a="http://schemas.openxmlformats.org/drawingml/2006/main" prst="rightBrace">
          <a:avLst/>
        </a:prstGeom>
        <a:ln xmlns:a="http://schemas.openxmlformats.org/drawingml/2006/main" w="1270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l"/>
          <a:endParaRPr lang="en-US" sz="1100"/>
        </a:p>
      </cdr:txBody>
    </cdr:sp>
  </cdr:relSizeAnchor>
  <cdr:relSizeAnchor xmlns:cdr="http://schemas.openxmlformats.org/drawingml/2006/chartDrawing">
    <cdr:from>
      <cdr:x>0.83087</cdr:x>
      <cdr:y>0.21027</cdr:y>
    </cdr:from>
    <cdr:to>
      <cdr:x>0.8515</cdr:x>
      <cdr:y>0.4901</cdr:y>
    </cdr:to>
    <cdr:sp macro="" textlink="">
      <cdr:nvSpPr>
        <cdr:cNvPr id="18" name="Right Brace 17"/>
        <cdr:cNvSpPr/>
      </cdr:nvSpPr>
      <cdr:spPr>
        <a:xfrm xmlns:a="http://schemas.openxmlformats.org/drawingml/2006/main">
          <a:off x="8561590" y="1195685"/>
          <a:ext cx="212579" cy="1591232"/>
        </a:xfrm>
        <a:prstGeom xmlns:a="http://schemas.openxmlformats.org/drawingml/2006/main" prst="rightBrace">
          <a:avLst/>
        </a:prstGeom>
        <a:ln xmlns:a="http://schemas.openxmlformats.org/drawingml/2006/main" w="1270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l"/>
          <a:endParaRPr lang="en-US" sz="1100"/>
        </a:p>
      </cdr:txBody>
    </cdr:sp>
  </cdr:relSizeAnchor>
  <cdr:relSizeAnchor xmlns:cdr="http://schemas.openxmlformats.org/drawingml/2006/chartDrawing">
    <cdr:from>
      <cdr:x>0.85067</cdr:x>
      <cdr:y>0.11692</cdr:y>
    </cdr:from>
    <cdr:to>
      <cdr:x>0.95085</cdr:x>
      <cdr:y>0.17891</cdr:y>
    </cdr:to>
    <cdr:sp macro="" textlink="">
      <cdr:nvSpPr>
        <cdr:cNvPr id="19" name="TextBox 12"/>
        <cdr:cNvSpPr txBox="1"/>
      </cdr:nvSpPr>
      <cdr:spPr>
        <a:xfrm xmlns:a="http://schemas.openxmlformats.org/drawingml/2006/main">
          <a:off x="8765591" y="664849"/>
          <a:ext cx="1032291" cy="35250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400" b="0">
              <a:latin typeface="Arial" panose="020B0604020202020204" pitchFamily="34" charset="0"/>
              <a:cs typeface="Arial" panose="020B0604020202020204" pitchFamily="34" charset="0"/>
            </a:rPr>
            <a:t>Transfers</a:t>
          </a:r>
        </a:p>
      </cdr:txBody>
    </cdr:sp>
  </cdr:relSizeAnchor>
  <cdr:relSizeAnchor xmlns:cdr="http://schemas.openxmlformats.org/drawingml/2006/chartDrawing">
    <cdr:from>
      <cdr:x>0.8509</cdr:x>
      <cdr:y>0.30394</cdr:y>
    </cdr:from>
    <cdr:to>
      <cdr:x>0.9511</cdr:x>
      <cdr:y>0.40612</cdr:y>
    </cdr:to>
    <cdr:sp macro="" textlink="">
      <cdr:nvSpPr>
        <cdr:cNvPr id="20" name="TextBox 14"/>
        <cdr:cNvSpPr txBox="1"/>
      </cdr:nvSpPr>
      <cdr:spPr>
        <a:xfrm xmlns:a="http://schemas.openxmlformats.org/drawingml/2006/main">
          <a:off x="8767988" y="1728336"/>
          <a:ext cx="1032497" cy="58103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400" b="0">
              <a:latin typeface="Arial" panose="020B0604020202020204" pitchFamily="34" charset="0"/>
              <a:cs typeface="Arial" panose="020B0604020202020204" pitchFamily="34" charset="0"/>
            </a:rPr>
            <a:t>Missing income</a:t>
          </a:r>
        </a:p>
      </cdr:txBody>
    </cdr:sp>
  </cdr:relSizeAnchor>
  <cdr:relSizeAnchor xmlns:cdr="http://schemas.openxmlformats.org/drawingml/2006/chartDrawing">
    <cdr:from>
      <cdr:x>0.68926</cdr:x>
      <cdr:y>0.37587</cdr:y>
    </cdr:from>
    <cdr:to>
      <cdr:x>0.82686</cdr:x>
      <cdr:y>0.42221</cdr:y>
    </cdr:to>
    <cdr:sp macro="" textlink="">
      <cdr:nvSpPr>
        <cdr:cNvPr id="21" name="TextBox 1"/>
        <cdr:cNvSpPr txBox="1"/>
      </cdr:nvSpPr>
      <cdr:spPr>
        <a:xfrm xmlns:a="http://schemas.openxmlformats.org/drawingml/2006/main">
          <a:off x="7102440" y="2137383"/>
          <a:ext cx="1417881" cy="2635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0">
              <a:latin typeface="Arial" panose="020B0604020202020204" pitchFamily="34" charset="0"/>
              <a:cs typeface="Arial" panose="020B0604020202020204" pitchFamily="34" charset="0"/>
            </a:rPr>
            <a:t>Imputed</a:t>
          </a:r>
          <a:r>
            <a:rPr lang="en-US" sz="1200" b="0" baseline="0">
              <a:latin typeface="Arial" panose="020B0604020202020204" pitchFamily="34" charset="0"/>
              <a:cs typeface="Arial" panose="020B0604020202020204" pitchFamily="34" charset="0"/>
            </a:rPr>
            <a:t> Rents</a:t>
          </a:r>
          <a:endParaRPr lang="en-US" sz="12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0.68819</cdr:x>
      <cdr:y>0.2794</cdr:y>
    </cdr:from>
    <cdr:to>
      <cdr:x>0.85748</cdr:x>
      <cdr:y>0.32574</cdr:y>
    </cdr:to>
    <cdr:sp macro="" textlink="">
      <cdr:nvSpPr>
        <cdr:cNvPr id="22" name="TextBox 1"/>
        <cdr:cNvSpPr txBox="1"/>
      </cdr:nvSpPr>
      <cdr:spPr>
        <a:xfrm xmlns:a="http://schemas.openxmlformats.org/drawingml/2006/main">
          <a:off x="7091415" y="1588787"/>
          <a:ext cx="1744324" cy="2635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0">
              <a:latin typeface="Arial" panose="020B0604020202020204" pitchFamily="34" charset="0"/>
              <a:cs typeface="Arial" panose="020B0604020202020204" pitchFamily="34" charset="0"/>
            </a:rPr>
            <a:t>Underreported</a:t>
          </a:r>
          <a:r>
            <a:rPr lang="en-US" sz="1200" b="0" baseline="0">
              <a:latin typeface="Arial" panose="020B0604020202020204" pitchFamily="34" charset="0"/>
              <a:cs typeface="Arial" panose="020B0604020202020204" pitchFamily="34" charset="0"/>
            </a:rPr>
            <a:t> inc.</a:t>
          </a:r>
          <a:endParaRPr lang="en-US" sz="12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0.83046</cdr:x>
      <cdr:y>0.50389</cdr:y>
    </cdr:from>
    <cdr:to>
      <cdr:x>0.85368</cdr:x>
      <cdr:y>0.93467</cdr:y>
    </cdr:to>
    <cdr:sp macro="" textlink="">
      <cdr:nvSpPr>
        <cdr:cNvPr id="23" name="Right Brace 22"/>
        <cdr:cNvSpPr/>
      </cdr:nvSpPr>
      <cdr:spPr>
        <a:xfrm xmlns:a="http://schemas.openxmlformats.org/drawingml/2006/main">
          <a:off x="8557366" y="2865333"/>
          <a:ext cx="239268" cy="2449599"/>
        </a:xfrm>
        <a:prstGeom xmlns:a="http://schemas.openxmlformats.org/drawingml/2006/main" prst="rightBrace">
          <a:avLst/>
        </a:prstGeom>
        <a:ln xmlns:a="http://schemas.openxmlformats.org/drawingml/2006/main" w="1270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l"/>
          <a:endParaRPr lang="en-US" sz="1100"/>
        </a:p>
      </cdr:txBody>
    </cdr:sp>
  </cdr:relSizeAnchor>
  <cdr:relSizeAnchor xmlns:cdr="http://schemas.openxmlformats.org/drawingml/2006/chartDrawing">
    <cdr:from>
      <cdr:x>0.84966</cdr:x>
      <cdr:y>0.67265</cdr:y>
    </cdr:from>
    <cdr:to>
      <cdr:x>0.95073</cdr:x>
      <cdr:y>0.77483</cdr:y>
    </cdr:to>
    <cdr:sp macro="" textlink="">
      <cdr:nvSpPr>
        <cdr:cNvPr id="24" name="TextBox 14"/>
        <cdr:cNvSpPr txBox="1"/>
      </cdr:nvSpPr>
      <cdr:spPr>
        <a:xfrm xmlns:a="http://schemas.openxmlformats.org/drawingml/2006/main">
          <a:off x="8755159" y="3824971"/>
          <a:ext cx="1041565" cy="58103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400" b="0">
              <a:latin typeface="Arial" panose="020B0604020202020204" pitchFamily="34" charset="0"/>
              <a:cs typeface="Arial" panose="020B0604020202020204" pitchFamily="34" charset="0"/>
            </a:rPr>
            <a:t>Tax return </a:t>
          </a:r>
        </a:p>
        <a:p xmlns:a="http://schemas.openxmlformats.org/drawingml/2006/main">
          <a:r>
            <a:rPr lang="en-US" sz="1400" b="0">
              <a:latin typeface="Arial" panose="020B0604020202020204" pitchFamily="34" charset="0"/>
              <a:cs typeface="Arial" panose="020B0604020202020204" pitchFamily="34" charset="0"/>
            </a:rPr>
            <a:t> income</a:t>
          </a:r>
        </a:p>
      </cdr:txBody>
    </cdr:sp>
  </cdr:relSizeAnchor>
  <cdr:relSizeAnchor xmlns:cdr="http://schemas.openxmlformats.org/drawingml/2006/chartDrawing">
    <cdr:from>
      <cdr:x>0.68679</cdr:x>
      <cdr:y>0.206</cdr:y>
    </cdr:from>
    <cdr:to>
      <cdr:x>0.85607</cdr:x>
      <cdr:y>0.25234</cdr:y>
    </cdr:to>
    <cdr:sp macro="" textlink="">
      <cdr:nvSpPr>
        <cdr:cNvPr id="25" name="TextBox 1"/>
        <cdr:cNvSpPr txBox="1"/>
      </cdr:nvSpPr>
      <cdr:spPr>
        <a:xfrm xmlns:a="http://schemas.openxmlformats.org/drawingml/2006/main">
          <a:off x="7076888" y="1171388"/>
          <a:ext cx="1744324" cy="2635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0">
              <a:latin typeface="Arial" panose="020B0604020202020204" pitchFamily="34" charset="0"/>
              <a:cs typeface="Arial" panose="020B0604020202020204" pitchFamily="34" charset="0"/>
            </a:rPr>
            <a:t>Other</a:t>
          </a:r>
          <a:r>
            <a:rPr lang="en-US" sz="1200" b="0" baseline="0">
              <a:latin typeface="Arial" panose="020B0604020202020204" pitchFamily="34" charset="0"/>
              <a:cs typeface="Arial" panose="020B0604020202020204" pitchFamily="34" charset="0"/>
            </a:rPr>
            <a:t> (sales tax, etc)</a:t>
          </a:r>
          <a:endParaRPr lang="en-US" sz="12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0.68679</cdr:x>
      <cdr:y>0.24344</cdr:y>
    </cdr:from>
    <cdr:to>
      <cdr:x>0.85607</cdr:x>
      <cdr:y>0.28978</cdr:y>
    </cdr:to>
    <cdr:sp macro="" textlink="">
      <cdr:nvSpPr>
        <cdr:cNvPr id="26" name="TextBox 1"/>
        <cdr:cNvSpPr txBox="1"/>
      </cdr:nvSpPr>
      <cdr:spPr>
        <a:xfrm xmlns:a="http://schemas.openxmlformats.org/drawingml/2006/main">
          <a:off x="7076888" y="1384299"/>
          <a:ext cx="1744324" cy="2635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0">
              <a:latin typeface="Arial" panose="020B0604020202020204" pitchFamily="34" charset="0"/>
              <a:cs typeface="Arial" panose="020B0604020202020204" pitchFamily="34" charset="0"/>
            </a:rPr>
            <a:t>Retirement</a:t>
          </a:r>
          <a:r>
            <a:rPr lang="en-US" sz="1200" b="0" baseline="0">
              <a:latin typeface="Arial" panose="020B0604020202020204" pitchFamily="34" charset="0"/>
              <a:cs typeface="Arial" panose="020B0604020202020204" pitchFamily="34" charset="0"/>
            </a:rPr>
            <a:t> non-taxbl</a:t>
          </a:r>
          <a:endParaRPr lang="en-US" sz="1200" b="0">
            <a:latin typeface="Arial" panose="020B0604020202020204" pitchFamily="34" charset="0"/>
            <a:cs typeface="Arial" panose="020B0604020202020204" pitchFamily="34" charset="0"/>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0.68976</cdr:x>
      <cdr:y>0.53936</cdr:y>
    </cdr:from>
    <cdr:to>
      <cdr:x>0.79921</cdr:x>
      <cdr:y>0.66164</cdr:y>
    </cdr:to>
    <cdr:sp macro="" textlink="">
      <cdr:nvSpPr>
        <cdr:cNvPr id="2" name="TextBox 1"/>
        <cdr:cNvSpPr txBox="1"/>
      </cdr:nvSpPr>
      <cdr:spPr>
        <a:xfrm xmlns:a="http://schemas.openxmlformats.org/drawingml/2006/main">
          <a:off x="6970732" y="3067031"/>
          <a:ext cx="1106104" cy="69534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200" b="1">
              <a:solidFill>
                <a:schemeClr val="accent1">
                  <a:lumMod val="75000"/>
                </a:schemeClr>
              </a:solidFill>
              <a:latin typeface="Arial" panose="020B0604020202020204" pitchFamily="34" charset="0"/>
              <a:cs typeface="Arial" panose="020B0604020202020204" pitchFamily="34" charset="0"/>
            </a:rPr>
            <a:t>Wages &amp; Salaries       of Filers</a:t>
          </a:r>
        </a:p>
      </cdr:txBody>
    </cdr:sp>
  </cdr:relSizeAnchor>
  <cdr:relSizeAnchor xmlns:cdr="http://schemas.openxmlformats.org/drawingml/2006/chartDrawing">
    <cdr:from>
      <cdr:x>0.68722</cdr:x>
      <cdr:y>0.79565</cdr:y>
    </cdr:from>
    <cdr:to>
      <cdr:x>0.81335</cdr:x>
      <cdr:y>0.83585</cdr:y>
    </cdr:to>
    <cdr:sp macro="" textlink="">
      <cdr:nvSpPr>
        <cdr:cNvPr id="3" name="TextBox 2"/>
        <cdr:cNvSpPr txBox="1"/>
      </cdr:nvSpPr>
      <cdr:spPr>
        <a:xfrm xmlns:a="http://schemas.openxmlformats.org/drawingml/2006/main">
          <a:off x="6945088" y="4524378"/>
          <a:ext cx="1274673" cy="22859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200" b="1">
              <a:solidFill>
                <a:schemeClr val="accent1">
                  <a:lumMod val="75000"/>
                </a:schemeClr>
              </a:solidFill>
              <a:latin typeface="Arial" panose="020B0604020202020204" pitchFamily="34" charset="0"/>
              <a:cs typeface="Arial" panose="020B0604020202020204" pitchFamily="34" charset="0"/>
            </a:rPr>
            <a:t>Retirement</a:t>
          </a:r>
          <a:endParaRPr lang="en-US" sz="1100" b="1">
            <a:solidFill>
              <a:schemeClr val="accent1">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0.68691</cdr:x>
      <cdr:y>0.82803</cdr:y>
    </cdr:from>
    <cdr:to>
      <cdr:x>0.91835</cdr:x>
      <cdr:y>0.87102</cdr:y>
    </cdr:to>
    <cdr:sp macro="" textlink="">
      <cdr:nvSpPr>
        <cdr:cNvPr id="4" name="TextBox 1"/>
        <cdr:cNvSpPr txBox="1"/>
      </cdr:nvSpPr>
      <cdr:spPr>
        <a:xfrm xmlns:a="http://schemas.openxmlformats.org/drawingml/2006/main">
          <a:off x="6922319" y="4708525"/>
          <a:ext cx="2332321" cy="24447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1">
                  <a:lumMod val="75000"/>
                </a:schemeClr>
              </a:solidFill>
              <a:latin typeface="Arial" panose="020B0604020202020204" pitchFamily="34" charset="0"/>
              <a:cs typeface="Arial" panose="020B0604020202020204" pitchFamily="34" charset="0"/>
            </a:rPr>
            <a:t>Partnership &amp;</a:t>
          </a:r>
          <a:r>
            <a:rPr lang="en-US" sz="1200" b="1" baseline="0">
              <a:solidFill>
                <a:schemeClr val="accent1">
                  <a:lumMod val="75000"/>
                </a:schemeClr>
              </a:solidFill>
              <a:latin typeface="Arial" panose="020B0604020202020204" pitchFamily="34" charset="0"/>
              <a:cs typeface="Arial" panose="020B0604020202020204" pitchFamily="34" charset="0"/>
            </a:rPr>
            <a:t> S Corp</a:t>
          </a:r>
          <a:r>
            <a:rPr lang="en-US" sz="1200" b="1" baseline="0">
              <a:latin typeface="Arial" panose="020B0604020202020204" pitchFamily="34" charset="0"/>
              <a:cs typeface="Arial" panose="020B0604020202020204" pitchFamily="34" charset="0"/>
            </a:rPr>
            <a:t>.</a:t>
          </a:r>
          <a:endParaRPr lang="en-US" sz="1200" b="1">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0.68504</cdr:x>
      <cdr:y>0.85483</cdr:y>
    </cdr:from>
    <cdr:to>
      <cdr:x>0.86989</cdr:x>
      <cdr:y>0.89782</cdr:y>
    </cdr:to>
    <cdr:sp macro="" textlink="">
      <cdr:nvSpPr>
        <cdr:cNvPr id="5" name="TextBox 1"/>
        <cdr:cNvSpPr txBox="1"/>
      </cdr:nvSpPr>
      <cdr:spPr>
        <a:xfrm xmlns:a="http://schemas.openxmlformats.org/drawingml/2006/main">
          <a:off x="6903489" y="4860925"/>
          <a:ext cx="1862802" cy="24447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baseline="0">
              <a:solidFill>
                <a:schemeClr val="accent1">
                  <a:lumMod val="75000"/>
                </a:schemeClr>
              </a:solidFill>
              <a:latin typeface="Arial" panose="020B0604020202020204" pitchFamily="34" charset="0"/>
              <a:cs typeface="Arial" panose="020B0604020202020204" pitchFamily="34" charset="0"/>
            </a:rPr>
            <a:t>Sch. C &amp; Other</a:t>
          </a:r>
          <a:endParaRPr lang="en-US" sz="1200" b="1">
            <a:solidFill>
              <a:schemeClr val="accent1">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0.34767</cdr:x>
      <cdr:y>0.87079</cdr:y>
    </cdr:from>
    <cdr:to>
      <cdr:x>0.44843</cdr:x>
      <cdr:y>0.91378</cdr:y>
    </cdr:to>
    <cdr:sp macro="" textlink="">
      <cdr:nvSpPr>
        <cdr:cNvPr id="6" name="TextBox 1"/>
        <cdr:cNvSpPr txBox="1"/>
      </cdr:nvSpPr>
      <cdr:spPr>
        <a:xfrm xmlns:a="http://schemas.openxmlformats.org/drawingml/2006/main">
          <a:off x="3504567" y="4951693"/>
          <a:ext cx="1015686" cy="24446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baseline="0">
              <a:solidFill>
                <a:schemeClr val="accent1">
                  <a:lumMod val="75000"/>
                </a:schemeClr>
              </a:solidFill>
              <a:latin typeface="Arial" panose="020B0604020202020204" pitchFamily="34" charset="0"/>
              <a:cs typeface="Arial" panose="020B0604020202020204" pitchFamily="34" charset="0"/>
            </a:rPr>
            <a:t>Interest</a:t>
          </a:r>
          <a:endParaRPr lang="en-US" sz="1200" b="1">
            <a:solidFill>
              <a:schemeClr val="accent1">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0.68531</cdr:x>
      <cdr:y>0.88331</cdr:y>
    </cdr:from>
    <cdr:to>
      <cdr:x>0.80539</cdr:x>
      <cdr:y>0.9263</cdr:y>
    </cdr:to>
    <cdr:sp macro="" textlink="">
      <cdr:nvSpPr>
        <cdr:cNvPr id="7" name="TextBox 1"/>
        <cdr:cNvSpPr txBox="1"/>
      </cdr:nvSpPr>
      <cdr:spPr>
        <a:xfrm xmlns:a="http://schemas.openxmlformats.org/drawingml/2006/main">
          <a:off x="6906172" y="5022850"/>
          <a:ext cx="1210058" cy="24447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baseline="0">
              <a:solidFill>
                <a:schemeClr val="accent1">
                  <a:lumMod val="75000"/>
                </a:schemeClr>
              </a:solidFill>
              <a:latin typeface="Arial" panose="020B0604020202020204" pitchFamily="34" charset="0"/>
              <a:cs typeface="Arial" panose="020B0604020202020204" pitchFamily="34" charset="0"/>
            </a:rPr>
            <a:t>Dividends</a:t>
          </a:r>
          <a:endParaRPr lang="en-US" sz="1200" b="1">
            <a:solidFill>
              <a:schemeClr val="accent1">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0.68549</cdr:x>
      <cdr:y>0.90955</cdr:y>
    </cdr:from>
    <cdr:to>
      <cdr:x>0.80784</cdr:x>
      <cdr:y>0.95254</cdr:y>
    </cdr:to>
    <cdr:sp macro="" textlink="">
      <cdr:nvSpPr>
        <cdr:cNvPr id="8" name="TextBox 1"/>
        <cdr:cNvSpPr txBox="1"/>
      </cdr:nvSpPr>
      <cdr:spPr>
        <a:xfrm xmlns:a="http://schemas.openxmlformats.org/drawingml/2006/main">
          <a:off x="6907969" y="5172075"/>
          <a:ext cx="1232961" cy="24447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baseline="0">
              <a:solidFill>
                <a:schemeClr val="accent1">
                  <a:lumMod val="75000"/>
                </a:schemeClr>
              </a:solidFill>
              <a:latin typeface="Arial" panose="020B0604020202020204" pitchFamily="34" charset="0"/>
              <a:cs typeface="Arial" panose="020B0604020202020204" pitchFamily="34" charset="0"/>
            </a:rPr>
            <a:t>Non-Filers</a:t>
          </a:r>
          <a:endParaRPr lang="en-US" sz="1200" b="1">
            <a:solidFill>
              <a:schemeClr val="accent1">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0.68558</cdr:x>
      <cdr:y>0.1655</cdr:y>
    </cdr:from>
    <cdr:to>
      <cdr:x>0.83365</cdr:x>
      <cdr:y>0.21184</cdr:y>
    </cdr:to>
    <cdr:sp macro="" textlink="">
      <cdr:nvSpPr>
        <cdr:cNvPr id="9" name="TextBox 1"/>
        <cdr:cNvSpPr txBox="1"/>
      </cdr:nvSpPr>
      <cdr:spPr>
        <a:xfrm xmlns:a="http://schemas.openxmlformats.org/drawingml/2006/main">
          <a:off x="6910818" y="941093"/>
          <a:ext cx="1492583" cy="2635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2">
                  <a:lumMod val="75000"/>
                </a:schemeClr>
              </a:solidFill>
              <a:latin typeface="Arial" panose="020B0604020202020204" pitchFamily="34" charset="0"/>
              <a:cs typeface="Arial" panose="020B0604020202020204" pitchFamily="34" charset="0"/>
            </a:rPr>
            <a:t>Other Transfers</a:t>
          </a:r>
        </a:p>
      </cdr:txBody>
    </cdr:sp>
  </cdr:relSizeAnchor>
  <cdr:relSizeAnchor xmlns:cdr="http://schemas.openxmlformats.org/drawingml/2006/chartDrawing">
    <cdr:from>
      <cdr:x>0.68745</cdr:x>
      <cdr:y>0.12619</cdr:y>
    </cdr:from>
    <cdr:to>
      <cdr:x>0.79205</cdr:x>
      <cdr:y>0.17253</cdr:y>
    </cdr:to>
    <cdr:sp macro="" textlink="">
      <cdr:nvSpPr>
        <cdr:cNvPr id="10" name="TextBox 1"/>
        <cdr:cNvSpPr txBox="1"/>
      </cdr:nvSpPr>
      <cdr:spPr>
        <a:xfrm xmlns:a="http://schemas.openxmlformats.org/drawingml/2006/main">
          <a:off x="6947412" y="717598"/>
          <a:ext cx="1057090" cy="2635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2">
                  <a:lumMod val="75000"/>
                </a:schemeClr>
              </a:solidFill>
              <a:latin typeface="Arial" panose="020B0604020202020204" pitchFamily="34" charset="0"/>
              <a:cs typeface="Arial" panose="020B0604020202020204" pitchFamily="34" charset="0"/>
            </a:rPr>
            <a:t>Medicare</a:t>
          </a:r>
        </a:p>
      </cdr:txBody>
    </cdr:sp>
  </cdr:relSizeAnchor>
  <cdr:relSizeAnchor xmlns:cdr="http://schemas.openxmlformats.org/drawingml/2006/chartDrawing">
    <cdr:from>
      <cdr:x>0.68746</cdr:x>
      <cdr:y>0.08263</cdr:y>
    </cdr:from>
    <cdr:to>
      <cdr:x>0.79206</cdr:x>
      <cdr:y>0.12898</cdr:y>
    </cdr:to>
    <cdr:sp macro="" textlink="">
      <cdr:nvSpPr>
        <cdr:cNvPr id="11" name="TextBox 1"/>
        <cdr:cNvSpPr txBox="1"/>
      </cdr:nvSpPr>
      <cdr:spPr>
        <a:xfrm xmlns:a="http://schemas.openxmlformats.org/drawingml/2006/main">
          <a:off x="6947513" y="469884"/>
          <a:ext cx="1057090" cy="2635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2">
                  <a:lumMod val="75000"/>
                </a:schemeClr>
              </a:solidFill>
              <a:latin typeface="Arial" panose="020B0604020202020204" pitchFamily="34" charset="0"/>
              <a:cs typeface="Arial" panose="020B0604020202020204" pitchFamily="34" charset="0"/>
            </a:rPr>
            <a:t>Social Sec.</a:t>
          </a:r>
        </a:p>
      </cdr:txBody>
    </cdr:sp>
  </cdr:relSizeAnchor>
  <cdr:relSizeAnchor xmlns:cdr="http://schemas.openxmlformats.org/drawingml/2006/chartDrawing">
    <cdr:from>
      <cdr:x>0.68541</cdr:x>
      <cdr:y>0.31645</cdr:y>
    </cdr:from>
    <cdr:to>
      <cdr:x>0.83915</cdr:x>
      <cdr:y>0.36279</cdr:y>
    </cdr:to>
    <cdr:sp macro="" textlink="">
      <cdr:nvSpPr>
        <cdr:cNvPr id="12" name="TextBox 1"/>
        <cdr:cNvSpPr txBox="1"/>
      </cdr:nvSpPr>
      <cdr:spPr>
        <a:xfrm xmlns:a="http://schemas.openxmlformats.org/drawingml/2006/main">
          <a:off x="6909088" y="1799450"/>
          <a:ext cx="1549738" cy="2635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3">
                  <a:lumMod val="50000"/>
                </a:schemeClr>
              </a:solidFill>
              <a:latin typeface="Arial" panose="020B0604020202020204" pitchFamily="34" charset="0"/>
              <a:cs typeface="Arial" panose="020B0604020202020204" pitchFamily="34" charset="0"/>
            </a:rPr>
            <a:t>Emplr. Insurance</a:t>
          </a:r>
        </a:p>
      </cdr:txBody>
    </cdr:sp>
  </cdr:relSizeAnchor>
  <cdr:relSizeAnchor xmlns:cdr="http://schemas.openxmlformats.org/drawingml/2006/chartDrawing">
    <cdr:from>
      <cdr:x>0.68429</cdr:x>
      <cdr:y>0.3477</cdr:y>
    </cdr:from>
    <cdr:to>
      <cdr:x>0.83804</cdr:x>
      <cdr:y>0.39404</cdr:y>
    </cdr:to>
    <cdr:sp macro="" textlink="">
      <cdr:nvSpPr>
        <cdr:cNvPr id="13" name="TextBox 1"/>
        <cdr:cNvSpPr txBox="1"/>
      </cdr:nvSpPr>
      <cdr:spPr>
        <a:xfrm xmlns:a="http://schemas.openxmlformats.org/drawingml/2006/main">
          <a:off x="6897782" y="1977143"/>
          <a:ext cx="1549839" cy="2635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3">
                  <a:lumMod val="50000"/>
                </a:schemeClr>
              </a:solidFill>
              <a:latin typeface="Arial" panose="020B0604020202020204" pitchFamily="34" charset="0"/>
              <a:cs typeface="Arial" panose="020B0604020202020204" pitchFamily="34" charset="0"/>
            </a:rPr>
            <a:t>Emplr.</a:t>
          </a:r>
          <a:r>
            <a:rPr lang="en-US" sz="1200" b="1" baseline="0">
              <a:solidFill>
                <a:schemeClr val="accent3">
                  <a:lumMod val="50000"/>
                </a:schemeClr>
              </a:solidFill>
              <a:latin typeface="Arial" panose="020B0604020202020204" pitchFamily="34" charset="0"/>
              <a:cs typeface="Arial" panose="020B0604020202020204" pitchFamily="34" charset="0"/>
            </a:rPr>
            <a:t> Payroll Tax</a:t>
          </a:r>
          <a:endParaRPr lang="en-US" sz="1200" b="1">
            <a:solidFill>
              <a:schemeClr val="accent3">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0.68635</cdr:x>
      <cdr:y>0.40602</cdr:y>
    </cdr:from>
    <cdr:to>
      <cdr:x>0.84009</cdr:x>
      <cdr:y>0.45236</cdr:y>
    </cdr:to>
    <cdr:sp macro="" textlink="">
      <cdr:nvSpPr>
        <cdr:cNvPr id="14" name="TextBox 1"/>
        <cdr:cNvSpPr txBox="1"/>
      </cdr:nvSpPr>
      <cdr:spPr>
        <a:xfrm xmlns:a="http://schemas.openxmlformats.org/drawingml/2006/main">
          <a:off x="6918563" y="2308829"/>
          <a:ext cx="1549738" cy="2635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3">
                  <a:lumMod val="50000"/>
                </a:schemeClr>
              </a:solidFill>
              <a:latin typeface="Arial" panose="020B0604020202020204" pitchFamily="34" charset="0"/>
              <a:cs typeface="Arial" panose="020B0604020202020204" pitchFamily="34" charset="0"/>
            </a:rPr>
            <a:t>Corp. &amp; Bus. Tax</a:t>
          </a:r>
        </a:p>
      </cdr:txBody>
    </cdr:sp>
  </cdr:relSizeAnchor>
  <cdr:relSizeAnchor xmlns:cdr="http://schemas.openxmlformats.org/drawingml/2006/chartDrawing">
    <cdr:from>
      <cdr:x>0.68618</cdr:x>
      <cdr:y>0.4345</cdr:y>
    </cdr:from>
    <cdr:to>
      <cdr:x>0.83992</cdr:x>
      <cdr:y>0.48084</cdr:y>
    </cdr:to>
    <cdr:sp macro="" textlink="">
      <cdr:nvSpPr>
        <cdr:cNvPr id="15" name="TextBox 1"/>
        <cdr:cNvSpPr txBox="1"/>
      </cdr:nvSpPr>
      <cdr:spPr>
        <a:xfrm xmlns:a="http://schemas.openxmlformats.org/drawingml/2006/main">
          <a:off x="6916833" y="2470779"/>
          <a:ext cx="1549738" cy="2635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3">
                  <a:lumMod val="50000"/>
                </a:schemeClr>
              </a:solidFill>
              <a:latin typeface="Arial" panose="020B0604020202020204" pitchFamily="34" charset="0"/>
              <a:cs typeface="Arial" panose="020B0604020202020204" pitchFamily="34" charset="0"/>
            </a:rPr>
            <a:t>Retained</a:t>
          </a:r>
          <a:r>
            <a:rPr lang="en-US" sz="1200" b="1" baseline="0">
              <a:solidFill>
                <a:schemeClr val="accent3">
                  <a:lumMod val="50000"/>
                </a:schemeClr>
              </a:solidFill>
              <a:latin typeface="Arial" panose="020B0604020202020204" pitchFamily="34" charset="0"/>
              <a:cs typeface="Arial" panose="020B0604020202020204" pitchFamily="34" charset="0"/>
            </a:rPr>
            <a:t> Earn.</a:t>
          </a:r>
          <a:endParaRPr lang="en-US" sz="1200" b="1">
            <a:solidFill>
              <a:schemeClr val="accent3">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0.68636</cdr:x>
      <cdr:y>0.46356</cdr:y>
    </cdr:from>
    <cdr:to>
      <cdr:x>0.8401</cdr:x>
      <cdr:y>0.5099</cdr:y>
    </cdr:to>
    <cdr:sp macro="" textlink="">
      <cdr:nvSpPr>
        <cdr:cNvPr id="16" name="TextBox 1"/>
        <cdr:cNvSpPr txBox="1"/>
      </cdr:nvSpPr>
      <cdr:spPr>
        <a:xfrm xmlns:a="http://schemas.openxmlformats.org/drawingml/2006/main">
          <a:off x="6918664" y="2635976"/>
          <a:ext cx="1549738" cy="2635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3">
                  <a:lumMod val="50000"/>
                </a:schemeClr>
              </a:solidFill>
              <a:latin typeface="Arial" panose="020B0604020202020204" pitchFamily="34" charset="0"/>
              <a:cs typeface="Arial" panose="020B0604020202020204" pitchFamily="34" charset="0"/>
            </a:rPr>
            <a:t>Adjustments</a:t>
          </a:r>
        </a:p>
      </cdr:txBody>
    </cdr:sp>
  </cdr:relSizeAnchor>
  <cdr:relSizeAnchor xmlns:cdr="http://schemas.openxmlformats.org/drawingml/2006/chartDrawing">
    <cdr:from>
      <cdr:x>0.84974</cdr:x>
      <cdr:y>0.08599</cdr:y>
    </cdr:from>
    <cdr:to>
      <cdr:x>0.87388</cdr:x>
      <cdr:y>0.20495</cdr:y>
    </cdr:to>
    <cdr:sp macro="" textlink="">
      <cdr:nvSpPr>
        <cdr:cNvPr id="17" name="Right Brace 16"/>
        <cdr:cNvSpPr/>
      </cdr:nvSpPr>
      <cdr:spPr>
        <a:xfrm xmlns:a="http://schemas.openxmlformats.org/drawingml/2006/main">
          <a:off x="8565642" y="488977"/>
          <a:ext cx="243303" cy="676436"/>
        </a:xfrm>
        <a:prstGeom xmlns:a="http://schemas.openxmlformats.org/drawingml/2006/main" prst="rightBrace">
          <a:avLst/>
        </a:prstGeom>
        <a:ln xmlns:a="http://schemas.openxmlformats.org/drawingml/2006/main" w="1270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l"/>
          <a:endParaRPr lang="en-US" sz="1100"/>
        </a:p>
      </cdr:txBody>
    </cdr:sp>
  </cdr:relSizeAnchor>
  <cdr:relSizeAnchor xmlns:cdr="http://schemas.openxmlformats.org/drawingml/2006/chartDrawing">
    <cdr:from>
      <cdr:x>0.85103</cdr:x>
      <cdr:y>0.21687</cdr:y>
    </cdr:from>
    <cdr:to>
      <cdr:x>0.87722</cdr:x>
      <cdr:y>0.49463</cdr:y>
    </cdr:to>
    <cdr:sp macro="" textlink="">
      <cdr:nvSpPr>
        <cdr:cNvPr id="18" name="Right Brace 17"/>
        <cdr:cNvSpPr/>
      </cdr:nvSpPr>
      <cdr:spPr>
        <a:xfrm xmlns:a="http://schemas.openxmlformats.org/drawingml/2006/main">
          <a:off x="8578578" y="1233205"/>
          <a:ext cx="263983" cy="1579472"/>
        </a:xfrm>
        <a:prstGeom xmlns:a="http://schemas.openxmlformats.org/drawingml/2006/main" prst="rightBrace">
          <a:avLst/>
        </a:prstGeom>
        <a:ln xmlns:a="http://schemas.openxmlformats.org/drawingml/2006/main" w="1270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l"/>
          <a:endParaRPr lang="en-US" sz="1100"/>
        </a:p>
      </cdr:txBody>
    </cdr:sp>
  </cdr:relSizeAnchor>
  <cdr:relSizeAnchor xmlns:cdr="http://schemas.openxmlformats.org/drawingml/2006/chartDrawing">
    <cdr:from>
      <cdr:x>0.86883</cdr:x>
      <cdr:y>0.12904</cdr:y>
    </cdr:from>
    <cdr:to>
      <cdr:x>0.96901</cdr:x>
      <cdr:y>0.19102</cdr:y>
    </cdr:to>
    <cdr:sp macro="" textlink="">
      <cdr:nvSpPr>
        <cdr:cNvPr id="19" name="TextBox 12"/>
        <cdr:cNvSpPr txBox="1"/>
      </cdr:nvSpPr>
      <cdr:spPr>
        <a:xfrm xmlns:a="http://schemas.openxmlformats.org/drawingml/2006/main">
          <a:off x="8757992" y="733791"/>
          <a:ext cx="1009839" cy="35244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400" b="1">
              <a:solidFill>
                <a:schemeClr val="accent2">
                  <a:lumMod val="75000"/>
                </a:schemeClr>
              </a:solidFill>
              <a:latin typeface="Arial" panose="020B0604020202020204" pitchFamily="34" charset="0"/>
              <a:cs typeface="Arial" panose="020B0604020202020204" pitchFamily="34" charset="0"/>
            </a:rPr>
            <a:t>Transfers</a:t>
          </a:r>
        </a:p>
      </cdr:txBody>
    </cdr:sp>
  </cdr:relSizeAnchor>
  <cdr:relSizeAnchor xmlns:cdr="http://schemas.openxmlformats.org/drawingml/2006/chartDrawing">
    <cdr:from>
      <cdr:x>0.87799</cdr:x>
      <cdr:y>0.31675</cdr:y>
    </cdr:from>
    <cdr:to>
      <cdr:x>0.97818</cdr:x>
      <cdr:y>0.41893</cdr:y>
    </cdr:to>
    <cdr:sp macro="" textlink="">
      <cdr:nvSpPr>
        <cdr:cNvPr id="20" name="TextBox 14"/>
        <cdr:cNvSpPr txBox="1"/>
      </cdr:nvSpPr>
      <cdr:spPr>
        <a:xfrm xmlns:a="http://schemas.openxmlformats.org/drawingml/2006/main">
          <a:off x="8850392" y="1801160"/>
          <a:ext cx="1009941" cy="58103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400" b="1">
              <a:solidFill>
                <a:schemeClr val="accent3">
                  <a:lumMod val="50000"/>
                </a:schemeClr>
              </a:solidFill>
              <a:latin typeface="Arial" panose="020B0604020202020204" pitchFamily="34" charset="0"/>
              <a:cs typeface="Arial" panose="020B0604020202020204" pitchFamily="34" charset="0"/>
            </a:rPr>
            <a:t>Missing  income</a:t>
          </a:r>
        </a:p>
      </cdr:txBody>
    </cdr:sp>
  </cdr:relSizeAnchor>
  <cdr:relSizeAnchor xmlns:cdr="http://schemas.openxmlformats.org/drawingml/2006/chartDrawing">
    <cdr:from>
      <cdr:x>0.68501</cdr:x>
      <cdr:y>0.37557</cdr:y>
    </cdr:from>
    <cdr:to>
      <cdr:x>0.83876</cdr:x>
      <cdr:y>0.42191</cdr:y>
    </cdr:to>
    <cdr:sp macro="" textlink="">
      <cdr:nvSpPr>
        <cdr:cNvPr id="21" name="TextBox 1"/>
        <cdr:cNvSpPr txBox="1"/>
      </cdr:nvSpPr>
      <cdr:spPr>
        <a:xfrm xmlns:a="http://schemas.openxmlformats.org/drawingml/2006/main">
          <a:off x="6905123" y="2135673"/>
          <a:ext cx="1549738" cy="2635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3">
                  <a:lumMod val="50000"/>
                </a:schemeClr>
              </a:solidFill>
              <a:latin typeface="Arial" panose="020B0604020202020204" pitchFamily="34" charset="0"/>
              <a:cs typeface="Arial" panose="020B0604020202020204" pitchFamily="34" charset="0"/>
            </a:rPr>
            <a:t>Imputed</a:t>
          </a:r>
          <a:r>
            <a:rPr lang="en-US" sz="1200" b="1" baseline="0">
              <a:solidFill>
                <a:schemeClr val="accent3">
                  <a:lumMod val="50000"/>
                </a:schemeClr>
              </a:solidFill>
              <a:latin typeface="Arial" panose="020B0604020202020204" pitchFamily="34" charset="0"/>
              <a:cs typeface="Arial" panose="020B0604020202020204" pitchFamily="34" charset="0"/>
            </a:rPr>
            <a:t> Rents</a:t>
          </a:r>
          <a:endParaRPr lang="en-US" sz="1200" b="1">
            <a:solidFill>
              <a:schemeClr val="accent3">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0.68535</cdr:x>
      <cdr:y>0.27822</cdr:y>
    </cdr:from>
    <cdr:to>
      <cdr:x>0.83909</cdr:x>
      <cdr:y>0.32456</cdr:y>
    </cdr:to>
    <cdr:sp macro="" textlink="">
      <cdr:nvSpPr>
        <cdr:cNvPr id="22" name="TextBox 1"/>
        <cdr:cNvSpPr txBox="1"/>
      </cdr:nvSpPr>
      <cdr:spPr>
        <a:xfrm xmlns:a="http://schemas.openxmlformats.org/drawingml/2006/main">
          <a:off x="6908483" y="1582062"/>
          <a:ext cx="1549738" cy="2635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3">
                  <a:lumMod val="50000"/>
                </a:schemeClr>
              </a:solidFill>
              <a:latin typeface="Arial" panose="020B0604020202020204" pitchFamily="34" charset="0"/>
              <a:cs typeface="Arial" panose="020B0604020202020204" pitchFamily="34" charset="0"/>
            </a:rPr>
            <a:t>Underreported inc.</a:t>
          </a:r>
        </a:p>
      </cdr:txBody>
    </cdr:sp>
  </cdr:relSizeAnchor>
  <cdr:relSizeAnchor xmlns:cdr="http://schemas.openxmlformats.org/drawingml/2006/chartDrawing">
    <cdr:from>
      <cdr:x>0.68427</cdr:x>
      <cdr:y>0.206</cdr:y>
    </cdr:from>
    <cdr:to>
      <cdr:x>0.86054</cdr:x>
      <cdr:y>0.25618</cdr:y>
    </cdr:to>
    <cdr:sp macro="" textlink="">
      <cdr:nvSpPr>
        <cdr:cNvPr id="23" name="TextBox 1"/>
        <cdr:cNvSpPr txBox="1"/>
      </cdr:nvSpPr>
      <cdr:spPr>
        <a:xfrm xmlns:a="http://schemas.openxmlformats.org/drawingml/2006/main">
          <a:off x="6897594" y="1171388"/>
          <a:ext cx="1776880" cy="28537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3">
                  <a:lumMod val="50000"/>
                </a:schemeClr>
              </a:solidFill>
              <a:latin typeface="Arial" panose="020B0604020202020204" pitchFamily="34" charset="0"/>
              <a:cs typeface="Arial" panose="020B0604020202020204" pitchFamily="34" charset="0"/>
            </a:rPr>
            <a:t>Other (sales</a:t>
          </a:r>
          <a:r>
            <a:rPr lang="en-US" sz="1200" b="1" baseline="0">
              <a:solidFill>
                <a:schemeClr val="accent3">
                  <a:lumMod val="50000"/>
                </a:schemeClr>
              </a:solidFill>
              <a:latin typeface="Arial" panose="020B0604020202020204" pitchFamily="34" charset="0"/>
              <a:cs typeface="Arial" panose="020B0604020202020204" pitchFamily="34" charset="0"/>
            </a:rPr>
            <a:t> tax, etc.)</a:t>
          </a:r>
          <a:endParaRPr lang="en-US" sz="1200" b="1">
            <a:solidFill>
              <a:schemeClr val="accent3">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0.68538</cdr:x>
      <cdr:y>0.24436</cdr:y>
    </cdr:from>
    <cdr:to>
      <cdr:x>0.86499</cdr:x>
      <cdr:y>0.28781</cdr:y>
    </cdr:to>
    <cdr:sp macro="" textlink="">
      <cdr:nvSpPr>
        <cdr:cNvPr id="24" name="TextBox 1"/>
        <cdr:cNvSpPr txBox="1"/>
      </cdr:nvSpPr>
      <cdr:spPr>
        <a:xfrm xmlns:a="http://schemas.openxmlformats.org/drawingml/2006/main">
          <a:off x="6908799" y="1389530"/>
          <a:ext cx="1810497" cy="24707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3">
                  <a:lumMod val="50000"/>
                </a:schemeClr>
              </a:solidFill>
              <a:latin typeface="Arial" panose="020B0604020202020204" pitchFamily="34" charset="0"/>
              <a:cs typeface="Arial" panose="020B0604020202020204" pitchFamily="34" charset="0"/>
            </a:rPr>
            <a:t>Retirement non-taxbl</a:t>
          </a:r>
        </a:p>
      </cdr:txBody>
    </cdr:sp>
  </cdr:relSizeAnchor>
  <cdr:relSizeAnchor xmlns:cdr="http://schemas.openxmlformats.org/drawingml/2006/chartDrawing">
    <cdr:from>
      <cdr:x>0.89389</cdr:x>
      <cdr:y>0.61392</cdr:y>
    </cdr:from>
    <cdr:to>
      <cdr:x>1</cdr:x>
      <cdr:y>0.7161</cdr:y>
    </cdr:to>
    <cdr:sp macro="" textlink="">
      <cdr:nvSpPr>
        <cdr:cNvPr id="25" name="TextBox 14"/>
        <cdr:cNvSpPr txBox="1"/>
      </cdr:nvSpPr>
      <cdr:spPr>
        <a:xfrm xmlns:a="http://schemas.openxmlformats.org/drawingml/2006/main">
          <a:off x="9010650" y="3491006"/>
          <a:ext cx="1069601" cy="58103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1400" b="1">
              <a:solidFill>
                <a:schemeClr val="accent1">
                  <a:lumMod val="75000"/>
                </a:schemeClr>
              </a:solidFill>
              <a:latin typeface="Arial" panose="020B0604020202020204" pitchFamily="34" charset="0"/>
              <a:cs typeface="Arial" panose="020B0604020202020204" pitchFamily="34" charset="0"/>
            </a:rPr>
            <a:t>Tax return income</a:t>
          </a:r>
        </a:p>
      </cdr:txBody>
    </cdr:sp>
  </cdr:relSizeAnchor>
  <cdr:relSizeAnchor xmlns:cdr="http://schemas.openxmlformats.org/drawingml/2006/chartDrawing">
    <cdr:from>
      <cdr:x>0.85658</cdr:x>
      <cdr:y>0.50448</cdr:y>
    </cdr:from>
    <cdr:to>
      <cdr:x>0.87499</cdr:x>
      <cdr:y>0.9262</cdr:y>
    </cdr:to>
    <cdr:sp macro="" textlink="">
      <cdr:nvSpPr>
        <cdr:cNvPr id="26" name="Right Brace 25"/>
        <cdr:cNvSpPr/>
      </cdr:nvSpPr>
      <cdr:spPr>
        <a:xfrm xmlns:a="http://schemas.openxmlformats.org/drawingml/2006/main">
          <a:off x="8634507" y="2868706"/>
          <a:ext cx="185643" cy="2398057"/>
        </a:xfrm>
        <a:prstGeom xmlns:a="http://schemas.openxmlformats.org/drawingml/2006/main" prst="rightBrace">
          <a:avLst/>
        </a:prstGeom>
        <a:ln xmlns:a="http://schemas.openxmlformats.org/drawingml/2006/main" w="1270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l"/>
          <a:endParaRPr lang="en-US" sz="1100"/>
        </a:p>
      </cdr:txBody>
    </cdr:sp>
  </cdr:relSizeAnchor>
</c:userShapes>
</file>

<file path=xl/drawings/drawing37.xml><?xml version="1.0" encoding="utf-8"?>
<xdr:wsDr xmlns:xdr="http://schemas.openxmlformats.org/drawingml/2006/spreadsheetDrawing" xmlns:a="http://schemas.openxmlformats.org/drawingml/2006/main">
  <xdr:twoCellAnchor>
    <xdr:from>
      <xdr:col>0</xdr:col>
      <xdr:colOff>371475</xdr:colOff>
      <xdr:row>3</xdr:row>
      <xdr:rowOff>9525</xdr:rowOff>
    </xdr:from>
    <xdr:to>
      <xdr:col>10</xdr:col>
      <xdr:colOff>95250</xdr:colOff>
      <xdr:row>24</xdr:row>
      <xdr:rowOff>104775</xdr:rowOff>
    </xdr:to>
    <xdr:graphicFrame macro="">
      <xdr:nvGraphicFramePr>
        <xdr:cNvPr id="6" name="Chart 5">
          <a:extLst>
            <a:ext uri="{FF2B5EF4-FFF2-40B4-BE49-F238E27FC236}">
              <a16:creationId xmlns:a16="http://schemas.microsoft.com/office/drawing/2014/main" xmlns="" id="{00000000-0008-0000-3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0.81884</cdr:x>
      <cdr:y>0.05941</cdr:y>
    </cdr:from>
    <cdr:to>
      <cdr:x>0.96957</cdr:x>
      <cdr:y>0.16832</cdr:y>
    </cdr:to>
    <cdr:sp macro="" textlink="">
      <cdr:nvSpPr>
        <cdr:cNvPr id="2" name="TextBox 1"/>
        <cdr:cNvSpPr txBox="1"/>
      </cdr:nvSpPr>
      <cdr:spPr>
        <a:xfrm xmlns:a="http://schemas.openxmlformats.org/drawingml/2006/main">
          <a:off x="5381625" y="228600"/>
          <a:ext cx="9906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0.77679</cdr:x>
      <cdr:y>0.23565</cdr:y>
    </cdr:from>
    <cdr:to>
      <cdr:x>0.97248</cdr:x>
      <cdr:y>0.36189</cdr:y>
    </cdr:to>
    <cdr:sp macro="" textlink="">
      <cdr:nvSpPr>
        <cdr:cNvPr id="5" name="TextBox 1"/>
        <cdr:cNvSpPr txBox="1"/>
      </cdr:nvSpPr>
      <cdr:spPr>
        <a:xfrm xmlns:a="http://schemas.openxmlformats.org/drawingml/2006/main">
          <a:off x="4838878" y="965177"/>
          <a:ext cx="1219022" cy="51704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300">
              <a:latin typeface="Arial" panose="020B0604020202020204" pitchFamily="34" charset="0"/>
              <a:cs typeface="Arial" panose="020B0604020202020204" pitchFamily="34" charset="0"/>
            </a:rPr>
            <a:t>Piketty-Saez </a:t>
          </a:r>
          <a:r>
            <a:rPr lang="en-US" sz="1150">
              <a:latin typeface="Arial" panose="020B0604020202020204" pitchFamily="34" charset="0"/>
              <a:cs typeface="Arial" panose="020B0604020202020204" pitchFamily="34" charset="0"/>
            </a:rPr>
            <a:t>(with</a:t>
          </a:r>
          <a:r>
            <a:rPr lang="en-US" sz="1150" baseline="0">
              <a:latin typeface="Arial" panose="020B0604020202020204" pitchFamily="34" charset="0"/>
              <a:cs typeface="Arial" panose="020B0604020202020204" pitchFamily="34" charset="0"/>
            </a:rPr>
            <a:t> cap gains)</a:t>
          </a:r>
          <a:endParaRPr lang="en-US" sz="115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0.7788</cdr:x>
      <cdr:y>0.39845</cdr:y>
    </cdr:from>
    <cdr:to>
      <cdr:x>0.97449</cdr:x>
      <cdr:y>0.52469</cdr:y>
    </cdr:to>
    <cdr:sp macro="" textlink="">
      <cdr:nvSpPr>
        <cdr:cNvPr id="6" name="TextBox 1"/>
        <cdr:cNvSpPr txBox="1"/>
      </cdr:nvSpPr>
      <cdr:spPr>
        <a:xfrm xmlns:a="http://schemas.openxmlformats.org/drawingml/2006/main">
          <a:off x="4851400" y="1631950"/>
          <a:ext cx="1219022" cy="51704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300">
              <a:latin typeface="Arial" panose="020B0604020202020204" pitchFamily="34" charset="0"/>
              <a:cs typeface="Arial" panose="020B0604020202020204" pitchFamily="34" charset="0"/>
            </a:rPr>
            <a:t>Piketty-Saez </a:t>
          </a:r>
          <a:r>
            <a:rPr lang="en-US" sz="1150">
              <a:latin typeface="Arial" panose="020B0604020202020204" pitchFamily="34" charset="0"/>
              <a:cs typeface="Arial" panose="020B0604020202020204" pitchFamily="34" charset="0"/>
            </a:rPr>
            <a:t>(no</a:t>
          </a:r>
          <a:r>
            <a:rPr lang="en-US" sz="1150" baseline="0">
              <a:latin typeface="Arial" panose="020B0604020202020204" pitchFamily="34" charset="0"/>
              <a:cs typeface="Arial" panose="020B0604020202020204" pitchFamily="34" charset="0"/>
            </a:rPr>
            <a:t> cap gains)</a:t>
          </a:r>
          <a:endParaRPr lang="en-US" sz="1150">
            <a:latin typeface="Arial" panose="020B0604020202020204" pitchFamily="34" charset="0"/>
            <a:cs typeface="Arial" panose="020B0604020202020204" pitchFamily="34" charset="0"/>
          </a:endParaRP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1" Type="http://schemas.openxmlformats.org/officeDocument/2006/relationships/hyperlink" Target="https://nces.ed.gov/programs/digest/d15/tables/dt15_103.20.asp"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9.xml.rels><?xml version="1.0" encoding="UTF-8" standalone="yes"?>
<Relationships xmlns="http://schemas.openxmlformats.org/package/2006/relationships"><Relationship Id="rId3" Type="http://schemas.openxmlformats.org/officeDocument/2006/relationships/hyperlink" Target="https://www.irs.gov/pub/irs-soi/65fidgftesar.pdf" TargetMode="External"/><Relationship Id="rId2" Type="http://schemas.openxmlformats.org/officeDocument/2006/relationships/hyperlink" Target="https://www.irs.gov/statistics/soi-tax-stats-fiduciary-returns-sources-of-income-deductions-and-tax-liability-tax-status-and-size-of-gross-income" TargetMode="External"/><Relationship Id="rId1" Type="http://schemas.openxmlformats.org/officeDocument/2006/relationships/hyperlink" Target="https://www.irs.gov/pub/irs-soi/60fidgftesar.pdf" TargetMode="External"/><Relationship Id="rId5" Type="http://schemas.openxmlformats.org/officeDocument/2006/relationships/printerSettings" Target="../printerSettings/printerSettings55.bin"/><Relationship Id="rId4" Type="http://schemas.openxmlformats.org/officeDocument/2006/relationships/hyperlink" Target="https://www.irs.gov/pub/irs-soi/70fidar.pdf"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s://www.irs.gov/pub/irs-soi/60fidgftesar.pdf"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https://www.irs.gov/pub/irs-soi/09in01gender.pdf" TargetMode="External"/></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56.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autoPageBreaks="0"/>
  </sheetPr>
  <dimension ref="B1:D84"/>
  <sheetViews>
    <sheetView showGridLines="0" tabSelected="1" topLeftCell="A2" zoomScale="85" zoomScaleNormal="85" workbookViewId="0">
      <selection activeCell="C77" sqref="C77"/>
    </sheetView>
  </sheetViews>
  <sheetFormatPr defaultRowHeight="14.4" x14ac:dyDescent="0.3"/>
  <cols>
    <col min="1" max="1" width="6.44140625" customWidth="1"/>
    <col min="2" max="2" width="10.88671875" customWidth="1"/>
    <col min="3" max="3" width="80.88671875" customWidth="1"/>
    <col min="4" max="4" width="7" customWidth="1"/>
  </cols>
  <sheetData>
    <row r="1" spans="2:4" ht="10.5" customHeight="1" x14ac:dyDescent="0.3"/>
    <row r="2" spans="2:4" ht="21" x14ac:dyDescent="0.3">
      <c r="B2" s="373" t="s">
        <v>1641</v>
      </c>
      <c r="C2" s="241"/>
    </row>
    <row r="3" spans="2:4" s="1319" customFormat="1" ht="18" x14ac:dyDescent="0.3">
      <c r="B3" s="1333" t="s">
        <v>2168</v>
      </c>
      <c r="C3" s="241"/>
    </row>
    <row r="4" spans="2:4" s="1319" customFormat="1" ht="12.75" customHeight="1" x14ac:dyDescent="0.3">
      <c r="B4" s="373"/>
      <c r="C4" s="241"/>
    </row>
    <row r="5" spans="2:4" s="1011" customFormat="1" ht="15.6" x14ac:dyDescent="0.3">
      <c r="B5" s="1101" t="s">
        <v>2216</v>
      </c>
      <c r="C5" s="241"/>
    </row>
    <row r="6" spans="2:4" ht="4.5" customHeight="1" x14ac:dyDescent="0.3">
      <c r="B6" s="241"/>
      <c r="C6" s="241"/>
    </row>
    <row r="7" spans="2:4" ht="15.6" x14ac:dyDescent="0.3">
      <c r="B7" s="367" t="s">
        <v>399</v>
      </c>
      <c r="C7" s="374"/>
    </row>
    <row r="8" spans="2:4" x14ac:dyDescent="0.3">
      <c r="B8" s="382" t="s">
        <v>405</v>
      </c>
      <c r="C8" s="375" t="s">
        <v>400</v>
      </c>
    </row>
    <row r="9" spans="2:4" x14ac:dyDescent="0.3">
      <c r="B9" s="382" t="s">
        <v>406</v>
      </c>
      <c r="C9" s="375" t="s">
        <v>521</v>
      </c>
    </row>
    <row r="10" spans="2:4" s="414" customFormat="1" x14ac:dyDescent="0.3">
      <c r="B10" s="382" t="s">
        <v>520</v>
      </c>
      <c r="C10" s="375" t="s">
        <v>2099</v>
      </c>
    </row>
    <row r="11" spans="2:4" s="1011" customFormat="1" x14ac:dyDescent="0.3">
      <c r="B11" s="9" t="s">
        <v>1112</v>
      </c>
      <c r="C11" s="1054" t="s">
        <v>2045</v>
      </c>
    </row>
    <row r="12" spans="2:4" s="655" customFormat="1" x14ac:dyDescent="0.3">
      <c r="B12" s="9" t="s">
        <v>1301</v>
      </c>
      <c r="C12" s="1054" t="s">
        <v>1302</v>
      </c>
      <c r="D12" s="1099"/>
    </row>
    <row r="13" spans="2:4" x14ac:dyDescent="0.3">
      <c r="B13" s="382" t="s">
        <v>407</v>
      </c>
      <c r="C13" s="376" t="s">
        <v>2135</v>
      </c>
    </row>
    <row r="14" spans="2:4" s="1011" customFormat="1" x14ac:dyDescent="0.3">
      <c r="B14" s="382" t="s">
        <v>408</v>
      </c>
      <c r="C14" s="376" t="s">
        <v>404</v>
      </c>
      <c r="D14" s="1099"/>
    </row>
    <row r="15" spans="2:4" x14ac:dyDescent="0.3">
      <c r="B15" s="382" t="s">
        <v>409</v>
      </c>
      <c r="C15" s="375" t="s">
        <v>401</v>
      </c>
    </row>
    <row r="16" spans="2:4" s="414" customFormat="1" x14ac:dyDescent="0.3">
      <c r="B16" s="382" t="s">
        <v>519</v>
      </c>
      <c r="C16" s="375" t="s">
        <v>629</v>
      </c>
    </row>
    <row r="17" spans="2:4" s="502" customFormat="1" x14ac:dyDescent="0.3">
      <c r="B17" s="382" t="s">
        <v>630</v>
      </c>
      <c r="C17" s="375" t="s">
        <v>631</v>
      </c>
      <c r="D17" s="1099"/>
    </row>
    <row r="18" spans="2:4" x14ac:dyDescent="0.3">
      <c r="B18" s="375"/>
      <c r="C18" s="375"/>
    </row>
    <row r="19" spans="2:4" ht="15.6" x14ac:dyDescent="0.3">
      <c r="B19" s="368" t="s">
        <v>413</v>
      </c>
      <c r="C19" s="377"/>
    </row>
    <row r="20" spans="2:4" ht="15" customHeight="1" x14ac:dyDescent="0.3">
      <c r="B20" s="382" t="s">
        <v>410</v>
      </c>
      <c r="C20" s="375" t="s">
        <v>1895</v>
      </c>
    </row>
    <row r="21" spans="2:4" x14ac:dyDescent="0.3">
      <c r="B21" s="382" t="s">
        <v>411</v>
      </c>
      <c r="C21" s="376" t="s">
        <v>403</v>
      </c>
    </row>
    <row r="22" spans="2:4" x14ac:dyDescent="0.3">
      <c r="B22" s="241"/>
      <c r="C22" s="379"/>
    </row>
    <row r="23" spans="2:4" ht="15.6" x14ac:dyDescent="0.3">
      <c r="B23" s="369" t="s">
        <v>414</v>
      </c>
      <c r="C23" s="380"/>
    </row>
    <row r="24" spans="2:4" x14ac:dyDescent="0.3">
      <c r="B24" s="382" t="s">
        <v>418</v>
      </c>
      <c r="C24" s="375" t="s">
        <v>415</v>
      </c>
    </row>
    <row r="25" spans="2:4" x14ac:dyDescent="0.3">
      <c r="B25" s="382" t="s">
        <v>419</v>
      </c>
      <c r="C25" s="375" t="s">
        <v>633</v>
      </c>
    </row>
    <row r="26" spans="2:4" s="1011" customFormat="1" x14ac:dyDescent="0.3">
      <c r="B26" s="382" t="s">
        <v>1644</v>
      </c>
      <c r="C26" s="1011" t="s">
        <v>2129</v>
      </c>
      <c r="D26" s="1203"/>
    </row>
    <row r="27" spans="2:4" s="1011" customFormat="1" x14ac:dyDescent="0.3">
      <c r="B27" s="383" t="s">
        <v>1889</v>
      </c>
      <c r="C27" s="376" t="s">
        <v>632</v>
      </c>
      <c r="D27" s="1203"/>
    </row>
    <row r="28" spans="2:4" s="1011" customFormat="1" x14ac:dyDescent="0.3">
      <c r="B28" s="382" t="s">
        <v>1890</v>
      </c>
      <c r="C28" s="375" t="s">
        <v>412</v>
      </c>
      <c r="D28" s="1203"/>
    </row>
    <row r="29" spans="2:4" s="1011" customFormat="1" x14ac:dyDescent="0.3">
      <c r="B29" s="382" t="s">
        <v>1891</v>
      </c>
      <c r="C29" s="376" t="s">
        <v>402</v>
      </c>
      <c r="D29" s="1203"/>
    </row>
    <row r="30" spans="2:4" s="1011" customFormat="1" x14ac:dyDescent="0.3">
      <c r="B30" s="1201" t="s">
        <v>1892</v>
      </c>
      <c r="C30" s="1202" t="s">
        <v>1627</v>
      </c>
      <c r="D30" s="1203"/>
    </row>
    <row r="31" spans="2:4" s="1281" customFormat="1" x14ac:dyDescent="0.3">
      <c r="B31" s="1201" t="s">
        <v>2126</v>
      </c>
      <c r="C31" s="1202" t="s">
        <v>2125</v>
      </c>
      <c r="D31" s="1203"/>
    </row>
    <row r="32" spans="2:4" x14ac:dyDescent="0.3">
      <c r="B32" s="382" t="s">
        <v>420</v>
      </c>
      <c r="C32" s="376" t="s">
        <v>416</v>
      </c>
      <c r="D32" s="1099"/>
    </row>
    <row r="33" spans="2:4" x14ac:dyDescent="0.3">
      <c r="B33" s="382" t="s">
        <v>421</v>
      </c>
      <c r="C33" s="375" t="s">
        <v>667</v>
      </c>
    </row>
    <row r="34" spans="2:4" s="539" customFormat="1" x14ac:dyDescent="0.3">
      <c r="B34" s="382" t="s">
        <v>422</v>
      </c>
      <c r="C34" s="375" t="s">
        <v>665</v>
      </c>
      <c r="D34" s="1099"/>
    </row>
    <row r="35" spans="2:4" x14ac:dyDescent="0.3">
      <c r="B35" s="382" t="s">
        <v>666</v>
      </c>
      <c r="C35" s="375" t="s">
        <v>417</v>
      </c>
    </row>
    <row r="36" spans="2:4" x14ac:dyDescent="0.3">
      <c r="B36" s="382" t="s">
        <v>1881</v>
      </c>
      <c r="C36" s="379" t="s">
        <v>1879</v>
      </c>
    </row>
    <row r="37" spans="2:4" s="1011" customFormat="1" x14ac:dyDescent="0.3">
      <c r="B37" s="382" t="s">
        <v>1880</v>
      </c>
      <c r="C37" s="375" t="s">
        <v>1882</v>
      </c>
    </row>
    <row r="38" spans="2:4" s="1281" customFormat="1" x14ac:dyDescent="0.3">
      <c r="B38" s="382" t="s">
        <v>2049</v>
      </c>
      <c r="C38" s="375" t="s">
        <v>2048</v>
      </c>
    </row>
    <row r="39" spans="2:4" s="1011" customFormat="1" x14ac:dyDescent="0.3">
      <c r="B39" s="241"/>
      <c r="C39" s="379"/>
    </row>
    <row r="40" spans="2:4" s="655" customFormat="1" ht="15.6" x14ac:dyDescent="0.3">
      <c r="B40" s="734" t="s">
        <v>1153</v>
      </c>
      <c r="C40" s="735"/>
    </row>
    <row r="41" spans="2:4" s="655" customFormat="1" x14ac:dyDescent="0.3">
      <c r="B41" s="382" t="s">
        <v>791</v>
      </c>
      <c r="C41" s="375" t="s">
        <v>1154</v>
      </c>
      <c r="D41" s="1099"/>
    </row>
    <row r="42" spans="2:4" s="655" customFormat="1" x14ac:dyDescent="0.3">
      <c r="B42" s="382" t="s">
        <v>1158</v>
      </c>
      <c r="C42" s="375" t="s">
        <v>1164</v>
      </c>
    </row>
    <row r="43" spans="2:4" s="655" customFormat="1" x14ac:dyDescent="0.3">
      <c r="B43" s="382" t="s">
        <v>1159</v>
      </c>
      <c r="C43" s="376" t="s">
        <v>1155</v>
      </c>
      <c r="D43" s="1099"/>
    </row>
    <row r="44" spans="2:4" s="655" customFormat="1" x14ac:dyDescent="0.3">
      <c r="B44" s="382" t="s">
        <v>1160</v>
      </c>
      <c r="C44" s="375" t="s">
        <v>1156</v>
      </c>
    </row>
    <row r="45" spans="2:4" s="655" customFormat="1" x14ac:dyDescent="0.3">
      <c r="B45" s="382" t="s">
        <v>1161</v>
      </c>
      <c r="C45" s="375" t="s">
        <v>1157</v>
      </c>
    </row>
    <row r="46" spans="2:4" s="655" customFormat="1" x14ac:dyDescent="0.3">
      <c r="B46" s="382" t="s">
        <v>1162</v>
      </c>
      <c r="C46" s="375" t="s">
        <v>1163</v>
      </c>
    </row>
    <row r="47" spans="2:4" s="655" customFormat="1" x14ac:dyDescent="0.3">
      <c r="B47" s="382"/>
      <c r="C47" s="375"/>
    </row>
    <row r="48" spans="2:4" ht="15.6" x14ac:dyDescent="0.3">
      <c r="B48" s="378" t="s">
        <v>423</v>
      </c>
      <c r="C48" s="381"/>
    </row>
    <row r="49" spans="2:3" x14ac:dyDescent="0.3">
      <c r="B49" s="9" t="s">
        <v>425</v>
      </c>
      <c r="C49" s="1054" t="s">
        <v>437</v>
      </c>
    </row>
    <row r="50" spans="2:3" x14ac:dyDescent="0.3">
      <c r="B50" s="9" t="s">
        <v>426</v>
      </c>
      <c r="C50" s="1054" t="s">
        <v>438</v>
      </c>
    </row>
    <row r="51" spans="2:3" x14ac:dyDescent="0.3">
      <c r="B51" s="9" t="s">
        <v>427</v>
      </c>
      <c r="C51" s="1054" t="s">
        <v>471</v>
      </c>
    </row>
    <row r="52" spans="2:3" x14ac:dyDescent="0.3">
      <c r="B52" s="9" t="s">
        <v>428</v>
      </c>
      <c r="C52" s="1054" t="s">
        <v>624</v>
      </c>
    </row>
    <row r="53" spans="2:3" s="414" customFormat="1" x14ac:dyDescent="0.3">
      <c r="B53" s="9" t="s">
        <v>429</v>
      </c>
      <c r="C53" s="1054" t="s">
        <v>499</v>
      </c>
    </row>
    <row r="54" spans="2:3" s="414" customFormat="1" x14ac:dyDescent="0.3">
      <c r="B54" s="9" t="s">
        <v>430</v>
      </c>
      <c r="C54" s="1054" t="s">
        <v>500</v>
      </c>
    </row>
    <row r="55" spans="2:3" x14ac:dyDescent="0.3">
      <c r="B55" s="9" t="s">
        <v>431</v>
      </c>
      <c r="C55" s="1054" t="s">
        <v>501</v>
      </c>
    </row>
    <row r="56" spans="2:3" s="502" customFormat="1" x14ac:dyDescent="0.3">
      <c r="B56" s="9" t="s">
        <v>432</v>
      </c>
      <c r="C56" s="1054" t="s">
        <v>2172</v>
      </c>
    </row>
    <row r="57" spans="2:3" s="502" customFormat="1" x14ac:dyDescent="0.3">
      <c r="B57" s="9" t="s">
        <v>424</v>
      </c>
      <c r="C57" s="1054" t="s">
        <v>1763</v>
      </c>
    </row>
    <row r="58" spans="2:3" s="502" customFormat="1" x14ac:dyDescent="0.3">
      <c r="B58" s="9" t="s">
        <v>433</v>
      </c>
      <c r="C58" s="1054" t="s">
        <v>1764</v>
      </c>
    </row>
    <row r="59" spans="2:3" s="1319" customFormat="1" x14ac:dyDescent="0.3">
      <c r="B59" s="9" t="s">
        <v>2186</v>
      </c>
      <c r="C59" s="1054" t="s">
        <v>2185</v>
      </c>
    </row>
    <row r="60" spans="2:3" x14ac:dyDescent="0.3">
      <c r="B60" s="9" t="s">
        <v>434</v>
      </c>
      <c r="C60" s="1054" t="s">
        <v>440</v>
      </c>
    </row>
    <row r="61" spans="2:3" x14ac:dyDescent="0.3">
      <c r="B61" s="9" t="s">
        <v>435</v>
      </c>
      <c r="C61" s="1054" t="s">
        <v>1745</v>
      </c>
    </row>
    <row r="62" spans="2:3" x14ac:dyDescent="0.3">
      <c r="B62" s="9" t="s">
        <v>436</v>
      </c>
      <c r="C62" s="1054" t="s">
        <v>509</v>
      </c>
    </row>
    <row r="63" spans="2:3" s="414" customFormat="1" x14ac:dyDescent="0.3">
      <c r="B63" s="9" t="s">
        <v>502</v>
      </c>
      <c r="C63" s="1054" t="s">
        <v>1111</v>
      </c>
    </row>
    <row r="64" spans="2:3" x14ac:dyDescent="0.3">
      <c r="B64" s="9" t="s">
        <v>503</v>
      </c>
      <c r="C64" s="1054" t="s">
        <v>441</v>
      </c>
    </row>
    <row r="65" spans="2:3" x14ac:dyDescent="0.3">
      <c r="B65" s="9" t="s">
        <v>508</v>
      </c>
      <c r="C65" s="1054" t="s">
        <v>439</v>
      </c>
    </row>
    <row r="66" spans="2:3" x14ac:dyDescent="0.3">
      <c r="B66" s="1241" t="s">
        <v>634</v>
      </c>
      <c r="C66" s="1242" t="s">
        <v>1670</v>
      </c>
    </row>
    <row r="67" spans="2:3" x14ac:dyDescent="0.3">
      <c r="B67" s="9" t="s">
        <v>635</v>
      </c>
      <c r="C67" s="1054" t="s">
        <v>467</v>
      </c>
    </row>
    <row r="68" spans="2:3" s="655" customFormat="1" x14ac:dyDescent="0.3">
      <c r="B68" s="9" t="s">
        <v>636</v>
      </c>
      <c r="C68" s="241" t="s">
        <v>1114</v>
      </c>
    </row>
    <row r="69" spans="2:3" s="655" customFormat="1" x14ac:dyDescent="0.3">
      <c r="B69" s="9" t="s">
        <v>694</v>
      </c>
      <c r="C69" s="241" t="s">
        <v>1630</v>
      </c>
    </row>
    <row r="70" spans="2:3" s="1011" customFormat="1" x14ac:dyDescent="0.3">
      <c r="B70" s="9" t="s">
        <v>1711</v>
      </c>
      <c r="C70" s="1054" t="s">
        <v>1712</v>
      </c>
    </row>
    <row r="71" spans="2:3" x14ac:dyDescent="0.3">
      <c r="B71" s="9" t="s">
        <v>1166</v>
      </c>
      <c r="C71" s="241" t="s">
        <v>1165</v>
      </c>
    </row>
    <row r="72" spans="2:3" s="655" customFormat="1" x14ac:dyDescent="0.3">
      <c r="B72" s="9" t="s">
        <v>1198</v>
      </c>
      <c r="C72" s="241" t="s">
        <v>1197</v>
      </c>
    </row>
    <row r="73" spans="2:3" s="655" customFormat="1" x14ac:dyDescent="0.3">
      <c r="B73" s="9" t="s">
        <v>1233</v>
      </c>
      <c r="C73" s="241" t="s">
        <v>1234</v>
      </c>
    </row>
    <row r="74" spans="2:3" s="655" customFormat="1" x14ac:dyDescent="0.3">
      <c r="B74" s="9" t="s">
        <v>1303</v>
      </c>
      <c r="C74" s="241" t="s">
        <v>1304</v>
      </c>
    </row>
    <row r="75" spans="2:3" s="1011" customFormat="1" x14ac:dyDescent="0.3">
      <c r="B75" s="9" t="s">
        <v>1624</v>
      </c>
      <c r="C75" s="241" t="s">
        <v>1629</v>
      </c>
    </row>
    <row r="76" spans="2:3" s="1011" customFormat="1" x14ac:dyDescent="0.3">
      <c r="B76" s="9" t="s">
        <v>1625</v>
      </c>
      <c r="C76" s="241" t="s">
        <v>1628</v>
      </c>
    </row>
    <row r="77" spans="2:3" s="1011" customFormat="1" x14ac:dyDescent="0.3">
      <c r="B77" s="9" t="s">
        <v>1626</v>
      </c>
      <c r="C77" s="241" t="s">
        <v>2234</v>
      </c>
    </row>
    <row r="78" spans="2:3" s="1011" customFormat="1" x14ac:dyDescent="0.3">
      <c r="B78" s="9" t="s">
        <v>1637</v>
      </c>
      <c r="C78" s="241" t="s">
        <v>1898</v>
      </c>
    </row>
    <row r="79" spans="2:3" s="655" customFormat="1" x14ac:dyDescent="0.3">
      <c r="B79" s="9"/>
    </row>
    <row r="80" spans="2:3" x14ac:dyDescent="0.3">
      <c r="B80" s="9" t="s">
        <v>637</v>
      </c>
    </row>
    <row r="82" spans="2:2" x14ac:dyDescent="0.3">
      <c r="B82" t="s">
        <v>2213</v>
      </c>
    </row>
    <row r="83" spans="2:2" x14ac:dyDescent="0.3">
      <c r="B83" t="s">
        <v>2214</v>
      </c>
    </row>
    <row r="84" spans="2:2" x14ac:dyDescent="0.3">
      <c r="B84" t="s">
        <v>2215</v>
      </c>
    </row>
  </sheetData>
  <hyperlinks>
    <hyperlink ref="B8" location="'T-1'!A1" display="Table 1"/>
    <hyperlink ref="B9" location="'T-2'!A1" display="Table 2"/>
    <hyperlink ref="B13" location="'F-1'!A1" display="Figure 1"/>
    <hyperlink ref="B27" location="'T-B4'!A1" display="Table B4"/>
    <hyperlink ref="B28" location="'T-B5'!A1" display="Table B5"/>
    <hyperlink ref="B29" location="'T-B6'!A1" display="Table B6"/>
    <hyperlink ref="B21" location="'F-A1'!A1" display="Figure A1"/>
    <hyperlink ref="B24" location="'T-B1'!A1" display="Table B1"/>
    <hyperlink ref="B25" location="'T-B2'!A1" display="Table B2"/>
    <hyperlink ref="B32" location="'F-B1'!A1" display="Figure B1"/>
    <hyperlink ref="B33" location="'F-B2'!A1" display="Figure B2"/>
    <hyperlink ref="B35" location="'F-B4'!A1" display="Figure B4"/>
    <hyperlink ref="B49" location="'C0-Ref Stats'!A1" display="Table C0"/>
    <hyperlink ref="B50" location="'C1-Incomes'!A1" display="Table C1"/>
    <hyperlink ref="B51" location="'C2-Shares'!A1" display="Table C2"/>
    <hyperlink ref="B52" location="'C3-Avg Income'!A1" display="Table C3"/>
    <hyperlink ref="B55" location="'C6-Source Dist'!A1" display="Table C6"/>
    <hyperlink ref="B65" location="'C15-Marriage'!A1" display="Table C15"/>
    <hyperlink ref="B66" location="'C16-ShareCh'!A1" display="Table C16"/>
    <hyperlink ref="B64" location="'C14-PS shares'!A1" display="Table C14"/>
    <hyperlink ref="B60" location="'C10-Adj by Source'!A1" display="Table C10"/>
    <hyperlink ref="B67" location="'C17-Over64'!A1" display="Table C17"/>
    <hyperlink ref="B61" location="'C11-ESI'!A1" display="Table C11"/>
    <hyperlink ref="B62" location="'C12-CorpOwn'!A1" display="Table C12"/>
    <hyperlink ref="B53" location="'C4-Sources'!A1" display="Table C4"/>
    <hyperlink ref="B54" location="'C5-Top Sources'!A1" display="Table C5"/>
    <hyperlink ref="B63" location="'C13-CapOwn'!A1" display="Table C13"/>
    <hyperlink ref="B10" location="'T-3'!A1" display="Table 3"/>
    <hyperlink ref="B56" location="'C7-Transf Dist'!A1" display="Table C7"/>
    <hyperlink ref="B57" location="'C8-Tax Dist'!A1" display="Table C8"/>
    <hyperlink ref="B58" location="'C9-Tax Rates'!A1" display="Table C9"/>
    <hyperlink ref="B80" location="INPUTS!A1" display="Program inputs"/>
    <hyperlink ref="B34" location="'F-B3'!A1" display="Figure B3"/>
    <hyperlink ref="B68" location="'C18-College'!A1" display="Table C18"/>
    <hyperlink ref="B69" location="'C19-RetShares'!A1" display="Table C19"/>
    <hyperlink ref="B41" location="'T-T1'!A1" display="Table T1"/>
    <hyperlink ref="B42" location="'T-T1a'!A1" display="Table T1a"/>
    <hyperlink ref="B43" location="'T-T2'!A1" display="Figure T2"/>
    <hyperlink ref="B44" location="'T-T3'!A1" display="Figure T3"/>
    <hyperlink ref="B46" location="'T-T4a'!A1" display="Figure T4a"/>
    <hyperlink ref="B45" location="'T-T4'!A1" display="Figure T4"/>
    <hyperlink ref="B71" location="'C20-Underrep Inc'!A1" display="Table C20"/>
    <hyperlink ref="B72" location="'C21-Under20'!A1" display="Table C21"/>
    <hyperlink ref="B73" location="'C22-Fiduciary'!A1" display="Table C22"/>
    <hyperlink ref="B12" location="'T-5'!A1" display="Table 5"/>
    <hyperlink ref="B74" location="'C22-Fiduciary'!A1" display="Table C22"/>
    <hyperlink ref="B75" location="'C24-Estate'!A1" display="Table C24"/>
    <hyperlink ref="B76" location="'C25-WageSplit'!A1" display="Table C25"/>
    <hyperlink ref="B11" location="'T-4'!A1" display="Table 4"/>
    <hyperlink ref="B30" location="'T-B7'!A1" display="Table B7"/>
    <hyperlink ref="B70" location="'C19-RetShares'!A1" display="Table C19"/>
    <hyperlink ref="B36" location="'F-B5-50'!A1" display="Figure B5"/>
    <hyperlink ref="B37" location="'T-B6'!A1" display="Figure B6"/>
    <hyperlink ref="B26" location="'T-B3'!A1" display="Table B3"/>
    <hyperlink ref="B20" location="'T-A1'!A1" display="Table A1"/>
    <hyperlink ref="B38" location="'F-B6-5090'!A1" display="Figure B6"/>
    <hyperlink ref="B37:B38" location="'T-B7'!A1" display="Figure B6"/>
    <hyperlink ref="B14:B17" location="'F-1'!A1" display="Figure 1"/>
    <hyperlink ref="B14" location="'T-2'!A1" display="Figure 2"/>
    <hyperlink ref="B15" location="'T-3'!A1" display="Figure 3"/>
    <hyperlink ref="B16" location="'T-4'!A1" display="Figure 4"/>
    <hyperlink ref="B17" location="'T-5'!A1" display="Figure 5"/>
    <hyperlink ref="B77:B78" location="'C25-WageSplit'!A1" display="Table C25"/>
    <hyperlink ref="B77" location="'C26-PSshare'!A1" display="Table C26"/>
    <hyperlink ref="B78" location="'C27-PSZrepl'!A1" display="Table C27"/>
    <hyperlink ref="B31" location="'T-B7'!A1" display="Table B7"/>
    <hyperlink ref="B30:B31" location="'T-B8'!A1" display="Table B7"/>
    <hyperlink ref="B59" location="'C9a-Tax Rates'!A1" display="Table C9a"/>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tint="0.59999389629810485"/>
  </sheetPr>
  <dimension ref="A1:R42"/>
  <sheetViews>
    <sheetView workbookViewId="0"/>
  </sheetViews>
  <sheetFormatPr defaultColWidth="9.109375" defaultRowHeight="14.4" x14ac:dyDescent="0.3"/>
  <cols>
    <col min="1" max="1" width="29.21875" style="172" customWidth="1"/>
    <col min="2" max="6" width="5.77734375" style="172" customWidth="1"/>
    <col min="7" max="7" width="2" style="172" customWidth="1"/>
    <col min="8" max="12" width="5.44140625" style="172" customWidth="1"/>
    <col min="13" max="13" width="4.21875" style="172" customWidth="1"/>
    <col min="14" max="16384" width="9.109375" style="172"/>
  </cols>
  <sheetData>
    <row r="1" spans="1:18" ht="15.6" x14ac:dyDescent="0.3">
      <c r="A1" s="202" t="s">
        <v>1566</v>
      </c>
      <c r="L1" s="462" t="s">
        <v>504</v>
      </c>
    </row>
    <row r="2" spans="1:18" ht="15" thickBot="1" x14ac:dyDescent="0.35">
      <c r="A2" s="62"/>
      <c r="B2" s="12"/>
      <c r="C2" s="502"/>
      <c r="D2" s="502"/>
      <c r="E2" s="502"/>
      <c r="F2" s="502"/>
      <c r="G2" s="502"/>
      <c r="H2" s="502"/>
      <c r="I2" s="502"/>
      <c r="J2" s="502"/>
      <c r="K2" s="502"/>
      <c r="L2" s="502"/>
      <c r="M2" s="502"/>
    </row>
    <row r="3" spans="1:18" ht="13.5" customHeight="1" thickTop="1" x14ac:dyDescent="0.3">
      <c r="A3" s="1359" t="s">
        <v>49</v>
      </c>
      <c r="B3" s="1361" t="s">
        <v>647</v>
      </c>
      <c r="C3" s="1361"/>
      <c r="D3" s="1361"/>
      <c r="E3" s="1361"/>
      <c r="F3" s="1361"/>
      <c r="G3" s="532"/>
      <c r="H3" s="1361" t="s">
        <v>648</v>
      </c>
      <c r="I3" s="1361"/>
      <c r="J3" s="1361"/>
      <c r="K3" s="1361"/>
      <c r="L3" s="1361"/>
      <c r="M3" s="502"/>
    </row>
    <row r="4" spans="1:18" ht="12" customHeight="1" x14ac:dyDescent="0.3">
      <c r="A4" s="1360"/>
      <c r="B4" s="533">
        <v>1960</v>
      </c>
      <c r="C4" s="533">
        <v>1979</v>
      </c>
      <c r="D4" s="533">
        <v>1985</v>
      </c>
      <c r="E4" s="533">
        <v>1989</v>
      </c>
      <c r="F4" s="533">
        <v>2015</v>
      </c>
      <c r="G4" s="11"/>
      <c r="H4" s="533">
        <v>1960</v>
      </c>
      <c r="I4" s="533">
        <v>1979</v>
      </c>
      <c r="J4" s="533">
        <v>1985</v>
      </c>
      <c r="K4" s="533">
        <v>1989</v>
      </c>
      <c r="L4" s="533">
        <v>2015</v>
      </c>
      <c r="M4" s="502"/>
    </row>
    <row r="5" spans="1:18" s="278" customFormat="1" ht="12" customHeight="1" x14ac:dyDescent="0.3">
      <c r="A5" s="1069" t="s">
        <v>1667</v>
      </c>
      <c r="B5" s="619">
        <f>'C14-PS shares'!$D8</f>
        <v>9.0105832408147997</v>
      </c>
      <c r="C5" s="619">
        <f>'C14-PS shares'!$D27</f>
        <v>8.9960423031537946</v>
      </c>
      <c r="D5" s="619">
        <f>'C14-PS shares'!$D33</f>
        <v>11.093374495182488</v>
      </c>
      <c r="E5" s="619">
        <f>'C14-PS shares'!$D37</f>
        <v>13.81328299421444</v>
      </c>
      <c r="F5" s="619">
        <f>'C14-PS shares'!$D63</f>
        <v>20.309999999999999</v>
      </c>
      <c r="G5" s="620"/>
      <c r="H5" s="621" t="s">
        <v>47</v>
      </c>
      <c r="I5" s="621" t="s">
        <v>47</v>
      </c>
      <c r="J5" s="621" t="s">
        <v>47</v>
      </c>
      <c r="K5" s="621" t="s">
        <v>47</v>
      </c>
      <c r="L5" s="621" t="s">
        <v>47</v>
      </c>
      <c r="M5" s="502"/>
    </row>
    <row r="6" spans="1:18" ht="12" customHeight="1" x14ac:dyDescent="0.3">
      <c r="A6" s="1069" t="s">
        <v>1668</v>
      </c>
      <c r="B6" s="623">
        <f>'C2-Shares'!$D6*100</f>
        <v>8.3104745159463747</v>
      </c>
      <c r="C6" s="623">
        <f>'C2-Shares'!$D25*100</f>
        <v>8.0866177381523112</v>
      </c>
      <c r="D6" s="623">
        <f>'C2-Shares'!$D31*100</f>
        <v>9.2281216049099246</v>
      </c>
      <c r="E6" s="623">
        <f>'C2-Shares'!$D35*100</f>
        <v>12.843244430452087</v>
      </c>
      <c r="F6" s="623">
        <f>'C2-Shares'!$D61*100</f>
        <v>18.562615712261096</v>
      </c>
      <c r="G6" s="620"/>
      <c r="H6" s="623">
        <f>B6-B5</f>
        <v>-0.70010872486842501</v>
      </c>
      <c r="I6" s="623">
        <f>C6-C5</f>
        <v>-0.90942456500148339</v>
      </c>
      <c r="J6" s="623">
        <f>D6-D5</f>
        <v>-1.8652528902725631</v>
      </c>
      <c r="K6" s="623">
        <f>E6-E5</f>
        <v>-0.97003856376235298</v>
      </c>
      <c r="L6" s="623">
        <f>F6-F5</f>
        <v>-1.7473842877389032</v>
      </c>
      <c r="M6" s="502"/>
      <c r="N6" s="282"/>
      <c r="O6" s="282"/>
      <c r="P6" s="282"/>
    </row>
    <row r="7" spans="1:18" ht="12" customHeight="1" x14ac:dyDescent="0.3">
      <c r="A7" s="635"/>
      <c r="B7" s="1067"/>
      <c r="C7" s="1067"/>
      <c r="D7" s="1067"/>
      <c r="E7" s="1067"/>
      <c r="F7" s="1067"/>
      <c r="G7" s="620"/>
      <c r="H7" s="631"/>
      <c r="I7" s="631"/>
      <c r="J7" s="631"/>
      <c r="K7" s="631"/>
      <c r="L7" s="631"/>
      <c r="M7" s="502"/>
    </row>
    <row r="8" spans="1:18" ht="12" customHeight="1" x14ac:dyDescent="0.3">
      <c r="A8" s="636" t="s">
        <v>1678</v>
      </c>
      <c r="B8" s="1068"/>
      <c r="C8" s="1068"/>
      <c r="D8" s="1068"/>
      <c r="E8" s="1068"/>
      <c r="F8" s="1068"/>
      <c r="G8" s="620"/>
      <c r="H8" s="630"/>
      <c r="I8" s="630"/>
      <c r="J8" s="630"/>
      <c r="K8" s="630"/>
      <c r="L8" s="630"/>
      <c r="M8" s="502"/>
    </row>
    <row r="9" spans="1:18" s="1011" customFormat="1" ht="12" customHeight="1" x14ac:dyDescent="0.3">
      <c r="A9" s="626" t="s">
        <v>1651</v>
      </c>
      <c r="B9" s="627">
        <f>'C2-Shares'!$AJ6*100</f>
        <v>8.3164274487250243</v>
      </c>
      <c r="C9" s="627">
        <f>'C2-Shares'!$AJ25*100</f>
        <v>7.9930621197604355</v>
      </c>
      <c r="D9" s="627">
        <f>'C2-Shares'!$AJ31*100</f>
        <v>9.1767831902088375</v>
      </c>
      <c r="E9" s="623">
        <f>'C2-Shares'!$AJ35*100</f>
        <v>12.593221702492816</v>
      </c>
      <c r="F9" s="623">
        <f>'C2-Shares'!$AJ61*100</f>
        <v>18.193854994537674</v>
      </c>
      <c r="G9" s="620"/>
      <c r="H9" s="627" t="s">
        <v>646</v>
      </c>
      <c r="I9" s="628">
        <f>(C9-C6)</f>
        <v>-9.3555618391875761E-2</v>
      </c>
      <c r="J9" s="628">
        <f>(D9-D6)</f>
        <v>-5.1338414701087132E-2</v>
      </c>
      <c r="K9" s="628">
        <f>(E9-E6)</f>
        <v>-0.25002272795927105</v>
      </c>
      <c r="L9" s="628">
        <f>(F9-F6)</f>
        <v>-0.368760717723422</v>
      </c>
    </row>
    <row r="10" spans="1:18" ht="12" customHeight="1" x14ac:dyDescent="0.3">
      <c r="A10" s="626" t="s">
        <v>1646</v>
      </c>
      <c r="B10" s="623">
        <f>'C2-Shares'!$AR6*100</f>
        <v>8.3559380562637511</v>
      </c>
      <c r="C10" s="623">
        <f>'C2-Shares'!$AR25*100</f>
        <v>8.2319791453424962</v>
      </c>
      <c r="D10" s="623">
        <f>'C2-Shares'!$AR31*100</f>
        <v>9.6530190043480406</v>
      </c>
      <c r="E10" s="627" t="s">
        <v>47</v>
      </c>
      <c r="F10" s="627" t="s">
        <v>47</v>
      </c>
      <c r="G10" s="620"/>
      <c r="H10" s="627" t="s">
        <v>646</v>
      </c>
      <c r="I10" s="628">
        <f>(C10-C9)</f>
        <v>0.23891702558206074</v>
      </c>
      <c r="J10" s="628">
        <f>(D10-D9)</f>
        <v>0.47623581413920313</v>
      </c>
      <c r="K10" s="627" t="s">
        <v>47</v>
      </c>
      <c r="L10" s="627" t="s">
        <v>47</v>
      </c>
      <c r="M10" s="632"/>
      <c r="N10" s="282"/>
      <c r="O10" s="282"/>
      <c r="P10" s="282"/>
    </row>
    <row r="11" spans="1:18" ht="12" customHeight="1" x14ac:dyDescent="0.3">
      <c r="A11" s="626" t="s">
        <v>54</v>
      </c>
      <c r="B11" s="627">
        <f>'C2-Shares'!$AZ6*100</f>
        <v>8.659914054620236</v>
      </c>
      <c r="C11" s="627">
        <f>'C2-Shares'!$AZ25*100</f>
        <v>8.5604078836749231</v>
      </c>
      <c r="D11" s="627">
        <f>'C2-Shares'!$AZ31*100</f>
        <v>10.052133224533213</v>
      </c>
      <c r="E11" s="623">
        <f>'C2-Shares'!$AZ35*100</f>
        <v>12.928434453568302</v>
      </c>
      <c r="F11" s="623">
        <f>'C2-Shares'!$AZ61*100</f>
        <v>18.346745327349574</v>
      </c>
      <c r="G11" s="620"/>
      <c r="H11" s="628">
        <f>(B11-B10)</f>
        <v>0.30397599835648492</v>
      </c>
      <c r="I11" s="628">
        <f>(C11-C10)</f>
        <v>0.32842873833242692</v>
      </c>
      <c r="J11" s="628">
        <f>(D11-D10)</f>
        <v>0.39911422018517229</v>
      </c>
      <c r="K11" s="628">
        <f>(E11-E9)</f>
        <v>0.33521275107548654</v>
      </c>
      <c r="L11" s="628">
        <f>(F11-F9)</f>
        <v>0.15289033281190001</v>
      </c>
      <c r="M11" s="502"/>
      <c r="N11" s="282"/>
      <c r="O11" s="282"/>
      <c r="P11" s="282"/>
    </row>
    <row r="12" spans="1:18" ht="12" customHeight="1" x14ac:dyDescent="0.3">
      <c r="A12" s="626" t="s">
        <v>48</v>
      </c>
      <c r="B12" s="632">
        <f>'C2-Shares'!$BH6*100</f>
        <v>8.6920610846777535</v>
      </c>
      <c r="C12" s="628">
        <f>'C2-Shares'!$BH25*100</f>
        <v>8.5158943075727223</v>
      </c>
      <c r="D12" s="628">
        <f>'C2-Shares'!$BH31*100</f>
        <v>9.9253177413548048</v>
      </c>
      <c r="E12" s="628">
        <f>'C2-Shares'!$BH35*100</f>
        <v>12.748527356395023</v>
      </c>
      <c r="F12" s="628">
        <f>'C2-Shares'!$BH61*100</f>
        <v>17.830315855581862</v>
      </c>
      <c r="G12" s="620"/>
      <c r="H12" s="628">
        <f>(B12-B11)</f>
        <v>3.2147030057517512E-2</v>
      </c>
      <c r="I12" s="621" t="s">
        <v>646</v>
      </c>
      <c r="J12" s="628">
        <f t="shared" ref="J12:L13" si="0">(D12-D11)</f>
        <v>-0.12681548317840807</v>
      </c>
      <c r="K12" s="628">
        <f t="shared" si="0"/>
        <v>-0.17990709717327924</v>
      </c>
      <c r="L12" s="628">
        <f t="shared" si="0"/>
        <v>-0.51642947176771159</v>
      </c>
      <c r="M12" s="502"/>
      <c r="N12" s="282"/>
      <c r="O12" s="282"/>
      <c r="P12" s="282"/>
    </row>
    <row r="13" spans="1:18" s="502" customFormat="1" ht="12" customHeight="1" x14ac:dyDescent="0.3">
      <c r="A13" s="626" t="s">
        <v>610</v>
      </c>
      <c r="B13" s="627">
        <f>'C2-Shares'!$BP6*100</f>
        <v>7.8734821284945831</v>
      </c>
      <c r="C13" s="621">
        <f>'C2-Shares'!$BP25*100</f>
        <v>7.6073534917351289</v>
      </c>
      <c r="D13" s="621">
        <f>'C2-Shares'!$BP31*100</f>
        <v>9.2059396954319759</v>
      </c>
      <c r="E13" s="621">
        <f>'C2-Shares'!$BP35*100</f>
        <v>11.720271976048927</v>
      </c>
      <c r="F13" s="621">
        <f>'C2-Shares'!$BP61*100</f>
        <v>15.950579949102329</v>
      </c>
      <c r="G13" s="620"/>
      <c r="H13" s="628">
        <f>(B13-B12)</f>
        <v>-0.81857895618317045</v>
      </c>
      <c r="I13" s="628">
        <f>(C13-C12)</f>
        <v>-0.90854081583759339</v>
      </c>
      <c r="J13" s="628">
        <f t="shared" si="0"/>
        <v>-0.71937804592282895</v>
      </c>
      <c r="K13" s="628">
        <f t="shared" si="0"/>
        <v>-1.0282553803460956</v>
      </c>
      <c r="L13" s="628">
        <f t="shared" si="0"/>
        <v>-1.8797359064795334</v>
      </c>
      <c r="N13" s="1144"/>
      <c r="O13" s="73"/>
      <c r="P13" s="73"/>
      <c r="Q13" s="73"/>
    </row>
    <row r="14" spans="1:18" ht="12" customHeight="1" x14ac:dyDescent="0.3">
      <c r="A14" s="618" t="s">
        <v>1676</v>
      </c>
      <c r="B14" s="629">
        <f>B13</f>
        <v>7.8734821284945831</v>
      </c>
      <c r="C14" s="629">
        <f>C13</f>
        <v>7.6073534917351289</v>
      </c>
      <c r="D14" s="629">
        <f>D13</f>
        <v>9.2059396954319759</v>
      </c>
      <c r="E14" s="629">
        <f>E13</f>
        <v>11.720271976048927</v>
      </c>
      <c r="F14" s="629">
        <f>F13</f>
        <v>15.950579949102329</v>
      </c>
      <c r="G14" s="620"/>
      <c r="H14" s="629">
        <f>(B13-B$5)</f>
        <v>-1.1371011123202166</v>
      </c>
      <c r="I14" s="629">
        <f>(C13-C$5)</f>
        <v>-1.3886888114186657</v>
      </c>
      <c r="J14" s="629">
        <f>(D13-D$5)</f>
        <v>-1.8874347997505119</v>
      </c>
      <c r="K14" s="629">
        <f>(E13-E$5)</f>
        <v>-2.0930110181655124</v>
      </c>
      <c r="L14" s="629">
        <f>(F13-F$5)</f>
        <v>-4.3594200508976702</v>
      </c>
      <c r="M14" s="502"/>
      <c r="N14" s="282"/>
      <c r="O14" s="642"/>
      <c r="P14" s="642"/>
      <c r="Q14" s="642"/>
      <c r="R14" s="642"/>
    </row>
    <row r="15" spans="1:18" ht="9" customHeight="1" x14ac:dyDescent="0.3">
      <c r="A15" s="618"/>
      <c r="B15" s="628"/>
      <c r="C15" s="628"/>
      <c r="D15" s="628"/>
      <c r="E15" s="628"/>
      <c r="F15" s="628"/>
      <c r="G15" s="620"/>
      <c r="H15" s="628"/>
      <c r="I15" s="628"/>
      <c r="J15" s="628"/>
      <c r="K15" s="628"/>
      <c r="L15" s="628"/>
      <c r="M15" s="502"/>
    </row>
    <row r="16" spans="1:18" ht="12" customHeight="1" x14ac:dyDescent="0.3">
      <c r="A16" s="624" t="s">
        <v>1675</v>
      </c>
      <c r="B16" s="625"/>
      <c r="C16" s="625"/>
      <c r="D16" s="625"/>
      <c r="E16" s="625"/>
      <c r="F16" s="625"/>
      <c r="G16" s="620"/>
      <c r="H16" s="625"/>
      <c r="I16" s="625"/>
      <c r="J16" s="625"/>
      <c r="K16" s="625"/>
      <c r="L16" s="625"/>
      <c r="M16" s="502"/>
    </row>
    <row r="17" spans="1:16" s="655" customFormat="1" ht="12" customHeight="1" x14ac:dyDescent="0.3">
      <c r="A17" s="633" t="s">
        <v>1242</v>
      </c>
      <c r="B17" s="632">
        <f>'C2-Shares'!$BX6*100</f>
        <v>8.0704586205879814</v>
      </c>
      <c r="C17" s="632">
        <f>'C2-Shares'!$BX25*100</f>
        <v>7.8707776493680548</v>
      </c>
      <c r="D17" s="632">
        <f>'C2-Shares'!$BX31*100</f>
        <v>9.4706504083872343</v>
      </c>
      <c r="E17" s="632">
        <f>'C2-Shares'!$BX35*100</f>
        <v>12.016591313348901</v>
      </c>
      <c r="F17" s="632">
        <f>'C2-Shares'!$BX61*100</f>
        <v>16.138985475804709</v>
      </c>
      <c r="G17" s="634"/>
      <c r="H17" s="632">
        <f>(B17-B13)</f>
        <v>0.19697649209339829</v>
      </c>
      <c r="I17" s="632">
        <f>(C17-C13)</f>
        <v>0.26342415763292593</v>
      </c>
      <c r="J17" s="632">
        <f>(D17-D13)</f>
        <v>0.26471071295525839</v>
      </c>
      <c r="K17" s="632">
        <f>(E17-E13)</f>
        <v>0.29631933729997328</v>
      </c>
      <c r="L17" s="632">
        <f>(F17-F13)</f>
        <v>0.18840552670238075</v>
      </c>
    </row>
    <row r="18" spans="1:16" ht="12" customHeight="1" x14ac:dyDescent="0.3">
      <c r="A18" s="633" t="s">
        <v>1002</v>
      </c>
      <c r="B18" s="632">
        <f>'C2-Shares'!$CF6*100</f>
        <v>10.435240750969214</v>
      </c>
      <c r="C18" s="632">
        <f>'C2-Shares'!$CF25*100</f>
        <v>9.6934529540592802</v>
      </c>
      <c r="D18" s="632">
        <f>'C2-Shares'!$CF31*100</f>
        <v>10.469377555600335</v>
      </c>
      <c r="E18" s="632">
        <f>'C2-Shares'!$CF35*100</f>
        <v>12.39953711916988</v>
      </c>
      <c r="F18" s="632">
        <f>'C2-Shares'!$CF61*100</f>
        <v>16.77935416418994</v>
      </c>
      <c r="G18" s="634"/>
      <c r="H18" s="632">
        <f>(B18-B17)</f>
        <v>2.3647821303812329</v>
      </c>
      <c r="I18" s="632">
        <f>(C18-C17)</f>
        <v>1.8226753046912254</v>
      </c>
      <c r="J18" s="632">
        <f>(D18-D17)</f>
        <v>0.99872714721310096</v>
      </c>
      <c r="K18" s="632">
        <f>(E18-E17)</f>
        <v>0.38294580582097915</v>
      </c>
      <c r="L18" s="632">
        <f>(F18-F17)</f>
        <v>0.6403686883852302</v>
      </c>
      <c r="M18" s="502"/>
      <c r="N18" s="282"/>
      <c r="O18" s="282"/>
      <c r="P18" s="282"/>
    </row>
    <row r="19" spans="1:16" ht="12" customHeight="1" x14ac:dyDescent="0.3">
      <c r="A19" s="633" t="s">
        <v>1003</v>
      </c>
      <c r="B19" s="628">
        <f>'C2-Shares'!$CN6*100</f>
        <v>11.794533236698555</v>
      </c>
      <c r="C19" s="628">
        <f>'C2-Shares'!$CN25*100</f>
        <v>10.113620088012711</v>
      </c>
      <c r="D19" s="628">
        <f>'C2-Shares'!$CN31*100</f>
        <v>10.585544214633977</v>
      </c>
      <c r="E19" s="628">
        <f>'C2-Shares'!$CN35*100</f>
        <v>12.484364437238799</v>
      </c>
      <c r="F19" s="628">
        <f>'C2-Shares'!$CN61*100</f>
        <v>16.95279361113143</v>
      </c>
      <c r="G19" s="620"/>
      <c r="H19" s="632">
        <f t="shared" ref="H19:J25" si="1">(B19-B18)</f>
        <v>1.3592924857293411</v>
      </c>
      <c r="I19" s="632">
        <f t="shared" si="1"/>
        <v>0.42016713395343075</v>
      </c>
      <c r="J19" s="632">
        <f t="shared" si="1"/>
        <v>0.11616665903364165</v>
      </c>
      <c r="K19" s="632">
        <f>(E19-E18)</f>
        <v>8.4827318068919411E-2</v>
      </c>
      <c r="L19" s="632">
        <f>(F19-F18)</f>
        <v>0.17343944694149016</v>
      </c>
      <c r="M19" s="642"/>
      <c r="N19" s="282"/>
      <c r="O19" s="282"/>
      <c r="P19" s="579"/>
    </row>
    <row r="20" spans="1:16" s="502" customFormat="1" ht="12" customHeight="1" x14ac:dyDescent="0.3">
      <c r="A20" s="633" t="s">
        <v>616</v>
      </c>
      <c r="B20" s="628">
        <f>'C2-Shares'!$CV$6*100</f>
        <v>12.401863814167411</v>
      </c>
      <c r="C20" s="628">
        <f>'C2-Shares'!$CV$25*100</f>
        <v>10.287394467842951</v>
      </c>
      <c r="D20" s="628">
        <f>'C2-Shares'!$CV$31*100</f>
        <v>10.736688953001819</v>
      </c>
      <c r="E20" s="628">
        <f>'C2-Shares'!$CV$35*100</f>
        <v>12.646083304457825</v>
      </c>
      <c r="F20" s="628">
        <f>'C2-Shares'!$CV$61*100</f>
        <v>17.212117233096961</v>
      </c>
      <c r="G20" s="620"/>
      <c r="H20" s="632">
        <f t="shared" si="1"/>
        <v>0.60733057746885599</v>
      </c>
      <c r="I20" s="632">
        <f t="shared" si="1"/>
        <v>0.17377437983024002</v>
      </c>
      <c r="J20" s="632">
        <f t="shared" si="1"/>
        <v>0.15114473836784192</v>
      </c>
      <c r="K20" s="632">
        <f t="shared" ref="K20:L25" si="2">(E20-E19)</f>
        <v>0.16171886721902595</v>
      </c>
      <c r="L20" s="632">
        <f>(F20-F19)</f>
        <v>0.25932362196553171</v>
      </c>
      <c r="N20" s="282"/>
      <c r="O20" s="282"/>
      <c r="P20" s="282"/>
    </row>
    <row r="21" spans="1:16" s="655" customFormat="1" ht="12" customHeight="1" x14ac:dyDescent="0.3">
      <c r="A21" s="638" t="s">
        <v>934</v>
      </c>
      <c r="B21" s="628">
        <f>'C2-Shares'!$DD$6*100</f>
        <v>12.48981585719376</v>
      </c>
      <c r="C21" s="628">
        <f>'C2-Shares'!$DD$25*100</f>
        <v>10.838534139735504</v>
      </c>
      <c r="D21" s="628">
        <f>'C2-Shares'!$DD$31*100</f>
        <v>11.07108230385955</v>
      </c>
      <c r="E21" s="628">
        <f>'C2-Shares'!$DD$35*100</f>
        <v>13.074973120255532</v>
      </c>
      <c r="F21" s="628">
        <f>'C2-Shares'!$DD$61*100</f>
        <v>17.226577574121222</v>
      </c>
      <c r="G21" s="620"/>
      <c r="H21" s="632">
        <f t="shared" si="1"/>
        <v>8.7952043026348292E-2</v>
      </c>
      <c r="I21" s="632">
        <f t="shared" si="1"/>
        <v>0.5511396718925532</v>
      </c>
      <c r="J21" s="632">
        <f t="shared" si="1"/>
        <v>0.33439335085773081</v>
      </c>
      <c r="K21" s="632">
        <f t="shared" si="2"/>
        <v>0.42888981579770658</v>
      </c>
      <c r="L21" s="621" t="s">
        <v>646</v>
      </c>
      <c r="N21" s="642"/>
      <c r="O21" s="642"/>
      <c r="P21" s="642"/>
    </row>
    <row r="22" spans="1:16" s="655" customFormat="1" ht="12" customHeight="1" x14ac:dyDescent="0.3">
      <c r="A22" s="638" t="s">
        <v>1117</v>
      </c>
      <c r="B22" s="628">
        <f>'C2-Shares'!$DL$6*100</f>
        <v>12.450748523691885</v>
      </c>
      <c r="C22" s="628">
        <f>'C2-Shares'!$DL$25*100</f>
        <v>11.005138248110391</v>
      </c>
      <c r="D22" s="628">
        <f>'C2-Shares'!$DL$31*100</f>
        <v>11.211640252070763</v>
      </c>
      <c r="E22" s="628">
        <f>'C2-Shares'!$DL$35*100</f>
        <v>12.985555276198818</v>
      </c>
      <c r="F22" s="628">
        <f>'C2-Shares'!$DL$61*100</f>
        <v>16.431581664292171</v>
      </c>
      <c r="G22" s="620"/>
      <c r="H22" s="621" t="s">
        <v>646</v>
      </c>
      <c r="I22" s="632">
        <f>(C22-C21)</f>
        <v>0.16660410837488726</v>
      </c>
      <c r="J22" s="632">
        <f>(D22-D21)</f>
        <v>0.14055794821121381</v>
      </c>
      <c r="K22" s="632">
        <f>(E22-E21)</f>
        <v>-8.9417844056713491E-2</v>
      </c>
      <c r="L22" s="632">
        <f>(F22-F21)</f>
        <v>-0.79499590982905133</v>
      </c>
      <c r="N22" s="642"/>
      <c r="O22" s="642"/>
      <c r="P22" s="642"/>
    </row>
    <row r="23" spans="1:16" s="502" customFormat="1" ht="12" customHeight="1" x14ac:dyDescent="0.3">
      <c r="A23" s="626" t="s">
        <v>1004</v>
      </c>
      <c r="B23" s="621">
        <f>'C2-Shares'!DT6*100</f>
        <v>12.23245972428688</v>
      </c>
      <c r="C23" s="621">
        <f>'C2-Shares'!DT25*100</f>
        <v>10.856822793366703</v>
      </c>
      <c r="D23" s="621">
        <f>'C2-Shares'!DT31*100</f>
        <v>11.117036381001354</v>
      </c>
      <c r="E23" s="621">
        <f>'C2-Shares'!DT35*100</f>
        <v>12.837367767431751</v>
      </c>
      <c r="F23" s="621">
        <f>'C2-Shares'!DT61*100</f>
        <v>16.081478858004196</v>
      </c>
      <c r="G23" s="620"/>
      <c r="H23" s="632">
        <f t="shared" si="1"/>
        <v>-0.21828879940500556</v>
      </c>
      <c r="I23" s="632">
        <f t="shared" si="1"/>
        <v>-0.14831545474368824</v>
      </c>
      <c r="J23" s="632">
        <f t="shared" si="1"/>
        <v>-9.4603871069409706E-2</v>
      </c>
      <c r="K23" s="632">
        <f t="shared" si="2"/>
        <v>-0.14818750876706765</v>
      </c>
      <c r="L23" s="632">
        <f t="shared" si="2"/>
        <v>-0.35010280628797474</v>
      </c>
      <c r="M23" s="24"/>
      <c r="N23" s="282"/>
      <c r="O23" s="282"/>
      <c r="P23" s="282"/>
    </row>
    <row r="24" spans="1:16" ht="12" customHeight="1" x14ac:dyDescent="0.3">
      <c r="A24" s="633" t="s">
        <v>1005</v>
      </c>
      <c r="B24" s="621">
        <f>'C2-Shares'!$EB6*100</f>
        <v>11.98934178011535</v>
      </c>
      <c r="C24" s="621">
        <f>'C2-Shares'!$EB25*100</f>
        <v>10.445225539328076</v>
      </c>
      <c r="D24" s="621">
        <f>'C2-Shares'!$EB31*100</f>
        <v>10.644135012026261</v>
      </c>
      <c r="E24" s="621">
        <f>'C2-Shares'!$EB35*100</f>
        <v>12.297314097262278</v>
      </c>
      <c r="F24" s="621">
        <f>'C2-Shares'!$EB61*100</f>
        <v>15.540986235786633</v>
      </c>
      <c r="G24" s="620"/>
      <c r="H24" s="632">
        <f t="shared" si="1"/>
        <v>-0.2431179441715301</v>
      </c>
      <c r="I24" s="632">
        <f t="shared" si="1"/>
        <v>-0.41159725403862701</v>
      </c>
      <c r="J24" s="632">
        <f t="shared" si="1"/>
        <v>-0.4729013689750925</v>
      </c>
      <c r="K24" s="632">
        <f t="shared" si="2"/>
        <v>-0.54005367016947226</v>
      </c>
      <c r="L24" s="632">
        <f t="shared" si="2"/>
        <v>-0.54049262221756322</v>
      </c>
      <c r="M24" s="502"/>
      <c r="N24" s="282"/>
      <c r="O24" s="282"/>
      <c r="P24" s="282"/>
    </row>
    <row r="25" spans="1:16" ht="12" customHeight="1" x14ac:dyDescent="0.3">
      <c r="A25" s="626" t="s">
        <v>1100</v>
      </c>
      <c r="B25" s="621">
        <f>'C2-Shares'!$EJ6*100</f>
        <v>11.847203583538562</v>
      </c>
      <c r="C25" s="621">
        <f>'C2-Shares'!$EJ25*100</f>
        <v>10.119041864391338</v>
      </c>
      <c r="D25" s="621">
        <f>'C2-Shares'!$EJ31*100</f>
        <v>10.263329476742744</v>
      </c>
      <c r="E25" s="621">
        <f>'C2-Shares'!$EJ35*100</f>
        <v>11.781695389276747</v>
      </c>
      <c r="F25" s="621">
        <f>'C2-Shares'!$EJ61*100</f>
        <v>14.772678602813642</v>
      </c>
      <c r="G25" s="620"/>
      <c r="H25" s="632">
        <f t="shared" si="1"/>
        <v>-0.14213819657678783</v>
      </c>
      <c r="I25" s="632">
        <f t="shared" si="1"/>
        <v>-0.32618367493673794</v>
      </c>
      <c r="J25" s="632">
        <f t="shared" si="1"/>
        <v>-0.38080553528351757</v>
      </c>
      <c r="K25" s="632">
        <f t="shared" si="2"/>
        <v>-0.51561870798553144</v>
      </c>
      <c r="L25" s="632">
        <f t="shared" si="2"/>
        <v>-0.76830763297299143</v>
      </c>
      <c r="M25" s="502"/>
      <c r="N25" s="282"/>
      <c r="O25" s="282"/>
      <c r="P25" s="282"/>
    </row>
    <row r="26" spans="1:16" s="879" customFormat="1" ht="12" customHeight="1" x14ac:dyDescent="0.3">
      <c r="A26" s="626" t="s">
        <v>1481</v>
      </c>
      <c r="B26" s="621">
        <f>'C2-Shares'!$ER6*100</f>
        <v>11.958385844368358</v>
      </c>
      <c r="C26" s="621">
        <f>'C2-Shares'!$ER25*100</f>
        <v>10.293276583955745</v>
      </c>
      <c r="D26" s="621">
        <f>'C2-Shares'!$ER31*100</f>
        <v>10.52862906639908</v>
      </c>
      <c r="E26" s="621">
        <f>'C2-Shares'!$ER35*100</f>
        <v>12.072417831854674</v>
      </c>
      <c r="F26" s="621">
        <f>'C2-Shares'!$ER61*100</f>
        <v>15.101607404494292</v>
      </c>
      <c r="G26" s="620"/>
      <c r="H26" s="632">
        <f t="shared" ref="H26:L27" si="3">(B26-B25)</f>
        <v>0.11118226082979632</v>
      </c>
      <c r="I26" s="632">
        <f t="shared" si="3"/>
        <v>0.1742347195644065</v>
      </c>
      <c r="J26" s="632">
        <f t="shared" si="3"/>
        <v>0.26529958965633682</v>
      </c>
      <c r="K26" s="632">
        <f t="shared" si="3"/>
        <v>0.2907224425779269</v>
      </c>
      <c r="L26" s="632">
        <f t="shared" si="3"/>
        <v>0.3289288016806502</v>
      </c>
      <c r="N26" s="642"/>
      <c r="O26" s="642"/>
      <c r="P26" s="642"/>
    </row>
    <row r="27" spans="1:16" s="879" customFormat="1" ht="12" customHeight="1" x14ac:dyDescent="0.3">
      <c r="A27" s="626" t="s">
        <v>1473</v>
      </c>
      <c r="B27" s="621">
        <f>'C2-Shares'!$EZ6*100</f>
        <v>11.03860864630547</v>
      </c>
      <c r="C27" s="621">
        <f>'C2-Shares'!$EZ25*100</f>
        <v>9.489998679223719</v>
      </c>
      <c r="D27" s="621">
        <f>'C2-Shares'!$EZ31*100</f>
        <v>9.5622856413381037</v>
      </c>
      <c r="E27" s="621">
        <f>'C2-Shares'!$EZ35*100</f>
        <v>11.126510038595104</v>
      </c>
      <c r="F27" s="621">
        <f>'C2-Shares'!$EZ61*100</f>
        <v>14.118367565625729</v>
      </c>
      <c r="G27" s="620"/>
      <c r="H27" s="632">
        <f t="shared" si="3"/>
        <v>-0.9197771980628886</v>
      </c>
      <c r="I27" s="632">
        <f t="shared" si="3"/>
        <v>-0.80327790473202576</v>
      </c>
      <c r="J27" s="632">
        <f t="shared" si="3"/>
        <v>-0.96634342506097681</v>
      </c>
      <c r="K27" s="632">
        <f t="shared" si="3"/>
        <v>-0.94590779325957008</v>
      </c>
      <c r="L27" s="632">
        <f t="shared" si="3"/>
        <v>-0.98323983886856325</v>
      </c>
      <c r="N27" s="642"/>
      <c r="O27" s="642"/>
      <c r="P27" s="642"/>
    </row>
    <row r="28" spans="1:16" ht="12.75" customHeight="1" x14ac:dyDescent="0.3">
      <c r="A28" s="967" t="s">
        <v>1472</v>
      </c>
      <c r="B28" s="968">
        <f>B27</f>
        <v>11.03860864630547</v>
      </c>
      <c r="C28" s="968">
        <f>C27</f>
        <v>9.489998679223719</v>
      </c>
      <c r="D28" s="968">
        <f>D27</f>
        <v>9.5622856413381037</v>
      </c>
      <c r="E28" s="968">
        <f>E27</f>
        <v>11.126510038595104</v>
      </c>
      <c r="F28" s="968">
        <f>F27</f>
        <v>14.118367565625729</v>
      </c>
      <c r="G28" s="969"/>
      <c r="H28" s="759">
        <f>(B27-B$5)</f>
        <v>2.0280254054906699</v>
      </c>
      <c r="I28" s="759">
        <f>(C27-C$5)</f>
        <v>0.49395637606992437</v>
      </c>
      <c r="J28" s="759">
        <f>(D27-D$5)</f>
        <v>-1.5310888538443841</v>
      </c>
      <c r="K28" s="759">
        <f>(E27-E$5)</f>
        <v>-2.686772955619336</v>
      </c>
      <c r="L28" s="759">
        <f>(F27-F$5)</f>
        <v>-6.1916324343742701</v>
      </c>
      <c r="M28" s="502"/>
      <c r="N28" s="642"/>
    </row>
    <row r="29" spans="1:16" s="24" customFormat="1" ht="10.5" customHeight="1" x14ac:dyDescent="0.3">
      <c r="A29" s="715"/>
      <c r="B29" s="637"/>
      <c r="C29" s="632"/>
      <c r="D29" s="632"/>
      <c r="E29" s="632"/>
      <c r="F29" s="632"/>
      <c r="G29" s="634"/>
      <c r="H29" s="632"/>
      <c r="I29" s="632"/>
      <c r="J29" s="632"/>
      <c r="K29" s="632"/>
      <c r="L29" s="632"/>
    </row>
    <row r="30" spans="1:16" ht="40.5" customHeight="1" x14ac:dyDescent="0.3">
      <c r="A30" s="1362" t="s">
        <v>1677</v>
      </c>
      <c r="B30" s="1362"/>
      <c r="C30" s="1362"/>
      <c r="D30" s="1362"/>
      <c r="E30" s="1362"/>
      <c r="F30" s="1362"/>
      <c r="G30" s="1362"/>
      <c r="H30" s="1362"/>
      <c r="I30" s="1362"/>
      <c r="J30" s="1362"/>
      <c r="K30" s="1362"/>
      <c r="L30" s="1362"/>
    </row>
    <row r="31" spans="1:16" x14ac:dyDescent="0.3">
      <c r="A31" s="203" t="s">
        <v>1659</v>
      </c>
    </row>
    <row r="33" spans="1:9" x14ac:dyDescent="0.3">
      <c r="B33" s="579"/>
    </row>
    <row r="34" spans="1:9" s="1011" customFormat="1" x14ac:dyDescent="0.3">
      <c r="B34" s="1312"/>
    </row>
    <row r="35" spans="1:9" x14ac:dyDescent="0.3">
      <c r="A35" s="1281"/>
      <c r="B35" s="642"/>
      <c r="C35" s="1281"/>
      <c r="D35" s="1281"/>
      <c r="E35" s="1281"/>
      <c r="F35" s="1011"/>
      <c r="G35" s="1011"/>
      <c r="H35" s="1011"/>
      <c r="I35" s="1011"/>
    </row>
    <row r="36" spans="1:9" x14ac:dyDescent="0.3">
      <c r="A36" s="1281"/>
      <c r="B36" s="642"/>
      <c r="C36" s="1281"/>
      <c r="D36" s="1281"/>
      <c r="E36" s="1281"/>
      <c r="F36" s="1281"/>
      <c r="G36" s="1011"/>
      <c r="H36" s="1011"/>
      <c r="I36" s="1011"/>
    </row>
    <row r="37" spans="1:9" x14ac:dyDescent="0.3">
      <c r="A37" s="1281"/>
      <c r="B37" s="1281"/>
      <c r="C37" s="1281"/>
      <c r="D37" s="1281"/>
      <c r="E37" s="1281"/>
      <c r="F37" s="1281"/>
    </row>
    <row r="38" spans="1:9" x14ac:dyDescent="0.3">
      <c r="A38" s="1281"/>
      <c r="B38" s="1281"/>
      <c r="C38" s="1281"/>
      <c r="D38" s="1281"/>
      <c r="E38" s="1281"/>
      <c r="F38" s="1281"/>
    </row>
    <row r="39" spans="1:9" x14ac:dyDescent="0.3">
      <c r="A39" s="1281"/>
      <c r="B39" s="1281"/>
      <c r="C39" s="1281"/>
      <c r="D39" s="1281"/>
      <c r="E39" s="1281"/>
      <c r="F39" s="1281"/>
    </row>
    <row r="40" spans="1:9" x14ac:dyDescent="0.3">
      <c r="A40" s="1281"/>
      <c r="B40" s="1281"/>
      <c r="C40" s="1281"/>
      <c r="D40" s="1281"/>
      <c r="E40" s="1281"/>
      <c r="F40" s="1281"/>
    </row>
    <row r="41" spans="1:9" x14ac:dyDescent="0.3">
      <c r="A41" s="1281"/>
      <c r="B41" s="1281"/>
      <c r="C41" s="1281"/>
      <c r="D41" s="1281"/>
      <c r="E41" s="1281"/>
      <c r="F41" s="1281"/>
    </row>
    <row r="42" spans="1:9" x14ac:dyDescent="0.3">
      <c r="A42" s="1281"/>
      <c r="B42" s="1281"/>
      <c r="C42" s="1281"/>
      <c r="D42" s="1281"/>
      <c r="E42" s="1281"/>
      <c r="F42" s="1281"/>
    </row>
  </sheetData>
  <mergeCells count="4">
    <mergeCell ref="A3:A4"/>
    <mergeCell ref="B3:F3"/>
    <mergeCell ref="H3:L3"/>
    <mergeCell ref="A30:L30"/>
  </mergeCells>
  <hyperlinks>
    <hyperlink ref="L1" location="Index!A1" display="Index"/>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tint="0.59999389629810485"/>
  </sheetPr>
  <dimension ref="A1:Q33"/>
  <sheetViews>
    <sheetView workbookViewId="0"/>
  </sheetViews>
  <sheetFormatPr defaultColWidth="9.109375" defaultRowHeight="14.4" x14ac:dyDescent="0.3"/>
  <cols>
    <col min="1" max="1" width="27.44140625" style="414" customWidth="1"/>
    <col min="2" max="6" width="5" style="414" customWidth="1"/>
    <col min="7" max="7" width="1.44140625" style="414" customWidth="1"/>
    <col min="8" max="12" width="5.21875" style="414" customWidth="1"/>
    <col min="13" max="13" width="12.88671875" style="414" customWidth="1"/>
    <col min="14" max="16384" width="9.109375" style="414"/>
  </cols>
  <sheetData>
    <row r="1" spans="1:17" ht="15.6" x14ac:dyDescent="0.3">
      <c r="A1" s="202" t="s">
        <v>1471</v>
      </c>
      <c r="O1" s="462" t="s">
        <v>504</v>
      </c>
    </row>
    <row r="2" spans="1:17" ht="15" thickBot="1" x14ac:dyDescent="0.35">
      <c r="A2" s="124"/>
      <c r="B2" s="502"/>
      <c r="C2" s="502"/>
      <c r="D2" s="502"/>
      <c r="E2" s="502"/>
      <c r="F2" s="502"/>
      <c r="G2" s="502"/>
      <c r="H2" s="502"/>
      <c r="I2" s="502"/>
      <c r="J2" s="502"/>
      <c r="K2" s="502"/>
      <c r="L2" s="502"/>
    </row>
    <row r="3" spans="1:17" ht="13.5" customHeight="1" thickTop="1" x14ac:dyDescent="0.3">
      <c r="A3" s="1359" t="s">
        <v>49</v>
      </c>
      <c r="B3" s="1361" t="s">
        <v>647</v>
      </c>
      <c r="C3" s="1361"/>
      <c r="D3" s="1361"/>
      <c r="E3" s="1361"/>
      <c r="F3" s="1361"/>
      <c r="G3" s="407"/>
      <c r="H3" s="1361" t="s">
        <v>648</v>
      </c>
      <c r="I3" s="1361"/>
      <c r="J3" s="1361"/>
      <c r="K3" s="1361"/>
      <c r="L3" s="1361"/>
    </row>
    <row r="4" spans="1:17" ht="12" customHeight="1" x14ac:dyDescent="0.3">
      <c r="A4" s="1360"/>
      <c r="B4" s="580">
        <v>1960</v>
      </c>
      <c r="C4" s="580">
        <v>1979</v>
      </c>
      <c r="D4" s="580">
        <v>1985</v>
      </c>
      <c r="E4" s="580">
        <v>1989</v>
      </c>
      <c r="F4" s="580">
        <v>2015</v>
      </c>
      <c r="G4" s="41"/>
      <c r="H4" s="580">
        <v>1960</v>
      </c>
      <c r="I4" s="580">
        <v>1979</v>
      </c>
      <c r="J4" s="580">
        <v>1985</v>
      </c>
      <c r="K4" s="580">
        <v>1989</v>
      </c>
      <c r="L4" s="580">
        <v>2015</v>
      </c>
    </row>
    <row r="5" spans="1:17" ht="15" customHeight="1" x14ac:dyDescent="0.3">
      <c r="A5" s="618" t="s">
        <v>1116</v>
      </c>
      <c r="B5" s="619">
        <f>'T-1'!B28</f>
        <v>11.03860864630547</v>
      </c>
      <c r="C5" s="619">
        <f>'T-1'!C28</f>
        <v>9.489998679223719</v>
      </c>
      <c r="D5" s="619">
        <f>'T-1'!D28</f>
        <v>9.5622856413381037</v>
      </c>
      <c r="E5" s="619">
        <f>'T-1'!E28</f>
        <v>11.126510038595104</v>
      </c>
      <c r="F5" s="619">
        <f>'T-1'!F28</f>
        <v>14.118367565625729</v>
      </c>
      <c r="G5" s="620"/>
      <c r="H5" s="621" t="s">
        <v>47</v>
      </c>
      <c r="I5" s="621" t="s">
        <v>47</v>
      </c>
      <c r="J5" s="621" t="s">
        <v>47</v>
      </c>
      <c r="K5" s="621" t="s">
        <v>47</v>
      </c>
      <c r="L5" s="621" t="s">
        <v>47</v>
      </c>
    </row>
    <row r="6" spans="1:17" ht="8.25" customHeight="1" x14ac:dyDescent="0.3">
      <c r="A6" s="622"/>
      <c r="B6" s="623"/>
      <c r="C6" s="623"/>
      <c r="D6" s="623"/>
      <c r="E6" s="623"/>
      <c r="F6" s="623"/>
      <c r="G6" s="620"/>
      <c r="H6" s="623"/>
      <c r="I6" s="623"/>
      <c r="J6" s="623"/>
      <c r="K6" s="623"/>
      <c r="L6" s="623"/>
    </row>
    <row r="7" spans="1:17" s="879" customFormat="1" ht="11.25" customHeight="1" x14ac:dyDescent="0.3">
      <c r="A7" s="1363" t="s">
        <v>1536</v>
      </c>
      <c r="B7" s="1363"/>
      <c r="C7" s="1363"/>
      <c r="D7" s="1363"/>
      <c r="E7" s="714"/>
      <c r="F7" s="714"/>
      <c r="G7" s="634"/>
      <c r="H7" s="714"/>
      <c r="I7" s="714"/>
      <c r="J7" s="714"/>
      <c r="K7" s="714"/>
      <c r="L7" s="714"/>
    </row>
    <row r="8" spans="1:17" s="879" customFormat="1" ht="11.25" customHeight="1" x14ac:dyDescent="0.3">
      <c r="A8" s="638" t="s">
        <v>1639</v>
      </c>
      <c r="B8" s="621">
        <f>'C2-Shares'!$FH$6*100</f>
        <v>10.803048045492174</v>
      </c>
      <c r="C8" s="621">
        <f>'C2-Shares'!$FH$25*100</f>
        <v>9.1168530579304345</v>
      </c>
      <c r="D8" s="621">
        <f>'C2-Shares'!$FH$31*100</f>
        <v>9.1857017074527665</v>
      </c>
      <c r="E8" s="621">
        <f>'C2-Shares'!$FH$35*100</f>
        <v>10.680742152294616</v>
      </c>
      <c r="F8" s="621">
        <f>'C2-Shares'!$FH$61*100</f>
        <v>13.438787882080966</v>
      </c>
      <c r="G8" s="634"/>
      <c r="H8" s="632">
        <f>(B8-B5)</f>
        <v>-0.23556060081329555</v>
      </c>
      <c r="I8" s="632">
        <f>(C8-C5)</f>
        <v>-0.37314562129328444</v>
      </c>
      <c r="J8" s="632">
        <f>(D8-D5)</f>
        <v>-0.37658393388533717</v>
      </c>
      <c r="K8" s="632">
        <f>(E8-E5)</f>
        <v>-0.44576788630048725</v>
      </c>
      <c r="L8" s="632">
        <f>(F8-F5)</f>
        <v>-0.6795796835447625</v>
      </c>
    </row>
    <row r="9" spans="1:17" s="879" customFormat="1" ht="11.25" customHeight="1" x14ac:dyDescent="0.3">
      <c r="A9" s="638" t="s">
        <v>1640</v>
      </c>
      <c r="B9" s="632">
        <f>'C2-Shares'!$FP$6*100</f>
        <v>10.736182864418552</v>
      </c>
      <c r="C9" s="632">
        <f>'C2-Shares'!$FP$25*100</f>
        <v>9.079704405104243</v>
      </c>
      <c r="D9" s="632">
        <f>'C2-Shares'!$FP$31*100</f>
        <v>9.1488157181362197</v>
      </c>
      <c r="E9" s="632">
        <f>'C2-Shares'!$FP$35*100</f>
        <v>10.650089406451649</v>
      </c>
      <c r="F9" s="632">
        <f>'C2-Shares'!$FP$61*100</f>
        <v>13.413385193375246</v>
      </c>
      <c r="G9" s="634"/>
      <c r="H9" s="632">
        <f>(B9-B8)</f>
        <v>-6.6865181073621827E-2</v>
      </c>
      <c r="I9" s="632" t="s">
        <v>646</v>
      </c>
      <c r="J9" s="632" t="s">
        <v>646</v>
      </c>
      <c r="K9" s="632" t="s">
        <v>646</v>
      </c>
      <c r="L9" s="632" t="s">
        <v>646</v>
      </c>
    </row>
    <row r="10" spans="1:17" s="879" customFormat="1" ht="11.25" customHeight="1" x14ac:dyDescent="0.3">
      <c r="A10" s="638" t="s">
        <v>1103</v>
      </c>
      <c r="B10" s="632">
        <f>'C2-Shares'!$FX$6*100</f>
        <v>10.577661071085744</v>
      </c>
      <c r="C10" s="632">
        <f>'C2-Shares'!$FX$25*100</f>
        <v>8.9471767279954975</v>
      </c>
      <c r="D10" s="632">
        <f>'C2-Shares'!$FX$31*100</f>
        <v>9.0360956989681362</v>
      </c>
      <c r="E10" s="632">
        <f>'C2-Shares'!$FX$35*100</f>
        <v>10.518437939162851</v>
      </c>
      <c r="F10" s="632">
        <f>'C2-Shares'!$FX$61*100</f>
        <v>13.171746776085341</v>
      </c>
      <c r="G10" s="634"/>
      <c r="H10" s="632">
        <f>(B10-B9)</f>
        <v>-0.1585217933328078</v>
      </c>
      <c r="I10" s="632">
        <f t="shared" ref="I10:K12" si="0">(C10-C9)</f>
        <v>-0.13252767710874558</v>
      </c>
      <c r="J10" s="632">
        <f t="shared" si="0"/>
        <v>-0.1127200191680835</v>
      </c>
      <c r="K10" s="632">
        <f t="shared" si="0"/>
        <v>-0.13165146728879762</v>
      </c>
      <c r="L10" s="632">
        <f>(F10-F9)</f>
        <v>-0.24163841728990576</v>
      </c>
    </row>
    <row r="11" spans="1:17" s="879" customFormat="1" ht="11.25" customHeight="1" x14ac:dyDescent="0.3">
      <c r="A11" s="638" t="s">
        <v>374</v>
      </c>
      <c r="B11" s="621" t="s">
        <v>47</v>
      </c>
      <c r="C11" s="632">
        <f>'C2-Shares'!$GG$25*100</f>
        <v>8.8485439997729252</v>
      </c>
      <c r="D11" s="632">
        <f>'C2-Shares'!$GG$31*100</f>
        <v>8.8966401124973782</v>
      </c>
      <c r="E11" s="632">
        <f>'C2-Shares'!$GG$35*100</f>
        <v>10.348182102769574</v>
      </c>
      <c r="F11" s="632">
        <f>'C2-Shares'!$GG$61*100</f>
        <v>12.763065527731021</v>
      </c>
      <c r="G11" s="634"/>
      <c r="H11" s="621" t="s">
        <v>47</v>
      </c>
      <c r="I11" s="632">
        <f t="shared" si="0"/>
        <v>-9.8632728222572297E-2</v>
      </c>
      <c r="J11" s="632">
        <f t="shared" si="0"/>
        <v>-0.13945558647075806</v>
      </c>
      <c r="K11" s="632">
        <f t="shared" si="0"/>
        <v>-0.17025583639327735</v>
      </c>
      <c r="L11" s="632">
        <f>(F11-F10)</f>
        <v>-0.40868124835431985</v>
      </c>
    </row>
    <row r="12" spans="1:17" s="879" customFormat="1" ht="11.25" customHeight="1" x14ac:dyDescent="0.3">
      <c r="A12" s="638" t="s">
        <v>1007</v>
      </c>
      <c r="B12" s="632">
        <f>'C2-Shares'!$GO$6*100</f>
        <v>10.547561256553752</v>
      </c>
      <c r="C12" s="632">
        <f>'C2-Shares'!$GO$25*100</f>
        <v>8.6903574030698998</v>
      </c>
      <c r="D12" s="632">
        <f>'C2-Shares'!$GO$31*100</f>
        <v>8.7272923610391118</v>
      </c>
      <c r="E12" s="632">
        <f>'C2-Shares'!$GO$35*100</f>
        <v>10.133937109209022</v>
      </c>
      <c r="F12" s="632">
        <f>'C2-Shares'!$GO$61*100</f>
        <v>12.226367697635226</v>
      </c>
      <c r="G12" s="634"/>
      <c r="H12" s="632" t="s">
        <v>646</v>
      </c>
      <c r="I12" s="632">
        <f>(C12-C11)</f>
        <v>-0.15818659670302537</v>
      </c>
      <c r="J12" s="632">
        <f t="shared" si="0"/>
        <v>-0.16934775145826642</v>
      </c>
      <c r="K12" s="632">
        <f t="shared" si="0"/>
        <v>-0.21424499356055193</v>
      </c>
      <c r="L12" s="632">
        <f>(F12-F11)</f>
        <v>-0.53669783009579497</v>
      </c>
      <c r="M12" s="579"/>
      <c r="N12" s="579"/>
      <c r="O12" s="579"/>
      <c r="P12" s="579"/>
      <c r="Q12" s="579"/>
    </row>
    <row r="13" spans="1:17" s="879" customFormat="1" ht="27" customHeight="1" x14ac:dyDescent="0.3">
      <c r="A13" s="618" t="s">
        <v>1516</v>
      </c>
      <c r="B13" s="717">
        <f>B12</f>
        <v>10.547561256553752</v>
      </c>
      <c r="C13" s="717">
        <f>C12</f>
        <v>8.6903574030698998</v>
      </c>
      <c r="D13" s="717">
        <f>D12</f>
        <v>8.7272923610391118</v>
      </c>
      <c r="E13" s="717">
        <f>E12</f>
        <v>10.133937109209022</v>
      </c>
      <c r="F13" s="717">
        <f>F12</f>
        <v>12.226367697635226</v>
      </c>
      <c r="G13" s="964"/>
      <c r="H13" s="717">
        <f>(B12-B$5)</f>
        <v>-0.49104738975171713</v>
      </c>
      <c r="I13" s="717">
        <f>(C12-C$5)</f>
        <v>-0.79964127615381919</v>
      </c>
      <c r="J13" s="717">
        <f>(D12-D$5)</f>
        <v>-0.83499328029899189</v>
      </c>
      <c r="K13" s="717">
        <f>(E12-E$5)</f>
        <v>-0.99257292938608188</v>
      </c>
      <c r="L13" s="717">
        <f>(F12-F$5)</f>
        <v>-1.8919998679905028</v>
      </c>
    </row>
    <row r="14" spans="1:17" s="879" customFormat="1" ht="11.25" customHeight="1" x14ac:dyDescent="0.3">
      <c r="A14" s="622"/>
      <c r="B14" s="623"/>
      <c r="C14" s="623"/>
      <c r="D14" s="623"/>
      <c r="E14" s="623"/>
      <c r="F14" s="623"/>
      <c r="G14" s="620"/>
      <c r="H14" s="623"/>
      <c r="I14" s="623"/>
      <c r="J14" s="623"/>
      <c r="K14" s="623"/>
      <c r="L14" s="623"/>
    </row>
    <row r="15" spans="1:17" ht="12" customHeight="1" x14ac:dyDescent="0.3">
      <c r="A15" s="630" t="s">
        <v>1537</v>
      </c>
      <c r="B15" s="631"/>
      <c r="C15" s="631"/>
      <c r="D15" s="631"/>
      <c r="E15" s="631"/>
      <c r="F15" s="631"/>
      <c r="G15" s="620"/>
      <c r="H15" s="631"/>
      <c r="I15" s="631"/>
      <c r="J15" s="631"/>
      <c r="K15" s="631"/>
      <c r="L15" s="631"/>
    </row>
    <row r="16" spans="1:17" ht="12" customHeight="1" x14ac:dyDescent="0.3">
      <c r="A16" s="626" t="s">
        <v>1580</v>
      </c>
      <c r="B16" s="623">
        <f>'C2-Shares'!$GW6*100</f>
        <v>9.6191811579473878</v>
      </c>
      <c r="C16" s="623">
        <f>'C2-Shares'!$GW25*100</f>
        <v>7.7361899905123348</v>
      </c>
      <c r="D16" s="623">
        <f>'C2-Shares'!$GW31*100</f>
        <v>7.5771645912640659</v>
      </c>
      <c r="E16" s="623">
        <f>'C2-Shares'!$GW35*100</f>
        <v>8.809300451348042</v>
      </c>
      <c r="F16" s="623">
        <f>'C2-Shares'!$GW61*100</f>
        <v>10.063841068910726</v>
      </c>
      <c r="G16" s="620"/>
      <c r="H16" s="628">
        <f>(B16-B12)</f>
        <v>-0.92838009860636461</v>
      </c>
      <c r="I16" s="628">
        <f>(C16-C12)</f>
        <v>-0.95416741255756499</v>
      </c>
      <c r="J16" s="628">
        <f>(D16-D12)</f>
        <v>-1.1501277697750458</v>
      </c>
      <c r="K16" s="628">
        <f>(E16-E12)</f>
        <v>-1.3246366578609798</v>
      </c>
      <c r="L16" s="628">
        <f>(F16-F12)</f>
        <v>-2.1625266287244997</v>
      </c>
    </row>
    <row r="17" spans="1:14" ht="12" customHeight="1" x14ac:dyDescent="0.3">
      <c r="A17" s="626" t="s">
        <v>505</v>
      </c>
      <c r="B17" s="627">
        <f>'C2-Shares'!$HE6*100</f>
        <v>9.5312492097992134</v>
      </c>
      <c r="C17" s="627">
        <f>'C2-Shares'!$HE25*100</f>
        <v>7.6293052818264044</v>
      </c>
      <c r="D17" s="627">
        <f>'C2-Shares'!$HE31*100</f>
        <v>7.3752286460785728</v>
      </c>
      <c r="E17" s="627">
        <f>'C2-Shares'!$HE35*100</f>
        <v>8.5304264795355405</v>
      </c>
      <c r="F17" s="627">
        <f>'C2-Shares'!$HE61*100</f>
        <v>9.6020168615460282</v>
      </c>
      <c r="G17" s="620"/>
      <c r="H17" s="628">
        <f>(B17-B16)</f>
        <v>-8.7931948148174399E-2</v>
      </c>
      <c r="I17" s="628">
        <f t="shared" ref="I17:L18" si="1">(C17-C16)</f>
        <v>-0.10688470868593036</v>
      </c>
      <c r="J17" s="628">
        <f t="shared" si="1"/>
        <v>-0.20193594518549318</v>
      </c>
      <c r="K17" s="628">
        <f t="shared" si="1"/>
        <v>-0.27887397181250151</v>
      </c>
      <c r="L17" s="628">
        <f t="shared" si="1"/>
        <v>-0.46182420736469787</v>
      </c>
    </row>
    <row r="18" spans="1:14" ht="12" customHeight="1" x14ac:dyDescent="0.3">
      <c r="A18" s="626" t="s">
        <v>506</v>
      </c>
      <c r="B18" s="623">
        <f>'C2-Shares'!$HM6*100</f>
        <v>8.3425272626291687</v>
      </c>
      <c r="C18" s="623">
        <f>'C2-Shares'!$HM25*100</f>
        <v>7.2650090736452038</v>
      </c>
      <c r="D18" s="623">
        <f>'C2-Shares'!$HM31*100</f>
        <v>7.2523321900868538</v>
      </c>
      <c r="E18" s="623">
        <f>'C2-Shares'!$HM35*100</f>
        <v>8.4089652925784826</v>
      </c>
      <c r="F18" s="623">
        <f>'C2-Shares'!$HM61*100</f>
        <v>9.3691887984854763</v>
      </c>
      <c r="G18" s="620"/>
      <c r="H18" s="628">
        <f>(B18-B17)</f>
        <v>-1.1887219471700448</v>
      </c>
      <c r="I18" s="628">
        <f t="shared" si="1"/>
        <v>-0.36429620818120068</v>
      </c>
      <c r="J18" s="628">
        <f t="shared" si="1"/>
        <v>-0.12289645599171894</v>
      </c>
      <c r="K18" s="628">
        <f t="shared" si="1"/>
        <v>-0.12146118695705788</v>
      </c>
      <c r="L18" s="628">
        <f t="shared" si="1"/>
        <v>-0.23282806306055193</v>
      </c>
    </row>
    <row r="19" spans="1:14" ht="12" customHeight="1" x14ac:dyDescent="0.3">
      <c r="A19" s="626" t="s">
        <v>565</v>
      </c>
      <c r="B19" s="627">
        <f>'C2-Shares'!$HU6*100</f>
        <v>7.7361626969973081</v>
      </c>
      <c r="C19" s="627">
        <f>'C2-Shares'!$HU25*100</f>
        <v>7.1199541187837596</v>
      </c>
      <c r="D19" s="627">
        <f>'C2-Shares'!$HU31*100</f>
        <v>7.1404821317475111</v>
      </c>
      <c r="E19" s="627">
        <f>'C2-Shares'!$HU35*100</f>
        <v>8.2788134496317642</v>
      </c>
      <c r="F19" s="627">
        <f>'C2-Shares'!$HU61*100</f>
        <v>9.1186228668997238</v>
      </c>
      <c r="G19" s="620"/>
      <c r="H19" s="632">
        <f>(B19-B18)</f>
        <v>-0.60636456563186059</v>
      </c>
      <c r="I19" s="628">
        <f t="shared" ref="I19:L21" si="2">(C19-C18)</f>
        <v>-0.14505495486144415</v>
      </c>
      <c r="J19" s="628">
        <f t="shared" si="2"/>
        <v>-0.1118500583393427</v>
      </c>
      <c r="K19" s="628">
        <f t="shared" si="2"/>
        <v>-0.13015184294671833</v>
      </c>
      <c r="L19" s="628">
        <f t="shared" si="2"/>
        <v>-0.25056593158575247</v>
      </c>
    </row>
    <row r="20" spans="1:14" ht="12" customHeight="1" x14ac:dyDescent="0.3">
      <c r="A20" s="633" t="s">
        <v>507</v>
      </c>
      <c r="B20" s="628">
        <f>'C2-Shares'!$IC6*100</f>
        <v>8.0125104753880247</v>
      </c>
      <c r="C20" s="628">
        <f>'C2-Shares'!$IC25*100</f>
        <v>7.5572908966351342</v>
      </c>
      <c r="D20" s="628">
        <f>'C2-Shares'!$IC31*100</f>
        <v>7.5945668803380499</v>
      </c>
      <c r="E20" s="628">
        <f>'C2-Shares'!$IC35*100</f>
        <v>8.8445028428225179</v>
      </c>
      <c r="F20" s="628">
        <f>'C2-Shares'!$IC61*100</f>
        <v>9.5105665030894677</v>
      </c>
      <c r="G20" s="620"/>
      <c r="H20" s="628">
        <f>(B20-B19)</f>
        <v>0.27634777839071667</v>
      </c>
      <c r="I20" s="628">
        <f t="shared" si="2"/>
        <v>0.43733677785137459</v>
      </c>
      <c r="J20" s="628">
        <f t="shared" si="2"/>
        <v>0.45408474859053882</v>
      </c>
      <c r="K20" s="628">
        <f t="shared" si="2"/>
        <v>0.56568939319075362</v>
      </c>
      <c r="L20" s="628">
        <f t="shared" si="2"/>
        <v>0.39194363618974393</v>
      </c>
    </row>
    <row r="21" spans="1:14" ht="12" customHeight="1" x14ac:dyDescent="0.3">
      <c r="A21" s="633" t="s">
        <v>564</v>
      </c>
      <c r="B21" s="627">
        <f>'C2-Shares'!$IK$6*100</f>
        <v>8.266739272096526</v>
      </c>
      <c r="C21" s="627">
        <f>'C2-Shares'!$IK$25*100</f>
        <v>7.7580030342176105</v>
      </c>
      <c r="D21" s="627">
        <f>'C2-Shares'!$IK$31*100</f>
        <v>7.7580536616715658</v>
      </c>
      <c r="E21" s="627">
        <f>'C2-Shares'!$IK$35*100</f>
        <v>8.9744465132477114</v>
      </c>
      <c r="F21" s="627">
        <f>'C2-Shares'!$IK$61*100</f>
        <v>9.6154183950202459</v>
      </c>
      <c r="G21" s="620"/>
      <c r="H21" s="628">
        <f>(B21-B20)</f>
        <v>0.25422879670850129</v>
      </c>
      <c r="I21" s="628">
        <f t="shared" si="2"/>
        <v>0.2007121375824763</v>
      </c>
      <c r="J21" s="628">
        <f t="shared" si="2"/>
        <v>0.16348678133351591</v>
      </c>
      <c r="K21" s="628">
        <f t="shared" si="2"/>
        <v>0.1299436704251935</v>
      </c>
      <c r="L21" s="632">
        <f t="shared" si="2"/>
        <v>0.10485189193077815</v>
      </c>
      <c r="M21" s="642"/>
    </row>
    <row r="22" spans="1:14" s="879" customFormat="1" ht="12" customHeight="1" x14ac:dyDescent="0.3">
      <c r="A22" s="633"/>
      <c r="B22" s="627"/>
      <c r="C22" s="627"/>
      <c r="D22" s="627"/>
      <c r="E22" s="627"/>
      <c r="F22" s="627"/>
      <c r="G22" s="620"/>
      <c r="H22" s="628"/>
      <c r="I22" s="628"/>
      <c r="J22" s="628"/>
      <c r="K22" s="628"/>
      <c r="L22" s="632"/>
    </row>
    <row r="23" spans="1:14" s="879" customFormat="1" ht="12" customHeight="1" x14ac:dyDescent="0.3">
      <c r="A23" s="1364" t="s">
        <v>1538</v>
      </c>
      <c r="B23" s="1364"/>
      <c r="C23" s="1364"/>
      <c r="D23" s="1364"/>
      <c r="E23" s="627"/>
      <c r="F23" s="627"/>
      <c r="G23" s="620"/>
      <c r="H23" s="628"/>
      <c r="I23" s="628"/>
      <c r="J23" s="628"/>
      <c r="K23" s="628"/>
      <c r="L23" s="632"/>
      <c r="N23" s="12"/>
    </row>
    <row r="24" spans="1:14" s="879" customFormat="1" ht="12" customHeight="1" x14ac:dyDescent="0.3">
      <c r="A24" s="633" t="s">
        <v>1527</v>
      </c>
      <c r="B24" s="627">
        <f>'C2-Shares'!$IS$6*100</f>
        <v>8.5802663531237719</v>
      </c>
      <c r="C24" s="627">
        <f>'C2-Shares'!$IS$25*100</f>
        <v>7.8684866985543485</v>
      </c>
      <c r="D24" s="627">
        <f>'C2-Shares'!$IS$31*100</f>
        <v>7.7550659392981611</v>
      </c>
      <c r="E24" s="627">
        <f>'C2-Shares'!$IS$35*100</f>
        <v>9.0470832409198909</v>
      </c>
      <c r="F24" s="627">
        <f>'C2-Shares'!$IS$61*100</f>
        <v>9.2657948420836149</v>
      </c>
      <c r="G24" s="620"/>
      <c r="H24" s="628">
        <f>(B24-B21)</f>
        <v>0.31352708102724591</v>
      </c>
      <c r="I24" s="628">
        <f>(C24-C21)</f>
        <v>0.11048366433673795</v>
      </c>
      <c r="J24" s="628">
        <f>(D24-D21)</f>
        <v>-2.987722373404722E-3</v>
      </c>
      <c r="K24" s="628">
        <f>(E24-E21)</f>
        <v>7.2636727672179546E-2</v>
      </c>
      <c r="L24" s="628">
        <f>(F24-F21)</f>
        <v>-0.34962355293663094</v>
      </c>
      <c r="M24" s="642"/>
      <c r="N24" s="521"/>
    </row>
    <row r="25" spans="1:14" s="879" customFormat="1" ht="12" customHeight="1" x14ac:dyDescent="0.3">
      <c r="A25" s="633" t="s">
        <v>1528</v>
      </c>
      <c r="B25" s="627">
        <f>'C2-Shares'!$JA$6*100</f>
        <v>7.8989479518218246</v>
      </c>
      <c r="C25" s="627">
        <f>'C2-Shares'!$JA$25*100</f>
        <v>7.2139807023017672</v>
      </c>
      <c r="D25" s="627">
        <f>'C2-Shares'!$JA$31*100</f>
        <v>7.0868369231104493</v>
      </c>
      <c r="E25" s="627">
        <f>'C2-Shares'!$JA$35*100</f>
        <v>8.266400200729338</v>
      </c>
      <c r="F25" s="627">
        <f>'C2-Shares'!$JA$61*100</f>
        <v>8.5472598105556035</v>
      </c>
      <c r="G25" s="620"/>
      <c r="H25" s="628">
        <f>(B25-B24)</f>
        <v>-0.68131840130194732</v>
      </c>
      <c r="I25" s="628">
        <f>(C25-C24)</f>
        <v>-0.65450599625258121</v>
      </c>
      <c r="J25" s="628">
        <f>(D25-D24)</f>
        <v>-0.6682290161877118</v>
      </c>
      <c r="K25" s="628">
        <f>(E25-E24)</f>
        <v>-0.7806830401905529</v>
      </c>
      <c r="L25" s="628">
        <f>(F25-F24)</f>
        <v>-0.71853503152801146</v>
      </c>
      <c r="N25" s="521"/>
    </row>
    <row r="26" spans="1:14" s="571" customFormat="1" ht="13.5" customHeight="1" x14ac:dyDescent="0.3">
      <c r="A26" s="967" t="s">
        <v>1515</v>
      </c>
      <c r="B26" s="759">
        <f>B25</f>
        <v>7.8989479518218246</v>
      </c>
      <c r="C26" s="759">
        <f>C25</f>
        <v>7.2139807023017672</v>
      </c>
      <c r="D26" s="759">
        <f>D25</f>
        <v>7.0868369231104493</v>
      </c>
      <c r="E26" s="759">
        <f>E25</f>
        <v>8.266400200729338</v>
      </c>
      <c r="F26" s="759">
        <f>F25</f>
        <v>8.5472598105556035</v>
      </c>
      <c r="G26" s="718"/>
      <c r="H26" s="759">
        <f>(B25-B$5)</f>
        <v>-3.1396606944836449</v>
      </c>
      <c r="I26" s="759">
        <f>(C25-C$5)</f>
        <v>-2.2760179769219517</v>
      </c>
      <c r="J26" s="759">
        <f>(D25-D$5)</f>
        <v>-2.4754487182276543</v>
      </c>
      <c r="K26" s="759">
        <f>(E25-E$5)</f>
        <v>-2.8601098378657657</v>
      </c>
      <c r="L26" s="759">
        <f>(F25-F$5)</f>
        <v>-5.5711077550701251</v>
      </c>
      <c r="M26" s="642"/>
      <c r="N26" s="12"/>
    </row>
    <row r="27" spans="1:14" ht="9" customHeight="1" x14ac:dyDescent="0.3">
      <c r="C27" s="282"/>
      <c r="F27" s="282"/>
      <c r="I27" s="282"/>
      <c r="L27" s="282"/>
    </row>
    <row r="28" spans="1:14" s="459" customFormat="1" ht="41.25" customHeight="1" x14ac:dyDescent="0.3">
      <c r="A28" s="1362" t="s">
        <v>1883</v>
      </c>
      <c r="B28" s="1362"/>
      <c r="C28" s="1362"/>
      <c r="D28" s="1362"/>
      <c r="E28" s="1362"/>
      <c r="F28" s="1362"/>
      <c r="G28" s="1362"/>
      <c r="H28" s="1362"/>
      <c r="I28" s="1362"/>
      <c r="J28" s="1362"/>
      <c r="K28" s="1362"/>
      <c r="L28" s="1362"/>
    </row>
    <row r="29" spans="1:14" x14ac:dyDescent="0.3">
      <c r="A29" s="384" t="s">
        <v>1664</v>
      </c>
    </row>
    <row r="30" spans="1:14" x14ac:dyDescent="0.3">
      <c r="H30" s="72"/>
      <c r="I30" s="72"/>
      <c r="J30" s="72"/>
      <c r="K30" s="72"/>
      <c r="L30" s="72"/>
    </row>
    <row r="31" spans="1:14" x14ac:dyDescent="0.3">
      <c r="H31" s="282"/>
      <c r="I31" s="282"/>
      <c r="J31" s="282"/>
      <c r="K31" s="282"/>
      <c r="L31" s="282"/>
    </row>
    <row r="33" ht="4.5" customHeight="1" x14ac:dyDescent="0.3"/>
  </sheetData>
  <mergeCells count="6">
    <mergeCell ref="A28:L28"/>
    <mergeCell ref="A3:A4"/>
    <mergeCell ref="B3:F3"/>
    <mergeCell ref="H3:L3"/>
    <mergeCell ref="A7:D7"/>
    <mergeCell ref="A23:D23"/>
  </mergeCells>
  <hyperlinks>
    <hyperlink ref="O1" location="Index!A1" display="Index"/>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tint="0.59999389629810485"/>
  </sheetPr>
  <dimension ref="A1:J16"/>
  <sheetViews>
    <sheetView workbookViewId="0"/>
  </sheetViews>
  <sheetFormatPr defaultColWidth="9.109375" defaultRowHeight="14.4" x14ac:dyDescent="0.3"/>
  <cols>
    <col min="1" max="1" width="25.88671875" style="172" customWidth="1"/>
    <col min="2" max="4" width="6.77734375" style="172" customWidth="1"/>
    <col min="5" max="5" width="1.5546875" style="1011" customWidth="1"/>
    <col min="6" max="6" width="12" style="1011" customWidth="1"/>
    <col min="7" max="7" width="1.21875" style="172" customWidth="1"/>
    <col min="8" max="8" width="12.44140625" style="172" customWidth="1"/>
    <col min="9" max="9" width="1.44140625" style="172" customWidth="1"/>
    <col min="10" max="10" width="12.21875" style="172" customWidth="1"/>
    <col min="11" max="11" width="9.109375" style="172"/>
    <col min="12" max="12" width="12" style="172" customWidth="1"/>
    <col min="13" max="13" width="9.109375" style="172"/>
    <col min="14" max="14" width="22" style="172" customWidth="1"/>
    <col min="15" max="16384" width="9.109375" style="172"/>
  </cols>
  <sheetData>
    <row r="1" spans="1:10" ht="15.6" x14ac:dyDescent="0.3">
      <c r="A1" s="1227" t="s">
        <v>2098</v>
      </c>
      <c r="B1" s="24"/>
      <c r="C1" s="24"/>
      <c r="D1" s="24"/>
      <c r="J1" s="462" t="s">
        <v>504</v>
      </c>
    </row>
    <row r="2" spans="1:10" ht="15" thickBot="1" x14ac:dyDescent="0.35"/>
    <row r="3" spans="1:10" ht="30.75" customHeight="1" thickTop="1" x14ac:dyDescent="0.3">
      <c r="A3" s="1256"/>
      <c r="B3" s="1260">
        <v>1962</v>
      </c>
      <c r="C3" s="1260">
        <v>1979</v>
      </c>
      <c r="D3" s="1260">
        <v>2014</v>
      </c>
      <c r="E3" s="1260"/>
      <c r="F3" s="408" t="s">
        <v>2074</v>
      </c>
      <c r="G3" s="1262"/>
      <c r="H3" s="408" t="s">
        <v>1669</v>
      </c>
      <c r="I3" s="1260"/>
      <c r="J3" s="408" t="s">
        <v>2075</v>
      </c>
    </row>
    <row r="4" spans="1:10" ht="15.6" x14ac:dyDescent="0.3">
      <c r="A4" s="832" t="s">
        <v>1875</v>
      </c>
      <c r="B4" s="689"/>
      <c r="C4" s="689"/>
      <c r="D4" s="689"/>
      <c r="E4" s="689"/>
      <c r="F4" s="687"/>
      <c r="G4" s="690"/>
      <c r="H4" s="689"/>
      <c r="I4" s="689"/>
      <c r="J4" s="687"/>
    </row>
    <row r="5" spans="1:10" ht="15.6" x14ac:dyDescent="0.3">
      <c r="A5" s="1209" t="s">
        <v>1460</v>
      </c>
      <c r="B5" s="687">
        <f>'F-1'!$B$35*100</f>
        <v>12.573906779289246</v>
      </c>
      <c r="C5" s="687">
        <f>'F-1'!$B$52*100</f>
        <v>11.153456568717957</v>
      </c>
      <c r="D5" s="687">
        <f>'F-1'!$B$87*100</f>
        <v>20.195885002613068</v>
      </c>
      <c r="E5" s="687"/>
      <c r="F5" s="687">
        <f>C5-B5</f>
        <v>-1.4204502105712891</v>
      </c>
      <c r="G5" s="688"/>
      <c r="H5" s="687">
        <f>D5-C5</f>
        <v>9.0424284338951111</v>
      </c>
      <c r="I5" s="687"/>
      <c r="J5" s="687">
        <f>D5-B5</f>
        <v>7.621978223323822</v>
      </c>
    </row>
    <row r="6" spans="1:10" ht="15.6" x14ac:dyDescent="0.3">
      <c r="A6" s="1210" t="s">
        <v>518</v>
      </c>
      <c r="B6" s="689">
        <f>'F-1'!$D$35*100</f>
        <v>10.066854953765869</v>
      </c>
      <c r="C6" s="689">
        <f>'F-1'!$D$52*100</f>
        <v>9.1394543647766113</v>
      </c>
      <c r="D6" s="689">
        <f>'F-1'!$D$87*100</f>
        <v>15.664321184158325</v>
      </c>
      <c r="E6" s="689"/>
      <c r="F6" s="687">
        <f>C6-B6</f>
        <v>-0.92740058898925781</v>
      </c>
      <c r="G6" s="690"/>
      <c r="H6" s="689">
        <f>D6-C6</f>
        <v>6.5248668193817139</v>
      </c>
      <c r="I6" s="689"/>
      <c r="J6" s="689">
        <f>D6-B6</f>
        <v>5.5974662303924561</v>
      </c>
    </row>
    <row r="7" spans="1:10" ht="9" customHeight="1" x14ac:dyDescent="0.3">
      <c r="C7" s="173"/>
      <c r="D7" s="80"/>
      <c r="E7" s="80"/>
    </row>
    <row r="8" spans="1:10" x14ac:dyDescent="0.3">
      <c r="A8" s="58" t="s">
        <v>1874</v>
      </c>
      <c r="B8" s="58"/>
      <c r="C8" s="58"/>
      <c r="D8" s="58"/>
      <c r="E8" s="58"/>
      <c r="F8" s="1261"/>
      <c r="G8" s="42"/>
      <c r="H8" s="1257"/>
      <c r="I8" s="58"/>
      <c r="J8" s="1257"/>
    </row>
    <row r="9" spans="1:10" ht="15.6" x14ac:dyDescent="0.3">
      <c r="A9" s="1209" t="s">
        <v>1460</v>
      </c>
      <c r="B9" s="689">
        <f>'C2-Shares'!$L$8*100</f>
        <v>11.120373480640794</v>
      </c>
      <c r="C9" s="689">
        <f>'C2-Shares'!$L$25*100</f>
        <v>9.489998679223719</v>
      </c>
      <c r="D9" s="689">
        <f>'C2-Shares'!$L$60*100</f>
        <v>14.277984870529348</v>
      </c>
      <c r="E9" s="689"/>
      <c r="F9" s="687">
        <f>C9-B9</f>
        <v>-1.6303748014170747</v>
      </c>
      <c r="G9" s="688"/>
      <c r="H9" s="687">
        <f>D9-C9</f>
        <v>4.7879861913056292</v>
      </c>
      <c r="I9" s="687"/>
      <c r="J9" s="687">
        <f>D9-B9</f>
        <v>3.1576113898885545</v>
      </c>
    </row>
    <row r="10" spans="1:10" ht="15.6" x14ac:dyDescent="0.3">
      <c r="A10" s="1210" t="s">
        <v>1974</v>
      </c>
      <c r="B10" s="689">
        <f>'C2-Shares'!$T$8*100</f>
        <v>10.59932954496157</v>
      </c>
      <c r="C10" s="689">
        <f>'C2-Shares'!$T$25*100</f>
        <v>8.6903574030698998</v>
      </c>
      <c r="D10" s="689">
        <f>'C2-Shares'!$T$60*100</f>
        <v>12.383528715122836</v>
      </c>
      <c r="E10" s="689"/>
      <c r="F10" s="687">
        <f>C10-B10</f>
        <v>-1.9089721418916703</v>
      </c>
      <c r="G10" s="690"/>
      <c r="H10" s="689">
        <f>D10-C10</f>
        <v>3.6931713120529359</v>
      </c>
      <c r="I10" s="689"/>
      <c r="J10" s="687">
        <f>D10-B10</f>
        <v>1.7841991701612656</v>
      </c>
    </row>
    <row r="11" spans="1:10" ht="15.6" x14ac:dyDescent="0.3">
      <c r="A11" s="1211" t="s">
        <v>518</v>
      </c>
      <c r="B11" s="691">
        <f>'C2-Shares'!$AB$8*100</f>
        <v>8.3180970305290121</v>
      </c>
      <c r="C11" s="828">
        <f>'C2-Shares'!$AB$25*100</f>
        <v>7.2139807023017672</v>
      </c>
      <c r="D11" s="691">
        <f>'C2-Shares'!$AB$60*100</f>
        <v>8.638138755190953</v>
      </c>
      <c r="E11" s="691"/>
      <c r="F11" s="691">
        <f>C11-B11</f>
        <v>-1.1041163282272448</v>
      </c>
      <c r="G11" s="692"/>
      <c r="H11" s="691">
        <f>D11-C11</f>
        <v>1.4241580528891857</v>
      </c>
      <c r="I11" s="691"/>
      <c r="J11" s="691">
        <f>D11-B11</f>
        <v>0.32004172466194092</v>
      </c>
    </row>
    <row r="12" spans="1:10" x14ac:dyDescent="0.3">
      <c r="C12" s="173"/>
      <c r="D12" s="80"/>
      <c r="E12" s="80"/>
      <c r="F12" s="80"/>
    </row>
    <row r="13" spans="1:10" x14ac:dyDescent="0.3">
      <c r="A13" s="386" t="s">
        <v>2042</v>
      </c>
      <c r="C13" s="173"/>
      <c r="D13" s="80"/>
      <c r="E13" s="80"/>
      <c r="F13" s="80"/>
    </row>
    <row r="14" spans="1:10" x14ac:dyDescent="0.3">
      <c r="A14" s="386" t="s">
        <v>1658</v>
      </c>
      <c r="C14" s="173"/>
      <c r="D14" s="80"/>
      <c r="E14" s="80"/>
      <c r="F14" s="80"/>
    </row>
    <row r="15" spans="1:10" x14ac:dyDescent="0.3">
      <c r="C15" s="173"/>
      <c r="D15" s="80"/>
      <c r="E15" s="80"/>
      <c r="F15" s="80"/>
    </row>
    <row r="16" spans="1:10" x14ac:dyDescent="0.3">
      <c r="D16" s="642"/>
    </row>
  </sheetData>
  <hyperlinks>
    <hyperlink ref="J1" location="Index!A1" display="Index"/>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4" tint="0.59999389629810485"/>
  </sheetPr>
  <dimension ref="A1:J30"/>
  <sheetViews>
    <sheetView workbookViewId="0">
      <selection activeCell="C17" sqref="C17"/>
    </sheetView>
  </sheetViews>
  <sheetFormatPr defaultColWidth="9.109375" defaultRowHeight="14.4" x14ac:dyDescent="0.3"/>
  <cols>
    <col min="1" max="1" width="38.109375" style="1011" customWidth="1"/>
    <col min="2" max="2" width="34" style="1011" customWidth="1"/>
    <col min="3" max="5" width="5.77734375" style="1011" customWidth="1"/>
    <col min="6" max="7" width="10.21875" style="1011" customWidth="1"/>
    <col min="8" max="8" width="5.77734375" style="1011" customWidth="1"/>
    <col min="9" max="16384" width="9.109375" style="1011"/>
  </cols>
  <sheetData>
    <row r="1" spans="1:10" ht="15.6" x14ac:dyDescent="0.3">
      <c r="A1" s="1057" t="s">
        <v>2044</v>
      </c>
      <c r="G1" s="463" t="s">
        <v>504</v>
      </c>
    </row>
    <row r="2" spans="1:10" ht="15" thickBot="1" x14ac:dyDescent="0.35"/>
    <row r="3" spans="1:10" ht="27.75" customHeight="1" thickTop="1" x14ac:dyDescent="0.3">
      <c r="A3" s="1048" t="s">
        <v>1534</v>
      </c>
      <c r="B3" s="1048" t="s">
        <v>1531</v>
      </c>
      <c r="C3" s="1365" t="s">
        <v>1792</v>
      </c>
      <c r="D3" s="1365"/>
      <c r="E3" s="1365"/>
      <c r="F3" s="1365" t="s">
        <v>1793</v>
      </c>
      <c r="G3" s="1365"/>
    </row>
    <row r="4" spans="1:10" ht="15.75" customHeight="1" x14ac:dyDescent="0.3">
      <c r="A4" s="1049"/>
      <c r="B4" s="1049"/>
      <c r="C4" s="411">
        <v>1962</v>
      </c>
      <c r="D4" s="411">
        <v>1979</v>
      </c>
      <c r="E4" s="411">
        <v>2014</v>
      </c>
      <c r="F4" s="411" t="s">
        <v>1794</v>
      </c>
      <c r="G4" s="411" t="s">
        <v>1795</v>
      </c>
    </row>
    <row r="5" spans="1:10" ht="5.25" customHeight="1" x14ac:dyDescent="0.3">
      <c r="A5" s="990"/>
      <c r="B5" s="832"/>
    </row>
    <row r="6" spans="1:10" ht="15.6" x14ac:dyDescent="0.3">
      <c r="A6" s="990" t="s">
        <v>1116</v>
      </c>
      <c r="B6" s="1041"/>
      <c r="C6" s="736"/>
      <c r="D6" s="736"/>
      <c r="E6" s="24"/>
      <c r="F6" s="24"/>
    </row>
    <row r="7" spans="1:10" ht="13.5" customHeight="1" x14ac:dyDescent="0.3">
      <c r="A7" s="1040" t="str">
        <f>'C27-PSZrepl'!A7</f>
        <v>Underreported income by IRS audit data</v>
      </c>
      <c r="B7" s="1040" t="str">
        <f>'C27-PSZrepl'!B7</f>
        <v>Underreported income by reported income</v>
      </c>
      <c r="C7" s="995">
        <f>'C27-PSZrepl'!C7</f>
        <v>0.36641466915940868</v>
      </c>
      <c r="D7" s="995">
        <f>'C27-PSZrepl'!D7</f>
        <v>0.98493050640101831</v>
      </c>
      <c r="E7" s="995">
        <f>'C27-PSZrepl'!E7</f>
        <v>2.1946109945678183</v>
      </c>
      <c r="F7" s="995">
        <f>'C27-PSZrepl'!F7</f>
        <v>1.2096804881668</v>
      </c>
      <c r="G7" s="995">
        <f>'C27-PSZrepl'!G7</f>
        <v>1.8281963254084097</v>
      </c>
      <c r="I7" s="72"/>
      <c r="J7" s="642"/>
    </row>
    <row r="8" spans="1:10" ht="13.5" customHeight="1" x14ac:dyDescent="0.3">
      <c r="A8" s="1040" t="str">
        <f>'C27-PSZrepl'!A8</f>
        <v>Include distributed &amp; other retirement income</v>
      </c>
      <c r="B8" s="1040" t="str">
        <f>'C27-PSZrepl'!B8</f>
        <v>PSZ private retirement distribution</v>
      </c>
      <c r="C8" s="995">
        <f>'C27-PSZrepl'!C8</f>
        <v>0.46073248231250546</v>
      </c>
      <c r="D8" s="995">
        <f>'C27-PSZrepl'!D8</f>
        <v>0.13154370585951924</v>
      </c>
      <c r="E8" s="995">
        <f>'C27-PSZrepl'!E8</f>
        <v>1.3474780716926187</v>
      </c>
      <c r="F8" s="995">
        <f>'C27-PSZrepl'!F8</f>
        <v>1.2159343658330994</v>
      </c>
      <c r="G8" s="995">
        <f>'C27-PSZrepl'!G8</f>
        <v>0.88674558938011327</v>
      </c>
      <c r="I8" s="72"/>
      <c r="J8" s="642"/>
    </row>
    <row r="9" spans="1:10" ht="13.5" customHeight="1" x14ac:dyDescent="0.3">
      <c r="A9" s="1040" t="str">
        <f>'C27-PSZrepl'!A9</f>
        <v>Other taxes by disposable inc. less savings</v>
      </c>
      <c r="B9" s="1040" t="str">
        <f>'C27-PSZrepl'!B9</f>
        <v>Other taxes by factor income less savings</v>
      </c>
      <c r="C9" s="995">
        <f>'C27-PSZrepl'!C9</f>
        <v>0.27497637019352072</v>
      </c>
      <c r="D9" s="995">
        <f>'C27-PSZrepl'!D9</f>
        <v>0.17021470465897173</v>
      </c>
      <c r="E9" s="995">
        <f>'C27-PSZrepl'!E9</f>
        <v>0.65115316034176507</v>
      </c>
      <c r="F9" s="995">
        <f>'C27-PSZrepl'!F9</f>
        <v>0.48093845568279336</v>
      </c>
      <c r="G9" s="995">
        <f>'C27-PSZrepl'!G9</f>
        <v>0.37617679014824434</v>
      </c>
      <c r="I9" s="72"/>
      <c r="J9" s="642"/>
    </row>
    <row r="10" spans="1:10" ht="13.5" customHeight="1" x14ac:dyDescent="0.3">
      <c r="A10" s="1040" t="str">
        <f>'C27-PSZrepl'!A10</f>
        <v>Non-retirement pre-tax corporate income</v>
      </c>
      <c r="B10" s="1040" t="str">
        <f>'C27-PSZrepl'!B10</f>
        <v>PSZ non-retirement pre-tax corp. income</v>
      </c>
      <c r="C10" s="995">
        <f>'C27-PSZrepl'!C10</f>
        <v>0.50363671413707889</v>
      </c>
      <c r="D10" s="995">
        <f>'C27-PSZrepl'!D10</f>
        <v>0.18242721460603117</v>
      </c>
      <c r="E10" s="995">
        <f>'C27-PSZrepl'!E10</f>
        <v>0.65254622578382293</v>
      </c>
      <c r="F10" s="995">
        <f>'C27-PSZrepl'!F10</f>
        <v>0.47011901117779176</v>
      </c>
      <c r="G10" s="995">
        <f>'C27-PSZrepl'!G10</f>
        <v>0.14890951164674404</v>
      </c>
      <c r="I10" s="72"/>
      <c r="J10" s="642"/>
    </row>
    <row r="11" spans="1:10" ht="13.5" customHeight="1" x14ac:dyDescent="0.3">
      <c r="A11" s="1040" t="str">
        <f>'C27-PSZrepl'!A11</f>
        <v>Various corrections to tax income definition</v>
      </c>
      <c r="B11" s="1040" t="str">
        <f>'C27-PSZrepl'!B11</f>
        <v>Use uncorrected tax return market income</v>
      </c>
      <c r="C11" s="995">
        <f>'C27-PSZrepl'!C11</f>
        <v>-7.8241114689579894E-2</v>
      </c>
      <c r="D11" s="995">
        <f>'C27-PSZrepl'!D11</f>
        <v>-0.11638084585153924</v>
      </c>
      <c r="E11" s="995">
        <f>'C27-PSZrepl'!E11</f>
        <v>0.44497149673374808</v>
      </c>
      <c r="F11" s="995">
        <f>'C27-PSZrepl'!F11</f>
        <v>0.56135234258528732</v>
      </c>
      <c r="G11" s="995">
        <f>'C27-PSZrepl'!G11</f>
        <v>0.52321261142332798</v>
      </c>
      <c r="I11" s="72"/>
      <c r="J11" s="642"/>
    </row>
    <row r="12" spans="1:10" ht="13.5" customHeight="1" x14ac:dyDescent="0.3">
      <c r="A12" s="1040" t="str">
        <f>'C27-PSZrepl'!A12</f>
        <v>Imputed rent by property tax deductions</v>
      </c>
      <c r="B12" s="1040" t="str">
        <f>'C27-PSZrepl'!B12</f>
        <v>Imputed rent by housing wealth estimates</v>
      </c>
      <c r="C12" s="995">
        <f>'C27-PSZrepl'!C12</f>
        <v>0.37082956024666985</v>
      </c>
      <c r="D12" s="995">
        <f>'C27-PSZrepl'!D12</f>
        <v>0.19609691713768554</v>
      </c>
      <c r="E12" s="995">
        <f>'C27-PSZrepl'!E12</f>
        <v>0.26271624926348375</v>
      </c>
      <c r="F12" s="995">
        <f>'C27-PSZrepl'!F12</f>
        <v>6.6619332125798209E-2</v>
      </c>
      <c r="G12" s="995">
        <f>'C27-PSZrepl'!G12</f>
        <v>-0.10811331098318611</v>
      </c>
      <c r="I12" s="72"/>
      <c r="J12" s="642"/>
    </row>
    <row r="13" spans="1:10" ht="13.5" customHeight="1" x14ac:dyDescent="0.3">
      <c r="A13" s="1040" t="str">
        <f>'C27-PSZrepl'!A13</f>
        <v>Limit returns to non-dependent U.S. residents</v>
      </c>
      <c r="B13" s="1040" t="str">
        <f>'C27-PSZrepl'!B13</f>
        <v>No adjustment</v>
      </c>
      <c r="C13" s="995">
        <f>'C27-PSZrepl'!C13</f>
        <v>-0.2247260037859577</v>
      </c>
      <c r="D13" s="995">
        <f>'C27-PSZrepl'!D13</f>
        <v>0.2294894008336143</v>
      </c>
      <c r="E13" s="995">
        <f>'C27-PSZrepl'!E13</f>
        <v>0.18458452422775806</v>
      </c>
      <c r="F13" s="995">
        <f>'C27-PSZrepl'!F13</f>
        <v>-4.4904876605856237E-2</v>
      </c>
      <c r="G13" s="995">
        <f>'C27-PSZrepl'!G13</f>
        <v>0.40931052801371576</v>
      </c>
      <c r="I13" s="72"/>
      <c r="J13" s="642"/>
    </row>
    <row r="14" spans="1:10" ht="13.5" customHeight="1" x14ac:dyDescent="0.3">
      <c r="A14" s="1040" t="str">
        <f>'C27-PSZrepl'!A14</f>
        <v>Groups by individuals/size-adjusted incomes</v>
      </c>
      <c r="B14" s="1040" t="str">
        <f>'C27-PSZrepl'!B14</f>
        <v>Groups by adults/equal-split married inc.</v>
      </c>
      <c r="C14" s="995">
        <f>'C27-PSZrepl'!C14</f>
        <v>4.6077656421185637E-2</v>
      </c>
      <c r="D14" s="995">
        <f>'C27-PSZrepl'!D14</f>
        <v>9.8761606282348757E-2</v>
      </c>
      <c r="E14" s="995">
        <f>'C27-PSZrepl'!E14</f>
        <v>0.21607149695098227</v>
      </c>
      <c r="F14" s="995">
        <f>'C27-PSZrepl'!F14</f>
        <v>0.11730989066863351</v>
      </c>
      <c r="G14" s="995">
        <f>'C27-PSZrepl'!G14</f>
        <v>0.16999384052979663</v>
      </c>
      <c r="I14" s="72"/>
      <c r="J14" s="642"/>
    </row>
    <row r="15" spans="1:10" ht="13.5" customHeight="1" x14ac:dyDescent="0.3">
      <c r="A15" s="1040" t="str">
        <f>'C27-PSZrepl'!A15</f>
        <v>Non-profits/govt. income half per capita</v>
      </c>
      <c r="B15" s="1040" t="str">
        <f>'C27-PSZrepl'!B15</f>
        <v>Non-profits/govt. income all by income</v>
      </c>
      <c r="C15" s="995">
        <f>'C27-PSZrepl'!C15</f>
        <v>4.9591715706197304E-2</v>
      </c>
      <c r="D15" s="995">
        <f>'C27-PSZrepl'!D15</f>
        <v>-7.124070933856641E-3</v>
      </c>
      <c r="E15" s="995">
        <f>'C27-PSZrepl'!E15</f>
        <v>5.5734267057776121E-2</v>
      </c>
      <c r="F15" s="995">
        <f>'C27-PSZrepl'!F15</f>
        <v>6.2858337991632762E-2</v>
      </c>
      <c r="G15" s="995">
        <f>'C27-PSZrepl'!G15</f>
        <v>6.1425513515788177E-3</v>
      </c>
      <c r="I15" s="72"/>
      <c r="J15" s="642"/>
    </row>
    <row r="16" spans="1:10" ht="13.5" customHeight="1" x14ac:dyDescent="0.3">
      <c r="A16" s="1040" t="str">
        <f>'C27-PSZrepl'!A16</f>
        <v>Inflation correction</v>
      </c>
      <c r="B16" s="1040" t="str">
        <f>'C27-PSZrepl'!B16</f>
        <v>No correction</v>
      </c>
      <c r="C16" s="995">
        <f>'C27-PSZrepl'!C16</f>
        <v>-2.6404515943560025E-2</v>
      </c>
      <c r="D16" s="995">
        <f>'C27-PSZrepl'!D16</f>
        <v>-0.53896941240821961</v>
      </c>
      <c r="E16" s="995">
        <f>'C27-PSZrepl'!E16</f>
        <v>-5.5031627639970881E-2</v>
      </c>
      <c r="F16" s="995">
        <f>'C27-PSZrepl'!F16</f>
        <v>0.48393778476824872</v>
      </c>
      <c r="G16" s="995">
        <f>'C27-PSZrepl'!G16</f>
        <v>-2.8627111696410856E-2</v>
      </c>
      <c r="I16" s="72"/>
      <c r="J16" s="642"/>
    </row>
    <row r="17" spans="1:10" ht="13.5" customHeight="1" x14ac:dyDescent="0.3">
      <c r="A17" s="1040" t="str">
        <f>'C27-PSZrepl'!A17</f>
        <v>Social insurance benefits/deficit excluded</v>
      </c>
      <c r="B17" s="1040" t="str">
        <f>'C27-PSZrepl'!B17</f>
        <v>Social insur. ben./def. incl., taxes deducted</v>
      </c>
      <c r="C17" s="995">
        <f>'C27-PSZrepl'!C17</f>
        <v>3.7380692105055291E-2</v>
      </c>
      <c r="D17" s="995">
        <f>'C27-PSZrepl'!D17</f>
        <v>-1.1376356000457333E-2</v>
      </c>
      <c r="E17" s="995">
        <f>'C27-PSZrepl'!E17</f>
        <v>-9.9904175771057924E-2</v>
      </c>
      <c r="F17" s="995">
        <f>'C27-PSZrepl'!F17</f>
        <v>-8.8527819770600591E-2</v>
      </c>
      <c r="G17" s="995">
        <f>'C27-PSZrepl'!G17</f>
        <v>-0.13728486787611321</v>
      </c>
      <c r="I17" s="72"/>
      <c r="J17" s="642"/>
    </row>
    <row r="18" spans="1:10" ht="15.6" x14ac:dyDescent="0.3">
      <c r="A18" s="1041" t="s">
        <v>2084</v>
      </c>
      <c r="B18" s="1041"/>
      <c r="C18" s="1042">
        <f>'C27-PSZrepl'!C18</f>
        <v>1.4535332986484517</v>
      </c>
      <c r="D18" s="1042">
        <f>'C27-PSZrepl'!D18</f>
        <v>1.6634578894942367</v>
      </c>
      <c r="E18" s="1042">
        <f>'C27-PSZrepl'!E18</f>
        <v>5.9179001320837195</v>
      </c>
      <c r="F18" s="1042">
        <f>'C27-PSZrepl'!F18</f>
        <v>4.2544422425894828</v>
      </c>
      <c r="G18" s="1042">
        <f>'C27-PSZrepl'!G18</f>
        <v>4.4643668334352675</v>
      </c>
      <c r="H18" s="1043"/>
    </row>
    <row r="19" spans="1:10" ht="12.75" customHeight="1" x14ac:dyDescent="0.3">
      <c r="A19" s="1041"/>
      <c r="B19" s="1041"/>
      <c r="C19" s="516"/>
      <c r="D19" s="516"/>
      <c r="E19" s="516"/>
      <c r="F19" s="248"/>
      <c r="G19" s="248"/>
      <c r="H19" s="24"/>
    </row>
    <row r="20" spans="1:10" ht="15.6" x14ac:dyDescent="0.3">
      <c r="A20" s="990" t="s">
        <v>566</v>
      </c>
      <c r="B20" s="1044"/>
      <c r="C20" s="995"/>
      <c r="D20" s="995"/>
      <c r="E20" s="996"/>
      <c r="F20" s="1045"/>
      <c r="G20" s="24"/>
      <c r="H20" s="24"/>
    </row>
    <row r="21" spans="1:10" ht="13.5" customHeight="1" x14ac:dyDescent="0.3">
      <c r="A21" s="1040" t="str">
        <f>'C27-PSZrepl'!A21</f>
        <v>Govt. consumption allocated half per capita</v>
      </c>
      <c r="B21" s="1040" t="str">
        <f>'C27-PSZrepl'!B21</f>
        <v>Govt. consumption all by after-tax income</v>
      </c>
      <c r="C21" s="995">
        <f>'C27-PSZrepl'!C21</f>
        <v>0.77917509791248829</v>
      </c>
      <c r="D21" s="995">
        <f>'C27-PSZrepl'!D21</f>
        <v>0.75022583016067768</v>
      </c>
      <c r="E21" s="995">
        <f>'C27-PSZrepl'!E21</f>
        <v>1.2798838679638267</v>
      </c>
      <c r="F21" s="995">
        <f>'C27-PSZrepl'!F21</f>
        <v>0.52965803780314902</v>
      </c>
      <c r="G21" s="995">
        <f>'C27-PSZrepl'!G21</f>
        <v>0.5007087700513384</v>
      </c>
      <c r="H21" s="24"/>
      <c r="I21" s="72"/>
      <c r="J21" s="642"/>
    </row>
    <row r="22" spans="1:10" ht="13.5" customHeight="1" x14ac:dyDescent="0.3">
      <c r="A22" s="1040" t="str">
        <f>'C27-PSZrepl'!A22</f>
        <v>Non-SS deficits by federal income taxes</v>
      </c>
      <c r="B22" s="1040" t="str">
        <f>'C27-PSZrepl'!B22</f>
        <v>Half by government transfers, half taxes</v>
      </c>
      <c r="C22" s="995">
        <f>'C27-PSZrepl'!C22</f>
        <v>-0.29756809696681319</v>
      </c>
      <c r="D22" s="995">
        <f>'C27-PSZrepl'!D22</f>
        <v>-9.1347223675051215E-3</v>
      </c>
      <c r="E22" s="995">
        <f>'C27-PSZrepl'!E22</f>
        <v>0.54497970794823269</v>
      </c>
      <c r="F22" s="995">
        <f>'C27-PSZrepl'!F22</f>
        <v>0.55411443031573782</v>
      </c>
      <c r="G22" s="995">
        <f>'C27-PSZrepl'!G22</f>
        <v>0.84254780491504588</v>
      </c>
      <c r="H22" s="24"/>
      <c r="I22" s="72"/>
      <c r="J22" s="642"/>
    </row>
    <row r="23" spans="1:10" ht="13.5" customHeight="1" x14ac:dyDescent="0.3">
      <c r="A23" s="1040" t="str">
        <f>'C27-PSZrepl'!A23</f>
        <v>Estate tax by prior decade decedent income</v>
      </c>
      <c r="B23" s="1040" t="str">
        <f>'C27-PSZrepl'!B23</f>
        <v>Estate tax by wealth distribution</v>
      </c>
      <c r="C23" s="995">
        <f>'C27-PSZrepl'!C23</f>
        <v>-0.30660553882243369</v>
      </c>
      <c r="D23" s="995">
        <f>'C27-PSZrepl'!D23</f>
        <v>-0.21464096769243177</v>
      </c>
      <c r="E23" s="995">
        <f>'C27-PSZrepl'!E23</f>
        <v>-4.4010121895684928E-2</v>
      </c>
      <c r="F23" s="995">
        <f>'C27-PSZrepl'!F23</f>
        <v>0.17063084579674684</v>
      </c>
      <c r="G23" s="995">
        <f>'C27-PSZrepl'!G23</f>
        <v>0.26259541692674876</v>
      </c>
      <c r="H23" s="24"/>
      <c r="I23" s="72"/>
      <c r="J23" s="642"/>
    </row>
    <row r="24" spans="1:10" ht="13.5" customHeight="1" x14ac:dyDescent="0.3">
      <c r="A24" s="1040" t="str">
        <f>'C27-PSZrepl'!A24</f>
        <v>Government transfers as described in text</v>
      </c>
      <c r="B24" s="1040" t="str">
        <f>'C27-PSZrepl'!B24</f>
        <v>PSZ transfers distribution</v>
      </c>
      <c r="C24" s="995">
        <f>'C27-PSZrepl'!C24</f>
        <v>-5.0487814953772692E-3</v>
      </c>
      <c r="D24" s="995">
        <f>'C27-PSZrepl'!D24</f>
        <v>3.3667095793346313E-3</v>
      </c>
      <c r="E24" s="995">
        <f>'C27-PSZrepl'!E24</f>
        <v>4.0174683255008448E-2</v>
      </c>
      <c r="F24" s="995">
        <f>'C27-PSZrepl'!F24</f>
        <v>3.6807973675673816E-2</v>
      </c>
      <c r="G24" s="995">
        <f>'C27-PSZrepl'!G24</f>
        <v>4.5223464750385717E-2</v>
      </c>
      <c r="H24" s="24"/>
      <c r="I24" s="72"/>
      <c r="J24" s="642"/>
    </row>
    <row r="25" spans="1:10" ht="13.5" customHeight="1" x14ac:dyDescent="0.3">
      <c r="A25" s="1040" t="str">
        <f>'C27-PSZrepl'!A25</f>
        <v>Corporate taxes by wages/corp. ownership</v>
      </c>
      <c r="B25" s="1040" t="str">
        <f>'C27-PSZrepl'!B25</f>
        <v>Corporate taxes by capital ownership</v>
      </c>
      <c r="C25" s="995">
        <f>'C27-PSZrepl'!C25</f>
        <v>-0.24404729318625074</v>
      </c>
      <c r="D25" s="995">
        <f>'C27-PSZrepl'!D25</f>
        <v>-0.2942350707079745</v>
      </c>
      <c r="E25" s="995">
        <f>'C27-PSZrepl'!E25</f>
        <v>-0.3286315663869499</v>
      </c>
      <c r="F25" s="995">
        <f>'C27-PSZrepl'!F25</f>
        <v>-3.4396495678975403E-2</v>
      </c>
      <c r="G25" s="995">
        <f>'C27-PSZrepl'!G25</f>
        <v>-8.4584273200699167E-2</v>
      </c>
      <c r="H25" s="24"/>
      <c r="I25" s="72"/>
      <c r="J25" s="642"/>
    </row>
    <row r="26" spans="1:10" ht="13.5" customHeight="1" x14ac:dyDescent="0.3">
      <c r="A26" s="1040" t="str">
        <f>'C27-PSZrepl'!A26</f>
        <v>Other taxes by disposable inc. less savings</v>
      </c>
      <c r="B26" s="1040" t="str">
        <f>'C27-PSZrepl'!B26</f>
        <v>Other taxes by factor income less savings</v>
      </c>
      <c r="C26" s="995">
        <f>'C27-PSZrepl'!C26</f>
        <v>3.3405026443464075E-2</v>
      </c>
      <c r="D26" s="995">
        <f>'C27-PSZrepl'!D26</f>
        <v>8.8389543677374616E-3</v>
      </c>
      <c r="E26" s="995">
        <f>'C27-PSZrepl'!E26</f>
        <v>-0.264109535502563</v>
      </c>
      <c r="F26" s="995">
        <f>'C27-PSZrepl'!F26</f>
        <v>-0.27294848987030046</v>
      </c>
      <c r="G26" s="995">
        <f>'C27-PSZrepl'!G26</f>
        <v>-0.2975145619460271</v>
      </c>
      <c r="H26" s="24"/>
      <c r="I26" s="72"/>
      <c r="J26" s="642"/>
    </row>
    <row r="27" spans="1:10" ht="15.6" x14ac:dyDescent="0.3">
      <c r="A27" s="1046" t="s">
        <v>2085</v>
      </c>
      <c r="B27" s="1046"/>
      <c r="C27" s="1047">
        <f>'C27-PSZrepl'!C27</f>
        <v>0.29522462458840537</v>
      </c>
      <c r="D27" s="1047">
        <f>'C27-PSZrepl'!D27</f>
        <v>0.26201577298060741</v>
      </c>
      <c r="E27" s="1047">
        <f>'C27-PSZrepl'!E27</f>
        <v>1.1082822968836537</v>
      </c>
      <c r="F27" s="1047">
        <f>'C27-PSZrepl'!F27</f>
        <v>0.84626652390304624</v>
      </c>
      <c r="G27" s="1047">
        <f>'C27-PSZrepl'!G27</f>
        <v>0.81305767229524828</v>
      </c>
      <c r="H27" s="24"/>
    </row>
    <row r="28" spans="1:10" x14ac:dyDescent="0.3">
      <c r="A28" s="24"/>
      <c r="B28" s="24"/>
      <c r="C28" s="24"/>
      <c r="D28" s="24"/>
      <c r="E28" s="24"/>
      <c r="F28" s="24"/>
      <c r="G28" s="24"/>
    </row>
    <row r="29" spans="1:10" ht="56.25" customHeight="1" x14ac:dyDescent="0.3">
      <c r="A29" s="1366" t="s">
        <v>2043</v>
      </c>
      <c r="B29" s="1366"/>
      <c r="C29" s="1366"/>
      <c r="D29" s="1366"/>
      <c r="E29" s="1366"/>
      <c r="F29" s="1366"/>
      <c r="G29" s="1366"/>
    </row>
    <row r="30" spans="1:10" x14ac:dyDescent="0.3">
      <c r="A30" s="386" t="s">
        <v>1658</v>
      </c>
      <c r="B30" s="124"/>
      <c r="C30" s="642"/>
      <c r="D30" s="642"/>
      <c r="E30" s="642"/>
    </row>
  </sheetData>
  <mergeCells count="3">
    <mergeCell ref="C3:E3"/>
    <mergeCell ref="F3:G3"/>
    <mergeCell ref="A29:G29"/>
  </mergeCells>
  <hyperlinks>
    <hyperlink ref="G1" location="Index!A1" display="Index"/>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4" tint="0.59999389629810485"/>
  </sheetPr>
  <dimension ref="A1:AC30"/>
  <sheetViews>
    <sheetView zoomScaleNormal="100" workbookViewId="0">
      <selection activeCell="B16" sqref="B16"/>
    </sheetView>
  </sheetViews>
  <sheetFormatPr defaultColWidth="9.109375" defaultRowHeight="14.4" x14ac:dyDescent="0.3"/>
  <cols>
    <col min="1" max="1" width="47.21875" style="655" customWidth="1"/>
    <col min="2" max="2" width="6.109375" style="655" customWidth="1"/>
    <col min="3" max="3" width="6.109375" style="1011" customWidth="1"/>
    <col min="4" max="4" width="6.109375" style="655" customWidth="1"/>
    <col min="5" max="5" width="11.44140625" style="1011" customWidth="1"/>
    <col min="6" max="6" width="11.44140625" style="655" customWidth="1"/>
    <col min="7" max="7" width="9.109375" style="655"/>
    <col min="8" max="8" width="10" style="655" bestFit="1" customWidth="1"/>
    <col min="9" max="9" width="11.109375" style="655" customWidth="1"/>
    <col min="10" max="11" width="7.5546875" style="655" customWidth="1"/>
    <col min="12" max="12" width="8.21875" style="655" customWidth="1"/>
    <col min="13" max="13" width="9.109375" style="655"/>
    <col min="14" max="14" width="7.5546875" style="655" customWidth="1"/>
    <col min="15" max="18" width="7.88671875" style="655" customWidth="1"/>
    <col min="19" max="19" width="9.109375" style="655" customWidth="1"/>
    <col min="20" max="20" width="7.88671875" style="655" customWidth="1"/>
    <col min="21" max="22" width="8.77734375" style="655" customWidth="1"/>
    <col min="23" max="24" width="6.77734375" style="655" customWidth="1"/>
    <col min="25" max="25" width="9.109375" style="655" customWidth="1"/>
    <col min="26" max="26" width="8.21875" style="655" customWidth="1"/>
    <col min="27" max="28" width="6.77734375" style="655" customWidth="1"/>
    <col min="29" max="29" width="10.109375" style="655" bestFit="1" customWidth="1"/>
    <col min="30" max="16384" width="9.109375" style="655"/>
  </cols>
  <sheetData>
    <row r="1" spans="1:29" ht="15.6" x14ac:dyDescent="0.3">
      <c r="A1" s="202" t="s">
        <v>1869</v>
      </c>
      <c r="G1" s="462" t="s">
        <v>504</v>
      </c>
    </row>
    <row r="2" spans="1:29" ht="9" customHeight="1" thickBot="1" x14ac:dyDescent="0.35">
      <c r="A2" s="40"/>
      <c r="B2" s="63"/>
      <c r="C2" s="63"/>
      <c r="D2" s="63"/>
      <c r="E2" s="63"/>
      <c r="F2" s="63"/>
    </row>
    <row r="3" spans="1:29" ht="31.5" customHeight="1" thickTop="1" x14ac:dyDescent="0.3">
      <c r="A3" s="1088" t="s">
        <v>1704</v>
      </c>
      <c r="B3" s="1310">
        <v>1962</v>
      </c>
      <c r="C3" s="1310">
        <v>1979</v>
      </c>
      <c r="D3" s="1310">
        <v>2015</v>
      </c>
      <c r="E3" s="1311" t="s">
        <v>1871</v>
      </c>
      <c r="F3" s="1311" t="s">
        <v>2097</v>
      </c>
      <c r="G3" s="24"/>
      <c r="U3" s="1011"/>
      <c r="V3" s="1011"/>
      <c r="W3" s="1011"/>
      <c r="X3" s="1011"/>
      <c r="Y3" s="1011"/>
      <c r="Z3" s="1011"/>
      <c r="AA3" s="1011"/>
    </row>
    <row r="4" spans="1:29" ht="6" customHeight="1" x14ac:dyDescent="0.3">
      <c r="A4" s="832"/>
      <c r="G4" s="289"/>
    </row>
    <row r="5" spans="1:29" ht="12.75" customHeight="1" x14ac:dyDescent="0.3">
      <c r="A5" s="1369" t="s">
        <v>1299</v>
      </c>
      <c r="B5" s="1369"/>
      <c r="C5" s="1188"/>
      <c r="G5" s="1162"/>
      <c r="H5" s="24"/>
      <c r="I5" s="24"/>
      <c r="J5" s="24"/>
      <c r="K5" s="24"/>
      <c r="L5" s="24"/>
      <c r="M5" s="516"/>
      <c r="N5" s="24"/>
      <c r="O5" s="24"/>
      <c r="P5" s="24"/>
      <c r="Q5" s="24"/>
      <c r="R5" s="445"/>
      <c r="S5" s="24"/>
      <c r="T5" s="495"/>
      <c r="U5" s="24"/>
      <c r="V5" s="24"/>
      <c r="W5" s="24"/>
      <c r="X5" s="24"/>
      <c r="Y5" s="24"/>
      <c r="Z5" s="24"/>
      <c r="AA5" s="24"/>
      <c r="AB5" s="24"/>
    </row>
    <row r="6" spans="1:29" ht="13.5" customHeight="1" x14ac:dyDescent="0.3">
      <c r="A6" s="836" t="s">
        <v>1705</v>
      </c>
      <c r="B6" s="736">
        <f>'C2-Shares'!L8*100</f>
        <v>11.120373480640794</v>
      </c>
      <c r="C6" s="736">
        <f>'C2-Shares'!L25*100</f>
        <v>9.489998679223719</v>
      </c>
      <c r="D6" s="689">
        <f>'C2-Shares'!L61*100</f>
        <v>14.118367565625729</v>
      </c>
      <c r="E6" s="687">
        <f>D6-C6</f>
        <v>4.6283688864020096</v>
      </c>
      <c r="F6" s="687">
        <f>D6-B6</f>
        <v>2.9979940849849349</v>
      </c>
      <c r="G6" s="1162"/>
      <c r="H6" s="1244"/>
      <c r="I6" s="24"/>
      <c r="J6" s="24"/>
      <c r="K6" s="24"/>
      <c r="L6" s="24"/>
      <c r="M6" s="248"/>
      <c r="N6" s="248"/>
      <c r="O6" s="248"/>
      <c r="P6" s="248"/>
      <c r="Q6" s="248"/>
      <c r="R6" s="248"/>
      <c r="S6" s="24"/>
      <c r="T6" s="1222"/>
      <c r="U6" s="248"/>
      <c r="V6" s="248"/>
      <c r="W6" s="248"/>
      <c r="X6" s="248"/>
      <c r="Y6" s="248"/>
      <c r="Z6" s="248"/>
      <c r="AA6" s="248"/>
      <c r="AB6" s="248"/>
      <c r="AC6" s="75"/>
    </row>
    <row r="7" spans="1:29" s="1011" customFormat="1" ht="13.5" customHeight="1" x14ac:dyDescent="0.3">
      <c r="A7" s="836" t="s">
        <v>1706</v>
      </c>
      <c r="B7" s="736">
        <v>10.757242332509572</v>
      </c>
      <c r="C7" s="736">
        <v>9.3463787777171028</v>
      </c>
      <c r="D7" s="736">
        <v>14.0456951967184</v>
      </c>
      <c r="E7" s="687">
        <f>D7-C7</f>
        <v>4.6993164190012973</v>
      </c>
      <c r="F7" s="687">
        <f>D7-B7</f>
        <v>3.2884528642088284</v>
      </c>
      <c r="G7" s="1222"/>
      <c r="H7" s="1244"/>
      <c r="I7" s="248"/>
      <c r="J7" s="248"/>
      <c r="K7" s="248"/>
      <c r="L7" s="248"/>
      <c r="M7" s="248"/>
      <c r="N7" s="286"/>
      <c r="O7" s="248"/>
      <c r="P7" s="248"/>
      <c r="Q7" s="248"/>
      <c r="R7" s="248"/>
      <c r="S7" s="248"/>
      <c r="T7" s="286"/>
      <c r="U7" s="248"/>
      <c r="V7" s="248"/>
      <c r="W7" s="248"/>
      <c r="X7" s="248"/>
      <c r="Y7" s="248"/>
      <c r="Z7" s="286"/>
      <c r="AA7" s="285"/>
      <c r="AB7" s="285"/>
      <c r="AC7" s="75"/>
    </row>
    <row r="8" spans="1:29" ht="13.5" customHeight="1" x14ac:dyDescent="0.3">
      <c r="A8" s="1044" t="s">
        <v>1707</v>
      </c>
      <c r="B8" s="736">
        <v>11.464064367279041</v>
      </c>
      <c r="C8" s="736">
        <v>9.6268122742505859</v>
      </c>
      <c r="D8" s="736">
        <v>14.189746627246326</v>
      </c>
      <c r="E8" s="687">
        <f>D8-C8</f>
        <v>4.5629343529957396</v>
      </c>
      <c r="F8" s="1051">
        <f>D8-B8</f>
        <v>2.7256822599672841</v>
      </c>
      <c r="G8" s="1222"/>
      <c r="H8" s="1244"/>
      <c r="I8" s="24"/>
      <c r="J8" s="24"/>
      <c r="K8" s="24"/>
      <c r="L8" s="24"/>
      <c r="M8" s="24"/>
      <c r="N8" s="286"/>
      <c r="O8" s="248"/>
      <c r="P8" s="248"/>
      <c r="Q8" s="248"/>
      <c r="R8" s="248"/>
      <c r="S8" s="248"/>
      <c r="T8" s="286"/>
      <c r="U8" s="24"/>
      <c r="V8" s="24"/>
      <c r="W8" s="24"/>
      <c r="X8" s="24"/>
      <c r="Y8" s="24"/>
      <c r="Z8" s="286"/>
      <c r="AA8" s="24"/>
      <c r="AB8" s="24"/>
      <c r="AC8" s="75"/>
    </row>
    <row r="9" spans="1:29" ht="13.5" customHeight="1" x14ac:dyDescent="0.3">
      <c r="A9" s="1044" t="s">
        <v>1708</v>
      </c>
      <c r="B9" s="736">
        <v>11.223605840132956</v>
      </c>
      <c r="C9" s="736">
        <v>9.6773547290391733</v>
      </c>
      <c r="D9" s="736">
        <v>14.325170058107812</v>
      </c>
      <c r="E9" s="1051">
        <f>D9-C9</f>
        <v>4.6478153290686386</v>
      </c>
      <c r="F9" s="1051">
        <f>D9-B9</f>
        <v>3.1015642179748557</v>
      </c>
      <c r="G9" s="1222"/>
      <c r="H9" s="1244"/>
      <c r="I9" s="248"/>
      <c r="J9" s="516"/>
      <c r="K9" s="248"/>
      <c r="L9" s="248"/>
      <c r="M9" s="248"/>
      <c r="N9" s="286"/>
      <c r="O9" s="248"/>
      <c r="P9" s="248"/>
      <c r="Q9" s="248"/>
      <c r="R9" s="248"/>
      <c r="S9" s="248"/>
      <c r="T9" s="286"/>
      <c r="U9" s="248"/>
      <c r="V9" s="248"/>
      <c r="W9" s="248"/>
      <c r="X9" s="248"/>
      <c r="Y9" s="248"/>
      <c r="Z9" s="286"/>
      <c r="AA9" s="248"/>
      <c r="AB9" s="248"/>
      <c r="AC9" s="75"/>
    </row>
    <row r="10" spans="1:29" ht="11.25" customHeight="1" x14ac:dyDescent="0.3">
      <c r="A10" s="1087"/>
      <c r="B10" s="736"/>
      <c r="C10" s="1303"/>
      <c r="D10" s="689"/>
      <c r="E10" s="687"/>
      <c r="F10" s="687"/>
      <c r="G10" s="1222"/>
      <c r="H10" s="24"/>
      <c r="I10" s="248"/>
      <c r="J10" s="248"/>
      <c r="K10" s="248"/>
      <c r="L10" s="248"/>
      <c r="M10" s="248"/>
      <c r="N10" s="248"/>
      <c r="O10" s="248"/>
      <c r="P10" s="248"/>
      <c r="Q10" s="248"/>
      <c r="R10" s="248"/>
      <c r="S10" s="516"/>
      <c r="T10" s="1154"/>
      <c r="U10" s="285"/>
      <c r="V10" s="285"/>
      <c r="W10" s="285"/>
      <c r="X10" s="285"/>
      <c r="Y10" s="285"/>
      <c r="Z10" s="285"/>
      <c r="AA10" s="285"/>
      <c r="AB10" s="285"/>
      <c r="AC10" s="75"/>
    </row>
    <row r="11" spans="1:29" ht="14.25" customHeight="1" x14ac:dyDescent="0.3">
      <c r="A11" s="1369" t="s">
        <v>1298</v>
      </c>
      <c r="B11" s="1369"/>
      <c r="C11" s="1188"/>
      <c r="D11" s="689"/>
      <c r="E11" s="687"/>
      <c r="F11" s="687"/>
      <c r="G11" s="1222"/>
      <c r="H11" s="24"/>
      <c r="I11" s="248"/>
      <c r="J11" s="248"/>
      <c r="K11" s="248"/>
      <c r="L11" s="248"/>
      <c r="M11" s="248"/>
      <c r="N11" s="248"/>
      <c r="O11" s="248"/>
      <c r="P11" s="248"/>
      <c r="Q11" s="248"/>
      <c r="R11" s="248"/>
      <c r="S11" s="24"/>
      <c r="T11" s="24"/>
      <c r="U11" s="24"/>
      <c r="V11" s="24"/>
      <c r="W11" s="24"/>
      <c r="X11" s="24"/>
      <c r="Y11" s="24"/>
      <c r="Z11" s="24"/>
      <c r="AA11" s="24"/>
      <c r="AB11" s="24"/>
      <c r="AC11" s="75"/>
    </row>
    <row r="12" spans="1:29" ht="13.5" customHeight="1" x14ac:dyDescent="0.3">
      <c r="A12" s="836" t="s">
        <v>1709</v>
      </c>
      <c r="B12" s="736">
        <f>'C2-Shares'!AB$8*100</f>
        <v>8.3180970305290121</v>
      </c>
      <c r="C12" s="736">
        <f>'C2-Shares'!AB$25*100</f>
        <v>7.2139807023017672</v>
      </c>
      <c r="D12" s="736">
        <f>'C2-Shares'!AB$61*100</f>
        <v>8.5472598105556035</v>
      </c>
      <c r="E12" s="687">
        <f>D12-C12</f>
        <v>1.3332791082538362</v>
      </c>
      <c r="F12" s="689">
        <f>D12-B12</f>
        <v>0.22916278002659141</v>
      </c>
      <c r="G12" s="1222"/>
      <c r="H12" s="1244"/>
      <c r="I12" s="248"/>
      <c r="J12" s="248"/>
      <c r="K12" s="248"/>
      <c r="L12" s="248"/>
      <c r="M12" s="248"/>
      <c r="N12" s="286"/>
      <c r="O12" s="248"/>
      <c r="P12" s="248"/>
      <c r="Q12" s="248"/>
      <c r="R12" s="248"/>
      <c r="S12" s="24"/>
      <c r="T12" s="1222"/>
      <c r="U12" s="276"/>
      <c r="V12" s="276"/>
      <c r="W12" s="276"/>
      <c r="X12" s="276"/>
      <c r="Y12" s="276"/>
      <c r="Z12" s="248"/>
      <c r="AA12" s="248"/>
      <c r="AB12" s="248"/>
      <c r="AC12" s="75"/>
    </row>
    <row r="13" spans="1:29" ht="13.5" customHeight="1" x14ac:dyDescent="0.3">
      <c r="A13" s="836" t="s">
        <v>1710</v>
      </c>
      <c r="B13" s="736">
        <v>8.2578853319902379</v>
      </c>
      <c r="C13" s="736">
        <v>7.1053113443627263</v>
      </c>
      <c r="D13" s="736">
        <v>8.4368658426808096</v>
      </c>
      <c r="E13" s="687">
        <f>D13-C13</f>
        <v>1.3315544983180834</v>
      </c>
      <c r="F13" s="689">
        <f>D13-B13</f>
        <v>0.17898051069057175</v>
      </c>
      <c r="G13" s="1222"/>
      <c r="H13" s="1244"/>
      <c r="I13" s="248"/>
      <c r="J13" s="248"/>
      <c r="K13" s="248"/>
      <c r="L13" s="248"/>
      <c r="M13" s="248"/>
      <c r="N13" s="286"/>
      <c r="O13" s="248"/>
      <c r="P13" s="248"/>
      <c r="Q13" s="248"/>
      <c r="R13" s="248"/>
      <c r="S13" s="248"/>
      <c r="T13" s="1154"/>
      <c r="U13" s="516"/>
      <c r="V13" s="516"/>
      <c r="W13" s="516"/>
      <c r="X13" s="516"/>
      <c r="Y13" s="285"/>
      <c r="Z13" s="248"/>
      <c r="AA13" s="285"/>
      <c r="AB13" s="285"/>
      <c r="AC13" s="75"/>
    </row>
    <row r="14" spans="1:29" s="1011" customFormat="1" ht="9.75" customHeight="1" x14ac:dyDescent="0.3">
      <c r="A14" s="836"/>
      <c r="B14" s="736"/>
      <c r="C14" s="736"/>
      <c r="D14" s="689"/>
      <c r="E14" s="689"/>
      <c r="F14" s="689"/>
      <c r="G14" s="1222"/>
      <c r="H14" s="1244"/>
      <c r="I14" s="248"/>
      <c r="J14" s="248"/>
      <c r="K14" s="248"/>
      <c r="L14" s="248"/>
      <c r="M14" s="248"/>
      <c r="N14" s="286"/>
      <c r="O14" s="248"/>
      <c r="P14" s="248"/>
      <c r="Q14" s="248"/>
      <c r="R14" s="248"/>
      <c r="S14" s="248"/>
      <c r="T14" s="1154"/>
      <c r="U14" s="285"/>
      <c r="V14" s="285"/>
      <c r="W14" s="285"/>
      <c r="X14" s="285"/>
      <c r="Y14" s="285"/>
      <c r="Z14" s="285"/>
      <c r="AA14" s="285"/>
      <c r="AB14" s="285"/>
      <c r="AC14" s="75"/>
    </row>
    <row r="15" spans="1:29" s="1011" customFormat="1" ht="13.5" customHeight="1" x14ac:dyDescent="0.3">
      <c r="A15" s="1369" t="s">
        <v>1873</v>
      </c>
      <c r="B15" s="1369"/>
      <c r="C15" s="1205"/>
      <c r="D15" s="689"/>
      <c r="E15" s="687"/>
      <c r="F15" s="687"/>
      <c r="G15" s="1222"/>
      <c r="H15" s="1245"/>
      <c r="I15" s="248"/>
      <c r="J15" s="248"/>
      <c r="K15" s="248"/>
      <c r="L15" s="248"/>
      <c r="M15" s="248"/>
      <c r="N15" s="248"/>
      <c r="O15" s="248"/>
      <c r="P15" s="248"/>
      <c r="Q15" s="248"/>
      <c r="R15" s="248"/>
      <c r="S15" s="248"/>
      <c r="T15" s="1154"/>
      <c r="U15" s="285"/>
      <c r="V15" s="285"/>
      <c r="W15" s="285"/>
      <c r="X15" s="285"/>
      <c r="Y15" s="285"/>
      <c r="Z15" s="285"/>
      <c r="AA15" s="285"/>
      <c r="AB15" s="285"/>
      <c r="AC15" s="75"/>
    </row>
    <row r="16" spans="1:29" s="1011" customFormat="1" ht="13.5" customHeight="1" x14ac:dyDescent="0.3">
      <c r="A16" s="836" t="s">
        <v>2088</v>
      </c>
      <c r="B16" s="736">
        <f>'C2-Shares'!AB$8*100</f>
        <v>8.3180970305290121</v>
      </c>
      <c r="C16" s="736">
        <f>'C2-Shares'!AB$25*100</f>
        <v>7.2139807023017672</v>
      </c>
      <c r="D16" s="736">
        <f>'C2-Shares'!AB$61*100</f>
        <v>8.5472598105556035</v>
      </c>
      <c r="E16" s="687">
        <f>D16-C16</f>
        <v>1.3332791082538362</v>
      </c>
      <c r="F16" s="689">
        <f>D16-B16</f>
        <v>0.22916278002659141</v>
      </c>
      <c r="G16" s="1222"/>
      <c r="H16" s="1245"/>
      <c r="I16" s="248"/>
      <c r="J16" s="248"/>
      <c r="K16" s="248"/>
      <c r="L16" s="248"/>
      <c r="M16" s="248"/>
      <c r="N16" s="248"/>
      <c r="O16" s="248"/>
      <c r="P16" s="248"/>
      <c r="Q16" s="248"/>
      <c r="R16" s="248"/>
      <c r="S16" s="248"/>
      <c r="T16" s="1154"/>
      <c r="U16" s="285"/>
      <c r="V16" s="285"/>
      <c r="W16" s="285"/>
      <c r="X16" s="285"/>
      <c r="Y16" s="285"/>
      <c r="Z16" s="285"/>
      <c r="AA16" s="285"/>
      <c r="AB16" s="285"/>
      <c r="AC16" s="75"/>
    </row>
    <row r="17" spans="1:29" s="1281" customFormat="1" ht="13.5" customHeight="1" x14ac:dyDescent="0.3">
      <c r="A17" s="836" t="s">
        <v>2089</v>
      </c>
      <c r="B17" s="736">
        <v>8.6775882985687094</v>
      </c>
      <c r="C17" s="736">
        <v>7.5232073157818897</v>
      </c>
      <c r="D17" s="736">
        <v>8.8896055261328648</v>
      </c>
      <c r="E17" s="689">
        <f>D17-C17</f>
        <v>1.3663982103509751</v>
      </c>
      <c r="F17" s="689">
        <f>D17-B17</f>
        <v>0.21201722756415542</v>
      </c>
      <c r="G17" s="1222"/>
      <c r="H17" s="1245"/>
      <c r="I17" s="1245"/>
      <c r="J17" s="1245"/>
      <c r="K17" s="248"/>
      <c r="L17" s="248"/>
      <c r="M17" s="248"/>
      <c r="N17" s="248"/>
      <c r="O17" s="248"/>
      <c r="P17" s="248"/>
      <c r="Q17" s="248"/>
      <c r="R17" s="248"/>
      <c r="S17" s="248"/>
      <c r="T17" s="1154"/>
      <c r="U17" s="285"/>
      <c r="V17" s="285"/>
      <c r="W17" s="285"/>
      <c r="X17" s="285"/>
      <c r="Y17" s="285"/>
      <c r="Z17" s="285"/>
      <c r="AA17" s="285"/>
      <c r="AB17" s="285"/>
      <c r="AC17" s="75"/>
    </row>
    <row r="18" spans="1:29" s="1011" customFormat="1" ht="14.25" customHeight="1" x14ac:dyDescent="0.3">
      <c r="A18" s="836" t="s">
        <v>2090</v>
      </c>
      <c r="B18" s="736">
        <v>7.9862768975605025</v>
      </c>
      <c r="C18" s="736">
        <v>6.9307721287608075</v>
      </c>
      <c r="D18" s="736">
        <v>8.2338149493663906</v>
      </c>
      <c r="E18" s="689">
        <f>D18-C18</f>
        <v>1.3030428206055831</v>
      </c>
      <c r="F18" s="689">
        <f>D18-B18</f>
        <v>0.24753805180588806</v>
      </c>
      <c r="G18" s="1222"/>
      <c r="H18" s="1245"/>
      <c r="I18" s="1245"/>
      <c r="J18" s="1245"/>
      <c r="K18" s="248"/>
      <c r="L18" s="248"/>
      <c r="M18" s="248"/>
      <c r="N18" s="286"/>
      <c r="O18" s="248"/>
      <c r="P18" s="248"/>
      <c r="Q18" s="248"/>
      <c r="R18" s="248"/>
      <c r="S18" s="248"/>
      <c r="T18" s="286"/>
      <c r="U18" s="248"/>
      <c r="V18" s="248"/>
      <c r="W18" s="285"/>
      <c r="X18" s="285"/>
      <c r="Y18" s="285"/>
      <c r="Z18" s="285"/>
      <c r="AA18" s="285"/>
      <c r="AB18" s="285"/>
      <c r="AC18" s="75"/>
    </row>
    <row r="19" spans="1:29" s="1281" customFormat="1" ht="9.75" customHeight="1" x14ac:dyDescent="0.3">
      <c r="A19" s="836"/>
      <c r="B19" s="1303"/>
      <c r="C19" s="1303"/>
      <c r="D19" s="1303"/>
      <c r="E19" s="689"/>
      <c r="F19" s="689"/>
      <c r="G19" s="1222"/>
      <c r="H19" s="1244"/>
      <c r="I19" s="248"/>
      <c r="J19" s="248"/>
      <c r="K19" s="248"/>
      <c r="L19" s="248"/>
      <c r="M19" s="248"/>
      <c r="N19" s="286"/>
      <c r="O19" s="248"/>
      <c r="P19" s="248"/>
      <c r="Q19" s="248"/>
      <c r="R19" s="248"/>
      <c r="S19" s="248"/>
      <c r="T19" s="286"/>
      <c r="U19" s="248"/>
      <c r="V19" s="248"/>
      <c r="W19" s="285"/>
      <c r="X19" s="285"/>
      <c r="Y19" s="285"/>
      <c r="Z19" s="285"/>
      <c r="AA19" s="285"/>
      <c r="AB19" s="285"/>
      <c r="AC19" s="75"/>
    </row>
    <row r="20" spans="1:29" s="1281" customFormat="1" ht="14.25" customHeight="1" x14ac:dyDescent="0.3">
      <c r="A20" s="1369" t="s">
        <v>2034</v>
      </c>
      <c r="B20" s="1369"/>
      <c r="C20" s="1277"/>
      <c r="D20" s="689"/>
      <c r="E20" s="687"/>
      <c r="F20" s="687"/>
      <c r="G20" s="1222"/>
      <c r="H20" s="1244"/>
      <c r="I20" s="248"/>
      <c r="J20" s="248"/>
      <c r="K20" s="248"/>
      <c r="L20" s="248"/>
      <c r="M20" s="248"/>
      <c r="N20" s="286"/>
      <c r="O20" s="248"/>
      <c r="P20" s="248"/>
      <c r="Q20" s="248"/>
      <c r="R20" s="248"/>
      <c r="S20" s="248"/>
      <c r="T20" s="286"/>
      <c r="U20" s="248"/>
      <c r="V20" s="248"/>
      <c r="W20" s="285"/>
      <c r="X20" s="285"/>
      <c r="Y20" s="285"/>
      <c r="Z20" s="285"/>
      <c r="AA20" s="285"/>
      <c r="AB20" s="285"/>
      <c r="AC20" s="75"/>
    </row>
    <row r="21" spans="1:29" s="1281" customFormat="1" ht="14.25" customHeight="1" x14ac:dyDescent="0.3">
      <c r="A21" s="836" t="s">
        <v>2035</v>
      </c>
      <c r="B21" s="736">
        <v>8.131469855672826</v>
      </c>
      <c r="C21" s="736">
        <v>7.0026336397802886</v>
      </c>
      <c r="D21" s="736">
        <v>9.0732677754056112</v>
      </c>
      <c r="E21" s="687">
        <f>D21-C21</f>
        <v>2.0706341356253226</v>
      </c>
      <c r="F21" s="689">
        <f>D21-B21</f>
        <v>0.94179791973278526</v>
      </c>
      <c r="G21" s="1156"/>
      <c r="H21" s="1244"/>
      <c r="I21" s="248"/>
      <c r="J21" s="248"/>
      <c r="K21" s="248"/>
      <c r="L21" s="248"/>
      <c r="M21" s="248"/>
      <c r="N21" s="286"/>
      <c r="O21" s="248"/>
      <c r="P21" s="445"/>
      <c r="Q21" s="445"/>
      <c r="R21" s="445"/>
      <c r="S21" s="445"/>
      <c r="T21" s="286"/>
      <c r="U21" s="248"/>
      <c r="V21" s="248"/>
      <c r="W21" s="285"/>
      <c r="X21" s="285"/>
      <c r="Y21" s="285"/>
      <c r="Z21" s="285"/>
      <c r="AA21" s="285"/>
      <c r="AB21" s="285"/>
      <c r="AC21" s="75"/>
    </row>
    <row r="22" spans="1:29" s="1281" customFormat="1" ht="14.25" customHeight="1" x14ac:dyDescent="0.3">
      <c r="A22" s="836" t="s">
        <v>2033</v>
      </c>
      <c r="B22" s="736">
        <f>'C2-Shares'!AB$8*100</f>
        <v>8.3180970305290121</v>
      </c>
      <c r="C22" s="736">
        <f>'C2-Shares'!AB$25*100</f>
        <v>7.2139807023017672</v>
      </c>
      <c r="D22" s="736">
        <f>'C2-Shares'!AB$61*100</f>
        <v>8.5472598105556035</v>
      </c>
      <c r="E22" s="687">
        <f>D22-C22</f>
        <v>1.3332791082538362</v>
      </c>
      <c r="F22" s="689">
        <f>D22-B22</f>
        <v>0.22916278002659141</v>
      </c>
      <c r="G22" s="1222"/>
      <c r="H22" s="1244"/>
      <c r="I22" s="248"/>
      <c r="J22" s="248"/>
      <c r="K22" s="248"/>
      <c r="L22" s="248"/>
      <c r="M22" s="248"/>
      <c r="N22" s="286"/>
      <c r="O22" s="248"/>
      <c r="P22" s="445"/>
      <c r="Q22" s="445"/>
      <c r="R22" s="248"/>
      <c r="S22" s="248"/>
      <c r="T22" s="286"/>
      <c r="U22" s="248"/>
      <c r="V22" s="248"/>
      <c r="W22" s="285"/>
      <c r="X22" s="285"/>
      <c r="Y22" s="285"/>
      <c r="Z22" s="285"/>
      <c r="AA22" s="285"/>
      <c r="AB22" s="285"/>
      <c r="AC22" s="75"/>
    </row>
    <row r="23" spans="1:29" s="1281" customFormat="1" ht="14.25" customHeight="1" x14ac:dyDescent="0.3">
      <c r="A23" s="1243" t="s">
        <v>2036</v>
      </c>
      <c r="B23" s="828">
        <v>7.7904341841778653</v>
      </c>
      <c r="C23" s="828">
        <v>6.5293295911008142</v>
      </c>
      <c r="D23" s="828">
        <v>7.4159147793193227</v>
      </c>
      <c r="E23" s="691">
        <f>D23-C23</f>
        <v>0.88658518821850851</v>
      </c>
      <c r="F23" s="691">
        <f>D23-B23</f>
        <v>-0.37451940485854252</v>
      </c>
      <c r="G23" s="1156"/>
      <c r="H23" s="1244"/>
      <c r="I23" s="248"/>
      <c r="J23" s="248"/>
      <c r="K23" s="248"/>
      <c r="L23" s="248"/>
      <c r="M23" s="248"/>
      <c r="N23" s="286"/>
      <c r="O23" s="248"/>
      <c r="P23" s="445"/>
      <c r="Q23" s="445"/>
      <c r="R23" s="445"/>
      <c r="S23" s="445"/>
      <c r="T23" s="286"/>
      <c r="U23" s="248"/>
      <c r="V23" s="248"/>
      <c r="W23" s="285"/>
      <c r="X23" s="285"/>
      <c r="Y23" s="285"/>
      <c r="Z23" s="285"/>
      <c r="AA23" s="285"/>
      <c r="AB23" s="285"/>
      <c r="AC23" s="75"/>
    </row>
    <row r="24" spans="1:29" s="1281" customFormat="1" ht="14.25" customHeight="1" x14ac:dyDescent="0.3">
      <c r="A24" s="836"/>
      <c r="B24" s="736"/>
      <c r="C24" s="736"/>
      <c r="D24" s="736"/>
      <c r="E24" s="689"/>
      <c r="F24" s="689"/>
      <c r="G24" s="1222"/>
      <c r="H24" s="1244"/>
      <c r="I24" s="248"/>
      <c r="J24" s="248"/>
      <c r="K24" s="248"/>
      <c r="L24" s="248"/>
      <c r="M24" s="248"/>
      <c r="N24" s="286"/>
      <c r="O24" s="248"/>
      <c r="P24" s="248"/>
      <c r="Q24" s="248"/>
      <c r="R24" s="248"/>
      <c r="S24" s="248"/>
      <c r="T24" s="286"/>
      <c r="U24" s="248"/>
      <c r="V24" s="248"/>
      <c r="W24" s="285"/>
      <c r="X24" s="285"/>
      <c r="Y24" s="285"/>
      <c r="Z24" s="285"/>
      <c r="AA24" s="285"/>
      <c r="AB24" s="285"/>
      <c r="AC24" s="75"/>
    </row>
    <row r="25" spans="1:29" ht="27.75" customHeight="1" x14ac:dyDescent="0.3">
      <c r="A25" s="1370" t="s">
        <v>1300</v>
      </c>
      <c r="B25" s="1370"/>
      <c r="C25" s="1370"/>
      <c r="D25" s="1370"/>
      <c r="E25" s="1370"/>
      <c r="F25" s="1370"/>
      <c r="G25" s="24"/>
      <c r="H25" s="24"/>
      <c r="I25" s="24"/>
      <c r="J25" s="24"/>
      <c r="K25" s="24"/>
      <c r="L25" s="24"/>
      <c r="M25" s="248"/>
      <c r="N25" s="24"/>
      <c r="O25" s="24"/>
      <c r="P25" s="24"/>
      <c r="Q25" s="24"/>
      <c r="R25" s="24"/>
      <c r="S25" s="24"/>
      <c r="T25" s="24"/>
      <c r="U25" s="24"/>
      <c r="V25" s="24"/>
      <c r="W25" s="24"/>
      <c r="X25" s="24"/>
      <c r="Y25" s="24"/>
      <c r="Z25" s="24"/>
      <c r="AA25" s="24"/>
      <c r="AB25" s="24"/>
    </row>
    <row r="26" spans="1:29" ht="12" customHeight="1" x14ac:dyDescent="0.3">
      <c r="A26" s="386" t="s">
        <v>1658</v>
      </c>
      <c r="B26" s="124"/>
      <c r="C26" s="124"/>
      <c r="D26" s="124"/>
      <c r="E26" s="124"/>
      <c r="F26" s="124"/>
      <c r="G26" s="24"/>
      <c r="H26" s="24"/>
      <c r="I26" s="24"/>
      <c r="J26" s="24"/>
      <c r="K26" s="24"/>
      <c r="L26" s="24"/>
      <c r="M26" s="24"/>
      <c r="N26" s="24"/>
      <c r="O26" s="24"/>
      <c r="P26" s="24"/>
      <c r="Q26" s="24"/>
      <c r="R26" s="24"/>
      <c r="S26" s="24"/>
      <c r="T26" s="24"/>
      <c r="U26" s="24"/>
      <c r="V26" s="24"/>
      <c r="W26" s="24"/>
      <c r="X26" s="24"/>
      <c r="Y26" s="24"/>
      <c r="Z26" s="24"/>
      <c r="AA26" s="24"/>
      <c r="AB26" s="24"/>
    </row>
    <row r="27" spans="1:29" ht="12" customHeight="1" x14ac:dyDescent="0.3">
      <c r="A27" s="98"/>
      <c r="B27" s="124"/>
      <c r="C27" s="124"/>
      <c r="D27" s="124"/>
      <c r="E27" s="124"/>
      <c r="F27" s="124"/>
      <c r="G27" s="24"/>
      <c r="H27" s="1244"/>
      <c r="I27" s="248"/>
      <c r="J27" s="248"/>
      <c r="K27" s="248"/>
      <c r="L27" s="248"/>
      <c r="M27" s="248"/>
      <c r="N27" s="286"/>
      <c r="O27" s="24"/>
      <c r="P27" s="24"/>
      <c r="Q27" s="24"/>
      <c r="R27" s="24"/>
      <c r="S27" s="24"/>
      <c r="T27" s="24"/>
      <c r="U27" s="24"/>
      <c r="V27" s="24"/>
      <c r="W27" s="24"/>
      <c r="X27" s="24"/>
      <c r="Y27" s="24"/>
      <c r="Z27" s="24"/>
      <c r="AA27" s="24"/>
      <c r="AB27" s="24"/>
    </row>
    <row r="28" spans="1:29" s="879" customFormat="1" ht="54.75" customHeight="1" x14ac:dyDescent="0.3">
      <c r="A28" s="1367" t="s">
        <v>2167</v>
      </c>
      <c r="B28" s="1368"/>
      <c r="C28" s="1368"/>
      <c r="D28" s="1368"/>
      <c r="E28" s="1368"/>
      <c r="F28" s="1368"/>
      <c r="G28" s="24"/>
      <c r="H28" s="1244"/>
      <c r="I28" s="24"/>
      <c r="J28" s="24"/>
      <c r="K28" s="24"/>
      <c r="L28" s="24"/>
      <c r="M28" s="24"/>
      <c r="N28" s="286"/>
      <c r="O28" s="24"/>
      <c r="P28" s="24"/>
      <c r="Q28" s="24"/>
      <c r="R28" s="24"/>
      <c r="S28" s="24"/>
      <c r="T28" s="24"/>
      <c r="U28" s="961"/>
      <c r="V28" s="961"/>
      <c r="W28" s="961"/>
      <c r="X28" s="961"/>
      <c r="Y28" s="961"/>
      <c r="Z28" s="961"/>
      <c r="AA28" s="961"/>
      <c r="AB28" s="1246"/>
      <c r="AC28" s="1011"/>
    </row>
    <row r="29" spans="1:29" x14ac:dyDescent="0.3">
      <c r="A29" s="1011"/>
    </row>
    <row r="30" spans="1:29" x14ac:dyDescent="0.3">
      <c r="A30" s="1011"/>
    </row>
  </sheetData>
  <mergeCells count="6">
    <mergeCell ref="A28:F28"/>
    <mergeCell ref="A5:B5"/>
    <mergeCell ref="A25:F25"/>
    <mergeCell ref="A11:B11"/>
    <mergeCell ref="A15:B15"/>
    <mergeCell ref="A20:B20"/>
  </mergeCells>
  <hyperlinks>
    <hyperlink ref="G1" location="Index!A1" display="Index"/>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4" tint="0.59999389629810485"/>
  </sheetPr>
  <dimension ref="A1:I90"/>
  <sheetViews>
    <sheetView workbookViewId="0">
      <selection activeCell="G55" sqref="G55"/>
    </sheetView>
  </sheetViews>
  <sheetFormatPr defaultColWidth="9.109375" defaultRowHeight="14.4" x14ac:dyDescent="0.3"/>
  <cols>
    <col min="1" max="1" width="9.109375" style="879"/>
    <col min="2" max="3" width="11.88671875" style="879" customWidth="1"/>
    <col min="4" max="4" width="10.5546875" style="879" customWidth="1"/>
    <col min="5" max="5" width="10.88671875" style="879" customWidth="1"/>
    <col min="6" max="16384" width="9.109375" style="879"/>
  </cols>
  <sheetData>
    <row r="1" spans="1:6" ht="16.2" x14ac:dyDescent="0.35">
      <c r="A1" s="202" t="s">
        <v>2136</v>
      </c>
      <c r="F1" s="462" t="s">
        <v>504</v>
      </c>
    </row>
    <row r="28" spans="1:9" ht="29.25" customHeight="1" x14ac:dyDescent="0.3">
      <c r="A28" s="1370" t="s">
        <v>2046</v>
      </c>
      <c r="B28" s="1370"/>
      <c r="C28" s="1370"/>
      <c r="D28" s="1370"/>
      <c r="E28" s="1370"/>
      <c r="F28" s="1370"/>
      <c r="G28" s="1370"/>
      <c r="H28" s="1370"/>
      <c r="I28" s="1370"/>
    </row>
    <row r="29" spans="1:9" x14ac:dyDescent="0.3">
      <c r="A29" s="211" t="s">
        <v>1671</v>
      </c>
    </row>
    <row r="31" spans="1:9" x14ac:dyDescent="0.3">
      <c r="A31" s="404" t="s">
        <v>1493</v>
      </c>
      <c r="B31" s="11"/>
      <c r="C31" s="11"/>
      <c r="D31" s="11"/>
      <c r="E31" s="11"/>
    </row>
    <row r="32" spans="1:9" ht="30" customHeight="1" x14ac:dyDescent="0.3">
      <c r="A32" s="970"/>
      <c r="B32" s="425" t="s">
        <v>1490</v>
      </c>
      <c r="C32" s="425" t="s">
        <v>1491</v>
      </c>
      <c r="D32" s="425" t="s">
        <v>1494</v>
      </c>
      <c r="E32" s="425" t="s">
        <v>1492</v>
      </c>
    </row>
    <row r="33" spans="1:9" ht="13.5" customHeight="1" x14ac:dyDescent="0.3">
      <c r="A33" s="170">
        <v>1960</v>
      </c>
      <c r="B33" s="424">
        <v>0.12591519166871309</v>
      </c>
      <c r="C33" s="424">
        <f>'C2-Shares'!L6</f>
        <v>0.1103860864630547</v>
      </c>
      <c r="D33" s="424">
        <v>0.10015657326110061</v>
      </c>
      <c r="E33" s="424">
        <f>'C2-Shares'!AB6</f>
        <v>7.8989479518218247E-2</v>
      </c>
      <c r="F33" s="697"/>
      <c r="G33" s="697"/>
      <c r="H33" s="697"/>
      <c r="I33" s="697"/>
    </row>
    <row r="34" spans="1:9" ht="13.5" customHeight="1" x14ac:dyDescent="0.3">
      <c r="A34" s="170">
        <f>A33+1</f>
        <v>1961</v>
      </c>
      <c r="B34" s="424">
        <v>0.12453469169407759</v>
      </c>
      <c r="C34" s="424">
        <f>'C2-Shares'!L7</f>
        <v>0.11081719513306594</v>
      </c>
      <c r="D34" s="424">
        <v>9.6557325937502436E-2</v>
      </c>
      <c r="E34" s="424">
        <f>'C2-Shares'!AB7</f>
        <v>8.1199464095742274E-2</v>
      </c>
    </row>
    <row r="35" spans="1:9" ht="13.5" customHeight="1" x14ac:dyDescent="0.3">
      <c r="A35" s="170">
        <f t="shared" ref="A35:A88" si="0">A34+1</f>
        <v>1962</v>
      </c>
      <c r="B35" s="424">
        <v>0.12573906779289246</v>
      </c>
      <c r="C35" s="424">
        <f>'C2-Shares'!L8</f>
        <v>0.11120373480640794</v>
      </c>
      <c r="D35" s="424">
        <v>0.10066854953765869</v>
      </c>
      <c r="E35" s="424">
        <f>'C2-Shares'!AB8</f>
        <v>8.3180970305290119E-2</v>
      </c>
      <c r="F35" s="697"/>
      <c r="G35" s="697"/>
      <c r="H35" s="697"/>
      <c r="I35" s="697"/>
    </row>
    <row r="36" spans="1:9" ht="13.5" customHeight="1" x14ac:dyDescent="0.3">
      <c r="A36" s="170">
        <f t="shared" si="0"/>
        <v>1963</v>
      </c>
      <c r="B36" s="424">
        <v>0.127462238073349</v>
      </c>
      <c r="C36" s="424">
        <f>'C2-Shares'!L9</f>
        <v>0.11305834004238841</v>
      </c>
      <c r="D36" s="424">
        <v>0.10268303379416466</v>
      </c>
      <c r="E36" s="424">
        <f>'C2-Shares'!AB9</f>
        <v>8.4699843262851141E-2</v>
      </c>
    </row>
    <row r="37" spans="1:9" ht="13.5" customHeight="1" x14ac:dyDescent="0.3">
      <c r="A37" s="170">
        <f t="shared" si="0"/>
        <v>1964</v>
      </c>
      <c r="B37" s="424">
        <v>0.12919537723064423</v>
      </c>
      <c r="C37" s="424">
        <f>'C2-Shares'!L10</f>
        <v>0.1146899307735081</v>
      </c>
      <c r="D37" s="424">
        <v>0.10469751805067062</v>
      </c>
      <c r="E37" s="424">
        <f>'C2-Shares'!AB10</f>
        <v>8.6036076453784915E-2</v>
      </c>
    </row>
    <row r="38" spans="1:9" ht="13.5" customHeight="1" x14ac:dyDescent="0.3">
      <c r="A38" s="170">
        <f t="shared" si="0"/>
        <v>1965</v>
      </c>
      <c r="B38" s="424">
        <v>0.127784363925457</v>
      </c>
      <c r="C38" s="424">
        <f>'C2-Shares'!L11</f>
        <v>0.11494324669163405</v>
      </c>
      <c r="D38" s="424">
        <v>0.10321642458438873</v>
      </c>
      <c r="E38" s="424">
        <f>'C2-Shares'!AB11</f>
        <v>8.7343239886431404E-2</v>
      </c>
    </row>
    <row r="39" spans="1:9" ht="13.5" customHeight="1" x14ac:dyDescent="0.3">
      <c r="A39" s="170">
        <f t="shared" si="0"/>
        <v>1966</v>
      </c>
      <c r="B39" s="424">
        <v>0.12638157606124878</v>
      </c>
      <c r="C39" s="424">
        <f>'C2-Shares'!L12</f>
        <v>0.11515736868552763</v>
      </c>
      <c r="D39" s="424">
        <v>0.10173679143190384</v>
      </c>
      <c r="E39" s="424">
        <f>'C2-Shares'!AB12</f>
        <v>8.8448156715799003E-2</v>
      </c>
    </row>
    <row r="40" spans="1:9" ht="13.5" customHeight="1" x14ac:dyDescent="0.3">
      <c r="A40" s="170">
        <f t="shared" si="0"/>
        <v>1967</v>
      </c>
      <c r="B40" s="424">
        <v>0.12336727976799011</v>
      </c>
      <c r="C40" s="424">
        <f>'C2-Shares'!L13</f>
        <v>0.11224971747213815</v>
      </c>
      <c r="D40" s="424">
        <v>9.605623222887516E-2</v>
      </c>
      <c r="E40" s="424">
        <f>'C2-Shares'!AB13</f>
        <v>8.153302970705105E-2</v>
      </c>
    </row>
    <row r="41" spans="1:9" ht="13.5" customHeight="1" x14ac:dyDescent="0.3">
      <c r="A41" s="170">
        <f t="shared" si="0"/>
        <v>1968</v>
      </c>
      <c r="B41" s="424">
        <v>0.12171453237533569</v>
      </c>
      <c r="C41" s="424">
        <f>'C2-Shares'!L14</f>
        <v>0.11145129761914908</v>
      </c>
      <c r="D41" s="424">
        <v>9.2759302351623774E-2</v>
      </c>
      <c r="E41" s="424">
        <f>'C2-Shares'!AB14</f>
        <v>7.9426378845157936E-2</v>
      </c>
    </row>
    <row r="42" spans="1:9" ht="13.5" customHeight="1" x14ac:dyDescent="0.3">
      <c r="A42" s="170">
        <f t="shared" si="0"/>
        <v>1969</v>
      </c>
      <c r="B42" s="424">
        <v>0.1149782408028841</v>
      </c>
      <c r="C42" s="424">
        <f>'C2-Shares'!L15</f>
        <v>0.10106026471086935</v>
      </c>
      <c r="D42" s="424">
        <v>8.7514247396029532E-2</v>
      </c>
      <c r="E42" s="424">
        <f>'C2-Shares'!AB15</f>
        <v>7.2454336341204142E-2</v>
      </c>
    </row>
    <row r="43" spans="1:9" ht="13.5" customHeight="1" x14ac:dyDescent="0.3">
      <c r="A43" s="170">
        <f t="shared" si="0"/>
        <v>1970</v>
      </c>
      <c r="B43" s="424">
        <v>0.11042817542329431</v>
      </c>
      <c r="C43" s="424">
        <f>'C2-Shares'!L16</f>
        <v>9.3299155800116204E-2</v>
      </c>
      <c r="D43" s="424">
        <v>8.4887352684745565E-2</v>
      </c>
      <c r="E43" s="424">
        <f>'C2-Shares'!AB16</f>
        <v>6.5568941024082714E-2</v>
      </c>
    </row>
    <row r="44" spans="1:9" ht="13.5" customHeight="1" x14ac:dyDescent="0.3">
      <c r="A44" s="170">
        <f t="shared" si="0"/>
        <v>1971</v>
      </c>
      <c r="B44" s="424">
        <v>0.11082132125739008</v>
      </c>
      <c r="C44" s="424">
        <f>'C2-Shares'!L17</f>
        <v>9.6309616480635699E-2</v>
      </c>
      <c r="D44" s="424">
        <v>8.5458639288845006E-2</v>
      </c>
      <c r="E44" s="424">
        <f>'C2-Shares'!AB17</f>
        <v>6.7289153268485863E-2</v>
      </c>
    </row>
    <row r="45" spans="1:9" ht="13.5" customHeight="1" x14ac:dyDescent="0.3">
      <c r="A45" s="170">
        <f t="shared" si="0"/>
        <v>1972</v>
      </c>
      <c r="B45" s="424">
        <v>0.11084715268225409</v>
      </c>
      <c r="C45" s="424">
        <f>'C2-Shares'!L18</f>
        <v>9.8115968640821435E-2</v>
      </c>
      <c r="D45" s="424">
        <v>8.6487888178453431E-2</v>
      </c>
      <c r="E45" s="424">
        <f>'C2-Shares'!AB18</f>
        <v>6.9600404183633544E-2</v>
      </c>
    </row>
    <row r="46" spans="1:9" ht="13.5" customHeight="1" x14ac:dyDescent="0.3">
      <c r="A46" s="170">
        <f t="shared" si="0"/>
        <v>1973</v>
      </c>
      <c r="B46" s="424">
        <v>0.10920314674876863</v>
      </c>
      <c r="C46" s="424">
        <f>'C2-Shares'!L19</f>
        <v>9.7143648904541954E-2</v>
      </c>
      <c r="D46" s="424">
        <v>8.6489023362901207E-2</v>
      </c>
      <c r="E46" s="424">
        <f>'C2-Shares'!AB19</f>
        <v>7.3304543140487885E-2</v>
      </c>
    </row>
    <row r="47" spans="1:9" ht="13.5" customHeight="1" x14ac:dyDescent="0.3">
      <c r="A47" s="170">
        <f t="shared" si="0"/>
        <v>1974</v>
      </c>
      <c r="B47" s="424">
        <v>0.10653001488572045</v>
      </c>
      <c r="C47" s="424">
        <f>'C2-Shares'!L20</f>
        <v>9.3850207684448211E-2</v>
      </c>
      <c r="D47" s="424">
        <v>8.4209321462935804E-2</v>
      </c>
      <c r="E47" s="424">
        <f>'C2-Shares'!AB20</f>
        <v>7.0153054150191477E-2</v>
      </c>
    </row>
    <row r="48" spans="1:9" ht="13.5" customHeight="1" x14ac:dyDescent="0.3">
      <c r="A48" s="170">
        <f t="shared" si="0"/>
        <v>1975</v>
      </c>
      <c r="B48" s="424">
        <v>0.10555587813587408</v>
      </c>
      <c r="C48" s="424">
        <f>'C2-Shares'!L21</f>
        <v>9.4064651760773887E-2</v>
      </c>
      <c r="D48" s="424">
        <v>8.4134438639836162E-2</v>
      </c>
      <c r="E48" s="424">
        <f>'C2-Shares'!AB21</f>
        <v>6.7785973094478993E-2</v>
      </c>
    </row>
    <row r="49" spans="1:9" ht="13.5" customHeight="1" x14ac:dyDescent="0.3">
      <c r="A49" s="170">
        <f t="shared" si="0"/>
        <v>1976</v>
      </c>
      <c r="B49" s="424">
        <v>0.10529308792285974</v>
      </c>
      <c r="C49" s="424">
        <f>'C2-Shares'!L22</f>
        <v>9.4291204392316835E-2</v>
      </c>
      <c r="D49" s="424">
        <v>8.3880229295779429E-2</v>
      </c>
      <c r="E49" s="424">
        <f>'C2-Shares'!AB22</f>
        <v>6.8293424459802965E-2</v>
      </c>
    </row>
    <row r="50" spans="1:9" ht="13.5" customHeight="1" x14ac:dyDescent="0.3">
      <c r="A50" s="170">
        <f t="shared" si="0"/>
        <v>1977</v>
      </c>
      <c r="B50" s="424">
        <v>0.10665341100676073</v>
      </c>
      <c r="C50" s="424">
        <f>'C2-Shares'!L23</f>
        <v>9.4899274095405453E-2</v>
      </c>
      <c r="D50" s="424">
        <v>8.5985069722307017E-2</v>
      </c>
      <c r="E50" s="424">
        <f>'C2-Shares'!AB23</f>
        <v>7.1347738673522759E-2</v>
      </c>
    </row>
    <row r="51" spans="1:9" ht="13.5" customHeight="1" x14ac:dyDescent="0.3">
      <c r="A51" s="170">
        <f t="shared" si="0"/>
        <v>1978</v>
      </c>
      <c r="B51" s="424">
        <v>0.10769409781094197</v>
      </c>
      <c r="C51" s="424">
        <f>'C2-Shares'!L24</f>
        <v>9.3930708108198674E-2</v>
      </c>
      <c r="D51" s="424">
        <v>8.8024218939337207E-2</v>
      </c>
      <c r="E51" s="424">
        <f>'C2-Shares'!AB24</f>
        <v>7.2830273756297539E-2</v>
      </c>
    </row>
    <row r="52" spans="1:9" ht="13.5" customHeight="1" x14ac:dyDescent="0.3">
      <c r="A52" s="170">
        <f t="shared" si="0"/>
        <v>1979</v>
      </c>
      <c r="B52" s="424">
        <v>0.11153456568717957</v>
      </c>
      <c r="C52" s="424">
        <f>'C2-Shares'!L25</f>
        <v>9.4899986792237198E-2</v>
      </c>
      <c r="D52" s="424">
        <v>9.1394543647766113E-2</v>
      </c>
      <c r="E52" s="424">
        <f>'C2-Shares'!AB25</f>
        <v>7.2139807023017671E-2</v>
      </c>
      <c r="F52" s="697"/>
      <c r="G52" s="697"/>
      <c r="H52" s="697"/>
      <c r="I52" s="697"/>
    </row>
    <row r="53" spans="1:9" ht="13.5" customHeight="1" x14ac:dyDescent="0.3">
      <c r="A53" s="170">
        <f t="shared" si="0"/>
        <v>1980</v>
      </c>
      <c r="B53" s="424">
        <v>0.10670077055692673</v>
      </c>
      <c r="C53" s="424">
        <f>'C2-Shares'!L26</f>
        <v>9.261465973160031E-2</v>
      </c>
      <c r="D53" s="424">
        <v>8.5684642195701599E-2</v>
      </c>
      <c r="E53" s="424">
        <f>'C2-Shares'!AB26</f>
        <v>6.7709847776369403E-2</v>
      </c>
    </row>
    <row r="54" spans="1:9" ht="13.5" customHeight="1" x14ac:dyDescent="0.3">
      <c r="A54" s="170">
        <f t="shared" si="0"/>
        <v>1981</v>
      </c>
      <c r="B54" s="424">
        <v>0.11048658937215805</v>
      </c>
      <c r="C54" s="424">
        <f>'C2-Shares'!L27</f>
        <v>8.9262196264253163E-2</v>
      </c>
      <c r="D54" s="424">
        <v>9.2760540544986725E-2</v>
      </c>
      <c r="E54" s="424">
        <f>'C2-Shares'!AB27</f>
        <v>6.7240971676688424E-2</v>
      </c>
    </row>
    <row r="55" spans="1:9" ht="13.5" customHeight="1" x14ac:dyDescent="0.3">
      <c r="A55" s="170">
        <f t="shared" si="0"/>
        <v>1982</v>
      </c>
      <c r="B55" s="424">
        <v>0.1126394122838974</v>
      </c>
      <c r="C55" s="424">
        <f>'C2-Shares'!L28</f>
        <v>9.0401597762518424E-2</v>
      </c>
      <c r="D55" s="424">
        <v>9.415377676486969E-2</v>
      </c>
      <c r="E55" s="424">
        <f>'C2-Shares'!AB28</f>
        <v>6.5611154786142545E-2</v>
      </c>
    </row>
    <row r="56" spans="1:9" ht="13.5" customHeight="1" x14ac:dyDescent="0.3">
      <c r="A56" s="170">
        <f t="shared" si="0"/>
        <v>1983</v>
      </c>
      <c r="B56" s="424">
        <v>0.11513808369636536</v>
      </c>
      <c r="C56" s="424">
        <f>'C2-Shares'!L29</f>
        <v>9.2487534110957156E-2</v>
      </c>
      <c r="D56" s="424">
        <v>9.7093850374221802E-2</v>
      </c>
      <c r="E56" s="424">
        <f>'C2-Shares'!AB29</f>
        <v>6.6815370630912127E-2</v>
      </c>
    </row>
    <row r="57" spans="1:9" ht="13.5" customHeight="1" x14ac:dyDescent="0.3">
      <c r="A57" s="170">
        <f t="shared" si="0"/>
        <v>1984</v>
      </c>
      <c r="B57" s="424">
        <v>0.12498427182435989</v>
      </c>
      <c r="C57" s="424">
        <f>'C2-Shares'!L30</f>
        <v>9.5430599975374134E-2</v>
      </c>
      <c r="D57" s="424">
        <v>0.10806571692228317</v>
      </c>
      <c r="E57" s="424">
        <f>'C2-Shares'!AB30</f>
        <v>7.2297376537959604E-2</v>
      </c>
    </row>
    <row r="58" spans="1:9" ht="13.5" customHeight="1" x14ac:dyDescent="0.3">
      <c r="A58" s="170">
        <f t="shared" si="0"/>
        <v>1985</v>
      </c>
      <c r="B58" s="424">
        <v>0.12553958594799042</v>
      </c>
      <c r="C58" s="424">
        <f>'C2-Shares'!L31</f>
        <v>9.5622856413381044E-2</v>
      </c>
      <c r="D58" s="424">
        <v>0.10700137913227081</v>
      </c>
      <c r="E58" s="424">
        <f>'C2-Shares'!AB31</f>
        <v>7.0868369231104497E-2</v>
      </c>
    </row>
    <row r="59" spans="1:9" ht="13.5" customHeight="1" x14ac:dyDescent="0.3">
      <c r="A59" s="170">
        <f t="shared" si="0"/>
        <v>1986</v>
      </c>
      <c r="B59" s="424">
        <v>0.12209108471870422</v>
      </c>
      <c r="C59" s="424">
        <f>'C2-Shares'!L32</f>
        <v>9.2931372728020101E-2</v>
      </c>
      <c r="D59" s="424">
        <v>9.9708005785942078E-2</v>
      </c>
      <c r="E59" s="424">
        <f>'C2-Shares'!AB32</f>
        <v>6.6271363796234981E-2</v>
      </c>
    </row>
    <row r="60" spans="1:9" ht="13.5" customHeight="1" x14ac:dyDescent="0.3">
      <c r="A60" s="170">
        <f t="shared" si="0"/>
        <v>1987</v>
      </c>
      <c r="B60" s="424">
        <v>0.13306523859500885</v>
      </c>
      <c r="C60" s="424">
        <f>'C2-Shares'!L33</f>
        <v>9.6691378643522452E-2</v>
      </c>
      <c r="D60" s="424">
        <v>0.10979178547859192</v>
      </c>
      <c r="E60" s="424">
        <f>'C2-Shares'!AB33</f>
        <v>7.0054384975182071E-2</v>
      </c>
    </row>
    <row r="61" spans="1:9" ht="13.5" customHeight="1" x14ac:dyDescent="0.3">
      <c r="A61" s="170">
        <f t="shared" si="0"/>
        <v>1988</v>
      </c>
      <c r="B61" s="424">
        <v>0.14876338839530945</v>
      </c>
      <c r="C61" s="424">
        <f>'C2-Shares'!L34</f>
        <v>0.11618417948029981</v>
      </c>
      <c r="D61" s="424">
        <v>0.12418262660503387</v>
      </c>
      <c r="E61" s="424">
        <f>'C2-Shares'!AB34</f>
        <v>8.7459750123910995E-2</v>
      </c>
    </row>
    <row r="62" spans="1:9" ht="13.5" customHeight="1" x14ac:dyDescent="0.3">
      <c r="A62" s="170">
        <f t="shared" si="0"/>
        <v>1989</v>
      </c>
      <c r="B62" s="424">
        <v>0.1446424275636673</v>
      </c>
      <c r="C62" s="424">
        <f>'C2-Shares'!L35</f>
        <v>0.11126510038595104</v>
      </c>
      <c r="D62" s="424">
        <v>0.12061177939176559</v>
      </c>
      <c r="E62" s="424">
        <f>'C2-Shares'!AB35</f>
        <v>8.2664002007293388E-2</v>
      </c>
    </row>
    <row r="63" spans="1:9" ht="13.5" customHeight="1" x14ac:dyDescent="0.3">
      <c r="A63" s="170">
        <f t="shared" si="0"/>
        <v>1990</v>
      </c>
      <c r="B63" s="424">
        <v>0.14542049169540405</v>
      </c>
      <c r="C63" s="424">
        <f>'C2-Shares'!L36</f>
        <v>0.11287840931465051</v>
      </c>
      <c r="D63" s="424">
        <v>0.1208227202296257</v>
      </c>
      <c r="E63" s="424">
        <f>'C2-Shares'!AB36</f>
        <v>8.3336941022029556E-2</v>
      </c>
    </row>
    <row r="64" spans="1:9" ht="13.5" customHeight="1" x14ac:dyDescent="0.3">
      <c r="A64" s="170">
        <f t="shared" si="0"/>
        <v>1991</v>
      </c>
      <c r="B64" s="424">
        <v>0.13891473412513733</v>
      </c>
      <c r="C64" s="424">
        <f>'C2-Shares'!L37</f>
        <v>0.10924309169780609</v>
      </c>
      <c r="D64" s="424">
        <v>0.11496724188327789</v>
      </c>
      <c r="E64" s="424">
        <f>'C2-Shares'!AB37</f>
        <v>7.7543395194042242E-2</v>
      </c>
    </row>
    <row r="65" spans="1:5" ht="13.5" customHeight="1" x14ac:dyDescent="0.3">
      <c r="A65" s="170">
        <f t="shared" si="0"/>
        <v>1992</v>
      </c>
      <c r="B65" s="424">
        <v>0.15014225244522095</v>
      </c>
      <c r="C65" s="424">
        <f>'C2-Shares'!L38</f>
        <v>0.11597736769774794</v>
      </c>
      <c r="D65" s="424">
        <v>0.12335435301065445</v>
      </c>
      <c r="E65" s="424">
        <f>'C2-Shares'!AB38</f>
        <v>7.9735921906976981E-2</v>
      </c>
    </row>
    <row r="66" spans="1:5" ht="13.5" customHeight="1" x14ac:dyDescent="0.3">
      <c r="A66" s="170">
        <f t="shared" si="0"/>
        <v>1993</v>
      </c>
      <c r="B66" s="424">
        <v>0.14641934633255005</v>
      </c>
      <c r="C66" s="424">
        <f>'C2-Shares'!L39</f>
        <v>0.10954075171346821</v>
      </c>
      <c r="D66" s="424">
        <v>0.11723674833774567</v>
      </c>
      <c r="E66" s="424">
        <f>'C2-Shares'!AB39</f>
        <v>7.2809681793638795E-2</v>
      </c>
    </row>
    <row r="67" spans="1:5" ht="13.5" customHeight="1" x14ac:dyDescent="0.3">
      <c r="A67" s="170">
        <f t="shared" si="0"/>
        <v>1994</v>
      </c>
      <c r="B67" s="424">
        <v>0.14685395359992981</v>
      </c>
      <c r="C67" s="424">
        <f>'C2-Shares'!L40</f>
        <v>0.10947565686902427</v>
      </c>
      <c r="D67" s="424">
        <v>0.1162799745798111</v>
      </c>
      <c r="E67" s="424">
        <f>'C2-Shares'!AB40</f>
        <v>7.3669655385035615E-2</v>
      </c>
    </row>
    <row r="68" spans="1:5" ht="13.5" customHeight="1" x14ac:dyDescent="0.3">
      <c r="A68" s="170">
        <f t="shared" si="0"/>
        <v>1995</v>
      </c>
      <c r="B68" s="424">
        <v>0.15284636616706848</v>
      </c>
      <c r="C68" s="424">
        <f>'C2-Shares'!L41</f>
        <v>0.11512130249241838</v>
      </c>
      <c r="D68" s="424">
        <v>0.12045539170503616</v>
      </c>
      <c r="E68" s="424">
        <f>'C2-Shares'!AB41</f>
        <v>7.7604961237693143E-2</v>
      </c>
    </row>
    <row r="69" spans="1:5" ht="13.5" customHeight="1" x14ac:dyDescent="0.3">
      <c r="A69" s="170">
        <f t="shared" si="0"/>
        <v>1996</v>
      </c>
      <c r="B69" s="424">
        <v>0.15964031219482422</v>
      </c>
      <c r="C69" s="424">
        <f>'C2-Shares'!L42</f>
        <v>0.11931018728926303</v>
      </c>
      <c r="D69" s="424">
        <v>0.12473166733980179</v>
      </c>
      <c r="E69" s="424">
        <f>'C2-Shares'!AB42</f>
        <v>8.1103190969653641E-2</v>
      </c>
    </row>
    <row r="70" spans="1:5" ht="13.5" customHeight="1" x14ac:dyDescent="0.3">
      <c r="A70" s="170">
        <f t="shared" si="0"/>
        <v>1997</v>
      </c>
      <c r="B70" s="424">
        <v>0.16627532243728638</v>
      </c>
      <c r="C70" s="424">
        <f>'C2-Shares'!L43</f>
        <v>0.12490294670435617</v>
      </c>
      <c r="D70" s="424">
        <v>0.12977787852287292</v>
      </c>
      <c r="E70" s="424">
        <f>'C2-Shares'!AB43</f>
        <v>8.5504586668831761E-2</v>
      </c>
    </row>
    <row r="71" spans="1:5" ht="13.5" customHeight="1" x14ac:dyDescent="0.3">
      <c r="A71" s="170">
        <f t="shared" si="0"/>
        <v>1998</v>
      </c>
      <c r="B71" s="424">
        <v>0.16923791170120239</v>
      </c>
      <c r="C71" s="424">
        <f>'C2-Shares'!L44</f>
        <v>0.12637675646198396</v>
      </c>
      <c r="D71" s="424">
        <v>0.13113458454608917</v>
      </c>
      <c r="E71" s="424">
        <f>'C2-Shares'!AB44</f>
        <v>8.6803083366503303E-2</v>
      </c>
    </row>
    <row r="72" spans="1:5" ht="13.5" customHeight="1" x14ac:dyDescent="0.3">
      <c r="A72" s="170">
        <f t="shared" si="0"/>
        <v>1999</v>
      </c>
      <c r="B72" s="424">
        <v>0.17707523703575134</v>
      </c>
      <c r="C72" s="424">
        <f>'C2-Shares'!L45</f>
        <v>0.13162035713692485</v>
      </c>
      <c r="D72" s="424">
        <v>0.13691259920597076</v>
      </c>
      <c r="E72" s="424">
        <f>'C2-Shares'!AB45</f>
        <v>9.06087050726571E-2</v>
      </c>
    </row>
    <row r="73" spans="1:5" ht="13.5" customHeight="1" x14ac:dyDescent="0.3">
      <c r="A73" s="170">
        <f t="shared" si="0"/>
        <v>2000</v>
      </c>
      <c r="B73" s="424">
        <v>0.18267017602920532</v>
      </c>
      <c r="C73" s="424">
        <f>'C2-Shares'!L46</f>
        <v>0.13670178501652119</v>
      </c>
      <c r="D73" s="424">
        <v>0.14076106250286102</v>
      </c>
      <c r="E73" s="424">
        <f>'C2-Shares'!AB46</f>
        <v>9.4509605359795038E-2</v>
      </c>
    </row>
    <row r="74" spans="1:5" ht="13.5" customHeight="1" x14ac:dyDescent="0.3">
      <c r="A74" s="170">
        <f t="shared" si="0"/>
        <v>2001</v>
      </c>
      <c r="B74" s="424">
        <v>0.17269401252269745</v>
      </c>
      <c r="C74" s="424">
        <f>'C2-Shares'!L47</f>
        <v>0.12713426863166885</v>
      </c>
      <c r="D74" s="424">
        <v>0.1376899778842926</v>
      </c>
      <c r="E74" s="424">
        <f>'C2-Shares'!AB47</f>
        <v>8.6020749470970284E-2</v>
      </c>
    </row>
    <row r="75" spans="1:5" ht="13.5" customHeight="1" x14ac:dyDescent="0.3">
      <c r="A75" s="170">
        <f t="shared" si="0"/>
        <v>2002</v>
      </c>
      <c r="B75" s="424">
        <v>0.17056876420974731</v>
      </c>
      <c r="C75" s="424">
        <f>'C2-Shares'!L48</f>
        <v>0.12068197568424517</v>
      </c>
      <c r="D75" s="424">
        <v>0.13940544426441193</v>
      </c>
      <c r="E75" s="424">
        <f>'C2-Shares'!AB48</f>
        <v>8.036672533413558E-2</v>
      </c>
    </row>
    <row r="76" spans="1:5" ht="13.5" customHeight="1" x14ac:dyDescent="0.3">
      <c r="A76" s="170">
        <f t="shared" si="0"/>
        <v>2003</v>
      </c>
      <c r="B76" s="424">
        <v>0.17203257977962494</v>
      </c>
      <c r="C76" s="424">
        <f>'C2-Shares'!L49</f>
        <v>0.12377478129489432</v>
      </c>
      <c r="D76" s="424">
        <v>0.14093117415904999</v>
      </c>
      <c r="E76" s="424">
        <f>'C2-Shares'!AB49</f>
        <v>8.3090076888733974E-2</v>
      </c>
    </row>
    <row r="77" spans="1:5" ht="13.5" customHeight="1" x14ac:dyDescent="0.3">
      <c r="A77" s="170">
        <f t="shared" si="0"/>
        <v>2004</v>
      </c>
      <c r="B77" s="424">
        <v>0.18320697546005249</v>
      </c>
      <c r="C77" s="424">
        <f>'C2-Shares'!L50</f>
        <v>0.13260924234253701</v>
      </c>
      <c r="D77" s="424">
        <v>0.14785221219062805</v>
      </c>
      <c r="E77" s="424">
        <f>'C2-Shares'!AB50</f>
        <v>8.9180091516531806E-2</v>
      </c>
    </row>
    <row r="78" spans="1:5" ht="13.5" customHeight="1" x14ac:dyDescent="0.3">
      <c r="A78" s="170">
        <f t="shared" si="0"/>
        <v>2005</v>
      </c>
      <c r="B78" s="424">
        <v>0.19373923540115356</v>
      </c>
      <c r="C78" s="424">
        <f>'C2-Shares'!L51</f>
        <v>0.14257478164468423</v>
      </c>
      <c r="D78" s="424">
        <v>0.15258103609085083</v>
      </c>
      <c r="E78" s="424">
        <f>'C2-Shares'!AB51</f>
        <v>9.5123410492338856E-2</v>
      </c>
    </row>
    <row r="79" spans="1:5" ht="13.5" customHeight="1" x14ac:dyDescent="0.3">
      <c r="A79" s="170">
        <f t="shared" si="0"/>
        <v>2006</v>
      </c>
      <c r="B79" s="424">
        <v>0.20098753273487091</v>
      </c>
      <c r="C79" s="424">
        <f>'C2-Shares'!L52</f>
        <v>0.14696344047345955</v>
      </c>
      <c r="D79" s="424">
        <v>0.15777617692947388</v>
      </c>
      <c r="E79" s="424">
        <f>'C2-Shares'!AB52</f>
        <v>9.8223339611121438E-2</v>
      </c>
    </row>
    <row r="80" spans="1:5" ht="13.5" customHeight="1" x14ac:dyDescent="0.3">
      <c r="A80" s="170">
        <f t="shared" si="0"/>
        <v>2007</v>
      </c>
      <c r="B80" s="424">
        <v>0.19863876700401306</v>
      </c>
      <c r="C80" s="424">
        <f>'C2-Shares'!L53</f>
        <v>0.14610594510750965</v>
      </c>
      <c r="D80" s="424">
        <v>0.15263952314853668</v>
      </c>
      <c r="E80" s="424">
        <f>'C2-Shares'!AB53</f>
        <v>9.4563324470752594E-2</v>
      </c>
    </row>
    <row r="81" spans="1:6" ht="13.5" customHeight="1" x14ac:dyDescent="0.3">
      <c r="A81" s="170">
        <f t="shared" si="0"/>
        <v>2008</v>
      </c>
      <c r="B81" s="424">
        <v>0.19521696865558624</v>
      </c>
      <c r="C81" s="424">
        <f>'C2-Shares'!L54</f>
        <v>0.13955021491106612</v>
      </c>
      <c r="D81" s="424">
        <v>0.15322943031787872</v>
      </c>
      <c r="E81" s="424">
        <f>'C2-Shares'!AB54</f>
        <v>8.4723553346400554E-2</v>
      </c>
      <c r="F81" s="697"/>
    </row>
    <row r="82" spans="1:6" ht="13.5" customHeight="1" x14ac:dyDescent="0.3">
      <c r="A82" s="170">
        <f t="shared" si="0"/>
        <v>2009</v>
      </c>
      <c r="B82" s="424">
        <v>0.18539862334728241</v>
      </c>
      <c r="C82" s="424">
        <f>'C2-Shares'!L55</f>
        <v>0.13091121874891942</v>
      </c>
      <c r="D82" s="424">
        <v>0.15093521773815155</v>
      </c>
      <c r="E82" s="424">
        <f>'C2-Shares'!AB55</f>
        <v>7.7804968638845548E-2</v>
      </c>
      <c r="F82" s="697"/>
    </row>
    <row r="83" spans="1:6" ht="13.5" customHeight="1" x14ac:dyDescent="0.3">
      <c r="A83" s="170">
        <f t="shared" si="0"/>
        <v>2010</v>
      </c>
      <c r="B83" s="424">
        <v>0.19798023998737335</v>
      </c>
      <c r="C83" s="424">
        <f>'C2-Shares'!L56</f>
        <v>0.14296488171438282</v>
      </c>
      <c r="D83" s="424">
        <v>0.15936015546321869</v>
      </c>
      <c r="E83" s="424">
        <f>'C2-Shares'!AB56</f>
        <v>8.5720370581185562E-2</v>
      </c>
      <c r="F83" s="29"/>
    </row>
    <row r="84" spans="1:6" ht="13.5" customHeight="1" x14ac:dyDescent="0.3">
      <c r="A84" s="170">
        <f t="shared" si="0"/>
        <v>2011</v>
      </c>
      <c r="B84" s="424">
        <v>0.19600512087345123</v>
      </c>
      <c r="C84" s="424">
        <f>'C2-Shares'!L57</f>
        <v>0.13842295139515765</v>
      </c>
      <c r="D84" s="424">
        <v>0.15827284753322601</v>
      </c>
      <c r="E84" s="424">
        <f>'C2-Shares'!AB57</f>
        <v>8.1359490192568745E-2</v>
      </c>
      <c r="F84" s="697"/>
    </row>
    <row r="85" spans="1:6" ht="13.5" customHeight="1" x14ac:dyDescent="0.3">
      <c r="A85" s="170">
        <f t="shared" si="0"/>
        <v>2012</v>
      </c>
      <c r="B85" s="424">
        <v>0.20779828727245331</v>
      </c>
      <c r="C85" s="424">
        <f>'C2-Shares'!L58</f>
        <v>0.15229122380983121</v>
      </c>
      <c r="D85" s="424">
        <v>0.16669024527072906</v>
      </c>
      <c r="E85" s="424">
        <f>'C2-Shares'!AB58</f>
        <v>9.3432484478077574E-2</v>
      </c>
      <c r="F85" s="697"/>
    </row>
    <row r="86" spans="1:6" ht="13.5" customHeight="1" x14ac:dyDescent="0.3">
      <c r="A86" s="170">
        <f t="shared" si="0"/>
        <v>2013</v>
      </c>
      <c r="B86" s="424">
        <v>0.1959569901227951</v>
      </c>
      <c r="C86" s="424">
        <f>'C2-Shares'!L59</f>
        <v>0.13896760061229452</v>
      </c>
      <c r="D86" s="424">
        <v>0.15344133973121643</v>
      </c>
      <c r="E86" s="424">
        <f>'C2-Shares'!AB59</f>
        <v>8.280797718239509E-2</v>
      </c>
      <c r="F86" s="697"/>
    </row>
    <row r="87" spans="1:6" x14ac:dyDescent="0.3">
      <c r="A87" s="170">
        <f t="shared" si="0"/>
        <v>2014</v>
      </c>
      <c r="B87" s="424">
        <v>0.20195885002613068</v>
      </c>
      <c r="C87" s="424">
        <f>'C2-Shares'!L60</f>
        <v>0.14277984870529348</v>
      </c>
      <c r="D87" s="424">
        <v>0.15664321184158325</v>
      </c>
      <c r="E87" s="424">
        <f>'C2-Shares'!AB60</f>
        <v>8.6381387551909522E-2</v>
      </c>
      <c r="F87" s="29"/>
    </row>
    <row r="88" spans="1:6" x14ac:dyDescent="0.3">
      <c r="A88" s="170">
        <f t="shared" si="0"/>
        <v>2015</v>
      </c>
      <c r="B88" s="424"/>
      <c r="C88" s="424">
        <f>'C2-Shares'!L61</f>
        <v>0.14118367565625728</v>
      </c>
      <c r="D88" s="424"/>
      <c r="E88" s="424">
        <f>'C2-Shares'!AB61</f>
        <v>8.5472598105556033E-2</v>
      </c>
      <c r="F88" s="697"/>
    </row>
    <row r="89" spans="1:6" x14ac:dyDescent="0.3">
      <c r="A89" s="170"/>
      <c r="B89" s="697"/>
      <c r="C89" s="697"/>
      <c r="D89" s="697"/>
      <c r="E89" s="697"/>
    </row>
    <row r="90" spans="1:6" x14ac:dyDescent="0.3">
      <c r="A90" s="170"/>
      <c r="C90" s="697"/>
    </row>
  </sheetData>
  <mergeCells count="1">
    <mergeCell ref="A28:I28"/>
  </mergeCells>
  <hyperlinks>
    <hyperlink ref="F1" location="Index!A1" display="Index"/>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4" tint="0.59999389629810485"/>
  </sheetPr>
  <dimension ref="A1:K116"/>
  <sheetViews>
    <sheetView workbookViewId="0">
      <selection activeCell="B1" sqref="B1"/>
    </sheetView>
  </sheetViews>
  <sheetFormatPr defaultColWidth="9.109375" defaultRowHeight="14.4" x14ac:dyDescent="0.3"/>
  <cols>
    <col min="1" max="8" width="9.109375" style="994"/>
    <col min="9" max="9" width="16.77734375" style="994" customWidth="1"/>
    <col min="10" max="16384" width="9.109375" style="994"/>
  </cols>
  <sheetData>
    <row r="1" spans="1:11" ht="16.2" x14ac:dyDescent="0.35">
      <c r="A1" s="202" t="s">
        <v>2050</v>
      </c>
      <c r="K1" s="463" t="s">
        <v>504</v>
      </c>
    </row>
    <row r="54" spans="1:9" x14ac:dyDescent="0.3">
      <c r="A54" s="386" t="s">
        <v>1679</v>
      </c>
    </row>
    <row r="55" spans="1:9" x14ac:dyDescent="0.3">
      <c r="A55" s="210" t="s">
        <v>1661</v>
      </c>
    </row>
    <row r="59" spans="1:9" x14ac:dyDescent="0.3">
      <c r="A59" s="75" t="s">
        <v>1735</v>
      </c>
      <c r="B59" s="1011"/>
      <c r="C59" s="1011"/>
      <c r="D59" s="1011"/>
      <c r="E59" s="1011"/>
      <c r="F59" s="1011"/>
      <c r="G59" s="1011"/>
      <c r="H59" s="1011"/>
    </row>
    <row r="60" spans="1:9" ht="55.5" customHeight="1" x14ac:dyDescent="0.3">
      <c r="A60" s="1011"/>
      <c r="B60" s="1102" t="s">
        <v>1736</v>
      </c>
      <c r="C60" s="1102" t="s">
        <v>1737</v>
      </c>
      <c r="D60" s="1102" t="s">
        <v>1738</v>
      </c>
      <c r="E60" s="1102" t="s">
        <v>1739</v>
      </c>
      <c r="F60" s="1102" t="s">
        <v>1740</v>
      </c>
      <c r="G60" s="1102" t="s">
        <v>1741</v>
      </c>
      <c r="H60" s="1102" t="s">
        <v>1742</v>
      </c>
      <c r="I60" s="1102" t="s">
        <v>1743</v>
      </c>
    </row>
    <row r="61" spans="1:9" ht="13.5" customHeight="1" x14ac:dyDescent="0.3">
      <c r="A61" s="48">
        <v>1960</v>
      </c>
      <c r="B61" s="1103">
        <f>'C2-Shares'!BP6</f>
        <v>7.8734821284945827E-2</v>
      </c>
      <c r="C61" s="1103">
        <f>'C2-Shares'!BX6</f>
        <v>8.0704586205879808E-2</v>
      </c>
      <c r="D61" s="1103">
        <f>'C2-Shares'!CF6</f>
        <v>0.10435240750969214</v>
      </c>
      <c r="E61" s="1103">
        <f>'C2-Shares'!CN6</f>
        <v>0.11794533236698555</v>
      </c>
      <c r="F61" s="1103">
        <f>'C2-Shares'!DD6</f>
        <v>0.12489815857193759</v>
      </c>
      <c r="G61" s="1103">
        <f>'C2-Shares'!DT6</f>
        <v>0.1223245972428688</v>
      </c>
      <c r="H61" s="1103">
        <f>'C2-Shares'!EJ6</f>
        <v>0.11847203583538561</v>
      </c>
      <c r="I61" s="1103">
        <f>'C2-Shares'!EZ6</f>
        <v>0.1103860864630547</v>
      </c>
    </row>
    <row r="62" spans="1:9" ht="13.5" customHeight="1" x14ac:dyDescent="0.3">
      <c r="A62" s="48">
        <v>1961</v>
      </c>
      <c r="B62" s="1103">
        <f>'C2-Shares'!BP7</f>
        <v>7.950580993348802E-2</v>
      </c>
      <c r="C62" s="1103">
        <f>'C2-Shares'!BX7</f>
        <v>8.149957649088807E-2</v>
      </c>
      <c r="D62" s="1103">
        <f>'C2-Shares'!CF7</f>
        <v>0.1072382155440879</v>
      </c>
      <c r="E62" s="1103">
        <f>'C2-Shares'!CN7</f>
        <v>0.11931130623414278</v>
      </c>
      <c r="F62" s="1103">
        <f>'C2-Shares'!DD7</f>
        <v>0.12539758349710639</v>
      </c>
      <c r="G62" s="1103">
        <f>'C2-Shares'!DT7</f>
        <v>0.12261742586693777</v>
      </c>
      <c r="H62" s="1103">
        <f>'C2-Shares'!EJ7</f>
        <v>0.11857803484998797</v>
      </c>
      <c r="I62" s="1103">
        <f>'C2-Shares'!EZ7</f>
        <v>0.11081719513306594</v>
      </c>
    </row>
    <row r="63" spans="1:9" ht="13.5" customHeight="1" x14ac:dyDescent="0.3">
      <c r="A63" s="48">
        <v>1962</v>
      </c>
      <c r="B63" s="1103">
        <f>'C2-Shares'!BP8</f>
        <v>8.01991627298589E-2</v>
      </c>
      <c r="C63" s="1103">
        <f>'C2-Shares'!BX8</f>
        <v>8.2214429288364338E-2</v>
      </c>
      <c r="D63" s="1103">
        <f>'C2-Shares'!CF8</f>
        <v>0.10980425903557879</v>
      </c>
      <c r="E63" s="1103">
        <f>'C2-Shares'!CN8</f>
        <v>0.12052981296371795</v>
      </c>
      <c r="F63" s="1103">
        <f>'C2-Shares'!DD8</f>
        <v>0.12584290957299207</v>
      </c>
      <c r="G63" s="1103">
        <f>'C2-Shares'!DT8</f>
        <v>0.12288004575400741</v>
      </c>
      <c r="H63" s="1103">
        <f>'C2-Shares'!EJ8</f>
        <v>0.11867283033181501</v>
      </c>
      <c r="I63" s="1103">
        <f>'C2-Shares'!EZ8</f>
        <v>0.11120373480640794</v>
      </c>
    </row>
    <row r="64" spans="1:9" ht="13.5" customHeight="1" x14ac:dyDescent="0.3">
      <c r="A64" s="48">
        <v>1963</v>
      </c>
      <c r="B64" s="1103">
        <f>'C2-Shares'!BP9</f>
        <v>7.8654253251748574E-2</v>
      </c>
      <c r="C64" s="1103">
        <f>'C2-Shares'!BX9</f>
        <v>8.0967758094705133E-2</v>
      </c>
      <c r="D64" s="1103">
        <f>'C2-Shares'!CF9</f>
        <v>0.11149078489602103</v>
      </c>
      <c r="E64" s="1103">
        <f>'C2-Shares'!CN9</f>
        <v>0.1228059384618316</v>
      </c>
      <c r="F64" s="1103">
        <f>'C2-Shares'!DD9</f>
        <v>0.12900553892270014</v>
      </c>
      <c r="G64" s="1103">
        <f>'C2-Shares'!DT9</f>
        <v>0.12543817128675544</v>
      </c>
      <c r="H64" s="1103">
        <f>'C2-Shares'!EJ9</f>
        <v>0.12112094364290385</v>
      </c>
      <c r="I64" s="1103">
        <f>'C2-Shares'!EZ9</f>
        <v>0.11305834004238841</v>
      </c>
    </row>
    <row r="65" spans="1:9" ht="13.5" customHeight="1" x14ac:dyDescent="0.3">
      <c r="A65" s="48">
        <v>1964</v>
      </c>
      <c r="B65" s="1103">
        <f>'C2-Shares'!BP10</f>
        <v>7.7297682530302586E-2</v>
      </c>
      <c r="C65" s="1103">
        <f>'C2-Shares'!BX10</f>
        <v>7.9874426398425166E-2</v>
      </c>
      <c r="D65" s="1103">
        <f>'C2-Shares'!CF10</f>
        <v>0.11296008554190762</v>
      </c>
      <c r="E65" s="1103">
        <f>'C2-Shares'!CN10</f>
        <v>0.12478960107625568</v>
      </c>
      <c r="F65" s="1103">
        <f>'C2-Shares'!DD10</f>
        <v>0.13176486896510159</v>
      </c>
      <c r="G65" s="1103">
        <f>'C2-Shares'!DT10</f>
        <v>0.1277058893283945</v>
      </c>
      <c r="H65" s="1103">
        <f>'C2-Shares'!EJ10</f>
        <v>0.12328855357848659</v>
      </c>
      <c r="I65" s="1103">
        <f>'C2-Shares'!EZ10</f>
        <v>0.1146899307735081</v>
      </c>
    </row>
    <row r="66" spans="1:9" ht="13.5" customHeight="1" x14ac:dyDescent="0.3">
      <c r="A66" s="48">
        <v>1965</v>
      </c>
      <c r="B66" s="1103">
        <f>'C2-Shares'!BP11</f>
        <v>7.8269866719329409E-2</v>
      </c>
      <c r="C66" s="1103">
        <f>'C2-Shares'!BX11</f>
        <v>8.0942606090687402E-2</v>
      </c>
      <c r="D66" s="1103">
        <f>'C2-Shares'!CF11</f>
        <v>0.11408489060352213</v>
      </c>
      <c r="E66" s="1103">
        <f>'C2-Shares'!CN11</f>
        <v>0.12511039251179984</v>
      </c>
      <c r="F66" s="1103">
        <f>'C2-Shares'!DD11</f>
        <v>0.1317125316745007</v>
      </c>
      <c r="G66" s="1103">
        <f>'C2-Shares'!DT11</f>
        <v>0.12778741191772466</v>
      </c>
      <c r="H66" s="1103">
        <f>'C2-Shares'!EJ11</f>
        <v>0.12308193170123156</v>
      </c>
      <c r="I66" s="1103">
        <f>'C2-Shares'!EZ11</f>
        <v>0.11494324669163405</v>
      </c>
    </row>
    <row r="67" spans="1:9" ht="13.5" customHeight="1" x14ac:dyDescent="0.3">
      <c r="A67" s="48">
        <v>1966</v>
      </c>
      <c r="B67" s="1103">
        <f>'C2-Shares'!BP12</f>
        <v>7.9094625499009849E-2</v>
      </c>
      <c r="C67" s="1103">
        <f>'C2-Shares'!BX12</f>
        <v>8.1849257384406654E-2</v>
      </c>
      <c r="D67" s="1103">
        <f>'C2-Shares'!CF12</f>
        <v>0.11503125361666532</v>
      </c>
      <c r="E67" s="1103">
        <f>'C2-Shares'!CN12</f>
        <v>0.12537998074218315</v>
      </c>
      <c r="F67" s="1103">
        <f>'C2-Shares'!DD12</f>
        <v>0.13166846415164082</v>
      </c>
      <c r="G67" s="1103">
        <f>'C2-Shares'!DT12</f>
        <v>0.12785580497962659</v>
      </c>
      <c r="H67" s="1103">
        <f>'C2-Shares'!EJ12</f>
        <v>0.12290916021977369</v>
      </c>
      <c r="I67" s="1103">
        <f>'C2-Shares'!EZ12</f>
        <v>0.11515736868552763</v>
      </c>
    </row>
    <row r="68" spans="1:9" ht="13.5" customHeight="1" x14ac:dyDescent="0.3">
      <c r="A68" s="48">
        <v>1967</v>
      </c>
      <c r="B68" s="1103">
        <f>'C2-Shares'!BP13</f>
        <v>7.9345653690986118E-2</v>
      </c>
      <c r="C68" s="1103">
        <f>'C2-Shares'!BX13</f>
        <v>8.1902669150399454E-2</v>
      </c>
      <c r="D68" s="1103">
        <f>'C2-Shares'!CF13</f>
        <v>0.11161215954593177</v>
      </c>
      <c r="E68" s="1103">
        <f>'C2-Shares'!CN13</f>
        <v>0.12141001965135181</v>
      </c>
      <c r="F68" s="1103">
        <f>'C2-Shares'!DD13</f>
        <v>0.12822203217910291</v>
      </c>
      <c r="G68" s="1103">
        <f>'C2-Shares'!DT13</f>
        <v>0.12497406073514186</v>
      </c>
      <c r="H68" s="1103">
        <f>'C2-Shares'!EJ13</f>
        <v>0.12006687120545061</v>
      </c>
      <c r="I68" s="1103">
        <f>'C2-Shares'!EZ13</f>
        <v>0.11224971747213815</v>
      </c>
    </row>
    <row r="69" spans="1:9" ht="13.5" customHeight="1" x14ac:dyDescent="0.3">
      <c r="A69" s="48">
        <v>1968</v>
      </c>
      <c r="B69" s="1103">
        <f>'C2-Shares'!BP14</f>
        <v>7.8435878694217948E-2</v>
      </c>
      <c r="C69" s="1103">
        <f>'C2-Shares'!BX14</f>
        <v>8.0797040939430936E-2</v>
      </c>
      <c r="D69" s="1103">
        <f>'C2-Shares'!CF14</f>
        <v>0.10716999020469445</v>
      </c>
      <c r="E69" s="1103">
        <f>'C2-Shares'!CN14</f>
        <v>0.1188958403482767</v>
      </c>
      <c r="F69" s="1103">
        <f>'C2-Shares'!DD14</f>
        <v>0.1268266519958513</v>
      </c>
      <c r="G69" s="1103">
        <f>'C2-Shares'!DT14</f>
        <v>0.12439187503041041</v>
      </c>
      <c r="H69" s="1103">
        <f>'C2-Shares'!EJ14</f>
        <v>0.11925151471541726</v>
      </c>
      <c r="I69" s="1103">
        <f>'C2-Shares'!EZ14</f>
        <v>0.11145129761914908</v>
      </c>
    </row>
    <row r="70" spans="1:9" ht="13.5" customHeight="1" x14ac:dyDescent="0.3">
      <c r="A70" s="48">
        <v>1969</v>
      </c>
      <c r="B70" s="1103">
        <f>'C2-Shares'!BP15</f>
        <v>7.5528787271575581E-2</v>
      </c>
      <c r="C70" s="1103">
        <f>'C2-Shares'!BX15</f>
        <v>7.7469838484041459E-2</v>
      </c>
      <c r="D70" s="1103">
        <f>'C2-Shares'!CF15</f>
        <v>9.7588318042790181E-2</v>
      </c>
      <c r="E70" s="1103">
        <f>'C2-Shares'!CN15</f>
        <v>0.1069022763009579</v>
      </c>
      <c r="F70" s="1103">
        <f>'C2-Shares'!DD15</f>
        <v>0.11505657887799296</v>
      </c>
      <c r="G70" s="1103">
        <f>'C2-Shares'!DT15</f>
        <v>0.11317961149423557</v>
      </c>
      <c r="H70" s="1103">
        <f>'C2-Shares'!EJ15</f>
        <v>0.10831566363669641</v>
      </c>
      <c r="I70" s="1103">
        <f>'C2-Shares'!EZ15</f>
        <v>0.10106026471086935</v>
      </c>
    </row>
    <row r="71" spans="1:9" ht="13.5" customHeight="1" x14ac:dyDescent="0.3">
      <c r="A71" s="48">
        <v>1970</v>
      </c>
      <c r="B71" s="1103">
        <f>'C2-Shares'!BP16</f>
        <v>7.4341140918063334E-2</v>
      </c>
      <c r="C71" s="1103">
        <f>'C2-Shares'!BX16</f>
        <v>7.6548360653977784E-2</v>
      </c>
      <c r="D71" s="1103">
        <f>'C2-Shares'!CF16</f>
        <v>9.066620610031248E-2</v>
      </c>
      <c r="E71" s="1103">
        <f>'C2-Shares'!CN16</f>
        <v>9.7913440191029544E-2</v>
      </c>
      <c r="F71" s="1103">
        <f>'C2-Shares'!DD16</f>
        <v>0.10556960499550036</v>
      </c>
      <c r="G71" s="1103">
        <f>'C2-Shares'!DT16</f>
        <v>0.10413267098475423</v>
      </c>
      <c r="H71" s="1103">
        <f>'C2-Shares'!EJ16</f>
        <v>9.9604069111316196E-2</v>
      </c>
      <c r="I71" s="1103">
        <f>'C2-Shares'!EZ16</f>
        <v>9.3299155800116204E-2</v>
      </c>
    </row>
    <row r="72" spans="1:9" ht="13.5" customHeight="1" x14ac:dyDescent="0.3">
      <c r="A72" s="48">
        <v>1971</v>
      </c>
      <c r="B72" s="1103">
        <f>'C2-Shares'!BP17</f>
        <v>7.423599001305331E-2</v>
      </c>
      <c r="C72" s="1103">
        <f>'C2-Shares'!BX17</f>
        <v>7.6113282297781026E-2</v>
      </c>
      <c r="D72" s="1103">
        <f>'C2-Shares'!CF17</f>
        <v>9.4215928472953125E-2</v>
      </c>
      <c r="E72" s="1103">
        <f>'C2-Shares'!CN17</f>
        <v>0.10181610316348</v>
      </c>
      <c r="F72" s="1103">
        <f>'C2-Shares'!DD17</f>
        <v>0.10979918439918999</v>
      </c>
      <c r="G72" s="1103">
        <f>'C2-Shares'!DT17</f>
        <v>0.10819241843778195</v>
      </c>
      <c r="H72" s="1103">
        <f>'C2-Shares'!EJ17</f>
        <v>0.10322993856442476</v>
      </c>
      <c r="I72" s="1103">
        <f>'C2-Shares'!EZ17</f>
        <v>9.6309616480635699E-2</v>
      </c>
    </row>
    <row r="73" spans="1:9" ht="13.5" customHeight="1" x14ac:dyDescent="0.3">
      <c r="A73" s="48">
        <v>1972</v>
      </c>
      <c r="B73" s="1103">
        <f>'C2-Shares'!BP18</f>
        <v>7.3463359725325902E-2</v>
      </c>
      <c r="C73" s="1103">
        <f>'C2-Shares'!BX18</f>
        <v>7.569426623644547E-2</v>
      </c>
      <c r="D73" s="1103">
        <f>'C2-Shares'!CF18</f>
        <v>9.5925581230348014E-2</v>
      </c>
      <c r="E73" s="1103">
        <f>'C2-Shares'!CN18</f>
        <v>0.10380625515185894</v>
      </c>
      <c r="F73" s="1103">
        <f>'C2-Shares'!DD18</f>
        <v>0.11120762354061052</v>
      </c>
      <c r="G73" s="1103">
        <f>'C2-Shares'!DT18</f>
        <v>0.11033310163287927</v>
      </c>
      <c r="H73" s="1103">
        <f>'C2-Shares'!EJ18</f>
        <v>0.10490788555285881</v>
      </c>
      <c r="I73" s="1103">
        <f>'C2-Shares'!EZ18</f>
        <v>9.8115968640821435E-2</v>
      </c>
    </row>
    <row r="74" spans="1:9" ht="13.5" customHeight="1" x14ac:dyDescent="0.3">
      <c r="A74" s="48">
        <v>1973</v>
      </c>
      <c r="B74" s="1103">
        <f>'C2-Shares'!BP19</f>
        <v>7.3623033167327101E-2</v>
      </c>
      <c r="C74" s="1103">
        <f>'C2-Shares'!BX19</f>
        <v>7.5956575572732332E-2</v>
      </c>
      <c r="D74" s="1103">
        <f>'C2-Shares'!CF19</f>
        <v>9.5821925702025357E-2</v>
      </c>
      <c r="E74" s="1103">
        <f>'C2-Shares'!CN19</f>
        <v>0.10267460092390231</v>
      </c>
      <c r="F74" s="1103">
        <f>'C2-Shares'!DD19</f>
        <v>0.10985233145100629</v>
      </c>
      <c r="G74" s="1103">
        <f>'C2-Shares'!DT19</f>
        <v>0.10947737577240134</v>
      </c>
      <c r="H74" s="1103">
        <f>'C2-Shares'!EJ19</f>
        <v>0.10359930210869121</v>
      </c>
      <c r="I74" s="1103">
        <f>'C2-Shares'!EZ19</f>
        <v>9.7143648904541954E-2</v>
      </c>
    </row>
    <row r="75" spans="1:9" ht="13.5" customHeight="1" x14ac:dyDescent="0.3">
      <c r="A75" s="48">
        <v>1974</v>
      </c>
      <c r="B75" s="1103">
        <f>'C2-Shares'!BP20</f>
        <v>7.6791537387204303E-2</v>
      </c>
      <c r="C75" s="1103">
        <f>'C2-Shares'!BX20</f>
        <v>7.9597320416450526E-2</v>
      </c>
      <c r="D75" s="1103">
        <f>'C2-Shares'!CF20</f>
        <v>9.2664148198815577E-2</v>
      </c>
      <c r="E75" s="1103">
        <f>'C2-Shares'!CN20</f>
        <v>9.7349204917050486E-2</v>
      </c>
      <c r="F75" s="1103">
        <f>'C2-Shares'!DD20</f>
        <v>0.10568930219445548</v>
      </c>
      <c r="G75" s="1103">
        <f>'C2-Shares'!DT20</f>
        <v>0.10600692985661379</v>
      </c>
      <c r="H75" s="1103">
        <f>'C2-Shares'!EJ20</f>
        <v>0.10014081423581761</v>
      </c>
      <c r="I75" s="1103">
        <f>'C2-Shares'!EZ20</f>
        <v>9.3850207684448211E-2</v>
      </c>
    </row>
    <row r="76" spans="1:9" ht="13.5" customHeight="1" x14ac:dyDescent="0.3">
      <c r="A76" s="48">
        <v>1975</v>
      </c>
      <c r="B76" s="1103">
        <f>'C2-Shares'!BP21</f>
        <v>7.5870166266314279E-2</v>
      </c>
      <c r="C76" s="1103">
        <f>'C2-Shares'!BX21</f>
        <v>7.8475891101724565E-2</v>
      </c>
      <c r="D76" s="1103">
        <f>'C2-Shares'!CF21</f>
        <v>9.3825675921294538E-2</v>
      </c>
      <c r="E76" s="1103">
        <f>'C2-Shares'!CN21</f>
        <v>9.8110438610724687E-2</v>
      </c>
      <c r="F76" s="1103">
        <f>'C2-Shares'!DD21</f>
        <v>0.10705481756768256</v>
      </c>
      <c r="G76" s="1103">
        <f>'C2-Shares'!DT21</f>
        <v>0.10669852810449232</v>
      </c>
      <c r="H76" s="1103">
        <f>'C2-Shares'!EJ21</f>
        <v>0.10060799102297832</v>
      </c>
      <c r="I76" s="1103">
        <f>'C2-Shares'!EZ21</f>
        <v>9.4064651760773887E-2</v>
      </c>
    </row>
    <row r="77" spans="1:9" ht="13.5" customHeight="1" x14ac:dyDescent="0.3">
      <c r="A77" s="48">
        <v>1976</v>
      </c>
      <c r="B77" s="1103">
        <f>'C2-Shares'!BP22</f>
        <v>7.5214581457125812E-2</v>
      </c>
      <c r="C77" s="1103">
        <f>'C2-Shares'!BX22</f>
        <v>7.7610610225101809E-2</v>
      </c>
      <c r="D77" s="1103">
        <f>'C2-Shares'!CF22</f>
        <v>9.5518021534694034E-2</v>
      </c>
      <c r="E77" s="1103">
        <f>'C2-Shares'!CN22</f>
        <v>0.1007918386047469</v>
      </c>
      <c r="F77" s="1103">
        <f>'C2-Shares'!DD22</f>
        <v>0.10699677758838899</v>
      </c>
      <c r="G77" s="1103">
        <f>'C2-Shares'!DT22</f>
        <v>0.10685305661545297</v>
      </c>
      <c r="H77" s="1103">
        <f>'C2-Shares'!EJ22</f>
        <v>0.1004036646900409</v>
      </c>
      <c r="I77" s="1103">
        <f>'C2-Shares'!EZ22</f>
        <v>9.4291204392316835E-2</v>
      </c>
    </row>
    <row r="78" spans="1:9" ht="13.5" customHeight="1" x14ac:dyDescent="0.3">
      <c r="A78" s="48">
        <v>1977</v>
      </c>
      <c r="B78" s="1103">
        <f>'C2-Shares'!BP23</f>
        <v>7.4266218805855419E-2</v>
      </c>
      <c r="C78" s="1103">
        <f>'C2-Shares'!BX23</f>
        <v>7.6882434532392352E-2</v>
      </c>
      <c r="D78" s="1103">
        <f>'C2-Shares'!CF23</f>
        <v>9.6367770337470349E-2</v>
      </c>
      <c r="E78" s="1103">
        <f>'C2-Shares'!CN23</f>
        <v>0.10074906513857911</v>
      </c>
      <c r="F78" s="1103">
        <f>'C2-Shares'!DD23</f>
        <v>0.10756560631928994</v>
      </c>
      <c r="G78" s="1103">
        <f>'C2-Shares'!DT23</f>
        <v>0.10797046098002407</v>
      </c>
      <c r="H78" s="1103">
        <f>'C2-Shares'!EJ23</f>
        <v>0.10119709014379631</v>
      </c>
      <c r="I78" s="1103">
        <f>'C2-Shares'!EZ23</f>
        <v>9.4899274095405453E-2</v>
      </c>
    </row>
    <row r="79" spans="1:9" ht="13.5" customHeight="1" x14ac:dyDescent="0.3">
      <c r="A79" s="48">
        <v>1978</v>
      </c>
      <c r="B79" s="1103">
        <f>'C2-Shares'!BP24</f>
        <v>7.4731796052208407E-2</v>
      </c>
      <c r="C79" s="1103">
        <f>'C2-Shares'!BX24</f>
        <v>7.7404652184791117E-2</v>
      </c>
      <c r="D79" s="1103">
        <f>'C2-Shares'!CF24</f>
        <v>9.6624941616537494E-2</v>
      </c>
      <c r="E79" s="1103">
        <f>'C2-Shares'!CN24</f>
        <v>0.10063221406085618</v>
      </c>
      <c r="F79" s="1103">
        <f>'C2-Shares'!DD24</f>
        <v>0.10650812180297514</v>
      </c>
      <c r="G79" s="1103">
        <f>'C2-Shares'!DT24</f>
        <v>0.10687342460159026</v>
      </c>
      <c r="H79" s="1103">
        <f>'C2-Shares'!EJ24</f>
        <v>9.9880057733525096E-2</v>
      </c>
      <c r="I79" s="1103">
        <f>'C2-Shares'!EZ24</f>
        <v>9.3930708108198674E-2</v>
      </c>
    </row>
    <row r="80" spans="1:9" ht="13.5" customHeight="1" x14ac:dyDescent="0.3">
      <c r="A80" s="48">
        <v>1979</v>
      </c>
      <c r="B80" s="1103">
        <f>'C2-Shares'!BP25</f>
        <v>7.607353491735129E-2</v>
      </c>
      <c r="C80" s="1103">
        <f>'C2-Shares'!BX25</f>
        <v>7.8707776493680548E-2</v>
      </c>
      <c r="D80" s="1103">
        <f>'C2-Shares'!CF25</f>
        <v>9.6934529540592798E-2</v>
      </c>
      <c r="E80" s="1103">
        <f>'C2-Shares'!CN25</f>
        <v>0.10113620088012711</v>
      </c>
      <c r="F80" s="1103">
        <f>'C2-Shares'!DD25</f>
        <v>0.10838534139735505</v>
      </c>
      <c r="G80" s="1103">
        <f>'C2-Shares'!DT25</f>
        <v>0.10856822793366704</v>
      </c>
      <c r="H80" s="1103">
        <f>'C2-Shares'!EJ25</f>
        <v>0.10119041864391339</v>
      </c>
      <c r="I80" s="1103">
        <f>'C2-Shares'!EZ25</f>
        <v>9.4899986792237198E-2</v>
      </c>
    </row>
    <row r="81" spans="1:9" ht="13.5" customHeight="1" x14ac:dyDescent="0.3">
      <c r="A81" s="48">
        <v>1980</v>
      </c>
      <c r="B81" s="1103">
        <f>'C2-Shares'!BP26</f>
        <v>7.8603752106997424E-2</v>
      </c>
      <c r="C81" s="1103">
        <f>'C2-Shares'!BX26</f>
        <v>8.110096637032263E-2</v>
      </c>
      <c r="D81" s="1103">
        <f>'C2-Shares'!CF26</f>
        <v>9.2821878712346442E-2</v>
      </c>
      <c r="E81" s="1103">
        <f>'C2-Shares'!CN26</f>
        <v>9.6940946045983939E-2</v>
      </c>
      <c r="F81" s="1103">
        <f>'C2-Shares'!DD26</f>
        <v>0.10623238403525713</v>
      </c>
      <c r="G81" s="1103">
        <f>'C2-Shares'!DT26</f>
        <v>0.10627471678860237</v>
      </c>
      <c r="H81" s="1103">
        <f>'C2-Shares'!EJ26</f>
        <v>9.8936813194267559E-2</v>
      </c>
      <c r="I81" s="1103">
        <f>'C2-Shares'!EZ26</f>
        <v>9.261465973160031E-2</v>
      </c>
    </row>
    <row r="82" spans="1:9" ht="13.5" customHeight="1" x14ac:dyDescent="0.3">
      <c r="A82" s="48">
        <v>1981</v>
      </c>
      <c r="B82" s="1103">
        <f>'C2-Shares'!BP27</f>
        <v>7.9004294111532938E-2</v>
      </c>
      <c r="C82" s="1103">
        <f>'C2-Shares'!BX27</f>
        <v>8.1618252475079658E-2</v>
      </c>
      <c r="D82" s="1103">
        <f>'C2-Shares'!CF27</f>
        <v>9.2620651122692285E-2</v>
      </c>
      <c r="E82" s="1103">
        <f>'C2-Shares'!CN27</f>
        <v>9.5030333745010437E-2</v>
      </c>
      <c r="F82" s="1103">
        <f>'C2-Shares'!DD27</f>
        <v>0.10134820991892021</v>
      </c>
      <c r="G82" s="1103">
        <f>'C2-Shares'!DT27</f>
        <v>0.10250493960734117</v>
      </c>
      <c r="H82" s="1103">
        <f>'C2-Shares'!EJ27</f>
        <v>9.5317814849073521E-2</v>
      </c>
      <c r="I82" s="1103">
        <f>'C2-Shares'!EZ27</f>
        <v>8.9262196264253163E-2</v>
      </c>
    </row>
    <row r="83" spans="1:9" ht="13.5" customHeight="1" x14ac:dyDescent="0.3">
      <c r="A83" s="48">
        <v>1982</v>
      </c>
      <c r="B83" s="1103">
        <f>'C2-Shares'!BP28</f>
        <v>8.3988722508275881E-2</v>
      </c>
      <c r="C83" s="1103">
        <f>'C2-Shares'!BX28</f>
        <v>8.6607538124679195E-2</v>
      </c>
      <c r="D83" s="1103">
        <f>'C2-Shares'!CF28</f>
        <v>9.632471569911645E-2</v>
      </c>
      <c r="E83" s="1103">
        <f>'C2-Shares'!CN28</f>
        <v>9.7901067741718431E-2</v>
      </c>
      <c r="F83" s="1103">
        <f>'C2-Shares'!DD28</f>
        <v>0.10305064866202335</v>
      </c>
      <c r="G83" s="1103">
        <f>'C2-Shares'!DT28</f>
        <v>0.10401298820614706</v>
      </c>
      <c r="H83" s="1103">
        <f>'C2-Shares'!EJ28</f>
        <v>9.641906591269285E-2</v>
      </c>
      <c r="I83" s="1103">
        <f>'C2-Shares'!EZ28</f>
        <v>9.0401597762518424E-2</v>
      </c>
    </row>
    <row r="84" spans="1:9" ht="13.5" customHeight="1" x14ac:dyDescent="0.3">
      <c r="A84" s="48">
        <v>1983</v>
      </c>
      <c r="B84" s="1103">
        <f>'C2-Shares'!BP29</f>
        <v>8.6063122192691466E-2</v>
      </c>
      <c r="C84" s="1103">
        <f>'C2-Shares'!BX29</f>
        <v>8.846684875985851E-2</v>
      </c>
      <c r="D84" s="1103">
        <f>'C2-Shares'!CF29</f>
        <v>9.968710540479131E-2</v>
      </c>
      <c r="E84" s="1103">
        <f>'C2-Shares'!CN29</f>
        <v>0.10130148924826195</v>
      </c>
      <c r="F84" s="1103">
        <f>'C2-Shares'!DD29</f>
        <v>0.10694542990190849</v>
      </c>
      <c r="G84" s="1103">
        <f>'C2-Shares'!DT29</f>
        <v>0.1069298800396315</v>
      </c>
      <c r="H84" s="1103">
        <f>'C2-Shares'!EJ29</f>
        <v>9.8959648608510267E-2</v>
      </c>
      <c r="I84" s="1103">
        <f>'C2-Shares'!EZ29</f>
        <v>9.2487534110957156E-2</v>
      </c>
    </row>
    <row r="85" spans="1:9" ht="13.5" customHeight="1" x14ac:dyDescent="0.3">
      <c r="A85" s="48">
        <v>1984</v>
      </c>
      <c r="B85" s="1103">
        <f>'C2-Shares'!BP30</f>
        <v>8.9801623126416277E-2</v>
      </c>
      <c r="C85" s="1103">
        <f>'C2-Shares'!BX30</f>
        <v>9.2034590145962256E-2</v>
      </c>
      <c r="D85" s="1103">
        <f>'C2-Shares'!CF30</f>
        <v>0.10342218922426571</v>
      </c>
      <c r="E85" s="1103">
        <f>'C2-Shares'!CN30</f>
        <v>0.10475959461737072</v>
      </c>
      <c r="F85" s="1103">
        <f>'C2-Shares'!DD30</f>
        <v>0.10927978694627985</v>
      </c>
      <c r="G85" s="1103">
        <f>'C2-Shares'!DT30</f>
        <v>0.11067448544668827</v>
      </c>
      <c r="H85" s="1103">
        <f>'C2-Shares'!EJ30</f>
        <v>0.10220792236963767</v>
      </c>
      <c r="I85" s="1103">
        <f>'C2-Shares'!EZ30</f>
        <v>9.5430599975374134E-2</v>
      </c>
    </row>
    <row r="86" spans="1:9" ht="13.5" customHeight="1" x14ac:dyDescent="0.3">
      <c r="A86" s="48">
        <v>1985</v>
      </c>
      <c r="B86" s="1103">
        <f>'C2-Shares'!BP31</f>
        <v>9.205939695431975E-2</v>
      </c>
      <c r="C86" s="1103">
        <f>'C2-Shares'!BX31</f>
        <v>9.470650408387235E-2</v>
      </c>
      <c r="D86" s="1103">
        <f>'C2-Shares'!CF31</f>
        <v>0.10469377555600336</v>
      </c>
      <c r="E86" s="1103">
        <f>'C2-Shares'!CN31</f>
        <v>0.10585544214633977</v>
      </c>
      <c r="F86" s="1103">
        <f>'C2-Shares'!DD31</f>
        <v>0.1107108230385955</v>
      </c>
      <c r="G86" s="1103">
        <f>'C2-Shares'!DT31</f>
        <v>0.11117036381001354</v>
      </c>
      <c r="H86" s="1103">
        <f>'C2-Shares'!EJ31</f>
        <v>0.10263329476742744</v>
      </c>
      <c r="I86" s="1103">
        <f>'C2-Shares'!EZ31</f>
        <v>9.5622856413381044E-2</v>
      </c>
    </row>
    <row r="87" spans="1:9" ht="13.5" customHeight="1" x14ac:dyDescent="0.3">
      <c r="A87" s="48">
        <v>1986</v>
      </c>
      <c r="B87" s="1103">
        <f>'C2-Shares'!BP32</f>
        <v>9.2263808815653187E-2</v>
      </c>
      <c r="C87" s="1103">
        <f>'C2-Shares'!BX32</f>
        <v>9.4282128943826704E-2</v>
      </c>
      <c r="D87" s="1103">
        <f>'C2-Shares'!CF32</f>
        <v>0.10123904914898944</v>
      </c>
      <c r="E87" s="1103">
        <f>'C2-Shares'!CN32</f>
        <v>0.10256915924697807</v>
      </c>
      <c r="F87" s="1103">
        <f>'C2-Shares'!DD32</f>
        <v>0.10722893115605255</v>
      </c>
      <c r="G87" s="1103">
        <f>'C2-Shares'!DT32</f>
        <v>0.10815288028299629</v>
      </c>
      <c r="H87" s="1103">
        <f>'C2-Shares'!EJ32</f>
        <v>0.10000637338366052</v>
      </c>
      <c r="I87" s="1103">
        <f>'C2-Shares'!EZ32</f>
        <v>9.2931372728020101E-2</v>
      </c>
    </row>
    <row r="88" spans="1:9" ht="13.5" customHeight="1" x14ac:dyDescent="0.3">
      <c r="A88" s="48">
        <v>1987</v>
      </c>
      <c r="B88" s="1103">
        <f>'C2-Shares'!BP33</f>
        <v>9.9576121349569113E-2</v>
      </c>
      <c r="C88" s="1103">
        <f>'C2-Shares'!BX33</f>
        <v>0.10221733570411845</v>
      </c>
      <c r="D88" s="1103">
        <f>'C2-Shares'!CF33</f>
        <v>0.10665308676646147</v>
      </c>
      <c r="E88" s="1103">
        <f>'C2-Shares'!CN33</f>
        <v>0.10747754919821843</v>
      </c>
      <c r="F88" s="1103">
        <f>'C2-Shares'!DD33</f>
        <v>0.11085876736169488</v>
      </c>
      <c r="G88" s="1103">
        <f>'C2-Shares'!DT33</f>
        <v>0.11151674653537307</v>
      </c>
      <c r="H88" s="1103">
        <f>'C2-Shares'!EJ33</f>
        <v>0.10268923732661954</v>
      </c>
      <c r="I88" s="1103">
        <f>'C2-Shares'!EZ33</f>
        <v>9.6691378643522452E-2</v>
      </c>
    </row>
    <row r="89" spans="1:9" ht="13.5" customHeight="1" x14ac:dyDescent="0.3">
      <c r="A89" s="48">
        <v>1988</v>
      </c>
      <c r="B89" s="1103">
        <f>'C2-Shares'!BP34</f>
        <v>0.12179341061546657</v>
      </c>
      <c r="C89" s="1103">
        <f>'C2-Shares'!BX34</f>
        <v>0.12466069524279622</v>
      </c>
      <c r="D89" s="1103">
        <f>'C2-Shares'!CF34</f>
        <v>0.13019037090226221</v>
      </c>
      <c r="E89" s="1103">
        <f>'C2-Shares'!CN34</f>
        <v>0.13102247544280121</v>
      </c>
      <c r="F89" s="1103">
        <f>'C2-Shares'!DD34</f>
        <v>0.13598324691201102</v>
      </c>
      <c r="G89" s="1103">
        <f>'C2-Shares'!DT34</f>
        <v>0.13328397275060927</v>
      </c>
      <c r="H89" s="1103">
        <f>'C2-Shares'!EJ34</f>
        <v>0.12244637739133926</v>
      </c>
      <c r="I89" s="1103">
        <f>'C2-Shares'!EZ34</f>
        <v>0.11618417948029981</v>
      </c>
    </row>
    <row r="90" spans="1:9" ht="13.5" customHeight="1" x14ac:dyDescent="0.3">
      <c r="A90" s="48">
        <v>1989</v>
      </c>
      <c r="B90" s="1103">
        <f>'C2-Shares'!BP35</f>
        <v>0.11720271976048928</v>
      </c>
      <c r="C90" s="1103">
        <f>'C2-Shares'!BX35</f>
        <v>0.12016591313348901</v>
      </c>
      <c r="D90" s="1103">
        <f>'C2-Shares'!CF35</f>
        <v>0.1239953711916988</v>
      </c>
      <c r="E90" s="1103">
        <f>'C2-Shares'!CN35</f>
        <v>0.124843644372388</v>
      </c>
      <c r="F90" s="1103">
        <f>'C2-Shares'!DD35</f>
        <v>0.13074973120255531</v>
      </c>
      <c r="G90" s="1103">
        <f>'C2-Shares'!DT35</f>
        <v>0.12837367767431751</v>
      </c>
      <c r="H90" s="1103">
        <f>'C2-Shares'!EJ35</f>
        <v>0.11781695389276747</v>
      </c>
      <c r="I90" s="1103">
        <f>'C2-Shares'!EZ35</f>
        <v>0.11126510038595104</v>
      </c>
    </row>
    <row r="91" spans="1:9" ht="13.5" customHeight="1" x14ac:dyDescent="0.3">
      <c r="A91" s="48">
        <v>1990</v>
      </c>
      <c r="B91" s="1103">
        <f>'C2-Shares'!BP36</f>
        <v>0.11981887010048813</v>
      </c>
      <c r="C91" s="1103">
        <f>'C2-Shares'!BX36</f>
        <v>0.12286913374777618</v>
      </c>
      <c r="D91" s="1103">
        <f>'C2-Shares'!CF36</f>
        <v>0.12584532902608009</v>
      </c>
      <c r="E91" s="1103">
        <f>'C2-Shares'!CN36</f>
        <v>0.12668903649329583</v>
      </c>
      <c r="F91" s="1103">
        <f>'C2-Shares'!DD36</f>
        <v>0.13198069357134254</v>
      </c>
      <c r="G91" s="1103">
        <f>'C2-Shares'!DT36</f>
        <v>0.12950022910287701</v>
      </c>
      <c r="H91" s="1103">
        <f>'C2-Shares'!EJ36</f>
        <v>0.11843980919319068</v>
      </c>
      <c r="I91" s="1103">
        <f>'C2-Shares'!EZ36</f>
        <v>0.11287840931465051</v>
      </c>
    </row>
    <row r="92" spans="1:9" ht="13.5" customHeight="1" x14ac:dyDescent="0.3">
      <c r="A92" s="48">
        <v>1991</v>
      </c>
      <c r="B92" s="1103">
        <f>'C2-Shares'!BP37</f>
        <v>0.11417176859008872</v>
      </c>
      <c r="C92" s="1103">
        <f>'C2-Shares'!BX37</f>
        <v>0.117369918919983</v>
      </c>
      <c r="D92" s="1103">
        <f>'C2-Shares'!CF37</f>
        <v>0.12197138346488783</v>
      </c>
      <c r="E92" s="1103">
        <f>'C2-Shares'!CN37</f>
        <v>0.12321526644963668</v>
      </c>
      <c r="F92" s="1103">
        <f>'C2-Shares'!DD37</f>
        <v>0.12695061726522514</v>
      </c>
      <c r="G92" s="1103">
        <f>'C2-Shares'!DT37</f>
        <v>0.12510375060278933</v>
      </c>
      <c r="H92" s="1103">
        <f>'C2-Shares'!EJ37</f>
        <v>0.11426077179454276</v>
      </c>
      <c r="I92" s="1103">
        <f>'C2-Shares'!EZ37</f>
        <v>0.10924309169780609</v>
      </c>
    </row>
    <row r="93" spans="1:9" ht="13.5" customHeight="1" x14ac:dyDescent="0.3">
      <c r="A93" s="48">
        <v>1992</v>
      </c>
      <c r="B93" s="1103">
        <f>'C2-Shares'!BP38</f>
        <v>0.12527151639312997</v>
      </c>
      <c r="C93" s="1103">
        <f>'C2-Shares'!BX38</f>
        <v>0.12835934955831774</v>
      </c>
      <c r="D93" s="1103">
        <f>'C2-Shares'!CF38</f>
        <v>0.13302907378088683</v>
      </c>
      <c r="E93" s="1103">
        <f>'C2-Shares'!CN38</f>
        <v>0.13451115004077571</v>
      </c>
      <c r="F93" s="1103">
        <f>'C2-Shares'!DD38</f>
        <v>0.13796739962166549</v>
      </c>
      <c r="G93" s="1103">
        <f>'C2-Shares'!DT38</f>
        <v>0.13270819001394604</v>
      </c>
      <c r="H93" s="1103">
        <f>'C2-Shares'!EJ38</f>
        <v>0.12091263770766777</v>
      </c>
      <c r="I93" s="1103">
        <f>'C2-Shares'!EZ38</f>
        <v>0.11597736769774794</v>
      </c>
    </row>
    <row r="94" spans="1:9" ht="13.5" customHeight="1" x14ac:dyDescent="0.3">
      <c r="A94" s="48">
        <v>1993</v>
      </c>
      <c r="B94" s="1103">
        <f>'C2-Shares'!BP39</f>
        <v>0.11794091750620227</v>
      </c>
      <c r="C94" s="1103">
        <f>'C2-Shares'!BX39</f>
        <v>0.12106439281110408</v>
      </c>
      <c r="D94" s="1103">
        <f>'C2-Shares'!CF39</f>
        <v>0.12572459730839136</v>
      </c>
      <c r="E94" s="1103">
        <f>'C2-Shares'!CN39</f>
        <v>0.12742553331110071</v>
      </c>
      <c r="F94" s="1103">
        <f>'C2-Shares'!DD39</f>
        <v>0.13058290576749282</v>
      </c>
      <c r="G94" s="1103">
        <f>'C2-Shares'!DT39</f>
        <v>0.1260328712417009</v>
      </c>
      <c r="H94" s="1103">
        <f>'C2-Shares'!EJ39</f>
        <v>0.11469967797614036</v>
      </c>
      <c r="I94" s="1103">
        <f>'C2-Shares'!EZ39</f>
        <v>0.10954075171346821</v>
      </c>
    </row>
    <row r="95" spans="1:9" ht="13.5" customHeight="1" x14ac:dyDescent="0.3">
      <c r="A95" s="48">
        <v>1994</v>
      </c>
      <c r="B95" s="1103">
        <f>'C2-Shares'!BP40</f>
        <v>0.11740972444136223</v>
      </c>
      <c r="C95" s="1103">
        <f>'C2-Shares'!BX40</f>
        <v>0.1206813187726582</v>
      </c>
      <c r="D95" s="1103">
        <f>'C2-Shares'!CF40</f>
        <v>0.12585230013384427</v>
      </c>
      <c r="E95" s="1103">
        <f>'C2-Shares'!CN40</f>
        <v>0.12776107748258364</v>
      </c>
      <c r="F95" s="1103">
        <f>'C2-Shares'!DD40</f>
        <v>0.13035964038212597</v>
      </c>
      <c r="G95" s="1103">
        <f>'C2-Shares'!DT40</f>
        <v>0.12566918549045694</v>
      </c>
      <c r="H95" s="1103">
        <f>'C2-Shares'!EJ40</f>
        <v>0.1148272781281392</v>
      </c>
      <c r="I95" s="1103">
        <f>'C2-Shares'!EZ40</f>
        <v>0.10947565686902427</v>
      </c>
    </row>
    <row r="96" spans="1:9" ht="13.5" customHeight="1" x14ac:dyDescent="0.3">
      <c r="A96" s="48">
        <v>1995</v>
      </c>
      <c r="B96" s="1103">
        <f>'C2-Shares'!BP41</f>
        <v>0.12248438485226811</v>
      </c>
      <c r="C96" s="1103">
        <f>'C2-Shares'!BX41</f>
        <v>0.12562985563124796</v>
      </c>
      <c r="D96" s="1103">
        <f>'C2-Shares'!CF41</f>
        <v>0.13188386048885528</v>
      </c>
      <c r="E96" s="1103">
        <f>'C2-Shares'!CN41</f>
        <v>0.1337149287743605</v>
      </c>
      <c r="F96" s="1103">
        <f>'C2-Shares'!DD41</f>
        <v>0.13652748933790682</v>
      </c>
      <c r="G96" s="1103">
        <f>'C2-Shares'!DT41</f>
        <v>0.1313528531216353</v>
      </c>
      <c r="H96" s="1103">
        <f>'C2-Shares'!EJ41</f>
        <v>0.12062964956612199</v>
      </c>
      <c r="I96" s="1103">
        <f>'C2-Shares'!EZ41</f>
        <v>0.11512130249241838</v>
      </c>
    </row>
    <row r="97" spans="1:9" ht="13.5" customHeight="1" x14ac:dyDescent="0.3">
      <c r="A97" s="48">
        <v>1996</v>
      </c>
      <c r="B97" s="1103">
        <f>'C2-Shares'!BP42</f>
        <v>0.12794129726924547</v>
      </c>
      <c r="C97" s="1103">
        <f>'C2-Shares'!BX42</f>
        <v>0.13088842906252657</v>
      </c>
      <c r="D97" s="1103">
        <f>'C2-Shares'!CF42</f>
        <v>0.136778324321251</v>
      </c>
      <c r="E97" s="1103">
        <f>'C2-Shares'!CN42</f>
        <v>0.13848874948899037</v>
      </c>
      <c r="F97" s="1103">
        <f>'C2-Shares'!DD42</f>
        <v>0.14136655996489042</v>
      </c>
      <c r="G97" s="1103">
        <f>'C2-Shares'!DT42</f>
        <v>0.13557822746598167</v>
      </c>
      <c r="H97" s="1103">
        <f>'C2-Shares'!EJ42</f>
        <v>0.12493281298834284</v>
      </c>
      <c r="I97" s="1103">
        <f>'C2-Shares'!EZ42</f>
        <v>0.11931018728926303</v>
      </c>
    </row>
    <row r="98" spans="1:9" ht="13.5" customHeight="1" x14ac:dyDescent="0.3">
      <c r="A98" s="48">
        <v>1997</v>
      </c>
      <c r="B98" s="1103">
        <f>'C2-Shares'!BP43</f>
        <v>0.13381134042884052</v>
      </c>
      <c r="C98" s="1103">
        <f>'C2-Shares'!BX43</f>
        <v>0.13689142666218143</v>
      </c>
      <c r="D98" s="1103">
        <f>'C2-Shares'!CF43</f>
        <v>0.14305028863887007</v>
      </c>
      <c r="E98" s="1103">
        <f>'C2-Shares'!CN43</f>
        <v>0.14462668857720246</v>
      </c>
      <c r="F98" s="1103">
        <f>'C2-Shares'!DD43</f>
        <v>0.14759222024989466</v>
      </c>
      <c r="G98" s="1103">
        <f>'C2-Shares'!DT43</f>
        <v>0.14157456728565201</v>
      </c>
      <c r="H98" s="1103">
        <f>'C2-Shares'!EJ43</f>
        <v>0.13077942599262726</v>
      </c>
      <c r="I98" s="1103">
        <f>'C2-Shares'!EZ43</f>
        <v>0.12490294670435617</v>
      </c>
    </row>
    <row r="99" spans="1:9" ht="13.5" customHeight="1" x14ac:dyDescent="0.3">
      <c r="A99" s="48">
        <v>1998</v>
      </c>
      <c r="B99" s="1103">
        <f>'C2-Shares'!BP44</f>
        <v>0.13850871610760548</v>
      </c>
      <c r="C99" s="1103">
        <f>'C2-Shares'!BX44</f>
        <v>0.14141976475947396</v>
      </c>
      <c r="D99" s="1103">
        <f>'C2-Shares'!CF44</f>
        <v>0.14562503652173667</v>
      </c>
      <c r="E99" s="1103">
        <f>'C2-Shares'!CN44</f>
        <v>0.1473168819286384</v>
      </c>
      <c r="F99" s="1103">
        <f>'C2-Shares'!DD44</f>
        <v>0.14994443908909733</v>
      </c>
      <c r="G99" s="1103">
        <f>'C2-Shares'!DT44</f>
        <v>0.14308967953859331</v>
      </c>
      <c r="H99" s="1103">
        <f>'C2-Shares'!EJ44</f>
        <v>0.13227861402508262</v>
      </c>
      <c r="I99" s="1103">
        <f>'C2-Shares'!EZ44</f>
        <v>0.12637675646198396</v>
      </c>
    </row>
    <row r="100" spans="1:9" ht="13.5" customHeight="1" x14ac:dyDescent="0.3">
      <c r="A100" s="48">
        <v>1999</v>
      </c>
      <c r="B100" s="1103">
        <f>'C2-Shares'!BP45</f>
        <v>0.14331342716628531</v>
      </c>
      <c r="C100" s="1103">
        <f>'C2-Shares'!BX45</f>
        <v>0.1460381311045342</v>
      </c>
      <c r="D100" s="1103">
        <f>'C2-Shares'!CF45</f>
        <v>0.1505526577341248</v>
      </c>
      <c r="E100" s="1103">
        <f>'C2-Shares'!CN45</f>
        <v>0.15244374949957129</v>
      </c>
      <c r="F100" s="1103">
        <f>'C2-Shares'!DD45</f>
        <v>0.1555002547181098</v>
      </c>
      <c r="G100" s="1103">
        <f>'C2-Shares'!DT45</f>
        <v>0.14838101246211446</v>
      </c>
      <c r="H100" s="1103">
        <f>'C2-Shares'!EJ45</f>
        <v>0.13727382252720124</v>
      </c>
      <c r="I100" s="1103">
        <f>'C2-Shares'!EZ45</f>
        <v>0.13162035713692485</v>
      </c>
    </row>
    <row r="101" spans="1:9" ht="13.5" customHeight="1" x14ac:dyDescent="0.3">
      <c r="A101" s="48">
        <v>2000</v>
      </c>
      <c r="B101" s="1103">
        <f>'C2-Shares'!BP46</f>
        <v>0.15271323970005557</v>
      </c>
      <c r="C101" s="1103">
        <f>'C2-Shares'!BX46</f>
        <v>0.15521715110622217</v>
      </c>
      <c r="D101" s="1103">
        <f>'C2-Shares'!CF46</f>
        <v>0.15735168532279675</v>
      </c>
      <c r="E101" s="1103">
        <f>'C2-Shares'!CN46</f>
        <v>0.15882041378998732</v>
      </c>
      <c r="F101" s="1103">
        <f>'C2-Shares'!DD46</f>
        <v>0.16276506144193015</v>
      </c>
      <c r="G101" s="1103">
        <f>'C2-Shares'!DT46</f>
        <v>0.15410534678725157</v>
      </c>
      <c r="H101" s="1103">
        <f>'C2-Shares'!EJ46</f>
        <v>0.14219954784920752</v>
      </c>
      <c r="I101" s="1103">
        <f>'C2-Shares'!EZ46</f>
        <v>0.13670178501652119</v>
      </c>
    </row>
    <row r="102" spans="1:9" ht="13.5" customHeight="1" x14ac:dyDescent="0.3">
      <c r="A102" s="48">
        <v>2001</v>
      </c>
      <c r="B102" s="1103">
        <f>'C2-Shares'!BP47</f>
        <v>0.14053008771631226</v>
      </c>
      <c r="C102" s="1103">
        <f>'C2-Shares'!BX47</f>
        <v>0.14288442195661791</v>
      </c>
      <c r="D102" s="1103">
        <f>'C2-Shares'!CF47</f>
        <v>0.14581392917439465</v>
      </c>
      <c r="E102" s="1103">
        <f>'C2-Shares'!CN47</f>
        <v>0.14693555901448818</v>
      </c>
      <c r="F102" s="1103">
        <f>'C2-Shares'!DD47</f>
        <v>0.15054930942442268</v>
      </c>
      <c r="G102" s="1103">
        <f>'C2-Shares'!DT47</f>
        <v>0.14370707023369617</v>
      </c>
      <c r="H102" s="1103">
        <f>'C2-Shares'!EJ47</f>
        <v>0.13216224404889598</v>
      </c>
      <c r="I102" s="1103">
        <f>'C2-Shares'!EZ47</f>
        <v>0.12713426863166885</v>
      </c>
    </row>
    <row r="103" spans="1:9" ht="13.5" customHeight="1" x14ac:dyDescent="0.3">
      <c r="A103" s="48">
        <v>2002</v>
      </c>
      <c r="B103" s="1103">
        <f>'C2-Shares'!BP48</f>
        <v>0.13421125592858837</v>
      </c>
      <c r="C103" s="1103">
        <f>'C2-Shares'!BX48</f>
        <v>0.13583231385395272</v>
      </c>
      <c r="D103" s="1103">
        <f>'C2-Shares'!CF48</f>
        <v>0.1398411392022669</v>
      </c>
      <c r="E103" s="1103">
        <f>'C2-Shares'!CN48</f>
        <v>0.14049719585397874</v>
      </c>
      <c r="F103" s="1103">
        <f>'C2-Shares'!DD48</f>
        <v>0.14339470081271682</v>
      </c>
      <c r="G103" s="1103">
        <f>'C2-Shares'!DT48</f>
        <v>0.1371002316210444</v>
      </c>
      <c r="H103" s="1103">
        <f>'C2-Shares'!EJ48</f>
        <v>0.12580906830572749</v>
      </c>
      <c r="I103" s="1103">
        <f>'C2-Shares'!EZ48</f>
        <v>0.12068197568424517</v>
      </c>
    </row>
    <row r="104" spans="1:9" ht="13.5" customHeight="1" x14ac:dyDescent="0.3">
      <c r="A104" s="48">
        <v>2003</v>
      </c>
      <c r="B104" s="1103">
        <f>'C2-Shares'!BP49</f>
        <v>0.13652782606305219</v>
      </c>
      <c r="C104" s="1103">
        <f>'C2-Shares'!BX49</f>
        <v>0.13847854862355136</v>
      </c>
      <c r="D104" s="1103">
        <f>'C2-Shares'!CF49</f>
        <v>0.144340473432686</v>
      </c>
      <c r="E104" s="1103">
        <f>'C2-Shares'!CN49</f>
        <v>0.14556327539647013</v>
      </c>
      <c r="F104" s="1103">
        <f>'C2-Shares'!DD49</f>
        <v>0.14887732588618172</v>
      </c>
      <c r="G104" s="1103">
        <f>'C2-Shares'!DT49</f>
        <v>0.14100470726124911</v>
      </c>
      <c r="H104" s="1103">
        <f>'C2-Shares'!EJ49</f>
        <v>0.12898869616468414</v>
      </c>
      <c r="I104" s="1103">
        <f>'C2-Shares'!EZ49</f>
        <v>0.12377478129489432</v>
      </c>
    </row>
    <row r="105" spans="1:9" ht="13.5" customHeight="1" x14ac:dyDescent="0.3">
      <c r="A105" s="48">
        <v>2004</v>
      </c>
      <c r="B105" s="1103">
        <f>'C2-Shares'!BP50</f>
        <v>0.14697923353687528</v>
      </c>
      <c r="C105" s="1103">
        <f>'C2-Shares'!BX50</f>
        <v>0.14934451168947063</v>
      </c>
      <c r="D105" s="1103">
        <f>'C2-Shares'!CF50</f>
        <v>0.15533618364682594</v>
      </c>
      <c r="E105" s="1103">
        <f>'C2-Shares'!CN50</f>
        <v>0.15684625933194268</v>
      </c>
      <c r="F105" s="1103">
        <f>'C2-Shares'!DD50</f>
        <v>0.16031238667217479</v>
      </c>
      <c r="G105" s="1103">
        <f>'C2-Shares'!DT50</f>
        <v>0.15115044431893934</v>
      </c>
      <c r="H105" s="1103">
        <f>'C2-Shares'!EJ50</f>
        <v>0.13818884731019557</v>
      </c>
      <c r="I105" s="1103">
        <f>'C2-Shares'!EZ50</f>
        <v>0.13260924234253701</v>
      </c>
    </row>
    <row r="106" spans="1:9" ht="13.5" customHeight="1" x14ac:dyDescent="0.3">
      <c r="A106" s="48">
        <v>2005</v>
      </c>
      <c r="B106" s="1103">
        <f>'C2-Shares'!BP51</f>
        <v>0.15887801351172548</v>
      </c>
      <c r="C106" s="1103">
        <f>'C2-Shares'!BX51</f>
        <v>0.16168975764572671</v>
      </c>
      <c r="D106" s="1103">
        <f>'C2-Shares'!CF51</f>
        <v>0.16792162713844605</v>
      </c>
      <c r="E106" s="1103">
        <f>'C2-Shares'!CN51</f>
        <v>0.16970906403718347</v>
      </c>
      <c r="F106" s="1103">
        <f>'C2-Shares'!DD51</f>
        <v>0.17378261965959818</v>
      </c>
      <c r="G106" s="1103">
        <f>'C2-Shares'!DT51</f>
        <v>0.16250129666359026</v>
      </c>
      <c r="H106" s="1103">
        <f>'C2-Shares'!EJ51</f>
        <v>0.1484679019054326</v>
      </c>
      <c r="I106" s="1103">
        <f>'C2-Shares'!EZ51</f>
        <v>0.14257478164468423</v>
      </c>
    </row>
    <row r="107" spans="1:9" ht="13.5" customHeight="1" x14ac:dyDescent="0.3">
      <c r="A107" s="48">
        <v>2006</v>
      </c>
      <c r="B107" s="1103">
        <f>'C2-Shares'!BP52</f>
        <v>0.1630196904090282</v>
      </c>
      <c r="C107" s="1103">
        <f>'C2-Shares'!BX52</f>
        <v>0.16645839396458695</v>
      </c>
      <c r="D107" s="1103">
        <f>'C2-Shares'!CF52</f>
        <v>0.17295868697005534</v>
      </c>
      <c r="E107" s="1103">
        <f>'C2-Shares'!CN52</f>
        <v>0.17513656343077766</v>
      </c>
      <c r="F107" s="1103">
        <f>'C2-Shares'!DD52</f>
        <v>0.17973578461344783</v>
      </c>
      <c r="G107" s="1103">
        <f>'C2-Shares'!DT52</f>
        <v>0.16737603179832153</v>
      </c>
      <c r="H107" s="1103">
        <f>'C2-Shares'!EJ52</f>
        <v>0.15333909966112272</v>
      </c>
      <c r="I107" s="1103">
        <f>'C2-Shares'!EZ52</f>
        <v>0.14696344047345955</v>
      </c>
    </row>
    <row r="108" spans="1:9" ht="13.5" customHeight="1" x14ac:dyDescent="0.3">
      <c r="A108" s="48">
        <v>2007</v>
      </c>
      <c r="B108" s="1103">
        <f>'C2-Shares'!BP53</f>
        <v>0.16543577742164467</v>
      </c>
      <c r="C108" s="1103">
        <f>'C2-Shares'!BX53</f>
        <v>0.16892829082122229</v>
      </c>
      <c r="D108" s="1103">
        <f>'C2-Shares'!CF53</f>
        <v>0.17189689391687527</v>
      </c>
      <c r="E108" s="1103">
        <f>'C2-Shares'!CN53</f>
        <v>0.1735516305968075</v>
      </c>
      <c r="F108" s="1103">
        <f>'C2-Shares'!DD53</f>
        <v>0.17840564335669787</v>
      </c>
      <c r="G108" s="1103">
        <f>'C2-Shares'!DT53</f>
        <v>0.16644054317272292</v>
      </c>
      <c r="H108" s="1103">
        <f>'C2-Shares'!EJ53</f>
        <v>0.15243162152335388</v>
      </c>
      <c r="I108" s="1103">
        <f>'C2-Shares'!EZ53</f>
        <v>0.14610594510750965</v>
      </c>
    </row>
    <row r="109" spans="1:9" ht="13.5" customHeight="1" x14ac:dyDescent="0.3">
      <c r="A109" s="48">
        <v>2008</v>
      </c>
      <c r="B109" s="1103">
        <f>'C2-Shares'!BP54</f>
        <v>0.15942822025416023</v>
      </c>
      <c r="C109" s="1103">
        <f>'C2-Shares'!BX54</f>
        <v>0.16216968588305175</v>
      </c>
      <c r="D109" s="1103">
        <f>'C2-Shares'!CF54</f>
        <v>0.16381519694332966</v>
      </c>
      <c r="E109" s="1103">
        <f>'C2-Shares'!CN54</f>
        <v>0.16485097702879642</v>
      </c>
      <c r="F109" s="1103">
        <f>'C2-Shares'!DD54</f>
        <v>0.17080071708380432</v>
      </c>
      <c r="G109" s="1103">
        <f>'C2-Shares'!DT54</f>
        <v>0.15941624658980974</v>
      </c>
      <c r="H109" s="1103">
        <f>'C2-Shares'!EJ54</f>
        <v>0.1457270055674105</v>
      </c>
      <c r="I109" s="1103">
        <f>'C2-Shares'!EZ54</f>
        <v>0.13955021491106612</v>
      </c>
    </row>
    <row r="110" spans="1:9" ht="13.5" customHeight="1" x14ac:dyDescent="0.3">
      <c r="A110" s="48">
        <v>2009</v>
      </c>
      <c r="B110" s="1103">
        <f>'C2-Shares'!BP55</f>
        <v>0.14629922888309324</v>
      </c>
      <c r="C110" s="1103">
        <f>'C2-Shares'!BX55</f>
        <v>0.14755019418906146</v>
      </c>
      <c r="D110" s="1103">
        <f>'C2-Shares'!CF55</f>
        <v>0.15451715712421249</v>
      </c>
      <c r="E110" s="1103">
        <f>'C2-Shares'!CN55</f>
        <v>0.15563366005089441</v>
      </c>
      <c r="F110" s="1103">
        <f>'C2-Shares'!DD55</f>
        <v>0.15842811884378469</v>
      </c>
      <c r="G110" s="1103">
        <f>'C2-Shares'!DT55</f>
        <v>0.14853350106617252</v>
      </c>
      <c r="H110" s="1103">
        <f>'C2-Shares'!EJ55</f>
        <v>0.13589784716766851</v>
      </c>
      <c r="I110" s="1103">
        <f>'C2-Shares'!EZ55</f>
        <v>0.13091121874891942</v>
      </c>
    </row>
    <row r="111" spans="1:9" ht="13.5" customHeight="1" x14ac:dyDescent="0.3">
      <c r="A111" s="48">
        <v>2010</v>
      </c>
      <c r="B111" s="1103">
        <f>'C2-Shares'!BP56</f>
        <v>0.15308304286902652</v>
      </c>
      <c r="C111" s="1103">
        <f>'C2-Shares'!BX56</f>
        <v>0.15482841124332933</v>
      </c>
      <c r="D111" s="1103">
        <f>'C2-Shares'!CF56</f>
        <v>0.16695721820987194</v>
      </c>
      <c r="E111" s="1103">
        <f>'C2-Shares'!CN56</f>
        <v>0.16868826460179637</v>
      </c>
      <c r="F111" s="1103">
        <f>'C2-Shares'!DD56</f>
        <v>0.1724783338043504</v>
      </c>
      <c r="G111" s="1103">
        <f>'C2-Shares'!DT56</f>
        <v>0.16114929916602908</v>
      </c>
      <c r="H111" s="1103">
        <f>'C2-Shares'!EJ56</f>
        <v>0.14793618221127564</v>
      </c>
      <c r="I111" s="1103">
        <f>'C2-Shares'!EZ56</f>
        <v>0.14296488171438282</v>
      </c>
    </row>
    <row r="112" spans="1:9" ht="13.5" customHeight="1" x14ac:dyDescent="0.3">
      <c r="A112" s="48">
        <v>2011</v>
      </c>
      <c r="B112" s="1103">
        <f>'C2-Shares'!BP57</f>
        <v>0.15147672392649897</v>
      </c>
      <c r="C112" s="1103">
        <f>'C2-Shares'!BX57</f>
        <v>0.15328369880170672</v>
      </c>
      <c r="D112" s="1103">
        <f>'C2-Shares'!CF57</f>
        <v>0.16237991353127132</v>
      </c>
      <c r="E112" s="1103">
        <f>'C2-Shares'!CN57</f>
        <v>0.16385122278970773</v>
      </c>
      <c r="F112" s="1103">
        <f>'C2-Shares'!DD57</f>
        <v>0.16728510361617613</v>
      </c>
      <c r="G112" s="1103">
        <f>'C2-Shares'!DT57</f>
        <v>0.156283862379995</v>
      </c>
      <c r="H112" s="1103">
        <f>'C2-Shares'!EJ57</f>
        <v>0.14342488299690548</v>
      </c>
      <c r="I112" s="1103">
        <f>'C2-Shares'!EZ57</f>
        <v>0.13842295139515765</v>
      </c>
    </row>
    <row r="113" spans="1:9" ht="13.5" customHeight="1" x14ac:dyDescent="0.3">
      <c r="A113" s="48">
        <v>2012</v>
      </c>
      <c r="B113" s="1103">
        <f>'C2-Shares'!BP58</f>
        <v>0.16740885633823213</v>
      </c>
      <c r="C113" s="1103">
        <f>'C2-Shares'!BX58</f>
        <v>0.17017301099258811</v>
      </c>
      <c r="D113" s="1103">
        <f>'C2-Shares'!CF58</f>
        <v>0.17974416465966014</v>
      </c>
      <c r="E113" s="1103">
        <f>'C2-Shares'!CN58</f>
        <v>0.18151505551436412</v>
      </c>
      <c r="F113" s="1103">
        <f>'C2-Shares'!DD58</f>
        <v>0.18544080649044928</v>
      </c>
      <c r="G113" s="1103">
        <f>'C2-Shares'!DT58</f>
        <v>0.1719716335768138</v>
      </c>
      <c r="H113" s="1103">
        <f>'C2-Shares'!EJ58</f>
        <v>0.15791741975509516</v>
      </c>
      <c r="I113" s="1103">
        <f>'C2-Shares'!EZ58</f>
        <v>0.15229122380983121</v>
      </c>
    </row>
    <row r="114" spans="1:9" ht="13.5" customHeight="1" x14ac:dyDescent="0.3">
      <c r="A114" s="48">
        <v>2013</v>
      </c>
      <c r="B114" s="1103">
        <f>'C2-Shares'!BP59</f>
        <v>0.15344573015693216</v>
      </c>
      <c r="C114" s="1103">
        <f>'C2-Shares'!BX59</f>
        <v>0.15593337345642794</v>
      </c>
      <c r="D114" s="1103">
        <f>'C2-Shares'!CF59</f>
        <v>0.16371535562004141</v>
      </c>
      <c r="E114" s="1103">
        <f>'C2-Shares'!CN59</f>
        <v>0.16564883246638523</v>
      </c>
      <c r="F114" s="1103">
        <f>'C2-Shares'!DD59</f>
        <v>0.16884648389514048</v>
      </c>
      <c r="G114" s="1103">
        <f>'C2-Shares'!DT59</f>
        <v>0.15815260508853818</v>
      </c>
      <c r="H114" s="1103">
        <f>'C2-Shares'!EJ59</f>
        <v>0.1451819718659941</v>
      </c>
      <c r="I114" s="1103">
        <f>'C2-Shares'!EZ59</f>
        <v>0.13896760061229452</v>
      </c>
    </row>
    <row r="115" spans="1:9" ht="13.5" customHeight="1" x14ac:dyDescent="0.3">
      <c r="A115" s="48">
        <v>2014</v>
      </c>
      <c r="B115" s="1103">
        <f>'C2-Shares'!BP60</f>
        <v>0.15889326616238297</v>
      </c>
      <c r="C115" s="1103">
        <f>'C2-Shares'!BX60</f>
        <v>0.16090553148425707</v>
      </c>
      <c r="D115" s="1103">
        <f>'C2-Shares'!CF60</f>
        <v>0.16864109806562586</v>
      </c>
      <c r="E115" s="1103">
        <f>'C2-Shares'!CN60</f>
        <v>0.17065327766776892</v>
      </c>
      <c r="F115" s="1103">
        <f>'C2-Shares'!DD60</f>
        <v>0.17377247971667889</v>
      </c>
      <c r="G115" s="1103">
        <f>'C2-Shares'!DT60</f>
        <v>0.16240661627009537</v>
      </c>
      <c r="H115" s="1103">
        <f>'C2-Shares'!EJ60</f>
        <v>0.14927047325684104</v>
      </c>
      <c r="I115" s="1103">
        <f>'C2-Shares'!EZ60</f>
        <v>0.14277984870529348</v>
      </c>
    </row>
    <row r="116" spans="1:9" ht="13.5" customHeight="1" x14ac:dyDescent="0.3">
      <c r="A116" s="49">
        <v>2015</v>
      </c>
      <c r="B116" s="1103">
        <f>'C2-Shares'!BP61</f>
        <v>0.15950579949102328</v>
      </c>
      <c r="C116" s="1103">
        <f>'C2-Shares'!BX61</f>
        <v>0.1613898547580471</v>
      </c>
      <c r="D116" s="1103">
        <f>'C2-Shares'!CF61</f>
        <v>0.16779354164189941</v>
      </c>
      <c r="E116" s="1103">
        <f>'C2-Shares'!CN61</f>
        <v>0.16952793611131428</v>
      </c>
      <c r="F116" s="1103">
        <f>'C2-Shares'!DD61</f>
        <v>0.17226577574121224</v>
      </c>
      <c r="G116" s="1103">
        <f>'C2-Shares'!DT61</f>
        <v>0.16081478858004195</v>
      </c>
      <c r="H116" s="1103">
        <f>'C2-Shares'!EJ61</f>
        <v>0.14772678602813641</v>
      </c>
      <c r="I116" s="1103">
        <f>'C2-Shares'!EZ61</f>
        <v>0.14118367565625728</v>
      </c>
    </row>
  </sheetData>
  <hyperlinks>
    <hyperlink ref="K1" location="Index!A1" display="Index"/>
  </hyperlink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4" tint="0.59999389629810485"/>
  </sheetPr>
  <dimension ref="A1:I90"/>
  <sheetViews>
    <sheetView workbookViewId="0"/>
  </sheetViews>
  <sheetFormatPr defaultRowHeight="14.4" x14ac:dyDescent="0.3"/>
  <cols>
    <col min="2" max="3" width="11.88671875" customWidth="1"/>
    <col min="4" max="4" width="15" customWidth="1"/>
  </cols>
  <sheetData>
    <row r="1" spans="1:6" ht="16.2" x14ac:dyDescent="0.35">
      <c r="A1" s="202" t="s">
        <v>2051</v>
      </c>
      <c r="F1" s="462" t="s">
        <v>504</v>
      </c>
    </row>
    <row r="28" spans="1:9" ht="39.75" customHeight="1" x14ac:dyDescent="0.3">
      <c r="A28" s="1370" t="s">
        <v>1680</v>
      </c>
      <c r="B28" s="1370"/>
      <c r="C28" s="1370"/>
      <c r="D28" s="1370"/>
      <c r="E28" s="1370"/>
      <c r="F28" s="1370"/>
      <c r="G28" s="1370"/>
      <c r="H28" s="1370"/>
      <c r="I28" s="1370"/>
    </row>
    <row r="29" spans="1:9" x14ac:dyDescent="0.3">
      <c r="A29" s="211" t="s">
        <v>1660</v>
      </c>
    </row>
    <row r="31" spans="1:9" x14ac:dyDescent="0.3">
      <c r="A31" s="404" t="s">
        <v>478</v>
      </c>
      <c r="B31" s="11"/>
      <c r="C31" s="11"/>
      <c r="D31" s="11"/>
      <c r="E31" s="11"/>
    </row>
    <row r="32" spans="1:9" ht="46.5" customHeight="1" x14ac:dyDescent="0.3">
      <c r="A32" s="305"/>
      <c r="B32" s="425" t="s">
        <v>477</v>
      </c>
      <c r="C32" s="425" t="s">
        <v>662</v>
      </c>
      <c r="D32" s="425" t="s">
        <v>1458</v>
      </c>
      <c r="E32" s="425" t="s">
        <v>566</v>
      </c>
    </row>
    <row r="33" spans="1:7" ht="13.5" customHeight="1" x14ac:dyDescent="0.3">
      <c r="A33" s="170">
        <v>1960</v>
      </c>
      <c r="B33" s="424">
        <f>'C14-PS shares'!$L8</f>
        <v>9.0105832408147998E-2</v>
      </c>
      <c r="C33" s="424">
        <f>'C2-Shares'!L6</f>
        <v>0.1103860864630547</v>
      </c>
      <c r="D33" s="424">
        <f>'C2-Shares'!T6</f>
        <v>0.10547561256553753</v>
      </c>
      <c r="E33" s="424">
        <f>'C2-Shares'!AB6</f>
        <v>7.8989479518218247E-2</v>
      </c>
      <c r="G33" s="697"/>
    </row>
    <row r="34" spans="1:7" ht="13.5" customHeight="1" x14ac:dyDescent="0.3">
      <c r="A34" s="170">
        <f>A33+1</f>
        <v>1961</v>
      </c>
      <c r="B34" s="424">
        <f>'C14-PS shares'!$L9</f>
        <v>9.2444206572269622E-2</v>
      </c>
      <c r="C34" s="424">
        <f>'C2-Shares'!L7</f>
        <v>0.11081719513306594</v>
      </c>
      <c r="D34" s="424">
        <f>'C2-Shares'!T7</f>
        <v>0.10574892929572076</v>
      </c>
      <c r="E34" s="424">
        <f>'C2-Shares'!AB7</f>
        <v>8.1199464095742274E-2</v>
      </c>
    </row>
    <row r="35" spans="1:7" ht="13.5" customHeight="1" x14ac:dyDescent="0.3">
      <c r="A35" s="170">
        <f t="shared" ref="A35:A88" si="0">A34+1</f>
        <v>1962</v>
      </c>
      <c r="B35" s="424">
        <f>'C14-PS shares'!$L10</f>
        <v>8.9177964232870735E-2</v>
      </c>
      <c r="C35" s="424">
        <f>'C2-Shares'!L8</f>
        <v>0.11120373480640794</v>
      </c>
      <c r="D35" s="424">
        <f>'C2-Shares'!T8</f>
        <v>0.10599329544961571</v>
      </c>
      <c r="E35" s="424">
        <f>'C2-Shares'!AB8</f>
        <v>8.3180970305290119E-2</v>
      </c>
    </row>
    <row r="36" spans="1:7" ht="13.5" customHeight="1" x14ac:dyDescent="0.3">
      <c r="A36" s="170">
        <f t="shared" si="0"/>
        <v>1963</v>
      </c>
      <c r="B36" s="424">
        <f>'C14-PS shares'!$L11</f>
        <v>8.8607620182328192E-2</v>
      </c>
      <c r="C36" s="424">
        <f>'C2-Shares'!L9</f>
        <v>0.11305834004238841</v>
      </c>
      <c r="D36" s="424">
        <f>'C2-Shares'!T9</f>
        <v>0.10787582966725633</v>
      </c>
      <c r="E36" s="424">
        <f>'C2-Shares'!AB9</f>
        <v>8.4699843262851141E-2</v>
      </c>
    </row>
    <row r="37" spans="1:7" ht="13.5" customHeight="1" x14ac:dyDescent="0.3">
      <c r="A37" s="170">
        <f t="shared" si="0"/>
        <v>1964</v>
      </c>
      <c r="B37" s="424">
        <f>'C14-PS shares'!$L12</f>
        <v>9.1037087301424735E-2</v>
      </c>
      <c r="C37" s="424">
        <f>'C2-Shares'!L10</f>
        <v>0.1146899307735081</v>
      </c>
      <c r="D37" s="424">
        <f>'C2-Shares'!T10</f>
        <v>0.10953579287619661</v>
      </c>
      <c r="E37" s="424">
        <f>'C2-Shares'!AB10</f>
        <v>8.6036076453784915E-2</v>
      </c>
    </row>
    <row r="38" spans="1:7" ht="13.5" customHeight="1" x14ac:dyDescent="0.3">
      <c r="A38" s="170">
        <f t="shared" si="0"/>
        <v>1965</v>
      </c>
      <c r="B38" s="424">
        <f>'C14-PS shares'!$L13</f>
        <v>9.3038000414193717E-2</v>
      </c>
      <c r="C38" s="424">
        <f>'C2-Shares'!L11</f>
        <v>0.11494324669163405</v>
      </c>
      <c r="D38" s="424">
        <f>'C2-Shares'!T11</f>
        <v>0.10979524163767666</v>
      </c>
      <c r="E38" s="424">
        <f>'C2-Shares'!AB11</f>
        <v>8.7343239886431404E-2</v>
      </c>
    </row>
    <row r="39" spans="1:7" ht="13.5" customHeight="1" x14ac:dyDescent="0.3">
      <c r="A39" s="170">
        <f t="shared" si="0"/>
        <v>1966</v>
      </c>
      <c r="B39" s="424">
        <f>'C14-PS shares'!$L14</f>
        <v>9.4211121977307091E-2</v>
      </c>
      <c r="C39" s="424">
        <f>'C2-Shares'!L12</f>
        <v>0.11515736868552763</v>
      </c>
      <c r="D39" s="424">
        <f>'C2-Shares'!T12</f>
        <v>0.11001450916324675</v>
      </c>
      <c r="E39" s="424">
        <f>'C2-Shares'!AB12</f>
        <v>8.8448156715799003E-2</v>
      </c>
    </row>
    <row r="40" spans="1:7" ht="13.5" customHeight="1" x14ac:dyDescent="0.3">
      <c r="A40" s="170">
        <f t="shared" si="0"/>
        <v>1967</v>
      </c>
      <c r="B40" s="424">
        <f>'C14-PS shares'!$L15</f>
        <v>9.83155222315856E-2</v>
      </c>
      <c r="C40" s="424">
        <f>'C2-Shares'!L13</f>
        <v>0.11224971747213815</v>
      </c>
      <c r="D40" s="424">
        <f>'C2-Shares'!T13</f>
        <v>0.10666714511172948</v>
      </c>
      <c r="E40" s="424">
        <f>'C2-Shares'!AB13</f>
        <v>8.153302970705105E-2</v>
      </c>
    </row>
    <row r="41" spans="1:7" ht="13.5" customHeight="1" x14ac:dyDescent="0.3">
      <c r="A41" s="170">
        <f t="shared" si="0"/>
        <v>1968</v>
      </c>
      <c r="B41" s="424">
        <f>'C14-PS shares'!$L16</f>
        <v>0.10071040556088344</v>
      </c>
      <c r="C41" s="424">
        <f>'C2-Shares'!L14</f>
        <v>0.11145129761914908</v>
      </c>
      <c r="D41" s="424">
        <f>'C2-Shares'!T14</f>
        <v>0.105470357862509</v>
      </c>
      <c r="E41" s="424">
        <f>'C2-Shares'!AB14</f>
        <v>7.9426378845157936E-2</v>
      </c>
    </row>
    <row r="42" spans="1:7" ht="13.5" customHeight="1" x14ac:dyDescent="0.3">
      <c r="A42" s="170">
        <f t="shared" si="0"/>
        <v>1969</v>
      </c>
      <c r="B42" s="424">
        <f>'C14-PS shares'!$L17</f>
        <v>9.4004230313392861E-2</v>
      </c>
      <c r="C42" s="424">
        <f>'C2-Shares'!L15</f>
        <v>0.10106026471086935</v>
      </c>
      <c r="D42" s="424">
        <f>'C2-Shares'!T15</f>
        <v>9.5507100877327486E-2</v>
      </c>
      <c r="E42" s="424">
        <f>'C2-Shares'!AB15</f>
        <v>7.2454336341204142E-2</v>
      </c>
    </row>
    <row r="43" spans="1:7" ht="13.5" customHeight="1" x14ac:dyDescent="0.3">
      <c r="A43" s="170">
        <f t="shared" si="0"/>
        <v>1970</v>
      </c>
      <c r="B43" s="424">
        <f>'C14-PS shares'!$L18</f>
        <v>8.4378963453325906E-2</v>
      </c>
      <c r="C43" s="424">
        <f>'C2-Shares'!L16</f>
        <v>9.3299155800116204E-2</v>
      </c>
      <c r="D43" s="424">
        <f>'C2-Shares'!T16</f>
        <v>8.742571198859439E-2</v>
      </c>
      <c r="E43" s="424">
        <f>'C2-Shares'!AB16</f>
        <v>6.5568941024082714E-2</v>
      </c>
    </row>
    <row r="44" spans="1:7" ht="13.5" customHeight="1" x14ac:dyDescent="0.3">
      <c r="A44" s="170">
        <f t="shared" si="0"/>
        <v>1971</v>
      </c>
      <c r="B44" s="424">
        <f>'C14-PS shares'!$L19</f>
        <v>8.6532162950564581E-2</v>
      </c>
      <c r="C44" s="424">
        <f>'C2-Shares'!L17</f>
        <v>9.6309616480635699E-2</v>
      </c>
      <c r="D44" s="424">
        <f>'C2-Shares'!T17</f>
        <v>8.960980370049855E-2</v>
      </c>
      <c r="E44" s="424">
        <f>'C2-Shares'!AB17</f>
        <v>6.7289153268485863E-2</v>
      </c>
    </row>
    <row r="45" spans="1:7" ht="13.5" customHeight="1" x14ac:dyDescent="0.3">
      <c r="A45" s="170">
        <f t="shared" si="0"/>
        <v>1972</v>
      </c>
      <c r="B45" s="424">
        <f>'C14-PS shares'!$L20</f>
        <v>8.7008334911934548E-2</v>
      </c>
      <c r="C45" s="424">
        <f>'C2-Shares'!L18</f>
        <v>9.8115968640821435E-2</v>
      </c>
      <c r="D45" s="424">
        <f>'C2-Shares'!T18</f>
        <v>9.1278796098654649E-2</v>
      </c>
      <c r="E45" s="424">
        <f>'C2-Shares'!AB18</f>
        <v>6.9600404183633544E-2</v>
      </c>
    </row>
    <row r="46" spans="1:7" ht="13.5" customHeight="1" x14ac:dyDescent="0.3">
      <c r="A46" s="170">
        <f t="shared" si="0"/>
        <v>1973</v>
      </c>
      <c r="B46" s="424">
        <f>'C14-PS shares'!$L21</f>
        <v>8.3408372023335953E-2</v>
      </c>
      <c r="C46" s="424">
        <f>'C2-Shares'!L19</f>
        <v>9.7143648904541954E-2</v>
      </c>
      <c r="D46" s="424">
        <f>'C2-Shares'!T19</f>
        <v>9.033291392156774E-2</v>
      </c>
      <c r="E46" s="424">
        <f>'C2-Shares'!AB19</f>
        <v>7.3304543140487885E-2</v>
      </c>
    </row>
    <row r="47" spans="1:7" ht="13.5" customHeight="1" x14ac:dyDescent="0.3">
      <c r="A47" s="170">
        <f t="shared" si="0"/>
        <v>1974</v>
      </c>
      <c r="B47" s="424">
        <f>'C14-PS shares'!$L22</f>
        <v>8.5290385295910306E-2</v>
      </c>
      <c r="C47" s="424">
        <f>'C2-Shares'!L20</f>
        <v>9.3850207684448211E-2</v>
      </c>
      <c r="D47" s="424">
        <f>'C2-Shares'!T20</f>
        <v>8.6511865633795648E-2</v>
      </c>
      <c r="E47" s="424">
        <f>'C2-Shares'!AB20</f>
        <v>7.0153054150191477E-2</v>
      </c>
    </row>
    <row r="48" spans="1:7" ht="13.5" customHeight="1" x14ac:dyDescent="0.3">
      <c r="A48" s="170">
        <f t="shared" si="0"/>
        <v>1975</v>
      </c>
      <c r="B48" s="424">
        <f>'C14-PS shares'!$L23</f>
        <v>8.3664366142884583E-2</v>
      </c>
      <c r="C48" s="424">
        <f>'C2-Shares'!L21</f>
        <v>9.4064651760773887E-2</v>
      </c>
      <c r="D48" s="424">
        <f>'C2-Shares'!T21</f>
        <v>8.5442158826000994E-2</v>
      </c>
      <c r="E48" s="424">
        <f>'C2-Shares'!AB21</f>
        <v>6.7785973094478993E-2</v>
      </c>
    </row>
    <row r="49" spans="1:7" ht="13.5" customHeight="1" x14ac:dyDescent="0.3">
      <c r="A49" s="170">
        <f t="shared" si="0"/>
        <v>1976</v>
      </c>
      <c r="B49" s="424">
        <f>'C14-PS shares'!$L24</f>
        <v>8.3258655587151509E-2</v>
      </c>
      <c r="C49" s="424">
        <f>'C2-Shares'!L22</f>
        <v>9.4291204392316835E-2</v>
      </c>
      <c r="D49" s="424">
        <f>'C2-Shares'!T22</f>
        <v>8.5926386415201478E-2</v>
      </c>
      <c r="E49" s="424">
        <f>'C2-Shares'!AB22</f>
        <v>6.8293424459802965E-2</v>
      </c>
    </row>
    <row r="50" spans="1:7" ht="13.5" customHeight="1" x14ac:dyDescent="0.3">
      <c r="A50" s="170">
        <f t="shared" si="0"/>
        <v>1977</v>
      </c>
      <c r="B50" s="424">
        <f>'C14-PS shares'!$L25</f>
        <v>8.3637714427930984E-2</v>
      </c>
      <c r="C50" s="424">
        <f>'C2-Shares'!L23</f>
        <v>9.4899274095405453E-2</v>
      </c>
      <c r="D50" s="424">
        <f>'C2-Shares'!T23</f>
        <v>8.6809827305294684E-2</v>
      </c>
      <c r="E50" s="424">
        <f>'C2-Shares'!AB23</f>
        <v>7.1347738673522759E-2</v>
      </c>
    </row>
    <row r="51" spans="1:7" ht="13.5" customHeight="1" x14ac:dyDescent="0.3">
      <c r="A51" s="170">
        <f t="shared" si="0"/>
        <v>1978</v>
      </c>
      <c r="B51" s="424">
        <f>'C14-PS shares'!$L26</f>
        <v>8.3597660274637844E-2</v>
      </c>
      <c r="C51" s="424">
        <f>'C2-Shares'!L24</f>
        <v>9.3930708108198674E-2</v>
      </c>
      <c r="D51" s="424">
        <f>'C2-Shares'!T24</f>
        <v>8.6304517369871839E-2</v>
      </c>
      <c r="E51" s="424">
        <f>'C2-Shares'!AB24</f>
        <v>7.2830273756297539E-2</v>
      </c>
    </row>
    <row r="52" spans="1:7" ht="13.5" customHeight="1" x14ac:dyDescent="0.3">
      <c r="A52" s="170">
        <f t="shared" si="0"/>
        <v>1979</v>
      </c>
      <c r="B52" s="424">
        <f>'C14-PS shares'!$L27</f>
        <v>8.9960423031537951E-2</v>
      </c>
      <c r="C52" s="424">
        <f>'C2-Shares'!L25</f>
        <v>9.4899986792237198E-2</v>
      </c>
      <c r="D52" s="424">
        <f>'C2-Shares'!T25</f>
        <v>8.6903574030698996E-2</v>
      </c>
      <c r="E52" s="424">
        <f>'C2-Shares'!AB25</f>
        <v>7.2139807023017671E-2</v>
      </c>
      <c r="G52" s="697"/>
    </row>
    <row r="53" spans="1:7" ht="13.5" customHeight="1" x14ac:dyDescent="0.3">
      <c r="A53" s="170">
        <f t="shared" si="0"/>
        <v>1980</v>
      </c>
      <c r="B53" s="424">
        <f>'C14-PS shares'!$L28</f>
        <v>9.1534435937670189E-2</v>
      </c>
      <c r="C53" s="424">
        <f>'C2-Shares'!L26</f>
        <v>9.261465973160031E-2</v>
      </c>
      <c r="D53" s="424">
        <f>'C2-Shares'!T26</f>
        <v>8.4047989673063372E-2</v>
      </c>
      <c r="E53" s="424">
        <f>'C2-Shares'!AB26</f>
        <v>6.7709847776369403E-2</v>
      </c>
    </row>
    <row r="54" spans="1:7" ht="13.5" customHeight="1" x14ac:dyDescent="0.3">
      <c r="A54" s="170">
        <f t="shared" si="0"/>
        <v>1981</v>
      </c>
      <c r="B54" s="424">
        <f>'C14-PS shares'!$L29</f>
        <v>8.9310266913414246E-2</v>
      </c>
      <c r="C54" s="424">
        <f>'C2-Shares'!L27</f>
        <v>8.9262196264253163E-2</v>
      </c>
      <c r="D54" s="424">
        <f>'C2-Shares'!T27</f>
        <v>8.0968223140013368E-2</v>
      </c>
      <c r="E54" s="424">
        <f>'C2-Shares'!AB27</f>
        <v>6.7240971676688424E-2</v>
      </c>
    </row>
    <row r="55" spans="1:7" ht="13.5" customHeight="1" x14ac:dyDescent="0.3">
      <c r="A55" s="170">
        <f t="shared" si="0"/>
        <v>1982</v>
      </c>
      <c r="B55" s="424">
        <f>'C14-PS shares'!$L30</f>
        <v>9.7572076572603694E-2</v>
      </c>
      <c r="C55" s="424">
        <f>'C2-Shares'!L28</f>
        <v>9.0401597762518424E-2</v>
      </c>
      <c r="D55" s="424">
        <f>'C2-Shares'!T28</f>
        <v>8.1431776540895423E-2</v>
      </c>
      <c r="E55" s="424">
        <f>'C2-Shares'!AB28</f>
        <v>6.5611154786142545E-2</v>
      </c>
    </row>
    <row r="56" spans="1:7" ht="13.5" customHeight="1" x14ac:dyDescent="0.3">
      <c r="A56" s="170">
        <f t="shared" si="0"/>
        <v>1983</v>
      </c>
      <c r="B56" s="424">
        <f>'C14-PS shares'!$L31</f>
        <v>0.10282245251280001</v>
      </c>
      <c r="C56" s="424">
        <f>'C2-Shares'!L29</f>
        <v>9.2487534110957156E-2</v>
      </c>
      <c r="D56" s="424">
        <f>'C2-Shares'!T29</f>
        <v>8.3266688648198986E-2</v>
      </c>
      <c r="E56" s="424">
        <f>'C2-Shares'!AB29</f>
        <v>6.6815370630912127E-2</v>
      </c>
    </row>
    <row r="57" spans="1:7" ht="13.5" customHeight="1" x14ac:dyDescent="0.3">
      <c r="A57" s="170">
        <f t="shared" si="0"/>
        <v>1984</v>
      </c>
      <c r="B57" s="424">
        <f>'C14-PS shares'!$L32</f>
        <v>0.10629430295039832</v>
      </c>
      <c r="C57" s="424">
        <f>'C2-Shares'!L30</f>
        <v>9.5430599975374134E-2</v>
      </c>
      <c r="D57" s="424">
        <f>'C2-Shares'!T30</f>
        <v>8.6710232120910974E-2</v>
      </c>
      <c r="E57" s="424">
        <f>'C2-Shares'!AB30</f>
        <v>7.2297376537959604E-2</v>
      </c>
    </row>
    <row r="58" spans="1:7" ht="13.5" customHeight="1" x14ac:dyDescent="0.3">
      <c r="A58" s="170">
        <f t="shared" si="0"/>
        <v>1985</v>
      </c>
      <c r="B58" s="424">
        <f>'C14-PS shares'!$L33</f>
        <v>0.11093374495182488</v>
      </c>
      <c r="C58" s="424">
        <f>'C2-Shares'!L31</f>
        <v>9.5622856413381044E-2</v>
      </c>
      <c r="D58" s="424">
        <f>'C2-Shares'!T31</f>
        <v>8.7272923610391115E-2</v>
      </c>
      <c r="E58" s="424">
        <f>'C2-Shares'!AB31</f>
        <v>7.0868369231104497E-2</v>
      </c>
    </row>
    <row r="59" spans="1:7" ht="13.5" customHeight="1" x14ac:dyDescent="0.3">
      <c r="A59" s="170">
        <f t="shared" si="0"/>
        <v>1986</v>
      </c>
      <c r="B59" s="424">
        <f>'C14-PS shares'!$L34</f>
        <v>0.1314262208412354</v>
      </c>
      <c r="C59" s="424">
        <f>'C2-Shares'!L32</f>
        <v>9.2931372728020101E-2</v>
      </c>
      <c r="D59" s="424">
        <f>'C2-Shares'!T32</f>
        <v>8.4532499321062451E-2</v>
      </c>
      <c r="E59" s="424">
        <f>'C2-Shares'!AB32</f>
        <v>6.6271363796234981E-2</v>
      </c>
    </row>
    <row r="60" spans="1:7" ht="13.5" customHeight="1" x14ac:dyDescent="0.3">
      <c r="A60" s="170">
        <f t="shared" si="0"/>
        <v>1987</v>
      </c>
      <c r="B60" s="424">
        <f>'C14-PS shares'!$L35</f>
        <v>0.11750102422462874</v>
      </c>
      <c r="C60" s="424">
        <f>'C2-Shares'!L33</f>
        <v>9.6691378643522452E-2</v>
      </c>
      <c r="D60" s="424">
        <f>'C2-Shares'!T33</f>
        <v>8.8118347589807716E-2</v>
      </c>
      <c r="E60" s="424">
        <f>'C2-Shares'!AB33</f>
        <v>7.0054384975182071E-2</v>
      </c>
    </row>
    <row r="61" spans="1:7" ht="13.5" customHeight="1" x14ac:dyDescent="0.3">
      <c r="A61" s="170">
        <f t="shared" si="0"/>
        <v>1988</v>
      </c>
      <c r="B61" s="424">
        <f>'C14-PS shares'!$L36</f>
        <v>0.14653249100073071</v>
      </c>
      <c r="C61" s="424">
        <f>'C2-Shares'!L34</f>
        <v>0.11618417948029981</v>
      </c>
      <c r="D61" s="424">
        <f>'C2-Shares'!T34</f>
        <v>0.10586704503713266</v>
      </c>
      <c r="E61" s="424">
        <f>'C2-Shares'!AB34</f>
        <v>8.7459750123910995E-2</v>
      </c>
    </row>
    <row r="62" spans="1:7" ht="13.5" customHeight="1" x14ac:dyDescent="0.3">
      <c r="A62" s="170">
        <f t="shared" si="0"/>
        <v>1989</v>
      </c>
      <c r="B62" s="424">
        <f>'C14-PS shares'!$L37</f>
        <v>0.1381328299421444</v>
      </c>
      <c r="C62" s="424">
        <f>'C2-Shares'!L35</f>
        <v>0.11126510038595104</v>
      </c>
      <c r="D62" s="424">
        <f>'C2-Shares'!T35</f>
        <v>0.10133937109209022</v>
      </c>
      <c r="E62" s="424">
        <f>'C2-Shares'!AB35</f>
        <v>8.2664002007293388E-2</v>
      </c>
    </row>
    <row r="63" spans="1:7" ht="13.5" customHeight="1" x14ac:dyDescent="0.3">
      <c r="A63" s="170">
        <f t="shared" si="0"/>
        <v>1990</v>
      </c>
      <c r="B63" s="424">
        <f>'C14-PS shares'!$L38</f>
        <v>0.13809777272165719</v>
      </c>
      <c r="C63" s="424">
        <f>'C2-Shares'!L36</f>
        <v>0.11287840931465051</v>
      </c>
      <c r="D63" s="424">
        <f>'C2-Shares'!T36</f>
        <v>0.10216340310442139</v>
      </c>
      <c r="E63" s="424">
        <f>'C2-Shares'!AB36</f>
        <v>8.3336941022029556E-2</v>
      </c>
    </row>
    <row r="64" spans="1:7" ht="13.5" customHeight="1" x14ac:dyDescent="0.3">
      <c r="A64" s="170">
        <f t="shared" si="0"/>
        <v>1991</v>
      </c>
      <c r="B64" s="424">
        <f>'C14-PS shares'!$L39</f>
        <v>0.1271712014755865</v>
      </c>
      <c r="C64" s="424">
        <f>'C2-Shares'!L37</f>
        <v>0.10924309169780609</v>
      </c>
      <c r="D64" s="424">
        <f>'C2-Shares'!T37</f>
        <v>9.7937989104130208E-2</v>
      </c>
      <c r="E64" s="424">
        <f>'C2-Shares'!AB37</f>
        <v>7.7543395194042242E-2</v>
      </c>
    </row>
    <row r="65" spans="1:5" ht="13.5" customHeight="1" x14ac:dyDescent="0.3">
      <c r="A65" s="170">
        <f t="shared" si="0"/>
        <v>1992</v>
      </c>
      <c r="B65" s="424">
        <f>'C14-PS shares'!$L40</f>
        <v>0.14224378100303567</v>
      </c>
      <c r="C65" s="424">
        <f>'C2-Shares'!L38</f>
        <v>0.11597736769774794</v>
      </c>
      <c r="D65" s="424">
        <f>'C2-Shares'!T38</f>
        <v>0.10321475471347732</v>
      </c>
      <c r="E65" s="424">
        <f>'C2-Shares'!AB38</f>
        <v>7.9735921906976981E-2</v>
      </c>
    </row>
    <row r="66" spans="1:5" ht="13.5" customHeight="1" x14ac:dyDescent="0.3">
      <c r="A66" s="170">
        <f t="shared" si="0"/>
        <v>1993</v>
      </c>
      <c r="B66" s="424">
        <f>'C14-PS shares'!$L41</f>
        <v>0.13684379989648174</v>
      </c>
      <c r="C66" s="424">
        <f>'C2-Shares'!L39</f>
        <v>0.10954075171346821</v>
      </c>
      <c r="D66" s="424">
        <f>'C2-Shares'!T39</f>
        <v>9.7294801851661686E-2</v>
      </c>
      <c r="E66" s="424">
        <f>'C2-Shares'!AB39</f>
        <v>7.2809681793638795E-2</v>
      </c>
    </row>
    <row r="67" spans="1:5" ht="13.5" customHeight="1" x14ac:dyDescent="0.3">
      <c r="A67" s="170">
        <f t="shared" si="0"/>
        <v>1994</v>
      </c>
      <c r="B67" s="424">
        <f>'C14-PS shares'!$L42</f>
        <v>0.1364511900969064</v>
      </c>
      <c r="C67" s="424">
        <f>'C2-Shares'!L40</f>
        <v>0.10947565686902427</v>
      </c>
      <c r="D67" s="424">
        <f>'C2-Shares'!T40</f>
        <v>9.7496605700246583E-2</v>
      </c>
      <c r="E67" s="424">
        <f>'C2-Shares'!AB40</f>
        <v>7.3669655385035615E-2</v>
      </c>
    </row>
    <row r="68" spans="1:5" ht="13.5" customHeight="1" x14ac:dyDescent="0.3">
      <c r="A68" s="170">
        <f t="shared" si="0"/>
        <v>1995</v>
      </c>
      <c r="B68" s="424">
        <f>'C14-PS shares'!$L43</f>
        <v>0.14617000000000002</v>
      </c>
      <c r="C68" s="424">
        <f>'C2-Shares'!L41</f>
        <v>0.11512130249241838</v>
      </c>
      <c r="D68" s="424">
        <f>'C2-Shares'!T41</f>
        <v>0.10248804676769482</v>
      </c>
      <c r="E68" s="424">
        <f>'C2-Shares'!AB41</f>
        <v>7.7604961237693143E-2</v>
      </c>
    </row>
    <row r="69" spans="1:5" ht="13.5" customHeight="1" x14ac:dyDescent="0.3">
      <c r="A69" s="170">
        <f t="shared" si="0"/>
        <v>1996</v>
      </c>
      <c r="B69" s="424">
        <f>'C14-PS shares'!$L44</f>
        <v>0.15836</v>
      </c>
      <c r="C69" s="424">
        <f>'C2-Shares'!L42</f>
        <v>0.11931018728926303</v>
      </c>
      <c r="D69" s="424">
        <f>'C2-Shares'!T42</f>
        <v>0.10636785657879491</v>
      </c>
      <c r="E69" s="424">
        <f>'C2-Shares'!AB42</f>
        <v>8.1103190969653641E-2</v>
      </c>
    </row>
    <row r="70" spans="1:5" ht="13.5" customHeight="1" x14ac:dyDescent="0.3">
      <c r="A70" s="170">
        <f t="shared" si="0"/>
        <v>1997</v>
      </c>
      <c r="B70" s="424">
        <f>'C14-PS shares'!$L45</f>
        <v>0.16985</v>
      </c>
      <c r="C70" s="424">
        <f>'C2-Shares'!L43</f>
        <v>0.12490294670435617</v>
      </c>
      <c r="D70" s="424">
        <f>'C2-Shares'!T43</f>
        <v>0.11178826593549564</v>
      </c>
      <c r="E70" s="424">
        <f>'C2-Shares'!AB43</f>
        <v>8.5504586668831761E-2</v>
      </c>
    </row>
    <row r="71" spans="1:5" ht="13.5" customHeight="1" x14ac:dyDescent="0.3">
      <c r="A71" s="170">
        <f t="shared" si="0"/>
        <v>1998</v>
      </c>
      <c r="B71" s="424">
        <f>'C14-PS shares'!$L46</f>
        <v>0.17693999999999999</v>
      </c>
      <c r="C71" s="424">
        <f>'C2-Shares'!L44</f>
        <v>0.12637675646198396</v>
      </c>
      <c r="D71" s="424">
        <f>'C2-Shares'!T44</f>
        <v>0.1134947367984665</v>
      </c>
      <c r="E71" s="424">
        <f>'C2-Shares'!AB44</f>
        <v>8.6803083366503303E-2</v>
      </c>
    </row>
    <row r="72" spans="1:5" ht="13.5" customHeight="1" x14ac:dyDescent="0.3">
      <c r="A72" s="170">
        <f t="shared" si="0"/>
        <v>1999</v>
      </c>
      <c r="B72" s="424">
        <f>'C14-PS shares'!$L47</f>
        <v>0.18365999999999999</v>
      </c>
      <c r="C72" s="424">
        <f>'C2-Shares'!L45</f>
        <v>0.13162035713692485</v>
      </c>
      <c r="D72" s="424">
        <f>'C2-Shares'!T45</f>
        <v>0.11841283354898033</v>
      </c>
      <c r="E72" s="424">
        <f>'C2-Shares'!AB45</f>
        <v>9.06087050726571E-2</v>
      </c>
    </row>
    <row r="73" spans="1:5" ht="13.5" customHeight="1" x14ac:dyDescent="0.3">
      <c r="A73" s="170">
        <f t="shared" si="0"/>
        <v>2000</v>
      </c>
      <c r="B73" s="424">
        <f>'C14-PS shares'!$L48</f>
        <v>0.19295000000000001</v>
      </c>
      <c r="C73" s="424">
        <f>'C2-Shares'!L46</f>
        <v>0.13670178501652119</v>
      </c>
      <c r="D73" s="424">
        <f>'C2-Shares'!T46</f>
        <v>0.12324734072667641</v>
      </c>
      <c r="E73" s="424">
        <f>'C2-Shares'!AB46</f>
        <v>9.4509605359795038E-2</v>
      </c>
    </row>
    <row r="74" spans="1:5" ht="13.5" customHeight="1" x14ac:dyDescent="0.3">
      <c r="A74" s="170">
        <f t="shared" si="0"/>
        <v>2001</v>
      </c>
      <c r="B74" s="424">
        <f>'C14-PS shares'!$L49</f>
        <v>0.16760000000000003</v>
      </c>
      <c r="C74" s="424">
        <f>'C2-Shares'!L47</f>
        <v>0.12713426863166885</v>
      </c>
      <c r="D74" s="424">
        <f>'C2-Shares'!T47</f>
        <v>0.11389875547142124</v>
      </c>
      <c r="E74" s="424">
        <f>'C2-Shares'!AB47</f>
        <v>8.6020749470970284E-2</v>
      </c>
    </row>
    <row r="75" spans="1:5" ht="13.5" customHeight="1" x14ac:dyDescent="0.3">
      <c r="A75" s="170">
        <f t="shared" si="0"/>
        <v>2002</v>
      </c>
      <c r="B75" s="424">
        <f>'C14-PS shares'!$L50</f>
        <v>0.15912999999999999</v>
      </c>
      <c r="C75" s="424">
        <f>'C2-Shares'!L48</f>
        <v>0.12068197568424517</v>
      </c>
      <c r="D75" s="424">
        <f>'C2-Shares'!T48</f>
        <v>0.10745535683987288</v>
      </c>
      <c r="E75" s="424">
        <f>'C2-Shares'!AB48</f>
        <v>8.036672533413558E-2</v>
      </c>
    </row>
    <row r="76" spans="1:5" ht="13.5" customHeight="1" x14ac:dyDescent="0.3">
      <c r="A76" s="170">
        <f t="shared" si="0"/>
        <v>2003</v>
      </c>
      <c r="B76" s="424">
        <f>'C14-PS shares'!$L51</f>
        <v>0.16390999999999997</v>
      </c>
      <c r="C76" s="424">
        <f>'C2-Shares'!L49</f>
        <v>0.12377478129489432</v>
      </c>
      <c r="D76" s="424">
        <f>'C2-Shares'!T49</f>
        <v>0.11008174195775861</v>
      </c>
      <c r="E76" s="424">
        <f>'C2-Shares'!AB49</f>
        <v>8.3090076888733974E-2</v>
      </c>
    </row>
    <row r="77" spans="1:5" ht="13.5" customHeight="1" x14ac:dyDescent="0.3">
      <c r="A77" s="170">
        <f t="shared" si="0"/>
        <v>2004</v>
      </c>
      <c r="B77" s="424">
        <f>'C14-PS shares'!$L52</f>
        <v>0.18118999999999999</v>
      </c>
      <c r="C77" s="424">
        <f>'C2-Shares'!L50</f>
        <v>0.13260924234253701</v>
      </c>
      <c r="D77" s="424">
        <f>'C2-Shares'!T50</f>
        <v>0.11794330030636968</v>
      </c>
      <c r="E77" s="424">
        <f>'C2-Shares'!AB50</f>
        <v>8.9180091516531806E-2</v>
      </c>
    </row>
    <row r="78" spans="1:5" ht="13.5" customHeight="1" x14ac:dyDescent="0.3">
      <c r="A78" s="170">
        <f t="shared" si="0"/>
        <v>2005</v>
      </c>
      <c r="B78" s="424">
        <f>'C14-PS shares'!$L53</f>
        <v>0.20036999999999999</v>
      </c>
      <c r="C78" s="424">
        <f>'C2-Shares'!L51</f>
        <v>0.14257478164468423</v>
      </c>
      <c r="D78" s="424">
        <f>'C2-Shares'!T51</f>
        <v>0.12686541570563556</v>
      </c>
      <c r="E78" s="424">
        <f>'C2-Shares'!AB51</f>
        <v>9.5123410492338856E-2</v>
      </c>
    </row>
    <row r="79" spans="1:5" ht="13.5" customHeight="1" x14ac:dyDescent="0.3">
      <c r="A79" s="170">
        <f t="shared" si="0"/>
        <v>2006</v>
      </c>
      <c r="B79" s="424">
        <f>'C14-PS shares'!$L54</f>
        <v>0.20864000000000002</v>
      </c>
      <c r="C79" s="424">
        <f>'C2-Shares'!L52</f>
        <v>0.14696344047345955</v>
      </c>
      <c r="D79" s="424">
        <f>'C2-Shares'!T52</f>
        <v>0.13083180114309842</v>
      </c>
      <c r="E79" s="424">
        <f>'C2-Shares'!AB52</f>
        <v>9.8223339611121438E-2</v>
      </c>
    </row>
    <row r="80" spans="1:5" ht="13.5" customHeight="1" x14ac:dyDescent="0.3">
      <c r="A80" s="170">
        <f t="shared" si="0"/>
        <v>2007</v>
      </c>
      <c r="B80" s="424">
        <f>'C14-PS shares'!$L55</f>
        <v>0.21513000000000002</v>
      </c>
      <c r="C80" s="424">
        <f>'C2-Shares'!L53</f>
        <v>0.14610594510750965</v>
      </c>
      <c r="D80" s="424">
        <f>'C2-Shares'!T53</f>
        <v>0.12947409854791339</v>
      </c>
      <c r="E80" s="424">
        <f>'C2-Shares'!AB53</f>
        <v>9.4563324470752594E-2</v>
      </c>
    </row>
    <row r="81" spans="1:7" ht="13.5" customHeight="1" x14ac:dyDescent="0.3">
      <c r="A81" s="170">
        <f t="shared" si="0"/>
        <v>2008</v>
      </c>
      <c r="B81" s="424">
        <f>'C14-PS shares'!$L56</f>
        <v>0.19574000000000003</v>
      </c>
      <c r="C81" s="424">
        <f>'C2-Shares'!L54</f>
        <v>0.13955021491106612</v>
      </c>
      <c r="D81" s="424">
        <f>'C2-Shares'!T54</f>
        <v>0.1212739988736156</v>
      </c>
      <c r="E81" s="424">
        <f>'C2-Shares'!AB54</f>
        <v>8.4723553346400554E-2</v>
      </c>
    </row>
    <row r="82" spans="1:7" ht="13.5" customHeight="1" x14ac:dyDescent="0.3">
      <c r="A82" s="170">
        <f t="shared" si="0"/>
        <v>2009</v>
      </c>
      <c r="B82" s="424">
        <f>'C14-PS shares'!$L57</f>
        <v>0.17478000000000002</v>
      </c>
      <c r="C82" s="424">
        <f>'C2-Shares'!L55</f>
        <v>0.13091121874891942</v>
      </c>
      <c r="D82" s="424">
        <f>'C2-Shares'!T55</f>
        <v>0.1127544427547378</v>
      </c>
      <c r="E82" s="424">
        <f>'C2-Shares'!AB55</f>
        <v>7.7804968638845548E-2</v>
      </c>
    </row>
    <row r="83" spans="1:7" ht="13.5" customHeight="1" x14ac:dyDescent="0.3">
      <c r="A83" s="170">
        <f t="shared" si="0"/>
        <v>2010</v>
      </c>
      <c r="B83" s="424">
        <f>'C14-PS shares'!$L58</f>
        <v>0.18827000000000002</v>
      </c>
      <c r="C83" s="424">
        <f>'C2-Shares'!L56</f>
        <v>0.14296488171438282</v>
      </c>
      <c r="D83" s="424">
        <f>'C2-Shares'!T56</f>
        <v>0.12244289272562482</v>
      </c>
      <c r="E83" s="424">
        <f>'C2-Shares'!AB56</f>
        <v>8.5720370581185562E-2</v>
      </c>
    </row>
    <row r="84" spans="1:7" ht="13.5" customHeight="1" x14ac:dyDescent="0.3">
      <c r="A84" s="170">
        <f t="shared" si="0"/>
        <v>2011</v>
      </c>
      <c r="B84" s="424">
        <f>'C14-PS shares'!$L59</f>
        <v>0.18845999999999999</v>
      </c>
      <c r="C84" s="424">
        <f>'C2-Shares'!L57</f>
        <v>0.13842295139515765</v>
      </c>
      <c r="D84" s="424">
        <f>'C2-Shares'!T57</f>
        <v>0.1191544734605352</v>
      </c>
      <c r="E84" s="424">
        <f>'C2-Shares'!AB57</f>
        <v>8.1359490192568745E-2</v>
      </c>
    </row>
    <row r="85" spans="1:7" ht="13.5" customHeight="1" x14ac:dyDescent="0.3">
      <c r="A85" s="170">
        <f t="shared" si="0"/>
        <v>2012</v>
      </c>
      <c r="B85" s="424">
        <f>'C14-PS shares'!$L60</f>
        <v>0.2122</v>
      </c>
      <c r="C85" s="424">
        <f>'C2-Shares'!L58</f>
        <v>0.15229122380983121</v>
      </c>
      <c r="D85" s="424">
        <f>'C2-Shares'!T58</f>
        <v>0.13192084270089083</v>
      </c>
      <c r="E85" s="424">
        <f>'C2-Shares'!AB58</f>
        <v>9.3432484478077574E-2</v>
      </c>
    </row>
    <row r="86" spans="1:7" ht="13.5" customHeight="1" x14ac:dyDescent="0.3">
      <c r="A86" s="170">
        <f t="shared" si="0"/>
        <v>2013</v>
      </c>
      <c r="B86" s="424">
        <f>'C14-PS shares'!$L61</f>
        <v>0.18920000000000001</v>
      </c>
      <c r="C86" s="424">
        <f>'C2-Shares'!L59</f>
        <v>0.13896760061229452</v>
      </c>
      <c r="D86" s="424">
        <f>'C2-Shares'!T59</f>
        <v>0.1205447789407159</v>
      </c>
      <c r="E86" s="424">
        <f>'C2-Shares'!AB59</f>
        <v>8.280797718239509E-2</v>
      </c>
    </row>
    <row r="87" spans="1:7" x14ac:dyDescent="0.3">
      <c r="A87" s="170">
        <f t="shared" si="0"/>
        <v>2014</v>
      </c>
      <c r="B87" s="424">
        <f>'C14-PS shares'!$L62</f>
        <v>0.20019999999999999</v>
      </c>
      <c r="C87" s="424">
        <f>'C2-Shares'!L60</f>
        <v>0.14277984870529348</v>
      </c>
      <c r="D87" s="424">
        <f>'C2-Shares'!T60</f>
        <v>0.12383528715122835</v>
      </c>
      <c r="E87" s="424">
        <f>'C2-Shares'!AB60</f>
        <v>8.6381387551909522E-2</v>
      </c>
    </row>
    <row r="88" spans="1:7" x14ac:dyDescent="0.3">
      <c r="A88" s="170">
        <f t="shared" si="0"/>
        <v>2015</v>
      </c>
      <c r="B88" s="424">
        <f>'C14-PS shares'!$L63</f>
        <v>0.20309999999999997</v>
      </c>
      <c r="C88" s="424">
        <f>'C2-Shares'!L61</f>
        <v>0.14118367565625728</v>
      </c>
      <c r="D88" s="424">
        <f>'C2-Shares'!T61</f>
        <v>0.12226367697635226</v>
      </c>
      <c r="E88" s="424">
        <f>'C2-Shares'!AB61</f>
        <v>8.5472598105556033E-2</v>
      </c>
      <c r="G88" s="697"/>
    </row>
    <row r="89" spans="1:7" x14ac:dyDescent="0.3">
      <c r="A89" s="170"/>
    </row>
    <row r="90" spans="1:7" x14ac:dyDescent="0.3">
      <c r="A90" s="170"/>
    </row>
  </sheetData>
  <mergeCells count="1">
    <mergeCell ref="A28:I28"/>
  </mergeCells>
  <hyperlinks>
    <hyperlink ref="F1" location="Index!A1" display="Index"/>
  </hyperlink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tint="0.59999389629810485"/>
  </sheetPr>
  <dimension ref="A1:AI101"/>
  <sheetViews>
    <sheetView workbookViewId="0">
      <selection activeCell="O64" sqref="O64"/>
    </sheetView>
  </sheetViews>
  <sheetFormatPr defaultColWidth="9.109375" defaultRowHeight="14.4" x14ac:dyDescent="0.3"/>
  <cols>
    <col min="1" max="1" width="9.109375" style="502"/>
    <col min="2" max="2" width="11" style="502" customWidth="1"/>
    <col min="3" max="4" width="10.77734375" style="502" customWidth="1"/>
    <col min="5" max="6" width="9.109375" style="502"/>
    <col min="7" max="7" width="10.77734375" style="502" customWidth="1"/>
    <col min="8" max="8" width="2.77734375" style="502" customWidth="1"/>
    <col min="9" max="9" width="8.77734375" style="502" customWidth="1"/>
    <col min="10" max="10" width="12" style="502" customWidth="1"/>
    <col min="11" max="14" width="11.109375" style="502" customWidth="1"/>
    <col min="15" max="15" width="12" style="502" customWidth="1"/>
    <col min="16" max="16" width="10.5546875" style="502" customWidth="1"/>
    <col min="17" max="17" width="13.5546875" style="502" customWidth="1"/>
    <col min="18" max="19" width="11.5546875" style="502" customWidth="1"/>
    <col min="20" max="20" width="13.109375" style="502" customWidth="1"/>
    <col min="21" max="22" width="9.109375" style="502"/>
    <col min="23" max="23" width="5.44140625" style="502" customWidth="1"/>
    <col min="24" max="24" width="17.5546875" style="502" customWidth="1"/>
    <col min="25" max="25" width="12.88671875" style="502" customWidth="1"/>
    <col min="26" max="26" width="9.109375" style="502"/>
    <col min="27" max="27" width="2.5546875" style="502" customWidth="1"/>
    <col min="28" max="29" width="9.21875" style="502" customWidth="1"/>
    <col min="30" max="30" width="3" style="502" customWidth="1"/>
    <col min="31" max="16384" width="9.109375" style="502"/>
  </cols>
  <sheetData>
    <row r="1" spans="1:11" x14ac:dyDescent="0.3">
      <c r="A1" s="370" t="s">
        <v>2052</v>
      </c>
      <c r="K1" s="462" t="s">
        <v>504</v>
      </c>
    </row>
    <row r="33" spans="1:35" x14ac:dyDescent="0.3">
      <c r="A33" s="386" t="s">
        <v>1681</v>
      </c>
    </row>
    <row r="34" spans="1:35" x14ac:dyDescent="0.3">
      <c r="A34" s="211" t="s">
        <v>1662</v>
      </c>
    </row>
    <row r="35" spans="1:35" x14ac:dyDescent="0.3">
      <c r="A35" s="252"/>
    </row>
    <row r="36" spans="1:35" x14ac:dyDescent="0.3">
      <c r="A36" s="252"/>
      <c r="P36" s="12"/>
      <c r="Q36" s="12"/>
    </row>
    <row r="37" spans="1:35" x14ac:dyDescent="0.3">
      <c r="A37" s="464"/>
      <c r="B37" s="11"/>
      <c r="C37" s="11"/>
      <c r="D37" s="11"/>
      <c r="E37" s="11"/>
      <c r="F37" s="11"/>
      <c r="G37" s="11"/>
      <c r="H37" s="11"/>
      <c r="I37" s="11"/>
      <c r="J37" s="11"/>
      <c r="K37" s="11"/>
      <c r="L37" s="11"/>
      <c r="M37" s="11"/>
      <c r="N37" s="11"/>
      <c r="O37" s="12"/>
      <c r="P37" s="11"/>
      <c r="Q37" s="11"/>
      <c r="R37" s="11"/>
      <c r="S37" s="11"/>
      <c r="T37" s="11"/>
    </row>
    <row r="38" spans="1:35" x14ac:dyDescent="0.3">
      <c r="A38" s="12"/>
      <c r="B38" s="1371" t="s">
        <v>2221</v>
      </c>
      <c r="C38" s="1371"/>
      <c r="D38" s="1371"/>
      <c r="E38" s="1371"/>
      <c r="F38" s="1371"/>
      <c r="G38" s="1371"/>
      <c r="H38" s="509"/>
      <c r="I38" s="1371" t="s">
        <v>2222</v>
      </c>
      <c r="J38" s="1371"/>
      <c r="K38" s="1371"/>
      <c r="L38" s="1371"/>
      <c r="M38" s="1371"/>
      <c r="N38" s="1371"/>
      <c r="O38" s="12"/>
      <c r="P38" s="1351" t="s">
        <v>2224</v>
      </c>
      <c r="Q38" s="295"/>
      <c r="R38" s="295"/>
      <c r="S38" s="295"/>
      <c r="T38" s="12"/>
      <c r="U38" s="12"/>
      <c r="V38" s="12"/>
      <c r="W38" s="12"/>
      <c r="X38" s="12"/>
      <c r="Y38" s="12"/>
    </row>
    <row r="39" spans="1:35" ht="45" customHeight="1" x14ac:dyDescent="0.3">
      <c r="A39" s="353"/>
      <c r="B39" s="497" t="s">
        <v>246</v>
      </c>
      <c r="C39" s="497" t="s">
        <v>594</v>
      </c>
      <c r="D39" s="497" t="s">
        <v>595</v>
      </c>
      <c r="E39" s="497" t="s">
        <v>596</v>
      </c>
      <c r="F39" s="497" t="s">
        <v>597</v>
      </c>
      <c r="G39" s="497" t="s">
        <v>564</v>
      </c>
      <c r="H39" s="11"/>
      <c r="I39" s="497" t="s">
        <v>246</v>
      </c>
      <c r="J39" s="497" t="s">
        <v>594</v>
      </c>
      <c r="K39" s="497" t="s">
        <v>595</v>
      </c>
      <c r="L39" s="497" t="s">
        <v>596</v>
      </c>
      <c r="M39" s="497" t="s">
        <v>597</v>
      </c>
      <c r="N39" s="497" t="s">
        <v>564</v>
      </c>
      <c r="O39" s="12"/>
      <c r="P39" s="354" t="s">
        <v>2217</v>
      </c>
      <c r="Q39" s="354" t="s">
        <v>2218</v>
      </c>
      <c r="R39" s="354" t="s">
        <v>2220</v>
      </c>
      <c r="S39" s="354" t="s">
        <v>2219</v>
      </c>
      <c r="T39" s="1354" t="s">
        <v>2223</v>
      </c>
      <c r="U39" s="342"/>
      <c r="V39" s="342"/>
      <c r="W39" s="342"/>
      <c r="X39" s="342"/>
      <c r="Y39" s="342"/>
      <c r="Z39" s="342"/>
      <c r="AA39" s="342"/>
      <c r="AB39" s="342"/>
      <c r="AC39" s="342"/>
      <c r="AD39" s="342"/>
      <c r="AE39" s="342"/>
      <c r="AF39" s="342"/>
      <c r="AG39" s="342"/>
      <c r="AH39" s="24"/>
      <c r="AI39" s="24"/>
    </row>
    <row r="40" spans="1:35" ht="9.75" customHeight="1" x14ac:dyDescent="0.3">
      <c r="A40" s="4"/>
      <c r="C40" s="18"/>
      <c r="D40" s="18"/>
      <c r="E40" s="18"/>
      <c r="F40" s="18"/>
      <c r="G40" s="18"/>
      <c r="I40" s="18"/>
      <c r="J40" s="18"/>
      <c r="K40" s="18"/>
      <c r="L40" s="18"/>
      <c r="M40" s="18"/>
      <c r="N40" s="18"/>
      <c r="Q40" s="18"/>
      <c r="R40" s="18"/>
      <c r="S40" s="18"/>
      <c r="T40" s="18"/>
      <c r="U40" s="18"/>
      <c r="V40" s="18"/>
      <c r="W40" s="18"/>
      <c r="X40" s="18"/>
      <c r="Y40" s="18"/>
      <c r="Z40" s="18"/>
      <c r="AA40" s="18"/>
      <c r="AB40" s="18"/>
      <c r="AC40" s="18"/>
      <c r="AD40" s="18"/>
      <c r="AE40" s="24"/>
      <c r="AF40" s="24"/>
      <c r="AG40" s="24"/>
      <c r="AH40" s="24"/>
      <c r="AI40" s="24"/>
    </row>
    <row r="41" spans="1:35" ht="12.75" customHeight="1" x14ac:dyDescent="0.3">
      <c r="A41" s="100">
        <v>1960</v>
      </c>
      <c r="B41" s="1096">
        <f>SUM(C41:G41)</f>
        <v>0.4150304344845489</v>
      </c>
      <c r="C41" s="1085">
        <f>'C9-Tax Rates'!U6/100</f>
        <v>0.16225464954458724</v>
      </c>
      <c r="D41" s="1085">
        <f>'C9-Tax Rates'!AC6/100</f>
        <v>1.2201975156463579E-2</v>
      </c>
      <c r="E41" s="1085">
        <f>'C9-Tax Rates'!AK6/100</f>
        <v>0.13660130540178111</v>
      </c>
      <c r="F41" s="1085">
        <f>'C9-Tax Rates'!AS6/100</f>
        <v>7.23441447606432E-2</v>
      </c>
      <c r="G41" s="1085">
        <f>('C9-Tax Rates'!BQ6+'C9-Tax Rates'!BI6)/100</f>
        <v>3.1628359621073791E-2</v>
      </c>
      <c r="H41" s="74"/>
      <c r="I41" s="1096">
        <f>SUM(J41:N41)</f>
        <v>0.174909416780302</v>
      </c>
      <c r="J41" s="1085">
        <f>'C9-Tax Rates'!R6/100</f>
        <v>6.0298464492064753E-2</v>
      </c>
      <c r="K41" s="1085">
        <f>'C9-Tax Rates'!Z6/100</f>
        <v>2.976467665548389E-3</v>
      </c>
      <c r="L41" s="1085">
        <f>'C9-Tax Rates'!AH6/100</f>
        <v>2.4256801477081997E-2</v>
      </c>
      <c r="M41" s="1085">
        <f>'C9-Tax Rates'!AP6/100</f>
        <v>2.0146765592235386E-2</v>
      </c>
      <c r="N41" s="1085">
        <f>('C9-Tax Rates'!BN6+'C9-Tax Rates'!BF6)/100</f>
        <v>6.7230917553371489E-2</v>
      </c>
      <c r="P41" s="1355">
        <f>B41+'F-5'!C39</f>
        <v>0.41776680803588778</v>
      </c>
      <c r="Q41" s="1355">
        <f>C41+'F-5'!D39</f>
        <v>0.16225464954458724</v>
      </c>
      <c r="R41" s="1090"/>
      <c r="S41" s="1090"/>
      <c r="T41" s="1090"/>
      <c r="U41" s="504"/>
      <c r="V41" s="504"/>
      <c r="W41" s="504"/>
      <c r="X41" s="396"/>
      <c r="Y41" s="396"/>
      <c r="Z41" s="228"/>
      <c r="AA41" s="228"/>
      <c r="AB41" s="228"/>
      <c r="AC41" s="228"/>
      <c r="AD41" s="226"/>
      <c r="AE41" s="24"/>
      <c r="AF41" s="24"/>
      <c r="AG41" s="24"/>
      <c r="AH41" s="24"/>
      <c r="AI41" s="24"/>
    </row>
    <row r="42" spans="1:35" ht="12.75" customHeight="1" x14ac:dyDescent="0.3">
      <c r="A42" s="100">
        <v>1961</v>
      </c>
      <c r="B42" s="1096">
        <f t="shared" ref="B42:G42" si="0">AVERAGE(B41,B43)</f>
        <v>0.39868136197122039</v>
      </c>
      <c r="C42" s="1096">
        <f t="shared" si="0"/>
        <v>0.15989751360766408</v>
      </c>
      <c r="D42" s="1096">
        <f t="shared" si="0"/>
        <v>1.3409623328725586E-2</v>
      </c>
      <c r="E42" s="1096">
        <f t="shared" si="0"/>
        <v>0.12435711016017603</v>
      </c>
      <c r="F42" s="1096">
        <f t="shared" si="0"/>
        <v>6.7912205279901355E-2</v>
      </c>
      <c r="G42" s="1096">
        <f t="shared" si="0"/>
        <v>3.3104909594753318E-2</v>
      </c>
      <c r="H42" s="74"/>
      <c r="I42" s="1096">
        <f t="shared" ref="I42:T46" si="1">AVERAGE(I41,I43)</f>
        <v>0.17846200818497165</v>
      </c>
      <c r="J42" s="1096">
        <f t="shared" si="1"/>
        <v>6.0301988761090192E-2</v>
      </c>
      <c r="K42" s="1096">
        <f t="shared" si="1"/>
        <v>3.3254297811218738E-3</v>
      </c>
      <c r="L42" s="1096">
        <f t="shared" si="1"/>
        <v>2.6548883636604275E-2</v>
      </c>
      <c r="M42" s="1096">
        <f t="shared" si="1"/>
        <v>2.2645351231841186E-2</v>
      </c>
      <c r="N42" s="1096">
        <f t="shared" si="1"/>
        <v>6.5640354774314125E-2</v>
      </c>
      <c r="O42" s="505"/>
      <c r="P42" s="1355">
        <f>B42+'F-5'!C40</f>
        <v>0.40177181799931194</v>
      </c>
      <c r="Q42" s="1355">
        <f>C42+'F-5'!D40</f>
        <v>0.15989751360766408</v>
      </c>
      <c r="R42" s="1355"/>
      <c r="S42" s="1355"/>
      <c r="T42" s="1355"/>
      <c r="U42" s="505"/>
      <c r="V42" s="505"/>
      <c r="W42" s="505"/>
      <c r="X42" s="396"/>
      <c r="Y42" s="396"/>
      <c r="Z42" s="228"/>
      <c r="AA42" s="228"/>
      <c r="AB42" s="228"/>
      <c r="AC42" s="228"/>
      <c r="AD42" s="226"/>
      <c r="AE42" s="24"/>
      <c r="AF42" s="24"/>
      <c r="AG42" s="24"/>
      <c r="AH42" s="24"/>
      <c r="AI42" s="24"/>
    </row>
    <row r="43" spans="1:35" ht="12.75" customHeight="1" x14ac:dyDescent="0.3">
      <c r="A43" s="100">
        <v>1962</v>
      </c>
      <c r="B43" s="1096">
        <f t="shared" ref="B43:B94" si="2">SUM(C43:G43)</f>
        <v>0.38233228945789183</v>
      </c>
      <c r="C43" s="1085">
        <f>'C9-Tax Rates'!U8/100</f>
        <v>0.15754037767074094</v>
      </c>
      <c r="D43" s="1085">
        <f>'C9-Tax Rates'!AC8/100</f>
        <v>1.4617271500987593E-2</v>
      </c>
      <c r="E43" s="1085">
        <f>'C9-Tax Rates'!AK8/100</f>
        <v>0.11211291491857095</v>
      </c>
      <c r="F43" s="1085">
        <f>'C9-Tax Rates'!AS8/100</f>
        <v>6.348026579915951E-2</v>
      </c>
      <c r="G43" s="1085">
        <f>('C9-Tax Rates'!BQ8+'C9-Tax Rates'!BI8)/100</f>
        <v>3.4581459568432844E-2</v>
      </c>
      <c r="H43" s="74"/>
      <c r="I43" s="1096">
        <f t="shared" ref="I43:I94" si="3">SUM(J43:N43)</f>
        <v>0.18201459958964131</v>
      </c>
      <c r="J43" s="1085">
        <f>'C9-Tax Rates'!R8/100</f>
        <v>6.0305513030115637E-2</v>
      </c>
      <c r="K43" s="1085">
        <f>'C9-Tax Rates'!Z8/100</f>
        <v>3.6743918966953585E-3</v>
      </c>
      <c r="L43" s="1085">
        <f>'C9-Tax Rates'!AH8/100</f>
        <v>2.8840965796126553E-2</v>
      </c>
      <c r="M43" s="1085">
        <f>'C9-Tax Rates'!AP8/100</f>
        <v>2.514393687144699E-2</v>
      </c>
      <c r="N43" s="1085">
        <f>('C9-Tax Rates'!BN8+'C9-Tax Rates'!BF8)/100</f>
        <v>6.4049791995256775E-2</v>
      </c>
      <c r="O43" s="504"/>
      <c r="P43" s="1355">
        <f>B43+'F-5'!C41</f>
        <v>0.38573777622551897</v>
      </c>
      <c r="Q43" s="1355">
        <f>C43+'F-5'!D41</f>
        <v>0.15754037767074094</v>
      </c>
      <c r="R43" s="1090">
        <f>'F-B6'!Z36</f>
        <v>0.25671879151763444</v>
      </c>
      <c r="S43" s="1090">
        <f>'F-B5'!AG36</f>
        <v>0.16967866481116217</v>
      </c>
      <c r="T43" s="1090">
        <f>'F-B5'!AO36</f>
        <v>0.16967866481116217</v>
      </c>
      <c r="U43" s="504"/>
      <c r="V43" s="504"/>
      <c r="W43" s="504"/>
      <c r="X43" s="396"/>
      <c r="Y43" s="396"/>
      <c r="Z43" s="228"/>
      <c r="AA43" s="228"/>
      <c r="AB43" s="228"/>
      <c r="AC43" s="228"/>
      <c r="AD43" s="226"/>
      <c r="AE43" s="276"/>
      <c r="AF43" s="276"/>
      <c r="AG43" s="276"/>
      <c r="AH43" s="276"/>
      <c r="AI43" s="249"/>
    </row>
    <row r="44" spans="1:35" ht="12.75" customHeight="1" x14ac:dyDescent="0.3">
      <c r="A44" s="100">
        <v>1963</v>
      </c>
      <c r="B44" s="1096">
        <f t="shared" ref="B44:G44" si="4">AVERAGE(B43,B45)</f>
        <v>0.38126036726575885</v>
      </c>
      <c r="C44" s="1096">
        <f t="shared" si="4"/>
        <v>0.15190094401697352</v>
      </c>
      <c r="D44" s="1096">
        <f t="shared" si="4"/>
        <v>1.4068842038060511E-2</v>
      </c>
      <c r="E44" s="1096">
        <f t="shared" si="4"/>
        <v>0.11521939533488308</v>
      </c>
      <c r="F44" s="1096">
        <f t="shared" si="4"/>
        <v>6.5062228344628464E-2</v>
      </c>
      <c r="G44" s="1096">
        <f t="shared" si="4"/>
        <v>3.5008957531213303E-2</v>
      </c>
      <c r="H44" s="74"/>
      <c r="I44" s="1096">
        <f t="shared" ref="I44:N44" si="5">AVERAGE(I43,I45)</f>
        <v>0.17693937300870433</v>
      </c>
      <c r="J44" s="1096">
        <f t="shared" si="5"/>
        <v>5.5095714330959111E-2</v>
      </c>
      <c r="K44" s="1096">
        <f t="shared" si="5"/>
        <v>4.1092541275844253E-3</v>
      </c>
      <c r="L44" s="1096">
        <f t="shared" si="5"/>
        <v>2.8204567967439913E-2</v>
      </c>
      <c r="M44" s="1096">
        <f t="shared" si="5"/>
        <v>2.541661100957112E-2</v>
      </c>
      <c r="N44" s="1096">
        <f t="shared" si="5"/>
        <v>6.4113225573149774E-2</v>
      </c>
      <c r="O44" s="505"/>
      <c r="P44" s="1355">
        <f>B44+'F-5'!C42</f>
        <v>0.38470669296370874</v>
      </c>
      <c r="Q44" s="1355">
        <f>C44+'F-5'!D42</f>
        <v>0.15190094401697352</v>
      </c>
      <c r="R44" s="1355">
        <f t="shared" si="1"/>
        <v>0.25074936858164548</v>
      </c>
      <c r="S44" s="1355">
        <f t="shared" si="1"/>
        <v>0.16710145347154542</v>
      </c>
      <c r="T44" s="1355">
        <f t="shared" si="1"/>
        <v>0.16710145347154542</v>
      </c>
      <c r="U44" s="505"/>
      <c r="V44" s="505"/>
      <c r="W44" s="505"/>
      <c r="X44" s="396"/>
      <c r="Y44" s="396"/>
      <c r="Z44" s="228"/>
      <c r="AA44" s="228"/>
      <c r="AB44" s="228"/>
      <c r="AC44" s="228"/>
      <c r="AD44" s="226"/>
      <c r="AE44" s="276"/>
      <c r="AF44" s="276"/>
      <c r="AG44" s="276"/>
      <c r="AH44" s="276"/>
      <c r="AI44" s="24"/>
    </row>
    <row r="45" spans="1:35" ht="12.75" customHeight="1" x14ac:dyDescent="0.3">
      <c r="A45" s="100">
        <v>1964</v>
      </c>
      <c r="B45" s="1096">
        <f t="shared" si="2"/>
        <v>0.38018844507362592</v>
      </c>
      <c r="C45" s="1085">
        <f>'C9-Tax Rates'!U10/100</f>
        <v>0.14626151036320612</v>
      </c>
      <c r="D45" s="1085">
        <f>'C9-Tax Rates'!AC10/100</f>
        <v>1.3520412575133428E-2</v>
      </c>
      <c r="E45" s="1085">
        <f>'C9-Tax Rates'!AK10/100</f>
        <v>0.11832587575119521</v>
      </c>
      <c r="F45" s="1085">
        <f>'C9-Tax Rates'!AS10/100</f>
        <v>6.6644190890097432E-2</v>
      </c>
      <c r="G45" s="1085">
        <f>('C9-Tax Rates'!BQ10+'C9-Tax Rates'!BI10)/100</f>
        <v>3.5436455493993754E-2</v>
      </c>
      <c r="H45" s="74"/>
      <c r="I45" s="1096">
        <f t="shared" si="3"/>
        <v>0.17186414642776737</v>
      </c>
      <c r="J45" s="1085">
        <f>'C9-Tax Rates'!R10/100</f>
        <v>4.9885915631802592E-2</v>
      </c>
      <c r="K45" s="1085">
        <f>'C9-Tax Rates'!Z10/100</f>
        <v>4.544116358473493E-3</v>
      </c>
      <c r="L45" s="1085">
        <f>'C9-Tax Rates'!AH10/100</f>
        <v>2.7568170138753269E-2</v>
      </c>
      <c r="M45" s="1085">
        <f>'C9-Tax Rates'!AP10/100</f>
        <v>2.5689285147695255E-2</v>
      </c>
      <c r="N45" s="1085">
        <f>('C9-Tax Rates'!BN10+'C9-Tax Rates'!BF10)/100</f>
        <v>6.4176659151042773E-2</v>
      </c>
      <c r="O45" s="504"/>
      <c r="P45" s="1355">
        <f>B45+'F-5'!C43</f>
        <v>0.38366961671787497</v>
      </c>
      <c r="Q45" s="1355">
        <f>C45+'F-5'!D43</f>
        <v>0.14626151036320612</v>
      </c>
      <c r="R45" s="1090">
        <f>'F-B6'!Z38</f>
        <v>0.24477994564565653</v>
      </c>
      <c r="S45" s="1090">
        <f>'F-B5'!AG38</f>
        <v>0.16452424213192871</v>
      </c>
      <c r="T45" s="1090">
        <f>'F-B5'!AO38</f>
        <v>0.16452424213192871</v>
      </c>
      <c r="U45" s="504"/>
      <c r="V45" s="504"/>
      <c r="W45" s="504"/>
      <c r="X45" s="396"/>
      <c r="Y45" s="396"/>
      <c r="Z45" s="228"/>
      <c r="AA45" s="228"/>
      <c r="AB45" s="228"/>
      <c r="AC45" s="228"/>
      <c r="AD45" s="226"/>
      <c r="AE45" s="276"/>
      <c r="AF45" s="276"/>
      <c r="AG45" s="276"/>
      <c r="AH45" s="276"/>
      <c r="AI45" s="249"/>
    </row>
    <row r="46" spans="1:35" ht="12.75" customHeight="1" x14ac:dyDescent="0.3">
      <c r="A46" s="100">
        <v>1965</v>
      </c>
      <c r="B46" s="1096">
        <f t="shared" ref="B46:G46" si="6">AVERAGE(B45,B47)</f>
        <v>0.37189086603850474</v>
      </c>
      <c r="C46" s="1096">
        <f t="shared" si="6"/>
        <v>0.14908326099262556</v>
      </c>
      <c r="D46" s="1096">
        <f t="shared" si="6"/>
        <v>1.4752459102807924E-2</v>
      </c>
      <c r="E46" s="1096">
        <f t="shared" si="6"/>
        <v>0.11347283502108546</v>
      </c>
      <c r="F46" s="1096">
        <f t="shared" si="6"/>
        <v>6.066004703391642E-2</v>
      </c>
      <c r="G46" s="1096">
        <f t="shared" si="6"/>
        <v>3.3922263888069418E-2</v>
      </c>
      <c r="H46" s="74"/>
      <c r="I46" s="1096">
        <f t="shared" ref="I46:N46" si="7">AVERAGE(I45,I47)</f>
        <v>0.17410064367639927</v>
      </c>
      <c r="J46" s="1096">
        <f t="shared" si="7"/>
        <v>5.2922869987565457E-2</v>
      </c>
      <c r="K46" s="1096">
        <f t="shared" si="7"/>
        <v>4.7711481159419863E-3</v>
      </c>
      <c r="L46" s="1096">
        <f t="shared" si="7"/>
        <v>2.906559295369843E-2</v>
      </c>
      <c r="M46" s="1096">
        <f t="shared" si="7"/>
        <v>2.5746251788499045E-2</v>
      </c>
      <c r="N46" s="1096">
        <f t="shared" si="7"/>
        <v>6.1594780830694376E-2</v>
      </c>
      <c r="O46" s="505"/>
      <c r="P46" s="1355">
        <f>B46+'F-5'!C44</f>
        <v>0.37588510010834508</v>
      </c>
      <c r="Q46" s="1355">
        <f>C46+'F-5'!D44</f>
        <v>0.14908326099262556</v>
      </c>
      <c r="R46" s="1355">
        <f t="shared" si="1"/>
        <v>0.2507997736056975</v>
      </c>
      <c r="S46" s="1355">
        <f t="shared" si="1"/>
        <v>0.17192235636802106</v>
      </c>
      <c r="T46" s="1355">
        <f t="shared" si="1"/>
        <v>0.17192235636802106</v>
      </c>
      <c r="U46" s="505"/>
      <c r="V46" s="505"/>
      <c r="W46" s="505"/>
      <c r="X46" s="396"/>
      <c r="Y46" s="396"/>
      <c r="Z46" s="228"/>
      <c r="AA46" s="228"/>
      <c r="AB46" s="228"/>
      <c r="AC46" s="228"/>
      <c r="AD46" s="226"/>
      <c r="AE46" s="276"/>
      <c r="AF46" s="276"/>
      <c r="AG46" s="276"/>
      <c r="AH46" s="276"/>
      <c r="AI46" s="249"/>
    </row>
    <row r="47" spans="1:35" ht="12.75" customHeight="1" x14ac:dyDescent="0.3">
      <c r="A47" s="100">
        <v>1966</v>
      </c>
      <c r="B47" s="1096">
        <f t="shared" si="2"/>
        <v>0.36359328700338361</v>
      </c>
      <c r="C47" s="1085">
        <f>'C9-Tax Rates'!U12/100</f>
        <v>0.15190501162204501</v>
      </c>
      <c r="D47" s="1085">
        <f>'C9-Tax Rates'!AC12/100</f>
        <v>1.5984505630482419E-2</v>
      </c>
      <c r="E47" s="1085">
        <f>'C9-Tax Rates'!AK12/100</f>
        <v>0.10861979429097569</v>
      </c>
      <c r="F47" s="1085">
        <f>'C9-Tax Rates'!AS12/100</f>
        <v>5.4675903177735401E-2</v>
      </c>
      <c r="G47" s="1085">
        <f>('C9-Tax Rates'!BQ12+'C9-Tax Rates'!BI12)/100</f>
        <v>3.2408072282145081E-2</v>
      </c>
      <c r="H47" s="74"/>
      <c r="I47" s="1096">
        <f t="shared" si="3"/>
        <v>0.17633714092503119</v>
      </c>
      <c r="J47" s="1085">
        <f>'C9-Tax Rates'!R12/100</f>
        <v>5.5959824343328329E-2</v>
      </c>
      <c r="K47" s="1085">
        <f>'C9-Tax Rates'!Z12/100</f>
        <v>4.9981798734104787E-3</v>
      </c>
      <c r="L47" s="1085">
        <f>'C9-Tax Rates'!AH12/100</f>
        <v>3.0563015768643592E-2</v>
      </c>
      <c r="M47" s="1085">
        <f>'C9-Tax Rates'!AP12/100</f>
        <v>2.5803218429302836E-2</v>
      </c>
      <c r="N47" s="1085">
        <f>('C9-Tax Rates'!BN12+'C9-Tax Rates'!BF12)/100</f>
        <v>5.9012902510345973E-2</v>
      </c>
      <c r="O47" s="504"/>
      <c r="P47" s="1355">
        <f>B47+'F-5'!C45</f>
        <v>0.3680192379381052</v>
      </c>
      <c r="Q47" s="1355">
        <f>C47+'F-5'!D45</f>
        <v>0.15190501162204501</v>
      </c>
      <c r="R47" s="1090">
        <f>'F-B6'!Z40</f>
        <v>0.25681960156573852</v>
      </c>
      <c r="S47" s="1090">
        <f>'F-B5'!AG40</f>
        <v>0.17932047060411338</v>
      </c>
      <c r="T47" s="1090">
        <f>'F-B5'!AO40</f>
        <v>0.17932047060411338</v>
      </c>
      <c r="U47" s="504"/>
      <c r="V47" s="504"/>
      <c r="W47" s="504"/>
      <c r="X47" s="396"/>
      <c r="Y47" s="396"/>
      <c r="Z47" s="228"/>
      <c r="AA47" s="228"/>
      <c r="AB47" s="228"/>
      <c r="AC47" s="228"/>
      <c r="AD47" s="226"/>
      <c r="AE47" s="276"/>
      <c r="AF47" s="276"/>
      <c r="AG47" s="276"/>
      <c r="AH47" s="276"/>
      <c r="AI47" s="249"/>
    </row>
    <row r="48" spans="1:35" ht="12.75" customHeight="1" x14ac:dyDescent="0.3">
      <c r="A48" s="100">
        <v>1967</v>
      </c>
      <c r="B48" s="1096">
        <f t="shared" si="2"/>
        <v>0.38221897360522289</v>
      </c>
      <c r="C48" s="1085">
        <f>'C9-Tax Rates'!U13/100</f>
        <v>0.16573598901727693</v>
      </c>
      <c r="D48" s="1206">
        <f>'C9-Tax Rates'!AC13/100</f>
        <v>1.5777733912386578E-2</v>
      </c>
      <c r="E48" s="1085">
        <f>'C9-Tax Rates'!AK13/100</f>
        <v>0.10591986029721621</v>
      </c>
      <c r="F48" s="1085">
        <f>'C9-Tax Rates'!AS13/100</f>
        <v>6.1786968741274262E-2</v>
      </c>
      <c r="G48" s="1085">
        <f>('C9-Tax Rates'!BQ13+'C9-Tax Rates'!BI13)/100</f>
        <v>3.2998421637068918E-2</v>
      </c>
      <c r="H48" s="74"/>
      <c r="I48" s="1096">
        <f t="shared" si="3"/>
        <v>0.1741146857732431</v>
      </c>
      <c r="J48" s="1085">
        <f>'C9-Tax Rates'!R13/100</f>
        <v>5.7458769436875105E-2</v>
      </c>
      <c r="K48" s="1085">
        <f>'C9-Tax Rates'!Z13/100</f>
        <v>5.5616600167611562E-3</v>
      </c>
      <c r="L48" s="1085">
        <f>'C9-Tax Rates'!AH13/100</f>
        <v>2.6860698873953939E-2</v>
      </c>
      <c r="M48" s="1085">
        <f>'C9-Tax Rates'!AP13/100</f>
        <v>2.519629097124302E-2</v>
      </c>
      <c r="N48" s="1085">
        <f>('C9-Tax Rates'!BN13+'C9-Tax Rates'!BF13)/100</f>
        <v>5.9037266474409884E-2</v>
      </c>
      <c r="O48" s="504"/>
      <c r="P48" s="1355">
        <f>B48+'F-5'!C46</f>
        <v>0.38672274842274651</v>
      </c>
      <c r="Q48" s="1355">
        <f>C48+'F-5'!D46</f>
        <v>0.16573598901727693</v>
      </c>
      <c r="R48" s="1090">
        <f>'F-B6'!Z41</f>
        <v>0.25436364170268139</v>
      </c>
      <c r="S48" s="1090">
        <f>'F-B5'!AG41</f>
        <v>0.18465051926592868</v>
      </c>
      <c r="T48" s="1090">
        <f>'F-B5'!AO41</f>
        <v>0.18465051926592868</v>
      </c>
      <c r="U48" s="504"/>
      <c r="V48" s="504"/>
      <c r="W48" s="504"/>
      <c r="X48" s="396"/>
      <c r="Y48" s="396"/>
      <c r="Z48" s="228"/>
      <c r="AA48" s="228"/>
      <c r="AB48" s="228"/>
      <c r="AC48" s="228"/>
      <c r="AD48" s="226"/>
      <c r="AE48" s="276"/>
      <c r="AF48" s="276"/>
      <c r="AG48" s="276"/>
      <c r="AH48" s="276"/>
      <c r="AI48" s="249"/>
    </row>
    <row r="49" spans="1:35" ht="12.75" customHeight="1" x14ac:dyDescent="0.3">
      <c r="A49" s="100">
        <v>1968</v>
      </c>
      <c r="B49" s="1096">
        <f t="shared" si="2"/>
        <v>0.40949914770750362</v>
      </c>
      <c r="C49" s="1085">
        <f>'C9-Tax Rates'!U14/100</f>
        <v>0.17901577657705203</v>
      </c>
      <c r="D49" s="1206">
        <f>'C9-Tax Rates'!AC14/100</f>
        <v>1.575709101778542E-2</v>
      </c>
      <c r="E49" s="1085">
        <f>'C9-Tax Rates'!AK14/100</f>
        <v>0.11906238157479829</v>
      </c>
      <c r="F49" s="1085">
        <f>'C9-Tax Rates'!AS14/100</f>
        <v>6.389983313585515E-2</v>
      </c>
      <c r="G49" s="1085">
        <f>('C9-Tax Rates'!BQ14+'C9-Tax Rates'!BI14)/100</f>
        <v>3.1764065402012688E-2</v>
      </c>
      <c r="H49" s="74"/>
      <c r="I49" s="1096">
        <f t="shared" si="3"/>
        <v>0.18459374901259623</v>
      </c>
      <c r="J49" s="1085">
        <f>'C9-Tax Rates'!R14/100</f>
        <v>6.2625038609255113E-2</v>
      </c>
      <c r="K49" s="1085">
        <f>'C9-Tax Rates'!Z14/100</f>
        <v>6.9841891413073296E-3</v>
      </c>
      <c r="L49" s="1085">
        <f>'C9-Tax Rates'!AH14/100</f>
        <v>2.8742045719612939E-2</v>
      </c>
      <c r="M49" s="1085">
        <f>'C9-Tax Rates'!AP14/100</f>
        <v>2.5042089064274284E-2</v>
      </c>
      <c r="N49" s="1085">
        <f>('C9-Tax Rates'!BN14+'C9-Tax Rates'!BF14)/100</f>
        <v>6.1200386478146553E-2</v>
      </c>
      <c r="O49" s="504"/>
      <c r="P49" s="1355">
        <f>B49+'F-5'!C47</f>
        <v>0.41422888099162763</v>
      </c>
      <c r="Q49" s="1355">
        <f>C49+'F-5'!D47</f>
        <v>0.17901577657705203</v>
      </c>
      <c r="R49" s="1090">
        <f>'F-B6'!Z42</f>
        <v>0.26851051771391876</v>
      </c>
      <c r="S49" s="1090">
        <f>'F-B5'!AG42</f>
        <v>0.18833262025352621</v>
      </c>
      <c r="T49" s="1090">
        <f>'F-B5'!AO42</f>
        <v>0.18833262025352621</v>
      </c>
      <c r="U49" s="504"/>
      <c r="V49" s="504"/>
      <c r="W49" s="504"/>
      <c r="X49" s="396"/>
      <c r="Y49" s="396"/>
      <c r="Z49" s="228"/>
      <c r="AA49" s="228"/>
      <c r="AB49" s="228"/>
      <c r="AC49" s="228"/>
      <c r="AD49" s="226"/>
      <c r="AE49" s="276"/>
      <c r="AF49" s="276"/>
      <c r="AG49" s="276"/>
      <c r="AH49" s="276"/>
      <c r="AI49" s="249"/>
    </row>
    <row r="50" spans="1:35" ht="12.75" customHeight="1" x14ac:dyDescent="0.3">
      <c r="A50" s="100">
        <v>1969</v>
      </c>
      <c r="B50" s="1096">
        <f t="shared" si="2"/>
        <v>0.42268610948043023</v>
      </c>
      <c r="C50" s="1085">
        <f>'C9-Tax Rates'!U15/100</f>
        <v>0.19756614083601159</v>
      </c>
      <c r="D50" s="1206">
        <f>'C9-Tax Rates'!AC15/100</f>
        <v>1.9991129082699715E-2</v>
      </c>
      <c r="E50" s="1085">
        <f>'C9-Tax Rates'!AK15/100</f>
        <v>0.10604967421997052</v>
      </c>
      <c r="F50" s="1085">
        <f>'C9-Tax Rates'!AS15/100</f>
        <v>6.3260487306728105E-2</v>
      </c>
      <c r="G50" s="1085">
        <f>('C9-Tax Rates'!BQ15+'C9-Tax Rates'!BI15)/100</f>
        <v>3.5818678035020236E-2</v>
      </c>
      <c r="H50" s="74"/>
      <c r="I50" s="1096">
        <f t="shared" si="3"/>
        <v>0.19527368142043985</v>
      </c>
      <c r="J50" s="1085">
        <f>'C9-Tax Rates'!R15/100</f>
        <v>7.1560350682747784E-2</v>
      </c>
      <c r="K50" s="1085">
        <f>'C9-Tax Rates'!Z15/100</f>
        <v>7.9451435707822409E-3</v>
      </c>
      <c r="L50" s="1085">
        <f>'C9-Tax Rates'!AH15/100</f>
        <v>2.8211176839343124E-2</v>
      </c>
      <c r="M50" s="1085">
        <f>'C9-Tax Rates'!AP15/100</f>
        <v>2.5935506000383846E-2</v>
      </c>
      <c r="N50" s="1085">
        <f>('C9-Tax Rates'!BN15+'C9-Tax Rates'!BF15)/100</f>
        <v>6.1621504327182851E-2</v>
      </c>
      <c r="O50" s="504"/>
      <c r="P50" s="1355">
        <f>B50+'F-5'!C48</f>
        <v>0.42839371396354675</v>
      </c>
      <c r="Q50" s="1355">
        <f>C50+'F-5'!D48</f>
        <v>0.19756614083601159</v>
      </c>
      <c r="R50" s="1090">
        <f>'F-B6'!Z43</f>
        <v>0.28303557538291702</v>
      </c>
      <c r="S50" s="1090">
        <f>'F-B5'!AG43</f>
        <v>0.19812183708737613</v>
      </c>
      <c r="T50" s="1090">
        <f>'F-B5'!AO43</f>
        <v>0.19812183708737613</v>
      </c>
      <c r="U50" s="504"/>
      <c r="V50" s="504"/>
      <c r="W50" s="504"/>
      <c r="X50" s="396"/>
      <c r="Y50" s="396"/>
      <c r="Z50" s="228"/>
      <c r="AA50" s="228"/>
      <c r="AB50" s="228"/>
      <c r="AC50" s="228"/>
      <c r="AD50" s="226"/>
      <c r="AE50" s="276"/>
      <c r="AF50" s="276"/>
      <c r="AG50" s="276"/>
      <c r="AH50" s="276"/>
      <c r="AI50" s="249"/>
    </row>
    <row r="51" spans="1:35" ht="12.75" customHeight="1" x14ac:dyDescent="0.3">
      <c r="A51" s="100">
        <v>1970</v>
      </c>
      <c r="B51" s="1096">
        <f t="shared" si="2"/>
        <v>0.39689481723246156</v>
      </c>
      <c r="C51" s="1085">
        <f>'C9-Tax Rates'!U16/100</f>
        <v>0.18011655120863548</v>
      </c>
      <c r="D51" s="1206">
        <f>'C9-Tax Rates'!AC16/100</f>
        <v>2.3116098337892254E-2</v>
      </c>
      <c r="E51" s="1085">
        <f>'C9-Tax Rates'!AK16/100</f>
        <v>8.6464736320650382E-2</v>
      </c>
      <c r="F51" s="1085">
        <f>'C9-Tax Rates'!AS16/100</f>
        <v>6.7692083273013112E-2</v>
      </c>
      <c r="G51" s="1085">
        <f>('C9-Tax Rates'!BQ16+'C9-Tax Rates'!BI16)/100</f>
        <v>3.950534809227034E-2</v>
      </c>
      <c r="H51" s="74"/>
      <c r="I51" s="1096">
        <f t="shared" si="3"/>
        <v>0.18651595031722878</v>
      </c>
      <c r="J51" s="1085">
        <f>'C9-Tax Rates'!R16/100</f>
        <v>6.6412197542251167E-2</v>
      </c>
      <c r="K51" s="1085">
        <f>'C9-Tax Rates'!Z16/100</f>
        <v>8.2246848873049564E-3</v>
      </c>
      <c r="L51" s="1085">
        <f>'C9-Tax Rates'!AH16/100</f>
        <v>2.3070151969064371E-2</v>
      </c>
      <c r="M51" s="1085">
        <f>'C9-Tax Rates'!AP16/100</f>
        <v>2.8149419773007368E-2</v>
      </c>
      <c r="N51" s="1085">
        <f>('C9-Tax Rates'!BN16+'C9-Tax Rates'!BF16)/100</f>
        <v>6.0659496145600927E-2</v>
      </c>
      <c r="O51" s="504"/>
      <c r="P51" s="1355">
        <f>B51+'F-5'!C49</f>
        <v>0.40298319924226994</v>
      </c>
      <c r="Q51" s="1355">
        <f>C51+'F-5'!D49</f>
        <v>0.18011655120863548</v>
      </c>
      <c r="R51" s="1090">
        <f>'F-B6'!Z44</f>
        <v>0.27312754266563843</v>
      </c>
      <c r="S51" s="1090">
        <f>'F-B5'!AG44</f>
        <v>0.18995588699411592</v>
      </c>
      <c r="T51" s="1090">
        <f>'F-B5'!AO44</f>
        <v>0.18995588699411592</v>
      </c>
      <c r="U51" s="504"/>
      <c r="V51" s="504"/>
      <c r="W51" s="504"/>
      <c r="X51" s="396"/>
      <c r="Y51" s="396"/>
      <c r="Z51" s="228"/>
      <c r="AA51" s="228"/>
      <c r="AB51" s="228"/>
      <c r="AC51" s="228"/>
      <c r="AD51" s="226"/>
      <c r="AE51" s="276"/>
      <c r="AF51" s="276"/>
      <c r="AG51" s="276"/>
      <c r="AH51" s="276"/>
      <c r="AI51" s="249"/>
    </row>
    <row r="52" spans="1:35" ht="12.75" customHeight="1" x14ac:dyDescent="0.3">
      <c r="A52" s="100">
        <v>1971</v>
      </c>
      <c r="B52" s="1096">
        <f t="shared" si="2"/>
        <v>0.3800893807565392</v>
      </c>
      <c r="C52" s="1085">
        <f>'C9-Tax Rates'!U17/100</f>
        <v>0.16198344272613241</v>
      </c>
      <c r="D52" s="1206">
        <f>'C9-Tax Rates'!AC17/100</f>
        <v>2.3467428254374291E-2</v>
      </c>
      <c r="E52" s="1085">
        <f>'C9-Tax Rates'!AK17/100</f>
        <v>8.8918182197491868E-2</v>
      </c>
      <c r="F52" s="1085">
        <f>'C9-Tax Rates'!AS17/100</f>
        <v>6.5439769427536071E-2</v>
      </c>
      <c r="G52" s="1085">
        <f>('C9-Tax Rates'!BQ17+'C9-Tax Rates'!BI17)/100</f>
        <v>4.028055815100464E-2</v>
      </c>
      <c r="H52" s="74"/>
      <c r="I52" s="1096">
        <f t="shared" si="3"/>
        <v>0.17922079852544179</v>
      </c>
      <c r="J52" s="1085">
        <f>'C9-Tax Rates'!R17/100</f>
        <v>5.7571328033611355E-2</v>
      </c>
      <c r="K52" s="1085">
        <f>'C9-Tax Rates'!Z17/100</f>
        <v>8.637115926800323E-3</v>
      </c>
      <c r="L52" s="1085">
        <f>'C9-Tax Rates'!AH17/100</f>
        <v>2.2967535511969082E-2</v>
      </c>
      <c r="M52" s="1085">
        <f>'C9-Tax Rates'!AP17/100</f>
        <v>2.8607668375937235E-2</v>
      </c>
      <c r="N52" s="1085">
        <f>('C9-Tax Rates'!BN17+'C9-Tax Rates'!BF17)/100</f>
        <v>6.1437150677123797E-2</v>
      </c>
      <c r="O52" s="504"/>
      <c r="P52" s="1355">
        <f>B52+'F-5'!C50</f>
        <v>0.38620011554534855</v>
      </c>
      <c r="Q52" s="1355">
        <f>C52+'F-5'!D50</f>
        <v>0.16198344272613241</v>
      </c>
      <c r="R52" s="1090">
        <f>'F-B6'!Z45</f>
        <v>0.26884267581455379</v>
      </c>
      <c r="S52" s="1090">
        <f>'F-B5'!AG45</f>
        <v>0.17972745554829636</v>
      </c>
      <c r="T52" s="1090">
        <f>'F-B5'!AO45</f>
        <v>0.17972745554829636</v>
      </c>
      <c r="U52" s="504"/>
      <c r="V52" s="504"/>
      <c r="W52" s="504"/>
      <c r="X52" s="396"/>
      <c r="Y52" s="396"/>
      <c r="Z52" s="228"/>
      <c r="AA52" s="228"/>
      <c r="AB52" s="228"/>
      <c r="AC52" s="228"/>
      <c r="AD52" s="226"/>
      <c r="AE52" s="276"/>
      <c r="AF52" s="276"/>
      <c r="AG52" s="276"/>
      <c r="AH52" s="276"/>
      <c r="AI52" s="249"/>
    </row>
    <row r="53" spans="1:35" ht="12.75" customHeight="1" x14ac:dyDescent="0.3">
      <c r="A53" s="100">
        <v>1972</v>
      </c>
      <c r="B53" s="1096">
        <f t="shared" si="2"/>
        <v>0.39217980779441219</v>
      </c>
      <c r="C53" s="1085">
        <f>'C9-Tax Rates'!U18/100</f>
        <v>0.17283660672052448</v>
      </c>
      <c r="D53" s="1206">
        <f>'C9-Tax Rates'!AC18/100</f>
        <v>2.5999614742266138E-2</v>
      </c>
      <c r="E53" s="1085">
        <f>'C9-Tax Rates'!AK18/100</f>
        <v>8.9978854900339689E-2</v>
      </c>
      <c r="F53" s="1085">
        <f>'C9-Tax Rates'!AS18/100</f>
        <v>6.5119023709433788E-2</v>
      </c>
      <c r="G53" s="1085">
        <f>('C9-Tax Rates'!BQ18+'C9-Tax Rates'!BI18)/100</f>
        <v>3.824570772184812E-2</v>
      </c>
      <c r="H53" s="74"/>
      <c r="I53" s="1096">
        <f t="shared" si="3"/>
        <v>0.18448006881920387</v>
      </c>
      <c r="J53" s="1085">
        <f>'C9-Tax Rates'!R18/100</f>
        <v>6.1908534651319166E-2</v>
      </c>
      <c r="K53" s="1085">
        <f>'C9-Tax Rates'!Z18/100</f>
        <v>1.1214869498315929E-2</v>
      </c>
      <c r="L53" s="1085">
        <f>'C9-Tax Rates'!AH18/100</f>
        <v>2.3279996093452368E-2</v>
      </c>
      <c r="M53" s="1085">
        <f>'C9-Tax Rates'!AP18/100</f>
        <v>2.8646065648528798E-2</v>
      </c>
      <c r="N53" s="1085">
        <f>('C9-Tax Rates'!BN18+'C9-Tax Rates'!BF18)/100</f>
        <v>5.943060292758761E-2</v>
      </c>
      <c r="O53" s="504"/>
      <c r="P53" s="1355">
        <f>B53+'F-5'!C51</f>
        <v>0.39811081026828082</v>
      </c>
      <c r="Q53" s="1090">
        <f>I53+'F-5'!F51</f>
        <v>0.24199779734385046</v>
      </c>
      <c r="R53" s="1090">
        <f>'F-B6'!Z46</f>
        <v>0.27884427553957952</v>
      </c>
      <c r="S53" s="1090">
        <f>'F-B5'!AG46</f>
        <v>0.18579007825072891</v>
      </c>
      <c r="T53" s="1090">
        <f>'F-B5'!AO46</f>
        <v>0.18579007825072891</v>
      </c>
      <c r="U53" s="504"/>
      <c r="V53" s="504"/>
      <c r="W53" s="504"/>
      <c r="X53" s="396"/>
      <c r="Y53" s="396"/>
      <c r="Z53" s="228"/>
      <c r="AA53" s="228"/>
      <c r="AB53" s="228"/>
      <c r="AC53" s="228"/>
      <c r="AD53" s="226"/>
      <c r="AE53" s="276"/>
      <c r="AF53" s="276"/>
      <c r="AG53" s="276"/>
      <c r="AH53" s="276"/>
      <c r="AI53" s="249"/>
    </row>
    <row r="54" spans="1:35" ht="12.75" customHeight="1" x14ac:dyDescent="0.3">
      <c r="A54" s="100">
        <v>1973</v>
      </c>
      <c r="B54" s="1096">
        <f t="shared" si="2"/>
        <v>0.35707234262512166</v>
      </c>
      <c r="C54" s="1085">
        <f>'C9-Tax Rates'!U19/100</f>
        <v>0.15470084649185409</v>
      </c>
      <c r="D54" s="1206">
        <f>'C9-Tax Rates'!AC19/100</f>
        <v>2.5796683812840039E-2</v>
      </c>
      <c r="E54" s="1085">
        <f>'C9-Tax Rates'!AK19/100</f>
        <v>8.3309784458265992E-2</v>
      </c>
      <c r="F54" s="1085">
        <f>'C9-Tax Rates'!AS19/100</f>
        <v>5.6353907435185417E-2</v>
      </c>
      <c r="G54" s="1085">
        <f>('C9-Tax Rates'!BQ19+'C9-Tax Rates'!BI19)/100</f>
        <v>3.6911120426976127E-2</v>
      </c>
      <c r="H54" s="74"/>
      <c r="I54" s="1096">
        <f t="shared" si="3"/>
        <v>0.18450471677452004</v>
      </c>
      <c r="J54" s="1085">
        <f>'C9-Tax Rates'!R19/100</f>
        <v>6.0055082529909251E-2</v>
      </c>
      <c r="K54" s="1085">
        <f>'C9-Tax Rates'!Z19/100</f>
        <v>1.0822150768374868E-2</v>
      </c>
      <c r="L54" s="1085">
        <f>'C9-Tax Rates'!AH19/100</f>
        <v>2.5996830766030564E-2</v>
      </c>
      <c r="M54" s="1085">
        <f>'C9-Tax Rates'!AP19/100</f>
        <v>2.808890370155117E-2</v>
      </c>
      <c r="N54" s="1085">
        <f>('C9-Tax Rates'!BN19+'C9-Tax Rates'!BF19)/100</f>
        <v>5.9541749008654193E-2</v>
      </c>
      <c r="O54" s="504"/>
      <c r="P54" s="1355">
        <f>B54+'F-5'!C52</f>
        <v>0.36426027122905186</v>
      </c>
      <c r="Q54" s="1090">
        <f>I54+'F-5'!F52</f>
        <v>0.24945682459431967</v>
      </c>
      <c r="R54" s="1090">
        <f>'F-B6'!Z47</f>
        <v>0.28749477453849842</v>
      </c>
      <c r="S54" s="1090">
        <f>'F-B5'!AG47</f>
        <v>0.19260404874816237</v>
      </c>
      <c r="T54" s="1090">
        <f>'F-B5'!AO47</f>
        <v>0.19260404874816237</v>
      </c>
      <c r="U54" s="504"/>
      <c r="V54" s="504"/>
      <c r="W54" s="504"/>
      <c r="X54" s="396"/>
      <c r="Y54" s="396"/>
      <c r="Z54" s="228"/>
      <c r="AA54" s="228"/>
      <c r="AB54" s="228"/>
      <c r="AC54" s="228"/>
      <c r="AD54" s="226"/>
      <c r="AE54" s="276"/>
      <c r="AF54" s="276"/>
      <c r="AG54" s="276"/>
      <c r="AH54" s="276"/>
      <c r="AI54" s="249"/>
    </row>
    <row r="55" spans="1:35" ht="12.75" customHeight="1" x14ac:dyDescent="0.3">
      <c r="A55" s="100">
        <v>1974</v>
      </c>
      <c r="B55" s="1096">
        <f t="shared" si="2"/>
        <v>0.35630990404386043</v>
      </c>
      <c r="C55" s="1085">
        <f>'C9-Tax Rates'!U20/100</f>
        <v>0.17461403624635174</v>
      </c>
      <c r="D55" s="1206">
        <f>'C9-Tax Rates'!AC20/100</f>
        <v>2.5343469182941676E-2</v>
      </c>
      <c r="E55" s="1085">
        <f>'C9-Tax Rates'!AK20/100</f>
        <v>6.3916876553542015E-2</v>
      </c>
      <c r="F55" s="1085">
        <f>'C9-Tax Rates'!AS20/100</f>
        <v>5.3829703652964571E-2</v>
      </c>
      <c r="G55" s="1085">
        <f>('C9-Tax Rates'!BQ20+'C9-Tax Rates'!BI20)/100</f>
        <v>3.8605818408060461E-2</v>
      </c>
      <c r="H55" s="74"/>
      <c r="I55" s="1096">
        <f t="shared" si="3"/>
        <v>0.19043055504407044</v>
      </c>
      <c r="J55" s="1085">
        <f>'C9-Tax Rates'!R20/100</f>
        <v>6.4109990825008609E-2</v>
      </c>
      <c r="K55" s="1085">
        <f>'C9-Tax Rates'!Z20/100</f>
        <v>1.0820415732400713E-2</v>
      </c>
      <c r="L55" s="1085">
        <f>'C9-Tax Rates'!AH20/100</f>
        <v>2.7188862334272302E-2</v>
      </c>
      <c r="M55" s="1085">
        <f>'C9-Tax Rates'!AP20/100</f>
        <v>2.794180514925847E-2</v>
      </c>
      <c r="N55" s="1085">
        <f>('C9-Tax Rates'!BN20+'C9-Tax Rates'!BF20)/100</f>
        <v>6.0369481003130367E-2</v>
      </c>
      <c r="O55" s="504"/>
      <c r="P55" s="1355">
        <f>B55+'F-5'!C53</f>
        <v>0.36491524377956991</v>
      </c>
      <c r="Q55" s="1090">
        <f>I55+'F-5'!F53</f>
        <v>0.25691923627275864</v>
      </c>
      <c r="R55" s="1090">
        <f>'F-B6'!Z48</f>
        <v>0.29718642408862112</v>
      </c>
      <c r="S55" s="1090">
        <f>'F-B5'!AG48</f>
        <v>0.1958570090109098</v>
      </c>
      <c r="T55" s="1090">
        <f>'F-B5'!AO48</f>
        <v>0.1958570090109098</v>
      </c>
      <c r="U55" s="504"/>
      <c r="V55" s="504"/>
      <c r="W55" s="504"/>
      <c r="X55" s="396"/>
      <c r="Y55" s="396"/>
      <c r="Z55" s="228"/>
      <c r="AA55" s="228"/>
      <c r="AB55" s="228"/>
      <c r="AC55" s="228"/>
      <c r="AD55" s="226"/>
      <c r="AE55" s="276"/>
      <c r="AF55" s="276"/>
      <c r="AG55" s="276"/>
      <c r="AH55" s="276"/>
      <c r="AI55" s="249"/>
    </row>
    <row r="56" spans="1:35" ht="12.75" customHeight="1" x14ac:dyDescent="0.3">
      <c r="A56" s="100">
        <v>1975</v>
      </c>
      <c r="B56" s="1096">
        <f t="shared" si="2"/>
        <v>0.33471358629429976</v>
      </c>
      <c r="C56" s="1085">
        <f>'C9-Tax Rates'!U21/100</f>
        <v>0.15717772456012485</v>
      </c>
      <c r="D56" s="1206">
        <f>'C9-Tax Rates'!AC21/100</f>
        <v>2.5882591070705056E-2</v>
      </c>
      <c r="E56" s="1085">
        <f>'C9-Tax Rates'!AK21/100</f>
        <v>6.1892328624782486E-2</v>
      </c>
      <c r="F56" s="1085">
        <f>'C9-Tax Rates'!AS21/100</f>
        <v>5.207628320316178E-2</v>
      </c>
      <c r="G56" s="1085">
        <f>('C9-Tax Rates'!BQ21+'C9-Tax Rates'!BI21)/100</f>
        <v>3.7684658835525554E-2</v>
      </c>
      <c r="H56" s="74"/>
      <c r="I56" s="1096">
        <f t="shared" si="3"/>
        <v>0.17648911107491561</v>
      </c>
      <c r="J56" s="1085">
        <f>'C9-Tax Rates'!R21/100</f>
        <v>5.4209198835729569E-2</v>
      </c>
      <c r="K56" s="1085">
        <f>'C9-Tax Rates'!Z21/100</f>
        <v>1.0927628973135338E-2</v>
      </c>
      <c r="L56" s="1085">
        <f>'C9-Tax Rates'!AH21/100</f>
        <v>2.3708967458517857E-2</v>
      </c>
      <c r="M56" s="1085">
        <f>'C9-Tax Rates'!AP21/100</f>
        <v>2.7729153217394123E-2</v>
      </c>
      <c r="N56" s="1085">
        <f>('C9-Tax Rates'!BN21+'C9-Tax Rates'!BF21)/100</f>
        <v>5.9914162590138709E-2</v>
      </c>
      <c r="O56" s="504"/>
      <c r="P56" s="1355">
        <f>B56+'F-5'!C54</f>
        <v>0.34321540210055729</v>
      </c>
      <c r="Q56" s="1090">
        <f>I56+'F-5'!F54</f>
        <v>0.23988098432167024</v>
      </c>
      <c r="R56" s="1090">
        <f>'F-B6'!Z49</f>
        <v>0.28498983081291218</v>
      </c>
      <c r="S56" s="1090">
        <f>'F-B5'!AG49</f>
        <v>0.17090820732363954</v>
      </c>
      <c r="T56" s="1090">
        <f>'F-B5'!AO49</f>
        <v>0.17090820732363954</v>
      </c>
      <c r="U56" s="504"/>
      <c r="V56" s="504"/>
      <c r="W56" s="504"/>
      <c r="X56" s="396"/>
      <c r="Y56" s="396"/>
      <c r="Z56" s="228"/>
      <c r="AA56" s="228"/>
      <c r="AB56" s="228"/>
      <c r="AC56" s="228"/>
      <c r="AD56" s="226"/>
      <c r="AE56" s="276"/>
      <c r="AF56" s="276"/>
      <c r="AG56" s="276"/>
      <c r="AH56" s="276"/>
      <c r="AI56" s="249"/>
    </row>
    <row r="57" spans="1:35" ht="12.75" customHeight="1" x14ac:dyDescent="0.3">
      <c r="A57" s="100">
        <v>1976</v>
      </c>
      <c r="B57" s="1096">
        <f t="shared" si="2"/>
        <v>0.35449424788126715</v>
      </c>
      <c r="C57" s="1085">
        <f>'C9-Tax Rates'!U22/100</f>
        <v>0.16725837179228681</v>
      </c>
      <c r="D57" s="1206">
        <f>'C9-Tax Rates'!AC22/100</f>
        <v>2.6040733150368096E-2</v>
      </c>
      <c r="E57" s="1085">
        <f>'C9-Tax Rates'!AK22/100</f>
        <v>7.3794432088467615E-2</v>
      </c>
      <c r="F57" s="1085">
        <f>'C9-Tax Rates'!AS22/100</f>
        <v>5.1178847889812334E-2</v>
      </c>
      <c r="G57" s="1085">
        <f>('C9-Tax Rates'!BQ22+'C9-Tax Rates'!BI22)/100</f>
        <v>3.6221862960332363E-2</v>
      </c>
      <c r="H57" s="74"/>
      <c r="I57" s="1096">
        <f t="shared" si="3"/>
        <v>0.1800733187442331</v>
      </c>
      <c r="J57" s="1085">
        <f>'C9-Tax Rates'!R22/100</f>
        <v>5.6561914123518679E-2</v>
      </c>
      <c r="K57" s="1085">
        <f>'C9-Tax Rates'!Z22/100</f>
        <v>1.1559530764069291E-2</v>
      </c>
      <c r="L57" s="1100">
        <f>'C9-Tax Rates'!AH22/100</f>
        <v>2.6828486611482384E-2</v>
      </c>
      <c r="M57" s="1085">
        <f>'C9-Tax Rates'!AP22/100</f>
        <v>2.7539606670382334E-2</v>
      </c>
      <c r="N57" s="1085">
        <f>('C9-Tax Rates'!BN22+'C9-Tax Rates'!BF22)/100</f>
        <v>5.7583780574780405E-2</v>
      </c>
      <c r="O57" s="504"/>
      <c r="P57" s="1355">
        <f>B57+'F-5'!C55</f>
        <v>0.36320248672547312</v>
      </c>
      <c r="Q57" s="1090">
        <f>I57+'F-5'!F55</f>
        <v>0.24452951335606227</v>
      </c>
      <c r="R57" s="1090">
        <f>'F-B6'!Z50</f>
        <v>0.29150367189826504</v>
      </c>
      <c r="S57" s="1090">
        <f>'F-B5'!AG50</f>
        <v>0.17363696931416842</v>
      </c>
      <c r="T57" s="1090">
        <f>'F-B5'!AO50</f>
        <v>0.17151690862239916</v>
      </c>
      <c r="U57" s="504"/>
      <c r="V57" s="504"/>
      <c r="W57" s="504"/>
      <c r="X57" s="396"/>
      <c r="Y57" s="396"/>
      <c r="Z57" s="228"/>
      <c r="AA57" s="228"/>
      <c r="AB57" s="228"/>
      <c r="AC57" s="228"/>
      <c r="AD57" s="226"/>
      <c r="AE57" s="276"/>
      <c r="AF57" s="276"/>
      <c r="AG57" s="276"/>
      <c r="AH57" s="276"/>
      <c r="AI57" s="249"/>
    </row>
    <row r="58" spans="1:35" ht="12.75" customHeight="1" x14ac:dyDescent="0.3">
      <c r="A58" s="100">
        <v>1977</v>
      </c>
      <c r="B58" s="1096">
        <f t="shared" si="2"/>
        <v>0.3447922073348042</v>
      </c>
      <c r="C58" s="1085">
        <f>'C9-Tax Rates'!U23/100</f>
        <v>0.16922551037021624</v>
      </c>
      <c r="D58" s="1206">
        <f>'C9-Tax Rates'!AC23/100</f>
        <v>2.6240020175762709E-2</v>
      </c>
      <c r="E58" s="1085">
        <f>'C9-Tax Rates'!AK23/100</f>
        <v>6.8259943601410855E-2</v>
      </c>
      <c r="F58" s="1085">
        <f>'C9-Tax Rates'!AS23/100</f>
        <v>4.5154800871533639E-2</v>
      </c>
      <c r="G58" s="1085">
        <f>('C9-Tax Rates'!BQ23+'C9-Tax Rates'!BI23)/100</f>
        <v>3.5911932315880774E-2</v>
      </c>
      <c r="H58" s="74"/>
      <c r="I58" s="1096">
        <f t="shared" si="3"/>
        <v>0.18323724114164081</v>
      </c>
      <c r="J58" s="1085">
        <f>'C9-Tax Rates'!R23/100</f>
        <v>5.8669812814354259E-2</v>
      </c>
      <c r="K58" s="1085">
        <f>'C9-Tax Rates'!Z23/100</f>
        <v>1.225009155633601E-2</v>
      </c>
      <c r="L58" s="1085">
        <f>'C9-Tax Rates'!AH23/100</f>
        <v>2.9120597292550697E-2</v>
      </c>
      <c r="M58" s="1085">
        <f>'C9-Tax Rates'!AP23/100</f>
        <v>2.724868657834971E-2</v>
      </c>
      <c r="N58" s="1085">
        <f>('C9-Tax Rates'!BN23+'C9-Tax Rates'!BF23)/100</f>
        <v>5.5948052900050109E-2</v>
      </c>
      <c r="O58" s="504"/>
      <c r="P58" s="1096">
        <f>B58+'F-5'!C56</f>
        <v>0.35351543103741395</v>
      </c>
      <c r="Q58" s="1090">
        <f>I58+'F-5'!F56</f>
        <v>0.24828066094350815</v>
      </c>
      <c r="R58" s="1090">
        <f>'F-B6'!Z51</f>
        <v>0.29533030519247094</v>
      </c>
      <c r="S58" s="1090">
        <f>'F-B5'!AG51</f>
        <v>0.17718173844847712</v>
      </c>
      <c r="T58" s="1090">
        <f>'F-B5'!AO51</f>
        <v>0.17528958662739033</v>
      </c>
      <c r="U58" s="504"/>
      <c r="V58" s="504"/>
      <c r="W58" s="504"/>
      <c r="X58" s="396"/>
      <c r="Y58" s="396"/>
      <c r="Z58" s="228"/>
      <c r="AA58" s="228"/>
      <c r="AB58" s="228"/>
      <c r="AC58" s="228"/>
      <c r="AD58" s="226"/>
      <c r="AE58" s="276"/>
      <c r="AF58" s="276"/>
      <c r="AG58" s="276"/>
      <c r="AH58" s="276"/>
      <c r="AI58" s="249"/>
    </row>
    <row r="59" spans="1:35" ht="12.75" customHeight="1" x14ac:dyDescent="0.3">
      <c r="A59" s="100">
        <v>1978</v>
      </c>
      <c r="B59" s="1096">
        <f t="shared" si="2"/>
        <v>0.33463202790810331</v>
      </c>
      <c r="C59" s="1085">
        <f>'C9-Tax Rates'!U24/100</f>
        <v>0.17092870011683292</v>
      </c>
      <c r="D59" s="1206">
        <f>'C9-Tax Rates'!AC24/100</f>
        <v>2.673512538678742E-2</v>
      </c>
      <c r="E59" s="1085">
        <f>'C9-Tax Rates'!AK24/100</f>
        <v>6.5455121544143902E-2</v>
      </c>
      <c r="F59" s="1085">
        <f>'C9-Tax Rates'!AS24/100</f>
        <v>3.981035241898509E-2</v>
      </c>
      <c r="G59" s="1085">
        <f>('C9-Tax Rates'!BQ24+'C9-Tax Rates'!BI24)/100</f>
        <v>3.1702728441354029E-2</v>
      </c>
      <c r="H59" s="74"/>
      <c r="I59" s="1096">
        <f t="shared" si="3"/>
        <v>0.18402336916905015</v>
      </c>
      <c r="J59" s="1085">
        <f>'C9-Tax Rates'!R24/100</f>
        <v>6.1957522348510922E-2</v>
      </c>
      <c r="K59" s="1085">
        <f>'C9-Tax Rates'!Z24/100</f>
        <v>1.2553793453640836E-2</v>
      </c>
      <c r="L59" s="1085">
        <f>'C9-Tax Rates'!AH24/100</f>
        <v>3.0044574032055626E-2</v>
      </c>
      <c r="M59" s="1085">
        <f>'C9-Tax Rates'!AP24/100</f>
        <v>2.4972603383801112E-2</v>
      </c>
      <c r="N59" s="1085">
        <f>('C9-Tax Rates'!BN24+'C9-Tax Rates'!BF24)/100</f>
        <v>5.449487595104166E-2</v>
      </c>
      <c r="O59" s="504"/>
      <c r="P59" s="1096">
        <f>B59+'F-5'!C57</f>
        <v>0.34396574883145853</v>
      </c>
      <c r="Q59" s="1090">
        <f>I59+'F-5'!F57</f>
        <v>0.25130047692531632</v>
      </c>
      <c r="R59" s="1090">
        <f>'F-B6'!Z52</f>
        <v>0.29726316761169225</v>
      </c>
      <c r="S59" s="1090">
        <f>'F-B5'!AG52</f>
        <v>0.18151754082351812</v>
      </c>
      <c r="T59" s="1090">
        <f>'F-B5'!AO52</f>
        <v>0.18001757501471413</v>
      </c>
      <c r="U59" s="504"/>
      <c r="V59" s="504"/>
      <c r="W59" s="504"/>
      <c r="X59" s="396"/>
      <c r="Y59" s="396"/>
      <c r="Z59" s="228"/>
      <c r="AA59" s="228"/>
      <c r="AB59" s="228"/>
      <c r="AC59" s="228"/>
      <c r="AD59" s="226"/>
      <c r="AE59" s="276"/>
      <c r="AF59" s="276"/>
      <c r="AG59" s="276"/>
      <c r="AH59" s="276"/>
      <c r="AI59" s="249"/>
    </row>
    <row r="60" spans="1:35" ht="12.75" customHeight="1" x14ac:dyDescent="0.3">
      <c r="A60" s="100">
        <v>1979</v>
      </c>
      <c r="B60" s="1096">
        <f t="shared" si="2"/>
        <v>0.35100597924521282</v>
      </c>
      <c r="C60" s="1085">
        <f>'C9-Tax Rates'!U25/100</f>
        <v>0.1935110292703518</v>
      </c>
      <c r="D60" s="1085">
        <f>'C9-Tax Rates'!AC25/100</f>
        <v>2.6685486910889962E-2</v>
      </c>
      <c r="E60" s="1085">
        <f>'C9-Tax Rates'!AK25/100</f>
        <v>6.3724327661925664E-2</v>
      </c>
      <c r="F60" s="1085">
        <f>'C9-Tax Rates'!AS25/100</f>
        <v>3.5966175279796772E-2</v>
      </c>
      <c r="G60" s="1085">
        <f>('C9-Tax Rates'!BQ25+'C9-Tax Rates'!BI25)/100</f>
        <v>3.1118960122248601E-2</v>
      </c>
      <c r="H60" s="74"/>
      <c r="I60" s="1096">
        <f t="shared" si="3"/>
        <v>0.18298356184539785</v>
      </c>
      <c r="J60" s="1085">
        <f>'C9-Tax Rates'!R25/100</f>
        <v>6.5590014448160483E-2</v>
      </c>
      <c r="K60" s="1085">
        <f>'C9-Tax Rates'!Z25/100</f>
        <v>1.2227597714912193E-2</v>
      </c>
      <c r="L60" s="1085">
        <f>'C9-Tax Rates'!AH25/100</f>
        <v>2.7967955196264827E-2</v>
      </c>
      <c r="M60" s="1085">
        <f>'C9-Tax Rates'!AP25/100</f>
        <v>2.2726622471292049E-2</v>
      </c>
      <c r="N60" s="1085">
        <f>('C9-Tax Rates'!BN25+'C9-Tax Rates'!BF25)/100</f>
        <v>5.4471372014768295E-2</v>
      </c>
      <c r="O60" s="504"/>
      <c r="P60" s="1096">
        <f>B60+'F-5'!C58</f>
        <v>0.36153666991007133</v>
      </c>
      <c r="Q60" s="1090">
        <f>I60+'F-5'!F58</f>
        <v>0.25287615300708383</v>
      </c>
      <c r="R60" s="1090">
        <f>'F-B6'!Z53</f>
        <v>0.29998677733496082</v>
      </c>
      <c r="S60" s="1090">
        <f>'F-B5'!AG53</f>
        <v>0.18022614253028357</v>
      </c>
      <c r="T60" s="1090">
        <f>'F-B5'!AO53</f>
        <v>0.17893602145435802</v>
      </c>
      <c r="U60" s="504"/>
      <c r="V60" s="504"/>
      <c r="W60" s="504"/>
      <c r="X60" s="396"/>
      <c r="Y60" s="396"/>
      <c r="Z60" s="228"/>
      <c r="AA60" s="228"/>
      <c r="AB60" s="228"/>
      <c r="AC60" s="228"/>
      <c r="AD60" s="226"/>
      <c r="AE60" s="276"/>
      <c r="AF60" s="276"/>
      <c r="AG60" s="276"/>
      <c r="AH60" s="276"/>
      <c r="AI60" s="249"/>
    </row>
    <row r="61" spans="1:35" ht="12.75" customHeight="1" x14ac:dyDescent="0.3">
      <c r="A61" s="100">
        <v>1980</v>
      </c>
      <c r="B61" s="1096">
        <f t="shared" si="2"/>
        <v>0.36033533349390751</v>
      </c>
      <c r="C61" s="1085">
        <f>'C9-Tax Rates'!U26/100</f>
        <v>0.19999652680173041</v>
      </c>
      <c r="D61" s="1085">
        <f>'C9-Tax Rates'!AC26/100</f>
        <v>2.9267072806658034E-2</v>
      </c>
      <c r="E61" s="1085">
        <f>'C9-Tax Rates'!AK26/100</f>
        <v>5.8714797310779811E-2</v>
      </c>
      <c r="F61" s="1085">
        <f>'C9-Tax Rates'!AS26/100</f>
        <v>3.7546875799724211E-2</v>
      </c>
      <c r="G61" s="1085">
        <f>('C9-Tax Rates'!BQ26+'C9-Tax Rates'!BI26)/100</f>
        <v>3.4810060775015035E-2</v>
      </c>
      <c r="H61" s="74"/>
      <c r="I61" s="1096">
        <f t="shared" si="3"/>
        <v>0.18109242996062463</v>
      </c>
      <c r="J61" s="1085">
        <f>'C9-Tax Rates'!R26/100</f>
        <v>6.7018719504798915E-2</v>
      </c>
      <c r="K61" s="1085">
        <f>'C9-Tax Rates'!Z26/100</f>
        <v>1.2214150589113588E-2</v>
      </c>
      <c r="L61" s="1085">
        <f>'C9-Tax Rates'!AH26/100</f>
        <v>2.3463064369482561E-2</v>
      </c>
      <c r="M61" s="1085">
        <f>'C9-Tax Rates'!AP26/100</f>
        <v>2.2222385053041988E-2</v>
      </c>
      <c r="N61" s="1085">
        <f>('C9-Tax Rates'!BN26+'C9-Tax Rates'!BF26)/100</f>
        <v>5.6174110444187589E-2</v>
      </c>
      <c r="O61" s="504"/>
      <c r="P61" s="1096">
        <f>B61+'F-5'!C59</f>
        <v>0.37194888124762193</v>
      </c>
      <c r="Q61" s="1090">
        <f>I61+'F-5'!F59</f>
        <v>0.24976743013723798</v>
      </c>
      <c r="R61" s="1090">
        <f>'F-B6'!Z54</f>
        <v>0.29931398527927278</v>
      </c>
      <c r="S61" s="1090">
        <f>'F-B5'!AG54</f>
        <v>0.17261826438339942</v>
      </c>
      <c r="T61" s="1090">
        <f>'F-B5'!AO54</f>
        <v>0.17039047427487247</v>
      </c>
      <c r="U61" s="504"/>
      <c r="V61" s="504"/>
      <c r="W61" s="504"/>
      <c r="X61" s="396"/>
      <c r="Y61" s="396"/>
      <c r="Z61" s="228"/>
      <c r="AA61" s="228"/>
      <c r="AB61" s="228"/>
      <c r="AC61" s="228"/>
      <c r="AD61" s="226"/>
      <c r="AE61" s="276"/>
      <c r="AF61" s="276"/>
      <c r="AG61" s="276"/>
      <c r="AH61" s="276"/>
      <c r="AI61" s="249"/>
    </row>
    <row r="62" spans="1:35" ht="12.75" customHeight="1" x14ac:dyDescent="0.3">
      <c r="A62" s="100">
        <v>1981</v>
      </c>
      <c r="B62" s="1096">
        <f t="shared" si="2"/>
        <v>0.34590169957599631</v>
      </c>
      <c r="C62" s="1085">
        <f>'C9-Tax Rates'!U27/100</f>
        <v>0.198648451666328</v>
      </c>
      <c r="D62" s="1085">
        <f>'C9-Tax Rates'!AC27/100</f>
        <v>3.0345860187267804E-2</v>
      </c>
      <c r="E62" s="1085">
        <f>'C9-Tax Rates'!AK27/100</f>
        <v>4.2666458212421633E-2</v>
      </c>
      <c r="F62" s="1085">
        <f>'C9-Tax Rates'!AS27/100</f>
        <v>3.6739239644007285E-2</v>
      </c>
      <c r="G62" s="1085">
        <f>('C9-Tax Rates'!BQ27+'C9-Tax Rates'!BI27)/100</f>
        <v>3.7501689865971591E-2</v>
      </c>
      <c r="H62" s="74"/>
      <c r="I62" s="1096">
        <f t="shared" si="3"/>
        <v>0.18555098415877919</v>
      </c>
      <c r="J62" s="1085">
        <f>'C9-Tax Rates'!R27/100</f>
        <v>7.0862930884119935E-2</v>
      </c>
      <c r="K62" s="1085">
        <f>'C9-Tax Rates'!Z27/100</f>
        <v>1.2237620087703851E-2</v>
      </c>
      <c r="L62" s="1085">
        <f>'C9-Tax Rates'!AH27/100</f>
        <v>2.0255758532537957E-2</v>
      </c>
      <c r="M62" s="1085">
        <f>'C9-Tax Rates'!AP27/100</f>
        <v>2.2234275032437089E-2</v>
      </c>
      <c r="N62" s="1085">
        <f>('C9-Tax Rates'!BN27+'C9-Tax Rates'!BF27)/100</f>
        <v>5.996039962198034E-2</v>
      </c>
      <c r="O62" s="504"/>
      <c r="P62" s="1096">
        <f>B62+'F-5'!C60</f>
        <v>0.35922526693149109</v>
      </c>
      <c r="Q62" s="1090">
        <f>I62+'F-5'!F60</f>
        <v>0.25688711115901969</v>
      </c>
      <c r="R62" s="1090">
        <f>'F-B6'!Z55</f>
        <v>0.30854272894877122</v>
      </c>
      <c r="S62" s="1090">
        <f>'F-B5'!AG55</f>
        <v>0.17567359302824934</v>
      </c>
      <c r="T62" s="1090">
        <f>'F-B5'!AO55</f>
        <v>0.17374234276978739</v>
      </c>
      <c r="U62" s="504"/>
      <c r="V62" s="504"/>
      <c r="W62" s="504"/>
      <c r="X62" s="396"/>
      <c r="Y62" s="396"/>
      <c r="Z62" s="228"/>
      <c r="AA62" s="228"/>
      <c r="AB62" s="228"/>
      <c r="AC62" s="228"/>
      <c r="AD62" s="226"/>
      <c r="AE62" s="276"/>
      <c r="AF62" s="276"/>
      <c r="AG62" s="276"/>
      <c r="AH62" s="276"/>
      <c r="AI62" s="249"/>
    </row>
    <row r="63" spans="1:35" ht="12.75" customHeight="1" x14ac:dyDescent="0.3">
      <c r="A63" s="100">
        <v>1982</v>
      </c>
      <c r="B63" s="1096">
        <f t="shared" si="2"/>
        <v>0.34413170680641869</v>
      </c>
      <c r="C63" s="1085">
        <f>'C9-Tax Rates'!U28/100</f>
        <v>0.20807875183709096</v>
      </c>
      <c r="D63" s="1085">
        <f>'C9-Tax Rates'!AC28/100</f>
        <v>3.1621209688447997E-2</v>
      </c>
      <c r="E63" s="1085">
        <f>'C9-Tax Rates'!AK28/100</f>
        <v>2.9269691154915359E-2</v>
      </c>
      <c r="F63" s="1085">
        <f>'C9-Tax Rates'!AS28/100</f>
        <v>3.7649351081031762E-2</v>
      </c>
      <c r="G63" s="1085">
        <f>('C9-Tax Rates'!BQ28+'C9-Tax Rates'!BI28)/100</f>
        <v>3.7512703044932615E-2</v>
      </c>
      <c r="H63" s="74"/>
      <c r="I63" s="1096">
        <f t="shared" si="3"/>
        <v>0.17258480880218766</v>
      </c>
      <c r="J63" s="1085">
        <f>'C9-Tax Rates'!R28/100</f>
        <v>6.686817601184758E-2</v>
      </c>
      <c r="K63" s="1085">
        <f>'C9-Tax Rates'!Z28/100</f>
        <v>1.2292389183086944E-2</v>
      </c>
      <c r="L63" s="1085">
        <f>'C9-Tax Rates'!AH28/100</f>
        <v>1.4103112277772485E-2</v>
      </c>
      <c r="M63" s="1085">
        <f>'C9-Tax Rates'!AP28/100</f>
        <v>2.3937962039394214E-2</v>
      </c>
      <c r="N63" s="1085">
        <f>('C9-Tax Rates'!BN28+'C9-Tax Rates'!BF28)/100</f>
        <v>5.5383169290086416E-2</v>
      </c>
      <c r="O63" s="504"/>
      <c r="P63" s="1096">
        <f>B63+'F-5'!C61</f>
        <v>0.35869362928493648</v>
      </c>
      <c r="Q63" s="1090">
        <f>I63+'F-5'!F61</f>
        <v>0.24405013143600041</v>
      </c>
      <c r="R63" s="1090">
        <f>'F-B6'!Z56</f>
        <v>0.29573256534643499</v>
      </c>
      <c r="S63" s="1090">
        <f>'F-B5'!AG56</f>
        <v>0.1620901511223567</v>
      </c>
      <c r="T63" s="1090">
        <f>'F-B5'!AO56</f>
        <v>0.16030368816239304</v>
      </c>
      <c r="U63" s="504"/>
      <c r="V63" s="504"/>
      <c r="W63" s="504"/>
      <c r="X63" s="396"/>
      <c r="Y63" s="396"/>
      <c r="Z63" s="228"/>
      <c r="AA63" s="228"/>
      <c r="AB63" s="228"/>
      <c r="AC63" s="228"/>
      <c r="AD63" s="226"/>
      <c r="AE63" s="276"/>
      <c r="AF63" s="276"/>
      <c r="AG63" s="276"/>
      <c r="AH63" s="276"/>
      <c r="AI63" s="249"/>
    </row>
    <row r="64" spans="1:35" ht="12.75" customHeight="1" x14ac:dyDescent="0.3">
      <c r="A64" s="100">
        <v>1983</v>
      </c>
      <c r="B64" s="1096">
        <f t="shared" si="2"/>
        <v>0.33683988012401883</v>
      </c>
      <c r="C64" s="1085">
        <f>'C9-Tax Rates'!U29/100</f>
        <v>0.19889624371494782</v>
      </c>
      <c r="D64" s="1085">
        <f>'C9-Tax Rates'!AC29/100</f>
        <v>3.3335013205235416E-2</v>
      </c>
      <c r="E64" s="1085">
        <f>'C9-Tax Rates'!AK29/100</f>
        <v>3.334162335291236E-2</v>
      </c>
      <c r="F64" s="1085">
        <f>'C9-Tax Rates'!AS29/100</f>
        <v>3.6643727150117211E-2</v>
      </c>
      <c r="G64" s="1085">
        <f>('C9-Tax Rates'!BQ29+'C9-Tax Rates'!BI29)/100</f>
        <v>3.4623272700806028E-2</v>
      </c>
      <c r="H64" s="74"/>
      <c r="I64" s="1096">
        <f t="shared" si="3"/>
        <v>0.16752133922614576</v>
      </c>
      <c r="J64" s="1085">
        <f>'C9-Tax Rates'!R29/100</f>
        <v>5.8750492966637549E-2</v>
      </c>
      <c r="K64" s="1085">
        <f>'C9-Tax Rates'!Z29/100</f>
        <v>1.2738257655241827E-2</v>
      </c>
      <c r="L64" s="1085">
        <f>'C9-Tax Rates'!AH29/100</f>
        <v>1.7130695385868155E-2</v>
      </c>
      <c r="M64" s="1085">
        <f>'C9-Tax Rates'!AP29/100</f>
        <v>2.4219806648322673E-2</v>
      </c>
      <c r="N64" s="1085">
        <f>('C9-Tax Rates'!BN29+'C9-Tax Rates'!BF29)/100</f>
        <v>5.4682086570075575E-2</v>
      </c>
      <c r="O64" s="504"/>
      <c r="P64" s="1096">
        <f>B64+'F-5'!C62</f>
        <v>0.35166695130179282</v>
      </c>
      <c r="Q64" s="1090">
        <f>I64+'F-5'!F62</f>
        <v>0.23892812083363069</v>
      </c>
      <c r="R64" s="1090">
        <f>'F-B6'!Z57</f>
        <v>0.28706142549173252</v>
      </c>
      <c r="S64" s="1090">
        <f>'F-B5'!AG57</f>
        <v>0.16075511780883495</v>
      </c>
      <c r="T64" s="1090">
        <f>'F-B5'!AO57</f>
        <v>0.15912886065393125</v>
      </c>
      <c r="U64" s="504"/>
      <c r="V64" s="504"/>
      <c r="W64" s="504"/>
      <c r="X64" s="396"/>
      <c r="Y64" s="396"/>
      <c r="Z64" s="228"/>
      <c r="AA64" s="228"/>
      <c r="AB64" s="228"/>
      <c r="AC64" s="228"/>
      <c r="AD64" s="226"/>
      <c r="AE64" s="276"/>
      <c r="AF64" s="276"/>
      <c r="AG64" s="276"/>
      <c r="AH64" s="276"/>
      <c r="AI64" s="249"/>
    </row>
    <row r="65" spans="1:35" ht="12.75" customHeight="1" x14ac:dyDescent="0.3">
      <c r="A65" s="100">
        <v>1984</v>
      </c>
      <c r="B65" s="1096">
        <f t="shared" si="2"/>
        <v>0.3248094779098824</v>
      </c>
      <c r="C65" s="1085">
        <f>'C9-Tax Rates'!U30/100</f>
        <v>0.18960621479659348</v>
      </c>
      <c r="D65" s="1085">
        <f>'C9-Tax Rates'!AC30/100</f>
        <v>3.5480552339219276E-2</v>
      </c>
      <c r="E65" s="1085">
        <f>'C9-Tax Rates'!AK30/100</f>
        <v>3.2168209755689077E-2</v>
      </c>
      <c r="F65" s="1085">
        <f>'C9-Tax Rates'!AS30/100</f>
        <v>3.3293435632016088E-2</v>
      </c>
      <c r="G65" s="1085">
        <f>('C9-Tax Rates'!BQ30+'C9-Tax Rates'!BI30)/100</f>
        <v>3.4261065386364475E-2</v>
      </c>
      <c r="H65" s="74"/>
      <c r="I65" s="1096">
        <f t="shared" si="3"/>
        <v>0.16853837790722598</v>
      </c>
      <c r="J65" s="1085">
        <f>'C9-Tax Rates'!R30/100</f>
        <v>5.5258860013827349E-2</v>
      </c>
      <c r="K65" s="1085">
        <f>'C9-Tax Rates'!Z30/100</f>
        <v>1.3184746826523546E-2</v>
      </c>
      <c r="L65" s="1085">
        <f>'C9-Tax Rates'!AH30/100</f>
        <v>1.9503208001561342E-2</v>
      </c>
      <c r="M65" s="1085">
        <f>'C9-Tax Rates'!AP30/100</f>
        <v>2.4001063112263635E-2</v>
      </c>
      <c r="N65" s="1085">
        <f>('C9-Tax Rates'!BN30+'C9-Tax Rates'!BF30)/100</f>
        <v>5.6590499953050127E-2</v>
      </c>
      <c r="O65" s="504"/>
      <c r="P65" s="1096">
        <f>B65+'F-5'!C63</f>
        <v>0.33858537518649834</v>
      </c>
      <c r="Q65" s="1090">
        <f>I65+'F-5'!F63</f>
        <v>0.24274230463041008</v>
      </c>
      <c r="R65" s="1090">
        <f>'F-B6'!Z58</f>
        <v>0.28648205757435968</v>
      </c>
      <c r="S65" s="1090">
        <f>'F-B5'!AG58</f>
        <v>0.17045050074664181</v>
      </c>
      <c r="T65" s="1090">
        <f>'F-B5'!AO58</f>
        <v>0.16904827624305382</v>
      </c>
      <c r="U65" s="504"/>
      <c r="V65" s="504"/>
      <c r="W65" s="504"/>
      <c r="X65" s="396"/>
      <c r="Y65" s="396"/>
      <c r="Z65" s="228"/>
      <c r="AA65" s="228"/>
      <c r="AB65" s="228"/>
      <c r="AC65" s="228"/>
      <c r="AD65" s="226"/>
      <c r="AE65" s="276"/>
      <c r="AF65" s="276"/>
      <c r="AG65" s="276"/>
      <c r="AH65" s="276"/>
      <c r="AI65" s="249"/>
    </row>
    <row r="66" spans="1:35" ht="12.75" customHeight="1" x14ac:dyDescent="0.3">
      <c r="A66" s="100">
        <v>1985</v>
      </c>
      <c r="B66" s="1096">
        <f t="shared" si="2"/>
        <v>0.34331226380441371</v>
      </c>
      <c r="C66" s="1085">
        <f>'C9-Tax Rates'!U31/100</f>
        <v>0.20506562307040013</v>
      </c>
      <c r="D66" s="1085">
        <f>'C9-Tax Rates'!AC31/100</f>
        <v>3.9127515896188229E-2</v>
      </c>
      <c r="E66" s="1085">
        <f>'C9-Tax Rates'!AK31/100</f>
        <v>3.0321942685235595E-2</v>
      </c>
      <c r="F66" s="1085">
        <f>'C9-Tax Rates'!AS31/100</f>
        <v>3.4424978848706912E-2</v>
      </c>
      <c r="G66" s="1085">
        <f>('C9-Tax Rates'!BQ31+'C9-Tax Rates'!BI31)/100</f>
        <v>3.4372203303882784E-2</v>
      </c>
      <c r="H66" s="74"/>
      <c r="I66" s="1096">
        <f t="shared" si="3"/>
        <v>0.16837933015927814</v>
      </c>
      <c r="J66" s="1085">
        <f>'C9-Tax Rates'!R31/100</f>
        <v>5.6459629954942817E-2</v>
      </c>
      <c r="K66" s="1085">
        <f>'C9-Tax Rates'!Z31/100</f>
        <v>1.2373829935945047E-2</v>
      </c>
      <c r="L66" s="1085">
        <f>'C9-Tax Rates'!AH31/100</f>
        <v>1.8196982083941549E-2</v>
      </c>
      <c r="M66" s="1085">
        <f>'C9-Tax Rates'!AP31/100</f>
        <v>2.4215317044489742E-2</v>
      </c>
      <c r="N66" s="1085">
        <f>('C9-Tax Rates'!BN31+'C9-Tax Rates'!BF31)/100</f>
        <v>5.7133571139958976E-2</v>
      </c>
      <c r="O66" s="504"/>
      <c r="P66" s="1096">
        <f>B66+'F-5'!C64</f>
        <v>0.35763564128340225</v>
      </c>
      <c r="Q66" s="1090">
        <f>I66+'F-5'!F64</f>
        <v>0.24458762248040911</v>
      </c>
      <c r="R66" s="1090">
        <f>'F-B6'!Z59</f>
        <v>0.28858023651757464</v>
      </c>
      <c r="S66" s="1090">
        <f>'F-B5'!AG59</f>
        <v>0.17241479860814524</v>
      </c>
      <c r="T66" s="1090">
        <f>'F-B5'!AO59</f>
        <v>0.17120218531512746</v>
      </c>
      <c r="U66" s="504"/>
      <c r="V66" s="504"/>
      <c r="W66" s="504"/>
      <c r="X66" s="396"/>
      <c r="Y66" s="396"/>
      <c r="Z66" s="228"/>
      <c r="AA66" s="228"/>
      <c r="AB66" s="228"/>
      <c r="AC66" s="228"/>
      <c r="AD66" s="226"/>
      <c r="AE66" s="276"/>
      <c r="AF66" s="276"/>
      <c r="AG66" s="276"/>
      <c r="AH66" s="276"/>
      <c r="AI66" s="249"/>
    </row>
    <row r="67" spans="1:35" ht="12.75" customHeight="1" x14ac:dyDescent="0.3">
      <c r="A67" s="100">
        <v>1986</v>
      </c>
      <c r="B67" s="1096">
        <f t="shared" si="2"/>
        <v>0.38352041033620088</v>
      </c>
      <c r="C67" s="1085">
        <f>'C9-Tax Rates'!U32/100</f>
        <v>0.23487075840260713</v>
      </c>
      <c r="D67" s="1085">
        <f>'C9-Tax Rates'!AC32/100</f>
        <v>4.4440140472839257E-2</v>
      </c>
      <c r="E67" s="1085">
        <f>'C9-Tax Rates'!AK32/100</f>
        <v>3.3958288260906973E-2</v>
      </c>
      <c r="F67" s="1085">
        <f>'C9-Tax Rates'!AS32/100</f>
        <v>3.6387720122771069E-2</v>
      </c>
      <c r="G67" s="1085">
        <f>('C9-Tax Rates'!BQ32+'C9-Tax Rates'!BI32)/100</f>
        <v>3.3863503077076487E-2</v>
      </c>
      <c r="H67" s="74"/>
      <c r="I67" s="1096">
        <f t="shared" si="3"/>
        <v>0.16613070667457389</v>
      </c>
      <c r="J67" s="1085">
        <f>'C9-Tax Rates'!R32/100</f>
        <v>5.3468213858664265E-2</v>
      </c>
      <c r="K67" s="1085">
        <f>'C9-Tax Rates'!Z32/100</f>
        <v>1.2292043019384176E-2</v>
      </c>
      <c r="L67" s="1085">
        <f>'C9-Tax Rates'!AH32/100</f>
        <v>1.9504216047411517E-2</v>
      </c>
      <c r="M67" s="1085">
        <f>'C9-Tax Rates'!AP32/100</f>
        <v>2.4898064358761428E-2</v>
      </c>
      <c r="N67" s="1085">
        <f>('C9-Tax Rates'!BN32+'C9-Tax Rates'!BF32)/100</f>
        <v>5.5968169390352485E-2</v>
      </c>
      <c r="O67" s="504"/>
      <c r="P67" s="1096">
        <f>B67+'F-5'!C65</f>
        <v>0.39959560314712395</v>
      </c>
      <c r="Q67" s="1090">
        <f>I67+'F-5'!F65</f>
        <v>0.24345393632280399</v>
      </c>
      <c r="R67" s="1090">
        <f>'F-B6'!Z60</f>
        <v>0.28721531560488611</v>
      </c>
      <c r="S67" s="1090">
        <f>'F-B5'!AG60</f>
        <v>0.17103696920723083</v>
      </c>
      <c r="T67" s="1090">
        <f>'F-B5'!AO60</f>
        <v>0.16955280170427181</v>
      </c>
      <c r="U67" s="504"/>
      <c r="V67" s="504"/>
      <c r="W67" s="504"/>
      <c r="X67" s="396"/>
      <c r="Y67" s="396"/>
      <c r="Z67" s="355"/>
      <c r="AA67" s="228"/>
      <c r="AB67" s="228"/>
      <c r="AC67" s="228"/>
      <c r="AD67" s="226"/>
      <c r="AE67" s="276"/>
      <c r="AF67" s="276"/>
      <c r="AG67" s="276"/>
      <c r="AH67" s="276"/>
      <c r="AI67" s="249"/>
    </row>
    <row r="68" spans="1:35" ht="12.75" customHeight="1" x14ac:dyDescent="0.3">
      <c r="A68" s="100">
        <v>1987</v>
      </c>
      <c r="B68" s="1096">
        <f t="shared" si="2"/>
        <v>0.37819656775827754</v>
      </c>
      <c r="C68" s="1085">
        <f>'C9-Tax Rates'!U33/100</f>
        <v>0.22703236548111458</v>
      </c>
      <c r="D68" s="1085">
        <f>'C9-Tax Rates'!AC33/100</f>
        <v>4.734782156999548E-2</v>
      </c>
      <c r="E68" s="1085">
        <f>'C9-Tax Rates'!AK33/100</f>
        <v>3.3400524711213873E-2</v>
      </c>
      <c r="F68" s="1085">
        <f>'C9-Tax Rates'!AS33/100</f>
        <v>3.4283734555686354E-2</v>
      </c>
      <c r="G68" s="1085">
        <f>('C9-Tax Rates'!BQ33+'C9-Tax Rates'!BI33)/100</f>
        <v>3.6132121440267263E-2</v>
      </c>
      <c r="H68" s="74"/>
      <c r="I68" s="1096">
        <f t="shared" si="3"/>
        <v>0.1702302685783175</v>
      </c>
      <c r="J68" s="1085">
        <f>'C9-Tax Rates'!R33/100</f>
        <v>5.5177096940981558E-2</v>
      </c>
      <c r="K68" s="1085">
        <f>'C9-Tax Rates'!Z33/100</f>
        <v>1.2694666079103618E-2</v>
      </c>
      <c r="L68" s="1085">
        <f>'C9-Tax Rates'!AH33/100</f>
        <v>2.3164426963480592E-2</v>
      </c>
      <c r="M68" s="1085">
        <f>'C9-Tax Rates'!AP33/100</f>
        <v>2.5569981871375644E-2</v>
      </c>
      <c r="N68" s="1085">
        <f>('C9-Tax Rates'!BN33+'C9-Tax Rates'!BF33)/100</f>
        <v>5.3624096723376091E-2</v>
      </c>
      <c r="O68" s="504"/>
      <c r="P68" s="1096">
        <f>B68+'F-5'!C66</f>
        <v>0.39331736346740398</v>
      </c>
      <c r="Q68" s="1090">
        <f>I68+'F-5'!F66</f>
        <v>0.24769156102373793</v>
      </c>
      <c r="R68" s="1090">
        <f>'F-B6'!Z61</f>
        <v>0.29172143075078377</v>
      </c>
      <c r="S68" s="1090">
        <f>'F-B5'!AG61</f>
        <v>0.17474177077096448</v>
      </c>
      <c r="T68" s="1090">
        <f>'F-B5'!AO61</f>
        <v>0.17340275359435686</v>
      </c>
      <c r="U68" s="504"/>
      <c r="V68" s="504"/>
      <c r="W68" s="504"/>
      <c r="X68" s="396"/>
      <c r="Y68" s="396"/>
      <c r="Z68" s="228"/>
      <c r="AA68" s="228"/>
      <c r="AB68" s="228"/>
      <c r="AC68" s="228"/>
      <c r="AD68" s="226"/>
      <c r="AE68" s="276"/>
      <c r="AF68" s="276"/>
      <c r="AG68" s="276"/>
      <c r="AH68" s="276"/>
      <c r="AI68" s="249"/>
    </row>
    <row r="69" spans="1:35" ht="12.75" customHeight="1" x14ac:dyDescent="0.3">
      <c r="A69" s="100">
        <v>1988</v>
      </c>
      <c r="B69" s="1096">
        <f t="shared" si="2"/>
        <v>0.34452512889177739</v>
      </c>
      <c r="C69" s="1085">
        <f>'C9-Tax Rates'!U34/100</f>
        <v>0.20135952415482972</v>
      </c>
      <c r="D69" s="1085">
        <f>'C9-Tax Rates'!AC34/100</f>
        <v>4.0687093760986767E-2</v>
      </c>
      <c r="E69" s="1085">
        <f>'C9-Tax Rates'!AK34/100</f>
        <v>3.3366698744517066E-2</v>
      </c>
      <c r="F69" s="1085">
        <f>'C9-Tax Rates'!AS34/100</f>
        <v>3.2791048708124389E-2</v>
      </c>
      <c r="G69" s="1085">
        <f>('C9-Tax Rates'!BQ34+'C9-Tax Rates'!BI34)/100</f>
        <v>3.6320763523319435E-2</v>
      </c>
      <c r="H69" s="74"/>
      <c r="I69" s="1096">
        <f t="shared" si="3"/>
        <v>0.16590504375230603</v>
      </c>
      <c r="J69" s="1085">
        <f>'C9-Tax Rates'!R34/100</f>
        <v>5.1634307698558569E-2</v>
      </c>
      <c r="K69" s="1085">
        <f>'C9-Tax Rates'!Z34/100</f>
        <v>1.2485070462440745E-2</v>
      </c>
      <c r="L69" s="1085">
        <f>'C9-Tax Rates'!AH34/100</f>
        <v>2.3406629850067199E-2</v>
      </c>
      <c r="M69" s="1085">
        <f>'C9-Tax Rates'!AP34/100</f>
        <v>2.5175327249990113E-2</v>
      </c>
      <c r="N69" s="1085">
        <f>('C9-Tax Rates'!BN34+'C9-Tax Rates'!BF34)/100</f>
        <v>5.3203708491249405E-2</v>
      </c>
      <c r="O69" s="504"/>
      <c r="P69" s="1096">
        <f>B69+'F-5'!C67</f>
        <v>0.35787559410577335</v>
      </c>
      <c r="Q69" s="1090">
        <f>I69+'F-5'!F67</f>
        <v>0.24714098870366441</v>
      </c>
      <c r="R69" s="1090">
        <f>'F-B6'!Z62</f>
        <v>0.29066805146664187</v>
      </c>
      <c r="S69" s="1090">
        <f>'F-B5'!AG62</f>
        <v>0.17480591108100624</v>
      </c>
      <c r="T69" s="1090">
        <f>'F-B5'!AO62</f>
        <v>0.17238116642201193</v>
      </c>
      <c r="U69" s="504"/>
      <c r="V69" s="504"/>
      <c r="W69" s="504"/>
      <c r="X69" s="396"/>
      <c r="Y69" s="396"/>
      <c r="Z69" s="228"/>
      <c r="AA69" s="228"/>
      <c r="AB69" s="228"/>
      <c r="AC69" s="228"/>
      <c r="AD69" s="226"/>
      <c r="AE69" s="276"/>
      <c r="AF69" s="276"/>
      <c r="AG69" s="276"/>
      <c r="AH69" s="276"/>
      <c r="AI69" s="249"/>
    </row>
    <row r="70" spans="1:35" ht="12.75" customHeight="1" x14ac:dyDescent="0.3">
      <c r="A70" s="100">
        <v>1989</v>
      </c>
      <c r="B70" s="1096">
        <f t="shared" si="2"/>
        <v>0.35364389393865459</v>
      </c>
      <c r="C70" s="1085">
        <f>'C9-Tax Rates'!U35/100</f>
        <v>0.20423433158029813</v>
      </c>
      <c r="D70" s="1085">
        <f>'C9-Tax Rates'!AC35/100</f>
        <v>4.3441937674448629E-2</v>
      </c>
      <c r="E70" s="1085">
        <f>'C9-Tax Rates'!AK35/100</f>
        <v>3.2706481529453928E-2</v>
      </c>
      <c r="F70" s="1085">
        <f>'C9-Tax Rates'!AS35/100</f>
        <v>3.5406759146795981E-2</v>
      </c>
      <c r="G70" s="1085">
        <f>('C9-Tax Rates'!BQ35+'C9-Tax Rates'!BI35)/100</f>
        <v>3.7854384007657969E-2</v>
      </c>
      <c r="H70" s="74"/>
      <c r="I70" s="1096">
        <f t="shared" si="3"/>
        <v>0.17024068585940244</v>
      </c>
      <c r="J70" s="1085">
        <f>'C9-Tax Rates'!R35/100</f>
        <v>5.5582194016962433E-2</v>
      </c>
      <c r="K70" s="1085">
        <f>'C9-Tax Rates'!Z35/100</f>
        <v>1.3449391748262197E-2</v>
      </c>
      <c r="L70" s="1085">
        <f>'C9-Tax Rates'!AH35/100</f>
        <v>2.1811540561511977E-2</v>
      </c>
      <c r="M70" s="1085">
        <f>'C9-Tax Rates'!AP35/100</f>
        <v>2.5849160326335014E-2</v>
      </c>
      <c r="N70" s="1085">
        <f>('C9-Tax Rates'!BN35+'C9-Tax Rates'!BF35)/100</f>
        <v>5.3548399206330817E-2</v>
      </c>
      <c r="O70" s="504"/>
      <c r="P70" s="1096">
        <f>B70+'F-5'!C68</f>
        <v>0.36761583876663845</v>
      </c>
      <c r="Q70" s="1090">
        <f>I70+'F-5'!F68</f>
        <v>0.25020352137524332</v>
      </c>
      <c r="R70" s="1090">
        <f>'F-B6'!Z63</f>
        <v>0.29491603951772744</v>
      </c>
      <c r="S70" s="1090">
        <f>'F-B5'!AG63</f>
        <v>0.17588861653645649</v>
      </c>
      <c r="T70" s="1090">
        <f>'F-B5'!AO63</f>
        <v>0.17244484555637021</v>
      </c>
      <c r="U70" s="504"/>
      <c r="V70" s="504"/>
      <c r="W70" s="504"/>
      <c r="X70" s="396"/>
      <c r="Y70" s="396"/>
      <c r="Z70" s="228"/>
      <c r="AA70" s="228"/>
      <c r="AB70" s="228"/>
      <c r="AC70" s="228"/>
      <c r="AD70" s="226"/>
      <c r="AE70" s="276"/>
      <c r="AF70" s="276"/>
      <c r="AG70" s="276"/>
      <c r="AH70" s="276"/>
      <c r="AI70" s="249"/>
    </row>
    <row r="71" spans="1:35" ht="12.75" customHeight="1" x14ac:dyDescent="0.3">
      <c r="A71" s="100">
        <v>1990</v>
      </c>
      <c r="B71" s="1096">
        <f t="shared" si="2"/>
        <v>0.34695483388080511</v>
      </c>
      <c r="C71" s="1085">
        <f>'C9-Tax Rates'!U36/100</f>
        <v>0.19956064874174756</v>
      </c>
      <c r="D71" s="1085">
        <f>'C9-Tax Rates'!AC36/100</f>
        <v>4.1970990321566287E-2</v>
      </c>
      <c r="E71" s="1085">
        <f>'C9-Tax Rates'!AK36/100</f>
        <v>2.9368491437559045E-2</v>
      </c>
      <c r="F71" s="1085">
        <f>'C9-Tax Rates'!AS36/100</f>
        <v>3.5963204881468397E-2</v>
      </c>
      <c r="G71" s="1085">
        <f>('C9-Tax Rates'!BQ36+'C9-Tax Rates'!BI36)/100</f>
        <v>4.009149849846376E-2</v>
      </c>
      <c r="H71" s="74"/>
      <c r="I71" s="1096">
        <f t="shared" si="3"/>
        <v>0.16858608499620159</v>
      </c>
      <c r="J71" s="1085">
        <f>'C9-Tax Rates'!R36/100</f>
        <v>5.5463640114681828E-2</v>
      </c>
      <c r="K71" s="1085">
        <f>'C9-Tax Rates'!Z36/100</f>
        <v>1.4036951619068833E-2</v>
      </c>
      <c r="L71" s="1085">
        <f>'C9-Tax Rates'!AH36/100</f>
        <v>1.9241501630451331E-2</v>
      </c>
      <c r="M71" s="1085">
        <f>'C9-Tax Rates'!AP36/100</f>
        <v>2.5801740918556634E-2</v>
      </c>
      <c r="N71" s="1085">
        <f>('C9-Tax Rates'!BN36+'C9-Tax Rates'!BF36)/100</f>
        <v>5.4042250713442951E-2</v>
      </c>
      <c r="O71" s="504"/>
      <c r="P71" s="1096">
        <f>B71+'F-5'!C69</f>
        <v>0.36114421715151762</v>
      </c>
      <c r="Q71" s="1090">
        <f>I71+'F-5'!F69</f>
        <v>0.25057507760180847</v>
      </c>
      <c r="R71" s="1090">
        <f>'F-B6'!Z64</f>
        <v>0.29588512417201202</v>
      </c>
      <c r="S71" s="1090">
        <f>'F-B5'!AG64</f>
        <v>0.175356261940533</v>
      </c>
      <c r="T71" s="1090">
        <f>'F-B5'!AO64</f>
        <v>0.17169609569580405</v>
      </c>
      <c r="U71" s="504"/>
      <c r="V71" s="504"/>
      <c r="W71" s="504"/>
      <c r="X71" s="396"/>
      <c r="Y71" s="396"/>
      <c r="Z71" s="228"/>
      <c r="AA71" s="228"/>
      <c r="AB71" s="228"/>
      <c r="AC71" s="228"/>
      <c r="AD71" s="226"/>
      <c r="AE71" s="276"/>
      <c r="AF71" s="276"/>
      <c r="AG71" s="276"/>
      <c r="AH71" s="276"/>
      <c r="AI71" s="249"/>
    </row>
    <row r="72" spans="1:35" ht="12.75" customHeight="1" x14ac:dyDescent="0.3">
      <c r="A72" s="100">
        <v>1991</v>
      </c>
      <c r="B72" s="1096">
        <f t="shared" si="2"/>
        <v>0.34951116514257646</v>
      </c>
      <c r="C72" s="1085">
        <f>'C9-Tax Rates'!U37/100</f>
        <v>0.19458636454181039</v>
      </c>
      <c r="D72" s="1085">
        <f>'C9-Tax Rates'!AC37/100</f>
        <v>4.2209541264849236E-2</v>
      </c>
      <c r="E72" s="1085">
        <f>'C9-Tax Rates'!AK37/100</f>
        <v>3.1586274306184485E-2</v>
      </c>
      <c r="F72" s="1085">
        <f>'C9-Tax Rates'!AS37/100</f>
        <v>4.1194529692266162E-2</v>
      </c>
      <c r="G72" s="1085">
        <f>('C9-Tax Rates'!BQ37+'C9-Tax Rates'!BI37)/100</f>
        <v>3.9934455337466195E-2</v>
      </c>
      <c r="H72" s="74"/>
      <c r="I72" s="1096">
        <f t="shared" si="3"/>
        <v>0.16380007840701516</v>
      </c>
      <c r="J72" s="1085">
        <f>'C9-Tax Rates'!R37/100</f>
        <v>5.2171537494545797E-2</v>
      </c>
      <c r="K72" s="1085">
        <f>'C9-Tax Rates'!Z37/100</f>
        <v>1.3551846668116273E-2</v>
      </c>
      <c r="L72" s="1085">
        <f>'C9-Tax Rates'!AH37/100</f>
        <v>1.6754747271535548E-2</v>
      </c>
      <c r="M72" s="1085">
        <f>'C9-Tax Rates'!AP37/100</f>
        <v>2.6240332960794702E-2</v>
      </c>
      <c r="N72" s="1085">
        <f>('C9-Tax Rates'!BN37+'C9-Tax Rates'!BF37)/100</f>
        <v>5.5081614012022835E-2</v>
      </c>
      <c r="O72" s="504"/>
      <c r="P72" s="1096">
        <f>B72+'F-5'!C70</f>
        <v>0.36665283665137671</v>
      </c>
      <c r="Q72" s="1090">
        <f>I72+'F-5'!F70</f>
        <v>0.24548610862926701</v>
      </c>
      <c r="R72" s="1090">
        <f>'F-B6'!Z65</f>
        <v>0.29144801402396725</v>
      </c>
      <c r="S72" s="1090">
        <f>'F-B5'!AG65</f>
        <v>0.16969472276531933</v>
      </c>
      <c r="T72" s="1090">
        <f>'F-B5'!AO65</f>
        <v>0.16569949867834097</v>
      </c>
      <c r="U72" s="504"/>
      <c r="V72" s="504"/>
      <c r="W72" s="504"/>
      <c r="X72" s="396"/>
      <c r="Y72" s="396"/>
      <c r="Z72" s="228"/>
      <c r="AA72" s="228"/>
      <c r="AB72" s="228"/>
      <c r="AC72" s="228"/>
      <c r="AD72" s="226"/>
      <c r="AE72" s="276"/>
      <c r="AF72" s="276"/>
      <c r="AG72" s="276"/>
      <c r="AH72" s="276"/>
      <c r="AI72" s="249"/>
    </row>
    <row r="73" spans="1:35" ht="12.75" customHeight="1" x14ac:dyDescent="0.3">
      <c r="A73" s="100">
        <v>1992</v>
      </c>
      <c r="B73" s="1096">
        <f t="shared" si="2"/>
        <v>0.35884469920930551</v>
      </c>
      <c r="C73" s="1085">
        <f>'C9-Tax Rates'!U38/100</f>
        <v>0.19961834893882474</v>
      </c>
      <c r="D73" s="1085">
        <f>'C9-Tax Rates'!AC38/100</f>
        <v>4.3878105022583609E-2</v>
      </c>
      <c r="E73" s="1085">
        <f>'C9-Tax Rates'!AK38/100</f>
        <v>3.4251956481745199E-2</v>
      </c>
      <c r="F73" s="1085">
        <f>'C9-Tax Rates'!AS38/100</f>
        <v>4.1321526972991303E-2</v>
      </c>
      <c r="G73" s="1085">
        <f>('C9-Tax Rates'!BQ38+'C9-Tax Rates'!BI38)/100</f>
        <v>3.9774761793160612E-2</v>
      </c>
      <c r="H73" s="74"/>
      <c r="I73" s="1096">
        <f t="shared" si="3"/>
        <v>0.15760629202114157</v>
      </c>
      <c r="J73" s="1085">
        <f>'C9-Tax Rates'!R38/100</f>
        <v>4.7971232666619991E-2</v>
      </c>
      <c r="K73" s="1085">
        <f>'C9-Tax Rates'!Z38/100</f>
        <v>1.3182515748677627E-2</v>
      </c>
      <c r="L73" s="1085">
        <f>'C9-Tax Rates'!AH38/100</f>
        <v>1.6820607741752914E-2</v>
      </c>
      <c r="M73" s="1085">
        <f>'C9-Tax Rates'!AP38/100</f>
        <v>2.5313141212346686E-2</v>
      </c>
      <c r="N73" s="1085">
        <f>('C9-Tax Rates'!BN38+'C9-Tax Rates'!BF38)/100</f>
        <v>5.431879465174437E-2</v>
      </c>
      <c r="O73" s="504"/>
      <c r="P73" s="1096">
        <f>B73+'F-5'!C71</f>
        <v>0.37635856572737747</v>
      </c>
      <c r="Q73" s="1090">
        <f>I73+'F-5'!F71</f>
        <v>0.23762875544171647</v>
      </c>
      <c r="R73" s="1090">
        <f>'F-B6'!Z66</f>
        <v>0.28605325530591308</v>
      </c>
      <c r="S73" s="1090">
        <f>'F-B5'!AG66</f>
        <v>0.15828051494735235</v>
      </c>
      <c r="T73" s="1090">
        <f>'F-B5'!AO66</f>
        <v>0.1526634124138618</v>
      </c>
      <c r="U73" s="504"/>
      <c r="V73" s="504"/>
      <c r="W73" s="504"/>
      <c r="X73" s="396"/>
      <c r="Y73" s="396"/>
      <c r="Z73" s="228"/>
      <c r="AA73" s="228"/>
      <c r="AB73" s="228"/>
      <c r="AC73" s="228"/>
      <c r="AD73" s="226"/>
      <c r="AE73" s="276"/>
      <c r="AF73" s="276"/>
      <c r="AG73" s="276"/>
      <c r="AH73" s="276"/>
      <c r="AI73" s="249"/>
    </row>
    <row r="74" spans="1:35" ht="12.75" customHeight="1" x14ac:dyDescent="0.3">
      <c r="A74" s="100">
        <v>1993</v>
      </c>
      <c r="B74" s="1096">
        <f t="shared" si="2"/>
        <v>0.38906422848485578</v>
      </c>
      <c r="C74" s="1085">
        <f>'C9-Tax Rates'!U39/100</f>
        <v>0.22341165185697881</v>
      </c>
      <c r="D74" s="1085">
        <f>'C9-Tax Rates'!AC39/100</f>
        <v>4.6145074063732784E-2</v>
      </c>
      <c r="E74" s="1085">
        <f>'C9-Tax Rates'!AK39/100</f>
        <v>3.9562800708230726E-2</v>
      </c>
      <c r="F74" s="1085">
        <f>'C9-Tax Rates'!AS39/100</f>
        <v>4.1612633414817711E-2</v>
      </c>
      <c r="G74" s="1085">
        <f>('C9-Tax Rates'!BQ39+'C9-Tax Rates'!BI39)/100</f>
        <v>3.833206844109574E-2</v>
      </c>
      <c r="H74" s="74"/>
      <c r="I74" s="1096">
        <f t="shared" si="3"/>
        <v>0.15721305295597296</v>
      </c>
      <c r="J74" s="1085">
        <f>'C9-Tax Rates'!R39/100</f>
        <v>4.720858465357556E-2</v>
      </c>
      <c r="K74" s="1085">
        <f>'C9-Tax Rates'!Z39/100</f>
        <v>1.3116288699052136E-2</v>
      </c>
      <c r="L74" s="1085">
        <f>'C9-Tax Rates'!AH39/100</f>
        <v>1.9014624816885886E-2</v>
      </c>
      <c r="M74" s="1085">
        <f>'C9-Tax Rates'!AP39/100</f>
        <v>2.4276027420881866E-2</v>
      </c>
      <c r="N74" s="1085">
        <f>('C9-Tax Rates'!BN39+'C9-Tax Rates'!BF39)/100</f>
        <v>5.3597527365577512E-2</v>
      </c>
      <c r="O74" s="504"/>
      <c r="P74" s="1096">
        <f>B74+'F-5'!C72</f>
        <v>0.40761793481913711</v>
      </c>
      <c r="Q74" s="1090">
        <f>I74+'F-5'!F72</f>
        <v>0.2369239862664117</v>
      </c>
      <c r="R74" s="1090">
        <f>'F-B6'!Z67</f>
        <v>0.28528313121893822</v>
      </c>
      <c r="S74" s="1090">
        <f>'F-B5'!AG67</f>
        <v>0.15803699138418076</v>
      </c>
      <c r="T74" s="1090">
        <f>'F-B5'!AO67</f>
        <v>0.1521743045267451</v>
      </c>
      <c r="U74" s="504"/>
      <c r="V74" s="504"/>
      <c r="W74" s="504"/>
      <c r="X74" s="396"/>
      <c r="Y74" s="396"/>
      <c r="Z74" s="228"/>
      <c r="AA74" s="228"/>
      <c r="AB74" s="228"/>
      <c r="AC74" s="228"/>
      <c r="AD74" s="226"/>
      <c r="AE74" s="276"/>
      <c r="AF74" s="276"/>
      <c r="AG74" s="276"/>
      <c r="AH74" s="276"/>
      <c r="AI74" s="249"/>
    </row>
    <row r="75" spans="1:35" ht="12.75" customHeight="1" x14ac:dyDescent="0.3">
      <c r="A75" s="100">
        <v>1994</v>
      </c>
      <c r="B75" s="1096">
        <f t="shared" si="2"/>
        <v>0.38947641367169655</v>
      </c>
      <c r="C75" s="1085">
        <f>'C9-Tax Rates'!U40/100</f>
        <v>0.22315008287772337</v>
      </c>
      <c r="D75" s="1085">
        <f>'C9-Tax Rates'!AC40/100</f>
        <v>4.273854753514135E-2</v>
      </c>
      <c r="E75" s="1085">
        <f>'C9-Tax Rates'!AK40/100</f>
        <v>4.117416975853519E-2</v>
      </c>
      <c r="F75" s="1085">
        <f>'C9-Tax Rates'!AS40/100</f>
        <v>4.2078090191523178E-2</v>
      </c>
      <c r="G75" s="1085">
        <f>('C9-Tax Rates'!BQ40+'C9-Tax Rates'!BI40)/100</f>
        <v>4.0335523308773505E-2</v>
      </c>
      <c r="H75" s="74"/>
      <c r="I75" s="1096">
        <f t="shared" si="3"/>
        <v>0.16149104955313343</v>
      </c>
      <c r="J75" s="1085">
        <f>'C9-Tax Rates'!R40/100</f>
        <v>4.7609853361648573E-2</v>
      </c>
      <c r="K75" s="1085">
        <f>'C9-Tax Rates'!Z40/100</f>
        <v>1.3338568527555626E-2</v>
      </c>
      <c r="L75" s="1085">
        <f>'C9-Tax Rates'!AH40/100</f>
        <v>2.0230331094294014E-2</v>
      </c>
      <c r="M75" s="1085">
        <f>'C9-Tax Rates'!AP40/100</f>
        <v>2.4306008495082888E-2</v>
      </c>
      <c r="N75" s="1085">
        <f>('C9-Tax Rates'!BN40+'C9-Tax Rates'!BF40)/100</f>
        <v>5.6006288074552338E-2</v>
      </c>
      <c r="O75" s="504"/>
      <c r="P75" s="1096">
        <f>B75+'F-5'!C73</f>
        <v>0.41430603645399511</v>
      </c>
      <c r="Q75" s="1090">
        <f>I75+'F-5'!F73</f>
        <v>0.23984045300056889</v>
      </c>
      <c r="R75" s="1090">
        <f>'F-B6'!Z68</f>
        <v>0.28909105538915075</v>
      </c>
      <c r="S75" s="1090">
        <f>'F-B5'!AG68</f>
        <v>0.16070827576596775</v>
      </c>
      <c r="T75" s="1090">
        <f>'F-B5'!AO68</f>
        <v>0.154183121444532</v>
      </c>
      <c r="U75" s="504"/>
      <c r="V75" s="504"/>
      <c r="W75" s="504"/>
      <c r="X75" s="396"/>
      <c r="Y75" s="396"/>
      <c r="Z75" s="228"/>
      <c r="AA75" s="228"/>
      <c r="AB75" s="228"/>
      <c r="AC75" s="228"/>
      <c r="AD75" s="226"/>
      <c r="AE75" s="276"/>
      <c r="AF75" s="276"/>
      <c r="AG75" s="276"/>
      <c r="AH75" s="276"/>
      <c r="AI75" s="249"/>
    </row>
    <row r="76" spans="1:35" ht="12.75" customHeight="1" x14ac:dyDescent="0.3">
      <c r="A76" s="100">
        <v>1995</v>
      </c>
      <c r="B76" s="1096">
        <f t="shared" si="2"/>
        <v>0.39249341165328078</v>
      </c>
      <c r="C76" s="1085">
        <f>'C9-Tax Rates'!U41/100</f>
        <v>0.22789969402708907</v>
      </c>
      <c r="D76" s="1085">
        <f>'C9-Tax Rates'!AC41/100</f>
        <v>4.3095071472452597E-2</v>
      </c>
      <c r="E76" s="1085">
        <f>'C9-Tax Rates'!AK41/100</f>
        <v>4.3477001623304055E-2</v>
      </c>
      <c r="F76" s="1085">
        <f>'C9-Tax Rates'!AS41/100</f>
        <v>3.9894335430579277E-2</v>
      </c>
      <c r="G76" s="1085">
        <f>('C9-Tax Rates'!BQ41+'C9-Tax Rates'!BI41)/100</f>
        <v>3.8127309099855802E-2</v>
      </c>
      <c r="H76" s="74"/>
      <c r="I76" s="1096">
        <f t="shared" si="3"/>
        <v>0.16063381865088561</v>
      </c>
      <c r="J76" s="1085">
        <f>'C9-Tax Rates'!R41/100</f>
        <v>4.7726927220786877E-2</v>
      </c>
      <c r="K76" s="1085">
        <f>'C9-Tax Rates'!Z41/100</f>
        <v>1.3389144185160507E-2</v>
      </c>
      <c r="L76" s="1085">
        <f>'C9-Tax Rates'!AH41/100</f>
        <v>2.1496651560670921E-2</v>
      </c>
      <c r="M76" s="1085">
        <f>'C9-Tax Rates'!AP41/100</f>
        <v>2.3193224825013511E-2</v>
      </c>
      <c r="N76" s="1085">
        <f>('C9-Tax Rates'!BN41+'C9-Tax Rates'!BF41)/100</f>
        <v>5.482787085925378E-2</v>
      </c>
      <c r="O76" s="504"/>
      <c r="P76" s="1096">
        <f>B76+'F-5'!C74</f>
        <v>0.41637372585104204</v>
      </c>
      <c r="Q76" s="1090">
        <f>I76+'F-5'!F74</f>
        <v>0.23891769020612846</v>
      </c>
      <c r="R76" s="1090">
        <f>'F-B6'!Z69</f>
        <v>0.28866051559792749</v>
      </c>
      <c r="S76" s="1090">
        <f>'F-B5'!AG69</f>
        <v>0.15946494674207395</v>
      </c>
      <c r="T76" s="1090">
        <f>'F-B5'!AO69</f>
        <v>0.15059787406179537</v>
      </c>
      <c r="U76" s="504"/>
      <c r="V76" s="504"/>
      <c r="W76" s="504"/>
      <c r="X76" s="396"/>
      <c r="Y76" s="396"/>
      <c r="Z76" s="228"/>
      <c r="AA76" s="228"/>
      <c r="AB76" s="228"/>
      <c r="AC76" s="228"/>
      <c r="AD76" s="226"/>
      <c r="AE76" s="276"/>
      <c r="AF76" s="276"/>
      <c r="AG76" s="276"/>
      <c r="AH76" s="276"/>
      <c r="AI76" s="249"/>
    </row>
    <row r="77" spans="1:35" ht="12.75" customHeight="1" x14ac:dyDescent="0.3">
      <c r="A77" s="100">
        <v>1996</v>
      </c>
      <c r="B77" s="1096">
        <f t="shared" si="2"/>
        <v>0.40948489453077069</v>
      </c>
      <c r="C77" s="1085">
        <f>'C9-Tax Rates'!U42/100</f>
        <v>0.24702011836930793</v>
      </c>
      <c r="D77" s="1085">
        <f>'C9-Tax Rates'!AC42/100</f>
        <v>4.4350230266131774E-2</v>
      </c>
      <c r="E77" s="1085">
        <f>'C9-Tax Rates'!AK42/100</f>
        <v>4.2331011422380091E-2</v>
      </c>
      <c r="F77" s="1085">
        <f>'C9-Tax Rates'!AS42/100</f>
        <v>3.7850411080444325E-2</v>
      </c>
      <c r="G77" s="1085">
        <f>('C9-Tax Rates'!BQ42+'C9-Tax Rates'!BI42)/100</f>
        <v>3.7933123392506519E-2</v>
      </c>
      <c r="H77" s="74"/>
      <c r="I77" s="1096">
        <f t="shared" si="3"/>
        <v>0.16276715531219121</v>
      </c>
      <c r="J77" s="1085">
        <f>'C9-Tax Rates'!R42/100</f>
        <v>4.9501605502528384E-2</v>
      </c>
      <c r="K77" s="1085">
        <f>'C9-Tax Rates'!Z42/100</f>
        <v>1.3420603838921481E-2</v>
      </c>
      <c r="L77" s="1085">
        <f>'C9-Tax Rates'!AH42/100</f>
        <v>2.2096655473975303E-2</v>
      </c>
      <c r="M77" s="1085">
        <f>'C9-Tax Rates'!AP42/100</f>
        <v>2.2949857833940573E-2</v>
      </c>
      <c r="N77" s="1085">
        <f>('C9-Tax Rates'!BN42+'C9-Tax Rates'!BF42)/100</f>
        <v>5.4798432662825462E-2</v>
      </c>
      <c r="O77" s="504"/>
      <c r="P77" s="1096">
        <f>B77+'F-5'!C75</f>
        <v>0.43256704059945406</v>
      </c>
      <c r="Q77" s="1090">
        <f>I77+'F-5'!F75</f>
        <v>0.24059188314951419</v>
      </c>
      <c r="R77" s="1090">
        <f>'F-B6'!Z70</f>
        <v>0.29049115020311012</v>
      </c>
      <c r="S77" s="1090">
        <f>'F-B5'!AG70</f>
        <v>0.16049546896684191</v>
      </c>
      <c r="T77" s="1090">
        <f>'F-B5'!AO70</f>
        <v>0.15017054988032139</v>
      </c>
      <c r="U77" s="504"/>
      <c r="V77" s="504"/>
      <c r="W77" s="504"/>
      <c r="X77" s="396"/>
      <c r="Y77" s="396"/>
      <c r="Z77" s="228"/>
      <c r="AA77" s="228"/>
      <c r="AB77" s="228"/>
      <c r="AC77" s="228"/>
      <c r="AD77" s="226"/>
      <c r="AE77" s="276"/>
      <c r="AF77" s="276"/>
      <c r="AG77" s="276"/>
      <c r="AH77" s="276"/>
      <c r="AI77" s="249"/>
    </row>
    <row r="78" spans="1:35" ht="12.75" customHeight="1" x14ac:dyDescent="0.3">
      <c r="A78" s="100">
        <v>1997</v>
      </c>
      <c r="B78" s="1096">
        <f t="shared" si="2"/>
        <v>0.41862895954579671</v>
      </c>
      <c r="C78" s="1085">
        <f>'C9-Tax Rates'!U43/100</f>
        <v>0.25626001626348094</v>
      </c>
      <c r="D78" s="1085">
        <f>'C9-Tax Rates'!AC43/100</f>
        <v>4.5121515369468825E-2</v>
      </c>
      <c r="E78" s="1085">
        <f>'C9-Tax Rates'!AK43/100</f>
        <v>4.2346926401331128E-2</v>
      </c>
      <c r="F78" s="1085">
        <f>'C9-Tax Rates'!AS43/100</f>
        <v>3.7459279806584922E-2</v>
      </c>
      <c r="G78" s="1085">
        <f>('C9-Tax Rates'!BQ43+'C9-Tax Rates'!BI43)/100</f>
        <v>3.7441221704930888E-2</v>
      </c>
      <c r="H78" s="74"/>
      <c r="I78" s="1096">
        <f t="shared" si="3"/>
        <v>0.16340372439885781</v>
      </c>
      <c r="J78" s="1085">
        <f>'C9-Tax Rates'!R43/100</f>
        <v>5.1414182756036132E-2</v>
      </c>
      <c r="K78" s="1085">
        <f>'C9-Tax Rates'!Z43/100</f>
        <v>1.3289705997916656E-2</v>
      </c>
      <c r="L78" s="1085">
        <f>'C9-Tax Rates'!AH43/100</f>
        <v>2.1734403648834263E-2</v>
      </c>
      <c r="M78" s="1085">
        <f>'C9-Tax Rates'!AP43/100</f>
        <v>2.2562440945598498E-2</v>
      </c>
      <c r="N78" s="1085">
        <f>('C9-Tax Rates'!BN43+'C9-Tax Rates'!BF43)/100</f>
        <v>5.4402991050472235E-2</v>
      </c>
      <c r="O78" s="504"/>
      <c r="P78" s="1096">
        <f>B78+'F-5'!C76</f>
        <v>0.44099000877494315</v>
      </c>
      <c r="Q78" s="1090">
        <f>I78+'F-5'!F76</f>
        <v>0.24141483944125489</v>
      </c>
      <c r="R78" s="1090">
        <f>'F-B6'!Z71</f>
        <v>0.2908136915504157</v>
      </c>
      <c r="S78" s="1090">
        <f>'F-B5'!AG71</f>
        <v>0.16153096271751835</v>
      </c>
      <c r="T78" s="1090">
        <f>'F-B5'!AO71</f>
        <v>0.15045530188389497</v>
      </c>
      <c r="U78" s="504"/>
      <c r="V78" s="504"/>
      <c r="W78" s="504"/>
      <c r="X78" s="396"/>
      <c r="Y78" s="396"/>
      <c r="Z78" s="228"/>
      <c r="AA78" s="228"/>
      <c r="AB78" s="228"/>
      <c r="AC78" s="228"/>
      <c r="AD78" s="226"/>
      <c r="AE78" s="276"/>
      <c r="AF78" s="276"/>
      <c r="AG78" s="276"/>
      <c r="AH78" s="276"/>
      <c r="AI78" s="249"/>
    </row>
    <row r="79" spans="1:35" ht="12.75" customHeight="1" x14ac:dyDescent="0.3">
      <c r="A79" s="18">
        <v>1998</v>
      </c>
      <c r="B79" s="1097">
        <f t="shared" si="2"/>
        <v>0.43797956468200028</v>
      </c>
      <c r="C79" s="1085">
        <f>'C9-Tax Rates'!U44/100</f>
        <v>0.27353308312481345</v>
      </c>
      <c r="D79" s="1085">
        <f>'C9-Tax Rates'!AC44/100</f>
        <v>4.8433014911166514E-2</v>
      </c>
      <c r="E79" s="1085">
        <f>'C9-Tax Rates'!AK44/100</f>
        <v>3.9999785046849146E-2</v>
      </c>
      <c r="F79" s="1085">
        <f>'C9-Tax Rates'!AS44/100</f>
        <v>3.7088567154694413E-2</v>
      </c>
      <c r="G79" s="1085">
        <f>('C9-Tax Rates'!BQ44+'C9-Tax Rates'!BI44)/100</f>
        <v>3.8925114444476779E-2</v>
      </c>
      <c r="H79" s="74"/>
      <c r="I79" s="1096">
        <f t="shared" si="3"/>
        <v>0.16337398743112255</v>
      </c>
      <c r="J79" s="1085">
        <f>'C9-Tax Rates'!R44/100</f>
        <v>5.1862901885250723E-2</v>
      </c>
      <c r="K79" s="1085">
        <f>'C9-Tax Rates'!Z44/100</f>
        <v>1.37558327712816E-2</v>
      </c>
      <c r="L79" s="1085">
        <f>'C9-Tax Rates'!AH44/100</f>
        <v>2.0189285377204866E-2</v>
      </c>
      <c r="M79" s="1085">
        <f>'C9-Tax Rates'!AP44/100</f>
        <v>2.1788895365506898E-2</v>
      </c>
      <c r="N79" s="1085">
        <f>('C9-Tax Rates'!BN44+'C9-Tax Rates'!BF44)/100</f>
        <v>5.5777072031878455E-2</v>
      </c>
      <c r="O79" s="504"/>
      <c r="P79" s="1096">
        <f>B79+'F-5'!C77</f>
        <v>0.46069785332897933</v>
      </c>
      <c r="Q79" s="1090">
        <f>I79+'F-5'!F77</f>
        <v>0.24174456565062752</v>
      </c>
      <c r="R79" s="1090">
        <f>'F-B6'!Z72</f>
        <v>0.29073247570766692</v>
      </c>
      <c r="S79" s="1090">
        <f>'F-B5'!AG72</f>
        <v>0.16225191224563312</v>
      </c>
      <c r="T79" s="1090">
        <f>'F-B5'!AO72</f>
        <v>0.15107536052691209</v>
      </c>
      <c r="U79" s="504"/>
      <c r="V79" s="504"/>
      <c r="W79" s="504"/>
      <c r="X79" s="396"/>
      <c r="Y79" s="396"/>
      <c r="Z79" s="228"/>
      <c r="AA79" s="228"/>
      <c r="AB79" s="228"/>
      <c r="AC79" s="228"/>
      <c r="AD79" s="226"/>
      <c r="AE79" s="276"/>
      <c r="AF79" s="276"/>
      <c r="AG79" s="276"/>
      <c r="AH79" s="276"/>
      <c r="AI79" s="249"/>
    </row>
    <row r="80" spans="1:35" ht="12.75" customHeight="1" x14ac:dyDescent="0.3">
      <c r="A80" s="100">
        <v>1999</v>
      </c>
      <c r="B80" s="1097">
        <f t="shared" si="2"/>
        <v>0.44123672395175473</v>
      </c>
      <c r="C80" s="1085">
        <f>'C9-Tax Rates'!U45/100</f>
        <v>0.27621794690704349</v>
      </c>
      <c r="D80" s="1085">
        <f>'C9-Tax Rates'!AC45/100</f>
        <v>4.9988635070192598E-2</v>
      </c>
      <c r="E80" s="1085">
        <f>'C9-Tax Rates'!AK45/100</f>
        <v>4.0576826287513405E-2</v>
      </c>
      <c r="F80" s="1085">
        <f>'C9-Tax Rates'!AS45/100</f>
        <v>3.6393301725786323E-2</v>
      </c>
      <c r="G80" s="1085">
        <f>('C9-Tax Rates'!BQ45+'C9-Tax Rates'!BI45)/100</f>
        <v>3.8060013961218955E-2</v>
      </c>
      <c r="H80" s="74"/>
      <c r="I80" s="1096">
        <f t="shared" si="3"/>
        <v>0.16210815899863062</v>
      </c>
      <c r="J80" s="1085">
        <f>'C9-Tax Rates'!R45/100</f>
        <v>5.1645584419733458E-2</v>
      </c>
      <c r="K80" s="1085">
        <f>'C9-Tax Rates'!Z45/100</f>
        <v>1.3175530462899114E-2</v>
      </c>
      <c r="L80" s="1085">
        <f>'C9-Tax Rates'!AH45/100</f>
        <v>2.021575236888469E-2</v>
      </c>
      <c r="M80" s="1085">
        <f>'C9-Tax Rates'!AP45/100</f>
        <v>2.176225105695161E-2</v>
      </c>
      <c r="N80" s="1085">
        <f>('C9-Tax Rates'!BN45+'C9-Tax Rates'!BF45)/100</f>
        <v>5.5309040690161765E-2</v>
      </c>
      <c r="O80" s="504"/>
      <c r="P80" s="1096">
        <f>B80+'F-5'!C78</f>
        <v>0.46399442126598367</v>
      </c>
      <c r="Q80" s="1090">
        <f>I80+'F-5'!F78</f>
        <v>0.24104025862687492</v>
      </c>
      <c r="R80" s="1090">
        <f>'F-B6'!Z73</f>
        <v>0.28885051738458867</v>
      </c>
      <c r="S80" s="1090">
        <f>'F-B5'!AG73</f>
        <v>0.16443822074738981</v>
      </c>
      <c r="T80" s="1090">
        <f>'F-B5'!AO73</f>
        <v>0.15336556566746137</v>
      </c>
      <c r="U80" s="504"/>
      <c r="V80" s="504"/>
      <c r="W80" s="504"/>
      <c r="X80" s="396"/>
      <c r="Y80" s="396"/>
      <c r="Z80" s="228"/>
      <c r="AA80" s="228"/>
      <c r="AB80" s="228"/>
      <c r="AC80" s="228"/>
      <c r="AD80" s="226"/>
      <c r="AE80" s="276"/>
      <c r="AF80" s="276"/>
      <c r="AG80" s="276"/>
      <c r="AH80" s="276"/>
      <c r="AI80" s="249"/>
    </row>
    <row r="81" spans="1:35" ht="12.75" customHeight="1" x14ac:dyDescent="0.3">
      <c r="A81" s="100">
        <v>2000</v>
      </c>
      <c r="B81" s="1097">
        <f t="shared" si="2"/>
        <v>0.4507973170289275</v>
      </c>
      <c r="C81" s="1085">
        <f>'C9-Tax Rates'!U46/100</f>
        <v>0.28742855939745882</v>
      </c>
      <c r="D81" s="1085">
        <f>'C9-Tax Rates'!AC46/100</f>
        <v>5.3380854001364601E-2</v>
      </c>
      <c r="E81" s="1085">
        <f>'C9-Tax Rates'!AK46/100</f>
        <v>3.7288511533988822E-2</v>
      </c>
      <c r="F81" s="1085">
        <f>'C9-Tax Rates'!AS46/100</f>
        <v>3.4968506201478337E-2</v>
      </c>
      <c r="G81" s="1085">
        <f>('C9-Tax Rates'!BQ46+'C9-Tax Rates'!BI46)/100</f>
        <v>3.7730885894636905E-2</v>
      </c>
      <c r="H81" s="74"/>
      <c r="I81" s="1096">
        <f t="shared" si="3"/>
        <v>0.16429885863475532</v>
      </c>
      <c r="J81" s="1085">
        <f>'C9-Tax Rates'!R46/100</f>
        <v>5.3082502698539737E-2</v>
      </c>
      <c r="K81" s="1085">
        <f>'C9-Tax Rates'!Z46/100</f>
        <v>1.3331771081695471E-2</v>
      </c>
      <c r="L81" s="1085">
        <f>'C9-Tax Rates'!AH46/100</f>
        <v>2.0123230034690652E-2</v>
      </c>
      <c r="M81" s="1085">
        <f>'C9-Tax Rates'!AP46/100</f>
        <v>2.1583544530804175E-2</v>
      </c>
      <c r="N81" s="1085">
        <f>('C9-Tax Rates'!BN46+'C9-Tax Rates'!BF46)/100</f>
        <v>5.6177810289025291E-2</v>
      </c>
      <c r="O81" s="504"/>
      <c r="P81" s="1096">
        <f>B81+'F-5'!C79</f>
        <v>0.47398800935344632</v>
      </c>
      <c r="Q81" s="1090">
        <f>I81+'F-5'!F79</f>
        <v>0.24344938809398231</v>
      </c>
      <c r="R81" s="1090">
        <f>'F-B6'!Z74</f>
        <v>0.29040462848722098</v>
      </c>
      <c r="S81" s="1090">
        <f>'F-B5'!AG74</f>
        <v>0.16699054953300446</v>
      </c>
      <c r="T81" s="1090">
        <f>'F-B5'!AO74</f>
        <v>0.15627388555838564</v>
      </c>
      <c r="U81" s="504"/>
      <c r="V81" s="504"/>
      <c r="W81" s="504"/>
      <c r="X81" s="396"/>
      <c r="Y81" s="396"/>
      <c r="Z81" s="228"/>
      <c r="AA81" s="228"/>
      <c r="AB81" s="228"/>
      <c r="AC81" s="228"/>
      <c r="AD81" s="226"/>
      <c r="AE81" s="276"/>
      <c r="AF81" s="276"/>
      <c r="AG81" s="276"/>
      <c r="AH81" s="276"/>
      <c r="AI81" s="249"/>
    </row>
    <row r="82" spans="1:35" ht="12.75" customHeight="1" x14ac:dyDescent="0.3">
      <c r="A82" s="100">
        <v>2001</v>
      </c>
      <c r="B82" s="1096">
        <f t="shared" si="2"/>
        <v>0.42460056146559388</v>
      </c>
      <c r="C82" s="1085">
        <f>'C9-Tax Rates'!U47/100</f>
        <v>0.26951771185277729</v>
      </c>
      <c r="D82" s="1085">
        <f>'C9-Tax Rates'!AC47/100</f>
        <v>5.2172451590822538E-2</v>
      </c>
      <c r="E82" s="1085">
        <f>'C9-Tax Rates'!AK47/100</f>
        <v>2.6957639729039459E-2</v>
      </c>
      <c r="F82" s="1085">
        <f>'C9-Tax Rates'!AS47/100</f>
        <v>3.773908629590448E-2</v>
      </c>
      <c r="G82" s="1085">
        <f>('C9-Tax Rates'!BQ47+'C9-Tax Rates'!BI47)/100</f>
        <v>3.8213671997050128E-2</v>
      </c>
      <c r="H82" s="74"/>
      <c r="I82" s="1096">
        <f t="shared" si="3"/>
        <v>0.15816456607100846</v>
      </c>
      <c r="J82" s="1085">
        <f>'C9-Tax Rates'!R47/100</f>
        <v>5.3769198983800399E-2</v>
      </c>
      <c r="K82" s="1085">
        <f>'C9-Tax Rates'!Z47/100</f>
        <v>1.3635477550350307E-2</v>
      </c>
      <c r="L82" s="1085">
        <f>'C9-Tax Rates'!AH47/100</f>
        <v>1.4695193612282734E-2</v>
      </c>
      <c r="M82" s="1085">
        <f>'C9-Tax Rates'!AP47/100</f>
        <v>2.1884854342639731E-2</v>
      </c>
      <c r="N82" s="1085">
        <f>('C9-Tax Rates'!BN47+'C9-Tax Rates'!BF47)/100</f>
        <v>5.4179841581935284E-2</v>
      </c>
      <c r="O82" s="504"/>
      <c r="P82" s="1096">
        <f>B82+'F-5'!C80</f>
        <v>0.44816678978226326</v>
      </c>
      <c r="Q82" s="1090">
        <f>I82+'F-5'!F80</f>
        <v>0.23556405456356222</v>
      </c>
      <c r="R82" s="1090">
        <f>'F-B6'!Z75</f>
        <v>0.28532059256533299</v>
      </c>
      <c r="S82" s="1090">
        <f>'F-B5'!AG75</f>
        <v>0.15448702500921183</v>
      </c>
      <c r="T82" s="1090">
        <f>'F-B5'!AO75</f>
        <v>0.14419175147568647</v>
      </c>
      <c r="U82" s="504"/>
      <c r="V82" s="504"/>
      <c r="W82" s="504"/>
      <c r="X82" s="396"/>
      <c r="Y82" s="396"/>
      <c r="Z82" s="228"/>
      <c r="AA82" s="228"/>
      <c r="AB82" s="228"/>
      <c r="AC82" s="228"/>
      <c r="AD82" s="226"/>
      <c r="AE82" s="276"/>
      <c r="AF82" s="276"/>
      <c r="AG82" s="276"/>
      <c r="AH82" s="276"/>
      <c r="AI82" s="249"/>
    </row>
    <row r="83" spans="1:35" ht="12.75" customHeight="1" x14ac:dyDescent="0.3">
      <c r="A83" s="100">
        <v>2002</v>
      </c>
      <c r="B83" s="1096">
        <f t="shared" si="2"/>
        <v>0.37604453793443188</v>
      </c>
      <c r="C83" s="1085">
        <f>'C9-Tax Rates'!U48/100</f>
        <v>0.22969141555302069</v>
      </c>
      <c r="D83" s="1085">
        <f>'C9-Tax Rates'!AC48/100</f>
        <v>4.44735352008633E-2</v>
      </c>
      <c r="E83" s="1085">
        <f>'C9-Tax Rates'!AK48/100</f>
        <v>2.3414273297364209E-2</v>
      </c>
      <c r="F83" s="1085">
        <f>'C9-Tax Rates'!AS48/100</f>
        <v>3.9812624123929767E-2</v>
      </c>
      <c r="G83" s="1085">
        <f>('C9-Tax Rates'!BQ48+'C9-Tax Rates'!BI48)/100</f>
        <v>3.8652689759253914E-2</v>
      </c>
      <c r="H83" s="74"/>
      <c r="I83" s="1096">
        <f t="shared" si="3"/>
        <v>0.14288760150699187</v>
      </c>
      <c r="J83" s="1085">
        <f>'C9-Tax Rates'!R48/100</f>
        <v>4.1633106802880383E-2</v>
      </c>
      <c r="K83" s="1085">
        <f>'C9-Tax Rates'!Z48/100</f>
        <v>1.1954318301808493E-2</v>
      </c>
      <c r="L83" s="1085">
        <f>'C9-Tax Rates'!AH48/100</f>
        <v>1.3538860393887117E-2</v>
      </c>
      <c r="M83" s="1085">
        <f>'C9-Tax Rates'!AP48/100</f>
        <v>2.2697924135812276E-2</v>
      </c>
      <c r="N83" s="1085">
        <f>('C9-Tax Rates'!BN48+'C9-Tax Rates'!BF48)/100</f>
        <v>5.3063391872603616E-2</v>
      </c>
      <c r="O83" s="504"/>
      <c r="P83" s="1096">
        <f>B83+'F-5'!C81</f>
        <v>0.40022167999760938</v>
      </c>
      <c r="Q83" s="1090">
        <f>I83+'F-5'!F81</f>
        <v>0.21829133263260922</v>
      </c>
      <c r="R83" s="1090">
        <f>'F-B6'!Z76</f>
        <v>0.26518054721026335</v>
      </c>
      <c r="S83" s="1090">
        <f>'F-B5'!AG76</f>
        <v>0.14145814304492144</v>
      </c>
      <c r="T83" s="1090">
        <f>'F-B5'!AO76</f>
        <v>0.1294453705780583</v>
      </c>
      <c r="U83" s="504"/>
      <c r="V83" s="504"/>
      <c r="W83" s="504"/>
      <c r="X83" s="396"/>
      <c r="Y83" s="396"/>
      <c r="Z83" s="228"/>
      <c r="AA83" s="228"/>
      <c r="AB83" s="228"/>
      <c r="AC83" s="228"/>
      <c r="AD83" s="226"/>
      <c r="AE83" s="276"/>
      <c r="AF83" s="276"/>
      <c r="AG83" s="276"/>
      <c r="AH83" s="276"/>
      <c r="AI83" s="249"/>
    </row>
    <row r="84" spans="1:35" ht="12.75" customHeight="1" x14ac:dyDescent="0.3">
      <c r="A84" s="100">
        <v>2003</v>
      </c>
      <c r="B84" s="1096">
        <f t="shared" si="2"/>
        <v>0.35747998577281215</v>
      </c>
      <c r="C84" s="1085">
        <f>'C9-Tax Rates'!U49/100</f>
        <v>0.20503902984042655</v>
      </c>
      <c r="D84" s="1085">
        <f>'C9-Tax Rates'!AC49/100</f>
        <v>4.3042523307329474E-2</v>
      </c>
      <c r="E84" s="1085">
        <f>'C9-Tax Rates'!AK49/100</f>
        <v>3.1312081960513966E-2</v>
      </c>
      <c r="F84" s="1085">
        <f>'C9-Tax Rates'!AS49/100</f>
        <v>4.1187603756603221E-2</v>
      </c>
      <c r="G84" s="1085">
        <f>('C9-Tax Rates'!BQ49+'C9-Tax Rates'!BI49)/100</f>
        <v>3.6898746907938908E-2</v>
      </c>
      <c r="H84" s="74"/>
      <c r="I84" s="1096">
        <f t="shared" si="3"/>
        <v>0.1395468258276634</v>
      </c>
      <c r="J84" s="1085">
        <f>'C9-Tax Rates'!R49/100</f>
        <v>3.6840857101833366E-2</v>
      </c>
      <c r="K84" s="1085">
        <f>'C9-Tax Rates'!Z49/100</f>
        <v>1.1608895595267493E-2</v>
      </c>
      <c r="L84" s="1085">
        <f>'C9-Tax Rates'!AH49/100</f>
        <v>1.6563050230172262E-2</v>
      </c>
      <c r="M84" s="1085">
        <f>'C9-Tax Rates'!AP49/100</f>
        <v>2.2613745009863032E-2</v>
      </c>
      <c r="N84" s="1085">
        <f>('C9-Tax Rates'!BN49+'C9-Tax Rates'!BF49)/100</f>
        <v>5.1920277890527243E-2</v>
      </c>
      <c r="O84" s="504"/>
      <c r="P84" s="1096">
        <f>B84+'F-5'!C82</f>
        <v>0.38076933433733623</v>
      </c>
      <c r="Q84" s="1090">
        <f>I84+'F-5'!F82</f>
        <v>0.21450745085146261</v>
      </c>
      <c r="R84" s="1090">
        <f>'F-B6'!Z77</f>
        <v>0.25955172901172452</v>
      </c>
      <c r="S84" s="1090">
        <f>'F-B5'!AG77</f>
        <v>0.1395169438437863</v>
      </c>
      <c r="T84" s="1090">
        <f>'F-B5'!AO77</f>
        <v>0.12605428656325351</v>
      </c>
      <c r="U84" s="504"/>
      <c r="V84" s="504"/>
      <c r="W84" s="504"/>
      <c r="X84" s="396"/>
      <c r="Y84" s="396"/>
      <c r="Z84" s="228"/>
      <c r="AA84" s="228"/>
      <c r="AB84" s="228"/>
      <c r="AC84" s="228"/>
      <c r="AD84" s="226"/>
      <c r="AE84" s="276"/>
      <c r="AF84" s="276"/>
      <c r="AG84" s="276"/>
      <c r="AH84" s="276"/>
      <c r="AI84" s="249"/>
    </row>
    <row r="85" spans="1:35" ht="12.75" customHeight="1" x14ac:dyDescent="0.3">
      <c r="A85" s="100">
        <v>2004</v>
      </c>
      <c r="B85" s="1096">
        <f t="shared" si="2"/>
        <v>0.36139493864802563</v>
      </c>
      <c r="C85" s="1085">
        <f>'C9-Tax Rates'!U50/100</f>
        <v>0.19906462907226533</v>
      </c>
      <c r="D85" s="1085">
        <f>'C9-Tax Rates'!AC50/100</f>
        <v>4.5775319818942561E-2</v>
      </c>
      <c r="E85" s="1085">
        <f>'C9-Tax Rates'!AK50/100</f>
        <v>3.8404523046268485E-2</v>
      </c>
      <c r="F85" s="1085">
        <f>'C9-Tax Rates'!AS50/100</f>
        <v>4.0526070112569867E-2</v>
      </c>
      <c r="G85" s="1085">
        <f>('C9-Tax Rates'!BQ50+'C9-Tax Rates'!BI50)/100</f>
        <v>3.7624396597979386E-2</v>
      </c>
      <c r="H85" s="74"/>
      <c r="I85" s="1096">
        <f t="shared" si="3"/>
        <v>0.13990845478943803</v>
      </c>
      <c r="J85" s="1085">
        <f>'C9-Tax Rates'!R50/100</f>
        <v>3.3864609314719282E-2</v>
      </c>
      <c r="K85" s="1085">
        <f>'C9-Tax Rates'!Z50/100</f>
        <v>1.1331166830605968E-2</v>
      </c>
      <c r="L85" s="1085">
        <f>'C9-Tax Rates'!AH50/100</f>
        <v>1.961751643626148E-2</v>
      </c>
      <c r="M85" s="1085">
        <f>'C9-Tax Rates'!AP50/100</f>
        <v>2.2144586104764934E-2</v>
      </c>
      <c r="N85" s="1085">
        <f>('C9-Tax Rates'!BN50+'C9-Tax Rates'!BF50)/100</f>
        <v>5.2950576103086365E-2</v>
      </c>
      <c r="O85" s="504"/>
      <c r="P85" s="1096">
        <f>B85+'F-5'!C83</f>
        <v>0.38335731536561907</v>
      </c>
      <c r="Q85" s="1090">
        <f>I85+'F-5'!F83</f>
        <v>0.21567902209157572</v>
      </c>
      <c r="R85" s="1090">
        <f>'F-B6'!Z78</f>
        <v>0.25928466401445893</v>
      </c>
      <c r="S85" s="1090">
        <f>'F-B5'!AG78</f>
        <v>0.14307125529105127</v>
      </c>
      <c r="T85" s="1090">
        <f>'F-B5'!AO78</f>
        <v>0.12927191971594157</v>
      </c>
      <c r="U85" s="504"/>
      <c r="V85" s="504"/>
      <c r="W85" s="504"/>
      <c r="X85" s="396"/>
      <c r="Y85" s="396"/>
      <c r="Z85" s="228"/>
      <c r="AA85" s="228"/>
      <c r="AB85" s="228"/>
      <c r="AC85" s="228"/>
      <c r="AD85" s="226"/>
      <c r="AE85" s="276"/>
      <c r="AF85" s="276"/>
      <c r="AG85" s="276"/>
      <c r="AH85" s="276"/>
      <c r="AI85" s="249"/>
    </row>
    <row r="86" spans="1:35" ht="12.75" customHeight="1" x14ac:dyDescent="0.3">
      <c r="A86" s="100">
        <v>2005</v>
      </c>
      <c r="B86" s="1096">
        <f t="shared" si="2"/>
        <v>0.38984320794162153</v>
      </c>
      <c r="C86" s="1085">
        <f>'C9-Tax Rates'!U51/100</f>
        <v>0.21729079655519457</v>
      </c>
      <c r="D86" s="1085">
        <f>'C9-Tax Rates'!AC51/100</f>
        <v>4.8383492335740776E-2</v>
      </c>
      <c r="E86" s="1085">
        <f>'C9-Tax Rates'!AK51/100</f>
        <v>4.7653204099595815E-2</v>
      </c>
      <c r="F86" s="1085">
        <f>'C9-Tax Rates'!AS51/100</f>
        <v>3.973405556943773E-2</v>
      </c>
      <c r="G86" s="1085">
        <f>('C9-Tax Rates'!BQ51+'C9-Tax Rates'!BI51)/100</f>
        <v>3.6781659381652593E-2</v>
      </c>
      <c r="H86" s="74"/>
      <c r="I86" s="1096">
        <f t="shared" si="3"/>
        <v>0.14829046754253578</v>
      </c>
      <c r="J86" s="1085">
        <f>'C9-Tax Rates'!R51/100</f>
        <v>3.5310102016596269E-2</v>
      </c>
      <c r="K86" s="1085">
        <f>'C9-Tax Rates'!Z51/100</f>
        <v>1.1576948556018278E-2</v>
      </c>
      <c r="L86" s="1085">
        <f>'C9-Tax Rates'!AH51/100</f>
        <v>2.5231734124796717E-2</v>
      </c>
      <c r="M86" s="1085">
        <f>'C9-Tax Rates'!AP51/100</f>
        <v>2.2538935651288738E-2</v>
      </c>
      <c r="N86" s="1085">
        <f>('C9-Tax Rates'!BN51+'C9-Tax Rates'!BF51)/100</f>
        <v>5.3632747193835789E-2</v>
      </c>
      <c r="O86" s="504"/>
      <c r="P86" s="1096">
        <f>B86+'F-5'!C84</f>
        <v>0.41016864406332143</v>
      </c>
      <c r="Q86" s="1090">
        <f>I86+'F-5'!F84</f>
        <v>0.22371525756379501</v>
      </c>
      <c r="R86" s="1090">
        <f>'F-B6'!Z79</f>
        <v>0.26902763271093783</v>
      </c>
      <c r="S86" s="1090">
        <f>'F-B5'!AG79</f>
        <v>0.14934988187839571</v>
      </c>
      <c r="T86" s="1090">
        <f>'F-B5'!AO79</f>
        <v>0.13441577138489835</v>
      </c>
      <c r="U86" s="504"/>
      <c r="V86" s="504"/>
      <c r="W86" s="504"/>
      <c r="X86" s="396"/>
      <c r="Y86" s="396"/>
      <c r="Z86" s="228"/>
      <c r="AA86" s="228"/>
      <c r="AB86" s="228"/>
      <c r="AC86" s="228"/>
      <c r="AD86" s="226"/>
      <c r="AE86" s="276"/>
      <c r="AF86" s="276"/>
      <c r="AG86" s="276"/>
      <c r="AH86" s="276"/>
      <c r="AI86" s="249"/>
    </row>
    <row r="87" spans="1:35" ht="12.75" customHeight="1" x14ac:dyDescent="0.3">
      <c r="A87" s="100">
        <v>2006</v>
      </c>
      <c r="B87" s="1096">
        <f t="shared" si="2"/>
        <v>0.40175663002452544</v>
      </c>
      <c r="C87" s="1085">
        <f>'C9-Tax Rates'!U52/100</f>
        <v>0.22551062843771402</v>
      </c>
      <c r="D87" s="1085">
        <f>'C9-Tax Rates'!AC52/100</f>
        <v>4.89592524112612E-2</v>
      </c>
      <c r="E87" s="1085">
        <f>'C9-Tax Rates'!AK52/100</f>
        <v>5.1183943204367137E-2</v>
      </c>
      <c r="F87" s="1085">
        <f>'C9-Tax Rates'!AS52/100</f>
        <v>3.9722096017743007E-2</v>
      </c>
      <c r="G87" s="1085">
        <f>('C9-Tax Rates'!BQ52+'C9-Tax Rates'!BI52)/100</f>
        <v>3.6380709953440074E-2</v>
      </c>
      <c r="H87" s="74"/>
      <c r="I87" s="1096">
        <f t="shared" si="3"/>
        <v>0.15190108045678552</v>
      </c>
      <c r="J87" s="1085">
        <f>'C9-Tax Rates'!R52/100</f>
        <v>3.6996848889401114E-2</v>
      </c>
      <c r="K87" s="1085">
        <f>'C9-Tax Rates'!Z52/100</f>
        <v>1.2148861224373588E-2</v>
      </c>
      <c r="L87" s="1085">
        <f>'C9-Tax Rates'!AH52/100</f>
        <v>2.7015925549261785E-2</v>
      </c>
      <c r="M87" s="1085">
        <f>'C9-Tax Rates'!AP52/100</f>
        <v>2.2588017695464861E-2</v>
      </c>
      <c r="N87" s="1085">
        <f>('C9-Tax Rates'!BN52+'C9-Tax Rates'!BF52)/100</f>
        <v>5.3151427098284153E-2</v>
      </c>
      <c r="O87" s="504"/>
      <c r="P87" s="1096">
        <f>B87+'F-5'!C85</f>
        <v>0.42136459160218331</v>
      </c>
      <c r="Q87" s="1090">
        <f>I87+'F-5'!F85</f>
        <v>0.22636007925995694</v>
      </c>
      <c r="R87" s="1090">
        <f>'F-B6'!Z80</f>
        <v>0.27117611829667115</v>
      </c>
      <c r="S87" s="1090">
        <f>'F-B5'!AG80</f>
        <v>0.15186122146793729</v>
      </c>
      <c r="T87" s="1090">
        <f>'F-B5'!AO80</f>
        <v>0.13702366337135194</v>
      </c>
      <c r="U87" s="504"/>
      <c r="V87" s="504"/>
      <c r="W87" s="504"/>
      <c r="X87" s="396"/>
      <c r="Y87" s="396"/>
      <c r="Z87" s="228"/>
      <c r="AA87" s="228"/>
      <c r="AB87" s="228"/>
      <c r="AC87" s="228"/>
      <c r="AD87" s="226"/>
      <c r="AE87" s="276"/>
      <c r="AF87" s="276"/>
      <c r="AG87" s="276"/>
      <c r="AH87" s="276"/>
      <c r="AI87" s="249"/>
    </row>
    <row r="88" spans="1:35" ht="12.75" customHeight="1" x14ac:dyDescent="0.3">
      <c r="A88" s="100">
        <v>2007</v>
      </c>
      <c r="B88" s="1096">
        <f t="shared" si="2"/>
        <v>0.42322838165826299</v>
      </c>
      <c r="C88" s="1085">
        <f>'C9-Tax Rates'!U53/100</f>
        <v>0.2474632324322901</v>
      </c>
      <c r="D88" s="1085">
        <f>'C9-Tax Rates'!AC53/100</f>
        <v>5.3976029311534932E-2</v>
      </c>
      <c r="E88" s="1085">
        <f>'C9-Tax Rates'!AK53/100</f>
        <v>4.4517973802072869E-2</v>
      </c>
      <c r="F88" s="1085">
        <f>'C9-Tax Rates'!AS53/100</f>
        <v>4.085414644511394E-2</v>
      </c>
      <c r="G88" s="1085">
        <f>('C9-Tax Rates'!BQ53+'C9-Tax Rates'!BI53)/100</f>
        <v>3.641699966725119E-2</v>
      </c>
      <c r="H88" s="74"/>
      <c r="I88" s="1096">
        <f t="shared" si="3"/>
        <v>0.15404418757513566</v>
      </c>
      <c r="J88" s="1085">
        <f>'C9-Tax Rates'!R53/100</f>
        <v>3.9571710515753949E-2</v>
      </c>
      <c r="K88" s="1085">
        <f>'C9-Tax Rates'!Z53/100</f>
        <v>1.2054797162773251E-2</v>
      </c>
      <c r="L88" s="1085">
        <f>'C9-Tax Rates'!AH53/100</f>
        <v>2.4960172791157496E-2</v>
      </c>
      <c r="M88" s="1085">
        <f>'C9-Tax Rates'!AP53/100</f>
        <v>2.3948886602191643E-2</v>
      </c>
      <c r="N88" s="1085">
        <f>('C9-Tax Rates'!BN53+'C9-Tax Rates'!BF53)/100</f>
        <v>5.350862050325933E-2</v>
      </c>
      <c r="O88" s="504"/>
      <c r="P88" s="1096">
        <f>B88+'F-5'!C86</f>
        <v>0.4437537374493668</v>
      </c>
      <c r="Q88" s="1090">
        <f>I88+'F-5'!F86</f>
        <v>0.22861934834559827</v>
      </c>
      <c r="R88" s="1090">
        <f>'F-B6'!Z81</f>
        <v>0.27471268511309188</v>
      </c>
      <c r="S88" s="1090">
        <f>'F-B5'!AG81</f>
        <v>0.153339597151222</v>
      </c>
      <c r="T88" s="1090">
        <f>'F-B5'!AO81</f>
        <v>0.13834612844630087</v>
      </c>
      <c r="U88" s="504"/>
      <c r="V88" s="504"/>
      <c r="W88" s="504"/>
      <c r="X88" s="396"/>
      <c r="Y88" s="396"/>
      <c r="Z88" s="228"/>
      <c r="AA88" s="228"/>
      <c r="AB88" s="228"/>
      <c r="AC88" s="228"/>
      <c r="AD88" s="226"/>
      <c r="AE88" s="276"/>
      <c r="AF88" s="276"/>
      <c r="AG88" s="276"/>
      <c r="AH88" s="276"/>
      <c r="AI88" s="249"/>
    </row>
    <row r="89" spans="1:35" ht="12.75" customHeight="1" x14ac:dyDescent="0.3">
      <c r="A89" s="100">
        <v>2008</v>
      </c>
      <c r="B89" s="1096">
        <f t="shared" si="2"/>
        <v>0.40263453269769484</v>
      </c>
      <c r="C89" s="1085">
        <f>'C9-Tax Rates'!U54/100</f>
        <v>0.23728518510614355</v>
      </c>
      <c r="D89" s="1085">
        <f>'C9-Tax Rates'!AC54/100</f>
        <v>5.4900798796641961E-2</v>
      </c>
      <c r="E89" s="1085">
        <f>'C9-Tax Rates'!AK54/100</f>
        <v>2.9787342491058778E-2</v>
      </c>
      <c r="F89" s="1085">
        <f>'C9-Tax Rates'!AS54/100</f>
        <v>4.2751416760067294E-2</v>
      </c>
      <c r="G89" s="1085">
        <f>('C9-Tax Rates'!BQ54+'C9-Tax Rates'!BI54)/100</f>
        <v>3.7909789543783282E-2</v>
      </c>
      <c r="H89" s="74"/>
      <c r="I89" s="1096">
        <f t="shared" si="3"/>
        <v>0.14522855999857859</v>
      </c>
      <c r="J89" s="1085">
        <f>'C9-Tax Rates'!R54/100</f>
        <v>4.0568266877340192E-2</v>
      </c>
      <c r="K89" s="1085">
        <f>'C9-Tax Rates'!Z54/100</f>
        <v>1.239511926860528E-2</v>
      </c>
      <c r="L89" s="1085">
        <f>'C9-Tax Rates'!AH54/100</f>
        <v>1.6075523853051683E-2</v>
      </c>
      <c r="M89" s="1085">
        <f>'C9-Tax Rates'!AP54/100</f>
        <v>2.3385430909543772E-2</v>
      </c>
      <c r="N89" s="1085">
        <f>('C9-Tax Rates'!BN54+'C9-Tax Rates'!BF54)/100</f>
        <v>5.2804219090037671E-2</v>
      </c>
      <c r="O89" s="504"/>
      <c r="P89" s="1096">
        <f>B89+'F-5'!C87</f>
        <v>0.42425979379733697</v>
      </c>
      <c r="Q89" s="1090">
        <f>I89+'F-5'!F87</f>
        <v>0.21823319877297243</v>
      </c>
      <c r="R89" s="1090">
        <f>'F-B6'!Z82</f>
        <v>0.26554824963514856</v>
      </c>
      <c r="S89" s="1090">
        <f>'F-B5'!AG82</f>
        <v>0.14171606330462963</v>
      </c>
      <c r="T89" s="1090">
        <f>'F-B5'!AO82</f>
        <v>0.1230785813136631</v>
      </c>
      <c r="U89" s="504"/>
      <c r="V89" s="504"/>
      <c r="W89" s="504"/>
      <c r="X89" s="396"/>
      <c r="Y89" s="396"/>
      <c r="Z89" s="228"/>
      <c r="AA89" s="228"/>
      <c r="AB89" s="228"/>
      <c r="AC89" s="228"/>
      <c r="AD89" s="226"/>
      <c r="AE89" s="276"/>
      <c r="AF89" s="276"/>
      <c r="AG89" s="276"/>
      <c r="AH89" s="276"/>
      <c r="AI89" s="249"/>
    </row>
    <row r="90" spans="1:35" ht="12.75" customHeight="1" x14ac:dyDescent="0.3">
      <c r="A90" s="100">
        <v>2009</v>
      </c>
      <c r="B90" s="1096">
        <f t="shared" si="2"/>
        <v>0.33763072687934848</v>
      </c>
      <c r="C90" s="1085">
        <f>'C9-Tax Rates'!U55/100</f>
        <v>0.17834359556902643</v>
      </c>
      <c r="D90" s="1085">
        <f>'C9-Tax Rates'!AC55/100</f>
        <v>4.7789712307209575E-2</v>
      </c>
      <c r="E90" s="1085">
        <f>'C9-Tax Rates'!AK55/100</f>
        <v>2.641137300119463E-2</v>
      </c>
      <c r="F90" s="1085">
        <f>'C9-Tax Rates'!AS55/100</f>
        <v>4.8379758368452611E-2</v>
      </c>
      <c r="G90" s="1085">
        <f>('C9-Tax Rates'!BQ55+'C9-Tax Rates'!BI55)/100</f>
        <v>3.6706287633465236E-2</v>
      </c>
      <c r="H90" s="74"/>
      <c r="I90" s="1096">
        <f t="shared" si="3"/>
        <v>0.12845749156571667</v>
      </c>
      <c r="J90" s="1085">
        <f>'C9-Tax Rates'!R55/100</f>
        <v>3.0716110863501483E-2</v>
      </c>
      <c r="K90" s="1085">
        <f>'C9-Tax Rates'!Z55/100</f>
        <v>1.0341503923202284E-2</v>
      </c>
      <c r="L90" s="1085">
        <f>'C9-Tax Rates'!AH55/100</f>
        <v>1.2498325895110955E-2</v>
      </c>
      <c r="M90" s="1085">
        <f>'C9-Tax Rates'!AP55/100</f>
        <v>2.4576411143366252E-2</v>
      </c>
      <c r="N90" s="1085">
        <f>('C9-Tax Rates'!BN55+'C9-Tax Rates'!BF55)/100</f>
        <v>5.0325139740535693E-2</v>
      </c>
      <c r="O90" s="504"/>
      <c r="P90" s="1096">
        <f>B90+'F-5'!C88</f>
        <v>0.36005577381556081</v>
      </c>
      <c r="Q90" s="1090">
        <f>I90+'F-5'!F88</f>
        <v>0.19839806576493413</v>
      </c>
      <c r="R90" s="1090">
        <f>'F-B6'!Z83</f>
        <v>0.24345316510886231</v>
      </c>
      <c r="S90" s="1090">
        <f>'F-B5'!AG83</f>
        <v>0.1250044535758508</v>
      </c>
      <c r="T90" s="1090">
        <f>'F-B5'!AO83</f>
        <v>0.10590807614636071</v>
      </c>
      <c r="U90" s="504"/>
      <c r="V90" s="504"/>
      <c r="W90" s="504"/>
      <c r="X90" s="396"/>
      <c r="Y90" s="396"/>
      <c r="Z90" s="228"/>
      <c r="AA90" s="228"/>
      <c r="AB90" s="228"/>
      <c r="AC90" s="228"/>
      <c r="AD90" s="226"/>
      <c r="AE90" s="276"/>
      <c r="AF90" s="276"/>
      <c r="AG90" s="276"/>
      <c r="AH90" s="276"/>
      <c r="AI90" s="249"/>
    </row>
    <row r="91" spans="1:35" ht="12.75" customHeight="1" x14ac:dyDescent="0.3">
      <c r="A91" s="100">
        <v>2010</v>
      </c>
      <c r="B91" s="1096">
        <f t="shared" si="2"/>
        <v>0.33320735455547607</v>
      </c>
      <c r="C91" s="1085">
        <f>'C9-Tax Rates'!U56/100</f>
        <v>0.17580129690239985</v>
      </c>
      <c r="D91" s="1085">
        <f>'C9-Tax Rates'!AC56/100</f>
        <v>4.4045867837747006E-2</v>
      </c>
      <c r="E91" s="1085">
        <f>'C9-Tax Rates'!AK56/100</f>
        <v>3.4131884253416095E-2</v>
      </c>
      <c r="F91" s="1085">
        <f>'C9-Tax Rates'!AS56/100</f>
        <v>4.513645513586529E-2</v>
      </c>
      <c r="G91" s="1085">
        <f>('C9-Tax Rates'!BQ56+'C9-Tax Rates'!BI56)/100</f>
        <v>3.4091850426047829E-2</v>
      </c>
      <c r="H91" s="74"/>
      <c r="I91" s="1096">
        <f t="shared" si="3"/>
        <v>0.12979690964983134</v>
      </c>
      <c r="J91" s="1085">
        <f>'C9-Tax Rates'!R56/100</f>
        <v>3.1468184683285404E-2</v>
      </c>
      <c r="K91" s="1085">
        <f>'C9-Tax Rates'!Z56/100</f>
        <v>9.9695161983614326E-3</v>
      </c>
      <c r="L91" s="1085">
        <f>'C9-Tax Rates'!AH56/100</f>
        <v>1.4892166548525267E-2</v>
      </c>
      <c r="M91" s="1085">
        <f>'C9-Tax Rates'!AP56/100</f>
        <v>2.2919294664215981E-2</v>
      </c>
      <c r="N91" s="1085">
        <f>('C9-Tax Rates'!BN56+'C9-Tax Rates'!BF56)/100</f>
        <v>5.0547747555443258E-2</v>
      </c>
      <c r="O91" s="504"/>
      <c r="P91" s="1096">
        <f>B91+'F-5'!C89</f>
        <v>0.35365948563824012</v>
      </c>
      <c r="Q91" s="1090">
        <f>I91+'F-5'!F89</f>
        <v>0.19893665778667319</v>
      </c>
      <c r="R91" s="1090">
        <f>'F-B6'!Z84</f>
        <v>0.24593314351610002</v>
      </c>
      <c r="S91" s="1090">
        <f>'F-B5'!AG84</f>
        <v>0.12344334197880749</v>
      </c>
      <c r="T91" s="1090">
        <f>'F-B5'!AO84</f>
        <v>8.8627643173987719E-2</v>
      </c>
      <c r="U91" s="504"/>
      <c r="V91" s="504"/>
      <c r="W91" s="504"/>
      <c r="X91" s="396"/>
      <c r="Y91" s="396"/>
      <c r="Z91" s="228"/>
      <c r="AA91" s="228"/>
      <c r="AB91" s="228"/>
      <c r="AC91" s="228"/>
      <c r="AD91" s="226"/>
      <c r="AE91" s="276"/>
      <c r="AF91" s="276"/>
      <c r="AG91" s="276"/>
      <c r="AH91" s="276"/>
      <c r="AI91" s="249"/>
    </row>
    <row r="92" spans="1:35" ht="12.75" customHeight="1" x14ac:dyDescent="0.3">
      <c r="A92" s="100">
        <v>2011</v>
      </c>
      <c r="B92" s="1096">
        <f t="shared" si="2"/>
        <v>0.35843749181628159</v>
      </c>
      <c r="C92" s="1085">
        <f>'C9-Tax Rates'!U57/100</f>
        <v>0.20199179717002252</v>
      </c>
      <c r="D92" s="1085">
        <f>'C9-Tax Rates'!AC57/100</f>
        <v>4.7969508879265509E-2</v>
      </c>
      <c r="E92" s="1085">
        <f>'C9-Tax Rates'!AK57/100</f>
        <v>3.2253635055686312E-2</v>
      </c>
      <c r="F92" s="1085">
        <f>'C9-Tax Rates'!AS57/100</f>
        <v>4.3242518148198433E-2</v>
      </c>
      <c r="G92" s="1085">
        <f>('C9-Tax Rates'!BQ57+'C9-Tax Rates'!BI57)/100</f>
        <v>3.2980032563108753E-2</v>
      </c>
      <c r="H92" s="74"/>
      <c r="I92" s="1096">
        <f t="shared" si="3"/>
        <v>0.13580469148666877</v>
      </c>
      <c r="J92" s="1085">
        <f>'C9-Tax Rates'!R57/100</f>
        <v>3.6632904693323698E-2</v>
      </c>
      <c r="K92" s="1085">
        <f>'C9-Tax Rates'!Z57/100</f>
        <v>1.0611621877538819E-2</v>
      </c>
      <c r="L92" s="1085">
        <f>'C9-Tax Rates'!AH57/100</f>
        <v>1.514122993186259E-2</v>
      </c>
      <c r="M92" s="1085">
        <f>'C9-Tax Rates'!AP57/100</f>
        <v>2.2239448341500868E-2</v>
      </c>
      <c r="N92" s="1085">
        <f>('C9-Tax Rates'!BN57+'C9-Tax Rates'!BF57)/100</f>
        <v>5.1179486642442783E-2</v>
      </c>
      <c r="O92" s="504"/>
      <c r="P92" s="1096">
        <f>B92+'F-5'!C90</f>
        <v>0.37796787149554739</v>
      </c>
      <c r="Q92" s="1090">
        <f>I92+'F-5'!F90</f>
        <v>0.19690225657015023</v>
      </c>
      <c r="R92" s="1090">
        <f>'F-B6'!Z85</f>
        <v>0.24396643623794895</v>
      </c>
      <c r="S92" s="1090">
        <f>'F-B5'!AG85</f>
        <v>0.12019793041244567</v>
      </c>
      <c r="T92" s="1090">
        <f>'F-B5'!AO85</f>
        <v>8.4692553522816655E-2</v>
      </c>
      <c r="U92" s="504"/>
      <c r="V92" s="504"/>
      <c r="W92" s="504"/>
      <c r="X92" s="396"/>
      <c r="Y92" s="396"/>
      <c r="Z92" s="228"/>
      <c r="AA92" s="228"/>
      <c r="AB92" s="228"/>
      <c r="AC92" s="228"/>
      <c r="AD92" s="226"/>
      <c r="AE92" s="276"/>
      <c r="AF92" s="276"/>
      <c r="AG92" s="276"/>
      <c r="AH92" s="276"/>
      <c r="AI92" s="249"/>
    </row>
    <row r="93" spans="1:35" ht="12.75" customHeight="1" x14ac:dyDescent="0.3">
      <c r="A93" s="100">
        <v>2012</v>
      </c>
      <c r="B93" s="1096">
        <f t="shared" si="2"/>
        <v>0.3546466456470968</v>
      </c>
      <c r="C93" s="1085">
        <f>'C9-Tax Rates'!U58/100</f>
        <v>0.1987892753517384</v>
      </c>
      <c r="D93" s="1085">
        <f>'C9-Tax Rates'!AC58/100</f>
        <v>4.6682610476308083E-2</v>
      </c>
      <c r="E93" s="1085">
        <f>'C9-Tax Rates'!AK58/100</f>
        <v>3.6129940290781037E-2</v>
      </c>
      <c r="F93" s="1085">
        <f>'C9-Tax Rates'!AS58/100</f>
        <v>4.0356967260829373E-2</v>
      </c>
      <c r="G93" s="1085">
        <f>('C9-Tax Rates'!BQ58+'C9-Tax Rates'!BI58)/100</f>
        <v>3.2687852267439893E-2</v>
      </c>
      <c r="H93" s="74"/>
      <c r="I93" s="1096">
        <f t="shared" si="3"/>
        <v>0.13260944296225791</v>
      </c>
      <c r="J93" s="1085">
        <f>'C9-Tax Rates'!R58/100</f>
        <v>3.4292647595019821E-2</v>
      </c>
      <c r="K93" s="1085">
        <f>'C9-Tax Rates'!Z58/100</f>
        <v>1.0800978069918761E-2</v>
      </c>
      <c r="L93" s="1085">
        <f>'C9-Tax Rates'!AH58/100</f>
        <v>1.679777295394469E-2</v>
      </c>
      <c r="M93" s="1085">
        <f>'C9-Tax Rates'!AP58/100</f>
        <v>2.1226746866585475E-2</v>
      </c>
      <c r="N93" s="1085">
        <f>('C9-Tax Rates'!BN58+'C9-Tax Rates'!BF58)/100</f>
        <v>4.949129747678916E-2</v>
      </c>
      <c r="O93" s="504"/>
      <c r="P93" s="1096">
        <f>B93+'F-5'!C91</f>
        <v>0.37285307523011191</v>
      </c>
      <c r="Q93" s="1090">
        <f>I93+'F-5'!F91</f>
        <v>0.19428540871241259</v>
      </c>
      <c r="R93" s="1090">
        <f>'F-B6'!Z86</f>
        <v>0.23903994258372177</v>
      </c>
      <c r="S93" s="1090">
        <f>'F-B5'!AG86</f>
        <v>0.11959978626477985</v>
      </c>
      <c r="T93" s="1090">
        <f>'F-B5'!AO86</f>
        <v>9.6982782596384265E-2</v>
      </c>
      <c r="U93" s="504"/>
      <c r="V93" s="504"/>
      <c r="W93" s="504"/>
      <c r="X93" s="396"/>
      <c r="Y93" s="396"/>
      <c r="Z93" s="228"/>
      <c r="AA93" s="228"/>
      <c r="AB93" s="228"/>
      <c r="AC93" s="228"/>
      <c r="AD93" s="226"/>
      <c r="AE93" s="276"/>
      <c r="AF93" s="276"/>
      <c r="AG93" s="276"/>
      <c r="AH93" s="276"/>
      <c r="AI93" s="249"/>
    </row>
    <row r="94" spans="1:35" ht="12.75" customHeight="1" x14ac:dyDescent="0.3">
      <c r="A94" s="100">
        <v>2013</v>
      </c>
      <c r="B94" s="1096">
        <f t="shared" si="2"/>
        <v>0.41003273371520632</v>
      </c>
      <c r="C94" s="1085">
        <f>'C9-Tax Rates'!U59/100</f>
        <v>0.23629619505734908</v>
      </c>
      <c r="D94" s="1085">
        <f>'C9-Tax Rates'!AC59/100</f>
        <v>5.7759825052009134E-2</v>
      </c>
      <c r="E94" s="1085">
        <f>'C9-Tax Rates'!AK59/100</f>
        <v>3.8911861201505159E-2</v>
      </c>
      <c r="F94" s="1085">
        <f>'C9-Tax Rates'!AS59/100</f>
        <v>4.2464647734538799E-2</v>
      </c>
      <c r="G94" s="1085">
        <f>('C9-Tax Rates'!BQ59+'C9-Tax Rates'!BI59)/100</f>
        <v>3.4600204669804159E-2</v>
      </c>
      <c r="H94" s="74"/>
      <c r="I94" s="1096">
        <f t="shared" si="3"/>
        <v>0.13806751250320012</v>
      </c>
      <c r="J94" s="1085">
        <f>'C9-Tax Rates'!R59/100</f>
        <v>3.7260552464639406E-2</v>
      </c>
      <c r="K94" s="1085">
        <f>'C9-Tax Rates'!Z59/100</f>
        <v>1.0928270760761707E-2</v>
      </c>
      <c r="L94" s="1085">
        <f>'C9-Tax Rates'!AH59/100</f>
        <v>1.7753072045926462E-2</v>
      </c>
      <c r="M94" s="1085">
        <f>'C9-Tax Rates'!AP59/100</f>
        <v>2.0679839665296317E-2</v>
      </c>
      <c r="N94" s="1085">
        <f>('C9-Tax Rates'!BN59+'C9-Tax Rates'!BF59)/100</f>
        <v>5.1445777566576222E-2</v>
      </c>
      <c r="O94" s="504"/>
      <c r="P94" s="1096">
        <f>B94+'F-5'!C92</f>
        <v>0.43107131422703404</v>
      </c>
      <c r="Q94" s="1090">
        <f>I94+'F-5'!F92</f>
        <v>0.20736031346848785</v>
      </c>
      <c r="R94" s="1090">
        <f>'F-B6'!Z87</f>
        <v>0.25357340955911317</v>
      </c>
      <c r="S94" s="1090">
        <f>'F-B5'!AG87</f>
        <v>0.12888173862292199</v>
      </c>
      <c r="T94" s="1090">
        <f>'F-B5'!AO87</f>
        <v>0.10739685278520279</v>
      </c>
      <c r="U94" s="504"/>
      <c r="V94" s="504"/>
      <c r="W94" s="504"/>
      <c r="X94" s="396"/>
      <c r="Y94" s="396"/>
      <c r="Z94" s="228"/>
      <c r="AA94" s="228"/>
      <c r="AB94" s="228"/>
      <c r="AC94" s="228"/>
      <c r="AD94" s="226"/>
      <c r="AE94" s="276"/>
      <c r="AF94" s="276"/>
      <c r="AG94" s="276"/>
      <c r="AH94" s="276"/>
      <c r="AI94" s="249"/>
    </row>
    <row r="95" spans="1:35" ht="12.75" customHeight="1" x14ac:dyDescent="0.3">
      <c r="A95" s="23">
        <v>2014</v>
      </c>
      <c r="B95" s="1096">
        <f>SUM(C95:G95)</f>
        <v>0.41187489262437066</v>
      </c>
      <c r="C95" s="1085">
        <f>'C9-Tax Rates'!U60/100</f>
        <v>0.24505667675764325</v>
      </c>
      <c r="D95" s="1085">
        <f>'C9-Tax Rates'!AC60/100</f>
        <v>5.3023474210859296E-2</v>
      </c>
      <c r="E95" s="1085">
        <f>'C9-Tax Rates'!AK60/100</f>
        <v>3.876567741756809E-2</v>
      </c>
      <c r="F95" s="1085">
        <f>'C9-Tax Rates'!AS60/100</f>
        <v>4.0542803241419866E-2</v>
      </c>
      <c r="G95" s="1085">
        <f>('C9-Tax Rates'!BQ60+'C9-Tax Rates'!BI60)/100</f>
        <v>3.4486260996880187E-2</v>
      </c>
      <c r="H95" s="74"/>
      <c r="I95" s="1096">
        <f>SUM(J95:N95)</f>
        <v>0.13893428550568762</v>
      </c>
      <c r="J95" s="1085">
        <f>'C9-Tax Rates'!R60/100</f>
        <v>3.7604710573494037E-2</v>
      </c>
      <c r="K95" s="1085">
        <f>'C9-Tax Rates'!Z60/100</f>
        <v>1.0666950192132728E-2</v>
      </c>
      <c r="L95" s="1085">
        <f>'C9-Tax Rates'!AH60/100</f>
        <v>1.7792552055424158E-2</v>
      </c>
      <c r="M95" s="1085">
        <f>'C9-Tax Rates'!AP60/100</f>
        <v>1.981109414941826E-2</v>
      </c>
      <c r="N95" s="1085">
        <f>('C9-Tax Rates'!BN60+'C9-Tax Rates'!BF60)/100</f>
        <v>5.3058978535218439E-2</v>
      </c>
      <c r="O95" s="229"/>
      <c r="P95" s="1096">
        <f>B95+'F-5'!C93</f>
        <v>0.43270366800896704</v>
      </c>
      <c r="Q95" s="1090">
        <f>I95+'F-5'!F93</f>
        <v>0.20841325138268468</v>
      </c>
      <c r="R95" s="1090">
        <f>'F-B6'!Z88</f>
        <v>0.25520640196564864</v>
      </c>
      <c r="S95" s="1090">
        <f>'F-B5'!AG88</f>
        <v>0.12944722959375746</v>
      </c>
      <c r="T95" s="1090">
        <f>'F-B5'!AO88</f>
        <v>0.10523505836887596</v>
      </c>
      <c r="U95" s="229"/>
      <c r="V95" s="229"/>
      <c r="W95" s="229"/>
      <c r="X95" s="229"/>
      <c r="Y95" s="229"/>
      <c r="Z95" s="229"/>
      <c r="AA95" s="229"/>
      <c r="AB95" s="229"/>
      <c r="AC95" s="229"/>
      <c r="AD95" s="229"/>
      <c r="AE95" s="24"/>
      <c r="AF95" s="24"/>
      <c r="AG95" s="24"/>
      <c r="AH95" s="24"/>
      <c r="AI95" s="24"/>
    </row>
    <row r="96" spans="1:35" ht="12.75" customHeight="1" x14ac:dyDescent="0.3">
      <c r="A96" s="23">
        <v>2015</v>
      </c>
      <c r="B96" s="1096">
        <f>SUM(C96:G96)</f>
        <v>0.42346769977416099</v>
      </c>
      <c r="C96" s="1085">
        <f>'C9-Tax Rates'!U61/100</f>
        <v>0.2540702729627185</v>
      </c>
      <c r="D96" s="1085">
        <f>'C9-Tax Rates'!AC61/100</f>
        <v>5.6991641075469703E-2</v>
      </c>
      <c r="E96" s="1085">
        <f>'C9-Tax Rates'!AK61/100</f>
        <v>3.6754163949209814E-2</v>
      </c>
      <c r="F96" s="1085">
        <f>'C9-Tax Rates'!AS61/100</f>
        <v>3.9503894541313186E-2</v>
      </c>
      <c r="G96" s="1085">
        <f>('C9-Tax Rates'!BQ61+'C9-Tax Rates'!BI61)/100</f>
        <v>3.6147727245449748E-2</v>
      </c>
      <c r="H96" s="74"/>
      <c r="I96" s="1096">
        <f>SUM(J96:N96)</f>
        <v>0.14058764939648183</v>
      </c>
      <c r="J96" s="1085">
        <f>'C9-Tax Rates'!R61/100</f>
        <v>3.9819935190245362E-2</v>
      </c>
      <c r="K96" s="1085">
        <f>'C9-Tax Rates'!Z61/100</f>
        <v>1.076866517985859E-2</v>
      </c>
      <c r="L96" s="1085">
        <f>'C9-Tax Rates'!AH61/100</f>
        <v>1.6772015609028655E-2</v>
      </c>
      <c r="M96" s="1085">
        <f>'C9-Tax Rates'!AP61/100</f>
        <v>1.9159533815405409E-2</v>
      </c>
      <c r="N96" s="1085">
        <f>('C9-Tax Rates'!BN61+'C9-Tax Rates'!BF61)/100</f>
        <v>5.4067499601943833E-2</v>
      </c>
      <c r="O96" s="229"/>
      <c r="P96" s="1096">
        <f>B96+'F-5'!C94</f>
        <v>0.444563688554725</v>
      </c>
      <c r="Q96" s="1090">
        <f>I96+'F-5'!F94</f>
        <v>0.20972042822063464</v>
      </c>
      <c r="R96" s="1090">
        <f>'F-B6'!Z89</f>
        <v>0.25743895961439645</v>
      </c>
      <c r="S96" s="1090">
        <f>'F-B5'!AG89</f>
        <v>0.12943922969532737</v>
      </c>
      <c r="T96" s="1090">
        <f>'F-B5'!AO89</f>
        <v>0.10398168807720293</v>
      </c>
      <c r="U96" s="229"/>
      <c r="V96" s="229"/>
      <c r="W96" s="229"/>
      <c r="X96" s="229"/>
      <c r="Y96" s="229"/>
      <c r="Z96" s="229"/>
      <c r="AA96" s="229"/>
      <c r="AB96" s="229"/>
      <c r="AC96" s="229"/>
      <c r="AD96" s="229"/>
    </row>
    <row r="97" spans="1:29" x14ac:dyDescent="0.3">
      <c r="A97" s="11"/>
      <c r="B97" s="11"/>
      <c r="C97" s="11"/>
      <c r="D97" s="11"/>
      <c r="E97" s="11"/>
      <c r="F97" s="11"/>
      <c r="G97" s="11"/>
      <c r="H97" s="11"/>
      <c r="I97" s="11"/>
      <c r="J97" s="11"/>
      <c r="K97" s="11"/>
      <c r="L97" s="11"/>
      <c r="M97" s="11"/>
      <c r="N97" s="11"/>
      <c r="O97" s="12"/>
      <c r="P97" s="12"/>
      <c r="Q97" s="12"/>
      <c r="R97" s="12"/>
      <c r="S97" s="12"/>
      <c r="T97" s="12"/>
      <c r="U97" s="12"/>
      <c r="V97" s="12"/>
      <c r="W97" s="12"/>
      <c r="X97" s="12"/>
      <c r="Y97" s="12"/>
      <c r="Z97" s="12"/>
      <c r="AA97" s="12"/>
      <c r="AB97" s="12"/>
      <c r="AC97" s="12"/>
    </row>
    <row r="98" spans="1:29" x14ac:dyDescent="0.3">
      <c r="G98" s="12"/>
      <c r="I98" s="12"/>
      <c r="J98" s="12"/>
      <c r="K98" s="12"/>
      <c r="L98" s="12"/>
      <c r="M98" s="12"/>
      <c r="N98" s="12"/>
      <c r="O98" s="12"/>
      <c r="P98" s="12"/>
      <c r="Q98" s="12"/>
      <c r="R98" s="12"/>
      <c r="S98" s="12"/>
      <c r="T98" s="12"/>
      <c r="U98" s="12"/>
      <c r="V98" s="12"/>
      <c r="W98" s="12"/>
      <c r="X98" s="12"/>
      <c r="Y98" s="12"/>
    </row>
    <row r="99" spans="1:29" x14ac:dyDescent="0.3">
      <c r="A99" s="502" t="s">
        <v>2037</v>
      </c>
      <c r="B99" s="32">
        <f>AVERAGE(B41:B96)</f>
        <v>0.37813454426393578</v>
      </c>
      <c r="G99" s="12"/>
      <c r="I99" s="32"/>
      <c r="J99" s="12"/>
      <c r="K99" s="12"/>
      <c r="L99" s="12"/>
      <c r="M99" s="12"/>
      <c r="N99" s="12"/>
      <c r="O99" s="12"/>
      <c r="P99" s="12"/>
      <c r="Q99" s="12"/>
      <c r="R99" s="12"/>
      <c r="S99" s="12"/>
      <c r="T99" s="12"/>
      <c r="U99" s="12"/>
      <c r="V99" s="12"/>
      <c r="W99" s="12"/>
      <c r="X99" s="12"/>
      <c r="Y99" s="12"/>
    </row>
    <row r="100" spans="1:29" x14ac:dyDescent="0.3">
      <c r="A100" s="502" t="s">
        <v>2038</v>
      </c>
      <c r="B100" s="32">
        <f>MIN(B41:B96)</f>
        <v>0.3248094779098824</v>
      </c>
      <c r="C100" s="32"/>
    </row>
    <row r="101" spans="1:29" x14ac:dyDescent="0.3">
      <c r="A101" s="502" t="s">
        <v>2039</v>
      </c>
      <c r="B101" s="32">
        <f>MAX(B41:B96)</f>
        <v>0.4507973170289275</v>
      </c>
    </row>
  </sheetData>
  <mergeCells count="2">
    <mergeCell ref="B38:G38"/>
    <mergeCell ref="I38:N38"/>
  </mergeCells>
  <hyperlinks>
    <hyperlink ref="K1" location="Index!A1" display="Index"/>
  </hyperlink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4" tint="0.59999389629810485"/>
  </sheetPr>
  <dimension ref="A1:AI97"/>
  <sheetViews>
    <sheetView workbookViewId="0">
      <selection activeCell="M19" sqref="M19"/>
    </sheetView>
  </sheetViews>
  <sheetFormatPr defaultColWidth="9.109375" defaultRowHeight="14.4" x14ac:dyDescent="0.3"/>
  <cols>
    <col min="1" max="1" width="9.109375" style="502"/>
    <col min="2" max="2" width="11" style="502" customWidth="1"/>
    <col min="3" max="3" width="11.88671875" style="502" customWidth="1"/>
    <col min="4" max="4" width="3.109375" style="502" customWidth="1"/>
    <col min="5" max="6" width="13.77734375" style="502" customWidth="1"/>
    <col min="7" max="7" width="10.77734375" style="502" customWidth="1"/>
    <col min="8" max="8" width="2.77734375" style="502" customWidth="1"/>
    <col min="9" max="9" width="8.77734375" style="502" customWidth="1"/>
    <col min="10" max="10" width="12" style="502" customWidth="1"/>
    <col min="11" max="14" width="11.109375" style="502" customWidth="1"/>
    <col min="15" max="15" width="12" style="502" customWidth="1"/>
    <col min="16" max="16" width="9.109375" style="502"/>
    <col min="17" max="17" width="10.5546875" style="502" customWidth="1"/>
    <col min="18" max="18" width="9.109375" style="502"/>
    <col min="19" max="19" width="10.109375" style="502" customWidth="1"/>
    <col min="20" max="22" width="9.109375" style="502"/>
    <col min="23" max="23" width="5.44140625" style="502" customWidth="1"/>
    <col min="24" max="24" width="17.5546875" style="502" customWidth="1"/>
    <col min="25" max="25" width="12.88671875" style="502" customWidth="1"/>
    <col min="26" max="26" width="9.109375" style="502"/>
    <col min="27" max="27" width="2.5546875" style="502" customWidth="1"/>
    <col min="28" max="29" width="9.21875" style="502" customWidth="1"/>
    <col min="30" max="30" width="3" style="502" customWidth="1"/>
    <col min="31" max="16384" width="9.109375" style="502"/>
  </cols>
  <sheetData>
    <row r="1" spans="1:12" x14ac:dyDescent="0.3">
      <c r="A1" s="370" t="s">
        <v>2053</v>
      </c>
      <c r="L1" s="462" t="s">
        <v>504</v>
      </c>
    </row>
    <row r="29" spans="1:1" x14ac:dyDescent="0.3">
      <c r="A29" s="386" t="s">
        <v>1682</v>
      </c>
    </row>
    <row r="30" spans="1:1" x14ac:dyDescent="0.3">
      <c r="A30" s="211" t="s">
        <v>1662</v>
      </c>
    </row>
    <row r="33" spans="1:35" x14ac:dyDescent="0.3">
      <c r="A33" s="252"/>
    </row>
    <row r="34" spans="1:35" x14ac:dyDescent="0.3">
      <c r="A34" s="252"/>
      <c r="G34" s="12"/>
      <c r="H34" s="12"/>
      <c r="I34" s="12"/>
      <c r="J34" s="12"/>
      <c r="K34" s="12"/>
      <c r="L34" s="12"/>
      <c r="M34" s="12"/>
      <c r="N34" s="12"/>
      <c r="O34" s="12"/>
      <c r="P34" s="12"/>
      <c r="Q34" s="12"/>
    </row>
    <row r="35" spans="1:35" x14ac:dyDescent="0.3">
      <c r="A35" s="404" t="s">
        <v>1900</v>
      </c>
      <c r="B35" s="11"/>
      <c r="C35" s="11"/>
      <c r="D35" s="11"/>
      <c r="E35" s="11"/>
      <c r="F35" s="11"/>
      <c r="G35" s="12"/>
      <c r="H35" s="12"/>
      <c r="I35" s="12"/>
      <c r="J35" s="12"/>
      <c r="K35" s="12"/>
      <c r="L35" s="12"/>
      <c r="M35" s="12"/>
      <c r="N35" s="12"/>
      <c r="O35" s="12"/>
      <c r="P35" s="12"/>
      <c r="Q35" s="12"/>
    </row>
    <row r="36" spans="1:35" ht="16.5" customHeight="1" x14ac:dyDescent="0.3">
      <c r="A36" s="12"/>
      <c r="B36" s="1372" t="s">
        <v>1495</v>
      </c>
      <c r="C36" s="1372"/>
      <c r="D36" s="511"/>
      <c r="E36" s="1372" t="s">
        <v>1496</v>
      </c>
      <c r="F36" s="1372"/>
      <c r="G36" s="509"/>
      <c r="H36" s="509"/>
      <c r="I36" s="12"/>
      <c r="J36" s="509"/>
      <c r="K36" s="509"/>
      <c r="L36" s="509"/>
      <c r="M36" s="509"/>
      <c r="N36" s="509"/>
      <c r="O36" s="12"/>
      <c r="P36" s="12"/>
      <c r="Q36" s="12"/>
      <c r="R36" s="12"/>
      <c r="S36" s="12"/>
      <c r="T36" s="12"/>
      <c r="U36" s="12"/>
      <c r="V36" s="12"/>
      <c r="W36" s="12"/>
      <c r="X36" s="12"/>
      <c r="Y36" s="12"/>
    </row>
    <row r="37" spans="1:35" ht="45" customHeight="1" x14ac:dyDescent="0.3">
      <c r="A37" s="353"/>
      <c r="B37" s="497" t="s">
        <v>598</v>
      </c>
      <c r="C37" s="497" t="s">
        <v>599</v>
      </c>
      <c r="D37" s="11"/>
      <c r="E37" s="497" t="s">
        <v>598</v>
      </c>
      <c r="F37" s="497" t="s">
        <v>599</v>
      </c>
      <c r="G37" s="262"/>
      <c r="H37" s="12"/>
      <c r="I37" s="262"/>
      <c r="J37" s="12"/>
      <c r="K37" s="262"/>
      <c r="L37" s="12"/>
      <c r="M37" s="262"/>
      <c r="N37" s="262"/>
      <c r="O37" s="12"/>
      <c r="P37" s="12"/>
      <c r="Q37" s="506"/>
      <c r="R37" s="342"/>
      <c r="S37" s="342"/>
      <c r="T37" s="342"/>
      <c r="U37" s="342"/>
      <c r="V37" s="342"/>
      <c r="W37" s="342"/>
      <c r="X37" s="342"/>
      <c r="Y37" s="342"/>
      <c r="Z37" s="342"/>
      <c r="AA37" s="342"/>
      <c r="AB37" s="342"/>
      <c r="AC37" s="342"/>
      <c r="AD37" s="342"/>
      <c r="AE37" s="342"/>
      <c r="AF37" s="342"/>
      <c r="AG37" s="342"/>
      <c r="AH37" s="24"/>
      <c r="AI37" s="24"/>
    </row>
    <row r="38" spans="1:35" ht="9.75" customHeight="1" x14ac:dyDescent="0.3">
      <c r="A38" s="4"/>
      <c r="B38" s="18"/>
      <c r="C38" s="18"/>
      <c r="E38" s="18"/>
      <c r="F38" s="18"/>
      <c r="G38" s="18"/>
      <c r="H38" s="12"/>
      <c r="I38" s="18"/>
      <c r="J38" s="12"/>
      <c r="K38" s="18"/>
      <c r="L38" s="12"/>
      <c r="M38" s="18"/>
      <c r="N38" s="18"/>
      <c r="O38" s="12"/>
      <c r="Q38" s="18"/>
      <c r="R38" s="18"/>
      <c r="S38" s="18"/>
      <c r="T38" s="18"/>
      <c r="U38" s="18"/>
      <c r="V38" s="18"/>
      <c r="W38" s="18"/>
      <c r="X38" s="18"/>
      <c r="Y38" s="18"/>
      <c r="Z38" s="18"/>
      <c r="AA38" s="18"/>
      <c r="AB38" s="18"/>
      <c r="AC38" s="18"/>
      <c r="AD38" s="18"/>
      <c r="AE38" s="24"/>
      <c r="AF38" s="24"/>
      <c r="AG38" s="24"/>
      <c r="AH38" s="24"/>
      <c r="AI38" s="24"/>
    </row>
    <row r="39" spans="1:35" ht="12.75" customHeight="1" x14ac:dyDescent="0.3">
      <c r="A39" s="100">
        <v>1960</v>
      </c>
      <c r="B39" s="1352">
        <f>'C1-Incomes'!LF8/'C1-Incomes'!U8</f>
        <v>3.3121546018338266E-3</v>
      </c>
      <c r="C39" s="1352">
        <f>'C1-Incomes'!KP8/'C1-Incomes'!U8</f>
        <v>2.7363735513388741E-3</v>
      </c>
      <c r="D39" s="1353"/>
      <c r="E39" s="1352">
        <f>('C1-Incomes'!LC8-'C1-Incomes'!LD8)/('C1-Incomes'!R8-'C1-Incomes'!S8)</f>
        <v>4.2426782978746885E-2</v>
      </c>
      <c r="F39" s="1352">
        <f>('C1-Incomes'!KM8-'C1-Incomes'!KN8)/('C1-Incomes'!R8-'C1-Incomes'!S8)</f>
        <v>4.167147418942023E-2</v>
      </c>
      <c r="G39" s="396"/>
      <c r="H39" s="12"/>
      <c r="I39" s="510"/>
      <c r="J39" s="12"/>
      <c r="K39" s="396"/>
      <c r="L39" s="12"/>
      <c r="M39" s="396"/>
      <c r="N39" s="396"/>
      <c r="O39" s="12"/>
      <c r="Q39" s="507"/>
      <c r="R39" s="504"/>
      <c r="S39" s="504"/>
      <c r="T39" s="504"/>
      <c r="U39" s="504"/>
      <c r="V39" s="504"/>
      <c r="W39" s="504"/>
      <c r="X39" s="396"/>
      <c r="Y39" s="396"/>
      <c r="Z39" s="228"/>
      <c r="AA39" s="228"/>
      <c r="AB39" s="228"/>
      <c r="AC39" s="228"/>
      <c r="AD39" s="226"/>
      <c r="AE39" s="24"/>
      <c r="AF39" s="24"/>
      <c r="AG39" s="24"/>
      <c r="AH39" s="24"/>
      <c r="AI39" s="24"/>
    </row>
    <row r="40" spans="1:35" ht="12.75" customHeight="1" x14ac:dyDescent="0.3">
      <c r="A40" s="100">
        <v>1961</v>
      </c>
      <c r="B40" s="1352">
        <f>'C1-Incomes'!LF9/'C1-Incomes'!U9</f>
        <v>3.5361752391555568E-3</v>
      </c>
      <c r="C40" s="1352">
        <f>'C1-Incomes'!KP9/'C1-Incomes'!U9</f>
        <v>3.0904560280915496E-3</v>
      </c>
      <c r="D40" s="1353"/>
      <c r="E40" s="1352">
        <f>('C1-Incomes'!LC9-'C1-Incomes'!LD9)/('C1-Incomes'!R9-'C1-Incomes'!S9)</f>
        <v>4.4283775993978911E-2</v>
      </c>
      <c r="F40" s="1352">
        <f>('C1-Incomes'!KM9-'C1-Incomes'!KN9)/('C1-Incomes'!R9-'C1-Incomes'!S9)</f>
        <v>4.2199417889571558E-2</v>
      </c>
      <c r="G40" s="510"/>
      <c r="H40" s="12"/>
      <c r="I40" s="510"/>
      <c r="J40" s="12"/>
      <c r="K40" s="510"/>
      <c r="L40" s="12"/>
      <c r="M40" s="510"/>
      <c r="N40" s="510"/>
      <c r="O40" s="505"/>
      <c r="P40" s="508"/>
      <c r="Q40" s="508"/>
      <c r="R40" s="505"/>
      <c r="S40" s="505"/>
      <c r="T40" s="505"/>
      <c r="U40" s="505"/>
      <c r="V40" s="505"/>
      <c r="W40" s="505"/>
      <c r="X40" s="396"/>
      <c r="Y40" s="396"/>
      <c r="Z40" s="228"/>
      <c r="AA40" s="228"/>
      <c r="AB40" s="228"/>
      <c r="AC40" s="228"/>
      <c r="AD40" s="226"/>
      <c r="AE40" s="24"/>
      <c r="AF40" s="24"/>
      <c r="AG40" s="24"/>
      <c r="AH40" s="24"/>
      <c r="AI40" s="24"/>
    </row>
    <row r="41" spans="1:35" ht="12.75" customHeight="1" x14ac:dyDescent="0.3">
      <c r="A41" s="100">
        <v>1962</v>
      </c>
      <c r="B41" s="1352">
        <f>'C1-Incomes'!LF10/'C1-Incomes'!U10</f>
        <v>3.7354886524990829E-3</v>
      </c>
      <c r="C41" s="1352">
        <f>'C1-Incomes'!KP10/'C1-Incomes'!U10</f>
        <v>3.4054867676271694E-3</v>
      </c>
      <c r="D41" s="1353"/>
      <c r="E41" s="1352">
        <f>('C1-Incomes'!LC10-'C1-Incomes'!LD10)/('C1-Incomes'!R10-'C1-Incomes'!S10)</f>
        <v>4.5931528226994228E-2</v>
      </c>
      <c r="F41" s="1352">
        <f>('C1-Incomes'!KM10-'C1-Incomes'!KN10)/('C1-Incomes'!R10-'C1-Incomes'!S10)</f>
        <v>4.2667874345651953E-2</v>
      </c>
      <c r="G41" s="396"/>
      <c r="H41" s="12"/>
      <c r="I41" s="510"/>
      <c r="J41" s="12"/>
      <c r="K41" s="396"/>
      <c r="L41" s="12"/>
      <c r="M41" s="396"/>
      <c r="N41" s="396"/>
      <c r="O41" s="504"/>
      <c r="P41" s="507"/>
      <c r="Q41" s="507"/>
      <c r="R41" s="504"/>
      <c r="S41" s="504"/>
      <c r="T41" s="504"/>
      <c r="U41" s="504"/>
      <c r="V41" s="504"/>
      <c r="W41" s="504"/>
      <c r="X41" s="396"/>
      <c r="Y41" s="396"/>
      <c r="Z41" s="228"/>
      <c r="AA41" s="228"/>
      <c r="AB41" s="228"/>
      <c r="AC41" s="228"/>
      <c r="AD41" s="226"/>
      <c r="AE41" s="276"/>
      <c r="AF41" s="276"/>
      <c r="AG41" s="276"/>
      <c r="AH41" s="276"/>
      <c r="AI41" s="249"/>
    </row>
    <row r="42" spans="1:35" ht="12.75" customHeight="1" x14ac:dyDescent="0.3">
      <c r="A42" s="100">
        <v>1963</v>
      </c>
      <c r="B42" s="1352">
        <f>'C1-Incomes'!LF11/'C1-Incomes'!U11</f>
        <v>3.6357932705896427E-3</v>
      </c>
      <c r="C42" s="1352">
        <f>'C1-Incomes'!KP11/'C1-Incomes'!U11</f>
        <v>3.4463256979498842E-3</v>
      </c>
      <c r="D42" s="1353"/>
      <c r="E42" s="1352">
        <f>('C1-Incomes'!LC11-'C1-Incomes'!LD11)/('C1-Incomes'!R11-'C1-Incomes'!S11)</f>
        <v>4.4514151912308259E-2</v>
      </c>
      <c r="F42" s="1352">
        <f>('C1-Incomes'!KM11-'C1-Incomes'!KN11)/('C1-Incomes'!R11-'C1-Incomes'!S11)</f>
        <v>4.2874499956630924E-2</v>
      </c>
      <c r="G42" s="510"/>
      <c r="H42" s="12"/>
      <c r="I42" s="510"/>
      <c r="J42" s="12"/>
      <c r="K42" s="510"/>
      <c r="L42" s="12"/>
      <c r="M42" s="510"/>
      <c r="N42" s="510"/>
      <c r="O42" s="505"/>
      <c r="P42" s="508"/>
      <c r="Q42" s="508"/>
      <c r="R42" s="505"/>
      <c r="S42" s="505"/>
      <c r="T42" s="505"/>
      <c r="U42" s="505"/>
      <c r="V42" s="505"/>
      <c r="W42" s="505"/>
      <c r="X42" s="396"/>
      <c r="Y42" s="396"/>
      <c r="Z42" s="228"/>
      <c r="AA42" s="228"/>
      <c r="AB42" s="228"/>
      <c r="AC42" s="228"/>
      <c r="AD42" s="226"/>
      <c r="AE42" s="276"/>
      <c r="AF42" s="276"/>
      <c r="AG42" s="276"/>
      <c r="AH42" s="276"/>
      <c r="AI42" s="24"/>
    </row>
    <row r="43" spans="1:35" ht="12.75" customHeight="1" x14ac:dyDescent="0.3">
      <c r="A43" s="100">
        <v>1964</v>
      </c>
      <c r="B43" s="1352">
        <f>'C1-Incomes'!LF12/'C1-Incomes'!U12</f>
        <v>3.5507278675752513E-3</v>
      </c>
      <c r="C43" s="1352">
        <f>'C1-Incomes'!KP12/'C1-Incomes'!U12</f>
        <v>3.4811716442490316E-3</v>
      </c>
      <c r="D43" s="1353"/>
      <c r="E43" s="1352">
        <f>('C1-Incomes'!LC12-'C1-Incomes'!LD12)/('C1-Incomes'!R12-'C1-Incomes'!S12)</f>
        <v>4.327263389743792E-2</v>
      </c>
      <c r="F43" s="1352">
        <f>('C1-Incomes'!KM12-'C1-Incomes'!KN12)/('C1-Incomes'!R12-'C1-Incomes'!S12)</f>
        <v>4.3055488862910232E-2</v>
      </c>
      <c r="G43" s="396"/>
      <c r="H43" s="12"/>
      <c r="I43" s="510"/>
      <c r="J43" s="12"/>
      <c r="K43" s="396"/>
      <c r="L43" s="12"/>
      <c r="M43" s="396"/>
      <c r="N43" s="396"/>
      <c r="O43" s="504"/>
      <c r="P43" s="507"/>
      <c r="Q43" s="507"/>
      <c r="R43" s="504"/>
      <c r="S43" s="504"/>
      <c r="T43" s="504"/>
      <c r="U43" s="504"/>
      <c r="V43" s="504"/>
      <c r="W43" s="504"/>
      <c r="X43" s="396"/>
      <c r="Y43" s="396"/>
      <c r="Z43" s="228"/>
      <c r="AA43" s="228"/>
      <c r="AB43" s="228"/>
      <c r="AC43" s="228"/>
      <c r="AD43" s="226"/>
      <c r="AE43" s="276"/>
      <c r="AF43" s="276"/>
      <c r="AG43" s="276"/>
      <c r="AH43" s="276"/>
      <c r="AI43" s="249"/>
    </row>
    <row r="44" spans="1:35" ht="12.75" customHeight="1" x14ac:dyDescent="0.3">
      <c r="A44" s="100">
        <v>1965</v>
      </c>
      <c r="B44" s="1352">
        <f>'C1-Incomes'!LF13/'C1-Incomes'!U13</f>
        <v>3.8483553516894353E-3</v>
      </c>
      <c r="C44" s="1352">
        <f>'C1-Incomes'!KP13/'C1-Incomes'!U13</f>
        <v>3.9942340698403446E-3</v>
      </c>
      <c r="D44" s="1353"/>
      <c r="E44" s="1352">
        <f>('C1-Incomes'!LC13-'C1-Incomes'!LD13)/('C1-Incomes'!R13-'C1-Incomes'!S13)</f>
        <v>4.3004656052217829E-2</v>
      </c>
      <c r="F44" s="1352">
        <f>('C1-Incomes'!KM13-'C1-Incomes'!KN13)/('C1-Incomes'!R13-'C1-Incomes'!S13)</f>
        <v>4.7326505739659887E-2</v>
      </c>
      <c r="G44" s="510"/>
      <c r="H44" s="12"/>
      <c r="I44" s="510"/>
      <c r="J44" s="12"/>
      <c r="K44" s="510"/>
      <c r="L44" s="12"/>
      <c r="M44" s="510"/>
      <c r="N44" s="510"/>
      <c r="O44" s="505"/>
      <c r="P44" s="508"/>
      <c r="Q44" s="508"/>
      <c r="R44" s="505"/>
      <c r="S44" s="505"/>
      <c r="T44" s="505"/>
      <c r="U44" s="505"/>
      <c r="V44" s="505"/>
      <c r="W44" s="505"/>
      <c r="X44" s="396"/>
      <c r="Y44" s="396"/>
      <c r="Z44" s="228"/>
      <c r="AA44" s="228"/>
      <c r="AB44" s="228"/>
      <c r="AC44" s="228"/>
      <c r="AD44" s="226"/>
      <c r="AE44" s="276"/>
      <c r="AF44" s="276"/>
      <c r="AG44" s="276"/>
      <c r="AH44" s="276"/>
      <c r="AI44" s="249"/>
    </row>
    <row r="45" spans="1:35" ht="12.75" customHeight="1" x14ac:dyDescent="0.3">
      <c r="A45" s="100">
        <v>1966</v>
      </c>
      <c r="B45" s="1352">
        <f>'C1-Incomes'!LF14/'C1-Incomes'!U14</f>
        <v>4.0987942818300257E-3</v>
      </c>
      <c r="C45" s="1352">
        <f>'C1-Incomes'!KP14/'C1-Incomes'!U14</f>
        <v>4.4259509347215698E-3</v>
      </c>
      <c r="D45" s="1353"/>
      <c r="E45" s="1352">
        <f>('C1-Incomes'!LC14-'C1-Incomes'!LD14)/('C1-Incomes'!R14-'C1-Incomes'!S14)</f>
        <v>4.2777061744735001E-2</v>
      </c>
      <c r="F45" s="1352">
        <f>('C1-Incomes'!KM14-'C1-Incomes'!KN14)/('C1-Incomes'!R14-'C1-Incomes'!S14)</f>
        <v>5.0953891904784568E-2</v>
      </c>
      <c r="G45" s="396"/>
      <c r="H45" s="12"/>
      <c r="I45" s="510"/>
      <c r="J45" s="12"/>
      <c r="K45" s="396"/>
      <c r="L45" s="12"/>
      <c r="M45" s="396"/>
      <c r="N45" s="396"/>
      <c r="O45" s="504"/>
      <c r="P45" s="507"/>
      <c r="Q45" s="507"/>
      <c r="R45" s="504"/>
      <c r="S45" s="504"/>
      <c r="T45" s="504"/>
      <c r="U45" s="504"/>
      <c r="V45" s="504"/>
      <c r="W45" s="504"/>
      <c r="X45" s="396"/>
      <c r="Y45" s="396"/>
      <c r="Z45" s="228"/>
      <c r="AA45" s="228"/>
      <c r="AB45" s="228"/>
      <c r="AC45" s="228"/>
      <c r="AD45" s="226"/>
      <c r="AE45" s="276"/>
      <c r="AF45" s="276"/>
      <c r="AG45" s="276"/>
      <c r="AH45" s="276"/>
      <c r="AI45" s="249"/>
    </row>
    <row r="46" spans="1:35" ht="12.75" customHeight="1" x14ac:dyDescent="0.3">
      <c r="A46" s="100">
        <v>1967</v>
      </c>
      <c r="B46" s="1352">
        <f>'C1-Incomes'!LF15/'C1-Incomes'!U15</f>
        <v>4.4295883902183194E-3</v>
      </c>
      <c r="C46" s="1352">
        <f>'C1-Incomes'!KP15/'C1-Incomes'!U15</f>
        <v>4.5037748175236264E-3</v>
      </c>
      <c r="D46" s="1353"/>
      <c r="E46" s="1352">
        <f>('C1-Incomes'!LC15-'C1-Incomes'!LD15)/('C1-Incomes'!R15-'C1-Incomes'!S15)</f>
        <v>4.7111261893001299E-2</v>
      </c>
      <c r="F46" s="1352">
        <f>('C1-Incomes'!KM15-'C1-Incomes'!KN15)/('C1-Incomes'!R15-'C1-Incomes'!S15)</f>
        <v>5.3286245430011606E-2</v>
      </c>
      <c r="G46" s="396"/>
      <c r="H46" s="12"/>
      <c r="I46" s="510"/>
      <c r="J46" s="12"/>
      <c r="K46" s="396"/>
      <c r="L46" s="12"/>
      <c r="M46" s="396"/>
      <c r="N46" s="396"/>
      <c r="O46" s="504"/>
      <c r="P46" s="507"/>
      <c r="Q46" s="507"/>
      <c r="R46" s="504"/>
      <c r="S46" s="504"/>
      <c r="T46" s="504"/>
      <c r="U46" s="504"/>
      <c r="V46" s="504"/>
      <c r="W46" s="504"/>
      <c r="X46" s="396"/>
      <c r="Y46" s="396"/>
      <c r="Z46" s="228"/>
      <c r="AA46" s="228"/>
      <c r="AB46" s="228"/>
      <c r="AC46" s="228"/>
      <c r="AD46" s="226"/>
      <c r="AE46" s="276"/>
      <c r="AF46" s="276"/>
      <c r="AG46" s="276"/>
      <c r="AH46" s="276"/>
      <c r="AI46" s="249"/>
    </row>
    <row r="47" spans="1:35" ht="12.75" customHeight="1" x14ac:dyDescent="0.3">
      <c r="A47" s="100">
        <v>1968</v>
      </c>
      <c r="B47" s="1352">
        <f>'C1-Incomes'!LF16/'C1-Incomes'!U16</f>
        <v>5.0156460554913193E-3</v>
      </c>
      <c r="C47" s="1352">
        <f>'C1-Incomes'!KP16/'C1-Incomes'!U16</f>
        <v>4.7297332841240349E-3</v>
      </c>
      <c r="D47" s="1353"/>
      <c r="E47" s="1352">
        <f>('C1-Incomes'!LC16-'C1-Incomes'!LD16)/('C1-Incomes'!R16-'C1-Incomes'!S16)</f>
        <v>4.9041924998460211E-2</v>
      </c>
      <c r="F47" s="1352">
        <f>('C1-Incomes'!KM16-'C1-Incomes'!KN16)/('C1-Incomes'!R16-'C1-Incomes'!S16)</f>
        <v>5.3008753285201451E-2</v>
      </c>
      <c r="G47" s="396"/>
      <c r="H47" s="12"/>
      <c r="I47" s="510"/>
      <c r="J47" s="12"/>
      <c r="K47" s="396"/>
      <c r="L47" s="12"/>
      <c r="M47" s="396"/>
      <c r="N47" s="396"/>
      <c r="O47" s="504"/>
      <c r="P47" s="507"/>
      <c r="Q47" s="507"/>
      <c r="R47" s="504"/>
      <c r="S47" s="504"/>
      <c r="T47" s="504"/>
      <c r="U47" s="504"/>
      <c r="V47" s="504"/>
      <c r="W47" s="504"/>
      <c r="X47" s="396"/>
      <c r="Y47" s="396"/>
      <c r="Z47" s="228"/>
      <c r="AA47" s="228"/>
      <c r="AB47" s="228"/>
      <c r="AC47" s="228"/>
      <c r="AD47" s="226"/>
      <c r="AE47" s="276"/>
      <c r="AF47" s="276"/>
      <c r="AG47" s="276"/>
      <c r="AH47" s="276"/>
      <c r="AI47" s="249"/>
    </row>
    <row r="48" spans="1:35" ht="12.75" customHeight="1" x14ac:dyDescent="0.3">
      <c r="A48" s="100">
        <v>1969</v>
      </c>
      <c r="B48" s="1352">
        <f>'C1-Incomes'!LF17/'C1-Incomes'!U17</f>
        <v>5.1344691337820072E-3</v>
      </c>
      <c r="C48" s="1352">
        <f>'C1-Incomes'!KP17/'C1-Incomes'!U17</f>
        <v>5.7076044831165292E-3</v>
      </c>
      <c r="D48" s="1353"/>
      <c r="E48" s="1352">
        <f>('C1-Incomes'!LC17-'C1-Incomes'!LD17)/('C1-Incomes'!R17-'C1-Incomes'!S17)</f>
        <v>4.797612752465525E-2</v>
      </c>
      <c r="F48" s="1352">
        <f>('C1-Incomes'!KM17-'C1-Incomes'!KN17)/('C1-Incomes'!R17-'C1-Incomes'!S17)</f>
        <v>5.4919115616639883E-2</v>
      </c>
      <c r="G48" s="396"/>
      <c r="H48" s="12"/>
      <c r="I48" s="510"/>
      <c r="J48" s="12"/>
      <c r="K48" s="396"/>
      <c r="L48" s="12"/>
      <c r="M48" s="396"/>
      <c r="N48" s="396"/>
      <c r="O48" s="504"/>
      <c r="P48" s="507"/>
      <c r="Q48" s="507"/>
      <c r="R48" s="504"/>
      <c r="S48" s="504"/>
      <c r="T48" s="504"/>
      <c r="U48" s="504"/>
      <c r="V48" s="504"/>
      <c r="W48" s="504"/>
      <c r="X48" s="396"/>
      <c r="Y48" s="396"/>
      <c r="Z48" s="228"/>
      <c r="AA48" s="228"/>
      <c r="AB48" s="228"/>
      <c r="AC48" s="228"/>
      <c r="AD48" s="226"/>
      <c r="AE48" s="276"/>
      <c r="AF48" s="276"/>
      <c r="AG48" s="276"/>
      <c r="AH48" s="276"/>
      <c r="AI48" s="249"/>
    </row>
    <row r="49" spans="1:35" ht="12.75" customHeight="1" x14ac:dyDescent="0.3">
      <c r="A49" s="100">
        <v>1970</v>
      </c>
      <c r="B49" s="1352">
        <f>'C1-Incomes'!LF18/'C1-Incomes'!U18</f>
        <v>6.1736161382083569E-3</v>
      </c>
      <c r="C49" s="1352">
        <f>'C1-Incomes'!KP18/'C1-Incomes'!U18</f>
        <v>6.0883820098083857E-3</v>
      </c>
      <c r="D49" s="1353"/>
      <c r="E49" s="1352">
        <f>('C1-Incomes'!LC18-'C1-Incomes'!LD18)/('C1-Incomes'!R18-'C1-Incomes'!S18)</f>
        <v>5.4797933628627372E-2</v>
      </c>
      <c r="F49" s="1352">
        <f>('C1-Incomes'!KM18-'C1-Incomes'!KN18)/('C1-Incomes'!R18-'C1-Incomes'!S18)</f>
        <v>5.3982025176342582E-2</v>
      </c>
      <c r="G49" s="396"/>
      <c r="H49" s="12"/>
      <c r="I49" s="510"/>
      <c r="J49" s="12"/>
      <c r="K49" s="396"/>
      <c r="L49" s="12"/>
      <c r="M49" s="396"/>
      <c r="N49" s="396"/>
      <c r="O49" s="504"/>
      <c r="P49" s="507"/>
      <c r="Q49" s="507"/>
      <c r="R49" s="504"/>
      <c r="S49" s="504"/>
      <c r="T49" s="504"/>
      <c r="U49" s="504"/>
      <c r="V49" s="504"/>
      <c r="W49" s="504"/>
      <c r="X49" s="396"/>
      <c r="Y49" s="396"/>
      <c r="Z49" s="228"/>
      <c r="AA49" s="228"/>
      <c r="AB49" s="228"/>
      <c r="AC49" s="228"/>
      <c r="AD49" s="226"/>
      <c r="AE49" s="276"/>
      <c r="AF49" s="276"/>
      <c r="AG49" s="276"/>
      <c r="AH49" s="276"/>
      <c r="AI49" s="249"/>
    </row>
    <row r="50" spans="1:35" ht="12.75" customHeight="1" x14ac:dyDescent="0.3">
      <c r="A50" s="100">
        <v>1971</v>
      </c>
      <c r="B50" s="1352">
        <f>'C1-Incomes'!LF19/'C1-Incomes'!U19</f>
        <v>6.424438857288447E-3</v>
      </c>
      <c r="C50" s="1352">
        <f>'C1-Incomes'!KP19/'C1-Incomes'!U19</f>
        <v>6.1107347888093308E-3</v>
      </c>
      <c r="D50" s="1353"/>
      <c r="E50" s="1352">
        <f>('C1-Incomes'!LC19-'C1-Incomes'!LD19)/('C1-Incomes'!R19-'C1-Incomes'!S19)</f>
        <v>6.0814420842863953E-2</v>
      </c>
      <c r="F50" s="1352">
        <f>('C1-Incomes'!KM19-'C1-Incomes'!KN19)/('C1-Incomes'!R19-'C1-Incomes'!S19)</f>
        <v>5.464791472532534E-2</v>
      </c>
      <c r="G50" s="396"/>
      <c r="H50" s="12"/>
      <c r="I50" s="510"/>
      <c r="J50" s="12"/>
      <c r="K50" s="396"/>
      <c r="L50" s="12"/>
      <c r="M50" s="396"/>
      <c r="N50" s="396"/>
      <c r="O50" s="504"/>
      <c r="P50" s="507"/>
      <c r="Q50" s="507"/>
      <c r="R50" s="504"/>
      <c r="S50" s="504"/>
      <c r="T50" s="504"/>
      <c r="U50" s="504"/>
      <c r="V50" s="504"/>
      <c r="W50" s="504"/>
      <c r="X50" s="396"/>
      <c r="Y50" s="396"/>
      <c r="Z50" s="228"/>
      <c r="AA50" s="228"/>
      <c r="AB50" s="228"/>
      <c r="AC50" s="228"/>
      <c r="AD50" s="226"/>
      <c r="AE50" s="276"/>
      <c r="AF50" s="276"/>
      <c r="AG50" s="276"/>
      <c r="AH50" s="276"/>
      <c r="AI50" s="249"/>
    </row>
    <row r="51" spans="1:35" ht="12.75" customHeight="1" x14ac:dyDescent="0.3">
      <c r="A51" s="100">
        <v>1972</v>
      </c>
      <c r="B51" s="1352">
        <f>'C1-Incomes'!LF20/'C1-Incomes'!U20</f>
        <v>6.4178304619693597E-3</v>
      </c>
      <c r="C51" s="1352">
        <f>'C1-Incomes'!KP20/'C1-Incomes'!U20</f>
        <v>5.9310024738686096E-3</v>
      </c>
      <c r="D51" s="1353"/>
      <c r="E51" s="1352">
        <f>('C1-Incomes'!LC20-'C1-Incomes'!LD20)/('C1-Incomes'!R20-'C1-Incomes'!S20)</f>
        <v>6.0119678375369079E-2</v>
      </c>
      <c r="F51" s="1352">
        <f>('C1-Incomes'!KM20-'C1-Incomes'!KN20)/('C1-Incomes'!R20-'C1-Incomes'!S20)</f>
        <v>5.751772852464658E-2</v>
      </c>
      <c r="G51" s="396"/>
      <c r="H51" s="12"/>
      <c r="I51" s="510"/>
      <c r="J51" s="12"/>
      <c r="K51" s="396"/>
      <c r="L51" s="12"/>
      <c r="M51" s="396"/>
      <c r="N51" s="396"/>
      <c r="O51" s="504"/>
      <c r="P51" s="507"/>
      <c r="Q51" s="507"/>
      <c r="R51" s="504"/>
      <c r="S51" s="504"/>
      <c r="T51" s="504"/>
      <c r="U51" s="504"/>
      <c r="V51" s="504"/>
      <c r="W51" s="504"/>
      <c r="X51" s="396"/>
      <c r="Y51" s="396"/>
      <c r="Z51" s="228"/>
      <c r="AA51" s="228"/>
      <c r="AB51" s="228"/>
      <c r="AC51" s="228"/>
      <c r="AD51" s="226"/>
      <c r="AE51" s="276"/>
      <c r="AF51" s="276"/>
      <c r="AG51" s="276"/>
      <c r="AH51" s="276"/>
      <c r="AI51" s="249"/>
    </row>
    <row r="52" spans="1:35" ht="12.75" customHeight="1" x14ac:dyDescent="0.3">
      <c r="A52" s="100">
        <v>1973</v>
      </c>
      <c r="B52" s="1352">
        <f>'C1-Incomes'!LF21/'C1-Incomes'!U21</f>
        <v>7.2494406489656289E-3</v>
      </c>
      <c r="C52" s="1352">
        <f>'C1-Incomes'!KP21/'C1-Incomes'!U21</f>
        <v>7.1879286039302145E-3</v>
      </c>
      <c r="D52" s="1353"/>
      <c r="E52" s="1352">
        <f>('C1-Incomes'!LC21-'C1-Incomes'!LD21)/('C1-Incomes'!R21-'C1-Incomes'!S21)</f>
        <v>6.2286260394185528E-2</v>
      </c>
      <c r="F52" s="1352">
        <f>('C1-Incomes'!KM21-'C1-Incomes'!KN21)/('C1-Incomes'!R21-'C1-Incomes'!S21)</f>
        <v>6.495210781979964E-2</v>
      </c>
      <c r="G52" s="396"/>
      <c r="H52" s="12"/>
      <c r="I52" s="510"/>
      <c r="J52" s="12"/>
      <c r="K52" s="396"/>
      <c r="L52" s="12"/>
      <c r="M52" s="396"/>
      <c r="N52" s="396"/>
      <c r="O52" s="504"/>
      <c r="P52" s="507"/>
      <c r="Q52" s="507"/>
      <c r="R52" s="504"/>
      <c r="S52" s="504"/>
      <c r="T52" s="504"/>
      <c r="U52" s="504"/>
      <c r="V52" s="504"/>
      <c r="W52" s="504"/>
      <c r="X52" s="396"/>
      <c r="Y52" s="396"/>
      <c r="Z52" s="228"/>
      <c r="AA52" s="228"/>
      <c r="AB52" s="228"/>
      <c r="AC52" s="228"/>
      <c r="AD52" s="226"/>
      <c r="AE52" s="276"/>
      <c r="AF52" s="276"/>
      <c r="AG52" s="276"/>
      <c r="AH52" s="276"/>
      <c r="AI52" s="249"/>
    </row>
    <row r="53" spans="1:35" ht="12.75" customHeight="1" x14ac:dyDescent="0.3">
      <c r="A53" s="100">
        <v>1974</v>
      </c>
      <c r="B53" s="1352">
        <f>'C1-Incomes'!LF22/'C1-Incomes'!U22</f>
        <v>7.1524880946701973E-3</v>
      </c>
      <c r="C53" s="1352">
        <f>'C1-Incomes'!KP22/'C1-Incomes'!U22</f>
        <v>8.6053397357094639E-3</v>
      </c>
      <c r="D53" s="1353"/>
      <c r="E53" s="1352">
        <f>('C1-Incomes'!LC22-'C1-Incomes'!LD22)/('C1-Incomes'!R22-'C1-Incomes'!S22)</f>
        <v>6.7835000370426238E-2</v>
      </c>
      <c r="F53" s="1352">
        <f>('C1-Incomes'!KM22-'C1-Incomes'!KN22)/('C1-Incomes'!R22-'C1-Incomes'!S22)</f>
        <v>6.6488681228688215E-2</v>
      </c>
      <c r="G53" s="396"/>
      <c r="H53" s="12"/>
      <c r="I53" s="510"/>
      <c r="J53" s="12"/>
      <c r="K53" s="396"/>
      <c r="L53" s="12"/>
      <c r="M53" s="396"/>
      <c r="N53" s="396"/>
      <c r="O53" s="504"/>
      <c r="P53" s="507"/>
      <c r="Q53" s="507"/>
      <c r="R53" s="504"/>
      <c r="S53" s="504"/>
      <c r="T53" s="504"/>
      <c r="U53" s="504"/>
      <c r="V53" s="504"/>
      <c r="W53" s="504"/>
      <c r="X53" s="396"/>
      <c r="Y53" s="396"/>
      <c r="Z53" s="228"/>
      <c r="AA53" s="228"/>
      <c r="AB53" s="228"/>
      <c r="AC53" s="228"/>
      <c r="AD53" s="226"/>
      <c r="AE53" s="276"/>
      <c r="AF53" s="276"/>
      <c r="AG53" s="276"/>
      <c r="AH53" s="276"/>
      <c r="AI53" s="249"/>
    </row>
    <row r="54" spans="1:35" ht="12.75" customHeight="1" x14ac:dyDescent="0.3">
      <c r="A54" s="100">
        <v>1975</v>
      </c>
      <c r="B54" s="1352">
        <f>'C1-Incomes'!LF23/'C1-Incomes'!U23</f>
        <v>7.7541702676276426E-3</v>
      </c>
      <c r="C54" s="1352">
        <f>'C1-Incomes'!KP23/'C1-Incomes'!U23</f>
        <v>8.5018158062575341E-3</v>
      </c>
      <c r="D54" s="1353"/>
      <c r="E54" s="1352">
        <f>('C1-Incomes'!LC23-'C1-Incomes'!LD23)/('C1-Incomes'!R23-'C1-Incomes'!S23)</f>
        <v>8.0405488977205231E-2</v>
      </c>
      <c r="F54" s="1352">
        <f>('C1-Incomes'!KM23-'C1-Incomes'!KN23)/('C1-Incomes'!R23-'C1-Incomes'!S23)</f>
        <v>6.3391873246754632E-2</v>
      </c>
      <c r="G54" s="396"/>
      <c r="H54" s="12"/>
      <c r="I54" s="510"/>
      <c r="J54" s="12"/>
      <c r="K54" s="396"/>
      <c r="L54" s="12"/>
      <c r="M54" s="396"/>
      <c r="N54" s="396"/>
      <c r="O54" s="504"/>
      <c r="P54" s="507"/>
      <c r="Q54" s="507"/>
      <c r="R54" s="504"/>
      <c r="S54" s="504"/>
      <c r="T54" s="504"/>
      <c r="U54" s="504"/>
      <c r="V54" s="504"/>
      <c r="W54" s="504"/>
      <c r="X54" s="396"/>
      <c r="Y54" s="396"/>
      <c r="Z54" s="228"/>
      <c r="AA54" s="228"/>
      <c r="AB54" s="228"/>
      <c r="AC54" s="228"/>
      <c r="AD54" s="226"/>
      <c r="AE54" s="276"/>
      <c r="AF54" s="276"/>
      <c r="AG54" s="276"/>
      <c r="AH54" s="276"/>
      <c r="AI54" s="249"/>
    </row>
    <row r="55" spans="1:35" ht="12.75" customHeight="1" x14ac:dyDescent="0.3">
      <c r="A55" s="100">
        <v>1976</v>
      </c>
      <c r="B55" s="1352">
        <f>'C1-Incomes'!LF24/'C1-Incomes'!U24</f>
        <v>8.4008344211607498E-3</v>
      </c>
      <c r="C55" s="1352">
        <f>'C1-Incomes'!KP24/'C1-Incomes'!U24</f>
        <v>8.7082388442059743E-3</v>
      </c>
      <c r="D55" s="1353"/>
      <c r="E55" s="1352">
        <f>('C1-Incomes'!LC24-'C1-Incomes'!LD24)/('C1-Incomes'!R24-'C1-Incomes'!S24)</f>
        <v>7.8676532155877443E-2</v>
      </c>
      <c r="F55" s="1352">
        <f>('C1-Incomes'!KM24-'C1-Incomes'!KN24)/('C1-Incomes'!R24-'C1-Incomes'!S24)</f>
        <v>6.4456194611829179E-2</v>
      </c>
      <c r="G55" s="396"/>
      <c r="H55" s="12"/>
      <c r="I55" s="510"/>
      <c r="J55" s="12"/>
      <c r="K55" s="396"/>
      <c r="L55" s="12"/>
      <c r="M55" s="396"/>
      <c r="N55" s="396"/>
      <c r="O55" s="504"/>
      <c r="P55" s="507"/>
      <c r="Q55" s="507"/>
      <c r="R55" s="504"/>
      <c r="S55" s="504"/>
      <c r="T55" s="504"/>
      <c r="U55" s="504"/>
      <c r="V55" s="504"/>
      <c r="W55" s="504"/>
      <c r="X55" s="396"/>
      <c r="Y55" s="396"/>
      <c r="Z55" s="228"/>
      <c r="AA55" s="228"/>
      <c r="AB55" s="228"/>
      <c r="AC55" s="228"/>
      <c r="AD55" s="226"/>
      <c r="AE55" s="276"/>
      <c r="AF55" s="276"/>
      <c r="AG55" s="276"/>
      <c r="AH55" s="276"/>
      <c r="AI55" s="249"/>
    </row>
    <row r="56" spans="1:35" ht="12.75" customHeight="1" x14ac:dyDescent="0.3">
      <c r="A56" s="100">
        <v>1977</v>
      </c>
      <c r="B56" s="1352">
        <f>'C1-Incomes'!LF25/'C1-Incomes'!U25</f>
        <v>8.7188657886112849E-3</v>
      </c>
      <c r="C56" s="1352">
        <f>'C1-Incomes'!KP25/'C1-Incomes'!U25</f>
        <v>8.7232237026097295E-3</v>
      </c>
      <c r="D56" s="1353"/>
      <c r="E56" s="1352">
        <f>('C1-Incomes'!LC25-'C1-Incomes'!LD25)/('C1-Incomes'!R25-'C1-Incomes'!S25)</f>
        <v>7.6073224046728172E-2</v>
      </c>
      <c r="F56" s="1352">
        <f>('C1-Incomes'!KM25-'C1-Incomes'!KN25)/('C1-Incomes'!R25-'C1-Incomes'!S25)</f>
        <v>6.5043419801867328E-2</v>
      </c>
      <c r="G56" s="396"/>
      <c r="H56" s="12"/>
      <c r="I56" s="510"/>
      <c r="J56" s="12"/>
      <c r="K56" s="396"/>
      <c r="L56" s="12"/>
      <c r="M56" s="396"/>
      <c r="N56" s="396"/>
      <c r="O56" s="504"/>
      <c r="P56" s="507"/>
      <c r="Q56" s="507"/>
      <c r="R56" s="504"/>
      <c r="S56" s="504"/>
      <c r="T56" s="504"/>
      <c r="U56" s="504"/>
      <c r="V56" s="504"/>
      <c r="W56" s="504"/>
      <c r="X56" s="396"/>
      <c r="Y56" s="396"/>
      <c r="Z56" s="228"/>
      <c r="AA56" s="228"/>
      <c r="AB56" s="228"/>
      <c r="AC56" s="228"/>
      <c r="AD56" s="226"/>
      <c r="AE56" s="276"/>
      <c r="AF56" s="276"/>
      <c r="AG56" s="276"/>
      <c r="AH56" s="276"/>
      <c r="AI56" s="249"/>
    </row>
    <row r="57" spans="1:35" ht="12.75" customHeight="1" x14ac:dyDescent="0.3">
      <c r="A57" s="100">
        <v>1978</v>
      </c>
      <c r="B57" s="1352">
        <f>'C1-Incomes'!LF26/'C1-Incomes'!U26</f>
        <v>8.2061183167299202E-3</v>
      </c>
      <c r="C57" s="1352">
        <f>'C1-Incomes'!KP26/'C1-Incomes'!U26</f>
        <v>9.3337209233551963E-3</v>
      </c>
      <c r="D57" s="1353"/>
      <c r="E57" s="1352">
        <f>('C1-Incomes'!LC26-'C1-Incomes'!LD26)/('C1-Incomes'!R26-'C1-Incomes'!S26)</f>
        <v>7.177909276679785E-2</v>
      </c>
      <c r="F57" s="1352">
        <f>('C1-Incomes'!KM26-'C1-Incomes'!KN26)/('C1-Incomes'!R26-'C1-Incomes'!S26)</f>
        <v>6.7277107756266136E-2</v>
      </c>
      <c r="G57" s="396"/>
      <c r="H57" s="12"/>
      <c r="I57" s="510"/>
      <c r="J57" s="12"/>
      <c r="K57" s="396"/>
      <c r="L57" s="12"/>
      <c r="M57" s="396"/>
      <c r="N57" s="396"/>
      <c r="O57" s="504"/>
      <c r="P57" s="507"/>
      <c r="Q57" s="507"/>
      <c r="R57" s="504"/>
      <c r="S57" s="504"/>
      <c r="T57" s="504"/>
      <c r="U57" s="504"/>
      <c r="V57" s="504"/>
      <c r="W57" s="504"/>
      <c r="X57" s="396"/>
      <c r="Y57" s="396"/>
      <c r="Z57" s="228"/>
      <c r="AA57" s="228"/>
      <c r="AB57" s="228"/>
      <c r="AC57" s="228"/>
      <c r="AD57" s="226"/>
      <c r="AE57" s="276"/>
      <c r="AF57" s="276"/>
      <c r="AG57" s="276"/>
      <c r="AH57" s="276"/>
      <c r="AI57" s="249"/>
    </row>
    <row r="58" spans="1:35" ht="12.75" customHeight="1" x14ac:dyDescent="0.3">
      <c r="A58" s="100">
        <v>1979</v>
      </c>
      <c r="B58" s="1352">
        <f>'C1-Incomes'!LF27/'C1-Incomes'!U27</f>
        <v>6.6656775561812391E-3</v>
      </c>
      <c r="C58" s="1352">
        <f>'C1-Incomes'!KP27/'C1-Incomes'!U27</f>
        <v>1.053069066485853E-2</v>
      </c>
      <c r="D58" s="1353"/>
      <c r="E58" s="1352">
        <f>('C1-Incomes'!LC27-'C1-Incomes'!LD27)/('C1-Incomes'!R27-'C1-Incomes'!S27)</f>
        <v>7.4105956126490194E-2</v>
      </c>
      <c r="F58" s="1352">
        <f>('C1-Incomes'!KM27-'C1-Incomes'!KN27)/('C1-Incomes'!R27-'C1-Incomes'!S27)</f>
        <v>6.989259116168596E-2</v>
      </c>
      <c r="G58" s="396"/>
      <c r="H58" s="12"/>
      <c r="I58" s="510"/>
      <c r="J58" s="12"/>
      <c r="K58" s="396"/>
      <c r="L58" s="12"/>
      <c r="M58" s="396"/>
      <c r="N58" s="396"/>
      <c r="O58" s="504"/>
      <c r="P58" s="507"/>
      <c r="Q58" s="507"/>
      <c r="R58" s="504"/>
      <c r="S58" s="504"/>
      <c r="T58" s="504"/>
      <c r="U58" s="504"/>
      <c r="V58" s="504"/>
      <c r="W58" s="504"/>
      <c r="X58" s="396"/>
      <c r="Y58" s="396"/>
      <c r="Z58" s="228"/>
      <c r="AA58" s="228"/>
      <c r="AB58" s="228"/>
      <c r="AC58" s="228"/>
      <c r="AD58" s="226"/>
      <c r="AE58" s="276"/>
      <c r="AF58" s="276"/>
      <c r="AG58" s="276"/>
      <c r="AH58" s="276"/>
      <c r="AI58" s="249"/>
    </row>
    <row r="59" spans="1:35" ht="12.75" customHeight="1" x14ac:dyDescent="0.3">
      <c r="A59" s="100">
        <v>1980</v>
      </c>
      <c r="B59" s="1352">
        <f>'C1-Incomes'!LF28/'C1-Incomes'!U28</f>
        <v>7.1132250494105884E-3</v>
      </c>
      <c r="C59" s="1352">
        <f>'C1-Incomes'!KP28/'C1-Incomes'!U28</f>
        <v>1.1613547753714431E-2</v>
      </c>
      <c r="D59" s="1353"/>
      <c r="E59" s="1352">
        <f>('C1-Incomes'!LC28-'C1-Incomes'!LD28)/('C1-Incomes'!R28-'C1-Incomes'!S28)</f>
        <v>8.1632953965848756E-2</v>
      </c>
      <c r="F59" s="1352">
        <f>('C1-Incomes'!KM28-'C1-Incomes'!KN28)/('C1-Incomes'!R28-'C1-Incomes'!S28)</f>
        <v>6.8675000176613349E-2</v>
      </c>
      <c r="G59" s="396"/>
      <c r="H59" s="12"/>
      <c r="I59" s="510"/>
      <c r="J59" s="12"/>
      <c r="K59" s="396"/>
      <c r="L59" s="12"/>
      <c r="M59" s="396"/>
      <c r="N59" s="396"/>
      <c r="O59" s="504"/>
      <c r="P59" s="507"/>
      <c r="Q59" s="507"/>
      <c r="R59" s="504"/>
      <c r="S59" s="504"/>
      <c r="T59" s="504"/>
      <c r="U59" s="504"/>
      <c r="V59" s="504"/>
      <c r="W59" s="504"/>
      <c r="X59" s="396"/>
      <c r="Y59" s="396"/>
      <c r="Z59" s="228"/>
      <c r="AA59" s="228"/>
      <c r="AB59" s="228"/>
      <c r="AC59" s="228"/>
      <c r="AD59" s="226"/>
      <c r="AE59" s="276"/>
      <c r="AF59" s="276"/>
      <c r="AG59" s="276"/>
      <c r="AH59" s="276"/>
      <c r="AI59" s="249"/>
    </row>
    <row r="60" spans="1:35" ht="12.75" customHeight="1" x14ac:dyDescent="0.3">
      <c r="A60" s="100">
        <v>1981</v>
      </c>
      <c r="B60" s="1352">
        <f>'C1-Incomes'!LF29/'C1-Incomes'!U29</f>
        <v>7.7366571567748683E-3</v>
      </c>
      <c r="C60" s="1352">
        <f>'C1-Incomes'!KP29/'C1-Incomes'!U29</f>
        <v>1.332356735549477E-2</v>
      </c>
      <c r="D60" s="1353"/>
      <c r="E60" s="1352">
        <f>('C1-Incomes'!LC29-'C1-Incomes'!LD29)/('C1-Incomes'!R29-'C1-Incomes'!S29)</f>
        <v>8.2738278100818116E-2</v>
      </c>
      <c r="F60" s="1352">
        <f>('C1-Incomes'!KM29-'C1-Incomes'!KN29)/('C1-Incomes'!R29-'C1-Incomes'!S29)</f>
        <v>7.1336127000240501E-2</v>
      </c>
      <c r="G60" s="396"/>
      <c r="H60" s="12"/>
      <c r="I60" s="510"/>
      <c r="J60" s="12"/>
      <c r="K60" s="396"/>
      <c r="L60" s="12"/>
      <c r="M60" s="396"/>
      <c r="N60" s="396"/>
      <c r="O60" s="504"/>
      <c r="P60" s="507"/>
      <c r="Q60" s="507"/>
      <c r="R60" s="504"/>
      <c r="S60" s="504"/>
      <c r="T60" s="504"/>
      <c r="U60" s="504"/>
      <c r="V60" s="504"/>
      <c r="W60" s="504"/>
      <c r="X60" s="396"/>
      <c r="Y60" s="396"/>
      <c r="Z60" s="228"/>
      <c r="AA60" s="228"/>
      <c r="AB60" s="228"/>
      <c r="AC60" s="228"/>
      <c r="AD60" s="226"/>
      <c r="AE60" s="276"/>
      <c r="AF60" s="276"/>
      <c r="AG60" s="276"/>
      <c r="AH60" s="276"/>
      <c r="AI60" s="249"/>
    </row>
    <row r="61" spans="1:35" ht="12.75" customHeight="1" x14ac:dyDescent="0.3">
      <c r="A61" s="100">
        <v>1982</v>
      </c>
      <c r="B61" s="1352">
        <f>'C1-Incomes'!LF30/'C1-Incomes'!U30</f>
        <v>7.9491115079679403E-3</v>
      </c>
      <c r="C61" s="1352">
        <f>'C1-Incomes'!KP30/'C1-Incomes'!U30</f>
        <v>1.4561922478517808E-2</v>
      </c>
      <c r="D61" s="1353"/>
      <c r="E61" s="1352">
        <f>('C1-Incomes'!LC30-'C1-Incomes'!LD30)/('C1-Incomes'!R30-'C1-Incomes'!S30)</f>
        <v>9.1755350197691946E-2</v>
      </c>
      <c r="F61" s="1352">
        <f>('C1-Incomes'!KM30-'C1-Incomes'!KN30)/('C1-Incomes'!R30-'C1-Incomes'!S30)</f>
        <v>7.146532263381275E-2</v>
      </c>
      <c r="G61" s="396"/>
      <c r="H61" s="12"/>
      <c r="I61" s="510"/>
      <c r="J61" s="12"/>
      <c r="K61" s="396"/>
      <c r="L61" s="12"/>
      <c r="M61" s="396"/>
      <c r="N61" s="396"/>
      <c r="O61" s="504"/>
      <c r="P61" s="507"/>
      <c r="Q61" s="507"/>
      <c r="R61" s="504"/>
      <c r="S61" s="504"/>
      <c r="T61" s="504"/>
      <c r="U61" s="504"/>
      <c r="V61" s="504"/>
      <c r="W61" s="504"/>
      <c r="X61" s="396"/>
      <c r="Y61" s="396"/>
      <c r="Z61" s="228"/>
      <c r="AA61" s="228"/>
      <c r="AB61" s="228"/>
      <c r="AC61" s="228"/>
      <c r="AD61" s="226"/>
      <c r="AE61" s="276"/>
      <c r="AF61" s="276"/>
      <c r="AG61" s="276"/>
      <c r="AH61" s="276"/>
      <c r="AI61" s="249"/>
    </row>
    <row r="62" spans="1:35" ht="12.75" customHeight="1" x14ac:dyDescent="0.3">
      <c r="A62" s="100">
        <v>1983</v>
      </c>
      <c r="B62" s="1352">
        <f>'C1-Incomes'!LF31/'C1-Incomes'!U31</f>
        <v>7.5260737669844303E-3</v>
      </c>
      <c r="C62" s="1352">
        <f>'C1-Incomes'!KP31/'C1-Incomes'!U31</f>
        <v>1.482707117777398E-2</v>
      </c>
      <c r="D62" s="1353"/>
      <c r="E62" s="1352">
        <f>('C1-Incomes'!LC31-'C1-Incomes'!LD31)/('C1-Incomes'!R31-'C1-Incomes'!S31)</f>
        <v>9.1607335681261573E-2</v>
      </c>
      <c r="F62" s="1352">
        <f>('C1-Incomes'!KM31-'C1-Incomes'!KN31)/('C1-Incomes'!R31-'C1-Incomes'!S31)</f>
        <v>7.1406781607484926E-2</v>
      </c>
      <c r="G62" s="396"/>
      <c r="H62" s="12"/>
      <c r="I62" s="510"/>
      <c r="J62" s="12"/>
      <c r="K62" s="396"/>
      <c r="L62" s="12"/>
      <c r="M62" s="396"/>
      <c r="N62" s="396"/>
      <c r="O62" s="504"/>
      <c r="P62" s="507"/>
      <c r="Q62" s="507"/>
      <c r="R62" s="504"/>
      <c r="S62" s="504"/>
      <c r="T62" s="504"/>
      <c r="U62" s="504"/>
      <c r="V62" s="504"/>
      <c r="W62" s="504"/>
      <c r="X62" s="396"/>
      <c r="Y62" s="396"/>
      <c r="Z62" s="228"/>
      <c r="AA62" s="228"/>
      <c r="AB62" s="228"/>
      <c r="AC62" s="228"/>
      <c r="AD62" s="226"/>
      <c r="AE62" s="276"/>
      <c r="AF62" s="276"/>
      <c r="AG62" s="276"/>
      <c r="AH62" s="276"/>
      <c r="AI62" s="249"/>
    </row>
    <row r="63" spans="1:35" ht="12.75" customHeight="1" x14ac:dyDescent="0.3">
      <c r="A63" s="100">
        <v>1984</v>
      </c>
      <c r="B63" s="1352">
        <f>'C1-Incomes'!LF32/'C1-Incomes'!U32</f>
        <v>7.0303900301389765E-3</v>
      </c>
      <c r="C63" s="1352">
        <f>'C1-Incomes'!KP32/'C1-Incomes'!U32</f>
        <v>1.377589727661593E-2</v>
      </c>
      <c r="D63" s="1353"/>
      <c r="E63" s="1352">
        <f>('C1-Incomes'!LC32-'C1-Incomes'!LD32)/('C1-Incomes'!R32-'C1-Incomes'!S32)</f>
        <v>8.28878883334217E-2</v>
      </c>
      <c r="F63" s="1352">
        <f>('C1-Incomes'!KM32-'C1-Incomes'!KN32)/('C1-Incomes'!R32-'C1-Incomes'!S32)</f>
        <v>7.4203926723184113E-2</v>
      </c>
      <c r="G63" s="396"/>
      <c r="H63" s="12"/>
      <c r="I63" s="510"/>
      <c r="J63" s="12"/>
      <c r="K63" s="396"/>
      <c r="L63" s="12"/>
      <c r="M63" s="396"/>
      <c r="N63" s="396"/>
      <c r="O63" s="504"/>
      <c r="P63" s="507"/>
      <c r="Q63" s="507"/>
      <c r="R63" s="504"/>
      <c r="S63" s="504"/>
      <c r="T63" s="504"/>
      <c r="U63" s="504"/>
      <c r="V63" s="504"/>
      <c r="W63" s="504"/>
      <c r="X63" s="396"/>
      <c r="Y63" s="396"/>
      <c r="Z63" s="228"/>
      <c r="AA63" s="228"/>
      <c r="AB63" s="228"/>
      <c r="AC63" s="228"/>
      <c r="AD63" s="226"/>
      <c r="AE63" s="276"/>
      <c r="AF63" s="276"/>
      <c r="AG63" s="276"/>
      <c r="AH63" s="276"/>
      <c r="AI63" s="249"/>
    </row>
    <row r="64" spans="1:35" ht="12.75" customHeight="1" x14ac:dyDescent="0.3">
      <c r="A64" s="100">
        <v>1985</v>
      </c>
      <c r="B64" s="1352">
        <f>'C1-Incomes'!LF33/'C1-Incomes'!U33</f>
        <v>7.8429944860294778E-3</v>
      </c>
      <c r="C64" s="1352">
        <f>'C1-Incomes'!KP33/'C1-Incomes'!U33</f>
        <v>1.432337747898854E-2</v>
      </c>
      <c r="D64" s="1353"/>
      <c r="E64" s="1352">
        <f>('C1-Incomes'!LC33-'C1-Incomes'!LD33)/('C1-Incomes'!R33-'C1-Incomes'!S33)</f>
        <v>8.1136251779543103E-2</v>
      </c>
      <c r="F64" s="1352">
        <f>('C1-Incomes'!KM33-'C1-Incomes'!KN33)/('C1-Incomes'!R33-'C1-Incomes'!S33)</f>
        <v>7.620829232113098E-2</v>
      </c>
      <c r="G64" s="396"/>
      <c r="H64" s="12"/>
      <c r="I64" s="510"/>
      <c r="J64" s="12"/>
      <c r="K64" s="396"/>
      <c r="L64" s="12"/>
      <c r="M64" s="396"/>
      <c r="N64" s="396"/>
      <c r="O64" s="504"/>
      <c r="P64" s="507"/>
      <c r="Q64" s="507"/>
      <c r="R64" s="504"/>
      <c r="S64" s="504"/>
      <c r="T64" s="504"/>
      <c r="U64" s="504"/>
      <c r="V64" s="504"/>
      <c r="W64" s="504"/>
      <c r="X64" s="396"/>
      <c r="Y64" s="396"/>
      <c r="Z64" s="228"/>
      <c r="AA64" s="228"/>
      <c r="AB64" s="228"/>
      <c r="AC64" s="228"/>
      <c r="AD64" s="226"/>
      <c r="AE64" s="276"/>
      <c r="AF64" s="276"/>
      <c r="AG64" s="276"/>
      <c r="AH64" s="276"/>
      <c r="AI64" s="249"/>
    </row>
    <row r="65" spans="1:35" ht="12.75" customHeight="1" x14ac:dyDescent="0.3">
      <c r="A65" s="100">
        <v>1986</v>
      </c>
      <c r="B65" s="1352">
        <f>'C1-Incomes'!LF34/'C1-Incomes'!U34</f>
        <v>7.0262875995317194E-3</v>
      </c>
      <c r="C65" s="1352">
        <f>'C1-Incomes'!KP34/'C1-Incomes'!U34</f>
        <v>1.607519281092306E-2</v>
      </c>
      <c r="D65" s="1353"/>
      <c r="E65" s="1352">
        <f>('C1-Incomes'!LC34-'C1-Incomes'!LD34)/('C1-Incomes'!R34-'C1-Incomes'!S34)</f>
        <v>8.230697228156704E-2</v>
      </c>
      <c r="F65" s="1352">
        <f>('C1-Incomes'!KM34-'C1-Incomes'!KN34)/('C1-Incomes'!R34-'C1-Incomes'!S34)</f>
        <v>7.7323229648230102E-2</v>
      </c>
      <c r="G65" s="396"/>
      <c r="H65" s="12"/>
      <c r="I65" s="510"/>
      <c r="J65" s="12"/>
      <c r="K65" s="396"/>
      <c r="L65" s="12"/>
      <c r="M65" s="396"/>
      <c r="N65" s="396"/>
      <c r="O65" s="504"/>
      <c r="P65" s="507"/>
      <c r="Q65" s="507"/>
      <c r="R65" s="504"/>
      <c r="S65" s="504"/>
      <c r="T65" s="504"/>
      <c r="U65" s="504"/>
      <c r="V65" s="504"/>
      <c r="W65" s="504"/>
      <c r="X65" s="396"/>
      <c r="Y65" s="396"/>
      <c r="Z65" s="355"/>
      <c r="AA65" s="228"/>
      <c r="AB65" s="228"/>
      <c r="AC65" s="228"/>
      <c r="AD65" s="226"/>
      <c r="AE65" s="276"/>
      <c r="AF65" s="276"/>
      <c r="AG65" s="276"/>
      <c r="AH65" s="276"/>
      <c r="AI65" s="249"/>
    </row>
    <row r="66" spans="1:35" ht="12.75" customHeight="1" x14ac:dyDescent="0.3">
      <c r="A66" s="100">
        <v>1987</v>
      </c>
      <c r="B66" s="1352">
        <f>'C1-Incomes'!LF35/'C1-Incomes'!U35</f>
        <v>6.7065242532305296E-3</v>
      </c>
      <c r="C66" s="1352">
        <f>'C1-Incomes'!KP35/'C1-Incomes'!U35</f>
        <v>1.5120795709126422E-2</v>
      </c>
      <c r="D66" s="1353"/>
      <c r="E66" s="1352">
        <f>('C1-Incomes'!LC35-'C1-Incomes'!LD35)/('C1-Incomes'!R35-'C1-Incomes'!S35)</f>
        <v>7.972469842638652E-2</v>
      </c>
      <c r="F66" s="1352">
        <f>('C1-Incomes'!KM35-'C1-Incomes'!KN35)/('C1-Incomes'!R35-'C1-Incomes'!S35)</f>
        <v>7.7461292445420438E-2</v>
      </c>
      <c r="G66" s="396"/>
      <c r="H66" s="12"/>
      <c r="I66" s="510"/>
      <c r="J66" s="12"/>
      <c r="K66" s="396"/>
      <c r="L66" s="12"/>
      <c r="M66" s="396"/>
      <c r="N66" s="396"/>
      <c r="O66" s="504"/>
      <c r="P66" s="507"/>
      <c r="Q66" s="507"/>
      <c r="R66" s="504"/>
      <c r="S66" s="504"/>
      <c r="T66" s="504"/>
      <c r="U66" s="504"/>
      <c r="V66" s="504"/>
      <c r="W66" s="504"/>
      <c r="X66" s="396"/>
      <c r="Y66" s="396"/>
      <c r="Z66" s="228"/>
      <c r="AA66" s="228"/>
      <c r="AB66" s="228"/>
      <c r="AC66" s="228"/>
      <c r="AD66" s="226"/>
      <c r="AE66" s="276"/>
      <c r="AF66" s="276"/>
      <c r="AG66" s="276"/>
      <c r="AH66" s="276"/>
      <c r="AI66" s="249"/>
    </row>
    <row r="67" spans="1:35" ht="12.75" customHeight="1" x14ac:dyDescent="0.3">
      <c r="A67" s="100">
        <v>1988</v>
      </c>
      <c r="B67" s="1352">
        <f>'C1-Incomes'!LF36/'C1-Incomes'!U36</f>
        <v>4.9662800283878528E-3</v>
      </c>
      <c r="C67" s="1352">
        <f>'C1-Incomes'!KP36/'C1-Incomes'!U36</f>
        <v>1.3350465213995974E-2</v>
      </c>
      <c r="D67" s="1353"/>
      <c r="E67" s="1352">
        <f>('C1-Incomes'!LC36-'C1-Incomes'!LD36)/('C1-Incomes'!R36-'C1-Incomes'!S36)</f>
        <v>7.8813868915903321E-2</v>
      </c>
      <c r="F67" s="1352">
        <f>('C1-Incomes'!KM36-'C1-Incomes'!KN36)/('C1-Incomes'!R36-'C1-Incomes'!S36)</f>
        <v>8.1235944951358399E-2</v>
      </c>
      <c r="G67" s="396"/>
      <c r="H67" s="12"/>
      <c r="I67" s="510"/>
      <c r="J67" s="12"/>
      <c r="K67" s="396"/>
      <c r="L67" s="12"/>
      <c r="M67" s="396"/>
      <c r="N67" s="396"/>
      <c r="O67" s="504"/>
      <c r="P67" s="507"/>
      <c r="Q67" s="507"/>
      <c r="R67" s="504"/>
      <c r="S67" s="504"/>
      <c r="T67" s="504"/>
      <c r="U67" s="504"/>
      <c r="V67" s="504"/>
      <c r="W67" s="504"/>
      <c r="X67" s="396"/>
      <c r="Y67" s="396"/>
      <c r="Z67" s="228"/>
      <c r="AA67" s="228"/>
      <c r="AB67" s="228"/>
      <c r="AC67" s="228"/>
      <c r="AD67" s="226"/>
      <c r="AE67" s="276"/>
      <c r="AF67" s="276"/>
      <c r="AG67" s="276"/>
      <c r="AH67" s="276"/>
      <c r="AI67" s="249"/>
    </row>
    <row r="68" spans="1:35" ht="12.75" customHeight="1" x14ac:dyDescent="0.3">
      <c r="A68" s="100">
        <v>1989</v>
      </c>
      <c r="B68" s="1352">
        <f>'C1-Incomes'!LF37/'C1-Incomes'!U37</f>
        <v>5.3273552991707027E-3</v>
      </c>
      <c r="C68" s="1352">
        <f>'C1-Incomes'!KP37/'C1-Incomes'!U37</f>
        <v>1.3971944827983862E-2</v>
      </c>
      <c r="D68" s="1353"/>
      <c r="E68" s="1352">
        <f>('C1-Incomes'!LC37-'C1-Incomes'!LD37)/('C1-Incomes'!R37-'C1-Incomes'!S37)</f>
        <v>7.8990498489507538E-2</v>
      </c>
      <c r="F68" s="1352">
        <f>('C1-Incomes'!KM37-'C1-Incomes'!KN37)/('C1-Incomes'!R37-'C1-Incomes'!S37)</f>
        <v>7.996283551584088E-2</v>
      </c>
      <c r="G68" s="396"/>
      <c r="H68" s="12"/>
      <c r="I68" s="510"/>
      <c r="J68" s="12"/>
      <c r="K68" s="396"/>
      <c r="L68" s="12"/>
      <c r="M68" s="396"/>
      <c r="N68" s="396"/>
      <c r="O68" s="504"/>
      <c r="P68" s="507"/>
      <c r="Q68" s="507"/>
      <c r="R68" s="504"/>
      <c r="S68" s="504"/>
      <c r="T68" s="504"/>
      <c r="U68" s="504"/>
      <c r="V68" s="504"/>
      <c r="W68" s="504"/>
      <c r="X68" s="396"/>
      <c r="Y68" s="396"/>
      <c r="Z68" s="228"/>
      <c r="AA68" s="228"/>
      <c r="AB68" s="228"/>
      <c r="AC68" s="228"/>
      <c r="AD68" s="226"/>
      <c r="AE68" s="276"/>
      <c r="AF68" s="276"/>
      <c r="AG68" s="276"/>
      <c r="AH68" s="276"/>
      <c r="AI68" s="249"/>
    </row>
    <row r="69" spans="1:35" ht="12.75" customHeight="1" x14ac:dyDescent="0.3">
      <c r="A69" s="100">
        <v>1990</v>
      </c>
      <c r="B69" s="1352">
        <f>'C1-Incomes'!LF38/'C1-Incomes'!U38</f>
        <v>4.9690359612220699E-3</v>
      </c>
      <c r="C69" s="1352">
        <f>'C1-Incomes'!KP38/'C1-Incomes'!U38</f>
        <v>1.4189383270712522E-2</v>
      </c>
      <c r="D69" s="1353"/>
      <c r="E69" s="1352">
        <f>('C1-Incomes'!LC38-'C1-Incomes'!LD38)/('C1-Incomes'!R38-'C1-Incomes'!S38)</f>
        <v>8.1850791301777137E-2</v>
      </c>
      <c r="F69" s="1352">
        <f>('C1-Incomes'!KM38-'C1-Incomes'!KN38)/('C1-Incomes'!R38-'C1-Incomes'!S38)</f>
        <v>8.1988992605606895E-2</v>
      </c>
      <c r="G69" s="396"/>
      <c r="H69" s="12"/>
      <c r="I69" s="510"/>
      <c r="J69" s="12"/>
      <c r="K69" s="396"/>
      <c r="L69" s="12"/>
      <c r="M69" s="396"/>
      <c r="N69" s="396"/>
      <c r="O69" s="504"/>
      <c r="P69" s="507"/>
      <c r="Q69" s="507"/>
      <c r="R69" s="504"/>
      <c r="S69" s="504"/>
      <c r="T69" s="504"/>
      <c r="U69" s="504"/>
      <c r="V69" s="504"/>
      <c r="W69" s="504"/>
      <c r="X69" s="396"/>
      <c r="Y69" s="396"/>
      <c r="Z69" s="228"/>
      <c r="AA69" s="228"/>
      <c r="AB69" s="228"/>
      <c r="AC69" s="228"/>
      <c r="AD69" s="226"/>
      <c r="AE69" s="276"/>
      <c r="AF69" s="276"/>
      <c r="AG69" s="276"/>
      <c r="AH69" s="276"/>
      <c r="AI69" s="249"/>
    </row>
    <row r="70" spans="1:35" ht="12.75" customHeight="1" x14ac:dyDescent="0.3">
      <c r="A70" s="100">
        <v>1991</v>
      </c>
      <c r="B70" s="1352">
        <f>'C1-Incomes'!LF39/'C1-Incomes'!U39</f>
        <v>5.8589637562274314E-3</v>
      </c>
      <c r="C70" s="1352">
        <f>'C1-Incomes'!KP39/'C1-Incomes'!U39</f>
        <v>1.7141671508800221E-2</v>
      </c>
      <c r="D70" s="1353"/>
      <c r="E70" s="1352">
        <f>('C1-Incomes'!LC39-'C1-Incomes'!LD39)/('C1-Incomes'!R39-'C1-Incomes'!S39)</f>
        <v>8.6377509659535542E-2</v>
      </c>
      <c r="F70" s="1352">
        <f>('C1-Incomes'!KM39-'C1-Incomes'!KN39)/('C1-Incomes'!R39-'C1-Incomes'!S39)</f>
        <v>8.1686030222251849E-2</v>
      </c>
      <c r="G70" s="396"/>
      <c r="H70" s="12"/>
      <c r="I70" s="510"/>
      <c r="J70" s="12"/>
      <c r="K70" s="396"/>
      <c r="L70" s="12"/>
      <c r="M70" s="396"/>
      <c r="N70" s="396"/>
      <c r="O70" s="504"/>
      <c r="P70" s="507"/>
      <c r="Q70" s="507"/>
      <c r="R70" s="504"/>
      <c r="S70" s="504"/>
      <c r="T70" s="504"/>
      <c r="U70" s="504"/>
      <c r="V70" s="504"/>
      <c r="W70" s="504"/>
      <c r="X70" s="396"/>
      <c r="Y70" s="396"/>
      <c r="Z70" s="228"/>
      <c r="AA70" s="228"/>
      <c r="AB70" s="228"/>
      <c r="AC70" s="228"/>
      <c r="AD70" s="226"/>
      <c r="AE70" s="276"/>
      <c r="AF70" s="276"/>
      <c r="AG70" s="276"/>
      <c r="AH70" s="276"/>
      <c r="AI70" s="249"/>
    </row>
    <row r="71" spans="1:35" ht="12.75" customHeight="1" x14ac:dyDescent="0.3">
      <c r="A71" s="100">
        <v>1992</v>
      </c>
      <c r="B71" s="1352">
        <f>'C1-Incomes'!LF40/'C1-Incomes'!U40</f>
        <v>5.0735060551207163E-3</v>
      </c>
      <c r="C71" s="1352">
        <f>'C1-Incomes'!KP40/'C1-Incomes'!U40</f>
        <v>1.7513866518071991E-2</v>
      </c>
      <c r="D71" s="1353"/>
      <c r="E71" s="1352">
        <f>('C1-Incomes'!LC40-'C1-Incomes'!LD40)/('C1-Incomes'!R40-'C1-Incomes'!S40)</f>
        <v>9.107804095730708E-2</v>
      </c>
      <c r="F71" s="1352">
        <f>('C1-Incomes'!KM40-'C1-Incomes'!KN40)/('C1-Incomes'!R40-'C1-Incomes'!S40)</f>
        <v>8.0022463420574882E-2</v>
      </c>
      <c r="G71" s="396"/>
      <c r="H71" s="12"/>
      <c r="I71" s="510"/>
      <c r="J71" s="12"/>
      <c r="K71" s="396"/>
      <c r="L71" s="12"/>
      <c r="M71" s="396"/>
      <c r="N71" s="396"/>
      <c r="O71" s="504"/>
      <c r="P71" s="507"/>
      <c r="Q71" s="507"/>
      <c r="R71" s="504"/>
      <c r="S71" s="504"/>
      <c r="T71" s="504"/>
      <c r="U71" s="504"/>
      <c r="V71" s="504"/>
      <c r="W71" s="504"/>
      <c r="X71" s="396"/>
      <c r="Y71" s="396"/>
      <c r="Z71" s="228"/>
      <c r="AA71" s="228"/>
      <c r="AB71" s="228"/>
      <c r="AC71" s="228"/>
      <c r="AD71" s="226"/>
      <c r="AE71" s="276"/>
      <c r="AF71" s="276"/>
      <c r="AG71" s="276"/>
      <c r="AH71" s="276"/>
      <c r="AI71" s="249"/>
    </row>
    <row r="72" spans="1:35" ht="12.75" customHeight="1" x14ac:dyDescent="0.3">
      <c r="A72" s="100">
        <v>1993</v>
      </c>
      <c r="B72" s="1352">
        <f>'C1-Incomes'!LF41/'C1-Incomes'!U41</f>
        <v>5.1964409114487464E-3</v>
      </c>
      <c r="C72" s="1352">
        <f>'C1-Incomes'!KP41/'C1-Incomes'!U41</f>
        <v>1.8553706334281356E-2</v>
      </c>
      <c r="D72" s="1353"/>
      <c r="E72" s="1352">
        <f>('C1-Incomes'!LC41-'C1-Incomes'!LD41)/('C1-Incomes'!R41-'C1-Incomes'!S41)</f>
        <v>9.1015432516324921E-2</v>
      </c>
      <c r="F72" s="1352">
        <f>('C1-Incomes'!KM41-'C1-Incomes'!KN41)/('C1-Incomes'!R41-'C1-Incomes'!S41)</f>
        <v>7.9710933310438728E-2</v>
      </c>
      <c r="G72" s="396"/>
      <c r="H72" s="12"/>
      <c r="I72" s="510"/>
      <c r="J72" s="12"/>
      <c r="K72" s="396"/>
      <c r="L72" s="12"/>
      <c r="M72" s="396"/>
      <c r="N72" s="396"/>
      <c r="O72" s="504"/>
      <c r="P72" s="507"/>
      <c r="Q72" s="507"/>
      <c r="R72" s="504"/>
      <c r="S72" s="504"/>
      <c r="T72" s="504"/>
      <c r="U72" s="504"/>
      <c r="V72" s="504"/>
      <c r="W72" s="504"/>
      <c r="X72" s="396"/>
      <c r="Y72" s="396"/>
      <c r="Z72" s="228"/>
      <c r="AA72" s="228"/>
      <c r="AB72" s="228"/>
      <c r="AC72" s="228"/>
      <c r="AD72" s="226"/>
      <c r="AE72" s="276"/>
      <c r="AF72" s="276"/>
      <c r="AG72" s="276"/>
      <c r="AH72" s="276"/>
      <c r="AI72" s="249"/>
    </row>
    <row r="73" spans="1:35" ht="12.75" customHeight="1" x14ac:dyDescent="0.3">
      <c r="A73" s="100">
        <v>1994</v>
      </c>
      <c r="B73" s="1352">
        <f>'C1-Incomes'!LF42/'C1-Incomes'!U42</f>
        <v>5.1557955192376844E-3</v>
      </c>
      <c r="C73" s="1352">
        <f>'C1-Incomes'!KP42/'C1-Incomes'!U42</f>
        <v>2.4829622782298579E-2</v>
      </c>
      <c r="D73" s="1353"/>
      <c r="E73" s="1352">
        <f>('C1-Incomes'!LC42-'C1-Incomes'!LD42)/('C1-Incomes'!R42-'C1-Incomes'!S42)</f>
        <v>8.8008480838614539E-2</v>
      </c>
      <c r="F73" s="1352">
        <f>('C1-Incomes'!KM42-'C1-Incomes'!KN42)/('C1-Incomes'!R42-'C1-Incomes'!S42)</f>
        <v>7.8349403447435462E-2</v>
      </c>
      <c r="G73" s="396"/>
      <c r="H73" s="12"/>
      <c r="I73" s="510"/>
      <c r="J73" s="12"/>
      <c r="K73" s="396"/>
      <c r="L73" s="12"/>
      <c r="M73" s="396"/>
      <c r="N73" s="396"/>
      <c r="O73" s="504"/>
      <c r="P73" s="507"/>
      <c r="Q73" s="507"/>
      <c r="R73" s="504"/>
      <c r="S73" s="504"/>
      <c r="T73" s="504"/>
      <c r="U73" s="504"/>
      <c r="V73" s="504"/>
      <c r="W73" s="504"/>
      <c r="X73" s="396"/>
      <c r="Y73" s="396"/>
      <c r="Z73" s="228"/>
      <c r="AA73" s="228"/>
      <c r="AB73" s="228"/>
      <c r="AC73" s="228"/>
      <c r="AD73" s="226"/>
      <c r="AE73" s="276"/>
      <c r="AF73" s="276"/>
      <c r="AG73" s="276"/>
      <c r="AH73" s="276"/>
      <c r="AI73" s="249"/>
    </row>
    <row r="74" spans="1:35" ht="12.75" customHeight="1" x14ac:dyDescent="0.3">
      <c r="A74" s="100">
        <v>1995</v>
      </c>
      <c r="B74" s="1352">
        <f>'C1-Incomes'!LF43/'C1-Incomes'!U43</f>
        <v>5.065131385239144E-3</v>
      </c>
      <c r="C74" s="1352">
        <f>'C1-Incomes'!KP43/'C1-Incomes'!U43</f>
        <v>2.3880314197761269E-2</v>
      </c>
      <c r="D74" s="1353"/>
      <c r="E74" s="1352">
        <f>('C1-Incomes'!LC43-'C1-Incomes'!LD43)/('C1-Incomes'!R43-'C1-Incomes'!S43)</f>
        <v>8.8200997283412491E-2</v>
      </c>
      <c r="F74" s="1352">
        <f>('C1-Incomes'!KM43-'C1-Incomes'!KN43)/('C1-Incomes'!R43-'C1-Incomes'!S43)</f>
        <v>7.828387155524287E-2</v>
      </c>
      <c r="G74" s="396"/>
      <c r="H74" s="12"/>
      <c r="I74" s="510"/>
      <c r="J74" s="12"/>
      <c r="K74" s="396"/>
      <c r="L74" s="12"/>
      <c r="M74" s="396"/>
      <c r="N74" s="396"/>
      <c r="O74" s="504"/>
      <c r="P74" s="507"/>
      <c r="Q74" s="507"/>
      <c r="R74" s="504"/>
      <c r="S74" s="504"/>
      <c r="T74" s="504"/>
      <c r="U74" s="504"/>
      <c r="V74" s="504"/>
      <c r="W74" s="504"/>
      <c r="X74" s="396"/>
      <c r="Y74" s="396"/>
      <c r="Z74" s="228"/>
      <c r="AA74" s="228"/>
      <c r="AB74" s="228"/>
      <c r="AC74" s="228"/>
      <c r="AD74" s="226"/>
      <c r="AE74" s="276"/>
      <c r="AF74" s="276"/>
      <c r="AG74" s="276"/>
      <c r="AH74" s="276"/>
      <c r="AI74" s="249"/>
    </row>
    <row r="75" spans="1:35" ht="12.75" customHeight="1" x14ac:dyDescent="0.3">
      <c r="A75" s="100">
        <v>1996</v>
      </c>
      <c r="B75" s="1352">
        <f>'C1-Incomes'!LF44/'C1-Incomes'!U44</f>
        <v>4.9046702277890913E-3</v>
      </c>
      <c r="C75" s="1352">
        <f>'C1-Incomes'!KP44/'C1-Incomes'!U44</f>
        <v>2.3082146068683335E-2</v>
      </c>
      <c r="D75" s="1353"/>
      <c r="E75" s="1352">
        <f>('C1-Incomes'!LC44-'C1-Incomes'!LD44)/('C1-Incomes'!R44-'C1-Incomes'!S44)</f>
        <v>8.7672313944300362E-2</v>
      </c>
      <c r="F75" s="1352">
        <f>('C1-Incomes'!KM44-'C1-Incomes'!KN44)/('C1-Incomes'!R44-'C1-Incomes'!S44)</f>
        <v>7.7824727837322971E-2</v>
      </c>
      <c r="G75" s="396"/>
      <c r="H75" s="12"/>
      <c r="I75" s="510"/>
      <c r="J75" s="12"/>
      <c r="K75" s="396"/>
      <c r="L75" s="12"/>
      <c r="M75" s="396"/>
      <c r="N75" s="396"/>
      <c r="O75" s="504"/>
      <c r="P75" s="507"/>
      <c r="Q75" s="507"/>
      <c r="R75" s="504"/>
      <c r="S75" s="504"/>
      <c r="T75" s="504"/>
      <c r="U75" s="504"/>
      <c r="V75" s="504"/>
      <c r="W75" s="504"/>
      <c r="X75" s="396"/>
      <c r="Y75" s="396"/>
      <c r="Z75" s="228"/>
      <c r="AA75" s="228"/>
      <c r="AB75" s="228"/>
      <c r="AC75" s="228"/>
      <c r="AD75" s="226"/>
      <c r="AE75" s="276"/>
      <c r="AF75" s="276"/>
      <c r="AG75" s="276"/>
      <c r="AH75" s="276"/>
      <c r="AI75" s="249"/>
    </row>
    <row r="76" spans="1:35" ht="12.75" customHeight="1" x14ac:dyDescent="0.3">
      <c r="A76" s="100">
        <v>1997</v>
      </c>
      <c r="B76" s="1352">
        <f>'C1-Incomes'!LF45/'C1-Incomes'!U45</f>
        <v>4.5745429880392277E-3</v>
      </c>
      <c r="C76" s="1352">
        <f>'C1-Incomes'!KP45/'C1-Incomes'!U45</f>
        <v>2.236104922914647E-2</v>
      </c>
      <c r="D76" s="1353"/>
      <c r="E76" s="1352">
        <f>('C1-Incomes'!LC45-'C1-Incomes'!LD45)/('C1-Incomes'!R45-'C1-Incomes'!S45)</f>
        <v>8.6552192639998707E-2</v>
      </c>
      <c r="F76" s="1352">
        <f>('C1-Incomes'!KM45-'C1-Incomes'!KN45)/('C1-Incomes'!R45-'C1-Incomes'!S45)</f>
        <v>7.8011115042397078E-2</v>
      </c>
      <c r="G76" s="396"/>
      <c r="H76" s="12"/>
      <c r="I76" s="510"/>
      <c r="J76" s="12"/>
      <c r="K76" s="396"/>
      <c r="L76" s="12"/>
      <c r="M76" s="396"/>
      <c r="N76" s="396"/>
      <c r="O76" s="504"/>
      <c r="P76" s="507"/>
      <c r="Q76" s="507"/>
      <c r="R76" s="504"/>
      <c r="S76" s="504"/>
      <c r="T76" s="504"/>
      <c r="U76" s="504"/>
      <c r="V76" s="504"/>
      <c r="W76" s="504"/>
      <c r="X76" s="396"/>
      <c r="Y76" s="396"/>
      <c r="Z76" s="228"/>
      <c r="AA76" s="228"/>
      <c r="AB76" s="228"/>
      <c r="AC76" s="228"/>
      <c r="AD76" s="226"/>
      <c r="AE76" s="276"/>
      <c r="AF76" s="276"/>
      <c r="AG76" s="276"/>
      <c r="AH76" s="276"/>
      <c r="AI76" s="249"/>
    </row>
    <row r="77" spans="1:35" ht="12.75" customHeight="1" x14ac:dyDescent="0.3">
      <c r="A77" s="18">
        <v>1998</v>
      </c>
      <c r="B77" s="1352">
        <f>'C1-Incomes'!LF46/'C1-Incomes'!U46</f>
        <v>4.2665276635035446E-3</v>
      </c>
      <c r="C77" s="1352">
        <f>'C1-Incomes'!KP46/'C1-Incomes'!U46</f>
        <v>2.2718288646979036E-2</v>
      </c>
      <c r="D77" s="1353"/>
      <c r="E77" s="1352">
        <f>('C1-Incomes'!LC46-'C1-Incomes'!LD46)/('C1-Incomes'!R46-'C1-Incomes'!S46)</f>
        <v>8.3185639447866E-2</v>
      </c>
      <c r="F77" s="1352">
        <f>('C1-Incomes'!KM46-'C1-Incomes'!KN46)/('C1-Incomes'!R46-'C1-Incomes'!S46)</f>
        <v>7.8370578219504966E-2</v>
      </c>
      <c r="G77" s="396"/>
      <c r="H77" s="12"/>
      <c r="I77" s="510"/>
      <c r="J77" s="12"/>
      <c r="K77" s="396"/>
      <c r="L77" s="12"/>
      <c r="M77" s="396"/>
      <c r="N77" s="396"/>
      <c r="O77" s="504"/>
      <c r="P77" s="507"/>
      <c r="Q77" s="507"/>
      <c r="R77" s="504"/>
      <c r="S77" s="504"/>
      <c r="T77" s="504"/>
      <c r="U77" s="504"/>
      <c r="V77" s="504"/>
      <c r="W77" s="504"/>
      <c r="X77" s="396"/>
      <c r="Y77" s="396"/>
      <c r="Z77" s="228"/>
      <c r="AA77" s="228"/>
      <c r="AB77" s="228"/>
      <c r="AC77" s="228"/>
      <c r="AD77" s="226"/>
      <c r="AE77" s="276"/>
      <c r="AF77" s="276"/>
      <c r="AG77" s="276"/>
      <c r="AH77" s="276"/>
      <c r="AI77" s="249"/>
    </row>
    <row r="78" spans="1:35" ht="12.75" customHeight="1" x14ac:dyDescent="0.3">
      <c r="A78" s="100">
        <v>1999</v>
      </c>
      <c r="B78" s="1352">
        <f>'C1-Incomes'!LF47/'C1-Incomes'!U47</f>
        <v>3.7801707800719101E-3</v>
      </c>
      <c r="C78" s="1352">
        <f>'C1-Incomes'!KP47/'C1-Incomes'!U47</f>
        <v>2.2757697314228952E-2</v>
      </c>
      <c r="D78" s="1353"/>
      <c r="E78" s="1352">
        <f>('C1-Incomes'!LC47-'C1-Incomes'!LD47)/('C1-Incomes'!R47-'C1-Incomes'!S47)</f>
        <v>8.1028190789870211E-2</v>
      </c>
      <c r="F78" s="1352">
        <f>('C1-Incomes'!KM47-'C1-Incomes'!KN47)/('C1-Incomes'!R47-'C1-Incomes'!S47)</f>
        <v>7.8932099628244295E-2</v>
      </c>
      <c r="G78" s="396"/>
      <c r="H78" s="12"/>
      <c r="I78" s="510"/>
      <c r="J78" s="12"/>
      <c r="K78" s="396"/>
      <c r="L78" s="12"/>
      <c r="M78" s="396"/>
      <c r="N78" s="396"/>
      <c r="O78" s="504"/>
      <c r="P78" s="507"/>
      <c r="Q78" s="507"/>
      <c r="R78" s="504"/>
      <c r="S78" s="504"/>
      <c r="T78" s="504"/>
      <c r="U78" s="504"/>
      <c r="V78" s="504"/>
      <c r="W78" s="504"/>
      <c r="X78" s="396"/>
      <c r="Y78" s="396"/>
      <c r="Z78" s="228"/>
      <c r="AA78" s="228"/>
      <c r="AB78" s="228"/>
      <c r="AC78" s="228"/>
      <c r="AD78" s="226"/>
      <c r="AE78" s="276"/>
      <c r="AF78" s="276"/>
      <c r="AG78" s="276"/>
      <c r="AH78" s="276"/>
      <c r="AI78" s="249"/>
    </row>
    <row r="79" spans="1:35" ht="12.75" customHeight="1" x14ac:dyDescent="0.3">
      <c r="A79" s="100">
        <v>2000</v>
      </c>
      <c r="B79" s="1352">
        <f>'C1-Incomes'!LF48/'C1-Incomes'!U48</f>
        <v>3.9759396803639314E-3</v>
      </c>
      <c r="C79" s="1352">
        <f>'C1-Incomes'!KP48/'C1-Incomes'!U48</f>
        <v>2.3190692324518831E-2</v>
      </c>
      <c r="D79" s="1353"/>
      <c r="E79" s="1352">
        <f>('C1-Incomes'!LC48-'C1-Incomes'!LD48)/('C1-Incomes'!R48-'C1-Incomes'!S48)</f>
        <v>8.0170853132711814E-2</v>
      </c>
      <c r="F79" s="1352">
        <f>('C1-Incomes'!KM48-'C1-Incomes'!KN48)/('C1-Incomes'!R48-'C1-Incomes'!S48)</f>
        <v>7.9150529459227001E-2</v>
      </c>
      <c r="G79" s="396"/>
      <c r="H79" s="12"/>
      <c r="I79" s="510"/>
      <c r="J79" s="12"/>
      <c r="K79" s="396"/>
      <c r="L79" s="12"/>
      <c r="M79" s="396"/>
      <c r="N79" s="396"/>
      <c r="O79" s="504"/>
      <c r="P79" s="507"/>
      <c r="Q79" s="507"/>
      <c r="R79" s="504"/>
      <c r="S79" s="504"/>
      <c r="T79" s="504"/>
      <c r="U79" s="504"/>
      <c r="V79" s="504"/>
      <c r="W79" s="504"/>
      <c r="X79" s="396"/>
      <c r="Y79" s="396"/>
      <c r="Z79" s="228"/>
      <c r="AA79" s="228"/>
      <c r="AB79" s="228"/>
      <c r="AC79" s="228"/>
      <c r="AD79" s="226"/>
      <c r="AE79" s="276"/>
      <c r="AF79" s="276"/>
      <c r="AG79" s="276"/>
      <c r="AH79" s="276"/>
      <c r="AI79" s="249"/>
    </row>
    <row r="80" spans="1:35" ht="12.75" customHeight="1" x14ac:dyDescent="0.3">
      <c r="A80" s="100">
        <v>2001</v>
      </c>
      <c r="B80" s="1352">
        <f>'C1-Incomes'!LF49/'C1-Incomes'!U49</f>
        <v>4.3642928634531767E-3</v>
      </c>
      <c r="C80" s="1352">
        <f>'C1-Incomes'!KP49/'C1-Incomes'!U49</f>
        <v>2.3566228316669394E-2</v>
      </c>
      <c r="D80" s="1353"/>
      <c r="E80" s="1352">
        <f>('C1-Incomes'!LC49-'C1-Incomes'!LD49)/('C1-Incomes'!R49-'C1-Incomes'!S49)</f>
        <v>8.2792575449129061E-2</v>
      </c>
      <c r="F80" s="1352">
        <f>('C1-Incomes'!KM49-'C1-Incomes'!KN49)/('C1-Incomes'!R49-'C1-Incomes'!S49)</f>
        <v>7.7399488492553764E-2</v>
      </c>
      <c r="G80" s="396"/>
      <c r="H80" s="12"/>
      <c r="I80" s="510"/>
      <c r="J80" s="12"/>
      <c r="K80" s="396"/>
      <c r="L80" s="12"/>
      <c r="M80" s="396"/>
      <c r="N80" s="396"/>
      <c r="O80" s="504"/>
      <c r="P80" s="507"/>
      <c r="Q80" s="507"/>
      <c r="R80" s="504"/>
      <c r="S80" s="504"/>
      <c r="T80" s="504"/>
      <c r="U80" s="504"/>
      <c r="V80" s="504"/>
      <c r="W80" s="504"/>
      <c r="X80" s="396"/>
      <c r="Y80" s="396"/>
      <c r="Z80" s="228"/>
      <c r="AA80" s="228"/>
      <c r="AB80" s="228"/>
      <c r="AC80" s="228"/>
      <c r="AD80" s="226"/>
      <c r="AE80" s="276"/>
      <c r="AF80" s="276"/>
      <c r="AG80" s="276"/>
      <c r="AH80" s="276"/>
      <c r="AI80" s="249"/>
    </row>
    <row r="81" spans="1:35" ht="12.75" customHeight="1" x14ac:dyDescent="0.3">
      <c r="A81" s="100">
        <v>2002</v>
      </c>
      <c r="B81" s="1352">
        <f>'C1-Incomes'!LF50/'C1-Incomes'!U50</f>
        <v>4.8824123855900348E-3</v>
      </c>
      <c r="C81" s="1352">
        <f>'C1-Incomes'!KP50/'C1-Incomes'!U50</f>
        <v>2.4177142063177517E-2</v>
      </c>
      <c r="D81" s="1353"/>
      <c r="E81" s="1352">
        <f>('C1-Incomes'!LC50-'C1-Incomes'!LD50)/('C1-Incomes'!R50-'C1-Incomes'!S50)</f>
        <v>8.6508966514547411E-2</v>
      </c>
      <c r="F81" s="1352">
        <f>('C1-Incomes'!KM50-'C1-Incomes'!KN50)/('C1-Incomes'!R50-'C1-Incomes'!S50)</f>
        <v>7.5403731125617351E-2</v>
      </c>
      <c r="G81" s="396"/>
      <c r="H81" s="12"/>
      <c r="I81" s="510"/>
      <c r="J81" s="12"/>
      <c r="K81" s="396"/>
      <c r="L81" s="12"/>
      <c r="M81" s="396"/>
      <c r="N81" s="396"/>
      <c r="O81" s="504"/>
      <c r="P81" s="507"/>
      <c r="Q81" s="507"/>
      <c r="R81" s="504"/>
      <c r="S81" s="504"/>
      <c r="T81" s="504"/>
      <c r="U81" s="504"/>
      <c r="V81" s="504"/>
      <c r="W81" s="504"/>
      <c r="X81" s="396"/>
      <c r="Y81" s="396"/>
      <c r="Z81" s="228"/>
      <c r="AA81" s="228"/>
      <c r="AB81" s="228"/>
      <c r="AC81" s="228"/>
      <c r="AD81" s="226"/>
      <c r="AE81" s="276"/>
      <c r="AF81" s="276"/>
      <c r="AG81" s="276"/>
      <c r="AH81" s="276"/>
      <c r="AI81" s="249"/>
    </row>
    <row r="82" spans="1:35" ht="12.75" customHeight="1" x14ac:dyDescent="0.3">
      <c r="A82" s="100">
        <v>2003</v>
      </c>
      <c r="B82" s="1352">
        <f>'C1-Incomes'!LF51/'C1-Incomes'!U51</f>
        <v>4.665470354099038E-3</v>
      </c>
      <c r="C82" s="1352">
        <f>'C1-Incomes'!KP51/'C1-Incomes'!U51</f>
        <v>2.3289348564524061E-2</v>
      </c>
      <c r="D82" s="1353"/>
      <c r="E82" s="1352">
        <f>('C1-Incomes'!LC51-'C1-Incomes'!LD51)/('C1-Incomes'!R51-'C1-Incomes'!S51)</f>
        <v>8.6650982805348289E-2</v>
      </c>
      <c r="F82" s="1352">
        <f>('C1-Incomes'!KM51-'C1-Incomes'!KN51)/('C1-Incomes'!R51-'C1-Incomes'!S51)</f>
        <v>7.4960625023799229E-2</v>
      </c>
      <c r="G82" s="396"/>
      <c r="H82" s="12"/>
      <c r="I82" s="510"/>
      <c r="J82" s="12"/>
      <c r="K82" s="396"/>
      <c r="L82" s="12"/>
      <c r="M82" s="396"/>
      <c r="N82" s="396"/>
      <c r="O82" s="504"/>
      <c r="P82" s="507"/>
      <c r="Q82" s="507"/>
      <c r="R82" s="504"/>
      <c r="S82" s="504"/>
      <c r="T82" s="504"/>
      <c r="U82" s="504"/>
      <c r="V82" s="504"/>
      <c r="W82" s="504"/>
      <c r="X82" s="396"/>
      <c r="Y82" s="396"/>
      <c r="Z82" s="228"/>
      <c r="AA82" s="228"/>
      <c r="AB82" s="228"/>
      <c r="AC82" s="228"/>
      <c r="AD82" s="226"/>
      <c r="AE82" s="276"/>
      <c r="AF82" s="276"/>
      <c r="AG82" s="276"/>
      <c r="AH82" s="276"/>
      <c r="AI82" s="249"/>
    </row>
    <row r="83" spans="1:35" ht="12.75" customHeight="1" x14ac:dyDescent="0.3">
      <c r="A83" s="100">
        <v>2004</v>
      </c>
      <c r="B83" s="1352">
        <f>'C1-Incomes'!LF52/'C1-Incomes'!U52</f>
        <v>4.2720710166470419E-3</v>
      </c>
      <c r="C83" s="1352">
        <f>'C1-Incomes'!KP52/'C1-Incomes'!U52</f>
        <v>2.1962376717593431E-2</v>
      </c>
      <c r="D83" s="1353"/>
      <c r="E83" s="1352">
        <f>('C1-Incomes'!LC52-'C1-Incomes'!LD52)/('C1-Incomes'!R52-'C1-Incomes'!S52)</f>
        <v>8.4214341928621123E-2</v>
      </c>
      <c r="F83" s="1352">
        <f>('C1-Incomes'!KM52-'C1-Incomes'!KN52)/('C1-Incomes'!R52-'C1-Incomes'!S52)</f>
        <v>7.5770567302137687E-2</v>
      </c>
      <c r="G83" s="396"/>
      <c r="H83" s="12"/>
      <c r="I83" s="510"/>
      <c r="J83" s="12"/>
      <c r="K83" s="396"/>
      <c r="L83" s="12"/>
      <c r="M83" s="396"/>
      <c r="N83" s="396"/>
      <c r="O83" s="504"/>
      <c r="P83" s="507"/>
      <c r="Q83" s="507"/>
      <c r="R83" s="504"/>
      <c r="S83" s="504"/>
      <c r="T83" s="504"/>
      <c r="U83" s="504"/>
      <c r="V83" s="504"/>
      <c r="W83" s="504"/>
      <c r="X83" s="396"/>
      <c r="Y83" s="396"/>
      <c r="Z83" s="228"/>
      <c r="AA83" s="228"/>
      <c r="AB83" s="228"/>
      <c r="AC83" s="228"/>
      <c r="AD83" s="226"/>
      <c r="AE83" s="276"/>
      <c r="AF83" s="276"/>
      <c r="AG83" s="276"/>
      <c r="AH83" s="276"/>
      <c r="AI83" s="249"/>
    </row>
    <row r="84" spans="1:35" ht="12.75" customHeight="1" x14ac:dyDescent="0.3">
      <c r="A84" s="100">
        <v>2005</v>
      </c>
      <c r="B84" s="1352">
        <f>'C1-Incomes'!LF53/'C1-Incomes'!U53</f>
        <v>3.732869910816942E-3</v>
      </c>
      <c r="C84" s="1352">
        <f>'C1-Incomes'!KP53/'C1-Incomes'!U53</f>
        <v>2.032543612169992E-2</v>
      </c>
      <c r="D84" s="1353"/>
      <c r="E84" s="1352">
        <f>('C1-Incomes'!LC53-'C1-Incomes'!LD53)/('C1-Incomes'!R53-'C1-Incomes'!S53)</f>
        <v>8.3974895275148259E-2</v>
      </c>
      <c r="F84" s="1352">
        <f>('C1-Incomes'!KM53-'C1-Incomes'!KN53)/('C1-Incomes'!R53-'C1-Incomes'!S53)</f>
        <v>7.542479002125925E-2</v>
      </c>
      <c r="G84" s="396"/>
      <c r="H84" s="12"/>
      <c r="I84" s="510"/>
      <c r="J84" s="12"/>
      <c r="K84" s="396"/>
      <c r="L84" s="12"/>
      <c r="M84" s="396"/>
      <c r="N84" s="396"/>
      <c r="O84" s="504"/>
      <c r="P84" s="507"/>
      <c r="Q84" s="507"/>
      <c r="R84" s="504"/>
      <c r="S84" s="504"/>
      <c r="T84" s="504"/>
      <c r="U84" s="504"/>
      <c r="V84" s="504"/>
      <c r="W84" s="504"/>
      <c r="X84" s="396"/>
      <c r="Y84" s="396"/>
      <c r="Z84" s="228"/>
      <c r="AA84" s="228"/>
      <c r="AB84" s="228"/>
      <c r="AC84" s="228"/>
      <c r="AD84" s="226"/>
      <c r="AE84" s="276"/>
      <c r="AF84" s="276"/>
      <c r="AG84" s="276"/>
      <c r="AH84" s="276"/>
      <c r="AI84" s="249"/>
    </row>
    <row r="85" spans="1:35" ht="12.75" customHeight="1" x14ac:dyDescent="0.3">
      <c r="A85" s="100">
        <v>2006</v>
      </c>
      <c r="B85" s="1352">
        <f>'C1-Incomes'!LF54/'C1-Incomes'!U54</f>
        <v>3.8542959460863171E-3</v>
      </c>
      <c r="C85" s="1352">
        <f>'C1-Incomes'!KP54/'C1-Incomes'!U54</f>
        <v>1.9607961577657883E-2</v>
      </c>
      <c r="D85" s="1353"/>
      <c r="E85" s="1352">
        <f>('C1-Incomes'!LC54-'C1-Incomes'!LD54)/('C1-Incomes'!R54-'C1-Incomes'!S54)</f>
        <v>8.5368627584671258E-2</v>
      </c>
      <c r="F85" s="1352">
        <f>('C1-Incomes'!KM54-'C1-Incomes'!KN54)/('C1-Incomes'!R54-'C1-Incomes'!S54)</f>
        <v>7.4458998803171417E-2</v>
      </c>
      <c r="G85" s="396"/>
      <c r="H85" s="12"/>
      <c r="I85" s="510"/>
      <c r="J85" s="12"/>
      <c r="K85" s="396"/>
      <c r="L85" s="12"/>
      <c r="M85" s="396"/>
      <c r="N85" s="396"/>
      <c r="O85" s="504"/>
      <c r="P85" s="507"/>
      <c r="Q85" s="507"/>
      <c r="R85" s="504"/>
      <c r="S85" s="504"/>
      <c r="T85" s="504"/>
      <c r="U85" s="504"/>
      <c r="V85" s="504"/>
      <c r="W85" s="504"/>
      <c r="X85" s="396"/>
      <c r="Y85" s="396"/>
      <c r="Z85" s="228"/>
      <c r="AA85" s="228"/>
      <c r="AB85" s="228"/>
      <c r="AC85" s="228"/>
      <c r="AD85" s="226"/>
      <c r="AE85" s="276"/>
      <c r="AF85" s="276"/>
      <c r="AG85" s="276"/>
      <c r="AH85" s="276"/>
      <c r="AI85" s="249"/>
    </row>
    <row r="86" spans="1:35" ht="12.75" customHeight="1" x14ac:dyDescent="0.3">
      <c r="A86" s="100">
        <v>2007</v>
      </c>
      <c r="B86" s="1352">
        <f>'C1-Incomes'!LF55/'C1-Incomes'!U55</f>
        <v>3.8308600128421737E-3</v>
      </c>
      <c r="C86" s="1352">
        <f>'C1-Incomes'!KP55/'C1-Incomes'!U55</f>
        <v>2.0525355791103803E-2</v>
      </c>
      <c r="D86" s="1353"/>
      <c r="E86" s="1352">
        <f>('C1-Incomes'!LC55-'C1-Incomes'!LD55)/('C1-Incomes'!R55-'C1-Incomes'!S55)</f>
        <v>8.7251551594200047E-2</v>
      </c>
      <c r="F86" s="1352">
        <f>('C1-Incomes'!KM55-'C1-Incomes'!KN55)/('C1-Incomes'!R55-'C1-Incomes'!S55)</f>
        <v>7.4575160770462612E-2</v>
      </c>
      <c r="G86" s="396"/>
      <c r="H86" s="12"/>
      <c r="I86" s="510"/>
      <c r="J86" s="12"/>
      <c r="K86" s="396"/>
      <c r="L86" s="12"/>
      <c r="M86" s="396"/>
      <c r="N86" s="396"/>
      <c r="O86" s="504"/>
      <c r="P86" s="507"/>
      <c r="Q86" s="507"/>
      <c r="R86" s="504"/>
      <c r="S86" s="504"/>
      <c r="T86" s="504"/>
      <c r="U86" s="504"/>
      <c r="V86" s="504"/>
      <c r="W86" s="504"/>
      <c r="X86" s="396"/>
      <c r="Y86" s="396"/>
      <c r="Z86" s="228"/>
      <c r="AA86" s="228"/>
      <c r="AB86" s="228"/>
      <c r="AC86" s="228"/>
      <c r="AD86" s="226"/>
      <c r="AE86" s="276"/>
      <c r="AF86" s="276"/>
      <c r="AG86" s="276"/>
      <c r="AH86" s="276"/>
      <c r="AI86" s="249"/>
    </row>
    <row r="87" spans="1:35" ht="12.75" customHeight="1" x14ac:dyDescent="0.3">
      <c r="A87" s="100">
        <v>2008</v>
      </c>
      <c r="B87" s="1352">
        <f>'C1-Incomes'!LF56/'C1-Incomes'!U56</f>
        <v>4.1421439823225697E-3</v>
      </c>
      <c r="C87" s="1352">
        <f>'C1-Incomes'!KP56/'C1-Incomes'!U56</f>
        <v>2.1625261099642131E-2</v>
      </c>
      <c r="D87" s="1353"/>
      <c r="E87" s="1352">
        <f>('C1-Incomes'!LC56-'C1-Incomes'!LD56)/('C1-Incomes'!R56-'C1-Incomes'!S56)</f>
        <v>9.0435218510794418E-2</v>
      </c>
      <c r="F87" s="1352">
        <f>('C1-Incomes'!KM56-'C1-Incomes'!KN56)/('C1-Incomes'!R56-'C1-Incomes'!S56)</f>
        <v>7.3004638774393851E-2</v>
      </c>
      <c r="G87" s="396"/>
      <c r="H87" s="12"/>
      <c r="I87" s="510"/>
      <c r="J87" s="12"/>
      <c r="K87" s="396"/>
      <c r="L87" s="12"/>
      <c r="M87" s="396"/>
      <c r="N87" s="396"/>
      <c r="O87" s="504"/>
      <c r="P87" s="507"/>
      <c r="Q87" s="507"/>
      <c r="R87" s="504"/>
      <c r="S87" s="504"/>
      <c r="T87" s="504"/>
      <c r="U87" s="504"/>
      <c r="V87" s="504"/>
      <c r="W87" s="504"/>
      <c r="X87" s="396"/>
      <c r="Y87" s="396"/>
      <c r="Z87" s="228"/>
      <c r="AA87" s="228"/>
      <c r="AB87" s="228"/>
      <c r="AC87" s="228"/>
      <c r="AD87" s="226"/>
      <c r="AE87" s="276"/>
      <c r="AF87" s="276"/>
      <c r="AG87" s="276"/>
      <c r="AH87" s="276"/>
      <c r="AI87" s="249"/>
    </row>
    <row r="88" spans="1:35" ht="12.75" customHeight="1" x14ac:dyDescent="0.3">
      <c r="A88" s="100">
        <v>2009</v>
      </c>
      <c r="B88" s="1352">
        <f>'C1-Incomes'!LF57/'C1-Incomes'!U57</f>
        <v>5.2410029380523639E-3</v>
      </c>
      <c r="C88" s="1352">
        <f>'C1-Incomes'!KP57/'C1-Incomes'!U57</f>
        <v>2.2425046936212324E-2</v>
      </c>
      <c r="D88" s="1353"/>
      <c r="E88" s="1352">
        <f>('C1-Incomes'!LC57-'C1-Incomes'!LD57)/('C1-Incomes'!R57-'C1-Incomes'!S57)</f>
        <v>0.10619958683925006</v>
      </c>
      <c r="F88" s="1352">
        <f>('C1-Incomes'!KM57-'C1-Incomes'!KN57)/('C1-Incomes'!R57-'C1-Incomes'!S57)</f>
        <v>6.9940574199217453E-2</v>
      </c>
      <c r="G88" s="396"/>
      <c r="H88" s="12"/>
      <c r="I88" s="510"/>
      <c r="J88" s="12"/>
      <c r="K88" s="396"/>
      <c r="L88" s="12"/>
      <c r="M88" s="396"/>
      <c r="N88" s="396"/>
      <c r="O88" s="504"/>
      <c r="P88" s="507"/>
      <c r="Q88" s="507"/>
      <c r="R88" s="504"/>
      <c r="S88" s="504"/>
      <c r="T88" s="504"/>
      <c r="U88" s="504"/>
      <c r="V88" s="504"/>
      <c r="W88" s="504"/>
      <c r="X88" s="396"/>
      <c r="Y88" s="396"/>
      <c r="Z88" s="228"/>
      <c r="AA88" s="228"/>
      <c r="AB88" s="228"/>
      <c r="AC88" s="228"/>
      <c r="AD88" s="226"/>
      <c r="AE88" s="276"/>
      <c r="AF88" s="276"/>
      <c r="AG88" s="276"/>
      <c r="AH88" s="276"/>
      <c r="AI88" s="249"/>
    </row>
    <row r="89" spans="1:35" ht="12.75" customHeight="1" x14ac:dyDescent="0.3">
      <c r="A89" s="100">
        <v>2010</v>
      </c>
      <c r="B89" s="1352">
        <f>'C1-Incomes'!LF58/'C1-Incomes'!U58</f>
        <v>4.6879654196872733E-3</v>
      </c>
      <c r="C89" s="1352">
        <f>'C1-Incomes'!KP58/'C1-Incomes'!U58</f>
        <v>2.0452131082764034E-2</v>
      </c>
      <c r="D89" s="1353"/>
      <c r="E89" s="1352">
        <f>('C1-Incomes'!LC58-'C1-Incomes'!LD58)/('C1-Incomes'!R58-'C1-Incomes'!S58)</f>
        <v>0.10605326955007448</v>
      </c>
      <c r="F89" s="1352">
        <f>('C1-Incomes'!KM58-'C1-Incomes'!KN58)/('C1-Incomes'!R58-'C1-Incomes'!S58)</f>
        <v>6.9139748136841858E-2</v>
      </c>
      <c r="G89" s="396"/>
      <c r="H89" s="12"/>
      <c r="I89" s="510"/>
      <c r="J89" s="12"/>
      <c r="K89" s="396"/>
      <c r="L89" s="12"/>
      <c r="M89" s="396"/>
      <c r="N89" s="396"/>
      <c r="O89" s="504"/>
      <c r="P89" s="507"/>
      <c r="Q89" s="507"/>
      <c r="R89" s="504"/>
      <c r="S89" s="504"/>
      <c r="T89" s="504"/>
      <c r="U89" s="504"/>
      <c r="V89" s="504"/>
      <c r="W89" s="504"/>
      <c r="X89" s="396"/>
      <c r="Y89" s="396"/>
      <c r="Z89" s="228"/>
      <c r="AA89" s="228"/>
      <c r="AB89" s="228"/>
      <c r="AC89" s="228"/>
      <c r="AD89" s="226"/>
      <c r="AE89" s="276"/>
      <c r="AF89" s="276"/>
      <c r="AG89" s="276"/>
      <c r="AH89" s="276"/>
      <c r="AI89" s="249"/>
    </row>
    <row r="90" spans="1:35" ht="12.75" customHeight="1" x14ac:dyDescent="0.3">
      <c r="A90" s="100">
        <v>2011</v>
      </c>
      <c r="B90" s="1352">
        <f>'C1-Incomes'!LF59/'C1-Incomes'!U59</f>
        <v>4.6621921597319533E-3</v>
      </c>
      <c r="C90" s="1352">
        <f>'C1-Incomes'!KP59/'C1-Incomes'!U59</f>
        <v>1.9530379679265793E-2</v>
      </c>
      <c r="D90" s="1353"/>
      <c r="E90" s="1352">
        <f>('C1-Incomes'!LC59-'C1-Incomes'!LD59)/('C1-Incomes'!R59-'C1-Incomes'!S59)</f>
        <v>0.10214623883753494</v>
      </c>
      <c r="F90" s="1352">
        <f>('C1-Incomes'!KM59-'C1-Incomes'!KN59)/('C1-Incomes'!R59-'C1-Incomes'!S59)</f>
        <v>6.1097565083481471E-2</v>
      </c>
      <c r="G90" s="396"/>
      <c r="H90" s="12"/>
      <c r="I90" s="510"/>
      <c r="J90" s="12"/>
      <c r="K90" s="396"/>
      <c r="L90" s="12"/>
      <c r="M90" s="396"/>
      <c r="N90" s="396"/>
      <c r="O90" s="504"/>
      <c r="P90" s="507"/>
      <c r="Q90" s="507"/>
      <c r="R90" s="504"/>
      <c r="S90" s="504"/>
      <c r="T90" s="504"/>
      <c r="U90" s="504"/>
      <c r="V90" s="504"/>
      <c r="W90" s="504"/>
      <c r="X90" s="396"/>
      <c r="Y90" s="396"/>
      <c r="Z90" s="228"/>
      <c r="AA90" s="228"/>
      <c r="AB90" s="228"/>
      <c r="AC90" s="228"/>
      <c r="AD90" s="226"/>
      <c r="AE90" s="276"/>
      <c r="AF90" s="276"/>
      <c r="AG90" s="276"/>
      <c r="AH90" s="276"/>
      <c r="AI90" s="249"/>
    </row>
    <row r="91" spans="1:35" ht="12.75" customHeight="1" x14ac:dyDescent="0.3">
      <c r="A91" s="100">
        <v>2012</v>
      </c>
      <c r="B91" s="1352">
        <f>'C1-Incomes'!LF60/'C1-Incomes'!U60</f>
        <v>4.1913172853863924E-3</v>
      </c>
      <c r="C91" s="1352">
        <f>'C1-Incomes'!KP60/'C1-Incomes'!U60</f>
        <v>1.8206429583015084E-2</v>
      </c>
      <c r="D91" s="1353"/>
      <c r="E91" s="1352">
        <f>('C1-Incomes'!LC60-'C1-Incomes'!LD60)/('C1-Incomes'!R60-'C1-Incomes'!S60)</f>
        <v>0.10295672817920351</v>
      </c>
      <c r="F91" s="1352">
        <f>('C1-Incomes'!KM60-'C1-Incomes'!KN60)/('C1-Incomes'!R60-'C1-Incomes'!S60)</f>
        <v>6.1675965750154681E-2</v>
      </c>
      <c r="G91" s="396"/>
      <c r="H91" s="12"/>
      <c r="I91" s="510"/>
      <c r="J91" s="12"/>
      <c r="K91" s="396"/>
      <c r="L91" s="12"/>
      <c r="M91" s="396"/>
      <c r="N91" s="396"/>
      <c r="O91" s="504"/>
      <c r="P91" s="507"/>
      <c r="Q91" s="507"/>
      <c r="R91" s="504"/>
      <c r="S91" s="504"/>
      <c r="T91" s="504"/>
      <c r="U91" s="504"/>
      <c r="V91" s="504"/>
      <c r="W91" s="504"/>
      <c r="X91" s="396"/>
      <c r="Y91" s="396"/>
      <c r="Z91" s="228"/>
      <c r="AA91" s="228"/>
      <c r="AB91" s="228"/>
      <c r="AC91" s="228"/>
      <c r="AD91" s="226"/>
      <c r="AE91" s="276"/>
      <c r="AF91" s="276"/>
      <c r="AG91" s="276"/>
      <c r="AH91" s="276"/>
      <c r="AI91" s="249"/>
    </row>
    <row r="92" spans="1:35" ht="12.75" customHeight="1" x14ac:dyDescent="0.3">
      <c r="A92" s="100">
        <v>2013</v>
      </c>
      <c r="B92" s="1352">
        <f>'C1-Incomes'!LF61/'C1-Incomes'!U61</f>
        <v>4.8500338711959298E-3</v>
      </c>
      <c r="C92" s="1352">
        <f>'C1-Incomes'!KP61/'C1-Incomes'!U61</f>
        <v>2.1038580511827696E-2</v>
      </c>
      <c r="D92" s="1353"/>
      <c r="E92" s="1352">
        <f>('C1-Incomes'!LC61-'C1-Incomes'!LD61)/('C1-Incomes'!R61-'C1-Incomes'!S61)</f>
        <v>0.10034510051485802</v>
      </c>
      <c r="F92" s="1352">
        <f>('C1-Incomes'!KM61-'C1-Incomes'!KN61)/('C1-Incomes'!R61-'C1-Incomes'!S61)</f>
        <v>6.9292800965287726E-2</v>
      </c>
      <c r="G92" s="396"/>
      <c r="H92" s="12"/>
      <c r="I92" s="510"/>
      <c r="J92" s="12"/>
      <c r="K92" s="396"/>
      <c r="L92" s="12"/>
      <c r="M92" s="396"/>
      <c r="N92" s="396"/>
      <c r="O92" s="504"/>
      <c r="P92" s="507"/>
      <c r="Q92" s="507"/>
      <c r="R92" s="504"/>
      <c r="S92" s="504"/>
      <c r="T92" s="504"/>
      <c r="U92" s="504"/>
      <c r="V92" s="504"/>
      <c r="W92" s="504"/>
      <c r="X92" s="396"/>
      <c r="Y92" s="396"/>
      <c r="Z92" s="228"/>
      <c r="AA92" s="228"/>
      <c r="AB92" s="228"/>
      <c r="AC92" s="228"/>
      <c r="AD92" s="226"/>
      <c r="AE92" s="276"/>
      <c r="AF92" s="276"/>
      <c r="AG92" s="276"/>
      <c r="AH92" s="276"/>
      <c r="AI92" s="249"/>
    </row>
    <row r="93" spans="1:35" ht="12.75" customHeight="1" x14ac:dyDescent="0.3">
      <c r="A93" s="23">
        <v>2014</v>
      </c>
      <c r="B93" s="1352">
        <f>'C1-Incomes'!LF62/'C1-Incomes'!U62</f>
        <v>4.5603869421088255E-3</v>
      </c>
      <c r="C93" s="1352">
        <f>'C1-Incomes'!KP62/'C1-Incomes'!U62</f>
        <v>2.0828775384596401E-2</v>
      </c>
      <c r="D93" s="1353"/>
      <c r="E93" s="1352">
        <f>('C1-Incomes'!LC62-'C1-Incomes'!LD62)/('C1-Incomes'!R62-'C1-Incomes'!S62)</f>
        <v>9.8482134242585853E-2</v>
      </c>
      <c r="F93" s="1352">
        <f>('C1-Incomes'!KM62-'C1-Incomes'!KN62)/('C1-Incomes'!R62-'C1-Incomes'!S62)</f>
        <v>6.9478965876997048E-2</v>
      </c>
      <c r="G93" s="229"/>
      <c r="H93" s="12"/>
      <c r="I93" s="229"/>
      <c r="J93" s="229"/>
      <c r="K93" s="229"/>
      <c r="L93" s="12"/>
      <c r="M93" s="229"/>
      <c r="N93" s="229"/>
      <c r="O93" s="229"/>
      <c r="P93" s="229"/>
      <c r="Q93" s="229"/>
      <c r="R93" s="229"/>
      <c r="S93" s="229"/>
      <c r="T93" s="229"/>
      <c r="U93" s="229"/>
      <c r="V93" s="229"/>
      <c r="W93" s="229"/>
      <c r="X93" s="229"/>
      <c r="Y93" s="229"/>
      <c r="Z93" s="229"/>
      <c r="AA93" s="229"/>
      <c r="AB93" s="229"/>
      <c r="AC93" s="229"/>
      <c r="AD93" s="229"/>
      <c r="AE93" s="24"/>
      <c r="AF93" s="24"/>
      <c r="AG93" s="24"/>
      <c r="AH93" s="24"/>
      <c r="AI93" s="24"/>
    </row>
    <row r="94" spans="1:35" ht="12.75" customHeight="1" x14ac:dyDescent="0.3">
      <c r="A94" s="23">
        <v>2015</v>
      </c>
      <c r="B94" s="1352">
        <f>'C1-Incomes'!LF63/'C1-Incomes'!U63</f>
        <v>4.6351275497303456E-3</v>
      </c>
      <c r="C94" s="1352">
        <f>'C1-Incomes'!KP63/'C1-Incomes'!U63</f>
        <v>2.1095988780563998E-2</v>
      </c>
      <c r="D94" s="1353"/>
      <c r="E94" s="1352">
        <f>('C1-Incomes'!LC63-'C1-Incomes'!LD63)/('C1-Incomes'!R63-'C1-Incomes'!S63)</f>
        <v>9.7841286969107114E-2</v>
      </c>
      <c r="F94" s="1352">
        <f>('C1-Incomes'!KM63-'C1-Incomes'!KN63)/('C1-Incomes'!R63-'C1-Incomes'!S63)</f>
        <v>6.9132778824152821E-2</v>
      </c>
      <c r="G94" s="229"/>
      <c r="H94" s="12"/>
      <c r="I94" s="229"/>
      <c r="J94" s="229"/>
      <c r="K94" s="229"/>
      <c r="L94" s="229"/>
      <c r="M94" s="229"/>
      <c r="N94" s="229"/>
      <c r="O94" s="229"/>
      <c r="P94" s="229"/>
      <c r="Q94" s="229"/>
      <c r="R94" s="229"/>
      <c r="S94" s="229"/>
      <c r="T94" s="229"/>
      <c r="U94" s="229"/>
      <c r="V94" s="229"/>
      <c r="W94" s="229"/>
      <c r="X94" s="229"/>
      <c r="Y94" s="229"/>
      <c r="Z94" s="229"/>
      <c r="AA94" s="229"/>
      <c r="AB94" s="229"/>
      <c r="AC94" s="229"/>
      <c r="AD94" s="229"/>
    </row>
    <row r="95" spans="1:35" x14ac:dyDescent="0.3">
      <c r="A95" s="11"/>
      <c r="B95" s="11"/>
      <c r="C95" s="11"/>
      <c r="D95" s="11"/>
      <c r="E95" s="11"/>
      <c r="F95" s="11"/>
      <c r="G95" s="12"/>
      <c r="H95" s="12"/>
      <c r="I95" s="12"/>
      <c r="J95" s="12"/>
      <c r="K95" s="12"/>
      <c r="L95" s="12"/>
      <c r="M95" s="12"/>
      <c r="N95" s="12"/>
      <c r="O95" s="12"/>
      <c r="P95" s="12"/>
      <c r="Q95" s="12"/>
      <c r="R95" s="12"/>
      <c r="S95" s="12"/>
      <c r="T95" s="12"/>
      <c r="U95" s="12"/>
      <c r="V95" s="12"/>
      <c r="W95" s="12"/>
      <c r="X95" s="12"/>
      <c r="Y95" s="12"/>
      <c r="Z95" s="12"/>
      <c r="AA95" s="12"/>
      <c r="AB95" s="12"/>
      <c r="AC95" s="12"/>
    </row>
    <row r="96" spans="1:35" x14ac:dyDescent="0.3">
      <c r="G96" s="12"/>
      <c r="H96" s="12"/>
      <c r="I96" s="12"/>
      <c r="J96" s="12"/>
      <c r="K96" s="12"/>
      <c r="L96" s="12"/>
      <c r="M96" s="12"/>
      <c r="N96" s="12"/>
      <c r="O96" s="12"/>
      <c r="P96" s="12"/>
      <c r="Q96" s="12"/>
      <c r="R96" s="12"/>
      <c r="S96" s="12"/>
      <c r="T96" s="12"/>
      <c r="U96" s="12"/>
      <c r="V96" s="12"/>
      <c r="W96" s="12"/>
      <c r="X96" s="12"/>
      <c r="Y96" s="12"/>
    </row>
    <row r="97" spans="5:25" x14ac:dyDescent="0.3">
      <c r="E97" s="8"/>
      <c r="F97" s="8"/>
      <c r="G97" s="12"/>
      <c r="I97" s="12"/>
      <c r="J97" s="12"/>
      <c r="K97" s="12"/>
      <c r="L97" s="12"/>
      <c r="M97" s="12"/>
      <c r="N97" s="12"/>
      <c r="O97" s="12"/>
      <c r="P97" s="12"/>
      <c r="Q97" s="12"/>
      <c r="R97" s="12"/>
      <c r="S97" s="12"/>
      <c r="T97" s="12"/>
      <c r="U97" s="12"/>
      <c r="V97" s="12"/>
      <c r="W97" s="12"/>
      <c r="X97" s="12"/>
      <c r="Y97" s="12"/>
    </row>
  </sheetData>
  <mergeCells count="2">
    <mergeCell ref="B36:C36"/>
    <mergeCell ref="E36:F36"/>
  </mergeCells>
  <hyperlinks>
    <hyperlink ref="L1" location="Index!A1" display="Index"/>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6" tint="0.59999389629810485"/>
  </sheetPr>
  <dimension ref="A1:J65"/>
  <sheetViews>
    <sheetView workbookViewId="0"/>
  </sheetViews>
  <sheetFormatPr defaultColWidth="9.109375" defaultRowHeight="14.4" x14ac:dyDescent="0.3"/>
  <cols>
    <col min="1" max="1" width="8.44140625" style="655" customWidth="1"/>
    <col min="2" max="3" width="9.88671875" style="655" customWidth="1"/>
    <col min="4" max="4" width="3" style="655" customWidth="1"/>
    <col min="5" max="5" width="12.88671875" style="655" customWidth="1"/>
    <col min="6" max="6" width="14.77734375" style="655" customWidth="1"/>
    <col min="7" max="7" width="2.88671875" style="655" customWidth="1"/>
    <col min="8" max="8" width="11.88671875" style="655" customWidth="1"/>
    <col min="9" max="16384" width="9.109375" style="655"/>
  </cols>
  <sheetData>
    <row r="1" spans="1:10" ht="16.2" x14ac:dyDescent="0.35">
      <c r="A1" s="202" t="s">
        <v>1884</v>
      </c>
      <c r="F1" s="462" t="s">
        <v>504</v>
      </c>
    </row>
    <row r="2" spans="1:10" ht="15" thickBot="1" x14ac:dyDescent="0.35"/>
    <row r="3" spans="1:10" ht="15" thickTop="1" x14ac:dyDescent="0.3">
      <c r="A3" s="407"/>
      <c r="B3" s="1373" t="s">
        <v>1116</v>
      </c>
      <c r="C3" s="1373"/>
      <c r="D3" s="407"/>
      <c r="E3" s="1373" t="s">
        <v>1458</v>
      </c>
      <c r="F3" s="1373"/>
      <c r="G3" s="407"/>
      <c r="H3" s="1373" t="s">
        <v>566</v>
      </c>
      <c r="I3" s="1373"/>
    </row>
    <row r="4" spans="1:10" ht="17.25" customHeight="1" x14ac:dyDescent="0.3">
      <c r="A4" s="615" t="s">
        <v>6</v>
      </c>
      <c r="B4" s="694" t="s">
        <v>26</v>
      </c>
      <c r="C4" s="694" t="s">
        <v>27</v>
      </c>
      <c r="D4" s="694"/>
      <c r="E4" s="694" t="s">
        <v>26</v>
      </c>
      <c r="F4" s="694" t="s">
        <v>27</v>
      </c>
      <c r="G4" s="694"/>
      <c r="H4" s="694" t="s">
        <v>26</v>
      </c>
      <c r="I4" s="694" t="s">
        <v>27</v>
      </c>
      <c r="J4" s="173"/>
    </row>
    <row r="5" spans="1:10" ht="10.5" customHeight="1" x14ac:dyDescent="0.3">
      <c r="A5" s="596">
        <v>1960</v>
      </c>
      <c r="B5" s="140">
        <f>'C2-Shares'!L6*100</f>
        <v>11.03860864630547</v>
      </c>
      <c r="C5" s="140">
        <f>'C2-Shares'!N6*100</f>
        <v>4.0069490722777417</v>
      </c>
      <c r="D5" s="693"/>
      <c r="E5" s="140">
        <f>'C2-Shares'!T6*100</f>
        <v>10.547561256553752</v>
      </c>
      <c r="F5" s="140">
        <f>'C2-Shares'!V6*100</f>
        <v>3.8171306462410848</v>
      </c>
      <c r="G5" s="695"/>
      <c r="H5" s="140">
        <f>'C2-Shares'!AB6*100</f>
        <v>7.8989479518218246</v>
      </c>
      <c r="I5" s="140">
        <f>'C2-Shares'!AD6*100</f>
        <v>2.5600823370329828</v>
      </c>
      <c r="J5" s="173"/>
    </row>
    <row r="6" spans="1:10" ht="10.5" customHeight="1" x14ac:dyDescent="0.3">
      <c r="A6" s="596">
        <f>A5+1</f>
        <v>1961</v>
      </c>
      <c r="B6" s="140">
        <f>'C2-Shares'!L7*100</f>
        <v>11.081719513306593</v>
      </c>
      <c r="C6" s="140">
        <f>'C2-Shares'!N7*100</f>
        <v>4.0496310282309045</v>
      </c>
      <c r="D6" s="693"/>
      <c r="E6" s="140">
        <f>'C2-Shares'!T7*100</f>
        <v>10.574892929572076</v>
      </c>
      <c r="F6" s="140">
        <f>'C2-Shares'!V7*100</f>
        <v>3.8521849955839675</v>
      </c>
      <c r="G6" s="695"/>
      <c r="H6" s="140">
        <f>'C2-Shares'!AB7*100</f>
        <v>8.1199464095742275</v>
      </c>
      <c r="I6" s="140">
        <f>'C2-Shares'!AD7*100</f>
        <v>2.742015507693941</v>
      </c>
      <c r="J6" s="173"/>
    </row>
    <row r="7" spans="1:10" ht="10.5" customHeight="1" x14ac:dyDescent="0.3">
      <c r="A7" s="596">
        <f t="shared" ref="A7:A60" si="0">A6+1</f>
        <v>1962</v>
      </c>
      <c r="B7" s="140">
        <f>'C2-Shares'!L8*100</f>
        <v>11.120373480640794</v>
      </c>
      <c r="C7" s="140">
        <f>'C2-Shares'!N8*100</f>
        <v>4.0879004263186385</v>
      </c>
      <c r="D7" s="693"/>
      <c r="E7" s="140">
        <f>'C2-Shares'!T8*100</f>
        <v>10.59932954496157</v>
      </c>
      <c r="F7" s="140">
        <f>'C2-Shares'!V8*100</f>
        <v>3.8835262768896097</v>
      </c>
      <c r="G7" s="695"/>
      <c r="H7" s="140">
        <f>'C2-Shares'!AB8*100</f>
        <v>8.3180970305290121</v>
      </c>
      <c r="I7" s="140">
        <f>'C2-Shares'!AD8*100</f>
        <v>2.9051395905738806</v>
      </c>
      <c r="J7" s="173"/>
    </row>
    <row r="8" spans="1:10" ht="10.5" customHeight="1" x14ac:dyDescent="0.3">
      <c r="A8" s="596">
        <f t="shared" si="0"/>
        <v>1963</v>
      </c>
      <c r="B8" s="140">
        <f>'C2-Shares'!L9*100</f>
        <v>11.305834004238841</v>
      </c>
      <c r="C8" s="140">
        <f>'C2-Shares'!N9*100</f>
        <v>4.250615319438122</v>
      </c>
      <c r="D8" s="693"/>
      <c r="E8" s="140">
        <f>'C2-Shares'!T9*100</f>
        <v>10.787582966725633</v>
      </c>
      <c r="F8" s="140">
        <f>'C2-Shares'!V9*100</f>
        <v>4.0427774124271707</v>
      </c>
      <c r="G8" s="695"/>
      <c r="H8" s="140">
        <f>'C2-Shares'!AB9*100</f>
        <v>8.4699843262851147</v>
      </c>
      <c r="I8" s="140">
        <f>'C2-Shares'!AD9*100</f>
        <v>3.0102935624349891</v>
      </c>
      <c r="J8" s="173"/>
    </row>
    <row r="9" spans="1:10" ht="10.5" customHeight="1" x14ac:dyDescent="0.3">
      <c r="A9" s="596">
        <f t="shared" si="0"/>
        <v>1964</v>
      </c>
      <c r="B9" s="140">
        <f>'C2-Shares'!L10*100</f>
        <v>11.46899307735081</v>
      </c>
      <c r="C9" s="140">
        <f>'C2-Shares'!N10*100</f>
        <v>4.3937639023701287</v>
      </c>
      <c r="D9" s="693"/>
      <c r="E9" s="140">
        <f>'C2-Shares'!T10*100</f>
        <v>10.953579287619661</v>
      </c>
      <c r="F9" s="140">
        <f>'C2-Shares'!V10*100</f>
        <v>4.1832003718066986</v>
      </c>
      <c r="G9" s="695"/>
      <c r="H9" s="140">
        <f>'C2-Shares'!AB10*100</f>
        <v>8.6036076453784922</v>
      </c>
      <c r="I9" s="140">
        <f>'C2-Shares'!AD10*100</f>
        <v>3.1028030950195706</v>
      </c>
      <c r="J9" s="173"/>
    </row>
    <row r="10" spans="1:10" ht="10.5" customHeight="1" x14ac:dyDescent="0.3">
      <c r="A10" s="596">
        <f t="shared" si="0"/>
        <v>1965</v>
      </c>
      <c r="B10" s="140">
        <f>'C2-Shares'!L11*100</f>
        <v>11.494324669163406</v>
      </c>
      <c r="C10" s="140">
        <f>'C2-Shares'!N11*100</f>
        <v>4.3695361955490677</v>
      </c>
      <c r="D10" s="693"/>
      <c r="E10" s="140">
        <f>'C2-Shares'!T11*100</f>
        <v>10.979524163767666</v>
      </c>
      <c r="F10" s="140">
        <f>'C2-Shares'!V11*100</f>
        <v>4.1599174756376129</v>
      </c>
      <c r="G10" s="695"/>
      <c r="H10" s="140">
        <f>'C2-Shares'!AB11*100</f>
        <v>8.7343239886431405</v>
      </c>
      <c r="I10" s="140">
        <f>'C2-Shares'!AD11*100</f>
        <v>3.1345732151740267</v>
      </c>
      <c r="J10" s="173"/>
    </row>
    <row r="11" spans="1:10" ht="10.5" customHeight="1" x14ac:dyDescent="0.3">
      <c r="A11" s="596">
        <f t="shared" si="0"/>
        <v>1966</v>
      </c>
      <c r="B11" s="140">
        <f>'C2-Shares'!L12*100</f>
        <v>11.515736868552763</v>
      </c>
      <c r="C11" s="140">
        <f>'C2-Shares'!N12*100</f>
        <v>4.3490570842070992</v>
      </c>
      <c r="D11" s="693"/>
      <c r="E11" s="140">
        <f>'C2-Shares'!T12*100</f>
        <v>11.001450916324675</v>
      </c>
      <c r="F11" s="140">
        <f>'C2-Shares'!V12*100</f>
        <v>4.140240438052321</v>
      </c>
      <c r="G11" s="695"/>
      <c r="H11" s="140">
        <f>'C2-Shares'!AB12*100</f>
        <v>8.8448156715798998</v>
      </c>
      <c r="I11" s="140">
        <f>'C2-Shares'!AD12*100</f>
        <v>3.1614278069970401</v>
      </c>
      <c r="J11" s="173"/>
    </row>
    <row r="12" spans="1:10" ht="10.5" customHeight="1" x14ac:dyDescent="0.3">
      <c r="A12" s="596">
        <f t="shared" si="0"/>
        <v>1967</v>
      </c>
      <c r="B12" s="140">
        <f>'C2-Shares'!L13*100</f>
        <v>11.224971747213814</v>
      </c>
      <c r="C12" s="140">
        <f>'C2-Shares'!N13*100</f>
        <v>4.143309667044285</v>
      </c>
      <c r="D12" s="693"/>
      <c r="E12" s="140">
        <f>'C2-Shares'!T13*100</f>
        <v>10.666714511172948</v>
      </c>
      <c r="F12" s="140">
        <f>'C2-Shares'!V13*100</f>
        <v>3.9180159003977137</v>
      </c>
      <c r="G12" s="695"/>
      <c r="H12" s="140">
        <f>'C2-Shares'!AB13*100</f>
        <v>8.1533029707051057</v>
      </c>
      <c r="I12" s="140">
        <f>'C2-Shares'!AD13*100</f>
        <v>2.8009281234900074</v>
      </c>
      <c r="J12" s="173"/>
    </row>
    <row r="13" spans="1:10" ht="10.5" customHeight="1" x14ac:dyDescent="0.3">
      <c r="A13" s="596">
        <f t="shared" si="0"/>
        <v>1968</v>
      </c>
      <c r="B13" s="140">
        <f>'C2-Shares'!L14*100</f>
        <v>11.145129761914909</v>
      </c>
      <c r="C13" s="140">
        <f>'C2-Shares'!N14*100</f>
        <v>4.1901963530445077</v>
      </c>
      <c r="D13" s="693"/>
      <c r="E13" s="140">
        <f>'C2-Shares'!T14*100</f>
        <v>10.5470357862509</v>
      </c>
      <c r="F13" s="140">
        <f>'C2-Shares'!V14*100</f>
        <v>3.9498306339737672</v>
      </c>
      <c r="G13" s="695"/>
      <c r="H13" s="140">
        <f>'C2-Shares'!AB14*100</f>
        <v>7.9426378845157934</v>
      </c>
      <c r="I13" s="140">
        <f>'C2-Shares'!AD14*100</f>
        <v>2.7573578136338721</v>
      </c>
      <c r="J13" s="173"/>
    </row>
    <row r="14" spans="1:10" ht="10.5" customHeight="1" x14ac:dyDescent="0.3">
      <c r="A14" s="596">
        <f t="shared" si="0"/>
        <v>1969</v>
      </c>
      <c r="B14" s="140">
        <f>'C2-Shares'!L15*100</f>
        <v>10.106026471086935</v>
      </c>
      <c r="C14" s="140">
        <f>'C2-Shares'!N15*100</f>
        <v>3.614239633533483</v>
      </c>
      <c r="D14" s="693"/>
      <c r="E14" s="140">
        <f>'C2-Shares'!T15*100</f>
        <v>9.5507100877327478</v>
      </c>
      <c r="F14" s="140">
        <f>'C2-Shares'!V15*100</f>
        <v>3.401736747966897</v>
      </c>
      <c r="G14" s="695"/>
      <c r="H14" s="140">
        <f>'C2-Shares'!AB15*100</f>
        <v>7.2454336341204142</v>
      </c>
      <c r="I14" s="140">
        <f>'C2-Shares'!AD15*100</f>
        <v>2.3708336263691563</v>
      </c>
      <c r="J14" s="173"/>
    </row>
    <row r="15" spans="1:10" ht="10.5" customHeight="1" x14ac:dyDescent="0.3">
      <c r="A15" s="596">
        <f t="shared" si="0"/>
        <v>1970</v>
      </c>
      <c r="B15" s="140">
        <f>'C2-Shares'!L16*100</f>
        <v>9.3299155800116207</v>
      </c>
      <c r="C15" s="140">
        <f>'C2-Shares'!N16*100</f>
        <v>3.207870569698875</v>
      </c>
      <c r="D15" s="693"/>
      <c r="E15" s="140">
        <f>'C2-Shares'!T16*100</f>
        <v>8.742571198859439</v>
      </c>
      <c r="F15" s="140">
        <f>'C2-Shares'!V16*100</f>
        <v>2.9897414571328018</v>
      </c>
      <c r="G15" s="695"/>
      <c r="H15" s="140">
        <f>'C2-Shares'!AB16*100</f>
        <v>6.556894102408271</v>
      </c>
      <c r="I15" s="140">
        <f>'C2-Shares'!AD16*100</f>
        <v>2.0361251085688492</v>
      </c>
      <c r="J15" s="173"/>
    </row>
    <row r="16" spans="1:10" ht="10.5" customHeight="1" x14ac:dyDescent="0.3">
      <c r="A16" s="596">
        <f t="shared" si="0"/>
        <v>1971</v>
      </c>
      <c r="B16" s="140">
        <f>'C2-Shares'!L17*100</f>
        <v>9.63096164806357</v>
      </c>
      <c r="C16" s="140">
        <f>'C2-Shares'!N17*100</f>
        <v>3.3948900732679497</v>
      </c>
      <c r="D16" s="693"/>
      <c r="E16" s="140">
        <f>'C2-Shares'!T17*100</f>
        <v>8.9609803700498549</v>
      </c>
      <c r="F16" s="140">
        <f>'C2-Shares'!V17*100</f>
        <v>3.142704512325313</v>
      </c>
      <c r="G16" s="695"/>
      <c r="H16" s="140">
        <f>'C2-Shares'!AB17*100</f>
        <v>6.7289153268485862</v>
      </c>
      <c r="I16" s="140">
        <f>'C2-Shares'!AD17*100</f>
        <v>2.1777428194486812</v>
      </c>
      <c r="J16" s="173"/>
    </row>
    <row r="17" spans="1:10" ht="10.5" customHeight="1" x14ac:dyDescent="0.3">
      <c r="A17" s="596">
        <f t="shared" si="0"/>
        <v>1972</v>
      </c>
      <c r="B17" s="140">
        <f>'C2-Shares'!L18*100</f>
        <v>9.8115968640821443</v>
      </c>
      <c r="C17" s="140">
        <f>'C2-Shares'!N18*100</f>
        <v>3.4546480744558563</v>
      </c>
      <c r="D17" s="693"/>
      <c r="E17" s="140">
        <f>'C2-Shares'!T18*100</f>
        <v>9.1278796098654649</v>
      </c>
      <c r="F17" s="140">
        <f>'C2-Shares'!V18*100</f>
        <v>3.1933520992802422</v>
      </c>
      <c r="G17" s="695"/>
      <c r="H17" s="140">
        <f>'C2-Shares'!AB18*100</f>
        <v>6.960040418363354</v>
      </c>
      <c r="I17" s="140">
        <f>'C2-Shares'!AD18*100</f>
        <v>2.2698896417323056</v>
      </c>
      <c r="J17" s="173"/>
    </row>
    <row r="18" spans="1:10" ht="10.5" customHeight="1" x14ac:dyDescent="0.3">
      <c r="A18" s="596">
        <f t="shared" si="0"/>
        <v>1973</v>
      </c>
      <c r="B18" s="140">
        <f>'C2-Shares'!L19*100</f>
        <v>9.7143648904541955</v>
      </c>
      <c r="C18" s="140">
        <f>'C2-Shares'!N19*100</f>
        <v>3.2828926084614345</v>
      </c>
      <c r="D18" s="693"/>
      <c r="E18" s="140">
        <f>'C2-Shares'!T19*100</f>
        <v>9.0332913921567748</v>
      </c>
      <c r="F18" s="140">
        <f>'C2-Shares'!V19*100</f>
        <v>3.0304338738571093</v>
      </c>
      <c r="G18" s="695"/>
      <c r="H18" s="140">
        <f>'C2-Shares'!AB19*100</f>
        <v>7.3304543140487883</v>
      </c>
      <c r="I18" s="140">
        <f>'C2-Shares'!AD19*100</f>
        <v>2.3600288851660354</v>
      </c>
      <c r="J18" s="173"/>
    </row>
    <row r="19" spans="1:10" ht="10.5" customHeight="1" x14ac:dyDescent="0.3">
      <c r="A19" s="596">
        <f t="shared" si="0"/>
        <v>1974</v>
      </c>
      <c r="B19" s="140">
        <f>'C2-Shares'!L20*100</f>
        <v>9.3850207684448215</v>
      </c>
      <c r="C19" s="140">
        <f>'C2-Shares'!N20*100</f>
        <v>3.1526002331477136</v>
      </c>
      <c r="D19" s="693"/>
      <c r="E19" s="140">
        <f>'C2-Shares'!T20*100</f>
        <v>8.6511865633795644</v>
      </c>
      <c r="F19" s="140">
        <f>'C2-Shares'!V20*100</f>
        <v>2.8907652398204293</v>
      </c>
      <c r="G19" s="695"/>
      <c r="H19" s="140">
        <f>'C2-Shares'!AB20*100</f>
        <v>7.0153054150191476</v>
      </c>
      <c r="I19" s="140">
        <f>'C2-Shares'!AD20*100</f>
        <v>2.2440619805014772</v>
      </c>
      <c r="J19" s="173"/>
    </row>
    <row r="20" spans="1:10" ht="10.5" customHeight="1" x14ac:dyDescent="0.3">
      <c r="A20" s="596">
        <f t="shared" si="0"/>
        <v>1975</v>
      </c>
      <c r="B20" s="140">
        <f>'C2-Shares'!L21*100</f>
        <v>9.4064651760773881</v>
      </c>
      <c r="C20" s="140">
        <f>'C2-Shares'!N21*100</f>
        <v>3.1448412792339453</v>
      </c>
      <c r="D20" s="693"/>
      <c r="E20" s="140">
        <f>'C2-Shares'!T21*100</f>
        <v>8.5442158826000991</v>
      </c>
      <c r="F20" s="140">
        <f>'C2-Shares'!V21*100</f>
        <v>2.8387229289908409</v>
      </c>
      <c r="G20" s="695"/>
      <c r="H20" s="140">
        <f>'C2-Shares'!AB21*100</f>
        <v>6.7785973094478997</v>
      </c>
      <c r="I20" s="140">
        <f>'C2-Shares'!AD21*100</f>
        <v>2.1812477759741777</v>
      </c>
      <c r="J20" s="173"/>
    </row>
    <row r="21" spans="1:10" ht="10.5" customHeight="1" x14ac:dyDescent="0.3">
      <c r="A21" s="596">
        <f t="shared" si="0"/>
        <v>1976</v>
      </c>
      <c r="B21" s="140">
        <f>'C2-Shares'!L22*100</f>
        <v>9.4291204392316832</v>
      </c>
      <c r="C21" s="140">
        <f>'C2-Shares'!N22*100</f>
        <v>3.198964804341653</v>
      </c>
      <c r="D21" s="693"/>
      <c r="E21" s="140">
        <f>'C2-Shares'!T22*100</f>
        <v>8.5926386415201481</v>
      </c>
      <c r="F21" s="140">
        <f>'C2-Shares'!V22*100</f>
        <v>2.8940445867997036</v>
      </c>
      <c r="G21" s="695"/>
      <c r="H21" s="140">
        <f>'C2-Shares'!AB22*100</f>
        <v>6.8293424459802967</v>
      </c>
      <c r="I21" s="140">
        <f>'C2-Shares'!AD22*100</f>
        <v>2.1982422965175181</v>
      </c>
      <c r="J21" s="173"/>
    </row>
    <row r="22" spans="1:10" ht="10.5" customHeight="1" x14ac:dyDescent="0.3">
      <c r="A22" s="596">
        <f t="shared" si="0"/>
        <v>1977</v>
      </c>
      <c r="B22" s="140">
        <f>'C2-Shares'!L23*100</f>
        <v>9.4899274095405453</v>
      </c>
      <c r="C22" s="140">
        <f>'C2-Shares'!N23*100</f>
        <v>3.2513755664686359</v>
      </c>
      <c r="D22" s="693"/>
      <c r="E22" s="140">
        <f>'C2-Shares'!T23*100</f>
        <v>8.6809827305294682</v>
      </c>
      <c r="F22" s="140">
        <f>'C2-Shares'!V23*100</f>
        <v>2.9550757740439648</v>
      </c>
      <c r="G22" s="695"/>
      <c r="H22" s="140">
        <f>'C2-Shares'!AB23*100</f>
        <v>7.1347738673522763</v>
      </c>
      <c r="I22" s="140">
        <f>'C2-Shares'!AD23*100</f>
        <v>2.3624604353716143</v>
      </c>
      <c r="J22" s="173"/>
    </row>
    <row r="23" spans="1:10" ht="10.5" customHeight="1" x14ac:dyDescent="0.3">
      <c r="A23" s="596">
        <f t="shared" si="0"/>
        <v>1978</v>
      </c>
      <c r="B23" s="140">
        <f>'C2-Shares'!L24*100</f>
        <v>9.3930708108198679</v>
      </c>
      <c r="C23" s="140">
        <f>'C2-Shares'!N24*100</f>
        <v>3.241274626908063</v>
      </c>
      <c r="D23" s="693"/>
      <c r="E23" s="140">
        <f>'C2-Shares'!T24*100</f>
        <v>8.6304517369871832</v>
      </c>
      <c r="F23" s="140">
        <f>'C2-Shares'!V24*100</f>
        <v>2.9584699348912573</v>
      </c>
      <c r="G23" s="695"/>
      <c r="H23" s="140">
        <f>'C2-Shares'!AB24*100</f>
        <v>7.2830273756297537</v>
      </c>
      <c r="I23" s="140">
        <f>'C2-Shares'!AD24*100</f>
        <v>2.4500578639924506</v>
      </c>
      <c r="J23" s="173"/>
    </row>
    <row r="24" spans="1:10" ht="10.5" customHeight="1" x14ac:dyDescent="0.3">
      <c r="A24" s="596">
        <f t="shared" si="0"/>
        <v>1979</v>
      </c>
      <c r="B24" s="140">
        <f>'C2-Shares'!L25*100</f>
        <v>9.489998679223719</v>
      </c>
      <c r="C24" s="140">
        <f>'C2-Shares'!N25*100</f>
        <v>3.3450541624270089</v>
      </c>
      <c r="D24" s="693"/>
      <c r="E24" s="140">
        <f>'C2-Shares'!T25*100</f>
        <v>8.6903574030698998</v>
      </c>
      <c r="F24" s="140">
        <f>'C2-Shares'!V25*100</f>
        <v>3.0464991381641746</v>
      </c>
      <c r="G24" s="695"/>
      <c r="H24" s="140">
        <f>'C2-Shares'!AB25*100</f>
        <v>7.2139807023017672</v>
      </c>
      <c r="I24" s="140">
        <f>'C2-Shares'!AD25*100</f>
        <v>2.4438659610013085</v>
      </c>
      <c r="J24" s="173"/>
    </row>
    <row r="25" spans="1:10" ht="10.5" customHeight="1" x14ac:dyDescent="0.3">
      <c r="A25" s="596">
        <f t="shared" si="0"/>
        <v>1980</v>
      </c>
      <c r="B25" s="140">
        <f>'C2-Shares'!L26*100</f>
        <v>9.2614659731600302</v>
      </c>
      <c r="C25" s="140">
        <f>'C2-Shares'!N26*100</f>
        <v>3.1603826630484408</v>
      </c>
      <c r="D25" s="693"/>
      <c r="E25" s="140">
        <f>'C2-Shares'!T26*100</f>
        <v>8.4047989673063377</v>
      </c>
      <c r="F25" s="140">
        <f>'C2-Shares'!V26*100</f>
        <v>2.8524717972860101</v>
      </c>
      <c r="G25" s="695"/>
      <c r="H25" s="140">
        <f>'C2-Shares'!AB26*100</f>
        <v>6.7709847776369401</v>
      </c>
      <c r="I25" s="140">
        <f>'C2-Shares'!AD26*100</f>
        <v>2.2149804891476346</v>
      </c>
      <c r="J25" s="173"/>
    </row>
    <row r="26" spans="1:10" ht="10.5" customHeight="1" x14ac:dyDescent="0.3">
      <c r="A26" s="596">
        <f t="shared" si="0"/>
        <v>1981</v>
      </c>
      <c r="B26" s="140">
        <f>'C2-Shares'!L27*100</f>
        <v>8.9262196264253166</v>
      </c>
      <c r="C26" s="140">
        <f>'C2-Shares'!N27*100</f>
        <v>3.002145020196608</v>
      </c>
      <c r="D26" s="693"/>
      <c r="E26" s="140">
        <f>'C2-Shares'!T27*100</f>
        <v>8.0968223140013365</v>
      </c>
      <c r="F26" s="140">
        <f>'C2-Shares'!V27*100</f>
        <v>2.7063687555561891</v>
      </c>
      <c r="G26" s="695"/>
      <c r="H26" s="140">
        <f>'C2-Shares'!AB27*100</f>
        <v>6.7240971676688428</v>
      </c>
      <c r="I26" s="140">
        <f>'C2-Shares'!AD27*100</f>
        <v>2.1983895696245765</v>
      </c>
      <c r="J26" s="173"/>
    </row>
    <row r="27" spans="1:10" ht="10.5" customHeight="1" x14ac:dyDescent="0.3">
      <c r="A27" s="596">
        <f t="shared" si="0"/>
        <v>1982</v>
      </c>
      <c r="B27" s="140">
        <f>'C2-Shares'!L28*100</f>
        <v>9.0401597762518424</v>
      </c>
      <c r="C27" s="140">
        <f>'C2-Shares'!N28*100</f>
        <v>3.1660146995153351</v>
      </c>
      <c r="D27" s="693"/>
      <c r="E27" s="140">
        <f>'C2-Shares'!T28*100</f>
        <v>8.1431776540895431</v>
      </c>
      <c r="F27" s="140">
        <f>'C2-Shares'!V28*100</f>
        <v>2.8333037540593295</v>
      </c>
      <c r="G27" s="695"/>
      <c r="H27" s="140">
        <f>'C2-Shares'!AB28*100</f>
        <v>6.5611154786142549</v>
      </c>
      <c r="I27" s="140">
        <f>'C2-Shares'!AD28*100</f>
        <v>2.2080997315925117</v>
      </c>
      <c r="J27" s="173"/>
    </row>
    <row r="28" spans="1:10" ht="10.5" customHeight="1" x14ac:dyDescent="0.3">
      <c r="A28" s="596">
        <f t="shared" si="0"/>
        <v>1983</v>
      </c>
      <c r="B28" s="140">
        <f>'C2-Shares'!L29*100</f>
        <v>9.2487534110957164</v>
      </c>
      <c r="C28" s="140">
        <f>'C2-Shares'!N29*100</f>
        <v>3.256370126361479</v>
      </c>
      <c r="D28" s="693"/>
      <c r="E28" s="140">
        <f>'C2-Shares'!T29*100</f>
        <v>8.326668864819899</v>
      </c>
      <c r="F28" s="140">
        <f>'C2-Shares'!V29*100</f>
        <v>2.9142115210443653</v>
      </c>
      <c r="G28" s="695"/>
      <c r="H28" s="140">
        <f>'C2-Shares'!AB29*100</f>
        <v>6.6815370630912128</v>
      </c>
      <c r="I28" s="140">
        <f>'C2-Shares'!AD29*100</f>
        <v>2.2214766115906142</v>
      </c>
      <c r="J28" s="173"/>
    </row>
    <row r="29" spans="1:10" ht="10.5" customHeight="1" x14ac:dyDescent="0.3">
      <c r="A29" s="596">
        <f t="shared" si="0"/>
        <v>1984</v>
      </c>
      <c r="B29" s="140">
        <f>'C2-Shares'!L30*100</f>
        <v>9.543059997537414</v>
      </c>
      <c r="C29" s="140">
        <f>'C2-Shares'!N30*100</f>
        <v>3.4130596402716531</v>
      </c>
      <c r="D29" s="693"/>
      <c r="E29" s="140">
        <f>'C2-Shares'!T30*100</f>
        <v>8.6710232120910966</v>
      </c>
      <c r="F29" s="140">
        <f>'C2-Shares'!V30*100</f>
        <v>3.0821711127873614</v>
      </c>
      <c r="G29" s="695"/>
      <c r="H29" s="140">
        <f>'C2-Shares'!AB30*100</f>
        <v>7.2297376537959606</v>
      </c>
      <c r="I29" s="140">
        <f>'C2-Shares'!AD30*100</f>
        <v>2.4175009223710777</v>
      </c>
      <c r="J29" s="173"/>
    </row>
    <row r="30" spans="1:10" ht="10.5" customHeight="1" x14ac:dyDescent="0.3">
      <c r="A30" s="596">
        <f t="shared" si="0"/>
        <v>1985</v>
      </c>
      <c r="B30" s="140">
        <f>'C2-Shares'!L31*100</f>
        <v>9.5622856413381037</v>
      </c>
      <c r="C30" s="140">
        <f>'C2-Shares'!N31*100</f>
        <v>3.5572869025839906</v>
      </c>
      <c r="D30" s="693"/>
      <c r="E30" s="140">
        <f>'C2-Shares'!T31*100</f>
        <v>8.7272923610391118</v>
      </c>
      <c r="F30" s="140">
        <f>'C2-Shares'!V31*100</f>
        <v>3.2198875313782702</v>
      </c>
      <c r="G30" s="695"/>
      <c r="H30" s="140">
        <f>'C2-Shares'!AB31*100</f>
        <v>7.0868369231104493</v>
      </c>
      <c r="I30" s="140">
        <f>'C2-Shares'!AD31*100</f>
        <v>2.4775406045931705</v>
      </c>
      <c r="J30" s="173"/>
    </row>
    <row r="31" spans="1:10" ht="10.5" customHeight="1" x14ac:dyDescent="0.3">
      <c r="A31" s="596">
        <f t="shared" si="0"/>
        <v>1986</v>
      </c>
      <c r="B31" s="140">
        <f>'C2-Shares'!L32*100</f>
        <v>9.2931372728020101</v>
      </c>
      <c r="C31" s="140">
        <f>'C2-Shares'!N32*100</f>
        <v>3.2923647379730725</v>
      </c>
      <c r="D31" s="693"/>
      <c r="E31" s="140">
        <f>'C2-Shares'!T32*100</f>
        <v>8.453249932106246</v>
      </c>
      <c r="F31" s="140">
        <f>'C2-Shares'!V32*100</f>
        <v>2.9737975245387531</v>
      </c>
      <c r="G31" s="695"/>
      <c r="H31" s="140">
        <f>'C2-Shares'!AB32*100</f>
        <v>6.6271363796234981</v>
      </c>
      <c r="I31" s="140">
        <f>'C2-Shares'!AD32*100</f>
        <v>2.2202390488319206</v>
      </c>
      <c r="J31" s="173"/>
    </row>
    <row r="32" spans="1:10" ht="10.5" customHeight="1" x14ac:dyDescent="0.3">
      <c r="A32" s="596">
        <f t="shared" si="0"/>
        <v>1987</v>
      </c>
      <c r="B32" s="140">
        <f>'C2-Shares'!L33*100</f>
        <v>9.6691378643522459</v>
      </c>
      <c r="C32" s="140">
        <f>'C2-Shares'!N33*100</f>
        <v>3.4953024282406577</v>
      </c>
      <c r="D32" s="693"/>
      <c r="E32" s="140">
        <f>'C2-Shares'!T33*100</f>
        <v>8.8118347589807708</v>
      </c>
      <c r="F32" s="140">
        <f>'C2-Shares'!V33*100</f>
        <v>3.1678593777432109</v>
      </c>
      <c r="G32" s="695"/>
      <c r="H32" s="140">
        <f>'C2-Shares'!AB33*100</f>
        <v>7.0054384975182069</v>
      </c>
      <c r="I32" s="140">
        <f>'C2-Shares'!AD33*100</f>
        <v>2.4061457667487702</v>
      </c>
      <c r="J32" s="173"/>
    </row>
    <row r="33" spans="1:10" ht="10.5" customHeight="1" x14ac:dyDescent="0.3">
      <c r="A33" s="596">
        <f t="shared" si="0"/>
        <v>1988</v>
      </c>
      <c r="B33" s="140">
        <f>'C2-Shares'!L34*100</f>
        <v>11.618417948029981</v>
      </c>
      <c r="C33" s="140">
        <f>'C2-Shares'!N34*100</f>
        <v>4.8375036349912772</v>
      </c>
      <c r="D33" s="693"/>
      <c r="E33" s="140">
        <f>'C2-Shares'!T34*100</f>
        <v>10.586704503713266</v>
      </c>
      <c r="F33" s="140">
        <f>'C2-Shares'!V34*100</f>
        <v>4.3894382223625232</v>
      </c>
      <c r="G33" s="695"/>
      <c r="H33" s="140">
        <f>'C2-Shares'!AB34*100</f>
        <v>8.7459750123910993</v>
      </c>
      <c r="I33" s="140">
        <f>'C2-Shares'!AD34*100</f>
        <v>3.5294339871102141</v>
      </c>
      <c r="J33" s="173"/>
    </row>
    <row r="34" spans="1:10" ht="10.5" customHeight="1" x14ac:dyDescent="0.3">
      <c r="A34" s="596">
        <f t="shared" si="0"/>
        <v>1989</v>
      </c>
      <c r="B34" s="140">
        <f>'C2-Shares'!L35*100</f>
        <v>11.126510038595104</v>
      </c>
      <c r="C34" s="140">
        <f>'C2-Shares'!N35*100</f>
        <v>4.4401631085287425</v>
      </c>
      <c r="D34" s="693"/>
      <c r="E34" s="140">
        <f>'C2-Shares'!T35*100</f>
        <v>10.133937109209022</v>
      </c>
      <c r="F34" s="140">
        <f>'C2-Shares'!V35*100</f>
        <v>4.027847341157357</v>
      </c>
      <c r="G34" s="695"/>
      <c r="H34" s="140">
        <f>'C2-Shares'!AB35*100</f>
        <v>8.266400200729338</v>
      </c>
      <c r="I34" s="140">
        <f>'C2-Shares'!AD35*100</f>
        <v>3.1993936412909929</v>
      </c>
      <c r="J34" s="173"/>
    </row>
    <row r="35" spans="1:10" ht="10.5" customHeight="1" x14ac:dyDescent="0.3">
      <c r="A35" s="596">
        <f t="shared" si="0"/>
        <v>1990</v>
      </c>
      <c r="B35" s="140">
        <f>'C2-Shares'!L36*100</f>
        <v>11.287840931465052</v>
      </c>
      <c r="C35" s="140">
        <f>'C2-Shares'!N36*100</f>
        <v>4.4463136654842135</v>
      </c>
      <c r="D35" s="693"/>
      <c r="E35" s="140">
        <f>'C2-Shares'!T36*100</f>
        <v>10.216340310442138</v>
      </c>
      <c r="F35" s="140">
        <f>'C2-Shares'!V36*100</f>
        <v>4.0110340110812936</v>
      </c>
      <c r="G35" s="695"/>
      <c r="H35" s="140">
        <f>'C2-Shares'!AB36*100</f>
        <v>8.3336941022029549</v>
      </c>
      <c r="I35" s="140">
        <f>'C2-Shares'!AD36*100</f>
        <v>3.1796067774602124</v>
      </c>
      <c r="J35" s="173"/>
    </row>
    <row r="36" spans="1:10" ht="10.5" customHeight="1" x14ac:dyDescent="0.3">
      <c r="A36" s="596">
        <f t="shared" si="0"/>
        <v>1991</v>
      </c>
      <c r="B36" s="140">
        <f>'C2-Shares'!L37*100</f>
        <v>10.924309169780608</v>
      </c>
      <c r="C36" s="140">
        <f>'C2-Shares'!N37*100</f>
        <v>4.1813383006239881</v>
      </c>
      <c r="D36" s="693"/>
      <c r="E36" s="140">
        <f>'C2-Shares'!T37*100</f>
        <v>9.7937989104130203</v>
      </c>
      <c r="F36" s="140">
        <f>'C2-Shares'!V37*100</f>
        <v>3.73215804202</v>
      </c>
      <c r="G36" s="695"/>
      <c r="H36" s="140">
        <f>'C2-Shares'!AB37*100</f>
        <v>7.7543395194042244</v>
      </c>
      <c r="I36" s="140">
        <f>'C2-Shares'!AD37*100</f>
        <v>2.8345510161212841</v>
      </c>
      <c r="J36" s="173"/>
    </row>
    <row r="37" spans="1:10" ht="10.5" customHeight="1" x14ac:dyDescent="0.3">
      <c r="A37" s="596">
        <f t="shared" si="0"/>
        <v>1992</v>
      </c>
      <c r="B37" s="140">
        <f>'C2-Shares'!L38*100</f>
        <v>11.597736769774794</v>
      </c>
      <c r="C37" s="140">
        <f>'C2-Shares'!N38*100</f>
        <v>4.6206088990362666</v>
      </c>
      <c r="D37" s="693"/>
      <c r="E37" s="140">
        <f>'C2-Shares'!T38*100</f>
        <v>10.321475471347732</v>
      </c>
      <c r="F37" s="140">
        <f>'C2-Shares'!V38*100</f>
        <v>4.096955981876647</v>
      </c>
      <c r="G37" s="695"/>
      <c r="H37" s="140">
        <f>'C2-Shares'!AB38*100</f>
        <v>7.9735921906976976</v>
      </c>
      <c r="I37" s="140">
        <f>'C2-Shares'!AD38*100</f>
        <v>3.0105916666723425</v>
      </c>
      <c r="J37" s="173"/>
    </row>
    <row r="38" spans="1:10" ht="10.5" customHeight="1" x14ac:dyDescent="0.3">
      <c r="A38" s="596">
        <f t="shared" si="0"/>
        <v>1993</v>
      </c>
      <c r="B38" s="140">
        <f>'C2-Shares'!L39*100</f>
        <v>10.954075171346821</v>
      </c>
      <c r="C38" s="140">
        <f>'C2-Shares'!N39*100</f>
        <v>4.2047194441650992</v>
      </c>
      <c r="D38" s="693"/>
      <c r="E38" s="140">
        <f>'C2-Shares'!T39*100</f>
        <v>9.7294801851661692</v>
      </c>
      <c r="F38" s="140">
        <f>'C2-Shares'!V39*100</f>
        <v>3.719842091042977</v>
      </c>
      <c r="G38" s="695"/>
      <c r="H38" s="140">
        <f>'C2-Shares'!AB39*100</f>
        <v>7.2809681793638799</v>
      </c>
      <c r="I38" s="140">
        <f>'C2-Shares'!AD39*100</f>
        <v>2.5405055818283016</v>
      </c>
      <c r="J38" s="173"/>
    </row>
    <row r="39" spans="1:10" ht="10.5" customHeight="1" x14ac:dyDescent="0.3">
      <c r="A39" s="596">
        <f t="shared" si="0"/>
        <v>1994</v>
      </c>
      <c r="B39" s="140">
        <f>'C2-Shares'!L40*100</f>
        <v>10.947565686902427</v>
      </c>
      <c r="C39" s="140">
        <f>'C2-Shares'!N40*100</f>
        <v>4.208296283075069</v>
      </c>
      <c r="D39" s="693"/>
      <c r="E39" s="140">
        <f>'C2-Shares'!T40*100</f>
        <v>9.749660570024659</v>
      </c>
      <c r="F39" s="140">
        <f>'C2-Shares'!V40*100</f>
        <v>3.7338570974322116</v>
      </c>
      <c r="G39" s="695"/>
      <c r="H39" s="140">
        <f>'C2-Shares'!AB40*100</f>
        <v>7.3669655385035613</v>
      </c>
      <c r="I39" s="140">
        <f>'C2-Shares'!AD40*100</f>
        <v>2.6024174741139867</v>
      </c>
      <c r="J39" s="173"/>
    </row>
    <row r="40" spans="1:10" ht="10.5" customHeight="1" x14ac:dyDescent="0.3">
      <c r="A40" s="596">
        <f t="shared" si="0"/>
        <v>1995</v>
      </c>
      <c r="B40" s="140">
        <f>'C2-Shares'!L41*100</f>
        <v>11.512130249241839</v>
      </c>
      <c r="C40" s="140">
        <f>'C2-Shares'!N41*100</f>
        <v>4.5089049183774819</v>
      </c>
      <c r="D40" s="693"/>
      <c r="E40" s="140">
        <f>'C2-Shares'!T41*100</f>
        <v>10.248804676769483</v>
      </c>
      <c r="F40" s="140">
        <f>'C2-Shares'!V41*100</f>
        <v>3.9971853841719187</v>
      </c>
      <c r="G40" s="695"/>
      <c r="H40" s="140">
        <f>'C2-Shares'!AB41*100</f>
        <v>7.7604961237693146</v>
      </c>
      <c r="I40" s="140">
        <f>'C2-Shares'!AD41*100</f>
        <v>2.8196084587845935</v>
      </c>
      <c r="J40" s="173"/>
    </row>
    <row r="41" spans="1:10" ht="10.5" customHeight="1" x14ac:dyDescent="0.3">
      <c r="A41" s="596">
        <f t="shared" si="0"/>
        <v>1996</v>
      </c>
      <c r="B41" s="140">
        <f>'C2-Shares'!L42*100</f>
        <v>11.931018728926302</v>
      </c>
      <c r="C41" s="140">
        <f>'C2-Shares'!N42*100</f>
        <v>4.7215680608212374</v>
      </c>
      <c r="D41" s="693"/>
      <c r="E41" s="140">
        <f>'C2-Shares'!T42*100</f>
        <v>10.636785657879491</v>
      </c>
      <c r="F41" s="140">
        <f>'C2-Shares'!V42*100</f>
        <v>4.1914528776875626</v>
      </c>
      <c r="G41" s="695"/>
      <c r="H41" s="140">
        <f>'C2-Shares'!AB42*100</f>
        <v>8.1103190969653642</v>
      </c>
      <c r="I41" s="140">
        <f>'C2-Shares'!AD42*100</f>
        <v>2.9545851037879078</v>
      </c>
      <c r="J41" s="173"/>
    </row>
    <row r="42" spans="1:10" ht="10.5" customHeight="1" x14ac:dyDescent="0.3">
      <c r="A42" s="596">
        <f t="shared" si="0"/>
        <v>1997</v>
      </c>
      <c r="B42" s="140">
        <f>'C2-Shares'!L43*100</f>
        <v>12.490294670435617</v>
      </c>
      <c r="C42" s="140">
        <f>'C2-Shares'!N43*100</f>
        <v>5.0917528638180398</v>
      </c>
      <c r="D42" s="693"/>
      <c r="E42" s="140">
        <f>'C2-Shares'!T43*100</f>
        <v>11.178826593549564</v>
      </c>
      <c r="F42" s="140">
        <f>'C2-Shares'!V43*100</f>
        <v>4.5354646210073906</v>
      </c>
      <c r="G42" s="695"/>
      <c r="H42" s="140">
        <f>'C2-Shares'!AB43*100</f>
        <v>8.550458666883177</v>
      </c>
      <c r="I42" s="140">
        <f>'C2-Shares'!AD43*100</f>
        <v>3.2378099851478952</v>
      </c>
      <c r="J42" s="173"/>
    </row>
    <row r="43" spans="1:10" ht="10.5" customHeight="1" x14ac:dyDescent="0.3">
      <c r="A43" s="596">
        <f t="shared" si="0"/>
        <v>1998</v>
      </c>
      <c r="B43" s="140">
        <f>'C2-Shares'!L44*100</f>
        <v>12.637675646198396</v>
      </c>
      <c r="C43" s="140">
        <f>'C2-Shares'!N44*100</f>
        <v>5.21691403601098</v>
      </c>
      <c r="D43" s="693"/>
      <c r="E43" s="140">
        <f>'C2-Shares'!T44*100</f>
        <v>11.34947367984665</v>
      </c>
      <c r="F43" s="140">
        <f>'C2-Shares'!V44*100</f>
        <v>4.6602695448886076</v>
      </c>
      <c r="G43" s="695"/>
      <c r="H43" s="140">
        <f>'C2-Shares'!AB44*100</f>
        <v>8.6803083366503309</v>
      </c>
      <c r="I43" s="140">
        <f>'C2-Shares'!AD44*100</f>
        <v>3.3404812895808544</v>
      </c>
      <c r="J43" s="173"/>
    </row>
    <row r="44" spans="1:10" ht="10.5" customHeight="1" x14ac:dyDescent="0.3">
      <c r="A44" s="596">
        <f t="shared" si="0"/>
        <v>1999</v>
      </c>
      <c r="B44" s="140">
        <f>'C2-Shares'!L45*100</f>
        <v>13.162035713692486</v>
      </c>
      <c r="C44" s="140">
        <f>'C2-Shares'!N45*100</f>
        <v>5.5105937133093619</v>
      </c>
      <c r="D44" s="693"/>
      <c r="E44" s="140">
        <f>'C2-Shares'!T45*100</f>
        <v>11.841283354898033</v>
      </c>
      <c r="F44" s="140">
        <f>'C2-Shares'!V45*100</f>
        <v>4.9402178853190115</v>
      </c>
      <c r="G44" s="695"/>
      <c r="H44" s="140">
        <f>'C2-Shares'!AB45*100</f>
        <v>9.0608705072657099</v>
      </c>
      <c r="I44" s="140">
        <f>'C2-Shares'!AD45*100</f>
        <v>3.5597468018666514</v>
      </c>
      <c r="J44" s="173"/>
    </row>
    <row r="45" spans="1:10" ht="10.5" customHeight="1" x14ac:dyDescent="0.3">
      <c r="A45" s="596">
        <f t="shared" si="0"/>
        <v>2000</v>
      </c>
      <c r="B45" s="140">
        <f>'C2-Shares'!L46*100</f>
        <v>13.670178501652119</v>
      </c>
      <c r="C45" s="140">
        <f>'C2-Shares'!N46*100</f>
        <v>5.8365589863206191</v>
      </c>
      <c r="D45" s="693"/>
      <c r="E45" s="140">
        <f>'C2-Shares'!T46*100</f>
        <v>12.32473407266764</v>
      </c>
      <c r="F45" s="140">
        <f>'C2-Shares'!V46*100</f>
        <v>5.2409760277444244</v>
      </c>
      <c r="G45" s="695"/>
      <c r="H45" s="140">
        <f>'C2-Shares'!AB46*100</f>
        <v>9.4509605359795046</v>
      </c>
      <c r="I45" s="140">
        <f>'C2-Shares'!AD46*100</f>
        <v>3.7918385143765012</v>
      </c>
      <c r="J45" s="173"/>
    </row>
    <row r="46" spans="1:10" ht="10.5" customHeight="1" x14ac:dyDescent="0.3">
      <c r="A46" s="596">
        <f t="shared" si="0"/>
        <v>2001</v>
      </c>
      <c r="B46" s="140">
        <f>'C2-Shares'!L47*100</f>
        <v>12.713426863166886</v>
      </c>
      <c r="C46" s="140">
        <f>'C2-Shares'!N47*100</f>
        <v>5.1364844109383476</v>
      </c>
      <c r="D46" s="693"/>
      <c r="E46" s="140">
        <f>'C2-Shares'!T47*100</f>
        <v>11.389875547142124</v>
      </c>
      <c r="F46" s="140">
        <f>'C2-Shares'!V47*100</f>
        <v>4.584612560812567</v>
      </c>
      <c r="G46" s="695"/>
      <c r="H46" s="140">
        <f>'C2-Shares'!AB47*100</f>
        <v>8.6020749470970284</v>
      </c>
      <c r="I46" s="140">
        <f>'C2-Shares'!AD47*100</f>
        <v>3.2241294571015779</v>
      </c>
      <c r="J46" s="173"/>
    </row>
    <row r="47" spans="1:10" ht="10.5" customHeight="1" x14ac:dyDescent="0.3">
      <c r="A47" s="596">
        <f t="shared" si="0"/>
        <v>2002</v>
      </c>
      <c r="B47" s="140">
        <f>'C2-Shares'!L48*100</f>
        <v>12.068197568424518</v>
      </c>
      <c r="C47" s="140">
        <f>'C2-Shares'!N48*100</f>
        <v>4.7364585365923588</v>
      </c>
      <c r="D47" s="693"/>
      <c r="E47" s="140">
        <f>'C2-Shares'!T48*100</f>
        <v>10.745535683987288</v>
      </c>
      <c r="F47" s="140">
        <f>'C2-Shares'!V48*100</f>
        <v>4.1952198328812189</v>
      </c>
      <c r="G47" s="695"/>
      <c r="H47" s="140">
        <f>'C2-Shares'!AB48*100</f>
        <v>8.036672533413558</v>
      </c>
      <c r="I47" s="140">
        <f>'C2-Shares'!AD48*100</f>
        <v>2.915248011203972</v>
      </c>
      <c r="J47" s="173"/>
    </row>
    <row r="48" spans="1:10" ht="10.5" customHeight="1" x14ac:dyDescent="0.3">
      <c r="A48" s="596">
        <f t="shared" si="0"/>
        <v>2003</v>
      </c>
      <c r="B48" s="140">
        <f>'C2-Shares'!L49*100</f>
        <v>12.377478129489432</v>
      </c>
      <c r="C48" s="140">
        <f>'C2-Shares'!N49*100</f>
        <v>5.0082464971426628</v>
      </c>
      <c r="D48" s="693"/>
      <c r="E48" s="140">
        <f>'C2-Shares'!T49*100</f>
        <v>11.00817419577586</v>
      </c>
      <c r="F48" s="140">
        <f>'C2-Shares'!V49*100</f>
        <v>4.4357988180083785</v>
      </c>
      <c r="G48" s="695"/>
      <c r="H48" s="140">
        <f>'C2-Shares'!AB49*100</f>
        <v>8.3090076888733968</v>
      </c>
      <c r="I48" s="140">
        <f>'C2-Shares'!AD49*100</f>
        <v>3.1314286677159262</v>
      </c>
      <c r="J48" s="173"/>
    </row>
    <row r="49" spans="1:10" ht="10.5" customHeight="1" x14ac:dyDescent="0.3">
      <c r="A49" s="596">
        <f t="shared" si="0"/>
        <v>2004</v>
      </c>
      <c r="B49" s="140">
        <f>'C2-Shares'!L50*100</f>
        <v>13.260924234253702</v>
      </c>
      <c r="C49" s="140">
        <f>'C2-Shares'!N50*100</f>
        <v>5.6638486860089516</v>
      </c>
      <c r="D49" s="693"/>
      <c r="E49" s="140">
        <f>'C2-Shares'!T50*100</f>
        <v>11.794330030636967</v>
      </c>
      <c r="F49" s="140">
        <f>'C2-Shares'!V50*100</f>
        <v>5.0185610799291691</v>
      </c>
      <c r="G49" s="695"/>
      <c r="H49" s="140">
        <f>'C2-Shares'!AB50*100</f>
        <v>8.9180091516531803</v>
      </c>
      <c r="I49" s="140">
        <f>'C2-Shares'!AD50*100</f>
        <v>3.561203869409709</v>
      </c>
      <c r="J49" s="173"/>
    </row>
    <row r="50" spans="1:10" ht="10.5" customHeight="1" x14ac:dyDescent="0.3">
      <c r="A50" s="596">
        <f t="shared" si="0"/>
        <v>2005</v>
      </c>
      <c r="B50" s="140">
        <f>'C2-Shares'!L51*100</f>
        <v>14.257478164468424</v>
      </c>
      <c r="C50" s="140">
        <f>'C2-Shares'!N51*100</f>
        <v>6.3320031701625705</v>
      </c>
      <c r="D50" s="693"/>
      <c r="E50" s="140">
        <f>'C2-Shares'!T51*100</f>
        <v>12.686541570563556</v>
      </c>
      <c r="F50" s="140">
        <f>'C2-Shares'!V51*100</f>
        <v>5.6133168869641752</v>
      </c>
      <c r="G50" s="695"/>
      <c r="H50" s="140">
        <f>'C2-Shares'!AB51*100</f>
        <v>9.5123410492338856</v>
      </c>
      <c r="I50" s="140">
        <f>'C2-Shares'!AD51*100</f>
        <v>3.9738183673759906</v>
      </c>
      <c r="J50" s="173"/>
    </row>
    <row r="51" spans="1:10" ht="10.5" customHeight="1" x14ac:dyDescent="0.3">
      <c r="A51" s="596">
        <f t="shared" si="0"/>
        <v>2006</v>
      </c>
      <c r="B51" s="140">
        <f>'C2-Shares'!L52*100</f>
        <v>14.696344047345955</v>
      </c>
      <c r="C51" s="140">
        <f>'C2-Shares'!N52*100</f>
        <v>6.5065247324399857</v>
      </c>
      <c r="D51" s="693"/>
      <c r="E51" s="140">
        <f>'C2-Shares'!T52*100</f>
        <v>13.083180114309842</v>
      </c>
      <c r="F51" s="140">
        <f>'C2-Shares'!V52*100</f>
        <v>5.7716788369612333</v>
      </c>
      <c r="G51" s="695"/>
      <c r="H51" s="140">
        <f>'C2-Shares'!AB52*100</f>
        <v>9.8223339611121432</v>
      </c>
      <c r="I51" s="140">
        <f>'C2-Shares'!AD52*100</f>
        <v>4.0899000060021651</v>
      </c>
      <c r="J51" s="173"/>
    </row>
    <row r="52" spans="1:10" ht="10.5" customHeight="1" x14ac:dyDescent="0.3">
      <c r="A52" s="596">
        <f t="shared" si="0"/>
        <v>2007</v>
      </c>
      <c r="B52" s="140">
        <f>'C2-Shares'!L53*100</f>
        <v>14.610594510750966</v>
      </c>
      <c r="C52" s="140">
        <f>'C2-Shares'!N53*100</f>
        <v>6.4601484308223291</v>
      </c>
      <c r="D52" s="693"/>
      <c r="E52" s="140">
        <f>'C2-Shares'!T53*100</f>
        <v>12.947409854791339</v>
      </c>
      <c r="F52" s="140">
        <f>'C2-Shares'!V53*100</f>
        <v>5.7055226838302131</v>
      </c>
      <c r="G52" s="695"/>
      <c r="H52" s="140">
        <f>'C2-Shares'!AB53*100</f>
        <v>9.4563324470752601</v>
      </c>
      <c r="I52" s="140">
        <f>'C2-Shares'!AD53*100</f>
        <v>3.8905381676456594</v>
      </c>
      <c r="J52" s="173"/>
    </row>
    <row r="53" spans="1:10" ht="10.5" customHeight="1" x14ac:dyDescent="0.3">
      <c r="A53" s="596">
        <f t="shared" si="0"/>
        <v>2008</v>
      </c>
      <c r="B53" s="140">
        <f>'C2-Shares'!L54*100</f>
        <v>13.955021491106612</v>
      </c>
      <c r="C53" s="140">
        <f>'C2-Shares'!N54*100</f>
        <v>6.0143725175425216</v>
      </c>
      <c r="D53" s="693"/>
      <c r="E53" s="140">
        <f>'C2-Shares'!T54*100</f>
        <v>12.127399887361561</v>
      </c>
      <c r="F53" s="140">
        <f>'C2-Shares'!V54*100</f>
        <v>5.2072023819197737</v>
      </c>
      <c r="G53" s="695"/>
      <c r="H53" s="140">
        <f>'C2-Shares'!AB54*100</f>
        <v>8.4723553346400546</v>
      </c>
      <c r="I53" s="140">
        <f>'C2-Shares'!AD54*100</f>
        <v>3.3461743529264663</v>
      </c>
      <c r="J53" s="173"/>
    </row>
    <row r="54" spans="1:10" ht="10.5" customHeight="1" x14ac:dyDescent="0.3">
      <c r="A54" s="596">
        <f t="shared" si="0"/>
        <v>2009</v>
      </c>
      <c r="B54" s="140">
        <f>'C2-Shares'!L55*100</f>
        <v>13.091121874891943</v>
      </c>
      <c r="C54" s="140">
        <f>'C2-Shares'!N55*100</f>
        <v>5.5063100209195861</v>
      </c>
      <c r="D54" s="693"/>
      <c r="E54" s="140">
        <f>'C2-Shares'!T55*100</f>
        <v>11.275444275473779</v>
      </c>
      <c r="F54" s="140">
        <f>'C2-Shares'!V55*100</f>
        <v>4.7198793964718231</v>
      </c>
      <c r="G54" s="695"/>
      <c r="H54" s="140">
        <f>'C2-Shares'!AB55*100</f>
        <v>7.7804968638845544</v>
      </c>
      <c r="I54" s="140">
        <f>'C2-Shares'!AD55*100</f>
        <v>2.9960354426224174</v>
      </c>
      <c r="J54" s="173"/>
    </row>
    <row r="55" spans="1:10" ht="10.5" customHeight="1" x14ac:dyDescent="0.3">
      <c r="A55" s="596">
        <f t="shared" si="0"/>
        <v>2010</v>
      </c>
      <c r="B55" s="140">
        <f>'C2-Shares'!L56*100</f>
        <v>14.296488171438282</v>
      </c>
      <c r="C55" s="140">
        <f>'C2-Shares'!N56*100</f>
        <v>6.288701942081425</v>
      </c>
      <c r="D55" s="693"/>
      <c r="E55" s="140">
        <f>'C2-Shares'!T56*100</f>
        <v>12.244289272562483</v>
      </c>
      <c r="F55" s="140">
        <f>'C2-Shares'!V56*100</f>
        <v>5.3629048755441922</v>
      </c>
      <c r="G55" s="695"/>
      <c r="H55" s="140">
        <f>'C2-Shares'!AB56*100</f>
        <v>8.572037058118557</v>
      </c>
      <c r="I55" s="140">
        <f>'C2-Shares'!AD56*100</f>
        <v>3.500327016545469</v>
      </c>
      <c r="J55" s="173"/>
    </row>
    <row r="56" spans="1:10" ht="10.5" customHeight="1" x14ac:dyDescent="0.3">
      <c r="A56" s="596">
        <f t="shared" si="0"/>
        <v>2011</v>
      </c>
      <c r="B56" s="140">
        <f>'C2-Shares'!L57*100</f>
        <v>13.842295139515764</v>
      </c>
      <c r="C56" s="140">
        <f>'C2-Shares'!N57*100</f>
        <v>5.7957854003290166</v>
      </c>
      <c r="D56" s="693"/>
      <c r="E56" s="140">
        <f>'C2-Shares'!T57*100</f>
        <v>11.91544734605352</v>
      </c>
      <c r="F56" s="140">
        <f>'C2-Shares'!V57*100</f>
        <v>4.9702946211608863</v>
      </c>
      <c r="G56" s="695"/>
      <c r="H56" s="140">
        <f>'C2-Shares'!AB57*100</f>
        <v>8.1359490192568753</v>
      </c>
      <c r="I56" s="140">
        <f>'C2-Shares'!AD57*100</f>
        <v>3.1035106179935883</v>
      </c>
      <c r="J56" s="173"/>
    </row>
    <row r="57" spans="1:10" ht="10.5" customHeight="1" x14ac:dyDescent="0.3">
      <c r="A57" s="596">
        <f t="shared" si="0"/>
        <v>2012</v>
      </c>
      <c r="B57" s="140">
        <f>'C2-Shares'!L58*100</f>
        <v>15.229122380983121</v>
      </c>
      <c r="C57" s="140">
        <f>'C2-Shares'!N58*100</f>
        <v>6.887226801162913</v>
      </c>
      <c r="D57" s="693"/>
      <c r="E57" s="140">
        <f>'C2-Shares'!T58*100</f>
        <v>13.192084270089083</v>
      </c>
      <c r="F57" s="140">
        <f>'C2-Shares'!V58*100</f>
        <v>5.9428316348775629</v>
      </c>
      <c r="G57" s="695"/>
      <c r="H57" s="140">
        <f>'C2-Shares'!AB58*100</f>
        <v>9.343248447807758</v>
      </c>
      <c r="I57" s="140">
        <f>'C2-Shares'!AD58*100</f>
        <v>3.9524362019882067</v>
      </c>
      <c r="J57" s="173"/>
    </row>
    <row r="58" spans="1:10" ht="10.5" customHeight="1" x14ac:dyDescent="0.3">
      <c r="A58" s="596">
        <f t="shared" si="0"/>
        <v>2013</v>
      </c>
      <c r="B58" s="140">
        <f>'C2-Shares'!L59*100</f>
        <v>13.896760061229452</v>
      </c>
      <c r="C58" s="140">
        <f>'C2-Shares'!N59*100</f>
        <v>5.9108297589906389</v>
      </c>
      <c r="D58" s="693"/>
      <c r="E58" s="140">
        <f>'C2-Shares'!T59*100</f>
        <v>12.05447789407159</v>
      </c>
      <c r="F58" s="140">
        <f>'C2-Shares'!V59*100</f>
        <v>5.1038799820476379</v>
      </c>
      <c r="G58" s="695"/>
      <c r="H58" s="140">
        <f>'C2-Shares'!AB59*100</f>
        <v>8.2807977182395085</v>
      </c>
      <c r="I58" s="140">
        <f>'C2-Shares'!AD59*100</f>
        <v>3.1260671320889943</v>
      </c>
      <c r="J58" s="173"/>
    </row>
    <row r="59" spans="1:10" ht="10.5" customHeight="1" x14ac:dyDescent="0.3">
      <c r="A59" s="596">
        <f t="shared" si="0"/>
        <v>2014</v>
      </c>
      <c r="B59" s="140">
        <f>'C2-Shares'!L60*100</f>
        <v>14.277984870529348</v>
      </c>
      <c r="C59" s="140">
        <f>'C2-Shares'!N60*100</f>
        <v>6.1335411612925634</v>
      </c>
      <c r="D59" s="693"/>
      <c r="E59" s="140">
        <f>'C2-Shares'!T60*100</f>
        <v>12.383528715122836</v>
      </c>
      <c r="F59" s="140">
        <f>'C2-Shares'!V60*100</f>
        <v>5.296271078085022</v>
      </c>
      <c r="G59" s="695"/>
      <c r="H59" s="140">
        <f>'C2-Shares'!AB60*100</f>
        <v>8.638138755190953</v>
      </c>
      <c r="I59" s="140">
        <f>'C2-Shares'!AD60*100</f>
        <v>3.3282726671713778</v>
      </c>
      <c r="J59" s="173"/>
    </row>
    <row r="60" spans="1:10" ht="10.5" customHeight="1" x14ac:dyDescent="0.3">
      <c r="A60" s="615">
        <f t="shared" si="0"/>
        <v>2015</v>
      </c>
      <c r="B60" s="1001">
        <f>'C2-Shares'!L61*100</f>
        <v>14.118367565625729</v>
      </c>
      <c r="C60" s="1001">
        <f>'C2-Shares'!N61*100</f>
        <v>6.0503082080433774</v>
      </c>
      <c r="D60" s="1002"/>
      <c r="E60" s="1001">
        <f>'C2-Shares'!T61*100</f>
        <v>12.226367697635226</v>
      </c>
      <c r="F60" s="1001">
        <f>'C2-Shares'!V61*100</f>
        <v>5.2152947409730253</v>
      </c>
      <c r="G60" s="1003"/>
      <c r="H60" s="1001">
        <f>'C2-Shares'!AB61*100</f>
        <v>8.5472598105556035</v>
      </c>
      <c r="I60" s="1001">
        <f>'C2-Shares'!AD61*100</f>
        <v>3.3091910019640194</v>
      </c>
      <c r="J60" s="173"/>
    </row>
    <row r="61" spans="1:10" x14ac:dyDescent="0.3">
      <c r="A61" s="39"/>
      <c r="B61" s="39"/>
      <c r="C61" s="39"/>
      <c r="D61" s="39"/>
      <c r="E61" s="39"/>
      <c r="F61" s="39"/>
      <c r="G61" s="39"/>
      <c r="H61" s="39"/>
    </row>
    <row r="62" spans="1:10" x14ac:dyDescent="0.3">
      <c r="A62" s="386" t="s">
        <v>1663</v>
      </c>
      <c r="B62" s="39"/>
      <c r="C62" s="39"/>
      <c r="D62" s="39"/>
      <c r="E62" s="39"/>
      <c r="F62" s="39"/>
      <c r="G62" s="39"/>
      <c r="H62" s="39"/>
    </row>
    <row r="63" spans="1:10" x14ac:dyDescent="0.3">
      <c r="A63" s="384" t="s">
        <v>1664</v>
      </c>
      <c r="B63" s="39"/>
      <c r="C63" s="39"/>
      <c r="D63" s="39"/>
      <c r="E63" s="39"/>
      <c r="F63" s="39"/>
      <c r="G63" s="39"/>
      <c r="H63" s="39"/>
    </row>
    <row r="64" spans="1:10" x14ac:dyDescent="0.3">
      <c r="A64" s="39"/>
      <c r="B64" s="39"/>
      <c r="C64" s="39"/>
      <c r="D64" s="39"/>
      <c r="E64" s="39"/>
      <c r="F64" s="39"/>
      <c r="G64" s="39"/>
      <c r="H64" s="39"/>
    </row>
    <row r="65" spans="1:8" x14ac:dyDescent="0.3">
      <c r="A65" s="39"/>
      <c r="B65" s="39"/>
      <c r="C65" s="39"/>
      <c r="D65" s="39"/>
      <c r="E65" s="39"/>
      <c r="F65" s="39"/>
      <c r="G65" s="39"/>
      <c r="H65" s="39"/>
    </row>
  </sheetData>
  <mergeCells count="3">
    <mergeCell ref="B3:C3"/>
    <mergeCell ref="E3:F3"/>
    <mergeCell ref="H3:I3"/>
  </mergeCells>
  <hyperlinks>
    <hyperlink ref="F1" location="Index!A1" display="Index"/>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6" tint="0.59999389629810485"/>
  </sheetPr>
  <dimension ref="A1:N91"/>
  <sheetViews>
    <sheetView workbookViewId="0"/>
  </sheetViews>
  <sheetFormatPr defaultRowHeight="14.4" x14ac:dyDescent="0.3"/>
  <cols>
    <col min="2" max="2" width="13" customWidth="1"/>
    <col min="3" max="3" width="11.88671875" customWidth="1"/>
    <col min="4" max="4" width="12.5546875" customWidth="1"/>
    <col min="5" max="5" width="12.44140625" customWidth="1"/>
    <col min="7" max="8" width="13.77734375" customWidth="1"/>
    <col min="14" max="14" width="9.109375" customWidth="1"/>
  </cols>
  <sheetData>
    <row r="1" spans="1:9" ht="16.2" x14ac:dyDescent="0.35">
      <c r="A1" s="202" t="s">
        <v>1638</v>
      </c>
      <c r="I1" s="462" t="s">
        <v>504</v>
      </c>
    </row>
    <row r="29" spans="1:10" x14ac:dyDescent="0.3">
      <c r="A29" s="210" t="s">
        <v>660</v>
      </c>
    </row>
    <row r="30" spans="1:10" x14ac:dyDescent="0.3">
      <c r="A30" s="210" t="s">
        <v>1660</v>
      </c>
    </row>
    <row r="32" spans="1:10" x14ac:dyDescent="0.3">
      <c r="B32" s="1374" t="s">
        <v>612</v>
      </c>
      <c r="C32" s="1374"/>
      <c r="D32" s="1374"/>
      <c r="E32" s="1374"/>
      <c r="G32" s="1374" t="s">
        <v>611</v>
      </c>
      <c r="H32" s="1374"/>
      <c r="I32" s="1374"/>
      <c r="J32" s="1374"/>
    </row>
    <row r="33" spans="1:14" ht="48" customHeight="1" x14ac:dyDescent="0.3">
      <c r="A33" s="305"/>
      <c r="B33" s="425" t="s">
        <v>477</v>
      </c>
      <c r="C33" s="425" t="s">
        <v>662</v>
      </c>
      <c r="D33" s="425" t="s">
        <v>1458</v>
      </c>
      <c r="E33" s="425" t="s">
        <v>566</v>
      </c>
      <c r="G33" s="425" t="s">
        <v>477</v>
      </c>
      <c r="H33" s="425" t="s">
        <v>662</v>
      </c>
      <c r="I33" s="425" t="s">
        <v>1458</v>
      </c>
      <c r="J33" s="425" t="s">
        <v>566</v>
      </c>
    </row>
    <row r="34" spans="1:14" x14ac:dyDescent="0.3">
      <c r="A34" s="170">
        <v>1960</v>
      </c>
      <c r="B34" s="424">
        <f>'C14-PS shares'!$J8</f>
        <v>0.32185832553689214</v>
      </c>
      <c r="C34" s="424">
        <f>'C2-Shares'!J6</f>
        <v>0.34504687012307472</v>
      </c>
      <c r="D34" s="424">
        <f>'C2-Shares'!R6</f>
        <v>0.33087556367350091</v>
      </c>
      <c r="E34" s="424">
        <f>'C2-Shares'!Z6</f>
        <v>0.2785484204605238</v>
      </c>
      <c r="G34" s="424">
        <f>'C14-PS shares'!$N8</f>
        <v>2.5221412402363488E-2</v>
      </c>
      <c r="H34" s="424">
        <f>'C2-Shares'!N6</f>
        <v>4.0069490722777414E-2</v>
      </c>
      <c r="I34" s="424">
        <f>'C2-Shares'!V6</f>
        <v>3.8171306462410848E-2</v>
      </c>
      <c r="J34" s="424">
        <f>'C2-Shares'!AD6</f>
        <v>2.5600823370329828E-2</v>
      </c>
      <c r="L34" s="147"/>
      <c r="M34" s="147"/>
      <c r="N34" s="147"/>
    </row>
    <row r="35" spans="1:14" x14ac:dyDescent="0.3">
      <c r="A35" s="170">
        <f>A34+1</f>
        <v>1961</v>
      </c>
      <c r="B35" s="424">
        <f>'C14-PS shares'!$J9</f>
        <v>0.32563952632825982</v>
      </c>
      <c r="C35" s="424">
        <f>'C2-Shares'!J7</f>
        <v>0.34266318569439302</v>
      </c>
      <c r="D35" s="424">
        <f>'C2-Shares'!R7</f>
        <v>0.32818656537841823</v>
      </c>
      <c r="E35" s="424">
        <f>'C2-Shares'!Z7</f>
        <v>0.27927768443373591</v>
      </c>
      <c r="G35" s="424">
        <f>'C14-PS shares'!$N9</f>
        <v>2.652211161842382E-2</v>
      </c>
      <c r="H35" s="424">
        <f>'C2-Shares'!N7</f>
        <v>4.0496310282309045E-2</v>
      </c>
      <c r="I35" s="424">
        <f>'C2-Shares'!V7</f>
        <v>3.8521849955839675E-2</v>
      </c>
      <c r="J35" s="424">
        <f>'C2-Shares'!AD7</f>
        <v>2.7420155076939408E-2</v>
      </c>
      <c r="L35" s="147"/>
      <c r="M35" s="147"/>
      <c r="N35" s="147"/>
    </row>
    <row r="36" spans="1:14" x14ac:dyDescent="0.3">
      <c r="A36" s="170">
        <f t="shared" ref="A36:A89" si="0">A35+1</f>
        <v>1962</v>
      </c>
      <c r="B36" s="424">
        <f>'C14-PS shares'!$J10</f>
        <v>0.32436758339982819</v>
      </c>
      <c r="C36" s="424">
        <f>'C2-Shares'!J8</f>
        <v>0.34052593199362885</v>
      </c>
      <c r="D36" s="424">
        <f>'C2-Shares'!R8</f>
        <v>0.32578239432471462</v>
      </c>
      <c r="E36" s="424">
        <f>'C2-Shares'!Z8</f>
        <v>0.27993155374396356</v>
      </c>
      <c r="G36" s="424">
        <f>'C14-PS shares'!$N10</f>
        <v>2.4387097658957732E-2</v>
      </c>
      <c r="H36" s="424">
        <f>'C2-Shares'!N8</f>
        <v>4.0879004263186386E-2</v>
      </c>
      <c r="I36" s="424">
        <f>'C2-Shares'!V8</f>
        <v>3.8835262768896095E-2</v>
      </c>
      <c r="J36" s="424">
        <f>'C2-Shares'!AD8</f>
        <v>2.9051395905738808E-2</v>
      </c>
      <c r="L36" s="147"/>
      <c r="M36" s="147"/>
      <c r="N36" s="147"/>
    </row>
    <row r="37" spans="1:14" x14ac:dyDescent="0.3">
      <c r="A37" s="170">
        <f t="shared" si="0"/>
        <v>1963</v>
      </c>
      <c r="B37" s="424">
        <f>'C14-PS shares'!$J11</f>
        <v>0.32482890170911571</v>
      </c>
      <c r="C37" s="424">
        <f>'C2-Shares'!J9</f>
        <v>0.3377197837532987</v>
      </c>
      <c r="D37" s="424">
        <f>'C2-Shares'!R9</f>
        <v>0.32339210632700965</v>
      </c>
      <c r="E37" s="424">
        <f>'C2-Shares'!Z9</f>
        <v>0.27719883030592074</v>
      </c>
      <c r="G37" s="424">
        <f>'C14-PS shares'!$N11</f>
        <v>2.4056610413729321E-2</v>
      </c>
      <c r="H37" s="424">
        <f>'C2-Shares'!N9</f>
        <v>4.2506153194381217E-2</v>
      </c>
      <c r="I37" s="424">
        <f>'C2-Shares'!V9</f>
        <v>4.0427774124271711E-2</v>
      </c>
      <c r="J37" s="424">
        <f>'C2-Shares'!AD9</f>
        <v>3.0102935624349892E-2</v>
      </c>
      <c r="L37" s="147"/>
      <c r="M37" s="147"/>
      <c r="N37" s="147"/>
    </row>
    <row r="38" spans="1:14" x14ac:dyDescent="0.3">
      <c r="A38" s="170">
        <f t="shared" si="0"/>
        <v>1964</v>
      </c>
      <c r="B38" s="424">
        <f>'C14-PS shares'!$J12</f>
        <v>0.32731582757280719</v>
      </c>
      <c r="C38" s="424">
        <f>'C2-Shares'!J10</f>
        <v>0.33525107215352262</v>
      </c>
      <c r="D38" s="424">
        <f>'C2-Shares'!R10</f>
        <v>0.32128442079450731</v>
      </c>
      <c r="E38" s="424">
        <f>'C2-Shares'!Z10</f>
        <v>0.27479470839343417</v>
      </c>
      <c r="G38" s="424">
        <f>'C14-PS shares'!$N12</f>
        <v>2.4842850186318599E-2</v>
      </c>
      <c r="H38" s="424">
        <f>'C2-Shares'!N10</f>
        <v>4.3937639023701285E-2</v>
      </c>
      <c r="I38" s="424">
        <f>'C2-Shares'!V10</f>
        <v>4.1832003718066987E-2</v>
      </c>
      <c r="J38" s="424">
        <f>'C2-Shares'!AD10</f>
        <v>3.1028030950195705E-2</v>
      </c>
      <c r="L38" s="147"/>
      <c r="M38" s="147"/>
      <c r="N38" s="147"/>
    </row>
    <row r="39" spans="1:14" x14ac:dyDescent="0.3">
      <c r="A39" s="170">
        <f t="shared" si="0"/>
        <v>1965</v>
      </c>
      <c r="B39" s="424">
        <f>'C14-PS shares'!$J13</f>
        <v>0.32847576917648147</v>
      </c>
      <c r="C39" s="424">
        <f>'C2-Shares'!J11</f>
        <v>0.33707168699711321</v>
      </c>
      <c r="D39" s="424">
        <f>'C2-Shares'!R11</f>
        <v>0.3230923390921725</v>
      </c>
      <c r="E39" s="424">
        <f>'C2-Shares'!Z11</f>
        <v>0.27825844985974474</v>
      </c>
      <c r="G39" s="424">
        <f>'C14-PS shares'!$N13</f>
        <v>2.6196736711012362E-2</v>
      </c>
      <c r="H39" s="424">
        <f>'C2-Shares'!N11</f>
        <v>4.3695361955490675E-2</v>
      </c>
      <c r="I39" s="424">
        <f>'C2-Shares'!V11</f>
        <v>4.1599174756376131E-2</v>
      </c>
      <c r="J39" s="424">
        <f>'C2-Shares'!AD11</f>
        <v>3.1345732151740267E-2</v>
      </c>
      <c r="L39" s="147"/>
      <c r="M39" s="147"/>
      <c r="N39" s="147"/>
    </row>
    <row r="40" spans="1:14" x14ac:dyDescent="0.3">
      <c r="A40" s="170">
        <f t="shared" si="0"/>
        <v>1966</v>
      </c>
      <c r="B40" s="424">
        <f>'C14-PS shares'!$J14</f>
        <v>0.32818476173093986</v>
      </c>
      <c r="C40" s="424">
        <f>'C2-Shares'!J12</f>
        <v>0.3386106099487613</v>
      </c>
      <c r="D40" s="424">
        <f>'C2-Shares'!R12</f>
        <v>0.32462026225241625</v>
      </c>
      <c r="E40" s="424">
        <f>'C2-Shares'!Z12</f>
        <v>0.28118627521281209</v>
      </c>
      <c r="G40" s="424">
        <f>'C14-PS shares'!$N14</f>
        <v>2.7506071164949328E-2</v>
      </c>
      <c r="H40" s="424">
        <f>'C2-Shares'!N12</f>
        <v>4.3490570842070989E-2</v>
      </c>
      <c r="I40" s="424">
        <f>'C2-Shares'!V12</f>
        <v>4.1402404380523207E-2</v>
      </c>
      <c r="J40" s="424">
        <f>'C2-Shares'!AD12</f>
        <v>3.16142780699704E-2</v>
      </c>
      <c r="L40" s="147"/>
      <c r="M40" s="147"/>
      <c r="N40" s="147"/>
    </row>
    <row r="41" spans="1:14" x14ac:dyDescent="0.3">
      <c r="A41" s="170">
        <f t="shared" si="0"/>
        <v>1967</v>
      </c>
      <c r="B41" s="424">
        <f>'C14-PS shares'!$J15</f>
        <v>0.33389184478120076</v>
      </c>
      <c r="C41" s="424">
        <f>'C2-Shares'!J13</f>
        <v>0.33724544195553463</v>
      </c>
      <c r="D41" s="424">
        <f>'C2-Shares'!R13</f>
        <v>0.32151894643991635</v>
      </c>
      <c r="E41" s="424">
        <f>'C2-Shares'!Z13</f>
        <v>0.27332241717965833</v>
      </c>
      <c r="G41" s="424">
        <f>'C14-PS shares'!$N15</f>
        <v>2.8737618816344686E-2</v>
      </c>
      <c r="H41" s="424">
        <f>'C2-Shares'!N13</f>
        <v>4.143309667044285E-2</v>
      </c>
      <c r="I41" s="424">
        <f>'C2-Shares'!V13</f>
        <v>3.9180159003977137E-2</v>
      </c>
      <c r="J41" s="424">
        <f>'C2-Shares'!AD13</f>
        <v>2.8009281234900076E-2</v>
      </c>
      <c r="L41" s="147"/>
      <c r="M41" s="147"/>
      <c r="N41" s="147"/>
    </row>
    <row r="42" spans="1:14" x14ac:dyDescent="0.3">
      <c r="A42" s="170">
        <f t="shared" si="0"/>
        <v>1968</v>
      </c>
      <c r="B42" s="424">
        <f>'C14-PS shares'!$J16</f>
        <v>0.33586725874472562</v>
      </c>
      <c r="C42" s="424">
        <f>'C2-Shares'!J14</f>
        <v>0.33467599610798704</v>
      </c>
      <c r="D42" s="424">
        <f>'C2-Shares'!R14</f>
        <v>0.31815538067610644</v>
      </c>
      <c r="E42" s="424">
        <f>'C2-Shares'!Z14</f>
        <v>0.26789364358508194</v>
      </c>
      <c r="G42" s="424">
        <f>'C14-PS shares'!$N16</f>
        <v>3.0000312471159071E-2</v>
      </c>
      <c r="H42" s="424">
        <f>'C2-Shares'!N14</f>
        <v>4.1901963530445077E-2</v>
      </c>
      <c r="I42" s="424">
        <f>'C2-Shares'!V14</f>
        <v>3.9498306339737672E-2</v>
      </c>
      <c r="J42" s="424">
        <f>'C2-Shares'!AD14</f>
        <v>2.7573578136338723E-2</v>
      </c>
      <c r="L42" s="147"/>
      <c r="M42" s="147"/>
      <c r="N42" s="147"/>
    </row>
    <row r="43" spans="1:14" x14ac:dyDescent="0.3">
      <c r="A43" s="170">
        <f t="shared" si="0"/>
        <v>1969</v>
      </c>
      <c r="B43" s="424">
        <f>'C14-PS shares'!$J17</f>
        <v>0.32918162758885733</v>
      </c>
      <c r="C43" s="424">
        <f>'C2-Shares'!J15</f>
        <v>0.3235824944093259</v>
      </c>
      <c r="D43" s="424">
        <f>'C2-Shares'!R15</f>
        <v>0.30719224916964566</v>
      </c>
      <c r="E43" s="424">
        <f>'C2-Shares'!Z15</f>
        <v>0.25926263599557298</v>
      </c>
      <c r="G43" s="424">
        <f>'C14-PS shares'!$N17</f>
        <v>2.7860595319203554E-2</v>
      </c>
      <c r="H43" s="424">
        <f>'C2-Shares'!N15</f>
        <v>3.614239633533483E-2</v>
      </c>
      <c r="I43" s="424">
        <f>'C2-Shares'!V15</f>
        <v>3.4017367479668971E-2</v>
      </c>
      <c r="J43" s="424">
        <f>'C2-Shares'!AD15</f>
        <v>2.3708336263691562E-2</v>
      </c>
      <c r="L43" s="147"/>
      <c r="M43" s="147"/>
      <c r="N43" s="147"/>
    </row>
    <row r="44" spans="1:14" x14ac:dyDescent="0.3">
      <c r="A44" s="170">
        <f t="shared" si="0"/>
        <v>1970</v>
      </c>
      <c r="B44" s="424">
        <f>'C14-PS shares'!$J18</f>
        <v>0.31908310857482858</v>
      </c>
      <c r="C44" s="424">
        <f>'C2-Shares'!J16</f>
        <v>0.31593808942955437</v>
      </c>
      <c r="D44" s="424">
        <f>'C2-Shares'!R16</f>
        <v>0.2973079041600985</v>
      </c>
      <c r="E44" s="424">
        <f>'C2-Shares'!Z16</f>
        <v>0.25019922161709224</v>
      </c>
      <c r="G44" s="424">
        <f>'C14-PS shares'!$N18</f>
        <v>2.2868032397756907E-2</v>
      </c>
      <c r="H44" s="424">
        <f>'C2-Shares'!N16</f>
        <v>3.207870569698875E-2</v>
      </c>
      <c r="I44" s="424">
        <f>'C2-Shares'!V16</f>
        <v>2.9897414571328017E-2</v>
      </c>
      <c r="J44" s="424">
        <f>'C2-Shares'!AD16</f>
        <v>2.0361251085688491E-2</v>
      </c>
      <c r="L44" s="147"/>
      <c r="M44" s="147"/>
      <c r="N44" s="147"/>
    </row>
    <row r="45" spans="1:14" x14ac:dyDescent="0.3">
      <c r="A45" s="170">
        <f t="shared" si="0"/>
        <v>1971</v>
      </c>
      <c r="B45" s="424">
        <f>'C14-PS shares'!$J19</f>
        <v>0.32419576567028741</v>
      </c>
      <c r="C45" s="424">
        <f>'C2-Shares'!J17</f>
        <v>0.32241885409564053</v>
      </c>
      <c r="D45" s="424">
        <f>'C2-Shares'!R17</f>
        <v>0.30148254742519137</v>
      </c>
      <c r="E45" s="424">
        <f>'C2-Shares'!Z17</f>
        <v>0.25324420564344213</v>
      </c>
      <c r="G45" s="424">
        <f>'C14-PS shares'!$N19</f>
        <v>2.3787539595435191E-2</v>
      </c>
      <c r="H45" s="424">
        <f>'C2-Shares'!N17</f>
        <v>3.3948900732679498E-2</v>
      </c>
      <c r="I45" s="424">
        <f>'C2-Shares'!V17</f>
        <v>3.1427045123253131E-2</v>
      </c>
      <c r="J45" s="424">
        <f>'C2-Shares'!AD17</f>
        <v>2.177742819448681E-2</v>
      </c>
      <c r="L45" s="147"/>
      <c r="M45" s="147"/>
      <c r="N45" s="147"/>
    </row>
    <row r="46" spans="1:14" x14ac:dyDescent="0.3">
      <c r="A46" s="170">
        <f t="shared" si="0"/>
        <v>1972</v>
      </c>
      <c r="B46" s="424">
        <f>'C14-PS shares'!$J20</f>
        <v>0.32449152238235479</v>
      </c>
      <c r="C46" s="424">
        <f>'C2-Shares'!J18</f>
        <v>0.32229560384238032</v>
      </c>
      <c r="D46" s="424">
        <f>'C2-Shares'!R18</f>
        <v>0.30129822034637832</v>
      </c>
      <c r="E46" s="424">
        <f>'C2-Shares'!Z18</f>
        <v>0.25394813259979693</v>
      </c>
      <c r="G46" s="424">
        <f>'C14-PS shares'!$N20</f>
        <v>2.3938827439958899E-2</v>
      </c>
      <c r="H46" s="424">
        <f>'C2-Shares'!N18</f>
        <v>3.4546480744558565E-2</v>
      </c>
      <c r="I46" s="424">
        <f>'C2-Shares'!V18</f>
        <v>3.1933520992802424E-2</v>
      </c>
      <c r="J46" s="424">
        <f>'C2-Shares'!AD18</f>
        <v>2.2698896417323054E-2</v>
      </c>
      <c r="L46" s="147"/>
      <c r="M46" s="147"/>
      <c r="N46" s="147"/>
    </row>
    <row r="47" spans="1:14" x14ac:dyDescent="0.3">
      <c r="A47" s="170">
        <f t="shared" si="0"/>
        <v>1973</v>
      </c>
      <c r="B47" s="424">
        <f>'C14-PS shares'!$J21</f>
        <v>0.32273123150329008</v>
      </c>
      <c r="C47" s="424">
        <f>'C2-Shares'!J19</f>
        <v>0.3206064846850587</v>
      </c>
      <c r="D47" s="424">
        <f>'C2-Shares'!R19</f>
        <v>0.29937314691343692</v>
      </c>
      <c r="E47" s="424">
        <f>'C2-Shares'!Z19</f>
        <v>0.25871115199547423</v>
      </c>
      <c r="G47" s="424">
        <f>'C14-PS shares'!$N21</f>
        <v>2.1882629661278165E-2</v>
      </c>
      <c r="H47" s="424">
        <f>'C2-Shares'!N19</f>
        <v>3.2828926084614345E-2</v>
      </c>
      <c r="I47" s="424">
        <f>'C2-Shares'!V19</f>
        <v>3.0304338738571093E-2</v>
      </c>
      <c r="J47" s="424">
        <f>'C2-Shares'!AD19</f>
        <v>2.3600288851660354E-2</v>
      </c>
      <c r="L47" s="147"/>
      <c r="M47" s="147"/>
      <c r="N47" s="147"/>
    </row>
    <row r="48" spans="1:14" x14ac:dyDescent="0.3">
      <c r="A48" s="170">
        <f t="shared" si="0"/>
        <v>1974</v>
      </c>
      <c r="B48" s="424">
        <f>'C14-PS shares'!$J22</f>
        <v>0.32549459694630223</v>
      </c>
      <c r="C48" s="424">
        <f>'C2-Shares'!J20</f>
        <v>0.31989753778937369</v>
      </c>
      <c r="D48" s="424">
        <f>'C2-Shares'!R20</f>
        <v>0.29655348705430468</v>
      </c>
      <c r="E48" s="424">
        <f>'C2-Shares'!Z20</f>
        <v>0.25566131174271839</v>
      </c>
      <c r="G48" s="424">
        <f>'C14-PS shares'!$N22</f>
        <v>2.3066216574268755E-2</v>
      </c>
      <c r="H48" s="424">
        <f>'C2-Shares'!N20</f>
        <v>3.1526002331477135E-2</v>
      </c>
      <c r="I48" s="424">
        <f>'C2-Shares'!V20</f>
        <v>2.8907652398204295E-2</v>
      </c>
      <c r="J48" s="424">
        <f>'C2-Shares'!AD20</f>
        <v>2.2440619805014772E-2</v>
      </c>
      <c r="L48" s="147"/>
      <c r="M48" s="147"/>
      <c r="N48" s="147"/>
    </row>
    <row r="49" spans="1:14" x14ac:dyDescent="0.3">
      <c r="A49" s="170">
        <f t="shared" si="0"/>
        <v>1975</v>
      </c>
      <c r="B49" s="424">
        <f>'C14-PS shares'!$J23</f>
        <v>0.32749847967703588</v>
      </c>
      <c r="C49" s="424">
        <f>'C2-Shares'!J21</f>
        <v>0.32090789217632776</v>
      </c>
      <c r="D49" s="424">
        <f>'C2-Shares'!R21</f>
        <v>0.29318814853206487</v>
      </c>
      <c r="E49" s="424">
        <f>'C2-Shares'!Z21</f>
        <v>0.24829735367712408</v>
      </c>
      <c r="G49" s="424">
        <f>'C14-PS shares'!$N23</f>
        <v>2.2298094810769404E-2</v>
      </c>
      <c r="H49" s="424">
        <f>'C2-Shares'!N21</f>
        <v>3.1448412792339453E-2</v>
      </c>
      <c r="I49" s="424">
        <f>'C2-Shares'!V21</f>
        <v>2.838722928990841E-2</v>
      </c>
      <c r="J49" s="424">
        <f>'C2-Shares'!AD21</f>
        <v>2.1812477759741777E-2</v>
      </c>
      <c r="L49" s="147"/>
      <c r="M49" s="147"/>
      <c r="N49" s="147"/>
    </row>
    <row r="50" spans="1:14" x14ac:dyDescent="0.3">
      <c r="A50" s="170">
        <f t="shared" si="0"/>
        <v>1976</v>
      </c>
      <c r="B50" s="424">
        <f>'C14-PS shares'!$J24</f>
        <v>0.32634352954001167</v>
      </c>
      <c r="C50" s="424">
        <f>'C2-Shares'!J22</f>
        <v>0.32093268384414436</v>
      </c>
      <c r="D50" s="424">
        <f>'C2-Shares'!R22</f>
        <v>0.29427078990133998</v>
      </c>
      <c r="E50" s="424">
        <f>'C2-Shares'!Z22</f>
        <v>0.24958783398605794</v>
      </c>
      <c r="G50" s="424">
        <f>'C14-PS shares'!$N24</f>
        <v>2.2432738210389852E-2</v>
      </c>
      <c r="H50" s="424">
        <f>'C2-Shares'!N22</f>
        <v>3.198964804341653E-2</v>
      </c>
      <c r="I50" s="424">
        <f>'C2-Shares'!V22</f>
        <v>2.8940445867997034E-2</v>
      </c>
      <c r="J50" s="424">
        <f>'C2-Shares'!AD22</f>
        <v>2.1982422965175181E-2</v>
      </c>
      <c r="L50" s="147"/>
      <c r="M50" s="147"/>
      <c r="N50" s="147"/>
    </row>
    <row r="51" spans="1:14" x14ac:dyDescent="0.3">
      <c r="A51" s="170">
        <f t="shared" si="0"/>
        <v>1977</v>
      </c>
      <c r="B51" s="424">
        <f>'C14-PS shares'!$J25</f>
        <v>0.32688275703477132</v>
      </c>
      <c r="C51" s="424">
        <f>'C2-Shares'!J23</f>
        <v>0.3187585100112324</v>
      </c>
      <c r="D51" s="424">
        <f>'C2-Shares'!R23</f>
        <v>0.29340956957570741</v>
      </c>
      <c r="E51" s="424">
        <f>'C2-Shares'!Z23</f>
        <v>0.25148188580481168</v>
      </c>
      <c r="G51" s="424">
        <f>'C14-PS shares'!$N25</f>
        <v>2.2667596757527643E-2</v>
      </c>
      <c r="H51" s="424">
        <f>'C2-Shares'!N23</f>
        <v>3.251375566468636E-2</v>
      </c>
      <c r="I51" s="424">
        <f>'C2-Shares'!V23</f>
        <v>2.9550757740439648E-2</v>
      </c>
      <c r="J51" s="424">
        <f>'C2-Shares'!AD23</f>
        <v>2.3624604353716144E-2</v>
      </c>
      <c r="L51" s="147"/>
      <c r="M51" s="147"/>
      <c r="N51" s="147"/>
    </row>
    <row r="52" spans="1:14" x14ac:dyDescent="0.3">
      <c r="A52" s="170">
        <f t="shared" si="0"/>
        <v>1978</v>
      </c>
      <c r="B52" s="424">
        <f>'C14-PS shares'!$J26</f>
        <v>0.32630370615684501</v>
      </c>
      <c r="C52" s="424">
        <f>'C2-Shares'!J24</f>
        <v>0.31787966314069732</v>
      </c>
      <c r="D52" s="424">
        <f>'C2-Shares'!R24</f>
        <v>0.29367177504020514</v>
      </c>
      <c r="E52" s="424">
        <f>'C2-Shares'!Z24</f>
        <v>0.25547507731378255</v>
      </c>
      <c r="G52" s="424">
        <f>'C14-PS shares'!$N26</f>
        <v>2.2758458534052294E-2</v>
      </c>
      <c r="H52" s="424">
        <f>'C2-Shares'!N24</f>
        <v>3.2412746269080632E-2</v>
      </c>
      <c r="I52" s="424">
        <f>'C2-Shares'!V24</f>
        <v>2.9584699348912571E-2</v>
      </c>
      <c r="J52" s="424">
        <f>'C2-Shares'!AD24</f>
        <v>2.4500578639924504E-2</v>
      </c>
      <c r="L52" s="147"/>
      <c r="M52" s="147"/>
      <c r="N52" s="147"/>
    </row>
    <row r="53" spans="1:14" x14ac:dyDescent="0.3">
      <c r="A53" s="170">
        <f t="shared" si="0"/>
        <v>1979</v>
      </c>
      <c r="B53" s="424">
        <f>'C14-PS shares'!$J27</f>
        <v>0.33011451464707631</v>
      </c>
      <c r="C53" s="424">
        <f>'C2-Shares'!J25</f>
        <v>0.31832863072825673</v>
      </c>
      <c r="D53" s="424">
        <f>'C2-Shares'!R25</f>
        <v>0.29347825318810095</v>
      </c>
      <c r="E53" s="424">
        <f>'C2-Shares'!Z25</f>
        <v>0.2538666725449617</v>
      </c>
      <c r="G53" s="424">
        <f>'C14-PS shares'!$N27</f>
        <v>2.7447906059297141E-2</v>
      </c>
      <c r="H53" s="424">
        <f>'C2-Shares'!N25</f>
        <v>3.3450541624270087E-2</v>
      </c>
      <c r="I53" s="424">
        <f>'C2-Shares'!V25</f>
        <v>3.0464991381641746E-2</v>
      </c>
      <c r="J53" s="424">
        <f>'C2-Shares'!AD25</f>
        <v>2.4438659610013083E-2</v>
      </c>
      <c r="L53" s="147"/>
      <c r="M53" s="147"/>
      <c r="N53" s="147"/>
    </row>
    <row r="54" spans="1:14" x14ac:dyDescent="0.3">
      <c r="A54" s="170">
        <f t="shared" si="0"/>
        <v>1980</v>
      </c>
      <c r="B54" s="424">
        <f>'C14-PS shares'!$J28</f>
        <v>0.33543732482458516</v>
      </c>
      <c r="C54" s="424">
        <f>'C2-Shares'!J26</f>
        <v>0.31985016409628225</v>
      </c>
      <c r="D54" s="424">
        <f>'C2-Shares'!R26</f>
        <v>0.29211360436938694</v>
      </c>
      <c r="E54" s="424">
        <f>'C2-Shares'!Z26</f>
        <v>0.24868169542293567</v>
      </c>
      <c r="G54" s="424">
        <f>'C14-PS shares'!$N28</f>
        <v>2.7687207655503799E-2</v>
      </c>
      <c r="H54" s="424">
        <f>'C2-Shares'!N26</f>
        <v>3.1603826630484409E-2</v>
      </c>
      <c r="I54" s="424">
        <f>'C2-Shares'!V26</f>
        <v>2.8524717972860103E-2</v>
      </c>
      <c r="J54" s="424">
        <f>'C2-Shares'!AD26</f>
        <v>2.2149804891476346E-2</v>
      </c>
      <c r="L54" s="147"/>
      <c r="M54" s="147"/>
      <c r="N54" s="147"/>
    </row>
    <row r="55" spans="1:14" x14ac:dyDescent="0.3">
      <c r="A55" s="170">
        <f t="shared" si="0"/>
        <v>1981</v>
      </c>
      <c r="B55" s="424">
        <f>'C14-PS shares'!$J29</f>
        <v>0.33322739527638134</v>
      </c>
      <c r="C55" s="424">
        <f>'C2-Shares'!J27</f>
        <v>0.31760788097102827</v>
      </c>
      <c r="D55" s="424">
        <f>'C2-Shares'!R27</f>
        <v>0.29044319472284275</v>
      </c>
      <c r="E55" s="424">
        <f>'C2-Shares'!Z27</f>
        <v>0.24881254170883332</v>
      </c>
      <c r="G55" s="424">
        <f>'C14-PS shares'!$N29</f>
        <v>2.7223019788246351E-2</v>
      </c>
      <c r="H55" s="424">
        <f>'C2-Shares'!N27</f>
        <v>3.0021450201966081E-2</v>
      </c>
      <c r="I55" s="424">
        <f>'C2-Shares'!V27</f>
        <v>2.7063687555561891E-2</v>
      </c>
      <c r="J55" s="424">
        <f>'C2-Shares'!AD27</f>
        <v>2.1983895696245766E-2</v>
      </c>
      <c r="L55" s="147"/>
      <c r="M55" s="147"/>
      <c r="N55" s="147"/>
    </row>
    <row r="56" spans="1:14" x14ac:dyDescent="0.3">
      <c r="A56" s="170">
        <f t="shared" si="0"/>
        <v>1982</v>
      </c>
      <c r="B56" s="424">
        <f>'C14-PS shares'!$J30</f>
        <v>0.34272148200520136</v>
      </c>
      <c r="C56" s="424">
        <f>'C2-Shares'!J28</f>
        <v>0.32141713103455299</v>
      </c>
      <c r="D56" s="424">
        <f>'C2-Shares'!R28</f>
        <v>0.29211049452007321</v>
      </c>
      <c r="E56" s="424">
        <f>'C2-Shares'!Z28</f>
        <v>0.24661885333885653</v>
      </c>
      <c r="G56" s="424">
        <f>'C14-PS shares'!$N30</f>
        <v>3.2823450408407451E-2</v>
      </c>
      <c r="H56" s="424">
        <f>'C2-Shares'!N28</f>
        <v>3.1660146995153349E-2</v>
      </c>
      <c r="I56" s="424">
        <f>'C2-Shares'!V28</f>
        <v>2.8333037540593294E-2</v>
      </c>
      <c r="J56" s="424">
        <f>'C2-Shares'!AD28</f>
        <v>2.2080997315925117E-2</v>
      </c>
      <c r="L56" s="147"/>
      <c r="M56" s="147"/>
      <c r="N56" s="147"/>
    </row>
    <row r="57" spans="1:14" x14ac:dyDescent="0.3">
      <c r="A57" s="170">
        <f t="shared" si="0"/>
        <v>1983</v>
      </c>
      <c r="B57" s="424">
        <f>'C14-PS shares'!$J31</f>
        <v>0.34981760082848062</v>
      </c>
      <c r="C57" s="424">
        <f>'C2-Shares'!J29</f>
        <v>0.32367402869752337</v>
      </c>
      <c r="D57" s="424">
        <f>'C2-Shares'!R29</f>
        <v>0.29406720090087157</v>
      </c>
      <c r="E57" s="424">
        <f>'C2-Shares'!Z29</f>
        <v>0.24936364232903957</v>
      </c>
      <c r="G57" s="424">
        <f>'C14-PS shares'!$N31</f>
        <v>3.5414063667141962E-2</v>
      </c>
      <c r="H57" s="424">
        <f>'C2-Shares'!N29</f>
        <v>3.256370126361479E-2</v>
      </c>
      <c r="I57" s="424">
        <f>'C2-Shares'!V29</f>
        <v>2.9142115210443655E-2</v>
      </c>
      <c r="J57" s="424">
        <f>'C2-Shares'!AD29</f>
        <v>2.2214766115906143E-2</v>
      </c>
      <c r="L57" s="147"/>
      <c r="M57" s="147"/>
      <c r="N57" s="147"/>
    </row>
    <row r="58" spans="1:14" x14ac:dyDescent="0.3">
      <c r="A58" s="170">
        <f t="shared" si="0"/>
        <v>1984</v>
      </c>
      <c r="B58" s="424">
        <f>'C14-PS shares'!$J32</f>
        <v>0.35333576515705317</v>
      </c>
      <c r="C58" s="424">
        <f>'C2-Shares'!J30</f>
        <v>0.32457844655547768</v>
      </c>
      <c r="D58" s="424">
        <f>'C2-Shares'!R30</f>
        <v>0.29740342751476812</v>
      </c>
      <c r="E58" s="424">
        <f>'C2-Shares'!Z30</f>
        <v>0.2580939581332552</v>
      </c>
      <c r="G58" s="424">
        <f>'C14-PS shares'!$N32</f>
        <v>3.8673054887381736E-2</v>
      </c>
      <c r="H58" s="424">
        <f>'C2-Shares'!N30</f>
        <v>3.4130596402716533E-2</v>
      </c>
      <c r="I58" s="424">
        <f>'C2-Shares'!V30</f>
        <v>3.0821711127873616E-2</v>
      </c>
      <c r="J58" s="424">
        <f>'C2-Shares'!AD30</f>
        <v>2.4175009223710776E-2</v>
      </c>
      <c r="L58" s="147"/>
      <c r="M58" s="147"/>
      <c r="N58" s="147"/>
    </row>
    <row r="59" spans="1:14" x14ac:dyDescent="0.3">
      <c r="A59" s="170">
        <f t="shared" si="0"/>
        <v>1985</v>
      </c>
      <c r="B59" s="424">
        <f>'C14-PS shares'!$J33</f>
        <v>0.35970763059564687</v>
      </c>
      <c r="C59" s="424">
        <f>'C2-Shares'!J31</f>
        <v>0.32334437828617424</v>
      </c>
      <c r="D59" s="424">
        <f>'C2-Shares'!R31</f>
        <v>0.29740643820470791</v>
      </c>
      <c r="E59" s="424">
        <f>'C2-Shares'!Z31</f>
        <v>0.25654205202455915</v>
      </c>
      <c r="G59" s="424">
        <f>'C14-PS shares'!$N33</f>
        <v>4.0709515097490545E-2</v>
      </c>
      <c r="H59" s="424">
        <f>'C2-Shares'!N31</f>
        <v>3.5572869025839907E-2</v>
      </c>
      <c r="I59" s="424">
        <f>'C2-Shares'!V31</f>
        <v>3.2198875313782703E-2</v>
      </c>
      <c r="J59" s="424">
        <f>'C2-Shares'!AD31</f>
        <v>2.4775406045931706E-2</v>
      </c>
      <c r="L59" s="147"/>
      <c r="M59" s="147"/>
      <c r="N59" s="147"/>
    </row>
    <row r="60" spans="1:14" x14ac:dyDescent="0.3">
      <c r="A60" s="170">
        <f t="shared" si="0"/>
        <v>1986</v>
      </c>
      <c r="B60" s="424">
        <f>'C14-PS shares'!$J34</f>
        <v>0.37863731617617075</v>
      </c>
      <c r="C60" s="424">
        <f>'C2-Shares'!J32</f>
        <v>0.32228463636367444</v>
      </c>
      <c r="D60" s="424">
        <f>'C2-Shares'!R32</f>
        <v>0.29566998406369083</v>
      </c>
      <c r="E60" s="424">
        <f>'C2-Shares'!Z32</f>
        <v>0.25219261587195774</v>
      </c>
      <c r="G60" s="424">
        <f>'C14-PS shares'!$N34</f>
        <v>4.8919275208926756E-2</v>
      </c>
      <c r="H60" s="424">
        <f>'C2-Shares'!N32</f>
        <v>3.2923647379730726E-2</v>
      </c>
      <c r="I60" s="424">
        <f>'C2-Shares'!V32</f>
        <v>2.973797524538753E-2</v>
      </c>
      <c r="J60" s="424">
        <f>'C2-Shares'!AD32</f>
        <v>2.2202390488319207E-2</v>
      </c>
      <c r="L60" s="147"/>
      <c r="M60" s="147"/>
      <c r="N60" s="147"/>
    </row>
    <row r="61" spans="1:14" x14ac:dyDescent="0.3">
      <c r="A61" s="170">
        <f t="shared" si="0"/>
        <v>1987</v>
      </c>
      <c r="B61" s="424">
        <f>'C14-PS shares'!$J35</f>
        <v>0.37304580019867584</v>
      </c>
      <c r="C61" s="424">
        <f>'C2-Shares'!J33</f>
        <v>0.32456996568930119</v>
      </c>
      <c r="D61" s="424">
        <f>'C2-Shares'!R33</f>
        <v>0.29829918032557595</v>
      </c>
      <c r="E61" s="424">
        <f>'C2-Shares'!Z33</f>
        <v>0.25325921090731734</v>
      </c>
      <c r="G61" s="424">
        <f>'C14-PS shares'!$N35</f>
        <v>4.2452021853704197E-2</v>
      </c>
      <c r="H61" s="424">
        <f>'C2-Shares'!N33</f>
        <v>3.4953024282406576E-2</v>
      </c>
      <c r="I61" s="424">
        <f>'C2-Shares'!V33</f>
        <v>3.167859377743211E-2</v>
      </c>
      <c r="J61" s="424">
        <f>'C2-Shares'!AD33</f>
        <v>2.4061457667487702E-2</v>
      </c>
      <c r="L61" s="147"/>
      <c r="M61" s="147"/>
      <c r="N61" s="147"/>
    </row>
    <row r="62" spans="1:14" x14ac:dyDescent="0.3">
      <c r="A62" s="170">
        <f t="shared" si="0"/>
        <v>1988</v>
      </c>
      <c r="B62" s="424">
        <f>'C14-PS shares'!$J36</f>
        <v>0.39779173031059578</v>
      </c>
      <c r="C62" s="424">
        <f>'C2-Shares'!J34</f>
        <v>0.34251412069762516</v>
      </c>
      <c r="D62" s="424">
        <f>'C2-Shares'!R34</f>
        <v>0.31529179940784213</v>
      </c>
      <c r="E62" s="424">
        <f>'C2-Shares'!Z34</f>
        <v>0.27284710423575148</v>
      </c>
      <c r="G62" s="424">
        <f>'C14-PS shares'!$N36</f>
        <v>6.0999488667388316E-2</v>
      </c>
      <c r="H62" s="424">
        <f>'C2-Shares'!N34</f>
        <v>4.8375036349912769E-2</v>
      </c>
      <c r="I62" s="424">
        <f>'C2-Shares'!V34</f>
        <v>4.3894382223625232E-2</v>
      </c>
      <c r="J62" s="424">
        <f>'C2-Shares'!AD34</f>
        <v>3.5294339871102143E-2</v>
      </c>
      <c r="L62" s="147"/>
      <c r="M62" s="147"/>
      <c r="N62" s="147"/>
    </row>
    <row r="63" spans="1:14" x14ac:dyDescent="0.3">
      <c r="A63" s="170">
        <f t="shared" si="0"/>
        <v>1989</v>
      </c>
      <c r="B63" s="424">
        <f>'C14-PS shares'!$J37</f>
        <v>0.3934302478443843</v>
      </c>
      <c r="C63" s="424">
        <f>'C2-Shares'!J35</f>
        <v>0.33959059685859005</v>
      </c>
      <c r="D63" s="424">
        <f>'C2-Shares'!R35</f>
        <v>0.31206930616646333</v>
      </c>
      <c r="E63" s="424">
        <f>'C2-Shares'!Z35</f>
        <v>0.26809757288261615</v>
      </c>
      <c r="G63" s="424">
        <f>'C14-PS shares'!$N37</f>
        <v>5.4703204788940356E-2</v>
      </c>
      <c r="H63" s="424">
        <f>'C2-Shares'!N35</f>
        <v>4.4401631085287427E-2</v>
      </c>
      <c r="I63" s="424">
        <f>'C2-Shares'!V35</f>
        <v>4.0278473411573569E-2</v>
      </c>
      <c r="J63" s="424">
        <f>'C2-Shares'!AD35</f>
        <v>3.1993936412909929E-2</v>
      </c>
      <c r="L63" s="147"/>
      <c r="M63" s="147"/>
      <c r="N63" s="147"/>
    </row>
    <row r="64" spans="1:14" x14ac:dyDescent="0.3">
      <c r="A64" s="170">
        <f t="shared" si="0"/>
        <v>1990</v>
      </c>
      <c r="B64" s="424">
        <f>'C14-PS shares'!$J38</f>
        <v>0.3937974074215928</v>
      </c>
      <c r="C64" s="424">
        <f>'C2-Shares'!J36</f>
        <v>0.3444563079305108</v>
      </c>
      <c r="D64" s="424">
        <f>'C2-Shares'!R36</f>
        <v>0.31489085442194931</v>
      </c>
      <c r="E64" s="424">
        <f>'C2-Shares'!Z36</f>
        <v>0.2698794705975251</v>
      </c>
      <c r="G64" s="424">
        <f>'C14-PS shares'!$N38</f>
        <v>5.3985926784496485E-2</v>
      </c>
      <c r="H64" s="424">
        <f>'C2-Shares'!N36</f>
        <v>4.4463136654842132E-2</v>
      </c>
      <c r="I64" s="424">
        <f>'C2-Shares'!V36</f>
        <v>4.0110340110812936E-2</v>
      </c>
      <c r="J64" s="424">
        <f>'C2-Shares'!AD36</f>
        <v>3.1796067774602123E-2</v>
      </c>
      <c r="L64" s="147"/>
      <c r="M64" s="147"/>
      <c r="N64" s="147"/>
    </row>
    <row r="65" spans="1:14" x14ac:dyDescent="0.3">
      <c r="A65" s="170">
        <f t="shared" si="0"/>
        <v>1991</v>
      </c>
      <c r="B65" s="424">
        <f>'C14-PS shares'!$J39</f>
        <v>0.38779603176544697</v>
      </c>
      <c r="C65" s="424">
        <f>'C2-Shares'!J37</f>
        <v>0.34506484492522677</v>
      </c>
      <c r="D65" s="424">
        <f>'C2-Shares'!R37</f>
        <v>0.31249051451924331</v>
      </c>
      <c r="E65" s="424">
        <f>'C2-Shares'!Z37</f>
        <v>0.26471943382483232</v>
      </c>
      <c r="G65" s="424">
        <f>'C14-PS shares'!$N39</f>
        <v>4.6662719309980977E-2</v>
      </c>
      <c r="H65" s="424">
        <f>'C2-Shares'!N37</f>
        <v>4.1813383006239879E-2</v>
      </c>
      <c r="I65" s="424">
        <f>'C2-Shares'!V37</f>
        <v>3.73215804202E-2</v>
      </c>
      <c r="J65" s="424">
        <f>'C2-Shares'!AD37</f>
        <v>2.8345510161212839E-2</v>
      </c>
      <c r="L65" s="147"/>
      <c r="M65" s="147"/>
      <c r="N65" s="147"/>
    </row>
    <row r="66" spans="1:14" x14ac:dyDescent="0.3">
      <c r="A66" s="170">
        <f t="shared" si="0"/>
        <v>1992</v>
      </c>
      <c r="B66" s="424">
        <f>'C14-PS shares'!$J40</f>
        <v>0.40314083088873487</v>
      </c>
      <c r="C66" s="424">
        <f>'C2-Shares'!J38</f>
        <v>0.35484914978920135</v>
      </c>
      <c r="D66" s="424">
        <f>'C2-Shares'!R38</f>
        <v>0.31925322876161699</v>
      </c>
      <c r="E66" s="424">
        <f>'C2-Shares'!Z38</f>
        <v>0.26766900829428297</v>
      </c>
      <c r="G66" s="424">
        <f>'C14-PS shares'!$N40</f>
        <v>5.6669144449461258E-2</v>
      </c>
      <c r="H66" s="424">
        <f>'C2-Shares'!N38</f>
        <v>4.6206088990362666E-2</v>
      </c>
      <c r="I66" s="424">
        <f>'C2-Shares'!V38</f>
        <v>4.0969559818766474E-2</v>
      </c>
      <c r="J66" s="424">
        <f>'C2-Shares'!AD38</f>
        <v>3.0105916666723426E-2</v>
      </c>
      <c r="L66" s="147"/>
      <c r="M66" s="147"/>
      <c r="N66" s="147"/>
    </row>
    <row r="67" spans="1:14" x14ac:dyDescent="0.3">
      <c r="A67" s="170">
        <f t="shared" si="0"/>
        <v>1993</v>
      </c>
      <c r="B67" s="424">
        <f>'C14-PS shares'!$J41</f>
        <v>0.40052688123875319</v>
      </c>
      <c r="C67" s="424">
        <f>'C2-Shares'!J39</f>
        <v>0.35029756127374367</v>
      </c>
      <c r="D67" s="424">
        <f>'C2-Shares'!R39</f>
        <v>0.3143134658831519</v>
      </c>
      <c r="E67" s="424">
        <f>'C2-Shares'!Z39</f>
        <v>0.26218681391462734</v>
      </c>
      <c r="G67" s="424">
        <f>'C14-PS shares'!$N41</f>
        <v>5.2709349326827103E-2</v>
      </c>
      <c r="H67" s="424">
        <f>'C2-Shares'!N39</f>
        <v>4.204719444165099E-2</v>
      </c>
      <c r="I67" s="424">
        <f>'C2-Shares'!V39</f>
        <v>3.7198420910429769E-2</v>
      </c>
      <c r="J67" s="424">
        <f>'C2-Shares'!AD39</f>
        <v>2.5405055818283017E-2</v>
      </c>
      <c r="L67" s="147"/>
      <c r="M67" s="147"/>
      <c r="N67" s="147"/>
    </row>
    <row r="68" spans="1:14" x14ac:dyDescent="0.3">
      <c r="A68" s="170">
        <f t="shared" si="0"/>
        <v>1994</v>
      </c>
      <c r="B68" s="424">
        <f>'C14-PS shares'!$J42</f>
        <v>0.40132684465197571</v>
      </c>
      <c r="C68" s="424">
        <f>'C2-Shares'!J40</f>
        <v>0.34775758422856967</v>
      </c>
      <c r="D68" s="424">
        <f>'C2-Shares'!R40</f>
        <v>0.31280023457281447</v>
      </c>
      <c r="E68" s="424">
        <f>'C2-Shares'!Z40</f>
        <v>0.2620212673758931</v>
      </c>
      <c r="G68" s="424">
        <f>'C14-PS shares'!$N42</f>
        <v>5.1760269187222381E-2</v>
      </c>
      <c r="H68" s="424">
        <f>'C2-Shares'!N40</f>
        <v>4.2082962830750692E-2</v>
      </c>
      <c r="I68" s="424">
        <f>'C2-Shares'!V40</f>
        <v>3.7338570974322118E-2</v>
      </c>
      <c r="J68" s="424">
        <f>'C2-Shares'!AD40</f>
        <v>2.6024174741139865E-2</v>
      </c>
      <c r="L68" s="147"/>
      <c r="M68" s="147"/>
      <c r="N68" s="147"/>
    </row>
    <row r="69" spans="1:14" x14ac:dyDescent="0.3">
      <c r="A69" s="170">
        <f t="shared" si="0"/>
        <v>1995</v>
      </c>
      <c r="B69" s="424">
        <f>'C14-PS shares'!$J43</f>
        <v>0.41497999999999996</v>
      </c>
      <c r="C69" s="424">
        <f>'C2-Shares'!J41</f>
        <v>0.35393997672871408</v>
      </c>
      <c r="D69" s="424">
        <f>'C2-Shares'!R41</f>
        <v>0.31819364231188624</v>
      </c>
      <c r="E69" s="424">
        <f>'C2-Shares'!Z41</f>
        <v>0.26706394893417895</v>
      </c>
      <c r="G69" s="424">
        <f>'C14-PS shares'!$N43</f>
        <v>5.5820000000000002E-2</v>
      </c>
      <c r="H69" s="424">
        <f>'C2-Shares'!N41</f>
        <v>4.5089049183774821E-2</v>
      </c>
      <c r="I69" s="424">
        <f>'C2-Shares'!V41</f>
        <v>3.9971853841719189E-2</v>
      </c>
      <c r="J69" s="424">
        <f>'C2-Shares'!AD41</f>
        <v>2.8196084587845935E-2</v>
      </c>
      <c r="L69" s="147"/>
      <c r="M69" s="147"/>
      <c r="N69" s="147"/>
    </row>
    <row r="70" spans="1:14" x14ac:dyDescent="0.3">
      <c r="A70" s="170">
        <f t="shared" si="0"/>
        <v>1996</v>
      </c>
      <c r="B70" s="424">
        <f>'C14-PS shares'!$J44</f>
        <v>0.42692000000000002</v>
      </c>
      <c r="C70" s="424">
        <f>'C2-Shares'!J42</f>
        <v>0.35909230388094693</v>
      </c>
      <c r="D70" s="424">
        <f>'C2-Shares'!R42</f>
        <v>0.32358636367776872</v>
      </c>
      <c r="E70" s="424">
        <f>'C2-Shares'!Z42</f>
        <v>0.27246854806668164</v>
      </c>
      <c r="G70" s="424">
        <f>'C14-PS shares'!$N44</f>
        <v>6.3469999999999999E-2</v>
      </c>
      <c r="H70" s="424">
        <f>'C2-Shares'!N42</f>
        <v>4.7215680608212372E-2</v>
      </c>
      <c r="I70" s="424">
        <f>'C2-Shares'!V42</f>
        <v>4.1914528776875626E-2</v>
      </c>
      <c r="J70" s="424">
        <f>'C2-Shares'!AD42</f>
        <v>2.9545851037879076E-2</v>
      </c>
      <c r="L70" s="147"/>
      <c r="M70" s="147"/>
      <c r="N70" s="147"/>
    </row>
    <row r="71" spans="1:14" x14ac:dyDescent="0.3">
      <c r="A71" s="170">
        <f t="shared" si="0"/>
        <v>1997</v>
      </c>
      <c r="B71" s="424">
        <f>'C14-PS shares'!$J45</f>
        <v>0.43767</v>
      </c>
      <c r="C71" s="424">
        <f>'C2-Shares'!J43</f>
        <v>0.36454889486084574</v>
      </c>
      <c r="D71" s="424">
        <f>'C2-Shares'!R43</f>
        <v>0.3297671238592545</v>
      </c>
      <c r="E71" s="424">
        <f>'C2-Shares'!Z43</f>
        <v>0.27818525727702448</v>
      </c>
      <c r="G71" s="424">
        <f>'C14-PS shares'!$N45</f>
        <v>7.1459999999999996E-2</v>
      </c>
      <c r="H71" s="424">
        <f>'C2-Shares'!N43</f>
        <v>5.0917528638180394E-2</v>
      </c>
      <c r="I71" s="424">
        <f>'C2-Shares'!V43</f>
        <v>4.5354646210073908E-2</v>
      </c>
      <c r="J71" s="424">
        <f>'C2-Shares'!AD43</f>
        <v>3.237809985147895E-2</v>
      </c>
      <c r="L71" s="147"/>
      <c r="M71" s="147"/>
      <c r="N71" s="147"/>
    </row>
    <row r="72" spans="1:14" x14ac:dyDescent="0.3">
      <c r="A72" s="170">
        <f t="shared" si="0"/>
        <v>1998</v>
      </c>
      <c r="B72" s="424">
        <f>'C14-PS shares'!$J46</f>
        <v>0.44353000000000004</v>
      </c>
      <c r="C72" s="424">
        <f>'C2-Shares'!J44</f>
        <v>0.36427159366026718</v>
      </c>
      <c r="D72" s="424">
        <f>'C2-Shares'!R44</f>
        <v>0.33082729116662191</v>
      </c>
      <c r="E72" s="424">
        <f>'C2-Shares'!Z44</f>
        <v>0.27958494454520194</v>
      </c>
      <c r="G72" s="424">
        <f>'C14-PS shares'!$N46</f>
        <v>7.5830000000000009E-2</v>
      </c>
      <c r="H72" s="424">
        <f>'C2-Shares'!N44</f>
        <v>5.2169140360109799E-2</v>
      </c>
      <c r="I72" s="424">
        <f>'C2-Shares'!V44</f>
        <v>4.6602695448886074E-2</v>
      </c>
      <c r="J72" s="424">
        <f>'C2-Shares'!AD44</f>
        <v>3.3404812895808544E-2</v>
      </c>
      <c r="L72" s="147"/>
      <c r="M72" s="147"/>
      <c r="N72" s="147"/>
    </row>
    <row r="73" spans="1:14" x14ac:dyDescent="0.3">
      <c r="A73" s="170">
        <f t="shared" si="0"/>
        <v>1999</v>
      </c>
      <c r="B73" s="424">
        <f>'C14-PS shares'!$J47</f>
        <v>0.45008999999999999</v>
      </c>
      <c r="C73" s="424">
        <f>'C2-Shares'!J45</f>
        <v>0.36697262954928933</v>
      </c>
      <c r="D73" s="424">
        <f>'C2-Shares'!R45</f>
        <v>0.33356473880910598</v>
      </c>
      <c r="E73" s="424">
        <f>'C2-Shares'!Z45</f>
        <v>0.28110777420162364</v>
      </c>
      <c r="G73" s="424">
        <f>'C14-PS shares'!$N47</f>
        <v>7.9960000000000003E-2</v>
      </c>
      <c r="H73" s="424">
        <f>'C2-Shares'!N45</f>
        <v>5.510593713309362E-2</v>
      </c>
      <c r="I73" s="424">
        <f>'C2-Shares'!V45</f>
        <v>4.9402178853190114E-2</v>
      </c>
      <c r="J73" s="424">
        <f>'C2-Shares'!AD45</f>
        <v>3.5597468018666513E-2</v>
      </c>
      <c r="L73" s="147"/>
      <c r="M73" s="147"/>
      <c r="N73" s="147"/>
    </row>
    <row r="74" spans="1:14" x14ac:dyDescent="0.3">
      <c r="A74" s="170">
        <f t="shared" si="0"/>
        <v>2000</v>
      </c>
      <c r="B74" s="424">
        <f>'C14-PS shares'!$J48</f>
        <v>0.45293999999999995</v>
      </c>
      <c r="C74" s="424">
        <f>'C2-Shares'!J46</f>
        <v>0.37355893415513064</v>
      </c>
      <c r="D74" s="424">
        <f>'C2-Shares'!R46</f>
        <v>0.34035717480419475</v>
      </c>
      <c r="E74" s="424">
        <f>'C2-Shares'!Z46</f>
        <v>0.28771448940491928</v>
      </c>
      <c r="G74" s="424">
        <f>'C14-PS shares'!$N48</f>
        <v>8.7809999999999999E-2</v>
      </c>
      <c r="H74" s="424">
        <f>'C2-Shares'!N46</f>
        <v>5.836558986320619E-2</v>
      </c>
      <c r="I74" s="424">
        <f>'C2-Shares'!V46</f>
        <v>5.2409760277444241E-2</v>
      </c>
      <c r="J74" s="424">
        <f>'C2-Shares'!AD46</f>
        <v>3.7918385143765013E-2</v>
      </c>
      <c r="L74" s="147"/>
      <c r="M74" s="147"/>
      <c r="N74" s="147"/>
    </row>
    <row r="75" spans="1:14" x14ac:dyDescent="0.3">
      <c r="A75" s="170">
        <f t="shared" si="0"/>
        <v>2001</v>
      </c>
      <c r="B75" s="424">
        <f>'C14-PS shares'!$J49</f>
        <v>0.43148000000000003</v>
      </c>
      <c r="C75" s="424">
        <f>'C2-Shares'!J47</f>
        <v>0.36554924747285483</v>
      </c>
      <c r="D75" s="424">
        <f>'C2-Shares'!R47</f>
        <v>0.33124952192916163</v>
      </c>
      <c r="E75" s="424">
        <f>'C2-Shares'!Z47</f>
        <v>0.2773402775792132</v>
      </c>
      <c r="G75" s="424">
        <f>'C14-PS shares'!$N49</f>
        <v>7.0910000000000001E-2</v>
      </c>
      <c r="H75" s="424">
        <f>'C2-Shares'!N47</f>
        <v>5.1364844109383474E-2</v>
      </c>
      <c r="I75" s="424">
        <f>'C2-Shares'!V47</f>
        <v>4.5846125608125669E-2</v>
      </c>
      <c r="J75" s="424">
        <f>'C2-Shares'!AD47</f>
        <v>3.224129457101578E-2</v>
      </c>
      <c r="L75" s="147"/>
      <c r="M75" s="147"/>
      <c r="N75" s="147"/>
    </row>
    <row r="76" spans="1:14" x14ac:dyDescent="0.3">
      <c r="A76" s="170">
        <f t="shared" si="0"/>
        <v>2002</v>
      </c>
      <c r="B76" s="424">
        <f>'C14-PS shares'!$J50</f>
        <v>0.42948999999999998</v>
      </c>
      <c r="C76" s="424">
        <f>'C2-Shares'!J48</f>
        <v>0.36067174549670872</v>
      </c>
      <c r="D76" s="424">
        <f>'C2-Shares'!R48</f>
        <v>0.32507060799945703</v>
      </c>
      <c r="E76" s="424">
        <f>'C2-Shares'!Z48</f>
        <v>0.26931509889210314</v>
      </c>
      <c r="G76" s="424">
        <f>'C14-PS shares'!$N50</f>
        <v>6.5610000000000002E-2</v>
      </c>
      <c r="H76" s="424">
        <f>'C2-Shares'!N48</f>
        <v>4.7364585365923591E-2</v>
      </c>
      <c r="I76" s="424">
        <f>'C2-Shares'!V48</f>
        <v>4.1952198328812189E-2</v>
      </c>
      <c r="J76" s="424">
        <f>'C2-Shares'!AD48</f>
        <v>2.9152480112039719E-2</v>
      </c>
      <c r="L76" s="147"/>
      <c r="M76" s="147"/>
      <c r="N76" s="147"/>
    </row>
    <row r="77" spans="1:14" x14ac:dyDescent="0.3">
      <c r="A77" s="170">
        <f t="shared" si="0"/>
        <v>2003</v>
      </c>
      <c r="B77" s="424">
        <f>'C14-PS shares'!$J51</f>
        <v>0.43518999999999997</v>
      </c>
      <c r="C77" s="424">
        <f>'C2-Shares'!J49</f>
        <v>0.36502796503224905</v>
      </c>
      <c r="D77" s="424">
        <f>'C2-Shares'!R49</f>
        <v>0.3284904960705069</v>
      </c>
      <c r="E77" s="424">
        <f>'C2-Shares'!Z49</f>
        <v>0.27317870333695515</v>
      </c>
      <c r="G77" s="424">
        <f>'C14-PS shares'!$N51</f>
        <v>6.9150000000000003E-2</v>
      </c>
      <c r="H77" s="424">
        <f>'C2-Shares'!N49</f>
        <v>5.0082464971426627E-2</v>
      </c>
      <c r="I77" s="424">
        <f>'C2-Shares'!V49</f>
        <v>4.4357988180083789E-2</v>
      </c>
      <c r="J77" s="424">
        <f>'C2-Shares'!AD49</f>
        <v>3.1314286677159263E-2</v>
      </c>
      <c r="L77" s="147"/>
      <c r="M77" s="147"/>
      <c r="N77" s="147"/>
    </row>
    <row r="78" spans="1:14" x14ac:dyDescent="0.3">
      <c r="A78" s="170">
        <f t="shared" si="0"/>
        <v>2004</v>
      </c>
      <c r="B78" s="424">
        <f>'C14-PS shares'!$J52</f>
        <v>0.44871</v>
      </c>
      <c r="C78" s="424">
        <f>'C2-Shares'!J50</f>
        <v>0.37273995396635468</v>
      </c>
      <c r="D78" s="424">
        <f>'C2-Shares'!R50</f>
        <v>0.33563407849504034</v>
      </c>
      <c r="E78" s="424">
        <f>'C2-Shares'!Z50</f>
        <v>0.27966923164299773</v>
      </c>
      <c r="G78" s="424">
        <f>'C14-PS shares'!$N52</f>
        <v>8.1430000000000002E-2</v>
      </c>
      <c r="H78" s="424">
        <f>'C2-Shares'!N50</f>
        <v>5.6638486860089515E-2</v>
      </c>
      <c r="I78" s="424">
        <f>'C2-Shares'!V50</f>
        <v>5.0185610799291694E-2</v>
      </c>
      <c r="J78" s="424">
        <f>'C2-Shares'!AD50</f>
        <v>3.5612038694097091E-2</v>
      </c>
      <c r="L78" s="147"/>
      <c r="M78" s="147"/>
      <c r="N78" s="147"/>
    </row>
    <row r="79" spans="1:14" x14ac:dyDescent="0.3">
      <c r="A79" s="170">
        <f t="shared" si="0"/>
        <v>2005</v>
      </c>
      <c r="B79" s="424">
        <f>'C14-PS shares'!$J53</f>
        <v>0.46582000000000001</v>
      </c>
      <c r="C79" s="424">
        <f>'C2-Shares'!J51</f>
        <v>0.38129798226128003</v>
      </c>
      <c r="D79" s="424">
        <f>'C2-Shares'!R51</f>
        <v>0.3431560059324546</v>
      </c>
      <c r="E79" s="424">
        <f>'C2-Shares'!Z51</f>
        <v>0.28486938817881424</v>
      </c>
      <c r="G79" s="424">
        <f>'C14-PS shares'!$N53</f>
        <v>9.4320000000000001E-2</v>
      </c>
      <c r="H79" s="424">
        <f>'C2-Shares'!N51</f>
        <v>6.3320031701625701E-2</v>
      </c>
      <c r="I79" s="424">
        <f>'C2-Shares'!V51</f>
        <v>5.6133168869641752E-2</v>
      </c>
      <c r="J79" s="424">
        <f>'C2-Shares'!AD51</f>
        <v>3.9738183673759905E-2</v>
      </c>
      <c r="L79" s="147"/>
      <c r="M79" s="147"/>
      <c r="N79" s="147"/>
    </row>
    <row r="80" spans="1:14" x14ac:dyDescent="0.3">
      <c r="A80" s="170">
        <f t="shared" si="0"/>
        <v>2006</v>
      </c>
      <c r="B80" s="424">
        <f>'C14-PS shares'!$J54</f>
        <v>0.47554999999999997</v>
      </c>
      <c r="C80" s="424">
        <f>'C2-Shares'!J52</f>
        <v>0.38568927081796567</v>
      </c>
      <c r="D80" s="424">
        <f>'C2-Shares'!R52</f>
        <v>0.34768627311106143</v>
      </c>
      <c r="E80" s="424">
        <f>'C2-Shares'!Z52</f>
        <v>0.28930844105980374</v>
      </c>
      <c r="G80" s="424">
        <f>'C14-PS shares'!$N54</f>
        <v>9.9250000000000005E-2</v>
      </c>
      <c r="H80" s="424">
        <f>'C2-Shares'!N52</f>
        <v>6.5065247324399861E-2</v>
      </c>
      <c r="I80" s="424">
        <f>'C2-Shares'!V52</f>
        <v>5.7716788369612332E-2</v>
      </c>
      <c r="J80" s="424">
        <f>'C2-Shares'!AD52</f>
        <v>4.0899000060021652E-2</v>
      </c>
      <c r="L80" s="147"/>
      <c r="M80" s="147"/>
      <c r="N80" s="147"/>
    </row>
    <row r="81" spans="1:14" x14ac:dyDescent="0.3">
      <c r="A81" s="170">
        <f t="shared" si="0"/>
        <v>2007</v>
      </c>
      <c r="B81" s="424">
        <f>'C14-PS shares'!$J55</f>
        <v>0.48027000000000003</v>
      </c>
      <c r="C81" s="424">
        <f>'C2-Shares'!J53</f>
        <v>0.38344385290919636</v>
      </c>
      <c r="D81" s="424">
        <f>'C2-Shares'!R53</f>
        <v>0.34430617385189838</v>
      </c>
      <c r="E81" s="424">
        <f>'C2-Shares'!Z53</f>
        <v>0.28253038069514347</v>
      </c>
      <c r="G81" s="424">
        <f>'C14-PS shares'!$N55</f>
        <v>0.10490000000000001</v>
      </c>
      <c r="H81" s="424">
        <f>'C2-Shares'!N53</f>
        <v>6.4601484308223295E-2</v>
      </c>
      <c r="I81" s="424">
        <f>'C2-Shares'!V53</f>
        <v>5.705522683830213E-2</v>
      </c>
      <c r="J81" s="424">
        <f>'C2-Shares'!AD53</f>
        <v>3.8905381676456595E-2</v>
      </c>
      <c r="L81" s="147"/>
      <c r="M81" s="147"/>
      <c r="N81" s="147"/>
    </row>
    <row r="82" spans="1:14" x14ac:dyDescent="0.3">
      <c r="A82" s="170">
        <f t="shared" si="0"/>
        <v>2008</v>
      </c>
      <c r="B82" s="424">
        <f>'C14-PS shares'!$J56</f>
        <v>0.46973999999999999</v>
      </c>
      <c r="C82" s="424">
        <f>'C2-Shares'!J54</f>
        <v>0.38189062084369929</v>
      </c>
      <c r="D82" s="424">
        <f>'C2-Shares'!R54</f>
        <v>0.33676750238387826</v>
      </c>
      <c r="E82" s="424">
        <f>'C2-Shares'!Z54</f>
        <v>0.26842797782053579</v>
      </c>
      <c r="G82" s="424">
        <f>'C14-PS shares'!$N56</f>
        <v>9.1249999999999998E-2</v>
      </c>
      <c r="H82" s="424">
        <f>'C2-Shares'!N54</f>
        <v>6.0143725175425218E-2</v>
      </c>
      <c r="I82" s="424">
        <f>'C2-Shares'!V54</f>
        <v>5.2072023819197739E-2</v>
      </c>
      <c r="J82" s="424">
        <f>'C2-Shares'!AD54</f>
        <v>3.3461743529264662E-2</v>
      </c>
      <c r="L82" s="147"/>
      <c r="M82" s="147"/>
      <c r="N82" s="147"/>
    </row>
    <row r="83" spans="1:14" x14ac:dyDescent="0.3">
      <c r="A83" s="170">
        <f t="shared" si="0"/>
        <v>2009</v>
      </c>
      <c r="B83" s="424">
        <f>'C14-PS shares'!$J57</f>
        <v>0.45851999999999998</v>
      </c>
      <c r="C83" s="424">
        <f>'C2-Shares'!J55</f>
        <v>0.37736972718995332</v>
      </c>
      <c r="D83" s="424">
        <f>'C2-Shares'!R55</f>
        <v>0.33014959116639553</v>
      </c>
      <c r="E83" s="424">
        <f>'C2-Shares'!Z55</f>
        <v>0.25876091323354833</v>
      </c>
      <c r="G83" s="424">
        <f>'C14-PS shares'!$N57</f>
        <v>7.6730000000000007E-2</v>
      </c>
      <c r="H83" s="424">
        <f>'C2-Shares'!N55</f>
        <v>5.5063100209195859E-2</v>
      </c>
      <c r="I83" s="424">
        <f>'C2-Shares'!V55</f>
        <v>4.7198793964718232E-2</v>
      </c>
      <c r="J83" s="424">
        <f>'C2-Shares'!AD55</f>
        <v>2.9960354426224176E-2</v>
      </c>
      <c r="L83" s="147"/>
      <c r="M83" s="147"/>
      <c r="N83" s="147"/>
    </row>
    <row r="84" spans="1:14" x14ac:dyDescent="0.3">
      <c r="A84" s="170">
        <f t="shared" si="0"/>
        <v>2010</v>
      </c>
      <c r="B84" s="424">
        <f>'C14-PS shares'!$J58</f>
        <v>0.47076999999999997</v>
      </c>
      <c r="C84" s="424">
        <f>'C2-Shares'!J56</f>
        <v>0.39089238152210198</v>
      </c>
      <c r="D84" s="424">
        <f>'C2-Shares'!R56</f>
        <v>0.34039904714381775</v>
      </c>
      <c r="E84" s="424">
        <f>'C2-Shares'!Z56</f>
        <v>0.26779190732398478</v>
      </c>
      <c r="G84" s="424">
        <f>'C14-PS shares'!$N58</f>
        <v>8.6389999999999995E-2</v>
      </c>
      <c r="H84" s="424">
        <f>'C2-Shares'!N56</f>
        <v>6.2887019420814247E-2</v>
      </c>
      <c r="I84" s="424">
        <f>'C2-Shares'!V56</f>
        <v>5.3629048755441923E-2</v>
      </c>
      <c r="J84" s="424">
        <f>'C2-Shares'!AD56</f>
        <v>3.5003270165454688E-2</v>
      </c>
      <c r="L84" s="147"/>
      <c r="M84" s="147"/>
      <c r="N84" s="147"/>
    </row>
    <row r="85" spans="1:14" x14ac:dyDescent="0.3">
      <c r="A85" s="170">
        <f t="shared" si="0"/>
        <v>2011</v>
      </c>
      <c r="B85" s="424">
        <f>'C14-PS shares'!$J59</f>
        <v>0.47409999999999997</v>
      </c>
      <c r="C85" s="424">
        <f>'C2-Shares'!J57</f>
        <v>0.38977190885856111</v>
      </c>
      <c r="D85" s="424">
        <f>'C2-Shares'!R57</f>
        <v>0.34078660818871037</v>
      </c>
      <c r="E85" s="424">
        <f>'C2-Shares'!Z57</f>
        <v>0.26681420084971713</v>
      </c>
      <c r="G85" s="424">
        <f>'C14-PS shares'!$N59</f>
        <v>8.4540000000000004E-2</v>
      </c>
      <c r="H85" s="424">
        <f>'C2-Shares'!N57</f>
        <v>5.7957854003290163E-2</v>
      </c>
      <c r="I85" s="424">
        <f>'C2-Shares'!V57</f>
        <v>4.970294621160886E-2</v>
      </c>
      <c r="J85" s="424">
        <f>'C2-Shares'!AD57</f>
        <v>3.1035106179935882E-2</v>
      </c>
      <c r="L85" s="147"/>
      <c r="M85" s="147"/>
      <c r="N85" s="147"/>
    </row>
    <row r="86" spans="1:14" x14ac:dyDescent="0.3">
      <c r="A86" s="170">
        <f t="shared" si="0"/>
        <v>2012</v>
      </c>
      <c r="B86" s="424">
        <f>'C14-PS shares'!$J60</f>
        <v>0.49182000000000003</v>
      </c>
      <c r="C86" s="424">
        <f>'C2-Shares'!J58</f>
        <v>0.40273873080732059</v>
      </c>
      <c r="D86" s="424">
        <f>'C2-Shares'!R58</f>
        <v>0.35426884958009985</v>
      </c>
      <c r="E86" s="424">
        <f>'C2-Shares'!Z58</f>
        <v>0.28350015518595711</v>
      </c>
      <c r="G86" s="424">
        <f>'C14-PS shares'!$N60</f>
        <v>0.1011</v>
      </c>
      <c r="H86" s="424">
        <f>'C2-Shares'!N58</f>
        <v>6.8872268011629129E-2</v>
      </c>
      <c r="I86" s="424">
        <f>'C2-Shares'!V58</f>
        <v>5.9428316348775628E-2</v>
      </c>
      <c r="J86" s="424">
        <f>'C2-Shares'!AD58</f>
        <v>3.9524362019882069E-2</v>
      </c>
      <c r="L86" s="147"/>
      <c r="M86" s="147"/>
      <c r="N86" s="147"/>
    </row>
    <row r="87" spans="1:14" x14ac:dyDescent="0.3">
      <c r="A87" s="170">
        <f t="shared" si="0"/>
        <v>2013</v>
      </c>
      <c r="B87" s="424">
        <f>'C14-PS shares'!$J61</f>
        <v>0.47609999999999997</v>
      </c>
      <c r="C87" s="424">
        <f>'C2-Shares'!J59</f>
        <v>0.39157707424278443</v>
      </c>
      <c r="D87" s="424">
        <f>'C2-Shares'!R59</f>
        <v>0.34519642810558837</v>
      </c>
      <c r="E87" s="424">
        <f>'C2-Shares'!Z59</f>
        <v>0.27679958116382547</v>
      </c>
      <c r="G87" s="424">
        <f>'C14-PS shares'!$N61</f>
        <v>8.4499999999999992E-2</v>
      </c>
      <c r="H87" s="424">
        <f>'C2-Shares'!N59</f>
        <v>5.9108297589906385E-2</v>
      </c>
      <c r="I87" s="424">
        <f>'C2-Shares'!V59</f>
        <v>5.1038799820476377E-2</v>
      </c>
      <c r="J87" s="424">
        <f>'C2-Shares'!AD59</f>
        <v>3.1260671320889943E-2</v>
      </c>
      <c r="L87" s="147"/>
      <c r="M87" s="147"/>
      <c r="N87" s="147"/>
    </row>
    <row r="88" spans="1:14" x14ac:dyDescent="0.3">
      <c r="A88" s="170">
        <f t="shared" si="0"/>
        <v>2014</v>
      </c>
      <c r="B88" s="424">
        <f>'C14-PS shares'!$J62</f>
        <v>0.48570000000000002</v>
      </c>
      <c r="C88" s="424">
        <f>'C2-Shares'!J60</f>
        <v>0.39546114940567656</v>
      </c>
      <c r="D88" s="424">
        <f>'C2-Shares'!R60</f>
        <v>0.34819286328477511</v>
      </c>
      <c r="E88" s="424">
        <f>'C2-Shares'!Z60</f>
        <v>0.28124490712257594</v>
      </c>
      <c r="F88" s="655"/>
      <c r="G88" s="424">
        <f>'C14-PS shares'!$N62</f>
        <v>9.1700000000000004E-2</v>
      </c>
      <c r="H88" s="424">
        <f>'C2-Shares'!N60</f>
        <v>6.1335411612925633E-2</v>
      </c>
      <c r="I88" s="424">
        <f>'C2-Shares'!V60</f>
        <v>5.2962710780850221E-2</v>
      </c>
      <c r="J88" s="424">
        <f>'C2-Shares'!AD60</f>
        <v>3.328272667171378E-2</v>
      </c>
    </row>
    <row r="89" spans="1:14" x14ac:dyDescent="0.3">
      <c r="A89" s="170">
        <f t="shared" si="0"/>
        <v>2015</v>
      </c>
      <c r="B89" s="424">
        <f>'C14-PS shares'!$J63</f>
        <v>0.4879</v>
      </c>
      <c r="C89" s="424">
        <f>'C2-Shares'!J61</f>
        <v>0.39328481941907656</v>
      </c>
      <c r="D89" s="424">
        <f>'C2-Shares'!R61</f>
        <v>0.34581875020390701</v>
      </c>
      <c r="E89" s="424">
        <f>'C2-Shares'!Z61</f>
        <v>0.27949007478346288</v>
      </c>
      <c r="F89" s="655"/>
      <c r="G89" s="424">
        <f>'C14-PS shares'!$N63</f>
        <v>9.2899999999999996E-2</v>
      </c>
      <c r="H89" s="424">
        <f>'C2-Shares'!N61</f>
        <v>6.050308208043377E-2</v>
      </c>
      <c r="I89" s="424">
        <f>'C2-Shares'!V61</f>
        <v>5.2152947409730255E-2</v>
      </c>
      <c r="J89" s="424">
        <f>'C2-Shares'!AD61</f>
        <v>3.3091910019640194E-2</v>
      </c>
    </row>
    <row r="91" spans="1:14" x14ac:dyDescent="0.3">
      <c r="A91" t="s">
        <v>1115</v>
      </c>
      <c r="B91" s="424">
        <f>B89-B34</f>
        <v>0.16604167446310786</v>
      </c>
      <c r="C91" s="424">
        <f t="shared" ref="C91:E91" si="1">C89-C34</f>
        <v>4.8237949296001836E-2</v>
      </c>
      <c r="D91" s="424">
        <f t="shared" si="1"/>
        <v>1.4943186530406105E-2</v>
      </c>
      <c r="E91" s="424">
        <f t="shared" si="1"/>
        <v>9.4165432293907836E-4</v>
      </c>
      <c r="G91" s="424">
        <f t="shared" ref="G91:J91" si="2">G89-G34</f>
        <v>6.7678587597636508E-2</v>
      </c>
      <c r="H91" s="424">
        <f t="shared" si="2"/>
        <v>2.0433591357656357E-2</v>
      </c>
      <c r="I91" s="424">
        <f t="shared" si="2"/>
        <v>1.3981640947319407E-2</v>
      </c>
      <c r="J91" s="424">
        <f t="shared" si="2"/>
        <v>7.4910866493103669E-3</v>
      </c>
    </row>
  </sheetData>
  <mergeCells count="2">
    <mergeCell ref="G32:J32"/>
    <mergeCell ref="B32:E32"/>
  </mergeCells>
  <hyperlinks>
    <hyperlink ref="I1" location="Index!A1" display="Index"/>
  </hyperlink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7" tint="0.59999389629810485"/>
  </sheetPr>
  <dimension ref="A1:J68"/>
  <sheetViews>
    <sheetView workbookViewId="0">
      <selection activeCell="G40" sqref="G40"/>
    </sheetView>
  </sheetViews>
  <sheetFormatPr defaultRowHeight="14.4" x14ac:dyDescent="0.3"/>
  <cols>
    <col min="1" max="1" width="24.88671875" customWidth="1"/>
    <col min="2" max="2" width="5.109375" customWidth="1"/>
    <col min="3" max="3" width="6.109375" customWidth="1"/>
    <col min="4" max="4" width="30.21875" customWidth="1"/>
    <col min="5" max="5" width="71" customWidth="1"/>
  </cols>
  <sheetData>
    <row r="1" spans="1:10" ht="15.6" x14ac:dyDescent="0.3">
      <c r="A1" s="204" t="s">
        <v>201</v>
      </c>
      <c r="F1" s="463" t="s">
        <v>504</v>
      </c>
    </row>
    <row r="2" spans="1:10" ht="9" customHeight="1" thickBot="1" x14ac:dyDescent="0.35">
      <c r="A2" s="64"/>
      <c r="B2" s="65"/>
      <c r="C2" s="65"/>
      <c r="D2" s="10"/>
    </row>
    <row r="3" spans="1:10" ht="21.75" customHeight="1" thickTop="1" x14ac:dyDescent="0.3">
      <c r="A3" s="365" t="s">
        <v>49</v>
      </c>
      <c r="B3" s="366" t="s">
        <v>59</v>
      </c>
      <c r="C3" s="366" t="s">
        <v>58</v>
      </c>
      <c r="D3" s="66" t="s">
        <v>72</v>
      </c>
      <c r="E3" s="66" t="s">
        <v>65</v>
      </c>
    </row>
    <row r="4" spans="1:10" ht="12" customHeight="1" x14ac:dyDescent="0.3">
      <c r="A4" s="1380" t="s">
        <v>1578</v>
      </c>
      <c r="B4" s="1380"/>
      <c r="C4" s="1380"/>
      <c r="D4" s="1380"/>
      <c r="E4" s="1380"/>
      <c r="G4" s="359"/>
    </row>
    <row r="5" spans="1:10" s="1011" customFormat="1" ht="12" customHeight="1" x14ac:dyDescent="0.3">
      <c r="A5" s="208" t="s">
        <v>53</v>
      </c>
      <c r="B5" s="1375" t="s">
        <v>61</v>
      </c>
      <c r="C5" s="1375"/>
      <c r="D5" s="209" t="s">
        <v>63</v>
      </c>
      <c r="E5" s="1073" t="s">
        <v>395</v>
      </c>
      <c r="G5" s="359"/>
    </row>
    <row r="6" spans="1:10" s="1011" customFormat="1" ht="12" customHeight="1" x14ac:dyDescent="0.3">
      <c r="A6" s="208" t="s">
        <v>43</v>
      </c>
      <c r="B6" s="209">
        <v>1987</v>
      </c>
      <c r="C6" s="209" t="s">
        <v>1059</v>
      </c>
      <c r="D6" s="209" t="s">
        <v>62</v>
      </c>
      <c r="E6" s="1073" t="s">
        <v>933</v>
      </c>
      <c r="G6" s="359"/>
    </row>
    <row r="7" spans="1:10" s="1011" customFormat="1" ht="12" customHeight="1" x14ac:dyDescent="0.3">
      <c r="A7" s="208" t="s">
        <v>1241</v>
      </c>
      <c r="B7" s="1375" t="s">
        <v>61</v>
      </c>
      <c r="C7" s="1375"/>
      <c r="D7" s="209" t="s">
        <v>62</v>
      </c>
      <c r="E7" s="1074" t="s">
        <v>1575</v>
      </c>
      <c r="G7" s="359"/>
    </row>
    <row r="8" spans="1:10" ht="10.5" customHeight="1" x14ac:dyDescent="0.3">
      <c r="A8" s="208" t="s">
        <v>1646</v>
      </c>
      <c r="B8" s="209">
        <v>1960</v>
      </c>
      <c r="C8" s="209">
        <v>1986</v>
      </c>
      <c r="D8" s="209" t="s">
        <v>62</v>
      </c>
      <c r="E8" s="1073" t="s">
        <v>391</v>
      </c>
      <c r="G8" s="360"/>
      <c r="J8" s="356"/>
    </row>
    <row r="9" spans="1:10" ht="10.5" customHeight="1" x14ac:dyDescent="0.3">
      <c r="A9" s="208" t="s">
        <v>54</v>
      </c>
      <c r="B9" s="1375" t="s">
        <v>61</v>
      </c>
      <c r="C9" s="1375"/>
      <c r="D9" s="209" t="s">
        <v>393</v>
      </c>
      <c r="E9" s="1073" t="s">
        <v>394</v>
      </c>
      <c r="G9" s="360"/>
      <c r="J9" s="356"/>
    </row>
    <row r="10" spans="1:10" s="50" customFormat="1" ht="10.5" customHeight="1" x14ac:dyDescent="0.3">
      <c r="A10" s="208" t="s">
        <v>66</v>
      </c>
      <c r="B10" s="209">
        <v>1960</v>
      </c>
      <c r="C10" s="209">
        <v>1986</v>
      </c>
      <c r="D10" s="209" t="s">
        <v>62</v>
      </c>
      <c r="E10" s="1073" t="s">
        <v>392</v>
      </c>
      <c r="G10" s="359"/>
      <c r="J10" s="356"/>
    </row>
    <row r="11" spans="1:10" s="97" customFormat="1" ht="24" customHeight="1" x14ac:dyDescent="0.3">
      <c r="A11" s="335" t="s">
        <v>71</v>
      </c>
      <c r="B11" s="676">
        <v>1995</v>
      </c>
      <c r="C11" s="676" t="s">
        <v>1059</v>
      </c>
      <c r="D11" s="676" t="s">
        <v>36</v>
      </c>
      <c r="E11" s="1075" t="s">
        <v>397</v>
      </c>
      <c r="G11" s="359"/>
      <c r="J11" s="363"/>
    </row>
    <row r="12" spans="1:10" ht="23.25" customHeight="1" x14ac:dyDescent="0.3">
      <c r="A12" s="208" t="s">
        <v>677</v>
      </c>
      <c r="B12" s="209">
        <v>1972</v>
      </c>
      <c r="C12" s="209" t="s">
        <v>1059</v>
      </c>
      <c r="D12" s="209" t="s">
        <v>62</v>
      </c>
      <c r="E12" s="1075" t="s">
        <v>202</v>
      </c>
      <c r="G12" s="568"/>
      <c r="J12" s="208"/>
    </row>
    <row r="13" spans="1:10" s="539" customFormat="1" ht="12" customHeight="1" x14ac:dyDescent="0.3">
      <c r="A13" s="1064" t="s">
        <v>685</v>
      </c>
      <c r="B13" s="564">
        <v>1971</v>
      </c>
      <c r="C13" s="564" t="s">
        <v>1059</v>
      </c>
      <c r="D13" s="564" t="s">
        <v>62</v>
      </c>
      <c r="E13" s="1076" t="s">
        <v>1094</v>
      </c>
      <c r="G13" s="568"/>
      <c r="J13" s="208"/>
    </row>
    <row r="14" spans="1:10" s="655" customFormat="1" ht="12" customHeight="1" x14ac:dyDescent="0.3">
      <c r="A14" s="1064" t="s">
        <v>1057</v>
      </c>
      <c r="B14" s="675">
        <v>1975</v>
      </c>
      <c r="C14" s="675" t="s">
        <v>1059</v>
      </c>
      <c r="D14" s="675" t="s">
        <v>62</v>
      </c>
      <c r="E14" s="1077" t="s">
        <v>1655</v>
      </c>
      <c r="G14" s="359"/>
      <c r="J14" s="208"/>
    </row>
    <row r="15" spans="1:10" ht="10.5" customHeight="1" x14ac:dyDescent="0.3">
      <c r="A15" s="208" t="s">
        <v>60</v>
      </c>
      <c r="B15" s="209">
        <v>1971</v>
      </c>
      <c r="C15" s="209" t="s">
        <v>1059</v>
      </c>
      <c r="D15" s="209" t="s">
        <v>62</v>
      </c>
      <c r="E15" s="1073" t="s">
        <v>243</v>
      </c>
      <c r="G15" s="359"/>
      <c r="J15" s="356"/>
    </row>
    <row r="16" spans="1:10" s="50" customFormat="1" ht="10.5" customHeight="1" x14ac:dyDescent="0.3">
      <c r="A16" s="208" t="s">
        <v>64</v>
      </c>
      <c r="B16" s="1375" t="s">
        <v>61</v>
      </c>
      <c r="C16" s="1375"/>
      <c r="D16" s="209" t="s">
        <v>62</v>
      </c>
      <c r="E16" s="1073" t="s">
        <v>67</v>
      </c>
      <c r="G16" s="361"/>
      <c r="J16" s="356"/>
    </row>
    <row r="17" spans="1:10" s="1011" customFormat="1" ht="10.5" customHeight="1" x14ac:dyDescent="0.3">
      <c r="A17" s="208" t="s">
        <v>1599</v>
      </c>
      <c r="B17" s="1375" t="s">
        <v>61</v>
      </c>
      <c r="C17" s="1375"/>
      <c r="D17" s="1010" t="s">
        <v>62</v>
      </c>
      <c r="E17" s="1073" t="s">
        <v>1600</v>
      </c>
      <c r="G17" s="361"/>
      <c r="J17" s="1010"/>
    </row>
    <row r="18" spans="1:10" s="539" customFormat="1" ht="10.5" customHeight="1" x14ac:dyDescent="0.3">
      <c r="A18" s="521" t="s">
        <v>610</v>
      </c>
      <c r="B18" s="1375" t="s">
        <v>61</v>
      </c>
      <c r="C18" s="1375"/>
      <c r="D18" s="534" t="s">
        <v>62</v>
      </c>
      <c r="E18" s="1078" t="s">
        <v>615</v>
      </c>
      <c r="J18" s="534"/>
    </row>
    <row r="19" spans="1:10" ht="7.5" customHeight="1" x14ac:dyDescent="0.3">
      <c r="A19" s="25"/>
      <c r="E19" s="395"/>
    </row>
    <row r="20" spans="1:10" ht="12" customHeight="1" x14ac:dyDescent="0.3">
      <c r="A20" s="1381" t="s">
        <v>1509</v>
      </c>
      <c r="B20" s="1381"/>
      <c r="C20" s="1381"/>
      <c r="D20" s="1381"/>
      <c r="E20" s="395"/>
    </row>
    <row r="21" spans="1:10" s="655" customFormat="1" ht="12" customHeight="1" x14ac:dyDescent="0.3">
      <c r="A21" s="335" t="s">
        <v>1243</v>
      </c>
      <c r="B21" s="1376" t="s">
        <v>61</v>
      </c>
      <c r="C21" s="1376"/>
      <c r="D21" s="786" t="s">
        <v>1240</v>
      </c>
      <c r="E21" s="1247" t="s">
        <v>1239</v>
      </c>
    </row>
    <row r="22" spans="1:10" ht="22.5" customHeight="1" x14ac:dyDescent="0.3">
      <c r="A22" s="335" t="s">
        <v>74</v>
      </c>
      <c r="B22" s="1376" t="s">
        <v>61</v>
      </c>
      <c r="C22" s="1376"/>
      <c r="D22" s="335" t="s">
        <v>1513</v>
      </c>
      <c r="E22" s="1248" t="s">
        <v>1901</v>
      </c>
      <c r="J22" s="357"/>
    </row>
    <row r="23" spans="1:10" ht="22.5" customHeight="1" x14ac:dyDescent="0.3">
      <c r="A23" s="521" t="s">
        <v>613</v>
      </c>
      <c r="B23" s="1376" t="s">
        <v>61</v>
      </c>
      <c r="C23" s="1376"/>
      <c r="D23" s="335" t="s">
        <v>1513</v>
      </c>
      <c r="E23" s="1248" t="s">
        <v>1902</v>
      </c>
      <c r="J23" s="335"/>
    </row>
    <row r="24" spans="1:10" s="539" customFormat="1" ht="12" customHeight="1" x14ac:dyDescent="0.3">
      <c r="A24" s="521" t="s">
        <v>606</v>
      </c>
      <c r="B24" s="1376" t="s">
        <v>61</v>
      </c>
      <c r="C24" s="1376"/>
      <c r="D24" s="335" t="s">
        <v>672</v>
      </c>
      <c r="E24" s="1248" t="s">
        <v>1577</v>
      </c>
      <c r="J24" s="335"/>
    </row>
    <row r="25" spans="1:10" s="655" customFormat="1" ht="12" customHeight="1" x14ac:dyDescent="0.3">
      <c r="A25" s="521" t="s">
        <v>1089</v>
      </c>
      <c r="B25" s="1376" t="s">
        <v>61</v>
      </c>
      <c r="C25" s="1376"/>
      <c r="D25" s="335" t="s">
        <v>1092</v>
      </c>
      <c r="E25" s="1248" t="s">
        <v>1093</v>
      </c>
      <c r="J25" s="335"/>
    </row>
    <row r="26" spans="1:10" s="655" customFormat="1" ht="12" customHeight="1" x14ac:dyDescent="0.3">
      <c r="A26" s="521" t="s">
        <v>1090</v>
      </c>
      <c r="B26" s="1376" t="s">
        <v>61</v>
      </c>
      <c r="C26" s="1376"/>
      <c r="D26" s="335" t="s">
        <v>1091</v>
      </c>
      <c r="E26" s="1248" t="s">
        <v>1903</v>
      </c>
      <c r="J26" s="335"/>
    </row>
    <row r="27" spans="1:10" s="539" customFormat="1" ht="13.5" customHeight="1" x14ac:dyDescent="0.3">
      <c r="A27" s="521" t="s">
        <v>645</v>
      </c>
      <c r="B27" s="1376" t="s">
        <v>61</v>
      </c>
      <c r="C27" s="1376"/>
      <c r="D27" s="335" t="s">
        <v>656</v>
      </c>
      <c r="E27" s="1248" t="s">
        <v>1576</v>
      </c>
      <c r="J27" s="335"/>
    </row>
    <row r="28" spans="1:10" ht="10.5" customHeight="1" x14ac:dyDescent="0.3">
      <c r="A28" s="335" t="s">
        <v>44</v>
      </c>
      <c r="B28" s="1375" t="s">
        <v>61</v>
      </c>
      <c r="C28" s="1375"/>
      <c r="D28" s="209" t="s">
        <v>62</v>
      </c>
      <c r="E28" s="1247" t="s">
        <v>398</v>
      </c>
      <c r="J28" s="357"/>
    </row>
    <row r="29" spans="1:10" s="97" customFormat="1" ht="10.5" customHeight="1" x14ac:dyDescent="0.3">
      <c r="A29" s="335" t="s">
        <v>1086</v>
      </c>
      <c r="B29" s="1375" t="s">
        <v>61</v>
      </c>
      <c r="C29" s="1375"/>
      <c r="D29" s="209" t="s">
        <v>1088</v>
      </c>
      <c r="E29" s="1247" t="s">
        <v>1087</v>
      </c>
      <c r="J29" s="357"/>
    </row>
    <row r="30" spans="1:10" s="879" customFormat="1" ht="21" customHeight="1" x14ac:dyDescent="0.3">
      <c r="A30" s="335" t="s">
        <v>1511</v>
      </c>
      <c r="B30" s="1376" t="s">
        <v>61</v>
      </c>
      <c r="C30" s="1376"/>
      <c r="D30" s="335" t="s">
        <v>1513</v>
      </c>
      <c r="E30" s="1248" t="s">
        <v>1514</v>
      </c>
      <c r="F30" s="626"/>
      <c r="J30" s="981"/>
    </row>
    <row r="31" spans="1:10" s="879" customFormat="1" ht="23.25" customHeight="1" x14ac:dyDescent="0.3">
      <c r="A31" s="335" t="s">
        <v>1512</v>
      </c>
      <c r="B31" s="1376" t="s">
        <v>61</v>
      </c>
      <c r="C31" s="1376"/>
      <c r="D31" s="335" t="s">
        <v>1521</v>
      </c>
      <c r="E31" s="1248" t="s">
        <v>1904</v>
      </c>
      <c r="F31" s="626"/>
      <c r="J31" s="981"/>
    </row>
    <row r="32" spans="1:10" ht="7.5" customHeight="1" x14ac:dyDescent="0.3">
      <c r="A32" s="25"/>
      <c r="E32" s="395"/>
    </row>
    <row r="33" spans="1:10" ht="12" customHeight="1" x14ac:dyDescent="0.3">
      <c r="A33" s="1378" t="s">
        <v>1510</v>
      </c>
      <c r="B33" s="1378"/>
      <c r="C33" s="1378"/>
      <c r="D33" s="1378"/>
      <c r="E33" s="395"/>
    </row>
    <row r="34" spans="1:10" ht="10.5" customHeight="1" x14ac:dyDescent="0.3">
      <c r="A34" s="208" t="s">
        <v>55</v>
      </c>
      <c r="B34" s="1375" t="s">
        <v>61</v>
      </c>
      <c r="C34" s="1375"/>
      <c r="D34" s="209" t="s">
        <v>73</v>
      </c>
      <c r="E34" s="1247" t="s">
        <v>1905</v>
      </c>
      <c r="J34" s="357"/>
    </row>
    <row r="35" spans="1:10" ht="10.5" customHeight="1" x14ac:dyDescent="0.3">
      <c r="A35" s="208" t="s">
        <v>56</v>
      </c>
      <c r="B35" s="1375" t="s">
        <v>61</v>
      </c>
      <c r="C35" s="1375"/>
      <c r="D35" s="209" t="s">
        <v>73</v>
      </c>
      <c r="E35" s="1247" t="s">
        <v>396</v>
      </c>
      <c r="J35" s="357"/>
    </row>
    <row r="36" spans="1:10" s="78" customFormat="1" ht="10.5" customHeight="1" x14ac:dyDescent="0.3">
      <c r="A36" s="208" t="s">
        <v>57</v>
      </c>
      <c r="B36" s="1375" t="s">
        <v>61</v>
      </c>
      <c r="C36" s="1375"/>
      <c r="D36" s="209" t="s">
        <v>75</v>
      </c>
      <c r="E36" s="1247" t="s">
        <v>1095</v>
      </c>
      <c r="J36" s="356"/>
    </row>
    <row r="37" spans="1:10" s="78" customFormat="1" ht="10.5" customHeight="1" x14ac:dyDescent="0.3">
      <c r="A37" s="208" t="s">
        <v>1909</v>
      </c>
      <c r="B37" s="209">
        <v>1965</v>
      </c>
      <c r="C37" s="209" t="s">
        <v>1059</v>
      </c>
      <c r="D37" s="209" t="s">
        <v>75</v>
      </c>
      <c r="E37" s="300" t="s">
        <v>1906</v>
      </c>
      <c r="J37" s="364"/>
    </row>
    <row r="38" spans="1:10" ht="10.5" customHeight="1" x14ac:dyDescent="0.3">
      <c r="A38" s="520" t="s">
        <v>111</v>
      </c>
      <c r="B38" s="1379" t="s">
        <v>61</v>
      </c>
      <c r="C38" s="1379"/>
      <c r="D38" s="364" t="s">
        <v>75</v>
      </c>
      <c r="E38" s="1247" t="s">
        <v>1907</v>
      </c>
      <c r="J38" s="364"/>
    </row>
    <row r="39" spans="1:10" s="502" customFormat="1" ht="7.5" customHeight="1" x14ac:dyDescent="0.3">
      <c r="A39" s="520"/>
      <c r="B39" s="364"/>
      <c r="C39" s="364"/>
      <c r="D39" s="364"/>
      <c r="E39" s="1079"/>
      <c r="J39" s="364"/>
    </row>
    <row r="40" spans="1:10" s="502" customFormat="1" ht="12" customHeight="1" x14ac:dyDescent="0.3">
      <c r="A40" s="1378" t="s">
        <v>1508</v>
      </c>
      <c r="B40" s="1378"/>
      <c r="C40" s="1378"/>
      <c r="D40" s="1378"/>
      <c r="E40" s="395"/>
      <c r="J40" s="364"/>
    </row>
    <row r="41" spans="1:10" s="502" customFormat="1" ht="10.5" customHeight="1" x14ac:dyDescent="0.3">
      <c r="A41" s="521" t="s">
        <v>1548</v>
      </c>
      <c r="B41" s="1375" t="s">
        <v>61</v>
      </c>
      <c r="C41" s="1375"/>
      <c r="D41" s="498" t="s">
        <v>1506</v>
      </c>
      <c r="E41" s="1248" t="s">
        <v>1507</v>
      </c>
      <c r="J41" s="364"/>
    </row>
    <row r="42" spans="1:10" s="502" customFormat="1" ht="10.5" customHeight="1" x14ac:dyDescent="0.3">
      <c r="A42" s="521" t="s">
        <v>605</v>
      </c>
      <c r="B42" s="1375" t="s">
        <v>61</v>
      </c>
      <c r="C42" s="1375"/>
      <c r="D42" s="498" t="s">
        <v>618</v>
      </c>
      <c r="E42" s="1248" t="s">
        <v>1908</v>
      </c>
      <c r="J42" s="364"/>
    </row>
    <row r="43" spans="1:10" s="502" customFormat="1" ht="10.5" customHeight="1" x14ac:dyDescent="0.3">
      <c r="A43" s="521" t="s">
        <v>604</v>
      </c>
      <c r="B43" s="1375" t="s">
        <v>61</v>
      </c>
      <c r="C43" s="1375"/>
      <c r="D43" s="498" t="s">
        <v>619</v>
      </c>
      <c r="E43" s="1248" t="s">
        <v>684</v>
      </c>
      <c r="J43" s="364"/>
    </row>
    <row r="44" spans="1:10" s="502" customFormat="1" ht="10.5" customHeight="1" x14ac:dyDescent="0.3">
      <c r="A44" s="521" t="s">
        <v>607</v>
      </c>
      <c r="B44" s="1375" t="s">
        <v>61</v>
      </c>
      <c r="C44" s="1375"/>
      <c r="D44" s="498" t="s">
        <v>620</v>
      </c>
      <c r="E44" s="1248" t="s">
        <v>614</v>
      </c>
      <c r="J44" s="364"/>
    </row>
    <row r="45" spans="1:10" s="502" customFormat="1" ht="10.5" customHeight="1" x14ac:dyDescent="0.3">
      <c r="A45" s="521" t="s">
        <v>608</v>
      </c>
      <c r="B45" s="1379" t="s">
        <v>61</v>
      </c>
      <c r="C45" s="1379"/>
      <c r="D45" s="980" t="s">
        <v>621</v>
      </c>
      <c r="E45" s="1248" t="s">
        <v>1286</v>
      </c>
      <c r="J45" s="364"/>
    </row>
    <row r="46" spans="1:10" s="502" customFormat="1" ht="10.5" customHeight="1" x14ac:dyDescent="0.3">
      <c r="A46" s="521" t="s">
        <v>609</v>
      </c>
      <c r="B46" s="1379" t="s">
        <v>61</v>
      </c>
      <c r="C46" s="1379"/>
      <c r="D46" s="1000" t="s">
        <v>622</v>
      </c>
      <c r="E46" s="1248" t="s">
        <v>926</v>
      </c>
      <c r="J46" s="364"/>
    </row>
    <row r="47" spans="1:10" s="879" customFormat="1" ht="7.5" customHeight="1" x14ac:dyDescent="0.3">
      <c r="A47" s="521"/>
      <c r="B47" s="980"/>
      <c r="C47" s="980"/>
      <c r="D47" s="980"/>
      <c r="E47" s="1077"/>
      <c r="J47" s="980"/>
    </row>
    <row r="48" spans="1:10" s="879" customFormat="1" ht="12" customHeight="1" x14ac:dyDescent="0.3">
      <c r="A48" s="1378" t="s">
        <v>1517</v>
      </c>
      <c r="B48" s="1378"/>
      <c r="C48" s="1378"/>
      <c r="D48" s="1378"/>
      <c r="E48" s="395"/>
      <c r="J48" s="980"/>
    </row>
    <row r="49" spans="1:10" s="879" customFormat="1" ht="10.5" customHeight="1" x14ac:dyDescent="0.3">
      <c r="A49" s="521" t="s">
        <v>1518</v>
      </c>
      <c r="B49" s="1375" t="s">
        <v>61</v>
      </c>
      <c r="C49" s="1375"/>
      <c r="D49" s="363" t="s">
        <v>1522</v>
      </c>
      <c r="E49" s="1077" t="s">
        <v>1520</v>
      </c>
      <c r="J49" s="980"/>
    </row>
    <row r="50" spans="1:10" s="879" customFormat="1" ht="10.5" customHeight="1" x14ac:dyDescent="0.3">
      <c r="A50" s="986" t="s">
        <v>1519</v>
      </c>
      <c r="B50" s="1377" t="s">
        <v>61</v>
      </c>
      <c r="C50" s="1377"/>
      <c r="D50" s="999" t="s">
        <v>1574</v>
      </c>
      <c r="E50" s="1080" t="s">
        <v>1581</v>
      </c>
      <c r="J50" s="980"/>
    </row>
    <row r="51" spans="1:10" s="502" customFormat="1" ht="10.5" customHeight="1" x14ac:dyDescent="0.3">
      <c r="A51" s="520"/>
      <c r="B51" s="364"/>
      <c r="C51" s="364"/>
      <c r="D51" s="364"/>
      <c r="E51" s="364"/>
      <c r="J51" s="364"/>
    </row>
    <row r="52" spans="1:10" x14ac:dyDescent="0.3">
      <c r="A52" s="362" t="s">
        <v>1910</v>
      </c>
      <c r="B52" s="99"/>
      <c r="C52" s="99"/>
      <c r="D52" s="68"/>
      <c r="E52" s="67"/>
    </row>
    <row r="55" spans="1:10" x14ac:dyDescent="0.3">
      <c r="F55" s="75"/>
      <c r="G55" s="70"/>
      <c r="H55" s="70"/>
      <c r="I55" s="70"/>
    </row>
    <row r="56" spans="1:10" x14ac:dyDescent="0.3">
      <c r="F56" s="70"/>
      <c r="G56" s="70"/>
      <c r="H56" s="70"/>
      <c r="I56" s="70"/>
    </row>
    <row r="57" spans="1:10" x14ac:dyDescent="0.3">
      <c r="F57" s="71"/>
      <c r="G57" s="71"/>
      <c r="H57" s="71"/>
      <c r="I57" s="73"/>
    </row>
    <row r="58" spans="1:10" x14ac:dyDescent="0.3">
      <c r="F58" s="71"/>
      <c r="G58" s="71"/>
      <c r="H58" s="71"/>
      <c r="I58" s="73"/>
    </row>
    <row r="59" spans="1:10" x14ac:dyDescent="0.3">
      <c r="F59" s="71"/>
      <c r="G59" s="71"/>
      <c r="H59" s="71"/>
      <c r="I59" s="73"/>
    </row>
    <row r="60" spans="1:10" x14ac:dyDescent="0.3">
      <c r="F60" s="71"/>
      <c r="G60" s="71"/>
      <c r="H60" s="71"/>
      <c r="I60" s="73"/>
    </row>
    <row r="61" spans="1:10" x14ac:dyDescent="0.3">
      <c r="F61" s="71"/>
      <c r="G61" s="71"/>
      <c r="H61" s="71"/>
      <c r="I61" s="73"/>
    </row>
    <row r="62" spans="1:10" x14ac:dyDescent="0.3">
      <c r="F62" s="71"/>
      <c r="G62" s="71"/>
      <c r="H62" s="71"/>
      <c r="I62" s="73"/>
    </row>
    <row r="63" spans="1:10" x14ac:dyDescent="0.3">
      <c r="F63" s="70"/>
      <c r="G63" s="70"/>
      <c r="H63" s="70"/>
      <c r="I63" s="72"/>
    </row>
    <row r="64" spans="1:10" x14ac:dyDescent="0.3">
      <c r="F64" s="69"/>
      <c r="G64" s="69"/>
      <c r="H64" s="69"/>
      <c r="I64" s="69"/>
    </row>
    <row r="65" spans="6:9" x14ac:dyDescent="0.3">
      <c r="F65" s="70"/>
      <c r="G65" s="70"/>
      <c r="H65" s="70"/>
      <c r="I65" s="74"/>
    </row>
    <row r="66" spans="6:9" x14ac:dyDescent="0.3">
      <c r="F66" s="70"/>
      <c r="G66" s="70"/>
      <c r="H66" s="70"/>
      <c r="I66" s="74"/>
    </row>
    <row r="67" spans="6:9" x14ac:dyDescent="0.3">
      <c r="F67" s="70"/>
      <c r="G67" s="70"/>
      <c r="H67" s="70"/>
      <c r="I67" s="74"/>
    </row>
    <row r="68" spans="6:9" x14ac:dyDescent="0.3">
      <c r="F68" s="70"/>
      <c r="G68" s="70"/>
      <c r="H68" s="70"/>
      <c r="I68" s="74"/>
    </row>
  </sheetData>
  <mergeCells count="34">
    <mergeCell ref="A4:E4"/>
    <mergeCell ref="A20:D20"/>
    <mergeCell ref="B28:C28"/>
    <mergeCell ref="B34:C34"/>
    <mergeCell ref="B35:C35"/>
    <mergeCell ref="B24:C24"/>
    <mergeCell ref="B7:C7"/>
    <mergeCell ref="B21:C21"/>
    <mergeCell ref="B29:C29"/>
    <mergeCell ref="B27:C27"/>
    <mergeCell ref="B25:C25"/>
    <mergeCell ref="B26:C26"/>
    <mergeCell ref="B30:C30"/>
    <mergeCell ref="B31:C31"/>
    <mergeCell ref="B9:C9"/>
    <mergeCell ref="B5:C5"/>
    <mergeCell ref="B50:C50"/>
    <mergeCell ref="A48:D48"/>
    <mergeCell ref="A40:D40"/>
    <mergeCell ref="A33:D33"/>
    <mergeCell ref="B38:C38"/>
    <mergeCell ref="B49:C49"/>
    <mergeCell ref="B46:C46"/>
    <mergeCell ref="B41:C41"/>
    <mergeCell ref="B42:C42"/>
    <mergeCell ref="B43:C43"/>
    <mergeCell ref="B44:C44"/>
    <mergeCell ref="B45:C45"/>
    <mergeCell ref="B36:C36"/>
    <mergeCell ref="B16:C16"/>
    <mergeCell ref="B17:C17"/>
    <mergeCell ref="B22:C22"/>
    <mergeCell ref="B23:C23"/>
    <mergeCell ref="B18:C18"/>
  </mergeCells>
  <hyperlinks>
    <hyperlink ref="F1" location="Index!A1" display="Index"/>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7" tint="0.59999389629810485"/>
  </sheetPr>
  <dimension ref="A1:Q26"/>
  <sheetViews>
    <sheetView workbookViewId="0"/>
  </sheetViews>
  <sheetFormatPr defaultColWidth="9.109375" defaultRowHeight="14.4" x14ac:dyDescent="0.3"/>
  <cols>
    <col min="1" max="1" width="6.88671875" style="15" customWidth="1"/>
    <col min="2" max="2" width="9.88671875" style="15" customWidth="1"/>
    <col min="3" max="4" width="10.5546875" style="15" customWidth="1"/>
    <col min="5" max="5" width="10.77734375" style="15" customWidth="1"/>
    <col min="6" max="6" width="11.21875" style="15" customWidth="1"/>
    <col min="7" max="7" width="10.44140625" style="15" customWidth="1"/>
    <col min="8" max="8" width="11.77734375" style="15" customWidth="1"/>
    <col min="9" max="9" width="11" style="15" customWidth="1"/>
    <col min="10" max="10" width="11.21875" style="15" customWidth="1"/>
    <col min="11" max="11" width="10.5546875" style="15" customWidth="1"/>
    <col min="12" max="12" width="11.21875" style="15" customWidth="1"/>
    <col min="13" max="14" width="10.109375" style="15" customWidth="1"/>
    <col min="15" max="15" width="9.44140625" style="15" customWidth="1"/>
    <col min="16" max="16" width="9.109375" style="15"/>
    <col min="17" max="17" width="9.5546875" style="15" customWidth="1"/>
    <col min="18" max="16384" width="9.109375" style="15"/>
  </cols>
  <sheetData>
    <row r="1" spans="1:17" s="172" customFormat="1" ht="15.6" x14ac:dyDescent="0.3">
      <c r="A1" s="205" t="s">
        <v>1295</v>
      </c>
      <c r="J1" s="463" t="s">
        <v>504</v>
      </c>
    </row>
    <row r="2" spans="1:17" ht="12" customHeight="1" thickBot="1" x14ac:dyDescent="0.35">
      <c r="A2" s="95"/>
      <c r="B2" s="10"/>
      <c r="C2" s="10"/>
      <c r="D2" s="10"/>
      <c r="E2" s="10"/>
      <c r="F2" s="10"/>
      <c r="G2" s="10"/>
      <c r="H2" s="10"/>
      <c r="I2" s="10"/>
      <c r="J2" s="10"/>
      <c r="K2" s="10"/>
      <c r="L2" s="12"/>
      <c r="M2" s="12"/>
      <c r="N2" s="12"/>
      <c r="O2" s="12"/>
      <c r="P2" s="12"/>
      <c r="Q2" s="82"/>
    </row>
    <row r="3" spans="1:17" ht="15" thickTop="1" x14ac:dyDescent="0.3">
      <c r="A3" s="13"/>
      <c r="B3" s="85" t="s">
        <v>30</v>
      </c>
      <c r="C3" s="85" t="s">
        <v>30</v>
      </c>
      <c r="D3" s="85" t="s">
        <v>30</v>
      </c>
      <c r="E3" s="85" t="s">
        <v>30</v>
      </c>
      <c r="F3" s="85" t="s">
        <v>40</v>
      </c>
      <c r="G3" s="85" t="s">
        <v>30</v>
      </c>
      <c r="H3" s="85" t="s">
        <v>30</v>
      </c>
      <c r="I3" s="85" t="s">
        <v>30</v>
      </c>
      <c r="J3" s="85" t="s">
        <v>34</v>
      </c>
      <c r="K3" s="85" t="s">
        <v>30</v>
      </c>
      <c r="L3" s="12"/>
      <c r="M3" s="12"/>
      <c r="N3" s="12"/>
      <c r="O3" s="12"/>
      <c r="P3" s="12"/>
    </row>
    <row r="4" spans="1:17" x14ac:dyDescent="0.3">
      <c r="A4" s="84"/>
      <c r="B4" s="85" t="s">
        <v>33</v>
      </c>
      <c r="C4" s="85" t="s">
        <v>42</v>
      </c>
      <c r="D4" s="85" t="s">
        <v>42</v>
      </c>
      <c r="E4" s="85" t="s">
        <v>42</v>
      </c>
      <c r="F4" s="85" t="s">
        <v>33</v>
      </c>
      <c r="G4" s="85" t="s">
        <v>42</v>
      </c>
      <c r="H4" s="85" t="s">
        <v>42</v>
      </c>
      <c r="I4" s="85" t="s">
        <v>42</v>
      </c>
      <c r="J4" s="85" t="s">
        <v>42</v>
      </c>
      <c r="K4" s="85" t="s">
        <v>42</v>
      </c>
      <c r="O4" s="12"/>
      <c r="P4" s="12"/>
    </row>
    <row r="5" spans="1:17" x14ac:dyDescent="0.3">
      <c r="A5" s="84"/>
      <c r="B5" s="85" t="s">
        <v>39</v>
      </c>
      <c r="C5" s="85" t="s">
        <v>38</v>
      </c>
      <c r="D5" s="85" t="s">
        <v>68</v>
      </c>
      <c r="E5" s="85" t="s">
        <v>69</v>
      </c>
      <c r="F5" s="85" t="s">
        <v>37</v>
      </c>
      <c r="G5" s="85" t="s">
        <v>9</v>
      </c>
      <c r="H5" s="85" t="s">
        <v>7</v>
      </c>
      <c r="I5" s="85" t="s">
        <v>41</v>
      </c>
      <c r="J5" s="85" t="s">
        <v>41</v>
      </c>
      <c r="K5" s="85" t="s">
        <v>70</v>
      </c>
      <c r="O5" s="12"/>
      <c r="P5" s="12"/>
    </row>
    <row r="6" spans="1:17" x14ac:dyDescent="0.3">
      <c r="A6" s="86"/>
      <c r="B6" s="94" t="s">
        <v>12</v>
      </c>
      <c r="C6" s="94" t="s">
        <v>12</v>
      </c>
      <c r="D6" s="94" t="s">
        <v>12</v>
      </c>
      <c r="E6" s="94" t="s">
        <v>12</v>
      </c>
      <c r="F6" s="94" t="s">
        <v>12</v>
      </c>
      <c r="G6" s="94" t="s">
        <v>12</v>
      </c>
      <c r="H6" s="94" t="s">
        <v>10</v>
      </c>
      <c r="I6" s="94" t="s">
        <v>35</v>
      </c>
      <c r="J6" s="94" t="s">
        <v>35</v>
      </c>
      <c r="K6" s="94" t="s">
        <v>11</v>
      </c>
      <c r="O6" s="12"/>
      <c r="P6" s="12"/>
    </row>
    <row r="7" spans="1:17" ht="11.25" customHeight="1" x14ac:dyDescent="0.3">
      <c r="A7" s="87">
        <v>2000</v>
      </c>
      <c r="B7" s="88">
        <v>112000</v>
      </c>
      <c r="C7" s="88">
        <v>8000</v>
      </c>
      <c r="D7" s="88">
        <v>27000</v>
      </c>
      <c r="E7" s="88">
        <v>23000</v>
      </c>
      <c r="F7" s="88">
        <v>5000</v>
      </c>
      <c r="G7" s="88">
        <f t="shared" ref="G7:G13" si="0">SUM(B7:E7)-F7</f>
        <v>165000</v>
      </c>
      <c r="H7" s="88">
        <f>'C0-Ref Stats'!AH46</f>
        <v>18566.690025000004</v>
      </c>
      <c r="I7" s="88">
        <f>ROUND(G7/H7*1000,-2)</f>
        <v>8900</v>
      </c>
      <c r="J7" s="88">
        <f>ROUND('C0-Ref Stats'!AC46/'C0-Ref Stats'!B46*1000,-2)</f>
        <v>42200</v>
      </c>
      <c r="K7" s="89">
        <f>I7/J7</f>
        <v>0.2109004739336493</v>
      </c>
      <c r="N7" s="655"/>
      <c r="O7" s="12"/>
      <c r="P7" s="12"/>
    </row>
    <row r="8" spans="1:17" ht="11.25" customHeight="1" x14ac:dyDescent="0.3">
      <c r="A8" s="87">
        <v>2001</v>
      </c>
      <c r="B8" s="88">
        <v>109000</v>
      </c>
      <c r="C8" s="88">
        <v>8000</v>
      </c>
      <c r="D8" s="88">
        <v>22000</v>
      </c>
      <c r="E8" s="88">
        <v>22000</v>
      </c>
      <c r="F8" s="88">
        <v>8000</v>
      </c>
      <c r="G8" s="88">
        <f t="shared" si="0"/>
        <v>153000</v>
      </c>
      <c r="H8" s="88">
        <f>'C0-Ref Stats'!AH47</f>
        <v>19536.067995000005</v>
      </c>
      <c r="I8" s="88">
        <f t="shared" ref="I8:I17" si="1">ROUND(G8/H8*1000,-2)</f>
        <v>7800</v>
      </c>
      <c r="J8" s="88">
        <f>ROUND('C0-Ref Stats'!AC47/'C0-Ref Stats'!B47*1000,-2)</f>
        <v>42200</v>
      </c>
      <c r="K8" s="89">
        <f t="shared" ref="K8:K17" si="2">I8/J8</f>
        <v>0.18483412322274881</v>
      </c>
      <c r="N8" s="655"/>
      <c r="O8" s="12"/>
      <c r="P8" s="12"/>
    </row>
    <row r="9" spans="1:17" ht="11.25" customHeight="1" x14ac:dyDescent="0.3">
      <c r="A9" s="87">
        <v>2002</v>
      </c>
      <c r="B9" s="88">
        <v>113000</v>
      </c>
      <c r="C9" s="88">
        <v>5000</v>
      </c>
      <c r="D9" s="88">
        <v>24000</v>
      </c>
      <c r="E9" s="88">
        <v>23000</v>
      </c>
      <c r="F9" s="88">
        <v>11000</v>
      </c>
      <c r="G9" s="88">
        <f t="shared" si="0"/>
        <v>154000</v>
      </c>
      <c r="H9" s="88">
        <f>'C0-Ref Stats'!AH48</f>
        <v>21211.879649999988</v>
      </c>
      <c r="I9" s="88">
        <f t="shared" si="1"/>
        <v>7300</v>
      </c>
      <c r="J9" s="88">
        <f>ROUND('C0-Ref Stats'!AC48/'C0-Ref Stats'!B48*1000,-2)</f>
        <v>41100</v>
      </c>
      <c r="K9" s="89">
        <f t="shared" si="2"/>
        <v>0.17761557177615572</v>
      </c>
      <c r="N9" s="655"/>
      <c r="O9" s="12"/>
      <c r="P9" s="12"/>
    </row>
    <row r="10" spans="1:17" ht="11.25" customHeight="1" x14ac:dyDescent="0.3">
      <c r="A10" s="87">
        <v>2003</v>
      </c>
      <c r="B10" s="88">
        <v>115000</v>
      </c>
      <c r="C10" s="88">
        <v>7000</v>
      </c>
      <c r="D10" s="88">
        <v>30000</v>
      </c>
      <c r="E10" s="88">
        <v>25000</v>
      </c>
      <c r="F10" s="88">
        <v>14000</v>
      </c>
      <c r="G10" s="88">
        <f t="shared" si="0"/>
        <v>163000</v>
      </c>
      <c r="H10" s="88">
        <f>'C0-Ref Stats'!AH49</f>
        <v>22467.487249999991</v>
      </c>
      <c r="I10" s="88">
        <f t="shared" si="1"/>
        <v>7300</v>
      </c>
      <c r="J10" s="88">
        <f>ROUND('C0-Ref Stats'!AC49/'C0-Ref Stats'!B49*1000,-2)</f>
        <v>41400</v>
      </c>
      <c r="K10" s="89">
        <f t="shared" si="2"/>
        <v>0.17632850241545894</v>
      </c>
      <c r="N10" s="655"/>
      <c r="O10" s="12"/>
      <c r="P10" s="12"/>
    </row>
    <row r="11" spans="1:17" ht="11.25" customHeight="1" x14ac:dyDescent="0.3">
      <c r="A11" s="87">
        <v>2004</v>
      </c>
      <c r="B11" s="88">
        <v>132000</v>
      </c>
      <c r="C11" s="88">
        <v>12000</v>
      </c>
      <c r="D11" s="88">
        <v>34000</v>
      </c>
      <c r="E11" s="88">
        <v>28000</v>
      </c>
      <c r="F11" s="88">
        <v>19000</v>
      </c>
      <c r="G11" s="88">
        <f t="shared" si="0"/>
        <v>187000</v>
      </c>
      <c r="H11" s="88">
        <f>'C0-Ref Stats'!AH50</f>
        <v>22855.984220000013</v>
      </c>
      <c r="I11" s="88">
        <f t="shared" si="1"/>
        <v>8200</v>
      </c>
      <c r="J11" s="88">
        <f>ROUND('C0-Ref Stats'!AC50/'C0-Ref Stats'!B50*1000,-2)</f>
        <v>43600</v>
      </c>
      <c r="K11" s="89">
        <f t="shared" si="2"/>
        <v>0.18807339449541285</v>
      </c>
      <c r="N11" s="655"/>
      <c r="O11" s="12"/>
      <c r="P11" s="12"/>
    </row>
    <row r="12" spans="1:17" ht="11.25" customHeight="1" x14ac:dyDescent="0.3">
      <c r="A12" s="87">
        <v>2005</v>
      </c>
      <c r="B12" s="88">
        <v>142000</v>
      </c>
      <c r="C12" s="88">
        <v>9000</v>
      </c>
      <c r="D12" s="88">
        <v>35000</v>
      </c>
      <c r="E12" s="88">
        <v>28000</v>
      </c>
      <c r="F12" s="88">
        <v>39000</v>
      </c>
      <c r="G12" s="88">
        <f t="shared" si="0"/>
        <v>175000</v>
      </c>
      <c r="H12" s="88">
        <f>'C0-Ref Stats'!AH51</f>
        <v>22643.467609999963</v>
      </c>
      <c r="I12" s="88">
        <f t="shared" si="1"/>
        <v>7700</v>
      </c>
      <c r="J12" s="88">
        <f>ROUND('C0-Ref Stats'!AC51/'C0-Ref Stats'!B51*1000,-2)</f>
        <v>46100</v>
      </c>
      <c r="K12" s="89">
        <f t="shared" si="2"/>
        <v>0.16702819956616052</v>
      </c>
      <c r="N12" s="655"/>
      <c r="O12" s="12"/>
      <c r="P12" s="12"/>
    </row>
    <row r="13" spans="1:17" ht="11.25" customHeight="1" x14ac:dyDescent="0.3">
      <c r="A13" s="87">
        <v>2006</v>
      </c>
      <c r="B13" s="88">
        <v>154000</v>
      </c>
      <c r="C13" s="88">
        <v>11000</v>
      </c>
      <c r="D13" s="88">
        <v>37000</v>
      </c>
      <c r="E13" s="88">
        <v>28000</v>
      </c>
      <c r="F13" s="88">
        <v>49000</v>
      </c>
      <c r="G13" s="88">
        <f t="shared" si="0"/>
        <v>181000</v>
      </c>
      <c r="H13" s="88">
        <f>'C0-Ref Stats'!AH52</f>
        <v>21387.973645000005</v>
      </c>
      <c r="I13" s="88">
        <f t="shared" si="1"/>
        <v>8500</v>
      </c>
      <c r="J13" s="88">
        <f>ROUND('C0-Ref Stats'!AC52/'C0-Ref Stats'!B52*1000,-2)</f>
        <v>48600</v>
      </c>
      <c r="K13" s="89">
        <f t="shared" si="2"/>
        <v>0.17489711934156379</v>
      </c>
      <c r="N13" s="655"/>
      <c r="O13" s="12"/>
      <c r="P13" s="12"/>
    </row>
    <row r="14" spans="1:17" ht="11.25" customHeight="1" x14ac:dyDescent="0.3">
      <c r="A14" s="87">
        <v>2007</v>
      </c>
      <c r="B14" s="90" t="s">
        <v>50</v>
      </c>
      <c r="C14" s="90" t="s">
        <v>50</v>
      </c>
      <c r="D14" s="90" t="s">
        <v>50</v>
      </c>
      <c r="E14" s="90" t="s">
        <v>50</v>
      </c>
      <c r="F14" s="90" t="s">
        <v>50</v>
      </c>
      <c r="G14" s="90" t="s">
        <v>50</v>
      </c>
      <c r="H14" s="90" t="s">
        <v>50</v>
      </c>
      <c r="I14" s="90" t="s">
        <v>50</v>
      </c>
      <c r="J14" s="90" t="s">
        <v>50</v>
      </c>
      <c r="K14" s="90" t="s">
        <v>50</v>
      </c>
      <c r="N14" s="655"/>
      <c r="O14" s="12"/>
      <c r="P14" s="12"/>
    </row>
    <row r="15" spans="1:17" ht="11.25" customHeight="1" x14ac:dyDescent="0.3">
      <c r="A15" s="87">
        <v>2008</v>
      </c>
      <c r="B15" s="88">
        <v>163000</v>
      </c>
      <c r="C15" s="88">
        <v>12000</v>
      </c>
      <c r="D15" s="88">
        <v>37000</v>
      </c>
      <c r="E15" s="88">
        <v>31000</v>
      </c>
      <c r="F15" s="88">
        <v>61000</v>
      </c>
      <c r="G15" s="88">
        <f>SUM(B15:E15)-F15</f>
        <v>182000</v>
      </c>
      <c r="H15" s="88">
        <f>'C0-Ref Stats'!AH54</f>
        <v>21213.116425</v>
      </c>
      <c r="I15" s="88">
        <f t="shared" si="1"/>
        <v>8600</v>
      </c>
      <c r="J15" s="88">
        <f>ROUND('C0-Ref Stats'!AC54/'C0-Ref Stats'!B54*1000,-2)</f>
        <v>50600</v>
      </c>
      <c r="K15" s="89">
        <f t="shared" si="2"/>
        <v>0.16996047430830039</v>
      </c>
      <c r="N15" s="655"/>
      <c r="O15" s="12"/>
      <c r="P15" s="12"/>
    </row>
    <row r="16" spans="1:17" ht="11.25" customHeight="1" x14ac:dyDescent="0.3">
      <c r="A16" s="87">
        <v>2009</v>
      </c>
      <c r="B16" s="88">
        <v>151000</v>
      </c>
      <c r="C16" s="88">
        <v>11000</v>
      </c>
      <c r="D16" s="88">
        <v>36000</v>
      </c>
      <c r="E16" s="88">
        <v>34000</v>
      </c>
      <c r="F16" s="88">
        <v>57000</v>
      </c>
      <c r="G16" s="88">
        <f>SUM(B16:E16)-F16</f>
        <v>175000</v>
      </c>
      <c r="H16" s="88">
        <f>'C0-Ref Stats'!AH55</f>
        <v>22137.098685000004</v>
      </c>
      <c r="I16" s="88">
        <f t="shared" si="1"/>
        <v>7900</v>
      </c>
      <c r="J16" s="88">
        <f>ROUND('C0-Ref Stats'!AC55/'C0-Ref Stats'!B55*1000,-2)</f>
        <v>47300</v>
      </c>
      <c r="K16" s="89">
        <f t="shared" si="2"/>
        <v>0.16701902748414377</v>
      </c>
      <c r="N16" s="655"/>
      <c r="O16" s="12"/>
      <c r="P16" s="12"/>
    </row>
    <row r="17" spans="1:17" ht="11.25" customHeight="1" x14ac:dyDescent="0.3">
      <c r="A17" s="91">
        <v>2010</v>
      </c>
      <c r="B17" s="92">
        <v>156000</v>
      </c>
      <c r="C17" s="92">
        <v>12000</v>
      </c>
      <c r="D17" s="92">
        <v>42000</v>
      </c>
      <c r="E17" s="92">
        <v>41000</v>
      </c>
      <c r="F17" s="92">
        <v>60000</v>
      </c>
      <c r="G17" s="92">
        <f>SUM(B17:E17)-F17</f>
        <v>191000</v>
      </c>
      <c r="H17" s="92">
        <f>'C0-Ref Stats'!AH56</f>
        <v>22186.115275000004</v>
      </c>
      <c r="I17" s="92">
        <f t="shared" si="1"/>
        <v>8600</v>
      </c>
      <c r="J17" s="92">
        <f>ROUND('C0-Ref Stats'!AC56/'C0-Ref Stats'!B56*1000,-2)</f>
        <v>48300</v>
      </c>
      <c r="K17" s="93">
        <f t="shared" si="2"/>
        <v>0.17805383022774326</v>
      </c>
      <c r="M17" s="587"/>
      <c r="N17" s="655"/>
      <c r="O17" s="12"/>
      <c r="P17" s="12"/>
    </row>
    <row r="18" spans="1:17" x14ac:dyDescent="0.3">
      <c r="A18" s="82"/>
      <c r="B18" s="82"/>
      <c r="C18" s="82"/>
      <c r="D18" s="82"/>
      <c r="E18" s="82"/>
      <c r="F18" s="8"/>
      <c r="G18" s="8"/>
      <c r="H18" s="8"/>
      <c r="I18" s="8"/>
      <c r="J18" s="8"/>
      <c r="K18" s="82"/>
      <c r="L18" s="82"/>
      <c r="M18" s="587"/>
      <c r="N18" s="82"/>
      <c r="O18" s="12"/>
      <c r="P18" s="83"/>
      <c r="Q18" s="29"/>
    </row>
    <row r="19" spans="1:17" x14ac:dyDescent="0.3">
      <c r="A19" s="206" t="s">
        <v>199</v>
      </c>
    </row>
    <row r="20" spans="1:17" s="172" customFormat="1" x14ac:dyDescent="0.3">
      <c r="A20" s="207" t="s">
        <v>200</v>
      </c>
    </row>
    <row r="21" spans="1:17" s="172" customFormat="1" x14ac:dyDescent="0.3">
      <c r="A21" s="207" t="s">
        <v>1279</v>
      </c>
    </row>
    <row r="22" spans="1:17" s="655" customFormat="1" x14ac:dyDescent="0.3">
      <c r="A22" s="207" t="s">
        <v>1296</v>
      </c>
    </row>
    <row r="23" spans="1:17" s="172" customFormat="1" x14ac:dyDescent="0.3">
      <c r="A23" s="206" t="s">
        <v>1690</v>
      </c>
    </row>
    <row r="26" spans="1:17" x14ac:dyDescent="0.3">
      <c r="B26" s="72"/>
      <c r="C26" s="72"/>
      <c r="D26" s="72"/>
      <c r="E26" s="72"/>
      <c r="F26" s="72"/>
      <c r="G26" s="72"/>
      <c r="H26" s="587"/>
    </row>
  </sheetData>
  <hyperlinks>
    <hyperlink ref="J1" location="Index!A1" display="Index"/>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7" tint="0.59999389629810485"/>
  </sheetPr>
  <dimension ref="A1:L24"/>
  <sheetViews>
    <sheetView workbookViewId="0">
      <selection activeCell="L14" sqref="L14"/>
    </sheetView>
  </sheetViews>
  <sheetFormatPr defaultColWidth="9.109375" defaultRowHeight="14.4" x14ac:dyDescent="0.3"/>
  <cols>
    <col min="1" max="1" width="12.77734375" style="1011" customWidth="1"/>
    <col min="2" max="2" width="7.88671875" style="1011" customWidth="1"/>
    <col min="3" max="3" width="8.5546875" style="1011" customWidth="1"/>
    <col min="4" max="4" width="10.109375" style="1011" customWidth="1"/>
    <col min="5" max="6" width="7.88671875" style="1011" customWidth="1"/>
    <col min="7" max="16384" width="9.109375" style="1011"/>
  </cols>
  <sheetData>
    <row r="1" spans="1:12" ht="15.6" x14ac:dyDescent="0.3">
      <c r="A1" s="102" t="s">
        <v>2128</v>
      </c>
      <c r="K1" s="462" t="s">
        <v>504</v>
      </c>
    </row>
    <row r="2" spans="1:12" ht="15" thickBot="1" x14ac:dyDescent="0.35">
      <c r="A2" s="10"/>
      <c r="B2" s="10"/>
      <c r="C2" s="10"/>
      <c r="D2" s="10"/>
      <c r="E2" s="10"/>
    </row>
    <row r="3" spans="1:12" ht="31.5" customHeight="1" thickTop="1" x14ac:dyDescent="0.3">
      <c r="A3" s="1383" t="s">
        <v>2103</v>
      </c>
      <c r="B3" s="1383" t="s">
        <v>2104</v>
      </c>
      <c r="C3" s="1383" t="s">
        <v>2105</v>
      </c>
      <c r="D3" s="1383" t="s">
        <v>2107</v>
      </c>
      <c r="E3" s="1383" t="s">
        <v>2106</v>
      </c>
      <c r="F3" s="348"/>
    </row>
    <row r="4" spans="1:12" ht="28.5" customHeight="1" x14ac:dyDescent="0.3">
      <c r="A4" s="1384"/>
      <c r="B4" s="1384"/>
      <c r="C4" s="1384"/>
      <c r="D4" s="1384"/>
      <c r="E4" s="1384"/>
      <c r="F4" s="350"/>
      <c r="G4" s="1281"/>
      <c r="H4" s="1281"/>
      <c r="I4" s="654"/>
      <c r="J4" s="654"/>
      <c r="K4" s="1281"/>
      <c r="L4" s="1281"/>
    </row>
    <row r="5" spans="1:12" ht="14.25" customHeight="1" x14ac:dyDescent="0.3">
      <c r="A5" s="1216" t="s">
        <v>1893</v>
      </c>
      <c r="B5" s="1217">
        <v>96</v>
      </c>
      <c r="C5" s="1217">
        <v>12</v>
      </c>
      <c r="D5" s="1315">
        <v>101</v>
      </c>
      <c r="E5" s="1217">
        <v>34</v>
      </c>
      <c r="F5" s="343"/>
    </row>
    <row r="6" spans="1:12" ht="14.25" customHeight="1" x14ac:dyDescent="0.3">
      <c r="A6" s="1216" t="s">
        <v>2108</v>
      </c>
      <c r="B6" s="1217">
        <v>53</v>
      </c>
      <c r="C6" s="1217">
        <v>13</v>
      </c>
      <c r="D6" s="1217">
        <v>90</v>
      </c>
      <c r="E6" s="1217">
        <v>35</v>
      </c>
      <c r="F6" s="349"/>
    </row>
    <row r="7" spans="1:12" ht="14.25" customHeight="1" x14ac:dyDescent="0.3">
      <c r="A7" s="1216" t="s">
        <v>2109</v>
      </c>
      <c r="B7" s="1217">
        <v>38</v>
      </c>
      <c r="C7" s="1217">
        <v>9</v>
      </c>
      <c r="D7" s="1217">
        <v>78</v>
      </c>
      <c r="E7" s="1217">
        <v>18</v>
      </c>
      <c r="F7" s="344"/>
    </row>
    <row r="8" spans="1:12" ht="14.25" customHeight="1" x14ac:dyDescent="0.3">
      <c r="A8" s="1216" t="s">
        <v>2110</v>
      </c>
      <c r="B8" s="1217">
        <v>29</v>
      </c>
      <c r="C8" s="1217">
        <v>6</v>
      </c>
      <c r="D8" s="1217">
        <v>76</v>
      </c>
      <c r="E8" s="1217">
        <v>59</v>
      </c>
      <c r="F8" s="344"/>
    </row>
    <row r="9" spans="1:12" ht="14.25" customHeight="1" x14ac:dyDescent="0.3">
      <c r="A9" s="1216" t="s">
        <v>2111</v>
      </c>
      <c r="B9" s="1217">
        <v>22</v>
      </c>
      <c r="C9" s="1217">
        <v>4</v>
      </c>
      <c r="D9" s="1217">
        <v>75</v>
      </c>
      <c r="E9" s="1217">
        <v>26</v>
      </c>
      <c r="F9" s="344"/>
    </row>
    <row r="10" spans="1:12" ht="14.25" customHeight="1" x14ac:dyDescent="0.3">
      <c r="A10" s="1216" t="s">
        <v>2112</v>
      </c>
      <c r="B10" s="1217">
        <v>20</v>
      </c>
      <c r="C10" s="1217">
        <v>3</v>
      </c>
      <c r="D10" s="1217">
        <v>74</v>
      </c>
      <c r="E10" s="1217">
        <v>22</v>
      </c>
      <c r="F10" s="344"/>
    </row>
    <row r="11" spans="1:12" ht="14.25" customHeight="1" x14ac:dyDescent="0.3">
      <c r="A11" s="1216" t="s">
        <v>2113</v>
      </c>
      <c r="B11" s="1217">
        <v>17</v>
      </c>
      <c r="C11" s="1217">
        <v>2</v>
      </c>
      <c r="D11" s="1217">
        <v>70</v>
      </c>
      <c r="E11" s="1217">
        <v>41</v>
      </c>
      <c r="F11" s="346"/>
    </row>
    <row r="12" spans="1:12" ht="14.25" customHeight="1" x14ac:dyDescent="0.3">
      <c r="A12" s="1216" t="s">
        <v>2114</v>
      </c>
      <c r="B12" s="1217">
        <v>11</v>
      </c>
      <c r="C12" s="1217">
        <v>1</v>
      </c>
      <c r="D12" s="1217">
        <v>69</v>
      </c>
      <c r="E12" s="1217">
        <v>25</v>
      </c>
      <c r="F12" s="128"/>
    </row>
    <row r="13" spans="1:12" ht="14.25" customHeight="1" x14ac:dyDescent="0.3">
      <c r="A13" s="1216" t="s">
        <v>2115</v>
      </c>
      <c r="B13" s="1217">
        <v>10</v>
      </c>
      <c r="C13" s="1217">
        <v>1</v>
      </c>
      <c r="D13" s="1217">
        <v>61</v>
      </c>
      <c r="E13" s="1217">
        <v>53</v>
      </c>
      <c r="F13" s="128"/>
    </row>
    <row r="14" spans="1:12" ht="14.25" customHeight="1" x14ac:dyDescent="0.3">
      <c r="A14" s="1216" t="s">
        <v>2116</v>
      </c>
      <c r="B14" s="1217">
        <v>7</v>
      </c>
      <c r="C14" s="1217">
        <v>1</v>
      </c>
      <c r="D14" s="1217">
        <v>57</v>
      </c>
      <c r="E14" s="1217">
        <v>23</v>
      </c>
    </row>
    <row r="15" spans="1:12" ht="14.25" customHeight="1" x14ac:dyDescent="0.3">
      <c r="A15" s="1216" t="s">
        <v>2117</v>
      </c>
      <c r="B15" s="1217">
        <v>5</v>
      </c>
      <c r="C15" s="1217">
        <v>1</v>
      </c>
      <c r="D15" s="1217">
        <v>45</v>
      </c>
      <c r="E15" s="1217">
        <v>28</v>
      </c>
    </row>
    <row r="16" spans="1:12" ht="14.25" customHeight="1" x14ac:dyDescent="0.3">
      <c r="A16" s="1216" t="s">
        <v>2118</v>
      </c>
      <c r="B16" s="1217">
        <v>6</v>
      </c>
      <c r="C16" s="1217" t="s">
        <v>646</v>
      </c>
      <c r="D16" s="1217">
        <v>32</v>
      </c>
      <c r="E16" s="1217">
        <v>17</v>
      </c>
    </row>
    <row r="17" spans="1:10" ht="14.25" customHeight="1" x14ac:dyDescent="0.3">
      <c r="A17" s="1216" t="s">
        <v>2119</v>
      </c>
      <c r="B17" s="1217">
        <v>8</v>
      </c>
      <c r="C17" s="1217" t="s">
        <v>646</v>
      </c>
      <c r="D17" s="1217">
        <v>21</v>
      </c>
      <c r="E17" s="1217">
        <v>11</v>
      </c>
    </row>
    <row r="18" spans="1:10" ht="14.25" customHeight="1" x14ac:dyDescent="0.3">
      <c r="A18" s="1216" t="s">
        <v>2120</v>
      </c>
      <c r="B18" s="1217">
        <v>4</v>
      </c>
      <c r="C18" s="1217" t="s">
        <v>646</v>
      </c>
      <c r="D18" s="1217">
        <v>23</v>
      </c>
      <c r="E18" s="1217">
        <v>4</v>
      </c>
    </row>
    <row r="19" spans="1:10" ht="14.25" customHeight="1" x14ac:dyDescent="0.3">
      <c r="A19" s="1216" t="s">
        <v>2121</v>
      </c>
      <c r="B19" s="1217">
        <v>2</v>
      </c>
      <c r="C19" s="1217" t="s">
        <v>646</v>
      </c>
      <c r="D19" s="1217">
        <v>21</v>
      </c>
      <c r="E19" s="1217" t="s">
        <v>646</v>
      </c>
    </row>
    <row r="20" spans="1:10" ht="14.25" customHeight="1" x14ac:dyDescent="0.3">
      <c r="A20" s="1216" t="s">
        <v>1894</v>
      </c>
      <c r="B20" s="1217">
        <v>1</v>
      </c>
      <c r="C20" s="1217" t="s">
        <v>646</v>
      </c>
      <c r="D20" s="1217">
        <v>19</v>
      </c>
      <c r="E20" s="1217" t="s">
        <v>646</v>
      </c>
    </row>
    <row r="21" spans="1:10" s="1281" customFormat="1" ht="18" customHeight="1" x14ac:dyDescent="0.3">
      <c r="A21" s="1218" t="s">
        <v>246</v>
      </c>
      <c r="B21" s="1219">
        <v>11</v>
      </c>
      <c r="C21" s="1219">
        <v>1</v>
      </c>
      <c r="D21" s="1219">
        <v>57</v>
      </c>
      <c r="E21" s="1219">
        <v>12</v>
      </c>
    </row>
    <row r="22" spans="1:10" s="1281" customFormat="1" ht="14.25" customHeight="1" x14ac:dyDescent="0.3">
      <c r="A22" s="1313"/>
      <c r="B22" s="1314"/>
      <c r="C22" s="1314"/>
      <c r="D22" s="1314"/>
      <c r="E22" s="1314"/>
    </row>
    <row r="23" spans="1:10" ht="41.25" customHeight="1" x14ac:dyDescent="0.3">
      <c r="A23" s="1382" t="s">
        <v>2127</v>
      </c>
      <c r="B23" s="1382"/>
      <c r="C23" s="1382"/>
      <c r="D23" s="1382"/>
      <c r="E23" s="1382"/>
      <c r="F23" s="1382"/>
      <c r="G23" s="1382"/>
      <c r="H23" s="1382"/>
      <c r="I23" s="1382"/>
      <c r="J23" s="1382"/>
    </row>
    <row r="24" spans="1:10" ht="28.5" customHeight="1" x14ac:dyDescent="0.3">
      <c r="A24" s="1382" t="s">
        <v>2122</v>
      </c>
      <c r="B24" s="1382"/>
      <c r="C24" s="1382"/>
      <c r="D24" s="1382"/>
      <c r="E24" s="1382"/>
      <c r="F24" s="1382"/>
      <c r="G24" s="1382"/>
      <c r="H24" s="1382"/>
      <c r="I24" s="1382"/>
      <c r="J24" s="1382"/>
    </row>
  </sheetData>
  <mergeCells count="7">
    <mergeCell ref="A23:J23"/>
    <mergeCell ref="A24:J24"/>
    <mergeCell ref="A3:A4"/>
    <mergeCell ref="B3:B4"/>
    <mergeCell ref="C3:C4"/>
    <mergeCell ref="E3:E4"/>
    <mergeCell ref="D3:D4"/>
  </mergeCells>
  <hyperlinks>
    <hyperlink ref="K1" location="Index!A1" display="Index"/>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7" tint="0.59999389629810485"/>
  </sheetPr>
  <dimension ref="A1:N63"/>
  <sheetViews>
    <sheetView workbookViewId="0">
      <selection activeCell="N45" sqref="N45"/>
    </sheetView>
  </sheetViews>
  <sheetFormatPr defaultColWidth="9.109375" defaultRowHeight="14.4" x14ac:dyDescent="0.3"/>
  <cols>
    <col min="1" max="1" width="2.21875" style="168" customWidth="1"/>
    <col min="2" max="2" width="38.5546875" style="168" customWidth="1"/>
    <col min="3" max="6" width="7.5546875" style="168" customWidth="1"/>
    <col min="7" max="16384" width="9.109375" style="168"/>
  </cols>
  <sheetData>
    <row r="1" spans="1:14" ht="15.6" x14ac:dyDescent="0.3">
      <c r="A1" s="102" t="s">
        <v>1887</v>
      </c>
      <c r="N1" s="462" t="s">
        <v>504</v>
      </c>
    </row>
    <row r="2" spans="1:14" ht="15" thickBot="1" x14ac:dyDescent="0.35">
      <c r="A2" s="10"/>
      <c r="B2" s="10"/>
      <c r="C2" s="10"/>
      <c r="D2" s="10"/>
      <c r="E2" s="10"/>
      <c r="F2" s="10"/>
    </row>
    <row r="3" spans="1:14" ht="12" customHeight="1" thickTop="1" x14ac:dyDescent="0.3">
      <c r="A3" s="119"/>
      <c r="B3" s="119"/>
      <c r="C3" s="104">
        <v>1987</v>
      </c>
      <c r="D3" s="104">
        <v>1988</v>
      </c>
      <c r="E3" s="104">
        <v>1989</v>
      </c>
      <c r="F3" s="104">
        <v>1990</v>
      </c>
    </row>
    <row r="4" spans="1:14" ht="11.25" customHeight="1" x14ac:dyDescent="0.3">
      <c r="A4" s="120" t="s">
        <v>92</v>
      </c>
      <c r="B4" s="13"/>
      <c r="C4" s="106">
        <f>SUM(C5:C23)</f>
        <v>4454</v>
      </c>
      <c r="D4" s="106">
        <f>SUM(D5:D23)</f>
        <v>11427</v>
      </c>
      <c r="E4" s="106">
        <f>SUM(E5:E23)</f>
        <v>14562</v>
      </c>
      <c r="F4" s="106">
        <f>SUM(F5:F23)</f>
        <v>18683</v>
      </c>
    </row>
    <row r="5" spans="1:14" ht="11.25" customHeight="1" x14ac:dyDescent="0.3">
      <c r="A5" s="13" t="s">
        <v>31</v>
      </c>
      <c r="B5" s="13" t="s">
        <v>104</v>
      </c>
      <c r="C5" s="107">
        <v>310</v>
      </c>
      <c r="D5" s="107">
        <v>628</v>
      </c>
      <c r="E5" s="107">
        <v>691</v>
      </c>
      <c r="F5" s="107">
        <v>809</v>
      </c>
    </row>
    <row r="6" spans="1:14" ht="11.25" customHeight="1" x14ac:dyDescent="0.3">
      <c r="A6" s="13"/>
      <c r="B6" s="13" t="s">
        <v>77</v>
      </c>
      <c r="C6" s="107">
        <v>1096</v>
      </c>
      <c r="D6" s="107">
        <v>1763</v>
      </c>
      <c r="E6" s="107">
        <v>2001</v>
      </c>
      <c r="F6" s="107">
        <v>2015</v>
      </c>
    </row>
    <row r="7" spans="1:14" ht="11.25" customHeight="1" x14ac:dyDescent="0.3">
      <c r="A7" s="13"/>
      <c r="B7" s="13" t="s">
        <v>78</v>
      </c>
      <c r="C7" s="107">
        <v>315</v>
      </c>
      <c r="D7" s="107">
        <v>869</v>
      </c>
      <c r="E7" s="107">
        <v>960</v>
      </c>
      <c r="F7" s="107">
        <v>1097</v>
      </c>
    </row>
    <row r="8" spans="1:14" ht="11.25" customHeight="1" x14ac:dyDescent="0.3">
      <c r="A8" s="13"/>
      <c r="B8" s="13" t="s">
        <v>79</v>
      </c>
      <c r="C8" s="107">
        <v>17</v>
      </c>
      <c r="D8" s="107">
        <v>42</v>
      </c>
      <c r="E8" s="107">
        <v>45</v>
      </c>
      <c r="F8" s="107">
        <v>49</v>
      </c>
    </row>
    <row r="9" spans="1:14" ht="11.25" customHeight="1" x14ac:dyDescent="0.3">
      <c r="A9" s="13"/>
      <c r="B9" s="13" t="s">
        <v>80</v>
      </c>
      <c r="C9" s="107">
        <v>0</v>
      </c>
      <c r="D9" s="107">
        <v>72</v>
      </c>
      <c r="E9" s="107">
        <v>128</v>
      </c>
      <c r="F9" s="107">
        <v>140</v>
      </c>
    </row>
    <row r="10" spans="1:14" ht="11.25" customHeight="1" x14ac:dyDescent="0.3">
      <c r="A10" s="13"/>
      <c r="B10" s="13" t="s">
        <v>197</v>
      </c>
      <c r="C10" s="107">
        <v>24</v>
      </c>
      <c r="D10" s="107">
        <v>34</v>
      </c>
      <c r="E10" s="107">
        <v>45</v>
      </c>
      <c r="F10" s="107">
        <v>56</v>
      </c>
    </row>
    <row r="11" spans="1:14" ht="11.25" customHeight="1" x14ac:dyDescent="0.3">
      <c r="A11" s="13"/>
      <c r="B11" s="13" t="s">
        <v>81</v>
      </c>
      <c r="C11" s="107">
        <v>60</v>
      </c>
      <c r="D11" s="107">
        <v>195</v>
      </c>
      <c r="E11" s="107">
        <v>226</v>
      </c>
      <c r="F11" s="107">
        <v>249</v>
      </c>
    </row>
    <row r="12" spans="1:14" ht="11.25" customHeight="1" x14ac:dyDescent="0.3">
      <c r="A12" s="13"/>
      <c r="B12" s="13" t="s">
        <v>82</v>
      </c>
      <c r="C12" s="107">
        <v>230</v>
      </c>
      <c r="D12" s="107">
        <v>764</v>
      </c>
      <c r="E12" s="107">
        <v>749</v>
      </c>
      <c r="F12" s="107">
        <v>723</v>
      </c>
    </row>
    <row r="13" spans="1:14" ht="11.25" customHeight="1" x14ac:dyDescent="0.3">
      <c r="A13" s="13"/>
      <c r="B13" s="13" t="s">
        <v>83</v>
      </c>
      <c r="C13" s="107">
        <v>8</v>
      </c>
      <c r="D13" s="107">
        <v>64</v>
      </c>
      <c r="E13" s="107">
        <v>130</v>
      </c>
      <c r="F13" s="107">
        <v>160</v>
      </c>
    </row>
    <row r="14" spans="1:14" ht="11.25" customHeight="1" x14ac:dyDescent="0.3">
      <c r="A14" s="13"/>
      <c r="B14" s="13" t="s">
        <v>84</v>
      </c>
      <c r="C14" s="107">
        <v>513</v>
      </c>
      <c r="D14" s="107">
        <v>937</v>
      </c>
      <c r="E14" s="107">
        <v>1112</v>
      </c>
      <c r="F14" s="107">
        <v>1291</v>
      </c>
    </row>
    <row r="15" spans="1:14" ht="11.25" customHeight="1" x14ac:dyDescent="0.3">
      <c r="A15" s="13"/>
      <c r="B15" s="13" t="s">
        <v>85</v>
      </c>
      <c r="C15" s="107">
        <v>1166</v>
      </c>
      <c r="D15" s="107">
        <v>4488</v>
      </c>
      <c r="E15" s="107">
        <v>7479</v>
      </c>
      <c r="F15" s="107">
        <v>10932</v>
      </c>
    </row>
    <row r="16" spans="1:14" ht="11.25" customHeight="1" x14ac:dyDescent="0.3">
      <c r="A16" s="13"/>
      <c r="B16" s="13" t="s">
        <v>86</v>
      </c>
      <c r="C16" s="107">
        <v>46</v>
      </c>
      <c r="D16" s="107">
        <v>192</v>
      </c>
      <c r="E16" s="107">
        <v>343</v>
      </c>
      <c r="F16" s="107">
        <v>483</v>
      </c>
    </row>
    <row r="17" spans="1:6" ht="11.25" customHeight="1" x14ac:dyDescent="0.3">
      <c r="A17" s="13"/>
      <c r="B17" s="13" t="s">
        <v>87</v>
      </c>
      <c r="C17" s="107">
        <v>212</v>
      </c>
      <c r="D17" s="107">
        <v>573</v>
      </c>
      <c r="E17" s="107">
        <v>580</v>
      </c>
      <c r="F17" s="107">
        <v>605</v>
      </c>
    </row>
    <row r="18" spans="1:6" ht="11.25" customHeight="1" x14ac:dyDescent="0.3">
      <c r="A18" s="13"/>
      <c r="B18" s="13" t="s">
        <v>88</v>
      </c>
      <c r="C18" s="107">
        <v>-1</v>
      </c>
      <c r="D18" s="107">
        <v>-13</v>
      </c>
      <c r="E18" s="107">
        <v>-32</v>
      </c>
      <c r="F18" s="107">
        <v>-44</v>
      </c>
    </row>
    <row r="19" spans="1:6" ht="11.25" customHeight="1" x14ac:dyDescent="0.3">
      <c r="A19" s="13"/>
      <c r="B19" s="13" t="s">
        <v>89</v>
      </c>
      <c r="C19" s="107">
        <v>-2</v>
      </c>
      <c r="D19" s="107">
        <v>2</v>
      </c>
      <c r="E19" s="107">
        <v>9</v>
      </c>
      <c r="F19" s="107">
        <v>13</v>
      </c>
    </row>
    <row r="20" spans="1:6" ht="11.25" customHeight="1" x14ac:dyDescent="0.3">
      <c r="A20" s="13"/>
      <c r="B20" s="13" t="s">
        <v>90</v>
      </c>
      <c r="C20" s="107">
        <v>484</v>
      </c>
      <c r="D20" s="107">
        <v>866</v>
      </c>
      <c r="E20" s="107">
        <v>163</v>
      </c>
      <c r="F20" s="107">
        <v>180</v>
      </c>
    </row>
    <row r="21" spans="1:6" ht="11.25" customHeight="1" x14ac:dyDescent="0.3">
      <c r="A21" s="13"/>
      <c r="B21" s="13" t="s">
        <v>91</v>
      </c>
      <c r="C21" s="107">
        <v>12</v>
      </c>
      <c r="D21" s="107">
        <v>42</v>
      </c>
      <c r="E21" s="107">
        <v>31</v>
      </c>
      <c r="F21" s="107">
        <v>32</v>
      </c>
    </row>
    <row r="22" spans="1:6" ht="11.25" customHeight="1" x14ac:dyDescent="0.3">
      <c r="A22" s="13"/>
      <c r="B22" s="13" t="s">
        <v>102</v>
      </c>
      <c r="C22" s="107">
        <v>-21</v>
      </c>
      <c r="D22" s="107">
        <v>-59</v>
      </c>
      <c r="E22" s="107">
        <v>-63</v>
      </c>
      <c r="F22" s="107">
        <v>-66</v>
      </c>
    </row>
    <row r="23" spans="1:6" ht="11.25" customHeight="1" x14ac:dyDescent="0.3">
      <c r="A23" s="13"/>
      <c r="B23" s="13" t="s">
        <v>103</v>
      </c>
      <c r="C23" s="107">
        <v>-15</v>
      </c>
      <c r="D23" s="107">
        <v>-32</v>
      </c>
      <c r="E23" s="107">
        <v>-35</v>
      </c>
      <c r="F23" s="107">
        <v>-41</v>
      </c>
    </row>
    <row r="24" spans="1:6" ht="5.25" customHeight="1" x14ac:dyDescent="0.3">
      <c r="A24" s="13"/>
      <c r="B24" s="13"/>
      <c r="C24" s="107"/>
      <c r="D24" s="107"/>
      <c r="E24" s="107"/>
      <c r="F24" s="107"/>
    </row>
    <row r="25" spans="1:6" ht="11.25" customHeight="1" x14ac:dyDescent="0.3">
      <c r="A25" s="120" t="s">
        <v>93</v>
      </c>
      <c r="B25" s="13"/>
      <c r="C25" s="106">
        <f>SUM(C26:C34)</f>
        <v>-115</v>
      </c>
      <c r="D25" s="106">
        <f>SUM(D26:D34)</f>
        <v>352</v>
      </c>
      <c r="E25" s="106">
        <f>SUM(E26:E34)</f>
        <v>1486</v>
      </c>
      <c r="F25" s="106">
        <f>SUM(F26:F34)</f>
        <v>2954</v>
      </c>
    </row>
    <row r="26" spans="1:6" ht="11.25" customHeight="1" x14ac:dyDescent="0.3">
      <c r="A26" s="120"/>
      <c r="B26" s="13" t="s">
        <v>94</v>
      </c>
      <c r="C26" s="107">
        <v>-502</v>
      </c>
      <c r="D26" s="107">
        <v>-584</v>
      </c>
      <c r="E26" s="107">
        <v>498</v>
      </c>
      <c r="F26" s="107">
        <v>1980</v>
      </c>
    </row>
    <row r="27" spans="1:6" ht="11.25" customHeight="1" x14ac:dyDescent="0.3">
      <c r="A27" s="120"/>
      <c r="B27" s="13" t="s">
        <v>95</v>
      </c>
      <c r="C27" s="107">
        <v>1</v>
      </c>
      <c r="D27" s="107">
        <v>4</v>
      </c>
      <c r="E27" s="107">
        <v>8</v>
      </c>
      <c r="F27" s="107">
        <v>14</v>
      </c>
    </row>
    <row r="28" spans="1:6" ht="11.25" customHeight="1" x14ac:dyDescent="0.3">
      <c r="A28" s="120"/>
      <c r="B28" s="13" t="s">
        <v>96</v>
      </c>
      <c r="C28" s="107">
        <v>45</v>
      </c>
      <c r="D28" s="107">
        <v>55</v>
      </c>
      <c r="E28" s="107">
        <v>33</v>
      </c>
      <c r="F28" s="107">
        <v>36</v>
      </c>
    </row>
    <row r="29" spans="1:6" ht="11.25" customHeight="1" x14ac:dyDescent="0.3">
      <c r="A29" s="120"/>
      <c r="B29" s="13" t="s">
        <v>97</v>
      </c>
      <c r="C29" s="107">
        <v>20</v>
      </c>
      <c r="D29" s="107">
        <v>49</v>
      </c>
      <c r="E29" s="107">
        <v>45</v>
      </c>
      <c r="F29" s="107">
        <v>45</v>
      </c>
    </row>
    <row r="30" spans="1:6" ht="11.25" customHeight="1" x14ac:dyDescent="0.3">
      <c r="A30" s="120"/>
      <c r="B30" s="13" t="s">
        <v>98</v>
      </c>
      <c r="C30" s="107">
        <v>-11</v>
      </c>
      <c r="D30" s="107">
        <v>-18</v>
      </c>
      <c r="E30" s="107">
        <v>-28</v>
      </c>
      <c r="F30" s="107">
        <v>-44</v>
      </c>
    </row>
    <row r="31" spans="1:6" ht="11.25" customHeight="1" x14ac:dyDescent="0.3">
      <c r="A31" s="120"/>
      <c r="B31" s="13" t="s">
        <v>99</v>
      </c>
      <c r="C31" s="107">
        <v>146</v>
      </c>
      <c r="D31" s="107">
        <v>479</v>
      </c>
      <c r="E31" s="107">
        <v>583</v>
      </c>
      <c r="F31" s="107">
        <v>639</v>
      </c>
    </row>
    <row r="32" spans="1:6" ht="11.25" customHeight="1" x14ac:dyDescent="0.3">
      <c r="A32" s="120"/>
      <c r="B32" s="13" t="s">
        <v>198</v>
      </c>
      <c r="C32" s="107">
        <v>56</v>
      </c>
      <c r="D32" s="107">
        <v>161</v>
      </c>
      <c r="E32" s="107">
        <v>144</v>
      </c>
      <c r="F32" s="107">
        <v>121</v>
      </c>
    </row>
    <row r="33" spans="1:6" ht="11.25" customHeight="1" x14ac:dyDescent="0.3">
      <c r="A33" s="120"/>
      <c r="B33" s="13" t="s">
        <v>100</v>
      </c>
      <c r="C33" s="107">
        <v>98</v>
      </c>
      <c r="D33" s="107">
        <v>109</v>
      </c>
      <c r="E33" s="107">
        <v>103</v>
      </c>
      <c r="F33" s="107">
        <v>62</v>
      </c>
    </row>
    <row r="34" spans="1:6" ht="11.25" customHeight="1" x14ac:dyDescent="0.3">
      <c r="A34" s="120"/>
      <c r="B34" s="13" t="s">
        <v>101</v>
      </c>
      <c r="C34" s="107">
        <v>32</v>
      </c>
      <c r="D34" s="107">
        <v>97</v>
      </c>
      <c r="E34" s="107">
        <v>100</v>
      </c>
      <c r="F34" s="107">
        <v>101</v>
      </c>
    </row>
    <row r="35" spans="1:6" ht="5.25" customHeight="1" x14ac:dyDescent="0.3">
      <c r="A35" s="13"/>
      <c r="B35" s="13"/>
      <c r="C35" s="108"/>
      <c r="D35" s="108"/>
      <c r="E35" s="108"/>
      <c r="F35" s="108"/>
    </row>
    <row r="36" spans="1:6" ht="13.5" customHeight="1" x14ac:dyDescent="0.3">
      <c r="A36" s="116" t="s">
        <v>76</v>
      </c>
      <c r="B36" s="174"/>
      <c r="C36" s="175">
        <f>C4+C25</f>
        <v>4339</v>
      </c>
      <c r="D36" s="175">
        <f>D4+D25</f>
        <v>11779</v>
      </c>
      <c r="E36" s="175">
        <f>E4+E25</f>
        <v>16048</v>
      </c>
      <c r="F36" s="175">
        <f>F4+F25</f>
        <v>21637</v>
      </c>
    </row>
    <row r="37" spans="1:6" ht="13.5" customHeight="1" x14ac:dyDescent="0.3">
      <c r="A37" s="42"/>
      <c r="B37" s="117"/>
      <c r="C37" s="118"/>
      <c r="D37" s="118"/>
      <c r="E37" s="118"/>
      <c r="F37" s="118"/>
    </row>
    <row r="38" spans="1:6" ht="72" customHeight="1" x14ac:dyDescent="0.3">
      <c r="A38" s="1370" t="s">
        <v>442</v>
      </c>
      <c r="B38" s="1370"/>
      <c r="C38" s="1370"/>
      <c r="D38" s="1370"/>
      <c r="E38" s="1370"/>
      <c r="F38" s="1370"/>
    </row>
    <row r="39" spans="1:6" x14ac:dyDescent="0.3">
      <c r="A39" s="385" t="s">
        <v>443</v>
      </c>
      <c r="B39" s="39"/>
      <c r="C39" s="108"/>
      <c r="D39" s="108"/>
      <c r="E39" s="108"/>
      <c r="F39" s="108"/>
    </row>
    <row r="40" spans="1:6" x14ac:dyDescent="0.3">
      <c r="A40" s="39"/>
      <c r="B40" s="110"/>
      <c r="C40" s="114"/>
      <c r="D40" s="114"/>
      <c r="E40" s="114"/>
      <c r="F40" s="114"/>
    </row>
    <row r="41" spans="1:6" x14ac:dyDescent="0.3">
      <c r="A41" s="39"/>
      <c r="B41" s="39"/>
      <c r="C41" s="108"/>
      <c r="D41" s="108"/>
      <c r="E41" s="108"/>
      <c r="F41" s="108"/>
    </row>
    <row r="42" spans="1:6" x14ac:dyDescent="0.3">
      <c r="A42" s="39"/>
      <c r="B42" s="111"/>
      <c r="C42" s="109"/>
      <c r="D42" s="109"/>
      <c r="E42" s="109"/>
      <c r="F42" s="109"/>
    </row>
    <row r="43" spans="1:6" x14ac:dyDescent="0.3">
      <c r="A43" s="39"/>
      <c r="B43" s="111"/>
      <c r="C43" s="109"/>
      <c r="D43" s="109"/>
      <c r="E43" s="109"/>
      <c r="F43" s="109"/>
    </row>
    <row r="44" spans="1:6" x14ac:dyDescent="0.3">
      <c r="A44" s="39"/>
      <c r="B44" s="39"/>
      <c r="C44" s="108"/>
      <c r="D44" s="108"/>
      <c r="E44" s="108"/>
      <c r="F44" s="108"/>
    </row>
    <row r="45" spans="1:6" x14ac:dyDescent="0.3">
      <c r="A45" s="39"/>
      <c r="B45" s="111"/>
      <c r="C45" s="112"/>
      <c r="D45" s="112"/>
      <c r="E45" s="112"/>
      <c r="F45" s="112"/>
    </row>
    <row r="46" spans="1:6" x14ac:dyDescent="0.3">
      <c r="A46" s="39"/>
      <c r="B46" s="111"/>
      <c r="C46" s="112"/>
      <c r="D46" s="112"/>
      <c r="E46" s="112"/>
      <c r="F46" s="112"/>
    </row>
    <row r="47" spans="1:6" x14ac:dyDescent="0.3">
      <c r="A47" s="39"/>
      <c r="B47" s="39"/>
      <c r="C47" s="108"/>
      <c r="D47" s="108"/>
      <c r="E47" s="108"/>
      <c r="F47" s="108"/>
    </row>
    <row r="48" spans="1:6" x14ac:dyDescent="0.3">
      <c r="A48" s="39"/>
      <c r="B48" s="39"/>
      <c r="C48" s="106"/>
      <c r="D48" s="106"/>
      <c r="E48" s="106"/>
      <c r="F48" s="106"/>
    </row>
    <row r="49" spans="2:6" x14ac:dyDescent="0.3">
      <c r="B49" s="103"/>
      <c r="C49" s="8"/>
      <c r="D49" s="8"/>
      <c r="E49" s="8"/>
      <c r="F49" s="8"/>
    </row>
    <row r="50" spans="2:6" x14ac:dyDescent="0.3">
      <c r="B50" s="103"/>
      <c r="C50" s="8"/>
      <c r="D50" s="8"/>
      <c r="E50" s="8"/>
      <c r="F50" s="8"/>
    </row>
    <row r="51" spans="2:6" x14ac:dyDescent="0.3">
      <c r="B51" s="103"/>
      <c r="C51" s="81"/>
      <c r="D51" s="81"/>
      <c r="E51" s="81"/>
      <c r="F51" s="81"/>
    </row>
    <row r="52" spans="2:6" x14ac:dyDescent="0.3">
      <c r="B52" s="103"/>
      <c r="C52" s="8"/>
      <c r="D52" s="8"/>
      <c r="E52" s="8"/>
      <c r="F52" s="8"/>
    </row>
    <row r="53" spans="2:6" x14ac:dyDescent="0.3">
      <c r="C53" s="8"/>
      <c r="D53" s="8"/>
      <c r="E53" s="8"/>
      <c r="F53" s="8"/>
    </row>
    <row r="54" spans="2:6" x14ac:dyDescent="0.3">
      <c r="B54" s="169"/>
      <c r="C54" s="72"/>
      <c r="D54" s="72"/>
      <c r="E54" s="72"/>
      <c r="F54" s="72"/>
    </row>
    <row r="55" spans="2:6" x14ac:dyDescent="0.3">
      <c r="B55" s="169"/>
      <c r="C55" s="8"/>
      <c r="D55" s="8"/>
      <c r="E55" s="8"/>
      <c r="F55" s="8"/>
    </row>
    <row r="56" spans="2:6" x14ac:dyDescent="0.3">
      <c r="C56" s="8"/>
      <c r="D56" s="8"/>
      <c r="E56" s="8"/>
      <c r="F56" s="8"/>
    </row>
    <row r="57" spans="2:6" x14ac:dyDescent="0.3">
      <c r="B57" s="169"/>
      <c r="C57" s="8"/>
      <c r="D57" s="8"/>
      <c r="E57" s="8"/>
      <c r="F57" s="8"/>
    </row>
    <row r="58" spans="2:6" x14ac:dyDescent="0.3">
      <c r="B58" s="169"/>
      <c r="C58" s="8"/>
      <c r="D58" s="8"/>
      <c r="E58" s="8"/>
      <c r="F58" s="8"/>
    </row>
    <row r="59" spans="2:6" x14ac:dyDescent="0.3">
      <c r="B59" s="169"/>
      <c r="C59" s="8"/>
      <c r="D59" s="8"/>
      <c r="E59" s="8"/>
      <c r="F59" s="8"/>
    </row>
    <row r="60" spans="2:6" x14ac:dyDescent="0.3">
      <c r="B60" s="169"/>
      <c r="C60" s="8"/>
      <c r="D60" s="8"/>
      <c r="E60" s="8"/>
      <c r="F60" s="8"/>
    </row>
    <row r="61" spans="2:6" x14ac:dyDescent="0.3">
      <c r="B61" s="169"/>
      <c r="C61" s="72"/>
      <c r="D61" s="72"/>
      <c r="E61" s="72"/>
      <c r="F61" s="72"/>
    </row>
    <row r="62" spans="2:6" x14ac:dyDescent="0.3">
      <c r="B62" s="169"/>
      <c r="C62" s="72"/>
      <c r="D62" s="72"/>
      <c r="E62" s="72"/>
      <c r="F62" s="72"/>
    </row>
    <row r="63" spans="2:6" x14ac:dyDescent="0.3">
      <c r="B63" s="169"/>
      <c r="C63" s="72"/>
      <c r="D63" s="72"/>
      <c r="E63" s="72"/>
      <c r="F63" s="72"/>
    </row>
  </sheetData>
  <mergeCells count="1">
    <mergeCell ref="A38:F38"/>
  </mergeCells>
  <hyperlinks>
    <hyperlink ref="N1" location="Index!A1" display="Index"/>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7" tint="0.59999389629810485"/>
  </sheetPr>
  <dimension ref="A1:J65"/>
  <sheetViews>
    <sheetView workbookViewId="0">
      <selection activeCell="I4" sqref="I4"/>
    </sheetView>
  </sheetViews>
  <sheetFormatPr defaultColWidth="9.109375" defaultRowHeight="14.4" x14ac:dyDescent="0.3"/>
  <cols>
    <col min="1" max="1" width="33.21875" style="101" customWidth="1"/>
    <col min="2" max="7" width="6.109375" style="101" customWidth="1"/>
    <col min="8" max="16384" width="9.109375" style="101"/>
  </cols>
  <sheetData>
    <row r="1" spans="1:10" ht="15.6" x14ac:dyDescent="0.3">
      <c r="A1" s="202" t="s">
        <v>1886</v>
      </c>
      <c r="J1" s="462" t="s">
        <v>504</v>
      </c>
    </row>
    <row r="2" spans="1:10" s="278" customFormat="1" ht="11.25" customHeight="1" thickBot="1" x14ac:dyDescent="0.35">
      <c r="A2" s="292"/>
      <c r="B2" s="293"/>
      <c r="C2" s="293"/>
      <c r="D2" s="291"/>
      <c r="E2" s="291"/>
      <c r="F2" s="291"/>
      <c r="G2" s="291"/>
    </row>
    <row r="3" spans="1:10" s="278" customFormat="1" ht="15" thickTop="1" x14ac:dyDescent="0.3">
      <c r="A3" s="294"/>
      <c r="B3" s="294"/>
      <c r="C3" s="142">
        <v>1986</v>
      </c>
      <c r="D3" s="142">
        <v>1987</v>
      </c>
      <c r="E3" s="142">
        <v>1988</v>
      </c>
      <c r="F3" s="142">
        <v>1989</v>
      </c>
      <c r="G3" s="142">
        <v>1990</v>
      </c>
      <c r="H3" s="101"/>
    </row>
    <row r="4" spans="1:10" s="278" customFormat="1" ht="13.5" customHeight="1" x14ac:dyDescent="0.3">
      <c r="A4" s="144" t="s">
        <v>363</v>
      </c>
      <c r="B4" s="124"/>
      <c r="C4" s="298">
        <f>C54</f>
        <v>7.7690816794611388</v>
      </c>
      <c r="D4" s="298">
        <f>D54</f>
        <v>10.371141433176877</v>
      </c>
      <c r="E4" s="298">
        <f>E54</f>
        <v>12.834773208122163</v>
      </c>
      <c r="F4" s="298">
        <f>F54</f>
        <v>12.394634599882842</v>
      </c>
      <c r="G4" s="298">
        <f>G54</f>
        <v>12.778539852808041</v>
      </c>
    </row>
    <row r="5" spans="1:10" s="278" customFormat="1" ht="13.5" customHeight="1" x14ac:dyDescent="0.3">
      <c r="A5" s="144" t="s">
        <v>362</v>
      </c>
      <c r="B5" s="138"/>
      <c r="C5" s="139"/>
      <c r="D5" s="299">
        <f>D4-$C4</f>
        <v>2.6020597537157384</v>
      </c>
      <c r="E5" s="299">
        <f>E4-$C4</f>
        <v>5.0656915286610245</v>
      </c>
      <c r="F5" s="299">
        <f>F4-$C4</f>
        <v>4.6255529204217032</v>
      </c>
      <c r="G5" s="299">
        <f>G4-$C4</f>
        <v>5.0094581733469026</v>
      </c>
      <c r="H5" s="101"/>
    </row>
    <row r="6" spans="1:10" s="278" customFormat="1" ht="13.5" customHeight="1" x14ac:dyDescent="0.3">
      <c r="A6" s="337" t="s">
        <v>364</v>
      </c>
      <c r="B6" s="138"/>
      <c r="C6" s="139"/>
      <c r="D6" s="340">
        <f>D39*D$55/100</f>
        <v>1.5802603457117985</v>
      </c>
      <c r="E6" s="340">
        <f>E39*E$55/100</f>
        <v>2.5247363328545345</v>
      </c>
      <c r="F6" s="340">
        <f>F39*F$55/100</f>
        <v>2.1074585499676433</v>
      </c>
      <c r="G6" s="340">
        <f>G39*G$55/100</f>
        <v>2.4273961131569468</v>
      </c>
      <c r="H6" s="101"/>
    </row>
    <row r="7" spans="1:10" s="278" customFormat="1" ht="13.5" customHeight="1" x14ac:dyDescent="0.3">
      <c r="A7" s="337" t="s">
        <v>365</v>
      </c>
      <c r="B7" s="138"/>
      <c r="C7" s="139"/>
      <c r="D7" s="340">
        <f>D41*D$55/100</f>
        <v>0.37036392956779435</v>
      </c>
      <c r="E7" s="340">
        <f>E41*E$55/100</f>
        <v>0.75958341491662129</v>
      </c>
      <c r="F7" s="340">
        <f>F41*F$55/100</f>
        <v>0.67495313022479964</v>
      </c>
      <c r="G7" s="340">
        <f>G41*G$55/100</f>
        <v>0.65733027489028828</v>
      </c>
    </row>
    <row r="8" spans="1:10" s="278" customFormat="1" ht="13.5" customHeight="1" x14ac:dyDescent="0.3">
      <c r="A8" s="337" t="s">
        <v>366</v>
      </c>
      <c r="B8" s="138"/>
      <c r="C8" s="139"/>
      <c r="D8" s="340">
        <f>D40*D$55/100</f>
        <v>0.31421098912793821</v>
      </c>
      <c r="E8" s="340">
        <f>E40*E$55/100</f>
        <v>0.54603505271586295</v>
      </c>
      <c r="F8" s="340">
        <f>F40*F$55/100</f>
        <v>0.5239146675171521</v>
      </c>
      <c r="G8" s="340">
        <f>G40*G$55/100</f>
        <v>0.54133081461553145</v>
      </c>
      <c r="H8" s="101"/>
    </row>
    <row r="9" spans="1:10" s="278" customFormat="1" ht="13.5" customHeight="1" x14ac:dyDescent="0.3">
      <c r="A9" s="337" t="s">
        <v>367</v>
      </c>
      <c r="B9" s="138"/>
      <c r="C9" s="139"/>
      <c r="D9" s="340">
        <f t="shared" ref="D9:G10" si="0">D42*D$55/100</f>
        <v>0.22399806842128403</v>
      </c>
      <c r="E9" s="340">
        <f t="shared" si="0"/>
        <v>0.35248995482251744</v>
      </c>
      <c r="F9" s="340">
        <f t="shared" si="0"/>
        <v>0.3405445338861488</v>
      </c>
      <c r="G9" s="340">
        <f t="shared" si="0"/>
        <v>0.42103507803430235</v>
      </c>
      <c r="H9" s="101"/>
    </row>
    <row r="10" spans="1:10" s="278" customFormat="1" ht="13.5" customHeight="1" x14ac:dyDescent="0.3">
      <c r="A10" s="337" t="s">
        <v>368</v>
      </c>
      <c r="B10" s="138"/>
      <c r="C10" s="139"/>
      <c r="D10" s="340">
        <f t="shared" si="0"/>
        <v>0.33630394930099633</v>
      </c>
      <c r="E10" s="340">
        <f t="shared" si="0"/>
        <v>0.39195585467227789</v>
      </c>
      <c r="F10" s="340">
        <f t="shared" si="0"/>
        <v>0.45311538812294239</v>
      </c>
      <c r="G10" s="340">
        <f t="shared" si="0"/>
        <v>0.4339239069537198</v>
      </c>
      <c r="H10" s="101"/>
    </row>
    <row r="11" spans="1:10" s="278" customFormat="1" ht="13.5" customHeight="1" x14ac:dyDescent="0.3">
      <c r="A11" s="339" t="s">
        <v>369</v>
      </c>
      <c r="B11" s="149"/>
      <c r="C11" s="150"/>
      <c r="D11" s="341">
        <f>D55-SUM(D6:D10)</f>
        <v>-0.22307752841407336</v>
      </c>
      <c r="E11" s="341">
        <f>E55-SUM(E6:E10)</f>
        <v>0.49089091867921031</v>
      </c>
      <c r="F11" s="341">
        <f>F55-SUM(F6:F10)</f>
        <v>0.52556665070301722</v>
      </c>
      <c r="G11" s="341">
        <f>G55-SUM(G6:G10)</f>
        <v>0.528441985696114</v>
      </c>
      <c r="H11" s="101"/>
    </row>
    <row r="12" spans="1:10" s="278" customFormat="1" ht="9.75" customHeight="1" x14ac:dyDescent="0.3">
      <c r="A12" s="101"/>
      <c r="B12" s="101"/>
      <c r="C12" s="101"/>
      <c r="D12" s="101"/>
      <c r="E12" s="101"/>
      <c r="F12" s="101"/>
      <c r="G12" s="101"/>
      <c r="H12" s="101"/>
    </row>
    <row r="13" spans="1:10" s="278" customFormat="1" ht="52.5" customHeight="1" x14ac:dyDescent="0.3">
      <c r="A13" s="1370" t="s">
        <v>444</v>
      </c>
      <c r="B13" s="1370"/>
      <c r="C13" s="1370"/>
      <c r="D13" s="1370"/>
      <c r="E13" s="1370"/>
      <c r="F13" s="1370"/>
      <c r="G13" s="1370"/>
    </row>
    <row r="14" spans="1:10" s="278" customFormat="1" x14ac:dyDescent="0.3">
      <c r="A14" s="386" t="s">
        <v>1662</v>
      </c>
    </row>
    <row r="15" spans="1:10" s="278" customFormat="1" x14ac:dyDescent="0.3">
      <c r="A15" s="57"/>
    </row>
    <row r="16" spans="1:10" s="278" customFormat="1" x14ac:dyDescent="0.3">
      <c r="A16" s="57"/>
    </row>
    <row r="17" spans="1:8" ht="15" thickBot="1" x14ac:dyDescent="0.35">
      <c r="A17" s="338" t="s">
        <v>360</v>
      </c>
      <c r="B17" s="10"/>
      <c r="C17" s="10"/>
      <c r="D17" s="10"/>
      <c r="E17" s="10"/>
    </row>
    <row r="18" spans="1:8" ht="12" customHeight="1" thickTop="1" x14ac:dyDescent="0.3">
      <c r="A18" s="141"/>
      <c r="B18" s="142">
        <v>1985</v>
      </c>
      <c r="C18" s="142">
        <v>1986</v>
      </c>
      <c r="D18" s="142">
        <v>1987</v>
      </c>
      <c r="E18" s="142">
        <v>1988</v>
      </c>
      <c r="F18" s="142">
        <v>1989</v>
      </c>
      <c r="G18" s="142">
        <v>1990</v>
      </c>
    </row>
    <row r="19" spans="1:8" ht="11.25" customHeight="1" x14ac:dyDescent="0.3">
      <c r="A19" s="137" t="s">
        <v>121</v>
      </c>
      <c r="B19" s="143">
        <v>192</v>
      </c>
      <c r="C19" s="143">
        <v>191.7</v>
      </c>
      <c r="D19" s="143">
        <v>276.8</v>
      </c>
      <c r="E19" s="143">
        <v>379.4</v>
      </c>
      <c r="F19" s="143">
        <v>388</v>
      </c>
      <c r="G19" s="143">
        <v>425.2</v>
      </c>
      <c r="H19" s="13"/>
    </row>
    <row r="20" spans="1:8" ht="9" customHeight="1" x14ac:dyDescent="0.3">
      <c r="A20" s="144"/>
      <c r="B20" s="145"/>
      <c r="C20" s="145"/>
      <c r="D20" s="145"/>
      <c r="E20" s="145"/>
      <c r="F20" s="145"/>
      <c r="G20" s="145"/>
      <c r="H20" s="13"/>
    </row>
    <row r="21" spans="1:8" ht="11.25" customHeight="1" x14ac:dyDescent="0.3">
      <c r="A21" s="146" t="s">
        <v>179</v>
      </c>
      <c r="B21" s="163" t="s">
        <v>50</v>
      </c>
      <c r="C21" s="164">
        <f>C19-$B19</f>
        <v>-0.30000000000001137</v>
      </c>
      <c r="D21" s="164">
        <f>D19-$B19</f>
        <v>84.800000000000011</v>
      </c>
      <c r="E21" s="164">
        <f>E19-$B19</f>
        <v>187.39999999999998</v>
      </c>
      <c r="F21" s="164">
        <f>F19-$B19</f>
        <v>196</v>
      </c>
      <c r="G21" s="164">
        <f>G19-$B19</f>
        <v>233.2</v>
      </c>
      <c r="H21" s="166"/>
    </row>
    <row r="22" spans="1:8" ht="11.25" customHeight="1" x14ac:dyDescent="0.3">
      <c r="A22" s="137" t="s">
        <v>188</v>
      </c>
      <c r="B22" s="138" t="s">
        <v>50</v>
      </c>
      <c r="C22" s="139">
        <v>2.1</v>
      </c>
      <c r="D22" s="139">
        <v>51.5</v>
      </c>
      <c r="E22" s="139">
        <v>93.4</v>
      </c>
      <c r="F22" s="139">
        <v>89.3</v>
      </c>
      <c r="G22" s="139">
        <v>113</v>
      </c>
      <c r="H22" s="13"/>
    </row>
    <row r="23" spans="1:8" ht="11.25" customHeight="1" x14ac:dyDescent="0.3">
      <c r="A23" s="137" t="s">
        <v>189</v>
      </c>
      <c r="B23" s="138" t="s">
        <v>50</v>
      </c>
      <c r="C23" s="139">
        <v>-2.8</v>
      </c>
      <c r="D23" s="139">
        <v>10.24</v>
      </c>
      <c r="E23" s="139">
        <v>20.2</v>
      </c>
      <c r="F23" s="139">
        <v>22.2</v>
      </c>
      <c r="G23" s="139">
        <v>25.2</v>
      </c>
      <c r="H23" s="13"/>
    </row>
    <row r="24" spans="1:8" ht="11.25" customHeight="1" x14ac:dyDescent="0.3">
      <c r="A24" s="137" t="s">
        <v>190</v>
      </c>
      <c r="B24" s="138" t="s">
        <v>50</v>
      </c>
      <c r="C24" s="139">
        <v>3</v>
      </c>
      <c r="D24" s="139">
        <v>-3.1</v>
      </c>
      <c r="E24" s="139">
        <v>-4.5</v>
      </c>
      <c r="F24" s="139">
        <v>-6</v>
      </c>
      <c r="G24" s="139">
        <v>-8.5</v>
      </c>
      <c r="H24" s="13"/>
    </row>
    <row r="25" spans="1:8" ht="11.25" customHeight="1" x14ac:dyDescent="0.3">
      <c r="A25" s="137" t="s">
        <v>191</v>
      </c>
      <c r="B25" s="138" t="s">
        <v>50</v>
      </c>
      <c r="C25" s="139">
        <v>1.3</v>
      </c>
      <c r="D25" s="139">
        <v>12.07</v>
      </c>
      <c r="E25" s="139">
        <v>28.1</v>
      </c>
      <c r="F25" s="139">
        <v>28.6</v>
      </c>
      <c r="G25" s="139">
        <v>30.6</v>
      </c>
      <c r="H25" s="13"/>
    </row>
    <row r="26" spans="1:8" ht="11.25" customHeight="1" x14ac:dyDescent="0.3">
      <c r="A26" s="137" t="s">
        <v>192</v>
      </c>
      <c r="B26" s="138" t="s">
        <v>50</v>
      </c>
      <c r="C26" s="139">
        <v>0.1</v>
      </c>
      <c r="D26" s="139">
        <v>1.4</v>
      </c>
      <c r="E26" s="139">
        <v>3.6</v>
      </c>
      <c r="F26" s="139">
        <v>5.2</v>
      </c>
      <c r="G26" s="139">
        <v>5.7</v>
      </c>
      <c r="H26" s="13"/>
    </row>
    <row r="27" spans="1:8" ht="11.25" customHeight="1" x14ac:dyDescent="0.3">
      <c r="A27" s="137" t="s">
        <v>193</v>
      </c>
      <c r="B27" s="138" t="s">
        <v>50</v>
      </c>
      <c r="C27" s="139">
        <v>0.6</v>
      </c>
      <c r="D27" s="139">
        <v>7.3</v>
      </c>
      <c r="E27" s="139">
        <v>13.04</v>
      </c>
      <c r="F27" s="139">
        <v>14.43</v>
      </c>
      <c r="G27" s="139">
        <v>19.600000000000001</v>
      </c>
      <c r="H27" s="13"/>
    </row>
    <row r="28" spans="1:8" s="121" customFormat="1" ht="11.25" customHeight="1" x14ac:dyDescent="0.3">
      <c r="A28" s="137" t="s">
        <v>194</v>
      </c>
      <c r="B28" s="138"/>
      <c r="C28" s="139">
        <v>0.2</v>
      </c>
      <c r="D28" s="139">
        <v>-0.3</v>
      </c>
      <c r="E28" s="139">
        <v>-0.5</v>
      </c>
      <c r="F28" s="139">
        <v>-0.5</v>
      </c>
      <c r="G28" s="139">
        <v>-0.7</v>
      </c>
      <c r="H28" s="13"/>
    </row>
    <row r="29" spans="1:8" ht="11.25" customHeight="1" x14ac:dyDescent="0.3">
      <c r="A29" s="137" t="s">
        <v>195</v>
      </c>
      <c r="B29" s="138" t="s">
        <v>50</v>
      </c>
      <c r="C29" s="139">
        <v>-0.2</v>
      </c>
      <c r="D29" s="139">
        <v>2.4</v>
      </c>
      <c r="E29" s="139">
        <v>3.4</v>
      </c>
      <c r="F29" s="139">
        <v>4.5999999999999996</v>
      </c>
      <c r="G29" s="139">
        <v>5.6</v>
      </c>
      <c r="H29" s="13"/>
    </row>
    <row r="30" spans="1:8" s="165" customFormat="1" ht="11.25" customHeight="1" x14ac:dyDescent="0.3">
      <c r="A30" s="137" t="s">
        <v>196</v>
      </c>
      <c r="B30" s="138" t="s">
        <v>50</v>
      </c>
      <c r="C30" s="139">
        <f>C21-SUM(C22:C29,C31)</f>
        <v>-4.5000000000000124</v>
      </c>
      <c r="D30" s="139">
        <f>D21-SUM(D22:D29,D31)</f>
        <v>-7.6700000000000159</v>
      </c>
      <c r="E30" s="139">
        <f>E21-SUM(E22:E29,E31)</f>
        <v>16.159999999999968</v>
      </c>
      <c r="F30" s="139">
        <f>F21-SUM(F22:F29,F31)</f>
        <v>18.970000000000027</v>
      </c>
      <c r="G30" s="139">
        <f>G21-SUM(G22:G29,G31)</f>
        <v>22.5</v>
      </c>
      <c r="H30" s="13"/>
    </row>
    <row r="31" spans="1:8" s="121" customFormat="1" ht="11.25" customHeight="1" x14ac:dyDescent="0.3">
      <c r="A31" s="137" t="s">
        <v>182</v>
      </c>
      <c r="B31" s="139">
        <f t="shared" ref="B31:G31" si="1">SUM(B32:B36)</f>
        <v>-0.1</v>
      </c>
      <c r="C31" s="139">
        <f t="shared" si="1"/>
        <v>-0.1</v>
      </c>
      <c r="D31" s="139">
        <f t="shared" si="1"/>
        <v>10.96</v>
      </c>
      <c r="E31" s="139">
        <f t="shared" si="1"/>
        <v>14.5</v>
      </c>
      <c r="F31" s="139">
        <f t="shared" si="1"/>
        <v>19.2</v>
      </c>
      <c r="G31" s="139">
        <f t="shared" si="1"/>
        <v>20.200000000000003</v>
      </c>
      <c r="H31" s="13"/>
    </row>
    <row r="32" spans="1:8" s="121" customFormat="1" ht="9.75" customHeight="1" x14ac:dyDescent="0.3">
      <c r="A32" s="31" t="s">
        <v>183</v>
      </c>
      <c r="B32" s="176" t="s">
        <v>50</v>
      </c>
      <c r="C32" s="176" t="s">
        <v>50</v>
      </c>
      <c r="D32" s="177">
        <v>4.74</v>
      </c>
      <c r="E32" s="177">
        <v>5.7</v>
      </c>
      <c r="F32" s="177">
        <v>7</v>
      </c>
      <c r="G32" s="177">
        <v>9.1</v>
      </c>
      <c r="H32" s="13"/>
    </row>
    <row r="33" spans="1:8" s="121" customFormat="1" ht="9.75" customHeight="1" x14ac:dyDescent="0.3">
      <c r="A33" s="31" t="s">
        <v>184</v>
      </c>
      <c r="B33" s="176" t="s">
        <v>50</v>
      </c>
      <c r="C33" s="176" t="s">
        <v>50</v>
      </c>
      <c r="D33" s="177">
        <v>1.24</v>
      </c>
      <c r="E33" s="177">
        <v>2.2000000000000002</v>
      </c>
      <c r="F33" s="177">
        <v>2.9</v>
      </c>
      <c r="G33" s="177">
        <v>3.4</v>
      </c>
      <c r="H33" s="13"/>
    </row>
    <row r="34" spans="1:8" ht="9.75" customHeight="1" x14ac:dyDescent="0.3">
      <c r="A34" s="31" t="s">
        <v>185</v>
      </c>
      <c r="B34" s="176" t="s">
        <v>50</v>
      </c>
      <c r="C34" s="176" t="s">
        <v>50</v>
      </c>
      <c r="D34" s="177">
        <v>4.4400000000000004</v>
      </c>
      <c r="E34" s="177">
        <v>5.8</v>
      </c>
      <c r="F34" s="177">
        <v>6.9</v>
      </c>
      <c r="G34" s="177">
        <v>6.1</v>
      </c>
      <c r="H34" s="13"/>
    </row>
    <row r="35" spans="1:8" ht="9.75" customHeight="1" x14ac:dyDescent="0.3">
      <c r="A35" s="31" t="s">
        <v>186</v>
      </c>
      <c r="B35" s="176" t="s">
        <v>50</v>
      </c>
      <c r="C35" s="176" t="s">
        <v>50</v>
      </c>
      <c r="D35" s="177">
        <v>0.54</v>
      </c>
      <c r="E35" s="177">
        <v>0.8</v>
      </c>
      <c r="F35" s="177">
        <v>2.4</v>
      </c>
      <c r="G35" s="177">
        <v>1.6</v>
      </c>
      <c r="H35" s="13"/>
    </row>
    <row r="36" spans="1:8" ht="9.75" customHeight="1" x14ac:dyDescent="0.3">
      <c r="A36" s="31" t="s">
        <v>187</v>
      </c>
      <c r="B36" s="177">
        <v>-0.1</v>
      </c>
      <c r="C36" s="177">
        <v>-0.1</v>
      </c>
      <c r="D36" s="177">
        <v>0</v>
      </c>
      <c r="E36" s="177">
        <v>0</v>
      </c>
      <c r="F36" s="177">
        <v>0</v>
      </c>
      <c r="G36" s="177">
        <v>0</v>
      </c>
      <c r="H36" s="13"/>
    </row>
    <row r="37" spans="1:8" ht="8.25" customHeight="1" x14ac:dyDescent="0.3">
      <c r="A37" s="122"/>
      <c r="B37" s="122"/>
      <c r="C37" s="122"/>
      <c r="D37" s="122"/>
      <c r="E37" s="122"/>
      <c r="F37" s="122"/>
      <c r="G37" s="122"/>
      <c r="H37" s="13"/>
    </row>
    <row r="38" spans="1:8" ht="11.25" customHeight="1" x14ac:dyDescent="0.3">
      <c r="A38" s="144" t="s">
        <v>181</v>
      </c>
      <c r="B38" s="138"/>
      <c r="C38" s="139"/>
      <c r="D38" s="139"/>
      <c r="E38" s="139"/>
      <c r="F38" s="139"/>
      <c r="G38" s="139"/>
      <c r="H38" s="13"/>
    </row>
    <row r="39" spans="1:8" ht="11.25" customHeight="1" x14ac:dyDescent="0.3">
      <c r="A39" s="137" t="s">
        <v>115</v>
      </c>
      <c r="B39" s="138"/>
      <c r="C39" s="139"/>
      <c r="D39" s="147">
        <f t="shared" ref="D39:G40" si="2">D22/D$21*100</f>
        <v>60.731132075471692</v>
      </c>
      <c r="E39" s="147">
        <f t="shared" si="2"/>
        <v>49.839914621131278</v>
      </c>
      <c r="F39" s="147">
        <f t="shared" si="2"/>
        <v>45.561224489795919</v>
      </c>
      <c r="G39" s="147">
        <f t="shared" si="2"/>
        <v>48.456260720411663</v>
      </c>
    </row>
    <row r="40" spans="1:8" ht="11.25" customHeight="1" x14ac:dyDescent="0.3">
      <c r="A40" s="137" t="s">
        <v>116</v>
      </c>
      <c r="B40" s="138"/>
      <c r="C40" s="139"/>
      <c r="D40" s="147">
        <f>D23/D$21*100</f>
        <v>12.075471698113207</v>
      </c>
      <c r="E40" s="147">
        <f t="shared" si="2"/>
        <v>10.779082177161154</v>
      </c>
      <c r="F40" s="147">
        <f t="shared" si="2"/>
        <v>11.326530612244898</v>
      </c>
      <c r="G40" s="147">
        <f t="shared" si="2"/>
        <v>10.806174957118353</v>
      </c>
    </row>
    <row r="41" spans="1:8" ht="11.25" customHeight="1" x14ac:dyDescent="0.3">
      <c r="A41" s="137" t="s">
        <v>117</v>
      </c>
      <c r="B41" s="138"/>
      <c r="C41" s="139"/>
      <c r="D41" s="147">
        <f>D25/D$21*100</f>
        <v>14.233490566037736</v>
      </c>
      <c r="E41" s="147">
        <f>E25/E$21*100</f>
        <v>14.994663820704378</v>
      </c>
      <c r="F41" s="147">
        <f>F25/F$21*100</f>
        <v>14.591836734693878</v>
      </c>
      <c r="G41" s="147">
        <f>G25/G$21*100</f>
        <v>13.121783876500858</v>
      </c>
    </row>
    <row r="42" spans="1:8" ht="11.25" customHeight="1" x14ac:dyDescent="0.3">
      <c r="A42" s="137" t="s">
        <v>120</v>
      </c>
      <c r="B42" s="138"/>
      <c r="C42" s="139"/>
      <c r="D42" s="147">
        <f>D27/D$21*100</f>
        <v>8.6084905660377338</v>
      </c>
      <c r="E42" s="147">
        <f>E27/E$21*100</f>
        <v>6.9583778014941311</v>
      </c>
      <c r="F42" s="147">
        <f>F27/F$21*100</f>
        <v>7.362244897959183</v>
      </c>
      <c r="G42" s="147">
        <f>G27/G$21*100</f>
        <v>8.4048027444253872</v>
      </c>
    </row>
    <row r="43" spans="1:8" ht="11.25" customHeight="1" x14ac:dyDescent="0.3">
      <c r="A43" s="137" t="s">
        <v>119</v>
      </c>
      <c r="B43" s="138"/>
      <c r="C43" s="139"/>
      <c r="D43" s="147">
        <f>D31/D$21*100</f>
        <v>12.924528301886792</v>
      </c>
      <c r="E43" s="147">
        <f>E31/E$21*100</f>
        <v>7.7374599786552842</v>
      </c>
      <c r="F43" s="147">
        <f>F31/F$21*100</f>
        <v>9.795918367346939</v>
      </c>
      <c r="G43" s="147">
        <f>G31/G$21*100</f>
        <v>8.6620926243567773</v>
      </c>
    </row>
    <row r="44" spans="1:8" ht="11.25" customHeight="1" x14ac:dyDescent="0.3">
      <c r="A44" s="148" t="s">
        <v>118</v>
      </c>
      <c r="B44" s="149"/>
      <c r="C44" s="150"/>
      <c r="D44" s="150">
        <f>100-SUM(D39:D43)</f>
        <v>-8.5731132075471521</v>
      </c>
      <c r="E44" s="150">
        <f>100-SUM(E39:E43)</f>
        <v>9.6905016008537785</v>
      </c>
      <c r="F44" s="150">
        <f>100-SUM(F39:F43)</f>
        <v>11.362244897959172</v>
      </c>
      <c r="G44" s="150">
        <f>100-SUM(G39:G43)</f>
        <v>10.548885077186966</v>
      </c>
    </row>
    <row r="45" spans="1:8" ht="13.5" customHeight="1" x14ac:dyDescent="0.3">
      <c r="A45" s="134"/>
      <c r="B45" s="135"/>
      <c r="C45" s="135"/>
      <c r="D45" s="135"/>
      <c r="E45" s="135"/>
      <c r="F45" s="136"/>
      <c r="G45" s="13"/>
      <c r="H45" s="13"/>
    </row>
    <row r="46" spans="1:8" s="121" customFormat="1" ht="13.5" customHeight="1" thickBot="1" x14ac:dyDescent="0.35">
      <c r="A46" s="120" t="s">
        <v>361</v>
      </c>
      <c r="B46" s="118"/>
      <c r="C46" s="118"/>
      <c r="D46" s="118"/>
      <c r="E46" s="118"/>
      <c r="F46" s="113"/>
    </row>
    <row r="47" spans="1:8" s="121" customFormat="1" ht="13.5" customHeight="1" thickTop="1" x14ac:dyDescent="0.3">
      <c r="A47" s="141"/>
      <c r="B47" s="142">
        <v>1985</v>
      </c>
      <c r="C47" s="142">
        <v>1986</v>
      </c>
      <c r="D47" s="142">
        <v>1987</v>
      </c>
      <c r="E47" s="142">
        <v>1988</v>
      </c>
      <c r="F47" s="142">
        <v>1989</v>
      </c>
      <c r="G47" s="142">
        <v>1990</v>
      </c>
    </row>
    <row r="48" spans="1:8" ht="12.75" customHeight="1" x14ac:dyDescent="0.3">
      <c r="A48" s="137" t="s">
        <v>250</v>
      </c>
      <c r="B48" s="143">
        <v>192</v>
      </c>
      <c r="C48" s="143">
        <v>191.7</v>
      </c>
      <c r="D48" s="143">
        <v>276.8</v>
      </c>
      <c r="E48" s="143">
        <v>379.4</v>
      </c>
      <c r="F48" s="143">
        <v>388</v>
      </c>
      <c r="G48" s="143">
        <v>425.2</v>
      </c>
    </row>
    <row r="49" spans="1:7" s="278" customFormat="1" ht="12.75" customHeight="1" x14ac:dyDescent="0.3">
      <c r="A49" s="79" t="s">
        <v>370</v>
      </c>
      <c r="B49" s="138" t="s">
        <v>50</v>
      </c>
      <c r="C49" s="138" t="s">
        <v>50</v>
      </c>
      <c r="D49" s="140">
        <f>D48-$C48</f>
        <v>85.100000000000023</v>
      </c>
      <c r="E49" s="140">
        <f>E48-$C48</f>
        <v>187.7</v>
      </c>
      <c r="F49" s="140">
        <f>F48-$C48</f>
        <v>196.3</v>
      </c>
      <c r="G49" s="140">
        <f>G48-$C48</f>
        <v>233.5</v>
      </c>
    </row>
    <row r="50" spans="1:7" s="278" customFormat="1" ht="12.75" customHeight="1" x14ac:dyDescent="0.3">
      <c r="A50" s="137"/>
      <c r="B50" s="143"/>
      <c r="C50" s="143"/>
      <c r="D50" s="143"/>
      <c r="E50" s="143"/>
      <c r="F50" s="143"/>
      <c r="G50" s="143"/>
    </row>
    <row r="51" spans="1:7" s="278" customFormat="1" ht="12.75" customHeight="1" x14ac:dyDescent="0.3">
      <c r="A51" s="137" t="s">
        <v>251</v>
      </c>
      <c r="B51" s="177">
        <v>2349.4948790044314</v>
      </c>
      <c r="C51" s="177">
        <v>2467.4730928211357</v>
      </c>
      <c r="D51" s="177">
        <v>2668.9444144935442</v>
      </c>
      <c r="E51" s="177">
        <v>2956.0319753831432</v>
      </c>
      <c r="F51" s="177">
        <v>3130.3867562474775</v>
      </c>
      <c r="G51" s="177">
        <v>3327.4537223950801</v>
      </c>
    </row>
    <row r="52" spans="1:7" s="278" customFormat="1" ht="12.75" customHeight="1" x14ac:dyDescent="0.3">
      <c r="A52" s="137" t="s">
        <v>252</v>
      </c>
      <c r="B52" s="177"/>
      <c r="C52" s="177"/>
      <c r="D52" s="177">
        <f>D51-$C51</f>
        <v>201.47132167240852</v>
      </c>
      <c r="E52" s="177">
        <f>E51-$C51</f>
        <v>488.55888256200751</v>
      </c>
      <c r="F52" s="177">
        <f>F51-$C51</f>
        <v>662.91366342634183</v>
      </c>
      <c r="G52" s="177">
        <f>G51-$C51</f>
        <v>859.9806295739445</v>
      </c>
    </row>
    <row r="53" spans="1:7" s="278" customFormat="1" ht="10.5" customHeight="1" x14ac:dyDescent="0.3">
      <c r="A53" s="137"/>
      <c r="B53" s="177"/>
      <c r="C53" s="177"/>
      <c r="D53" s="177"/>
      <c r="E53" s="177"/>
      <c r="F53" s="177"/>
      <c r="G53" s="177"/>
    </row>
    <row r="54" spans="1:7" s="278" customFormat="1" ht="12.75" customHeight="1" x14ac:dyDescent="0.3">
      <c r="A54" s="137" t="s">
        <v>249</v>
      </c>
      <c r="B54" s="290">
        <f t="shared" ref="B54:G54" si="3">B48/B51*100</f>
        <v>8.1719692907505959</v>
      </c>
      <c r="C54" s="290">
        <f t="shared" si="3"/>
        <v>7.7690816794611388</v>
      </c>
      <c r="D54" s="290">
        <f t="shared" si="3"/>
        <v>10.371141433176877</v>
      </c>
      <c r="E54" s="290">
        <f t="shared" si="3"/>
        <v>12.834773208122163</v>
      </c>
      <c r="F54" s="290">
        <f t="shared" si="3"/>
        <v>12.394634599882842</v>
      </c>
      <c r="G54" s="290">
        <f t="shared" si="3"/>
        <v>12.778539852808041</v>
      </c>
    </row>
    <row r="55" spans="1:7" s="278" customFormat="1" ht="12.75" customHeight="1" x14ac:dyDescent="0.3">
      <c r="A55" s="148" t="s">
        <v>253</v>
      </c>
      <c r="B55" s="391"/>
      <c r="C55" s="391"/>
      <c r="D55" s="391">
        <f>D54-$C54</f>
        <v>2.6020597537157384</v>
      </c>
      <c r="E55" s="391">
        <f>E54-$C54</f>
        <v>5.0656915286610245</v>
      </c>
      <c r="F55" s="391">
        <f>F54-$C54</f>
        <v>4.6255529204217032</v>
      </c>
      <c r="G55" s="391">
        <f>G54-$C54</f>
        <v>5.0094581733469026</v>
      </c>
    </row>
    <row r="56" spans="1:7" ht="12.75" customHeight="1" x14ac:dyDescent="0.3">
      <c r="A56" s="144"/>
      <c r="B56" s="145"/>
      <c r="C56" s="145"/>
      <c r="D56" s="145"/>
      <c r="E56" s="145"/>
      <c r="F56" s="145"/>
      <c r="G56" s="145"/>
    </row>
    <row r="57" spans="1:7" ht="12.75" customHeight="1" x14ac:dyDescent="0.3"/>
    <row r="58" spans="1:7" s="278" customFormat="1" ht="12.75" customHeight="1" x14ac:dyDescent="0.3"/>
    <row r="59" spans="1:7" ht="14.25" customHeight="1" x14ac:dyDescent="0.3"/>
    <row r="60" spans="1:7" ht="15" customHeight="1" x14ac:dyDescent="0.3"/>
    <row r="61" spans="1:7" ht="12.75" customHeight="1" x14ac:dyDescent="0.3"/>
    <row r="62" spans="1:7" ht="12.75" customHeight="1" x14ac:dyDescent="0.3"/>
    <row r="63" spans="1:7" ht="12.75" customHeight="1" x14ac:dyDescent="0.3"/>
    <row r="64" spans="1:7" ht="12.75" customHeight="1" x14ac:dyDescent="0.3"/>
    <row r="65" ht="12.75" customHeight="1" x14ac:dyDescent="0.3"/>
  </sheetData>
  <mergeCells count="1">
    <mergeCell ref="A13:G13"/>
  </mergeCells>
  <hyperlinks>
    <hyperlink ref="J1" location="Index!A1" display="Index"/>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7" tint="0.59999389629810485"/>
  </sheetPr>
  <dimension ref="A1:H17"/>
  <sheetViews>
    <sheetView workbookViewId="0">
      <selection activeCell="N51" sqref="N51"/>
    </sheetView>
  </sheetViews>
  <sheetFormatPr defaultColWidth="9.109375" defaultRowHeight="14.4" x14ac:dyDescent="0.3"/>
  <cols>
    <col min="1" max="1" width="29.109375" style="101" customWidth="1"/>
    <col min="2" max="7" width="7.88671875" style="101" customWidth="1"/>
    <col min="8" max="16384" width="9.109375" style="101"/>
  </cols>
  <sheetData>
    <row r="1" spans="1:8" ht="15.6" x14ac:dyDescent="0.3">
      <c r="A1" s="102" t="s">
        <v>1888</v>
      </c>
      <c r="H1" s="462" t="s">
        <v>504</v>
      </c>
    </row>
    <row r="2" spans="1:8" ht="15" thickBot="1" x14ac:dyDescent="0.35">
      <c r="A2" s="10"/>
      <c r="B2" s="10"/>
      <c r="C2" s="10"/>
      <c r="D2" s="10"/>
      <c r="E2" s="10"/>
    </row>
    <row r="3" spans="1:8" ht="12" customHeight="1" thickTop="1" x14ac:dyDescent="0.3">
      <c r="A3" s="119"/>
      <c r="B3" s="130">
        <v>1986</v>
      </c>
      <c r="C3" s="130">
        <v>1987</v>
      </c>
      <c r="D3" s="130">
        <v>1988</v>
      </c>
      <c r="E3" s="130">
        <v>1989</v>
      </c>
      <c r="F3" s="130">
        <v>1990</v>
      </c>
      <c r="G3" s="348"/>
    </row>
    <row r="4" spans="1:8" ht="12.75" customHeight="1" x14ac:dyDescent="0.3">
      <c r="A4" s="13" t="s">
        <v>350</v>
      </c>
      <c r="B4" s="133">
        <v>16.876999999999999</v>
      </c>
      <c r="C4" s="133">
        <v>110.637</v>
      </c>
      <c r="D4" s="133">
        <v>199.99299999999999</v>
      </c>
      <c r="E4" s="133">
        <v>193.72499999999999</v>
      </c>
      <c r="F4" s="133">
        <v>240.35499999999999</v>
      </c>
      <c r="G4" s="350"/>
    </row>
    <row r="5" spans="1:8" ht="8.25" customHeight="1" x14ac:dyDescent="0.3">
      <c r="A5" s="131"/>
      <c r="B5" s="132"/>
      <c r="C5" s="132"/>
      <c r="D5" s="132"/>
      <c r="E5" s="132"/>
      <c r="F5" s="132"/>
      <c r="G5" s="343"/>
    </row>
    <row r="6" spans="1:8" ht="12" customHeight="1" x14ac:dyDescent="0.3">
      <c r="A6" s="1385" t="s">
        <v>1683</v>
      </c>
      <c r="B6" s="1385"/>
      <c r="C6" s="1385"/>
      <c r="D6" s="1385"/>
      <c r="E6" s="1385"/>
      <c r="F6" s="1385"/>
      <c r="G6" s="349"/>
    </row>
    <row r="7" spans="1:8" ht="12" customHeight="1" x14ac:dyDescent="0.3">
      <c r="A7" s="1071" t="s">
        <v>1684</v>
      </c>
      <c r="B7" s="126" t="s">
        <v>50</v>
      </c>
      <c r="C7" s="128">
        <v>0.2</v>
      </c>
      <c r="D7" s="128">
        <v>7.6</v>
      </c>
      <c r="E7" s="128">
        <v>4.9000000000000004</v>
      </c>
      <c r="F7" s="128">
        <v>7.5</v>
      </c>
      <c r="G7" s="344"/>
    </row>
    <row r="8" spans="1:8" ht="12" customHeight="1" x14ac:dyDescent="0.3">
      <c r="A8" s="1071" t="s">
        <v>1685</v>
      </c>
      <c r="B8" s="128">
        <v>4.5</v>
      </c>
      <c r="C8" s="128">
        <v>8</v>
      </c>
      <c r="D8" s="128">
        <v>6.6</v>
      </c>
      <c r="E8" s="128">
        <v>5.4</v>
      </c>
      <c r="F8" s="128">
        <v>5.5</v>
      </c>
      <c r="G8" s="344"/>
    </row>
    <row r="9" spans="1:8" ht="12" customHeight="1" x14ac:dyDescent="0.3">
      <c r="A9" s="1071" t="s">
        <v>1686</v>
      </c>
      <c r="B9" s="128">
        <v>0.3</v>
      </c>
      <c r="C9" s="128">
        <v>6.4</v>
      </c>
      <c r="D9" s="128">
        <v>2.6</v>
      </c>
      <c r="E9" s="128">
        <v>1.6</v>
      </c>
      <c r="F9" s="128">
        <v>0.9</v>
      </c>
      <c r="G9" s="344"/>
    </row>
    <row r="10" spans="1:8" ht="12" customHeight="1" x14ac:dyDescent="0.3">
      <c r="A10" s="1071" t="s">
        <v>1687</v>
      </c>
      <c r="B10" s="128">
        <v>-8.9</v>
      </c>
      <c r="C10" s="128">
        <v>7.4</v>
      </c>
      <c r="D10" s="128">
        <v>8.4</v>
      </c>
      <c r="E10" s="128">
        <v>10.4</v>
      </c>
      <c r="F10" s="128">
        <v>8.3000000000000007</v>
      </c>
      <c r="G10" s="344"/>
    </row>
    <row r="11" spans="1:8" s="121" customFormat="1" ht="12" customHeight="1" x14ac:dyDescent="0.3">
      <c r="A11" s="1072" t="s">
        <v>246</v>
      </c>
      <c r="B11" s="127" t="s">
        <v>50</v>
      </c>
      <c r="C11" s="129">
        <f>SUM(C7:C10)</f>
        <v>22</v>
      </c>
      <c r="D11" s="129">
        <f>SUM(D7:D10)</f>
        <v>25.200000000000003</v>
      </c>
      <c r="E11" s="129">
        <f>SUM(E7:E10)</f>
        <v>22.3</v>
      </c>
      <c r="F11" s="129">
        <f>SUM(F7:F10)</f>
        <v>22.200000000000003</v>
      </c>
      <c r="G11" s="346"/>
    </row>
    <row r="12" spans="1:8" ht="12" customHeight="1" x14ac:dyDescent="0.3">
      <c r="A12" s="13"/>
      <c r="B12" s="126"/>
      <c r="C12" s="128"/>
      <c r="D12" s="128"/>
      <c r="E12" s="128"/>
      <c r="F12" s="128"/>
      <c r="G12" s="128"/>
    </row>
    <row r="13" spans="1:8" ht="12" customHeight="1" x14ac:dyDescent="0.3">
      <c r="A13" s="13" t="s">
        <v>1688</v>
      </c>
      <c r="B13" s="126"/>
      <c r="C13" s="128"/>
      <c r="D13" s="128"/>
      <c r="E13" s="128"/>
      <c r="F13" s="128"/>
      <c r="G13" s="128"/>
    </row>
    <row r="14" spans="1:8" ht="12" customHeight="1" x14ac:dyDescent="0.3">
      <c r="A14" s="13" t="s">
        <v>114</v>
      </c>
    </row>
    <row r="15" spans="1:8" ht="13.5" customHeight="1" x14ac:dyDescent="0.3">
      <c r="A15" s="111" t="s">
        <v>1689</v>
      </c>
      <c r="B15" s="118"/>
      <c r="C15" s="118"/>
      <c r="D15" s="118"/>
      <c r="E15" s="118"/>
      <c r="F15" s="113"/>
    </row>
    <row r="16" spans="1:8" x14ac:dyDescent="0.3">
      <c r="A16" s="57" t="s">
        <v>113</v>
      </c>
      <c r="B16" s="108"/>
      <c r="C16" s="108"/>
      <c r="D16" s="108"/>
      <c r="E16" s="108"/>
      <c r="F16" s="105"/>
    </row>
    <row r="17" spans="2:6" x14ac:dyDescent="0.3">
      <c r="B17" s="114"/>
      <c r="C17" s="114"/>
      <c r="D17" s="114"/>
      <c r="E17" s="114"/>
      <c r="F17" s="115"/>
    </row>
  </sheetData>
  <mergeCells count="1">
    <mergeCell ref="A6:F6"/>
  </mergeCells>
  <hyperlinks>
    <hyperlink ref="H1" location="Index!A1" display="Index"/>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7" tint="0.59999389629810485"/>
  </sheetPr>
  <dimension ref="A1:G30"/>
  <sheetViews>
    <sheetView workbookViewId="0">
      <selection activeCell="G1" sqref="G1"/>
    </sheetView>
  </sheetViews>
  <sheetFormatPr defaultRowHeight="14.4" x14ac:dyDescent="0.3"/>
  <cols>
    <col min="1" max="1" width="38.44140625" customWidth="1"/>
    <col min="2" max="2" width="34.5546875" customWidth="1"/>
    <col min="3" max="5" width="6.77734375" customWidth="1"/>
    <col min="6" max="7" width="10.21875" customWidth="1"/>
    <col min="8" max="8" width="5.77734375" customWidth="1"/>
  </cols>
  <sheetData>
    <row r="1" spans="1:7" ht="15.6" x14ac:dyDescent="0.3">
      <c r="A1" s="1057" t="s">
        <v>1885</v>
      </c>
      <c r="G1" s="463" t="s">
        <v>504</v>
      </c>
    </row>
    <row r="2" spans="1:7" ht="15" thickBot="1" x14ac:dyDescent="0.35">
      <c r="A2" s="1281"/>
      <c r="B2" s="1281"/>
      <c r="C2" s="1281"/>
      <c r="D2" s="1281"/>
      <c r="E2" s="1281"/>
      <c r="F2" s="1281"/>
      <c r="G2" s="1281"/>
    </row>
    <row r="3" spans="1:7" ht="32.25" customHeight="1" thickTop="1" x14ac:dyDescent="0.3">
      <c r="A3" s="1048" t="s">
        <v>1534</v>
      </c>
      <c r="B3" s="1048" t="s">
        <v>1531</v>
      </c>
      <c r="C3" s="1365" t="s">
        <v>1792</v>
      </c>
      <c r="D3" s="1365"/>
      <c r="E3" s="1365"/>
      <c r="F3" s="1365" t="s">
        <v>1793</v>
      </c>
      <c r="G3" s="1365"/>
    </row>
    <row r="4" spans="1:7" x14ac:dyDescent="0.3">
      <c r="A4" s="1049"/>
      <c r="B4" s="1049"/>
      <c r="C4" s="411">
        <v>1962</v>
      </c>
      <c r="D4" s="411">
        <v>1979</v>
      </c>
      <c r="E4" s="411">
        <v>2014</v>
      </c>
      <c r="F4" s="411" t="s">
        <v>1794</v>
      </c>
      <c r="G4" s="411" t="s">
        <v>1795</v>
      </c>
    </row>
    <row r="5" spans="1:7" ht="7.5" customHeight="1" x14ac:dyDescent="0.3">
      <c r="A5" s="990"/>
      <c r="B5" s="832"/>
      <c r="C5" s="1281"/>
      <c r="D5" s="1281"/>
      <c r="E5" s="1281"/>
      <c r="F5" s="1281"/>
      <c r="G5" s="1281"/>
    </row>
    <row r="6" spans="1:7" ht="15.6" x14ac:dyDescent="0.3">
      <c r="A6" s="990" t="s">
        <v>1116</v>
      </c>
      <c r="B6" s="1041"/>
      <c r="C6" s="736"/>
      <c r="D6" s="736"/>
      <c r="E6" s="24"/>
      <c r="F6" s="24"/>
      <c r="G6" s="1281"/>
    </row>
    <row r="7" spans="1:7" x14ac:dyDescent="0.3">
      <c r="A7" s="1040" t="s">
        <v>1542</v>
      </c>
      <c r="B7" s="1040" t="s">
        <v>1543</v>
      </c>
      <c r="C7" s="995">
        <f>'T-4'!C7</f>
        <v>0.36641466915940868</v>
      </c>
      <c r="D7" s="995">
        <f>'T-4'!D7</f>
        <v>0.98493050640101831</v>
      </c>
      <c r="E7" s="995">
        <f>'T-4'!E7</f>
        <v>2.1946109945678183</v>
      </c>
      <c r="F7" s="995">
        <f>'T-4'!F7</f>
        <v>1.2096804881668</v>
      </c>
      <c r="G7" s="995">
        <f>'T-4'!G7</f>
        <v>1.8281963254084097</v>
      </c>
    </row>
    <row r="8" spans="1:7" x14ac:dyDescent="0.3">
      <c r="A8" s="1040" t="s">
        <v>1653</v>
      </c>
      <c r="B8" s="1040" t="s">
        <v>1553</v>
      </c>
      <c r="C8" s="995">
        <f>'T-4'!C8</f>
        <v>0.46073248231250546</v>
      </c>
      <c r="D8" s="995">
        <f>'T-4'!D8</f>
        <v>0.13154370585951924</v>
      </c>
      <c r="E8" s="995">
        <f>'T-4'!E8</f>
        <v>1.3474780716926187</v>
      </c>
      <c r="F8" s="995">
        <f>'T-4'!F8</f>
        <v>1.2159343658330994</v>
      </c>
      <c r="G8" s="995">
        <f>'T-4'!G8</f>
        <v>0.88674558938011327</v>
      </c>
    </row>
    <row r="9" spans="1:7" x14ac:dyDescent="0.3">
      <c r="A9" s="1040" t="s">
        <v>1800</v>
      </c>
      <c r="B9" s="1040" t="s">
        <v>1556</v>
      </c>
      <c r="C9" s="995">
        <f>'T-4'!C9</f>
        <v>0.27497637019352072</v>
      </c>
      <c r="D9" s="995">
        <f>'T-4'!D9</f>
        <v>0.17021470465897173</v>
      </c>
      <c r="E9" s="995">
        <f>'T-4'!E9</f>
        <v>0.65115316034176507</v>
      </c>
      <c r="F9" s="995">
        <f>'T-4'!F9</f>
        <v>0.48093845568279336</v>
      </c>
      <c r="G9" s="995">
        <f>'T-4'!G9</f>
        <v>0.37617679014824434</v>
      </c>
    </row>
    <row r="10" spans="1:7" x14ac:dyDescent="0.3">
      <c r="A10" s="1040" t="s">
        <v>1698</v>
      </c>
      <c r="B10" s="1040" t="s">
        <v>1699</v>
      </c>
      <c r="C10" s="995">
        <f>'T-4'!C10</f>
        <v>0.50363671413707889</v>
      </c>
      <c r="D10" s="995">
        <f>'T-4'!D10</f>
        <v>0.18242721460603117</v>
      </c>
      <c r="E10" s="995">
        <f>'T-4'!E10</f>
        <v>0.65254622578382293</v>
      </c>
      <c r="F10" s="995">
        <f>'T-4'!F10</f>
        <v>0.47011901117779176</v>
      </c>
      <c r="G10" s="995">
        <f>'T-4'!G10</f>
        <v>0.14890951164674404</v>
      </c>
    </row>
    <row r="11" spans="1:7" x14ac:dyDescent="0.3">
      <c r="A11" s="1040" t="s">
        <v>1558</v>
      </c>
      <c r="B11" s="1040" t="s">
        <v>1549</v>
      </c>
      <c r="C11" s="995">
        <f>'T-4'!C11</f>
        <v>-7.8241114689579894E-2</v>
      </c>
      <c r="D11" s="995">
        <f>'T-4'!D11</f>
        <v>-0.11638084585153924</v>
      </c>
      <c r="E11" s="995">
        <f>'T-4'!E11</f>
        <v>0.44497149673374808</v>
      </c>
      <c r="F11" s="995">
        <f>'T-4'!F11</f>
        <v>0.56135234258528732</v>
      </c>
      <c r="G11" s="995">
        <f>'T-4'!G11</f>
        <v>0.52321261142332798</v>
      </c>
    </row>
    <row r="12" spans="1:7" x14ac:dyDescent="0.3">
      <c r="A12" s="1040" t="s">
        <v>1554</v>
      </c>
      <c r="B12" s="1040" t="s">
        <v>1555</v>
      </c>
      <c r="C12" s="995">
        <f>'T-4'!C12</f>
        <v>0.37082956024666985</v>
      </c>
      <c r="D12" s="995">
        <f>'T-4'!D12</f>
        <v>0.19609691713768554</v>
      </c>
      <c r="E12" s="995">
        <f>'T-4'!E12</f>
        <v>0.26271624926348375</v>
      </c>
      <c r="F12" s="995">
        <f>'T-4'!F12</f>
        <v>6.6619332125798209E-2</v>
      </c>
      <c r="G12" s="995">
        <f>'T-4'!G12</f>
        <v>-0.10811331098318611</v>
      </c>
    </row>
    <row r="13" spans="1:7" x14ac:dyDescent="0.3">
      <c r="A13" s="1040" t="s">
        <v>2040</v>
      </c>
      <c r="B13" s="1040" t="s">
        <v>1551</v>
      </c>
      <c r="C13" s="995">
        <f>'T-4'!C13</f>
        <v>-0.2247260037859577</v>
      </c>
      <c r="D13" s="995">
        <f>'T-4'!D13</f>
        <v>0.2294894008336143</v>
      </c>
      <c r="E13" s="995">
        <f>'T-4'!E13</f>
        <v>0.18458452422775806</v>
      </c>
      <c r="F13" s="995">
        <f>'T-4'!F13</f>
        <v>-4.4904876605856237E-2</v>
      </c>
      <c r="G13" s="995">
        <f>'T-4'!G13</f>
        <v>0.40931052801371576</v>
      </c>
    </row>
    <row r="14" spans="1:7" x14ac:dyDescent="0.3">
      <c r="A14" s="1040" t="s">
        <v>1702</v>
      </c>
      <c r="B14" s="1040" t="s">
        <v>1798</v>
      </c>
      <c r="C14" s="995">
        <f>'T-4'!C14</f>
        <v>4.6077656421185637E-2</v>
      </c>
      <c r="D14" s="995">
        <f>'T-4'!D14</f>
        <v>9.8761606282348757E-2</v>
      </c>
      <c r="E14" s="995">
        <f>'T-4'!E14</f>
        <v>0.21607149695098227</v>
      </c>
      <c r="F14" s="995">
        <f>'T-4'!F14</f>
        <v>0.11730989066863351</v>
      </c>
      <c r="G14" s="995">
        <f>'T-4'!G14</f>
        <v>0.16999384052979663</v>
      </c>
    </row>
    <row r="15" spans="1:7" x14ac:dyDescent="0.3">
      <c r="A15" s="1040" t="s">
        <v>1583</v>
      </c>
      <c r="B15" s="1040" t="s">
        <v>1547</v>
      </c>
      <c r="C15" s="995">
        <f>'T-4'!C15</f>
        <v>4.9591715706197304E-2</v>
      </c>
      <c r="D15" s="995">
        <f>'T-4'!D15</f>
        <v>-7.124070933856641E-3</v>
      </c>
      <c r="E15" s="995">
        <f>'T-4'!E15</f>
        <v>5.5734267057776121E-2</v>
      </c>
      <c r="F15" s="995">
        <f>'T-4'!F15</f>
        <v>6.2858337991632762E-2</v>
      </c>
      <c r="G15" s="995">
        <f>'T-4'!G15</f>
        <v>6.1425513515788177E-3</v>
      </c>
    </row>
    <row r="16" spans="1:7" x14ac:dyDescent="0.3">
      <c r="A16" s="1040" t="s">
        <v>1642</v>
      </c>
      <c r="B16" s="1040" t="s">
        <v>1643</v>
      </c>
      <c r="C16" s="995">
        <f>'T-4'!C16</f>
        <v>-2.6404515943560025E-2</v>
      </c>
      <c r="D16" s="995">
        <f>'T-4'!D16</f>
        <v>-0.53896941240821961</v>
      </c>
      <c r="E16" s="995">
        <f>'T-4'!E16</f>
        <v>-5.5031627639970881E-2</v>
      </c>
      <c r="F16" s="995">
        <f>'T-4'!F16</f>
        <v>0.48393778476824872</v>
      </c>
      <c r="G16" s="995">
        <f>'T-4'!G16</f>
        <v>-2.8627111696410856E-2</v>
      </c>
    </row>
    <row r="17" spans="1:7" x14ac:dyDescent="0.3">
      <c r="A17" s="1040" t="s">
        <v>1700</v>
      </c>
      <c r="B17" s="1040" t="s">
        <v>1701</v>
      </c>
      <c r="C17" s="995">
        <f>'T-4'!C17</f>
        <v>3.7380692105055291E-2</v>
      </c>
      <c r="D17" s="995">
        <f>'T-4'!D17</f>
        <v>-1.1376356000457333E-2</v>
      </c>
      <c r="E17" s="995">
        <f>'T-4'!E17</f>
        <v>-9.9904175771057924E-2</v>
      </c>
      <c r="F17" s="995">
        <f>'T-4'!F17</f>
        <v>-8.8527819770600591E-2</v>
      </c>
      <c r="G17" s="995">
        <f>'T-4'!G17</f>
        <v>-0.13728486787611321</v>
      </c>
    </row>
    <row r="18" spans="1:7" ht="15.6" x14ac:dyDescent="0.3">
      <c r="A18" s="1041" t="s">
        <v>1622</v>
      </c>
      <c r="B18" s="1041"/>
      <c r="C18" s="1042">
        <f>'T-4'!C18</f>
        <v>1.4535332986484517</v>
      </c>
      <c r="D18" s="1042">
        <f>'T-4'!D18</f>
        <v>1.6634578894942367</v>
      </c>
      <c r="E18" s="1042">
        <f>'T-4'!E18</f>
        <v>5.9179001320837195</v>
      </c>
      <c r="F18" s="1042">
        <f>'T-4'!F18</f>
        <v>4.2544422425894828</v>
      </c>
      <c r="G18" s="1042">
        <f>'T-4'!G18</f>
        <v>4.4643668334352675</v>
      </c>
    </row>
    <row r="19" spans="1:7" ht="7.5" customHeight="1" x14ac:dyDescent="0.3">
      <c r="A19" s="1041"/>
      <c r="B19" s="1041"/>
      <c r="C19" s="516"/>
      <c r="D19" s="516"/>
      <c r="E19" s="516"/>
      <c r="F19" s="248"/>
      <c r="G19" s="248"/>
    </row>
    <row r="20" spans="1:7" ht="15.6" x14ac:dyDescent="0.3">
      <c r="A20" s="990" t="s">
        <v>566</v>
      </c>
      <c r="B20" s="1044"/>
      <c r="C20" s="995"/>
      <c r="D20" s="995"/>
      <c r="E20" s="996"/>
      <c r="F20" s="1045"/>
      <c r="G20" s="24"/>
    </row>
    <row r="21" spans="1:7" x14ac:dyDescent="0.3">
      <c r="A21" s="1040" t="s">
        <v>1582</v>
      </c>
      <c r="B21" s="1040" t="s">
        <v>1541</v>
      </c>
      <c r="C21" s="995">
        <f>'T-4'!C21</f>
        <v>0.77917509791248829</v>
      </c>
      <c r="D21" s="995">
        <f>'T-4'!D21</f>
        <v>0.75022583016067768</v>
      </c>
      <c r="E21" s="995">
        <f>'T-4'!E21</f>
        <v>1.2798838679638267</v>
      </c>
      <c r="F21" s="995">
        <f>'T-4'!F21</f>
        <v>0.52965803780314902</v>
      </c>
      <c r="G21" s="995">
        <f>'T-4'!G21</f>
        <v>0.5007087700513384</v>
      </c>
    </row>
    <row r="22" spans="1:7" x14ac:dyDescent="0.3">
      <c r="A22" s="1040" t="s">
        <v>1562</v>
      </c>
      <c r="B22" s="1040" t="s">
        <v>1561</v>
      </c>
      <c r="C22" s="995">
        <f>'T-4'!C22</f>
        <v>-0.29756809696681319</v>
      </c>
      <c r="D22" s="995">
        <f>'T-4'!D22</f>
        <v>-9.1347223675051215E-3</v>
      </c>
      <c r="E22" s="995">
        <f>'T-4'!E22</f>
        <v>0.54497970794823269</v>
      </c>
      <c r="F22" s="995">
        <f>'T-4'!F22</f>
        <v>0.55411443031573782</v>
      </c>
      <c r="G22" s="995">
        <f>'T-4'!G22</f>
        <v>0.84254780491504588</v>
      </c>
    </row>
    <row r="23" spans="1:7" x14ac:dyDescent="0.3">
      <c r="A23" s="1040" t="s">
        <v>1539</v>
      </c>
      <c r="B23" s="1040" t="s">
        <v>1540</v>
      </c>
      <c r="C23" s="995">
        <f>'T-4'!C23</f>
        <v>-0.30660553882243369</v>
      </c>
      <c r="D23" s="995">
        <f>'T-4'!D23</f>
        <v>-0.21464096769243177</v>
      </c>
      <c r="E23" s="995">
        <f>'T-4'!E23</f>
        <v>-4.4010121895684928E-2</v>
      </c>
      <c r="F23" s="995">
        <f>'T-4'!F23</f>
        <v>0.17063084579674684</v>
      </c>
      <c r="G23" s="995">
        <f>'T-4'!G23</f>
        <v>0.26259541692674876</v>
      </c>
    </row>
    <row r="24" spans="1:7" x14ac:dyDescent="0.3">
      <c r="A24" s="1040" t="s">
        <v>1559</v>
      </c>
      <c r="B24" s="1040" t="s">
        <v>1560</v>
      </c>
      <c r="C24" s="995">
        <f>'T-4'!C24</f>
        <v>-5.0487814953772692E-3</v>
      </c>
      <c r="D24" s="995">
        <f>'T-4'!D24</f>
        <v>3.3667095793346313E-3</v>
      </c>
      <c r="E24" s="995">
        <f>'T-4'!E24</f>
        <v>4.0174683255008448E-2</v>
      </c>
      <c r="F24" s="995">
        <f>'T-4'!F24</f>
        <v>3.6807973675673816E-2</v>
      </c>
      <c r="G24" s="995">
        <f>'T-4'!G24</f>
        <v>4.5223464750385717E-2</v>
      </c>
    </row>
    <row r="25" spans="1:7" x14ac:dyDescent="0.3">
      <c r="A25" s="1040" t="s">
        <v>1799</v>
      </c>
      <c r="B25" s="1040" t="s">
        <v>1697</v>
      </c>
      <c r="C25" s="995">
        <f>'T-4'!C25</f>
        <v>-0.24404729318625074</v>
      </c>
      <c r="D25" s="995">
        <f>'T-4'!D25</f>
        <v>-0.2942350707079745</v>
      </c>
      <c r="E25" s="995">
        <f>'T-4'!E25</f>
        <v>-0.3286315663869499</v>
      </c>
      <c r="F25" s="995">
        <f>'T-4'!F25</f>
        <v>-3.4396495678975403E-2</v>
      </c>
      <c r="G25" s="995">
        <f>'T-4'!G25</f>
        <v>-8.4584273200699167E-2</v>
      </c>
    </row>
    <row r="26" spans="1:7" x14ac:dyDescent="0.3">
      <c r="A26" s="1040" t="s">
        <v>1800</v>
      </c>
      <c r="B26" s="1040" t="s">
        <v>1556</v>
      </c>
      <c r="C26" s="995">
        <f>'T-4'!C26</f>
        <v>3.3405026443464075E-2</v>
      </c>
      <c r="D26" s="995">
        <f>'T-4'!D26</f>
        <v>8.8389543677374616E-3</v>
      </c>
      <c r="E26" s="995">
        <f>'T-4'!E26</f>
        <v>-0.264109535502563</v>
      </c>
      <c r="F26" s="995">
        <f>'T-4'!F26</f>
        <v>-0.27294848987030046</v>
      </c>
      <c r="G26" s="995">
        <f>'T-4'!G26</f>
        <v>-0.2975145619460271</v>
      </c>
    </row>
    <row r="27" spans="1:7" ht="15.6" x14ac:dyDescent="0.3">
      <c r="A27" s="1046" t="s">
        <v>1623</v>
      </c>
      <c r="B27" s="1046"/>
      <c r="C27" s="1047">
        <f>'T-4'!C27</f>
        <v>0.29522462458840537</v>
      </c>
      <c r="D27" s="1047">
        <f>'T-4'!D27</f>
        <v>0.26201577298060741</v>
      </c>
      <c r="E27" s="1047">
        <f>'T-4'!E27</f>
        <v>1.1082822968836537</v>
      </c>
      <c r="F27" s="1047">
        <f>'T-4'!F27</f>
        <v>0.84626652390304624</v>
      </c>
      <c r="G27" s="1047">
        <f>'T-4'!G27</f>
        <v>0.81305767229524828</v>
      </c>
    </row>
    <row r="28" spans="1:7" x14ac:dyDescent="0.3">
      <c r="A28" s="24"/>
      <c r="B28" s="24"/>
      <c r="C28" s="24"/>
      <c r="D28" s="24"/>
      <c r="E28" s="24"/>
      <c r="F28" s="24"/>
      <c r="G28" s="24"/>
    </row>
    <row r="29" spans="1:7" ht="51" customHeight="1" x14ac:dyDescent="0.3">
      <c r="A29" s="1366" t="s">
        <v>2043</v>
      </c>
      <c r="B29" s="1366"/>
      <c r="C29" s="1366"/>
      <c r="D29" s="1366"/>
      <c r="E29" s="1366"/>
      <c r="F29" s="1366"/>
      <c r="G29" s="1366"/>
    </row>
    <row r="30" spans="1:7" x14ac:dyDescent="0.3">
      <c r="A30" s="386" t="s">
        <v>1658</v>
      </c>
      <c r="B30" s="124"/>
      <c r="C30" s="642"/>
      <c r="D30" s="642"/>
      <c r="E30" s="642"/>
      <c r="F30" s="1281"/>
      <c r="G30" s="1281"/>
    </row>
  </sheetData>
  <mergeCells count="3">
    <mergeCell ref="A29:G29"/>
    <mergeCell ref="C3:E3"/>
    <mergeCell ref="F3:G3"/>
  </mergeCells>
  <hyperlinks>
    <hyperlink ref="G1" location="Index!A1" display="Index"/>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7" tint="0.59999389629810485"/>
  </sheetPr>
  <dimension ref="A1:J31"/>
  <sheetViews>
    <sheetView workbookViewId="0">
      <selection activeCell="I1" sqref="I1"/>
    </sheetView>
  </sheetViews>
  <sheetFormatPr defaultRowHeight="14.4" x14ac:dyDescent="0.3"/>
  <cols>
    <col min="1" max="1" width="13.5546875" customWidth="1"/>
    <col min="2" max="2" width="10.77734375" customWidth="1"/>
    <col min="4" max="4" width="12.109375" customWidth="1"/>
    <col min="5" max="5" width="12.88671875" customWidth="1"/>
    <col min="6" max="6" width="2.77734375" customWidth="1"/>
    <col min="9" max="9" width="12" customWidth="1"/>
    <col min="10" max="10" width="13.21875" customWidth="1"/>
  </cols>
  <sheetData>
    <row r="1" spans="1:10" ht="15.6" x14ac:dyDescent="0.3">
      <c r="A1" s="1057" t="s">
        <v>2124</v>
      </c>
      <c r="I1" s="463" t="s">
        <v>504</v>
      </c>
    </row>
    <row r="2" spans="1:10" ht="15" thickBot="1" x14ac:dyDescent="0.35"/>
    <row r="3" spans="1:10" ht="15" thickTop="1" x14ac:dyDescent="0.3">
      <c r="A3" s="1387" t="s">
        <v>2138</v>
      </c>
      <c r="B3" s="1386" t="s">
        <v>2139</v>
      </c>
      <c r="C3" s="1386"/>
      <c r="D3" s="1386"/>
      <c r="E3" s="1386"/>
      <c r="F3" s="1320"/>
      <c r="G3" s="1386" t="s">
        <v>2140</v>
      </c>
      <c r="H3" s="1386"/>
      <c r="I3" s="1386"/>
      <c r="J3" s="1386"/>
    </row>
    <row r="4" spans="1:10" ht="32.25" customHeight="1" x14ac:dyDescent="0.3">
      <c r="A4" s="1388"/>
      <c r="B4" s="1284" t="s">
        <v>2155</v>
      </c>
      <c r="C4" s="1284" t="s">
        <v>2156</v>
      </c>
      <c r="D4" s="1284" t="s">
        <v>2157</v>
      </c>
      <c r="E4" s="1284" t="s">
        <v>2158</v>
      </c>
      <c r="F4" s="1284"/>
      <c r="G4" s="1284" t="s">
        <v>2155</v>
      </c>
      <c r="H4" s="1284" t="s">
        <v>2156</v>
      </c>
      <c r="I4" s="1284" t="s">
        <v>2157</v>
      </c>
      <c r="J4" s="1284" t="s">
        <v>2158</v>
      </c>
    </row>
    <row r="5" spans="1:10" x14ac:dyDescent="0.3">
      <c r="A5" s="1389" t="s">
        <v>2159</v>
      </c>
      <c r="B5" s="1389"/>
      <c r="C5" s="1321"/>
      <c r="D5" s="1321"/>
      <c r="E5" s="1321"/>
      <c r="F5" s="1321"/>
      <c r="G5" s="1321"/>
      <c r="H5" s="1321"/>
      <c r="I5" s="1321"/>
      <c r="J5" s="1321"/>
    </row>
    <row r="6" spans="1:10" ht="13.5" customHeight="1" x14ac:dyDescent="0.3">
      <c r="A6" s="1315" t="s">
        <v>2141</v>
      </c>
      <c r="B6" s="1322">
        <f>C6+D6</f>
        <v>6.4427079999999997</v>
      </c>
      <c r="C6" s="1322">
        <v>2.9284889999999999</v>
      </c>
      <c r="D6" s="1322">
        <v>3.5142190000000002</v>
      </c>
      <c r="E6" s="1323">
        <v>54.545690188922137</v>
      </c>
      <c r="F6" s="1323"/>
      <c r="G6" s="1322">
        <v>2.9333019999999999</v>
      </c>
      <c r="H6" s="1322">
        <v>2.2064819999999998</v>
      </c>
      <c r="I6" s="1322">
        <v>0.72682000000000002</v>
      </c>
      <c r="J6" s="1323">
        <v>24.778219221887145</v>
      </c>
    </row>
    <row r="7" spans="1:10" ht="13.5" customHeight="1" x14ac:dyDescent="0.3">
      <c r="A7" s="1324" t="s">
        <v>2143</v>
      </c>
      <c r="B7" s="1322">
        <f t="shared" ref="B7:B18" si="0">C7+D7</f>
        <v>15.221632</v>
      </c>
      <c r="C7" s="1322">
        <v>6.9202769999999996</v>
      </c>
      <c r="D7" s="1322">
        <v>8.3013549999999992</v>
      </c>
      <c r="E7" s="1323">
        <v>54.536563490695343</v>
      </c>
      <c r="F7" s="1323"/>
      <c r="G7" s="1322">
        <v>3.3855189999999999</v>
      </c>
      <c r="H7" s="1322">
        <v>2.662004</v>
      </c>
      <c r="I7" s="1322">
        <v>0.72351399999999999</v>
      </c>
      <c r="J7" s="1323">
        <v>21.37084447022746</v>
      </c>
    </row>
    <row r="8" spans="1:10" ht="13.5" customHeight="1" x14ac:dyDescent="0.3">
      <c r="A8" s="1324" t="s">
        <v>2144</v>
      </c>
      <c r="B8" s="1322">
        <f t="shared" si="0"/>
        <v>25.067266</v>
      </c>
      <c r="C8" s="1322">
        <v>17.872071999999999</v>
      </c>
      <c r="D8" s="1322">
        <v>7.1951939999999999</v>
      </c>
      <c r="E8" s="1323">
        <v>28.70354623849072</v>
      </c>
      <c r="F8" s="1323"/>
      <c r="G8" s="1322">
        <v>5.6802520000000003</v>
      </c>
      <c r="H8" s="1322">
        <v>5.0014649999999996</v>
      </c>
      <c r="I8" s="1322">
        <v>0.67878700000000003</v>
      </c>
      <c r="J8" s="1323">
        <v>11.94994517848856</v>
      </c>
    </row>
    <row r="9" spans="1:10" ht="13.5" customHeight="1" x14ac:dyDescent="0.3">
      <c r="A9" s="1324" t="s">
        <v>2145</v>
      </c>
      <c r="B9" s="1322">
        <f t="shared" si="0"/>
        <v>31.908414</v>
      </c>
      <c r="C9" s="1322">
        <v>24.447251999999999</v>
      </c>
      <c r="D9" s="1322">
        <v>7.4611619999999998</v>
      </c>
      <c r="E9" s="1323">
        <v>23.383055014893561</v>
      </c>
      <c r="F9" s="1323"/>
      <c r="G9" s="1322">
        <v>7.5592459999999999</v>
      </c>
      <c r="H9" s="1322">
        <v>6.3357760000000001</v>
      </c>
      <c r="I9" s="1322">
        <v>1.2234700000000001</v>
      </c>
      <c r="J9" s="1323">
        <v>16.185079834681925</v>
      </c>
    </row>
    <row r="10" spans="1:10" ht="13.5" customHeight="1" x14ac:dyDescent="0.3">
      <c r="A10" s="1324" t="s">
        <v>2146</v>
      </c>
      <c r="B10" s="1322">
        <f t="shared" si="0"/>
        <v>37.983494999999998</v>
      </c>
      <c r="C10" s="1322">
        <v>28.247183</v>
      </c>
      <c r="D10" s="1322">
        <v>9.7363119999999999</v>
      </c>
      <c r="E10" s="1323">
        <v>25.633007178512671</v>
      </c>
      <c r="F10" s="1323"/>
      <c r="G10" s="1322">
        <v>9.5891219999999997</v>
      </c>
      <c r="H10" s="1322">
        <v>7.6559100000000004</v>
      </c>
      <c r="I10" s="1322">
        <v>1.933211</v>
      </c>
      <c r="J10" s="1323">
        <v>20.160458903328166</v>
      </c>
    </row>
    <row r="11" spans="1:10" ht="13.5" customHeight="1" x14ac:dyDescent="0.3">
      <c r="A11" s="1324" t="s">
        <v>2147</v>
      </c>
      <c r="B11" s="1322">
        <f t="shared" si="0"/>
        <v>48.760213</v>
      </c>
      <c r="C11" s="1322">
        <v>35.964522000000002</v>
      </c>
      <c r="D11" s="1322">
        <v>12.795691</v>
      </c>
      <c r="E11" s="1323">
        <v>26.242073634912135</v>
      </c>
      <c r="F11" s="1323"/>
      <c r="G11" s="1322">
        <v>9.9708880000000004</v>
      </c>
      <c r="H11" s="1322">
        <v>8.8182030000000005</v>
      </c>
      <c r="I11" s="1322">
        <v>1.152685</v>
      </c>
      <c r="J11" s="1323">
        <v>11.56050494198711</v>
      </c>
    </row>
    <row r="12" spans="1:10" ht="13.5" customHeight="1" x14ac:dyDescent="0.3">
      <c r="A12" s="1324" t="s">
        <v>2148</v>
      </c>
      <c r="B12" s="1322">
        <f t="shared" si="0"/>
        <v>66.840421000000006</v>
      </c>
      <c r="C12" s="1322">
        <v>50.684004000000002</v>
      </c>
      <c r="D12" s="1322">
        <v>16.156417000000001</v>
      </c>
      <c r="E12" s="1323">
        <v>24.171626626947788</v>
      </c>
      <c r="F12" s="1323"/>
      <c r="G12" s="1322">
        <v>14.090916</v>
      </c>
      <c r="H12" s="1322">
        <v>12.48861</v>
      </c>
      <c r="I12" s="1322">
        <v>1.602306</v>
      </c>
      <c r="J12" s="1323">
        <v>11.37119829541245</v>
      </c>
    </row>
    <row r="13" spans="1:10" ht="13.5" customHeight="1" x14ac:dyDescent="0.3">
      <c r="A13" s="1324" t="s">
        <v>2149</v>
      </c>
      <c r="B13" s="1322">
        <f t="shared" si="0"/>
        <v>108.172315</v>
      </c>
      <c r="C13" s="1322">
        <v>78.189914999999999</v>
      </c>
      <c r="D13" s="1322">
        <v>29.982399999999998</v>
      </c>
      <c r="E13" s="1323">
        <v>27.717258339160068</v>
      </c>
      <c r="F13" s="1323"/>
      <c r="G13" s="1322">
        <v>25.582252</v>
      </c>
      <c r="H13" s="1322">
        <v>20.244454999999999</v>
      </c>
      <c r="I13" s="1322">
        <v>5.3377980000000003</v>
      </c>
      <c r="J13" s="1323">
        <v>20.865238916417525</v>
      </c>
    </row>
    <row r="14" spans="1:10" ht="13.5" customHeight="1" x14ac:dyDescent="0.3">
      <c r="A14" s="1324" t="s">
        <v>2150</v>
      </c>
      <c r="B14" s="1322">
        <f t="shared" si="0"/>
        <v>155.17044899999999</v>
      </c>
      <c r="C14" s="1322">
        <v>105.790453</v>
      </c>
      <c r="D14" s="1322">
        <v>49.379995999999998</v>
      </c>
      <c r="E14" s="1323">
        <v>31.823067032563657</v>
      </c>
      <c r="F14" s="1323"/>
      <c r="G14" s="1322">
        <v>35.891264999999997</v>
      </c>
      <c r="H14" s="1322">
        <v>31.770907999999999</v>
      </c>
      <c r="I14" s="1322">
        <v>4.1203570000000003</v>
      </c>
      <c r="J14" s="1323">
        <v>11.480110829194793</v>
      </c>
    </row>
    <row r="15" spans="1:10" ht="13.5" customHeight="1" x14ac:dyDescent="0.3">
      <c r="A15" s="1324" t="s">
        <v>2151</v>
      </c>
      <c r="B15" s="1322">
        <f t="shared" si="0"/>
        <v>219.83030300000001</v>
      </c>
      <c r="C15" s="1322">
        <v>136.719954</v>
      </c>
      <c r="D15" s="1322">
        <v>83.110348999999999</v>
      </c>
      <c r="E15" s="1323">
        <v>37.806593479516792</v>
      </c>
      <c r="F15" s="1323"/>
      <c r="G15" s="1322">
        <v>56.244231999999997</v>
      </c>
      <c r="H15" s="1322">
        <v>47.472239999999999</v>
      </c>
      <c r="I15" s="1322">
        <v>8.7719919999999991</v>
      </c>
      <c r="J15" s="1323">
        <v>15.596251718754022</v>
      </c>
    </row>
    <row r="16" spans="1:10" ht="13.5" customHeight="1" x14ac:dyDescent="0.3">
      <c r="A16" s="1324" t="s">
        <v>2152</v>
      </c>
      <c r="B16" s="1322">
        <f t="shared" si="0"/>
        <v>160.56704200000001</v>
      </c>
      <c r="C16" s="1322">
        <v>88.445442</v>
      </c>
      <c r="D16" s="1322">
        <v>72.121600000000001</v>
      </c>
      <c r="E16" s="1323">
        <v>44.916814528580623</v>
      </c>
      <c r="F16" s="1323"/>
      <c r="G16" s="1322">
        <v>39.225608999999999</v>
      </c>
      <c r="H16" s="1322">
        <v>33.62818</v>
      </c>
      <c r="I16" s="1322">
        <v>5.597429</v>
      </c>
      <c r="J16" s="1323">
        <v>14.269833261224829</v>
      </c>
    </row>
    <row r="17" spans="1:10" ht="13.5" customHeight="1" x14ac:dyDescent="0.3">
      <c r="A17" s="1324" t="s">
        <v>2153</v>
      </c>
      <c r="B17" s="1322">
        <f t="shared" si="0"/>
        <v>174.86201999999997</v>
      </c>
      <c r="C17" s="1322">
        <v>72.312423999999993</v>
      </c>
      <c r="D17" s="1322">
        <v>102.54959599999999</v>
      </c>
      <c r="E17" s="1323">
        <v>58.646009007559215</v>
      </c>
      <c r="F17" s="1323"/>
      <c r="G17" s="1322">
        <v>51.448647000000001</v>
      </c>
      <c r="H17" s="1322">
        <v>43.410477999999998</v>
      </c>
      <c r="I17" s="1322">
        <v>8.0381689999999999</v>
      </c>
      <c r="J17" s="1323">
        <v>15.623674224124883</v>
      </c>
    </row>
    <row r="18" spans="1:10" ht="13.5" customHeight="1" x14ac:dyDescent="0.3">
      <c r="A18" s="1324" t="s">
        <v>2142</v>
      </c>
      <c r="B18" s="1322">
        <f t="shared" si="0"/>
        <v>58.971837999999998</v>
      </c>
      <c r="C18" s="1322">
        <v>14.166843999999999</v>
      </c>
      <c r="D18" s="1322">
        <v>44.804994000000001</v>
      </c>
      <c r="E18" s="1323">
        <v>75.97693326092363</v>
      </c>
      <c r="F18" s="1323"/>
      <c r="G18" s="1322">
        <v>17.075521999999999</v>
      </c>
      <c r="H18" s="1322">
        <v>13.134418999999999</v>
      </c>
      <c r="I18" s="1322">
        <v>3.9411019999999999</v>
      </c>
      <c r="J18" s="1323">
        <v>23.080418859230189</v>
      </c>
    </row>
    <row r="19" spans="1:10" ht="15" customHeight="1" x14ac:dyDescent="0.3">
      <c r="A19" s="1325" t="s">
        <v>246</v>
      </c>
      <c r="B19" s="1326">
        <f>SUM(B6:B18)</f>
        <v>1109.7981159999999</v>
      </c>
      <c r="C19" s="1327">
        <f t="shared" ref="C19:D19" si="1">SUM(C6:C18)</f>
        <v>662.68883099999994</v>
      </c>
      <c r="D19" s="1327">
        <f t="shared" si="1"/>
        <v>447.109285</v>
      </c>
      <c r="E19" s="1328">
        <v>40.287443180600462</v>
      </c>
      <c r="F19" s="1328"/>
      <c r="G19" s="1327">
        <f>SUM(G6:G18)</f>
        <v>278.67677199999997</v>
      </c>
      <c r="H19" s="1327">
        <f t="shared" ref="H19" si="2">SUM(H6:H18)</f>
        <v>234.82912999999999</v>
      </c>
      <c r="I19" s="1327">
        <f t="shared" ref="I19" si="3">SUM(I6:I18)</f>
        <v>43.847639999999998</v>
      </c>
      <c r="J19" s="1328">
        <v>15.734228829089494</v>
      </c>
    </row>
    <row r="20" spans="1:10" s="1319" customFormat="1" x14ac:dyDescent="0.3">
      <c r="A20" s="1315"/>
      <c r="B20" s="1329"/>
      <c r="C20" s="1322"/>
      <c r="D20" s="1322"/>
      <c r="E20" s="1323"/>
      <c r="F20" s="1323"/>
      <c r="G20" s="1323"/>
      <c r="H20" s="1323"/>
      <c r="I20" s="1323"/>
      <c r="J20" s="1323"/>
    </row>
    <row r="21" spans="1:10" x14ac:dyDescent="0.3">
      <c r="A21" s="1389" t="s">
        <v>2160</v>
      </c>
      <c r="B21" s="1389"/>
      <c r="C21" s="241"/>
      <c r="D21" s="241"/>
      <c r="E21" s="241"/>
      <c r="F21" s="241"/>
      <c r="G21" s="241"/>
      <c r="H21" s="241"/>
      <c r="I21" s="241"/>
      <c r="J21" s="241"/>
    </row>
    <row r="22" spans="1:10" ht="13.5" customHeight="1" x14ac:dyDescent="0.3">
      <c r="A22" s="1315" t="s">
        <v>2166</v>
      </c>
      <c r="B22" s="1322">
        <f>C22+D22</f>
        <v>6.4427079999999997</v>
      </c>
      <c r="C22" s="1322">
        <v>2.9284889999999999</v>
      </c>
      <c r="D22" s="1322">
        <v>3.5142190000000002</v>
      </c>
      <c r="E22" s="1323">
        <v>54.545690188922137</v>
      </c>
      <c r="F22" s="1323"/>
      <c r="G22" s="1322">
        <f>H22+I22</f>
        <v>2.9333019999999999</v>
      </c>
      <c r="H22" s="1322">
        <v>2.2064819999999998</v>
      </c>
      <c r="I22" s="1322">
        <v>0.72682000000000002</v>
      </c>
      <c r="J22" s="1323">
        <v>24.778219221887145</v>
      </c>
    </row>
    <row r="23" spans="1:10" ht="13.5" customHeight="1" x14ac:dyDescent="0.3">
      <c r="A23" s="1324" t="s">
        <v>2161</v>
      </c>
      <c r="B23" s="1322">
        <f t="shared" ref="B23:B28" si="4">C23+D23</f>
        <v>87.838949999999997</v>
      </c>
      <c r="C23" s="1322">
        <v>60.790267999999998</v>
      </c>
      <c r="D23" s="1322">
        <v>27.048681999999999</v>
      </c>
      <c r="E23" s="1323">
        <v>30.793494230065363</v>
      </c>
      <c r="F23" s="1323"/>
      <c r="G23" s="1322">
        <f t="shared" ref="G23:G28" si="5">H23+I23</f>
        <v>20.187760000000001</v>
      </c>
      <c r="H23" s="1322">
        <v>17.123169000000001</v>
      </c>
      <c r="I23" s="1322">
        <v>3.0645910000000001</v>
      </c>
      <c r="J23" s="1323">
        <v>15.180441019706992</v>
      </c>
    </row>
    <row r="24" spans="1:10" ht="13.5" customHeight="1" x14ac:dyDescent="0.3">
      <c r="A24" s="1324" t="s">
        <v>2162</v>
      </c>
      <c r="B24" s="1322">
        <f t="shared" si="4"/>
        <v>133.66257200000001</v>
      </c>
      <c r="C24" s="1322">
        <v>99.988014000000007</v>
      </c>
      <c r="D24" s="1322">
        <v>33.674557999999998</v>
      </c>
      <c r="E24" s="1323">
        <v>25.193707928948122</v>
      </c>
      <c r="F24" s="1323"/>
      <c r="G24" s="1322">
        <f t="shared" si="5"/>
        <v>29.214914</v>
      </c>
      <c r="H24" s="1322">
        <v>25.051127000000001</v>
      </c>
      <c r="I24" s="1322">
        <v>4.1637870000000001</v>
      </c>
      <c r="J24" s="1323">
        <v>14.252265127325037</v>
      </c>
    </row>
    <row r="25" spans="1:10" ht="13.5" customHeight="1" x14ac:dyDescent="0.3">
      <c r="A25" s="1324" t="s">
        <v>2163</v>
      </c>
      <c r="B25" s="1322">
        <f t="shared" si="4"/>
        <v>320.81002699999999</v>
      </c>
      <c r="C25" s="1322">
        <v>221.19810100000001</v>
      </c>
      <c r="D25" s="1322">
        <v>99.611925999999997</v>
      </c>
      <c r="E25" s="1323">
        <v>31.050128617083406</v>
      </c>
      <c r="F25" s="1323"/>
      <c r="G25" s="1322">
        <f t="shared" si="5"/>
        <v>76.660837999999998</v>
      </c>
      <c r="H25" s="1322">
        <v>64.758652999999995</v>
      </c>
      <c r="I25" s="1322">
        <v>11.902184999999999</v>
      </c>
      <c r="J25" s="1323">
        <v>15.525769493936394</v>
      </c>
    </row>
    <row r="26" spans="1:10" ht="13.5" customHeight="1" x14ac:dyDescent="0.3">
      <c r="A26" s="1324" t="s">
        <v>2164</v>
      </c>
      <c r="B26" s="1322">
        <f t="shared" si="4"/>
        <v>410.89827100000002</v>
      </c>
      <c r="C26" s="1322">
        <v>229.65076300000001</v>
      </c>
      <c r="D26" s="1322">
        <v>181.24750800000001</v>
      </c>
      <c r="E26" s="1323">
        <v>44.110068304473351</v>
      </c>
      <c r="F26" s="1323"/>
      <c r="G26" s="1322">
        <f t="shared" si="5"/>
        <v>104.429023</v>
      </c>
      <c r="H26" s="1322">
        <v>89.152527000000006</v>
      </c>
      <c r="I26" s="1322">
        <v>15.276496</v>
      </c>
      <c r="J26" s="1323">
        <v>14.62859228320081</v>
      </c>
    </row>
    <row r="27" spans="1:10" ht="13.5" customHeight="1" x14ac:dyDescent="0.3">
      <c r="A27" s="1315" t="s">
        <v>2165</v>
      </c>
      <c r="B27" s="1322">
        <f t="shared" si="4"/>
        <v>129.12079900000001</v>
      </c>
      <c r="C27" s="1322">
        <v>43.771644999999999</v>
      </c>
      <c r="D27" s="1322">
        <v>85.349153999999999</v>
      </c>
      <c r="E27" s="1323">
        <v>66.100236879729962</v>
      </c>
      <c r="F27" s="1323"/>
      <c r="G27" s="1322">
        <f t="shared" si="5"/>
        <v>38.960732</v>
      </c>
      <c r="H27" s="1322">
        <v>31.912669000000001</v>
      </c>
      <c r="I27" s="1322">
        <v>7.048063</v>
      </c>
      <c r="J27" s="1323">
        <v>18.090170893093074</v>
      </c>
    </row>
    <row r="28" spans="1:10" ht="13.5" customHeight="1" x14ac:dyDescent="0.3">
      <c r="A28" s="1324" t="s">
        <v>2154</v>
      </c>
      <c r="B28" s="1322">
        <f t="shared" si="4"/>
        <v>21.024788000000001</v>
      </c>
      <c r="C28" s="1322">
        <v>4.3615500000000003</v>
      </c>
      <c r="D28" s="1322">
        <v>16.663238</v>
      </c>
      <c r="E28" s="1323">
        <v>79.255201051254346</v>
      </c>
      <c r="F28" s="1323"/>
      <c r="G28" s="1322">
        <f t="shared" si="5"/>
        <v>6.290203</v>
      </c>
      <c r="H28" s="1322">
        <v>4.6245039999999999</v>
      </c>
      <c r="I28" s="1322">
        <v>1.665699</v>
      </c>
      <c r="J28" s="1323">
        <v>26.480846484604712</v>
      </c>
    </row>
    <row r="29" spans="1:10" ht="16.5" customHeight="1" x14ac:dyDescent="0.3">
      <c r="A29" s="1049" t="s">
        <v>246</v>
      </c>
      <c r="B29" s="1330">
        <f>SUM(B22:B28)</f>
        <v>1109.7981150000001</v>
      </c>
      <c r="C29" s="1331">
        <f t="shared" ref="C29:D29" si="6">SUM(C22:C28)</f>
        <v>662.68883000000005</v>
      </c>
      <c r="D29" s="1331">
        <f t="shared" si="6"/>
        <v>447.109285</v>
      </c>
      <c r="E29" s="1332">
        <v>40.287443180600462</v>
      </c>
      <c r="F29" s="1332"/>
      <c r="G29" s="1331">
        <f>SUM(G22:G28)</f>
        <v>278.67677200000003</v>
      </c>
      <c r="H29" s="1331">
        <f t="shared" ref="H29" si="7">SUM(H22:H28)</f>
        <v>234.82913100000002</v>
      </c>
      <c r="I29" s="1331">
        <f t="shared" ref="I29" si="8">SUM(I22:I28)</f>
        <v>43.847640999999996</v>
      </c>
      <c r="J29" s="1332">
        <v>15.734228829089494</v>
      </c>
    </row>
    <row r="31" spans="1:10" x14ac:dyDescent="0.3">
      <c r="A31" s="386" t="s">
        <v>2123</v>
      </c>
      <c r="B31" s="124"/>
      <c r="C31" s="642"/>
      <c r="D31" s="642"/>
      <c r="E31" s="642"/>
      <c r="F31" s="1281"/>
      <c r="G31" s="1281"/>
    </row>
  </sheetData>
  <mergeCells count="5">
    <mergeCell ref="B3:E3"/>
    <mergeCell ref="G3:J3"/>
    <mergeCell ref="A3:A4"/>
    <mergeCell ref="A5:B5"/>
    <mergeCell ref="A21:B21"/>
  </mergeCells>
  <hyperlinks>
    <hyperlink ref="I1" location="Index!A1" display="Index"/>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7" tint="0.59999389629810485"/>
  </sheetPr>
  <dimension ref="A1:L87"/>
  <sheetViews>
    <sheetView zoomScale="85" zoomScaleNormal="85" workbookViewId="0">
      <selection activeCell="L31" sqref="L31"/>
    </sheetView>
  </sheetViews>
  <sheetFormatPr defaultRowHeight="14.4" x14ac:dyDescent="0.3"/>
  <cols>
    <col min="7" max="7" width="14.21875" customWidth="1"/>
  </cols>
  <sheetData>
    <row r="1" spans="1:11" ht="16.2" x14ac:dyDescent="0.35">
      <c r="A1" s="202" t="s">
        <v>2054</v>
      </c>
      <c r="K1" s="463" t="s">
        <v>504</v>
      </c>
    </row>
    <row r="27" spans="1:12" x14ac:dyDescent="0.3">
      <c r="A27" s="210" t="s">
        <v>203</v>
      </c>
    </row>
    <row r="28" spans="1:12" x14ac:dyDescent="0.3">
      <c r="A28" s="210" t="s">
        <v>1660</v>
      </c>
    </row>
    <row r="30" spans="1:12" x14ac:dyDescent="0.3">
      <c r="A30" s="75" t="s">
        <v>1716</v>
      </c>
    </row>
    <row r="31" spans="1:12" ht="42.75" customHeight="1" x14ac:dyDescent="0.3">
      <c r="B31" s="1102" t="s">
        <v>1715</v>
      </c>
      <c r="C31" s="1102" t="s">
        <v>1651</v>
      </c>
      <c r="D31" s="1102" t="s">
        <v>1717</v>
      </c>
      <c r="E31" s="1102" t="s">
        <v>54</v>
      </c>
      <c r="F31" s="1102" t="s">
        <v>48</v>
      </c>
      <c r="G31" s="1102" t="s">
        <v>1718</v>
      </c>
      <c r="I31" s="1102"/>
      <c r="J31" s="1102"/>
      <c r="K31" s="1102"/>
      <c r="L31" s="1102"/>
    </row>
    <row r="32" spans="1:12" ht="12.75" customHeight="1" x14ac:dyDescent="0.3">
      <c r="A32" s="48">
        <v>1960</v>
      </c>
      <c r="B32" s="1103">
        <f>'C2-Shares'!D6</f>
        <v>8.3104745159463742E-2</v>
      </c>
      <c r="C32" s="1103">
        <f>'C2-Shares'!AJ6</f>
        <v>8.3164274487250237E-2</v>
      </c>
      <c r="D32" s="1103">
        <f>'C2-Shares'!AR6</f>
        <v>8.3559380562637509E-2</v>
      </c>
      <c r="E32" s="1103">
        <f>'C2-Shares'!AZ6</f>
        <v>8.6599140546202352E-2</v>
      </c>
      <c r="F32" s="1103">
        <f>'C2-Shares'!BH6</f>
        <v>8.6920610846777532E-2</v>
      </c>
      <c r="G32" s="1103">
        <f>'C2-Shares'!BP6</f>
        <v>7.8734821284945827E-2</v>
      </c>
    </row>
    <row r="33" spans="1:7" ht="12.75" customHeight="1" x14ac:dyDescent="0.3">
      <c r="A33" s="48">
        <v>1961</v>
      </c>
      <c r="B33" s="1103">
        <f>'C2-Shares'!D7</f>
        <v>8.3249493264220153E-2</v>
      </c>
      <c r="C33" s="1103">
        <f>'C2-Shares'!AJ7</f>
        <v>8.3462164316174148E-2</v>
      </c>
      <c r="D33" s="1103">
        <f>'C2-Shares'!AR7</f>
        <v>8.3880614375959159E-2</v>
      </c>
      <c r="E33" s="1103">
        <f>'C2-Shares'!AZ7</f>
        <v>8.7048172285468503E-2</v>
      </c>
      <c r="F33" s="1103">
        <f>'C2-Shares'!BH7</f>
        <v>8.7249170335084308E-2</v>
      </c>
      <c r="G33" s="1103">
        <f>'C2-Shares'!BP7</f>
        <v>7.950580993348802E-2</v>
      </c>
    </row>
    <row r="34" spans="1:7" ht="12.75" customHeight="1" x14ac:dyDescent="0.3">
      <c r="A34" s="48">
        <v>1962</v>
      </c>
      <c r="B34" s="1103">
        <f>'C2-Shares'!D8</f>
        <v>8.3379974548626307E-2</v>
      </c>
      <c r="C34" s="1103">
        <f>'C2-Shares'!AJ8</f>
        <v>8.3729994715721984E-2</v>
      </c>
      <c r="D34" s="1103">
        <f>'C2-Shares'!AR8</f>
        <v>8.4169429085088981E-2</v>
      </c>
      <c r="E34" s="1103">
        <f>'C2-Shares'!AZ8</f>
        <v>8.7451752643102773E-2</v>
      </c>
      <c r="F34" s="1103">
        <f>'C2-Shares'!BH8</f>
        <v>8.754464503555158E-2</v>
      </c>
      <c r="G34" s="1103">
        <f>'C2-Shares'!BP8</f>
        <v>8.01991627298589E-2</v>
      </c>
    </row>
    <row r="35" spans="1:7" ht="12.75" customHeight="1" x14ac:dyDescent="0.3">
      <c r="A35" s="48">
        <v>1963</v>
      </c>
      <c r="B35" s="1103">
        <f>'C2-Shares'!D9</f>
        <v>8.2278348725228073E-2</v>
      </c>
      <c r="C35" s="1103">
        <f>'C2-Shares'!AJ9</f>
        <v>8.2599712745283563E-2</v>
      </c>
      <c r="D35" s="1103">
        <f>'C2-Shares'!AR9</f>
        <v>8.3116060688026613E-2</v>
      </c>
      <c r="E35" s="1103">
        <f>'C2-Shares'!AZ9</f>
        <v>8.6388602167318654E-2</v>
      </c>
      <c r="F35" s="1103">
        <f>'C2-Shares'!BH9</f>
        <v>8.6553258292552587E-2</v>
      </c>
      <c r="G35" s="1103">
        <f>'C2-Shares'!BP9</f>
        <v>7.8654253251748574E-2</v>
      </c>
    </row>
    <row r="36" spans="1:7" ht="12.75" customHeight="1" x14ac:dyDescent="0.3">
      <c r="A36" s="48">
        <v>1964</v>
      </c>
      <c r="B36" s="1103">
        <f>'C2-Shares'!D10</f>
        <v>8.1312112463057445E-2</v>
      </c>
      <c r="C36" s="1103">
        <f>'C2-Shares'!AJ10</f>
        <v>8.1605754122725846E-2</v>
      </c>
      <c r="D36" s="1103">
        <f>'C2-Shares'!AR10</f>
        <v>8.219001987903185E-2</v>
      </c>
      <c r="E36" s="1103">
        <f>'C2-Shares'!AZ10</f>
        <v>8.5454129294224898E-2</v>
      </c>
      <c r="F36" s="1103">
        <f>'C2-Shares'!BH10</f>
        <v>8.5682730764410825E-2</v>
      </c>
      <c r="G36" s="1103">
        <f>'C2-Shares'!BP10</f>
        <v>7.7297682530302586E-2</v>
      </c>
    </row>
    <row r="37" spans="1:7" ht="12.75" customHeight="1" x14ac:dyDescent="0.3">
      <c r="A37" s="48">
        <v>1965</v>
      </c>
      <c r="B37" s="1103">
        <f>'C2-Shares'!D11</f>
        <v>8.2509193858697635E-2</v>
      </c>
      <c r="C37" s="1103">
        <f>'C2-Shares'!AJ11</f>
        <v>8.261603228527066E-2</v>
      </c>
      <c r="D37" s="1103">
        <f>'C2-Shares'!AR11</f>
        <v>8.3178829925052961E-2</v>
      </c>
      <c r="E37" s="1103">
        <f>'C2-Shares'!AZ11</f>
        <v>8.6351049424249524E-2</v>
      </c>
      <c r="F37" s="1103">
        <f>'C2-Shares'!BH11</f>
        <v>8.642236958410221E-2</v>
      </c>
      <c r="G37" s="1103">
        <f>'C2-Shares'!BP11</f>
        <v>7.8269866719329409E-2</v>
      </c>
    </row>
    <row r="38" spans="1:7" ht="12.75" customHeight="1" x14ac:dyDescent="0.3">
      <c r="A38" s="48">
        <v>1966</v>
      </c>
      <c r="B38" s="1103">
        <f>'C2-Shares'!D12</f>
        <v>8.3530356748191648E-2</v>
      </c>
      <c r="C38" s="1103">
        <f>'C2-Shares'!AJ12</f>
        <v>8.3473123125376414E-2</v>
      </c>
      <c r="D38" s="1103">
        <f>'C2-Shares'!AR12</f>
        <v>8.4017138029696209E-2</v>
      </c>
      <c r="E38" s="1103">
        <f>'C2-Shares'!AZ12</f>
        <v>8.711145648007336E-2</v>
      </c>
      <c r="F38" s="1103">
        <f>'C2-Shares'!BH12</f>
        <v>8.704984698727164E-2</v>
      </c>
      <c r="G38" s="1103">
        <f>'C2-Shares'!BP12</f>
        <v>7.9094625499009849E-2</v>
      </c>
    </row>
    <row r="39" spans="1:7" ht="12.75" customHeight="1" x14ac:dyDescent="0.3">
      <c r="A39" s="48">
        <v>1967</v>
      </c>
      <c r="B39" s="1103">
        <f>'C2-Shares'!D13</f>
        <v>8.4170459087170538E-2</v>
      </c>
      <c r="C39" s="1103">
        <f>'C2-Shares'!AJ13</f>
        <v>8.4031915520138459E-2</v>
      </c>
      <c r="D39" s="1103">
        <f>'C2-Shares'!AR13</f>
        <v>8.461482239701118E-2</v>
      </c>
      <c r="E39" s="1103">
        <f>'C2-Shares'!AZ13</f>
        <v>8.7681883787068232E-2</v>
      </c>
      <c r="F39" s="1103">
        <f>'C2-Shares'!BH13</f>
        <v>8.7589903230738411E-2</v>
      </c>
      <c r="G39" s="1103">
        <f>'C2-Shares'!BP13</f>
        <v>7.9345653690986118E-2</v>
      </c>
    </row>
    <row r="40" spans="1:7" ht="12.75" customHeight="1" x14ac:dyDescent="0.3">
      <c r="A40" s="48">
        <v>1968</v>
      </c>
      <c r="B40" s="1103">
        <f>'C2-Shares'!D14</f>
        <v>8.3457486933375333E-2</v>
      </c>
      <c r="C40" s="1103">
        <f>'C2-Shares'!AJ14</f>
        <v>8.3331908357056811E-2</v>
      </c>
      <c r="D40" s="1103">
        <f>'C2-Shares'!AR14</f>
        <v>8.4121057664634152E-2</v>
      </c>
      <c r="E40" s="1103">
        <f>'C2-Shares'!AZ14</f>
        <v>8.7188731774046721E-2</v>
      </c>
      <c r="F40" s="1103">
        <f>'C2-Shares'!BH14</f>
        <v>8.7072320830237707E-2</v>
      </c>
      <c r="G40" s="1103">
        <f>'C2-Shares'!BP14</f>
        <v>7.8435878694217948E-2</v>
      </c>
    </row>
    <row r="41" spans="1:7" ht="12.75" customHeight="1" x14ac:dyDescent="0.3">
      <c r="A41" s="48">
        <v>1969</v>
      </c>
      <c r="B41" s="1103">
        <f>'C2-Shares'!D15</f>
        <v>7.938790656877541E-2</v>
      </c>
      <c r="C41" s="1103">
        <f>'C2-Shares'!AJ15</f>
        <v>7.9206850186086322E-2</v>
      </c>
      <c r="D41" s="1103">
        <f>'C2-Shares'!AR15</f>
        <v>8.0168847694406478E-2</v>
      </c>
      <c r="E41" s="1103">
        <f>'C2-Shares'!AZ15</f>
        <v>8.3332672113992284E-2</v>
      </c>
      <c r="F41" s="1103">
        <f>'C2-Shares'!BH15</f>
        <v>8.3348141138257295E-2</v>
      </c>
      <c r="G41" s="1103">
        <f>'C2-Shares'!BP15</f>
        <v>7.5528787271575581E-2</v>
      </c>
    </row>
    <row r="42" spans="1:7" ht="12.75" customHeight="1" x14ac:dyDescent="0.3">
      <c r="A42" s="48">
        <v>1970</v>
      </c>
      <c r="B42" s="1103">
        <f>'C2-Shares'!D16</f>
        <v>7.8046383165970817E-2</v>
      </c>
      <c r="C42" s="1103">
        <f>'C2-Shares'!AJ16</f>
        <v>7.7660236109739322E-2</v>
      </c>
      <c r="D42" s="1103">
        <f>'C2-Shares'!AR16</f>
        <v>7.8739083968077134E-2</v>
      </c>
      <c r="E42" s="1103">
        <f>'C2-Shares'!AZ16</f>
        <v>8.2093740787040612E-2</v>
      </c>
      <c r="F42" s="1103">
        <f>'C2-Shares'!BH16</f>
        <v>8.2024649945314054E-2</v>
      </c>
      <c r="G42" s="1103">
        <f>'C2-Shares'!BP16</f>
        <v>7.4341140918063334E-2</v>
      </c>
    </row>
    <row r="43" spans="1:7" ht="12.75" customHeight="1" x14ac:dyDescent="0.3">
      <c r="A43" s="48">
        <v>1971</v>
      </c>
      <c r="B43" s="1103">
        <f>'C2-Shares'!D17</f>
        <v>7.8167691934429628E-2</v>
      </c>
      <c r="C43" s="1103">
        <f>'C2-Shares'!AJ17</f>
        <v>7.7915182155443283E-2</v>
      </c>
      <c r="D43" s="1103">
        <f>'C2-Shares'!AR17</f>
        <v>7.9277451036189911E-2</v>
      </c>
      <c r="E43" s="1103">
        <f>'C2-Shares'!AZ17</f>
        <v>8.2840324470955129E-2</v>
      </c>
      <c r="F43" s="1103">
        <f>'C2-Shares'!BH17</f>
        <v>8.2681217733976076E-2</v>
      </c>
      <c r="G43" s="1103">
        <f>'C2-Shares'!BP17</f>
        <v>7.423599001305331E-2</v>
      </c>
    </row>
    <row r="44" spans="1:7" ht="12.75" customHeight="1" x14ac:dyDescent="0.3">
      <c r="A44" s="48">
        <v>1972</v>
      </c>
      <c r="B44" s="1103">
        <f>'C2-Shares'!D18</f>
        <v>7.7866088725652427E-2</v>
      </c>
      <c r="C44" s="1103">
        <f>'C2-Shares'!AJ18</f>
        <v>7.7813696343126168E-2</v>
      </c>
      <c r="D44" s="1103">
        <f>'C2-Shares'!AR18</f>
        <v>7.911802177997776E-2</v>
      </c>
      <c r="E44" s="1103">
        <f>'C2-Shares'!AZ18</f>
        <v>8.2734296287745826E-2</v>
      </c>
      <c r="F44" s="1103">
        <f>'C2-Shares'!BH18</f>
        <v>8.2604337694857519E-2</v>
      </c>
      <c r="G44" s="1103">
        <f>'C2-Shares'!BP18</f>
        <v>7.3463359725325902E-2</v>
      </c>
    </row>
    <row r="45" spans="1:7" ht="12.75" customHeight="1" x14ac:dyDescent="0.3">
      <c r="A45" s="48">
        <v>1973</v>
      </c>
      <c r="B45" s="1103">
        <f>'C2-Shares'!D19</f>
        <v>7.7562388224320947E-2</v>
      </c>
      <c r="C45" s="1103">
        <f>'C2-Shares'!AJ19</f>
        <v>7.7010165707415937E-2</v>
      </c>
      <c r="D45" s="1103">
        <f>'C2-Shares'!AR19</f>
        <v>7.8812859043034714E-2</v>
      </c>
      <c r="E45" s="1103">
        <f>'C2-Shares'!AZ19</f>
        <v>8.2352941613815664E-2</v>
      </c>
      <c r="F45" s="1103">
        <f>'C2-Shares'!BH19</f>
        <v>8.205222342264494E-2</v>
      </c>
      <c r="G45" s="1103">
        <f>'C2-Shares'!BP19</f>
        <v>7.3623033167327101E-2</v>
      </c>
    </row>
    <row r="46" spans="1:7" ht="12.75" customHeight="1" x14ac:dyDescent="0.3">
      <c r="A46" s="48">
        <v>1974</v>
      </c>
      <c r="B46" s="1103">
        <f>'C2-Shares'!D20</f>
        <v>8.1053420311755511E-2</v>
      </c>
      <c r="C46" s="1103">
        <f>'C2-Shares'!AJ20</f>
        <v>8.0391707492183287E-2</v>
      </c>
      <c r="D46" s="1103">
        <f>'C2-Shares'!AR20</f>
        <v>8.2334065377472412E-2</v>
      </c>
      <c r="E46" s="1103">
        <f>'C2-Shares'!AZ20</f>
        <v>8.5891000732937761E-2</v>
      </c>
      <c r="F46" s="1103">
        <f>'C2-Shares'!BH20</f>
        <v>8.5748417788936548E-2</v>
      </c>
      <c r="G46" s="1103">
        <f>'C2-Shares'!BP20</f>
        <v>7.6791537387204303E-2</v>
      </c>
    </row>
    <row r="47" spans="1:7" ht="12.75" customHeight="1" x14ac:dyDescent="0.3">
      <c r="A47" s="48">
        <v>1975</v>
      </c>
      <c r="B47" s="1103">
        <f>'C2-Shares'!D21</f>
        <v>8.0639477723279437E-2</v>
      </c>
      <c r="C47" s="1103">
        <f>'C2-Shares'!AJ21</f>
        <v>7.9995940444333571E-2</v>
      </c>
      <c r="D47" s="1103">
        <f>'C2-Shares'!AR21</f>
        <v>8.1981776493895486E-2</v>
      </c>
      <c r="E47" s="1103">
        <f>'C2-Shares'!AZ21</f>
        <v>8.5707495471719283E-2</v>
      </c>
      <c r="F47" s="1103">
        <f>'C2-Shares'!BH21</f>
        <v>8.4805413231090476E-2</v>
      </c>
      <c r="G47" s="1103">
        <f>'C2-Shares'!BP21</f>
        <v>7.5870166266314279E-2</v>
      </c>
    </row>
    <row r="48" spans="1:7" ht="12.75" customHeight="1" x14ac:dyDescent="0.3">
      <c r="A48" s="48">
        <v>1976</v>
      </c>
      <c r="B48" s="1103">
        <f>'C2-Shares'!D22</f>
        <v>7.9325864821953862E-2</v>
      </c>
      <c r="C48" s="1103">
        <f>'C2-Shares'!AJ22</f>
        <v>7.8541931324834752E-2</v>
      </c>
      <c r="D48" s="1103">
        <f>'C2-Shares'!AR22</f>
        <v>8.0557276673069111E-2</v>
      </c>
      <c r="E48" s="1103">
        <f>'C2-Shares'!AZ22</f>
        <v>8.4245774137245724E-2</v>
      </c>
      <c r="F48" s="1103">
        <f>'C2-Shares'!BH22</f>
        <v>8.4225882460541412E-2</v>
      </c>
      <c r="G48" s="1103">
        <f>'C2-Shares'!BP22</f>
        <v>7.5214581457125812E-2</v>
      </c>
    </row>
    <row r="49" spans="1:7" ht="12.75" customHeight="1" x14ac:dyDescent="0.3">
      <c r="A49" s="48">
        <v>1977</v>
      </c>
      <c r="B49" s="1103">
        <f>'C2-Shares'!D23</f>
        <v>7.968447611744002E-2</v>
      </c>
      <c r="C49" s="1103">
        <f>'C2-Shares'!AJ23</f>
        <v>7.8866218058582863E-2</v>
      </c>
      <c r="D49" s="1103">
        <f>'C2-Shares'!AR23</f>
        <v>8.0754446531314278E-2</v>
      </c>
      <c r="E49" s="1103">
        <f>'C2-Shares'!AZ23</f>
        <v>8.4297951064445181E-2</v>
      </c>
      <c r="F49" s="1103">
        <f>'C2-Shares'!BH23</f>
        <v>8.3595187552851308E-2</v>
      </c>
      <c r="G49" s="1103">
        <f>'C2-Shares'!BP23</f>
        <v>7.4266218805855419E-2</v>
      </c>
    </row>
    <row r="50" spans="1:7" ht="12.75" customHeight="1" x14ac:dyDescent="0.3">
      <c r="A50" s="48">
        <v>1978</v>
      </c>
      <c r="B50" s="1103">
        <f>'C2-Shares'!D24</f>
        <v>8.0099599392997087E-2</v>
      </c>
      <c r="C50" s="1103">
        <f>'C2-Shares'!AJ24</f>
        <v>7.9285383848549079E-2</v>
      </c>
      <c r="D50" s="1103">
        <f>'C2-Shares'!AR24</f>
        <v>8.1339244799930099E-2</v>
      </c>
      <c r="E50" s="1103">
        <f>'C2-Shares'!AZ24</f>
        <v>8.4647070819577369E-2</v>
      </c>
      <c r="F50" s="1103">
        <f>'C2-Shares'!BH24</f>
        <v>8.4243229786982107E-2</v>
      </c>
      <c r="G50" s="1103">
        <f>'C2-Shares'!BP24</f>
        <v>7.4731796052208407E-2</v>
      </c>
    </row>
    <row r="51" spans="1:7" ht="12.75" customHeight="1" x14ac:dyDescent="0.3">
      <c r="A51" s="48">
        <v>1979</v>
      </c>
      <c r="B51" s="1103">
        <f>'C2-Shares'!D25</f>
        <v>8.0866177381523116E-2</v>
      </c>
      <c r="C51" s="1103">
        <f>'C2-Shares'!AJ25</f>
        <v>7.9930621197604357E-2</v>
      </c>
      <c r="D51" s="1103">
        <f>'C2-Shares'!AR25</f>
        <v>8.2319791453424954E-2</v>
      </c>
      <c r="E51" s="1103">
        <f>'C2-Shares'!AZ25</f>
        <v>8.5604078836749239E-2</v>
      </c>
      <c r="F51" s="1103">
        <f>'C2-Shares'!BH25</f>
        <v>8.5158943075727231E-2</v>
      </c>
      <c r="G51" s="1103">
        <f>'C2-Shares'!BP25</f>
        <v>7.607353491735129E-2</v>
      </c>
    </row>
    <row r="52" spans="1:7" ht="12.75" customHeight="1" x14ac:dyDescent="0.3">
      <c r="A52" s="48">
        <v>1980</v>
      </c>
      <c r="B52" s="1103">
        <f>'C2-Shares'!D26</f>
        <v>8.2237498702260325E-2</v>
      </c>
      <c r="C52" s="1103">
        <f>'C2-Shares'!AJ26</f>
        <v>8.1194793813409313E-2</v>
      </c>
      <c r="D52" s="1103">
        <f>'C2-Shares'!AR26</f>
        <v>8.4087001958533317E-2</v>
      </c>
      <c r="E52" s="1103">
        <f>'C2-Shares'!AZ26</f>
        <v>8.7288476202784668E-2</v>
      </c>
      <c r="F52" s="1103">
        <f>'C2-Shares'!BH26</f>
        <v>8.7017816116233312E-2</v>
      </c>
      <c r="G52" s="1103">
        <f>'C2-Shares'!BP26</f>
        <v>7.8603752106997424E-2</v>
      </c>
    </row>
    <row r="53" spans="1:7" ht="12.75" customHeight="1" x14ac:dyDescent="0.3">
      <c r="A53" s="48">
        <v>1981</v>
      </c>
      <c r="B53" s="1103">
        <f>'C2-Shares'!D27</f>
        <v>8.0489363606599071E-2</v>
      </c>
      <c r="C53" s="1103">
        <f>'C2-Shares'!AJ27</f>
        <v>7.9660270996997198E-2</v>
      </c>
      <c r="D53" s="1103">
        <f>'C2-Shares'!AR27</f>
        <v>8.3549179062917506E-2</v>
      </c>
      <c r="E53" s="1103">
        <f>'C2-Shares'!AZ27</f>
        <v>8.6851318639556016E-2</v>
      </c>
      <c r="F53" s="1103">
        <f>'C2-Shares'!BH27</f>
        <v>8.6305197644932108E-2</v>
      </c>
      <c r="G53" s="1103">
        <f>'C2-Shares'!BP27</f>
        <v>7.9004294111532938E-2</v>
      </c>
    </row>
    <row r="54" spans="1:7" ht="12.75" customHeight="1" x14ac:dyDescent="0.3">
      <c r="A54" s="48">
        <v>1982</v>
      </c>
      <c r="B54" s="1103">
        <f>'C2-Shares'!D28</f>
        <v>8.5157856075436883E-2</v>
      </c>
      <c r="C54" s="1103">
        <f>'C2-Shares'!AJ28</f>
        <v>8.4862420269479225E-2</v>
      </c>
      <c r="D54" s="1103">
        <f>'C2-Shares'!AR28</f>
        <v>8.8678355295959743E-2</v>
      </c>
      <c r="E54" s="1103">
        <f>'C2-Shares'!AZ28</f>
        <v>9.1929699555189218E-2</v>
      </c>
      <c r="F54" s="1103">
        <f>'C2-Shares'!BH28</f>
        <v>9.1158334317269205E-2</v>
      </c>
      <c r="G54" s="1103">
        <f>'C2-Shares'!BP28</f>
        <v>8.3988722508275881E-2</v>
      </c>
    </row>
    <row r="55" spans="1:7" ht="12.75" customHeight="1" x14ac:dyDescent="0.3">
      <c r="A55" s="48">
        <v>1983</v>
      </c>
      <c r="B55" s="1103">
        <f>'C2-Shares'!D29</f>
        <v>8.7214414139489688E-2</v>
      </c>
      <c r="C55" s="1103">
        <f>'C2-Shares'!AJ29</f>
        <v>8.6909906990103217E-2</v>
      </c>
      <c r="D55" s="1103">
        <f>'C2-Shares'!AR29</f>
        <v>9.1190587883369395E-2</v>
      </c>
      <c r="E55" s="1103">
        <f>'C2-Shares'!AZ29</f>
        <v>9.4844520015405415E-2</v>
      </c>
      <c r="F55" s="1103">
        <f>'C2-Shares'!BH29</f>
        <v>9.4090854230306928E-2</v>
      </c>
      <c r="G55" s="1103">
        <f>'C2-Shares'!BP29</f>
        <v>8.6063122192691466E-2</v>
      </c>
    </row>
    <row r="56" spans="1:7" ht="12.75" customHeight="1" x14ac:dyDescent="0.3">
      <c r="A56" s="48">
        <v>1984</v>
      </c>
      <c r="B56" s="1103">
        <f>'C2-Shares'!D30</f>
        <v>9.0060885078286759E-2</v>
      </c>
      <c r="C56" s="1103">
        <f>'C2-Shares'!AJ30</f>
        <v>8.957263750945943E-2</v>
      </c>
      <c r="D56" s="1103">
        <f>'C2-Shares'!AR30</f>
        <v>9.4893555303363977E-2</v>
      </c>
      <c r="E56" s="1103">
        <f>'C2-Shares'!AZ30</f>
        <v>9.8665401243309012E-2</v>
      </c>
      <c r="F56" s="1103">
        <f>'C2-Shares'!BH30</f>
        <v>9.7664413515328966E-2</v>
      </c>
      <c r="G56" s="1103">
        <f>'C2-Shares'!BP30</f>
        <v>8.9801623126416277E-2</v>
      </c>
    </row>
    <row r="57" spans="1:7" ht="12.75" customHeight="1" x14ac:dyDescent="0.3">
      <c r="A57" s="48">
        <v>1985</v>
      </c>
      <c r="B57" s="1103">
        <f>'C2-Shares'!D31</f>
        <v>9.2281216049099252E-2</v>
      </c>
      <c r="C57" s="1103">
        <f>'C2-Shares'!AJ31</f>
        <v>9.176783190208837E-2</v>
      </c>
      <c r="D57" s="1103">
        <f>'C2-Shares'!AR31</f>
        <v>9.6530190043480402E-2</v>
      </c>
      <c r="E57" s="1103">
        <f>'C2-Shares'!AZ31</f>
        <v>0.10052133224533213</v>
      </c>
      <c r="F57" s="1103">
        <f>'C2-Shares'!BH31</f>
        <v>9.9253177413548041E-2</v>
      </c>
      <c r="G57" s="1103">
        <f>'C2-Shares'!BP31</f>
        <v>9.205939695431975E-2</v>
      </c>
    </row>
    <row r="58" spans="1:7" ht="12.75" customHeight="1" x14ac:dyDescent="0.3">
      <c r="A58" s="48">
        <v>1986</v>
      </c>
      <c r="B58" s="1103">
        <f>'C2-Shares'!D32</f>
        <v>9.4249423098889507E-2</v>
      </c>
      <c r="C58" s="1103">
        <f>'C2-Shares'!AJ32</f>
        <v>9.3335029333015199E-2</v>
      </c>
      <c r="D58" s="1103">
        <f>'C2-Shares'!AR32</f>
        <v>9.8112387462535838E-2</v>
      </c>
      <c r="E58" s="1103">
        <f>'C2-Shares'!AZ32</f>
        <v>0.10241469171415755</v>
      </c>
      <c r="F58" s="1103">
        <f>'C2-Shares'!BH32</f>
        <v>0.10072027478021189</v>
      </c>
      <c r="G58" s="1103">
        <f>'C2-Shares'!BP32</f>
        <v>9.2263808815653187E-2</v>
      </c>
    </row>
    <row r="59" spans="1:7" ht="12.75" customHeight="1" x14ac:dyDescent="0.3">
      <c r="A59" s="48">
        <v>1987</v>
      </c>
      <c r="B59" s="1103">
        <f>'C2-Shares'!D33</f>
        <v>0.10934234493361181</v>
      </c>
      <c r="C59" s="1103">
        <f>'C2-Shares'!AJ33</f>
        <v>0.10734724427392583</v>
      </c>
      <c r="D59" s="1103"/>
      <c r="E59" s="1103">
        <f>'C2-Shares'!AZ33</f>
        <v>0.1112036542410637</v>
      </c>
      <c r="F59" s="1103">
        <f>'C2-Shares'!BH33</f>
        <v>0.10946642758009148</v>
      </c>
      <c r="G59" s="1103">
        <f>'C2-Shares'!BP33</f>
        <v>9.9576121349569113E-2</v>
      </c>
    </row>
    <row r="60" spans="1:7" ht="12.75" customHeight="1" x14ac:dyDescent="0.3">
      <c r="A60" s="48">
        <v>1988</v>
      </c>
      <c r="B60" s="1103">
        <f>'C2-Shares'!D34</f>
        <v>0.13390887550348279</v>
      </c>
      <c r="C60" s="1103">
        <f>'C2-Shares'!AJ34</f>
        <v>0.131354139798248</v>
      </c>
      <c r="D60" s="1103"/>
      <c r="E60" s="1103">
        <f>'C2-Shares'!AZ34</f>
        <v>0.13436217929103739</v>
      </c>
      <c r="F60" s="1103">
        <f>'C2-Shares'!BH34</f>
        <v>0.13230991144035925</v>
      </c>
      <c r="G60" s="1103">
        <f>'C2-Shares'!BP34</f>
        <v>0.12179341061546657</v>
      </c>
    </row>
    <row r="61" spans="1:7" ht="12.75" customHeight="1" x14ac:dyDescent="0.3">
      <c r="A61" s="48">
        <v>1989</v>
      </c>
      <c r="B61" s="1103">
        <f>'C2-Shares'!D35</f>
        <v>0.12843244430452086</v>
      </c>
      <c r="C61" s="1103">
        <f>'C2-Shares'!AJ35</f>
        <v>0.12593221702492816</v>
      </c>
      <c r="D61" s="1103"/>
      <c r="E61" s="1103">
        <f>'C2-Shares'!AZ35</f>
        <v>0.12928434453568302</v>
      </c>
      <c r="F61" s="1103">
        <f>'C2-Shares'!BH35</f>
        <v>0.12748527356395023</v>
      </c>
      <c r="G61" s="1103">
        <f>'C2-Shares'!BP35</f>
        <v>0.11720271976048928</v>
      </c>
    </row>
    <row r="62" spans="1:7" ht="12.75" customHeight="1" x14ac:dyDescent="0.3">
      <c r="A62" s="48">
        <v>1990</v>
      </c>
      <c r="B62" s="1103">
        <f>'C2-Shares'!D36</f>
        <v>0.13159761521820432</v>
      </c>
      <c r="C62" s="1103">
        <f>'C2-Shares'!AJ36</f>
        <v>0.12893739422770159</v>
      </c>
      <c r="D62" s="1103"/>
      <c r="E62" s="1103">
        <f>'C2-Shares'!AZ36</f>
        <v>0.13229639007058402</v>
      </c>
      <c r="F62" s="1103">
        <f>'C2-Shares'!BH36</f>
        <v>0.13041327410473499</v>
      </c>
      <c r="G62" s="1103">
        <f>'C2-Shares'!BP36</f>
        <v>0.11981887010048813</v>
      </c>
    </row>
    <row r="63" spans="1:7" ht="12.75" customHeight="1" x14ac:dyDescent="0.3">
      <c r="A63" s="48">
        <v>1991</v>
      </c>
      <c r="B63" s="1103">
        <f>'C2-Shares'!D37</f>
        <v>0.12506133414448184</v>
      </c>
      <c r="C63" s="1103">
        <f>'C2-Shares'!AJ37</f>
        <v>0.12256591313031542</v>
      </c>
      <c r="D63" s="1103"/>
      <c r="E63" s="1103">
        <f>'C2-Shares'!AZ37</f>
        <v>0.12635470818473027</v>
      </c>
      <c r="F63" s="1103">
        <f>'C2-Shares'!BH37</f>
        <v>0.12432323570423709</v>
      </c>
      <c r="G63" s="1103">
        <f>'C2-Shares'!BP37</f>
        <v>0.11417176859008872</v>
      </c>
    </row>
    <row r="64" spans="1:7" ht="12.75" customHeight="1" x14ac:dyDescent="0.3">
      <c r="A64" s="48">
        <v>1992</v>
      </c>
      <c r="B64" s="1103">
        <f>'C2-Shares'!D38</f>
        <v>0.13713010130934056</v>
      </c>
      <c r="C64" s="1103">
        <f>'C2-Shares'!AJ38</f>
        <v>0.1344665552317757</v>
      </c>
      <c r="D64" s="1103"/>
      <c r="E64" s="1103">
        <f>'C2-Shares'!AZ38</f>
        <v>0.13765965188224497</v>
      </c>
      <c r="F64" s="1103">
        <f>'C2-Shares'!BH38</f>
        <v>0.13580396868183453</v>
      </c>
      <c r="G64" s="1103">
        <f>'C2-Shares'!BP38</f>
        <v>0.12527151639312997</v>
      </c>
    </row>
    <row r="65" spans="1:7" ht="12.75" customHeight="1" x14ac:dyDescent="0.3">
      <c r="A65" s="48">
        <v>1993</v>
      </c>
      <c r="B65" s="1103">
        <f>'C2-Shares'!D39</f>
        <v>0.13059955285752309</v>
      </c>
      <c r="C65" s="1103">
        <f>'C2-Shares'!AJ39</f>
        <v>0.1280944031911771</v>
      </c>
      <c r="D65" s="1103"/>
      <c r="E65" s="1103">
        <f>'C2-Shares'!AZ39</f>
        <v>0.13120643049930747</v>
      </c>
      <c r="F65" s="1103">
        <f>'C2-Shares'!BH39</f>
        <v>0.1292984985578472</v>
      </c>
      <c r="G65" s="1103">
        <f>'C2-Shares'!BP39</f>
        <v>0.11794091750620227</v>
      </c>
    </row>
    <row r="66" spans="1:7" ht="12.75" customHeight="1" x14ac:dyDescent="0.3">
      <c r="A66" s="48">
        <v>1994</v>
      </c>
      <c r="B66" s="1103">
        <f>'C2-Shares'!D40</f>
        <v>0.13058830719162121</v>
      </c>
      <c r="C66" s="1103">
        <f>'C2-Shares'!AJ40</f>
        <v>0.12803254250784574</v>
      </c>
      <c r="D66" s="1103"/>
      <c r="E66" s="1103">
        <f>'C2-Shares'!AZ40</f>
        <v>0.13114628489534952</v>
      </c>
      <c r="F66" s="1103">
        <f>'C2-Shares'!BH40</f>
        <v>0.12921731275904036</v>
      </c>
      <c r="G66" s="1103">
        <f>'C2-Shares'!BP40</f>
        <v>0.11740972444136223</v>
      </c>
    </row>
    <row r="67" spans="1:7" ht="12.75" customHeight="1" x14ac:dyDescent="0.3">
      <c r="A67" s="48">
        <v>1995</v>
      </c>
      <c r="B67" s="1103">
        <f>'C2-Shares'!D41</f>
        <v>0.13623280223168013</v>
      </c>
      <c r="C67" s="1103">
        <f>'C2-Shares'!AJ41</f>
        <v>0.13344928620159516</v>
      </c>
      <c r="D67" s="1103"/>
      <c r="E67" s="1103">
        <f>'C2-Shares'!AZ41</f>
        <v>0.13654603154635775</v>
      </c>
      <c r="F67" s="1103">
        <f>'C2-Shares'!BH41</f>
        <v>0.13430384821363464</v>
      </c>
      <c r="G67" s="1103">
        <f>'C2-Shares'!BP41</f>
        <v>0.12248438485226811</v>
      </c>
    </row>
    <row r="68" spans="1:7" ht="12.75" customHeight="1" x14ac:dyDescent="0.3">
      <c r="A68" s="48">
        <v>1996</v>
      </c>
      <c r="B68" s="1103">
        <f>'C2-Shares'!D42</f>
        <v>0.14211630294199273</v>
      </c>
      <c r="C68" s="1103">
        <f>'C2-Shares'!AJ42</f>
        <v>0.13923596061912577</v>
      </c>
      <c r="D68" s="1103"/>
      <c r="E68" s="1103">
        <f>'C2-Shares'!AZ42</f>
        <v>0.14222958199200389</v>
      </c>
      <c r="F68" s="1103">
        <f>'C2-Shares'!BH42</f>
        <v>0.14024014473833857</v>
      </c>
      <c r="G68" s="1103">
        <f>'C2-Shares'!BP42</f>
        <v>0.12794129726924547</v>
      </c>
    </row>
    <row r="69" spans="1:7" ht="12.75" customHeight="1" x14ac:dyDescent="0.3">
      <c r="A69" s="48">
        <v>1997</v>
      </c>
      <c r="B69" s="1103">
        <f>'C2-Shares'!D43</f>
        <v>0.14851792242140666</v>
      </c>
      <c r="C69" s="1103">
        <f>'C2-Shares'!AJ43</f>
        <v>0.14557611333445836</v>
      </c>
      <c r="D69" s="1103"/>
      <c r="E69" s="1103">
        <f>'C2-Shares'!AZ43</f>
        <v>0.14831007740826058</v>
      </c>
      <c r="F69" s="1103">
        <f>'C2-Shares'!BH43</f>
        <v>0.14617082192665834</v>
      </c>
      <c r="G69" s="1103">
        <f>'C2-Shares'!BP43</f>
        <v>0.13381134042884052</v>
      </c>
    </row>
    <row r="70" spans="1:7" ht="12.75" customHeight="1" x14ac:dyDescent="0.3">
      <c r="A70" s="48">
        <v>1998</v>
      </c>
      <c r="B70" s="1103">
        <f>'C2-Shares'!D44</f>
        <v>0.15293231550216271</v>
      </c>
      <c r="C70" s="1103">
        <f>'C2-Shares'!AJ44</f>
        <v>0.14971445180293455</v>
      </c>
      <c r="D70" s="1103"/>
      <c r="E70" s="1103">
        <f>'C2-Shares'!AZ44</f>
        <v>0.15249688597937786</v>
      </c>
      <c r="F70" s="1103">
        <f>'C2-Shares'!BH44</f>
        <v>0.15046977296462452</v>
      </c>
      <c r="G70" s="1103">
        <f>'C2-Shares'!BP44</f>
        <v>0.13850871610760548</v>
      </c>
    </row>
    <row r="71" spans="1:7" ht="12.75" customHeight="1" x14ac:dyDescent="0.3">
      <c r="A71" s="48">
        <v>1999</v>
      </c>
      <c r="B71" s="1103">
        <f>'C2-Shares'!D45</f>
        <v>0.15826690404785865</v>
      </c>
      <c r="C71" s="1103">
        <f>'C2-Shares'!AJ45</f>
        <v>0.15467359906383726</v>
      </c>
      <c r="D71" s="1103"/>
      <c r="E71" s="1103">
        <f>'C2-Shares'!AZ45</f>
        <v>0.15738261132368891</v>
      </c>
      <c r="F71" s="1103">
        <f>'C2-Shares'!BH45</f>
        <v>0.15555466391933642</v>
      </c>
      <c r="G71" s="1103">
        <f>'C2-Shares'!BP45</f>
        <v>0.14331342716628531</v>
      </c>
    </row>
    <row r="72" spans="1:7" ht="12.75" customHeight="1" x14ac:dyDescent="0.3">
      <c r="A72" s="48">
        <v>2000</v>
      </c>
      <c r="B72" s="1103">
        <f>'C2-Shares'!D46</f>
        <v>0.16676514207446289</v>
      </c>
      <c r="C72" s="1103">
        <f>'C2-Shares'!AJ46</f>
        <v>0.16314570663598796</v>
      </c>
      <c r="D72" s="1103"/>
      <c r="E72" s="1103">
        <f>'C2-Shares'!AZ46</f>
        <v>0.16599461095892284</v>
      </c>
      <c r="F72" s="1103">
        <f>'C2-Shares'!BH46</f>
        <v>0.16435578952673349</v>
      </c>
      <c r="G72" s="1103">
        <f>'C2-Shares'!BP46</f>
        <v>0.15271323970005557</v>
      </c>
    </row>
    <row r="73" spans="1:7" ht="12.75" customHeight="1" x14ac:dyDescent="0.3">
      <c r="A73" s="48">
        <v>2001</v>
      </c>
      <c r="B73" s="1103">
        <f>'C2-Shares'!D47</f>
        <v>0.15627880124956517</v>
      </c>
      <c r="C73" s="1103">
        <f>'C2-Shares'!AJ47</f>
        <v>0.15242520993959766</v>
      </c>
      <c r="D73" s="1103"/>
      <c r="E73" s="1103">
        <f>'C2-Shares'!AZ47</f>
        <v>0.15513441169107955</v>
      </c>
      <c r="F73" s="1103">
        <f>'C2-Shares'!BH47</f>
        <v>0.15303735126815196</v>
      </c>
      <c r="G73" s="1103">
        <f>'C2-Shares'!BP47</f>
        <v>0.14053008771631226</v>
      </c>
    </row>
    <row r="74" spans="1:7" ht="12.75" customHeight="1" x14ac:dyDescent="0.3">
      <c r="A74" s="48">
        <v>2002</v>
      </c>
      <c r="B74" s="1103">
        <f>'C2-Shares'!D48</f>
        <v>0.15024999167473227</v>
      </c>
      <c r="C74" s="1103">
        <f>'C2-Shares'!AJ48</f>
        <v>0.14663321912350749</v>
      </c>
      <c r="D74" s="1103"/>
      <c r="E74" s="1103">
        <f>'C2-Shares'!AZ48</f>
        <v>0.14925370415722755</v>
      </c>
      <c r="F74" s="1103">
        <f>'C2-Shares'!BH48</f>
        <v>0.14690123159338461</v>
      </c>
      <c r="G74" s="1103">
        <f>'C2-Shares'!BP48</f>
        <v>0.13421125592858837</v>
      </c>
    </row>
    <row r="75" spans="1:7" ht="12.75" customHeight="1" x14ac:dyDescent="0.3">
      <c r="A75" s="48">
        <v>2003</v>
      </c>
      <c r="B75" s="1103">
        <f>'C2-Shares'!D49</f>
        <v>0.15285699444851517</v>
      </c>
      <c r="C75" s="1103">
        <f>'C2-Shares'!AJ49</f>
        <v>0.14953244226895551</v>
      </c>
      <c r="D75" s="1103"/>
      <c r="E75" s="1103">
        <f>'C2-Shares'!AZ49</f>
        <v>0.15208472023846939</v>
      </c>
      <c r="F75" s="1103">
        <f>'C2-Shares'!BH49</f>
        <v>0.14950149203255866</v>
      </c>
      <c r="G75" s="1103">
        <f>'C2-Shares'!BP49</f>
        <v>0.13652782606305219</v>
      </c>
    </row>
    <row r="76" spans="1:7" ht="12.75" customHeight="1" x14ac:dyDescent="0.3">
      <c r="A76" s="48">
        <v>2004</v>
      </c>
      <c r="B76" s="1103">
        <f>'C2-Shares'!D50</f>
        <v>0.16465369594380561</v>
      </c>
      <c r="C76" s="1103">
        <f>'C2-Shares'!AJ50</f>
        <v>0.16114873389988735</v>
      </c>
      <c r="D76" s="1103"/>
      <c r="E76" s="1103">
        <f>'C2-Shares'!AZ50</f>
        <v>0.16349820558537945</v>
      </c>
      <c r="F76" s="1103">
        <f>'C2-Shares'!BH50</f>
        <v>0.16101208310720044</v>
      </c>
      <c r="G76" s="1103">
        <f>'C2-Shares'!BP50</f>
        <v>0.14697923353687528</v>
      </c>
    </row>
    <row r="77" spans="1:7" ht="12.75" customHeight="1" x14ac:dyDescent="0.3">
      <c r="A77" s="48">
        <v>2005</v>
      </c>
      <c r="B77" s="1103">
        <f>'C2-Shares'!D51</f>
        <v>0.17795486600175159</v>
      </c>
      <c r="C77" s="1103">
        <f>'C2-Shares'!AJ51</f>
        <v>0.17392016559930465</v>
      </c>
      <c r="D77" s="1103"/>
      <c r="E77" s="1103">
        <f>'C2-Shares'!AZ51</f>
        <v>0.17642248172209671</v>
      </c>
      <c r="F77" s="1103">
        <f>'C2-Shares'!BH51</f>
        <v>0.17391746231909511</v>
      </c>
      <c r="G77" s="1103">
        <f>'C2-Shares'!BP51</f>
        <v>0.15887801351172548</v>
      </c>
    </row>
    <row r="78" spans="1:7" ht="12.75" customHeight="1" x14ac:dyDescent="0.3">
      <c r="A78" s="48">
        <v>2006</v>
      </c>
      <c r="B78" s="1103">
        <f>'C2-Shares'!D52</f>
        <v>0.18227275590687367</v>
      </c>
      <c r="C78" s="1103">
        <f>'C2-Shares'!AJ52</f>
        <v>0.17833410150552453</v>
      </c>
      <c r="D78" s="1103"/>
      <c r="E78" s="1103">
        <f>'C2-Shares'!AZ52</f>
        <v>0.18137841504736363</v>
      </c>
      <c r="F78" s="1103">
        <f>'C2-Shares'!BH52</f>
        <v>0.17861899536094583</v>
      </c>
      <c r="G78" s="1103">
        <f>'C2-Shares'!BP52</f>
        <v>0.1630196904090282</v>
      </c>
    </row>
    <row r="79" spans="1:7" ht="12.75" customHeight="1" x14ac:dyDescent="0.3">
      <c r="A79" s="48">
        <v>2007</v>
      </c>
      <c r="B79" s="1103">
        <f>'C2-Shares'!D53</f>
        <v>0.18507058152321654</v>
      </c>
      <c r="C79" s="1103">
        <f>'C2-Shares'!AJ53</f>
        <v>0.1805785320338357</v>
      </c>
      <c r="D79" s="1103"/>
      <c r="E79" s="1103">
        <f>'C2-Shares'!AZ53</f>
        <v>0.18391379392640647</v>
      </c>
      <c r="F79" s="1103">
        <f>'C2-Shares'!BH53</f>
        <v>0.180899236259805</v>
      </c>
      <c r="G79" s="1103">
        <f>'C2-Shares'!BP53</f>
        <v>0.16543577742164467</v>
      </c>
    </row>
    <row r="80" spans="1:7" ht="12.75" customHeight="1" x14ac:dyDescent="0.3">
      <c r="A80" s="48">
        <v>2008</v>
      </c>
      <c r="B80" s="1103">
        <f>'C2-Shares'!D54</f>
        <v>0.18090102275007411</v>
      </c>
      <c r="C80" s="1103">
        <f>'C2-Shares'!AJ54</f>
        <v>0.17610621085567005</v>
      </c>
      <c r="D80" s="1103"/>
      <c r="E80" s="1103">
        <f>'C2-Shares'!AZ54</f>
        <v>0.17926776706706951</v>
      </c>
      <c r="F80" s="1103">
        <f>'C2-Shares'!BH54</f>
        <v>0.17587052078191776</v>
      </c>
      <c r="G80" s="1103">
        <f>'C2-Shares'!BP54</f>
        <v>0.15942822025416023</v>
      </c>
    </row>
    <row r="81" spans="1:7" ht="12.75" customHeight="1" x14ac:dyDescent="0.3">
      <c r="A81" s="48">
        <v>2009</v>
      </c>
      <c r="B81" s="1103">
        <f>'C2-Shares'!D55</f>
        <v>0.16755037533105335</v>
      </c>
      <c r="C81" s="1103">
        <f>'C2-Shares'!AJ55</f>
        <v>0.1636361111022625</v>
      </c>
      <c r="D81" s="1103"/>
      <c r="E81" s="1103">
        <f>'C2-Shares'!AZ55</f>
        <v>0.16642660951446694</v>
      </c>
      <c r="F81" s="1103">
        <f>'C2-Shares'!BH55</f>
        <v>0.16249501709951886</v>
      </c>
      <c r="G81" s="1103">
        <f>'C2-Shares'!BP55</f>
        <v>0.14629922888309324</v>
      </c>
    </row>
    <row r="82" spans="1:7" ht="12.75" customHeight="1" x14ac:dyDescent="0.3">
      <c r="A82" s="48">
        <v>2010</v>
      </c>
      <c r="B82" s="1103">
        <f>'C2-Shares'!D56</f>
        <v>0.17579080672847322</v>
      </c>
      <c r="C82" s="1103">
        <f>'C2-Shares'!AJ56</f>
        <v>0.17179787860553344</v>
      </c>
      <c r="D82" s="1103"/>
      <c r="E82" s="1103">
        <f>'C2-Shares'!AZ56</f>
        <v>0.17446889047538655</v>
      </c>
      <c r="F82" s="1103">
        <f>'C2-Shares'!BH56</f>
        <v>0.17018681968481936</v>
      </c>
      <c r="G82" s="1103">
        <f>'C2-Shares'!BP56</f>
        <v>0.15308304286902652</v>
      </c>
    </row>
    <row r="83" spans="1:7" ht="12.75" customHeight="1" x14ac:dyDescent="0.3">
      <c r="A83" s="48">
        <v>2011</v>
      </c>
      <c r="B83" s="1103">
        <f>'C2-Shares'!D57</f>
        <v>0.1748995357114809</v>
      </c>
      <c r="C83" s="1103">
        <f>'C2-Shares'!AJ57</f>
        <v>0.17101288211048174</v>
      </c>
      <c r="D83" s="1103"/>
      <c r="E83" s="1103">
        <f>'C2-Shares'!AZ57</f>
        <v>0.17351467030538748</v>
      </c>
      <c r="F83" s="1103">
        <f>'C2-Shares'!BH57</f>
        <v>0.16901254389139231</v>
      </c>
      <c r="G83" s="1103">
        <f>'C2-Shares'!BP57</f>
        <v>0.15147672392649897</v>
      </c>
    </row>
    <row r="84" spans="1:7" ht="12.75" customHeight="1" x14ac:dyDescent="0.3">
      <c r="A84" s="48">
        <v>2012</v>
      </c>
      <c r="B84" s="1103">
        <f>'C2-Shares'!D58</f>
        <v>0.19247966604562486</v>
      </c>
      <c r="C84" s="1103">
        <f>'C2-Shares'!AJ58</f>
        <v>0.18837733099936049</v>
      </c>
      <c r="D84" s="1103"/>
      <c r="E84" s="1103">
        <f>'C2-Shares'!AZ58</f>
        <v>0.19054762590439758</v>
      </c>
      <c r="F84" s="1103">
        <f>'C2-Shares'!BH58</f>
        <v>0.18581131838758286</v>
      </c>
      <c r="G84" s="1103">
        <f>'C2-Shares'!BP58</f>
        <v>0.16740885633823213</v>
      </c>
    </row>
    <row r="85" spans="1:7" ht="12.75" customHeight="1" x14ac:dyDescent="0.3">
      <c r="A85" s="48">
        <v>2013</v>
      </c>
      <c r="B85" s="1103">
        <f>'C2-Shares'!D59</f>
        <v>0.17793099911196669</v>
      </c>
      <c r="C85" s="1103">
        <f>'C2-Shares'!AJ59</f>
        <v>0.17404345892226927</v>
      </c>
      <c r="D85" s="1103"/>
      <c r="E85" s="1103">
        <f>'C2-Shares'!AZ59</f>
        <v>0.17603164828673193</v>
      </c>
      <c r="F85" s="1103">
        <f>'C2-Shares'!BH59</f>
        <v>0.1710932688250123</v>
      </c>
      <c r="G85" s="1103">
        <f>'C2-Shares'!BP59</f>
        <v>0.15344573015693216</v>
      </c>
    </row>
    <row r="86" spans="1:7" ht="12.75" customHeight="1" x14ac:dyDescent="0.3">
      <c r="A86" s="48">
        <v>2014</v>
      </c>
      <c r="B86" s="1103">
        <f>'C2-Shares'!D60</f>
        <v>0.18396159361301589</v>
      </c>
      <c r="C86" s="1103">
        <f>'C2-Shares'!AJ60</f>
        <v>0.18031008946391389</v>
      </c>
      <c r="D86" s="1103"/>
      <c r="E86" s="1103">
        <f>'C2-Shares'!AZ60</f>
        <v>0.18200942254031119</v>
      </c>
      <c r="F86" s="1103">
        <f>'C2-Shares'!BH60</f>
        <v>0.17691432009654673</v>
      </c>
      <c r="G86" s="1103">
        <f>'C2-Shares'!BP60</f>
        <v>0.15889326616238297</v>
      </c>
    </row>
    <row r="87" spans="1:7" ht="12.75" customHeight="1" x14ac:dyDescent="0.3">
      <c r="A87" s="49">
        <v>2015</v>
      </c>
      <c r="B87" s="1103">
        <f>'C2-Shares'!D61</f>
        <v>0.18562615712261096</v>
      </c>
      <c r="C87" s="1103">
        <f>'C2-Shares'!AJ61</f>
        <v>0.18193854994537673</v>
      </c>
      <c r="D87" s="1103"/>
      <c r="E87" s="1103">
        <f>'C2-Shares'!AZ61</f>
        <v>0.18346745327349573</v>
      </c>
      <c r="F87" s="1103">
        <f>'C2-Shares'!BH61</f>
        <v>0.1783031585558186</v>
      </c>
      <c r="G87" s="1103">
        <f>'C2-Shares'!BP61</f>
        <v>0.15950579949102328</v>
      </c>
    </row>
  </sheetData>
  <hyperlinks>
    <hyperlink ref="K1" location="Index!A1" display="Index"/>
  </hyperlink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7" tint="0.59999389629810485"/>
  </sheetPr>
  <dimension ref="A1:K88"/>
  <sheetViews>
    <sheetView workbookViewId="0">
      <selection activeCell="O47" sqref="O47"/>
    </sheetView>
  </sheetViews>
  <sheetFormatPr defaultColWidth="9.109375" defaultRowHeight="14.4" x14ac:dyDescent="0.3"/>
  <cols>
    <col min="1" max="5" width="9.109375" style="539"/>
    <col min="6" max="6" width="15" style="539" customWidth="1"/>
    <col min="7" max="16384" width="9.109375" style="539"/>
  </cols>
  <sheetData>
    <row r="1" spans="1:11" ht="16.2" x14ac:dyDescent="0.35">
      <c r="A1" s="202" t="s">
        <v>1744</v>
      </c>
      <c r="K1" s="463" t="s">
        <v>504</v>
      </c>
    </row>
    <row r="27" spans="1:7" x14ac:dyDescent="0.3">
      <c r="A27" s="210" t="s">
        <v>203</v>
      </c>
    </row>
    <row r="28" spans="1:7" x14ac:dyDescent="0.3">
      <c r="A28" s="210" t="s">
        <v>1660</v>
      </c>
    </row>
    <row r="31" spans="1:7" x14ac:dyDescent="0.3">
      <c r="A31" s="75" t="s">
        <v>1719</v>
      </c>
    </row>
    <row r="32" spans="1:7" ht="38.25" customHeight="1" x14ac:dyDescent="0.3">
      <c r="A32" s="1011"/>
      <c r="B32" s="1102" t="s">
        <v>1116</v>
      </c>
      <c r="C32" s="1102" t="s">
        <v>1724</v>
      </c>
      <c r="D32" s="1102" t="s">
        <v>1725</v>
      </c>
      <c r="E32" s="1102" t="s">
        <v>110</v>
      </c>
      <c r="F32" s="1102" t="s">
        <v>1726</v>
      </c>
      <c r="G32" s="1102"/>
    </row>
    <row r="33" spans="1:7" ht="11.25" customHeight="1" x14ac:dyDescent="0.3">
      <c r="A33" s="48">
        <v>1960</v>
      </c>
      <c r="B33" s="1103">
        <f>'C2-Shares'!EZ6</f>
        <v>0.1103860864630547</v>
      </c>
      <c r="C33" s="1103">
        <f>'C2-Shares'!FH6</f>
        <v>0.10803048045492174</v>
      </c>
      <c r="D33" s="1103">
        <f>'C2-Shares'!FX6</f>
        <v>0.10577661071085745</v>
      </c>
      <c r="E33" s="1103">
        <f>'C2-Shares'!GG6</f>
        <v>0.10577661071085745</v>
      </c>
      <c r="F33" s="1103">
        <f>'C2-Shares'!GO6</f>
        <v>0.10547561256553753</v>
      </c>
      <c r="G33" s="1103"/>
    </row>
    <row r="34" spans="1:7" ht="11.25" customHeight="1" x14ac:dyDescent="0.3">
      <c r="A34" s="48">
        <v>1961</v>
      </c>
      <c r="B34" s="1103">
        <f>'C2-Shares'!EZ7</f>
        <v>0.11081719513306594</v>
      </c>
      <c r="C34" s="1103">
        <f>'C2-Shares'!FH7</f>
        <v>0.10828271932434626</v>
      </c>
      <c r="D34" s="1103">
        <f>'C2-Shares'!FX7</f>
        <v>0.10608775300438418</v>
      </c>
      <c r="E34" s="1103">
        <f>'C2-Shares'!GG7</f>
        <v>0.10608775300438418</v>
      </c>
      <c r="F34" s="1103">
        <f>'C2-Shares'!GO7</f>
        <v>0.10574892929572076</v>
      </c>
      <c r="G34" s="1103"/>
    </row>
    <row r="35" spans="1:7" ht="11.25" customHeight="1" x14ac:dyDescent="0.3">
      <c r="A35" s="48">
        <v>1962</v>
      </c>
      <c r="B35" s="1103">
        <f>'C2-Shares'!EZ8</f>
        <v>0.11120373480640794</v>
      </c>
      <c r="C35" s="1103">
        <f>'C2-Shares'!FH8</f>
        <v>0.10850811448501747</v>
      </c>
      <c r="D35" s="1103">
        <f>'C2-Shares'!FX8</f>
        <v>0.10636612223319651</v>
      </c>
      <c r="E35" s="1103">
        <f>'C2-Shares'!GG8</f>
        <v>0.10636612223319651</v>
      </c>
      <c r="F35" s="1103">
        <f>'C2-Shares'!GO8</f>
        <v>0.10599329544961571</v>
      </c>
      <c r="G35" s="1103"/>
    </row>
    <row r="36" spans="1:7" ht="11.25" customHeight="1" x14ac:dyDescent="0.3">
      <c r="A36" s="48">
        <v>1963</v>
      </c>
      <c r="B36" s="1103">
        <f>'C2-Shares'!EZ9</f>
        <v>0.11305834004238841</v>
      </c>
      <c r="C36" s="1103">
        <f>'C2-Shares'!FH9</f>
        <v>0.11033709187161125</v>
      </c>
      <c r="D36" s="1103">
        <f>'C2-Shares'!FX9</f>
        <v>0.10828415952760033</v>
      </c>
      <c r="E36" s="1103">
        <f>'C2-Shares'!GG9</f>
        <v>0.10828415952760033</v>
      </c>
      <c r="F36" s="1103">
        <f>'C2-Shares'!GO9</f>
        <v>0.10787582966725633</v>
      </c>
      <c r="G36" s="1103"/>
    </row>
    <row r="37" spans="1:7" ht="11.25" customHeight="1" x14ac:dyDescent="0.3">
      <c r="A37" s="48">
        <v>1964</v>
      </c>
      <c r="B37" s="1103">
        <f>'C2-Shares'!EZ10</f>
        <v>0.1146899307735081</v>
      </c>
      <c r="C37" s="1103">
        <f>'C2-Shares'!FH10</f>
        <v>0.11194695836983386</v>
      </c>
      <c r="D37" s="1103">
        <f>'C2-Shares'!FX10</f>
        <v>0.10997627758149009</v>
      </c>
      <c r="E37" s="1103">
        <f>'C2-Shares'!GG10</f>
        <v>0.10997627758149009</v>
      </c>
      <c r="F37" s="1103">
        <f>'C2-Shares'!GO10</f>
        <v>0.10953579287619661</v>
      </c>
      <c r="G37" s="1103"/>
    </row>
    <row r="38" spans="1:7" ht="11.25" customHeight="1" x14ac:dyDescent="0.3">
      <c r="A38" s="48">
        <v>1965</v>
      </c>
      <c r="B38" s="1103">
        <f>'C2-Shares'!EZ11</f>
        <v>0.11494324669163405</v>
      </c>
      <c r="C38" s="1103">
        <f>'C2-Shares'!FH11</f>
        <v>0.11215743709955242</v>
      </c>
      <c r="D38" s="1103">
        <f>'C2-Shares'!FX11</f>
        <v>0.11035500676806856</v>
      </c>
      <c r="E38" s="1103">
        <f>'C2-Shares'!GG11</f>
        <v>0.11031040632130691</v>
      </c>
      <c r="F38" s="1103">
        <f>'C2-Shares'!GO11</f>
        <v>0.10979524163767666</v>
      </c>
      <c r="G38" s="1103"/>
    </row>
    <row r="39" spans="1:7" ht="11.25" customHeight="1" x14ac:dyDescent="0.3">
      <c r="A39" s="48">
        <v>1966</v>
      </c>
      <c r="B39" s="1103">
        <f>'C2-Shares'!EZ12</f>
        <v>0.11515736868552763</v>
      </c>
      <c r="C39" s="1103">
        <f>'C2-Shares'!FH12</f>
        <v>0.11233517203049642</v>
      </c>
      <c r="D39" s="1103">
        <f>'C2-Shares'!FX12</f>
        <v>0.11067576854798181</v>
      </c>
      <c r="E39" s="1103">
        <f>'C2-Shares'!GG12</f>
        <v>0.11059313625780118</v>
      </c>
      <c r="F39" s="1103">
        <f>'C2-Shares'!GO12</f>
        <v>0.11001450916324675</v>
      </c>
      <c r="G39" s="1103"/>
    </row>
    <row r="40" spans="1:7" ht="11.25" customHeight="1" x14ac:dyDescent="0.3">
      <c r="A40" s="48">
        <v>1967</v>
      </c>
      <c r="B40" s="1103">
        <f>'C2-Shares'!EZ13</f>
        <v>0.11224971747213815</v>
      </c>
      <c r="C40" s="1103">
        <f>'C2-Shares'!FH13</f>
        <v>0.10942242903564565</v>
      </c>
      <c r="D40" s="1103">
        <f>'C2-Shares'!FX13</f>
        <v>0.10767661993439634</v>
      </c>
      <c r="E40" s="1103">
        <f>'C2-Shares'!GG13</f>
        <v>0.10738870672783757</v>
      </c>
      <c r="F40" s="1103">
        <f>'C2-Shares'!GO13</f>
        <v>0.10666714511172948</v>
      </c>
      <c r="G40" s="1103"/>
    </row>
    <row r="41" spans="1:7" ht="11.25" customHeight="1" x14ac:dyDescent="0.3">
      <c r="A41" s="48">
        <v>1968</v>
      </c>
      <c r="B41" s="1103">
        <f>'C2-Shares'!EZ14</f>
        <v>0.11145129761914908</v>
      </c>
      <c r="C41" s="1103">
        <f>'C2-Shares'!FH14</f>
        <v>0.10849967377157242</v>
      </c>
      <c r="D41" s="1103">
        <f>'C2-Shares'!FX14</f>
        <v>0.10680517432600703</v>
      </c>
      <c r="E41" s="1103">
        <f>'C2-Shares'!GG14</f>
        <v>0.10633324505681449</v>
      </c>
      <c r="F41" s="1103">
        <f>'C2-Shares'!GO14</f>
        <v>0.105470357862509</v>
      </c>
      <c r="G41" s="1103"/>
    </row>
    <row r="42" spans="1:7" ht="11.25" customHeight="1" x14ac:dyDescent="0.3">
      <c r="A42" s="48">
        <v>1969</v>
      </c>
      <c r="B42" s="1103">
        <f>'C2-Shares'!EZ15</f>
        <v>0.10106026471086935</v>
      </c>
      <c r="C42" s="1103">
        <f>'C2-Shares'!FH15</f>
        <v>9.8424345886577072E-2</v>
      </c>
      <c r="D42" s="1103">
        <f>'C2-Shares'!FX15</f>
        <v>9.682133586779261E-2</v>
      </c>
      <c r="E42" s="1103">
        <f>'C2-Shares'!GG15</f>
        <v>9.6343382472934946E-2</v>
      </c>
      <c r="F42" s="1103">
        <f>'C2-Shares'!GO15</f>
        <v>9.5507100877327486E-2</v>
      </c>
      <c r="G42" s="1103"/>
    </row>
    <row r="43" spans="1:7" ht="11.25" customHeight="1" x14ac:dyDescent="0.3">
      <c r="A43" s="48">
        <v>1970</v>
      </c>
      <c r="B43" s="1103">
        <f>'C2-Shares'!EZ16</f>
        <v>9.3299155800116204E-2</v>
      </c>
      <c r="C43" s="1103">
        <f>'C2-Shares'!FH16</f>
        <v>9.0592411256250352E-2</v>
      </c>
      <c r="D43" s="1103">
        <f>'C2-Shares'!FX16</f>
        <v>8.8805884341200847E-2</v>
      </c>
      <c r="E43" s="1103">
        <f>'C2-Shares'!GG16</f>
        <v>8.8380790347767205E-2</v>
      </c>
      <c r="F43" s="1103">
        <f>'C2-Shares'!GO16</f>
        <v>8.742571198859439E-2</v>
      </c>
      <c r="G43" s="1103"/>
    </row>
    <row r="44" spans="1:7" ht="11.25" customHeight="1" x14ac:dyDescent="0.3">
      <c r="A44" s="48">
        <v>1971</v>
      </c>
      <c r="B44" s="1103">
        <f>'C2-Shares'!EZ17</f>
        <v>9.6309616480635699E-2</v>
      </c>
      <c r="C44" s="1103">
        <f>'C2-Shares'!FH17</f>
        <v>9.3287250929624602E-2</v>
      </c>
      <c r="D44" s="1103">
        <f>'C2-Shares'!FX17</f>
        <v>9.1207140170582235E-2</v>
      </c>
      <c r="E44" s="1103">
        <f>'C2-Shares'!GG17</f>
        <v>9.0740927273014485E-2</v>
      </c>
      <c r="F44" s="1103">
        <f>'C2-Shares'!GO17</f>
        <v>8.960980370049855E-2</v>
      </c>
      <c r="G44" s="1103"/>
    </row>
    <row r="45" spans="1:7" ht="11.25" customHeight="1" x14ac:dyDescent="0.3">
      <c r="A45" s="48">
        <v>1972</v>
      </c>
      <c r="B45" s="1103">
        <f>'C2-Shares'!EZ18</f>
        <v>9.8115968640821435E-2</v>
      </c>
      <c r="C45" s="1103">
        <f>'C2-Shares'!FH18</f>
        <v>9.4993094641620757E-2</v>
      </c>
      <c r="D45" s="1103">
        <f>'C2-Shares'!FX18</f>
        <v>9.2929075381534554E-2</v>
      </c>
      <c r="E45" s="1103">
        <f>'C2-Shares'!GG18</f>
        <v>9.2490431061729036E-2</v>
      </c>
      <c r="F45" s="1103">
        <f>'C2-Shares'!GO18</f>
        <v>9.1278796098654649E-2</v>
      </c>
      <c r="G45" s="1103"/>
    </row>
    <row r="46" spans="1:7" ht="11.25" customHeight="1" x14ac:dyDescent="0.3">
      <c r="A46" s="48">
        <v>1973</v>
      </c>
      <c r="B46" s="1103">
        <f>'C2-Shares'!EZ19</f>
        <v>9.7143648904541954E-2</v>
      </c>
      <c r="C46" s="1103">
        <f>'C2-Shares'!FH19</f>
        <v>9.3768142792508294E-2</v>
      </c>
      <c r="D46" s="1103">
        <f>'C2-Shares'!FX19</f>
        <v>9.196450383446958E-2</v>
      </c>
      <c r="E46" s="1103">
        <f>'C2-Shares'!GG19</f>
        <v>9.1563463680121568E-2</v>
      </c>
      <c r="F46" s="1103">
        <f>'C2-Shares'!GO19</f>
        <v>9.033291392156774E-2</v>
      </c>
      <c r="G46" s="1103"/>
    </row>
    <row r="47" spans="1:7" ht="11.25" customHeight="1" x14ac:dyDescent="0.3">
      <c r="A47" s="48">
        <v>1974</v>
      </c>
      <c r="B47" s="1103">
        <f>'C2-Shares'!EZ20</f>
        <v>9.3850207684448211E-2</v>
      </c>
      <c r="C47" s="1103">
        <f>'C2-Shares'!FH20</f>
        <v>9.0388631677252723E-2</v>
      </c>
      <c r="D47" s="1103">
        <f>'C2-Shares'!FX20</f>
        <v>8.8388659913261114E-2</v>
      </c>
      <c r="E47" s="1103">
        <f>'C2-Shares'!GG20</f>
        <v>8.7829919496967862E-2</v>
      </c>
      <c r="F47" s="1103">
        <f>'C2-Shares'!GO20</f>
        <v>8.6511865633795648E-2</v>
      </c>
      <c r="G47" s="1103"/>
    </row>
    <row r="48" spans="1:7" ht="11.25" customHeight="1" x14ac:dyDescent="0.3">
      <c r="A48" s="48">
        <v>1975</v>
      </c>
      <c r="B48" s="1103">
        <f>'C2-Shares'!EZ21</f>
        <v>9.4064651760773887E-2</v>
      </c>
      <c r="C48" s="1103">
        <f>'C2-Shares'!FH21</f>
        <v>9.0354211001225204E-2</v>
      </c>
      <c r="D48" s="1103">
        <f>'C2-Shares'!FX21</f>
        <v>8.762487085309438E-2</v>
      </c>
      <c r="E48" s="1103">
        <f>'C2-Shares'!GG21</f>
        <v>8.7023777742676139E-2</v>
      </c>
      <c r="F48" s="1103">
        <f>'C2-Shares'!GO21</f>
        <v>8.5442158826000994E-2</v>
      </c>
      <c r="G48" s="1103"/>
    </row>
    <row r="49" spans="1:7" ht="11.25" customHeight="1" x14ac:dyDescent="0.3">
      <c r="A49" s="48">
        <v>1976</v>
      </c>
      <c r="B49" s="1103">
        <f>'C2-Shares'!EZ22</f>
        <v>9.4291204392316835E-2</v>
      </c>
      <c r="C49" s="1103">
        <f>'C2-Shares'!FH22</f>
        <v>9.0562007409070139E-2</v>
      </c>
      <c r="D49" s="1103">
        <f>'C2-Shares'!FX22</f>
        <v>8.8054715567276606E-2</v>
      </c>
      <c r="E49" s="1103">
        <f>'C2-Shares'!GG22</f>
        <v>8.7437289050230488E-2</v>
      </c>
      <c r="F49" s="1103">
        <f>'C2-Shares'!GO22</f>
        <v>8.5926386415201478E-2</v>
      </c>
      <c r="G49" s="1103"/>
    </row>
    <row r="50" spans="1:7" ht="11.25" customHeight="1" x14ac:dyDescent="0.3">
      <c r="A50" s="48">
        <v>1977</v>
      </c>
      <c r="B50" s="1103">
        <f>'C2-Shares'!EZ23</f>
        <v>9.4899274095405453E-2</v>
      </c>
      <c r="C50" s="1103">
        <f>'C2-Shares'!FH23</f>
        <v>9.1162163208599142E-2</v>
      </c>
      <c r="D50" s="1103">
        <f>'C2-Shares'!FX23</f>
        <v>8.9010069387910978E-2</v>
      </c>
      <c r="E50" s="1103">
        <f>'C2-Shares'!GG23</f>
        <v>8.8285468856868235E-2</v>
      </c>
      <c r="F50" s="1103">
        <f>'C2-Shares'!GO23</f>
        <v>8.6809827305294684E-2</v>
      </c>
      <c r="G50" s="1103"/>
    </row>
    <row r="51" spans="1:7" ht="11.25" customHeight="1" x14ac:dyDescent="0.3">
      <c r="A51" s="48">
        <v>1978</v>
      </c>
      <c r="B51" s="1103">
        <f>'C2-Shares'!EZ24</f>
        <v>9.3930708108198674E-2</v>
      </c>
      <c r="C51" s="1103">
        <f>'C2-Shares'!FH24</f>
        <v>9.0314950533124994E-2</v>
      </c>
      <c r="D51" s="1103">
        <f>'C2-Shares'!FX24</f>
        <v>8.8536994519356357E-2</v>
      </c>
      <c r="E51" s="1103">
        <f>'C2-Shares'!GG24</f>
        <v>8.7810112710752924E-2</v>
      </c>
      <c r="F51" s="1103">
        <f>'C2-Shares'!GO24</f>
        <v>8.6304517369871839E-2</v>
      </c>
      <c r="G51" s="1103"/>
    </row>
    <row r="52" spans="1:7" ht="11.25" customHeight="1" x14ac:dyDescent="0.3">
      <c r="A52" s="48">
        <v>1979</v>
      </c>
      <c r="B52" s="1103">
        <f>'C2-Shares'!EZ25</f>
        <v>9.4899986792237198E-2</v>
      </c>
      <c r="C52" s="1103">
        <f>'C2-Shares'!FH25</f>
        <v>9.1168530579304352E-2</v>
      </c>
      <c r="D52" s="1103">
        <f>'C2-Shares'!FX25</f>
        <v>8.947176727995497E-2</v>
      </c>
      <c r="E52" s="1103">
        <f>'C2-Shares'!GG25</f>
        <v>8.8485439997729259E-2</v>
      </c>
      <c r="F52" s="1103">
        <f>'C2-Shares'!GO25</f>
        <v>8.6903574030698996E-2</v>
      </c>
      <c r="G52" s="1103"/>
    </row>
    <row r="53" spans="1:7" ht="11.25" customHeight="1" x14ac:dyDescent="0.3">
      <c r="A53" s="48">
        <v>1980</v>
      </c>
      <c r="B53" s="1103">
        <f>'C2-Shares'!EZ26</f>
        <v>9.261465973160031E-2</v>
      </c>
      <c r="C53" s="1103">
        <f>'C2-Shares'!FH26</f>
        <v>8.8728838796038795E-2</v>
      </c>
      <c r="D53" s="1103">
        <f>'C2-Shares'!FX26</f>
        <v>8.6855005557195303E-2</v>
      </c>
      <c r="E53" s="1103">
        <f>'C2-Shares'!GG26</f>
        <v>8.5802014348051472E-2</v>
      </c>
      <c r="F53" s="1103">
        <f>'C2-Shares'!GO26</f>
        <v>8.4047989673063372E-2</v>
      </c>
      <c r="G53" s="1103"/>
    </row>
    <row r="54" spans="1:7" ht="11.25" customHeight="1" x14ac:dyDescent="0.3">
      <c r="A54" s="48">
        <v>1981</v>
      </c>
      <c r="B54" s="1103">
        <f>'C2-Shares'!EZ27</f>
        <v>8.9262196264253163E-2</v>
      </c>
      <c r="C54" s="1103">
        <f>'C2-Shares'!FH27</f>
        <v>8.5400055179676609E-2</v>
      </c>
      <c r="D54" s="1103">
        <f>'C2-Shares'!FX27</f>
        <v>8.3731554872143191E-2</v>
      </c>
      <c r="E54" s="1103">
        <f>'C2-Shares'!GG27</f>
        <v>8.2633525482566472E-2</v>
      </c>
      <c r="F54" s="1103">
        <f>'C2-Shares'!GO27</f>
        <v>8.0968223140013368E-2</v>
      </c>
      <c r="G54" s="1103"/>
    </row>
    <row r="55" spans="1:7" ht="11.25" customHeight="1" x14ac:dyDescent="0.3">
      <c r="A55" s="48">
        <v>1982</v>
      </c>
      <c r="B55" s="1103">
        <f>'C2-Shares'!EZ28</f>
        <v>9.0401597762518424E-2</v>
      </c>
      <c r="C55" s="1103">
        <f>'C2-Shares'!FH28</f>
        <v>8.6237898892085926E-2</v>
      </c>
      <c r="D55" s="1103">
        <f>'C2-Shares'!FX28</f>
        <v>8.4333284171894896E-2</v>
      </c>
      <c r="E55" s="1103">
        <f>'C2-Shares'!GG28</f>
        <v>8.3075070403505327E-2</v>
      </c>
      <c r="F55" s="1103">
        <f>'C2-Shares'!GO28</f>
        <v>8.1431776540895423E-2</v>
      </c>
      <c r="G55" s="1103"/>
    </row>
    <row r="56" spans="1:7" ht="11.25" customHeight="1" x14ac:dyDescent="0.3">
      <c r="A56" s="48">
        <v>1983</v>
      </c>
      <c r="B56" s="1103">
        <f>'C2-Shares'!EZ29</f>
        <v>9.2487534110957156E-2</v>
      </c>
      <c r="C56" s="1103">
        <f>'C2-Shares'!FH29</f>
        <v>8.822641185087339E-2</v>
      </c>
      <c r="D56" s="1103">
        <f>'C2-Shares'!FX29</f>
        <v>8.6340996978585646E-2</v>
      </c>
      <c r="E56" s="1103">
        <f>'C2-Shares'!GG29</f>
        <v>8.4990366355785607E-2</v>
      </c>
      <c r="F56" s="1103">
        <f>'C2-Shares'!GO29</f>
        <v>8.3266688648198986E-2</v>
      </c>
      <c r="G56" s="1103"/>
    </row>
    <row r="57" spans="1:7" ht="11.25" customHeight="1" x14ac:dyDescent="0.3">
      <c r="A57" s="48">
        <v>1984</v>
      </c>
      <c r="B57" s="1103">
        <f>'C2-Shares'!EZ30</f>
        <v>9.5430599975374134E-2</v>
      </c>
      <c r="C57" s="1103">
        <f>'C2-Shares'!FH30</f>
        <v>9.1309518643493737E-2</v>
      </c>
      <c r="D57" s="1103">
        <f>'C2-Shares'!FX30</f>
        <v>8.9767038930382376E-2</v>
      </c>
      <c r="E57" s="1103">
        <f>'C2-Shares'!GG30</f>
        <v>8.8396219912995969E-2</v>
      </c>
      <c r="F57" s="1103">
        <f>'C2-Shares'!GO30</f>
        <v>8.6710232120910974E-2</v>
      </c>
      <c r="G57" s="1103"/>
    </row>
    <row r="58" spans="1:7" ht="11.25" customHeight="1" x14ac:dyDescent="0.3">
      <c r="A58" s="48">
        <v>1985</v>
      </c>
      <c r="B58" s="1103">
        <f>'C2-Shares'!EZ31</f>
        <v>9.5622856413381044E-2</v>
      </c>
      <c r="C58" s="1103">
        <f>'C2-Shares'!FH31</f>
        <v>9.1857017074527661E-2</v>
      </c>
      <c r="D58" s="1103">
        <f>'C2-Shares'!FX31</f>
        <v>9.0360956989681357E-2</v>
      </c>
      <c r="E58" s="1103">
        <f>'C2-Shares'!GG31</f>
        <v>8.8966401124973782E-2</v>
      </c>
      <c r="F58" s="1103">
        <f>'C2-Shares'!GO31</f>
        <v>8.7272923610391115E-2</v>
      </c>
      <c r="G58" s="1103"/>
    </row>
    <row r="59" spans="1:7" ht="11.25" customHeight="1" x14ac:dyDescent="0.3">
      <c r="A59" s="48">
        <v>1986</v>
      </c>
      <c r="B59" s="1103">
        <f>'C2-Shares'!EZ32</f>
        <v>9.2931372728020101E-2</v>
      </c>
      <c r="C59" s="1103">
        <f>'C2-Shares'!FH32</f>
        <v>8.9098634602939028E-2</v>
      </c>
      <c r="D59" s="1103">
        <f>'C2-Shares'!FX32</f>
        <v>8.7630406901744604E-2</v>
      </c>
      <c r="E59" s="1103">
        <f>'C2-Shares'!GG32</f>
        <v>8.6218272770441154E-2</v>
      </c>
      <c r="F59" s="1103">
        <f>'C2-Shares'!GO32</f>
        <v>8.4532499321062451E-2</v>
      </c>
      <c r="G59" s="1103"/>
    </row>
    <row r="60" spans="1:7" ht="11.25" customHeight="1" x14ac:dyDescent="0.3">
      <c r="A60" s="48">
        <v>1987</v>
      </c>
      <c r="B60" s="1103">
        <f>'C2-Shares'!EZ33</f>
        <v>9.6691378643522452E-2</v>
      </c>
      <c r="C60" s="1103">
        <f>'C2-Shares'!FH33</f>
        <v>9.278781180073975E-2</v>
      </c>
      <c r="D60" s="1103">
        <f>'C2-Shares'!FX33</f>
        <v>9.1352626046438443E-2</v>
      </c>
      <c r="E60" s="1103">
        <f>'C2-Shares'!GG33</f>
        <v>8.9871006025787417E-2</v>
      </c>
      <c r="F60" s="1103">
        <f>'C2-Shares'!GO33</f>
        <v>8.8118347589807716E-2</v>
      </c>
      <c r="G60" s="1103"/>
    </row>
    <row r="61" spans="1:7" ht="11.25" customHeight="1" x14ac:dyDescent="0.3">
      <c r="A61" s="48">
        <v>1988</v>
      </c>
      <c r="B61" s="1103">
        <f>'C2-Shares'!EZ34</f>
        <v>0.11618417948029981</v>
      </c>
      <c r="C61" s="1103">
        <f>'C2-Shares'!FH34</f>
        <v>0.11135677382321564</v>
      </c>
      <c r="D61" s="1103">
        <f>'C2-Shares'!FX34</f>
        <v>0.1096952807145785</v>
      </c>
      <c r="E61" s="1103">
        <f>'C2-Shares'!GG34</f>
        <v>0.10797921729859219</v>
      </c>
      <c r="F61" s="1103">
        <f>'C2-Shares'!GO34</f>
        <v>0.10586704503713266</v>
      </c>
      <c r="G61" s="1103"/>
    </row>
    <row r="62" spans="1:7" ht="11.25" customHeight="1" x14ac:dyDescent="0.3">
      <c r="A62" s="48">
        <v>1989</v>
      </c>
      <c r="B62" s="1103">
        <f>'C2-Shares'!EZ35</f>
        <v>0.11126510038595104</v>
      </c>
      <c r="C62" s="1103">
        <f>'C2-Shares'!FH35</f>
        <v>0.10680742152294617</v>
      </c>
      <c r="D62" s="1103">
        <f>'C2-Shares'!FX35</f>
        <v>0.1051843793916285</v>
      </c>
      <c r="E62" s="1103">
        <f>'C2-Shares'!GG35</f>
        <v>0.10348182102769574</v>
      </c>
      <c r="F62" s="1103">
        <f>'C2-Shares'!GO35</f>
        <v>0.10133937109209022</v>
      </c>
      <c r="G62" s="1103"/>
    </row>
    <row r="63" spans="1:7" ht="11.25" customHeight="1" x14ac:dyDescent="0.3">
      <c r="A63" s="48">
        <v>1990</v>
      </c>
      <c r="B63" s="1103">
        <f>'C2-Shares'!EZ36</f>
        <v>0.11287840931465051</v>
      </c>
      <c r="C63" s="1103">
        <f>'C2-Shares'!FH36</f>
        <v>0.10809485660376186</v>
      </c>
      <c r="D63" s="1103">
        <f>'C2-Shares'!FX36</f>
        <v>0.10634832739217775</v>
      </c>
      <c r="E63" s="1103">
        <f>'C2-Shares'!GG36</f>
        <v>0.10453304602474597</v>
      </c>
      <c r="F63" s="1103">
        <f>'C2-Shares'!GO36</f>
        <v>0.10216340310442139</v>
      </c>
      <c r="G63" s="1103"/>
    </row>
    <row r="64" spans="1:7" ht="11.25" customHeight="1" x14ac:dyDescent="0.3">
      <c r="A64" s="48">
        <v>1991</v>
      </c>
      <c r="B64" s="1103">
        <f>'C2-Shares'!EZ37</f>
        <v>0.10924309169780609</v>
      </c>
      <c r="C64" s="1103">
        <f>'C2-Shares'!FH37</f>
        <v>0.10447410240713817</v>
      </c>
      <c r="D64" s="1103">
        <f>'C2-Shares'!FX37</f>
        <v>0.10252633621499502</v>
      </c>
      <c r="E64" s="1103">
        <f>'C2-Shares'!GG37</f>
        <v>0.10065635359557674</v>
      </c>
      <c r="F64" s="1103">
        <f>'C2-Shares'!GO37</f>
        <v>9.7937989104130208E-2</v>
      </c>
      <c r="G64" s="1103"/>
    </row>
    <row r="65" spans="1:7" ht="11.25" customHeight="1" x14ac:dyDescent="0.3">
      <c r="A65" s="48">
        <v>1992</v>
      </c>
      <c r="B65" s="1103">
        <f>'C2-Shares'!EZ38</f>
        <v>0.11597736769774794</v>
      </c>
      <c r="C65" s="1103">
        <f>'C2-Shares'!FH38</f>
        <v>0.11076124169123606</v>
      </c>
      <c r="D65" s="1103">
        <f>'C2-Shares'!FX38</f>
        <v>0.10842885484768344</v>
      </c>
      <c r="E65" s="1103">
        <f>'C2-Shares'!GG38</f>
        <v>0.1063452708970694</v>
      </c>
      <c r="F65" s="1103">
        <f>'C2-Shares'!GO38</f>
        <v>0.10321475471347732</v>
      </c>
      <c r="G65" s="1103"/>
    </row>
    <row r="66" spans="1:7" ht="11.25" customHeight="1" x14ac:dyDescent="0.3">
      <c r="A66" s="48">
        <v>1993</v>
      </c>
      <c r="B66" s="1103">
        <f>'C2-Shares'!EZ39</f>
        <v>0.10954075171346821</v>
      </c>
      <c r="C66" s="1103">
        <f>'C2-Shares'!FH39</f>
        <v>0.10460508574292064</v>
      </c>
      <c r="D66" s="1103">
        <f>'C2-Shares'!FX39</f>
        <v>0.10249153213737115</v>
      </c>
      <c r="E66" s="1103">
        <f>'C2-Shares'!GG39</f>
        <v>0.1003726161939117</v>
      </c>
      <c r="F66" s="1103">
        <f>'C2-Shares'!GO39</f>
        <v>9.7294801851661686E-2</v>
      </c>
      <c r="G66" s="1103"/>
    </row>
    <row r="67" spans="1:7" ht="11.25" customHeight="1" x14ac:dyDescent="0.3">
      <c r="A67" s="48">
        <v>1994</v>
      </c>
      <c r="B67" s="1103">
        <f>'C2-Shares'!EZ40</f>
        <v>0.10947565686902427</v>
      </c>
      <c r="C67" s="1103">
        <f>'C2-Shares'!FH40</f>
        <v>0.10461528467856671</v>
      </c>
      <c r="D67" s="1103">
        <f>'C2-Shares'!FX40</f>
        <v>0.10274515255786391</v>
      </c>
      <c r="E67" s="1103">
        <f>'C2-Shares'!GG40</f>
        <v>0.10055845293434386</v>
      </c>
      <c r="F67" s="1103">
        <f>'C2-Shares'!GO40</f>
        <v>9.7496605700246583E-2</v>
      </c>
      <c r="G67" s="1103"/>
    </row>
    <row r="68" spans="1:7" ht="11.25" customHeight="1" x14ac:dyDescent="0.3">
      <c r="A68" s="48">
        <v>1995</v>
      </c>
      <c r="B68" s="1103">
        <f>'C2-Shares'!EZ41</f>
        <v>0.11512130249241838</v>
      </c>
      <c r="C68" s="1103">
        <f>'C2-Shares'!FH41</f>
        <v>0.11004415001233736</v>
      </c>
      <c r="D68" s="1103">
        <f>'C2-Shares'!FX41</f>
        <v>0.10808130082694145</v>
      </c>
      <c r="E68" s="1103">
        <f>'C2-Shares'!GG41</f>
        <v>0.10570070769449537</v>
      </c>
      <c r="F68" s="1103">
        <f>'C2-Shares'!GO41</f>
        <v>0.10248804676769482</v>
      </c>
      <c r="G68" s="1103"/>
    </row>
    <row r="69" spans="1:7" ht="11.25" customHeight="1" x14ac:dyDescent="0.3">
      <c r="A69" s="48">
        <v>1996</v>
      </c>
      <c r="B69" s="1103">
        <f>'C2-Shares'!EZ42</f>
        <v>0.11931018728926303</v>
      </c>
      <c r="C69" s="1103">
        <f>'C2-Shares'!FH42</f>
        <v>0.11413490835644124</v>
      </c>
      <c r="D69" s="1103">
        <f>'C2-Shares'!FX42</f>
        <v>0.1121533852521652</v>
      </c>
      <c r="E69" s="1103">
        <f>'C2-Shares'!GG42</f>
        <v>0.1096223651033775</v>
      </c>
      <c r="F69" s="1103">
        <f>'C2-Shares'!GO42</f>
        <v>0.10636785657879491</v>
      </c>
      <c r="G69" s="1103"/>
    </row>
    <row r="70" spans="1:7" ht="11.25" customHeight="1" x14ac:dyDescent="0.3">
      <c r="A70" s="48">
        <v>1997</v>
      </c>
      <c r="B70" s="1103">
        <f>'C2-Shares'!EZ43</f>
        <v>0.12490294670435617</v>
      </c>
      <c r="C70" s="1103">
        <f>'C2-Shares'!FH43</f>
        <v>0.11964792353672739</v>
      </c>
      <c r="D70" s="1103">
        <f>'C2-Shares'!FX43</f>
        <v>0.11771153554056711</v>
      </c>
      <c r="E70" s="1103">
        <f>'C2-Shares'!GG43</f>
        <v>0.11503586436327726</v>
      </c>
      <c r="F70" s="1103">
        <f>'C2-Shares'!GO43</f>
        <v>0.11178826593549564</v>
      </c>
      <c r="G70" s="1103"/>
    </row>
    <row r="71" spans="1:7" ht="11.25" customHeight="1" x14ac:dyDescent="0.3">
      <c r="A71" s="48">
        <v>1998</v>
      </c>
      <c r="B71" s="1103">
        <f>'C2-Shares'!EZ44</f>
        <v>0.12637675646198396</v>
      </c>
      <c r="C71" s="1103">
        <f>'C2-Shares'!FH44</f>
        <v>0.12116956724971432</v>
      </c>
      <c r="D71" s="1103">
        <f>'C2-Shares'!FX44</f>
        <v>0.1192632948194436</v>
      </c>
      <c r="E71" s="1103">
        <f>'C2-Shares'!GG44</f>
        <v>0.1167157387454105</v>
      </c>
      <c r="F71" s="1103">
        <f>'C2-Shares'!GO44</f>
        <v>0.1134947367984665</v>
      </c>
      <c r="G71" s="1103"/>
    </row>
    <row r="72" spans="1:7" ht="11.25" customHeight="1" x14ac:dyDescent="0.3">
      <c r="A72" s="48">
        <v>1999</v>
      </c>
      <c r="B72" s="1103">
        <f>'C2-Shares'!EZ45</f>
        <v>0.13162035713692485</v>
      </c>
      <c r="C72" s="1103">
        <f>'C2-Shares'!FH45</f>
        <v>0.12629576341763057</v>
      </c>
      <c r="D72" s="1103">
        <f>'C2-Shares'!FX45</f>
        <v>0.12438107115812487</v>
      </c>
      <c r="E72" s="1103">
        <f>'C2-Shares'!GG45</f>
        <v>0.12179800299260163</v>
      </c>
      <c r="F72" s="1103">
        <f>'C2-Shares'!GO45</f>
        <v>0.11841283354898033</v>
      </c>
      <c r="G72" s="1103"/>
    </row>
    <row r="73" spans="1:7" ht="11.25" customHeight="1" x14ac:dyDescent="0.3">
      <c r="A73" s="48">
        <v>2000</v>
      </c>
      <c r="B73" s="1103">
        <f>'C2-Shares'!EZ46</f>
        <v>0.13670178501652119</v>
      </c>
      <c r="C73" s="1103">
        <f>'C2-Shares'!FH46</f>
        <v>0.13129935865214534</v>
      </c>
      <c r="D73" s="1103">
        <f>'C2-Shares'!FX46</f>
        <v>0.12937807987136724</v>
      </c>
      <c r="E73" s="1103">
        <f>'C2-Shares'!GG46</f>
        <v>0.12676285691777653</v>
      </c>
      <c r="F73" s="1103">
        <f>'C2-Shares'!GO46</f>
        <v>0.12324734072667641</v>
      </c>
      <c r="G73" s="1103"/>
    </row>
    <row r="74" spans="1:7" ht="11.25" customHeight="1" x14ac:dyDescent="0.3">
      <c r="A74" s="48">
        <v>2001</v>
      </c>
      <c r="B74" s="1103">
        <f>'C2-Shares'!EZ47</f>
        <v>0.12713426863166885</v>
      </c>
      <c r="C74" s="1103">
        <f>'C2-Shares'!FH47</f>
        <v>0.12198334756862593</v>
      </c>
      <c r="D74" s="1103">
        <f>'C2-Shares'!FX47</f>
        <v>0.12006862474180104</v>
      </c>
      <c r="E74" s="1103">
        <f>'C2-Shares'!GG47</f>
        <v>0.11747483370642925</v>
      </c>
      <c r="F74" s="1103">
        <f>'C2-Shares'!GO47</f>
        <v>0.11389875547142124</v>
      </c>
      <c r="G74" s="1103"/>
    </row>
    <row r="75" spans="1:7" ht="11.25" customHeight="1" x14ac:dyDescent="0.3">
      <c r="A75" s="48">
        <v>2002</v>
      </c>
      <c r="B75" s="1103">
        <f>'C2-Shares'!EZ48</f>
        <v>0.12068197568424517</v>
      </c>
      <c r="C75" s="1103">
        <f>'C2-Shares'!FH48</f>
        <v>0.11571922100514412</v>
      </c>
      <c r="D75" s="1103">
        <f>'C2-Shares'!FX48</f>
        <v>0.11359456984747196</v>
      </c>
      <c r="E75" s="1103">
        <f>'C2-Shares'!GG48</f>
        <v>0.11106504543849566</v>
      </c>
      <c r="F75" s="1103">
        <f>'C2-Shares'!GO48</f>
        <v>0.10745535683987288</v>
      </c>
      <c r="G75" s="1103"/>
    </row>
    <row r="76" spans="1:7" ht="11.25" customHeight="1" x14ac:dyDescent="0.3">
      <c r="A76" s="48">
        <v>2003</v>
      </c>
      <c r="B76" s="1103">
        <f>'C2-Shares'!EZ49</f>
        <v>0.12377478129489432</v>
      </c>
      <c r="C76" s="1103">
        <f>'C2-Shares'!FH49</f>
        <v>0.11869874269985575</v>
      </c>
      <c r="D76" s="1103">
        <f>'C2-Shares'!FX49</f>
        <v>0.11649920768263082</v>
      </c>
      <c r="E76" s="1103">
        <f>'C2-Shares'!GG49</f>
        <v>0.11387701690004122</v>
      </c>
      <c r="F76" s="1103">
        <f>'C2-Shares'!GO49</f>
        <v>0.11008174195775861</v>
      </c>
      <c r="G76" s="1103"/>
    </row>
    <row r="77" spans="1:7" ht="11.25" customHeight="1" x14ac:dyDescent="0.3">
      <c r="A77" s="48">
        <v>2004</v>
      </c>
      <c r="B77" s="1103">
        <f>'C2-Shares'!EZ50</f>
        <v>0.13260924234253701</v>
      </c>
      <c r="C77" s="1103">
        <f>'C2-Shares'!FH50</f>
        <v>0.12722257964706676</v>
      </c>
      <c r="D77" s="1103">
        <f>'C2-Shares'!FX50</f>
        <v>0.12508547205989498</v>
      </c>
      <c r="E77" s="1103">
        <f>'C2-Shares'!GG50</f>
        <v>0.12218616314814069</v>
      </c>
      <c r="F77" s="1103">
        <f>'C2-Shares'!GO50</f>
        <v>0.11794330030636968</v>
      </c>
      <c r="G77" s="1103"/>
    </row>
    <row r="78" spans="1:7" ht="11.25" customHeight="1" x14ac:dyDescent="0.3">
      <c r="A78" s="48">
        <v>2005</v>
      </c>
      <c r="B78" s="1103">
        <f>'C2-Shares'!EZ51</f>
        <v>0.14257478164468423</v>
      </c>
      <c r="C78" s="1103">
        <f>'C2-Shares'!FH51</f>
        <v>0.13679929428006951</v>
      </c>
      <c r="D78" s="1103">
        <f>'C2-Shares'!FX51</f>
        <v>0.13455950599941</v>
      </c>
      <c r="E78" s="1103">
        <f>'C2-Shares'!GG51</f>
        <v>0.13140692625452868</v>
      </c>
      <c r="F78" s="1103">
        <f>'C2-Shares'!GO51</f>
        <v>0.12686541570563556</v>
      </c>
      <c r="G78" s="1103"/>
    </row>
    <row r="79" spans="1:7" ht="11.25" customHeight="1" x14ac:dyDescent="0.3">
      <c r="A79" s="48">
        <v>2006</v>
      </c>
      <c r="B79" s="1103">
        <f>'C2-Shares'!EZ52</f>
        <v>0.14696344047345955</v>
      </c>
      <c r="C79" s="1103">
        <f>'C2-Shares'!FH52</f>
        <v>0.14105903969996286</v>
      </c>
      <c r="D79" s="1103">
        <f>'C2-Shares'!FX52</f>
        <v>0.13885305927636254</v>
      </c>
      <c r="E79" s="1103">
        <f>'C2-Shares'!GG52</f>
        <v>0.13519109785952171</v>
      </c>
      <c r="F79" s="1103">
        <f>'C2-Shares'!GO52</f>
        <v>0.13083180114309842</v>
      </c>
      <c r="G79" s="1103"/>
    </row>
    <row r="80" spans="1:7" ht="11.25" customHeight="1" x14ac:dyDescent="0.3">
      <c r="A80" s="48">
        <v>2007</v>
      </c>
      <c r="B80" s="1103">
        <f>'C2-Shares'!EZ53</f>
        <v>0.14610594510750965</v>
      </c>
      <c r="C80" s="1103">
        <f>'C2-Shares'!FH53</f>
        <v>0.14002061120114662</v>
      </c>
      <c r="D80" s="1103">
        <f>'C2-Shares'!FX53</f>
        <v>0.137767521827006</v>
      </c>
      <c r="E80" s="1103">
        <f>'C2-Shares'!GG53</f>
        <v>0.13396901019662866</v>
      </c>
      <c r="F80" s="1103">
        <f>'C2-Shares'!GO53</f>
        <v>0.12947409854791339</v>
      </c>
      <c r="G80" s="1103"/>
    </row>
    <row r="81" spans="1:7" ht="11.25" customHeight="1" x14ac:dyDescent="0.3">
      <c r="A81" s="48">
        <v>2008</v>
      </c>
      <c r="B81" s="1103">
        <f>'C2-Shares'!EZ54</f>
        <v>0.13955021491106612</v>
      </c>
      <c r="C81" s="1103">
        <f>'C2-Shares'!FH54</f>
        <v>0.13354392413068331</v>
      </c>
      <c r="D81" s="1103">
        <f>'C2-Shares'!FX54</f>
        <v>0.1302037129689976</v>
      </c>
      <c r="E81" s="1103">
        <f>'C2-Shares'!GG54</f>
        <v>0.12642462812058666</v>
      </c>
      <c r="F81" s="1103">
        <f>'C2-Shares'!GO54</f>
        <v>0.1212739988736156</v>
      </c>
      <c r="G81" s="1103"/>
    </row>
    <row r="82" spans="1:7" ht="11.25" customHeight="1" x14ac:dyDescent="0.3">
      <c r="A82" s="48">
        <v>2009</v>
      </c>
      <c r="B82" s="1103">
        <f>'C2-Shares'!EZ55</f>
        <v>0.13091121874891942</v>
      </c>
      <c r="C82" s="1103">
        <f>'C2-Shares'!FH55</f>
        <v>0.12470112823661926</v>
      </c>
      <c r="D82" s="1103">
        <f>'C2-Shares'!FX55</f>
        <v>0.12146319030419389</v>
      </c>
      <c r="E82" s="1103">
        <f>'C2-Shares'!GG55</f>
        <v>0.11766018083271693</v>
      </c>
      <c r="F82" s="1103">
        <f>'C2-Shares'!GO55</f>
        <v>0.1127544427547378</v>
      </c>
      <c r="G82" s="1103"/>
    </row>
    <row r="83" spans="1:7" ht="11.25" customHeight="1" x14ac:dyDescent="0.3">
      <c r="A83" s="48">
        <v>2010</v>
      </c>
      <c r="B83" s="1103">
        <f>'C2-Shares'!EZ56</f>
        <v>0.14296488171438282</v>
      </c>
      <c r="C83" s="1103">
        <f>'C2-Shares'!FH56</f>
        <v>0.13618281101350857</v>
      </c>
      <c r="D83" s="1103">
        <f>'C2-Shares'!FX56</f>
        <v>0.13198869756159903</v>
      </c>
      <c r="E83" s="1103">
        <f>'C2-Shares'!GG56</f>
        <v>0.12786384624249394</v>
      </c>
      <c r="F83" s="1103">
        <f>'C2-Shares'!GO56</f>
        <v>0.12244289272562482</v>
      </c>
      <c r="G83" s="1103"/>
    </row>
    <row r="84" spans="1:7" ht="11.25" customHeight="1" x14ac:dyDescent="0.3">
      <c r="A84" s="48">
        <v>2011</v>
      </c>
      <c r="B84" s="1103">
        <f>'C2-Shares'!EZ57</f>
        <v>0.13842295139515765</v>
      </c>
      <c r="C84" s="1103">
        <f>'C2-Shares'!FH57</f>
        <v>0.13188987127386423</v>
      </c>
      <c r="D84" s="1103">
        <f>'C2-Shares'!FX57</f>
        <v>0.12818694639094752</v>
      </c>
      <c r="E84" s="1103">
        <f>'C2-Shares'!GG57</f>
        <v>0.12423140101899548</v>
      </c>
      <c r="F84" s="1103">
        <f>'C2-Shares'!GO57</f>
        <v>0.1191544734605352</v>
      </c>
      <c r="G84" s="1103"/>
    </row>
    <row r="85" spans="1:7" ht="11.25" customHeight="1" x14ac:dyDescent="0.3">
      <c r="A85" s="48">
        <v>2012</v>
      </c>
      <c r="B85" s="1103">
        <f>'C2-Shares'!EZ58</f>
        <v>0.15229122380983121</v>
      </c>
      <c r="C85" s="1103">
        <f>'C2-Shares'!FH58</f>
        <v>0.14498473631034522</v>
      </c>
      <c r="D85" s="1103">
        <f>'C2-Shares'!FX58</f>
        <v>0.1417474360410875</v>
      </c>
      <c r="E85" s="1103">
        <f>'C2-Shares'!GG58</f>
        <v>0.13738563502667289</v>
      </c>
      <c r="F85" s="1103">
        <f>'C2-Shares'!GO58</f>
        <v>0.13192084270089083</v>
      </c>
      <c r="G85" s="1103"/>
    </row>
    <row r="86" spans="1:7" ht="11.25" customHeight="1" x14ac:dyDescent="0.3">
      <c r="A86" s="48">
        <v>2013</v>
      </c>
      <c r="B86" s="1103">
        <f>'C2-Shares'!EZ59</f>
        <v>0.13896760061229452</v>
      </c>
      <c r="C86" s="1103">
        <f>'C2-Shares'!FH59</f>
        <v>0.13228403313325238</v>
      </c>
      <c r="D86" s="1103">
        <f>'C2-Shares'!FX59</f>
        <v>0.12951736188224419</v>
      </c>
      <c r="E86" s="1103">
        <f>'C2-Shares'!GG59</f>
        <v>0.12555234701955248</v>
      </c>
      <c r="F86" s="1103">
        <f>'C2-Shares'!GO59</f>
        <v>0.1205447789407159</v>
      </c>
      <c r="G86" s="1103"/>
    </row>
    <row r="87" spans="1:7" ht="11.25" customHeight="1" x14ac:dyDescent="0.3">
      <c r="A87" s="48">
        <v>2014</v>
      </c>
      <c r="B87" s="1103">
        <f>'C2-Shares'!EZ60</f>
        <v>0.14277984870529348</v>
      </c>
      <c r="C87" s="1103">
        <f>'C2-Shares'!FH60</f>
        <v>0.13590998486770958</v>
      </c>
      <c r="D87" s="1103">
        <f>'C2-Shares'!FX60</f>
        <v>0.13320544354946753</v>
      </c>
      <c r="E87" s="1103">
        <f>'C2-Shares'!GG60</f>
        <v>0.12914059716816831</v>
      </c>
      <c r="F87" s="1103">
        <f>'C2-Shares'!GO60</f>
        <v>0.12383528715122835</v>
      </c>
      <c r="G87" s="1103"/>
    </row>
    <row r="88" spans="1:7" ht="11.25" customHeight="1" x14ac:dyDescent="0.3">
      <c r="A88" s="49">
        <v>2015</v>
      </c>
      <c r="B88" s="1103">
        <f>'C2-Shares'!EZ61</f>
        <v>0.14118367565625728</v>
      </c>
      <c r="C88" s="1103">
        <f>'C2-Shares'!FH61</f>
        <v>0.13438787882080966</v>
      </c>
      <c r="D88" s="1103">
        <f>'C2-Shares'!FX61</f>
        <v>0.13171746776085341</v>
      </c>
      <c r="E88" s="1103">
        <f>'C2-Shares'!GG61</f>
        <v>0.12763065527731021</v>
      </c>
      <c r="F88" s="1103">
        <f>'C2-Shares'!GO61</f>
        <v>0.12226367697635226</v>
      </c>
      <c r="G88" s="1103"/>
    </row>
  </sheetData>
  <hyperlinks>
    <hyperlink ref="K1" location="Index!A1" display="Index"/>
  </hyperlink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7" tint="0.59999389629810485"/>
  </sheetPr>
  <dimension ref="A1:I90"/>
  <sheetViews>
    <sheetView workbookViewId="0">
      <selection activeCell="M41" sqref="M41"/>
    </sheetView>
  </sheetViews>
  <sheetFormatPr defaultRowHeight="14.4" x14ac:dyDescent="0.3"/>
  <cols>
    <col min="9" max="9" width="11.77734375" customWidth="1"/>
    <col min="10" max="10" width="11.88671875" customWidth="1"/>
  </cols>
  <sheetData>
    <row r="1" spans="1:7" ht="16.2" x14ac:dyDescent="0.35">
      <c r="A1" s="202" t="s">
        <v>1732</v>
      </c>
      <c r="G1" s="463" t="s">
        <v>504</v>
      </c>
    </row>
    <row r="29" spans="1:1" x14ac:dyDescent="0.3">
      <c r="A29" s="210" t="s">
        <v>1734</v>
      </c>
    </row>
    <row r="30" spans="1:1" x14ac:dyDescent="0.3">
      <c r="A30" s="210" t="s">
        <v>1662</v>
      </c>
    </row>
    <row r="33" spans="1:9" x14ac:dyDescent="0.3">
      <c r="A33" s="75" t="s">
        <v>1727</v>
      </c>
      <c r="B33" s="1011"/>
      <c r="C33" s="1011"/>
      <c r="D33" s="1011"/>
      <c r="E33" s="1011"/>
      <c r="F33" s="1011"/>
    </row>
    <row r="34" spans="1:9" ht="66.75" customHeight="1" x14ac:dyDescent="0.3">
      <c r="A34" s="1011"/>
      <c r="B34" s="1102" t="s">
        <v>1723</v>
      </c>
      <c r="C34" s="1102" t="s">
        <v>1728</v>
      </c>
      <c r="D34" s="1102" t="s">
        <v>1729</v>
      </c>
      <c r="E34" s="1102" t="s">
        <v>1730</v>
      </c>
      <c r="F34" s="1102" t="s">
        <v>565</v>
      </c>
      <c r="G34" s="1102" t="s">
        <v>507</v>
      </c>
      <c r="H34" s="1102" t="s">
        <v>1731</v>
      </c>
      <c r="I34" s="1102"/>
    </row>
    <row r="35" spans="1:9" x14ac:dyDescent="0.3">
      <c r="A35" s="48">
        <v>1960</v>
      </c>
      <c r="B35" s="1103">
        <f>'C2-Shares'!GO6</f>
        <v>0.10547561256553753</v>
      </c>
      <c r="C35" s="1103">
        <f>'C2-Shares'!GW6</f>
        <v>9.6191811579473874E-2</v>
      </c>
      <c r="D35" s="1103">
        <f>'C2-Shares'!HE6</f>
        <v>9.5312492097992141E-2</v>
      </c>
      <c r="E35" s="1103">
        <f>'C2-Shares'!HM6</f>
        <v>8.342527262629168E-2</v>
      </c>
      <c r="F35" s="1103">
        <f>'C2-Shares'!HU6</f>
        <v>7.7361626969973077E-2</v>
      </c>
      <c r="G35" s="1103">
        <f>'C2-Shares'!IC6</f>
        <v>8.0125104753880252E-2</v>
      </c>
      <c r="H35" s="1103">
        <f>'C2-Shares'!IK6</f>
        <v>8.2667392720965266E-2</v>
      </c>
      <c r="I35" s="1103"/>
    </row>
    <row r="36" spans="1:9" x14ac:dyDescent="0.3">
      <c r="A36" s="48">
        <v>1961</v>
      </c>
      <c r="B36" s="1103">
        <f>'C2-Shares'!GO7</f>
        <v>0.10574892929572076</v>
      </c>
      <c r="C36" s="1103">
        <f>'C2-Shares'!GW7</f>
        <v>9.6714033513160297E-2</v>
      </c>
      <c r="D36" s="1103">
        <f>'C2-Shares'!HE7</f>
        <v>9.5777500548432509E-2</v>
      </c>
      <c r="E36" s="1103">
        <f>'C2-Shares'!HM7</f>
        <v>8.4942727081414149E-2</v>
      </c>
      <c r="F36" s="1103">
        <f>'C2-Shares'!HU7</f>
        <v>7.971861389776673E-2</v>
      </c>
      <c r="G36" s="1103">
        <f>'C2-Shares'!IC7</f>
        <v>8.2473048422717091E-2</v>
      </c>
      <c r="H36" s="1103">
        <f>'C2-Shares'!IK7</f>
        <v>8.5018391324533552E-2</v>
      </c>
      <c r="I36" s="1103"/>
    </row>
    <row r="37" spans="1:9" x14ac:dyDescent="0.3">
      <c r="A37" s="48">
        <v>1962</v>
      </c>
      <c r="B37" s="1103">
        <f>'C2-Shares'!GO8</f>
        <v>0.10599329544961571</v>
      </c>
      <c r="C37" s="1103">
        <f>'C2-Shares'!GW8</f>
        <v>9.7180822839653458E-2</v>
      </c>
      <c r="D37" s="1103">
        <f>'C2-Shares'!HE8</f>
        <v>9.6193427712406673E-2</v>
      </c>
      <c r="E37" s="1103">
        <f>'C2-Shares'!HM8</f>
        <v>8.6296759285360639E-2</v>
      </c>
      <c r="F37" s="1103">
        <f>'C2-Shares'!HU8</f>
        <v>8.1825171231328417E-2</v>
      </c>
      <c r="G37" s="1103">
        <f>'C2-Shares'!IC8</f>
        <v>8.4575020198293951E-2</v>
      </c>
      <c r="H37" s="1103">
        <f>'C2-Shares'!IK8</f>
        <v>8.7122885666407052E-2</v>
      </c>
      <c r="I37" s="1103"/>
    </row>
    <row r="38" spans="1:9" x14ac:dyDescent="0.3">
      <c r="A38" s="48">
        <v>1963</v>
      </c>
      <c r="B38" s="1103">
        <f>'C2-Shares'!GO9</f>
        <v>0.10787582966725633</v>
      </c>
      <c r="C38" s="1103">
        <f>'C2-Shares'!GW9</f>
        <v>9.9028550178258165E-2</v>
      </c>
      <c r="D38" s="1103">
        <f>'C2-Shares'!HE9</f>
        <v>9.8117504776756084E-2</v>
      </c>
      <c r="E38" s="1103">
        <f>'C2-Shares'!HM9</f>
        <v>8.7714795437217261E-2</v>
      </c>
      <c r="F38" s="1103">
        <f>'C2-Shares'!HU9</f>
        <v>8.2991120842296567E-2</v>
      </c>
      <c r="G38" s="1103">
        <f>'C2-Shares'!IC9</f>
        <v>8.5945725435180309E-2</v>
      </c>
      <c r="H38" s="1103">
        <f>'C2-Shares'!IK9</f>
        <v>8.847508702234691E-2</v>
      </c>
      <c r="I38" s="1103"/>
    </row>
    <row r="39" spans="1:9" x14ac:dyDescent="0.3">
      <c r="A39" s="48">
        <v>1964</v>
      </c>
      <c r="B39" s="1103">
        <f>'C2-Shares'!GO10</f>
        <v>0.10953579287619661</v>
      </c>
      <c r="C39" s="1103">
        <f>'C2-Shares'!GW10</f>
        <v>0.10063997640512333</v>
      </c>
      <c r="D39" s="1103">
        <f>'C2-Shares'!HE10</f>
        <v>9.9796580326000139E-2</v>
      </c>
      <c r="E39" s="1103">
        <f>'C2-Shares'!HM10</f>
        <v>8.8951996352150925E-2</v>
      </c>
      <c r="F39" s="1103">
        <f>'C2-Shares'!HU10</f>
        <v>8.4008303191102501E-2</v>
      </c>
      <c r="G39" s="1103">
        <f>'C2-Shares'!IC10</f>
        <v>8.7142712698869806E-2</v>
      </c>
      <c r="H39" s="1103">
        <f>'C2-Shares'!IK10</f>
        <v>8.9655662905210015E-2</v>
      </c>
      <c r="I39" s="1103"/>
    </row>
    <row r="40" spans="1:9" x14ac:dyDescent="0.3">
      <c r="A40" s="48">
        <v>1965</v>
      </c>
      <c r="B40" s="1103">
        <f>'C2-Shares'!GO11</f>
        <v>0.10979524163767666</v>
      </c>
      <c r="C40" s="1103">
        <f>'C2-Shares'!GW11</f>
        <v>0.10104068322614926</v>
      </c>
      <c r="D40" s="1103">
        <f>'C2-Shares'!HE11</f>
        <v>0.10007029832073042</v>
      </c>
      <c r="E40" s="1103">
        <f>'C2-Shares'!HM11</f>
        <v>8.9762033630956875E-2</v>
      </c>
      <c r="F40" s="1103">
        <f>'C2-Shares'!HU11</f>
        <v>8.5491467024462572E-2</v>
      </c>
      <c r="G40" s="1103">
        <f>'C2-Shares'!IC11</f>
        <v>8.9025481580505564E-2</v>
      </c>
      <c r="H40" s="1103">
        <f>'C2-Shares'!IK11</f>
        <v>9.1558206149950694E-2</v>
      </c>
      <c r="I40" s="1103"/>
    </row>
    <row r="41" spans="1:9" x14ac:dyDescent="0.3">
      <c r="A41" s="48">
        <v>1966</v>
      </c>
      <c r="B41" s="1103">
        <f>'C2-Shares'!GO12</f>
        <v>0.11001450916324675</v>
      </c>
      <c r="C41" s="1103">
        <f>'C2-Shares'!GW12</f>
        <v>0.10138137429953822</v>
      </c>
      <c r="D41" s="1103">
        <f>'C2-Shares'!HE12</f>
        <v>0.1003032554736136</v>
      </c>
      <c r="E41" s="1103">
        <f>'C2-Shares'!HM12</f>
        <v>9.0452503677506596E-2</v>
      </c>
      <c r="F41" s="1103">
        <f>'C2-Shares'!HU12</f>
        <v>8.6753890395539379E-2</v>
      </c>
      <c r="G41" s="1103">
        <f>'C2-Shares'!IC12</f>
        <v>9.0640462734045649E-2</v>
      </c>
      <c r="H41" s="1103">
        <f>'C2-Shares'!IK12</f>
        <v>9.3183245193234551E-2</v>
      </c>
      <c r="I41" s="1103"/>
    </row>
    <row r="42" spans="1:9" x14ac:dyDescent="0.3">
      <c r="A42" s="48">
        <v>1967</v>
      </c>
      <c r="B42" s="1103">
        <f>'C2-Shares'!GO13</f>
        <v>0.10666714511172948</v>
      </c>
      <c r="C42" s="1103">
        <f>'C2-Shares'!GW13</f>
        <v>9.6427665266135859E-2</v>
      </c>
      <c r="D42" s="1103">
        <f>'C2-Shares'!HE13</f>
        <v>9.5642651725928882E-2</v>
      </c>
      <c r="E42" s="1103">
        <f>'C2-Shares'!HM13</f>
        <v>8.6471160405884678E-2</v>
      </c>
      <c r="F42" s="1103">
        <f>'C2-Shares'!HU13</f>
        <v>8.2006263195493034E-2</v>
      </c>
      <c r="G42" s="1103">
        <f>'C2-Shares'!IC13</f>
        <v>8.5701231970372882E-2</v>
      </c>
      <c r="H42" s="1103">
        <f>'C2-Shares'!IK13</f>
        <v>8.8030389998766848E-2</v>
      </c>
      <c r="I42" s="1103"/>
    </row>
    <row r="43" spans="1:9" x14ac:dyDescent="0.3">
      <c r="A43" s="48">
        <v>1968</v>
      </c>
      <c r="B43" s="1103">
        <f>'C2-Shares'!GO14</f>
        <v>0.105470357862509</v>
      </c>
      <c r="C43" s="1103">
        <f>'C2-Shares'!GW14</f>
        <v>9.4851258485956755E-2</v>
      </c>
      <c r="D43" s="1103">
        <f>'C2-Shares'!HE14</f>
        <v>9.4130327299388E-2</v>
      </c>
      <c r="E43" s="1103">
        <f>'C2-Shares'!HM14</f>
        <v>8.3662173492490596E-2</v>
      </c>
      <c r="F43" s="1103">
        <f>'C2-Shares'!HU14</f>
        <v>7.8820557825536056E-2</v>
      </c>
      <c r="G43" s="1103">
        <f>'C2-Shares'!IC14</f>
        <v>8.2411010331258638E-2</v>
      </c>
      <c r="H43" s="1103">
        <f>'C2-Shares'!IK14</f>
        <v>8.4912468082789919E-2</v>
      </c>
      <c r="I43" s="1103"/>
    </row>
    <row r="44" spans="1:9" x14ac:dyDescent="0.3">
      <c r="A44" s="48">
        <v>1969</v>
      </c>
      <c r="B44" s="1103">
        <f>'C2-Shares'!GO15</f>
        <v>9.5507100877327486E-2</v>
      </c>
      <c r="C44" s="1103">
        <f>'C2-Shares'!GW15</f>
        <v>8.5060711488912949E-2</v>
      </c>
      <c r="D44" s="1103">
        <f>'C2-Shares'!HE15</f>
        <v>8.4193633351275651E-2</v>
      </c>
      <c r="E44" s="1103">
        <f>'C2-Shares'!HM15</f>
        <v>7.5430062211865337E-2</v>
      </c>
      <c r="F44" s="1103">
        <f>'C2-Shares'!HU15</f>
        <v>7.117388177217919E-2</v>
      </c>
      <c r="G44" s="1103">
        <f>'C2-Shares'!IC15</f>
        <v>7.464889999859195E-2</v>
      </c>
      <c r="H44" s="1103">
        <f>'C2-Shares'!IK15</f>
        <v>7.6729566627514512E-2</v>
      </c>
      <c r="I44" s="1103"/>
    </row>
    <row r="45" spans="1:9" x14ac:dyDescent="0.3">
      <c r="A45" s="48">
        <v>1970</v>
      </c>
      <c r="B45" s="1103">
        <f>'C2-Shares'!GO16</f>
        <v>8.742571198859439E-2</v>
      </c>
      <c r="C45" s="1103">
        <f>'C2-Shares'!GW16</f>
        <v>7.8417111029254263E-2</v>
      </c>
      <c r="D45" s="1103">
        <f>'C2-Shares'!HE16</f>
        <v>7.7464484353796575E-2</v>
      </c>
      <c r="E45" s="1103">
        <f>'C2-Shares'!HM16</f>
        <v>7.111954335039522E-2</v>
      </c>
      <c r="F45" s="1103">
        <f>'C2-Shares'!HU16</f>
        <v>6.6983656161663865E-2</v>
      </c>
      <c r="G45" s="1103">
        <f>'C2-Shares'!IC16</f>
        <v>6.9947685861984299E-2</v>
      </c>
      <c r="H45" s="1103">
        <f>'C2-Shares'!IK16</f>
        <v>7.1782450462713171E-2</v>
      </c>
      <c r="I45" s="1103"/>
    </row>
    <row r="46" spans="1:9" x14ac:dyDescent="0.3">
      <c r="A46" s="48">
        <v>1971</v>
      </c>
      <c r="B46" s="1103">
        <f>'C2-Shares'!GO17</f>
        <v>8.960980370049855E-2</v>
      </c>
      <c r="C46" s="1103">
        <f>'C2-Shares'!GW17</f>
        <v>8.1340427059833964E-2</v>
      </c>
      <c r="D46" s="1103">
        <f>'C2-Shares'!HE17</f>
        <v>8.0310053933682207E-2</v>
      </c>
      <c r="E46" s="1103">
        <f>'C2-Shares'!HM17</f>
        <v>7.3646037726774763E-2</v>
      </c>
      <c r="F46" s="1103">
        <f>'C2-Shares'!HU17</f>
        <v>6.966125863911389E-2</v>
      </c>
      <c r="G46" s="1103">
        <f>'C2-Shares'!IC17</f>
        <v>7.2911309145744868E-2</v>
      </c>
      <c r="H46" s="1103">
        <f>'C2-Shares'!IK17</f>
        <v>7.4769832930948646E-2</v>
      </c>
      <c r="I46" s="1103"/>
    </row>
    <row r="47" spans="1:9" x14ac:dyDescent="0.3">
      <c r="A47" s="48">
        <v>1972</v>
      </c>
      <c r="B47" s="1103">
        <f>'C2-Shares'!GO18</f>
        <v>9.1278796098654649E-2</v>
      </c>
      <c r="C47" s="1103">
        <f>'C2-Shares'!GW18</f>
        <v>8.2558777871934275E-2</v>
      </c>
      <c r="D47" s="1103">
        <f>'C2-Shares'!HE18</f>
        <v>8.1406424534417363E-2</v>
      </c>
      <c r="E47" s="1103">
        <f>'C2-Shares'!HM18</f>
        <v>7.4300133898406201E-2</v>
      </c>
      <c r="F47" s="1103">
        <f>'C2-Shares'!HU18</f>
        <v>7.0454367943420873E-2</v>
      </c>
      <c r="G47" s="1103">
        <f>'C2-Shares'!IC18</f>
        <v>7.3948960965535299E-2</v>
      </c>
      <c r="H47" s="1103">
        <f>'C2-Shares'!IK18</f>
        <v>7.5980652843752258E-2</v>
      </c>
      <c r="I47" s="1103"/>
    </row>
    <row r="48" spans="1:9" x14ac:dyDescent="0.3">
      <c r="A48" s="48">
        <v>1973</v>
      </c>
      <c r="B48" s="1103">
        <f>'C2-Shares'!GO19</f>
        <v>9.033291392156774E-2</v>
      </c>
      <c r="C48" s="1103">
        <f>'C2-Shares'!GW19</f>
        <v>8.2973476259639051E-2</v>
      </c>
      <c r="D48" s="1103">
        <f>'C2-Shares'!HE19</f>
        <v>8.1796141266049796E-2</v>
      </c>
      <c r="E48" s="1103">
        <f>'C2-Shares'!HM19</f>
        <v>7.5893812619365258E-2</v>
      </c>
      <c r="F48" s="1103">
        <f>'C2-Shares'!HU19</f>
        <v>7.296930790751685E-2</v>
      </c>
      <c r="G48" s="1103">
        <f>'C2-Shares'!IC19</f>
        <v>7.7158437181794895E-2</v>
      </c>
      <c r="H48" s="1103">
        <f>'C2-Shares'!IK19</f>
        <v>7.9201302863923198E-2</v>
      </c>
      <c r="I48" s="1103"/>
    </row>
    <row r="49" spans="1:9" x14ac:dyDescent="0.3">
      <c r="A49" s="48">
        <v>1974</v>
      </c>
      <c r="B49" s="1103">
        <f>'C2-Shares'!GO20</f>
        <v>8.6511865633795648E-2</v>
      </c>
      <c r="C49" s="1103">
        <f>'C2-Shares'!GW20</f>
        <v>7.8182927486938156E-2</v>
      </c>
      <c r="D49" s="1103">
        <f>'C2-Shares'!HE20</f>
        <v>7.7320102911991692E-2</v>
      </c>
      <c r="E49" s="1103">
        <f>'C2-Shares'!HM20</f>
        <v>7.3303575990754322E-2</v>
      </c>
      <c r="F49" s="1103">
        <f>'C2-Shares'!HU20</f>
        <v>7.0629210058056557E-2</v>
      </c>
      <c r="G49" s="1103">
        <f>'C2-Shares'!IC20</f>
        <v>7.484918448615431E-2</v>
      </c>
      <c r="H49" s="1103">
        <f>'C2-Shares'!IK20</f>
        <v>7.670826268219362E-2</v>
      </c>
      <c r="I49" s="1103"/>
    </row>
    <row r="50" spans="1:9" x14ac:dyDescent="0.3">
      <c r="A50" s="48">
        <v>1975</v>
      </c>
      <c r="B50" s="1103">
        <f>'C2-Shares'!GO21</f>
        <v>8.5442158826000994E-2</v>
      </c>
      <c r="C50" s="1103">
        <f>'C2-Shares'!GW21</f>
        <v>7.7602494110715695E-2</v>
      </c>
      <c r="D50" s="1103">
        <f>'C2-Shares'!HE21</f>
        <v>7.6493591583001383E-2</v>
      </c>
      <c r="E50" s="1103">
        <f>'C2-Shares'!HM21</f>
        <v>7.277688657223827E-2</v>
      </c>
      <c r="F50" s="1103">
        <f>'C2-Shares'!HU21</f>
        <v>7.0450364928930878E-2</v>
      </c>
      <c r="G50" s="1103">
        <f>'C2-Shares'!IC21</f>
        <v>7.4372117704932073E-2</v>
      </c>
      <c r="H50" s="1103">
        <f>'C2-Shares'!IK21</f>
        <v>7.6275580859394412E-2</v>
      </c>
      <c r="I50" s="1103"/>
    </row>
    <row r="51" spans="1:9" x14ac:dyDescent="0.3">
      <c r="A51" s="48">
        <v>1976</v>
      </c>
      <c r="B51" s="1103">
        <f>'C2-Shares'!GO22</f>
        <v>8.5926386415201478E-2</v>
      </c>
      <c r="C51" s="1103">
        <f>'C2-Shares'!GW22</f>
        <v>7.7641864080662218E-2</v>
      </c>
      <c r="D51" s="1103">
        <f>'C2-Shares'!HE22</f>
        <v>7.6519264485348529E-2</v>
      </c>
      <c r="E51" s="1103">
        <f>'C2-Shares'!HM22</f>
        <v>7.1952694250938809E-2</v>
      </c>
      <c r="F51" s="1103">
        <f>'C2-Shares'!HU22</f>
        <v>6.9573715460618482E-2</v>
      </c>
      <c r="G51" s="1103">
        <f>'C2-Shares'!IC22</f>
        <v>7.3463336131083037E-2</v>
      </c>
      <c r="H51" s="1103">
        <f>'C2-Shares'!IK22</f>
        <v>7.5356999834379504E-2</v>
      </c>
      <c r="I51" s="1103"/>
    </row>
    <row r="52" spans="1:9" x14ac:dyDescent="0.3">
      <c r="A52" s="48">
        <v>1977</v>
      </c>
      <c r="B52" s="1103">
        <f>'C2-Shares'!GO23</f>
        <v>8.6809827305294684E-2</v>
      </c>
      <c r="C52" s="1103">
        <f>'C2-Shares'!GW23</f>
        <v>7.8608241411545821E-2</v>
      </c>
      <c r="D52" s="1103">
        <f>'C2-Shares'!HE23</f>
        <v>7.7554160144359757E-2</v>
      </c>
      <c r="E52" s="1103">
        <f>'C2-Shares'!HM23</f>
        <v>7.3570746194908221E-2</v>
      </c>
      <c r="F52" s="1103">
        <f>'C2-Shares'!HU23</f>
        <v>7.1687764925470326E-2</v>
      </c>
      <c r="G52" s="1103">
        <f>'C2-Shares'!IC23</f>
        <v>7.586686910446877E-2</v>
      </c>
      <c r="H52" s="1103">
        <f>'C2-Shares'!IK23</f>
        <v>7.7912756782430662E-2</v>
      </c>
      <c r="I52" s="1103"/>
    </row>
    <row r="53" spans="1:9" x14ac:dyDescent="0.3">
      <c r="A53" s="48">
        <v>1978</v>
      </c>
      <c r="B53" s="1103">
        <f>'C2-Shares'!GO24</f>
        <v>8.6304517369871839E-2</v>
      </c>
      <c r="C53" s="1103">
        <f>'C2-Shares'!GW24</f>
        <v>7.8510176456757536E-2</v>
      </c>
      <c r="D53" s="1103">
        <f>'C2-Shares'!HE24</f>
        <v>7.7494459259307785E-2</v>
      </c>
      <c r="E53" s="1103">
        <f>'C2-Shares'!HM24</f>
        <v>7.3932320314260724E-2</v>
      </c>
      <c r="F53" s="1103">
        <f>'C2-Shares'!HU24</f>
        <v>7.2309491969584999E-2</v>
      </c>
      <c r="G53" s="1103">
        <f>'C2-Shares'!IC24</f>
        <v>7.6674891128441752E-2</v>
      </c>
      <c r="H53" s="1103">
        <f>'C2-Shares'!IK24</f>
        <v>7.8812598190260263E-2</v>
      </c>
      <c r="I53" s="1103"/>
    </row>
    <row r="54" spans="1:9" x14ac:dyDescent="0.3">
      <c r="A54" s="48">
        <v>1979</v>
      </c>
      <c r="B54" s="1103">
        <f>'C2-Shares'!GO25</f>
        <v>8.6903574030698996E-2</v>
      </c>
      <c r="C54" s="1103">
        <f>'C2-Shares'!GW25</f>
        <v>7.7361899905123349E-2</v>
      </c>
      <c r="D54" s="1103">
        <f>'C2-Shares'!HE25</f>
        <v>7.629305281826404E-2</v>
      </c>
      <c r="E54" s="1103">
        <f>'C2-Shares'!HM25</f>
        <v>7.2650090736452039E-2</v>
      </c>
      <c r="F54" s="1103">
        <f>'C2-Shares'!HU25</f>
        <v>7.1199541187837598E-2</v>
      </c>
      <c r="G54" s="1103">
        <f>'C2-Shares'!IC25</f>
        <v>7.557290896635134E-2</v>
      </c>
      <c r="H54" s="1103">
        <f>'C2-Shares'!IK25</f>
        <v>7.7580030342176101E-2</v>
      </c>
      <c r="I54" s="1103"/>
    </row>
    <row r="55" spans="1:9" x14ac:dyDescent="0.3">
      <c r="A55" s="48">
        <v>1980</v>
      </c>
      <c r="B55" s="1103">
        <f>'C2-Shares'!GO26</f>
        <v>8.4047989673063372E-2</v>
      </c>
      <c r="C55" s="1103">
        <f>'C2-Shares'!GW26</f>
        <v>7.4304200497668935E-2</v>
      </c>
      <c r="D55" s="1103">
        <f>'C2-Shares'!HE26</f>
        <v>7.2984380589024289E-2</v>
      </c>
      <c r="E55" s="1103">
        <f>'C2-Shares'!HM26</f>
        <v>6.9473412964573197E-2</v>
      </c>
      <c r="F55" s="1103">
        <f>'C2-Shares'!HU26</f>
        <v>6.7868886226558595E-2</v>
      </c>
      <c r="G55" s="1103">
        <f>'C2-Shares'!IC26</f>
        <v>7.1966680912987024E-2</v>
      </c>
      <c r="H55" s="1103">
        <f>'C2-Shares'!IK26</f>
        <v>7.3836101133574764E-2</v>
      </c>
      <c r="I55" s="1103"/>
    </row>
    <row r="56" spans="1:9" x14ac:dyDescent="0.3">
      <c r="A56" s="48">
        <v>1981</v>
      </c>
      <c r="B56" s="1103">
        <f>'C2-Shares'!GO27</f>
        <v>8.0968223140013368E-2</v>
      </c>
      <c r="C56" s="1103">
        <f>'C2-Shares'!GW27</f>
        <v>7.1969387400906137E-2</v>
      </c>
      <c r="D56" s="1103">
        <f>'C2-Shares'!HE27</f>
        <v>7.0628732471463909E-2</v>
      </c>
      <c r="E56" s="1103">
        <f>'C2-Shares'!HM27</f>
        <v>6.847178733490146E-2</v>
      </c>
      <c r="F56" s="1103">
        <f>'C2-Shares'!HU27</f>
        <v>6.7024179757246199E-2</v>
      </c>
      <c r="G56" s="1103">
        <f>'C2-Shares'!IC27</f>
        <v>7.1134739915833523E-2</v>
      </c>
      <c r="H56" s="1103">
        <f>'C2-Shares'!IK27</f>
        <v>7.3082654365438149E-2</v>
      </c>
      <c r="I56" s="1103"/>
    </row>
    <row r="57" spans="1:9" x14ac:dyDescent="0.3">
      <c r="A57" s="48">
        <v>1982</v>
      </c>
      <c r="B57" s="1103">
        <f>'C2-Shares'!GO28</f>
        <v>8.1431776540895423E-2</v>
      </c>
      <c r="C57" s="1103">
        <f>'C2-Shares'!GW28</f>
        <v>7.0983688606234427E-2</v>
      </c>
      <c r="D57" s="1103">
        <f>'C2-Shares'!HE28</f>
        <v>6.9748279309866074E-2</v>
      </c>
      <c r="E57" s="1103">
        <f>'C2-Shares'!HM28</f>
        <v>6.8289381535450347E-2</v>
      </c>
      <c r="F57" s="1103">
        <f>'C2-Shares'!HU28</f>
        <v>6.689565968299889E-2</v>
      </c>
      <c r="G57" s="1103">
        <f>'C2-Shares'!IC28</f>
        <v>7.0979915169311902E-2</v>
      </c>
      <c r="H57" s="1103">
        <f>'C2-Shares'!IK28</f>
        <v>7.2514071751294845E-2</v>
      </c>
      <c r="I57" s="1103"/>
    </row>
    <row r="58" spans="1:9" x14ac:dyDescent="0.3">
      <c r="A58" s="48">
        <v>1983</v>
      </c>
      <c r="B58" s="1103">
        <f>'C2-Shares'!GO29</f>
        <v>8.3266688648198986E-2</v>
      </c>
      <c r="C58" s="1103">
        <f>'C2-Shares'!GW29</f>
        <v>7.2970570562346168E-2</v>
      </c>
      <c r="D58" s="1103">
        <f>'C2-Shares'!HE29</f>
        <v>7.1382736253489079E-2</v>
      </c>
      <c r="E58" s="1103">
        <f>'C2-Shares'!HM29</f>
        <v>6.9843233969666602E-2</v>
      </c>
      <c r="F58" s="1103">
        <f>'C2-Shares'!HU29</f>
        <v>6.8542045292464548E-2</v>
      </c>
      <c r="G58" s="1103">
        <f>'C2-Shares'!IC29</f>
        <v>7.2627841829323053E-2</v>
      </c>
      <c r="H58" s="1103">
        <f>'C2-Shares'!IK29</f>
        <v>7.4118988581477932E-2</v>
      </c>
      <c r="I58" s="1103"/>
    </row>
    <row r="59" spans="1:9" x14ac:dyDescent="0.3">
      <c r="A59" s="48">
        <v>1984</v>
      </c>
      <c r="B59" s="1103">
        <f>'C2-Shares'!GO30</f>
        <v>8.6710232120910974E-2</v>
      </c>
      <c r="C59" s="1103">
        <f>'C2-Shares'!GW30</f>
        <v>7.6608359978785345E-2</v>
      </c>
      <c r="D59" s="1103">
        <f>'C2-Shares'!HE30</f>
        <v>7.4961237306809717E-2</v>
      </c>
      <c r="E59" s="1103">
        <f>'C2-Shares'!HM30</f>
        <v>7.3630865783829463E-2</v>
      </c>
      <c r="F59" s="1103">
        <f>'C2-Shares'!HU30</f>
        <v>7.2664182774303115E-2</v>
      </c>
      <c r="G59" s="1103">
        <f>'C2-Shares'!IC30</f>
        <v>7.7199071473955647E-2</v>
      </c>
      <c r="H59" s="1103">
        <f>'C2-Shares'!IK30</f>
        <v>7.8995798400506065E-2</v>
      </c>
      <c r="I59" s="1103"/>
    </row>
    <row r="60" spans="1:9" x14ac:dyDescent="0.3">
      <c r="A60" s="48">
        <v>1985</v>
      </c>
      <c r="B60" s="1103">
        <f>'C2-Shares'!GO31</f>
        <v>8.7272923610391115E-2</v>
      </c>
      <c r="C60" s="1103">
        <f>'C2-Shares'!GW31</f>
        <v>7.5771645912640656E-2</v>
      </c>
      <c r="D60" s="1103">
        <f>'C2-Shares'!HE31</f>
        <v>7.3752286460785729E-2</v>
      </c>
      <c r="E60" s="1103">
        <f>'C2-Shares'!HM31</f>
        <v>7.2523321900868534E-2</v>
      </c>
      <c r="F60" s="1103">
        <f>'C2-Shares'!HU31</f>
        <v>7.1404821317475109E-2</v>
      </c>
      <c r="G60" s="1103">
        <f>'C2-Shares'!IC31</f>
        <v>7.5945668803380495E-2</v>
      </c>
      <c r="H60" s="1103">
        <f>'C2-Shares'!IK31</f>
        <v>7.7580536616715656E-2</v>
      </c>
      <c r="I60" s="1103"/>
    </row>
    <row r="61" spans="1:9" x14ac:dyDescent="0.3">
      <c r="A61" s="48">
        <v>1986</v>
      </c>
      <c r="B61" s="1103">
        <f>'C2-Shares'!GO32</f>
        <v>8.4532499321062451E-2</v>
      </c>
      <c r="C61" s="1103">
        <f>'C2-Shares'!GW32</f>
        <v>7.1695858844497556E-2</v>
      </c>
      <c r="D61" s="1103">
        <f>'C2-Shares'!HE32</f>
        <v>6.9506667005512973E-2</v>
      </c>
      <c r="E61" s="1103">
        <f>'C2-Shares'!HM32</f>
        <v>6.8250061226628841E-2</v>
      </c>
      <c r="F61" s="1103">
        <f>'C2-Shares'!HU32</f>
        <v>6.7100810791176857E-2</v>
      </c>
      <c r="G61" s="1103">
        <f>'C2-Shares'!IC32</f>
        <v>7.1180744296100093E-2</v>
      </c>
      <c r="H61" s="1103">
        <f>'C2-Shares'!IK32</f>
        <v>7.2708785976962134E-2</v>
      </c>
      <c r="I61" s="1103"/>
    </row>
    <row r="62" spans="1:9" x14ac:dyDescent="0.3">
      <c r="A62" s="48">
        <v>1987</v>
      </c>
      <c r="B62" s="1103">
        <f>'C2-Shares'!GO33</f>
        <v>8.8118347589807716E-2</v>
      </c>
      <c r="C62" s="1103">
        <f>'C2-Shares'!GW33</f>
        <v>7.5025098946849195E-2</v>
      </c>
      <c r="D62" s="1103">
        <f>'C2-Shares'!HE33</f>
        <v>7.237135423723523E-2</v>
      </c>
      <c r="E62" s="1103">
        <f>'C2-Shares'!HM33</f>
        <v>7.1279744024855249E-2</v>
      </c>
      <c r="F62" s="1103">
        <f>'C2-Shares'!HU33</f>
        <v>7.0132436645193696E-2</v>
      </c>
      <c r="G62" s="1103">
        <f>'C2-Shares'!IC33</f>
        <v>7.4738982191699152E-2</v>
      </c>
      <c r="H62" s="1103">
        <f>'C2-Shares'!IK33</f>
        <v>7.6042579185628401E-2</v>
      </c>
      <c r="I62" s="1103"/>
    </row>
    <row r="63" spans="1:9" x14ac:dyDescent="0.3">
      <c r="A63" s="48">
        <v>1988</v>
      </c>
      <c r="B63" s="1103">
        <f>'C2-Shares'!GO34</f>
        <v>0.10586704503713266</v>
      </c>
      <c r="C63" s="1103">
        <f>'C2-Shares'!GW34</f>
        <v>9.2180188681619396E-2</v>
      </c>
      <c r="D63" s="1103">
        <f>'C2-Shares'!HE34</f>
        <v>8.9651445205449376E-2</v>
      </c>
      <c r="E63" s="1103">
        <f>'C2-Shares'!HM34</f>
        <v>8.8334233181825289E-2</v>
      </c>
      <c r="F63" s="1103">
        <f>'C2-Shares'!HU34</f>
        <v>8.7180221880348394E-2</v>
      </c>
      <c r="G63" s="1103">
        <f>'C2-Shares'!IC34</f>
        <v>9.335281954486549E-2</v>
      </c>
      <c r="H63" s="1103">
        <f>'C2-Shares'!IK34</f>
        <v>9.4888297572564118E-2</v>
      </c>
      <c r="I63" s="1103"/>
    </row>
    <row r="64" spans="1:9" x14ac:dyDescent="0.3">
      <c r="A64" s="48">
        <v>1989</v>
      </c>
      <c r="B64" s="1103">
        <f>'C2-Shares'!GO35</f>
        <v>0.10133937109209022</v>
      </c>
      <c r="C64" s="1103">
        <f>'C2-Shares'!GW35</f>
        <v>8.8093004513480427E-2</v>
      </c>
      <c r="D64" s="1103">
        <f>'C2-Shares'!HE35</f>
        <v>8.5304264795355397E-2</v>
      </c>
      <c r="E64" s="1103">
        <f>'C2-Shares'!HM35</f>
        <v>8.4089652925784825E-2</v>
      </c>
      <c r="F64" s="1103">
        <f>'C2-Shares'!HU35</f>
        <v>8.2788134496317639E-2</v>
      </c>
      <c r="G64" s="1103">
        <f>'C2-Shares'!IC35</f>
        <v>8.8445028428225186E-2</v>
      </c>
      <c r="H64" s="1103">
        <f>'C2-Shares'!IK35</f>
        <v>8.9744465132477122E-2</v>
      </c>
      <c r="I64" s="1103"/>
    </row>
    <row r="65" spans="1:9" x14ac:dyDescent="0.3">
      <c r="A65" s="48">
        <v>1990</v>
      </c>
      <c r="B65" s="1103">
        <f>'C2-Shares'!GO36</f>
        <v>0.10216340310442139</v>
      </c>
      <c r="C65" s="1103">
        <f>'C2-Shares'!GW36</f>
        <v>8.9163825085727066E-2</v>
      </c>
      <c r="D65" s="1103">
        <f>'C2-Shares'!HE36</f>
        <v>8.65238358564029E-2</v>
      </c>
      <c r="E65" s="1103">
        <f>'C2-Shares'!HM36</f>
        <v>8.5345213876724876E-2</v>
      </c>
      <c r="F65" s="1103">
        <f>'C2-Shares'!HU36</f>
        <v>8.3983466189090167E-2</v>
      </c>
      <c r="G65" s="1103">
        <f>'C2-Shares'!IC36</f>
        <v>8.9764176004748508E-2</v>
      </c>
      <c r="H65" s="1103">
        <f>'C2-Shares'!IK36</f>
        <v>9.1082936186793778E-2</v>
      </c>
      <c r="I65" s="1103"/>
    </row>
    <row r="66" spans="1:9" x14ac:dyDescent="0.3">
      <c r="A66" s="48">
        <v>1991</v>
      </c>
      <c r="B66" s="1103">
        <f>'C2-Shares'!GO37</f>
        <v>9.7937989104130208E-2</v>
      </c>
      <c r="C66" s="1103">
        <f>'C2-Shares'!GW37</f>
        <v>8.5563897424820637E-2</v>
      </c>
      <c r="D66" s="1103">
        <f>'C2-Shares'!HE37</f>
        <v>8.2907239570666605E-2</v>
      </c>
      <c r="E66" s="1103">
        <f>'C2-Shares'!HM37</f>
        <v>8.1331992838475059E-2</v>
      </c>
      <c r="F66" s="1103">
        <f>'C2-Shares'!HU37</f>
        <v>7.9578011800082546E-2</v>
      </c>
      <c r="G66" s="1103">
        <f>'C2-Shares'!IC37</f>
        <v>8.4648723137939141E-2</v>
      </c>
      <c r="H66" s="1103">
        <f>'C2-Shares'!IK37</f>
        <v>8.5841601565141312E-2</v>
      </c>
      <c r="I66" s="1103"/>
    </row>
    <row r="67" spans="1:9" x14ac:dyDescent="0.3">
      <c r="A67" s="48">
        <v>1992</v>
      </c>
      <c r="B67" s="1103">
        <f>'C2-Shares'!GO38</f>
        <v>0.10321475471347732</v>
      </c>
      <c r="C67" s="1103">
        <f>'C2-Shares'!GW38</f>
        <v>8.9372035158106211E-2</v>
      </c>
      <c r="D67" s="1103">
        <f>'C2-Shares'!HE38</f>
        <v>8.6426886690285379E-2</v>
      </c>
      <c r="E67" s="1103">
        <f>'C2-Shares'!HM38</f>
        <v>8.4516360276928548E-2</v>
      </c>
      <c r="F67" s="1103">
        <f>'C2-Shares'!HU38</f>
        <v>8.2588528603035422E-2</v>
      </c>
      <c r="G67" s="1103">
        <f>'C2-Shares'!IC38</f>
        <v>8.7706690734544568E-2</v>
      </c>
      <c r="H67" s="1103">
        <f>'C2-Shares'!IK38</f>
        <v>8.8826246838682968E-2</v>
      </c>
      <c r="I67" s="1103"/>
    </row>
    <row r="68" spans="1:9" x14ac:dyDescent="0.3">
      <c r="A68" s="48">
        <v>1993</v>
      </c>
      <c r="B68" s="1103">
        <f>'C2-Shares'!GO39</f>
        <v>9.7294801851661686E-2</v>
      </c>
      <c r="C68" s="1103">
        <f>'C2-Shares'!GW39</f>
        <v>8.2214978348882223E-2</v>
      </c>
      <c r="D68" s="1103">
        <f>'C2-Shares'!HE39</f>
        <v>7.9259319957552143E-2</v>
      </c>
      <c r="E68" s="1103">
        <f>'C2-Shares'!HM39</f>
        <v>7.7045391895699131E-2</v>
      </c>
      <c r="F68" s="1103">
        <f>'C2-Shares'!HU39</f>
        <v>7.5050873924182346E-2</v>
      </c>
      <c r="G68" s="1103">
        <f>'C2-Shares'!IC39</f>
        <v>7.9471039932693568E-2</v>
      </c>
      <c r="H68" s="1103">
        <f>'C2-Shares'!IK39</f>
        <v>8.0468430035425295E-2</v>
      </c>
      <c r="I68" s="1103"/>
    </row>
    <row r="69" spans="1:9" x14ac:dyDescent="0.3">
      <c r="A69" s="48">
        <v>1994</v>
      </c>
      <c r="B69" s="1103">
        <f>'C2-Shares'!GO40</f>
        <v>9.7496605700246583E-2</v>
      </c>
      <c r="C69" s="1103">
        <f>'C2-Shares'!GW40</f>
        <v>8.2378887411712912E-2</v>
      </c>
      <c r="D69" s="1103">
        <f>'C2-Shares'!HE40</f>
        <v>7.9847383126963725E-2</v>
      </c>
      <c r="E69" s="1103">
        <f>'C2-Shares'!HM40</f>
        <v>7.7590628225780611E-2</v>
      </c>
      <c r="F69" s="1103">
        <f>'C2-Shares'!HU40</f>
        <v>7.5537475390667963E-2</v>
      </c>
      <c r="G69" s="1103">
        <f>'C2-Shares'!IC40</f>
        <v>7.926824829204808E-2</v>
      </c>
      <c r="H69" s="1103">
        <f>'C2-Shares'!IK40</f>
        <v>8.025905376298767E-2</v>
      </c>
      <c r="I69" s="1103"/>
    </row>
    <row r="70" spans="1:9" x14ac:dyDescent="0.3">
      <c r="A70" s="48">
        <v>1995</v>
      </c>
      <c r="B70" s="1103">
        <f>'C2-Shares'!GO41</f>
        <v>0.10248804676769482</v>
      </c>
      <c r="C70" s="1103">
        <f>'C2-Shares'!GW41</f>
        <v>8.6264237681254283E-2</v>
      </c>
      <c r="D70" s="1103">
        <f>'C2-Shares'!HE41</f>
        <v>8.3457054680334458E-2</v>
      </c>
      <c r="E70" s="1103">
        <f>'C2-Shares'!HM41</f>
        <v>8.0944148196404123E-2</v>
      </c>
      <c r="F70" s="1103">
        <f>'C2-Shares'!HU41</f>
        <v>7.8995881969961351E-2</v>
      </c>
      <c r="G70" s="1103">
        <f>'C2-Shares'!IC41</f>
        <v>8.2951457788191976E-2</v>
      </c>
      <c r="H70" s="1103">
        <f>'C2-Shares'!IK41</f>
        <v>8.4060102326838068E-2</v>
      </c>
      <c r="I70" s="1103"/>
    </row>
    <row r="71" spans="1:9" x14ac:dyDescent="0.3">
      <c r="A71" s="48">
        <v>1996</v>
      </c>
      <c r="B71" s="1103">
        <f>'C2-Shares'!GO42</f>
        <v>0.10636785657879491</v>
      </c>
      <c r="C71" s="1103">
        <f>'C2-Shares'!GW42</f>
        <v>8.8194407023029817E-2</v>
      </c>
      <c r="D71" s="1103">
        <f>'C2-Shares'!HE42</f>
        <v>8.5279339437361823E-2</v>
      </c>
      <c r="E71" s="1103">
        <f>'C2-Shares'!HM42</f>
        <v>8.301194755720806E-2</v>
      </c>
      <c r="F71" s="1103">
        <f>'C2-Shares'!HU42</f>
        <v>8.1260117852814645E-2</v>
      </c>
      <c r="G71" s="1103">
        <f>'C2-Shares'!IC42</f>
        <v>8.5353153425607967E-2</v>
      </c>
      <c r="H71" s="1103">
        <f>'C2-Shares'!IK42</f>
        <v>8.6486115289081081E-2</v>
      </c>
      <c r="I71" s="1103"/>
    </row>
    <row r="72" spans="1:9" x14ac:dyDescent="0.3">
      <c r="A72" s="48">
        <v>1997</v>
      </c>
      <c r="B72" s="1103">
        <f>'C2-Shares'!GO43</f>
        <v>0.11178826593549564</v>
      </c>
      <c r="C72" s="1103">
        <f>'C2-Shares'!GW43</f>
        <v>9.2017795025792604E-2</v>
      </c>
      <c r="D72" s="1103">
        <f>'C2-Shares'!HE43</f>
        <v>8.8702173575612525E-2</v>
      </c>
      <c r="E72" s="1103">
        <f>'C2-Shares'!HM43</f>
        <v>8.6284019381925911E-2</v>
      </c>
      <c r="F72" s="1103">
        <f>'C2-Shares'!HU43</f>
        <v>8.4341000175755132E-2</v>
      </c>
      <c r="G72" s="1103">
        <f>'C2-Shares'!IC43</f>
        <v>8.8640150077693824E-2</v>
      </c>
      <c r="H72" s="1103">
        <f>'C2-Shares'!IK43</f>
        <v>8.9840825458352494E-2</v>
      </c>
      <c r="I72" s="1103"/>
    </row>
    <row r="73" spans="1:9" x14ac:dyDescent="0.3">
      <c r="A73" s="48">
        <v>1998</v>
      </c>
      <c r="B73" s="1103">
        <f>'C2-Shares'!GO44</f>
        <v>0.1134947367984665</v>
      </c>
      <c r="C73" s="1103">
        <f>'C2-Shares'!GW44</f>
        <v>9.2036199302524713E-2</v>
      </c>
      <c r="D73" s="1103">
        <f>'C2-Shares'!HE44</f>
        <v>8.8559892155940637E-2</v>
      </c>
      <c r="E73" s="1103">
        <f>'C2-Shares'!HM44</f>
        <v>8.6322210036295532E-2</v>
      </c>
      <c r="F73" s="1103">
        <f>'C2-Shares'!HU44</f>
        <v>8.4469588601515447E-2</v>
      </c>
      <c r="G73" s="1103">
        <f>'C2-Shares'!IC44</f>
        <v>8.8685429996351539E-2</v>
      </c>
      <c r="H73" s="1103">
        <f>'C2-Shares'!IK44</f>
        <v>8.9828930683435754E-2</v>
      </c>
      <c r="I73" s="1103"/>
    </row>
    <row r="74" spans="1:9" x14ac:dyDescent="0.3">
      <c r="A74" s="48">
        <v>1999</v>
      </c>
      <c r="B74" s="1103">
        <f>'C2-Shares'!GO45</f>
        <v>0.11841283354898033</v>
      </c>
      <c r="C74" s="1103">
        <f>'C2-Shares'!GW45</f>
        <v>9.5896809906232797E-2</v>
      </c>
      <c r="D74" s="1103">
        <f>'C2-Shares'!HE45</f>
        <v>9.2149319892117013E-2</v>
      </c>
      <c r="E74" s="1103">
        <f>'C2-Shares'!HM45</f>
        <v>8.9774941532402397E-2</v>
      </c>
      <c r="F74" s="1103">
        <f>'C2-Shares'!HU45</f>
        <v>8.7888174036298422E-2</v>
      </c>
      <c r="G74" s="1103">
        <f>'C2-Shares'!IC45</f>
        <v>9.2339884905110872E-2</v>
      </c>
      <c r="H74" s="1103">
        <f>'C2-Shares'!IK45</f>
        <v>9.3554880622038941E-2</v>
      </c>
      <c r="I74" s="1103"/>
    </row>
    <row r="75" spans="1:9" x14ac:dyDescent="0.3">
      <c r="A75" s="48">
        <v>2000</v>
      </c>
      <c r="B75" s="1103">
        <f>'C2-Shares'!GO46</f>
        <v>0.12324734072667641</v>
      </c>
      <c r="C75" s="1103">
        <f>'C2-Shares'!GW46</f>
        <v>9.9239758216726065E-2</v>
      </c>
      <c r="D75" s="1103">
        <f>'C2-Shares'!HE46</f>
        <v>9.5125357027458862E-2</v>
      </c>
      <c r="E75" s="1103">
        <f>'C2-Shares'!HM46</f>
        <v>9.3137354707712366E-2</v>
      </c>
      <c r="F75" s="1103">
        <f>'C2-Shares'!HU46</f>
        <v>9.1337855988716507E-2</v>
      </c>
      <c r="G75" s="1103">
        <f>'C2-Shares'!IC46</f>
        <v>9.5940725300767263E-2</v>
      </c>
      <c r="H75" s="1103">
        <f>'C2-Shares'!IK46</f>
        <v>9.718753549681014E-2</v>
      </c>
      <c r="I75" s="1103"/>
    </row>
    <row r="76" spans="1:9" x14ac:dyDescent="0.3">
      <c r="A76" s="48">
        <v>2001</v>
      </c>
      <c r="B76" s="1103">
        <f>'C2-Shares'!GO47</f>
        <v>0.11389875547142124</v>
      </c>
      <c r="C76" s="1103">
        <f>'C2-Shares'!GW47</f>
        <v>9.2707883140076816E-2</v>
      </c>
      <c r="D76" s="1103">
        <f>'C2-Shares'!HE47</f>
        <v>8.8982687143667055E-2</v>
      </c>
      <c r="E76" s="1103">
        <f>'C2-Shares'!HM47</f>
        <v>8.7624462112761661E-2</v>
      </c>
      <c r="F76" s="1103">
        <f>'C2-Shares'!HU47</f>
        <v>8.5631669229738111E-2</v>
      </c>
      <c r="G76" s="1103">
        <f>'C2-Shares'!IC47</f>
        <v>8.9915777501971619E-2</v>
      </c>
      <c r="H76" s="1103">
        <f>'C2-Shares'!IK47</f>
        <v>9.1004841153369528E-2</v>
      </c>
      <c r="I76" s="1103"/>
    </row>
    <row r="77" spans="1:9" x14ac:dyDescent="0.3">
      <c r="A77" s="48">
        <v>2002</v>
      </c>
      <c r="B77" s="1103">
        <f>'C2-Shares'!GO48</f>
        <v>0.10745535683987288</v>
      </c>
      <c r="C77" s="1103">
        <f>'C2-Shares'!GW48</f>
        <v>9.0102366737835074E-2</v>
      </c>
      <c r="D77" s="1103">
        <f>'C2-Shares'!HE48</f>
        <v>8.7053282074600724E-2</v>
      </c>
      <c r="E77" s="1103">
        <f>'C2-Shares'!HM48</f>
        <v>8.5956388286297508E-2</v>
      </c>
      <c r="F77" s="1103">
        <f>'C2-Shares'!HU48</f>
        <v>8.3916981014281217E-2</v>
      </c>
      <c r="G77" s="1103">
        <f>'C2-Shares'!IC48</f>
        <v>8.7893901268691788E-2</v>
      </c>
      <c r="H77" s="1103">
        <f>'C2-Shares'!IK48</f>
        <v>8.8992791673933896E-2</v>
      </c>
      <c r="I77" s="1103"/>
    </row>
    <row r="78" spans="1:9" x14ac:dyDescent="0.3">
      <c r="A78" s="48">
        <v>2003</v>
      </c>
      <c r="B78" s="1103">
        <f>'C2-Shares'!GO49</f>
        <v>0.11008174195775861</v>
      </c>
      <c r="C78" s="1103">
        <f>'C2-Shares'!GW49</f>
        <v>9.4408591635051067E-2</v>
      </c>
      <c r="D78" s="1103">
        <f>'C2-Shares'!HE49</f>
        <v>9.1404393958092481E-2</v>
      </c>
      <c r="E78" s="1103">
        <f>'C2-Shares'!HM49</f>
        <v>8.974570908246518E-2</v>
      </c>
      <c r="F78" s="1103">
        <f>'C2-Shares'!HU49</f>
        <v>8.7532068206168351E-2</v>
      </c>
      <c r="G78" s="1103">
        <f>'C2-Shares'!IC49</f>
        <v>9.1818986143658715E-2</v>
      </c>
      <c r="H78" s="1103">
        <f>'C2-Shares'!IK49</f>
        <v>9.2978222482160644E-2</v>
      </c>
      <c r="I78" s="1103"/>
    </row>
    <row r="79" spans="1:9" x14ac:dyDescent="0.3">
      <c r="A79" s="48">
        <v>2004</v>
      </c>
      <c r="B79" s="1103">
        <f>'C2-Shares'!GO50</f>
        <v>0.11794330030636968</v>
      </c>
      <c r="C79" s="1103">
        <f>'C2-Shares'!GW50</f>
        <v>0.10147966367420919</v>
      </c>
      <c r="D79" s="1103">
        <f>'C2-Shares'!HE50</f>
        <v>9.8001131398701702E-2</v>
      </c>
      <c r="E79" s="1103">
        <f>'C2-Shares'!HM50</f>
        <v>9.5756899602832138E-2</v>
      </c>
      <c r="F79" s="1103">
        <f>'C2-Shares'!HU50</f>
        <v>9.3538058021051917E-2</v>
      </c>
      <c r="G79" s="1103">
        <f>'C2-Shares'!IC50</f>
        <v>9.8195828782921213E-2</v>
      </c>
      <c r="H79" s="1103">
        <f>'C2-Shares'!IK50</f>
        <v>9.9430454445890062E-2</v>
      </c>
      <c r="I79" s="1103"/>
    </row>
    <row r="80" spans="1:9" x14ac:dyDescent="0.3">
      <c r="A80" s="48">
        <v>2005</v>
      </c>
      <c r="B80" s="1103">
        <f>'C2-Shares'!GO51</f>
        <v>0.12686541570563556</v>
      </c>
      <c r="C80" s="1103">
        <f>'C2-Shares'!GW51</f>
        <v>0.10740761829202475</v>
      </c>
      <c r="D80" s="1103">
        <f>'C2-Shares'!HE51</f>
        <v>0.10338073091257056</v>
      </c>
      <c r="E80" s="1103">
        <f>'C2-Shares'!HM51</f>
        <v>0.10042487746047052</v>
      </c>
      <c r="F80" s="1103">
        <f>'C2-Shares'!HU51</f>
        <v>9.8060168113048407E-2</v>
      </c>
      <c r="G80" s="1103">
        <f>'C2-Shares'!IC51</f>
        <v>0.10302621700417443</v>
      </c>
      <c r="H80" s="1103">
        <f>'C2-Shares'!IK51</f>
        <v>0.10425605392044553</v>
      </c>
      <c r="I80" s="1103"/>
    </row>
    <row r="81" spans="1:9" x14ac:dyDescent="0.3">
      <c r="A81" s="48">
        <v>2006</v>
      </c>
      <c r="B81" s="1103">
        <f>'C2-Shares'!GO52</f>
        <v>0.13083180114309842</v>
      </c>
      <c r="C81" s="1103">
        <f>'C2-Shares'!GW52</f>
        <v>0.11012983249412489</v>
      </c>
      <c r="D81" s="1103">
        <f>'C2-Shares'!HE52</f>
        <v>0.10600595620643299</v>
      </c>
      <c r="E81" s="1103">
        <f>'C2-Shares'!HM52</f>
        <v>0.1027475987943882</v>
      </c>
      <c r="F81" s="1103">
        <f>'C2-Shares'!HU52</f>
        <v>0.10030812535581282</v>
      </c>
      <c r="G81" s="1103">
        <f>'C2-Shares'!IC52</f>
        <v>0.10536675375438738</v>
      </c>
      <c r="H81" s="1103">
        <f>'C2-Shares'!IK52</f>
        <v>0.10664194806685444</v>
      </c>
      <c r="I81" s="1103"/>
    </row>
    <row r="82" spans="1:9" x14ac:dyDescent="0.3">
      <c r="A82" s="48">
        <v>2007</v>
      </c>
      <c r="B82" s="1103">
        <f>'C2-Shares'!GO53</f>
        <v>0.12947409854791339</v>
      </c>
      <c r="C82" s="1103">
        <f>'C2-Shares'!GW53</f>
        <v>0.1070110351031595</v>
      </c>
      <c r="D82" s="1103">
        <f>'C2-Shares'!HE53</f>
        <v>0.10245983680960981</v>
      </c>
      <c r="E82" s="1103">
        <f>'C2-Shares'!HM53</f>
        <v>9.9867647731907608E-2</v>
      </c>
      <c r="F82" s="1103">
        <f>'C2-Shares'!HU53</f>
        <v>9.7426174086394562E-2</v>
      </c>
      <c r="G82" s="1103">
        <f>'C2-Shares'!IC53</f>
        <v>0.1022138657419428</v>
      </c>
      <c r="H82" s="1103">
        <f>'C2-Shares'!IK53</f>
        <v>0.10334047077141677</v>
      </c>
      <c r="I82" s="1103"/>
    </row>
    <row r="83" spans="1:9" x14ac:dyDescent="0.3">
      <c r="A83" s="48">
        <v>2008</v>
      </c>
      <c r="B83" s="1103">
        <f>'C2-Shares'!GO54</f>
        <v>0.1212739988736156</v>
      </c>
      <c r="C83" s="1103">
        <f>'C2-Shares'!GW54</f>
        <v>0.10132057505770925</v>
      </c>
      <c r="D83" s="1103">
        <f>'C2-Shares'!HE54</f>
        <v>9.6992354406792824E-2</v>
      </c>
      <c r="E83" s="1103">
        <f>'C2-Shares'!HM54</f>
        <v>9.5295614903080236E-2</v>
      </c>
      <c r="F83" s="1103">
        <f>'C2-Shares'!HU54</f>
        <v>9.2800961775174939E-2</v>
      </c>
      <c r="G83" s="1103">
        <f>'C2-Shares'!IC54</f>
        <v>9.7169350296019003E-2</v>
      </c>
      <c r="H83" s="1103">
        <f>'C2-Shares'!IK54</f>
        <v>9.8166719353875928E-2</v>
      </c>
      <c r="I83" s="1103"/>
    </row>
    <row r="84" spans="1:9" x14ac:dyDescent="0.3">
      <c r="A84" s="48">
        <v>2009</v>
      </c>
      <c r="B84" s="1103">
        <f>'C2-Shares'!GO55</f>
        <v>0.1127544427547378</v>
      </c>
      <c r="C84" s="1103">
        <f>'C2-Shares'!GW55</f>
        <v>9.8570721169614559E-2</v>
      </c>
      <c r="D84" s="1103">
        <f>'C2-Shares'!HE55</f>
        <v>9.4984751491076186E-2</v>
      </c>
      <c r="E84" s="1103">
        <f>'C2-Shares'!HM55</f>
        <v>9.3405169845283909E-2</v>
      </c>
      <c r="F84" s="1103">
        <f>'C2-Shares'!HU55</f>
        <v>9.0611259560224214E-2</v>
      </c>
      <c r="G84" s="1103">
        <f>'C2-Shares'!IC55</f>
        <v>9.4617755610349519E-2</v>
      </c>
      <c r="H84" s="1103">
        <f>'C2-Shares'!IK55</f>
        <v>9.5655650449754978E-2</v>
      </c>
      <c r="I84" s="1103"/>
    </row>
    <row r="85" spans="1:9" x14ac:dyDescent="0.3">
      <c r="A85" s="48">
        <v>2010</v>
      </c>
      <c r="B85" s="1103">
        <f>'C2-Shares'!GO56</f>
        <v>0.12244289272562482</v>
      </c>
      <c r="C85" s="1103">
        <f>'C2-Shares'!GW56</f>
        <v>0.10758321365324085</v>
      </c>
      <c r="D85" s="1103">
        <f>'C2-Shares'!HE56</f>
        <v>0.10406334011434677</v>
      </c>
      <c r="E85" s="1103">
        <f>'C2-Shares'!HM56</f>
        <v>0.10171398558986751</v>
      </c>
      <c r="F85" s="1103">
        <f>'C2-Shares'!HU56</f>
        <v>9.8870676270853108E-2</v>
      </c>
      <c r="G85" s="1103">
        <f>'C2-Shares'!IC56</f>
        <v>0.10339434117495667</v>
      </c>
      <c r="H85" s="1103">
        <f>'C2-Shares'!IK56</f>
        <v>0.10474219793160351</v>
      </c>
      <c r="I85" s="1103"/>
    </row>
    <row r="86" spans="1:9" x14ac:dyDescent="0.3">
      <c r="A86" s="48">
        <v>2011</v>
      </c>
      <c r="B86" s="1103">
        <f>'C2-Shares'!GO57</f>
        <v>0.1191544734605352</v>
      </c>
      <c r="C86" s="1103">
        <f>'C2-Shares'!GW57</f>
        <v>0.10276245414329231</v>
      </c>
      <c r="D86" s="1103">
        <f>'C2-Shares'!HE57</f>
        <v>9.8935856608560052E-2</v>
      </c>
      <c r="E86" s="1103">
        <f>'C2-Shares'!HM57</f>
        <v>9.6880451900486553E-2</v>
      </c>
      <c r="F86" s="1103">
        <f>'C2-Shares'!HU57</f>
        <v>9.4251339090369132E-2</v>
      </c>
      <c r="G86" s="1103">
        <f>'C2-Shares'!IC57</f>
        <v>9.7827674384978372E-2</v>
      </c>
      <c r="H86" s="1103">
        <f>'C2-Shares'!IK57</f>
        <v>9.8981382430897838E-2</v>
      </c>
      <c r="I86" s="1103"/>
    </row>
    <row r="87" spans="1:9" x14ac:dyDescent="0.3">
      <c r="A87" s="48">
        <v>2012</v>
      </c>
      <c r="B87" s="1103">
        <f>'C2-Shares'!GO58</f>
        <v>0.13192084270089083</v>
      </c>
      <c r="C87" s="1103">
        <f>'C2-Shares'!GW58</f>
        <v>0.11399894835188271</v>
      </c>
      <c r="D87" s="1103">
        <f>'C2-Shares'!HE58</f>
        <v>0.11002303613405834</v>
      </c>
      <c r="E87" s="1103">
        <f>'C2-Shares'!HM58</f>
        <v>0.10754024088671692</v>
      </c>
      <c r="F87" s="1103">
        <f>'C2-Shares'!HU58</f>
        <v>0.10493941256017682</v>
      </c>
      <c r="G87" s="1103">
        <f>'C2-Shares'!IC58</f>
        <v>0.1090342052713506</v>
      </c>
      <c r="H87" s="1103">
        <f>'C2-Shares'!IK58</f>
        <v>0.11032943307641184</v>
      </c>
      <c r="I87" s="1103"/>
    </row>
    <row r="88" spans="1:9" x14ac:dyDescent="0.3">
      <c r="A88" s="48">
        <v>2013</v>
      </c>
      <c r="B88" s="1103">
        <f>'C2-Shares'!GO59</f>
        <v>0.1205447789407159</v>
      </c>
      <c r="C88" s="1103">
        <f>'C2-Shares'!GW59</f>
        <v>0.10015179406580688</v>
      </c>
      <c r="D88" s="1103">
        <f>'C2-Shares'!HE59</f>
        <v>9.5379276885846964E-2</v>
      </c>
      <c r="E88" s="1103">
        <f>'C2-Shares'!HM59</f>
        <v>9.283175657014496E-2</v>
      </c>
      <c r="F88" s="1103">
        <f>'C2-Shares'!HU59</f>
        <v>9.0096080085176347E-2</v>
      </c>
      <c r="G88" s="1103">
        <f>'C2-Shares'!IC59</f>
        <v>9.396488602550486E-2</v>
      </c>
      <c r="H88" s="1103">
        <f>'C2-Shares'!IK59</f>
        <v>9.5123421395374649E-2</v>
      </c>
      <c r="I88" s="1103"/>
    </row>
    <row r="89" spans="1:9" x14ac:dyDescent="0.3">
      <c r="A89" s="48">
        <v>2014</v>
      </c>
      <c r="B89" s="1103">
        <f>'C2-Shares'!GO60</f>
        <v>0.12383528715122835</v>
      </c>
      <c r="C89" s="1103">
        <f>'C2-Shares'!GW60</f>
        <v>0.10224434799468196</v>
      </c>
      <c r="D89" s="1103">
        <f>'C2-Shares'!HE60</f>
        <v>9.784207204601203E-2</v>
      </c>
      <c r="E89" s="1103">
        <f>'C2-Shares'!HM60</f>
        <v>9.5327172079325229E-2</v>
      </c>
      <c r="F89" s="1103">
        <f>'C2-Shares'!HU60</f>
        <v>9.2743891208860355E-2</v>
      </c>
      <c r="G89" s="1103">
        <f>'C2-Shares'!IC60</f>
        <v>9.6739255345187805E-2</v>
      </c>
      <c r="H89" s="1103">
        <f>'C2-Shares'!IK60</f>
        <v>9.7947029989139789E-2</v>
      </c>
      <c r="I89" s="1103"/>
    </row>
    <row r="90" spans="1:9" x14ac:dyDescent="0.3">
      <c r="A90" s="49">
        <v>2015</v>
      </c>
      <c r="B90" s="1103">
        <f>'C2-Shares'!GO61</f>
        <v>0.12226367697635226</v>
      </c>
      <c r="C90" s="1103">
        <f>'C2-Shares'!GW61</f>
        <v>0.10063841068910727</v>
      </c>
      <c r="D90" s="1103">
        <f>'C2-Shares'!HE61</f>
        <v>9.6020168615460283E-2</v>
      </c>
      <c r="E90" s="1103">
        <f>'C2-Shares'!HM61</f>
        <v>9.3691887984854769E-2</v>
      </c>
      <c r="F90" s="1103">
        <f>'C2-Shares'!HU61</f>
        <v>9.1186228668997241E-2</v>
      </c>
      <c r="G90" s="1103">
        <f>'C2-Shares'!IC61</f>
        <v>9.5105665030894682E-2</v>
      </c>
      <c r="H90" s="1103">
        <f>'C2-Shares'!IK61</f>
        <v>9.6154183950202463E-2</v>
      </c>
      <c r="I90" s="1103"/>
    </row>
  </sheetData>
  <hyperlinks>
    <hyperlink ref="G1" location="Index!A1" display="Index"/>
  </hyperlink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7" tint="0.59999389629810485"/>
  </sheetPr>
  <dimension ref="A1:AI90"/>
  <sheetViews>
    <sheetView workbookViewId="0">
      <selection activeCell="Q48" sqref="Q48"/>
    </sheetView>
  </sheetViews>
  <sheetFormatPr defaultRowHeight="14.4" x14ac:dyDescent="0.3"/>
  <cols>
    <col min="11" max="11" width="10" customWidth="1"/>
    <col min="13" max="13" width="8.88671875" customWidth="1"/>
  </cols>
  <sheetData>
    <row r="1" spans="1:24" s="278" customFormat="1" ht="15.6" x14ac:dyDescent="0.3">
      <c r="A1" s="392" t="s">
        <v>664</v>
      </c>
      <c r="H1" s="463" t="s">
        <v>504</v>
      </c>
    </row>
    <row r="2" spans="1:24" s="278" customFormat="1" x14ac:dyDescent="0.3"/>
    <row r="14" spans="1:24" x14ac:dyDescent="0.3">
      <c r="X14" s="1011"/>
    </row>
    <row r="15" spans="1:24" x14ac:dyDescent="0.3">
      <c r="X15" s="1011"/>
    </row>
    <row r="16" spans="1:24" x14ac:dyDescent="0.3">
      <c r="X16" s="1011"/>
    </row>
    <row r="17" spans="1:24" x14ac:dyDescent="0.3">
      <c r="X17" s="1011"/>
    </row>
    <row r="18" spans="1:24" x14ac:dyDescent="0.3">
      <c r="X18" s="1011"/>
    </row>
    <row r="19" spans="1:24" x14ac:dyDescent="0.3">
      <c r="X19" s="1011"/>
    </row>
    <row r="20" spans="1:24" x14ac:dyDescent="0.3">
      <c r="X20" s="1011"/>
    </row>
    <row r="21" spans="1:24" x14ac:dyDescent="0.3">
      <c r="X21" s="1011"/>
    </row>
    <row r="22" spans="1:24" x14ac:dyDescent="0.3">
      <c r="X22" s="1011"/>
    </row>
    <row r="23" spans="1:24" x14ac:dyDescent="0.3">
      <c r="X23" s="1011"/>
    </row>
    <row r="24" spans="1:24" x14ac:dyDescent="0.3">
      <c r="X24" s="1011"/>
    </row>
    <row r="25" spans="1:24" s="278" customFormat="1" x14ac:dyDescent="0.3">
      <c r="B25" s="390" t="s">
        <v>445</v>
      </c>
      <c r="X25" s="1011"/>
    </row>
    <row r="26" spans="1:24" s="278" customFormat="1" x14ac:dyDescent="0.3">
      <c r="B26" s="389" t="s">
        <v>661</v>
      </c>
      <c r="X26" s="1011"/>
    </row>
    <row r="27" spans="1:24" s="278" customFormat="1" x14ac:dyDescent="0.3">
      <c r="B27" s="390" t="s">
        <v>1691</v>
      </c>
    </row>
    <row r="28" spans="1:24" s="278" customFormat="1" x14ac:dyDescent="0.3">
      <c r="A28" s="11"/>
      <c r="J28" s="170"/>
      <c r="K28" s="186"/>
      <c r="L28" s="186"/>
      <c r="M28" s="186"/>
      <c r="N28" s="186"/>
      <c r="O28" s="186"/>
      <c r="P28" s="186"/>
    </row>
    <row r="29" spans="1:24" x14ac:dyDescent="0.3">
      <c r="A29" s="181"/>
      <c r="B29" s="1390" t="s">
        <v>245</v>
      </c>
      <c r="C29" s="1390"/>
      <c r="D29" s="1390"/>
      <c r="E29" s="1390"/>
      <c r="F29" s="1390"/>
      <c r="G29" s="1390"/>
      <c r="H29" s="1390"/>
      <c r="I29" s="23"/>
      <c r="J29" s="1390" t="s">
        <v>247</v>
      </c>
      <c r="K29" s="1390"/>
      <c r="L29" s="1390"/>
      <c r="M29" s="1390"/>
      <c r="N29" s="1390"/>
      <c r="O29" s="1390"/>
      <c r="P29" s="1390"/>
    </row>
    <row r="30" spans="1:24" ht="12.75" customHeight="1" x14ac:dyDescent="0.3">
      <c r="A30" s="182"/>
      <c r="B30" s="49" t="s">
        <v>246</v>
      </c>
      <c r="C30" s="49" t="s">
        <v>24</v>
      </c>
      <c r="D30" s="49" t="s">
        <v>25</v>
      </c>
      <c r="E30" s="49" t="s">
        <v>26</v>
      </c>
      <c r="F30" s="49" t="s">
        <v>28</v>
      </c>
      <c r="G30" s="49" t="s">
        <v>27</v>
      </c>
      <c r="H30" s="49" t="s">
        <v>23</v>
      </c>
      <c r="I30" s="49"/>
      <c r="J30" s="49" t="s">
        <v>593</v>
      </c>
      <c r="K30" s="49" t="s">
        <v>24</v>
      </c>
      <c r="L30" s="49" t="s">
        <v>25</v>
      </c>
      <c r="M30" s="49" t="s">
        <v>26</v>
      </c>
      <c r="N30" s="49" t="s">
        <v>28</v>
      </c>
      <c r="O30" s="49" t="s">
        <v>27</v>
      </c>
      <c r="P30" s="49" t="s">
        <v>23</v>
      </c>
    </row>
    <row r="31" spans="1:24" ht="12.75" customHeight="1" x14ac:dyDescent="0.3">
      <c r="A31" s="46"/>
      <c r="B31" s="49" t="s">
        <v>32</v>
      </c>
      <c r="C31" s="48" t="s">
        <v>13</v>
      </c>
      <c r="D31" s="48" t="s">
        <v>14</v>
      </c>
      <c r="E31" s="48" t="s">
        <v>15</v>
      </c>
      <c r="F31" s="48" t="s">
        <v>16</v>
      </c>
      <c r="G31" s="48" t="s">
        <v>17</v>
      </c>
      <c r="H31" s="48" t="s">
        <v>18</v>
      </c>
      <c r="I31" s="48"/>
      <c r="J31" s="48" t="s">
        <v>29</v>
      </c>
      <c r="K31" s="48" t="s">
        <v>13</v>
      </c>
      <c r="L31" s="48" t="s">
        <v>14</v>
      </c>
      <c r="M31" s="48" t="s">
        <v>15</v>
      </c>
      <c r="N31" s="48" t="s">
        <v>16</v>
      </c>
      <c r="O31" s="48" t="s">
        <v>17</v>
      </c>
      <c r="P31" s="48" t="s">
        <v>18</v>
      </c>
    </row>
    <row r="32" spans="1:24" ht="12.75" customHeight="1" x14ac:dyDescent="0.3">
      <c r="A32" s="53"/>
      <c r="B32" s="53" t="s">
        <v>12</v>
      </c>
      <c r="C32" s="53" t="s">
        <v>12</v>
      </c>
      <c r="D32" s="53" t="s">
        <v>12</v>
      </c>
      <c r="E32" s="53" t="s">
        <v>12</v>
      </c>
      <c r="F32" s="53" t="s">
        <v>12</v>
      </c>
      <c r="G32" s="53" t="s">
        <v>12</v>
      </c>
      <c r="H32" s="53" t="s">
        <v>12</v>
      </c>
      <c r="I32" s="53"/>
      <c r="J32" s="53"/>
      <c r="K32" s="53"/>
      <c r="L32" s="53"/>
      <c r="M32" s="53"/>
      <c r="N32" s="53"/>
      <c r="O32" s="53"/>
      <c r="P32" s="53"/>
    </row>
    <row r="33" spans="1:35" ht="6.75" customHeight="1" x14ac:dyDescent="0.3">
      <c r="A33" s="23"/>
      <c r="B33" s="54"/>
      <c r="C33" s="54"/>
      <c r="D33" s="54"/>
      <c r="E33" s="54"/>
      <c r="F33" s="54"/>
      <c r="G33" s="54"/>
      <c r="H33" s="54"/>
      <c r="I33" s="54"/>
      <c r="J33" s="54"/>
      <c r="K33" s="54"/>
      <c r="L33" s="54"/>
      <c r="M33" s="54"/>
      <c r="N33" s="54"/>
      <c r="O33" s="54"/>
      <c r="P33" s="54"/>
    </row>
    <row r="34" spans="1:35" ht="13.5" customHeight="1" x14ac:dyDescent="0.3">
      <c r="A34" s="48">
        <v>1960</v>
      </c>
      <c r="B34" s="47">
        <f>'T-T1'!AN9</f>
        <v>1333.8</v>
      </c>
      <c r="C34" s="47">
        <f>'C1-Incomes'!AY8-'C1-Incomes'!AQ8</f>
        <v>1233.0162000000128</v>
      </c>
      <c r="D34" s="47">
        <f>'C1-Incomes'!AZ8-'C1-Incomes'!AR8</f>
        <v>1233.0161999999982</v>
      </c>
      <c r="E34" s="47">
        <f>'C1-Incomes'!BA8-'C1-Incomes'!AS8</f>
        <v>1095.2140000000036</v>
      </c>
      <c r="F34" s="47">
        <f>'C1-Incomes'!BB8-'C1-Incomes'!AT8</f>
        <v>860.43000000000029</v>
      </c>
      <c r="G34" s="47">
        <f>'C1-Incomes'!BC8-'C1-Incomes'!AU8</f>
        <v>409.27120000000014</v>
      </c>
      <c r="H34" s="47">
        <f>'C1-Incomes'!BD8-'C1-Incomes'!AV8</f>
        <v>138.86940000000004</v>
      </c>
      <c r="I34" s="47"/>
      <c r="J34" s="503"/>
      <c r="K34" s="525">
        <f t="shared" ref="K34:P34" si="0">C34/$B34</f>
        <v>0.92443859649123772</v>
      </c>
      <c r="L34" s="525">
        <f t="shared" si="0"/>
        <v>0.92443859649122673</v>
      </c>
      <c r="M34" s="525">
        <f t="shared" si="0"/>
        <v>0.82112310691258328</v>
      </c>
      <c r="N34" s="525">
        <f t="shared" si="0"/>
        <v>0.64509671614934794</v>
      </c>
      <c r="O34" s="525">
        <f t="shared" si="0"/>
        <v>0.30684600389863559</v>
      </c>
      <c r="P34" s="525">
        <f t="shared" si="0"/>
        <v>0.1041156095366622</v>
      </c>
      <c r="X34" s="1011"/>
      <c r="Y34" s="1011"/>
      <c r="Z34" s="1011"/>
      <c r="AA34" s="1011"/>
      <c r="AB34" s="1011"/>
      <c r="AC34" s="1011"/>
      <c r="AD34" s="1011"/>
      <c r="AE34" s="1011"/>
      <c r="AF34" s="1011"/>
      <c r="AG34" s="1011"/>
      <c r="AH34" s="1011"/>
      <c r="AI34" s="1011"/>
    </row>
    <row r="35" spans="1:35" ht="13.5" customHeight="1" x14ac:dyDescent="0.3">
      <c r="A35" s="48">
        <v>1961</v>
      </c>
      <c r="B35" s="47"/>
      <c r="C35" s="47"/>
      <c r="D35" s="47"/>
      <c r="E35" s="47"/>
      <c r="F35" s="47"/>
      <c r="G35" s="47"/>
      <c r="H35" s="47"/>
      <c r="I35" s="47"/>
      <c r="J35" s="47"/>
      <c r="K35" s="47"/>
      <c r="L35" s="47"/>
      <c r="M35" s="47"/>
      <c r="N35" s="47"/>
      <c r="O35" s="47"/>
      <c r="P35" s="47"/>
      <c r="S35" s="1011"/>
      <c r="T35" s="1011"/>
      <c r="U35" s="1011"/>
      <c r="V35" s="1011"/>
      <c r="W35" s="1011"/>
      <c r="X35" s="1011"/>
      <c r="Y35" s="1011"/>
      <c r="Z35" s="1011"/>
      <c r="AA35" s="1011"/>
      <c r="AB35" s="1011"/>
      <c r="AC35" s="1011"/>
      <c r="AD35" s="1011"/>
      <c r="AE35" s="1011"/>
      <c r="AF35" s="1011"/>
      <c r="AG35" s="1011"/>
      <c r="AH35" s="1011"/>
      <c r="AI35" s="1011"/>
    </row>
    <row r="36" spans="1:35" ht="13.5" customHeight="1" x14ac:dyDescent="0.3">
      <c r="A36" s="48">
        <v>1962</v>
      </c>
      <c r="B36" s="47">
        <f>'T-T1'!AN11</f>
        <v>1603.55</v>
      </c>
      <c r="C36" s="47">
        <f>'C1-Incomes'!AY10-'C1-Incomes'!AQ10</f>
        <v>1482.5772000000143</v>
      </c>
      <c r="D36" s="47">
        <f>'C1-Incomes'!AZ10-'C1-Incomes'!AR10</f>
        <v>1482.5771999999997</v>
      </c>
      <c r="E36" s="47">
        <f>'C1-Incomes'!BA10-'C1-Incomes'!AS10</f>
        <v>1316.8839999999982</v>
      </c>
      <c r="F36" s="47">
        <f>'C1-Incomes'!BB10-'C1-Incomes'!AT10</f>
        <v>1034.5800000000017</v>
      </c>
      <c r="G36" s="47">
        <f>'C1-Incomes'!BC10-'C1-Incomes'!AU10</f>
        <v>492.10720000000038</v>
      </c>
      <c r="H36" s="47">
        <f>'C1-Incomes'!BD10-'C1-Incomes'!AV10</f>
        <v>166.97640000000001</v>
      </c>
      <c r="I36" s="47"/>
      <c r="J36" s="186"/>
      <c r="K36" s="186">
        <f t="shared" ref="K36:P36" si="1">C36/$B36</f>
        <v>0.92455938386705394</v>
      </c>
      <c r="L36" s="186">
        <f t="shared" si="1"/>
        <v>0.92455938386704484</v>
      </c>
      <c r="M36" s="186">
        <f t="shared" si="1"/>
        <v>0.82123039506095741</v>
      </c>
      <c r="N36" s="186">
        <f t="shared" si="1"/>
        <v>0.64518100464594297</v>
      </c>
      <c r="O36" s="186">
        <f t="shared" si="1"/>
        <v>0.30688609647344978</v>
      </c>
      <c r="P36" s="186">
        <f t="shared" si="1"/>
        <v>0.10412921330797295</v>
      </c>
      <c r="S36" s="1011"/>
      <c r="T36" s="1011"/>
      <c r="U36" s="1011"/>
      <c r="V36" s="1011"/>
      <c r="W36" s="1011"/>
      <c r="X36" s="1011"/>
      <c r="Y36" s="1011"/>
      <c r="Z36" s="1011"/>
      <c r="AA36" s="1011"/>
      <c r="AB36" s="1011"/>
      <c r="AC36" s="1011"/>
      <c r="AD36" s="1011"/>
      <c r="AE36" s="1011"/>
      <c r="AF36" s="1011"/>
      <c r="AG36" s="1011"/>
      <c r="AH36" s="1011"/>
      <c r="AI36" s="1011"/>
    </row>
    <row r="37" spans="1:35" ht="13.5" customHeight="1" x14ac:dyDescent="0.3">
      <c r="A37" s="48">
        <v>1963</v>
      </c>
      <c r="B37" s="47"/>
      <c r="C37" s="47"/>
      <c r="D37" s="47"/>
      <c r="E37" s="47"/>
      <c r="F37" s="47"/>
      <c r="G37" s="47"/>
      <c r="H37" s="47"/>
      <c r="I37" s="47"/>
      <c r="J37" s="47"/>
      <c r="K37" s="47"/>
      <c r="L37" s="47"/>
      <c r="M37" s="47"/>
      <c r="N37" s="47"/>
      <c r="O37" s="47"/>
      <c r="P37" s="47"/>
      <c r="S37" s="1011"/>
      <c r="T37" s="1011"/>
      <c r="U37" s="1011"/>
      <c r="V37" s="1011"/>
      <c r="W37" s="1011"/>
      <c r="X37" s="1011"/>
      <c r="Y37" s="1011"/>
      <c r="Z37" s="1011"/>
      <c r="AA37" s="1011"/>
      <c r="AB37" s="1011"/>
      <c r="AC37" s="1011"/>
      <c r="AD37" s="1011"/>
      <c r="AE37" s="1011"/>
      <c r="AF37" s="1011"/>
      <c r="AG37" s="1011"/>
      <c r="AH37" s="1011"/>
      <c r="AI37" s="1011"/>
    </row>
    <row r="38" spans="1:35" ht="13.5" customHeight="1" x14ac:dyDescent="0.3">
      <c r="A38" s="48">
        <v>1964</v>
      </c>
      <c r="B38" s="47">
        <f>'T-T1'!AN13</f>
        <v>1898</v>
      </c>
      <c r="C38" s="47">
        <f>'C1-Incomes'!AY12-'C1-Incomes'!AQ12</f>
        <v>1723.327059999996</v>
      </c>
      <c r="D38" s="47">
        <f>'C1-Incomes'!AZ12-'C1-Incomes'!AR12</f>
        <v>1707.0232400000095</v>
      </c>
      <c r="E38" s="47">
        <f>'C1-Incomes'!BA12-'C1-Incomes'!AS12</f>
        <v>1493.1566000000093</v>
      </c>
      <c r="F38" s="47">
        <f>'C1-Incomes'!BB12-'C1-Incomes'!AT12</f>
        <v>1176.5132600000034</v>
      </c>
      <c r="G38" s="47">
        <f>'C1-Incomes'!BC12-'C1-Incomes'!AU12</f>
        <v>569.60878000000048</v>
      </c>
      <c r="H38" s="47">
        <f>'C1-Incomes'!BD12-'C1-Incomes'!AV12</f>
        <v>192.40025999999989</v>
      </c>
      <c r="I38" s="47"/>
      <c r="J38" s="186"/>
      <c r="K38" s="186">
        <f t="shared" ref="K38:P38" si="2">C38/$B38</f>
        <v>0.90796999999999783</v>
      </c>
      <c r="L38" s="186">
        <f t="shared" si="2"/>
        <v>0.89938000000000506</v>
      </c>
      <c r="M38" s="186">
        <f t="shared" si="2"/>
        <v>0.78670000000000495</v>
      </c>
      <c r="N38" s="186">
        <f t="shared" si="2"/>
        <v>0.61987000000000181</v>
      </c>
      <c r="O38" s="186">
        <f t="shared" si="2"/>
        <v>0.30011000000000027</v>
      </c>
      <c r="P38" s="186">
        <f t="shared" si="2"/>
        <v>0.10136999999999995</v>
      </c>
      <c r="W38" s="29"/>
      <c r="X38" s="29"/>
      <c r="Y38" s="29"/>
      <c r="Z38" s="29"/>
      <c r="AA38" s="29"/>
      <c r="AB38" s="29"/>
      <c r="AC38" s="29"/>
      <c r="AD38" s="29"/>
      <c r="AE38" s="29"/>
      <c r="AF38" s="29"/>
      <c r="AG38" s="29"/>
      <c r="AH38" s="29"/>
    </row>
    <row r="39" spans="1:35" ht="13.5" customHeight="1" x14ac:dyDescent="0.3">
      <c r="A39" s="48">
        <v>1965</v>
      </c>
      <c r="B39" s="47"/>
      <c r="C39" s="47"/>
      <c r="D39" s="47"/>
      <c r="E39" s="47"/>
      <c r="F39" s="47"/>
      <c r="G39" s="47"/>
      <c r="H39" s="47"/>
      <c r="I39" s="47"/>
      <c r="J39" s="47"/>
      <c r="K39" s="47"/>
      <c r="L39" s="47"/>
      <c r="M39" s="47"/>
      <c r="N39" s="47"/>
      <c r="O39" s="47"/>
      <c r="P39" s="47"/>
      <c r="T39" s="579"/>
      <c r="V39" s="29"/>
      <c r="W39" s="29"/>
      <c r="X39" s="29"/>
      <c r="Y39" s="29"/>
      <c r="Z39" s="29"/>
      <c r="AA39" s="29"/>
      <c r="AB39" s="29"/>
    </row>
    <row r="40" spans="1:35" ht="13.5" customHeight="1" x14ac:dyDescent="0.3">
      <c r="A40" s="48">
        <v>1966</v>
      </c>
      <c r="B40" s="47">
        <f>'T-T1'!AN15</f>
        <v>2236.65</v>
      </c>
      <c r="C40" s="47">
        <f>'C1-Incomes'!AY14-'C1-Incomes'!AQ14</f>
        <v>1994.5986800000246</v>
      </c>
      <c r="D40" s="47">
        <f>'C1-Incomes'!AZ14-'C1-Incomes'!AR14</f>
        <v>1956.1670200000081</v>
      </c>
      <c r="E40" s="47">
        <f>'C1-Incomes'!BA14-'C1-Incomes'!AS14</f>
        <v>1683.1188000000038</v>
      </c>
      <c r="F40" s="47">
        <f>'C1-Incomes'!BB14-'C1-Incomes'!AT14</f>
        <v>1330.4333799999986</v>
      </c>
      <c r="G40" s="47">
        <f>'C1-Incomes'!BC14-'C1-Incomes'!AU14</f>
        <v>656.38054000000011</v>
      </c>
      <c r="H40" s="47">
        <f>'C1-Incomes'!BD14-'C1-Incomes'!AV14</f>
        <v>220.6576799999998</v>
      </c>
      <c r="I40" s="47"/>
      <c r="J40" s="186"/>
      <c r="K40" s="186">
        <f t="shared" ref="K40:P40" si="3">C40/$B40</f>
        <v>0.89177952741824806</v>
      </c>
      <c r="L40" s="186">
        <f t="shared" si="3"/>
        <v>0.87459683902264906</v>
      </c>
      <c r="M40" s="186">
        <f t="shared" si="3"/>
        <v>0.75251773858225635</v>
      </c>
      <c r="N40" s="186">
        <f t="shared" si="3"/>
        <v>0.59483306731048602</v>
      </c>
      <c r="O40" s="186">
        <f t="shared" si="3"/>
        <v>0.29346591554333495</v>
      </c>
      <c r="P40" s="186">
        <f t="shared" si="3"/>
        <v>9.8655435584467752E-2</v>
      </c>
      <c r="U40" s="1011"/>
      <c r="W40" s="29"/>
      <c r="X40" s="29"/>
      <c r="Y40" s="29"/>
      <c r="Z40" s="29"/>
      <c r="AA40" s="29"/>
      <c r="AB40" s="29"/>
    </row>
    <row r="41" spans="1:35" ht="13.5" customHeight="1" x14ac:dyDescent="0.3">
      <c r="A41" s="48">
        <v>1967</v>
      </c>
      <c r="B41" s="47">
        <f>'C1-Incomes'!AX15-'C1-Incomes'!AP15</f>
        <v>2438</v>
      </c>
      <c r="C41" s="47">
        <f>'C1-Incomes'!AY15-'C1-Incomes'!AQ15</f>
        <v>2153.9120499999553</v>
      </c>
      <c r="D41" s="47">
        <f>'C1-Incomes'!AZ15-'C1-Incomes'!AR15</f>
        <v>2101.5559999999969</v>
      </c>
      <c r="E41" s="47">
        <f>'C1-Incomes'!BA15-'C1-Incomes'!AS15</f>
        <v>1792.539499999999</v>
      </c>
      <c r="F41" s="47">
        <f>'C1-Incomes'!BB15-'C1-Incomes'!AT15</f>
        <v>1419.342650000006</v>
      </c>
      <c r="G41" s="47">
        <f>'C1-Incomes'!BC15-'C1-Incomes'!AU15</f>
        <v>707.20284999999967</v>
      </c>
      <c r="H41" s="47">
        <f>'C1-Incomes'!BD15-'C1-Incomes'!AV15</f>
        <v>237.15644999999995</v>
      </c>
      <c r="I41" s="47"/>
      <c r="J41" s="186"/>
      <c r="K41" s="186">
        <f t="shared" ref="K41:K87" si="4">C41/$B41</f>
        <v>0.88347499999998169</v>
      </c>
      <c r="L41" s="186">
        <f t="shared" ref="L41:L87" si="5">D41/$B41</f>
        <v>0.86199999999999866</v>
      </c>
      <c r="M41" s="186">
        <f t="shared" ref="M41:M87" si="6">E41/$B41</f>
        <v>0.73524999999999952</v>
      </c>
      <c r="N41" s="186">
        <f t="shared" ref="N41:N87" si="7">F41/$B41</f>
        <v>0.58217500000000244</v>
      </c>
      <c r="O41" s="186">
        <f t="shared" ref="O41:O87" si="8">G41/$B41</f>
        <v>0.29007499999999986</v>
      </c>
      <c r="P41" s="186">
        <f t="shared" ref="P41:P87" si="9">H41/$B41</f>
        <v>9.7274999999999973E-2</v>
      </c>
    </row>
    <row r="42" spans="1:35" ht="13.5" customHeight="1" x14ac:dyDescent="0.3">
      <c r="A42" s="48">
        <v>1968</v>
      </c>
      <c r="B42" s="47">
        <f>'C1-Incomes'!AX16-'C1-Incomes'!AP16</f>
        <v>2735</v>
      </c>
      <c r="C42" s="47">
        <f>'C1-Incomes'!AY16-'C1-Incomes'!AQ16</f>
        <v>2393.9728500000492</v>
      </c>
      <c r="D42" s="47">
        <f>'C1-Incomes'!AZ16-'C1-Incomes'!AR16</f>
        <v>2323.4918999999936</v>
      </c>
      <c r="E42" s="47">
        <f>'C1-Incomes'!BA16-'C1-Incomes'!AS16</f>
        <v>1964.0035000000062</v>
      </c>
      <c r="F42" s="47">
        <f>'C1-Incomes'!BB16-'C1-Incomes'!AT16</f>
        <v>1557.8833500000001</v>
      </c>
      <c r="G42" s="47">
        <f>'C1-Incomes'!BC16-'C1-Incomes'!AU16</f>
        <v>784.20654999999715</v>
      </c>
      <c r="H42" s="47">
        <f>'C1-Incomes'!BD16-'C1-Incomes'!AV16</f>
        <v>262.31385</v>
      </c>
      <c r="I42" s="47"/>
      <c r="J42" s="47"/>
      <c r="K42" s="186">
        <f t="shared" si="4"/>
        <v>0.87531000000001802</v>
      </c>
      <c r="L42" s="186">
        <f t="shared" si="5"/>
        <v>0.84953999999999763</v>
      </c>
      <c r="M42" s="186">
        <f t="shared" si="6"/>
        <v>0.71810000000000229</v>
      </c>
      <c r="N42" s="186">
        <f t="shared" si="7"/>
        <v>0.56961000000000006</v>
      </c>
      <c r="O42" s="186">
        <f t="shared" si="8"/>
        <v>0.28672999999999899</v>
      </c>
      <c r="P42" s="186">
        <f t="shared" si="9"/>
        <v>9.5909999999999995E-2</v>
      </c>
    </row>
    <row r="43" spans="1:35" ht="13.5" customHeight="1" x14ac:dyDescent="0.3">
      <c r="A43" s="48">
        <v>1969</v>
      </c>
      <c r="B43" s="47">
        <f>'C1-Incomes'!AX17-'C1-Incomes'!AP17</f>
        <v>3150</v>
      </c>
      <c r="C43" s="47">
        <f>'C1-Incomes'!AY17-'C1-Incomes'!AQ17</f>
        <v>2731.5067499999714</v>
      </c>
      <c r="D43" s="47">
        <f>'C1-Incomes'!AZ17-'C1-Incomes'!AR17</f>
        <v>2636.8020000000106</v>
      </c>
      <c r="E43" s="47">
        <f>'C1-Incomes'!BA17-'C1-Incomes'!AS17</f>
        <v>2207.9925000000003</v>
      </c>
      <c r="F43" s="47">
        <f>'C1-Incomes'!BB17-'C1-Incomes'!AT17</f>
        <v>1754.6917499999981</v>
      </c>
      <c r="G43" s="47">
        <f>'C1-Incomes'!BC17-'C1-Incomes'!AU17</f>
        <v>892.66274999999951</v>
      </c>
      <c r="H43" s="47">
        <f>'C1-Incomes'!BD17-'C1-Incomes'!AV17</f>
        <v>297.81674999999996</v>
      </c>
      <c r="I43" s="47"/>
      <c r="J43" s="47"/>
      <c r="K43" s="186">
        <f t="shared" si="4"/>
        <v>0.86714499999999095</v>
      </c>
      <c r="L43" s="186">
        <f t="shared" si="5"/>
        <v>0.83708000000000338</v>
      </c>
      <c r="M43" s="186">
        <f t="shared" si="6"/>
        <v>0.70095000000000007</v>
      </c>
      <c r="N43" s="186">
        <f t="shared" si="7"/>
        <v>0.55704499999999946</v>
      </c>
      <c r="O43" s="186">
        <f t="shared" si="8"/>
        <v>0.28338499999999983</v>
      </c>
      <c r="P43" s="186">
        <f t="shared" si="9"/>
        <v>9.454499999999999E-2</v>
      </c>
    </row>
    <row r="44" spans="1:35" ht="13.5" customHeight="1" x14ac:dyDescent="0.3">
      <c r="A44" s="48">
        <v>1970</v>
      </c>
      <c r="B44" s="47">
        <f>'C1-Incomes'!AX18-'C1-Incomes'!AP18</f>
        <v>3650</v>
      </c>
      <c r="C44" s="47">
        <f>'C1-Incomes'!AY18-'C1-Incomes'!AQ18</f>
        <v>3135.2770005000348</v>
      </c>
      <c r="D44" s="47">
        <f>'C1-Incomes'!AZ18-'C1-Incomes'!AR18</f>
        <v>3009.8630004999868</v>
      </c>
      <c r="E44" s="47">
        <f>'C1-Incomes'!BA18-'C1-Incomes'!AS18</f>
        <v>2495.8700004999919</v>
      </c>
      <c r="F44" s="47">
        <f>'C1-Incomes'!BB18-'C1-Incomes'!AT18</f>
        <v>1987.3520004999955</v>
      </c>
      <c r="G44" s="47">
        <f>'C1-Incomes'!BC18-'C1-Incomes'!AU18</f>
        <v>1022.1460005000008</v>
      </c>
      <c r="H44" s="47">
        <f>'C1-Incomes'!BD18-'C1-Incomes'!AV18</f>
        <v>340.10700000000043</v>
      </c>
      <c r="I44" s="47"/>
      <c r="J44" s="47"/>
      <c r="K44" s="186">
        <f t="shared" si="4"/>
        <v>0.85898000013699582</v>
      </c>
      <c r="L44" s="186">
        <f t="shared" si="5"/>
        <v>0.82462000013698267</v>
      </c>
      <c r="M44" s="186">
        <f t="shared" si="6"/>
        <v>0.68380000013698405</v>
      </c>
      <c r="N44" s="186">
        <f t="shared" si="7"/>
        <v>0.54448000013698505</v>
      </c>
      <c r="O44" s="186">
        <f t="shared" si="8"/>
        <v>0.28004000013698654</v>
      </c>
      <c r="P44" s="186">
        <f t="shared" si="9"/>
        <v>9.318000000000011E-2</v>
      </c>
    </row>
    <row r="45" spans="1:35" ht="13.5" customHeight="1" x14ac:dyDescent="0.3">
      <c r="A45" s="48">
        <v>1971</v>
      </c>
      <c r="B45" s="47">
        <f>'C1-Incomes'!AX19-'C1-Incomes'!AP19</f>
        <v>4254</v>
      </c>
      <c r="C45" s="47">
        <f>'C1-Incomes'!AY19-'C1-Incomes'!AQ19</f>
        <v>3619.3670098999573</v>
      </c>
      <c r="D45" s="47">
        <f>'C1-Incomes'!AZ19-'C1-Incomes'!AR19</f>
        <v>3454.9286398999975</v>
      </c>
      <c r="E45" s="47">
        <f>'C1-Incomes'!BA19-'C1-Incomes'!AS19</f>
        <v>2835.9290999000004</v>
      </c>
      <c r="F45" s="47">
        <f>'C1-Incomes'!BB19-'C1-Incomes'!AT19</f>
        <v>2262.7664099000031</v>
      </c>
      <c r="G45" s="47">
        <f>'C1-Incomes'!BC19-'C1-Incomes'!AU19</f>
        <v>1177.0605298999999</v>
      </c>
      <c r="H45" s="47">
        <f>'C1-Incomes'!BD19-'C1-Incomes'!AV19</f>
        <v>390.58100999999988</v>
      </c>
      <c r="I45" s="47"/>
      <c r="J45" s="47"/>
      <c r="K45" s="186">
        <f t="shared" si="4"/>
        <v>0.85081499997648269</v>
      </c>
      <c r="L45" s="186">
        <f t="shared" si="5"/>
        <v>0.81215999997649213</v>
      </c>
      <c r="M45" s="186">
        <f t="shared" si="6"/>
        <v>0.66664999997649277</v>
      </c>
      <c r="N45" s="186">
        <f t="shared" si="7"/>
        <v>0.53191499997649339</v>
      </c>
      <c r="O45" s="186">
        <f t="shared" si="8"/>
        <v>0.27669499997649266</v>
      </c>
      <c r="P45" s="186">
        <f t="shared" si="9"/>
        <v>9.1814999999999966E-2</v>
      </c>
    </row>
    <row r="46" spans="1:35" ht="13.5" customHeight="1" x14ac:dyDescent="0.3">
      <c r="A46" s="48">
        <v>1972</v>
      </c>
      <c r="B46" s="47">
        <f>'C1-Incomes'!AX20-'C1-Incomes'!AP20</f>
        <v>4897</v>
      </c>
      <c r="C46" s="47">
        <f>'C1-Incomes'!AY20-'C1-Incomes'!AQ20</f>
        <v>4126.4570499999973</v>
      </c>
      <c r="D46" s="47">
        <f>'C1-Incomes'!AZ20-'C1-Incomes'!AR20</f>
        <v>3916.1308999999892</v>
      </c>
      <c r="E46" s="47">
        <f>'C1-Incomes'!BA20-'C1-Incomes'!AS20</f>
        <v>3180.601499999997</v>
      </c>
      <c r="F46" s="47">
        <f>'C1-Incomes'!BB20-'C1-Incomes'!AT20</f>
        <v>2543.2569500000027</v>
      </c>
      <c r="G46" s="47">
        <f>'C1-Incomes'!BC20-'C1-Incomes'!AU20</f>
        <v>1338.5949499999988</v>
      </c>
      <c r="H46" s="47">
        <f>'C1-Incomes'!BD20-'C1-Incomes'!AV20</f>
        <v>442.93364999999994</v>
      </c>
      <c r="I46" s="47"/>
      <c r="J46" s="47"/>
      <c r="K46" s="186">
        <f t="shared" si="4"/>
        <v>0.84264999999999946</v>
      </c>
      <c r="L46" s="186">
        <f t="shared" si="5"/>
        <v>0.79969999999999775</v>
      </c>
      <c r="M46" s="186">
        <f t="shared" si="6"/>
        <v>0.64949999999999941</v>
      </c>
      <c r="N46" s="186">
        <f t="shared" si="7"/>
        <v>0.51935000000000053</v>
      </c>
      <c r="O46" s="186">
        <f t="shared" si="8"/>
        <v>0.27334999999999976</v>
      </c>
      <c r="P46" s="186">
        <f t="shared" si="9"/>
        <v>9.0449999999999989E-2</v>
      </c>
    </row>
    <row r="47" spans="1:35" ht="13.5" customHeight="1" x14ac:dyDescent="0.3">
      <c r="A47" s="48">
        <v>1973</v>
      </c>
      <c r="B47" s="47">
        <f>'C1-Incomes'!AX21-'C1-Incomes'!AP21</f>
        <v>5496</v>
      </c>
      <c r="C47" s="47">
        <f>'C1-Incomes'!AY21-'C1-Incomes'!AQ21</f>
        <v>4586.3295599999838</v>
      </c>
      <c r="D47" s="47">
        <f>'C1-Incomes'!AZ21-'C1-Incomes'!AR21</f>
        <v>4326.6710399999283</v>
      </c>
      <c r="E47" s="47">
        <f>'C1-Incomes'!BA21-'C1-Incomes'!AS21</f>
        <v>3475.3956000000035</v>
      </c>
      <c r="F47" s="47">
        <f>'C1-Incomes'!BB21-'C1-Incomes'!AT21</f>
        <v>2785.2903599999991</v>
      </c>
      <c r="G47" s="47">
        <f>'C1-Incomes'!BC21-'C1-Incomes'!AU21</f>
        <v>1483.9474800000025</v>
      </c>
      <c r="H47" s="47">
        <f>'C1-Incomes'!BD21-'C1-Incomes'!AV21</f>
        <v>489.61115999999947</v>
      </c>
      <c r="I47" s="47"/>
      <c r="J47" s="47"/>
      <c r="K47" s="186">
        <f>C47/$B47</f>
        <v>0.83448499999999703</v>
      </c>
      <c r="L47" s="186">
        <f t="shared" si="5"/>
        <v>0.78723999999998695</v>
      </c>
      <c r="M47" s="186">
        <f t="shared" si="6"/>
        <v>0.63235000000000063</v>
      </c>
      <c r="N47" s="186">
        <f t="shared" si="7"/>
        <v>0.50678499999999982</v>
      </c>
      <c r="O47" s="186">
        <f t="shared" si="8"/>
        <v>0.27000500000000044</v>
      </c>
      <c r="P47" s="186">
        <f t="shared" si="9"/>
        <v>8.90849999999999E-2</v>
      </c>
    </row>
    <row r="48" spans="1:35" ht="13.5" customHeight="1" x14ac:dyDescent="0.3">
      <c r="A48" s="48">
        <v>1974</v>
      </c>
      <c r="B48" s="47">
        <f>'C1-Incomes'!AX22-'C1-Incomes'!AP22</f>
        <v>6253</v>
      </c>
      <c r="C48" s="47">
        <f>'C1-Incomes'!AY22-'C1-Incomes'!AQ22</f>
        <v>5166.9789599999785</v>
      </c>
      <c r="D48" s="47">
        <f>'C1-Incomes'!AZ22-'C1-Incomes'!AR22</f>
        <v>4844.6993399999919</v>
      </c>
      <c r="E48" s="47">
        <f>'C1-Incomes'!BA22-'C1-Incomes'!AS22</f>
        <v>3846.8456000000006</v>
      </c>
      <c r="F48" s="47">
        <f>'C1-Incomes'!BB22-'C1-Incomes'!AT22</f>
        <v>3090.3576600000015</v>
      </c>
      <c r="G48" s="47">
        <f>'C1-Incomes'!BC22-'C1-Incomes'!AU22</f>
        <v>1667.4249799999998</v>
      </c>
      <c r="H48" s="47">
        <f>'C1-Incomes'!BD22-'C1-Incomes'!AV22</f>
        <v>548.51315999999952</v>
      </c>
      <c r="I48" s="47"/>
      <c r="J48" s="47"/>
      <c r="K48" s="186">
        <f t="shared" si="4"/>
        <v>0.82631999999999661</v>
      </c>
      <c r="L48" s="186">
        <f t="shared" si="5"/>
        <v>0.77477999999999869</v>
      </c>
      <c r="M48" s="186">
        <f t="shared" si="6"/>
        <v>0.61520000000000008</v>
      </c>
      <c r="N48" s="186">
        <f t="shared" si="7"/>
        <v>0.49422000000000021</v>
      </c>
      <c r="O48" s="186">
        <f t="shared" si="8"/>
        <v>0.26665999999999995</v>
      </c>
      <c r="P48" s="186">
        <f t="shared" si="9"/>
        <v>8.7719999999999923E-2</v>
      </c>
    </row>
    <row r="49" spans="1:16" ht="13.5" customHeight="1" x14ac:dyDescent="0.3">
      <c r="A49" s="48">
        <v>1975</v>
      </c>
      <c r="B49" s="47">
        <f>'C1-Incomes'!AX23-'C1-Incomes'!AP23</f>
        <v>7192</v>
      </c>
      <c r="C49" s="47">
        <f>'C1-Incomes'!AY23-'C1-Incomes'!AQ23</f>
        <v>5884.1707600000664</v>
      </c>
      <c r="D49" s="47">
        <f>'C1-Incomes'!AZ23-'C1-Incomes'!AR23</f>
        <v>5482.605440000043</v>
      </c>
      <c r="E49" s="47">
        <f>'C1-Incomes'!BA23-'C1-Incomes'!AS23</f>
        <v>4301.1756000000023</v>
      </c>
      <c r="F49" s="47">
        <f>'C1-Incomes'!BB23-'C1-Incomes'!AT23</f>
        <v>3464.0627599999934</v>
      </c>
      <c r="G49" s="47">
        <f>'C1-Incomes'!BC23-'C1-Incomes'!AU23</f>
        <v>1893.7614799999974</v>
      </c>
      <c r="H49" s="47">
        <f>'C1-Incomes'!BD23-'C1-Incomes'!AV23</f>
        <v>621.0651599999992</v>
      </c>
      <c r="I49" s="47"/>
      <c r="J49" s="47"/>
      <c r="K49" s="186">
        <f t="shared" si="4"/>
        <v>0.81815500000000918</v>
      </c>
      <c r="L49" s="186">
        <f t="shared" si="5"/>
        <v>0.76232000000000599</v>
      </c>
      <c r="M49" s="186">
        <f t="shared" si="6"/>
        <v>0.5980500000000003</v>
      </c>
      <c r="N49" s="186">
        <f t="shared" si="7"/>
        <v>0.48165499999999911</v>
      </c>
      <c r="O49" s="186">
        <f t="shared" si="8"/>
        <v>0.26331499999999963</v>
      </c>
      <c r="P49" s="186">
        <f t="shared" si="9"/>
        <v>8.635499999999989E-2</v>
      </c>
    </row>
    <row r="50" spans="1:16" ht="13.5" customHeight="1" x14ac:dyDescent="0.3">
      <c r="A50" s="48">
        <v>1976</v>
      </c>
      <c r="B50" s="47">
        <f>'C1-Incomes'!AX24-'C1-Incomes'!AP24</f>
        <v>8132</v>
      </c>
      <c r="C50" s="47">
        <f>'C1-Incomes'!AY24-'C1-Incomes'!AQ24</f>
        <v>6586.8386799999862</v>
      </c>
      <c r="D50" s="47">
        <f>'C1-Incomes'!AZ24-'C1-Incomes'!AR24</f>
        <v>6097.8615200000349</v>
      </c>
      <c r="E50" s="47">
        <f>'C1-Incomes'!BA24-'C1-Incomes'!AS24</f>
        <v>4723.8788000000059</v>
      </c>
      <c r="F50" s="47">
        <f>'C1-Incomes'!BB24-'C1-Incomes'!AT24</f>
        <v>3814.6398800000024</v>
      </c>
      <c r="G50" s="47">
        <f>'C1-Incomes'!BC24-'C1-Incomes'!AU24</f>
        <v>2114.0760399999999</v>
      </c>
      <c r="H50" s="47">
        <f>'C1-Incomes'!BD24-'C1-Incomes'!AV24</f>
        <v>691.13868000000002</v>
      </c>
      <c r="I50" s="47"/>
      <c r="J50" s="47"/>
      <c r="K50" s="186">
        <f t="shared" si="4"/>
        <v>0.80998999999999832</v>
      </c>
      <c r="L50" s="186">
        <f t="shared" si="5"/>
        <v>0.7498600000000043</v>
      </c>
      <c r="M50" s="186">
        <f t="shared" si="6"/>
        <v>0.58090000000000075</v>
      </c>
      <c r="N50" s="186">
        <f t="shared" si="7"/>
        <v>0.46909000000000028</v>
      </c>
      <c r="O50" s="186">
        <f t="shared" si="8"/>
        <v>0.25996999999999998</v>
      </c>
      <c r="P50" s="186">
        <f t="shared" si="9"/>
        <v>8.4989999999999996E-2</v>
      </c>
    </row>
    <row r="51" spans="1:16" ht="13.5" customHeight="1" x14ac:dyDescent="0.3">
      <c r="A51" s="48">
        <v>1977</v>
      </c>
      <c r="B51" s="47">
        <f>'C1-Incomes'!AX25-'C1-Incomes'!AP25</f>
        <v>8893</v>
      </c>
      <c r="C51" s="47">
        <f>'C1-Incomes'!AY25-'C1-Incomes'!AQ25</f>
        <v>7130.6297200000845</v>
      </c>
      <c r="D51" s="47">
        <f>'C1-Incomes'!AZ25-'C1-Incomes'!AR25</f>
        <v>6557.6982000000426</v>
      </c>
      <c r="E51" s="47">
        <f>'C1-Incomes'!BA25-'C1-Incomes'!AS25</f>
        <v>5013.4287500000064</v>
      </c>
      <c r="F51" s="47">
        <f>'C1-Incomes'!BB25-'C1-Incomes'!AT25</f>
        <v>4059.8768249999921</v>
      </c>
      <c r="G51" s="47">
        <f>'C1-Incomes'!BC25-'C1-Incomes'!AU25</f>
        <v>2282.1661249999997</v>
      </c>
      <c r="H51" s="47">
        <f>'C1-Incomes'!BD25-'C1-Incomes'!AV25</f>
        <v>743.67712500000016</v>
      </c>
      <c r="I51" s="47"/>
      <c r="J51" s="47"/>
      <c r="K51" s="186">
        <f t="shared" si="4"/>
        <v>0.80182499943776953</v>
      </c>
      <c r="L51" s="186">
        <f t="shared" si="5"/>
        <v>0.73740000000000483</v>
      </c>
      <c r="M51" s="186">
        <f t="shared" si="6"/>
        <v>0.56375000000000075</v>
      </c>
      <c r="N51" s="186">
        <f t="shared" si="7"/>
        <v>0.45652499999999913</v>
      </c>
      <c r="O51" s="186">
        <f t="shared" si="8"/>
        <v>0.25662499999999999</v>
      </c>
      <c r="P51" s="186">
        <f t="shared" si="9"/>
        <v>8.3625000000000019E-2</v>
      </c>
    </row>
    <row r="52" spans="1:16" ht="13.5" customHeight="1" x14ac:dyDescent="0.3">
      <c r="A52" s="48">
        <v>1978</v>
      </c>
      <c r="B52" s="47">
        <f>'C1-Incomes'!AX26-'C1-Incomes'!AP26</f>
        <v>9684</v>
      </c>
      <c r="C52" s="47">
        <f>'C1-Incomes'!AY26-'C1-Incomes'!AQ26</f>
        <v>7685.8034399999306</v>
      </c>
      <c r="D52" s="47">
        <f>'C1-Incomes'!AZ26-'C1-Incomes'!AR26</f>
        <v>7020.3189600000042</v>
      </c>
      <c r="E52" s="47">
        <f>'C1-Incomes'!BA26-'C1-Incomes'!AS26</f>
        <v>5293.2743999999948</v>
      </c>
      <c r="F52" s="47">
        <f>'C1-Incomes'!BB26-'C1-Incomes'!AT26</f>
        <v>4299.3086400000029</v>
      </c>
      <c r="G52" s="47">
        <f>'C1-Incomes'!BC26-'C1-Incomes'!AU26</f>
        <v>2452.7635200000004</v>
      </c>
      <c r="H52" s="47">
        <f>'C1-Incomes'!BD26-'C1-Incomes'!AV26</f>
        <v>796.60583999999926</v>
      </c>
      <c r="I52" s="47"/>
      <c r="J52" s="47"/>
      <c r="K52" s="186">
        <f t="shared" si="4"/>
        <v>0.79365999999999282</v>
      </c>
      <c r="L52" s="186">
        <f t="shared" si="5"/>
        <v>0.72494000000000047</v>
      </c>
      <c r="M52" s="186">
        <f t="shared" si="6"/>
        <v>0.54659999999999942</v>
      </c>
      <c r="N52" s="186">
        <f t="shared" si="7"/>
        <v>0.4439600000000003</v>
      </c>
      <c r="O52" s="186">
        <f t="shared" si="8"/>
        <v>0.25328000000000006</v>
      </c>
      <c r="P52" s="186">
        <f t="shared" si="9"/>
        <v>8.225999999999993E-2</v>
      </c>
    </row>
    <row r="53" spans="1:16" ht="13.5" customHeight="1" x14ac:dyDescent="0.3">
      <c r="A53" s="48">
        <v>1979</v>
      </c>
      <c r="B53" s="47">
        <f>'C1-Incomes'!AX27-'C1-Incomes'!AP27</f>
        <v>11206</v>
      </c>
      <c r="C53" s="47">
        <f>'C1-Incomes'!AY27-'C1-Incomes'!AQ27</f>
        <v>8802.2569698999869</v>
      </c>
      <c r="D53" s="47">
        <f>'C1-Incomes'!AZ27-'C1-Incomes'!AR27</f>
        <v>7984.0508798999945</v>
      </c>
      <c r="E53" s="47">
        <f>'C1-Incomes'!BA27-'C1-Incomes'!AS27</f>
        <v>5933.0166999000066</v>
      </c>
      <c r="F53" s="47">
        <f>'C1-Incomes'!BB27-'C1-Incomes'!AT27</f>
        <v>4834.2123698999931</v>
      </c>
      <c r="G53" s="47">
        <f>'C1-Incomes'!BC27-'C1-Incomes'!AU27</f>
        <v>2800.7716098999954</v>
      </c>
      <c r="H53" s="47">
        <f>'C1-Incomes'!BD27-'C1-Incomes'!AV27</f>
        <v>906.50936990000082</v>
      </c>
      <c r="I53" s="47"/>
      <c r="J53" s="47"/>
      <c r="K53" s="186">
        <f t="shared" si="4"/>
        <v>0.78549499999107508</v>
      </c>
      <c r="L53" s="186">
        <f t="shared" si="5"/>
        <v>0.7124799999910757</v>
      </c>
      <c r="M53" s="186">
        <f t="shared" si="6"/>
        <v>0.52944999999107678</v>
      </c>
      <c r="N53" s="186">
        <f t="shared" si="7"/>
        <v>0.43139499999107561</v>
      </c>
      <c r="O53" s="186">
        <f t="shared" si="8"/>
        <v>0.2499349999910758</v>
      </c>
      <c r="P53" s="186">
        <f t="shared" si="9"/>
        <v>8.0894999991076286E-2</v>
      </c>
    </row>
    <row r="54" spans="1:16" ht="13.5" customHeight="1" x14ac:dyDescent="0.3">
      <c r="A54" s="48">
        <v>1980</v>
      </c>
      <c r="B54" s="47">
        <f>'C1-Incomes'!AX28-'C1-Incomes'!AP28</f>
        <v>12583</v>
      </c>
      <c r="C54" s="47">
        <f>'C1-Incomes'!AY28-'C1-Incomes'!AQ28</f>
        <v>9781.1433899999829</v>
      </c>
      <c r="D54" s="47">
        <f>'C1-Incomes'!AZ28-'C1-Incomes'!AR28</f>
        <v>8808.3516600000439</v>
      </c>
      <c r="E54" s="47">
        <f>'C1-Incomes'!BA28-'C1-Incomes'!AS28</f>
        <v>6446.2709000000032</v>
      </c>
      <c r="F54" s="47">
        <f>'C1-Incomes'!BB28-'C1-Incomes'!AT28</f>
        <v>5270.1378899999982</v>
      </c>
      <c r="G54" s="47">
        <f>'C1-Incomes'!BC28-'C1-Incomes'!AU28</f>
        <v>3102.8419700000086</v>
      </c>
      <c r="H54" s="47">
        <f>'C1-Incomes'!BD28-'C1-Incomes'!AV28</f>
        <v>1000.7259900000008</v>
      </c>
      <c r="I54" s="47"/>
      <c r="J54" s="47"/>
      <c r="K54" s="186">
        <f t="shared" si="4"/>
        <v>0.77732999999999863</v>
      </c>
      <c r="L54" s="186">
        <f t="shared" si="5"/>
        <v>0.70002000000000353</v>
      </c>
      <c r="M54" s="186">
        <f t="shared" si="6"/>
        <v>0.5123000000000002</v>
      </c>
      <c r="N54" s="186">
        <f t="shared" si="7"/>
        <v>0.41882999999999987</v>
      </c>
      <c r="O54" s="186">
        <f t="shared" si="8"/>
        <v>0.24659000000000067</v>
      </c>
      <c r="P54" s="186">
        <f t="shared" si="9"/>
        <v>7.9530000000000059E-2</v>
      </c>
    </row>
    <row r="55" spans="1:16" ht="13.5" customHeight="1" x14ac:dyDescent="0.3">
      <c r="A55" s="48">
        <v>1981</v>
      </c>
      <c r="B55" s="47">
        <f>'C1-Incomes'!AX29-'C1-Incomes'!AP29</f>
        <v>14849</v>
      </c>
      <c r="C55" s="47">
        <f>'C1-Incomes'!AY29-'C1-Incomes'!AQ29</f>
        <v>11421.331079999916</v>
      </c>
      <c r="D55" s="47">
        <f>'C1-Incomes'!AZ29-'C1-Incomes'!AR29</f>
        <v>10209.57844000007</v>
      </c>
      <c r="E55" s="47">
        <f>'C1-Incomes'!BA29-'C1-Incomes'!AS29</f>
        <v>7352.4823500000057</v>
      </c>
      <c r="F55" s="47">
        <f>'C1-Incomes'!BB29-'C1-Incomes'!AT29</f>
        <v>6032.628985000003</v>
      </c>
      <c r="G55" s="47">
        <f>'C1-Incomes'!BC29-'C1-Incomes'!AU29</f>
        <v>3611.9450049999941</v>
      </c>
      <c r="H55" s="47">
        <f>'C1-Incomes'!BD29-'C1-Incomes'!AV29</f>
        <v>1160.6720849999983</v>
      </c>
      <c r="I55" s="47"/>
      <c r="J55" s="47"/>
      <c r="K55" s="186">
        <f t="shared" si="4"/>
        <v>0.76916499966327134</v>
      </c>
      <c r="L55" s="186">
        <f t="shared" si="5"/>
        <v>0.68756000000000472</v>
      </c>
      <c r="M55" s="186">
        <f t="shared" si="6"/>
        <v>0.49515000000000037</v>
      </c>
      <c r="N55" s="186">
        <f t="shared" si="7"/>
        <v>0.40626500000000021</v>
      </c>
      <c r="O55" s="186">
        <f t="shared" si="8"/>
        <v>0.2432449999999996</v>
      </c>
      <c r="P55" s="186">
        <f t="shared" si="9"/>
        <v>7.8164999999999887E-2</v>
      </c>
    </row>
    <row r="56" spans="1:16" ht="13.5" customHeight="1" x14ac:dyDescent="0.3">
      <c r="A56" s="48">
        <v>1982</v>
      </c>
      <c r="B56" s="47">
        <f>'C1-Incomes'!AX30-'C1-Incomes'!AP30</f>
        <v>17631</v>
      </c>
      <c r="C56" s="47">
        <f>'C1-Incomes'!AY30-'C1-Incomes'!AQ30</f>
        <v>12941.15399999998</v>
      </c>
      <c r="D56" s="47">
        <f>'C1-Incomes'!AZ30-'C1-Incomes'!AR30</f>
        <v>11426.651099999901</v>
      </c>
      <c r="E56" s="47">
        <f>'C1-Incomes'!BA30-'C1-Incomes'!AS30</f>
        <v>7951.5810000000347</v>
      </c>
      <c r="F56" s="47">
        <f>'C1-Incomes'!BB30-'C1-Incomes'!AT30</f>
        <v>6465.2877000000008</v>
      </c>
      <c r="G56" s="47">
        <f>'C1-Incomes'!BC30-'C1-Incomes'!AU30</f>
        <v>3753.6399000000019</v>
      </c>
      <c r="H56" s="47">
        <f>'C1-Incomes'!BD30-'C1-Incomes'!AV30</f>
        <v>1354.0607999999993</v>
      </c>
      <c r="I56" s="47"/>
      <c r="J56" s="47"/>
      <c r="K56" s="186">
        <f t="shared" si="4"/>
        <v>0.73399999999999888</v>
      </c>
      <c r="L56" s="334">
        <f t="shared" si="5"/>
        <v>0.64809999999999435</v>
      </c>
      <c r="M56" s="186">
        <f t="shared" si="6"/>
        <v>0.45100000000000195</v>
      </c>
      <c r="N56" s="186">
        <f t="shared" si="7"/>
        <v>0.36670000000000003</v>
      </c>
      <c r="O56" s="186">
        <f t="shared" si="8"/>
        <v>0.21290000000000012</v>
      </c>
      <c r="P56" s="186">
        <f t="shared" si="9"/>
        <v>7.6799999999999966E-2</v>
      </c>
    </row>
    <row r="57" spans="1:16" ht="13.5" customHeight="1" x14ac:dyDescent="0.3">
      <c r="A57" s="48">
        <v>1983</v>
      </c>
      <c r="B57" s="47">
        <f>'C1-Incomes'!AX31-'C1-Incomes'!AP31</f>
        <v>20992</v>
      </c>
      <c r="C57" s="47">
        <f>'C1-Incomes'!AY31-'C1-Incomes'!AQ31</f>
        <v>15408.12799999991</v>
      </c>
      <c r="D57" s="47">
        <f>'C1-Incomes'!AZ31-'C1-Incomes'!AR31</f>
        <v>13604.915200000047</v>
      </c>
      <c r="E57" s="47">
        <f>'C1-Incomes'!BA31-'C1-Incomes'!AS31</f>
        <v>9467.3920000000508</v>
      </c>
      <c r="F57" s="47">
        <f>'C1-Incomes'!BB31-'C1-Incomes'!AT31</f>
        <v>7697.7664000000077</v>
      </c>
      <c r="G57" s="47">
        <f>'C1-Incomes'!BC31-'C1-Incomes'!AU31</f>
        <v>4469.1968000000052</v>
      </c>
      <c r="H57" s="47">
        <f>'C1-Incomes'!BD31-'C1-Incomes'!AV31</f>
        <v>1612.1856000000007</v>
      </c>
      <c r="I57" s="47"/>
      <c r="J57" s="47"/>
      <c r="K57" s="186">
        <f t="shared" si="4"/>
        <v>0.73399999999999566</v>
      </c>
      <c r="L57" s="334">
        <f t="shared" si="5"/>
        <v>0.64810000000000223</v>
      </c>
      <c r="M57" s="186">
        <f t="shared" si="6"/>
        <v>0.4510000000000024</v>
      </c>
      <c r="N57" s="186">
        <f t="shared" si="7"/>
        <v>0.36670000000000036</v>
      </c>
      <c r="O57" s="186">
        <f t="shared" si="8"/>
        <v>0.21290000000000026</v>
      </c>
      <c r="P57" s="186">
        <f t="shared" si="9"/>
        <v>7.6800000000000035E-2</v>
      </c>
    </row>
    <row r="58" spans="1:16" ht="13.5" customHeight="1" x14ac:dyDescent="0.3">
      <c r="A58" s="48">
        <v>1984</v>
      </c>
      <c r="B58" s="47">
        <f>'C1-Incomes'!AX32-'C1-Incomes'!AP32</f>
        <v>24044</v>
      </c>
      <c r="C58" s="47">
        <f>'C1-Incomes'!AY32-'C1-Incomes'!AQ32</f>
        <v>17648.295999999973</v>
      </c>
      <c r="D58" s="47">
        <f>'C1-Incomes'!AZ32-'C1-Incomes'!AR32</f>
        <v>15582.916399999987</v>
      </c>
      <c r="E58" s="47">
        <f>'C1-Incomes'!BA32-'C1-Incomes'!AS32</f>
        <v>10843.844000000012</v>
      </c>
      <c r="F58" s="47">
        <f>'C1-Incomes'!BB32-'C1-Incomes'!AT32</f>
        <v>8816.9348000000173</v>
      </c>
      <c r="G58" s="47">
        <f>'C1-Incomes'!BC32-'C1-Incomes'!AU32</f>
        <v>5118.967599999989</v>
      </c>
      <c r="H58" s="47">
        <f>'C1-Incomes'!BD32-'C1-Incomes'!AV32</f>
        <v>1846.5792000000001</v>
      </c>
      <c r="I58" s="47"/>
      <c r="K58" s="186">
        <f t="shared" si="4"/>
        <v>0.73399999999999888</v>
      </c>
      <c r="L58" s="334">
        <f t="shared" si="5"/>
        <v>0.64809999999999945</v>
      </c>
      <c r="M58" s="186">
        <f t="shared" si="6"/>
        <v>0.45100000000000051</v>
      </c>
      <c r="N58" s="186">
        <f t="shared" si="7"/>
        <v>0.36670000000000069</v>
      </c>
      <c r="O58" s="186">
        <f t="shared" si="8"/>
        <v>0.21289999999999953</v>
      </c>
      <c r="P58" s="186">
        <f t="shared" si="9"/>
        <v>7.6800000000000007E-2</v>
      </c>
    </row>
    <row r="59" spans="1:16" ht="13.5" customHeight="1" x14ac:dyDescent="0.3">
      <c r="A59" s="48">
        <v>1985</v>
      </c>
      <c r="B59" s="47">
        <f>'C1-Incomes'!AX33-'C1-Incomes'!AP33</f>
        <v>27362</v>
      </c>
      <c r="C59" s="47">
        <f>'C1-Incomes'!AY33-'C1-Incomes'!AQ33</f>
        <v>20083.708000000101</v>
      </c>
      <c r="D59" s="47">
        <f>'C1-Incomes'!AZ33-'C1-Incomes'!AR33</f>
        <v>17733.312200000044</v>
      </c>
      <c r="E59" s="47">
        <f>'C1-Incomes'!BA33-'C1-Incomes'!AS33</f>
        <v>12340.261999999988</v>
      </c>
      <c r="F59" s="47">
        <f>'C1-Incomes'!BB33-'C1-Incomes'!AT33</f>
        <v>10033.645400000009</v>
      </c>
      <c r="G59" s="47">
        <f>'C1-Incomes'!BC33-'C1-Incomes'!AU33</f>
        <v>5825.3697999999858</v>
      </c>
      <c r="H59" s="47">
        <f>'C1-Incomes'!BD33-'C1-Incomes'!AV33</f>
        <v>2101.4016000000011</v>
      </c>
      <c r="I59" s="47"/>
      <c r="J59" s="47"/>
      <c r="K59" s="186">
        <f t="shared" si="4"/>
        <v>0.73400000000000365</v>
      </c>
      <c r="L59" s="334">
        <f t="shared" si="5"/>
        <v>0.64810000000000156</v>
      </c>
      <c r="M59" s="186">
        <f t="shared" si="6"/>
        <v>0.45099999999999957</v>
      </c>
      <c r="N59" s="186">
        <f t="shared" si="7"/>
        <v>0.3667000000000003</v>
      </c>
      <c r="O59" s="186">
        <f t="shared" si="8"/>
        <v>0.21289999999999948</v>
      </c>
      <c r="P59" s="186">
        <f t="shared" si="9"/>
        <v>7.6800000000000035E-2</v>
      </c>
    </row>
    <row r="60" spans="1:16" ht="13.5" customHeight="1" x14ac:dyDescent="0.3">
      <c r="A60" s="48">
        <v>1986</v>
      </c>
      <c r="B60" s="47">
        <f>'C1-Incomes'!AX34-'C1-Incomes'!AP34</f>
        <v>31171</v>
      </c>
      <c r="C60" s="47">
        <f>'C1-Incomes'!AY34-'C1-Incomes'!AQ34</f>
        <v>22879.513998000068</v>
      </c>
      <c r="D60" s="47">
        <f>'C1-Incomes'!AZ34-'C1-Incomes'!AR34</f>
        <v>20201.925098000094</v>
      </c>
      <c r="E60" s="47">
        <f>'C1-Incomes'!BA34-'C1-Incomes'!AS34</f>
        <v>14058.120997999969</v>
      </c>
      <c r="F60" s="47">
        <f>'C1-Incomes'!BB34-'C1-Incomes'!AT34</f>
        <v>11430.405697999988</v>
      </c>
      <c r="G60" s="47">
        <f>'C1-Incomes'!BC34-'C1-Incomes'!AU34</f>
        <v>6636.3058999999921</v>
      </c>
      <c r="H60" s="47">
        <f>'C1-Incomes'!BD34-'C1-Incomes'!AV34</f>
        <v>2393.9327999999987</v>
      </c>
      <c r="I60" s="47"/>
      <c r="J60" s="47"/>
      <c r="K60" s="186">
        <f t="shared" si="4"/>
        <v>0.73399999993583998</v>
      </c>
      <c r="L60" s="334">
        <f t="shared" si="5"/>
        <v>0.64809999993584078</v>
      </c>
      <c r="M60" s="186">
        <f t="shared" si="6"/>
        <v>0.45099999993583684</v>
      </c>
      <c r="N60" s="186">
        <f t="shared" si="7"/>
        <v>0.36669999993583741</v>
      </c>
      <c r="O60" s="186">
        <f t="shared" si="8"/>
        <v>0.21289999999999976</v>
      </c>
      <c r="P60" s="186">
        <f t="shared" si="9"/>
        <v>7.6799999999999952E-2</v>
      </c>
    </row>
    <row r="61" spans="1:16" ht="13.5" customHeight="1" x14ac:dyDescent="0.3">
      <c r="A61" s="48">
        <v>1987</v>
      </c>
      <c r="B61" s="47">
        <f>'C1-Incomes'!AX35-'C1-Incomes'!AH35</f>
        <v>30550.842499999795</v>
      </c>
      <c r="C61" s="47">
        <f>'C1-Incomes'!AY35-'C1-Incomes'!AI35</f>
        <v>22444.978256999981</v>
      </c>
      <c r="D61" s="47">
        <f>'C1-Incomes'!AZ35-'C1-Incomes'!AJ35</f>
        <v>19902.030866999994</v>
      </c>
      <c r="E61" s="47">
        <f>'C1-Incomes'!BA35-'C1-Incomes'!AK35</f>
        <v>13853.166237000027</v>
      </c>
      <c r="F61" s="47">
        <f>'C1-Incomes'!BB35-'C1-Incomes'!AL35</f>
        <v>11266.973617000011</v>
      </c>
      <c r="G61" s="47">
        <f>'C1-Incomes'!BC35-'C1-Incomes'!AM35</f>
        <v>6534.4168169999903</v>
      </c>
      <c r="H61" s="47">
        <f>'C1-Incomes'!BD35-'C1-Incomes'!AN35</f>
        <v>2350.8780310000002</v>
      </c>
      <c r="I61" s="47"/>
      <c r="J61" s="47"/>
      <c r="K61" s="186">
        <f t="shared" si="4"/>
        <v>0.73467624524594144</v>
      </c>
      <c r="L61" s="334">
        <f t="shared" si="5"/>
        <v>0.65143967361947963</v>
      </c>
      <c r="M61" s="186">
        <f t="shared" si="6"/>
        <v>0.45344629160390976</v>
      </c>
      <c r="N61" s="186">
        <f t="shared" si="7"/>
        <v>0.3687942032040552</v>
      </c>
      <c r="O61" s="186">
        <f t="shared" si="8"/>
        <v>0.21388663232446156</v>
      </c>
      <c r="P61" s="186">
        <f t="shared" si="9"/>
        <v>7.6949695609867905E-2</v>
      </c>
    </row>
    <row r="62" spans="1:16" ht="13.5" customHeight="1" x14ac:dyDescent="0.3">
      <c r="A62" s="48">
        <v>1988</v>
      </c>
      <c r="B62" s="47">
        <f>'C1-Incomes'!AX36-'C1-Incomes'!AH36</f>
        <v>32604.397699999623</v>
      </c>
      <c r="C62" s="47">
        <f>'C1-Incomes'!AY36-'C1-Incomes'!AI36</f>
        <v>23316.841710000299</v>
      </c>
      <c r="D62" s="47">
        <f>'C1-Incomes'!AZ36-'C1-Incomes'!AJ36</f>
        <v>20680.887340000016</v>
      </c>
      <c r="E62" s="47">
        <f>'C1-Incomes'!BA36-'C1-Incomes'!AK36</f>
        <v>13425.100199999986</v>
      </c>
      <c r="F62" s="47">
        <f>'C1-Incomes'!BB36-'C1-Incomes'!AL36</f>
        <v>10893.694748000009</v>
      </c>
      <c r="G62" s="47">
        <f>'C1-Incomes'!BC36-'C1-Incomes'!AM36</f>
        <v>5942.0507780000044</v>
      </c>
      <c r="H62" s="47">
        <f>'C1-Incomes'!BD36-'C1-Incomes'!AN36</f>
        <v>1881.6932340000058</v>
      </c>
      <c r="I62" s="47"/>
      <c r="J62" s="47"/>
      <c r="K62" s="186">
        <f t="shared" si="4"/>
        <v>0.7151440711938245</v>
      </c>
      <c r="L62" s="186">
        <f t="shared" si="5"/>
        <v>0.6342974812873251</v>
      </c>
      <c r="M62" s="186">
        <f t="shared" si="6"/>
        <v>0.41175734401007325</v>
      </c>
      <c r="N62" s="186">
        <f t="shared" si="7"/>
        <v>0.33411734356313949</v>
      </c>
      <c r="O62" s="186">
        <f t="shared" si="8"/>
        <v>0.18224691137294258</v>
      </c>
      <c r="P62" s="186">
        <f t="shared" si="9"/>
        <v>5.7712865954890114E-2</v>
      </c>
    </row>
    <row r="63" spans="1:16" ht="13.5" customHeight="1" x14ac:dyDescent="0.3">
      <c r="A63" s="48">
        <v>1989</v>
      </c>
      <c r="B63" s="47">
        <f>'C1-Incomes'!AX37-'C1-Incomes'!AH37</f>
        <v>37321.573799999896</v>
      </c>
      <c r="C63" s="47">
        <f>'C1-Incomes'!AY37-'C1-Incomes'!AI37</f>
        <v>26969.789175999817</v>
      </c>
      <c r="D63" s="47">
        <f>'C1-Incomes'!AZ37-'C1-Incomes'!AJ37</f>
        <v>23910.063575999928</v>
      </c>
      <c r="E63" s="47">
        <f>'C1-Incomes'!BA37-'C1-Incomes'!AK37</f>
        <v>15504.290745999955</v>
      </c>
      <c r="F63" s="47">
        <f>'C1-Incomes'!BB37-'C1-Incomes'!AL37</f>
        <v>12224.83236599993</v>
      </c>
      <c r="G63" s="47">
        <f>'C1-Incomes'!BC37-'C1-Incomes'!AM37</f>
        <v>6649.7643359999929</v>
      </c>
      <c r="H63" s="47">
        <f>'C1-Incomes'!BD37-'C1-Incomes'!AN37</f>
        <v>2268.1748520000037</v>
      </c>
      <c r="I63" s="47"/>
      <c r="J63" s="47"/>
      <c r="K63" s="186">
        <f t="shared" si="4"/>
        <v>0.72263268747792975</v>
      </c>
      <c r="L63" s="186">
        <f t="shared" si="5"/>
        <v>0.64064992821926481</v>
      </c>
      <c r="M63" s="186">
        <f t="shared" si="6"/>
        <v>0.41542435560421082</v>
      </c>
      <c r="N63" s="186">
        <f t="shared" si="7"/>
        <v>0.3275540423753503</v>
      </c>
      <c r="O63" s="186">
        <f t="shared" si="8"/>
        <v>0.17817481040952274</v>
      </c>
      <c r="P63" s="186">
        <f t="shared" si="9"/>
        <v>6.0773826531399115E-2</v>
      </c>
    </row>
    <row r="64" spans="1:16" ht="13.5" customHeight="1" x14ac:dyDescent="0.3">
      <c r="A64" s="48">
        <v>1990</v>
      </c>
      <c r="B64" s="47">
        <f>'C1-Incomes'!AX38-'C1-Incomes'!AH38</f>
        <v>39998.900499999989</v>
      </c>
      <c r="C64" s="47">
        <f>'C1-Incomes'!AY38-'C1-Incomes'!AI38</f>
        <v>28794.762711999938</v>
      </c>
      <c r="D64" s="47">
        <f>'C1-Incomes'!AZ38-'C1-Incomes'!AJ38</f>
        <v>25085.663742000004</v>
      </c>
      <c r="E64" s="47">
        <f>'C1-Incomes'!BA38-'C1-Incomes'!AK38</f>
        <v>16625.63326199993</v>
      </c>
      <c r="F64" s="47">
        <f>'C1-Incomes'!BB38-'C1-Incomes'!AL38</f>
        <v>13409.959081999958</v>
      </c>
      <c r="G64" s="47">
        <f>'C1-Incomes'!BC38-'C1-Incomes'!AM38</f>
        <v>7031.4666819999693</v>
      </c>
      <c r="H64" s="47">
        <f>'C1-Incomes'!BD38-'C1-Incomes'!AN38</f>
        <v>2446.7195419999989</v>
      </c>
      <c r="I64" s="47"/>
      <c r="J64" s="47"/>
      <c r="K64" s="186">
        <f t="shared" si="4"/>
        <v>0.7198888557449209</v>
      </c>
      <c r="L64" s="186">
        <f t="shared" si="5"/>
        <v>0.62715883257841076</v>
      </c>
      <c r="M64" s="186">
        <f t="shared" si="6"/>
        <v>0.41565225679140694</v>
      </c>
      <c r="N64" s="186">
        <f t="shared" si="7"/>
        <v>0.33525819245956429</v>
      </c>
      <c r="O64" s="186">
        <f t="shared" si="8"/>
        <v>0.17579149911883132</v>
      </c>
      <c r="P64" s="186">
        <f t="shared" si="9"/>
        <v>6.1169669951302776E-2</v>
      </c>
    </row>
    <row r="65" spans="1:16" ht="13.5" customHeight="1" x14ac:dyDescent="0.3">
      <c r="A65" s="48">
        <v>1991</v>
      </c>
      <c r="B65" s="47">
        <f>'C1-Incomes'!AX39-'C1-Incomes'!AH39</f>
        <v>42831.252599999774</v>
      </c>
      <c r="C65" s="47">
        <f>'C1-Incomes'!AY39-'C1-Incomes'!AI39</f>
        <v>30670.120706000132</v>
      </c>
      <c r="D65" s="47">
        <f>'C1-Incomes'!AZ39-'C1-Incomes'!AJ39</f>
        <v>26864.314265999943</v>
      </c>
      <c r="E65" s="47">
        <f>'C1-Incomes'!BA39-'C1-Incomes'!AK39</f>
        <v>18416.663095999975</v>
      </c>
      <c r="F65" s="47">
        <f>'C1-Incomes'!BB39-'C1-Incomes'!AL39</f>
        <v>14874.40856599994</v>
      </c>
      <c r="G65" s="47">
        <f>'C1-Incomes'!BC39-'C1-Incomes'!AM39</f>
        <v>8277.0272160000168</v>
      </c>
      <c r="H65" s="47">
        <f>'C1-Incomes'!BD39-'C1-Incomes'!AN39</f>
        <v>2976.0197350000017</v>
      </c>
      <c r="I65" s="47"/>
      <c r="J65" s="47"/>
      <c r="K65" s="186">
        <f t="shared" si="4"/>
        <v>0.71606873122361814</v>
      </c>
      <c r="L65" s="186">
        <f t="shared" si="5"/>
        <v>0.62721290261775076</v>
      </c>
      <c r="M65" s="186">
        <f t="shared" si="6"/>
        <v>0.42998189354845234</v>
      </c>
      <c r="N65" s="186">
        <f t="shared" si="7"/>
        <v>0.34727932673162165</v>
      </c>
      <c r="O65" s="186">
        <f t="shared" si="8"/>
        <v>0.19324737693989505</v>
      </c>
      <c r="P65" s="186">
        <f t="shared" si="9"/>
        <v>6.9482435239356446E-2</v>
      </c>
    </row>
    <row r="66" spans="1:16" ht="13.5" customHeight="1" x14ac:dyDescent="0.3">
      <c r="A66" s="48">
        <v>1992</v>
      </c>
      <c r="B66" s="47">
        <f>'C1-Incomes'!AX40-'C1-Incomes'!AH40</f>
        <v>45432.32070000004</v>
      </c>
      <c r="C66" s="47">
        <f>'C1-Incomes'!AY40-'C1-Incomes'!AI40</f>
        <v>31317.913713999791</v>
      </c>
      <c r="D66" s="47">
        <f>'C1-Incomes'!AZ40-'C1-Incomes'!AJ40</f>
        <v>26464.607354000094</v>
      </c>
      <c r="E66" s="47">
        <f>'C1-Incomes'!BA40-'C1-Incomes'!AK40</f>
        <v>17714.033823999984</v>
      </c>
      <c r="F66" s="47">
        <f>'C1-Incomes'!BB40-'C1-Incomes'!AL40</f>
        <v>14446.383794000023</v>
      </c>
      <c r="G66" s="47">
        <f>'C1-Incomes'!BC40-'C1-Incomes'!AM40</f>
        <v>7637.6618140000501</v>
      </c>
      <c r="H66" s="47">
        <f>'C1-Incomes'!BD40-'C1-Incomes'!AN40</f>
        <v>2544.4451440000121</v>
      </c>
      <c r="I66" s="47"/>
      <c r="J66" s="47"/>
      <c r="K66" s="186">
        <f t="shared" si="4"/>
        <v>0.6893311464496632</v>
      </c>
      <c r="L66" s="186">
        <f t="shared" si="5"/>
        <v>0.58250617503675239</v>
      </c>
      <c r="M66" s="186">
        <f t="shared" si="6"/>
        <v>0.38989938332601987</v>
      </c>
      <c r="N66" s="186">
        <f t="shared" si="7"/>
        <v>0.31797591607509518</v>
      </c>
      <c r="O66" s="186">
        <f t="shared" si="8"/>
        <v>0.16811075675471809</v>
      </c>
      <c r="P66" s="186">
        <f t="shared" si="9"/>
        <v>5.6005176596669204E-2</v>
      </c>
    </row>
    <row r="67" spans="1:16" ht="13.5" customHeight="1" x14ac:dyDescent="0.3">
      <c r="A67" s="48">
        <v>1993</v>
      </c>
      <c r="B67" s="47">
        <f>'C1-Incomes'!AX41-'C1-Incomes'!AH41</f>
        <v>46170.306799999904</v>
      </c>
      <c r="C67" s="47">
        <f>'C1-Incomes'!AY41-'C1-Incomes'!AI41</f>
        <v>30846.079758000327</v>
      </c>
      <c r="D67" s="47">
        <f>'C1-Incomes'!AZ41-'C1-Incomes'!AJ41</f>
        <v>26966.801207999932</v>
      </c>
      <c r="E67" s="47">
        <f>'C1-Incomes'!BA41-'C1-Incomes'!AK41</f>
        <v>17457.688827999984</v>
      </c>
      <c r="F67" s="47">
        <f>'C1-Incomes'!BB41-'C1-Incomes'!AL41</f>
        <v>14165.408708000032</v>
      </c>
      <c r="G67" s="47">
        <f>'C1-Incomes'!BC41-'C1-Incomes'!AM41</f>
        <v>7724.7801479999907</v>
      </c>
      <c r="H67" s="47">
        <f>'C1-Incomes'!BD41-'C1-Incomes'!AN41</f>
        <v>2671.3742879999991</v>
      </c>
      <c r="I67" s="47"/>
      <c r="J67" s="47"/>
      <c r="K67" s="186">
        <f t="shared" si="4"/>
        <v>0.66809345434110023</v>
      </c>
      <c r="L67" s="186">
        <f t="shared" si="5"/>
        <v>0.58407238498142244</v>
      </c>
      <c r="M67" s="186">
        <f t="shared" si="6"/>
        <v>0.37811507087494639</v>
      </c>
      <c r="N67" s="186">
        <f t="shared" si="7"/>
        <v>0.30680776650156594</v>
      </c>
      <c r="O67" s="186">
        <f t="shared" si="8"/>
        <v>0.16731056567291441</v>
      </c>
      <c r="P67" s="186">
        <f t="shared" si="9"/>
        <v>5.7859140931677863E-2</v>
      </c>
    </row>
    <row r="68" spans="1:16" ht="13.5" customHeight="1" x14ac:dyDescent="0.3">
      <c r="A68" s="48">
        <v>1994</v>
      </c>
      <c r="B68" s="47">
        <f>'C1-Incomes'!AX42-'C1-Incomes'!AH42</f>
        <v>47907.045599999838</v>
      </c>
      <c r="C68" s="47">
        <f>'C1-Incomes'!AY42-'C1-Incomes'!AI42</f>
        <v>31161.584927999415</v>
      </c>
      <c r="D68" s="47">
        <f>'C1-Incomes'!AZ42-'C1-Incomes'!AJ42</f>
        <v>27510.651807999937</v>
      </c>
      <c r="E68" s="47">
        <f>'C1-Incomes'!BA42-'C1-Incomes'!AK42</f>
        <v>18274.391167999944</v>
      </c>
      <c r="F68" s="47">
        <f>'C1-Incomes'!BB42-'C1-Incomes'!AL42</f>
        <v>14620.288468000013</v>
      </c>
      <c r="G68" s="47">
        <f>'C1-Incomes'!BC42-'C1-Incomes'!AM42</f>
        <v>8140.7800779999816</v>
      </c>
      <c r="H68" s="47">
        <f>'C1-Incomes'!BD42-'C1-Incomes'!AN42</f>
        <v>2818.4184879999957</v>
      </c>
      <c r="I68" s="47"/>
      <c r="J68" s="47"/>
      <c r="K68" s="186">
        <f t="shared" si="4"/>
        <v>0.6504593330213525</v>
      </c>
      <c r="L68" s="186">
        <f t="shared" si="5"/>
        <v>0.57425064441878315</v>
      </c>
      <c r="M68" s="186">
        <f t="shared" si="6"/>
        <v>0.38145518971430803</v>
      </c>
      <c r="N68" s="186">
        <f t="shared" si="7"/>
        <v>0.30518034007089895</v>
      </c>
      <c r="O68" s="186">
        <f t="shared" si="8"/>
        <v>0.16992866030544804</v>
      </c>
      <c r="P68" s="186">
        <f t="shared" si="9"/>
        <v>5.8830980969529989E-2</v>
      </c>
    </row>
    <row r="69" spans="1:16" ht="13.5" customHeight="1" x14ac:dyDescent="0.3">
      <c r="A69" s="48">
        <v>1995</v>
      </c>
      <c r="B69" s="47">
        <f>'C1-Incomes'!AX43-'C1-Incomes'!AH43</f>
        <v>48054.643000000156</v>
      </c>
      <c r="C69" s="47">
        <f>'C1-Incomes'!AY43-'C1-Incomes'!AI43</f>
        <v>31988.179693000158</v>
      </c>
      <c r="D69" s="47">
        <f>'C1-Incomes'!AZ43-'C1-Incomes'!AJ43</f>
        <v>28274.655653000111</v>
      </c>
      <c r="E69" s="47">
        <f>'C1-Incomes'!BA43-'C1-Incomes'!AK43</f>
        <v>19268.142002999899</v>
      </c>
      <c r="F69" s="47">
        <f>'C1-Incomes'!BB43-'C1-Incomes'!AL43</f>
        <v>15532.534723000019</v>
      </c>
      <c r="G69" s="47">
        <f>'C1-Incomes'!BC43-'C1-Incomes'!AM43</f>
        <v>8755.9298629999976</v>
      </c>
      <c r="H69" s="47">
        <f>'C1-Incomes'!BD43-'C1-Incomes'!AN43</f>
        <v>3030.5927430000011</v>
      </c>
      <c r="I69" s="47"/>
      <c r="J69" s="47"/>
      <c r="K69" s="186">
        <f t="shared" si="4"/>
        <v>0.66566262271473031</v>
      </c>
      <c r="L69" s="186">
        <f t="shared" si="5"/>
        <v>0.58838551049063081</v>
      </c>
      <c r="M69" s="186">
        <f t="shared" si="6"/>
        <v>0.40096317026015232</v>
      </c>
      <c r="N69" s="186">
        <f t="shared" si="7"/>
        <v>0.32322651367943717</v>
      </c>
      <c r="O69" s="186">
        <f t="shared" si="8"/>
        <v>0.18220778090058787</v>
      </c>
      <c r="P69" s="186">
        <f t="shared" si="9"/>
        <v>6.3065555247179578E-2</v>
      </c>
    </row>
    <row r="70" spans="1:16" ht="13.5" customHeight="1" x14ac:dyDescent="0.3">
      <c r="A70" s="48">
        <v>1996</v>
      </c>
      <c r="B70" s="47">
        <f>'C1-Incomes'!AX44-'C1-Incomes'!AH44</f>
        <v>47808.969299999997</v>
      </c>
      <c r="C70" s="47">
        <f>'C1-Incomes'!AY44-'C1-Incomes'!AI44</f>
        <v>33818.739312000107</v>
      </c>
      <c r="D70" s="47">
        <f>'C1-Incomes'!AZ44-'C1-Incomes'!AJ44</f>
        <v>29637.904672000092</v>
      </c>
      <c r="E70" s="47">
        <f>'C1-Incomes'!BA44-'C1-Incomes'!AK44</f>
        <v>19876.647101999843</v>
      </c>
      <c r="F70" s="47">
        <f>'C1-Incomes'!BB44-'C1-Incomes'!AL44</f>
        <v>15876.745412000048</v>
      </c>
      <c r="G70" s="47">
        <f>'C1-Incomes'!BC44-'C1-Incomes'!AM44</f>
        <v>8872.2315219999873</v>
      </c>
      <c r="H70" s="47">
        <f>'C1-Incomes'!BD44-'C1-Incomes'!AN44</f>
        <v>3108.6062919999968</v>
      </c>
      <c r="I70" s="47"/>
      <c r="J70" s="47"/>
      <c r="K70" s="186">
        <f t="shared" si="4"/>
        <v>0.70737227359553445</v>
      </c>
      <c r="L70" s="186">
        <f t="shared" si="5"/>
        <v>0.61992352284407215</v>
      </c>
      <c r="M70" s="186">
        <f t="shared" si="6"/>
        <v>0.41575142474363785</v>
      </c>
      <c r="N70" s="186">
        <f t="shared" si="7"/>
        <v>0.33208717201941534</v>
      </c>
      <c r="O70" s="186">
        <f t="shared" si="8"/>
        <v>0.18557671608285409</v>
      </c>
      <c r="P70" s="186">
        <f t="shared" si="9"/>
        <v>6.5021403672051073E-2</v>
      </c>
    </row>
    <row r="71" spans="1:16" ht="13.5" customHeight="1" x14ac:dyDescent="0.3">
      <c r="A71" s="48">
        <v>1997</v>
      </c>
      <c r="B71" s="47">
        <f>'C1-Incomes'!AX45-'C1-Incomes'!AH45</f>
        <v>48519.344800000079</v>
      </c>
      <c r="C71" s="47">
        <f>'C1-Incomes'!AY45-'C1-Incomes'!AI45</f>
        <v>34157.982189999893</v>
      </c>
      <c r="D71" s="47">
        <f>'C1-Incomes'!AZ45-'C1-Incomes'!AJ45</f>
        <v>29732.273449999979</v>
      </c>
      <c r="E71" s="47">
        <f>'C1-Incomes'!BA45-'C1-Incomes'!AK45</f>
        <v>20030.677370000049</v>
      </c>
      <c r="F71" s="47">
        <f>'C1-Incomes'!BB45-'C1-Incomes'!AL45</f>
        <v>16220.819429999916</v>
      </c>
      <c r="G71" s="47">
        <f>'C1-Incomes'!BC45-'C1-Incomes'!AM45</f>
        <v>9136.979560000007</v>
      </c>
      <c r="H71" s="47">
        <f>'C1-Incomes'!BD45-'C1-Incomes'!AN45</f>
        <v>3314.3746499999979</v>
      </c>
      <c r="I71" s="47"/>
      <c r="J71" s="47"/>
      <c r="K71" s="186">
        <f t="shared" si="4"/>
        <v>0.70400749084311287</v>
      </c>
      <c r="L71" s="186">
        <f t="shared" si="5"/>
        <v>0.61279214656666037</v>
      </c>
      <c r="M71" s="186">
        <f t="shared" si="6"/>
        <v>0.4128389913872047</v>
      </c>
      <c r="N71" s="186">
        <f t="shared" si="7"/>
        <v>0.33431653903949438</v>
      </c>
      <c r="O71" s="186">
        <f t="shared" si="8"/>
        <v>0.18831621897746634</v>
      </c>
      <c r="P71" s="186">
        <f t="shared" si="9"/>
        <v>6.831037524645206E-2</v>
      </c>
    </row>
    <row r="72" spans="1:16" ht="13.5" customHeight="1" x14ac:dyDescent="0.3">
      <c r="A72" s="48">
        <v>1998</v>
      </c>
      <c r="B72" s="47">
        <f>'C1-Incomes'!AX46-'C1-Incomes'!AH46</f>
        <v>49719.133300000802</v>
      </c>
      <c r="C72" s="47">
        <f>'C1-Incomes'!AY46-'C1-Incomes'!AI46</f>
        <v>35589.660320000025</v>
      </c>
      <c r="D72" s="47">
        <f>'C1-Incomes'!AZ46-'C1-Incomes'!AJ46</f>
        <v>31562.180930000031</v>
      </c>
      <c r="E72" s="47">
        <f>'C1-Incomes'!BA46-'C1-Incomes'!AK46</f>
        <v>21634.788120000041</v>
      </c>
      <c r="F72" s="47">
        <f>'C1-Incomes'!BB46-'C1-Incomes'!AL46</f>
        <v>17478.962419999996</v>
      </c>
      <c r="G72" s="47">
        <f>'C1-Incomes'!BC46-'C1-Incomes'!AM46</f>
        <v>9747.2017599999672</v>
      </c>
      <c r="H72" s="47">
        <f>'C1-Incomes'!BD46-'C1-Incomes'!AN46</f>
        <v>3466.5437099999981</v>
      </c>
      <c r="I72" s="47"/>
      <c r="J72" s="47"/>
      <c r="K72" s="186">
        <f t="shared" si="4"/>
        <v>0.7158141736955711</v>
      </c>
      <c r="L72" s="186">
        <f t="shared" si="5"/>
        <v>0.63480955590188304</v>
      </c>
      <c r="M72" s="186">
        <f t="shared" si="6"/>
        <v>0.4351400896201803</v>
      </c>
      <c r="N72" s="186">
        <f t="shared" si="7"/>
        <v>0.35155404488918784</v>
      </c>
      <c r="O72" s="186">
        <f t="shared" si="8"/>
        <v>0.19604528705651855</v>
      </c>
      <c r="P72" s="186">
        <f t="shared" si="9"/>
        <v>6.9722528932336436E-2</v>
      </c>
    </row>
    <row r="73" spans="1:16" ht="13.5" customHeight="1" x14ac:dyDescent="0.3">
      <c r="A73" s="48">
        <v>1999</v>
      </c>
      <c r="B73" s="47">
        <f>'C1-Incomes'!AX47-'C1-Incomes'!AH47</f>
        <v>52563.415099999867</v>
      </c>
      <c r="C73" s="47">
        <f>'C1-Incomes'!AY47-'C1-Incomes'!AI47</f>
        <v>37411.79272999987</v>
      </c>
      <c r="D73" s="47">
        <f>'C1-Incomes'!AZ47-'C1-Incomes'!AJ47</f>
        <v>33107.225530000404</v>
      </c>
      <c r="E73" s="47">
        <f>'C1-Incomes'!BA47-'C1-Incomes'!AK47</f>
        <v>23048.506749999942</v>
      </c>
      <c r="F73" s="47">
        <f>'C1-Incomes'!BB47-'C1-Incomes'!AL47</f>
        <v>18874.757189999917</v>
      </c>
      <c r="G73" s="47">
        <f>'C1-Incomes'!BC47-'C1-Incomes'!AM47</f>
        <v>10564.711920000031</v>
      </c>
      <c r="H73" s="47">
        <f>'C1-Incomes'!BD47-'C1-Incomes'!AN47</f>
        <v>3675.6771700000099</v>
      </c>
      <c r="I73" s="47"/>
      <c r="J73" s="47"/>
      <c r="K73" s="186">
        <f t="shared" si="4"/>
        <v>0.711745853248412</v>
      </c>
      <c r="L73" s="186">
        <f t="shared" si="5"/>
        <v>0.62985301596205623</v>
      </c>
      <c r="M73" s="186">
        <f t="shared" si="6"/>
        <v>0.43848952177386208</v>
      </c>
      <c r="N73" s="186">
        <f t="shared" si="7"/>
        <v>0.35908544287108096</v>
      </c>
      <c r="O73" s="186">
        <f t="shared" si="8"/>
        <v>0.20098983104315185</v>
      </c>
      <c r="P73" s="186">
        <f t="shared" si="9"/>
        <v>6.9928431457643617E-2</v>
      </c>
    </row>
    <row r="74" spans="1:16" ht="13.5" customHeight="1" x14ac:dyDescent="0.3">
      <c r="A74" s="48">
        <v>2000</v>
      </c>
      <c r="B74" s="47">
        <f>'C1-Incomes'!AX48-'C1-Incomes'!AH48</f>
        <v>54136.454999999143</v>
      </c>
      <c r="C74" s="47">
        <f>'C1-Incomes'!AY48-'C1-Incomes'!AI48</f>
        <v>39707.173739999998</v>
      </c>
      <c r="D74" s="47">
        <f>'C1-Incomes'!AZ48-'C1-Incomes'!AJ48</f>
        <v>35805.292100000195</v>
      </c>
      <c r="E74" s="47">
        <f>'C1-Incomes'!BA48-'C1-Incomes'!AK48</f>
        <v>25648.304059999995</v>
      </c>
      <c r="F74" s="47">
        <f>'C1-Incomes'!BB48-'C1-Incomes'!AL48</f>
        <v>21199.77489999996</v>
      </c>
      <c r="G74" s="47">
        <f>'C1-Incomes'!BC48-'C1-Incomes'!AM48</f>
        <v>12335.575119999936</v>
      </c>
      <c r="H74" s="47">
        <f>'C1-Incomes'!BD48-'C1-Incomes'!AN48</f>
        <v>4719.8686999999918</v>
      </c>
      <c r="I74" s="47"/>
      <c r="J74" s="47"/>
      <c r="K74" s="186">
        <f t="shared" si="4"/>
        <v>0.73346460790608892</v>
      </c>
      <c r="L74" s="186">
        <f t="shared" si="5"/>
        <v>0.66138966986295578</v>
      </c>
      <c r="M74" s="186">
        <f t="shared" si="6"/>
        <v>0.47377139969730936</v>
      </c>
      <c r="N74" s="186">
        <f t="shared" si="7"/>
        <v>0.39159887547125677</v>
      </c>
      <c r="O74" s="186">
        <f t="shared" si="8"/>
        <v>0.22786078475216248</v>
      </c>
      <c r="P74" s="186">
        <f t="shared" si="9"/>
        <v>8.7184665120759508E-2</v>
      </c>
    </row>
    <row r="75" spans="1:16" ht="13.5" customHeight="1" x14ac:dyDescent="0.3">
      <c r="A75" s="48">
        <v>2001</v>
      </c>
      <c r="B75" s="47">
        <f>'C1-Incomes'!AX49-'C1-Incomes'!AH49</f>
        <v>55163.395999999717</v>
      </c>
      <c r="C75" s="47">
        <f>'C1-Incomes'!AY49-'C1-Incomes'!AI49</f>
        <v>39057.942189999856</v>
      </c>
      <c r="D75" s="47">
        <f>'C1-Incomes'!AZ49-'C1-Incomes'!AJ49</f>
        <v>35569.689670000225</v>
      </c>
      <c r="E75" s="47">
        <f>'C1-Incomes'!BA49-'C1-Incomes'!AK49</f>
        <v>24580.512390000164</v>
      </c>
      <c r="F75" s="47">
        <f>'C1-Incomes'!BB49-'C1-Incomes'!AL49</f>
        <v>20510.133419999969</v>
      </c>
      <c r="G75" s="47">
        <f>'C1-Incomes'!BC49-'C1-Incomes'!AM49</f>
        <v>11802.210429999977</v>
      </c>
      <c r="H75" s="47">
        <f>'C1-Incomes'!BD49-'C1-Incomes'!AN49</f>
        <v>4442.3819000000076</v>
      </c>
      <c r="I75" s="47"/>
      <c r="J75" s="47"/>
      <c r="K75" s="186">
        <f t="shared" si="4"/>
        <v>0.70804092971361043</v>
      </c>
      <c r="L75" s="186">
        <f t="shared" si="5"/>
        <v>0.64480601720025377</v>
      </c>
      <c r="M75" s="186">
        <f t="shared" si="6"/>
        <v>0.44559461839514541</v>
      </c>
      <c r="N75" s="186">
        <f t="shared" si="7"/>
        <v>0.37180693915218843</v>
      </c>
      <c r="O75" s="186">
        <f t="shared" si="8"/>
        <v>0.21395003364187437</v>
      </c>
      <c r="P75" s="186">
        <f t="shared" si="9"/>
        <v>8.0531334582809769E-2</v>
      </c>
    </row>
    <row r="76" spans="1:16" ht="13.5" customHeight="1" x14ac:dyDescent="0.3">
      <c r="A76" s="48">
        <v>2002</v>
      </c>
      <c r="B76" s="47">
        <f>'C1-Incomes'!AX50-'C1-Incomes'!AH50</f>
        <v>54009.674599999562</v>
      </c>
      <c r="C76" s="47">
        <f>'C1-Incomes'!AY50-'C1-Incomes'!AI50</f>
        <v>37803.195599999744</v>
      </c>
      <c r="D76" s="47">
        <f>'C1-Incomes'!AZ50-'C1-Incomes'!AJ50</f>
        <v>33578.67109999992</v>
      </c>
      <c r="E76" s="47">
        <f>'C1-Incomes'!BA50-'C1-Incomes'!AK50</f>
        <v>23454.841870000004</v>
      </c>
      <c r="F76" s="47">
        <f>'C1-Incomes'!BB50-'C1-Incomes'!AL50</f>
        <v>19433.619290000061</v>
      </c>
      <c r="G76" s="47">
        <f>'C1-Incomes'!BC50-'C1-Incomes'!AM50</f>
        <v>11326.187930000015</v>
      </c>
      <c r="H76" s="47">
        <f>'C1-Incomes'!BD50-'C1-Incomes'!AN50</f>
        <v>4258.0869400000083</v>
      </c>
      <c r="I76" s="47"/>
      <c r="J76" s="47"/>
      <c r="K76" s="186">
        <f t="shared" si="4"/>
        <v>0.69993377816055291</v>
      </c>
      <c r="L76" s="186">
        <f t="shared" si="5"/>
        <v>0.6217158564402866</v>
      </c>
      <c r="M76" s="186">
        <f t="shared" si="6"/>
        <v>0.43427111982637634</v>
      </c>
      <c r="N76" s="186">
        <f t="shared" si="7"/>
        <v>0.35981737408949727</v>
      </c>
      <c r="O76" s="186">
        <f t="shared" si="8"/>
        <v>0.20970665003784539</v>
      </c>
      <c r="P76" s="186">
        <f t="shared" si="9"/>
        <v>7.8839337054625452E-2</v>
      </c>
    </row>
    <row r="77" spans="1:16" ht="13.5" customHeight="1" x14ac:dyDescent="0.3">
      <c r="A77" s="48">
        <v>2003</v>
      </c>
      <c r="B77" s="47">
        <f>'C1-Incomes'!AX51-'C1-Incomes'!AH51</f>
        <v>53247.164200000465</v>
      </c>
      <c r="C77" s="47">
        <f>'C1-Incomes'!AY51-'C1-Incomes'!AI51</f>
        <v>36340.564980000257</v>
      </c>
      <c r="D77" s="47">
        <f>'C1-Incomes'!AZ51-'C1-Incomes'!AJ51</f>
        <v>32882.782629999798</v>
      </c>
      <c r="E77" s="47">
        <f>'C1-Incomes'!BA51-'C1-Incomes'!AK51</f>
        <v>23437.503600000055</v>
      </c>
      <c r="F77" s="47">
        <f>'C1-Incomes'!BB51-'C1-Incomes'!AL51</f>
        <v>19326.727369999979</v>
      </c>
      <c r="G77" s="47">
        <f>'C1-Incomes'!BC51-'C1-Incomes'!AM51</f>
        <v>11085.231719999923</v>
      </c>
      <c r="H77" s="47">
        <f>'C1-Incomes'!BD51-'C1-Incomes'!AN51</f>
        <v>4216.0647600000084</v>
      </c>
      <c r="I77" s="47"/>
      <c r="J77" s="47"/>
      <c r="K77" s="186">
        <f t="shared" si="4"/>
        <v>0.68248827005138313</v>
      </c>
      <c r="L77" s="186">
        <f t="shared" si="5"/>
        <v>0.61754993198303532</v>
      </c>
      <c r="M77" s="186">
        <f t="shared" si="6"/>
        <v>0.44016435339104593</v>
      </c>
      <c r="N77" s="186">
        <f t="shared" si="7"/>
        <v>0.36296256637080798</v>
      </c>
      <c r="O77" s="186">
        <f t="shared" si="8"/>
        <v>0.20818445238441124</v>
      </c>
      <c r="P77" s="186">
        <f t="shared" si="9"/>
        <v>7.9179141712864623E-2</v>
      </c>
    </row>
    <row r="78" spans="1:16" ht="13.5" customHeight="1" x14ac:dyDescent="0.3">
      <c r="A78" s="48">
        <v>2004</v>
      </c>
      <c r="B78" s="47">
        <f>'C1-Incomes'!AX52-'C1-Incomes'!AH52</f>
        <v>51527.714399999939</v>
      </c>
      <c r="C78" s="47">
        <f>'C1-Incomes'!AY52-'C1-Incomes'!AI52</f>
        <v>36378.363649999723</v>
      </c>
      <c r="D78" s="47">
        <f>'C1-Incomes'!AZ52-'C1-Incomes'!AJ52</f>
        <v>32859.634249999421</v>
      </c>
      <c r="E78" s="47">
        <f>'C1-Incomes'!BA52-'C1-Incomes'!AK52</f>
        <v>23539.847539999755</v>
      </c>
      <c r="F78" s="47">
        <f>'C1-Incomes'!BB52-'C1-Incomes'!AL52</f>
        <v>19138.066089999978</v>
      </c>
      <c r="G78" s="47">
        <f>'C1-Incomes'!BC52-'C1-Incomes'!AM52</f>
        <v>10931.746649999986</v>
      </c>
      <c r="H78" s="47">
        <f>'C1-Incomes'!BD52-'C1-Incomes'!AN52</f>
        <v>4225.694359999994</v>
      </c>
      <c r="I78" s="47"/>
      <c r="J78" s="47"/>
      <c r="K78" s="186">
        <f t="shared" si="4"/>
        <v>0.70599606587634256</v>
      </c>
      <c r="L78" s="186">
        <f t="shared" si="5"/>
        <v>0.63770797196468432</v>
      </c>
      <c r="M78" s="186">
        <f t="shared" si="6"/>
        <v>0.4568385734570789</v>
      </c>
      <c r="N78" s="186">
        <f t="shared" si="7"/>
        <v>0.37141306019193432</v>
      </c>
      <c r="O78" s="186">
        <f t="shared" si="8"/>
        <v>0.21215275657559535</v>
      </c>
      <c r="P78" s="186">
        <f t="shared" si="9"/>
        <v>8.2008185482412913E-2</v>
      </c>
    </row>
    <row r="79" spans="1:16" ht="13.5" customHeight="1" x14ac:dyDescent="0.3">
      <c r="A79" s="48">
        <v>2005</v>
      </c>
      <c r="B79" s="47">
        <f>'C1-Incomes'!AX53-'C1-Incomes'!AH53</f>
        <v>57010.428700000048</v>
      </c>
      <c r="C79" s="47">
        <f>'C1-Incomes'!AY53-'C1-Incomes'!AI53</f>
        <v>41622.221319999546</v>
      </c>
      <c r="D79" s="47">
        <f>'C1-Incomes'!AZ53-'C1-Incomes'!AJ53</f>
        <v>37439.234989999793</v>
      </c>
      <c r="E79" s="47">
        <f>'C1-Incomes'!BA53-'C1-Incomes'!AK53</f>
        <v>27273.336189999944</v>
      </c>
      <c r="F79" s="47">
        <f>'C1-Incomes'!BB53-'C1-Incomes'!AL53</f>
        <v>22313.326750000007</v>
      </c>
      <c r="G79" s="47">
        <f>'C1-Incomes'!BC53-'C1-Incomes'!AM53</f>
        <v>13415.619629999972</v>
      </c>
      <c r="H79" s="47">
        <f>'C1-Incomes'!BD53-'C1-Incomes'!AN53</f>
        <v>5407.4085100000084</v>
      </c>
      <c r="I79" s="47"/>
      <c r="J79" s="47"/>
      <c r="K79" s="186">
        <f t="shared" si="4"/>
        <v>0.73008083378961697</v>
      </c>
      <c r="L79" s="186">
        <f t="shared" si="5"/>
        <v>0.65670853287233322</v>
      </c>
      <c r="M79" s="186">
        <f t="shared" si="6"/>
        <v>0.47839205583802108</v>
      </c>
      <c r="N79" s="186">
        <f t="shared" si="7"/>
        <v>0.3913902641816126</v>
      </c>
      <c r="O79" s="186">
        <f t="shared" si="8"/>
        <v>0.23531869406903724</v>
      </c>
      <c r="P79" s="186">
        <f t="shared" si="9"/>
        <v>9.4849462340563032E-2</v>
      </c>
    </row>
    <row r="80" spans="1:16" ht="13.5" customHeight="1" x14ac:dyDescent="0.3">
      <c r="A80" s="48">
        <v>2006</v>
      </c>
      <c r="B80" s="47">
        <f>'C1-Incomes'!AX54-'C1-Incomes'!AH54</f>
        <v>72110.473799999803</v>
      </c>
      <c r="C80" s="47">
        <f>'C1-Incomes'!AY54-'C1-Incomes'!AI54</f>
        <v>53390.727780000307</v>
      </c>
      <c r="D80" s="47">
        <f>'C1-Incomes'!AZ54-'C1-Incomes'!AJ54</f>
        <v>48030.974380000029</v>
      </c>
      <c r="E80" s="47">
        <f>'C1-Incomes'!BA54-'C1-Incomes'!AK54</f>
        <v>35490.326179999858</v>
      </c>
      <c r="F80" s="47">
        <f>'C1-Incomes'!BB54-'C1-Incomes'!AL54</f>
        <v>29363.966299999971</v>
      </c>
      <c r="G80" s="47">
        <f>'C1-Incomes'!BC54-'C1-Incomes'!AM54</f>
        <v>17344.597189999884</v>
      </c>
      <c r="H80" s="47">
        <f>'C1-Incomes'!BD54-'C1-Incomes'!AN54</f>
        <v>6811.6323100000154</v>
      </c>
      <c r="I80" s="47"/>
      <c r="J80" s="47"/>
      <c r="K80" s="186">
        <f t="shared" si="4"/>
        <v>0.74040184409383891</v>
      </c>
      <c r="L80" s="186">
        <f t="shared" si="5"/>
        <v>0.66607486886322687</v>
      </c>
      <c r="M80" s="186">
        <f t="shared" si="6"/>
        <v>0.49216603788283464</v>
      </c>
      <c r="N80" s="186">
        <f t="shared" si="7"/>
        <v>0.4072080621941504</v>
      </c>
      <c r="O80" s="186">
        <f t="shared" si="8"/>
        <v>0.24052812685859695</v>
      </c>
      <c r="P80" s="186">
        <f t="shared" si="9"/>
        <v>9.4461067179952909E-2</v>
      </c>
    </row>
    <row r="81" spans="1:16" ht="13.5" customHeight="1" x14ac:dyDescent="0.3">
      <c r="A81" s="48">
        <v>2007</v>
      </c>
      <c r="B81" s="47">
        <f>'C1-Incomes'!AX55-'C1-Incomes'!AH55</f>
        <v>78511.321299999952</v>
      </c>
      <c r="C81" s="47">
        <f>'C1-Incomes'!AY55-'C1-Incomes'!AI55</f>
        <v>60753.632310000714</v>
      </c>
      <c r="D81" s="47">
        <f>'C1-Incomes'!AZ55-'C1-Incomes'!AJ55</f>
        <v>55409.54441000009</v>
      </c>
      <c r="E81" s="47">
        <f>'C1-Incomes'!BA55-'C1-Incomes'!AK55</f>
        <v>40620.189010000089</v>
      </c>
      <c r="F81" s="47">
        <f>'C1-Incomes'!BB55-'C1-Incomes'!AL55</f>
        <v>33622.865680000046</v>
      </c>
      <c r="G81" s="47">
        <f>'C1-Incomes'!BC55-'C1-Incomes'!AM55</f>
        <v>19925.967139999964</v>
      </c>
      <c r="H81" s="47">
        <f>'C1-Incomes'!BD55-'C1-Incomes'!AN55</f>
        <v>7803.4399199999752</v>
      </c>
      <c r="I81" s="47"/>
      <c r="J81" s="47"/>
      <c r="K81" s="186">
        <f t="shared" si="4"/>
        <v>0.7738200211642694</v>
      </c>
      <c r="L81" s="186">
        <f t="shared" si="5"/>
        <v>0.70575228505293441</v>
      </c>
      <c r="M81" s="186">
        <f t="shared" si="6"/>
        <v>0.51738002032580888</v>
      </c>
      <c r="N81" s="186">
        <f t="shared" si="7"/>
        <v>0.42825499715542381</v>
      </c>
      <c r="O81" s="186">
        <f t="shared" si="8"/>
        <v>0.25379737355152593</v>
      </c>
      <c r="P81" s="186">
        <f t="shared" si="9"/>
        <v>9.9392543531170705E-2</v>
      </c>
    </row>
    <row r="82" spans="1:16" ht="13.5" customHeight="1" x14ac:dyDescent="0.3">
      <c r="A82" s="48">
        <v>2008</v>
      </c>
      <c r="B82" s="47">
        <f>'C1-Incomes'!AX56-'C1-Incomes'!AH56</f>
        <v>79055.145900000818</v>
      </c>
      <c r="C82" s="47">
        <f>'C1-Incomes'!AY56-'C1-Incomes'!AI56</f>
        <v>58854.77517000027</v>
      </c>
      <c r="D82" s="47">
        <f>'C1-Incomes'!AZ56-'C1-Incomes'!AJ56</f>
        <v>52695.932330000214</v>
      </c>
      <c r="E82" s="47">
        <f>'C1-Incomes'!BA56-'C1-Incomes'!AK56</f>
        <v>39002.955829999875</v>
      </c>
      <c r="F82" s="47">
        <f>'C1-Incomes'!BB56-'C1-Incomes'!AL56</f>
        <v>31862.456619999837</v>
      </c>
      <c r="G82" s="47">
        <f>'C1-Incomes'!BC56-'C1-Incomes'!AM56</f>
        <v>18474.360600000131</v>
      </c>
      <c r="H82" s="47">
        <f>'C1-Incomes'!BD56-'C1-Incomes'!AN56</f>
        <v>6678.469070000021</v>
      </c>
      <c r="I82" s="47"/>
      <c r="J82" s="47"/>
      <c r="K82" s="186">
        <f t="shared" si="4"/>
        <v>0.74447747202247161</v>
      </c>
      <c r="L82" s="186">
        <f t="shared" si="5"/>
        <v>0.66657181806554189</v>
      </c>
      <c r="M82" s="186">
        <f t="shared" si="6"/>
        <v>0.49336390928094503</v>
      </c>
      <c r="N82" s="186">
        <f t="shared" si="7"/>
        <v>0.40304089325574827</v>
      </c>
      <c r="O82" s="186">
        <f t="shared" si="8"/>
        <v>0.23368953898799824</v>
      </c>
      <c r="P82" s="186">
        <f t="shared" si="9"/>
        <v>8.4478612922273433E-2</v>
      </c>
    </row>
    <row r="83" spans="1:16" ht="13.5" customHeight="1" x14ac:dyDescent="0.3">
      <c r="A83" s="48">
        <v>2009</v>
      </c>
      <c r="B83" s="47">
        <f>'C1-Incomes'!AX57-'C1-Incomes'!AH57</f>
        <v>73016.993400000036</v>
      </c>
      <c r="C83" s="47">
        <f>'C1-Incomes'!AY57-'C1-Incomes'!AI57</f>
        <v>51103.980319999624</v>
      </c>
      <c r="D83" s="47">
        <f>'C1-Incomes'!AZ57-'C1-Incomes'!AJ57</f>
        <v>45630.723109999672</v>
      </c>
      <c r="E83" s="47">
        <f>'C1-Incomes'!BA57-'C1-Incomes'!AK57</f>
        <v>32813.29571000021</v>
      </c>
      <c r="F83" s="47">
        <f>'C1-Incomes'!BB57-'C1-Incomes'!AL57</f>
        <v>26876.973870000103</v>
      </c>
      <c r="G83" s="47">
        <f>'C1-Incomes'!BC57-'C1-Incomes'!AM57</f>
        <v>15566.842369999969</v>
      </c>
      <c r="H83" s="47">
        <f>'C1-Incomes'!BD57-'C1-Incomes'!AN57</f>
        <v>5725.1002700000245</v>
      </c>
      <c r="I83" s="47"/>
      <c r="J83" s="47"/>
      <c r="K83" s="186">
        <f t="shared" si="4"/>
        <v>0.69989159975463466</v>
      </c>
      <c r="L83" s="186">
        <f t="shared" si="5"/>
        <v>0.62493292294338221</v>
      </c>
      <c r="M83" s="186">
        <f t="shared" si="6"/>
        <v>0.44939258906817975</v>
      </c>
      <c r="N83" s="186">
        <f t="shared" si="7"/>
        <v>0.36809203746261199</v>
      </c>
      <c r="O83" s="186">
        <f t="shared" si="8"/>
        <v>0.21319478720141277</v>
      </c>
      <c r="P83" s="186">
        <f t="shared" si="9"/>
        <v>7.8407778839056141E-2</v>
      </c>
    </row>
    <row r="84" spans="1:16" ht="13.5" customHeight="1" x14ac:dyDescent="0.3">
      <c r="A84" s="48">
        <v>2010</v>
      </c>
      <c r="B84" s="47">
        <f>'C1-Incomes'!AX58-'C1-Incomes'!AH58</f>
        <v>74526.420400000177</v>
      </c>
      <c r="C84" s="47">
        <f>'C1-Incomes'!AY58-'C1-Incomes'!AI58</f>
        <v>53137.652910000179</v>
      </c>
      <c r="D84" s="47">
        <f>'C1-Incomes'!AZ58-'C1-Incomes'!AJ58</f>
        <v>47624.983059999999</v>
      </c>
      <c r="E84" s="47">
        <f>'C1-Incomes'!BA58-'C1-Incomes'!AK58</f>
        <v>33535.579559999984</v>
      </c>
      <c r="F84" s="47">
        <f>'C1-Incomes'!BB58-'C1-Incomes'!AL58</f>
        <v>27541.320720000076</v>
      </c>
      <c r="G84" s="47">
        <f>'C1-Incomes'!BC58-'C1-Incomes'!AM58</f>
        <v>15914.233650000067</v>
      </c>
      <c r="H84" s="47">
        <f>'C1-Incomes'!BD58-'C1-Incomes'!AN58</f>
        <v>5715.0374799999991</v>
      </c>
      <c r="I84" s="47"/>
      <c r="J84" s="47"/>
      <c r="K84" s="186">
        <f t="shared" si="4"/>
        <v>0.71300422890027937</v>
      </c>
      <c r="L84" s="186">
        <f t="shared" si="5"/>
        <v>0.63903489265130309</v>
      </c>
      <c r="M84" s="186">
        <f t="shared" si="6"/>
        <v>0.44998242743991906</v>
      </c>
      <c r="N84" s="186">
        <f t="shared" si="7"/>
        <v>0.36955110110185851</v>
      </c>
      <c r="O84" s="186">
        <f t="shared" si="8"/>
        <v>0.21353814613106026</v>
      </c>
      <c r="P84" s="186">
        <f t="shared" si="9"/>
        <v>7.6684717303287867E-2</v>
      </c>
    </row>
    <row r="85" spans="1:16" ht="13.5" customHeight="1" x14ac:dyDescent="0.3">
      <c r="A85" s="48">
        <v>2011</v>
      </c>
      <c r="B85" s="47">
        <f>'C1-Incomes'!AX59-'C1-Incomes'!AH59</f>
        <v>72456.551300000399</v>
      </c>
      <c r="C85" s="47">
        <f>'C1-Incomes'!AY59-'C1-Incomes'!AI59</f>
        <v>51158.501339999028</v>
      </c>
      <c r="D85" s="47">
        <f>'C1-Incomes'!AZ59-'C1-Incomes'!AJ59</f>
        <v>45800.066039999481</v>
      </c>
      <c r="E85" s="47">
        <f>'C1-Incomes'!BA59-'C1-Incomes'!AK59</f>
        <v>32556.190840000054</v>
      </c>
      <c r="F85" s="47">
        <f>'C1-Incomes'!BB59-'C1-Incomes'!AL59</f>
        <v>26763.50821999996</v>
      </c>
      <c r="G85" s="47">
        <f>'C1-Incomes'!BC59-'C1-Incomes'!AM59</f>
        <v>15157.421050000004</v>
      </c>
      <c r="H85" s="47">
        <f>'C1-Incomes'!BD59-'C1-Incomes'!AN59</f>
        <v>5357.2515700000222</v>
      </c>
      <c r="I85" s="47"/>
      <c r="J85" s="47"/>
      <c r="K85" s="186">
        <f t="shared" si="4"/>
        <v>0.70605763622645323</v>
      </c>
      <c r="L85" s="186">
        <f t="shared" si="5"/>
        <v>0.63210386387792694</v>
      </c>
      <c r="M85" s="186">
        <f t="shared" si="6"/>
        <v>0.44932018231455456</v>
      </c>
      <c r="N85" s="186">
        <f t="shared" si="7"/>
        <v>0.36937320007390156</v>
      </c>
      <c r="O85" s="186">
        <f t="shared" si="8"/>
        <v>0.20919324447615437</v>
      </c>
      <c r="P85" s="186">
        <f t="shared" si="9"/>
        <v>7.3937435247487318E-2</v>
      </c>
    </row>
    <row r="86" spans="1:16" ht="13.5" customHeight="1" x14ac:dyDescent="0.3">
      <c r="A86" s="48">
        <v>2012</v>
      </c>
      <c r="B86" s="47">
        <f>'C1-Incomes'!AX60-'C1-Incomes'!AH60</f>
        <v>70495.430400000885</v>
      </c>
      <c r="C86" s="47">
        <f>'C1-Incomes'!AY60-'C1-Incomes'!AI60</f>
        <v>50455.155359999742</v>
      </c>
      <c r="D86" s="47">
        <f>'C1-Incomes'!AZ60-'C1-Incomes'!AJ60</f>
        <v>44624.023259999231</v>
      </c>
      <c r="E86" s="47">
        <f>'C1-Incomes'!BA60-'C1-Incomes'!AK60</f>
        <v>31896.388760000234</v>
      </c>
      <c r="F86" s="47">
        <f>'C1-Incomes'!BB60-'C1-Incomes'!AL60</f>
        <v>25986.874330000021</v>
      </c>
      <c r="G86" s="47">
        <f>'C1-Incomes'!BC60-'C1-Incomes'!AM60</f>
        <v>14513.679830000037</v>
      </c>
      <c r="H86" s="47">
        <f>'C1-Incomes'!BD60-'C1-Incomes'!AN60</f>
        <v>5181.8138199999812</v>
      </c>
      <c r="I86" s="47"/>
      <c r="J86" s="47"/>
      <c r="K86" s="186">
        <f t="shared" si="4"/>
        <v>0.71572235354419667</v>
      </c>
      <c r="L86" s="186">
        <f t="shared" si="5"/>
        <v>0.6330058984929422</v>
      </c>
      <c r="M86" s="186">
        <f t="shared" si="6"/>
        <v>0.45246037337478023</v>
      </c>
      <c r="N86" s="186">
        <f t="shared" si="7"/>
        <v>0.36863204015560835</v>
      </c>
      <c r="O86" s="186">
        <f t="shared" si="8"/>
        <v>0.20588114360955592</v>
      </c>
      <c r="P86" s="186">
        <f t="shared" si="9"/>
        <v>7.3505669666780502E-2</v>
      </c>
    </row>
    <row r="87" spans="1:16" ht="13.5" customHeight="1" x14ac:dyDescent="0.3">
      <c r="A87" s="48">
        <v>2013</v>
      </c>
      <c r="B87" s="47">
        <f>'C1-Incomes'!AX61-'C1-Incomes'!AH61</f>
        <v>67643.673900000751</v>
      </c>
      <c r="C87" s="47">
        <f>'C1-Incomes'!AY61-'C1-Incomes'!AI61</f>
        <v>48067.453699999955</v>
      </c>
      <c r="D87" s="47">
        <f>'C1-Incomes'!AZ61-'C1-Incomes'!AJ61</f>
        <v>42585.820800000336</v>
      </c>
      <c r="E87" s="47">
        <f>'C1-Incomes'!BA61-'C1-Incomes'!AK61</f>
        <v>29099.821299999952</v>
      </c>
      <c r="F87" s="47">
        <f>'C1-Incomes'!BB61-'C1-Incomes'!AL61</f>
        <v>23488.981780000031</v>
      </c>
      <c r="G87" s="47">
        <f>'C1-Incomes'!BC61-'C1-Incomes'!AM61</f>
        <v>13534.224220000091</v>
      </c>
      <c r="H87" s="47">
        <f>'C1-Incomes'!BD61-'C1-Incomes'!AN61</f>
        <v>4916.9281800000463</v>
      </c>
      <c r="I87" s="47"/>
      <c r="J87" s="47"/>
      <c r="K87" s="186">
        <f t="shared" si="4"/>
        <v>0.71059791594198762</v>
      </c>
      <c r="L87" s="186">
        <f t="shared" si="5"/>
        <v>0.62956102684422444</v>
      </c>
      <c r="M87" s="186">
        <f t="shared" si="6"/>
        <v>0.43019279737849409</v>
      </c>
      <c r="N87" s="186">
        <f t="shared" si="7"/>
        <v>0.34724580179847048</v>
      </c>
      <c r="O87" s="186">
        <f t="shared" si="8"/>
        <v>0.20008115230417639</v>
      </c>
      <c r="P87" s="186">
        <f t="shared" si="9"/>
        <v>7.2688662464857515E-2</v>
      </c>
    </row>
    <row r="88" spans="1:16" s="278" customFormat="1" ht="13.5" customHeight="1" x14ac:dyDescent="0.3">
      <c r="A88" s="48">
        <v>2014</v>
      </c>
      <c r="B88" s="47">
        <f>'C1-Incomes'!AX62-'C1-Incomes'!AH62</f>
        <v>62103.246800001711</v>
      </c>
      <c r="C88" s="47">
        <f>'C1-Incomes'!AY62-'C1-Incomes'!AI62</f>
        <v>44514.988660001196</v>
      </c>
      <c r="D88" s="47">
        <f>'C1-Incomes'!AZ62-'C1-Incomes'!AJ62</f>
        <v>39222.619360000361</v>
      </c>
      <c r="E88" s="47">
        <f>'C1-Incomes'!BA62-'C1-Incomes'!AK62</f>
        <v>26835.531559999799</v>
      </c>
      <c r="F88" s="47">
        <f>'C1-Incomes'!BB62-'C1-Incomes'!AL62</f>
        <v>21621.147719999775</v>
      </c>
      <c r="G88" s="47">
        <f>'C1-Incomes'!BC62-'C1-Incomes'!AM62</f>
        <v>12335.143799999962</v>
      </c>
      <c r="H88" s="47">
        <f>'C1-Incomes'!BD62-'C1-Incomes'!AN62</f>
        <v>4373.7271300000139</v>
      </c>
      <c r="I88" s="47"/>
      <c r="J88" s="47"/>
      <c r="K88" s="186">
        <f t="shared" ref="K88:P89" si="10">C88/$B88</f>
        <v>0.71679003842356226</v>
      </c>
      <c r="L88" s="186">
        <f t="shared" si="10"/>
        <v>0.63157115579340817</v>
      </c>
      <c r="M88" s="186">
        <f t="shared" si="10"/>
        <v>0.43211157133895711</v>
      </c>
      <c r="N88" s="186">
        <f t="shared" si="10"/>
        <v>0.34814842756335856</v>
      </c>
      <c r="O88" s="186">
        <f t="shared" si="10"/>
        <v>0.19862317085810757</v>
      </c>
      <c r="P88" s="186">
        <f t="shared" si="10"/>
        <v>7.0426706418188323E-2</v>
      </c>
    </row>
    <row r="89" spans="1:16" ht="13.5" customHeight="1" x14ac:dyDescent="0.3">
      <c r="A89" s="49">
        <v>2015</v>
      </c>
      <c r="B89" s="47">
        <f>'C1-Incomes'!AX63-'C1-Incomes'!AH63</f>
        <v>61330.374399999157</v>
      </c>
      <c r="C89" s="47">
        <f>'C1-Incomes'!AY63-'C1-Incomes'!AI63</f>
        <v>43414.341130000539</v>
      </c>
      <c r="D89" s="47">
        <f>'C1-Incomes'!AZ63-'C1-Incomes'!AJ63</f>
        <v>37916.399230000097</v>
      </c>
      <c r="E89" s="47">
        <f>'C1-Incomes'!BA63-'C1-Incomes'!AK63</f>
        <v>25904.057929999894</v>
      </c>
      <c r="F89" s="47">
        <f>'C1-Incomes'!BB63-'C1-Incomes'!AL63</f>
        <v>20868.589389999863</v>
      </c>
      <c r="G89" s="47">
        <f>'C1-Incomes'!BC63-'C1-Incomes'!AM63</f>
        <v>11537.301029999973</v>
      </c>
      <c r="H89" s="47">
        <f>'C1-Incomes'!BD63-'C1-Incomes'!AN63</f>
        <v>4166.2380199999898</v>
      </c>
      <c r="I89" s="47"/>
      <c r="J89" s="47"/>
      <c r="K89" s="186">
        <f t="shared" si="10"/>
        <v>0.70787666885661693</v>
      </c>
      <c r="L89" s="186">
        <f t="shared" si="10"/>
        <v>0.61823198702013171</v>
      </c>
      <c r="M89" s="186">
        <f t="shared" si="10"/>
        <v>0.422369147154599</v>
      </c>
      <c r="N89" s="186">
        <f t="shared" si="10"/>
        <v>0.34026515562898879</v>
      </c>
      <c r="O89" s="186">
        <f t="shared" si="10"/>
        <v>0.18811724439758404</v>
      </c>
      <c r="P89" s="186">
        <f t="shared" si="10"/>
        <v>6.7931071035497337E-2</v>
      </c>
    </row>
    <row r="90" spans="1:16" x14ac:dyDescent="0.3">
      <c r="A90" s="46"/>
      <c r="B90" s="23"/>
      <c r="C90" s="56"/>
      <c r="D90" s="56"/>
      <c r="E90" s="56"/>
      <c r="F90" s="56"/>
      <c r="G90" s="56"/>
      <c r="H90" s="56"/>
      <c r="I90" s="56"/>
      <c r="J90" s="56"/>
      <c r="K90" s="56"/>
      <c r="L90" s="56"/>
      <c r="M90" s="56"/>
      <c r="N90" s="56"/>
      <c r="O90" s="56"/>
      <c r="P90" s="56"/>
    </row>
  </sheetData>
  <mergeCells count="2">
    <mergeCell ref="B29:H29"/>
    <mergeCell ref="J29:P29"/>
  </mergeCells>
  <hyperlinks>
    <hyperlink ref="H1" location="Index!A1" display="Index"/>
  </hyperlink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7" tint="0.59999389629810485"/>
  </sheetPr>
  <dimension ref="A1:AO251"/>
  <sheetViews>
    <sheetView zoomScale="85" zoomScaleNormal="85" workbookViewId="0">
      <selection activeCell="AO33" sqref="AO33"/>
    </sheetView>
  </sheetViews>
  <sheetFormatPr defaultRowHeight="14.4" x14ac:dyDescent="0.3"/>
  <cols>
    <col min="1" max="1" width="9.88671875" customWidth="1"/>
    <col min="3" max="3" width="13.77734375" customWidth="1"/>
    <col min="5" max="5" width="15.77734375" customWidth="1"/>
    <col min="6" max="6" width="10.21875" bestFit="1" customWidth="1"/>
    <col min="7" max="7" width="8.88671875" customWidth="1"/>
    <col min="8" max="8" width="13.21875" customWidth="1"/>
    <col min="9" max="9" width="10.5546875" customWidth="1"/>
    <col min="10" max="10" width="16" customWidth="1"/>
    <col min="12" max="12" width="10.77734375" customWidth="1"/>
    <col min="14" max="14" width="11.5546875" customWidth="1"/>
    <col min="17" max="18" width="9.109375" customWidth="1"/>
    <col min="23" max="23" width="9.88671875" bestFit="1" customWidth="1"/>
    <col min="24" max="24" width="10.88671875" customWidth="1"/>
    <col min="30" max="30" width="3.21875" customWidth="1"/>
    <col min="31" max="31" width="14.88671875" customWidth="1"/>
    <col min="32" max="32" width="7.44140625" customWidth="1"/>
    <col min="33" max="33" width="11.21875" bestFit="1" customWidth="1"/>
    <col min="35" max="35" width="10.77734375" customWidth="1"/>
  </cols>
  <sheetData>
    <row r="1" spans="1:6" ht="15.6" x14ac:dyDescent="0.3">
      <c r="A1" s="75" t="s">
        <v>2055</v>
      </c>
      <c r="F1" s="463" t="s">
        <v>504</v>
      </c>
    </row>
    <row r="3" spans="1:6" s="1011" customFormat="1" x14ac:dyDescent="0.3"/>
    <row r="4" spans="1:6" s="1011" customFormat="1" x14ac:dyDescent="0.3"/>
    <row r="5" spans="1:6" s="1011" customFormat="1" x14ac:dyDescent="0.3"/>
    <row r="6" spans="1:6" s="1011" customFormat="1" x14ac:dyDescent="0.3"/>
    <row r="7" spans="1:6" s="1011" customFormat="1" x14ac:dyDescent="0.3"/>
    <row r="8" spans="1:6" s="1011" customFormat="1" x14ac:dyDescent="0.3"/>
    <row r="9" spans="1:6" s="1011" customFormat="1" x14ac:dyDescent="0.3"/>
    <row r="10" spans="1:6" s="1011" customFormat="1" x14ac:dyDescent="0.3"/>
    <row r="11" spans="1:6" s="1011" customFormat="1" x14ac:dyDescent="0.3"/>
    <row r="12" spans="1:6" s="1011" customFormat="1" x14ac:dyDescent="0.3"/>
    <row r="13" spans="1:6" s="1011" customFormat="1" x14ac:dyDescent="0.3"/>
    <row r="30" spans="1:41" x14ac:dyDescent="0.3">
      <c r="W30" s="72"/>
      <c r="X30" s="72"/>
      <c r="Y30" s="72"/>
      <c r="Z30" s="72"/>
      <c r="AA30" s="72"/>
      <c r="AB30" s="72"/>
      <c r="AC30" s="72"/>
    </row>
    <row r="31" spans="1:41" ht="15" customHeight="1" x14ac:dyDescent="0.3">
      <c r="A31" s="75" t="s">
        <v>1808</v>
      </c>
      <c r="W31" s="11"/>
      <c r="X31" s="11"/>
      <c r="Y31" s="11"/>
      <c r="Z31" s="11"/>
      <c r="AA31" s="11"/>
      <c r="AB31" s="11"/>
      <c r="AC31" s="11"/>
      <c r="AD31" s="11"/>
      <c r="AE31" s="11"/>
      <c r="AF31" s="11"/>
      <c r="AG31" s="11"/>
      <c r="AH31" s="11"/>
      <c r="AI31" s="11"/>
      <c r="AJ31" s="11"/>
      <c r="AK31" s="11"/>
      <c r="AL31" s="11"/>
      <c r="AM31" s="11"/>
    </row>
    <row r="32" spans="1:41" ht="16.5" customHeight="1" x14ac:dyDescent="0.3">
      <c r="B32" s="1011"/>
      <c r="C32" s="1011"/>
      <c r="D32" s="1011"/>
      <c r="E32" s="1011"/>
      <c r="F32" s="1011"/>
      <c r="G32" s="1391" t="s">
        <v>1877</v>
      </c>
      <c r="H32" s="1391"/>
      <c r="I32" s="1391"/>
      <c r="J32" s="1391"/>
      <c r="T32" s="75" t="s">
        <v>2076</v>
      </c>
      <c r="U32" s="75"/>
      <c r="W32" s="1374" t="s">
        <v>2181</v>
      </c>
      <c r="X32" s="1374"/>
      <c r="Y32" s="1374"/>
      <c r="Z32" s="1374"/>
      <c r="AA32" s="1374"/>
      <c r="AB32" s="1374"/>
      <c r="AC32" s="1374"/>
      <c r="AD32" s="760"/>
      <c r="AE32" s="1342" t="s">
        <v>2184</v>
      </c>
      <c r="AG32" s="1392" t="s">
        <v>2187</v>
      </c>
      <c r="AH32" s="1392"/>
      <c r="AI32" s="1392"/>
      <c r="AJ32" s="1392"/>
      <c r="AK32" s="1392"/>
      <c r="AL32" s="1392"/>
      <c r="AM32" s="1392"/>
      <c r="AO32" s="75" t="s">
        <v>2190</v>
      </c>
    </row>
    <row r="33" spans="1:41" ht="39.75" customHeight="1" x14ac:dyDescent="0.3">
      <c r="A33" s="1011"/>
      <c r="B33" s="425" t="s">
        <v>662</v>
      </c>
      <c r="C33" s="1181" t="s">
        <v>1458</v>
      </c>
      <c r="D33" s="425" t="s">
        <v>566</v>
      </c>
      <c r="E33" s="1181" t="s">
        <v>1844</v>
      </c>
      <c r="F33" s="1102"/>
      <c r="G33" s="425" t="s">
        <v>662</v>
      </c>
      <c r="H33" s="1181" t="s">
        <v>1458</v>
      </c>
      <c r="I33" s="425" t="s">
        <v>566</v>
      </c>
      <c r="J33" s="1181" t="s">
        <v>1844</v>
      </c>
      <c r="L33" s="1214" t="s">
        <v>1809</v>
      </c>
      <c r="M33" s="1215" t="s">
        <v>1810</v>
      </c>
      <c r="N33" s="1214" t="s">
        <v>1811</v>
      </c>
      <c r="Q33" s="1181" t="s">
        <v>1896</v>
      </c>
      <c r="R33" s="1181" t="s">
        <v>1897</v>
      </c>
      <c r="T33" s="425" t="s">
        <v>662</v>
      </c>
      <c r="U33" s="425" t="s">
        <v>566</v>
      </c>
      <c r="W33" s="1214" t="s">
        <v>594</v>
      </c>
      <c r="X33" s="1214" t="s">
        <v>2178</v>
      </c>
      <c r="Y33" s="1214" t="s">
        <v>2179</v>
      </c>
      <c r="Z33" s="1214" t="s">
        <v>565</v>
      </c>
      <c r="AA33" s="1214" t="s">
        <v>507</v>
      </c>
      <c r="AB33" s="1214" t="s">
        <v>1731</v>
      </c>
      <c r="AC33" s="1214" t="s">
        <v>2180</v>
      </c>
      <c r="AD33" s="1340"/>
      <c r="AE33" s="1181" t="s">
        <v>2183</v>
      </c>
      <c r="AG33" s="1214" t="s">
        <v>246</v>
      </c>
      <c r="AH33" s="1214" t="s">
        <v>594</v>
      </c>
      <c r="AI33" s="1214" t="s">
        <v>2178</v>
      </c>
      <c r="AJ33" s="1214" t="s">
        <v>2179</v>
      </c>
      <c r="AK33" s="1214" t="s">
        <v>565</v>
      </c>
      <c r="AL33" s="1214" t="s">
        <v>507</v>
      </c>
      <c r="AM33" s="1214" t="s">
        <v>1731</v>
      </c>
      <c r="AO33" s="1214" t="s">
        <v>246</v>
      </c>
    </row>
    <row r="34" spans="1:41" s="173" customFormat="1" ht="10.5" customHeight="1" x14ac:dyDescent="0.25">
      <c r="A34" s="239">
        <v>1960</v>
      </c>
      <c r="B34" s="1183">
        <f>('C1-Incomes'!J8-'C1-Incomes'!K8-'F-B5'!B98)/'C1-Incomes'!J8</f>
        <v>0.20947745914564761</v>
      </c>
      <c r="C34" s="1183">
        <f>('C1-Incomes'!R8-'C1-Incomes'!S8-'F-B5'!C98)/'C1-Incomes'!R8</f>
        <v>0.23760595395399728</v>
      </c>
      <c r="D34" s="1183">
        <f>('C1-Incomes'!Z8-'C1-Incomes'!AA8-'F-B5'!D98)/'C1-Incomes'!Z8</f>
        <v>0.28688065699623017</v>
      </c>
      <c r="E34" s="1183">
        <f>('C1-Incomes'!II8-'C1-Incomes'!IJ8-'F-B5'!E98)/'C1-Incomes'!II8</f>
        <v>0.27097907741246458</v>
      </c>
      <c r="F34" s="1103"/>
      <c r="G34" s="455">
        <f>B34*$L34*$M34/($N34*0.5)*1000</f>
        <v>6940.8092759298315</v>
      </c>
      <c r="H34" s="455">
        <f>C34*'C1-Incomes'!R8*$M34/($N34*0.5)*1000</f>
        <v>8273.5942082588736</v>
      </c>
      <c r="I34" s="455">
        <f>D34*$L34*$M34/($N34*0.5)*1000</f>
        <v>9505.4806053372449</v>
      </c>
      <c r="J34" s="455">
        <f>E34*'C1-Incomes'!II8*$M34/($N34*0.5)*1000</f>
        <v>7132.8653586699611</v>
      </c>
      <c r="L34" s="1013">
        <f>'T-T1'!BN9</f>
        <v>479859</v>
      </c>
      <c r="M34" s="1182">
        <f>'C0-Ref Stats'!AA6</f>
        <v>6.2396557619970361</v>
      </c>
      <c r="N34" s="1013">
        <f>'C0-Ref Stats'!R6</f>
        <v>180730.50313569722</v>
      </c>
      <c r="W34" s="455"/>
      <c r="X34" s="455"/>
      <c r="Y34" s="455"/>
      <c r="Z34" s="455"/>
      <c r="AA34" s="455"/>
      <c r="AB34" s="455"/>
      <c r="AC34" s="455"/>
      <c r="AD34" s="455"/>
      <c r="AE34" s="455"/>
      <c r="AF34" s="452"/>
      <c r="AG34" s="1341"/>
      <c r="AH34" s="1341"/>
      <c r="AI34" s="1341"/>
      <c r="AJ34" s="1341"/>
      <c r="AK34" s="1341"/>
      <c r="AL34" s="1341"/>
      <c r="AM34" s="1341"/>
    </row>
    <row r="35" spans="1:41" s="173" customFormat="1" ht="10.5" customHeight="1" x14ac:dyDescent="0.25">
      <c r="A35" s="239">
        <f>A34+1</f>
        <v>1961</v>
      </c>
      <c r="B35" s="1183"/>
      <c r="C35" s="1183"/>
      <c r="D35" s="1183"/>
      <c r="E35" s="1183"/>
      <c r="G35" s="455"/>
      <c r="H35" s="1182"/>
      <c r="I35" s="453"/>
      <c r="J35" s="452"/>
      <c r="L35" s="1013">
        <f>'T-T1'!BN10</f>
        <v>497193</v>
      </c>
      <c r="M35" s="1182">
        <f>'C0-Ref Stats'!AA7</f>
        <v>6.174901297236322</v>
      </c>
      <c r="N35" s="1013"/>
      <c r="W35" s="455"/>
      <c r="X35" s="455"/>
      <c r="Y35" s="455"/>
      <c r="Z35" s="455"/>
      <c r="AA35" s="455"/>
      <c r="AB35" s="455"/>
      <c r="AC35" s="455"/>
      <c r="AD35" s="455"/>
      <c r="AE35" s="452"/>
      <c r="AF35" s="452"/>
      <c r="AG35" s="452"/>
      <c r="AH35" s="452"/>
      <c r="AI35" s="452"/>
      <c r="AJ35" s="452"/>
      <c r="AK35" s="452"/>
      <c r="AL35" s="452"/>
      <c r="AM35" s="452"/>
    </row>
    <row r="36" spans="1:41" s="173" customFormat="1" ht="10.5" customHeight="1" x14ac:dyDescent="0.25">
      <c r="A36" s="239">
        <f t="shared" ref="A36:A89" si="0">A35+1</f>
        <v>1962</v>
      </c>
      <c r="B36" s="1183">
        <f>('C1-Incomes'!J10-'C1-Incomes'!K10-'F-B5'!B100)/'C1-Incomes'!J10</f>
        <v>0.21225141833997949</v>
      </c>
      <c r="C36" s="1183">
        <f>('C1-Incomes'!R10-'C1-Incomes'!S10-'F-B5'!C100)/'C1-Incomes'!R10</f>
        <v>0.24228261640526308</v>
      </c>
      <c r="D36" s="1183">
        <f>('C1-Incomes'!Z10-'C1-Incomes'!AA10-'F-B5'!D100)/'C1-Incomes'!Z10</f>
        <v>0.29107835462994397</v>
      </c>
      <c r="E36" s="1183">
        <f>('C1-Incomes'!II10-'C1-Incomes'!IJ10-'F-B5'!E100)/'C1-Incomes'!II10</f>
        <v>0.27452823305008689</v>
      </c>
      <c r="G36" s="455">
        <f>B36*$L36*$M36/($N36*0.5)*1000</f>
        <v>7536.7767536565798</v>
      </c>
      <c r="H36" s="455">
        <f>C36*'C1-Incomes'!R10*$M36/($N36*0.5)*1000</f>
        <v>9066.7787539427336</v>
      </c>
      <c r="I36" s="455">
        <f>D36*$L36*$M36/($N36*0.5)*1000</f>
        <v>10335.820574605539</v>
      </c>
      <c r="J36" s="455">
        <f>E36*'C1-Incomes'!II10*$M36/($N36*0.5)*1000</f>
        <v>7756.9071505130478</v>
      </c>
      <c r="L36" s="1013">
        <f>'T-T1'!BN11</f>
        <v>535189</v>
      </c>
      <c r="M36" s="1182">
        <f>'C0-Ref Stats'!AA8</f>
        <v>6.1029600312169014</v>
      </c>
      <c r="N36" s="1013">
        <f>'C0-Ref Stats'!R8</f>
        <v>183968.15368332862</v>
      </c>
      <c r="P36" s="452"/>
      <c r="Q36" s="1221">
        <v>0.19504523277282715</v>
      </c>
      <c r="R36" s="1221">
        <v>0.22503232955932617</v>
      </c>
      <c r="S36" s="1220"/>
      <c r="T36" s="1220">
        <f>Q36-B36</f>
        <v>-1.7206185567152338E-2</v>
      </c>
      <c r="U36" s="1258">
        <f>R36-D36</f>
        <v>-6.6046025070617798E-2</v>
      </c>
      <c r="V36" s="452"/>
      <c r="W36" s="455">
        <f>'C1-Incomes'!$JG10-'C1-Incomes'!$JH10-'F-B6'!P36</f>
        <v>3139.3968509999977</v>
      </c>
      <c r="X36" s="455">
        <f>'C1-Incomes'!$JO10-'C1-Incomes'!$JP10-'F-B6'!Q36</f>
        <v>282.97114230000011</v>
      </c>
      <c r="Y36" s="455">
        <f>'C1-Incomes'!$JW10-'C1-Incomes'!$JX10-'F-B6'!R36</f>
        <v>3163.1863065000007</v>
      </c>
      <c r="Z36" s="455">
        <f>'C1-Incomes'!$KE10-'C1-Incomes'!$KF10-'F-B6'!S36</f>
        <v>2557.0273654000002</v>
      </c>
      <c r="AA36" s="455">
        <f>'C1-Incomes'!$KM10-'C1-Incomes'!$KN10-'F-B6'!T36</f>
        <v>6490.8499266999988</v>
      </c>
      <c r="AB36" s="455">
        <f>'C1-Incomes'!$KU10-'C1-Incomes'!$KV10-'F-B6'!U36</f>
        <v>6998.9972239999988</v>
      </c>
      <c r="AC36" s="455">
        <f>'C1-Incomes'!$LK10-'C1-Incomes'!$LM10-'F-B6'!V36</f>
        <v>554.9888430100001</v>
      </c>
      <c r="AD36" s="1013"/>
      <c r="AE36" s="1013">
        <f>C36*'C1-Incomes'!R10</f>
        <v>136654.88047490004</v>
      </c>
      <c r="AG36" s="1341">
        <f>SUM(AH36:AM36)</f>
        <v>0.16967866481116217</v>
      </c>
      <c r="AH36" s="1341">
        <f>W36/$AE36</f>
        <v>2.2973177687397879E-2</v>
      </c>
      <c r="AI36" s="1341">
        <f t="shared" ref="AI36:AL36" si="1">X36/$AE36</f>
        <v>2.0706991313930757E-3</v>
      </c>
      <c r="AJ36" s="1341">
        <f t="shared" si="1"/>
        <v>2.3147261887079079E-2</v>
      </c>
      <c r="AK36" s="1341">
        <f t="shared" si="1"/>
        <v>1.8711570025994499E-2</v>
      </c>
      <c r="AL36" s="1341">
        <f t="shared" si="1"/>
        <v>4.7498120112089225E-2</v>
      </c>
      <c r="AM36" s="1341">
        <f>(AB36+AC36)/$AE36</f>
        <v>5.5277835967208429E-2</v>
      </c>
      <c r="AO36" s="1341">
        <f>AG36</f>
        <v>0.16967866481116217</v>
      </c>
    </row>
    <row r="37" spans="1:41" s="173" customFormat="1" ht="10.5" customHeight="1" x14ac:dyDescent="0.25">
      <c r="A37" s="239">
        <f t="shared" si="0"/>
        <v>1963</v>
      </c>
      <c r="B37" s="1183"/>
      <c r="C37" s="1183"/>
      <c r="D37" s="1183"/>
      <c r="E37" s="1183"/>
      <c r="G37" s="455"/>
      <c r="H37" s="455"/>
      <c r="I37" s="455"/>
      <c r="J37" s="455"/>
      <c r="L37" s="1013">
        <f>'T-T1'!BN12</f>
        <v>566574</v>
      </c>
      <c r="M37" s="1182">
        <f>'C0-Ref Stats'!AA9</f>
        <v>6.0323433798005395</v>
      </c>
      <c r="N37" s="1013"/>
      <c r="Q37" s="1183">
        <v>0.19102069735527039</v>
      </c>
      <c r="R37" s="1183">
        <v>0.21977570652961731</v>
      </c>
      <c r="S37" s="1220"/>
      <c r="T37" s="1220">
        <f t="shared" ref="T37:T88" si="2">Q37-B37</f>
        <v>0.19102069735527039</v>
      </c>
      <c r="U37" s="1258">
        <f t="shared" ref="U37:U88" si="3">R37-D37</f>
        <v>0.21977570652961731</v>
      </c>
      <c r="W37" s="455"/>
      <c r="X37" s="455"/>
      <c r="Y37" s="455"/>
      <c r="Z37" s="455"/>
      <c r="AA37" s="455"/>
      <c r="AB37" s="455"/>
      <c r="AC37" s="455"/>
      <c r="AD37" s="1013"/>
    </row>
    <row r="38" spans="1:41" s="173" customFormat="1" ht="10.5" customHeight="1" x14ac:dyDescent="0.25">
      <c r="A38" s="239">
        <f t="shared" si="0"/>
        <v>1964</v>
      </c>
      <c r="B38" s="1183">
        <f>('C1-Incomes'!J12-'C1-Incomes'!K12-'F-B5'!B102)/'C1-Incomes'!J12</f>
        <v>0.2160273806738113</v>
      </c>
      <c r="C38" s="1183">
        <f>('C1-Incomes'!R12-'C1-Incomes'!S12-'F-B5'!C102)/'C1-Incomes'!R12</f>
        <v>0.24534451739694502</v>
      </c>
      <c r="D38" s="1183">
        <f>('C1-Incomes'!Z12-'C1-Incomes'!AA12-'F-B5'!D102)/'C1-Incomes'!Z12</f>
        <v>0.29313085452238263</v>
      </c>
      <c r="E38" s="1183">
        <f>('C1-Incomes'!II12-'C1-Incomes'!IJ12-'F-B5'!E102)/'C1-Incomes'!II12</f>
        <v>0.3032411630591263</v>
      </c>
      <c r="G38" s="455">
        <f t="shared" ref="G38:G89" si="4">B38*$L38*$M38/($N38*0.5)*1000</f>
        <v>8377.5188288165627</v>
      </c>
      <c r="H38" s="455">
        <f>C38*'C1-Incomes'!R12*$M38/($N38*0.5)*1000</f>
        <v>10004.235459734051</v>
      </c>
      <c r="I38" s="455">
        <f t="shared" ref="I38:I89" si="5">D38*$L38*$M38/($N38*0.5)*1000</f>
        <v>11367.58333785626</v>
      </c>
      <c r="J38" s="455">
        <f>E38*'C1-Incomes'!II12*$M38/($N38*0.5)*1000</f>
        <v>9429.0851903284238</v>
      </c>
      <c r="L38" s="1013">
        <f>'T-T1'!BN13</f>
        <v>608340</v>
      </c>
      <c r="M38" s="1182">
        <f>'C0-Ref Stats'!AA10</f>
        <v>5.9455305745628317</v>
      </c>
      <c r="N38" s="1013">
        <f>'C0-Ref Stats'!R10</f>
        <v>186535.01789682038</v>
      </c>
      <c r="Q38" s="1183">
        <v>0.18699616193771362</v>
      </c>
      <c r="R38" s="1183">
        <v>0.21450012922286987</v>
      </c>
      <c r="S38" s="1220"/>
      <c r="T38" s="1220">
        <f t="shared" si="2"/>
        <v>-2.903121873609768E-2</v>
      </c>
      <c r="U38" s="1258">
        <f t="shared" si="3"/>
        <v>-7.863072529951276E-2</v>
      </c>
      <c r="W38" s="455">
        <f>'C1-Incomes'!$JG12-'C1-Incomes'!$JH12-'F-B6'!P38</f>
        <v>2871.7717009999978</v>
      </c>
      <c r="X38" s="455">
        <f>'C1-Incomes'!$JO12-'C1-Incomes'!$JP12-'F-B6'!Q38</f>
        <v>436.3057137000003</v>
      </c>
      <c r="Y38" s="455">
        <f>'C1-Incomes'!$JW12-'C1-Incomes'!$JX12-'F-B6'!R38</f>
        <v>3550.3879302999994</v>
      </c>
      <c r="Z38" s="455">
        <f>'C1-Incomes'!$KE12-'C1-Incomes'!$KF12-'F-B6'!S38</f>
        <v>3164.4348182000003</v>
      </c>
      <c r="AA38" s="455">
        <f>'C1-Incomes'!$KM12-'C1-Incomes'!$KN12-'F-B6'!T38</f>
        <v>7063.9258190000019</v>
      </c>
      <c r="AB38" s="455">
        <f>'C1-Incomes'!$KU12-'C1-Incomes'!$KV12-'F-B6'!U38</f>
        <v>8024.591128</v>
      </c>
      <c r="AC38" s="455">
        <f>'C1-Incomes'!$LK12-'C1-Incomes'!$LM12-'F-B6'!V38</f>
        <v>708.42393964000019</v>
      </c>
      <c r="AD38" s="1013"/>
      <c r="AE38" s="1013">
        <f>C38*'C1-Incomes'!R12</f>
        <v>156936.39256599999</v>
      </c>
      <c r="AG38" s="1341">
        <f>SUM(AH38:AM38)</f>
        <v>0.16452424213192871</v>
      </c>
      <c r="AH38" s="1341">
        <f>W38/$AE38</f>
        <v>1.8298953187625151E-2</v>
      </c>
      <c r="AI38" s="1341">
        <f t="shared" ref="AI38" si="6">X38/$AE38</f>
        <v>2.7801436401471433E-3</v>
      </c>
      <c r="AJ38" s="1341">
        <f t="shared" ref="AJ38" si="7">Y38/$AE38</f>
        <v>2.262310145052477E-2</v>
      </c>
      <c r="AK38" s="1341">
        <f t="shared" ref="AK38" si="8">Z38/$AE38</f>
        <v>2.0163805006981981E-2</v>
      </c>
      <c r="AL38" s="1341">
        <f t="shared" ref="AL38" si="9">AA38/$AE38</f>
        <v>4.5011394129180392E-2</v>
      </c>
      <c r="AM38" s="1341">
        <f>(AB38+AC38)/$AE38</f>
        <v>5.5646844717469272E-2</v>
      </c>
      <c r="AO38" s="1341">
        <f t="shared" ref="AO38:AO48" si="10">AG38</f>
        <v>0.16452424213192871</v>
      </c>
    </row>
    <row r="39" spans="1:41" s="173" customFormat="1" ht="10.5" customHeight="1" x14ac:dyDescent="0.25">
      <c r="A39" s="239">
        <f t="shared" si="0"/>
        <v>1965</v>
      </c>
      <c r="B39" s="1183"/>
      <c r="C39" s="1183"/>
      <c r="D39" s="1183"/>
      <c r="E39" s="1183"/>
      <c r="G39" s="455"/>
      <c r="H39" s="455"/>
      <c r="I39" s="455"/>
      <c r="J39" s="455"/>
      <c r="L39" s="1013">
        <f>'T-T1'!BN14</f>
        <v>660255</v>
      </c>
      <c r="M39" s="1182">
        <f>'C0-Ref Stats'!AA11</f>
        <v>5.8605535035597658</v>
      </c>
      <c r="N39" s="1013"/>
      <c r="Q39" s="1183">
        <v>0.19129836559295654</v>
      </c>
      <c r="R39" s="1183">
        <v>0.21931338310241699</v>
      </c>
      <c r="S39" s="1220"/>
      <c r="T39" s="1220">
        <f t="shared" si="2"/>
        <v>0.19129836559295654</v>
      </c>
      <c r="U39" s="1258">
        <f t="shared" si="3"/>
        <v>0.21931338310241699</v>
      </c>
      <c r="W39" s="455"/>
      <c r="X39" s="455"/>
      <c r="Y39" s="455"/>
      <c r="Z39" s="455"/>
      <c r="AA39" s="455"/>
      <c r="AB39" s="455"/>
      <c r="AC39" s="455"/>
      <c r="AD39" s="1013"/>
    </row>
    <row r="40" spans="1:41" s="173" customFormat="1" ht="10.5" customHeight="1" x14ac:dyDescent="0.25">
      <c r="A40" s="239">
        <f t="shared" si="0"/>
        <v>1966</v>
      </c>
      <c r="B40" s="1183">
        <f>('C1-Incomes'!J14-'C1-Incomes'!K14-'F-B5'!B104)/'C1-Incomes'!J14</f>
        <v>0.22082984548621631</v>
      </c>
      <c r="C40" s="1183">
        <f>('C1-Incomes'!R14-'C1-Incomes'!S14-'F-B5'!C104)/'C1-Incomes'!R14</f>
        <v>0.25002472315482943</v>
      </c>
      <c r="D40" s="1183">
        <f>('C1-Incomes'!Z14-'C1-Incomes'!AA14-'F-B5'!D104)/'C1-Incomes'!Z14</f>
        <v>0.2971702958066631</v>
      </c>
      <c r="E40" s="1183">
        <f>('C1-Incomes'!II14-'C1-Incomes'!IJ14-'F-B5'!E104)/'C1-Incomes'!II14</f>
        <v>0.27916843918738216</v>
      </c>
      <c r="G40" s="455">
        <f t="shared" si="4"/>
        <v>9265.6508660505824</v>
      </c>
      <c r="H40" s="455">
        <f>C40*'C1-Incomes'!R14*$M40/($N40*0.5)*1000</f>
        <v>11032.629588048685</v>
      </c>
      <c r="I40" s="455">
        <f t="shared" si="5"/>
        <v>12468.768443155848</v>
      </c>
      <c r="J40" s="455">
        <f>E40*'C1-Incomes'!II14*$M40/($N40*0.5)*1000</f>
        <v>9294.578725813577</v>
      </c>
      <c r="L40" s="1013">
        <f>'T-T1'!BN15</f>
        <v>719692</v>
      </c>
      <c r="M40" s="1182">
        <f>'C0-Ref Stats'!AA12</f>
        <v>5.7155311929000252</v>
      </c>
      <c r="N40" s="1013">
        <f>'C0-Ref Stats'!R12</f>
        <v>196071.7869549928</v>
      </c>
      <c r="Q40" s="1183">
        <v>0.19560056924819946</v>
      </c>
      <c r="R40" s="1183">
        <v>0.22409945726394653</v>
      </c>
      <c r="S40" s="1220"/>
      <c r="T40" s="1220">
        <f t="shared" si="2"/>
        <v>-2.5229276238016851E-2</v>
      </c>
      <c r="U40" s="1258">
        <f t="shared" si="3"/>
        <v>-7.3070838542716565E-2</v>
      </c>
      <c r="W40" s="455">
        <f>'C1-Incomes'!$JG14-'C1-Incomes'!$JH14-'F-B6'!P40</f>
        <v>4733.0844859999997</v>
      </c>
      <c r="X40" s="455">
        <f>'C1-Incomes'!$JO14-'C1-Incomes'!$JP14-'F-B6'!Q40</f>
        <v>545.43223540000031</v>
      </c>
      <c r="Y40" s="455">
        <f>'C1-Incomes'!$JW14-'C1-Incomes'!$JX14-'F-B6'!R40</f>
        <v>4873.1821910000017</v>
      </c>
      <c r="Z40" s="455">
        <f>'C1-Incomes'!$KE14-'C1-Incomes'!$KF14-'F-B6'!S40</f>
        <v>3840.3884619</v>
      </c>
      <c r="AA40" s="455">
        <f>'C1-Incomes'!$KM14-'C1-Incomes'!$KN14-'F-B6'!T40</f>
        <v>9976.2356769999988</v>
      </c>
      <c r="AB40" s="455">
        <f>'C1-Incomes'!$KU14-'C1-Incomes'!$KV14-'F-B6'!U40</f>
        <v>9096.3322380000027</v>
      </c>
      <c r="AC40" s="455">
        <f>'C1-Incomes'!$LK14-'C1-Incomes'!$LM14-'F-B6'!V40</f>
        <v>869.52940392999994</v>
      </c>
      <c r="AD40" s="1013"/>
      <c r="AE40" s="1013">
        <f>C40*'C1-Incomes'!R14</f>
        <v>189237.65133399999</v>
      </c>
      <c r="AG40" s="1341">
        <f t="shared" ref="AG40:AG89" si="11">SUM(AH40:AM40)</f>
        <v>0.17932047060411338</v>
      </c>
      <c r="AH40" s="1341">
        <f t="shared" ref="AH40:AH89" si="12">W40/$AE40</f>
        <v>2.5011325455768934E-2</v>
      </c>
      <c r="AI40" s="1341">
        <f t="shared" ref="AI40:AI89" si="13">X40/$AE40</f>
        <v>2.8822606471548586E-3</v>
      </c>
      <c r="AJ40" s="1341">
        <f t="shared" ref="AJ40:AJ89" si="14">Y40/$AE40</f>
        <v>2.5751652256553056E-2</v>
      </c>
      <c r="AK40" s="1341">
        <f t="shared" ref="AK40:AK89" si="15">Z40/$AE40</f>
        <v>2.0293997705149093E-2</v>
      </c>
      <c r="AL40" s="1341">
        <f t="shared" ref="AL40:AL89" si="16">AA40/$AE40</f>
        <v>5.2718027341145647E-2</v>
      </c>
      <c r="AM40" s="1341">
        <f t="shared" ref="AM40:AM89" si="17">(AB40+AC40)/$AE40</f>
        <v>5.2663207198341798E-2</v>
      </c>
      <c r="AO40" s="1341">
        <f t="shared" si="10"/>
        <v>0.17932047060411338</v>
      </c>
    </row>
    <row r="41" spans="1:41" s="173" customFormat="1" ht="10.5" customHeight="1" x14ac:dyDescent="0.25">
      <c r="A41" s="239">
        <f t="shared" si="0"/>
        <v>1967</v>
      </c>
      <c r="B41" s="1183">
        <f>('C1-Incomes'!J15-'C1-Incomes'!K15-'F-B5'!B105)/'C1-Incomes'!J15</f>
        <v>0.22150037950092505</v>
      </c>
      <c r="C41" s="1183">
        <f>('C1-Incomes'!R15-'C1-Incomes'!S15-'F-B5'!C105)/'C1-Incomes'!R15</f>
        <v>0.25458156544508281</v>
      </c>
      <c r="D41" s="1183">
        <f>('C1-Incomes'!Z15-'C1-Incomes'!AA15-'F-B5'!D105)/'C1-Incomes'!Z15</f>
        <v>0.30405999311784648</v>
      </c>
      <c r="E41" s="1183">
        <f>('C1-Incomes'!II15-'C1-Incomes'!IJ15-'F-B5'!E105)/'C1-Incomes'!II15</f>
        <v>0.28273038760068542</v>
      </c>
      <c r="G41" s="455">
        <f t="shared" si="4"/>
        <v>9369.1429628159185</v>
      </c>
      <c r="H41" s="455">
        <f>C41*'C1-Incomes'!R15*$M41/($N41*0.5)*1000</f>
        <v>11407.458987763193</v>
      </c>
      <c r="I41" s="455">
        <f t="shared" si="5"/>
        <v>12861.294193773743</v>
      </c>
      <c r="J41" s="455">
        <f>E41*'C1-Incomes'!II15*$M41/($N41*0.5)*1000</f>
        <v>9542.1776934515565</v>
      </c>
      <c r="L41" s="1013">
        <f>'T-T1'!BN16</f>
        <v>760197</v>
      </c>
      <c r="M41" s="1182">
        <f>'C0-Ref Stats'!AA13</f>
        <v>5.57524061720222</v>
      </c>
      <c r="N41" s="1013">
        <f>'C0-Ref Stats'!R13</f>
        <v>200398.45609555169</v>
      </c>
      <c r="Q41" s="1183">
        <v>0.20443549752235413</v>
      </c>
      <c r="R41" s="1183">
        <v>0.23814338445663452</v>
      </c>
      <c r="S41" s="1220"/>
      <c r="T41" s="1220">
        <f t="shared" si="2"/>
        <v>-1.7064881978570923E-2</v>
      </c>
      <c r="U41" s="1258">
        <f t="shared" si="3"/>
        <v>-6.5916608661211962E-2</v>
      </c>
      <c r="W41" s="455">
        <f>'C1-Incomes'!$JG15-'C1-Incomes'!$JH15-'F-B6'!P41</f>
        <v>5330.5618570000042</v>
      </c>
      <c r="X41" s="455">
        <f>'C1-Incomes'!$JO15-'C1-Incomes'!$JP15-'F-B6'!Q41</f>
        <v>831.68030550000003</v>
      </c>
      <c r="Y41" s="455">
        <f>'C1-Incomes'!$JW15-'C1-Incomes'!$JX15-'F-B6'!R41</f>
        <v>4614.3542949999992</v>
      </c>
      <c r="Z41" s="455">
        <f>'C1-Incomes'!$KE15-'C1-Incomes'!$KF15-'F-B6'!S41</f>
        <v>4771.4792211000004</v>
      </c>
      <c r="AA41" s="455">
        <f>'C1-Incomes'!$KM15-'C1-Incomes'!$KN15-'F-B6'!T41</f>
        <v>11760.873632000003</v>
      </c>
      <c r="AB41" s="455">
        <f>'C1-Incomes'!$KU15-'C1-Incomes'!$KV15-'F-B6'!U41</f>
        <v>9656.0952539999998</v>
      </c>
      <c r="AC41" s="455">
        <f>'C1-Incomes'!$LK15-'C1-Incomes'!$LM15-'F-B6'!V41</f>
        <v>891.43368649000001</v>
      </c>
      <c r="AD41" s="1013"/>
      <c r="AE41" s="1013">
        <f>C41*'C1-Incomes'!R15</f>
        <v>205016.90654099995</v>
      </c>
      <c r="AG41" s="1341">
        <f t="shared" si="11"/>
        <v>0.18465051926592868</v>
      </c>
      <c r="AH41" s="1341">
        <f t="shared" si="12"/>
        <v>2.6000596472437659E-2</v>
      </c>
      <c r="AI41" s="1341">
        <f t="shared" si="13"/>
        <v>4.056642544909719E-3</v>
      </c>
      <c r="AJ41" s="1341">
        <f t="shared" si="14"/>
        <v>2.2507189152603888E-2</v>
      </c>
      <c r="AK41" s="1341">
        <f t="shared" si="15"/>
        <v>2.3273589001040675E-2</v>
      </c>
      <c r="AL41" s="1341">
        <f t="shared" si="16"/>
        <v>5.7365384301357729E-2</v>
      </c>
      <c r="AM41" s="1341">
        <f t="shared" si="17"/>
        <v>5.1447117793578995E-2</v>
      </c>
      <c r="AO41" s="1341">
        <f t="shared" si="10"/>
        <v>0.18465051926592868</v>
      </c>
    </row>
    <row r="42" spans="1:41" s="173" customFormat="1" ht="10.5" customHeight="1" x14ac:dyDescent="0.25">
      <c r="A42" s="239">
        <f t="shared" si="0"/>
        <v>1968</v>
      </c>
      <c r="B42" s="1183">
        <f>('C1-Incomes'!J16-'C1-Incomes'!K16-'F-B5'!B106)/'C1-Incomes'!J16</f>
        <v>0.22163220492487556</v>
      </c>
      <c r="C42" s="1183">
        <f>('C1-Incomes'!R16-'C1-Incomes'!S16-'F-B5'!C106)/'C1-Incomes'!R16</f>
        <v>0.25645397864935487</v>
      </c>
      <c r="D42" s="1183">
        <f>('C1-Incomes'!Z16-'C1-Incomes'!AA16-'F-B5'!D106)/'C1-Incomes'!Z16</f>
        <v>0.30982528351743865</v>
      </c>
      <c r="E42" s="1183">
        <f>('C1-Incomes'!II16-'C1-Incomes'!IJ16-'F-B5'!E106)/'C1-Incomes'!II16</f>
        <v>0.28876126657801188</v>
      </c>
      <c r="G42" s="455">
        <f t="shared" si="4"/>
        <v>9794.7532810766133</v>
      </c>
      <c r="H42" s="455">
        <f>C42*'C1-Incomes'!R16*$M42/($N42*0.5)*1000</f>
        <v>12048.410418468176</v>
      </c>
      <c r="I42" s="455">
        <f t="shared" si="5"/>
        <v>13692.334168319774</v>
      </c>
      <c r="J42" s="455">
        <f>E42*'C1-Incomes'!II16*$M42/($N42*0.5)*1000</f>
        <v>10036.772966270781</v>
      </c>
      <c r="L42" s="1013">
        <f>'T-T1'!BN17</f>
        <v>832068</v>
      </c>
      <c r="M42" s="1182">
        <f>'C0-Ref Stats'!AA14</f>
        <v>5.3661895892559546</v>
      </c>
      <c r="N42" s="1013">
        <f>'C0-Ref Stats'!R14</f>
        <v>202066.44184766174</v>
      </c>
      <c r="Q42" s="1183">
        <v>0.20690547674894333</v>
      </c>
      <c r="R42" s="1183">
        <v>0.24396516382694244</v>
      </c>
      <c r="S42" s="1220"/>
      <c r="T42" s="1220">
        <f t="shared" si="2"/>
        <v>-1.4726728175932235E-2</v>
      </c>
      <c r="U42" s="1258">
        <f t="shared" si="3"/>
        <v>-6.5860119690496211E-2</v>
      </c>
      <c r="W42" s="455">
        <f>'C1-Incomes'!$JG16-'C1-Incomes'!$JH16-'F-B6'!P42</f>
        <v>6563.2606330000017</v>
      </c>
      <c r="X42" s="455">
        <f>'C1-Incomes'!$JO16-'C1-Incomes'!$JP16-'F-B6'!Q42</f>
        <v>1136.0888620000005</v>
      </c>
      <c r="Y42" s="455">
        <f>'C1-Incomes'!$JW16-'C1-Incomes'!$JX16-'F-B6'!R42</f>
        <v>5490.5437989999991</v>
      </c>
      <c r="Z42" s="455">
        <f>'C1-Incomes'!$KE16-'C1-Incomes'!$KF16-'F-B6'!S42</f>
        <v>5163.0510632000023</v>
      </c>
      <c r="AA42" s="455">
        <f>'C1-Incomes'!$KM16-'C1-Incomes'!$KN16-'F-B6'!T42</f>
        <v>12271.815052999998</v>
      </c>
      <c r="AB42" s="455">
        <f>'C1-Incomes'!$KU16-'C1-Incomes'!$KV16-'F-B6'!U42</f>
        <v>11173.602385999995</v>
      </c>
      <c r="AC42" s="455">
        <f>'C1-Incomes'!$LK16-'C1-Incomes'!$LM16-'F-B6'!V42</f>
        <v>923.82629988000008</v>
      </c>
      <c r="AD42" s="1013"/>
      <c r="AE42" s="1013">
        <f>C42*'C1-Incomes'!R16</f>
        <v>226844.33550900003</v>
      </c>
      <c r="AG42" s="1341">
        <f t="shared" si="11"/>
        <v>0.18833262025352621</v>
      </c>
      <c r="AH42" s="1341">
        <f t="shared" si="12"/>
        <v>2.8932883063944106E-2</v>
      </c>
      <c r="AI42" s="1341">
        <f t="shared" si="13"/>
        <v>5.0082311266481955E-3</v>
      </c>
      <c r="AJ42" s="1341">
        <f t="shared" si="14"/>
        <v>2.4204015439398804E-2</v>
      </c>
      <c r="AK42" s="1341">
        <f t="shared" si="15"/>
        <v>2.2760326157649013E-2</v>
      </c>
      <c r="AL42" s="1341">
        <f t="shared" si="16"/>
        <v>5.4097956757280879E-2</v>
      </c>
      <c r="AM42" s="1341">
        <f t="shared" si="17"/>
        <v>5.3329207708605227E-2</v>
      </c>
      <c r="AO42" s="1341">
        <f t="shared" si="10"/>
        <v>0.18833262025352621</v>
      </c>
    </row>
    <row r="43" spans="1:41" s="173" customFormat="1" ht="10.5" customHeight="1" x14ac:dyDescent="0.25">
      <c r="A43" s="239">
        <f t="shared" si="0"/>
        <v>1969</v>
      </c>
      <c r="B43" s="1183">
        <f>('C1-Incomes'!J17-'C1-Incomes'!K17-'F-B5'!B107)/'C1-Incomes'!J17</f>
        <v>0.22584653361518653</v>
      </c>
      <c r="C43" s="1183">
        <f>('C1-Incomes'!R17-'C1-Incomes'!S17-'F-B5'!C107)/'C1-Incomes'!R17</f>
        <v>0.26161130614012384</v>
      </c>
      <c r="D43" s="1183">
        <f>('C1-Incomes'!Z17-'C1-Incomes'!AA17-'F-B5'!D107)/'C1-Incomes'!Z17</f>
        <v>0.31458391228400528</v>
      </c>
      <c r="E43" s="1183">
        <f>('C1-Incomes'!II17-'C1-Incomes'!IJ17-'F-B5'!E107)/'C1-Incomes'!II17</f>
        <v>0.29517575572069082</v>
      </c>
      <c r="G43" s="455">
        <f t="shared" si="4"/>
        <v>10241.183878651762</v>
      </c>
      <c r="H43" s="455">
        <f>C43*'C1-Incomes'!R17*$M43/($N43*0.5)*1000</f>
        <v>12628.660986838719</v>
      </c>
      <c r="I43" s="455">
        <f t="shared" si="5"/>
        <v>14265.048213914755</v>
      </c>
      <c r="J43" s="455">
        <f>E43*'C1-Incomes'!II17*$M43/($N43*0.5)*1000</f>
        <v>10387.765398854912</v>
      </c>
      <c r="L43" s="1013">
        <f>'T-T1'!BN18</f>
        <v>899520</v>
      </c>
      <c r="M43" s="1182">
        <f>'C0-Ref Stats'!AA15</f>
        <v>5.1334458667416882</v>
      </c>
      <c r="N43" s="1013">
        <f>'C0-Ref Stats'!R15</f>
        <v>203663.4383979963</v>
      </c>
      <c r="Q43" s="1183">
        <v>0.21019494347274303</v>
      </c>
      <c r="R43" s="1183">
        <v>0.24991444125771523</v>
      </c>
      <c r="S43" s="1220"/>
      <c r="T43" s="1220">
        <f t="shared" si="2"/>
        <v>-1.5651590142443494E-2</v>
      </c>
      <c r="U43" s="1258">
        <f t="shared" si="3"/>
        <v>-6.466947102629006E-2</v>
      </c>
      <c r="W43" s="455">
        <f>'C1-Incomes'!$JG17-'C1-Incomes'!$JH17-'F-B6'!P43</f>
        <v>8613.7463569999964</v>
      </c>
      <c r="X43" s="455">
        <f>'C1-Incomes'!$JO17-'C1-Incomes'!$JP17-'F-B6'!Q43</f>
        <v>1441.9544648999995</v>
      </c>
      <c r="Y43" s="455">
        <f>'C1-Incomes'!$JW17-'C1-Incomes'!$JX17-'F-B6'!R43</f>
        <v>6105.8709839999992</v>
      </c>
      <c r="Z43" s="455">
        <f>'C1-Incomes'!$KE17-'C1-Incomes'!$KF17-'F-B6'!S43</f>
        <v>5942.4228579999981</v>
      </c>
      <c r="AA43" s="455">
        <f>'C1-Incomes'!$KM17-'C1-Incomes'!$KN17-'F-B6'!T43</f>
        <v>13940.761980000003</v>
      </c>
      <c r="AB43" s="455">
        <f>'C1-Incomes'!$KU17-'C1-Incomes'!$KV17-'F-B6'!U43</f>
        <v>12523.365806999995</v>
      </c>
      <c r="AC43" s="455">
        <f>'C1-Incomes'!$LK17-'C1-Incomes'!$LM17-'F-B6'!V43</f>
        <v>1064.1020375800003</v>
      </c>
      <c r="AD43" s="1013"/>
      <c r="AE43" s="1013">
        <f>C43*'C1-Incomes'!R17</f>
        <v>250513.64967199994</v>
      </c>
      <c r="AG43" s="1341">
        <f t="shared" si="11"/>
        <v>0.19812183708737613</v>
      </c>
      <c r="AH43" s="1341">
        <f t="shared" si="12"/>
        <v>3.4384339409361774E-2</v>
      </c>
      <c r="AI43" s="1341">
        <f t="shared" si="13"/>
        <v>5.755991606796536E-3</v>
      </c>
      <c r="AJ43" s="1341">
        <f t="shared" si="14"/>
        <v>2.4373406367255747E-2</v>
      </c>
      <c r="AK43" s="1341">
        <f t="shared" si="15"/>
        <v>2.3720954390231721E-2</v>
      </c>
      <c r="AL43" s="1341">
        <f t="shared" si="16"/>
        <v>5.5648712149029736E-2</v>
      </c>
      <c r="AM43" s="1341">
        <f t="shared" si="17"/>
        <v>5.4238433164700624E-2</v>
      </c>
      <c r="AO43" s="1341">
        <f t="shared" si="10"/>
        <v>0.19812183708737613</v>
      </c>
    </row>
    <row r="44" spans="1:41" s="173" customFormat="1" ht="10.5" customHeight="1" x14ac:dyDescent="0.25">
      <c r="A44" s="239">
        <f t="shared" si="0"/>
        <v>1970</v>
      </c>
      <c r="B44" s="1183">
        <f>('C1-Incomes'!J18-'C1-Incomes'!K18-'F-B5'!B108)/'C1-Incomes'!J18</f>
        <v>0.22736954610783389</v>
      </c>
      <c r="C44" s="1183">
        <f>('C1-Incomes'!R18-'C1-Incomes'!S18-'F-B5'!C108)/'C1-Incomes'!R18</f>
        <v>0.2694033182994538</v>
      </c>
      <c r="D44" s="1183">
        <f>('C1-Incomes'!Z18-'C1-Incomes'!AA18-'F-B5'!D108)/'C1-Incomes'!Z18</f>
        <v>0.32410129832261114</v>
      </c>
      <c r="E44" s="1183">
        <f>('C1-Incomes'!II18-'C1-Incomes'!IJ18-'F-B5'!E108)/'C1-Incomes'!II18</f>
        <v>0.30217252417822188</v>
      </c>
      <c r="G44" s="455">
        <f t="shared" si="4"/>
        <v>10399.763992877326</v>
      </c>
      <c r="H44" s="455">
        <f>C44*'C1-Incomes'!R18*$M44/($N44*0.5)*1000</f>
        <v>13248.241932472716</v>
      </c>
      <c r="I44" s="455">
        <f t="shared" si="5"/>
        <v>14824.223692392516</v>
      </c>
      <c r="J44" s="455">
        <f>E44*'C1-Incomes'!II18*$M44/($N44*0.5)*1000</f>
        <v>11022.567193247545</v>
      </c>
      <c r="L44" s="1013">
        <f>'T-T1'!BN19</f>
        <v>940149</v>
      </c>
      <c r="M44" s="1182">
        <f>'C0-Ref Stats'!AA16</f>
        <v>4.9039641657334823</v>
      </c>
      <c r="N44" s="1013">
        <f>'C0-Ref Stats'!R16</f>
        <v>201596.405</v>
      </c>
      <c r="Q44" s="1183">
        <v>0.20839184476062655</v>
      </c>
      <c r="R44" s="1183">
        <v>0.25235200766474009</v>
      </c>
      <c r="S44" s="1220"/>
      <c r="T44" s="1220">
        <f t="shared" si="2"/>
        <v>-1.8977701347207332E-2</v>
      </c>
      <c r="U44" s="1258">
        <f t="shared" si="3"/>
        <v>-7.1749290657871057E-2</v>
      </c>
      <c r="W44" s="455">
        <f>'C1-Incomes'!$JG18-'C1-Incomes'!$JH18-'F-B6'!P44</f>
        <v>8620.4987960000071</v>
      </c>
      <c r="X44" s="455">
        <f>'C1-Incomes'!$JO18-'C1-Incomes'!$JP18-'F-B6'!Q44</f>
        <v>1538.9211306999996</v>
      </c>
      <c r="Y44" s="455">
        <f>'C1-Incomes'!$JW18-'C1-Incomes'!$JX18-'F-B6'!R44</f>
        <v>5223.0081140000002</v>
      </c>
      <c r="Z44" s="455">
        <f>'C1-Incomes'!$KE18-'C1-Incomes'!$KF18-'F-B6'!S44</f>
        <v>7430.4378790000028</v>
      </c>
      <c r="AA44" s="455">
        <f>'C1-Incomes'!$KM18-'C1-Incomes'!$KN18-'F-B6'!T44</f>
        <v>14937.121380000004</v>
      </c>
      <c r="AB44" s="455">
        <f>'C1-Incomes'!$KU18-'C1-Incomes'!$KV18-'F-B6'!U44</f>
        <v>12908.662042</v>
      </c>
      <c r="AC44" s="455">
        <f>'C1-Incomes'!$LK18-'C1-Incomes'!$LM18-'F-B6'!V44</f>
        <v>1068.2572687999996</v>
      </c>
      <c r="AD44" s="1013"/>
      <c r="AE44" s="1013">
        <f>C44*'C1-Incomes'!R18</f>
        <v>272310.10014500003</v>
      </c>
      <c r="AG44" s="1341">
        <f t="shared" si="11"/>
        <v>0.18995588699411592</v>
      </c>
      <c r="AH44" s="1341">
        <f t="shared" si="12"/>
        <v>3.1656919047107518E-2</v>
      </c>
      <c r="AI44" s="1341">
        <f t="shared" si="13"/>
        <v>5.6513553110242804E-3</v>
      </c>
      <c r="AJ44" s="1341">
        <f t="shared" si="14"/>
        <v>1.9180368672402699E-2</v>
      </c>
      <c r="AK44" s="1341">
        <f t="shared" si="15"/>
        <v>2.7286677486598673E-2</v>
      </c>
      <c r="AL44" s="1341">
        <f t="shared" si="16"/>
        <v>5.485335054427385E-2</v>
      </c>
      <c r="AM44" s="1341">
        <f t="shared" si="17"/>
        <v>5.1327215932708892E-2</v>
      </c>
      <c r="AO44" s="1341">
        <f t="shared" si="10"/>
        <v>0.18995588699411592</v>
      </c>
    </row>
    <row r="45" spans="1:41" s="173" customFormat="1" ht="10.5" customHeight="1" x14ac:dyDescent="0.25">
      <c r="A45" s="239">
        <f t="shared" si="0"/>
        <v>1971</v>
      </c>
      <c r="B45" s="1183">
        <f>('C1-Incomes'!J19-'C1-Incomes'!K19-'F-B5'!B109)/'C1-Incomes'!J19</f>
        <v>0.22121176184067426</v>
      </c>
      <c r="C45" s="1183">
        <f>('C1-Incomes'!R19-'C1-Incomes'!S19-'F-B5'!C109)/'C1-Incomes'!R19</f>
        <v>0.26751801805605568</v>
      </c>
      <c r="D45" s="1183">
        <f>('C1-Incomes'!Z19-'C1-Incomes'!AA19-'F-B5'!D109)/'C1-Incomes'!Z19</f>
        <v>0.3223491131684697</v>
      </c>
      <c r="E45" s="1183">
        <f>('C1-Incomes'!II19-'C1-Incomes'!IJ19-'F-B5'!E109)/'C1-Incomes'!II19</f>
        <v>0.29949209387047343</v>
      </c>
      <c r="G45" s="455">
        <f t="shared" si="4"/>
        <v>10137.883070524613</v>
      </c>
      <c r="H45" s="455">
        <f>C45*'C1-Incomes'!R19*$M45/($N45*0.5)*1000</f>
        <v>13273.98951589098</v>
      </c>
      <c r="I45" s="455">
        <f t="shared" si="5"/>
        <v>14772.892679833874</v>
      </c>
      <c r="J45" s="455">
        <f>E45*'C1-Incomes'!II19*$M45/($N45*0.5)*1000</f>
        <v>11123.945165757497</v>
      </c>
      <c r="L45" s="1013">
        <f>'T-T1'!BN20</f>
        <v>1017016</v>
      </c>
      <c r="M45" s="1182">
        <f>'C0-Ref Stats'!AA17</f>
        <v>4.7040044685056284</v>
      </c>
      <c r="N45" s="1013">
        <f>'C0-Ref Stats'!R17</f>
        <v>208778.82238244571</v>
      </c>
      <c r="Q45" s="1183">
        <v>0.20415765035431832</v>
      </c>
      <c r="R45" s="1183">
        <v>0.25084738642908633</v>
      </c>
      <c r="S45" s="1220"/>
      <c r="T45" s="1220">
        <f t="shared" si="2"/>
        <v>-1.7054111486355938E-2</v>
      </c>
      <c r="U45" s="1258">
        <f t="shared" si="3"/>
        <v>-7.1501726739383376E-2</v>
      </c>
      <c r="W45" s="455">
        <f>'C1-Incomes'!$JG19-'C1-Incomes'!$JH19-'F-B6'!P45</f>
        <v>7261.279469000001</v>
      </c>
      <c r="X45" s="455">
        <f>'C1-Incomes'!$JO19-'C1-Incomes'!$JP19-'F-B6'!Q45</f>
        <v>1690.7759702000003</v>
      </c>
      <c r="Y45" s="455">
        <f>'C1-Incomes'!$JW19-'C1-Incomes'!$JX19-'F-B6'!R45</f>
        <v>5593.9682769999999</v>
      </c>
      <c r="Z45" s="455">
        <f>'C1-Incomes'!$KE19-'C1-Incomes'!$KF19-'F-B6'!S45</f>
        <v>8054.0107680000037</v>
      </c>
      <c r="AA45" s="455">
        <f>'C1-Incomes'!$KM19-'C1-Incomes'!$KN19-'F-B6'!T45</f>
        <v>15285.996324</v>
      </c>
      <c r="AB45" s="455">
        <f>'C1-Incomes'!$KU19-'C1-Incomes'!$KV19-'F-B6'!U45</f>
        <v>13762.564919000004</v>
      </c>
      <c r="AC45" s="455">
        <f>'C1-Incomes'!$LK19-'C1-Incomes'!$LM19-'F-B6'!V45</f>
        <v>1293.9253941100001</v>
      </c>
      <c r="AD45" s="1013"/>
      <c r="AE45" s="1013">
        <f>C45*'C1-Incomes'!R19</f>
        <v>294571.13805900008</v>
      </c>
      <c r="AG45" s="1341">
        <f t="shared" si="11"/>
        <v>0.17972745554829636</v>
      </c>
      <c r="AH45" s="1341">
        <f t="shared" si="12"/>
        <v>2.4650342585652872E-2</v>
      </c>
      <c r="AI45" s="1341">
        <f t="shared" si="13"/>
        <v>5.7397882947424145E-3</v>
      </c>
      <c r="AJ45" s="1341">
        <f t="shared" si="14"/>
        <v>1.8990211715445033E-2</v>
      </c>
      <c r="AK45" s="1341">
        <f t="shared" si="15"/>
        <v>2.7341479620406173E-2</v>
      </c>
      <c r="AL45" s="1341">
        <f t="shared" si="16"/>
        <v>5.1892376234559494E-2</v>
      </c>
      <c r="AM45" s="1341">
        <f t="shared" si="17"/>
        <v>5.1113257097490379E-2</v>
      </c>
      <c r="AO45" s="1341">
        <f t="shared" si="10"/>
        <v>0.17972745554829636</v>
      </c>
    </row>
    <row r="46" spans="1:41" s="173" customFormat="1" ht="10.5" customHeight="1" x14ac:dyDescent="0.25">
      <c r="A46" s="239">
        <f t="shared" si="0"/>
        <v>1972</v>
      </c>
      <c r="B46" s="1183">
        <f>('C1-Incomes'!J20-'C1-Incomes'!K20-'F-B5'!B110)/'C1-Incomes'!J20</f>
        <v>0.2242920594885319</v>
      </c>
      <c r="C46" s="1183">
        <f>('C1-Incomes'!R20-'C1-Incomes'!S20-'F-B5'!C110)/'C1-Incomes'!R20</f>
        <v>0.26993773947107169</v>
      </c>
      <c r="D46" s="1183">
        <f>('C1-Incomes'!Z20-'C1-Incomes'!AA20-'F-B5'!D110)/'C1-Incomes'!Z20</f>
        <v>0.3251955664782144</v>
      </c>
      <c r="E46" s="1183">
        <f>('C1-Incomes'!II20-'C1-Incomes'!IJ20-'F-B5'!E110)/'C1-Incomes'!II20</f>
        <v>0.30436037929428505</v>
      </c>
      <c r="G46" s="455">
        <f t="shared" si="4"/>
        <v>11028.318322885696</v>
      </c>
      <c r="H46" s="455">
        <f>C46*'C1-Incomes'!R20*$M46/($N46*0.5)*1000</f>
        <v>14376.911548690168</v>
      </c>
      <c r="I46" s="455">
        <f t="shared" si="5"/>
        <v>15989.6887678106</v>
      </c>
      <c r="J46" s="455">
        <f>E46*'C1-Incomes'!II20*$M46/($N46*0.5)*1000</f>
        <v>11972.339520085681</v>
      </c>
      <c r="L46" s="1013">
        <f>'T-T1'!BN21</f>
        <v>1122976</v>
      </c>
      <c r="M46" s="1182">
        <f>'C0-Ref Stats'!AA18</f>
        <v>4.5484420440382216</v>
      </c>
      <c r="N46" s="1013">
        <f>'C0-Ref Stats'!R18</f>
        <v>207762.77687975508</v>
      </c>
      <c r="Q46" s="1183">
        <v>0.2023898362822365</v>
      </c>
      <c r="R46" s="1183">
        <v>0.25025045551592484</v>
      </c>
      <c r="S46" s="1220"/>
      <c r="T46" s="1220">
        <f t="shared" si="2"/>
        <v>-2.1902223206295396E-2</v>
      </c>
      <c r="U46" s="1258">
        <f t="shared" si="3"/>
        <v>-7.4945110962289563E-2</v>
      </c>
      <c r="W46" s="455">
        <f>'C1-Incomes'!$JG20-'C1-Incomes'!$JH20-'F-B6'!P46</f>
        <v>9188.4700050000029</v>
      </c>
      <c r="X46" s="455">
        <f>'C1-Incomes'!$JO20-'C1-Incomes'!$JP20-'F-B6'!Q46</f>
        <v>2237.1492045999985</v>
      </c>
      <c r="Y46" s="455">
        <f>'C1-Incomes'!$JW20-'C1-Incomes'!$JX20-'F-B6'!R46</f>
        <v>6301.6155660000022</v>
      </c>
      <c r="Z46" s="455">
        <f>'C1-Incomes'!$KE20-'C1-Incomes'!$KF20-'F-B6'!S46</f>
        <v>7007.6752129999986</v>
      </c>
      <c r="AA46" s="455">
        <f>'C1-Incomes'!$KM20-'C1-Incomes'!$KN20-'F-B6'!T46</f>
        <v>19247.009086000002</v>
      </c>
      <c r="AB46" s="455">
        <f>'C1-Incomes'!$KU20-'C1-Incomes'!$KV20-'F-B6'!U46</f>
        <v>15477.083342000002</v>
      </c>
      <c r="AC46" s="455">
        <f>'C1-Incomes'!$LK20-'C1-Incomes'!$LM20-'F-B6'!V46</f>
        <v>1545.6839584999998</v>
      </c>
      <c r="AD46" s="1013"/>
      <c r="AE46" s="1013">
        <f>C46*'C1-Incomes'!R20</f>
        <v>328352.76754000003</v>
      </c>
      <c r="AG46" s="1341">
        <f t="shared" si="11"/>
        <v>0.18579007825072891</v>
      </c>
      <c r="AH46" s="1341">
        <f t="shared" si="12"/>
        <v>2.7983531473906826E-2</v>
      </c>
      <c r="AI46" s="1341">
        <f t="shared" si="13"/>
        <v>6.8132491203305246E-3</v>
      </c>
      <c r="AJ46" s="1341">
        <f t="shared" si="14"/>
        <v>1.9191601804398793E-2</v>
      </c>
      <c r="AK46" s="1341">
        <f t="shared" si="15"/>
        <v>2.1341909999727113E-2</v>
      </c>
      <c r="AL46" s="1341">
        <f t="shared" si="16"/>
        <v>5.8616862681552778E-2</v>
      </c>
      <c r="AM46" s="1341">
        <f t="shared" si="17"/>
        <v>5.1842923170812884E-2</v>
      </c>
      <c r="AO46" s="1341">
        <f t="shared" si="10"/>
        <v>0.18579007825072891</v>
      </c>
    </row>
    <row r="47" spans="1:41" s="173" customFormat="1" ht="10.5" customHeight="1" x14ac:dyDescent="0.25">
      <c r="A47" s="239">
        <f t="shared" si="0"/>
        <v>1973</v>
      </c>
      <c r="B47" s="1183">
        <f>('C1-Incomes'!J21-'C1-Incomes'!K21-'F-B5'!B111)/'C1-Incomes'!J21</f>
        <v>0.22801969176074516</v>
      </c>
      <c r="C47" s="1183">
        <f>('C1-Incomes'!R21-'C1-Incomes'!S21-'F-B5'!C111)/'C1-Incomes'!R21</f>
        <v>0.27509535615057806</v>
      </c>
      <c r="D47" s="1183">
        <f>('C1-Incomes'!Z21-'C1-Incomes'!AA21-'F-B5'!D111)/'C1-Incomes'!Z21</f>
        <v>0.32453684769292557</v>
      </c>
      <c r="E47" s="1183">
        <f>('C1-Incomes'!II21-'C1-Incomes'!IJ21-'F-B5'!E111)/'C1-Incomes'!II21</f>
        <v>0.307152953731884</v>
      </c>
      <c r="G47" s="455">
        <f t="shared" si="4"/>
        <v>11694.388489995426</v>
      </c>
      <c r="H47" s="455">
        <f>C47*'C1-Incomes'!R21*$M47/($N47*0.5)*1000</f>
        <v>15310.62559188154</v>
      </c>
      <c r="I47" s="455">
        <f t="shared" si="5"/>
        <v>16644.439552272572</v>
      </c>
      <c r="J47" s="455">
        <f>E47*'C1-Incomes'!II21*$M47/($N47*0.5)*1000</f>
        <v>12618.42828272636</v>
      </c>
      <c r="L47" s="1013">
        <f>'T-T1'!BN22</f>
        <v>1256980</v>
      </c>
      <c r="M47" s="1182">
        <f>'C0-Ref Stats'!AA19</f>
        <v>4.3157127089246297</v>
      </c>
      <c r="N47" s="1013">
        <f>'C0-Ref Stats'!R19</f>
        <v>211546.4428261568</v>
      </c>
      <c r="Q47" s="1183">
        <v>0.20379538833367405</v>
      </c>
      <c r="R47" s="1183">
        <v>0.25251036802364979</v>
      </c>
      <c r="S47" s="1220"/>
      <c r="T47" s="1220">
        <f t="shared" si="2"/>
        <v>-2.4224303427071103E-2</v>
      </c>
      <c r="U47" s="1258">
        <f t="shared" si="3"/>
        <v>-7.2026479669275778E-2</v>
      </c>
      <c r="W47" s="455">
        <f>'C1-Incomes'!$JG21-'C1-Incomes'!$JH21-'F-B6'!P47</f>
        <v>10909.293920999997</v>
      </c>
      <c r="X47" s="455">
        <f>'C1-Incomes'!$JO21-'C1-Incomes'!$JP21-'F-B6'!Q47</f>
        <v>2391.193013699999</v>
      </c>
      <c r="Y47" s="455">
        <f>'C1-Incomes'!$JW21-'C1-Incomes'!$JX21-'F-B6'!R47</f>
        <v>8196.7510080000029</v>
      </c>
      <c r="Z47" s="455">
        <f>'C1-Incomes'!$KE21-'C1-Incomes'!$KF21-'F-B6'!S47</f>
        <v>7799.937453999999</v>
      </c>
      <c r="AA47" s="455">
        <f>'C1-Incomes'!$KM21-'C1-Incomes'!$KN21-'F-B6'!T47</f>
        <v>23509.991592000006</v>
      </c>
      <c r="AB47" s="455">
        <f>'C1-Incomes'!$KU21-'C1-Incomes'!$KV21-'F-B6'!U47</f>
        <v>17933.586236999996</v>
      </c>
      <c r="AC47" s="455">
        <f>'C1-Incomes'!$LK21-'C1-Incomes'!$LM21-'F-B6'!V47</f>
        <v>1533.1572332900002</v>
      </c>
      <c r="AD47" s="1013"/>
      <c r="AE47" s="1013">
        <f>C47*'C1-Incomes'!R21</f>
        <v>375246.06013599993</v>
      </c>
      <c r="AG47" s="1341">
        <f t="shared" si="11"/>
        <v>0.19260404874816237</v>
      </c>
      <c r="AH47" s="1341">
        <f t="shared" si="12"/>
        <v>2.9072374316325016E-2</v>
      </c>
      <c r="AI47" s="1341">
        <f t="shared" si="13"/>
        <v>6.3723334305851526E-3</v>
      </c>
      <c r="AJ47" s="1341">
        <f t="shared" si="14"/>
        <v>2.1843669737742925E-2</v>
      </c>
      <c r="AK47" s="1341">
        <f t="shared" si="15"/>
        <v>2.0786194133985251E-2</v>
      </c>
      <c r="AL47" s="1341">
        <f t="shared" si="16"/>
        <v>6.2652201021056189E-2</v>
      </c>
      <c r="AM47" s="1341">
        <f t="shared" si="17"/>
        <v>5.1877276108467839E-2</v>
      </c>
      <c r="AO47" s="1341">
        <f t="shared" si="10"/>
        <v>0.19260404874816237</v>
      </c>
    </row>
    <row r="48" spans="1:41" s="173" customFormat="1" ht="10.5" customHeight="1" x14ac:dyDescent="0.25">
      <c r="A48" s="239">
        <f t="shared" si="0"/>
        <v>1974</v>
      </c>
      <c r="B48" s="1183">
        <f>('C1-Incomes'!J22-'C1-Incomes'!K22-'F-B5'!B112)/'C1-Incomes'!J22</f>
        <v>0.22343558807208166</v>
      </c>
      <c r="C48" s="1183">
        <f>('C1-Incomes'!R22-'C1-Incomes'!S22-'F-B5'!C112)/'C1-Incomes'!R22</f>
        <v>0.27499362441320752</v>
      </c>
      <c r="D48" s="1183">
        <f>('C1-Incomes'!Z22-'C1-Incomes'!AA22-'F-B5'!D112)/'C1-Incomes'!Z22</f>
        <v>0.32684646499194164</v>
      </c>
      <c r="E48" s="1183">
        <f>('C1-Incomes'!II22-'C1-Incomes'!IJ22-'F-B5'!E112)/'C1-Incomes'!II22</f>
        <v>0.30767999301011556</v>
      </c>
      <c r="G48" s="455">
        <f t="shared" si="4"/>
        <v>10992.495608127454</v>
      </c>
      <c r="H48" s="455">
        <f>C48*'C1-Incomes'!R22*$M48/($N48*0.5)*1000</f>
        <v>14798.553838063362</v>
      </c>
      <c r="I48" s="455">
        <f t="shared" si="5"/>
        <v>16080.062992457695</v>
      </c>
      <c r="J48" s="455">
        <f>E48*'C1-Incomes'!II22*$M48/($N48*0.5)*1000</f>
        <v>12143.305929244647</v>
      </c>
      <c r="L48" s="1013">
        <f>'T-T1'!BN23</f>
        <v>1350769</v>
      </c>
      <c r="M48" s="1182">
        <f>'C0-Ref Stats'!AA20</f>
        <v>3.908779320932557</v>
      </c>
      <c r="N48" s="1013">
        <f>'C0-Ref Stats'!R20</f>
        <v>214638.82353930624</v>
      </c>
      <c r="Q48" s="1183">
        <v>0.20498855784353509</v>
      </c>
      <c r="R48" s="1183">
        <v>0.2567677942897717</v>
      </c>
      <c r="S48" s="1220"/>
      <c r="T48" s="1220">
        <f t="shared" si="2"/>
        <v>-1.8447030228546574E-2</v>
      </c>
      <c r="U48" s="1258">
        <f t="shared" si="3"/>
        <v>-7.0078670702169943E-2</v>
      </c>
      <c r="W48" s="455">
        <f>'C1-Incomes'!$JG22-'C1-Incomes'!$JH22-'F-B6'!P48</f>
        <v>12850.916611000008</v>
      </c>
      <c r="X48" s="455">
        <f>'C1-Incomes'!$JO22-'C1-Incomes'!$JP22-'F-B6'!Q48</f>
        <v>2969.8974524000005</v>
      </c>
      <c r="Y48" s="455">
        <f>'C1-Incomes'!$JW22-'C1-Incomes'!$JX22-'F-B6'!R48</f>
        <v>9783.7788259999979</v>
      </c>
      <c r="Z48" s="455">
        <f>'C1-Incomes'!$KE22-'C1-Incomes'!$KF22-'F-B6'!S48</f>
        <v>8748.6711859999959</v>
      </c>
      <c r="AA48" s="455">
        <f>'C1-Incomes'!$KM22-'C1-Incomes'!$KN22-'F-B6'!T48</f>
        <v>23859.55937100001</v>
      </c>
      <c r="AB48" s="455">
        <f>'C1-Incomes'!$KU22-'C1-Incomes'!$KV22-'F-B6'!U48</f>
        <v>19924.186233</v>
      </c>
      <c r="AC48" s="455">
        <f>'C1-Incomes'!$LK22-'C1-Incomes'!$LM22-'F-B6'!V48</f>
        <v>1441.4495732199998</v>
      </c>
      <c r="AD48" s="1013"/>
      <c r="AE48" s="1013">
        <f>C48*'C1-Incomes'!R22</f>
        <v>406308.96823400003</v>
      </c>
      <c r="AG48" s="1341">
        <f t="shared" si="11"/>
        <v>0.1958570090109098</v>
      </c>
      <c r="AH48" s="1341">
        <f t="shared" si="12"/>
        <v>3.1628434555249475E-2</v>
      </c>
      <c r="AI48" s="1341">
        <f t="shared" si="13"/>
        <v>7.3094558195663248E-3</v>
      </c>
      <c r="AJ48" s="1341">
        <f t="shared" si="14"/>
        <v>2.4079652655772436E-2</v>
      </c>
      <c r="AK48" s="1341">
        <f t="shared" si="15"/>
        <v>2.1532065176965261E-2</v>
      </c>
      <c r="AL48" s="1341">
        <f t="shared" si="16"/>
        <v>5.8722699316001555E-2</v>
      </c>
      <c r="AM48" s="1341">
        <f t="shared" si="17"/>
        <v>5.2584701487354765E-2</v>
      </c>
      <c r="AO48" s="1341">
        <f t="shared" si="10"/>
        <v>0.1958570090109098</v>
      </c>
    </row>
    <row r="49" spans="1:41" s="173" customFormat="1" ht="10.5" customHeight="1" x14ac:dyDescent="0.25">
      <c r="A49" s="239">
        <f t="shared" si="0"/>
        <v>1975</v>
      </c>
      <c r="B49" s="1183">
        <f>('C1-Incomes'!J23-'C1-Incomes'!K23-'F-B5'!B113)/'C1-Incomes'!J23</f>
        <v>0.21571640328955421</v>
      </c>
      <c r="C49" s="1183">
        <f>('C1-Incomes'!R23-'C1-Incomes'!S23-'F-B5'!C113)/'C1-Incomes'!R23</f>
        <v>0.27554784676087779</v>
      </c>
      <c r="D49" s="1183">
        <f>('C1-Incomes'!Z23-'C1-Incomes'!AA23-'F-B5'!D113)/'C1-Incomes'!Z23</f>
        <v>0.33530479369736765</v>
      </c>
      <c r="E49" s="1183">
        <f>('C1-Incomes'!II23-'C1-Incomes'!IJ23-'F-B5'!E113)/'C1-Incomes'!II23</f>
        <v>0.31082493316730253</v>
      </c>
      <c r="G49" s="455">
        <f t="shared" si="4"/>
        <v>10526.043158897068</v>
      </c>
      <c r="H49" s="455">
        <f>C49*'C1-Incomes'!R23*$M49/($N49*0.5)*1000</f>
        <v>14939.300984603027</v>
      </c>
      <c r="I49" s="455">
        <f t="shared" si="5"/>
        <v>16361.448068026813</v>
      </c>
      <c r="J49" s="455">
        <f>E49*'C1-Incomes'!II23*$M49/($N49*0.5)*1000</f>
        <v>12639.057695319811</v>
      </c>
      <c r="L49" s="1013">
        <f>'T-T1'!BN24</f>
        <v>1451148</v>
      </c>
      <c r="M49" s="1182">
        <f>'C0-Ref Stats'!AA21</f>
        <v>3.6075194411493343</v>
      </c>
      <c r="N49" s="1013">
        <f>'C0-Ref Stats'!R21</f>
        <v>214569.70674880844</v>
      </c>
      <c r="Q49" s="1183">
        <v>0.20269921887620512</v>
      </c>
      <c r="R49" s="1183">
        <v>0.25672216335897247</v>
      </c>
      <c r="S49" s="1220"/>
      <c r="T49" s="1220">
        <f t="shared" si="2"/>
        <v>-1.3017184413349092E-2</v>
      </c>
      <c r="U49" s="1258">
        <f t="shared" si="3"/>
        <v>-7.8582630338395187E-2</v>
      </c>
      <c r="W49" s="455">
        <f>'C1-Incomes'!$JG23-'C1-Incomes'!$JH23-'F-B6'!P49</f>
        <v>9429.4947949999987</v>
      </c>
      <c r="X49" s="455">
        <f>'C1-Incomes'!$JO23-'C1-Incomes'!$JP23-'F-B6'!Q49</f>
        <v>2627.5167135999982</v>
      </c>
      <c r="Y49" s="455">
        <f>'C1-Incomes'!$JW23-'C1-Incomes'!$JX23-'F-B6'!R49</f>
        <v>8693.3049860000028</v>
      </c>
      <c r="Z49" s="455">
        <f>'C1-Incomes'!$KE23-'C1-Incomes'!$KF23-'F-B6'!S49</f>
        <v>8941.0665470000022</v>
      </c>
      <c r="AA49" s="455">
        <f>'C1-Incomes'!$KM23-'C1-Incomes'!$KN23-'F-B6'!T49</f>
        <v>24043.782979000011</v>
      </c>
      <c r="AB49" s="455">
        <f>'C1-Incomes'!$KU23-'C1-Incomes'!$KV23-'F-B6'!U49</f>
        <v>20731.476506999999</v>
      </c>
      <c r="AC49" s="455">
        <f>'C1-Incomes'!$LK23-'C1-Incomes'!$LM23-'F-B6'!V49</f>
        <v>1465.0233023400001</v>
      </c>
      <c r="AD49" s="1013"/>
      <c r="AE49" s="1013">
        <f>C49*'C1-Incomes'!R23</f>
        <v>444283.32038000005</v>
      </c>
      <c r="AG49" s="1341">
        <f t="shared" si="11"/>
        <v>0.17090820732363954</v>
      </c>
      <c r="AH49" s="1341">
        <f t="shared" si="12"/>
        <v>2.1224057628215384E-2</v>
      </c>
      <c r="AI49" s="1341">
        <f t="shared" si="13"/>
        <v>5.914056623491191E-3</v>
      </c>
      <c r="AJ49" s="1341">
        <f t="shared" si="14"/>
        <v>1.9567029837097037E-2</v>
      </c>
      <c r="AK49" s="1341">
        <f t="shared" si="15"/>
        <v>2.0124695519410041E-2</v>
      </c>
      <c r="AL49" s="1341">
        <f t="shared" si="16"/>
        <v>5.4118131102547623E-2</v>
      </c>
      <c r="AM49" s="1341">
        <f t="shared" si="17"/>
        <v>4.996023661287826E-2</v>
      </c>
      <c r="AO49" s="1341">
        <f>AG49</f>
        <v>0.17090820732363954</v>
      </c>
    </row>
    <row r="50" spans="1:41" s="173" customFormat="1" ht="10.5" customHeight="1" x14ac:dyDescent="0.25">
      <c r="A50" s="239">
        <f t="shared" si="0"/>
        <v>1976</v>
      </c>
      <c r="B50" s="1183">
        <f>('C1-Incomes'!J24-'C1-Incomes'!K24-'F-B5'!B114)/'C1-Incomes'!J24</f>
        <v>0.21850693347259359</v>
      </c>
      <c r="C50" s="1183">
        <f>('C1-Incomes'!R24-'C1-Incomes'!S24-'F-B5'!C114)/'C1-Incomes'!R24</f>
        <v>0.277423025191672</v>
      </c>
      <c r="D50" s="1183">
        <f>('C1-Incomes'!Z24-'C1-Incomes'!AA24-'F-B5'!D114)/'C1-Incomes'!Z24</f>
        <v>0.33418301962160907</v>
      </c>
      <c r="E50" s="1183">
        <f>('C1-Incomes'!II24-'C1-Incomes'!IJ24-'F-B5'!E114)/'C1-Incomes'!II24</f>
        <v>0.31443655925751413</v>
      </c>
      <c r="G50" s="455">
        <f t="shared" si="4"/>
        <v>11103.897326751539</v>
      </c>
      <c r="H50" s="455">
        <f>C50*'C1-Incomes'!R24*$M50/($N50*0.5)*1000</f>
        <v>15630.801784335446</v>
      </c>
      <c r="I50" s="455">
        <f t="shared" si="5"/>
        <v>16982.225136977468</v>
      </c>
      <c r="J50" s="455">
        <f>E50*'C1-Incomes'!II24*$M50/($N50*0.5)*1000</f>
        <v>13132.53651343337</v>
      </c>
      <c r="L50" s="1013">
        <f>'T-T1'!BN25</f>
        <v>1614767</v>
      </c>
      <c r="M50" s="1182">
        <f>'C0-Ref Stats'!AA22</f>
        <v>3.4198919189079438</v>
      </c>
      <c r="N50" s="1013">
        <f>'C0-Ref Stats'!R22</f>
        <v>217341.18312025352</v>
      </c>
      <c r="Q50" s="1183">
        <v>0.20211716857727424</v>
      </c>
      <c r="R50" s="1183">
        <v>0.25773316899926613</v>
      </c>
      <c r="S50" s="1220"/>
      <c r="T50" s="1220">
        <f t="shared" si="2"/>
        <v>-1.6389764895319348E-2</v>
      </c>
      <c r="U50" s="1258">
        <f t="shared" si="3"/>
        <v>-7.6449850622342941E-2</v>
      </c>
      <c r="W50" s="455">
        <f>'C1-Incomes'!$JG24-'C1-Incomes'!$JH24-'F-B6'!P50</f>
        <v>11382.648761000019</v>
      </c>
      <c r="X50" s="455">
        <f>'C1-Incomes'!$JO24-'C1-Incomes'!$JP24-'F-B6'!Q50</f>
        <v>3657.3521189999992</v>
      </c>
      <c r="Y50" s="455">
        <f>'C1-Incomes'!$JW24-'C1-Incomes'!$JX24-'F-B6'!R50</f>
        <v>10608.813579999998</v>
      </c>
      <c r="Z50" s="455">
        <f>'C1-Incomes'!$KE24-'C1-Incomes'!$KF24-'F-B6'!S50</f>
        <v>9552.6408159999992</v>
      </c>
      <c r="AA50" s="455">
        <f>'C1-Incomes'!$KM24-'C1-Incomes'!$KN24-'F-B6'!T50</f>
        <v>27136.536343000007</v>
      </c>
      <c r="AB50" s="455">
        <f>'C1-Incomes'!$KU24-'C1-Incomes'!$KV24-'F-B6'!U50</f>
        <v>22257.516415000006</v>
      </c>
      <c r="AC50" s="455">
        <f>'C1-Incomes'!$LK24-'C1-Incomes'!$LM24-'F-B6'!V50</f>
        <v>1647.3425875899998</v>
      </c>
      <c r="AD50" s="1013"/>
      <c r="AE50" s="1013">
        <f>C50*'C1-Incomes'!R24</f>
        <v>496684.84172599984</v>
      </c>
      <c r="AG50" s="1341">
        <f t="shared" si="11"/>
        <v>0.17363696931416842</v>
      </c>
      <c r="AH50" s="1341">
        <f t="shared" si="12"/>
        <v>2.291724611817195E-2</v>
      </c>
      <c r="AI50" s="1341">
        <f t="shared" si="13"/>
        <v>7.3635267512705913E-3</v>
      </c>
      <c r="AJ50" s="1341">
        <f t="shared" si="14"/>
        <v>2.1359245720352454E-2</v>
      </c>
      <c r="AK50" s="1341">
        <f t="shared" si="15"/>
        <v>1.9232801192007768E-2</v>
      </c>
      <c r="AL50" s="1341">
        <f t="shared" si="16"/>
        <v>5.4635322166666993E-2</v>
      </c>
      <c r="AM50" s="1341">
        <f t="shared" si="17"/>
        <v>4.8128827365698651E-2</v>
      </c>
      <c r="AO50" s="1341">
        <f>(SUM(W50:AC50)-'T-T2'!S25)/(AE50-'T-T2'!S25)</f>
        <v>0.17151690862239916</v>
      </c>
    </row>
    <row r="51" spans="1:41" s="173" customFormat="1" ht="10.5" customHeight="1" x14ac:dyDescent="0.25">
      <c r="A51" s="239">
        <f t="shared" si="0"/>
        <v>1977</v>
      </c>
      <c r="B51" s="1183">
        <f>('C1-Incomes'!J25-'C1-Incomes'!K25-'F-B5'!B115)/'C1-Incomes'!J25</f>
        <v>0.22057241362864669</v>
      </c>
      <c r="C51" s="1183">
        <f>('C1-Incomes'!R25-'C1-Incomes'!S25-'F-B5'!C115)/'C1-Incomes'!R25</f>
        <v>0.2769810103869616</v>
      </c>
      <c r="D51" s="1183">
        <f>('C1-Incomes'!Z25-'C1-Incomes'!AA25-'F-B5'!D115)/'C1-Incomes'!Z25</f>
        <v>0.33089221028396931</v>
      </c>
      <c r="E51" s="1183">
        <f>('C1-Incomes'!II25-'C1-Incomes'!IJ25-'F-B5'!E115)/'C1-Incomes'!II25</f>
        <v>0.31370627329569784</v>
      </c>
      <c r="G51" s="455">
        <f t="shared" si="4"/>
        <v>11770.438029479541</v>
      </c>
      <c r="H51" s="455">
        <f>C51*'C1-Incomes'!R25*$M51/($N51*0.5)*1000</f>
        <v>16319.201180824784</v>
      </c>
      <c r="I51" s="455">
        <f t="shared" si="5"/>
        <v>17657.44950382656</v>
      </c>
      <c r="J51" s="455">
        <f>E51*'C1-Incomes'!II25*$M51/($N51*0.5)*1000</f>
        <v>13613.101192882927</v>
      </c>
      <c r="L51" s="1013">
        <f>'T-T1'!BN26</f>
        <v>1798653</v>
      </c>
      <c r="M51" s="1182">
        <f>'C0-Ref Stats'!AA23</f>
        <v>3.2114341028423921</v>
      </c>
      <c r="N51" s="1013">
        <f>'C0-Ref Stats'!R23</f>
        <v>216488.56781218035</v>
      </c>
      <c r="Q51" s="1183">
        <v>0.20028216234638307</v>
      </c>
      <c r="R51" s="1183">
        <v>0.25606545875467646</v>
      </c>
      <c r="S51" s="1220"/>
      <c r="T51" s="1220">
        <f t="shared" si="2"/>
        <v>-2.0290251282263611E-2</v>
      </c>
      <c r="U51" s="1258">
        <f t="shared" si="3"/>
        <v>-7.4826751529292856E-2</v>
      </c>
      <c r="W51" s="455">
        <f>'C1-Incomes'!$JG25-'C1-Incomes'!$JH25-'F-B6'!P51</f>
        <v>12417.628457000013</v>
      </c>
      <c r="X51" s="455">
        <f>'C1-Incomes'!$JO25-'C1-Incomes'!$JP25-'F-B6'!Q51</f>
        <v>3866.1029479999979</v>
      </c>
      <c r="Y51" s="455">
        <f>'C1-Incomes'!$JW25-'C1-Incomes'!$JX25-'F-B6'!R51</f>
        <v>13104.386361000001</v>
      </c>
      <c r="Z51" s="455">
        <f>'C1-Incomes'!$KE25-'C1-Incomes'!$KF25-'F-B6'!S51</f>
        <v>10528.018163000001</v>
      </c>
      <c r="AA51" s="455">
        <f>'C1-Incomes'!$KM25-'C1-Incomes'!$KN25-'F-B6'!T51</f>
        <v>31100.138032999996</v>
      </c>
      <c r="AB51" s="455">
        <f>'C1-Incomes'!$KU25-'C1-Incomes'!$KV25-'F-B6'!U51</f>
        <v>24314.731946</v>
      </c>
      <c r="AC51" s="455">
        <f>'C1-Incomes'!$LK25-'C1-Incomes'!$LM25-'F-B6'!V51</f>
        <v>2128.4116658899998</v>
      </c>
      <c r="AD51" s="1013"/>
      <c r="AE51" s="1013">
        <f>C51*'C1-Incomes'!R25</f>
        <v>550053.39956200018</v>
      </c>
      <c r="AG51" s="1341">
        <f t="shared" si="11"/>
        <v>0.17718173844847712</v>
      </c>
      <c r="AH51" s="1341">
        <f t="shared" si="12"/>
        <v>2.2575314445630181E-2</v>
      </c>
      <c r="AI51" s="1341">
        <f t="shared" si="13"/>
        <v>7.0285956801258232E-3</v>
      </c>
      <c r="AJ51" s="1341">
        <f t="shared" si="14"/>
        <v>2.3823843960304292E-2</v>
      </c>
      <c r="AK51" s="1341">
        <f t="shared" si="15"/>
        <v>1.9139992901386144E-2</v>
      </c>
      <c r="AL51" s="1341">
        <f t="shared" si="16"/>
        <v>5.6540216018598558E-2</v>
      </c>
      <c r="AM51" s="1341">
        <f t="shared" si="17"/>
        <v>4.8073775442432139E-2</v>
      </c>
      <c r="AO51" s="1341">
        <f>(SUM(W51:AC51)-'T-T2'!S26)/(AE51-'T-T2'!S26)</f>
        <v>0.17528958662739033</v>
      </c>
    </row>
    <row r="52" spans="1:41" s="173" customFormat="1" ht="10.5" customHeight="1" x14ac:dyDescent="0.25">
      <c r="A52" s="239">
        <f t="shared" si="0"/>
        <v>1978</v>
      </c>
      <c r="B52" s="1183">
        <f>('C1-Incomes'!J26-'C1-Incomes'!K26-'F-B5'!B116)/'C1-Incomes'!J26</f>
        <v>0.22338228409232966</v>
      </c>
      <c r="C52" s="1183">
        <f>('C1-Incomes'!R26-'C1-Incomes'!S26-'F-B5'!C116)/'C1-Incomes'!R26</f>
        <v>0.27738983705414527</v>
      </c>
      <c r="D52" s="1183">
        <f>('C1-Incomes'!Z26-'C1-Incomes'!AA26-'F-B5'!D116)/'C1-Incomes'!Z26</f>
        <v>0.32787343814029074</v>
      </c>
      <c r="E52" s="1183">
        <f>('C1-Incomes'!II26-'C1-Incomes'!IJ26-'F-B5'!E116)/'C1-Incomes'!II26</f>
        <v>0.312745510340384</v>
      </c>
      <c r="G52" s="455">
        <f t="shared" si="4"/>
        <v>12394.937252215213</v>
      </c>
      <c r="H52" s="455">
        <f>C52*'C1-Incomes'!R26*$M52/($N52*0.5)*1000</f>
        <v>16915.398327538427</v>
      </c>
      <c r="I52" s="455">
        <f t="shared" si="5"/>
        <v>18192.89613287877</v>
      </c>
      <c r="J52" s="455">
        <f>E52*'C1-Incomes'!II26*$M52/($N52*0.5)*1000</f>
        <v>14025.143910055058</v>
      </c>
      <c r="L52" s="1013">
        <f>'T-T1'!BN27</f>
        <v>2029939</v>
      </c>
      <c r="M52" s="1182">
        <f>'C0-Ref Stats'!AA24</f>
        <v>3.0012061734148414</v>
      </c>
      <c r="N52" s="1013">
        <f>'C0-Ref Stats'!R24</f>
        <v>219590.32881160971</v>
      </c>
      <c r="Q52" s="1183">
        <v>0.19975558070290589</v>
      </c>
      <c r="R52" s="1183">
        <v>0.25447503494719115</v>
      </c>
      <c r="S52" s="1220"/>
      <c r="T52" s="1220">
        <f t="shared" si="2"/>
        <v>-2.362670338942377E-2</v>
      </c>
      <c r="U52" s="1258">
        <f t="shared" si="3"/>
        <v>-7.3398403193099593E-2</v>
      </c>
      <c r="W52" s="455">
        <f>'C1-Incomes'!$JG26-'C1-Incomes'!$JH26-'F-B6'!P52</f>
        <v>16038.545720999988</v>
      </c>
      <c r="X52" s="455">
        <f>'C1-Incomes'!$JO26-'C1-Incomes'!$JP26-'F-B6'!Q52</f>
        <v>5122.0025259999984</v>
      </c>
      <c r="Y52" s="455">
        <f>'C1-Incomes'!$JW26-'C1-Incomes'!$JX26-'F-B6'!R52</f>
        <v>15437.785152</v>
      </c>
      <c r="Z52" s="455">
        <f>'C1-Incomes'!$KE26-'C1-Incomes'!$KF26-'F-B6'!S52</f>
        <v>11163.838525000003</v>
      </c>
      <c r="AA52" s="455">
        <f>'C1-Incomes'!$KM26-'C1-Incomes'!$KN26-'F-B6'!T52</f>
        <v>35516.618073999998</v>
      </c>
      <c r="AB52" s="455">
        <f>'C1-Incomes'!$KU26-'C1-Incomes'!$KV26-'F-B6'!U52</f>
        <v>27381.403154000007</v>
      </c>
      <c r="AC52" s="455">
        <f>'C1-Incomes'!$LK26-'C1-Incomes'!$LM26-'F-B6'!V52</f>
        <v>1667.8544799800006</v>
      </c>
      <c r="AD52" s="1013"/>
      <c r="AE52" s="1013">
        <f>C52*'C1-Incomes'!R26</f>
        <v>618827.50902400026</v>
      </c>
      <c r="AG52" s="1341">
        <f t="shared" si="11"/>
        <v>0.18151754082351812</v>
      </c>
      <c r="AH52" s="1341">
        <f t="shared" si="12"/>
        <v>2.5917635346068557E-2</v>
      </c>
      <c r="AI52" s="1341">
        <f t="shared" si="13"/>
        <v>8.2769470511714922E-3</v>
      </c>
      <c r="AJ52" s="1341">
        <f t="shared" si="14"/>
        <v>2.4946830783828762E-2</v>
      </c>
      <c r="AK52" s="1341">
        <f t="shared" si="15"/>
        <v>1.8040307455961902E-2</v>
      </c>
      <c r="AL52" s="1341">
        <f t="shared" si="16"/>
        <v>5.7393405361077024E-2</v>
      </c>
      <c r="AM52" s="1341">
        <f t="shared" si="17"/>
        <v>4.6942414825410381E-2</v>
      </c>
      <c r="AO52" s="1341">
        <f>(SUM(W52:AC52)-'T-T2'!S27)/(AE52-'T-T2'!S27)</f>
        <v>0.18001757501471413</v>
      </c>
    </row>
    <row r="53" spans="1:41" s="173" customFormat="1" ht="10.5" customHeight="1" x14ac:dyDescent="0.25">
      <c r="A53" s="239">
        <f t="shared" si="0"/>
        <v>1979</v>
      </c>
      <c r="B53" s="1183">
        <f>('C1-Incomes'!J27-'C1-Incomes'!K27-'F-B5'!B117)/'C1-Incomes'!J27</f>
        <v>0.22039115997543643</v>
      </c>
      <c r="C53" s="1183">
        <f>('C1-Incomes'!R27-'C1-Incomes'!S27-'F-B5'!C117)/'C1-Incomes'!R27</f>
        <v>0.275131859158949</v>
      </c>
      <c r="D53" s="1183">
        <f>('C1-Incomes'!Z27-'C1-Incomes'!AA27-'F-B5'!D117)/'C1-Incomes'!Z27</f>
        <v>0.327121573608532</v>
      </c>
      <c r="E53" s="1183">
        <f>('C1-Incomes'!II27-'C1-Incomes'!IJ27-'F-B5'!E117)/'C1-Incomes'!II27</f>
        <v>0.31268249326511771</v>
      </c>
      <c r="G53" s="455">
        <f t="shared" si="4"/>
        <v>12191.1187284389</v>
      </c>
      <c r="H53" s="455">
        <f>C53*'C1-Incomes'!R27*$M53/($N53*0.5)*1000</f>
        <v>16739.703463246002</v>
      </c>
      <c r="I53" s="455">
        <f t="shared" si="5"/>
        <v>18094.999558693082</v>
      </c>
      <c r="J53" s="455">
        <f>E53*'C1-Incomes'!II27*$M53/($N53*0.5)*1000</f>
        <v>13929.439929567687</v>
      </c>
      <c r="L53" s="1013">
        <f>'T-T1'!BN28</f>
        <v>2248153</v>
      </c>
      <c r="M53" s="1182">
        <f>'C0-Ref Stats'!AA25</f>
        <v>2.7567356599687769</v>
      </c>
      <c r="N53" s="1013">
        <f>'C0-Ref Stats'!R25</f>
        <v>224079.22504009269</v>
      </c>
      <c r="Q53" s="1183">
        <v>0.20078200101852417</v>
      </c>
      <c r="R53" s="1183">
        <v>0.25530308485031128</v>
      </c>
      <c r="S53" s="1220"/>
      <c r="T53" s="1220">
        <f t="shared" si="2"/>
        <v>-1.9609158956912259E-2</v>
      </c>
      <c r="U53" s="1258">
        <f t="shared" si="3"/>
        <v>-7.1818488758220722E-2</v>
      </c>
      <c r="W53" s="455">
        <f>'C1-Incomes'!$JG27-'C1-Incomes'!$JH27-'F-B6'!P53</f>
        <v>18354.94709799999</v>
      </c>
      <c r="X53" s="455">
        <f>'C1-Incomes'!$JO27-'C1-Incomes'!$JP27-'F-B6'!Q53</f>
        <v>4503.6361479999978</v>
      </c>
      <c r="Y53" s="455">
        <f>'C1-Incomes'!$JW27-'C1-Incomes'!$JX27-'F-B6'!R53</f>
        <v>16246.450249000005</v>
      </c>
      <c r="Z53" s="455">
        <f>'C1-Incomes'!$KE27-'C1-Incomes'!$KF27-'F-B6'!S53</f>
        <v>11660.632784999998</v>
      </c>
      <c r="AA53" s="455">
        <f>'C1-Incomes'!$KM27-'C1-Incomes'!$KN27-'F-B6'!T53</f>
        <v>39765.632663000011</v>
      </c>
      <c r="AB53" s="455">
        <f>'C1-Incomes'!$KU27-'C1-Incomes'!$KV27-'F-B6'!U53</f>
        <v>30337.054482</v>
      </c>
      <c r="AC53" s="455">
        <f>'C1-Incomes'!$LK27-'C1-Incomes'!$LM27-'F-B6'!V53</f>
        <v>1746.2003062500003</v>
      </c>
      <c r="AD53" s="1013"/>
      <c r="AE53" s="1013">
        <f>C53*'C1-Incomes'!R27</f>
        <v>680337.22527599987</v>
      </c>
      <c r="AG53" s="1341">
        <f t="shared" si="11"/>
        <v>0.18022614253028357</v>
      </c>
      <c r="AH53" s="1341">
        <f t="shared" si="12"/>
        <v>2.6979189754836267E-2</v>
      </c>
      <c r="AI53" s="1341">
        <f t="shared" si="13"/>
        <v>6.6197114911255347E-3</v>
      </c>
      <c r="AJ53" s="1341">
        <f t="shared" si="14"/>
        <v>2.3879996045209975E-2</v>
      </c>
      <c r="AK53" s="1341">
        <f t="shared" si="15"/>
        <v>1.7139489582198741E-2</v>
      </c>
      <c r="AL53" s="1341">
        <f t="shared" si="16"/>
        <v>5.8449885124054253E-2</v>
      </c>
      <c r="AM53" s="1341">
        <f t="shared" si="17"/>
        <v>4.715787053285881E-2</v>
      </c>
      <c r="AO53" s="1341">
        <f>(SUM(W53:AC53)-'T-T2'!S28)/(AE53-'T-T2'!S28)</f>
        <v>0.17893602145435802</v>
      </c>
    </row>
    <row r="54" spans="1:41" s="173" customFormat="1" ht="10.5" customHeight="1" x14ac:dyDescent="0.25">
      <c r="A54" s="239">
        <f t="shared" si="0"/>
        <v>1980</v>
      </c>
      <c r="B54" s="1183">
        <f>('C1-Incomes'!J28-'C1-Incomes'!K28-'F-B5'!B118)/'C1-Incomes'!J28</f>
        <v>0.21349316632192744</v>
      </c>
      <c r="C54" s="1183">
        <f>('C1-Incomes'!R28-'C1-Incomes'!S28-'F-B5'!C118)/'C1-Incomes'!R28</f>
        <v>0.27398359070063383</v>
      </c>
      <c r="D54" s="1183">
        <f>('C1-Incomes'!Z28-'C1-Incomes'!AA28-'F-B5'!D118)/'C1-Incomes'!Z28</f>
        <v>0.33068152385122168</v>
      </c>
      <c r="E54" s="1183">
        <f>('C1-Incomes'!II28-'C1-Incomes'!IJ28-'F-B5'!E118)/'C1-Incomes'!II28</f>
        <v>0.3137998302226821</v>
      </c>
      <c r="G54" s="455">
        <f t="shared" si="4"/>
        <v>11305.97272831111</v>
      </c>
      <c r="H54" s="455">
        <f>C54*'C1-Incomes'!R28*$M54/($N54*0.5)*1000</f>
        <v>16114.644605048095</v>
      </c>
      <c r="I54" s="455">
        <f t="shared" si="5"/>
        <v>17511.924877167745</v>
      </c>
      <c r="J54" s="455">
        <f>E54*'C1-Incomes'!II28*$M54/($N54*0.5)*1000</f>
        <v>13515.892425840804</v>
      </c>
      <c r="L54" s="1013">
        <f>'T-T1'!BN29</f>
        <v>2426752</v>
      </c>
      <c r="M54" s="1182">
        <f>'C0-Ref Stats'!AA26</f>
        <v>2.4894492700895898</v>
      </c>
      <c r="N54" s="1013">
        <f>'C0-Ref Stats'!R26</f>
        <v>228157.48309500003</v>
      </c>
      <c r="Q54" s="1183">
        <v>0.19892722368240356</v>
      </c>
      <c r="R54" s="1183">
        <v>0.25640022754669189</v>
      </c>
      <c r="S54" s="1220"/>
      <c r="T54" s="1220">
        <f t="shared" si="2"/>
        <v>-1.4565942639523877E-2</v>
      </c>
      <c r="U54" s="1258">
        <f t="shared" si="3"/>
        <v>-7.4281296304529787E-2</v>
      </c>
      <c r="W54" s="455">
        <f>'C1-Incomes'!$JG28-'C1-Incomes'!$JH28-'F-B6'!P54</f>
        <v>20312.756160000004</v>
      </c>
      <c r="X54" s="455">
        <f>'C1-Incomes'!$JO28-'C1-Incomes'!$JP28-'F-B6'!Q54</f>
        <v>4521.0618180000019</v>
      </c>
      <c r="Y54" s="455">
        <f>'C1-Incomes'!$JW28-'C1-Incomes'!$JX28-'F-B6'!R54</f>
        <v>14344.366238999999</v>
      </c>
      <c r="Z54" s="455">
        <f>'C1-Incomes'!$KE28-'C1-Incomes'!$KF28-'F-B6'!S54</f>
        <v>12453.863544999997</v>
      </c>
      <c r="AA54" s="455">
        <f>'C1-Incomes'!$KM28-'C1-Incomes'!$KN28-'F-B6'!T54</f>
        <v>40314.560209000003</v>
      </c>
      <c r="AB54" s="455">
        <f>'C1-Incomes'!$KU28-'C1-Incomes'!$KV28-'F-B6'!U54</f>
        <v>33510.373414999995</v>
      </c>
      <c r="AC54" s="455">
        <f>'C1-Incomes'!$LK28-'C1-Incomes'!$LM28-'F-B6'!V54</f>
        <v>2013.2923829200008</v>
      </c>
      <c r="AD54" s="1013"/>
      <c r="AE54" s="1013">
        <f>C54*'C1-Incomes'!R28</f>
        <v>738451.83314899984</v>
      </c>
      <c r="AG54" s="1341">
        <f t="shared" si="11"/>
        <v>0.17261826438339942</v>
      </c>
      <c r="AH54" s="1341">
        <f t="shared" si="12"/>
        <v>2.7507218816669163E-2</v>
      </c>
      <c r="AI54" s="1341">
        <f t="shared" si="13"/>
        <v>6.1223516755598232E-3</v>
      </c>
      <c r="AJ54" s="1341">
        <f t="shared" si="14"/>
        <v>1.9424917909447031E-2</v>
      </c>
      <c r="AK54" s="1341">
        <f t="shared" si="15"/>
        <v>1.6864828531730571E-2</v>
      </c>
      <c r="AL54" s="1341">
        <f t="shared" si="16"/>
        <v>5.4593351115516296E-2</v>
      </c>
      <c r="AM54" s="1341">
        <f t="shared" si="17"/>
        <v>4.8105596334476523E-2</v>
      </c>
      <c r="AO54" s="1341">
        <f>(SUM(W54:AC54)-'T-T2'!S29)/(AE54-'T-T2'!S29)</f>
        <v>0.17039047427487247</v>
      </c>
    </row>
    <row r="55" spans="1:41" s="173" customFormat="1" ht="10.5" customHeight="1" x14ac:dyDescent="0.25">
      <c r="A55" s="239">
        <f t="shared" si="0"/>
        <v>1981</v>
      </c>
      <c r="B55" s="1183">
        <f>('C1-Incomes'!J29-'C1-Incomes'!K29-'F-B5'!B119)/'C1-Incomes'!J29</f>
        <v>0.21380412551157588</v>
      </c>
      <c r="C55" s="1183">
        <f>('C1-Incomes'!R29-'C1-Incomes'!S29-'F-B5'!C119)/'C1-Incomes'!R29</f>
        <v>0.2732803069895014</v>
      </c>
      <c r="D55" s="1183">
        <f>('C1-Incomes'!Z29-'C1-Incomes'!AA29-'F-B5'!D119)/'C1-Incomes'!Z29</f>
        <v>0.32989848333955929</v>
      </c>
      <c r="E55" s="1183">
        <f>('C1-Incomes'!II29-'C1-Incomes'!IJ29-'F-B5'!E119)/'C1-Incomes'!II29</f>
        <v>0.31378932071235094</v>
      </c>
      <c r="G55" s="455">
        <f t="shared" si="4"/>
        <v>11573.85790450987</v>
      </c>
      <c r="H55" s="455">
        <f>C55*'C1-Incomes'!R29*$M55/($N55*0.5)*1000</f>
        <v>16446.05281417643</v>
      </c>
      <c r="I55" s="455">
        <f t="shared" si="5"/>
        <v>17858.393330575138</v>
      </c>
      <c r="J55" s="455">
        <f>E55*'C1-Incomes'!II29*$M55/($N55*0.5)*1000</f>
        <v>13735.237197887085</v>
      </c>
      <c r="L55" s="1013">
        <f>'T-T1'!BN30</f>
        <v>2722132</v>
      </c>
      <c r="M55" s="1182">
        <f>'C0-Ref Stats'!AA27</f>
        <v>2.2852341988811888</v>
      </c>
      <c r="N55" s="1013">
        <f>'C0-Ref Stats'!R27</f>
        <v>229830.58696077392</v>
      </c>
      <c r="Q55" s="1183">
        <v>0.19509440660476685</v>
      </c>
      <c r="R55" s="1183">
        <v>0.25074797868728638</v>
      </c>
      <c r="S55" s="1220"/>
      <c r="T55" s="1220">
        <f t="shared" si="2"/>
        <v>-1.8709718906809031E-2</v>
      </c>
      <c r="U55" s="1258">
        <f t="shared" si="3"/>
        <v>-7.9150504652272913E-2</v>
      </c>
      <c r="W55" s="455">
        <f>'C1-Incomes'!$JG29-'C1-Incomes'!$JH29-'F-B6'!P55</f>
        <v>24496.788529999976</v>
      </c>
      <c r="X55" s="455">
        <f>'C1-Incomes'!$JO29-'C1-Incomes'!$JP29-'F-B6'!Q55</f>
        <v>4889.0291170000019</v>
      </c>
      <c r="Y55" s="455">
        <f>'C1-Incomes'!$JW29-'C1-Incomes'!$JX29-'F-B6'!R55</f>
        <v>13307.990625999999</v>
      </c>
      <c r="Z55" s="455">
        <f>'C1-Incomes'!$KE29-'C1-Incomes'!$KF29-'F-B6'!S55</f>
        <v>14108.578693000003</v>
      </c>
      <c r="AA55" s="455">
        <f>'C1-Incomes'!$KM29-'C1-Incomes'!$KN29-'F-B6'!T55</f>
        <v>45951.801400000011</v>
      </c>
      <c r="AB55" s="455">
        <f>'C1-Incomes'!$KU29-'C1-Incomes'!$KV29-'F-B6'!U55</f>
        <v>40406.922481000001</v>
      </c>
      <c r="AC55" s="455">
        <f>'C1-Incomes'!$LK29-'C1-Incomes'!$LM29-'F-B6'!V55</f>
        <v>2122.0501268000003</v>
      </c>
      <c r="AD55" s="1013"/>
      <c r="AE55" s="1013">
        <f>C55*'C1-Incomes'!R29</f>
        <v>827006.25899100048</v>
      </c>
      <c r="AG55" s="1341">
        <f t="shared" si="11"/>
        <v>0.17567359302824934</v>
      </c>
      <c r="AH55" s="1341">
        <f t="shared" si="12"/>
        <v>2.9621043690633727E-2</v>
      </c>
      <c r="AI55" s="1341">
        <f t="shared" si="13"/>
        <v>5.911719607739032E-3</v>
      </c>
      <c r="AJ55" s="1341">
        <f t="shared" si="14"/>
        <v>1.6091765305665983E-2</v>
      </c>
      <c r="AK55" s="1341">
        <f t="shared" si="15"/>
        <v>1.7059820938010013E-2</v>
      </c>
      <c r="AL55" s="1341">
        <f t="shared" si="16"/>
        <v>5.5564030985767981E-2</v>
      </c>
      <c r="AM55" s="1341">
        <f t="shared" si="17"/>
        <v>5.1425212500432603E-2</v>
      </c>
      <c r="AO55" s="1341">
        <f>(SUM(W55:AC55)-'T-T2'!S30)/(AE55-'T-T2'!S30)</f>
        <v>0.17374234276978739</v>
      </c>
    </row>
    <row r="56" spans="1:41" s="173" customFormat="1" ht="10.5" customHeight="1" x14ac:dyDescent="0.25">
      <c r="A56" s="239">
        <f t="shared" si="0"/>
        <v>1982</v>
      </c>
      <c r="B56" s="1183">
        <f>('C1-Incomes'!J30-'C1-Incomes'!K30-'F-B5'!B120)/'C1-Incomes'!J30</f>
        <v>0.20838398598569485</v>
      </c>
      <c r="C56" s="1183">
        <f>('C1-Incomes'!R30-'C1-Incomes'!S30-'F-B5'!C120)/'C1-Incomes'!R30</f>
        <v>0.27109926197156403</v>
      </c>
      <c r="D56" s="1183">
        <f>('C1-Incomes'!Z30-'C1-Incomes'!AA30-'F-B5'!D120)/'C1-Incomes'!Z30</f>
        <v>0.33246239391281746</v>
      </c>
      <c r="E56" s="1183">
        <f>('C1-Incomes'!II30-'C1-Incomes'!IJ30-'F-B5'!E120)/'C1-Incomes'!II30</f>
        <v>0.31126462387542592</v>
      </c>
      <c r="G56" s="455">
        <f t="shared" si="4"/>
        <v>11059.913844374209</v>
      </c>
      <c r="H56" s="455">
        <f>C56*'C1-Incomes'!R30*$M56/($N56*0.5)*1000</f>
        <v>16107.703433843504</v>
      </c>
      <c r="I56" s="455">
        <f t="shared" si="5"/>
        <v>17645.335920499092</v>
      </c>
      <c r="J56" s="455">
        <f>E56*'C1-Incomes'!II30*$M56/($N56*0.5)*1000</f>
        <v>13652.995123695435</v>
      </c>
      <c r="L56" s="1013">
        <f>'T-T1'!BN31</f>
        <v>2840412</v>
      </c>
      <c r="M56" s="1182">
        <f>'C0-Ref Stats'!AA28</f>
        <v>2.1656677150713115</v>
      </c>
      <c r="N56" s="1013">
        <f>'C0-Ref Stats'!R28</f>
        <v>231801.23945745535</v>
      </c>
      <c r="Q56" s="1183">
        <v>0.18957161903381348</v>
      </c>
      <c r="R56" s="1183">
        <v>0.24354660511016846</v>
      </c>
      <c r="S56" s="1220"/>
      <c r="T56" s="1220">
        <f t="shared" si="2"/>
        <v>-1.8812366951881376E-2</v>
      </c>
      <c r="U56" s="1258">
        <f t="shared" si="3"/>
        <v>-8.8915788802648998E-2</v>
      </c>
      <c r="W56" s="455">
        <f>'C1-Incomes'!$JG30-'C1-Incomes'!$JH30-'F-B6'!P56</f>
        <v>23095.474359999978</v>
      </c>
      <c r="X56" s="455">
        <f>'C1-Incomes'!$JO30-'C1-Incomes'!$JP30-'F-B6'!Q56</f>
        <v>4706.2326779999967</v>
      </c>
      <c r="Y56" s="455">
        <f>'C1-Incomes'!$JW30-'C1-Incomes'!$JX30-'F-B6'!R56</f>
        <v>9294.8432970000031</v>
      </c>
      <c r="Z56" s="455">
        <f>'C1-Incomes'!$KE30-'C1-Incomes'!$KF30-'F-B6'!S56</f>
        <v>16014.949246000011</v>
      </c>
      <c r="AA56" s="455">
        <f>'C1-Incomes'!$KM30-'C1-Incomes'!$KN30-'F-B6'!T56</f>
        <v>46148.407680000018</v>
      </c>
      <c r="AB56" s="455">
        <f>'C1-Incomes'!$KU30-'C1-Incomes'!$KV30-'F-B6'!U56</f>
        <v>38191.089615000004</v>
      </c>
      <c r="AC56" s="455">
        <f>'C1-Incomes'!$LK30-'C1-Incomes'!$LM30-'F-B6'!V56</f>
        <v>2277.2428993399994</v>
      </c>
      <c r="AD56" s="1013"/>
      <c r="AE56" s="1013">
        <f>C56*'C1-Incomes'!R30</f>
        <v>862040.28318700008</v>
      </c>
      <c r="AG56" s="1341">
        <f t="shared" si="11"/>
        <v>0.1620901511223567</v>
      </c>
      <c r="AH56" s="1341">
        <f t="shared" si="12"/>
        <v>2.6791641655787842E-2</v>
      </c>
      <c r="AI56" s="1341">
        <f t="shared" si="13"/>
        <v>5.4594115493081736E-3</v>
      </c>
      <c r="AJ56" s="1341">
        <f t="shared" si="14"/>
        <v>1.0782376970408583E-2</v>
      </c>
      <c r="AK56" s="1341">
        <f t="shared" si="15"/>
        <v>1.857795924198815E-2</v>
      </c>
      <c r="AL56" s="1341">
        <f t="shared" si="16"/>
        <v>5.3533934063252089E-2</v>
      </c>
      <c r="AM56" s="1341">
        <f t="shared" si="17"/>
        <v>4.6944827641611869E-2</v>
      </c>
      <c r="AO56" s="1341">
        <f>(SUM(W56:AC56)-'T-T2'!S31)/(AE56-'T-T2'!S31)</f>
        <v>0.16030368816239304</v>
      </c>
    </row>
    <row r="57" spans="1:41" s="173" customFormat="1" ht="10.5" customHeight="1" x14ac:dyDescent="0.25">
      <c r="A57" s="239">
        <f t="shared" si="0"/>
        <v>1983</v>
      </c>
      <c r="B57" s="1183">
        <f>('C1-Incomes'!J31-'C1-Incomes'!K31-'F-B5'!B121)/'C1-Incomes'!J31</f>
        <v>0.20435981407678255</v>
      </c>
      <c r="C57" s="1183">
        <f>('C1-Incomes'!R31-'C1-Incomes'!S31-'F-B5'!C121)/'C1-Incomes'!R31</f>
        <v>0.26692061464072736</v>
      </c>
      <c r="D57" s="1183">
        <f>('C1-Incomes'!Z31-'C1-Incomes'!AA31-'F-B5'!D121)/'C1-Incomes'!Z31</f>
        <v>0.32613541082974401</v>
      </c>
      <c r="E57" s="1183">
        <f>('C1-Incomes'!II31-'C1-Incomes'!IJ31-'F-B5'!E121)/'C1-Incomes'!II31</f>
        <v>0.30412709873408955</v>
      </c>
      <c r="G57" s="455">
        <f t="shared" si="4"/>
        <v>11111.008960404311</v>
      </c>
      <c r="H57" s="455">
        <f>C57*'C1-Incomes'!R31*$M57/($N57*0.5)*1000</f>
        <v>16249.188912656698</v>
      </c>
      <c r="I57" s="455">
        <f t="shared" si="5"/>
        <v>17731.927817633088</v>
      </c>
      <c r="J57" s="455">
        <f>E57*'C1-Incomes'!II31*$M57/($N57*0.5)*1000</f>
        <v>13779.972580922939</v>
      </c>
      <c r="L57" s="1013">
        <f>'T-T1'!BN32</f>
        <v>3060514</v>
      </c>
      <c r="M57" s="1182">
        <f>'C0-Ref Stats'!AA29</f>
        <v>2.0762957765176657</v>
      </c>
      <c r="N57" s="1013">
        <f>'C0-Ref Stats'!R29</f>
        <v>233752.13581434626</v>
      </c>
      <c r="Q57" s="1183">
        <v>0.18307822942733765</v>
      </c>
      <c r="R57" s="1183">
        <v>0.23477107286453247</v>
      </c>
      <c r="S57" s="1220"/>
      <c r="T57" s="1220">
        <f t="shared" si="2"/>
        <v>-2.1281584649444907E-2</v>
      </c>
      <c r="U57" s="1258">
        <f t="shared" si="3"/>
        <v>-9.1364337965211539E-2</v>
      </c>
      <c r="W57" s="455">
        <f>'C1-Incomes'!$JG31-'C1-Incomes'!$JH31-'F-B6'!P57</f>
        <v>21186.727110000036</v>
      </c>
      <c r="X57" s="455">
        <f>'C1-Incomes'!$JO31-'C1-Incomes'!$JP31-'F-B6'!Q57</f>
        <v>4653.7984120000001</v>
      </c>
      <c r="Y57" s="455">
        <f>'C1-Incomes'!$JW31-'C1-Incomes'!$JX31-'F-B6'!R57</f>
        <v>11656.487937000005</v>
      </c>
      <c r="Z57" s="455">
        <f>'C1-Incomes'!$KE31-'C1-Incomes'!$KF31-'F-B6'!S57</f>
        <v>17107.392110000001</v>
      </c>
      <c r="AA57" s="455">
        <f>'C1-Incomes'!$KM31-'C1-Incomes'!$KN31-'F-B6'!T57</f>
        <v>51028.998200000002</v>
      </c>
      <c r="AB57" s="455">
        <f>'C1-Incomes'!$KU31-'C1-Incomes'!$KV31-'F-B6'!U57</f>
        <v>39574.686088999995</v>
      </c>
      <c r="AC57" s="455">
        <f>'C1-Incomes'!$LK31-'C1-Incomes'!$LM31-'F-B6'!V57</f>
        <v>1831.0208322099998</v>
      </c>
      <c r="AD57" s="1013"/>
      <c r="AE57" s="1013">
        <f>C57*'C1-Incomes'!R31</f>
        <v>914677.63324999972</v>
      </c>
      <c r="AG57" s="1341">
        <f t="shared" si="11"/>
        <v>0.16075511780883495</v>
      </c>
      <c r="AH57" s="1341">
        <f t="shared" si="12"/>
        <v>2.3163053670307996E-2</v>
      </c>
      <c r="AI57" s="1341">
        <f t="shared" si="13"/>
        <v>5.0879110222300837E-3</v>
      </c>
      <c r="AJ57" s="1341">
        <f t="shared" si="14"/>
        <v>1.2743820897404685E-2</v>
      </c>
      <c r="AK57" s="1341">
        <f t="shared" si="15"/>
        <v>1.8703192784122892E-2</v>
      </c>
      <c r="AL57" s="1341">
        <f t="shared" si="16"/>
        <v>5.5789052169872788E-2</v>
      </c>
      <c r="AM57" s="1341">
        <f t="shared" si="17"/>
        <v>4.5268087264896513E-2</v>
      </c>
      <c r="AO57" s="1341">
        <f>(SUM(W57:AC57)-'T-T2'!S32)/(AE57-'T-T2'!S32)</f>
        <v>0.15912886065393125</v>
      </c>
    </row>
    <row r="58" spans="1:41" s="173" customFormat="1" ht="10.5" customHeight="1" x14ac:dyDescent="0.25">
      <c r="A58" s="239">
        <f t="shared" si="0"/>
        <v>1984</v>
      </c>
      <c r="B58" s="1183">
        <f>('C1-Incomes'!J32-'C1-Incomes'!K32-'F-B5'!B122)/'C1-Incomes'!J32</f>
        <v>0.20629974709949608</v>
      </c>
      <c r="C58" s="1183">
        <f>('C1-Incomes'!R32-'C1-Incomes'!S32-'F-B5'!C122)/'C1-Incomes'!R32</f>
        <v>0.26280823986300716</v>
      </c>
      <c r="D58" s="1183">
        <f>('C1-Incomes'!Z32-'C1-Incomes'!AA32-'F-B5'!D122)/'C1-Incomes'!Z32</f>
        <v>0.31556168483488733</v>
      </c>
      <c r="E58" s="1183">
        <f>('C1-Incomes'!II32-'C1-Incomes'!IJ32-'F-B5'!E122)/'C1-Incomes'!II32</f>
        <v>0.2961113355997923</v>
      </c>
      <c r="G58" s="455">
        <f t="shared" si="4"/>
        <v>11981.794593351178</v>
      </c>
      <c r="H58" s="455">
        <f>C58*'C1-Incomes'!R32*$M58/($N58*0.5)*1000</f>
        <v>16929.078472188525</v>
      </c>
      <c r="I58" s="455">
        <f t="shared" si="5"/>
        <v>18327.677771703278</v>
      </c>
      <c r="J58" s="455">
        <f>E58*'C1-Incomes'!II32*$M58/($N58*0.5)*1000</f>
        <v>14229.670200761526</v>
      </c>
      <c r="L58" s="1013">
        <f>'T-T1'!BN33</f>
        <v>3443987</v>
      </c>
      <c r="M58" s="1182">
        <f>'C0-Ref Stats'!AA30</f>
        <v>2.0006030260945837</v>
      </c>
      <c r="N58" s="1013">
        <f>'C0-Ref Stats'!R30</f>
        <v>237262.57854994581</v>
      </c>
      <c r="Q58" s="1183">
        <v>0.17883282899856567</v>
      </c>
      <c r="R58" s="1183">
        <v>0.22622406482696533</v>
      </c>
      <c r="S58" s="1220"/>
      <c r="T58" s="1220">
        <f t="shared" si="2"/>
        <v>-2.746691810093041E-2</v>
      </c>
      <c r="U58" s="1258">
        <f t="shared" si="3"/>
        <v>-8.9337620007922003E-2</v>
      </c>
      <c r="W58" s="455">
        <f>'C1-Incomes'!$JG32-'C1-Incomes'!$JH32-'F-B6'!P58</f>
        <v>23599.055429999964</v>
      </c>
      <c r="X58" s="455">
        <f>'C1-Incomes'!$JO32-'C1-Incomes'!$JP32-'F-B6'!Q58</f>
        <v>5591.6531870000035</v>
      </c>
      <c r="Y58" s="455">
        <f>'C1-Incomes'!$JW32-'C1-Incomes'!$JX32-'F-B6'!R58</f>
        <v>14900.062048999993</v>
      </c>
      <c r="Z58" s="455">
        <f>'C1-Incomes'!$KE32-'C1-Incomes'!$KF32-'F-B6'!S58</f>
        <v>19343.692884000011</v>
      </c>
      <c r="AA58" s="455">
        <f>'C1-Incomes'!$KM32-'C1-Incomes'!$KN32-'F-B6'!T58</f>
        <v>59768.952519999992</v>
      </c>
      <c r="AB58" s="455">
        <f>'C1-Incomes'!$KU32-'C1-Incomes'!$KV32-'F-B6'!U58</f>
        <v>46058.110370000009</v>
      </c>
      <c r="AC58" s="455">
        <f>'C1-Incomes'!$LK32-'C1-Incomes'!$LM32-'F-B6'!V58</f>
        <v>1846.3212403899997</v>
      </c>
      <c r="AD58" s="1013"/>
      <c r="AE58" s="1013">
        <f>C58*'C1-Incomes'!R32</f>
        <v>1003856.5268560004</v>
      </c>
      <c r="AG58" s="1341">
        <f t="shared" si="11"/>
        <v>0.17045050074664181</v>
      </c>
      <c r="AH58" s="1341">
        <f t="shared" si="12"/>
        <v>2.3508394674595926E-2</v>
      </c>
      <c r="AI58" s="1341">
        <f t="shared" si="13"/>
        <v>5.5701716703607249E-3</v>
      </c>
      <c r="AJ58" s="1341">
        <f t="shared" si="14"/>
        <v>1.4842820313840877E-2</v>
      </c>
      <c r="AK58" s="1341">
        <f t="shared" si="15"/>
        <v>1.9269380002521808E-2</v>
      </c>
      <c r="AL58" s="1341">
        <f t="shared" si="16"/>
        <v>5.9539337466073608E-2</v>
      </c>
      <c r="AM58" s="1341">
        <f t="shared" si="17"/>
        <v>4.772039661924888E-2</v>
      </c>
      <c r="AO58" s="1341">
        <f>(SUM(W58:AC58)-'T-T2'!S33)/(AE58-'T-T2'!S33)</f>
        <v>0.16904827624305382</v>
      </c>
    </row>
    <row r="59" spans="1:41" s="173" customFormat="1" ht="10.5" customHeight="1" x14ac:dyDescent="0.25">
      <c r="A59" s="239">
        <f t="shared" si="0"/>
        <v>1985</v>
      </c>
      <c r="B59" s="1183">
        <f>('C1-Incomes'!J33-'C1-Incomes'!K33-'F-B5'!B123)/'C1-Incomes'!J33</f>
        <v>0.20762240907796711</v>
      </c>
      <c r="C59" s="1183">
        <f>('C1-Incomes'!R33-'C1-Incomes'!S33-'F-B5'!C123)/'C1-Incomes'!R33</f>
        <v>0.26406953858649274</v>
      </c>
      <c r="D59" s="1183">
        <f>('C1-Incomes'!Z33-'C1-Incomes'!AA33-'F-B5'!D123)/'C1-Incomes'!Z33</f>
        <v>0.31713835514639088</v>
      </c>
      <c r="E59" s="1183">
        <f>('C1-Incomes'!II33-'C1-Incomes'!IJ33-'F-B5'!E123)/'C1-Incomes'!II33</f>
        <v>0.29746329173760472</v>
      </c>
      <c r="G59" s="455">
        <f t="shared" si="4"/>
        <v>12377.558213412345</v>
      </c>
      <c r="H59" s="455">
        <f>C59*'C1-Incomes'!R33*$M59/($N59*0.5)*1000</f>
        <v>17441.218220806422</v>
      </c>
      <c r="I59" s="455">
        <f t="shared" si="5"/>
        <v>18906.429561060588</v>
      </c>
      <c r="J59" s="455">
        <f>E59*'C1-Incomes'!II33*$M59/($N59*0.5)*1000</f>
        <v>14590.909827386002</v>
      </c>
      <c r="L59" s="1013">
        <f>'T-T1'!BN34</f>
        <v>3684189</v>
      </c>
      <c r="M59" s="1182">
        <f>'C0-Ref Stats'!AA31</f>
        <v>1.932210868145638</v>
      </c>
      <c r="N59" s="1013">
        <f>'C0-Ref Stats'!R31</f>
        <v>238817.23517205942</v>
      </c>
      <c r="Q59" s="1183">
        <v>0.17881196737289429</v>
      </c>
      <c r="R59" s="1183">
        <v>0.22669011354446411</v>
      </c>
      <c r="S59" s="1220"/>
      <c r="T59" s="1220">
        <f t="shared" si="2"/>
        <v>-2.8810441705072826E-2</v>
      </c>
      <c r="U59" s="1258">
        <f t="shared" si="3"/>
        <v>-9.0448241601926771E-2</v>
      </c>
      <c r="W59" s="455">
        <f>'C1-Incomes'!$JG33-'C1-Incomes'!$JH33-'F-B6'!P59</f>
        <v>25984.472669999988</v>
      </c>
      <c r="X59" s="455">
        <f>'C1-Incomes'!$JO33-'C1-Incomes'!$JP33-'F-B6'!Q59</f>
        <v>4906.9667430000009</v>
      </c>
      <c r="Y59" s="455">
        <f>'C1-Incomes'!$JW33-'C1-Incomes'!$JX33-'F-B6'!R59</f>
        <v>14480.949192999993</v>
      </c>
      <c r="Z59" s="455">
        <f>'C1-Incomes'!$KE33-'C1-Incomes'!$KF33-'F-B6'!S59</f>
        <v>20680.438427999987</v>
      </c>
      <c r="AA59" s="455">
        <f>'C1-Incomes'!$KM33-'C1-Incomes'!$KN33-'F-B6'!T59</f>
        <v>67736.084630000027</v>
      </c>
      <c r="AB59" s="455">
        <f>'C1-Incomes'!$KU33-'C1-Incomes'!$KV33-'F-B6'!U59</f>
        <v>50104.153770000004</v>
      </c>
      <c r="AC59" s="455">
        <f>'C1-Incomes'!$LK33-'C1-Incomes'!$LM33-'F-B6'!V59</f>
        <v>1944.0711005799994</v>
      </c>
      <c r="AD59" s="1013"/>
      <c r="AE59" s="1013">
        <f>C59*'C1-Incomes'!R33</f>
        <v>1077849.1059629999</v>
      </c>
      <c r="AG59" s="1341">
        <f t="shared" si="11"/>
        <v>0.17241479860814524</v>
      </c>
      <c r="AH59" s="1341">
        <f t="shared" si="12"/>
        <v>2.4107709071933839E-2</v>
      </c>
      <c r="AI59" s="1341">
        <f t="shared" si="13"/>
        <v>4.5525544492759883E-3</v>
      </c>
      <c r="AJ59" s="1341">
        <f t="shared" si="14"/>
        <v>1.3435043099156304E-2</v>
      </c>
      <c r="AK59" s="1341">
        <f t="shared" si="15"/>
        <v>1.9186765859515311E-2</v>
      </c>
      <c r="AL59" s="1341">
        <f t="shared" si="16"/>
        <v>6.2843754524879905E-2</v>
      </c>
      <c r="AM59" s="1341">
        <f t="shared" si="17"/>
        <v>4.8288971603383878E-2</v>
      </c>
      <c r="AO59" s="1341">
        <f>(SUM(W59:AC59)-'T-T2'!S34)/(AE59-'T-T2'!S34)</f>
        <v>0.17120218531512746</v>
      </c>
    </row>
    <row r="60" spans="1:41" s="173" customFormat="1" ht="10.5" customHeight="1" x14ac:dyDescent="0.25">
      <c r="A60" s="239">
        <f t="shared" si="0"/>
        <v>1986</v>
      </c>
      <c r="B60" s="1183">
        <f>('C1-Incomes'!J34-'C1-Incomes'!K34-'F-B5'!B124)/'C1-Incomes'!J34</f>
        <v>0.20553491315378319</v>
      </c>
      <c r="C60" s="1183">
        <f>('C1-Incomes'!R34-'C1-Incomes'!S34-'F-B5'!C124)/'C1-Incomes'!R34</f>
        <v>0.26319064620122723</v>
      </c>
      <c r="D60" s="1183">
        <f>('C1-Incomes'!Z34-'C1-Incomes'!AA34-'F-B5'!D124)/'C1-Incomes'!Z34</f>
        <v>0.31594812531058497</v>
      </c>
      <c r="E60" s="1183">
        <f>('C1-Incomes'!II34-'C1-Incomes'!IJ34-'F-B5'!E124)/'C1-Incomes'!II34</f>
        <v>0.29563741423189244</v>
      </c>
      <c r="G60" s="455">
        <f t="shared" si="4"/>
        <v>12465.029001518053</v>
      </c>
      <c r="H60" s="455">
        <f>C60*'C1-Incomes'!R34*$M60/($N60*0.5)*1000</f>
        <v>17715.717997614549</v>
      </c>
      <c r="I60" s="455">
        <f t="shared" si="5"/>
        <v>19161.233897158025</v>
      </c>
      <c r="J60" s="455">
        <f>E60*'C1-Incomes'!II34*$M60/($N60*0.5)*1000</f>
        <v>14692.896865643434</v>
      </c>
      <c r="L60" s="1013">
        <f>'T-T1'!BN35</f>
        <v>3848203</v>
      </c>
      <c r="M60" s="1182">
        <f>'C0-Ref Stats'!AA32</f>
        <v>1.8912881994230137</v>
      </c>
      <c r="N60" s="1013">
        <f>'C0-Ref Stats'!R32</f>
        <v>240014.78368494418</v>
      </c>
      <c r="Q60" s="1183">
        <v>0.17667049169540405</v>
      </c>
      <c r="R60" s="1183">
        <v>0.22706013917922974</v>
      </c>
      <c r="S60" s="1220"/>
      <c r="T60" s="1220">
        <f t="shared" si="2"/>
        <v>-2.8864421458379141E-2</v>
      </c>
      <c r="U60" s="1258">
        <f t="shared" si="3"/>
        <v>-8.8887986131355234E-2</v>
      </c>
      <c r="W60" s="455">
        <f>'C1-Incomes'!$JG34-'C1-Incomes'!$JH34-'F-B6'!P60</f>
        <v>25323.459460000013</v>
      </c>
      <c r="X60" s="455">
        <f>'C1-Incomes'!$JO34-'C1-Incomes'!$JP34-'F-B6'!Q60</f>
        <v>5016.8719180000044</v>
      </c>
      <c r="Y60" s="455">
        <f>'C1-Incomes'!$JW34-'C1-Incomes'!$JX34-'F-B6'!R60</f>
        <v>15937.385814999994</v>
      </c>
      <c r="Z60" s="455">
        <f>'C1-Incomes'!$KE34-'C1-Incomes'!$KF34-'F-B6'!S60</f>
        <v>22209.058970999991</v>
      </c>
      <c r="AA60" s="455">
        <f>'C1-Incomes'!$KM34-'C1-Incomes'!$KN34-'F-B6'!T60</f>
        <v>70515.569070000027</v>
      </c>
      <c r="AB60" s="455">
        <f>'C1-Incomes'!$KU34-'C1-Incomes'!$KV34-'F-B6'!U60</f>
        <v>51094.124100000015</v>
      </c>
      <c r="AC60" s="455">
        <f>'C1-Incomes'!$LK34-'C1-Incomes'!$LM34-'F-B6'!V60</f>
        <v>2168.00064281</v>
      </c>
      <c r="AD60" s="1013"/>
      <c r="AE60" s="1013">
        <f>C60*'C1-Incomes'!R34</f>
        <v>1124110.5994100005</v>
      </c>
      <c r="AG60" s="1341">
        <f t="shared" si="11"/>
        <v>0.17103696920723083</v>
      </c>
      <c r="AH60" s="1341">
        <f t="shared" si="12"/>
        <v>2.2527551535668516E-2</v>
      </c>
      <c r="AI60" s="1341">
        <f t="shared" si="13"/>
        <v>4.4629700321597845E-3</v>
      </c>
      <c r="AJ60" s="1341">
        <f t="shared" si="14"/>
        <v>1.4177773809236275E-2</v>
      </c>
      <c r="AK60" s="1341">
        <f t="shared" si="15"/>
        <v>1.9757005211637195E-2</v>
      </c>
      <c r="AL60" s="1341">
        <f t="shared" si="16"/>
        <v>6.27300988950827E-2</v>
      </c>
      <c r="AM60" s="1341">
        <f t="shared" si="17"/>
        <v>4.7381569723446357E-2</v>
      </c>
      <c r="AO60" s="1341">
        <f>(SUM(W60:AC60)-'T-T2'!S35)/(AE60-'T-T2'!S35)</f>
        <v>0.16955280170427181</v>
      </c>
    </row>
    <row r="61" spans="1:41" s="173" customFormat="1" ht="10.5" customHeight="1" x14ac:dyDescent="0.25">
      <c r="A61" s="239">
        <f t="shared" si="0"/>
        <v>1987</v>
      </c>
      <c r="B61" s="1183">
        <f>('C1-Incomes'!J35-'C1-Incomes'!K35-'F-B5'!B125)/'C1-Incomes'!J35</f>
        <v>0.20576359893726615</v>
      </c>
      <c r="C61" s="1183">
        <f>('C1-Incomes'!R35-'C1-Incomes'!S35-'F-B5'!C125)/'C1-Incomes'!R35</f>
        <v>0.26210586396622093</v>
      </c>
      <c r="D61" s="1183">
        <f>('C1-Incomes'!Z35-'C1-Incomes'!AA35-'F-B5'!D125)/'C1-Incomes'!Z35</f>
        <v>0.3159876604982329</v>
      </c>
      <c r="E61" s="1183">
        <f>('C1-Incomes'!II35-'C1-Incomes'!IJ35-'F-B5'!E125)/'C1-Incomes'!II35</f>
        <v>0.29785828916571389</v>
      </c>
      <c r="G61" s="455">
        <f t="shared" si="4"/>
        <v>12999.009993867006</v>
      </c>
      <c r="H61" s="455">
        <f>C61*'C1-Incomes'!R35*$M61/($N61*0.5)*1000</f>
        <v>18329.145612117554</v>
      </c>
      <c r="I61" s="455">
        <f t="shared" si="5"/>
        <v>19962.358638602058</v>
      </c>
      <c r="J61" s="455">
        <f>E61*'C1-Incomes'!II35*$M61/($N61*0.5)*1000</f>
        <v>15209.805536375694</v>
      </c>
      <c r="L61" s="1013">
        <f>'T-T1'!BN36</f>
        <v>4119198</v>
      </c>
      <c r="M61" s="1182">
        <f>'C0-Ref Stats'!AA33</f>
        <v>1.8353897736797988</v>
      </c>
      <c r="N61" s="1013">
        <f>'C0-Ref Stats'!R33</f>
        <v>239347.69033505797</v>
      </c>
      <c r="Q61" s="1183">
        <v>0.17262822389602661</v>
      </c>
      <c r="R61" s="1183">
        <v>0.22469609975814819</v>
      </c>
      <c r="S61" s="1220"/>
      <c r="T61" s="1220">
        <f t="shared" si="2"/>
        <v>-3.3135375041239534E-2</v>
      </c>
      <c r="U61" s="1258">
        <f t="shared" si="3"/>
        <v>-9.129156074008471E-2</v>
      </c>
      <c r="W61" s="455">
        <f>'C1-Incomes'!$JG35-'C1-Incomes'!$JH35-'F-B6'!P61</f>
        <v>27787.682729999971</v>
      </c>
      <c r="X61" s="455">
        <f>'C1-Incomes'!$JO35-'C1-Incomes'!$JP35-'F-B6'!Q61</f>
        <v>6615.0921019999951</v>
      </c>
      <c r="Y61" s="455">
        <f>'C1-Incomes'!$JW35-'C1-Incomes'!$JX35-'F-B6'!R61</f>
        <v>20561.39194899999</v>
      </c>
      <c r="Z61" s="455">
        <f>'C1-Incomes'!$KE35-'C1-Incomes'!$KF35-'F-B6'!S61</f>
        <v>23708.567032999999</v>
      </c>
      <c r="AA61" s="455">
        <f>'C1-Incomes'!$KM35-'C1-Incomes'!$KN35-'F-B6'!T61</f>
        <v>75508.799159999995</v>
      </c>
      <c r="AB61" s="455">
        <f>'C1-Incomes'!$KU35-'C1-Incomes'!$KV35-'F-B6'!U61</f>
        <v>52353.450850000023</v>
      </c>
      <c r="AC61" s="455">
        <f>'C1-Incomes'!$LK35-'C1-Incomes'!$LM35-'F-B6'!V61</f>
        <v>2303.1922118200005</v>
      </c>
      <c r="AD61" s="1013"/>
      <c r="AE61" s="1013">
        <f>C61*'C1-Incomes'!R35</f>
        <v>1195124.5264049999</v>
      </c>
      <c r="AG61" s="1341">
        <f t="shared" si="11"/>
        <v>0.17474177077096448</v>
      </c>
      <c r="AH61" s="1341">
        <f t="shared" si="12"/>
        <v>2.3250868102913796E-2</v>
      </c>
      <c r="AI61" s="1341">
        <f t="shared" si="13"/>
        <v>5.5350651382735441E-3</v>
      </c>
      <c r="AJ61" s="1341">
        <f t="shared" si="14"/>
        <v>1.7204392927028102E-2</v>
      </c>
      <c r="AK61" s="1341">
        <f t="shared" si="15"/>
        <v>1.983773783332576E-2</v>
      </c>
      <c r="AL61" s="1341">
        <f t="shared" si="16"/>
        <v>6.3180695811786744E-2</v>
      </c>
      <c r="AM61" s="1341">
        <f t="shared" si="17"/>
        <v>4.573301095763653E-2</v>
      </c>
      <c r="AO61" s="1341">
        <f>(SUM(W61:AC61)-'T-T2'!S36)/(AE61-'T-T2'!S36)</f>
        <v>0.17340275359435686</v>
      </c>
    </row>
    <row r="62" spans="1:41" s="173" customFormat="1" ht="10.5" customHeight="1" x14ac:dyDescent="0.25">
      <c r="A62" s="239">
        <f t="shared" si="0"/>
        <v>1988</v>
      </c>
      <c r="B62" s="1183">
        <f>('C1-Incomes'!J36-'C1-Incomes'!K36-'F-B5'!B126)/'C1-Incomes'!J36</f>
        <v>0.19983288460198209</v>
      </c>
      <c r="C62" s="1183">
        <f>('C1-Incomes'!R36-'C1-Incomes'!S36-'F-B5'!C126)/'C1-Incomes'!R36</f>
        <v>0.25529626031504765</v>
      </c>
      <c r="D62" s="1183">
        <f>('C1-Incomes'!Z36-'C1-Incomes'!AA36-'F-B5'!D126)/'C1-Incomes'!Z36</f>
        <v>0.30677144730956157</v>
      </c>
      <c r="E62" s="1183">
        <f>('C1-Incomes'!II36-'C1-Incomes'!IJ36-'F-B5'!E126)/'C1-Incomes'!II36</f>
        <v>0.28900100860650196</v>
      </c>
      <c r="G62" s="455">
        <f t="shared" si="4"/>
        <v>13005.758083715058</v>
      </c>
      <c r="H62" s="455">
        <f>C62*'C1-Incomes'!R36*$M62/($N62*0.5)*1000</f>
        <v>18346.43334503824</v>
      </c>
      <c r="I62" s="455">
        <f t="shared" si="5"/>
        <v>19965.658998747822</v>
      </c>
      <c r="J62" s="455">
        <f>E62*'C1-Incomes'!II36*$M62/($N62*0.5)*1000</f>
        <v>15244.150302571639</v>
      </c>
      <c r="L62" s="1013">
        <f>'T-T1'!BN37</f>
        <v>4493372</v>
      </c>
      <c r="M62" s="1182">
        <f>'C0-Ref Stats'!AA34</f>
        <v>1.7665633975538129</v>
      </c>
      <c r="N62" s="1013">
        <f>'C0-Ref Stats'!R34</f>
        <v>243928.69037118822</v>
      </c>
      <c r="Q62" s="1183">
        <v>0.16944479942321777</v>
      </c>
      <c r="R62" s="1183">
        <v>0.21987193822860718</v>
      </c>
      <c r="S62" s="1220"/>
      <c r="T62" s="1220">
        <f t="shared" si="2"/>
        <v>-3.0388085178764318E-2</v>
      </c>
      <c r="U62" s="1258">
        <f t="shared" si="3"/>
        <v>-8.6899509080954396E-2</v>
      </c>
      <c r="W62" s="455">
        <f>'C1-Incomes'!$JG36-'C1-Incomes'!$JH36-'F-B6'!P62</f>
        <v>27415.756690000009</v>
      </c>
      <c r="X62" s="455">
        <f>'C1-Incomes'!$JO36-'C1-Incomes'!$JP36-'F-B6'!Q62</f>
        <v>7623.5696330000064</v>
      </c>
      <c r="Y62" s="455">
        <f>'C1-Incomes'!$JW36-'C1-Incomes'!$JX36-'F-B6'!R62</f>
        <v>22144.262778999997</v>
      </c>
      <c r="Z62" s="455">
        <f>'C1-Incomes'!$KE36-'C1-Incomes'!$KF36-'F-B6'!S62</f>
        <v>23529.381728</v>
      </c>
      <c r="AA62" s="455">
        <f>'C1-Incomes'!$KM36-'C1-Incomes'!$KN36-'F-B6'!T62</f>
        <v>83438.847129999951</v>
      </c>
      <c r="AB62" s="455">
        <f>'C1-Incomes'!$KU36-'C1-Incomes'!$KV36-'F-B6'!U62</f>
        <v>54865.780709999992</v>
      </c>
      <c r="AC62" s="455">
        <f>'C1-Incomes'!$LK36-'C1-Incomes'!$LM36-'F-B6'!V62</f>
        <v>2399.6359122999997</v>
      </c>
      <c r="AD62" s="1013"/>
      <c r="AE62" s="1013">
        <f>C62*'C1-Incomes'!R36</f>
        <v>1266646.1517980001</v>
      </c>
      <c r="AG62" s="1341">
        <f t="shared" si="11"/>
        <v>0.17480591108100624</v>
      </c>
      <c r="AH62" s="1341">
        <f t="shared" si="12"/>
        <v>2.164436899056886E-2</v>
      </c>
      <c r="AI62" s="1341">
        <f t="shared" si="13"/>
        <v>6.0187050836402684E-3</v>
      </c>
      <c r="AJ62" s="1341">
        <f t="shared" si="14"/>
        <v>1.7482595867493293E-2</v>
      </c>
      <c r="AK62" s="1341">
        <f t="shared" si="15"/>
        <v>1.8576128538029441E-2</v>
      </c>
      <c r="AL62" s="1341">
        <f t="shared" si="16"/>
        <v>6.5873840939364783E-2</v>
      </c>
      <c r="AM62" s="1341">
        <f t="shared" si="17"/>
        <v>4.5210271661909621E-2</v>
      </c>
      <c r="AO62" s="1341">
        <f>(SUM(W62:AC62)-'T-T2'!S37)/(AE62-'T-T2'!S37)</f>
        <v>0.17238116642201193</v>
      </c>
    </row>
    <row r="63" spans="1:41" s="173" customFormat="1" ht="10.5" customHeight="1" x14ac:dyDescent="0.25">
      <c r="A63" s="239">
        <f t="shared" si="0"/>
        <v>1989</v>
      </c>
      <c r="B63" s="1183">
        <f>('C1-Incomes'!J37-'C1-Incomes'!K37-'F-B5'!B127)/'C1-Incomes'!J37</f>
        <v>0.20019483663645293</v>
      </c>
      <c r="C63" s="1183">
        <f>('C1-Incomes'!R37-'C1-Incomes'!S37-'F-B5'!C127)/'C1-Incomes'!R37</f>
        <v>0.2564280612434689</v>
      </c>
      <c r="D63" s="1183">
        <f>('C1-Incomes'!Z37-'C1-Incomes'!AA37-'F-B5'!D127)/'C1-Incomes'!Z37</f>
        <v>0.30985468364603896</v>
      </c>
      <c r="E63" s="1183">
        <f>('C1-Incomes'!II37-'C1-Incomes'!IJ37-'F-B5'!E127)/'C1-Incomes'!II37</f>
        <v>0.29167914774533671</v>
      </c>
      <c r="G63" s="455">
        <f t="shared" si="4"/>
        <v>13166.734471412305</v>
      </c>
      <c r="H63" s="455">
        <f>C63*'C1-Incomes'!R37*$M63/($N63*0.5)*1000</f>
        <v>18659.567571354251</v>
      </c>
      <c r="I63" s="455">
        <f t="shared" si="5"/>
        <v>20379.018824044837</v>
      </c>
      <c r="J63" s="455">
        <f>E63*'C1-Incomes'!II37*$M63/($N63*0.5)*1000</f>
        <v>15505.925920315918</v>
      </c>
      <c r="L63" s="1013">
        <f>'T-T1'!BN38</f>
        <v>4782194</v>
      </c>
      <c r="M63" s="1182">
        <f>'C0-Ref Stats'!AA35</f>
        <v>1.6936773874166549</v>
      </c>
      <c r="N63" s="1013">
        <f>'C0-Ref Stats'!R35</f>
        <v>246299.01205424103</v>
      </c>
      <c r="Q63" s="1183">
        <v>0.16931194067001343</v>
      </c>
      <c r="R63" s="1183">
        <v>0.22222304344177246</v>
      </c>
      <c r="S63" s="1220"/>
      <c r="T63" s="1220">
        <f t="shared" si="2"/>
        <v>-3.0882895966439505E-2</v>
      </c>
      <c r="U63" s="1258">
        <f t="shared" si="3"/>
        <v>-8.7631640204266503E-2</v>
      </c>
      <c r="W63" s="455">
        <f>'C1-Incomes'!$JG37-'C1-Incomes'!$JH37-'F-B6'!P63</f>
        <v>31562.395570000022</v>
      </c>
      <c r="X63" s="455">
        <f>'C1-Incomes'!$JO37-'C1-Incomes'!$JP37-'F-B6'!Q63</f>
        <v>9692.9106420000026</v>
      </c>
      <c r="Y63" s="455">
        <f>'C1-Incomes'!$JW37-'C1-Incomes'!$JX37-'F-B6'!R63</f>
        <v>21798.621037000004</v>
      </c>
      <c r="Z63" s="455">
        <f>'C1-Incomes'!$KE37-'C1-Incomes'!$KF37-'F-B6'!S63</f>
        <v>25704.669136000011</v>
      </c>
      <c r="AA63" s="455">
        <f>'C1-Incomes'!$KM37-'C1-Incomes'!$KN37-'F-B6'!T63</f>
        <v>88498.503220000013</v>
      </c>
      <c r="AB63" s="455">
        <f>'C1-Incomes'!$KU37-'C1-Incomes'!$KV37-'F-B6'!U63</f>
        <v>58686.59322000001</v>
      </c>
      <c r="AC63" s="455">
        <f>'C1-Incomes'!$LK37-'C1-Incomes'!$LM37-'F-B6'!V63</f>
        <v>2695.23700964</v>
      </c>
      <c r="AD63" s="1013"/>
      <c r="AE63" s="1013">
        <f>C63*'C1-Incomes'!R37</f>
        <v>1356761.6514010006</v>
      </c>
      <c r="AG63" s="1341">
        <f t="shared" si="11"/>
        <v>0.17588861653645649</v>
      </c>
      <c r="AH63" s="1341">
        <f t="shared" si="12"/>
        <v>2.3263036316959942E-2</v>
      </c>
      <c r="AI63" s="1341">
        <f t="shared" si="13"/>
        <v>7.1441513931286621E-3</v>
      </c>
      <c r="AJ63" s="1341">
        <f t="shared" si="14"/>
        <v>1.6066654754348791E-2</v>
      </c>
      <c r="AK63" s="1341">
        <f t="shared" si="15"/>
        <v>1.8945604122475902E-2</v>
      </c>
      <c r="AL63" s="1341">
        <f t="shared" si="16"/>
        <v>6.5227745144930876E-2</v>
      </c>
      <c r="AM63" s="1341">
        <f t="shared" si="17"/>
        <v>4.5241424804612324E-2</v>
      </c>
      <c r="AO63" s="1341">
        <f>(SUM(W63:AC63)-'T-T2'!S38)/(AE63-'T-T2'!S38)</f>
        <v>0.17244484555637021</v>
      </c>
    </row>
    <row r="64" spans="1:41" s="173" customFormat="1" ht="10.5" customHeight="1" x14ac:dyDescent="0.25">
      <c r="A64" s="239">
        <f t="shared" si="0"/>
        <v>1990</v>
      </c>
      <c r="B64" s="1183">
        <f>('C1-Incomes'!J38-'C1-Incomes'!K38-'F-B5'!B128)/'C1-Incomes'!J38</f>
        <v>0.19608897730303512</v>
      </c>
      <c r="C64" s="1183">
        <f>('C1-Incomes'!R38-'C1-Incomes'!S38-'F-B5'!C128)/'C1-Incomes'!R38</f>
        <v>0.25514052426254596</v>
      </c>
      <c r="D64" s="1183">
        <f>('C1-Incomes'!Z38-'C1-Incomes'!AA38-'F-B5'!D128)/'C1-Incomes'!Z38</f>
        <v>0.30986258701927211</v>
      </c>
      <c r="E64" s="1183">
        <f>('C1-Incomes'!II38-'C1-Incomes'!IJ38-'F-B5'!E128)/'C1-Incomes'!II38</f>
        <v>0.2900130694098032</v>
      </c>
      <c r="G64" s="455">
        <f t="shared" si="4"/>
        <v>12773.679963671377</v>
      </c>
      <c r="H64" s="455">
        <f>C64*'C1-Incomes'!R38*$M64/($N64*0.5)*1000</f>
        <v>18479.644906987043</v>
      </c>
      <c r="I64" s="455">
        <f t="shared" si="5"/>
        <v>20185.150505337409</v>
      </c>
      <c r="J64" s="455">
        <f>E64*'C1-Incomes'!II38*$M64/($N64*0.5)*1000</f>
        <v>15371.451155539255</v>
      </c>
      <c r="L64" s="1013">
        <f>'T-T1'!BN39</f>
        <v>5036095</v>
      </c>
      <c r="M64" s="1182">
        <f>'C0-Ref Stats'!AA36</f>
        <v>1.6233837485172005</v>
      </c>
      <c r="N64" s="1013">
        <f>'C0-Ref Stats'!R36</f>
        <v>251004.931468</v>
      </c>
      <c r="Q64" s="1183">
        <v>0.16803818941116333</v>
      </c>
      <c r="R64" s="1183">
        <v>0.22239583730697632</v>
      </c>
      <c r="S64" s="1220"/>
      <c r="T64" s="1220">
        <f t="shared" si="2"/>
        <v>-2.8050787891871792E-2</v>
      </c>
      <c r="U64" s="1258">
        <f t="shared" si="3"/>
        <v>-8.7466749712295788E-2</v>
      </c>
      <c r="W64" s="455">
        <f>'C1-Incomes'!$JG38-'C1-Incomes'!$JH38-'F-B6'!P64</f>
        <v>32159.433789999981</v>
      </c>
      <c r="X64" s="455">
        <f>'C1-Incomes'!$JO38-'C1-Incomes'!$JP38-'F-B6'!Q64</f>
        <v>10736.897589000007</v>
      </c>
      <c r="Y64" s="455">
        <f>'C1-Incomes'!$JW38-'C1-Incomes'!$JX38-'F-B6'!R64</f>
        <v>20135.565567000005</v>
      </c>
      <c r="Z64" s="455">
        <f>'C1-Incomes'!$KE38-'C1-Incomes'!$KF38-'F-B6'!S64</f>
        <v>26448.896308999989</v>
      </c>
      <c r="AA64" s="455">
        <f>'C1-Incomes'!$KM38-'C1-Incomes'!$KN38-'F-B6'!T64</f>
        <v>96611.674579999992</v>
      </c>
      <c r="AB64" s="455">
        <f>'C1-Incomes'!$KU38-'C1-Incomes'!$KV38-'F-B6'!U64</f>
        <v>61017.887910000019</v>
      </c>
      <c r="AC64" s="455">
        <f>'C1-Incomes'!$LK38-'C1-Incomes'!$LM38-'F-B6'!V64</f>
        <v>3411.6991736499995</v>
      </c>
      <c r="AD64" s="1013"/>
      <c r="AE64" s="1013">
        <f>C64*'C1-Incomes'!R38</f>
        <v>1428646.1866049999</v>
      </c>
      <c r="AG64" s="1341">
        <f t="shared" si="11"/>
        <v>0.175356261940533</v>
      </c>
      <c r="AH64" s="1341">
        <f t="shared" si="12"/>
        <v>2.2510425668389511E-2</v>
      </c>
      <c r="AI64" s="1341">
        <f t="shared" si="13"/>
        <v>7.5154350248992788E-3</v>
      </c>
      <c r="AJ64" s="1341">
        <f t="shared" si="14"/>
        <v>1.4094158340806321E-2</v>
      </c>
      <c r="AK64" s="1341">
        <f t="shared" si="15"/>
        <v>1.8513258605934127E-2</v>
      </c>
      <c r="AL64" s="1341">
        <f t="shared" si="16"/>
        <v>6.762463336677195E-2</v>
      </c>
      <c r="AM64" s="1341">
        <f t="shared" si="17"/>
        <v>4.509835093373183E-2</v>
      </c>
      <c r="AO64" s="1341">
        <f>(SUM(W64:AC64)-'T-T2'!S39)/(AE64-'T-T2'!S39)</f>
        <v>0.17169609569580405</v>
      </c>
    </row>
    <row r="65" spans="1:41" s="173" customFormat="1" ht="10.5" customHeight="1" x14ac:dyDescent="0.25">
      <c r="A65" s="239">
        <f t="shared" si="0"/>
        <v>1991</v>
      </c>
      <c r="B65" s="1183">
        <f>('C1-Incomes'!J39-'C1-Incomes'!K39-'F-B5'!B129)/'C1-Incomes'!J39</f>
        <v>0.19244269451763121</v>
      </c>
      <c r="C65" s="1183">
        <f>('C1-Incomes'!R39-'C1-Incomes'!S39-'F-B5'!C129)/'C1-Incomes'!R39</f>
        <v>0.25723496216209357</v>
      </c>
      <c r="D65" s="1183">
        <f>('C1-Incomes'!Z39-'C1-Incomes'!AA39-'F-B5'!D129)/'C1-Incomes'!Z39</f>
        <v>0.31533261003487856</v>
      </c>
      <c r="E65" s="1183">
        <f>('C1-Incomes'!II39-'C1-Incomes'!IJ39-'F-B5'!E129)/'C1-Incomes'!II39</f>
        <v>0.29312804017226129</v>
      </c>
      <c r="G65" s="455">
        <f t="shared" si="4"/>
        <v>12336.293927118115</v>
      </c>
      <c r="H65" s="455">
        <f>C65*'C1-Incomes'!R39*$M65/($N65*0.5)*1000</f>
        <v>18520.110162120676</v>
      </c>
      <c r="I65" s="455">
        <f t="shared" si="5"/>
        <v>20213.995506278778</v>
      </c>
      <c r="J65" s="455">
        <f>E65*'C1-Incomes'!II39*$M65/($N65*0.5)*1000</f>
        <v>15539.948042693639</v>
      </c>
      <c r="L65" s="1013">
        <f>'T-T1'!BN40</f>
        <v>5186125</v>
      </c>
      <c r="M65" s="1182">
        <f>'C0-Ref Stats'!AA37</f>
        <v>1.571828518922644</v>
      </c>
      <c r="N65" s="1013">
        <f>'C0-Ref Stats'!R37</f>
        <v>254328.40104512265</v>
      </c>
      <c r="Q65" s="1183">
        <v>0.16619127988815308</v>
      </c>
      <c r="R65" s="1183">
        <v>0.22255653142929077</v>
      </c>
      <c r="S65" s="1220"/>
      <c r="T65" s="1220">
        <f t="shared" si="2"/>
        <v>-2.6251414629478137E-2</v>
      </c>
      <c r="U65" s="1258">
        <f t="shared" si="3"/>
        <v>-9.2776078605587786E-2</v>
      </c>
      <c r="W65" s="455">
        <f>'C1-Incomes'!$JG39-'C1-Incomes'!$JH39-'F-B6'!P65</f>
        <v>29542.603189999994</v>
      </c>
      <c r="X65" s="455">
        <f>'C1-Incomes'!$JO39-'C1-Incomes'!$JP39-'F-B6'!Q65</f>
        <v>9988.7178379999968</v>
      </c>
      <c r="Y65" s="455">
        <f>'C1-Incomes'!$JW39-'C1-Incomes'!$JX39-'F-B6'!R65</f>
        <v>18067.176500999994</v>
      </c>
      <c r="Z65" s="455">
        <f>'C1-Incomes'!$KE39-'C1-Incomes'!$KF39-'F-B6'!S65</f>
        <v>27556.327531999996</v>
      </c>
      <c r="AA65" s="455">
        <f>'C1-Incomes'!$KM39-'C1-Incomes'!$KN39-'F-B6'!T65</f>
        <v>101752.75576</v>
      </c>
      <c r="AB65" s="455">
        <f>'C1-Incomes'!$KU39-'C1-Incomes'!$KV39-'F-B6'!U65</f>
        <v>63976.064559999999</v>
      </c>
      <c r="AC65" s="455">
        <f>'C1-Incomes'!$LK39-'C1-Incomes'!$LM39-'F-B6'!V65</f>
        <v>3372.5846718100001</v>
      </c>
      <c r="AD65" s="1013"/>
      <c r="AE65" s="1013">
        <f>C65*'C1-Incomes'!R39</f>
        <v>1498315.4803490008</v>
      </c>
      <c r="AG65" s="1341">
        <f t="shared" si="11"/>
        <v>0.16969472276531933</v>
      </c>
      <c r="AH65" s="1341">
        <f t="shared" si="12"/>
        <v>1.9717211480134125E-2</v>
      </c>
      <c r="AI65" s="1341">
        <f t="shared" si="13"/>
        <v>6.6666319403396518E-3</v>
      </c>
      <c r="AJ65" s="1341">
        <f t="shared" si="14"/>
        <v>1.2058325992061185E-2</v>
      </c>
      <c r="AK65" s="1341">
        <f t="shared" si="15"/>
        <v>1.8391538960527413E-2</v>
      </c>
      <c r="AL65" s="1341">
        <f t="shared" si="16"/>
        <v>6.7911435938911108E-2</v>
      </c>
      <c r="AM65" s="1341">
        <f t="shared" si="17"/>
        <v>4.4949578453345865E-2</v>
      </c>
      <c r="AO65" s="1341">
        <f>(SUM(W65:AC65)-'T-T2'!S40)/(AE65-'T-T2'!S40)</f>
        <v>0.16569949867834097</v>
      </c>
    </row>
    <row r="66" spans="1:41" s="173" customFormat="1" ht="10.5" customHeight="1" x14ac:dyDescent="0.25">
      <c r="A66" s="239">
        <f t="shared" si="0"/>
        <v>1992</v>
      </c>
      <c r="B66" s="1183">
        <f>('C1-Incomes'!J40-'C1-Incomes'!K40-'F-B5'!B130)/'C1-Incomes'!J40</f>
        <v>0.18645979747340799</v>
      </c>
      <c r="C66" s="1183">
        <f>('C1-Incomes'!R40-'C1-Incomes'!S40-'F-B5'!C130)/'C1-Incomes'!R40</f>
        <v>0.25594380907048264</v>
      </c>
      <c r="D66" s="1183">
        <f>('C1-Incomes'!Z40-'C1-Incomes'!AA40-'F-B5'!D130)/'C1-Incomes'!Z40</f>
        <v>0.31592666885006632</v>
      </c>
      <c r="E66" s="1183">
        <f>('C1-Incomes'!II40-'C1-Incomes'!IJ40-'F-B5'!E130)/'C1-Incomes'!II40</f>
        <v>0.29389487532753539</v>
      </c>
      <c r="G66" s="455">
        <f t="shared" si="4"/>
        <v>12234.943665850489</v>
      </c>
      <c r="H66" s="455">
        <f>C66*'C1-Incomes'!R40*$M66/($N66*0.5)*1000</f>
        <v>18985.798867290174</v>
      </c>
      <c r="I66" s="455">
        <f t="shared" si="5"/>
        <v>20730.179096497308</v>
      </c>
      <c r="J66" s="455">
        <f>E66*'C1-Incomes'!II40*$M66/($N66*0.5)*1000</f>
        <v>16125.733810961623</v>
      </c>
      <c r="L66" s="1013">
        <f>'T-T1'!BN41</f>
        <v>5499748</v>
      </c>
      <c r="M66" s="1182">
        <f>'C0-Ref Stats'!AA38</f>
        <v>1.5313313005287157</v>
      </c>
      <c r="N66" s="1013">
        <f>'C0-Ref Stats'!R38</f>
        <v>256699.59286786182</v>
      </c>
      <c r="Q66" s="1183">
        <v>0.15830767154693604</v>
      </c>
      <c r="R66" s="1183">
        <v>0.21757638454437256</v>
      </c>
      <c r="S66" s="1220"/>
      <c r="T66" s="1220">
        <f t="shared" si="2"/>
        <v>-2.8152125926471955E-2</v>
      </c>
      <c r="U66" s="1258">
        <f t="shared" si="3"/>
        <v>-9.8350284305693758E-2</v>
      </c>
      <c r="W66" s="455">
        <f>'C1-Incomes'!$JG40-'C1-Incomes'!$JH40-'F-B6'!P66</f>
        <v>26788.917810000014</v>
      </c>
      <c r="X66" s="455">
        <f>'C1-Incomes'!$JO40-'C1-Incomes'!$JP40-'F-B6'!Q66</f>
        <v>9700.7901820000043</v>
      </c>
      <c r="Y66" s="455">
        <f>'C1-Incomes'!$JW40-'C1-Incomes'!$JX40-'F-B6'!R66</f>
        <v>18953.128689000005</v>
      </c>
      <c r="Z66" s="455">
        <f>'C1-Incomes'!$KE40-'C1-Incomes'!$KF40-'F-B6'!S66</f>
        <v>27429.888323999985</v>
      </c>
      <c r="AA66" s="455">
        <f>'C1-Incomes'!$KM40-'C1-Incomes'!$KN40-'F-B6'!T66</f>
        <v>100987.69897999999</v>
      </c>
      <c r="AB66" s="455">
        <f>'C1-Incomes'!$KU40-'C1-Incomes'!$KV40-'F-B6'!U66</f>
        <v>64667.859610000014</v>
      </c>
      <c r="AC66" s="455">
        <f>'C1-Incomes'!$LK40-'C1-Incomes'!$LM40-'F-B6'!V66</f>
        <v>3345.1454800699994</v>
      </c>
      <c r="AD66" s="1013"/>
      <c r="AE66" s="1013">
        <f>C66*'C1-Incomes'!R40</f>
        <v>1591310.3969799997</v>
      </c>
      <c r="AG66" s="1341">
        <f t="shared" si="11"/>
        <v>0.15828051494735235</v>
      </c>
      <c r="AH66" s="1341">
        <f t="shared" si="12"/>
        <v>1.6834501842531924E-2</v>
      </c>
      <c r="AI66" s="1341">
        <f t="shared" si="13"/>
        <v>6.0961018041547606E-3</v>
      </c>
      <c r="AJ66" s="1341">
        <f t="shared" si="14"/>
        <v>1.1910390785461709E-2</v>
      </c>
      <c r="AK66" s="1341">
        <f t="shared" si="15"/>
        <v>1.723729598955466E-2</v>
      </c>
      <c r="AL66" s="1341">
        <f t="shared" si="16"/>
        <v>6.3461973962876866E-2</v>
      </c>
      <c r="AM66" s="1341">
        <f t="shared" si="17"/>
        <v>4.2740250562772406E-2</v>
      </c>
      <c r="AO66" s="1341">
        <f>(SUM(W66:AC66)-'T-T2'!S41)/(AE66-'T-T2'!S41)</f>
        <v>0.1526634124138618</v>
      </c>
    </row>
    <row r="67" spans="1:41" s="173" customFormat="1" ht="10.5" customHeight="1" x14ac:dyDescent="0.25">
      <c r="A67" s="239">
        <f t="shared" si="0"/>
        <v>1993</v>
      </c>
      <c r="B67" s="1183">
        <f>('C1-Incomes'!J41-'C1-Incomes'!K41-'F-B5'!B131)/'C1-Incomes'!J41</f>
        <v>0.18727214122523872</v>
      </c>
      <c r="C67" s="1183">
        <f>('C1-Incomes'!R41-'C1-Incomes'!S41-'F-B5'!C131)/'C1-Incomes'!R41</f>
        <v>0.25839403765649482</v>
      </c>
      <c r="D67" s="1183">
        <f>('C1-Incomes'!Z41-'C1-Incomes'!AA41-'F-B5'!D131)/'C1-Incomes'!Z41</f>
        <v>0.31765637633055588</v>
      </c>
      <c r="E67" s="1183">
        <f>('C1-Incomes'!II41-'C1-Incomes'!IJ41-'F-B5'!E131)/'C1-Incomes'!II41</f>
        <v>0.29772283454613907</v>
      </c>
      <c r="G67" s="455">
        <f t="shared" si="4"/>
        <v>12402.379178043224</v>
      </c>
      <c r="H67" s="455">
        <f>C67*'C1-Incomes'!R41*$M67/($N67*0.5)*1000</f>
        <v>19386.585437602123</v>
      </c>
      <c r="I67" s="455">
        <f t="shared" si="5"/>
        <v>21037.271223573724</v>
      </c>
      <c r="J67" s="455">
        <f>E67*'C1-Incomes'!II41*$M67/($N67*0.5)*1000</f>
        <v>16445.966574938157</v>
      </c>
      <c r="L67" s="1013">
        <f>'T-T1'!BN42</f>
        <v>5754784</v>
      </c>
      <c r="M67" s="1182">
        <f>'C0-Ref Stats'!AA39</f>
        <v>1.4940296674354181</v>
      </c>
      <c r="N67" s="1013">
        <f>'C0-Ref Stats'!R39</f>
        <v>259648.85743617211</v>
      </c>
      <c r="Q67" s="1183">
        <v>0.15894609689712524</v>
      </c>
      <c r="R67" s="1183">
        <v>0.22068846225738525</v>
      </c>
      <c r="S67" s="1220"/>
      <c r="T67" s="1220">
        <f t="shared" si="2"/>
        <v>-2.8326044328113476E-2</v>
      </c>
      <c r="U67" s="1258">
        <f t="shared" si="3"/>
        <v>-9.6967914073170625E-2</v>
      </c>
      <c r="W67" s="455">
        <f>'C1-Incomes'!$JG41-'C1-Incomes'!$JH41-'F-B6'!P67</f>
        <v>26976.505260000005</v>
      </c>
      <c r="X67" s="455">
        <f>'C1-Incomes'!$JO41-'C1-Incomes'!$JP41-'F-B6'!Q67</f>
        <v>9949.8765300000014</v>
      </c>
      <c r="Y67" s="455">
        <f>'C1-Incomes'!$JW41-'C1-Incomes'!$JX41-'F-B6'!R67</f>
        <v>22512.372290000007</v>
      </c>
      <c r="Z67" s="455">
        <f>'C1-Incomes'!$KE41-'C1-Incomes'!$KF41-'F-B6'!S67</f>
        <v>27044.403170999984</v>
      </c>
      <c r="AA67" s="455">
        <f>'C1-Incomes'!$KM41-'C1-Incomes'!$KN41-'F-B6'!T67</f>
        <v>109490.69523000001</v>
      </c>
      <c r="AB67" s="455">
        <f>'C1-Incomes'!$KU41-'C1-Incomes'!$KV41-'F-B6'!U67</f>
        <v>66541.632060000004</v>
      </c>
      <c r="AC67" s="455">
        <f>'C1-Incomes'!$LK41-'C1-Incomes'!$LM41-'F-B6'!V67</f>
        <v>3714.6890904000002</v>
      </c>
      <c r="AD67" s="1013"/>
      <c r="AE67" s="1013">
        <f>C67*'C1-Incomes'!R41</f>
        <v>1684606.694291</v>
      </c>
      <c r="AG67" s="1341">
        <f t="shared" si="11"/>
        <v>0.15803699138418076</v>
      </c>
      <c r="AH67" s="1341">
        <f t="shared" si="12"/>
        <v>1.6013533219012645E-2</v>
      </c>
      <c r="AI67" s="1341">
        <f t="shared" si="13"/>
        <v>5.9063498701028274E-3</v>
      </c>
      <c r="AJ67" s="1341">
        <f t="shared" si="14"/>
        <v>1.3363577603183385E-2</v>
      </c>
      <c r="AK67" s="1341">
        <f t="shared" si="15"/>
        <v>1.6053838122958519E-2</v>
      </c>
      <c r="AL67" s="1341">
        <f t="shared" si="16"/>
        <v>6.4994811905387403E-2</v>
      </c>
      <c r="AM67" s="1341">
        <f t="shared" si="17"/>
        <v>4.170488066353599E-2</v>
      </c>
      <c r="AO67" s="1341">
        <f>(SUM(W67:AC67)-'T-T2'!S42)/(AE67-'T-T2'!S42)</f>
        <v>0.1521743045267451</v>
      </c>
    </row>
    <row r="68" spans="1:41" s="173" customFormat="1" ht="10.5" customHeight="1" x14ac:dyDescent="0.25">
      <c r="A68" s="239">
        <f t="shared" si="0"/>
        <v>1994</v>
      </c>
      <c r="B68" s="1183">
        <f>('C1-Incomes'!J42-'C1-Incomes'!K42-'F-B5'!B132)/'C1-Incomes'!J42</f>
        <v>0.19164715338485591</v>
      </c>
      <c r="C68" s="1183">
        <f>('C1-Incomes'!R42-'C1-Incomes'!S42-'F-B5'!C132)/'C1-Incomes'!R42</f>
        <v>0.26126380349136152</v>
      </c>
      <c r="D68" s="1183">
        <f>('C1-Incomes'!Z42-'C1-Incomes'!AA42-'F-B5'!D132)/'C1-Incomes'!Z42</f>
        <v>0.31855132740002551</v>
      </c>
      <c r="E68" s="1183">
        <f>('C1-Incomes'!II42-'C1-Incomes'!IJ42-'F-B5'!E132)/'C1-Incomes'!II42</f>
        <v>0.3014277165246631</v>
      </c>
      <c r="G68" s="455">
        <f t="shared" si="4"/>
        <v>13254.759072118119</v>
      </c>
      <c r="H68" s="455">
        <f>C68*'C1-Incomes'!R42*$M68/($N68*0.5)*1000</f>
        <v>20418.927519941648</v>
      </c>
      <c r="I68" s="455">
        <f t="shared" si="5"/>
        <v>22031.744391797518</v>
      </c>
      <c r="J68" s="455">
        <f>E68*'C1-Incomes'!II42*$M68/($N68*0.5)*1000</f>
        <v>17291.602975550086</v>
      </c>
      <c r="L68" s="1013">
        <f>'T-T1'!BN43</f>
        <v>6140229</v>
      </c>
      <c r="M68" s="1182">
        <f>'C0-Ref Stats'!AA40</f>
        <v>1.4635910324452228</v>
      </c>
      <c r="N68" s="1013">
        <f>'C0-Ref Stats'!R40</f>
        <v>259875.20131862332</v>
      </c>
      <c r="Q68" s="1183">
        <v>0.15776264667510986</v>
      </c>
      <c r="R68" s="1183">
        <v>0.21957987546920776</v>
      </c>
      <c r="S68" s="1220"/>
      <c r="T68" s="1220">
        <f t="shared" si="2"/>
        <v>-3.3884506709746048E-2</v>
      </c>
      <c r="U68" s="1258">
        <f t="shared" si="3"/>
        <v>-9.8971451930817744E-2</v>
      </c>
      <c r="W68" s="455">
        <f>'C1-Incomes'!$JG42-'C1-Incomes'!$JH42-'F-B6'!P68</f>
        <v>30105.173509999993</v>
      </c>
      <c r="X68" s="455">
        <f>'C1-Incomes'!$JO42-'C1-Incomes'!$JP42-'F-B6'!Q68</f>
        <v>11134.172715999994</v>
      </c>
      <c r="Y68" s="455">
        <f>'C1-Incomes'!$JW42-'C1-Incomes'!$JX42-'F-B6'!R68</f>
        <v>26228.341491999992</v>
      </c>
      <c r="Z68" s="455">
        <f>'C1-Incomes'!$KE42-'C1-Incomes'!$KF42-'F-B6'!S68</f>
        <v>29161.520426000003</v>
      </c>
      <c r="AA68" s="455">
        <f>'C1-Incomes'!$KM42-'C1-Incomes'!$KN42-'F-B6'!T68</f>
        <v>115727.65972999998</v>
      </c>
      <c r="AB68" s="455">
        <f>'C1-Incomes'!$KU42-'C1-Incomes'!$KV42-'F-B6'!U68</f>
        <v>74655.217719999986</v>
      </c>
      <c r="AC68" s="455">
        <f>'C1-Incomes'!$LK42-'C1-Incomes'!$LM42-'F-B6'!V68</f>
        <v>4318.6278425</v>
      </c>
      <c r="AD68" s="1013"/>
      <c r="AE68" s="1013">
        <f>C68*'C1-Incomes'!R42</f>
        <v>1812792.2289499999</v>
      </c>
      <c r="AG68" s="1341">
        <f t="shared" si="11"/>
        <v>0.16070827576596775</v>
      </c>
      <c r="AH68" s="1341">
        <f t="shared" si="12"/>
        <v>1.6607073347527212E-2</v>
      </c>
      <c r="AI68" s="1341">
        <f t="shared" si="13"/>
        <v>6.1420015698374301E-3</v>
      </c>
      <c r="AJ68" s="1341">
        <f t="shared" si="14"/>
        <v>1.4468476349985179E-2</v>
      </c>
      <c r="AK68" s="1341">
        <f t="shared" si="15"/>
        <v>1.6086521091769491E-2</v>
      </c>
      <c r="AL68" s="1341">
        <f t="shared" si="16"/>
        <v>6.3839450479678747E-2</v>
      </c>
      <c r="AM68" s="1341">
        <f t="shared" si="17"/>
        <v>4.35647529271697E-2</v>
      </c>
      <c r="AO68" s="1341">
        <f>(SUM(W68:AC68)-'T-T2'!S43)/(AE68-'T-T2'!S43)</f>
        <v>0.154183121444532</v>
      </c>
    </row>
    <row r="69" spans="1:41" s="173" customFormat="1" ht="10.5" customHeight="1" x14ac:dyDescent="0.25">
      <c r="A69" s="239">
        <f t="shared" si="0"/>
        <v>1995</v>
      </c>
      <c r="B69" s="1183">
        <f>('C1-Incomes'!J43-'C1-Incomes'!K43-'F-B5'!B133)/'C1-Incomes'!J43</f>
        <v>0.1913169279017311</v>
      </c>
      <c r="C69" s="1183">
        <f>('C1-Incomes'!R43-'C1-Incomes'!S43-'F-B5'!C133)/'C1-Incomes'!R43</f>
        <v>0.26030016072659601</v>
      </c>
      <c r="D69" s="1183">
        <f>('C1-Incomes'!Z43-'C1-Incomes'!AA43-'F-B5'!D133)/'C1-Incomes'!Z43</f>
        <v>0.31788587664600215</v>
      </c>
      <c r="E69" s="1183">
        <f>('C1-Incomes'!II43-'C1-Incomes'!IJ43-'F-B5'!E133)/'C1-Incomes'!II43</f>
        <v>0.30115774968649089</v>
      </c>
      <c r="G69" s="455">
        <f t="shared" si="4"/>
        <v>13464.101909271501</v>
      </c>
      <c r="H69" s="455">
        <f>C69*'C1-Incomes'!R43*$M69/($N69*0.5)*1000</f>
        <v>20707.88404472607</v>
      </c>
      <c r="I69" s="455">
        <f t="shared" si="5"/>
        <v>22371.50619979799</v>
      </c>
      <c r="J69" s="455">
        <f>E69*'C1-Incomes'!II43*$M69/($N69*0.5)*1000</f>
        <v>17557.798441768056</v>
      </c>
      <c r="L69" s="1013">
        <f>'T-T1'!BN44</f>
        <v>6479476</v>
      </c>
      <c r="M69" s="1182">
        <f>'C0-Ref Stats'!AA41</f>
        <v>1.4338231442191838</v>
      </c>
      <c r="N69" s="1013">
        <f>'C0-Ref Stats'!R41</f>
        <v>264022.82640399999</v>
      </c>
      <c r="Q69" s="1183">
        <v>0.15379762649536133</v>
      </c>
      <c r="R69" s="1183">
        <v>0.21572798490524292</v>
      </c>
      <c r="S69" s="1220"/>
      <c r="T69" s="1220">
        <f t="shared" si="2"/>
        <v>-3.7519301406369776E-2</v>
      </c>
      <c r="U69" s="1258">
        <f t="shared" si="3"/>
        <v>-0.10215789174075923</v>
      </c>
      <c r="W69" s="455">
        <f>'C1-Incomes'!$JG43-'C1-Incomes'!$JH43-'F-B6'!P69</f>
        <v>31558.654359999957</v>
      </c>
      <c r="X69" s="455">
        <f>'C1-Incomes'!$JO43-'C1-Incomes'!$JP43-'F-B6'!Q69</f>
        <v>11516.412735999984</v>
      </c>
      <c r="Y69" s="455">
        <f>'C1-Incomes'!$JW43-'C1-Incomes'!$JX43-'F-B6'!R69</f>
        <v>28927.332814000009</v>
      </c>
      <c r="Z69" s="455">
        <f>'C1-Incomes'!$KE43-'C1-Incomes'!$KF43-'F-B6'!S69</f>
        <v>28916.666283999992</v>
      </c>
      <c r="AA69" s="455">
        <f>'C1-Incomes'!$KM43-'C1-Incomes'!$KN43-'F-B6'!T69</f>
        <v>122579.07356000005</v>
      </c>
      <c r="AB69" s="455">
        <f>'C1-Incomes'!$KU43-'C1-Incomes'!$KV43-'F-B6'!U69</f>
        <v>76242.567139999999</v>
      </c>
      <c r="AC69" s="455">
        <f>'C1-Incomes'!$LK43-'C1-Incomes'!$LM43-'F-B6'!V69</f>
        <v>4289.5808716000001</v>
      </c>
      <c r="AD69" s="1013"/>
      <c r="AE69" s="1013">
        <f>C69*'C1-Incomes'!R43</f>
        <v>1906565.0099100007</v>
      </c>
      <c r="AG69" s="1341">
        <f t="shared" si="11"/>
        <v>0.15946494674207395</v>
      </c>
      <c r="AH69" s="1341">
        <f t="shared" si="12"/>
        <v>1.6552624324879268E-2</v>
      </c>
      <c r="AI69" s="1341">
        <f t="shared" si="13"/>
        <v>6.0403986625893313E-3</v>
      </c>
      <c r="AJ69" s="1341">
        <f t="shared" si="14"/>
        <v>1.5172486992911677E-2</v>
      </c>
      <c r="AK69" s="1341">
        <f t="shared" si="15"/>
        <v>1.5166892360709484E-2</v>
      </c>
      <c r="AL69" s="1341">
        <f t="shared" si="16"/>
        <v>6.4293151779695357E-2</v>
      </c>
      <c r="AM69" s="1341">
        <f t="shared" si="17"/>
        <v>4.2239392621288854E-2</v>
      </c>
      <c r="AO69" s="1341">
        <f>(SUM(W69:AC69)-'T-T2'!S44)/(AE69-'T-T2'!S44)</f>
        <v>0.15059787406179537</v>
      </c>
    </row>
    <row r="70" spans="1:41" s="173" customFormat="1" ht="10.5" customHeight="1" x14ac:dyDescent="0.25">
      <c r="A70" s="239">
        <f t="shared" si="0"/>
        <v>1996</v>
      </c>
      <c r="B70" s="1183">
        <f>('C1-Incomes'!J44-'C1-Incomes'!K44-'F-B5'!B134)/'C1-Incomes'!J44</f>
        <v>0.18977937379752943</v>
      </c>
      <c r="C70" s="1183">
        <f>('C1-Incomes'!R44-'C1-Incomes'!S44-'F-B5'!C134)/'C1-Incomes'!R44</f>
        <v>0.25723291902643797</v>
      </c>
      <c r="D70" s="1183">
        <f>('C1-Incomes'!Z44-'C1-Incomes'!AA44-'F-B5'!D134)/'C1-Incomes'!Z44</f>
        <v>0.31261930333998839</v>
      </c>
      <c r="E70" s="1183">
        <f>('C1-Incomes'!II44-'C1-Incomes'!IJ44-'F-B5'!E134)/'C1-Incomes'!II44</f>
        <v>0.29802744239092832</v>
      </c>
      <c r="G70" s="455">
        <f t="shared" si="4"/>
        <v>13855.848111139285</v>
      </c>
      <c r="H70" s="455">
        <f>C70*'C1-Incomes'!R44*$M70/($N70*0.5)*1000</f>
        <v>21196.662012042747</v>
      </c>
      <c r="I70" s="455">
        <f t="shared" si="5"/>
        <v>22824.427634113341</v>
      </c>
      <c r="J70" s="455">
        <f>E70*'C1-Incomes'!II44*$M70/($N70*0.5)*1000</f>
        <v>17908.052226316417</v>
      </c>
      <c r="L70" s="1013">
        <f>'T-T1'!BN45</f>
        <v>6899394</v>
      </c>
      <c r="M70" s="1182">
        <f>'C0-Ref Stats'!AA42</f>
        <v>1.403944550595658</v>
      </c>
      <c r="N70" s="1013">
        <f>'C0-Ref Stats'!R42</f>
        <v>265342.48566089169</v>
      </c>
      <c r="Q70" s="1183">
        <v>0.15079790353775024</v>
      </c>
      <c r="R70" s="1183">
        <v>0.21353822946548462</v>
      </c>
      <c r="S70" s="1220"/>
      <c r="T70" s="1220">
        <f t="shared" si="2"/>
        <v>-3.8981470259779188E-2</v>
      </c>
      <c r="U70" s="1258">
        <f t="shared" si="3"/>
        <v>-9.9081073874503767E-2</v>
      </c>
      <c r="W70" s="455">
        <f>'C1-Incomes'!$JG44-'C1-Incomes'!$JH44-'F-B6'!P70</f>
        <v>34671.117549999995</v>
      </c>
      <c r="X70" s="455">
        <f>'C1-Incomes'!$JO44-'C1-Incomes'!$JP44-'F-B6'!Q70</f>
        <v>11995.285099000015</v>
      </c>
      <c r="Y70" s="455">
        <f>'C1-Incomes'!$JW44-'C1-Incomes'!$JX44-'F-B6'!R70</f>
        <v>30506.604702000011</v>
      </c>
      <c r="Z70" s="455">
        <f>'C1-Incomes'!$KE44-'C1-Incomes'!$KF44-'F-B6'!S70</f>
        <v>29552.763998999988</v>
      </c>
      <c r="AA70" s="455">
        <f>'C1-Incomes'!$KM44-'C1-Incomes'!$KN44-'F-B6'!T70</f>
        <v>129804.50074000005</v>
      </c>
      <c r="AB70" s="455">
        <f>'C1-Incomes'!$KU44-'C1-Incomes'!$KV44-'F-B6'!U70</f>
        <v>79972.905899999983</v>
      </c>
      <c r="AC70" s="455">
        <f>'C1-Incomes'!$LK44-'C1-Incomes'!$LM44-'F-B6'!V70</f>
        <v>4979.1414643999997</v>
      </c>
      <c r="AD70" s="1013"/>
      <c r="AE70" s="1013">
        <f>C70*'C1-Incomes'!R44</f>
        <v>2003061.6535399994</v>
      </c>
      <c r="AG70" s="1341">
        <f t="shared" si="11"/>
        <v>0.16049546896684191</v>
      </c>
      <c r="AH70" s="1341">
        <f t="shared" si="12"/>
        <v>1.7309061600138932E-2</v>
      </c>
      <c r="AI70" s="1341">
        <f t="shared" si="13"/>
        <v>5.988475231304447E-3</v>
      </c>
      <c r="AJ70" s="1341">
        <f t="shared" si="14"/>
        <v>1.5229987877849823E-2</v>
      </c>
      <c r="AK70" s="1341">
        <f t="shared" si="15"/>
        <v>1.4753796492869582E-2</v>
      </c>
      <c r="AL70" s="1341">
        <f t="shared" si="16"/>
        <v>6.4803048129146348E-2</v>
      </c>
      <c r="AM70" s="1341">
        <f t="shared" si="17"/>
        <v>4.2411099635532794E-2</v>
      </c>
      <c r="AO70" s="1341">
        <f>(SUM(W70:AC70)-'T-T2'!S45)/(AE70-'T-T2'!S45)</f>
        <v>0.15017054988032139</v>
      </c>
    </row>
    <row r="71" spans="1:41" s="173" customFormat="1" ht="10.5" customHeight="1" x14ac:dyDescent="0.25">
      <c r="A71" s="239">
        <f t="shared" si="0"/>
        <v>1997</v>
      </c>
      <c r="B71" s="1183">
        <f>('C1-Incomes'!J45-'C1-Incomes'!K45-'F-B5'!B135)/'C1-Incomes'!J45</f>
        <v>0.18857748320365458</v>
      </c>
      <c r="C71" s="1183">
        <f>('C1-Incomes'!R45-'C1-Incomes'!S45-'F-B5'!C135)/'C1-Incomes'!R45</f>
        <v>0.25344179610705447</v>
      </c>
      <c r="D71" s="1183">
        <f>('C1-Incomes'!Z45-'C1-Incomes'!AA45-'F-B5'!D135)/'C1-Incomes'!Z45</f>
        <v>0.30760918372969814</v>
      </c>
      <c r="E71" s="1183">
        <f>('C1-Incomes'!II45-'C1-Incomes'!IJ45-'F-B5'!E135)/'C1-Incomes'!II45</f>
        <v>0.29492613379593857</v>
      </c>
      <c r="G71" s="455">
        <f t="shared" si="4"/>
        <v>14322.571899143628</v>
      </c>
      <c r="H71" s="455">
        <f>C71*'C1-Incomes'!R45*$M71/($N71*0.5)*1000</f>
        <v>21638.452223771543</v>
      </c>
      <c r="I71" s="455">
        <f t="shared" si="5"/>
        <v>23363.100280893454</v>
      </c>
      <c r="J71" s="455">
        <f>E71*'C1-Incomes'!II45*$M71/($N71*0.5)*1000</f>
        <v>18257.676662009897</v>
      </c>
      <c r="L71" s="1013">
        <f>'T-T1'!BN46</f>
        <v>7380370</v>
      </c>
      <c r="M71" s="1182">
        <f>'C0-Ref Stats'!AA43</f>
        <v>1.3801227829112408</v>
      </c>
      <c r="N71" s="1013">
        <f>'C0-Ref Stats'!R43</f>
        <v>268222.17502512486</v>
      </c>
      <c r="Q71" s="1183">
        <v>0.14862990379333496</v>
      </c>
      <c r="R71" s="1183">
        <v>0.21059787273406982</v>
      </c>
      <c r="S71" s="1220"/>
      <c r="T71" s="1220">
        <f t="shared" si="2"/>
        <v>-3.9947579410319622E-2</v>
      </c>
      <c r="U71" s="1258">
        <f t="shared" si="3"/>
        <v>-9.7011310995628319E-2</v>
      </c>
      <c r="W71" s="455">
        <f>'C1-Incomes'!$JG45-'C1-Incomes'!$JH45-'F-B6'!P71</f>
        <v>38116.284499999951</v>
      </c>
      <c r="X71" s="455">
        <f>'C1-Incomes'!$JO45-'C1-Incomes'!$JP45-'F-B6'!Q71</f>
        <v>12609.969056999988</v>
      </c>
      <c r="Y71" s="455">
        <f>'C1-Incomes'!$JW45-'C1-Incomes'!$JX45-'F-B6'!R71</f>
        <v>31074.474679999999</v>
      </c>
      <c r="Z71" s="455">
        <f>'C1-Incomes'!$KE45-'C1-Incomes'!$KF45-'F-B6'!S71</f>
        <v>30124.574675999989</v>
      </c>
      <c r="AA71" s="455">
        <f>'C1-Incomes'!$KM45-'C1-Incomes'!$KN45-'F-B6'!T71</f>
        <v>138507.28271</v>
      </c>
      <c r="AB71" s="455">
        <f>'C1-Incomes'!$KU45-'C1-Incomes'!$KV45-'F-B6'!U71</f>
        <v>83403.379160000011</v>
      </c>
      <c r="AC71" s="455">
        <f>'C1-Incomes'!$LK45-'C1-Incomes'!$LM45-'F-B6'!V71</f>
        <v>5811.9349327999998</v>
      </c>
      <c r="AD71" s="1013"/>
      <c r="AE71" s="1013">
        <f>C71*'C1-Incomes'!R45</f>
        <v>2102679.8454100001</v>
      </c>
      <c r="AG71" s="1341">
        <f t="shared" si="11"/>
        <v>0.16153096271751835</v>
      </c>
      <c r="AH71" s="1341">
        <f t="shared" si="12"/>
        <v>1.8127478885197421E-2</v>
      </c>
      <c r="AI71" s="1341">
        <f t="shared" si="13"/>
        <v>5.997094176998295E-3</v>
      </c>
      <c r="AJ71" s="1341">
        <f t="shared" si="14"/>
        <v>1.4778509789701631E-2</v>
      </c>
      <c r="AK71" s="1341">
        <f t="shared" si="15"/>
        <v>1.4326752948985451E-2</v>
      </c>
      <c r="AL71" s="1341">
        <f t="shared" si="16"/>
        <v>6.587178880910069E-2</v>
      </c>
      <c r="AM71" s="1341">
        <f t="shared" si="17"/>
        <v>4.2429338107534853E-2</v>
      </c>
      <c r="AO71" s="1341">
        <f>(SUM(W71:AC71)-'T-T2'!S46)/(AE71-'T-T2'!S46)</f>
        <v>0.15045530188389497</v>
      </c>
    </row>
    <row r="72" spans="1:41" s="173" customFormat="1" ht="10.5" customHeight="1" x14ac:dyDescent="0.25">
      <c r="A72" s="239">
        <f t="shared" si="0"/>
        <v>1998</v>
      </c>
      <c r="B72" s="1183">
        <f>('C1-Incomes'!J46-'C1-Incomes'!K46-'F-B5'!B136)/'C1-Incomes'!J46</f>
        <v>0.1902396030344386</v>
      </c>
      <c r="C72" s="1183">
        <f>('C1-Incomes'!R46-'C1-Incomes'!S46-'F-B5'!C136)/'C1-Incomes'!R46</f>
        <v>0.2521307943705236</v>
      </c>
      <c r="D72" s="1183">
        <f>('C1-Incomes'!Z46-'C1-Incomes'!AA46-'F-B5'!D136)/'C1-Incomes'!Z46</f>
        <v>0.30522131843951511</v>
      </c>
      <c r="E72" s="1183">
        <f>('C1-Incomes'!II46-'C1-Incomes'!IJ46-'F-B5'!E136)/'C1-Incomes'!II46</f>
        <v>0.29390790931187372</v>
      </c>
      <c r="G72" s="455">
        <f t="shared" si="4"/>
        <v>15088.734455468302</v>
      </c>
      <c r="H72" s="455">
        <f>C72*'C1-Incomes'!R46*$M72/($N72*0.5)*1000</f>
        <v>22382.305115496518</v>
      </c>
      <c r="I72" s="455">
        <f t="shared" si="5"/>
        <v>24208.436890230834</v>
      </c>
      <c r="J72" s="455">
        <f>E72*'C1-Incomes'!II46*$M72/($N72*0.5)*1000</f>
        <v>18838.287359961247</v>
      </c>
      <c r="L72" s="1013">
        <f>'T-T1'!BN47</f>
        <v>7857280</v>
      </c>
      <c r="M72" s="1182">
        <f>'C0-Ref Stats'!AA44</f>
        <v>1.3696081865492391</v>
      </c>
      <c r="N72" s="1013">
        <f>'C0-Ref Stats'!R44</f>
        <v>271360.533413</v>
      </c>
      <c r="Q72" s="1183">
        <v>0.14906054735183716</v>
      </c>
      <c r="R72" s="1183">
        <v>0.21012699604034424</v>
      </c>
      <c r="S72" s="1220"/>
      <c r="T72" s="1220">
        <f t="shared" si="2"/>
        <v>-4.117905568260144E-2</v>
      </c>
      <c r="U72" s="1258">
        <f t="shared" si="3"/>
        <v>-9.5094322399170872E-2</v>
      </c>
      <c r="W72" s="455">
        <f>'C1-Incomes'!$JG46-'C1-Incomes'!$JH46-'F-B6'!P72</f>
        <v>37650.995730000024</v>
      </c>
      <c r="X72" s="455">
        <f>'C1-Incomes'!$JO46-'C1-Incomes'!$JP46-'F-B6'!Q72</f>
        <v>14083.569890000013</v>
      </c>
      <c r="Y72" s="455">
        <f>'C1-Incomes'!$JW46-'C1-Incomes'!$JX46-'F-B6'!R72</f>
        <v>30438.735251999999</v>
      </c>
      <c r="Z72" s="455">
        <f>'C1-Incomes'!$KE46-'C1-Incomes'!$KF46-'F-B6'!S72</f>
        <v>30635.874189999988</v>
      </c>
      <c r="AA72" s="455">
        <f>'C1-Incomes'!$KM46-'C1-Incomes'!$KN46-'F-B6'!T72</f>
        <v>148688.75612999999</v>
      </c>
      <c r="AB72" s="455">
        <f>'C1-Incomes'!$KU46-'C1-Incomes'!$KV46-'F-B6'!U72</f>
        <v>91206.517300000036</v>
      </c>
      <c r="AC72" s="455">
        <f>'C1-Incomes'!$LK46-'C1-Incomes'!$LM46-'F-B6'!V72</f>
        <v>7057.2964850999997</v>
      </c>
      <c r="AD72" s="1013"/>
      <c r="AE72" s="1013">
        <f>C72*'C1-Incomes'!R46</f>
        <v>2217303.5744100004</v>
      </c>
      <c r="AG72" s="1341">
        <f t="shared" si="11"/>
        <v>0.16225191224563312</v>
      </c>
      <c r="AH72" s="1341">
        <f t="shared" si="12"/>
        <v>1.6980532645385977E-2</v>
      </c>
      <c r="AI72" s="1341">
        <f t="shared" si="13"/>
        <v>6.3516651723016741E-3</v>
      </c>
      <c r="AJ72" s="1341">
        <f t="shared" si="14"/>
        <v>1.3727815894627512E-2</v>
      </c>
      <c r="AK72" s="1341">
        <f t="shared" si="15"/>
        <v>1.3816725207847037E-2</v>
      </c>
      <c r="AL72" s="1341">
        <f t="shared" si="16"/>
        <v>6.7058366678349135E-2</v>
      </c>
      <c r="AM72" s="1341">
        <f t="shared" si="17"/>
        <v>4.4316806647121801E-2</v>
      </c>
      <c r="AO72" s="1341">
        <f>(SUM(W72:AC72)-'T-T2'!S47)/(AE72-'T-T2'!S47)</f>
        <v>0.15107536052691209</v>
      </c>
    </row>
    <row r="73" spans="1:41" s="173" customFormat="1" ht="10.5" customHeight="1" x14ac:dyDescent="0.25">
      <c r="A73" s="239">
        <f t="shared" si="0"/>
        <v>1999</v>
      </c>
      <c r="B73" s="1183">
        <f>('C1-Incomes'!J47-'C1-Incomes'!K47-'F-B5'!B137)/'C1-Incomes'!J47</f>
        <v>0.19187970885686859</v>
      </c>
      <c r="C73" s="1183">
        <f>('C1-Incomes'!R47-'C1-Incomes'!S47-'F-B5'!C137)/'C1-Incomes'!R47</f>
        <v>0.25280736064472525</v>
      </c>
      <c r="D73" s="1183">
        <f>('C1-Incomes'!Z47-'C1-Incomes'!AA47-'F-B5'!D137)/'C1-Incomes'!Z47</f>
        <v>0.30674095623736303</v>
      </c>
      <c r="E73" s="1183">
        <f>('C1-Incomes'!II47-'C1-Incomes'!IJ47-'F-B5'!E137)/'C1-Incomes'!II47</f>
        <v>0.29464176074390114</v>
      </c>
      <c r="G73" s="455">
        <f t="shared" si="4"/>
        <v>16044.261686209133</v>
      </c>
      <c r="H73" s="455">
        <f>C73*'C1-Incomes'!R47*$M73/($N73*0.5)*1000</f>
        <v>23610.21517467422</v>
      </c>
      <c r="I73" s="455">
        <f t="shared" si="5"/>
        <v>25648.528450819082</v>
      </c>
      <c r="J73" s="455">
        <f>E73*'C1-Incomes'!II47*$M73/($N73*0.5)*1000</f>
        <v>19791.058474241527</v>
      </c>
      <c r="L73" s="1013">
        <f>'T-T1'!BN48</f>
        <v>8324399</v>
      </c>
      <c r="M73" s="1182">
        <f>'C0-Ref Stats'!AA45</f>
        <v>1.3497842436197756</v>
      </c>
      <c r="N73" s="1013">
        <f>'C0-Ref Stats'!R45</f>
        <v>268754.99969099998</v>
      </c>
      <c r="Q73" s="1183">
        <v>0.14768904447555542</v>
      </c>
      <c r="R73" s="1183">
        <v>0.20845091342926025</v>
      </c>
      <c r="S73" s="1220"/>
      <c r="T73" s="1220">
        <f t="shared" si="2"/>
        <v>-4.4190664381313166E-2</v>
      </c>
      <c r="U73" s="1258">
        <f t="shared" si="3"/>
        <v>-9.8290042808102773E-2</v>
      </c>
      <c r="W73" s="455">
        <f>'C1-Incomes'!$JG47-'C1-Incomes'!$JH47-'F-B6'!P73</f>
        <v>41491.257350000029</v>
      </c>
      <c r="X73" s="455">
        <f>'C1-Incomes'!$JO47-'C1-Incomes'!$JP47-'F-B6'!Q73</f>
        <v>13501.97194800002</v>
      </c>
      <c r="Y73" s="455">
        <f>'C1-Incomes'!$JW47-'C1-Incomes'!$JX47-'F-B6'!R73</f>
        <v>32956.955226999999</v>
      </c>
      <c r="Z73" s="455">
        <f>'C1-Incomes'!$KE47-'C1-Incomes'!$KF47-'F-B6'!S73</f>
        <v>33010.544360000014</v>
      </c>
      <c r="AA73" s="455">
        <f>'C1-Incomes'!$KM47-'C1-Incomes'!$KN47-'F-B6'!T73</f>
        <v>159399.05512999999</v>
      </c>
      <c r="AB73" s="455">
        <f>'C1-Incomes'!$KU47-'C1-Incomes'!$KV47-'F-B6'!U73</f>
        <v>98035.889849999978</v>
      </c>
      <c r="AC73" s="455">
        <f>'C1-Incomes'!$LK47-'C1-Incomes'!$LM47-'F-B6'!V73</f>
        <v>8118.0477964999991</v>
      </c>
      <c r="AD73" s="1013"/>
      <c r="AE73" s="1013">
        <f>C73*'C1-Incomes'!R47</f>
        <v>2350510.2396800001</v>
      </c>
      <c r="AG73" s="1341">
        <f t="shared" si="11"/>
        <v>0.16443822074738981</v>
      </c>
      <c r="AH73" s="1341">
        <f t="shared" si="12"/>
        <v>1.7652021526887145E-2</v>
      </c>
      <c r="AI73" s="1341">
        <f t="shared" si="13"/>
        <v>5.744272762597361E-3</v>
      </c>
      <c r="AJ73" s="1341">
        <f t="shared" si="14"/>
        <v>1.4021191939792094E-2</v>
      </c>
      <c r="AK73" s="1341">
        <f t="shared" si="15"/>
        <v>1.4043990875995541E-2</v>
      </c>
      <c r="AL73" s="1341">
        <f t="shared" si="16"/>
        <v>6.7814661020877187E-2</v>
      </c>
      <c r="AM73" s="1341">
        <f t="shared" si="17"/>
        <v>4.5162082621240503E-2</v>
      </c>
      <c r="AO73" s="1341">
        <f>(SUM(W73:AC73)-'T-T2'!S48)/(AE73-'T-T2'!S48)</f>
        <v>0.15336556566746137</v>
      </c>
    </row>
    <row r="74" spans="1:41" s="173" customFormat="1" ht="10.5" customHeight="1" x14ac:dyDescent="0.25">
      <c r="A74" s="239">
        <f t="shared" si="0"/>
        <v>2000</v>
      </c>
      <c r="B74" s="1183">
        <f>('C1-Incomes'!J48-'C1-Incomes'!K48-'F-B5'!B138)/'C1-Incomes'!J48</f>
        <v>0.18886228621487641</v>
      </c>
      <c r="C74" s="1183">
        <f>('C1-Incomes'!R48-'C1-Incomes'!S48-'F-B5'!C138)/'C1-Incomes'!R48</f>
        <v>0.24795507532920724</v>
      </c>
      <c r="D74" s="1183">
        <f>('C1-Incomes'!Z48-'C1-Incomes'!AA48-'F-B5'!D138)/'C1-Incomes'!Z48</f>
        <v>0.30010299272517077</v>
      </c>
      <c r="E74" s="1183">
        <f>('C1-Incomes'!II48-'C1-Incomes'!IJ48-'F-B5'!E138)/'C1-Incomes'!II48</f>
        <v>0.287942669651512</v>
      </c>
      <c r="G74" s="455">
        <f t="shared" si="4"/>
        <v>15975.743834696192</v>
      </c>
      <c r="H74" s="455">
        <f>C74*'C1-Incomes'!R48*$M74/($N74*0.5)*1000</f>
        <v>23386.45096490315</v>
      </c>
      <c r="I74" s="455">
        <f t="shared" si="5"/>
        <v>25385.526310680532</v>
      </c>
      <c r="J74" s="455">
        <f>E74*'C1-Incomes'!II48*$M74/($N74*0.5)*1000</f>
        <v>19453.77073408282</v>
      </c>
      <c r="L74" s="1013">
        <f>'T-T1'!BN49</f>
        <v>8907019</v>
      </c>
      <c r="M74" s="1182">
        <f>'C0-Ref Stats'!AA46</f>
        <v>1.3169696021941273</v>
      </c>
      <c r="N74" s="1013">
        <f>'C0-Ref Stats'!R46</f>
        <v>277346.238205</v>
      </c>
      <c r="Q74" s="1183">
        <v>0.14615023136138916</v>
      </c>
      <c r="R74" s="1183">
        <v>0.20601630210876465</v>
      </c>
      <c r="S74" s="1220"/>
      <c r="T74" s="1220">
        <f t="shared" si="2"/>
        <v>-4.2712054853487252E-2</v>
      </c>
      <c r="U74" s="1258">
        <f t="shared" si="3"/>
        <v>-9.4086690616406121E-2</v>
      </c>
      <c r="W74" s="455">
        <f>'C1-Incomes'!$JG48-'C1-Incomes'!$JH48-'F-B6'!P74</f>
        <v>44028.260300000024</v>
      </c>
      <c r="X74" s="455">
        <f>'C1-Incomes'!$JO48-'C1-Incomes'!$JP48-'F-B6'!Q74</f>
        <v>14075.615275999982</v>
      </c>
      <c r="Y74" s="455">
        <f>'C1-Incomes'!$JW48-'C1-Incomes'!$JX48-'F-B6'!R74</f>
        <v>34545.408970000004</v>
      </c>
      <c r="Z74" s="455">
        <f>'C1-Incomes'!$KE48-'C1-Incomes'!$KF48-'F-B6'!S74</f>
        <v>34625.217950000006</v>
      </c>
      <c r="AA74" s="455">
        <f>'C1-Incomes'!$KM48-'C1-Incomes'!$KN48-'F-B6'!T74</f>
        <v>172295.33714000002</v>
      </c>
      <c r="AB74" s="455">
        <f>'C1-Incomes'!$KU48-'C1-Incomes'!$KV48-'F-B6'!U74</f>
        <v>103858.78019999995</v>
      </c>
      <c r="AC74" s="455">
        <f>'C1-Incomes'!$LK48-'C1-Incomes'!$LM48-'F-B6'!V74</f>
        <v>7789.977205799998</v>
      </c>
      <c r="AD74" s="1013"/>
      <c r="AE74" s="1013">
        <f>C74*'C1-Incomes'!R48</f>
        <v>2462526.1620600009</v>
      </c>
      <c r="AG74" s="1341">
        <f t="shared" si="11"/>
        <v>0.16699054953300446</v>
      </c>
      <c r="AH74" s="1341">
        <f t="shared" si="12"/>
        <v>1.7879306615434548E-2</v>
      </c>
      <c r="AI74" s="1341">
        <f t="shared" si="13"/>
        <v>5.7159251718264673E-3</v>
      </c>
      <c r="AJ74" s="1341">
        <f t="shared" si="14"/>
        <v>1.4028443434323312E-2</v>
      </c>
      <c r="AK74" s="1341">
        <f t="shared" si="15"/>
        <v>1.4060852828070925E-2</v>
      </c>
      <c r="AL74" s="1341">
        <f t="shared" si="16"/>
        <v>6.9966906258517925E-2</v>
      </c>
      <c r="AM74" s="1341">
        <f t="shared" si="17"/>
        <v>4.5339115224831285E-2</v>
      </c>
      <c r="AO74" s="1341">
        <f>(SUM(W74:AC74)-'T-T2'!S49)/(AE74-'T-T2'!S49)</f>
        <v>0.15627388555838564</v>
      </c>
    </row>
    <row r="75" spans="1:41" s="173" customFormat="1" ht="10.5" customHeight="1" x14ac:dyDescent="0.25">
      <c r="A75" s="239">
        <f t="shared" si="0"/>
        <v>2001</v>
      </c>
      <c r="B75" s="1183">
        <f>('C1-Incomes'!J49-'C1-Incomes'!K49-'F-B5'!B139)/'C1-Incomes'!J49</f>
        <v>0.18925978316145603</v>
      </c>
      <c r="C75" s="1183">
        <f>('C1-Incomes'!R49-'C1-Incomes'!S49-'F-B5'!C139)/'C1-Incomes'!R49</f>
        <v>0.25152336071054893</v>
      </c>
      <c r="D75" s="1183">
        <f>('C1-Incomes'!Z49-'C1-Incomes'!AA49-'F-B5'!D139)/'C1-Incomes'!Z49</f>
        <v>0.30843820399710398</v>
      </c>
      <c r="E75" s="1183">
        <f>('C1-Incomes'!II49-'C1-Incomes'!IJ49-'F-B5'!E139)/'C1-Incomes'!II49</f>
        <v>0.29371218789000536</v>
      </c>
      <c r="G75" s="455">
        <f t="shared" si="4"/>
        <v>15925.16677327827</v>
      </c>
      <c r="H75" s="455">
        <f>C75*'C1-Incomes'!R49*$M75/($N75*0.5)*1000</f>
        <v>23752.201673536685</v>
      </c>
      <c r="I75" s="455">
        <f t="shared" si="5"/>
        <v>25953.373484074942</v>
      </c>
      <c r="J75" s="455">
        <f>E75*'C1-Incomes'!II49*$M75/($N75*0.5)*1000</f>
        <v>20207.733606791615</v>
      </c>
      <c r="L75" s="1013">
        <f>'T-T1'!BN50</f>
        <v>9184633</v>
      </c>
      <c r="M75" s="1182">
        <f>'C0-Ref Stats'!AA47</f>
        <v>1.2920246412386707</v>
      </c>
      <c r="N75" s="1013">
        <f>'C0-Ref Stats'!R47</f>
        <v>282057.04306699999</v>
      </c>
      <c r="Q75" s="1183">
        <v>0.14948296546936035</v>
      </c>
      <c r="R75" s="1183">
        <v>0.2074773907661438</v>
      </c>
      <c r="S75" s="1220"/>
      <c r="T75" s="1220">
        <f t="shared" si="2"/>
        <v>-3.9776817692095678E-2</v>
      </c>
      <c r="U75" s="1258">
        <f t="shared" si="3"/>
        <v>-0.10096081323096018</v>
      </c>
      <c r="W75" s="455">
        <f>'C1-Incomes'!$JG49-'C1-Incomes'!$JH49-'F-B6'!P75</f>
        <v>41636.146680000063</v>
      </c>
      <c r="X75" s="455">
        <f>'C1-Incomes'!$JO49-'C1-Incomes'!$JP49-'F-B6'!Q75</f>
        <v>14981.898162999991</v>
      </c>
      <c r="Y75" s="455">
        <f>'C1-Incomes'!$JW49-'C1-Incomes'!$JX49-'F-B6'!R75</f>
        <v>26238.193459000002</v>
      </c>
      <c r="Z75" s="455">
        <f>'C1-Incomes'!$KE49-'C1-Incomes'!$KF49-'F-B6'!S75</f>
        <v>36664.240850000002</v>
      </c>
      <c r="AA75" s="455">
        <f>'C1-Incomes'!$KM49-'C1-Incomes'!$KN49-'F-B6'!T75</f>
        <v>169132.86067999998</v>
      </c>
      <c r="AB75" s="455">
        <f>'C1-Incomes'!$KU49-'C1-Incomes'!$KV49-'F-B6'!U75</f>
        <v>104104.95342999999</v>
      </c>
      <c r="AC75" s="455">
        <f>'C1-Incomes'!$LK49-'C1-Incomes'!$LM49-'F-B6'!V75</f>
        <v>7768.9288401000013</v>
      </c>
      <c r="AD75" s="1013"/>
      <c r="AE75" s="1013">
        <f>C75*'C1-Incomes'!R49</f>
        <v>2592626.9347100006</v>
      </c>
      <c r="AG75" s="1341">
        <f t="shared" si="11"/>
        <v>0.15448702500921183</v>
      </c>
      <c r="AH75" s="1341">
        <f t="shared" si="12"/>
        <v>1.6059443849239071E-2</v>
      </c>
      <c r="AI75" s="1341">
        <f t="shared" si="13"/>
        <v>5.7786556030961691E-3</v>
      </c>
      <c r="AJ75" s="1341">
        <f t="shared" si="14"/>
        <v>1.0120311992336409E-2</v>
      </c>
      <c r="AK75" s="1341">
        <f t="shared" si="15"/>
        <v>1.4141734145835022E-2</v>
      </c>
      <c r="AL75" s="1341">
        <f t="shared" si="16"/>
        <v>6.5236096414665393E-2</v>
      </c>
      <c r="AM75" s="1341">
        <f t="shared" si="17"/>
        <v>4.315078300403976E-2</v>
      </c>
      <c r="AO75" s="1341">
        <f>(SUM(W75:AC75)-'T-T2'!S50)/(AE75-'T-T2'!S50)</f>
        <v>0.14419175147568647</v>
      </c>
    </row>
    <row r="76" spans="1:41" s="173" customFormat="1" ht="10.5" customHeight="1" x14ac:dyDescent="0.25">
      <c r="A76" s="239">
        <f t="shared" si="0"/>
        <v>2002</v>
      </c>
      <c r="B76" s="1183">
        <f>('C1-Incomes'!J50-'C1-Incomes'!K50-'F-B5'!B140)/'C1-Incomes'!J50</f>
        <v>0.18711379464413366</v>
      </c>
      <c r="C76" s="1183">
        <f>('C1-Incomes'!R50-'C1-Incomes'!S50-'F-B5'!C140)/'C1-Incomes'!R50</f>
        <v>0.25328942511477071</v>
      </c>
      <c r="D76" s="1183">
        <f>('C1-Incomes'!Z50-'C1-Incomes'!AA50-'F-B5'!D140)/'C1-Incomes'!Z50</f>
        <v>0.31262294790258849</v>
      </c>
      <c r="E76" s="1183">
        <f>('C1-Incomes'!II50-'C1-Incomes'!IJ50-'F-B5'!E140)/'C1-Incomes'!II50</f>
        <v>0.29213661128258045</v>
      </c>
      <c r="G76" s="455">
        <f t="shared" si="4"/>
        <v>15663.203652268603</v>
      </c>
      <c r="H76" s="455">
        <f>C76*'C1-Incomes'!R50*$M76/($N76*0.5)*1000</f>
        <v>23956.012815935541</v>
      </c>
      <c r="I76" s="455">
        <f t="shared" si="5"/>
        <v>26169.513095940627</v>
      </c>
      <c r="J76" s="455">
        <f>E76*'C1-Incomes'!II50*$M76/($N76*0.5)*1000</f>
        <v>20763.082029277819</v>
      </c>
      <c r="L76" s="1013">
        <f>'T-T1'!BN51</f>
        <v>9436823</v>
      </c>
      <c r="M76" s="1182">
        <f>'C0-Ref Stats'!AA48</f>
        <v>1.2749176108905009</v>
      </c>
      <c r="N76" s="1013">
        <f>'C0-Ref Stats'!R48</f>
        <v>287450.545338</v>
      </c>
      <c r="Q76" s="1183">
        <v>0.14821606874465942</v>
      </c>
      <c r="R76" s="1183">
        <v>0.20533186197280884</v>
      </c>
      <c r="S76" s="1220"/>
      <c r="T76" s="1220">
        <f t="shared" si="2"/>
        <v>-3.8897725899474239E-2</v>
      </c>
      <c r="U76" s="1258">
        <f t="shared" si="3"/>
        <v>-0.10729108592977965</v>
      </c>
      <c r="W76" s="455">
        <f>'C1-Incomes'!$JG50-'C1-Incomes'!$JH50-'F-B6'!P76</f>
        <v>26411.311490000051</v>
      </c>
      <c r="X76" s="455">
        <f>'C1-Incomes'!$JO50-'C1-Incomes'!$JP50-'F-B6'!Q76</f>
        <v>11654.05562900001</v>
      </c>
      <c r="Y76" s="455">
        <f>'C1-Incomes'!$JW50-'C1-Incomes'!$JX50-'F-B6'!R76</f>
        <v>23896.429992999998</v>
      </c>
      <c r="Z76" s="455">
        <f>'C1-Incomes'!$KE50-'C1-Incomes'!$KF50-'F-B6'!S76</f>
        <v>38350.011800000022</v>
      </c>
      <c r="AA76" s="455">
        <f>'C1-Incomes'!$KM50-'C1-Incomes'!$KN50-'F-B6'!T76</f>
        <v>170662.82246000005</v>
      </c>
      <c r="AB76" s="455">
        <f>'C1-Incomes'!$KU50-'C1-Incomes'!$KV50-'F-B6'!U76</f>
        <v>104351.01613999996</v>
      </c>
      <c r="AC76" s="455">
        <f>'C1-Incomes'!$LK50-'C1-Incomes'!$LM50-'F-B6'!V76</f>
        <v>6700.8708158999962</v>
      </c>
      <c r="AD76" s="1013"/>
      <c r="AE76" s="1013">
        <f>C76*'C1-Incomes'!R50</f>
        <v>2700632.9229600006</v>
      </c>
      <c r="AG76" s="1341">
        <f t="shared" si="11"/>
        <v>0.14145814304492144</v>
      </c>
      <c r="AH76" s="1341">
        <f t="shared" si="12"/>
        <v>9.7796747071616855E-3</v>
      </c>
      <c r="AI76" s="1341">
        <f t="shared" si="13"/>
        <v>4.3153053234005244E-3</v>
      </c>
      <c r="AJ76" s="1341">
        <f t="shared" si="14"/>
        <v>8.848455408300572E-3</v>
      </c>
      <c r="AK76" s="1341">
        <f t="shared" si="15"/>
        <v>1.4200379279227215E-2</v>
      </c>
      <c r="AL76" s="1341">
        <f t="shared" si="16"/>
        <v>6.3193639168460866E-2</v>
      </c>
      <c r="AM76" s="1341">
        <f t="shared" si="17"/>
        <v>4.1120689158370582E-2</v>
      </c>
      <c r="AO76" s="1341">
        <f>(SUM(W76:AC76)-'T-T2'!S51)/(AE76-'T-T2'!S51)</f>
        <v>0.1294453705780583</v>
      </c>
    </row>
    <row r="77" spans="1:41" s="173" customFormat="1" ht="10.5" customHeight="1" x14ac:dyDescent="0.25">
      <c r="A77" s="239">
        <f t="shared" si="0"/>
        <v>2003</v>
      </c>
      <c r="B77" s="1183">
        <f>('C1-Incomes'!J51-'C1-Incomes'!K51-'F-B5'!B141)/'C1-Incomes'!J51</f>
        <v>0.18270615977426796</v>
      </c>
      <c r="C77" s="1183">
        <f>('C1-Incomes'!R51-'C1-Incomes'!S51-'F-B5'!C141)/'C1-Incomes'!R51</f>
        <v>0.24983625143849195</v>
      </c>
      <c r="D77" s="1183">
        <f>('C1-Incomes'!Z51-'C1-Incomes'!AA51-'F-B5'!D141)/'C1-Incomes'!Z51</f>
        <v>0.30893175459172906</v>
      </c>
      <c r="E77" s="1183">
        <f>('C1-Incomes'!II51-'C1-Incomes'!IJ51-'F-B5'!E141)/'C1-Incomes'!II51</f>
        <v>0.28649615061049782</v>
      </c>
      <c r="G77" s="455">
        <f t="shared" si="4"/>
        <v>15450.811700324683</v>
      </c>
      <c r="H77" s="455">
        <f>C77*'C1-Incomes'!R51*$M77/($N77*0.5)*1000</f>
        <v>23898.613385771434</v>
      </c>
      <c r="I77" s="455">
        <f t="shared" si="5"/>
        <v>26125.262412307446</v>
      </c>
      <c r="J77" s="455">
        <f>E77*'C1-Incomes'!II51*$M77/($N77*0.5)*1000</f>
        <v>20730.419391706611</v>
      </c>
      <c r="L77" s="1013">
        <f>'T-T1'!BN52</f>
        <v>9864188</v>
      </c>
      <c r="M77" s="1182">
        <f>'C0-Ref Stats'!AA49</f>
        <v>1.2501827068012605</v>
      </c>
      <c r="N77" s="1013">
        <f>'C0-Ref Stats'!R49</f>
        <v>291653.17817799997</v>
      </c>
      <c r="Q77" s="1183">
        <v>0.1451382040977478</v>
      </c>
      <c r="R77" s="1183">
        <v>0.20235627889633179</v>
      </c>
      <c r="S77" s="1220"/>
      <c r="T77" s="1220">
        <f t="shared" si="2"/>
        <v>-3.7567955676520159E-2</v>
      </c>
      <c r="U77" s="1258">
        <f t="shared" si="3"/>
        <v>-0.10657547569539727</v>
      </c>
      <c r="W77" s="455">
        <f>'C1-Incomes'!$JG51-'C1-Incomes'!$JH51-'F-B6'!P77</f>
        <v>21881.90141999998</v>
      </c>
      <c r="X77" s="455">
        <f>'C1-Incomes'!$JO51-'C1-Incomes'!$JP51-'F-B6'!Q77</f>
        <v>11387.104658000011</v>
      </c>
      <c r="Y77" s="455">
        <f>'C1-Incomes'!$JW51-'C1-Incomes'!$JX51-'F-B6'!R77</f>
        <v>29197.414420999994</v>
      </c>
      <c r="Z77" s="455">
        <f>'C1-Incomes'!$KE51-'C1-Incomes'!$KF51-'F-B6'!S77</f>
        <v>38199.71477999998</v>
      </c>
      <c r="AA77" s="455">
        <f>'C1-Incomes'!$KM51-'C1-Incomes'!$KN51-'F-B6'!T77</f>
        <v>179063.14171</v>
      </c>
      <c r="AB77" s="455">
        <f>'C1-Incomes'!$KU51-'C1-Incomes'!$KV51-'F-B6'!U77</f>
        <v>103460.25432999997</v>
      </c>
      <c r="AC77" s="455">
        <f>'C1-Incomes'!$LK51-'C1-Incomes'!$LM51-'F-B6'!V77</f>
        <v>5732.8072132999987</v>
      </c>
      <c r="AD77" s="1013"/>
      <c r="AE77" s="1013">
        <f>C77*'C1-Incomes'!R51</f>
        <v>2787635.1632800009</v>
      </c>
      <c r="AG77" s="1341">
        <f t="shared" si="11"/>
        <v>0.1395169438437863</v>
      </c>
      <c r="AH77" s="1341">
        <f t="shared" si="12"/>
        <v>7.8496288568311746E-3</v>
      </c>
      <c r="AI77" s="1341">
        <f t="shared" si="13"/>
        <v>4.0848618958449568E-3</v>
      </c>
      <c r="AJ77" s="1341">
        <f t="shared" si="14"/>
        <v>1.0473900891193233E-2</v>
      </c>
      <c r="AK77" s="1341">
        <f t="shared" si="15"/>
        <v>1.3703269094601764E-2</v>
      </c>
      <c r="AL77" s="1341">
        <f t="shared" si="16"/>
        <v>6.4234783686438313E-2</v>
      </c>
      <c r="AM77" s="1341">
        <f t="shared" si="17"/>
        <v>3.9170499418876854E-2</v>
      </c>
      <c r="AO77" s="1341">
        <f>(SUM(W77:AC77)-'T-T2'!S52)/(AE77-'T-T2'!S52)</f>
        <v>0.12605428656325351</v>
      </c>
    </row>
    <row r="78" spans="1:41" s="173" customFormat="1" ht="10.5" customHeight="1" x14ac:dyDescent="0.25">
      <c r="A78" s="239">
        <f t="shared" si="0"/>
        <v>2004</v>
      </c>
      <c r="B78" s="1183">
        <f>('C1-Incomes'!J52-'C1-Incomes'!K52-'F-B5'!B142)/'C1-Incomes'!J52</f>
        <v>0.18002618587512501</v>
      </c>
      <c r="C78" s="1183">
        <f>('C1-Incomes'!R52-'C1-Incomes'!S52-'F-B5'!C142)/'C1-Incomes'!R52</f>
        <v>0.24721596336830276</v>
      </c>
      <c r="D78" s="1183">
        <f>('C1-Incomes'!Z52-'C1-Incomes'!AA52-'F-B5'!D142)/'C1-Incomes'!Z52</f>
        <v>0.30489333390049683</v>
      </c>
      <c r="E78" s="1183">
        <f>('C1-Incomes'!II52-'C1-Incomes'!IJ52-'F-B5'!E142)/'C1-Incomes'!II52</f>
        <v>0.2829838361515708</v>
      </c>
      <c r="G78" s="455">
        <f t="shared" si="4"/>
        <v>15698.059658810462</v>
      </c>
      <c r="H78" s="455">
        <f>C78*'C1-Incomes'!R52*$M78/($N78*0.5)*1000</f>
        <v>24365.050749699312</v>
      </c>
      <c r="I78" s="455">
        <f t="shared" si="5"/>
        <v>26586.319772744526</v>
      </c>
      <c r="J78" s="455">
        <f>E78*'C1-Incomes'!II52*$M78/($N78*0.5)*1000</f>
        <v>21031.115420802205</v>
      </c>
      <c r="L78" s="1013">
        <f>'T-T1'!BN53</f>
        <v>10540946</v>
      </c>
      <c r="M78" s="1182">
        <f>'C0-Ref Stats'!AA50</f>
        <v>1.2204831499503916</v>
      </c>
      <c r="N78" s="1013">
        <f>'C0-Ref Stats'!R50</f>
        <v>295074.090532</v>
      </c>
      <c r="Q78" s="1183">
        <v>0.14188343286514282</v>
      </c>
      <c r="R78" s="1183">
        <v>0.20059609413146973</v>
      </c>
      <c r="S78" s="1220"/>
      <c r="T78" s="1220">
        <f t="shared" si="2"/>
        <v>-3.8142753009982183E-2</v>
      </c>
      <c r="U78" s="1258">
        <f t="shared" si="3"/>
        <v>-0.10429723976902711</v>
      </c>
      <c r="W78" s="455">
        <f>'C1-Incomes'!$JG52-'C1-Incomes'!$JH52-'F-B6'!P78</f>
        <v>21571.864559999929</v>
      </c>
      <c r="X78" s="455">
        <f>'C1-Incomes'!$JO52-'C1-Incomes'!$JP52-'F-B6'!Q78</f>
        <v>11366.04825599998</v>
      </c>
      <c r="Y78" s="455">
        <f>'C1-Incomes'!$JW52-'C1-Incomes'!$JX52-'F-B6'!R78</f>
        <v>36502.877169999992</v>
      </c>
      <c r="Z78" s="455">
        <f>'C1-Incomes'!$KE52-'C1-Incomes'!$KF52-'F-B6'!S78</f>
        <v>39417.864619999978</v>
      </c>
      <c r="AA78" s="455">
        <f>'C1-Incomes'!$KM52-'C1-Incomes'!$KN52-'F-B6'!T78</f>
        <v>195096.45142</v>
      </c>
      <c r="AB78" s="455">
        <f>'C1-Incomes'!$KU52-'C1-Incomes'!$KV52-'F-B6'!U78</f>
        <v>111581.31180000002</v>
      </c>
      <c r="AC78" s="455">
        <f>'C1-Incomes'!$LK52-'C1-Incomes'!$LM52-'F-B6'!V78</f>
        <v>5858.2167042000001</v>
      </c>
      <c r="AD78" s="1013"/>
      <c r="AE78" s="1013">
        <f>C78*'C1-Incomes'!R52</f>
        <v>2945347.9923199993</v>
      </c>
      <c r="AG78" s="1341">
        <f t="shared" si="11"/>
        <v>0.14307125529105127</v>
      </c>
      <c r="AH78" s="1341">
        <f t="shared" si="12"/>
        <v>7.3240461284196671E-3</v>
      </c>
      <c r="AI78" s="1341">
        <f t="shared" si="13"/>
        <v>3.8589831441435693E-3</v>
      </c>
      <c r="AJ78" s="1341">
        <f t="shared" si="14"/>
        <v>1.2393400462417792E-2</v>
      </c>
      <c r="AK78" s="1341">
        <f t="shared" si="15"/>
        <v>1.3383092497994173E-2</v>
      </c>
      <c r="AL78" s="1341">
        <f t="shared" si="16"/>
        <v>6.6238845776021849E-2</v>
      </c>
      <c r="AM78" s="1341">
        <f t="shared" si="17"/>
        <v>3.9872887282054216E-2</v>
      </c>
      <c r="AO78" s="1341">
        <f>(SUM(W78:AC78)-'T-T2'!S53)/(AE78-'T-T2'!S53)</f>
        <v>0.12927191971594157</v>
      </c>
    </row>
    <row r="79" spans="1:41" s="173" customFormat="1" ht="10.5" customHeight="1" x14ac:dyDescent="0.25">
      <c r="A79" s="239">
        <f t="shared" si="0"/>
        <v>2005</v>
      </c>
      <c r="B79" s="1183">
        <f>('C1-Incomes'!J53-'C1-Incomes'!K53-'F-B5'!B143)/'C1-Incomes'!J53</f>
        <v>0.18001426325092088</v>
      </c>
      <c r="C79" s="1183">
        <f>('C1-Incomes'!R53-'C1-Incomes'!S53-'F-B5'!C143)/'C1-Incomes'!R53</f>
        <v>0.24681245299781598</v>
      </c>
      <c r="D79" s="1183">
        <f>('C1-Incomes'!Z53-'C1-Incomes'!AA53-'F-B5'!D143)/'C1-Incomes'!Z53</f>
        <v>0.30448577773131597</v>
      </c>
      <c r="E79" s="1183">
        <f>('C1-Incomes'!II53-'C1-Incomes'!IJ53-'F-B5'!E143)/'C1-Incomes'!II53</f>
        <v>0.28515463895562365</v>
      </c>
      <c r="G79" s="455">
        <f t="shared" si="4"/>
        <v>16284.804681718644</v>
      </c>
      <c r="H79" s="455">
        <f>C79*'C1-Incomes'!R53*$M79/($N79*0.5)*1000</f>
        <v>25214.944874750046</v>
      </c>
      <c r="I79" s="455">
        <f t="shared" si="5"/>
        <v>27544.991875471907</v>
      </c>
      <c r="J79" s="455">
        <f>E79*'C1-Incomes'!II53*$M79/($N79*0.5)*1000</f>
        <v>21558.579652666376</v>
      </c>
      <c r="L79" s="1013">
        <f>'T-T1'!BN54</f>
        <v>11239820</v>
      </c>
      <c r="M79" s="1182">
        <f>'C0-Ref Stats'!AA51</f>
        <v>1.1866444109645462</v>
      </c>
      <c r="N79" s="1013">
        <f>'C0-Ref Stats'!R51</f>
        <v>294872.52815599996</v>
      </c>
      <c r="Q79" s="1183">
        <v>0.13831955194473267</v>
      </c>
      <c r="R79" s="1183">
        <v>0.19962799549102783</v>
      </c>
      <c r="S79" s="1220"/>
      <c r="T79" s="1220">
        <f t="shared" si="2"/>
        <v>-4.1694711306188209E-2</v>
      </c>
      <c r="U79" s="1258">
        <f t="shared" si="3"/>
        <v>-0.10485778224028813</v>
      </c>
      <c r="W79" s="455">
        <f>'C1-Incomes'!$JG53-'C1-Incomes'!$JH53-'F-B6'!P79</f>
        <v>25350.313969999959</v>
      </c>
      <c r="X79" s="455">
        <f>'C1-Incomes'!$JO53-'C1-Incomes'!$JP53-'F-B6'!Q79</f>
        <v>13140.243237000002</v>
      </c>
      <c r="Y79" s="455">
        <f>'C1-Incomes'!$JW53-'C1-Incomes'!$JX53-'F-B6'!R79</f>
        <v>50481.169210000022</v>
      </c>
      <c r="Z79" s="455">
        <f>'C1-Incomes'!$KE53-'C1-Incomes'!$KF53-'F-B6'!S79</f>
        <v>42890.403029999987</v>
      </c>
      <c r="AA79" s="455">
        <f>'C1-Incomes'!$KM53-'C1-Incomes'!$KN53-'F-B6'!T79</f>
        <v>208536.32758999994</v>
      </c>
      <c r="AB79" s="455">
        <f>'C1-Incomes'!$KU53-'C1-Incomes'!$KV53-'F-B6'!U79</f>
        <v>121545.77365000005</v>
      </c>
      <c r="AC79" s="455">
        <f>'C1-Incomes'!$LK53-'C1-Incomes'!$LM53-'F-B6'!V79</f>
        <v>5948.8535467999982</v>
      </c>
      <c r="AD79" s="1013"/>
      <c r="AE79" s="1013">
        <f>C79*'C1-Incomes'!R53</f>
        <v>3132865.4455499994</v>
      </c>
      <c r="AG79" s="1341">
        <f t="shared" si="11"/>
        <v>0.14934988187839571</v>
      </c>
      <c r="AH79" s="1341">
        <f t="shared" si="12"/>
        <v>8.0917340404798362E-3</v>
      </c>
      <c r="AI79" s="1341">
        <f t="shared" si="13"/>
        <v>4.1943209708111577E-3</v>
      </c>
      <c r="AJ79" s="1341">
        <f t="shared" si="14"/>
        <v>1.6113417600396703E-2</v>
      </c>
      <c r="AK79" s="1341">
        <f t="shared" si="15"/>
        <v>1.3690470840655666E-2</v>
      </c>
      <c r="AL79" s="1341">
        <f t="shared" si="16"/>
        <v>6.6564086844588283E-2</v>
      </c>
      <c r="AM79" s="1341">
        <f t="shared" si="17"/>
        <v>4.0695851581464063E-2</v>
      </c>
      <c r="AO79" s="1341">
        <f>(SUM(W79:AC79)-'T-T2'!S54)/(AE79-'T-T2'!S54)</f>
        <v>0.13441577138489835</v>
      </c>
    </row>
    <row r="80" spans="1:41" s="173" customFormat="1" ht="10.5" customHeight="1" x14ac:dyDescent="0.25">
      <c r="A80" s="239">
        <f t="shared" si="0"/>
        <v>2006</v>
      </c>
      <c r="B80" s="1183">
        <f>('C1-Incomes'!J54-'C1-Incomes'!K54-'F-B5'!B144)/'C1-Incomes'!J54</f>
        <v>0.17878055750787319</v>
      </c>
      <c r="C80" s="1183">
        <f>('C1-Incomes'!R54-'C1-Incomes'!S54-'F-B5'!C144)/'C1-Incomes'!R54</f>
        <v>0.24321260784277693</v>
      </c>
      <c r="D80" s="1183">
        <f>('C1-Incomes'!Z54-'C1-Incomes'!AA54-'F-B5'!D144)/'C1-Incomes'!Z54</f>
        <v>0.30073656300133628</v>
      </c>
      <c r="E80" s="1183">
        <f>('C1-Incomes'!II54-'C1-Incomes'!IJ54-'F-B5'!E144)/'C1-Incomes'!II54</f>
        <v>0.28160392118755895</v>
      </c>
      <c r="G80" s="455">
        <f t="shared" si="4"/>
        <v>16623.202062180371</v>
      </c>
      <c r="H80" s="455">
        <f>C80*'C1-Incomes'!R54*$M80/($N80*0.5)*1000</f>
        <v>25527.928822937043</v>
      </c>
      <c r="I80" s="455">
        <f t="shared" si="5"/>
        <v>27962.798214435003</v>
      </c>
      <c r="J80" s="455">
        <f>E80*'C1-Incomes'!II54*$M80/($N80*0.5)*1000</f>
        <v>21720.614814841061</v>
      </c>
      <c r="L80" s="1013">
        <f>'T-T1'!BN55</f>
        <v>12004751</v>
      </c>
      <c r="M80" s="1182">
        <f>'C0-Ref Stats'!AA52</f>
        <v>1.1557284464102862</v>
      </c>
      <c r="N80" s="1013">
        <f>'C0-Ref Stats'!R52</f>
        <v>298431.42885500001</v>
      </c>
      <c r="Q80" s="1183">
        <v>0.13535594940185547</v>
      </c>
      <c r="R80" s="1183">
        <v>0.19706970453262329</v>
      </c>
      <c r="S80" s="1220"/>
      <c r="T80" s="1220">
        <f t="shared" si="2"/>
        <v>-4.3424608106017726E-2</v>
      </c>
      <c r="U80" s="1258">
        <f t="shared" si="3"/>
        <v>-0.10366685846871299</v>
      </c>
      <c r="W80" s="455">
        <f>'C1-Incomes'!$JG54-'C1-Incomes'!$JH54-'F-B6'!P80</f>
        <v>28526.186760000011</v>
      </c>
      <c r="X80" s="455">
        <f>'C1-Incomes'!$JO54-'C1-Incomes'!$JP54-'F-B6'!Q80</f>
        <v>15658.907169999991</v>
      </c>
      <c r="Y80" s="455">
        <f>'C1-Incomes'!$JW54-'C1-Incomes'!$JX54-'F-B6'!R80</f>
        <v>56451.323569999979</v>
      </c>
      <c r="Z80" s="455">
        <f>'C1-Incomes'!$KE54-'C1-Incomes'!$KF54-'F-B6'!S80</f>
        <v>45675.220579999965</v>
      </c>
      <c r="AA80" s="455">
        <f>'C1-Incomes'!$KM54-'C1-Incomes'!$KN54-'F-B6'!T80</f>
        <v>215411.11171999999</v>
      </c>
      <c r="AB80" s="455">
        <f>'C1-Incomes'!$KU54-'C1-Incomes'!$KV54-'F-B6'!U80</f>
        <v>132638.96398</v>
      </c>
      <c r="AC80" s="455">
        <f>'C1-Incomes'!$LK54-'C1-Incomes'!$LM54-'F-B6'!V80</f>
        <v>6158.0474873999983</v>
      </c>
      <c r="AD80" s="1013"/>
      <c r="AE80" s="1013">
        <f>C80*'C1-Incomes'!R54</f>
        <v>3295902.3800099986</v>
      </c>
      <c r="AG80" s="1341">
        <f t="shared" si="11"/>
        <v>0.15186122146793729</v>
      </c>
      <c r="AH80" s="1341">
        <f t="shared" si="12"/>
        <v>8.6550460150198599E-3</v>
      </c>
      <c r="AI80" s="1341">
        <f t="shared" si="13"/>
        <v>4.7510227441725653E-3</v>
      </c>
      <c r="AJ80" s="1341">
        <f t="shared" si="14"/>
        <v>1.7127729241127806E-2</v>
      </c>
      <c r="AK80" s="1341">
        <f t="shared" si="15"/>
        <v>1.3858183681963725E-2</v>
      </c>
      <c r="AL80" s="1341">
        <f t="shared" si="16"/>
        <v>6.5357248754238442E-2</v>
      </c>
      <c r="AM80" s="1341">
        <f t="shared" si="17"/>
        <v>4.2111991031414879E-2</v>
      </c>
      <c r="AO80" s="1341">
        <f>(SUM(W80:AC80)-'T-T2'!S55)/(AE80-'T-T2'!S55)</f>
        <v>0.13702366337135194</v>
      </c>
    </row>
    <row r="81" spans="1:41" s="173" customFormat="1" ht="10.5" customHeight="1" x14ac:dyDescent="0.25">
      <c r="A81" s="239">
        <f t="shared" si="0"/>
        <v>2007</v>
      </c>
      <c r="B81" s="1183">
        <f>('C1-Incomes'!J55-'C1-Incomes'!K55-'F-B5'!B145)/'C1-Incomes'!J55</f>
        <v>0.18108203869836245</v>
      </c>
      <c r="C81" s="1183">
        <f>('C1-Incomes'!R55-'C1-Incomes'!S55-'F-B5'!C145)/'C1-Incomes'!R55</f>
        <v>0.24736416148055537</v>
      </c>
      <c r="D81" s="1183">
        <f>('C1-Incomes'!Z55-'C1-Incomes'!AA55-'F-B5'!D145)/'C1-Incomes'!Z55</f>
        <v>0.30788791200658833</v>
      </c>
      <c r="E81" s="1183">
        <f>('C1-Incomes'!II55-'C1-Incomes'!IJ55-'F-B5'!E145)/'C1-Incomes'!II55</f>
        <v>0.28700539990400331</v>
      </c>
      <c r="G81" s="455">
        <f t="shared" si="4"/>
        <v>16673.762316063079</v>
      </c>
      <c r="H81" s="455">
        <f>C81*'C1-Incomes'!R55*$M81/($N81*0.5)*1000</f>
        <v>25820.8476350243</v>
      </c>
      <c r="I81" s="455">
        <f t="shared" si="5"/>
        <v>28349.856792468407</v>
      </c>
      <c r="J81" s="455">
        <f>E81*'C1-Incomes'!II55*$M81/($N81*0.5)*1000</f>
        <v>21863.568451122646</v>
      </c>
      <c r="L81" s="1013">
        <f>'T-T1'!BN56</f>
        <v>12321373</v>
      </c>
      <c r="M81" s="1182">
        <f>'C0-Ref Stats'!AA53</f>
        <v>1.127496112295445</v>
      </c>
      <c r="N81" s="1013">
        <f>'C0-Ref Stats'!R53</f>
        <v>301749.05779600004</v>
      </c>
      <c r="Q81" s="1183">
        <v>0.13738417625427246</v>
      </c>
      <c r="R81" s="1183">
        <v>0.20025992393493652</v>
      </c>
      <c r="S81" s="1220"/>
      <c r="T81" s="1220">
        <f t="shared" si="2"/>
        <v>-4.3697862444089991E-2</v>
      </c>
      <c r="U81" s="1258">
        <f t="shared" si="3"/>
        <v>-0.1076279880716518</v>
      </c>
      <c r="W81" s="455">
        <f>'C1-Incomes'!$JG55-'C1-Incomes'!$JH55-'F-B6'!P81</f>
        <v>35094.337430000072</v>
      </c>
      <c r="X81" s="455">
        <f>'C1-Incomes'!$JO55-'C1-Incomes'!$JP55-'F-B6'!Q81</f>
        <v>16034.011173999999</v>
      </c>
      <c r="Y81" s="455">
        <f>'C1-Incomes'!$JW55-'C1-Incomes'!$JX55-'F-B6'!R81</f>
        <v>56636.482790000009</v>
      </c>
      <c r="Z81" s="455">
        <f>'C1-Incomes'!$KE55-'C1-Incomes'!$KF55-'F-B6'!S81</f>
        <v>52740.53422999999</v>
      </c>
      <c r="AA81" s="455">
        <f>'C1-Incomes'!$KM55-'C1-Incomes'!$KN55-'F-B6'!T81</f>
        <v>220404.28172999999</v>
      </c>
      <c r="AB81" s="455">
        <f>'C1-Incomes'!$KU55-'C1-Incomes'!$KV55-'F-B6'!U81</f>
        <v>142840.89877000003</v>
      </c>
      <c r="AC81" s="455">
        <f>'C1-Incomes'!$LK55-'C1-Incomes'!$LM55-'F-B6'!V81</f>
        <v>6066.2070960999981</v>
      </c>
      <c r="AD81" s="1013"/>
      <c r="AE81" s="1013">
        <f>C81*'C1-Incomes'!R55</f>
        <v>3455185.5037000002</v>
      </c>
      <c r="AG81" s="1341">
        <f t="shared" si="11"/>
        <v>0.153339597151222</v>
      </c>
      <c r="AH81" s="1341">
        <f t="shared" si="12"/>
        <v>1.0157005287391704E-2</v>
      </c>
      <c r="AI81" s="1341">
        <f t="shared" si="13"/>
        <v>4.6405644955473183E-3</v>
      </c>
      <c r="AJ81" s="1341">
        <f t="shared" si="14"/>
        <v>1.6391734316247446E-2</v>
      </c>
      <c r="AK81" s="1341">
        <f t="shared" si="15"/>
        <v>1.5264168645510513E-2</v>
      </c>
      <c r="AL81" s="1341">
        <f t="shared" si="16"/>
        <v>6.3789420710980385E-2</v>
      </c>
      <c r="AM81" s="1341">
        <f t="shared" si="17"/>
        <v>4.3096703695544629E-2</v>
      </c>
      <c r="AO81" s="1341">
        <f>(SUM(W81:AC81)-'T-T2'!S56)/(AE81-'T-T2'!S56)</f>
        <v>0.13834612844630087</v>
      </c>
    </row>
    <row r="82" spans="1:41" s="173" customFormat="1" ht="10.5" customHeight="1" x14ac:dyDescent="0.25">
      <c r="A82" s="239">
        <f t="shared" si="0"/>
        <v>2008</v>
      </c>
      <c r="B82" s="1183">
        <f>('C1-Incomes'!J56-'C1-Incomes'!K56-'F-B5'!B146)/'C1-Incomes'!J56</f>
        <v>0.17662145278939076</v>
      </c>
      <c r="C82" s="1183">
        <f>('C1-Incomes'!R56-'C1-Incomes'!S56-'F-B5'!C146)/'C1-Incomes'!R56</f>
        <v>0.25169130481635987</v>
      </c>
      <c r="D82" s="1183">
        <f>('C1-Incomes'!Z56-'C1-Incomes'!AA56-'F-B5'!D146)/'C1-Incomes'!Z56</f>
        <v>0.31987845396176229</v>
      </c>
      <c r="E82" s="1183">
        <f>('C1-Incomes'!II56-'C1-Incomes'!IJ56-'F-B5'!E146)/'C1-Incomes'!II56</f>
        <v>0.29183100291557712</v>
      </c>
      <c r="G82" s="455">
        <f t="shared" si="4"/>
        <v>15769.855947686281</v>
      </c>
      <c r="H82" s="455">
        <f>C82*'C1-Incomes'!R56*$M82/($N82*0.5)*1000</f>
        <v>25994.47966902901</v>
      </c>
      <c r="I82" s="455">
        <f t="shared" si="5"/>
        <v>28560.727250730648</v>
      </c>
      <c r="J82" s="455">
        <f>E82*'C1-Incomes'!II56*$M82/($N82*0.5)*1000</f>
        <v>22402.177076684169</v>
      </c>
      <c r="L82" s="1013">
        <f>'T-T1'!BN57</f>
        <v>12427821</v>
      </c>
      <c r="M82" s="1182">
        <f>'C0-Ref Stats'!AA54</f>
        <v>1.094098835756758</v>
      </c>
      <c r="N82" s="1013">
        <f>'C0-Ref Stats'!R54</f>
        <v>304577.11416500004</v>
      </c>
      <c r="Q82" s="1183">
        <v>0.13710874319076538</v>
      </c>
      <c r="R82" s="1183">
        <v>0.20403248071670532</v>
      </c>
      <c r="S82" s="1220"/>
      <c r="T82" s="1220">
        <f t="shared" si="2"/>
        <v>-3.9512709598625378E-2</v>
      </c>
      <c r="U82" s="1258">
        <f t="shared" si="3"/>
        <v>-0.11584597324505697</v>
      </c>
      <c r="W82" s="455">
        <f>'C1-Incomes'!$JG56-'C1-Incomes'!$JH56-'F-B6'!P82</f>
        <v>33898.924589999893</v>
      </c>
      <c r="X82" s="455">
        <f>'C1-Incomes'!$JO56-'C1-Incomes'!$JP56-'F-B6'!Q82</f>
        <v>17890.153900000034</v>
      </c>
      <c r="Y82" s="455">
        <f>'C1-Incomes'!$JW56-'C1-Incomes'!$JX56-'F-B6'!R82</f>
        <v>38484.396600000022</v>
      </c>
      <c r="Z82" s="455">
        <f>'C1-Incomes'!$KE56-'C1-Incomes'!$KF56-'F-B6'!S82</f>
        <v>52732.395909999992</v>
      </c>
      <c r="AA82" s="455">
        <f>'C1-Incomes'!$KM56-'C1-Incomes'!$KN56-'F-B6'!T82</f>
        <v>220369.77006000001</v>
      </c>
      <c r="AB82" s="455">
        <f>'C1-Incomes'!$KU56-'C1-Incomes'!$KV56-'F-B6'!U82</f>
        <v>142831.65507000004</v>
      </c>
      <c r="AC82" s="455">
        <f>'C1-Incomes'!$LK56-'C1-Incomes'!$LM56-'F-B6'!V82</f>
        <v>6548.9083776999969</v>
      </c>
      <c r="AD82" s="1013"/>
      <c r="AE82" s="1013">
        <f>C82*'C1-Incomes'!R56</f>
        <v>3618193.9615800004</v>
      </c>
      <c r="AG82" s="1341">
        <f t="shared" si="11"/>
        <v>0.14171606330462963</v>
      </c>
      <c r="AH82" s="1341">
        <f t="shared" si="12"/>
        <v>9.3690180653545844E-3</v>
      </c>
      <c r="AI82" s="1341">
        <f t="shared" si="13"/>
        <v>4.9444983021827071E-3</v>
      </c>
      <c r="AJ82" s="1341">
        <f t="shared" si="14"/>
        <v>1.0636355322199084E-2</v>
      </c>
      <c r="AK82" s="1341">
        <f t="shared" si="15"/>
        <v>1.4574231362370828E-2</v>
      </c>
      <c r="AL82" s="1341">
        <f t="shared" si="16"/>
        <v>6.0906013442067787E-2</v>
      </c>
      <c r="AM82" s="1341">
        <f t="shared" si="17"/>
        <v>4.1285946810454631E-2</v>
      </c>
      <c r="AO82" s="1341">
        <f>(SUM(W82:AC82)-'T-T2'!S57)/(AE82-'T-T2'!S57)</f>
        <v>0.1230785813136631</v>
      </c>
    </row>
    <row r="83" spans="1:41" s="173" customFormat="1" ht="10.5" customHeight="1" x14ac:dyDescent="0.25">
      <c r="A83" s="239">
        <f t="shared" si="0"/>
        <v>2009</v>
      </c>
      <c r="B83" s="1183">
        <f>('C1-Incomes'!J57-'C1-Incomes'!K57-'F-B5'!B147)/'C1-Incomes'!J57</f>
        <v>0.17133636594321366</v>
      </c>
      <c r="C83" s="1183">
        <f>('C1-Incomes'!R57-'C1-Incomes'!S57-'F-B5'!C147)/'C1-Incomes'!R57</f>
        <v>0.25374703920045988</v>
      </c>
      <c r="D83" s="1183">
        <f>('C1-Incomes'!Z57-'C1-Incomes'!AA57-'F-B5'!D147)/'C1-Incomes'!Z57</f>
        <v>0.32847328116242747</v>
      </c>
      <c r="E83" s="1183">
        <f>('C1-Incomes'!II57-'C1-Incomes'!IJ57-'F-B5'!E147)/'C1-Incomes'!II57</f>
        <v>0.28999630078722322</v>
      </c>
      <c r="G83" s="455">
        <f t="shared" si="4"/>
        <v>14821.606805862033</v>
      </c>
      <c r="H83" s="455">
        <f>C83*'C1-Incomes'!R57*$M83/($N83*0.5)*1000</f>
        <v>25655.136320330213</v>
      </c>
      <c r="I83" s="455">
        <f t="shared" si="5"/>
        <v>28414.87732519344</v>
      </c>
      <c r="J83" s="455">
        <f>E83*'C1-Incomes'!II57*$M83/($N83*0.5)*1000</f>
        <v>22658.274480563487</v>
      </c>
      <c r="L83" s="1013">
        <f>'T-T1'!BN58</f>
        <v>12126078</v>
      </c>
      <c r="M83" s="1182">
        <f>'C0-Ref Stats'!AA55</f>
        <v>1.0948099999999998</v>
      </c>
      <c r="N83" s="1013">
        <f>'C0-Ref Stats'!R55</f>
        <v>306932.850033</v>
      </c>
      <c r="Q83" s="1183">
        <v>0.13589709997177124</v>
      </c>
      <c r="R83" s="1183">
        <v>0.19803696870803833</v>
      </c>
      <c r="S83" s="1220"/>
      <c r="T83" s="1220">
        <f t="shared" si="2"/>
        <v>-3.5439265971442424E-2</v>
      </c>
      <c r="U83" s="1258">
        <f t="shared" si="3"/>
        <v>-0.13043631245438914</v>
      </c>
      <c r="W83" s="455">
        <f>'C1-Incomes'!$JG57-'C1-Incomes'!$JH57-'F-B6'!P83</f>
        <v>20196.396300000022</v>
      </c>
      <c r="X83" s="455">
        <f>'C1-Incomes'!$JO57-'C1-Incomes'!$JP57-'F-B6'!Q83</f>
        <v>11254.985390000002</v>
      </c>
      <c r="Y83" s="455">
        <f>'C1-Incomes'!$JW57-'C1-Incomes'!$JX57-'F-B6'!R83</f>
        <v>27951.458941999997</v>
      </c>
      <c r="Z83" s="455">
        <f>'C1-Incomes'!$KE57-'C1-Incomes'!$KF57-'F-B6'!S83</f>
        <v>51954.015700000018</v>
      </c>
      <c r="AA83" s="455">
        <f>'C1-Incomes'!$KM57-'C1-Incomes'!$KN57-'F-B6'!T83</f>
        <v>201248.4509</v>
      </c>
      <c r="AB83" s="455">
        <f>'C1-Incomes'!$KU57-'C1-Incomes'!$KV57-'F-B6'!U83</f>
        <v>133169.33961000002</v>
      </c>
      <c r="AC83" s="455">
        <f>'C1-Incomes'!$LK57-'C1-Incomes'!$LM57-'F-B6'!V83</f>
        <v>3771.6592997000016</v>
      </c>
      <c r="AD83" s="1013"/>
      <c r="AE83" s="1013">
        <f>C83*'C1-Incomes'!R57</f>
        <v>3596242.3200299991</v>
      </c>
      <c r="AG83" s="1341">
        <f t="shared" si="11"/>
        <v>0.1250044535758508</v>
      </c>
      <c r="AH83" s="1341">
        <f t="shared" si="12"/>
        <v>5.615972034896566E-3</v>
      </c>
      <c r="AI83" s="1341">
        <f t="shared" si="13"/>
        <v>3.1296515608286693E-3</v>
      </c>
      <c r="AJ83" s="1341">
        <f t="shared" si="14"/>
        <v>7.7724069889058061E-3</v>
      </c>
      <c r="AK83" s="1341">
        <f t="shared" si="15"/>
        <v>1.4446750545877183E-2</v>
      </c>
      <c r="AL83" s="1341">
        <f t="shared" si="16"/>
        <v>5.5960759312326101E-2</v>
      </c>
      <c r="AM83" s="1341">
        <f t="shared" si="17"/>
        <v>3.8078913133016486E-2</v>
      </c>
      <c r="AO83" s="1341">
        <f>(SUM(W83:AC83)-'T-T2'!S58)/(AE83-'T-T2'!S58)</f>
        <v>0.10590807614636071</v>
      </c>
    </row>
    <row r="84" spans="1:41" s="173" customFormat="1" ht="10.5" customHeight="1" x14ac:dyDescent="0.25">
      <c r="A84" s="239">
        <f t="shared" si="0"/>
        <v>2010</v>
      </c>
      <c r="B84" s="1183">
        <f>('C1-Incomes'!J58-'C1-Incomes'!K58-'F-B5'!B148)/'C1-Incomes'!J58</f>
        <v>0.1667933164362887</v>
      </c>
      <c r="C84" s="1183">
        <f>('C1-Incomes'!R58-'C1-Incomes'!S58-'F-B5'!C148)/'C1-Incomes'!R58</f>
        <v>0.25252156135433368</v>
      </c>
      <c r="D84" s="1183">
        <f>('C1-Incomes'!Z58-'C1-Incomes'!AA58-'F-B5'!D148)/'C1-Incomes'!Z58</f>
        <v>0.32813152187812661</v>
      </c>
      <c r="E84" s="1183">
        <f>('C1-Incomes'!II58-'C1-Incomes'!IJ58-'F-B5'!E148)/'C1-Incomes'!II58</f>
        <v>0.28965897386922645</v>
      </c>
      <c r="G84" s="455">
        <f t="shared" si="4"/>
        <v>14759.138253854244</v>
      </c>
      <c r="H84" s="455">
        <f>C84*'C1-Incomes'!R58*$M84/($N84*0.5)*1000</f>
        <v>26244.54131580839</v>
      </c>
      <c r="I84" s="455">
        <f t="shared" si="5"/>
        <v>29035.566893933446</v>
      </c>
      <c r="J84" s="455">
        <f>E84*'C1-Incomes'!II58*$M84/($N84*0.5)*1000</f>
        <v>23215.456194195445</v>
      </c>
      <c r="L84" s="1013">
        <f>'T-T1'!BN59</f>
        <v>12739542</v>
      </c>
      <c r="M84" s="1182">
        <f>'C0-Ref Stats'!AA56</f>
        <v>1.0770070730819552</v>
      </c>
      <c r="N84" s="1013">
        <f>'C0-Ref Stats'!R56</f>
        <v>310113.02631700004</v>
      </c>
      <c r="Q84" s="1183">
        <v>0.13031774759292603</v>
      </c>
      <c r="R84" s="1183">
        <v>0.19802474975585938</v>
      </c>
      <c r="S84" s="1220"/>
      <c r="T84" s="1220">
        <f t="shared" si="2"/>
        <v>-3.6475568843362671E-2</v>
      </c>
      <c r="U84" s="1258">
        <f t="shared" si="3"/>
        <v>-0.13010677212226723</v>
      </c>
      <c r="W84" s="455">
        <f>'C1-Incomes'!$JG58-'C1-Incomes'!$JH58-'F-B6'!P84</f>
        <v>21828.720429999987</v>
      </c>
      <c r="X84" s="455">
        <f>'C1-Incomes'!$JO58-'C1-Incomes'!$JP58-'F-B6'!Q84</f>
        <v>10300.845122999992</v>
      </c>
      <c r="Y84" s="455">
        <f>'C1-Incomes'!$JW58-'C1-Incomes'!$JX58-'F-B6'!R84</f>
        <v>34216.791169999997</v>
      </c>
      <c r="Z84" s="455">
        <f>'C1-Incomes'!$KE58-'C1-Incomes'!$KF58-'F-B6'!S84</f>
        <v>49246.125459999981</v>
      </c>
      <c r="AA84" s="455">
        <f>'C1-Incomes'!$KM58-'C1-Incomes'!$KN58-'F-B6'!T84</f>
        <v>208189.13088000001</v>
      </c>
      <c r="AB84" s="455">
        <f>'C1-Incomes'!$KU58-'C1-Incomes'!$KV58-'F-B6'!U84</f>
        <v>140296.50168000004</v>
      </c>
      <c r="AC84" s="455">
        <f>'C1-Incomes'!$LK58-'C1-Incomes'!$LM58-'F-B6'!V84</f>
        <v>2342.9067822000011</v>
      </c>
      <c r="AD84" s="1013"/>
      <c r="AE84" s="1013">
        <f>C84*'C1-Incomes'!R58</f>
        <v>3778421.8577400004</v>
      </c>
      <c r="AG84" s="1341">
        <f t="shared" si="11"/>
        <v>0.12344334197880749</v>
      </c>
      <c r="AH84" s="1341">
        <f t="shared" si="12"/>
        <v>5.7772057361155718E-3</v>
      </c>
      <c r="AI84" s="1341">
        <f t="shared" si="13"/>
        <v>2.7262294976139242E-3</v>
      </c>
      <c r="AJ84" s="1341">
        <f t="shared" si="14"/>
        <v>9.0558419515565144E-3</v>
      </c>
      <c r="AK84" s="1341">
        <f t="shared" si="15"/>
        <v>1.3033516985172144E-2</v>
      </c>
      <c r="AL84" s="1341">
        <f t="shared" si="16"/>
        <v>5.509949357653908E-2</v>
      </c>
      <c r="AM84" s="1341">
        <f t="shared" si="17"/>
        <v>3.7751054231810265E-2</v>
      </c>
      <c r="AO84" s="1341">
        <f>(SUM(W84:AC84)-'T-T2'!S59)/(AE84-'T-T2'!S59)</f>
        <v>8.8627643173987719E-2</v>
      </c>
    </row>
    <row r="85" spans="1:41" s="173" customFormat="1" ht="10.5" customHeight="1" x14ac:dyDescent="0.25">
      <c r="A85" s="239">
        <f t="shared" si="0"/>
        <v>2011</v>
      </c>
      <c r="B85" s="1183">
        <f>('C1-Incomes'!J59-'C1-Incomes'!K59-'F-B5'!B149)/'C1-Incomes'!J59</f>
        <v>0.16716442870742476</v>
      </c>
      <c r="C85" s="1183">
        <f>('C1-Incomes'!R59-'C1-Incomes'!S59-'F-B5'!C149)/'C1-Incomes'!R59</f>
        <v>0.25026964872498164</v>
      </c>
      <c r="D85" s="1183">
        <f>('C1-Incomes'!Z59-'C1-Incomes'!AA59-'F-B5'!D149)/'C1-Incomes'!Z59</f>
        <v>0.32432803558161244</v>
      </c>
      <c r="E85" s="1183">
        <f>('C1-Incomes'!II59-'C1-Incomes'!IJ59-'F-B5'!E149)/'C1-Incomes'!II59</f>
        <v>0.28920918370892584</v>
      </c>
      <c r="G85" s="455">
        <f t="shared" si="4"/>
        <v>14991.444869133114</v>
      </c>
      <c r="H85" s="455">
        <f>C85*'C1-Incomes'!R59*$M85/($N85*0.5)*1000</f>
        <v>26218.093990928857</v>
      </c>
      <c r="I85" s="455">
        <f t="shared" si="5"/>
        <v>29086.007726236014</v>
      </c>
      <c r="J85" s="455">
        <f>E85*'C1-Incomes'!II59*$M85/($N85*0.5)*1000</f>
        <v>23271.011922939906</v>
      </c>
      <c r="L85" s="1013">
        <f>'T-T1'!BN60</f>
        <v>13352255</v>
      </c>
      <c r="M85" s="1182">
        <f>'C0-Ref Stats'!AA57</f>
        <v>1.0511958828217265</v>
      </c>
      <c r="N85" s="1013">
        <f>'C0-Ref Stats'!R57</f>
        <v>313017.51636699995</v>
      </c>
      <c r="Q85" s="1183">
        <v>0.12730598449707031</v>
      </c>
      <c r="R85" s="1183">
        <v>0.19512152671813965</v>
      </c>
      <c r="S85" s="1220"/>
      <c r="T85" s="1220">
        <f t="shared" si="2"/>
        <v>-3.9858444210354449E-2</v>
      </c>
      <c r="U85" s="1258">
        <f t="shared" si="3"/>
        <v>-0.12920650886347279</v>
      </c>
      <c r="W85" s="455">
        <f>'C1-Incomes'!$JG59-'C1-Incomes'!$JH59-'F-B6'!P85</f>
        <v>26080.864639999985</v>
      </c>
      <c r="X85" s="455">
        <f>'C1-Incomes'!$JO59-'C1-Incomes'!$JP59-'F-B6'!Q85</f>
        <v>12441.487961999999</v>
      </c>
      <c r="Y85" s="455">
        <f>'C1-Incomes'!$JW59-'C1-Incomes'!$JX59-'F-B6'!R85</f>
        <v>35207.296839999981</v>
      </c>
      <c r="Z85" s="455">
        <f>'C1-Incomes'!$KE59-'C1-Incomes'!$KF59-'F-B6'!S85</f>
        <v>48645.552240000019</v>
      </c>
      <c r="AA85" s="455">
        <f>'C1-Incomes'!$KM59-'C1-Incomes'!$KN59-'F-B6'!T85</f>
        <v>197828.93002000003</v>
      </c>
      <c r="AB85" s="455">
        <f>'C1-Incomes'!$KU59-'C1-Incomes'!$KV59-'F-B6'!U85</f>
        <v>147200.21713</v>
      </c>
      <c r="AC85" s="455">
        <f>'C1-Incomes'!$LK59-'C1-Incomes'!$LM59-'F-B6'!V85</f>
        <v>1790.3540353999997</v>
      </c>
      <c r="AD85" s="1013"/>
      <c r="AE85" s="1013">
        <f>C85*'C1-Incomes'!R59</f>
        <v>3903517.3172899992</v>
      </c>
      <c r="AG85" s="1341">
        <f t="shared" si="11"/>
        <v>0.12019793041244567</v>
      </c>
      <c r="AH85" s="1341">
        <f t="shared" si="12"/>
        <v>6.6813754160841071E-3</v>
      </c>
      <c r="AI85" s="1341">
        <f t="shared" si="13"/>
        <v>3.1872506129004318E-3</v>
      </c>
      <c r="AJ85" s="1341">
        <f t="shared" si="14"/>
        <v>9.0193776479625051E-3</v>
      </c>
      <c r="AK85" s="1341">
        <f t="shared" si="15"/>
        <v>1.2461979360135642E-2</v>
      </c>
      <c r="AL85" s="1341">
        <f t="shared" si="16"/>
        <v>5.0679659891285415E-2</v>
      </c>
      <c r="AM85" s="1341">
        <f t="shared" si="17"/>
        <v>3.8168287484077586E-2</v>
      </c>
      <c r="AO85" s="1341">
        <f>(SUM(W85:AC85)-'T-T2'!S60)/(AE85-'T-T2'!S60)</f>
        <v>8.4692553522816655E-2</v>
      </c>
    </row>
    <row r="86" spans="1:41" s="173" customFormat="1" ht="10.5" customHeight="1" x14ac:dyDescent="0.25">
      <c r="A86" s="239">
        <f t="shared" si="0"/>
        <v>2012</v>
      </c>
      <c r="B86" s="1183">
        <f>('C1-Incomes'!J60-'C1-Incomes'!K60-'F-B5'!B150)/'C1-Incomes'!J60</f>
        <v>0.16346817447282053</v>
      </c>
      <c r="C86" s="1183">
        <f>('C1-Incomes'!R60-'C1-Incomes'!S60-'F-B5'!C150)/'C1-Incomes'!R60</f>
        <v>0.2414385634782952</v>
      </c>
      <c r="D86" s="1183">
        <f>('C1-Incomes'!Z60-'C1-Incomes'!AA60-'F-B5'!D150)/'C1-Incomes'!Z60</f>
        <v>0.3094236464691153</v>
      </c>
      <c r="E86" s="1183">
        <f>('C1-Incomes'!II60-'C1-Incomes'!IJ60-'F-B5'!E150)/'C1-Incomes'!II60</f>
        <v>0.27861351633970838</v>
      </c>
      <c r="G86" s="455">
        <f t="shared" si="4"/>
        <v>14988.998076241598</v>
      </c>
      <c r="H86" s="455">
        <f>C86*'C1-Incomes'!R60*$M86/($N86*0.5)*1000</f>
        <v>25692.086269116484</v>
      </c>
      <c r="I86" s="455">
        <f t="shared" si="5"/>
        <v>28372.192058952558</v>
      </c>
      <c r="J86" s="455">
        <f>E86*'C1-Incomes'!II60*$M86/($N86*0.5)*1000</f>
        <v>22760.102985675487</v>
      </c>
      <c r="L86" s="1013">
        <f>'T-T1'!BN61</f>
        <v>14061878</v>
      </c>
      <c r="M86" s="1182">
        <f>'C0-Ref Stats'!AA58</f>
        <v>1.0316619707692163</v>
      </c>
      <c r="N86" s="1013">
        <f>'C0-Ref Stats'!R58</f>
        <v>316425.41037200001</v>
      </c>
      <c r="Q86" s="1183">
        <v>0.12380164861679077</v>
      </c>
      <c r="R86" s="1183">
        <v>0.18909484148025513</v>
      </c>
      <c r="S86" s="1220"/>
      <c r="T86" s="1220">
        <f t="shared" si="2"/>
        <v>-3.9666525856029755E-2</v>
      </c>
      <c r="U86" s="1258">
        <f t="shared" si="3"/>
        <v>-0.12032880498886017</v>
      </c>
      <c r="W86" s="455">
        <f>'C1-Incomes'!$JG60-'C1-Incomes'!$JH60-'F-B6'!P86</f>
        <v>24175.851429999922</v>
      </c>
      <c r="X86" s="455">
        <f>'C1-Incomes'!$JO60-'C1-Incomes'!$JP60-'F-B6'!Q86</f>
        <v>13577.285409999997</v>
      </c>
      <c r="Y86" s="455">
        <f>'C1-Incomes'!$JW60-'C1-Incomes'!$JX60-'F-B6'!R86</f>
        <v>37900.538709999993</v>
      </c>
      <c r="Z86" s="455">
        <f>'C1-Incomes'!$KE60-'C1-Incomes'!$KF60-'F-B6'!S86</f>
        <v>45247.375000000029</v>
      </c>
      <c r="AA86" s="455">
        <f>'C1-Incomes'!$KM60-'C1-Incomes'!$KN60-'F-B6'!T86</f>
        <v>206056.25422999996</v>
      </c>
      <c r="AB86" s="455">
        <f>'C1-Incomes'!$KU60-'C1-Incomes'!$KV60-'F-B6'!U86</f>
        <v>141956.05164999998</v>
      </c>
      <c r="AC86" s="455">
        <f>'C1-Incomes'!$LK60-'C1-Incomes'!$LM60-'F-B6'!V86</f>
        <v>2317.4882199999993</v>
      </c>
      <c r="AD86" s="1013"/>
      <c r="AE86" s="1013">
        <f>C86*'C1-Incomes'!R60</f>
        <v>3940064.2707400015</v>
      </c>
      <c r="AG86" s="1341">
        <f t="shared" si="11"/>
        <v>0.11959978626477985</v>
      </c>
      <c r="AH86" s="1341">
        <f t="shared" si="12"/>
        <v>6.1359028098948616E-3</v>
      </c>
      <c r="AI86" s="1341">
        <f t="shared" si="13"/>
        <v>3.4459553136807044E-3</v>
      </c>
      <c r="AJ86" s="1341">
        <f t="shared" si="14"/>
        <v>9.6192691554449483E-3</v>
      </c>
      <c r="AK86" s="1341">
        <f t="shared" si="15"/>
        <v>1.1483918000023362E-2</v>
      </c>
      <c r="AL86" s="1341">
        <f t="shared" si="16"/>
        <v>5.2297688583465569E-2</v>
      </c>
      <c r="AM86" s="1341">
        <f t="shared" si="17"/>
        <v>3.6617052402270409E-2</v>
      </c>
      <c r="AO86" s="1341">
        <f>(SUM(W86:AC86)-'T-T2'!S61)/(AE86-'T-T2'!S61)</f>
        <v>9.6982782596384265E-2</v>
      </c>
    </row>
    <row r="87" spans="1:41" s="173" customFormat="1" ht="10.5" customHeight="1" x14ac:dyDescent="0.25">
      <c r="A87" s="239">
        <f t="shared" si="0"/>
        <v>2013</v>
      </c>
      <c r="B87" s="1183">
        <f>('C1-Incomes'!J61-'C1-Incomes'!K61-'F-B5'!B151)/'C1-Incomes'!J61</f>
        <v>0.16470545333799838</v>
      </c>
      <c r="C87" s="1183">
        <f>('C1-Incomes'!R61-'C1-Incomes'!S61-'F-B5'!C151)/'C1-Incomes'!R61</f>
        <v>0.24201963221125658</v>
      </c>
      <c r="D87" s="1183">
        <f>('C1-Incomes'!Z61-'C1-Incomes'!AA61-'F-B5'!D151)/'C1-Incomes'!Z61</f>
        <v>0.30730167669372804</v>
      </c>
      <c r="E87" s="1183">
        <f>('C1-Incomes'!II61-'C1-Incomes'!IJ61-'F-B5'!E151)/'C1-Incomes'!II61</f>
        <v>0.28229671663776867</v>
      </c>
      <c r="G87" s="455">
        <f t="shared" si="4"/>
        <v>15170.72798749203</v>
      </c>
      <c r="H87" s="455">
        <f>C87*'C1-Incomes'!R61*$M87/($N87*0.5)*1000</f>
        <v>25862.891451695206</v>
      </c>
      <c r="I87" s="455">
        <f t="shared" si="5"/>
        <v>28305.013906574895</v>
      </c>
      <c r="J87" s="455">
        <f>E87*'C1-Incomes'!II61*$M87/($N87*0.5)*1000</f>
        <v>22636.554467820511</v>
      </c>
      <c r="L87" s="1013">
        <f>'T-T1'!BN62</f>
        <v>14444823</v>
      </c>
      <c r="M87" s="1182">
        <f>'C0-Ref Stats'!AA59</f>
        <v>1.0181248372577465</v>
      </c>
      <c r="N87" s="1013">
        <f>'C0-Ref Stats'!R59</f>
        <v>319333.74169299996</v>
      </c>
      <c r="Q87" s="1183">
        <v>0.1276591420173645</v>
      </c>
      <c r="R87" s="1183">
        <v>0.19320535659790039</v>
      </c>
      <c r="S87" s="1220"/>
      <c r="T87" s="1220">
        <f t="shared" si="2"/>
        <v>-3.7046311320633879E-2</v>
      </c>
      <c r="U87" s="1258">
        <f t="shared" si="3"/>
        <v>-0.11409632009582765</v>
      </c>
      <c r="W87" s="455">
        <f>'C1-Incomes'!$JG61-'C1-Incomes'!$JH61-'F-B6'!P87</f>
        <v>28025.461099999957</v>
      </c>
      <c r="X87" s="455">
        <f>'C1-Incomes'!$JO61-'C1-Incomes'!$JP61-'F-B6'!Q87</f>
        <v>15031.675080000001</v>
      </c>
      <c r="Y87" s="455">
        <f>'C1-Incomes'!$JW61-'C1-Incomes'!$JX61-'F-B6'!R87</f>
        <v>40937.735180000018</v>
      </c>
      <c r="Z87" s="455">
        <f>'C1-Incomes'!$KE61-'C1-Incomes'!$KF61-'F-B6'!S87</f>
        <v>44871.254939999955</v>
      </c>
      <c r="AA87" s="455">
        <f>'C1-Incomes'!$KM61-'C1-Incomes'!$KN61-'F-B6'!T87</f>
        <v>238116.76477999991</v>
      </c>
      <c r="AB87" s="455">
        <f>'C1-Incomes'!$KU61-'C1-Incomes'!$KV61-'F-B6'!U87</f>
        <v>152575.53018999996</v>
      </c>
      <c r="AC87" s="455">
        <f>'C1-Incomes'!$LK61-'C1-Incomes'!$LM61-'F-B6'!V87</f>
        <v>3177.3797630999975</v>
      </c>
      <c r="AD87" s="1013"/>
      <c r="AE87" s="1013">
        <f>C87*'C1-Incomes'!R61</f>
        <v>4055933.8089199997</v>
      </c>
      <c r="AG87" s="1341">
        <f t="shared" si="11"/>
        <v>0.12888173862292199</v>
      </c>
      <c r="AH87" s="1341">
        <f t="shared" si="12"/>
        <v>6.9097432108889568E-3</v>
      </c>
      <c r="AI87" s="1341">
        <f t="shared" si="13"/>
        <v>3.7060947708124911E-3</v>
      </c>
      <c r="AJ87" s="1341">
        <f t="shared" si="14"/>
        <v>1.0093294690847231E-2</v>
      </c>
      <c r="AK87" s="1341">
        <f t="shared" si="15"/>
        <v>1.1063113219776167E-2</v>
      </c>
      <c r="AL87" s="1341">
        <f t="shared" si="16"/>
        <v>5.8708247224430132E-2</v>
      </c>
      <c r="AM87" s="1341">
        <f t="shared" si="17"/>
        <v>3.8401245506167005E-2</v>
      </c>
      <c r="AO87" s="1341">
        <f>(SUM(W87:AC87)-'T-T2'!S62)/(AE87-'T-T2'!S62)</f>
        <v>0.10739685278520279</v>
      </c>
    </row>
    <row r="88" spans="1:41" s="173" customFormat="1" ht="10.5" customHeight="1" x14ac:dyDescent="0.25">
      <c r="A88" s="239">
        <f t="shared" si="0"/>
        <v>2014</v>
      </c>
      <c r="B88" s="1183">
        <f>('C1-Incomes'!J62-'C1-Incomes'!K62-'F-B5'!B152)/'C1-Incomes'!J62</f>
        <v>0.16362086544483825</v>
      </c>
      <c r="C88" s="1183">
        <f>('C1-Incomes'!R62-'C1-Incomes'!S62-'F-B5'!C152)/'C1-Incomes'!R62</f>
        <v>0.24194706731329171</v>
      </c>
      <c r="D88" s="1183">
        <f>('C1-Incomes'!Z62-'C1-Incomes'!AA62-'F-B5'!D152)/'C1-Incomes'!Z62</f>
        <v>0.30490617350639238</v>
      </c>
      <c r="E88" s="1183">
        <f>('C1-Incomes'!II62-'C1-Incomes'!IJ62-'F-B5'!E152)/'C1-Incomes'!II62</f>
        <v>0.28217527662661346</v>
      </c>
      <c r="G88" s="455">
        <f t="shared" si="4"/>
        <v>15465.037101063157</v>
      </c>
      <c r="H88" s="455">
        <f>C88*'C1-Incomes'!R62*$M88/($N88*0.5)*1000</f>
        <v>26525.21436119327</v>
      </c>
      <c r="I88" s="455">
        <f t="shared" si="5"/>
        <v>28818.972890772682</v>
      </c>
      <c r="J88" s="455">
        <f>E88*'C1-Incomes'!II62*$M88/($N88*0.5)*1000</f>
        <v>23184.699593140725</v>
      </c>
      <c r="L88" s="1013">
        <f>'T-T1'!BN63</f>
        <v>15144033</v>
      </c>
      <c r="M88" s="1182">
        <f>'C0-Ref Stats'!AA60</f>
        <v>1.002968201764431</v>
      </c>
      <c r="N88" s="1013">
        <f>'C0-Ref Stats'!R60</f>
        <v>321400.41005999997</v>
      </c>
      <c r="Q88" s="1183">
        <v>0.12545061111450195</v>
      </c>
      <c r="R88" s="1183">
        <v>0.19282299280166626</v>
      </c>
      <c r="S88" s="1220"/>
      <c r="T88" s="1220">
        <f t="shared" si="2"/>
        <v>-3.8170254330336301E-2</v>
      </c>
      <c r="U88" s="1258">
        <f t="shared" si="3"/>
        <v>-0.11208318070472612</v>
      </c>
      <c r="V88" s="1013"/>
      <c r="W88" s="455">
        <f>'C1-Incomes'!$JG62-'C1-Incomes'!$JH62-'F-B6'!P88</f>
        <v>30889.917779999902</v>
      </c>
      <c r="X88" s="455">
        <f>'C1-Incomes'!$JO62-'C1-Incomes'!$JP62-'F-B6'!Q88</f>
        <v>14647.986469999989</v>
      </c>
      <c r="Y88" s="455">
        <f>'C1-Incomes'!$JW62-'C1-Incomes'!$JX62-'F-B6'!R88</f>
        <v>42179.143820000027</v>
      </c>
      <c r="Z88" s="455">
        <f>'C1-Incomes'!$KE62-'C1-Incomes'!$KF62-'F-B6'!S88</f>
        <v>44398.173790000001</v>
      </c>
      <c r="AA88" s="455">
        <f>'C1-Incomes'!$KM62-'C1-Incomes'!$KN62-'F-B6'!T88</f>
        <v>251693.60548000014</v>
      </c>
      <c r="AB88" s="455">
        <f>'C1-Incomes'!$KU62-'C1-Incomes'!$KV62-'F-B6'!U88</f>
        <v>163406.54480999993</v>
      </c>
      <c r="AC88" s="455">
        <f>'C1-Incomes'!$LK62-'C1-Incomes'!$LM62-'F-B6'!V88</f>
        <v>2934.3893607000014</v>
      </c>
      <c r="AD88" s="1013"/>
      <c r="AE88" s="1013">
        <f>C88*'C1-Incomes'!R62</f>
        <v>4249992.5509199994</v>
      </c>
      <c r="AG88" s="1341">
        <f t="shared" si="11"/>
        <v>0.12944722959375746</v>
      </c>
      <c r="AH88" s="1341">
        <f t="shared" si="12"/>
        <v>7.2682286874392607E-3</v>
      </c>
      <c r="AI88" s="1341">
        <f t="shared" si="13"/>
        <v>3.4465910926900628E-3</v>
      </c>
      <c r="AJ88" s="1341">
        <f t="shared" si="14"/>
        <v>9.9245218231898951E-3</v>
      </c>
      <c r="AK88" s="1341">
        <f t="shared" si="15"/>
        <v>1.0446647437155883E-2</v>
      </c>
      <c r="AL88" s="1341">
        <f t="shared" si="16"/>
        <v>5.9222128618911539E-2</v>
      </c>
      <c r="AM88" s="1341">
        <f t="shared" si="17"/>
        <v>3.91391119343708E-2</v>
      </c>
      <c r="AO88" s="1341">
        <f>(SUM(W88:AC88)-'T-T2'!S63)/(AE88-'T-T2'!S63)</f>
        <v>0.10523505836887596</v>
      </c>
    </row>
    <row r="89" spans="1:41" s="173" customFormat="1" ht="10.5" customHeight="1" x14ac:dyDescent="0.25">
      <c r="A89" s="239">
        <f t="shared" si="0"/>
        <v>2015</v>
      </c>
      <c r="B89" s="1183">
        <f>('C1-Incomes'!J63-'C1-Incomes'!K63-'F-B5'!B153)/'C1-Incomes'!J63</f>
        <v>0.16451584277074988</v>
      </c>
      <c r="C89" s="1183">
        <f>('C1-Incomes'!R63-'C1-Incomes'!S63-'F-B5'!C153)/'C1-Incomes'!R63</f>
        <v>0.24329781804926157</v>
      </c>
      <c r="D89" s="1183">
        <f>('C1-Incomes'!Z63-'C1-Incomes'!AA63-'F-B5'!D153)/'C1-Incomes'!Z63</f>
        <v>0.30551406454462848</v>
      </c>
      <c r="E89" s="1183">
        <f>('C1-Incomes'!II63-'C1-Incomes'!IJ63-'F-B5'!E153)/'C1-Incomes'!II63</f>
        <v>0.28383597139594657</v>
      </c>
      <c r="G89" s="455">
        <f t="shared" si="4"/>
        <v>15978.692472289602</v>
      </c>
      <c r="H89" s="455">
        <f>C89*'C1-Incomes'!R63*$M89/($N89*0.5)*1000</f>
        <v>27457.406923913899</v>
      </c>
      <c r="I89" s="455">
        <f t="shared" si="5"/>
        <v>29673.222962000349</v>
      </c>
      <c r="J89" s="455">
        <f>E89*'C1-Incomes'!II63*$M89/($N89*0.5)*1000</f>
        <v>23943.315342579113</v>
      </c>
      <c r="L89" s="1013">
        <f>'T-T1'!BN64</f>
        <v>15739598</v>
      </c>
      <c r="M89" s="1182">
        <f>'C0-Ref Stats'!AA61</f>
        <v>1</v>
      </c>
      <c r="N89" s="1013">
        <f>'C0-Ref Stats'!R61</f>
        <v>324108.27535899996</v>
      </c>
      <c r="W89" s="455">
        <f>'C1-Incomes'!$JG63-'C1-Incomes'!$JH63-'F-B6'!P89</f>
        <v>36531.890889999981</v>
      </c>
      <c r="X89" s="455">
        <f>'C1-Incomes'!$JO63-'C1-Incomes'!$JP63-'F-B6'!Q89</f>
        <v>16280.759659999996</v>
      </c>
      <c r="Y89" s="455">
        <f>'C1-Incomes'!$JW63-'C1-Incomes'!$JX63-'F-B6'!R89</f>
        <v>41325.297090000007</v>
      </c>
      <c r="Z89" s="455">
        <f>'C1-Incomes'!$KE63-'C1-Incomes'!$KF63-'F-B6'!S89</f>
        <v>44408.340319999988</v>
      </c>
      <c r="AA89" s="455">
        <f>'C1-Incomes'!$KM63-'C1-Incomes'!$KN63-'F-B6'!T89</f>
        <v>261131.52584000002</v>
      </c>
      <c r="AB89" s="455">
        <f>'C1-Incomes'!$KU63-'C1-Incomes'!$KV63-'F-B6'!U89</f>
        <v>173124.40580999997</v>
      </c>
      <c r="AC89" s="455">
        <f>'C1-Incomes'!$LK63-'C1-Incomes'!$LM63-'F-B6'!V89</f>
        <v>3148.8167237999987</v>
      </c>
      <c r="AE89" s="1013">
        <f>C89*'C1-Incomes'!R63</f>
        <v>4449586.4019699991</v>
      </c>
      <c r="AG89" s="1341">
        <f t="shared" si="11"/>
        <v>0.12943922969532737</v>
      </c>
      <c r="AH89" s="1341">
        <f t="shared" si="12"/>
        <v>8.2101767647046794E-3</v>
      </c>
      <c r="AI89" s="1341">
        <f t="shared" si="13"/>
        <v>3.6589377504371847E-3</v>
      </c>
      <c r="AJ89" s="1341">
        <f t="shared" si="14"/>
        <v>9.2874468224066285E-3</v>
      </c>
      <c r="AK89" s="1341">
        <f t="shared" si="15"/>
        <v>9.9803299246731675E-3</v>
      </c>
      <c r="AL89" s="1341">
        <f t="shared" si="16"/>
        <v>5.8686696301568003E-2</v>
      </c>
      <c r="AM89" s="1341">
        <f t="shared" si="17"/>
        <v>3.9615642131537704E-2</v>
      </c>
      <c r="AO89" s="1341">
        <f>(SUM(W89:AC89)-'T-T2'!S64)/(AE89-'T-T2'!S64)</f>
        <v>0.10398168807720293</v>
      </c>
    </row>
    <row r="90" spans="1:41" x14ac:dyDescent="0.3">
      <c r="C90" s="8"/>
      <c r="D90" s="8"/>
      <c r="E90" s="8"/>
    </row>
    <row r="91" spans="1:41" x14ac:dyDescent="0.3">
      <c r="A91" t="s">
        <v>1876</v>
      </c>
      <c r="X91" s="1319"/>
      <c r="Y91" s="1319"/>
      <c r="Z91" s="1319"/>
      <c r="AA91" s="1319"/>
      <c r="AB91" s="1319"/>
      <c r="AC91" s="1319"/>
      <c r="AG91" s="1175"/>
    </row>
    <row r="92" spans="1:41" x14ac:dyDescent="0.3">
      <c r="A92" t="s">
        <v>1058</v>
      </c>
      <c r="B92" s="866">
        <f>(B89-B53)</f>
        <v>-5.5875317204686553E-2</v>
      </c>
      <c r="C92" s="866">
        <f>(C89-C53)</f>
        <v>-3.1834041109687433E-2</v>
      </c>
      <c r="D92" s="866">
        <f>(D89-D53)</f>
        <v>-2.1607509063903518E-2</v>
      </c>
      <c r="E92" s="866">
        <f>(E89-E53)</f>
        <v>-2.8846521869171138E-2</v>
      </c>
      <c r="G92" s="72">
        <f>(G89-G53)/G53</f>
        <v>0.31068303313421258</v>
      </c>
      <c r="H92" s="72">
        <f>(H89-H53)/H53</f>
        <v>0.6402564707433368</v>
      </c>
      <c r="I92" s="72">
        <f>(I89-I53)/I53</f>
        <v>0.63985762286161163</v>
      </c>
      <c r="J92" s="72">
        <f>(J89-J53)/J53</f>
        <v>0.7189000752108643</v>
      </c>
      <c r="W92" s="8"/>
      <c r="AG92" s="74"/>
    </row>
    <row r="93" spans="1:41" x14ac:dyDescent="0.3">
      <c r="A93" t="s">
        <v>2137</v>
      </c>
      <c r="B93" s="866">
        <f>(B89-B36)</f>
        <v>-4.773557556922961E-2</v>
      </c>
      <c r="C93" s="866">
        <f t="shared" ref="C93:E93" si="18">(C89-C36)</f>
        <v>1.0152016439984868E-3</v>
      </c>
      <c r="D93" s="866">
        <f t="shared" si="18"/>
        <v>1.4435709914684514E-2</v>
      </c>
      <c r="E93" s="866">
        <f t="shared" si="18"/>
        <v>9.3077383458596841E-3</v>
      </c>
      <c r="G93" s="72">
        <f>(G89-G36)/G36</f>
        <v>1.1200962950822846</v>
      </c>
      <c r="H93" s="72">
        <f t="shared" ref="H93:J93" si="19">(H89-H36)/H36</f>
        <v>2.0283530313314317</v>
      </c>
      <c r="I93" s="72">
        <f t="shared" si="19"/>
        <v>1.8709111915995902</v>
      </c>
      <c r="J93" s="72">
        <f t="shared" si="19"/>
        <v>2.0867090295125528</v>
      </c>
    </row>
    <row r="95" spans="1:41" x14ac:dyDescent="0.3">
      <c r="A95" s="1011"/>
      <c r="B95" s="866"/>
    </row>
    <row r="96" spans="1:41" x14ac:dyDescent="0.3">
      <c r="A96" s="75" t="s">
        <v>2086</v>
      </c>
      <c r="B96" s="866"/>
    </row>
    <row r="97" spans="1:37" ht="42.75" customHeight="1" x14ac:dyDescent="0.3">
      <c r="B97" s="425" t="s">
        <v>662</v>
      </c>
      <c r="C97" s="1181" t="s">
        <v>1458</v>
      </c>
      <c r="D97" s="425" t="s">
        <v>566</v>
      </c>
      <c r="E97" s="1181" t="s">
        <v>1844</v>
      </c>
      <c r="F97" s="1302"/>
      <c r="G97" s="1302"/>
      <c r="H97" s="1301"/>
      <c r="I97" s="1301"/>
      <c r="J97" s="1301"/>
      <c r="K97" s="1302"/>
      <c r="L97" s="1302"/>
      <c r="M97" s="1302"/>
    </row>
    <row r="98" spans="1:37" s="1298" customFormat="1" x14ac:dyDescent="0.3">
      <c r="A98" s="1297">
        <v>1960</v>
      </c>
      <c r="B98" s="1299">
        <v>213765.48717999994</v>
      </c>
      <c r="C98" s="1299">
        <v>217609.13892999999</v>
      </c>
      <c r="D98" s="1299">
        <v>208532.63790159993</v>
      </c>
      <c r="E98" s="1299">
        <v>166683.81464</v>
      </c>
      <c r="F98" s="1299"/>
      <c r="G98" s="1299"/>
      <c r="H98" s="1299"/>
      <c r="I98" s="1299"/>
      <c r="J98" s="1300"/>
      <c r="K98" s="1299"/>
      <c r="L98" s="1299"/>
      <c r="M98" s="1299"/>
      <c r="N98" s="1299"/>
      <c r="O98" s="1299"/>
      <c r="P98" s="1299"/>
      <c r="Q98" s="1299"/>
      <c r="R98" s="1299"/>
      <c r="S98" s="1299"/>
      <c r="T98" s="1299"/>
      <c r="U98" s="1299"/>
      <c r="V98" s="1299"/>
      <c r="W98" s="1299"/>
      <c r="X98" s="1299"/>
      <c r="Y98" s="1299"/>
      <c r="Z98" s="1299"/>
      <c r="AA98" s="1299"/>
      <c r="AB98" s="1299"/>
      <c r="AC98" s="1299"/>
      <c r="AD98" s="1299"/>
      <c r="AE98" s="1299"/>
      <c r="AF98" s="1299"/>
      <c r="AG98" s="1299"/>
      <c r="AH98" s="1299"/>
      <c r="AI98" s="1299"/>
      <c r="AJ98" s="1299"/>
      <c r="AK98" s="1299"/>
    </row>
    <row r="99" spans="1:37" s="1298" customFormat="1" x14ac:dyDescent="0.3">
      <c r="A99" s="1297">
        <f>A98+1</f>
        <v>1961</v>
      </c>
      <c r="B99" s="1299"/>
      <c r="C99" s="1299"/>
      <c r="D99" s="1299"/>
      <c r="E99" s="1299"/>
      <c r="F99" s="1299"/>
      <c r="G99" s="1299"/>
      <c r="H99" s="1299"/>
      <c r="I99" s="1299"/>
      <c r="J99" s="1299"/>
      <c r="K99" s="1299"/>
      <c r="L99" s="1299"/>
      <c r="M99" s="1299"/>
      <c r="N99" s="1299"/>
      <c r="O99" s="1299"/>
      <c r="P99" s="1299"/>
      <c r="Q99" s="1299"/>
      <c r="R99" s="1299"/>
      <c r="S99" s="1299"/>
      <c r="T99" s="1299"/>
      <c r="U99" s="1299"/>
      <c r="V99" s="1299"/>
      <c r="W99" s="1299"/>
      <c r="X99" s="1299"/>
      <c r="Y99" s="1299"/>
      <c r="Z99" s="1299"/>
      <c r="AA99" s="1299"/>
      <c r="AB99" s="1299"/>
      <c r="AC99" s="1299"/>
      <c r="AD99" s="1299"/>
      <c r="AE99" s="1299"/>
      <c r="AF99" s="1299"/>
      <c r="AG99" s="1299"/>
      <c r="AH99" s="1299"/>
      <c r="AI99" s="1299"/>
      <c r="AJ99" s="1299"/>
      <c r="AK99" s="1299"/>
    </row>
    <row r="100" spans="1:37" s="1298" customFormat="1" x14ac:dyDescent="0.3">
      <c r="A100" s="1297">
        <f t="shared" ref="A100:A153" si="20">A99+1</f>
        <v>1962</v>
      </c>
      <c r="B100" s="1299">
        <v>239348.14754999999</v>
      </c>
      <c r="C100" s="1299">
        <v>243624.67769000001</v>
      </c>
      <c r="D100" s="1299">
        <v>229590.77800999995</v>
      </c>
      <c r="E100" s="1299">
        <v>183638.88722999999</v>
      </c>
      <c r="F100" s="1299"/>
      <c r="G100" s="1299"/>
      <c r="H100" s="1299"/>
      <c r="I100" s="1299"/>
      <c r="J100" s="1299"/>
      <c r="K100" s="1299"/>
      <c r="L100" s="1299"/>
      <c r="M100" s="1299"/>
      <c r="N100" s="1299"/>
      <c r="O100" s="1299"/>
      <c r="P100" s="1299"/>
      <c r="Q100" s="1299"/>
      <c r="R100" s="1299"/>
      <c r="S100" s="1299"/>
      <c r="T100" s="1299"/>
      <c r="U100" s="1299"/>
      <c r="V100" s="1299"/>
      <c r="W100" s="1299"/>
      <c r="X100" s="1299"/>
      <c r="Y100" s="1299"/>
      <c r="Z100" s="1299"/>
      <c r="AA100" s="1299"/>
      <c r="AB100" s="1299"/>
      <c r="AC100" s="1299"/>
      <c r="AD100" s="1299"/>
      <c r="AE100" s="1299"/>
      <c r="AF100" s="1299"/>
      <c r="AG100" s="1299"/>
      <c r="AH100" s="1299"/>
      <c r="AI100" s="1299"/>
      <c r="AJ100" s="1299"/>
      <c r="AK100" s="1299"/>
    </row>
    <row r="101" spans="1:37" s="1298" customFormat="1" x14ac:dyDescent="0.3">
      <c r="A101" s="1297">
        <f t="shared" si="20"/>
        <v>1963</v>
      </c>
      <c r="B101" s="1299"/>
      <c r="C101" s="1299"/>
      <c r="D101" s="1299"/>
      <c r="E101" s="1299"/>
      <c r="F101" s="1299"/>
      <c r="G101" s="1299"/>
      <c r="H101" s="1343"/>
      <c r="I101" s="1299"/>
      <c r="J101" s="1299"/>
      <c r="K101" s="1299"/>
      <c r="L101" s="1299"/>
      <c r="M101" s="1299"/>
      <c r="N101" s="1299"/>
      <c r="O101" s="1299"/>
      <c r="P101" s="1299"/>
      <c r="Q101" s="1299"/>
      <c r="R101" s="1299"/>
      <c r="S101" s="1299"/>
      <c r="T101" s="1299"/>
      <c r="U101" s="1299"/>
      <c r="V101" s="1299"/>
      <c r="W101" s="1299"/>
      <c r="X101" s="1299"/>
      <c r="Y101" s="1299"/>
      <c r="Z101" s="1299"/>
      <c r="AA101" s="1299"/>
      <c r="AB101" s="1299"/>
      <c r="AC101" s="1299"/>
      <c r="AD101" s="1299"/>
      <c r="AE101" s="1299"/>
      <c r="AF101" s="1299"/>
      <c r="AG101" s="1299"/>
      <c r="AH101" s="1299"/>
      <c r="AI101" s="1299"/>
      <c r="AJ101" s="1299"/>
      <c r="AK101" s="1299"/>
    </row>
    <row r="102" spans="1:37" s="1298" customFormat="1" x14ac:dyDescent="0.3">
      <c r="A102" s="1297">
        <f t="shared" si="20"/>
        <v>1964</v>
      </c>
      <c r="B102" s="1299">
        <v>272975.36586999998</v>
      </c>
      <c r="C102" s="1299">
        <v>277208.92972999997</v>
      </c>
      <c r="D102" s="1299">
        <v>262848.16287</v>
      </c>
      <c r="E102" s="1299">
        <v>199528.59672999999</v>
      </c>
      <c r="F102" s="1299"/>
      <c r="G102" s="1299"/>
      <c r="H102" s="1299"/>
      <c r="I102" s="1299"/>
      <c r="J102" s="1299"/>
      <c r="K102" s="1299"/>
      <c r="L102" s="1299"/>
      <c r="M102" s="1299"/>
      <c r="N102" s="1299"/>
      <c r="O102" s="1299"/>
      <c r="P102" s="1299"/>
      <c r="Q102" s="1299"/>
      <c r="R102" s="1299"/>
      <c r="S102" s="1299"/>
      <c r="T102" s="1299"/>
      <c r="U102" s="1299"/>
      <c r="V102" s="1299"/>
      <c r="W102" s="1299"/>
      <c r="X102" s="1299"/>
      <c r="Y102" s="1299"/>
      <c r="Z102" s="1299"/>
      <c r="AA102" s="1299"/>
      <c r="AB102" s="1299"/>
      <c r="AC102" s="1299"/>
      <c r="AD102" s="1299"/>
      <c r="AE102" s="1299"/>
      <c r="AF102" s="1299"/>
      <c r="AG102" s="1299"/>
      <c r="AH102" s="1299"/>
      <c r="AI102" s="1299"/>
      <c r="AJ102" s="1299"/>
      <c r="AK102" s="1299"/>
    </row>
    <row r="103" spans="1:37" s="1298" customFormat="1" x14ac:dyDescent="0.3">
      <c r="A103" s="1297">
        <f t="shared" si="20"/>
        <v>1965</v>
      </c>
      <c r="B103" s="1299"/>
      <c r="C103" s="1299"/>
      <c r="D103" s="1299"/>
      <c r="E103" s="1299"/>
      <c r="F103" s="1299"/>
      <c r="G103" s="1299"/>
      <c r="H103" s="1299"/>
      <c r="I103" s="1299"/>
      <c r="J103" s="1299"/>
      <c r="K103" s="1299"/>
      <c r="L103" s="1299"/>
      <c r="M103" s="1299"/>
      <c r="N103" s="1299"/>
      <c r="O103" s="1299"/>
      <c r="P103" s="1299"/>
      <c r="Q103" s="1299"/>
      <c r="R103" s="1299"/>
      <c r="S103" s="1299"/>
      <c r="T103" s="1299"/>
      <c r="U103" s="1299"/>
      <c r="V103" s="1299"/>
      <c r="W103" s="1299"/>
      <c r="X103" s="1299"/>
      <c r="Y103" s="1299"/>
      <c r="Z103" s="1299"/>
      <c r="AA103" s="1299"/>
      <c r="AB103" s="1299"/>
      <c r="AC103" s="1299"/>
      <c r="AD103" s="1299"/>
      <c r="AE103" s="1299"/>
      <c r="AF103" s="1299"/>
      <c r="AG103" s="1299"/>
      <c r="AH103" s="1299"/>
      <c r="AI103" s="1299"/>
      <c r="AJ103" s="1299"/>
      <c r="AK103" s="1299"/>
    </row>
    <row r="104" spans="1:37" s="1298" customFormat="1" x14ac:dyDescent="0.3">
      <c r="A104" s="1297">
        <f t="shared" si="20"/>
        <v>1966</v>
      </c>
      <c r="B104" s="1299">
        <v>317067.95332999993</v>
      </c>
      <c r="C104" s="1299">
        <v>321940.8982</v>
      </c>
      <c r="D104" s="1299">
        <v>303453.40242000006</v>
      </c>
      <c r="E104" s="1299">
        <v>242422.03969999999</v>
      </c>
      <c r="F104" s="1299"/>
      <c r="G104" s="1299"/>
      <c r="H104" s="1299"/>
      <c r="I104" s="1299"/>
      <c r="J104" s="1299"/>
      <c r="K104" s="1299"/>
      <c r="L104" s="1299"/>
      <c r="M104" s="1299"/>
      <c r="N104" s="1299"/>
      <c r="O104" s="1299"/>
      <c r="P104" s="1299"/>
      <c r="Q104" s="1299"/>
      <c r="R104" s="1299"/>
      <c r="S104" s="1299"/>
      <c r="T104" s="1299"/>
      <c r="U104" s="1299"/>
      <c r="V104" s="1299"/>
      <c r="W104" s="1299"/>
      <c r="X104" s="1299"/>
      <c r="Y104" s="1299"/>
      <c r="Z104" s="1299"/>
      <c r="AA104" s="1299"/>
      <c r="AB104" s="1299"/>
      <c r="AC104" s="1299"/>
      <c r="AD104" s="1299"/>
      <c r="AE104" s="1299"/>
      <c r="AF104" s="1299"/>
      <c r="AG104" s="1299"/>
      <c r="AH104" s="1299"/>
      <c r="AI104" s="1299"/>
      <c r="AJ104" s="1299"/>
      <c r="AK104" s="1299"/>
    </row>
    <row r="105" spans="1:37" s="1298" customFormat="1" x14ac:dyDescent="0.3">
      <c r="A105" s="1297">
        <f t="shared" si="20"/>
        <v>1967</v>
      </c>
      <c r="B105" s="1299">
        <v>335440.24256000004</v>
      </c>
      <c r="C105" s="1299">
        <v>341370.20717000001</v>
      </c>
      <c r="D105" s="1299">
        <v>321272.62350519991</v>
      </c>
      <c r="E105" s="1299">
        <v>257690.61429</v>
      </c>
      <c r="F105" s="1299"/>
      <c r="G105" s="1299"/>
      <c r="H105" s="1299"/>
      <c r="I105" s="1299"/>
      <c r="J105" s="1299"/>
      <c r="K105" s="1299"/>
      <c r="L105" s="1299"/>
      <c r="M105" s="1299"/>
      <c r="N105" s="1299"/>
      <c r="O105" s="1299"/>
      <c r="P105" s="1299"/>
      <c r="Q105" s="1299"/>
      <c r="R105" s="1299"/>
      <c r="S105" s="1299"/>
      <c r="T105" s="1299"/>
      <c r="U105" s="1299"/>
      <c r="V105" s="1299"/>
      <c r="W105" s="1299"/>
      <c r="X105" s="1299"/>
      <c r="Y105" s="1299"/>
      <c r="Z105" s="1299"/>
      <c r="AA105" s="1299"/>
      <c r="AB105" s="1299"/>
      <c r="AC105" s="1299"/>
      <c r="AD105" s="1299"/>
      <c r="AE105" s="1299"/>
      <c r="AF105" s="1299"/>
      <c r="AG105" s="1299"/>
      <c r="AH105" s="1299"/>
      <c r="AI105" s="1299"/>
      <c r="AJ105" s="1299"/>
      <c r="AK105" s="1299"/>
    </row>
    <row r="106" spans="1:37" s="1298" customFormat="1" x14ac:dyDescent="0.3">
      <c r="A106" s="1297">
        <f t="shared" si="20"/>
        <v>1968</v>
      </c>
      <c r="B106" s="1299">
        <v>369181.78295000002</v>
      </c>
      <c r="C106" s="1299">
        <v>376275.92180000001</v>
      </c>
      <c r="D106" s="1299">
        <v>351366.56749340007</v>
      </c>
      <c r="E106" s="1299">
        <v>278378.54414000001</v>
      </c>
      <c r="F106" s="1299"/>
      <c r="G106" s="1299"/>
      <c r="H106" s="1299"/>
      <c r="I106" s="1299"/>
      <c r="J106" s="1299"/>
      <c r="K106" s="1299"/>
      <c r="L106" s="1299"/>
      <c r="M106" s="1299"/>
      <c r="N106" s="1299"/>
      <c r="O106" s="1299"/>
      <c r="P106" s="1299"/>
      <c r="Q106" s="1299"/>
      <c r="R106" s="1299"/>
      <c r="S106" s="1299"/>
      <c r="T106" s="1299"/>
      <c r="U106" s="1299"/>
      <c r="V106" s="1299"/>
      <c r="W106" s="1299"/>
      <c r="X106" s="1299"/>
      <c r="Y106" s="1299"/>
      <c r="Z106" s="1299"/>
      <c r="AA106" s="1299"/>
      <c r="AB106" s="1299"/>
      <c r="AC106" s="1299"/>
      <c r="AD106" s="1299"/>
      <c r="AE106" s="1299"/>
      <c r="AF106" s="1299"/>
      <c r="AG106" s="1299"/>
      <c r="AH106" s="1299"/>
      <c r="AI106" s="1299"/>
      <c r="AJ106" s="1299"/>
      <c r="AK106" s="1299"/>
    </row>
    <row r="107" spans="1:37" s="1298" customFormat="1" x14ac:dyDescent="0.3">
      <c r="A107" s="1297">
        <f t="shared" si="20"/>
        <v>1969</v>
      </c>
      <c r="B107" s="1299">
        <v>405297.87067999982</v>
      </c>
      <c r="C107" s="1299">
        <v>412904.91866999998</v>
      </c>
      <c r="D107" s="1299">
        <v>383333.55279780005</v>
      </c>
      <c r="E107" s="1299">
        <v>300377.48138999997</v>
      </c>
      <c r="F107" s="1299"/>
      <c r="G107" s="1299"/>
      <c r="H107" s="1299"/>
      <c r="I107" s="1299"/>
      <c r="J107" s="1299"/>
      <c r="K107" s="1299"/>
      <c r="L107" s="1299"/>
      <c r="M107" s="1299"/>
      <c r="N107" s="1299"/>
      <c r="O107" s="1299"/>
      <c r="P107" s="1299"/>
      <c r="Q107" s="1299"/>
      <c r="R107" s="1299"/>
      <c r="S107" s="1299"/>
      <c r="T107" s="1299"/>
      <c r="U107" s="1299"/>
      <c r="V107" s="1299"/>
      <c r="W107" s="1299"/>
      <c r="X107" s="1299"/>
      <c r="Y107" s="1299"/>
      <c r="Z107" s="1299"/>
      <c r="AA107" s="1299"/>
      <c r="AB107" s="1299"/>
      <c r="AC107" s="1299"/>
      <c r="AD107" s="1299"/>
      <c r="AE107" s="1299"/>
      <c r="AF107" s="1299"/>
      <c r="AG107" s="1299"/>
      <c r="AH107" s="1299"/>
      <c r="AI107" s="1299"/>
      <c r="AJ107" s="1299"/>
      <c r="AK107" s="1299"/>
    </row>
    <row r="108" spans="1:37" s="1298" customFormat="1" x14ac:dyDescent="0.3">
      <c r="A108" s="1297">
        <f t="shared" si="20"/>
        <v>1970</v>
      </c>
      <c r="B108" s="1299">
        <v>429358.73421999998</v>
      </c>
      <c r="C108" s="1299">
        <v>437963.83484999998</v>
      </c>
      <c r="D108" s="1299">
        <v>400220.94029190007</v>
      </c>
      <c r="E108" s="1299">
        <v>321465.53551999998</v>
      </c>
      <c r="F108" s="1299"/>
      <c r="G108" s="1299"/>
      <c r="H108" s="1299"/>
      <c r="I108" s="1299"/>
      <c r="J108" s="1299"/>
      <c r="K108" s="1299"/>
      <c r="L108" s="1299"/>
      <c r="M108" s="1299"/>
      <c r="N108" s="1299"/>
      <c r="O108" s="1299"/>
      <c r="P108" s="1299"/>
      <c r="Q108" s="1299"/>
      <c r="R108" s="1299"/>
      <c r="S108" s="1299"/>
      <c r="T108" s="1299"/>
      <c r="U108" s="1299"/>
      <c r="V108" s="1299"/>
      <c r="W108" s="1299"/>
      <c r="X108" s="1299"/>
      <c r="Y108" s="1299"/>
      <c r="Z108" s="1299"/>
      <c r="AA108" s="1299"/>
      <c r="AB108" s="1299"/>
      <c r="AC108" s="1299"/>
      <c r="AD108" s="1299"/>
      <c r="AE108" s="1299"/>
      <c r="AF108" s="1299"/>
      <c r="AG108" s="1299"/>
      <c r="AH108" s="1299"/>
      <c r="AI108" s="1299"/>
      <c r="AJ108" s="1299"/>
      <c r="AK108" s="1299"/>
    </row>
    <row r="109" spans="1:37" s="1298" customFormat="1" x14ac:dyDescent="0.3">
      <c r="A109" s="1297">
        <f t="shared" si="20"/>
        <v>1971</v>
      </c>
      <c r="B109" s="1299">
        <v>464135.12399999995</v>
      </c>
      <c r="C109" s="1299">
        <v>474584.83302000002</v>
      </c>
      <c r="D109" s="1299">
        <v>431628.38497809996</v>
      </c>
      <c r="E109" s="1299">
        <v>351699.79388999997</v>
      </c>
      <c r="F109" s="1299"/>
      <c r="G109" s="1299"/>
      <c r="H109" s="1299"/>
      <c r="I109" s="1299"/>
      <c r="J109" s="1299"/>
      <c r="K109" s="1299"/>
      <c r="L109" s="1299"/>
      <c r="M109" s="1299"/>
      <c r="N109" s="1299"/>
      <c r="O109" s="1299"/>
      <c r="P109" s="1299"/>
      <c r="Q109" s="1299"/>
      <c r="R109" s="1299"/>
      <c r="S109" s="1299"/>
      <c r="T109" s="1299"/>
      <c r="U109" s="1299"/>
      <c r="V109" s="1299"/>
      <c r="W109" s="1299"/>
      <c r="X109" s="1299"/>
      <c r="Y109" s="1299"/>
      <c r="Z109" s="1299"/>
      <c r="AA109" s="1299"/>
      <c r="AB109" s="1299"/>
      <c r="AC109" s="1299"/>
      <c r="AD109" s="1299"/>
      <c r="AE109" s="1299"/>
      <c r="AF109" s="1299"/>
      <c r="AG109" s="1299"/>
      <c r="AH109" s="1299"/>
      <c r="AI109" s="1299"/>
      <c r="AJ109" s="1299"/>
      <c r="AK109" s="1299"/>
    </row>
    <row r="110" spans="1:37" s="1298" customFormat="1" x14ac:dyDescent="0.3">
      <c r="A110" s="1297">
        <f t="shared" si="20"/>
        <v>1972</v>
      </c>
      <c r="B110" s="1299">
        <v>509171.10730000015</v>
      </c>
      <c r="C110" s="1299">
        <v>521549.37465000001</v>
      </c>
      <c r="D110" s="1299">
        <v>472611.52529999998</v>
      </c>
      <c r="E110" s="1299">
        <v>380458.83293999999</v>
      </c>
      <c r="F110" s="1299"/>
      <c r="G110" s="1299"/>
      <c r="H110" s="1299"/>
      <c r="I110" s="1299"/>
      <c r="J110" s="1299"/>
      <c r="K110" s="1299"/>
      <c r="L110" s="1299"/>
      <c r="M110" s="1299"/>
      <c r="N110" s="1299"/>
      <c r="O110" s="1299"/>
      <c r="P110" s="1299"/>
      <c r="Q110" s="1299"/>
      <c r="R110" s="1299"/>
      <c r="S110" s="1299"/>
      <c r="T110" s="1299"/>
      <c r="U110" s="1299"/>
      <c r="V110" s="1299"/>
      <c r="W110" s="1299"/>
      <c r="X110" s="1299"/>
      <c r="Y110" s="1299"/>
      <c r="Z110" s="1299"/>
      <c r="AA110" s="1299"/>
      <c r="AB110" s="1299"/>
      <c r="AC110" s="1299"/>
      <c r="AD110" s="1299"/>
      <c r="AE110" s="1299"/>
      <c r="AF110" s="1299"/>
      <c r="AG110" s="1299"/>
      <c r="AH110" s="1299"/>
      <c r="AI110" s="1299"/>
      <c r="AJ110" s="1299"/>
      <c r="AK110" s="1299"/>
    </row>
    <row r="111" spans="1:37" s="1298" customFormat="1" x14ac:dyDescent="0.3">
      <c r="A111" s="1297">
        <f t="shared" si="20"/>
        <v>1973</v>
      </c>
      <c r="B111" s="1299">
        <v>567367.93241999985</v>
      </c>
      <c r="C111" s="1299">
        <v>580449.70268999995</v>
      </c>
      <c r="D111" s="1299">
        <v>523848.92930999992</v>
      </c>
      <c r="E111" s="1299">
        <v>420519.97594999999</v>
      </c>
      <c r="F111" s="1299"/>
      <c r="G111" s="1299"/>
      <c r="H111" s="1299"/>
      <c r="I111" s="1299"/>
      <c r="J111" s="1299"/>
      <c r="K111" s="1299"/>
      <c r="L111" s="1299"/>
      <c r="M111" s="1299"/>
      <c r="N111" s="1299"/>
      <c r="O111" s="1299"/>
      <c r="P111" s="1299"/>
      <c r="Q111" s="1299"/>
      <c r="R111" s="1299"/>
      <c r="S111" s="1299"/>
      <c r="T111" s="1299"/>
      <c r="U111" s="1299"/>
      <c r="V111" s="1299"/>
      <c r="W111" s="1299"/>
      <c r="X111" s="1299"/>
      <c r="Y111" s="1299"/>
      <c r="Z111" s="1299"/>
      <c r="AA111" s="1299"/>
      <c r="AB111" s="1299"/>
      <c r="AC111" s="1299"/>
      <c r="AD111" s="1299"/>
      <c r="AE111" s="1299"/>
      <c r="AF111" s="1299"/>
      <c r="AG111" s="1299"/>
      <c r="AH111" s="1299"/>
      <c r="AI111" s="1299"/>
      <c r="AJ111" s="1299"/>
      <c r="AK111" s="1299"/>
    </row>
    <row r="112" spans="1:37" s="1298" customFormat="1" x14ac:dyDescent="0.3">
      <c r="A112" s="1297">
        <f t="shared" si="20"/>
        <v>1974</v>
      </c>
      <c r="B112" s="1299">
        <v>616851.64506000001</v>
      </c>
      <c r="C112" s="1299">
        <v>633048.31683999998</v>
      </c>
      <c r="D112" s="1299">
        <v>563935.55292789999</v>
      </c>
      <c r="E112" s="1299">
        <v>453204.37536000001</v>
      </c>
      <c r="F112" s="1299"/>
      <c r="G112" s="1299"/>
      <c r="H112" s="1299"/>
      <c r="I112" s="1299"/>
      <c r="J112" s="1299"/>
      <c r="K112" s="1299"/>
      <c r="L112" s="1299"/>
      <c r="M112" s="1299"/>
      <c r="N112" s="1299"/>
      <c r="O112" s="1299"/>
      <c r="P112" s="1299"/>
      <c r="Q112" s="1299"/>
      <c r="R112" s="1299"/>
      <c r="S112" s="1299"/>
      <c r="T112" s="1299"/>
      <c r="U112" s="1299"/>
      <c r="V112" s="1299"/>
      <c r="W112" s="1299"/>
      <c r="X112" s="1299"/>
      <c r="Y112" s="1299"/>
      <c r="Z112" s="1299"/>
      <c r="AA112" s="1299"/>
      <c r="AB112" s="1299"/>
      <c r="AC112" s="1299"/>
      <c r="AD112" s="1299"/>
      <c r="AE112" s="1299"/>
      <c r="AF112" s="1299"/>
      <c r="AG112" s="1299"/>
      <c r="AH112" s="1299"/>
      <c r="AI112" s="1299"/>
      <c r="AJ112" s="1299"/>
      <c r="AK112" s="1299"/>
    </row>
    <row r="113" spans="1:37" s="1298" customFormat="1" x14ac:dyDescent="0.3">
      <c r="A113" s="1297">
        <f t="shared" si="20"/>
        <v>1975</v>
      </c>
      <c r="B113" s="1299">
        <v>672426.54524000012</v>
      </c>
      <c r="C113" s="1299">
        <v>695354.38662999996</v>
      </c>
      <c r="D113" s="1299">
        <v>604254.91125</v>
      </c>
      <c r="E113" s="1299">
        <v>506795.64507000003</v>
      </c>
      <c r="F113" s="1299"/>
      <c r="G113" s="1299"/>
      <c r="H113" s="1299"/>
      <c r="I113" s="1299"/>
      <c r="J113" s="1299"/>
      <c r="K113" s="1299"/>
      <c r="L113" s="1299"/>
      <c r="M113" s="1299"/>
      <c r="N113" s="1299"/>
      <c r="O113" s="1299"/>
      <c r="P113" s="1299"/>
      <c r="Q113" s="1299"/>
      <c r="R113" s="1299"/>
      <c r="S113" s="1299"/>
      <c r="T113" s="1299"/>
      <c r="U113" s="1299"/>
      <c r="V113" s="1299"/>
      <c r="W113" s="1299"/>
      <c r="X113" s="1299"/>
      <c r="Y113" s="1299"/>
      <c r="Z113" s="1299"/>
      <c r="AA113" s="1299"/>
      <c r="AB113" s="1299"/>
      <c r="AC113" s="1299"/>
      <c r="AD113" s="1299"/>
      <c r="AE113" s="1299"/>
      <c r="AF113" s="1299"/>
      <c r="AG113" s="1299"/>
      <c r="AH113" s="1299"/>
      <c r="AI113" s="1299"/>
      <c r="AJ113" s="1299"/>
      <c r="AK113" s="1299"/>
    </row>
    <row r="114" spans="1:37" s="1298" customFormat="1" x14ac:dyDescent="0.3">
      <c r="A114" s="1297">
        <f t="shared" si="20"/>
        <v>1976</v>
      </c>
      <c r="B114" s="1299">
        <v>743698.58496999997</v>
      </c>
      <c r="C114" s="1299">
        <v>766818.7942</v>
      </c>
      <c r="D114" s="1299">
        <v>672113.09019899997</v>
      </c>
      <c r="E114" s="1299">
        <v>553148.83530000004</v>
      </c>
      <c r="F114" s="1299"/>
      <c r="G114" s="1299"/>
      <c r="H114" s="1299"/>
      <c r="I114" s="1299"/>
      <c r="J114" s="1299"/>
      <c r="K114" s="1299"/>
      <c r="L114" s="1299"/>
      <c r="M114" s="1299"/>
      <c r="N114" s="1299"/>
      <c r="O114" s="1299"/>
      <c r="P114" s="1299"/>
      <c r="Q114" s="1299"/>
      <c r="R114" s="1299"/>
      <c r="S114" s="1299"/>
      <c r="T114" s="1299"/>
      <c r="U114" s="1299"/>
      <c r="V114" s="1299"/>
      <c r="W114" s="1299"/>
      <c r="X114" s="1299"/>
      <c r="Y114" s="1299"/>
      <c r="Z114" s="1299"/>
      <c r="AA114" s="1299"/>
      <c r="AB114" s="1299"/>
      <c r="AC114" s="1299"/>
      <c r="AD114" s="1299"/>
      <c r="AE114" s="1299"/>
      <c r="AF114" s="1299"/>
      <c r="AG114" s="1299"/>
      <c r="AH114" s="1299"/>
      <c r="AI114" s="1299"/>
      <c r="AJ114" s="1299"/>
      <c r="AK114" s="1299"/>
    </row>
    <row r="115" spans="1:37" s="1298" customFormat="1" x14ac:dyDescent="0.3">
      <c r="A115" s="1297">
        <f t="shared" si="20"/>
        <v>1977</v>
      </c>
      <c r="B115" s="1299">
        <v>828584.0404099999</v>
      </c>
      <c r="C115" s="1299">
        <v>853156.40102999995</v>
      </c>
      <c r="D115" s="1299">
        <v>751164.08452999988</v>
      </c>
      <c r="E115" s="1299">
        <v>610782.18328</v>
      </c>
      <c r="F115" s="1299"/>
      <c r="G115" s="1299"/>
      <c r="H115" s="1299"/>
      <c r="I115" s="1299"/>
      <c r="J115" s="1299"/>
      <c r="K115" s="1299"/>
      <c r="L115" s="1299"/>
      <c r="M115" s="1299"/>
      <c r="N115" s="1299"/>
      <c r="O115" s="1299"/>
      <c r="P115" s="1299"/>
      <c r="Q115" s="1299"/>
      <c r="R115" s="1299"/>
      <c r="S115" s="1299"/>
      <c r="T115" s="1299"/>
      <c r="U115" s="1299"/>
      <c r="V115" s="1299"/>
      <c r="W115" s="1299"/>
      <c r="X115" s="1299"/>
      <c r="Y115" s="1299"/>
      <c r="Z115" s="1299"/>
      <c r="AA115" s="1299"/>
      <c r="AB115" s="1299"/>
      <c r="AC115" s="1299"/>
      <c r="AD115" s="1299"/>
      <c r="AE115" s="1299"/>
      <c r="AF115" s="1299"/>
      <c r="AG115" s="1299"/>
      <c r="AH115" s="1299"/>
      <c r="AI115" s="1299"/>
      <c r="AJ115" s="1299"/>
      <c r="AK115" s="1299"/>
    </row>
    <row r="116" spans="1:37" s="1298" customFormat="1" x14ac:dyDescent="0.3">
      <c r="A116" s="1297">
        <f t="shared" si="20"/>
        <v>1978</v>
      </c>
      <c r="B116" s="1299">
        <v>931209.65402000025</v>
      </c>
      <c r="C116" s="1299">
        <v>956916.36338</v>
      </c>
      <c r="D116" s="1299">
        <v>845777.0980959998</v>
      </c>
      <c r="E116" s="1299">
        <v>682395.69906999997</v>
      </c>
      <c r="F116" s="1299"/>
      <c r="G116" s="1299"/>
      <c r="H116" s="1299"/>
      <c r="I116" s="1299"/>
      <c r="J116" s="1299"/>
      <c r="K116" s="1299"/>
      <c r="L116" s="1299"/>
      <c r="M116" s="1299"/>
      <c r="N116" s="1299"/>
      <c r="O116" s="1299"/>
      <c r="P116" s="1299"/>
      <c r="Q116" s="1299"/>
      <c r="R116" s="1299"/>
      <c r="S116" s="1299"/>
      <c r="T116" s="1299"/>
      <c r="U116" s="1299"/>
      <c r="V116" s="1299"/>
      <c r="W116" s="1299"/>
      <c r="X116" s="1299"/>
      <c r="Y116" s="1299"/>
      <c r="Z116" s="1299"/>
      <c r="AA116" s="1299"/>
      <c r="AB116" s="1299"/>
      <c r="AC116" s="1299"/>
      <c r="AD116" s="1299"/>
      <c r="AE116" s="1299"/>
      <c r="AF116" s="1299"/>
      <c r="AG116" s="1299"/>
      <c r="AH116" s="1299"/>
      <c r="AI116" s="1299"/>
      <c r="AJ116" s="1299"/>
      <c r="AK116" s="1299"/>
    </row>
    <row r="117" spans="1:37" s="1298" customFormat="1" x14ac:dyDescent="0.3">
      <c r="A117" s="1297">
        <f t="shared" si="20"/>
        <v>1979</v>
      </c>
      <c r="B117" s="1299">
        <v>1037028.433</v>
      </c>
      <c r="C117" s="1299">
        <v>1066727.0597999999</v>
      </c>
      <c r="D117" s="1299">
        <v>942002.53199000005</v>
      </c>
      <c r="E117" s="1299">
        <v>758371.02338999999</v>
      </c>
      <c r="F117" s="1299"/>
      <c r="G117" s="1299"/>
      <c r="H117" s="1299"/>
      <c r="I117" s="1299"/>
      <c r="J117" s="1299"/>
      <c r="K117" s="1299"/>
      <c r="L117" s="1299"/>
      <c r="M117" s="1299"/>
      <c r="N117" s="1299"/>
      <c r="O117" s="1299"/>
      <c r="P117" s="1299"/>
      <c r="Q117" s="1299"/>
      <c r="R117" s="1299"/>
      <c r="S117" s="1299"/>
      <c r="T117" s="1299"/>
      <c r="U117" s="1299"/>
      <c r="V117" s="1299"/>
      <c r="W117" s="1299"/>
      <c r="X117" s="1299"/>
      <c r="Y117" s="1299"/>
      <c r="Z117" s="1299"/>
      <c r="AA117" s="1299"/>
      <c r="AB117" s="1299"/>
      <c r="AC117" s="1299"/>
      <c r="AD117" s="1299"/>
      <c r="AE117" s="1299"/>
      <c r="AF117" s="1299"/>
      <c r="AG117" s="1299"/>
      <c r="AH117" s="1299"/>
      <c r="AI117" s="1299"/>
      <c r="AJ117" s="1299"/>
      <c r="AK117" s="1299"/>
    </row>
    <row r="118" spans="1:37" s="1298" customFormat="1" x14ac:dyDescent="0.3">
      <c r="A118" s="1297">
        <f t="shared" si="20"/>
        <v>1980</v>
      </c>
      <c r="B118" s="1299">
        <v>1132460.9840999998</v>
      </c>
      <c r="C118" s="1299">
        <v>1169472.6713</v>
      </c>
      <c r="D118" s="1299">
        <v>1020781.1489000001</v>
      </c>
      <c r="E118" s="1299">
        <v>830917.35650999995</v>
      </c>
      <c r="F118" s="1299"/>
      <c r="G118" s="1299"/>
      <c r="H118" s="1299"/>
      <c r="I118" s="1299"/>
      <c r="J118" s="1299"/>
      <c r="K118" s="1299"/>
      <c r="L118" s="1299"/>
      <c r="M118" s="1299"/>
      <c r="N118" s="1299"/>
      <c r="O118" s="1299"/>
      <c r="P118" s="1299"/>
      <c r="Q118" s="1299"/>
      <c r="R118" s="1299"/>
      <c r="S118" s="1299"/>
      <c r="T118" s="1299"/>
      <c r="U118" s="1299"/>
      <c r="V118" s="1299"/>
      <c r="W118" s="1299"/>
      <c r="X118" s="1299"/>
      <c r="Y118" s="1299"/>
      <c r="Z118" s="1299"/>
      <c r="AA118" s="1299"/>
      <c r="AB118" s="1299"/>
      <c r="AC118" s="1299"/>
      <c r="AD118" s="1299"/>
      <c r="AE118" s="1299"/>
      <c r="AF118" s="1299"/>
      <c r="AG118" s="1299"/>
      <c r="AH118" s="1299"/>
      <c r="AI118" s="1299"/>
      <c r="AJ118" s="1299"/>
      <c r="AK118" s="1299"/>
    </row>
    <row r="119" spans="1:37" s="1298" customFormat="1" x14ac:dyDescent="0.3">
      <c r="A119" s="1297">
        <f t="shared" si="20"/>
        <v>1981</v>
      </c>
      <c r="B119" s="1299">
        <v>1275558.7176000001</v>
      </c>
      <c r="C119" s="1299">
        <v>1320268.5503</v>
      </c>
      <c r="D119" s="1299">
        <v>1146804.2003000001</v>
      </c>
      <c r="E119" s="1299">
        <v>926836.66686</v>
      </c>
      <c r="F119" s="1299"/>
      <c r="G119" s="1299"/>
      <c r="H119" s="1299"/>
      <c r="I119" s="1299"/>
      <c r="J119" s="1299"/>
      <c r="K119" s="1299"/>
      <c r="L119" s="1299"/>
      <c r="M119" s="1299"/>
      <c r="N119" s="1299"/>
      <c r="O119" s="1299"/>
      <c r="P119" s="1299"/>
      <c r="Q119" s="1299"/>
      <c r="R119" s="1299"/>
      <c r="S119" s="1299"/>
      <c r="T119" s="1299"/>
      <c r="U119" s="1299"/>
      <c r="V119" s="1299"/>
      <c r="W119" s="1299"/>
      <c r="X119" s="1299"/>
      <c r="Y119" s="1299"/>
      <c r="Z119" s="1299"/>
      <c r="AA119" s="1299"/>
      <c r="AB119" s="1299"/>
      <c r="AC119" s="1299"/>
      <c r="AD119" s="1299"/>
      <c r="AE119" s="1299"/>
      <c r="AF119" s="1299"/>
      <c r="AG119" s="1299"/>
      <c r="AH119" s="1299"/>
      <c r="AI119" s="1299"/>
      <c r="AJ119" s="1299"/>
      <c r="AK119" s="1299"/>
    </row>
    <row r="120" spans="1:37" s="1298" customFormat="1" x14ac:dyDescent="0.3">
      <c r="A120" s="1297">
        <f t="shared" si="20"/>
        <v>1982</v>
      </c>
      <c r="B120" s="1299">
        <v>1335559.3763999997</v>
      </c>
      <c r="C120" s="1299">
        <v>1388903.7634000001</v>
      </c>
      <c r="D120" s="1299">
        <v>1195582.6757</v>
      </c>
      <c r="E120" s="1299">
        <v>991741.03095000004</v>
      </c>
      <c r="F120" s="1299"/>
      <c r="G120" s="1299"/>
      <c r="H120" s="1299"/>
      <c r="I120" s="1299"/>
      <c r="J120" s="1299"/>
      <c r="K120" s="1299"/>
      <c r="L120" s="1299"/>
      <c r="M120" s="1299"/>
      <c r="N120" s="1299"/>
      <c r="O120" s="1299"/>
      <c r="P120" s="1299"/>
      <c r="Q120" s="1299"/>
      <c r="R120" s="1299"/>
      <c r="S120" s="1299"/>
      <c r="T120" s="1299"/>
      <c r="U120" s="1299"/>
      <c r="V120" s="1299"/>
      <c r="W120" s="1299"/>
      <c r="X120" s="1299"/>
      <c r="Y120" s="1299"/>
      <c r="Z120" s="1299"/>
      <c r="AA120" s="1299"/>
      <c r="AB120" s="1299"/>
      <c r="AC120" s="1299"/>
      <c r="AD120" s="1299"/>
      <c r="AE120" s="1299"/>
      <c r="AF120" s="1299"/>
      <c r="AG120" s="1299"/>
      <c r="AH120" s="1299"/>
      <c r="AI120" s="1299"/>
      <c r="AJ120" s="1299"/>
      <c r="AK120" s="1299"/>
    </row>
    <row r="121" spans="1:37" s="1298" customFormat="1" x14ac:dyDescent="0.3">
      <c r="A121" s="1297">
        <f t="shared" si="20"/>
        <v>1983</v>
      </c>
      <c r="B121" s="1299">
        <v>1444459.4032000001</v>
      </c>
      <c r="C121" s="1299">
        <v>1504397.2021000001</v>
      </c>
      <c r="D121" s="1299">
        <v>1299191.0915000003</v>
      </c>
      <c r="E121" s="1299">
        <v>1087723.0090000001</v>
      </c>
      <c r="F121" s="1299"/>
      <c r="G121" s="1299"/>
      <c r="H121" s="1299"/>
      <c r="I121" s="1299"/>
      <c r="J121" s="1299"/>
      <c r="K121" s="1299"/>
      <c r="L121" s="1299"/>
      <c r="M121" s="1299"/>
      <c r="N121" s="1299"/>
      <c r="O121" s="1299"/>
      <c r="P121" s="1299"/>
      <c r="Q121" s="1299"/>
      <c r="R121" s="1299"/>
      <c r="S121" s="1299"/>
      <c r="T121" s="1299"/>
      <c r="U121" s="1299"/>
      <c r="V121" s="1299"/>
      <c r="W121" s="1299"/>
      <c r="X121" s="1299"/>
      <c r="Y121" s="1299"/>
      <c r="Z121" s="1299"/>
      <c r="AA121" s="1299"/>
      <c r="AB121" s="1299"/>
      <c r="AC121" s="1299"/>
      <c r="AD121" s="1299"/>
      <c r="AE121" s="1299"/>
      <c r="AF121" s="1299"/>
      <c r="AG121" s="1299"/>
      <c r="AH121" s="1299"/>
      <c r="AI121" s="1299"/>
      <c r="AJ121" s="1299"/>
      <c r="AK121" s="1299"/>
    </row>
    <row r="122" spans="1:37" s="1298" customFormat="1" x14ac:dyDescent="0.3">
      <c r="A122" s="1297">
        <f t="shared" si="20"/>
        <v>1984</v>
      </c>
      <c r="B122" s="1299">
        <v>1615649.8873999994</v>
      </c>
      <c r="C122" s="1299">
        <v>1679872.7024999999</v>
      </c>
      <c r="D122" s="1299">
        <v>1468324.4228000003</v>
      </c>
      <c r="E122" s="1299">
        <v>1218574.7435999999</v>
      </c>
      <c r="F122" s="1299"/>
      <c r="G122" s="1299"/>
      <c r="H122" s="1299"/>
      <c r="I122" s="1299"/>
      <c r="J122" s="1299"/>
      <c r="K122" s="1299"/>
      <c r="L122" s="1299"/>
      <c r="M122" s="1299"/>
      <c r="N122" s="1299"/>
      <c r="O122" s="1299"/>
      <c r="P122" s="1299"/>
      <c r="Q122" s="1299"/>
      <c r="R122" s="1299"/>
      <c r="S122" s="1299"/>
      <c r="T122" s="1299"/>
      <c r="U122" s="1299"/>
      <c r="V122" s="1299"/>
      <c r="W122" s="1299"/>
      <c r="X122" s="1299"/>
      <c r="Y122" s="1299"/>
      <c r="Z122" s="1299"/>
      <c r="AA122" s="1299"/>
      <c r="AB122" s="1299"/>
      <c r="AC122" s="1299"/>
      <c r="AD122" s="1299"/>
      <c r="AE122" s="1299"/>
      <c r="AF122" s="1299"/>
      <c r="AG122" s="1299"/>
      <c r="AH122" s="1299"/>
      <c r="AI122" s="1299"/>
      <c r="AJ122" s="1299"/>
      <c r="AK122" s="1299"/>
    </row>
    <row r="123" spans="1:37" s="1298" customFormat="1" x14ac:dyDescent="0.3">
      <c r="A123" s="1297">
        <f t="shared" si="20"/>
        <v>1985</v>
      </c>
      <c r="B123" s="1299">
        <v>1728006.3615999995</v>
      </c>
      <c r="C123" s="1299">
        <v>1789917.6440000001</v>
      </c>
      <c r="D123" s="1299">
        <v>1570641.9543000008</v>
      </c>
      <c r="E123" s="1299">
        <v>1296138.4608</v>
      </c>
      <c r="F123" s="1299"/>
      <c r="G123" s="1299"/>
      <c r="H123" s="1299"/>
      <c r="I123" s="1299"/>
      <c r="J123" s="1299"/>
      <c r="K123" s="1299"/>
      <c r="L123" s="1299"/>
      <c r="M123" s="1299"/>
      <c r="N123" s="1299"/>
      <c r="O123" s="1299"/>
      <c r="P123" s="1299"/>
      <c r="Q123" s="1299"/>
      <c r="R123" s="1299"/>
      <c r="S123" s="1299"/>
      <c r="T123" s="1299"/>
      <c r="U123" s="1299"/>
      <c r="V123" s="1299"/>
      <c r="W123" s="1299"/>
      <c r="X123" s="1299"/>
      <c r="Y123" s="1299"/>
      <c r="Z123" s="1299"/>
      <c r="AA123" s="1299"/>
      <c r="AB123" s="1299"/>
      <c r="AC123" s="1299"/>
      <c r="AD123" s="1299"/>
      <c r="AE123" s="1299"/>
      <c r="AF123" s="1299"/>
      <c r="AG123" s="1299"/>
      <c r="AH123" s="1299"/>
      <c r="AI123" s="1299"/>
      <c r="AJ123" s="1299"/>
      <c r="AK123" s="1299"/>
    </row>
    <row r="124" spans="1:37" s="1298" customFormat="1" x14ac:dyDescent="0.3">
      <c r="A124" s="1297">
        <f t="shared" si="20"/>
        <v>1986</v>
      </c>
      <c r="B124" s="1299">
        <v>1817046.5644999999</v>
      </c>
      <c r="C124" s="1299">
        <v>1884145.3847000001</v>
      </c>
      <c r="D124" s="1299">
        <v>1661882.0951</v>
      </c>
      <c r="E124" s="1299">
        <v>1367410.5159</v>
      </c>
      <c r="F124" s="1299"/>
      <c r="G124" s="1299"/>
      <c r="H124" s="1299"/>
      <c r="I124" s="1299"/>
      <c r="J124" s="1299"/>
      <c r="K124" s="1299"/>
      <c r="L124" s="1299"/>
      <c r="M124" s="1299"/>
      <c r="N124" s="1299"/>
      <c r="O124" s="1299"/>
      <c r="P124" s="1299"/>
      <c r="Q124" s="1299"/>
      <c r="R124" s="1299"/>
      <c r="S124" s="1299"/>
      <c r="T124" s="1299"/>
      <c r="U124" s="1299"/>
      <c r="V124" s="1299"/>
      <c r="W124" s="1299"/>
      <c r="X124" s="1299"/>
      <c r="Y124" s="1299"/>
      <c r="Z124" s="1299"/>
      <c r="AA124" s="1299"/>
      <c r="AB124" s="1299"/>
      <c r="AC124" s="1299"/>
      <c r="AD124" s="1299"/>
      <c r="AE124" s="1299"/>
      <c r="AF124" s="1299"/>
      <c r="AG124" s="1299"/>
      <c r="AH124" s="1299"/>
      <c r="AI124" s="1299"/>
      <c r="AJ124" s="1299"/>
      <c r="AK124" s="1299"/>
    </row>
    <row r="125" spans="1:37" s="1298" customFormat="1" x14ac:dyDescent="0.3">
      <c r="A125" s="1297">
        <f t="shared" si="20"/>
        <v>1987</v>
      </c>
      <c r="B125" s="1299">
        <v>1934648.8517</v>
      </c>
      <c r="C125" s="1299">
        <v>2004421.8214</v>
      </c>
      <c r="D125" s="1299">
        <v>1774357.4257999999</v>
      </c>
      <c r="E125" s="1299">
        <v>1439063.0665</v>
      </c>
      <c r="F125" s="1299"/>
      <c r="G125" s="1299"/>
      <c r="H125" s="1299"/>
      <c r="I125" s="1299"/>
      <c r="J125" s="1299"/>
      <c r="K125" s="1299"/>
      <c r="L125" s="1299"/>
      <c r="M125" s="1299"/>
      <c r="N125" s="1299"/>
      <c r="O125" s="1299"/>
      <c r="P125" s="1299"/>
      <c r="Q125" s="1299"/>
      <c r="R125" s="1299"/>
      <c r="S125" s="1299"/>
      <c r="T125" s="1299"/>
      <c r="U125" s="1299"/>
      <c r="V125" s="1299"/>
      <c r="W125" s="1299"/>
      <c r="X125" s="1299"/>
      <c r="Y125" s="1299"/>
      <c r="Z125" s="1299"/>
      <c r="AA125" s="1299"/>
      <c r="AB125" s="1299"/>
      <c r="AC125" s="1299"/>
      <c r="AD125" s="1299"/>
      <c r="AE125" s="1299"/>
      <c r="AF125" s="1299"/>
      <c r="AG125" s="1299"/>
      <c r="AH125" s="1299"/>
      <c r="AI125" s="1299"/>
      <c r="AJ125" s="1299"/>
      <c r="AK125" s="1299"/>
    </row>
    <row r="126" spans="1:37" s="1298" customFormat="1" x14ac:dyDescent="0.3">
      <c r="A126" s="1297">
        <f t="shared" si="20"/>
        <v>1988</v>
      </c>
      <c r="B126" s="1299">
        <v>2056405.4006999996</v>
      </c>
      <c r="C126" s="1299">
        <v>2130516.8396000001</v>
      </c>
      <c r="D126" s="1299">
        <v>1888930.2301000003</v>
      </c>
      <c r="E126" s="1299">
        <v>1530865.7278</v>
      </c>
      <c r="F126" s="1299"/>
      <c r="G126" s="1299"/>
      <c r="H126" s="1299"/>
      <c r="I126" s="1299"/>
      <c r="J126" s="1299"/>
      <c r="K126" s="1299"/>
      <c r="L126" s="1299"/>
      <c r="M126" s="1299"/>
      <c r="N126" s="1299"/>
      <c r="O126" s="1299"/>
      <c r="P126" s="1299"/>
      <c r="Q126" s="1299"/>
      <c r="R126" s="1299"/>
      <c r="S126" s="1299"/>
      <c r="T126" s="1299"/>
      <c r="U126" s="1299"/>
      <c r="V126" s="1299"/>
      <c r="W126" s="1299"/>
      <c r="X126" s="1299"/>
      <c r="Y126" s="1299"/>
      <c r="Z126" s="1299"/>
      <c r="AA126" s="1299"/>
      <c r="AB126" s="1299"/>
      <c r="AC126" s="1299"/>
      <c r="AD126" s="1299"/>
      <c r="AE126" s="1299"/>
      <c r="AF126" s="1299"/>
      <c r="AG126" s="1299"/>
      <c r="AH126" s="1299"/>
      <c r="AI126" s="1299"/>
      <c r="AJ126" s="1299"/>
      <c r="AK126" s="1299"/>
    </row>
    <row r="127" spans="1:37" s="1298" customFormat="1" x14ac:dyDescent="0.3">
      <c r="A127" s="1297">
        <f t="shared" si="20"/>
        <v>1989</v>
      </c>
      <c r="B127" s="1299">
        <v>2200836.2768000001</v>
      </c>
      <c r="C127" s="1299">
        <v>2283081.7404999998</v>
      </c>
      <c r="D127" s="1299">
        <v>2018314.1864999998</v>
      </c>
      <c r="E127" s="1299">
        <v>1634282.2503</v>
      </c>
      <c r="F127" s="1299"/>
      <c r="G127" s="1299"/>
      <c r="H127" s="1299"/>
      <c r="I127" s="1299"/>
      <c r="J127" s="1299"/>
      <c r="K127" s="1299"/>
      <c r="L127" s="1299"/>
      <c r="M127" s="1299"/>
      <c r="N127" s="1299"/>
      <c r="O127" s="1299"/>
      <c r="P127" s="1299"/>
      <c r="Q127" s="1299"/>
      <c r="R127" s="1299"/>
      <c r="S127" s="1299"/>
      <c r="T127" s="1299"/>
      <c r="U127" s="1299"/>
      <c r="V127" s="1299"/>
      <c r="W127" s="1299"/>
      <c r="X127" s="1299"/>
      <c r="Y127" s="1299"/>
      <c r="Z127" s="1299"/>
      <c r="AA127" s="1299"/>
      <c r="AB127" s="1299"/>
      <c r="AC127" s="1299"/>
      <c r="AD127" s="1299"/>
      <c r="AE127" s="1299"/>
      <c r="AF127" s="1299"/>
      <c r="AG127" s="1299"/>
      <c r="AH127" s="1299"/>
      <c r="AI127" s="1299"/>
      <c r="AJ127" s="1299"/>
      <c r="AK127" s="1299"/>
    </row>
    <row r="128" spans="1:37" s="1298" customFormat="1" x14ac:dyDescent="0.3">
      <c r="A128" s="1297">
        <f t="shared" si="20"/>
        <v>1990</v>
      </c>
      <c r="B128" s="1299">
        <v>2313857.2916000001</v>
      </c>
      <c r="C128" s="1299">
        <v>2407587.0855</v>
      </c>
      <c r="D128" s="1299">
        <v>2116458.9218000006</v>
      </c>
      <c r="E128" s="1299">
        <v>1726176.1958000001</v>
      </c>
      <c r="F128" s="1299"/>
      <c r="G128" s="1299"/>
      <c r="H128" s="1299"/>
      <c r="I128" s="1299"/>
      <c r="J128" s="1299"/>
      <c r="K128" s="1299"/>
      <c r="L128" s="1299"/>
      <c r="M128" s="1299"/>
      <c r="N128" s="1299"/>
      <c r="O128" s="1299"/>
      <c r="P128" s="1299"/>
      <c r="Q128" s="1299"/>
      <c r="R128" s="1299"/>
      <c r="S128" s="1299"/>
      <c r="T128" s="1299"/>
      <c r="U128" s="1299"/>
      <c r="V128" s="1299"/>
      <c r="W128" s="1299"/>
      <c r="X128" s="1299"/>
      <c r="Y128" s="1299"/>
      <c r="Z128" s="1299"/>
      <c r="AA128" s="1299"/>
      <c r="AB128" s="1299"/>
      <c r="AC128" s="1299"/>
      <c r="AD128" s="1299"/>
      <c r="AE128" s="1299"/>
      <c r="AF128" s="1299"/>
      <c r="AG128" s="1299"/>
      <c r="AH128" s="1299"/>
      <c r="AI128" s="1299"/>
      <c r="AJ128" s="1299"/>
      <c r="AK128" s="1299"/>
    </row>
    <row r="129" spans="1:37" s="1298" customFormat="1" x14ac:dyDescent="0.3">
      <c r="A129" s="1297">
        <f t="shared" si="20"/>
        <v>1991</v>
      </c>
      <c r="B129" s="1299">
        <v>2398542.832299999</v>
      </c>
      <c r="C129" s="1299">
        <v>2506218.3369999998</v>
      </c>
      <c r="D129" s="1299">
        <v>2177902.5944999997</v>
      </c>
      <c r="E129" s="1299">
        <v>1806841.7893000001</v>
      </c>
      <c r="F129" s="1299"/>
      <c r="G129" s="1299"/>
      <c r="H129" s="1299"/>
      <c r="I129" s="1299"/>
      <c r="J129" s="1299"/>
      <c r="K129" s="1299"/>
      <c r="L129" s="1299"/>
      <c r="M129" s="1299"/>
      <c r="N129" s="1299"/>
      <c r="O129" s="1299"/>
      <c r="P129" s="1299"/>
      <c r="Q129" s="1299"/>
      <c r="R129" s="1299"/>
      <c r="S129" s="1299"/>
      <c r="T129" s="1299"/>
      <c r="U129" s="1299"/>
      <c r="V129" s="1299"/>
      <c r="W129" s="1299"/>
      <c r="X129" s="1299"/>
      <c r="Y129" s="1299"/>
      <c r="Z129" s="1299"/>
      <c r="AA129" s="1299"/>
      <c r="AB129" s="1299"/>
      <c r="AC129" s="1299"/>
      <c r="AD129" s="1299"/>
      <c r="AE129" s="1299"/>
      <c r="AF129" s="1299"/>
      <c r="AG129" s="1299"/>
      <c r="AH129" s="1299"/>
      <c r="AI129" s="1299"/>
      <c r="AJ129" s="1299"/>
      <c r="AK129" s="1299"/>
    </row>
    <row r="130" spans="1:37" s="1298" customFormat="1" x14ac:dyDescent="0.3">
      <c r="A130" s="1297">
        <f t="shared" si="20"/>
        <v>1992</v>
      </c>
      <c r="B130" s="1299">
        <v>2522685.1706000003</v>
      </c>
      <c r="C130" s="1299">
        <v>2641178.8306999998</v>
      </c>
      <c r="D130" s="1299">
        <v>2290118.8419000003</v>
      </c>
      <c r="E130" s="1299">
        <v>1917566.1921999999</v>
      </c>
      <c r="F130" s="1299"/>
      <c r="G130" s="1299"/>
      <c r="H130" s="1299"/>
      <c r="I130" s="1299"/>
      <c r="J130" s="1299"/>
      <c r="K130" s="1299"/>
      <c r="L130" s="1299"/>
      <c r="M130" s="1299"/>
      <c r="N130" s="1299"/>
      <c r="O130" s="1299"/>
      <c r="P130" s="1299"/>
      <c r="Q130" s="1299"/>
      <c r="R130" s="1299"/>
      <c r="S130" s="1299"/>
      <c r="T130" s="1299"/>
      <c r="U130" s="1299"/>
      <c r="V130" s="1299"/>
      <c r="W130" s="1299"/>
      <c r="X130" s="1299"/>
      <c r="Y130" s="1299"/>
      <c r="Z130" s="1299"/>
      <c r="AA130" s="1299"/>
      <c r="AB130" s="1299"/>
      <c r="AC130" s="1299"/>
      <c r="AD130" s="1299"/>
      <c r="AE130" s="1299"/>
      <c r="AF130" s="1299"/>
      <c r="AG130" s="1299"/>
      <c r="AH130" s="1299"/>
      <c r="AI130" s="1299"/>
      <c r="AJ130" s="1299"/>
      <c r="AK130" s="1299"/>
    </row>
    <row r="131" spans="1:37" s="1298" customFormat="1" x14ac:dyDescent="0.3">
      <c r="A131" s="1297">
        <f t="shared" si="20"/>
        <v>1993</v>
      </c>
      <c r="B131" s="1299">
        <v>2661186.5624000002</v>
      </c>
      <c r="C131" s="1299">
        <v>2785744.6189000001</v>
      </c>
      <c r="D131" s="1299">
        <v>2417911.6861000005</v>
      </c>
      <c r="E131" s="1299">
        <v>2018194.298</v>
      </c>
      <c r="F131" s="1299"/>
      <c r="G131" s="1299"/>
      <c r="H131" s="1299"/>
      <c r="I131" s="1299"/>
      <c r="J131" s="1299"/>
      <c r="K131" s="1299"/>
      <c r="L131" s="1299"/>
      <c r="M131" s="1299"/>
      <c r="N131" s="1299"/>
      <c r="O131" s="1299"/>
      <c r="P131" s="1299"/>
      <c r="Q131" s="1299"/>
      <c r="R131" s="1299"/>
      <c r="S131" s="1299"/>
      <c r="T131" s="1299"/>
      <c r="U131" s="1299"/>
      <c r="V131" s="1299"/>
      <c r="W131" s="1299"/>
      <c r="X131" s="1299"/>
      <c r="Y131" s="1299"/>
      <c r="Z131" s="1299"/>
      <c r="AA131" s="1299"/>
      <c r="AB131" s="1299"/>
      <c r="AC131" s="1299"/>
      <c r="AD131" s="1299"/>
      <c r="AE131" s="1299"/>
      <c r="AF131" s="1299"/>
      <c r="AG131" s="1299"/>
      <c r="AH131" s="1299"/>
      <c r="AI131" s="1299"/>
      <c r="AJ131" s="1299"/>
      <c r="AK131" s="1299"/>
    </row>
    <row r="132" spans="1:37" s="1298" customFormat="1" x14ac:dyDescent="0.3">
      <c r="A132" s="1297">
        <f t="shared" si="20"/>
        <v>1994</v>
      </c>
      <c r="B132" s="1299">
        <v>2828160.3945999993</v>
      </c>
      <c r="C132" s="1299">
        <v>2955378.4010999999</v>
      </c>
      <c r="D132" s="1299">
        <v>2575380.3166999994</v>
      </c>
      <c r="E132" s="1299">
        <v>2134666.2349999999</v>
      </c>
      <c r="F132" s="1299"/>
      <c r="G132" s="1299"/>
      <c r="H132" s="1299"/>
      <c r="I132" s="1299"/>
      <c r="J132" s="1299"/>
      <c r="K132" s="1299"/>
      <c r="L132" s="1299"/>
      <c r="M132" s="1299"/>
      <c r="N132" s="1299"/>
      <c r="O132" s="1299"/>
      <c r="P132" s="1299"/>
      <c r="Q132" s="1299"/>
      <c r="R132" s="1299"/>
      <c r="S132" s="1299"/>
      <c r="T132" s="1299"/>
      <c r="U132" s="1299"/>
      <c r="V132" s="1299"/>
      <c r="W132" s="1299"/>
      <c r="X132" s="1299"/>
      <c r="Y132" s="1299"/>
      <c r="Z132" s="1299"/>
      <c r="AA132" s="1299"/>
      <c r="AB132" s="1299"/>
      <c r="AC132" s="1299"/>
      <c r="AD132" s="1299"/>
      <c r="AE132" s="1299"/>
      <c r="AF132" s="1299"/>
      <c r="AG132" s="1299"/>
      <c r="AH132" s="1299"/>
      <c r="AI132" s="1299"/>
      <c r="AJ132" s="1299"/>
      <c r="AK132" s="1299"/>
    </row>
    <row r="133" spans="1:37" s="1298" customFormat="1" x14ac:dyDescent="0.3">
      <c r="A133" s="1297">
        <f t="shared" si="20"/>
        <v>1995</v>
      </c>
      <c r="B133" s="1299">
        <v>2946497.1943000006</v>
      </c>
      <c r="C133" s="1299">
        <v>3087316.4440000001</v>
      </c>
      <c r="D133" s="1299">
        <v>2689307.6437000008</v>
      </c>
      <c r="E133" s="1299">
        <v>2228930.0526000001</v>
      </c>
      <c r="F133" s="1299"/>
      <c r="G133" s="1299"/>
      <c r="H133" s="1299"/>
      <c r="I133" s="1299"/>
      <c r="J133" s="1299"/>
      <c r="K133" s="1299"/>
      <c r="L133" s="1299"/>
      <c r="M133" s="1299"/>
      <c r="N133" s="1299"/>
      <c r="O133" s="1299"/>
      <c r="P133" s="1299"/>
      <c r="Q133" s="1299"/>
      <c r="R133" s="1299"/>
      <c r="S133" s="1299"/>
      <c r="T133" s="1299"/>
      <c r="U133" s="1299"/>
      <c r="V133" s="1299"/>
      <c r="W133" s="1299"/>
      <c r="X133" s="1299"/>
      <c r="Y133" s="1299"/>
      <c r="Z133" s="1299"/>
      <c r="AA133" s="1299"/>
      <c r="AB133" s="1299"/>
      <c r="AC133" s="1299"/>
      <c r="AD133" s="1299"/>
      <c r="AE133" s="1299"/>
      <c r="AF133" s="1299"/>
      <c r="AG133" s="1299"/>
      <c r="AH133" s="1299"/>
      <c r="AI133" s="1299"/>
      <c r="AJ133" s="1299"/>
      <c r="AK133" s="1299"/>
    </row>
    <row r="134" spans="1:37" s="1298" customFormat="1" x14ac:dyDescent="0.3">
      <c r="A134" s="1297">
        <f t="shared" si="20"/>
        <v>1996</v>
      </c>
      <c r="B134" s="1299">
        <v>3112512.4459999995</v>
      </c>
      <c r="C134" s="1299">
        <v>3264142.1786000002</v>
      </c>
      <c r="D134" s="1299">
        <v>2862642.388199999</v>
      </c>
      <c r="E134" s="1299">
        <v>2354221.4978999998</v>
      </c>
      <c r="F134" s="1299"/>
      <c r="G134" s="1299"/>
      <c r="H134" s="1299"/>
      <c r="I134" s="1299"/>
      <c r="J134" s="1299"/>
      <c r="K134" s="1299"/>
      <c r="L134" s="1299"/>
      <c r="M134" s="1299"/>
      <c r="N134" s="1299"/>
      <c r="O134" s="1299"/>
      <c r="P134" s="1299"/>
      <c r="Q134" s="1299"/>
      <c r="R134" s="1299"/>
      <c r="S134" s="1299"/>
      <c r="T134" s="1299"/>
      <c r="U134" s="1299"/>
      <c r="V134" s="1299"/>
      <c r="W134" s="1299"/>
      <c r="X134" s="1299"/>
      <c r="Y134" s="1299"/>
      <c r="Z134" s="1299"/>
      <c r="AA134" s="1299"/>
      <c r="AB134" s="1299"/>
      <c r="AC134" s="1299"/>
      <c r="AD134" s="1299"/>
      <c r="AE134" s="1299"/>
      <c r="AF134" s="1299"/>
      <c r="AG134" s="1299"/>
      <c r="AH134" s="1299"/>
      <c r="AI134" s="1299"/>
      <c r="AJ134" s="1299"/>
      <c r="AK134" s="1299"/>
    </row>
    <row r="135" spans="1:37" s="1298" customFormat="1" x14ac:dyDescent="0.3">
      <c r="A135" s="1297">
        <f t="shared" si="20"/>
        <v>1997</v>
      </c>
      <c r="B135" s="1299">
        <v>3298093.0917999996</v>
      </c>
      <c r="C135" s="1299">
        <v>3457907.1691999999</v>
      </c>
      <c r="D135" s="1299">
        <v>3056990.2818</v>
      </c>
      <c r="E135" s="1299">
        <v>2490680.8169</v>
      </c>
      <c r="F135" s="1299"/>
      <c r="G135" s="1299"/>
      <c r="H135" s="1299"/>
      <c r="I135" s="1299"/>
      <c r="J135" s="1299"/>
      <c r="K135" s="1299"/>
      <c r="L135" s="1299"/>
      <c r="M135" s="1299"/>
      <c r="N135" s="1299"/>
      <c r="O135" s="1299"/>
      <c r="P135" s="1299"/>
      <c r="Q135" s="1299"/>
      <c r="R135" s="1299"/>
      <c r="S135" s="1299"/>
      <c r="T135" s="1299"/>
      <c r="U135" s="1299"/>
      <c r="V135" s="1299"/>
      <c r="W135" s="1299"/>
      <c r="X135" s="1299"/>
      <c r="Y135" s="1299"/>
      <c r="Z135" s="1299"/>
      <c r="AA135" s="1299"/>
      <c r="AB135" s="1299"/>
      <c r="AC135" s="1299"/>
      <c r="AD135" s="1299"/>
      <c r="AE135" s="1299"/>
      <c r="AF135" s="1299"/>
      <c r="AG135" s="1299"/>
      <c r="AH135" s="1299"/>
      <c r="AI135" s="1299"/>
      <c r="AJ135" s="1299"/>
      <c r="AK135" s="1299"/>
    </row>
    <row r="136" spans="1:37" s="1298" customFormat="1" x14ac:dyDescent="0.3">
      <c r="A136" s="1297">
        <f t="shared" si="20"/>
        <v>1998</v>
      </c>
      <c r="B136" s="1299">
        <v>3500329.0458000004</v>
      </c>
      <c r="C136" s="1299">
        <v>3667574.7201999999</v>
      </c>
      <c r="D136" s="1299">
        <v>3262293.4461000003</v>
      </c>
      <c r="E136" s="1299">
        <v>2639451.4092000001</v>
      </c>
      <c r="F136" s="1299"/>
      <c r="G136" s="1299"/>
      <c r="H136" s="1299"/>
      <c r="I136" s="1299"/>
      <c r="J136" s="1299"/>
      <c r="K136" s="1299"/>
      <c r="L136" s="1299"/>
      <c r="M136" s="1299"/>
      <c r="N136" s="1299"/>
      <c r="O136" s="1299"/>
      <c r="P136" s="1299"/>
      <c r="Q136" s="1299"/>
      <c r="R136" s="1299"/>
      <c r="S136" s="1299"/>
      <c r="T136" s="1299"/>
      <c r="U136" s="1299"/>
      <c r="V136" s="1299"/>
      <c r="W136" s="1299"/>
      <c r="X136" s="1299"/>
      <c r="Y136" s="1299"/>
      <c r="Z136" s="1299"/>
      <c r="AA136" s="1299"/>
      <c r="AB136" s="1299"/>
      <c r="AC136" s="1299"/>
      <c r="AD136" s="1299"/>
      <c r="AE136" s="1299"/>
      <c r="AF136" s="1299"/>
      <c r="AG136" s="1299"/>
      <c r="AH136" s="1299"/>
      <c r="AI136" s="1299"/>
      <c r="AJ136" s="1299"/>
      <c r="AK136" s="1299"/>
    </row>
    <row r="137" spans="1:37" s="1298" customFormat="1" x14ac:dyDescent="0.3">
      <c r="A137" s="1297">
        <f t="shared" si="20"/>
        <v>1999</v>
      </c>
      <c r="B137" s="1299">
        <v>3672289.0269000018</v>
      </c>
      <c r="C137" s="1299">
        <v>3845760.7135000001</v>
      </c>
      <c r="D137" s="1299">
        <v>3430911.6161000002</v>
      </c>
      <c r="E137" s="1299">
        <v>2767223.6686</v>
      </c>
      <c r="F137" s="1299"/>
      <c r="G137" s="1299"/>
      <c r="H137" s="1299"/>
      <c r="I137" s="1299"/>
      <c r="J137" s="1299"/>
      <c r="K137" s="1299"/>
      <c r="L137" s="1299"/>
      <c r="M137" s="1299"/>
      <c r="N137" s="1299"/>
      <c r="O137" s="1299"/>
      <c r="P137" s="1299"/>
      <c r="Q137" s="1299"/>
      <c r="R137" s="1299"/>
      <c r="S137" s="1299"/>
      <c r="T137" s="1299"/>
      <c r="U137" s="1299"/>
      <c r="V137" s="1299"/>
      <c r="W137" s="1299"/>
      <c r="X137" s="1299"/>
      <c r="Y137" s="1299"/>
      <c r="Z137" s="1299"/>
      <c r="AA137" s="1299"/>
      <c r="AB137" s="1299"/>
      <c r="AC137" s="1299"/>
      <c r="AD137" s="1299"/>
      <c r="AE137" s="1299"/>
      <c r="AF137" s="1299"/>
      <c r="AG137" s="1299"/>
      <c r="AH137" s="1299"/>
      <c r="AI137" s="1299"/>
      <c r="AJ137" s="1299"/>
      <c r="AK137" s="1299"/>
    </row>
    <row r="138" spans="1:37" s="1298" customFormat="1" x14ac:dyDescent="0.3">
      <c r="A138" s="1297">
        <f t="shared" si="20"/>
        <v>2000</v>
      </c>
      <c r="B138" s="1299">
        <v>3897522.5115999999</v>
      </c>
      <c r="C138" s="1299">
        <v>4088611.0247999998</v>
      </c>
      <c r="D138" s="1299">
        <v>3671317.5183000006</v>
      </c>
      <c r="E138" s="1299">
        <v>2944611.6072</v>
      </c>
      <c r="F138" s="1299"/>
      <c r="G138" s="1299"/>
      <c r="H138" s="1299"/>
      <c r="I138" s="1299"/>
      <c r="J138" s="1299"/>
      <c r="K138" s="1299"/>
      <c r="L138" s="1299"/>
      <c r="M138" s="1299"/>
      <c r="N138" s="1299"/>
      <c r="O138" s="1299"/>
      <c r="P138" s="1299"/>
      <c r="Q138" s="1299"/>
      <c r="R138" s="1299"/>
      <c r="S138" s="1299"/>
      <c r="T138" s="1299"/>
      <c r="U138" s="1299"/>
      <c r="V138" s="1299"/>
      <c r="W138" s="1299"/>
      <c r="X138" s="1299"/>
      <c r="Y138" s="1299"/>
      <c r="Z138" s="1299"/>
      <c r="AA138" s="1299"/>
      <c r="AB138" s="1299"/>
      <c r="AC138" s="1299"/>
      <c r="AD138" s="1299"/>
      <c r="AE138" s="1299"/>
      <c r="AF138" s="1299"/>
      <c r="AG138" s="1299"/>
      <c r="AH138" s="1299"/>
      <c r="AI138" s="1299"/>
      <c r="AJ138" s="1299"/>
      <c r="AK138" s="1299"/>
    </row>
    <row r="139" spans="1:37" s="1298" customFormat="1" x14ac:dyDescent="0.3">
      <c r="A139" s="1297">
        <f t="shared" si="20"/>
        <v>2001</v>
      </c>
      <c r="B139" s="1299">
        <v>4088915.3874000004</v>
      </c>
      <c r="C139" s="1299">
        <v>4300651.2767000003</v>
      </c>
      <c r="D139" s="1299">
        <v>3804472.6272999989</v>
      </c>
      <c r="E139" s="1299">
        <v>3117391.0954999998</v>
      </c>
      <c r="F139" s="1299"/>
      <c r="G139" s="1299"/>
      <c r="H139" s="1299"/>
      <c r="I139" s="1299"/>
      <c r="J139" s="1299"/>
      <c r="K139" s="1299"/>
      <c r="L139" s="1299"/>
      <c r="M139" s="1299"/>
      <c r="N139" s="1299"/>
      <c r="O139" s="1299"/>
      <c r="P139" s="1299"/>
      <c r="Q139" s="1299"/>
      <c r="R139" s="1299"/>
      <c r="S139" s="1299"/>
      <c r="T139" s="1299"/>
      <c r="U139" s="1299"/>
      <c r="V139" s="1299"/>
      <c r="W139" s="1299"/>
      <c r="X139" s="1299"/>
      <c r="Y139" s="1299"/>
      <c r="Z139" s="1299"/>
      <c r="AA139" s="1299"/>
      <c r="AB139" s="1299"/>
      <c r="AC139" s="1299"/>
      <c r="AD139" s="1299"/>
      <c r="AE139" s="1299"/>
      <c r="AF139" s="1299"/>
      <c r="AG139" s="1299"/>
      <c r="AH139" s="1299"/>
      <c r="AI139" s="1299"/>
      <c r="AJ139" s="1299"/>
      <c r="AK139" s="1299"/>
    </row>
    <row r="140" spans="1:37" s="1298" customFormat="1" x14ac:dyDescent="0.3">
      <c r="A140" s="1297">
        <f t="shared" si="20"/>
        <v>2002</v>
      </c>
      <c r="B140" s="1299">
        <v>4267467.4161999999</v>
      </c>
      <c r="C140" s="1299">
        <v>4495626.9914999995</v>
      </c>
      <c r="D140" s="1299">
        <v>3945176.655600002</v>
      </c>
      <c r="E140" s="1299">
        <v>3350104.0633</v>
      </c>
      <c r="F140" s="1299"/>
      <c r="G140" s="1299"/>
      <c r="H140" s="1299"/>
      <c r="I140" s="1299"/>
      <c r="J140" s="1299"/>
      <c r="K140" s="1299"/>
      <c r="L140" s="1299"/>
      <c r="M140" s="1299"/>
      <c r="N140" s="1299"/>
      <c r="O140" s="1299"/>
      <c r="P140" s="1299"/>
      <c r="Q140" s="1299"/>
      <c r="R140" s="1299"/>
      <c r="S140" s="1299"/>
      <c r="T140" s="1299"/>
      <c r="U140" s="1299"/>
      <c r="V140" s="1299"/>
      <c r="W140" s="1299"/>
      <c r="X140" s="1299"/>
      <c r="Y140" s="1299"/>
      <c r="Z140" s="1299"/>
      <c r="AA140" s="1299"/>
      <c r="AB140" s="1299"/>
      <c r="AC140" s="1299"/>
      <c r="AD140" s="1299"/>
      <c r="AE140" s="1299"/>
      <c r="AF140" s="1299"/>
      <c r="AG140" s="1299"/>
      <c r="AH140" s="1299"/>
      <c r="AI140" s="1299"/>
      <c r="AJ140" s="1299"/>
      <c r="AK140" s="1299"/>
    </row>
    <row r="141" spans="1:37" s="1298" customFormat="1" x14ac:dyDescent="0.3">
      <c r="A141" s="1297">
        <f t="shared" si="20"/>
        <v>2003</v>
      </c>
      <c r="B141" s="1299">
        <v>4461235.6103000017</v>
      </c>
      <c r="C141" s="1299">
        <v>4704966.4702000003</v>
      </c>
      <c r="D141" s="1299">
        <v>4122141.0061000013</v>
      </c>
      <c r="E141" s="1299">
        <v>3524658.6101000002</v>
      </c>
      <c r="F141" s="1299"/>
      <c r="G141" s="1299"/>
      <c r="H141" s="1299"/>
      <c r="I141" s="1299"/>
      <c r="J141" s="1299"/>
      <c r="K141" s="1299"/>
      <c r="L141" s="1299"/>
      <c r="M141" s="1299"/>
      <c r="N141" s="1299"/>
      <c r="O141" s="1299"/>
      <c r="P141" s="1299"/>
      <c r="Q141" s="1299"/>
      <c r="R141" s="1299"/>
      <c r="S141" s="1299"/>
      <c r="T141" s="1299"/>
      <c r="U141" s="1299"/>
      <c r="V141" s="1299"/>
      <c r="W141" s="1299"/>
      <c r="X141" s="1299"/>
      <c r="Y141" s="1299"/>
      <c r="Z141" s="1299"/>
      <c r="AA141" s="1299"/>
      <c r="AB141" s="1299"/>
      <c r="AC141" s="1299"/>
      <c r="AD141" s="1299"/>
      <c r="AE141" s="1299"/>
      <c r="AF141" s="1299"/>
      <c r="AG141" s="1299"/>
      <c r="AH141" s="1299"/>
      <c r="AI141" s="1299"/>
      <c r="AJ141" s="1299"/>
      <c r="AK141" s="1299"/>
    </row>
    <row r="142" spans="1:37" s="1298" customFormat="1" x14ac:dyDescent="0.3">
      <c r="A142" s="1297">
        <f t="shared" si="20"/>
        <v>2004</v>
      </c>
      <c r="B142" s="1299">
        <v>4714267.8727000002</v>
      </c>
      <c r="C142" s="1299">
        <v>4969953.2949000001</v>
      </c>
      <c r="D142" s="1299">
        <v>4379103.5634000013</v>
      </c>
      <c r="E142" s="1299">
        <v>3727233.99</v>
      </c>
      <c r="F142" s="1299"/>
      <c r="G142" s="1299"/>
      <c r="H142" s="1299"/>
      <c r="I142" s="1299"/>
      <c r="J142" s="1299"/>
      <c r="K142" s="1299"/>
      <c r="L142" s="1299"/>
      <c r="M142" s="1299"/>
      <c r="N142" s="1299"/>
      <c r="O142" s="1299"/>
      <c r="P142" s="1299"/>
      <c r="Q142" s="1299"/>
      <c r="R142" s="1299"/>
      <c r="S142" s="1299"/>
      <c r="T142" s="1299"/>
      <c r="U142" s="1299"/>
      <c r="V142" s="1299"/>
      <c r="W142" s="1299"/>
      <c r="X142" s="1299"/>
      <c r="Y142" s="1299"/>
      <c r="Z142" s="1299"/>
      <c r="AA142" s="1299"/>
      <c r="AB142" s="1299"/>
      <c r="AC142" s="1299"/>
      <c r="AD142" s="1299"/>
      <c r="AE142" s="1299"/>
      <c r="AF142" s="1299"/>
      <c r="AG142" s="1299"/>
      <c r="AH142" s="1299"/>
      <c r="AI142" s="1299"/>
      <c r="AJ142" s="1299"/>
      <c r="AK142" s="1299"/>
    </row>
    <row r="143" spans="1:37" s="1298" customFormat="1" x14ac:dyDescent="0.3">
      <c r="A143" s="1297">
        <f t="shared" si="20"/>
        <v>2005</v>
      </c>
      <c r="B143" s="1299">
        <v>4930771.3054000009</v>
      </c>
      <c r="C143" s="1299">
        <v>5204654.9150999999</v>
      </c>
      <c r="D143" s="1299">
        <v>4615574.0191000002</v>
      </c>
      <c r="E143" s="1299">
        <v>3849744.4791999999</v>
      </c>
      <c r="F143" s="1299"/>
      <c r="G143" s="1299"/>
      <c r="H143" s="1299"/>
      <c r="I143" s="1299"/>
      <c r="J143" s="1299"/>
      <c r="K143" s="1299"/>
      <c r="L143" s="1299"/>
      <c r="M143" s="1299"/>
      <c r="N143" s="1299"/>
      <c r="O143" s="1299"/>
      <c r="P143" s="1299"/>
      <c r="Q143" s="1299"/>
      <c r="R143" s="1299"/>
      <c r="S143" s="1299"/>
      <c r="T143" s="1299"/>
      <c r="U143" s="1299"/>
      <c r="V143" s="1299"/>
      <c r="W143" s="1299"/>
      <c r="X143" s="1299"/>
      <c r="Y143" s="1299"/>
      <c r="Z143" s="1299"/>
      <c r="AA143" s="1299"/>
      <c r="AB143" s="1299"/>
      <c r="AC143" s="1299"/>
      <c r="AD143" s="1299"/>
      <c r="AE143" s="1299"/>
      <c r="AF143" s="1299"/>
      <c r="AG143" s="1299"/>
      <c r="AH143" s="1299"/>
      <c r="AI143" s="1299"/>
      <c r="AJ143" s="1299"/>
      <c r="AK143" s="1299"/>
    </row>
    <row r="144" spans="1:37" s="1298" customFormat="1" x14ac:dyDescent="0.3">
      <c r="A144" s="1297">
        <f t="shared" si="20"/>
        <v>2006</v>
      </c>
      <c r="B144" s="1299">
        <v>5228431.1114999978</v>
      </c>
      <c r="C144" s="1299">
        <v>5543945.1264000004</v>
      </c>
      <c r="D144" s="1299">
        <v>4921407.6658999994</v>
      </c>
      <c r="E144" s="1299">
        <v>4083503.1216000002</v>
      </c>
      <c r="F144" s="1299"/>
      <c r="G144" s="1299"/>
      <c r="H144" s="1299"/>
      <c r="I144" s="1299"/>
      <c r="J144" s="1299"/>
      <c r="K144" s="1299"/>
      <c r="L144" s="1299"/>
      <c r="M144" s="1299"/>
      <c r="N144" s="1299"/>
      <c r="O144" s="1299"/>
      <c r="P144" s="1299"/>
      <c r="Q144" s="1299"/>
      <c r="R144" s="1299"/>
      <c r="S144" s="1299"/>
      <c r="T144" s="1299"/>
      <c r="U144" s="1299"/>
      <c r="V144" s="1299"/>
      <c r="W144" s="1299"/>
      <c r="X144" s="1299"/>
      <c r="Y144" s="1299"/>
      <c r="Z144" s="1299"/>
      <c r="AA144" s="1299"/>
      <c r="AB144" s="1299"/>
      <c r="AC144" s="1299"/>
      <c r="AD144" s="1299"/>
      <c r="AE144" s="1299"/>
      <c r="AF144" s="1299"/>
      <c r="AG144" s="1299"/>
      <c r="AH144" s="1299"/>
      <c r="AI144" s="1299"/>
      <c r="AJ144" s="1299"/>
      <c r="AK144" s="1299"/>
    </row>
    <row r="145" spans="1:37" s="1298" customFormat="1" x14ac:dyDescent="0.3">
      <c r="A145" s="1297">
        <f t="shared" si="20"/>
        <v>2007</v>
      </c>
      <c r="B145" s="1299">
        <v>5365639.6647000015</v>
      </c>
      <c r="C145" s="1299">
        <v>5703553.5367999999</v>
      </c>
      <c r="D145" s="1299">
        <v>5046608.9982000012</v>
      </c>
      <c r="E145" s="1299">
        <v>4187011.2673999998</v>
      </c>
      <c r="F145" s="1299"/>
      <c r="G145" s="1299"/>
      <c r="H145" s="1299"/>
      <c r="I145" s="1299"/>
      <c r="J145" s="1299"/>
      <c r="K145" s="1299"/>
      <c r="L145" s="1299"/>
      <c r="M145" s="1299"/>
      <c r="N145" s="1299"/>
      <c r="O145" s="1299"/>
      <c r="P145" s="1299"/>
      <c r="Q145" s="1299"/>
      <c r="R145" s="1299"/>
      <c r="S145" s="1299"/>
      <c r="T145" s="1299"/>
      <c r="U145" s="1299"/>
      <c r="V145" s="1299"/>
      <c r="W145" s="1299"/>
      <c r="X145" s="1299"/>
      <c r="Y145" s="1299"/>
      <c r="Z145" s="1299"/>
      <c r="AA145" s="1299"/>
      <c r="AB145" s="1299"/>
      <c r="AC145" s="1299"/>
      <c r="AD145" s="1299"/>
      <c r="AE145" s="1299"/>
      <c r="AF145" s="1299"/>
      <c r="AG145" s="1299"/>
      <c r="AH145" s="1299"/>
      <c r="AI145" s="1299"/>
      <c r="AJ145" s="1299"/>
      <c r="AK145" s="1299"/>
    </row>
    <row r="146" spans="1:37" s="1298" customFormat="1" x14ac:dyDescent="0.3">
      <c r="A146" s="1297">
        <f t="shared" si="20"/>
        <v>2008</v>
      </c>
      <c r="B146" s="1299">
        <v>5486733.3114999998</v>
      </c>
      <c r="C146" s="1299">
        <v>5916119.5887000002</v>
      </c>
      <c r="D146" s="1299">
        <v>5116453.9846000019</v>
      </c>
      <c r="E146" s="1299">
        <v>4397732.3800999997</v>
      </c>
      <c r="F146" s="1299"/>
      <c r="G146" s="1299"/>
      <c r="H146" s="1299"/>
      <c r="I146" s="1299"/>
      <c r="J146" s="1299"/>
      <c r="K146" s="1299"/>
      <c r="L146" s="1299"/>
      <c r="M146" s="1299"/>
      <c r="N146" s="1299"/>
      <c r="O146" s="1299"/>
      <c r="P146" s="1299"/>
      <c r="Q146" s="1299"/>
      <c r="R146" s="1299"/>
      <c r="S146" s="1299"/>
      <c r="T146" s="1299"/>
      <c r="U146" s="1299"/>
      <c r="V146" s="1299"/>
      <c r="W146" s="1299"/>
      <c r="X146" s="1299"/>
      <c r="Y146" s="1299"/>
      <c r="Z146" s="1299"/>
      <c r="AA146" s="1299"/>
      <c r="AB146" s="1299"/>
      <c r="AC146" s="1299"/>
      <c r="AD146" s="1299"/>
      <c r="AE146" s="1299"/>
      <c r="AF146" s="1299"/>
      <c r="AG146" s="1299"/>
      <c r="AH146" s="1299"/>
      <c r="AI146" s="1299"/>
      <c r="AJ146" s="1299"/>
      <c r="AK146" s="1299"/>
    </row>
    <row r="147" spans="1:37" s="1298" customFormat="1" x14ac:dyDescent="0.3">
      <c r="A147" s="1297">
        <f t="shared" si="20"/>
        <v>2009</v>
      </c>
      <c r="B147" s="1299">
        <v>5472425.5194999995</v>
      </c>
      <c r="C147" s="1299">
        <v>5897245.3514999999</v>
      </c>
      <c r="D147" s="1299">
        <v>5005230.3549000015</v>
      </c>
      <c r="E147" s="1299">
        <v>4525045.2917999998</v>
      </c>
      <c r="F147" s="1299"/>
      <c r="G147" s="1299"/>
      <c r="H147" s="1299"/>
      <c r="I147" s="1299"/>
      <c r="J147" s="1299"/>
      <c r="K147" s="1299"/>
      <c r="L147" s="1299"/>
      <c r="M147" s="1299"/>
      <c r="N147" s="1299"/>
      <c r="O147" s="1299"/>
      <c r="P147" s="1299"/>
      <c r="Q147" s="1299"/>
      <c r="R147" s="1299"/>
      <c r="S147" s="1299"/>
      <c r="T147" s="1299"/>
      <c r="U147" s="1299"/>
      <c r="V147" s="1299"/>
      <c r="W147" s="1299"/>
      <c r="X147" s="1299"/>
      <c r="Y147" s="1299"/>
      <c r="Z147" s="1299"/>
      <c r="AA147" s="1299"/>
      <c r="AB147" s="1299"/>
      <c r="AC147" s="1299"/>
      <c r="AD147" s="1299"/>
      <c r="AE147" s="1299"/>
      <c r="AF147" s="1299"/>
      <c r="AG147" s="1299"/>
      <c r="AH147" s="1299"/>
      <c r="AI147" s="1299"/>
      <c r="AJ147" s="1299"/>
      <c r="AK147" s="1299"/>
    </row>
    <row r="148" spans="1:37" s="1298" customFormat="1" x14ac:dyDescent="0.3">
      <c r="A148" s="1297">
        <f t="shared" si="20"/>
        <v>2010</v>
      </c>
      <c r="B148" s="1299">
        <v>5634881.7466000002</v>
      </c>
      <c r="C148" s="1299">
        <v>6091035.0088</v>
      </c>
      <c r="D148" s="1299">
        <v>5147750.4254999999</v>
      </c>
      <c r="E148" s="1299">
        <v>4656017.2767000003</v>
      </c>
      <c r="F148" s="1299"/>
      <c r="G148" s="1299"/>
      <c r="H148" s="1299"/>
      <c r="I148" s="1299"/>
      <c r="J148" s="1299"/>
      <c r="K148" s="1299"/>
      <c r="L148" s="1299"/>
      <c r="M148" s="1299"/>
      <c r="N148" s="1299"/>
      <c r="O148" s="1299"/>
      <c r="P148" s="1299"/>
      <c r="Q148" s="1299"/>
      <c r="R148" s="1299"/>
      <c r="S148" s="1299"/>
      <c r="T148" s="1299"/>
      <c r="U148" s="1299"/>
      <c r="V148" s="1299"/>
      <c r="W148" s="1299"/>
      <c r="X148" s="1299"/>
      <c r="Y148" s="1299"/>
      <c r="Z148" s="1299"/>
      <c r="AA148" s="1299"/>
      <c r="AB148" s="1299"/>
      <c r="AC148" s="1299"/>
      <c r="AD148" s="1299"/>
      <c r="AE148" s="1299"/>
      <c r="AF148" s="1299"/>
      <c r="AG148" s="1299"/>
      <c r="AH148" s="1299"/>
      <c r="AI148" s="1299"/>
      <c r="AJ148" s="1299"/>
      <c r="AK148" s="1299"/>
    </row>
    <row r="149" spans="1:37" s="1298" customFormat="1" x14ac:dyDescent="0.3">
      <c r="A149" s="1297">
        <f t="shared" si="20"/>
        <v>2011</v>
      </c>
      <c r="B149" s="1299">
        <v>5915899.0724999998</v>
      </c>
      <c r="C149" s="1299">
        <v>6378396.2260999996</v>
      </c>
      <c r="D149" s="1299">
        <v>5459173.0994999986</v>
      </c>
      <c r="E149" s="1299">
        <v>4879618.9176000003</v>
      </c>
      <c r="F149" s="1299"/>
      <c r="G149" s="1299"/>
      <c r="H149" s="1299"/>
      <c r="I149" s="1299"/>
      <c r="J149" s="1299"/>
      <c r="K149" s="1299"/>
      <c r="L149" s="1299"/>
      <c r="M149" s="1299"/>
      <c r="N149" s="1299"/>
      <c r="O149" s="1299"/>
      <c r="P149" s="1299"/>
      <c r="Q149" s="1299"/>
      <c r="R149" s="1299"/>
      <c r="S149" s="1299"/>
      <c r="T149" s="1299"/>
      <c r="U149" s="1299"/>
      <c r="V149" s="1299"/>
      <c r="W149" s="1299"/>
      <c r="X149" s="1299"/>
      <c r="Y149" s="1299"/>
      <c r="Z149" s="1299"/>
      <c r="AA149" s="1299"/>
      <c r="AB149" s="1299"/>
      <c r="AC149" s="1299"/>
      <c r="AD149" s="1299"/>
      <c r="AE149" s="1299"/>
      <c r="AF149" s="1299"/>
      <c r="AG149" s="1299"/>
      <c r="AH149" s="1299"/>
      <c r="AI149" s="1299"/>
      <c r="AJ149" s="1299"/>
      <c r="AK149" s="1299"/>
    </row>
    <row r="150" spans="1:37" s="1298" customFormat="1" x14ac:dyDescent="0.3">
      <c r="A150" s="1297">
        <f t="shared" si="20"/>
        <v>2012</v>
      </c>
      <c r="B150" s="1299">
        <v>6099945.3301000018</v>
      </c>
      <c r="C150" s="1299">
        <v>6597698.2044000002</v>
      </c>
      <c r="D150" s="1299">
        <v>5724255.8476000018</v>
      </c>
      <c r="E150" s="1299">
        <v>5067574.3393000001</v>
      </c>
      <c r="F150" s="1299"/>
      <c r="G150" s="1299"/>
      <c r="H150" s="1299"/>
      <c r="I150" s="1299"/>
      <c r="J150" s="1299"/>
      <c r="K150" s="1299"/>
      <c r="L150" s="1299"/>
      <c r="M150" s="1299"/>
      <c r="N150" s="1299"/>
      <c r="O150" s="1299"/>
      <c r="P150" s="1299"/>
      <c r="Q150" s="1299"/>
      <c r="R150" s="1299"/>
      <c r="S150" s="1299"/>
      <c r="T150" s="1299"/>
      <c r="U150" s="1299"/>
      <c r="V150" s="1299"/>
      <c r="W150" s="1299"/>
      <c r="X150" s="1299"/>
      <c r="Y150" s="1299"/>
      <c r="Z150" s="1299"/>
      <c r="AA150" s="1299"/>
      <c r="AB150" s="1299"/>
      <c r="AC150" s="1299"/>
      <c r="AD150" s="1299"/>
      <c r="AE150" s="1299"/>
      <c r="AF150" s="1299"/>
      <c r="AG150" s="1299"/>
      <c r="AH150" s="1299"/>
      <c r="AI150" s="1299"/>
      <c r="AJ150" s="1299"/>
      <c r="AK150" s="1299"/>
    </row>
    <row r="151" spans="1:37" s="1298" customFormat="1" x14ac:dyDescent="0.3">
      <c r="A151" s="1297">
        <f t="shared" si="20"/>
        <v>2013</v>
      </c>
      <c r="B151" s="1299">
        <v>6409420.1359000001</v>
      </c>
      <c r="C151" s="1299">
        <v>6917721.1842</v>
      </c>
      <c r="D151" s="1299">
        <v>6007583.7091000006</v>
      </c>
      <c r="E151" s="1299">
        <v>5214154.2473999998</v>
      </c>
      <c r="F151" s="1299"/>
      <c r="G151" s="1299"/>
      <c r="H151" s="1299"/>
      <c r="I151" s="1299"/>
      <c r="J151" s="1299"/>
      <c r="K151" s="1299"/>
      <c r="L151" s="1299"/>
      <c r="M151" s="1299"/>
      <c r="N151" s="1299"/>
      <c r="O151" s="1299"/>
      <c r="P151" s="1299"/>
      <c r="Q151" s="1299"/>
      <c r="R151" s="1299"/>
      <c r="S151" s="1299"/>
      <c r="T151" s="1299"/>
      <c r="U151" s="1299"/>
      <c r="V151" s="1299"/>
      <c r="W151" s="1299"/>
      <c r="X151" s="1299"/>
      <c r="Y151" s="1299"/>
      <c r="Z151" s="1299"/>
      <c r="AA151" s="1299"/>
      <c r="AB151" s="1299"/>
      <c r="AC151" s="1299"/>
      <c r="AD151" s="1299"/>
      <c r="AE151" s="1299"/>
      <c r="AF151" s="1299"/>
      <c r="AG151" s="1299"/>
      <c r="AH151" s="1299"/>
      <c r="AI151" s="1299"/>
      <c r="AJ151" s="1299"/>
      <c r="AK151" s="1299"/>
    </row>
    <row r="152" spans="1:37" s="1298" customFormat="1" x14ac:dyDescent="0.3">
      <c r="A152" s="1297">
        <f t="shared" si="20"/>
        <v>2014</v>
      </c>
      <c r="B152" s="1299">
        <v>6677277.7770999968</v>
      </c>
      <c r="C152" s="1299">
        <v>7199517.8996000001</v>
      </c>
      <c r="D152" s="1299">
        <v>6267341.6898999996</v>
      </c>
      <c r="E152" s="1299">
        <v>5423847.7927000001</v>
      </c>
      <c r="F152" s="1299"/>
      <c r="G152" s="1299"/>
      <c r="H152" s="1299"/>
      <c r="I152" s="1299"/>
      <c r="J152" s="1299"/>
      <c r="K152" s="1299"/>
      <c r="L152" s="1299"/>
      <c r="M152" s="1299"/>
      <c r="N152" s="1299"/>
      <c r="O152" s="1299"/>
      <c r="P152" s="1299"/>
      <c r="Q152" s="1299"/>
      <c r="R152" s="1299"/>
      <c r="S152" s="1299"/>
      <c r="T152" s="1299"/>
      <c r="U152" s="1299"/>
      <c r="V152" s="1299"/>
      <c r="W152" s="1299"/>
      <c r="X152" s="1299"/>
      <c r="Y152" s="1299"/>
      <c r="Z152" s="1299"/>
      <c r="AA152" s="1299"/>
      <c r="AB152" s="1299"/>
      <c r="AC152" s="1299"/>
      <c r="AD152" s="1299"/>
      <c r="AE152" s="1299"/>
      <c r="AF152" s="1299"/>
      <c r="AG152" s="1299"/>
      <c r="AH152" s="1299"/>
      <c r="AI152" s="1299"/>
      <c r="AJ152" s="1299"/>
      <c r="AK152" s="1299"/>
    </row>
    <row r="153" spans="1:37" s="1298" customFormat="1" x14ac:dyDescent="0.3">
      <c r="A153" s="1297">
        <f t="shared" si="20"/>
        <v>2015</v>
      </c>
      <c r="B153" s="1299">
        <v>6960040.167200001</v>
      </c>
      <c r="C153" s="1299">
        <v>7514499.4943000004</v>
      </c>
      <c r="D153" s="1299">
        <v>6531868.0037000012</v>
      </c>
      <c r="E153" s="1299">
        <v>5652851.1732000001</v>
      </c>
      <c r="F153" s="1299"/>
      <c r="G153" s="1299"/>
      <c r="H153" s="1299"/>
      <c r="I153" s="1299"/>
      <c r="J153" s="1299"/>
      <c r="K153" s="1299"/>
      <c r="L153" s="1299"/>
      <c r="M153" s="1299"/>
      <c r="N153" s="1299"/>
      <c r="O153" s="1299"/>
      <c r="P153" s="1299"/>
      <c r="Q153" s="1299"/>
      <c r="R153" s="1299"/>
      <c r="S153" s="1299"/>
      <c r="T153" s="1299"/>
      <c r="U153" s="1299"/>
      <c r="V153" s="1299"/>
      <c r="W153" s="1299"/>
      <c r="X153" s="1299"/>
      <c r="Y153" s="1299"/>
      <c r="Z153" s="1299"/>
      <c r="AA153" s="1299"/>
      <c r="AB153" s="1299"/>
      <c r="AC153" s="1299"/>
      <c r="AD153" s="1299"/>
      <c r="AE153" s="1299"/>
      <c r="AF153" s="1299"/>
      <c r="AG153" s="1299"/>
      <c r="AH153" s="1299"/>
      <c r="AI153" s="1299"/>
      <c r="AJ153" s="1299"/>
      <c r="AK153" s="1299"/>
    </row>
    <row r="154" spans="1:37" x14ac:dyDescent="0.3">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row>
    <row r="155" spans="1:37" x14ac:dyDescent="0.3">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row>
    <row r="156" spans="1:37" x14ac:dyDescent="0.3">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row>
    <row r="157" spans="1:37" x14ac:dyDescent="0.3">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row>
    <row r="158" spans="1:37" x14ac:dyDescent="0.3">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row>
    <row r="159" spans="1:37" x14ac:dyDescent="0.3">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row>
    <row r="160" spans="1:37" x14ac:dyDescent="0.3">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row>
    <row r="161" spans="2:37" x14ac:dyDescent="0.3">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row>
    <row r="162" spans="2:37" x14ac:dyDescent="0.3">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row>
    <row r="163" spans="2:37" x14ac:dyDescent="0.3">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row>
    <row r="164" spans="2:37" x14ac:dyDescent="0.3">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row>
    <row r="165" spans="2:37" x14ac:dyDescent="0.3">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row>
    <row r="166" spans="2:37" x14ac:dyDescent="0.3">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row>
    <row r="167" spans="2:37" x14ac:dyDescent="0.3">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row>
    <row r="168" spans="2:37" x14ac:dyDescent="0.3">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row>
    <row r="169" spans="2:37" x14ac:dyDescent="0.3">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row>
    <row r="170" spans="2:37" x14ac:dyDescent="0.3">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row>
    <row r="171" spans="2:37" x14ac:dyDescent="0.3">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row>
    <row r="172" spans="2:37" x14ac:dyDescent="0.3">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row>
    <row r="173" spans="2:37" x14ac:dyDescent="0.3">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row>
    <row r="174" spans="2:37" x14ac:dyDescent="0.3">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row>
    <row r="175" spans="2:37" x14ac:dyDescent="0.3">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row>
    <row r="176" spans="2:37" x14ac:dyDescent="0.3">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row>
    <row r="177" spans="2:37" x14ac:dyDescent="0.3">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row>
    <row r="178" spans="2:37" x14ac:dyDescent="0.3">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row>
    <row r="179" spans="2:37" x14ac:dyDescent="0.3">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row>
    <row r="180" spans="2:37" x14ac:dyDescent="0.3">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row>
    <row r="181" spans="2:37" x14ac:dyDescent="0.3">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row>
    <row r="182" spans="2:37" x14ac:dyDescent="0.3">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row>
    <row r="183" spans="2:37" x14ac:dyDescent="0.3">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row>
    <row r="184" spans="2:37" x14ac:dyDescent="0.3">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row>
    <row r="185" spans="2:37" x14ac:dyDescent="0.3">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row>
    <row r="186" spans="2:37" x14ac:dyDescent="0.3">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row>
    <row r="187" spans="2:37" x14ac:dyDescent="0.3">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row>
    <row r="188" spans="2:37" x14ac:dyDescent="0.3">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row>
    <row r="189" spans="2:37" x14ac:dyDescent="0.3">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row>
    <row r="190" spans="2:37" x14ac:dyDescent="0.3">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row>
    <row r="191" spans="2:37" x14ac:dyDescent="0.3">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row>
    <row r="192" spans="2:37" x14ac:dyDescent="0.3">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row>
    <row r="193" spans="2:37" x14ac:dyDescent="0.3">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row>
    <row r="194" spans="2:37" x14ac:dyDescent="0.3">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row>
    <row r="195" spans="2:37" x14ac:dyDescent="0.3">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row>
    <row r="196" spans="2:37" x14ac:dyDescent="0.3">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row>
    <row r="197" spans="2:37" x14ac:dyDescent="0.3">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row>
    <row r="198" spans="2:37" x14ac:dyDescent="0.3">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row>
    <row r="199" spans="2:37" x14ac:dyDescent="0.3">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row>
    <row r="200" spans="2:37" x14ac:dyDescent="0.3">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row>
    <row r="201" spans="2:37" x14ac:dyDescent="0.3">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row>
    <row r="202" spans="2:37" x14ac:dyDescent="0.3">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row>
    <row r="203" spans="2:37" x14ac:dyDescent="0.3">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row>
    <row r="204" spans="2:37" x14ac:dyDescent="0.3">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row>
    <row r="205" spans="2:37" x14ac:dyDescent="0.3">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row>
    <row r="206" spans="2:37" x14ac:dyDescent="0.3">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row>
    <row r="207" spans="2:37" x14ac:dyDescent="0.3">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row>
    <row r="208" spans="2:37" x14ac:dyDescent="0.3">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row>
    <row r="209" spans="2:37" x14ac:dyDescent="0.3">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row>
    <row r="210" spans="2:37" x14ac:dyDescent="0.3">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row>
    <row r="211" spans="2:37" x14ac:dyDescent="0.3">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row>
    <row r="212" spans="2:37" x14ac:dyDescent="0.3">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row>
    <row r="213" spans="2:37" x14ac:dyDescent="0.3">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row>
    <row r="214" spans="2:37" x14ac:dyDescent="0.3">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row>
    <row r="215" spans="2:37" x14ac:dyDescent="0.3">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row>
    <row r="216" spans="2:37" x14ac:dyDescent="0.3">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row>
    <row r="217" spans="2:37" x14ac:dyDescent="0.3">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row>
    <row r="218" spans="2:37" x14ac:dyDescent="0.3">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row>
    <row r="219" spans="2:37" x14ac:dyDescent="0.3">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row>
    <row r="220" spans="2:37" x14ac:dyDescent="0.3">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row>
    <row r="221" spans="2:37" x14ac:dyDescent="0.3">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row>
    <row r="222" spans="2:37" x14ac:dyDescent="0.3">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row>
    <row r="223" spans="2:37" x14ac:dyDescent="0.3">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row>
    <row r="224" spans="2:37" x14ac:dyDescent="0.3">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row>
    <row r="225" spans="2:37" x14ac:dyDescent="0.3">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row>
    <row r="226" spans="2:37" x14ac:dyDescent="0.3">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row>
    <row r="227" spans="2:37" x14ac:dyDescent="0.3">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row>
    <row r="228" spans="2:37" x14ac:dyDescent="0.3">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row>
    <row r="229" spans="2:37" x14ac:dyDescent="0.3">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row>
    <row r="230" spans="2:37" x14ac:dyDescent="0.3">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row>
    <row r="231" spans="2:37" x14ac:dyDescent="0.3">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row>
    <row r="232" spans="2:37" x14ac:dyDescent="0.3">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row>
    <row r="233" spans="2:37" x14ac:dyDescent="0.3">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row>
    <row r="234" spans="2:37" x14ac:dyDescent="0.3">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row>
    <row r="235" spans="2:37" x14ac:dyDescent="0.3">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row>
    <row r="236" spans="2:37" x14ac:dyDescent="0.3">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row>
    <row r="237" spans="2:37" x14ac:dyDescent="0.3">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row>
    <row r="238" spans="2:37" x14ac:dyDescent="0.3">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row>
    <row r="239" spans="2:37" x14ac:dyDescent="0.3">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row>
    <row r="240" spans="2:37" x14ac:dyDescent="0.3">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row>
    <row r="241" spans="2:37" x14ac:dyDescent="0.3">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row>
    <row r="242" spans="2:37" x14ac:dyDescent="0.3">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row>
    <row r="243" spans="2:37" x14ac:dyDescent="0.3">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row>
    <row r="244" spans="2:37" x14ac:dyDescent="0.3">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row>
    <row r="245" spans="2:37" x14ac:dyDescent="0.3">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row>
    <row r="246" spans="2:37" x14ac:dyDescent="0.3">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row>
    <row r="247" spans="2:37" x14ac:dyDescent="0.3">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row>
    <row r="248" spans="2:37" x14ac:dyDescent="0.3">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row>
    <row r="249" spans="2:37" x14ac:dyDescent="0.3">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row>
    <row r="250" spans="2:37" x14ac:dyDescent="0.3">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row>
    <row r="251" spans="2:37" x14ac:dyDescent="0.3">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row>
  </sheetData>
  <mergeCells count="3">
    <mergeCell ref="G32:J32"/>
    <mergeCell ref="W32:AC32"/>
    <mergeCell ref="AG32:AM32"/>
  </mergeCells>
  <hyperlinks>
    <hyperlink ref="F1" location="Index!A1" display="Index"/>
  </hyperlink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7" tint="0.59999389629810485"/>
  </sheetPr>
  <dimension ref="A1:AI107"/>
  <sheetViews>
    <sheetView zoomScale="85" zoomScaleNormal="85" workbookViewId="0"/>
  </sheetViews>
  <sheetFormatPr defaultColWidth="9.109375" defaultRowHeight="14.4" x14ac:dyDescent="0.3"/>
  <cols>
    <col min="1" max="1" width="9.88671875" style="1011" customWidth="1"/>
    <col min="2" max="2" width="9.109375" style="1011"/>
    <col min="3" max="3" width="13.77734375" style="1011" customWidth="1"/>
    <col min="4" max="4" width="9.109375" style="1011"/>
    <col min="5" max="5" width="15.77734375" style="1011" customWidth="1"/>
    <col min="6" max="6" width="9.109375" style="1011"/>
    <col min="7" max="7" width="8.88671875" style="1011" customWidth="1"/>
    <col min="8" max="8" width="13.21875" style="1011" customWidth="1"/>
    <col min="9" max="9" width="10.5546875" style="1011" customWidth="1"/>
    <col min="10" max="10" width="16" style="1011" customWidth="1"/>
    <col min="11" max="11" width="9.109375" style="1011"/>
    <col min="12" max="12" width="10.77734375" style="1011" customWidth="1"/>
    <col min="13" max="13" width="9.109375" style="1011"/>
    <col min="14" max="14" width="11.5546875" style="1011" customWidth="1"/>
    <col min="15" max="16" width="9.109375" style="1011"/>
    <col min="17" max="17" width="10.88671875" style="1011" customWidth="1"/>
    <col min="18" max="19" width="9.109375" style="1011"/>
    <col min="20" max="20" width="8" style="1011" customWidth="1"/>
    <col min="21" max="23" width="9.109375" style="1011"/>
    <col min="24" max="24" width="13.109375" style="1011" customWidth="1"/>
    <col min="25" max="16384" width="9.109375" style="1011"/>
  </cols>
  <sheetData>
    <row r="1" spans="1:10" ht="15.6" x14ac:dyDescent="0.3">
      <c r="A1" s="75" t="s">
        <v>2056</v>
      </c>
      <c r="J1" s="463" t="s">
        <v>504</v>
      </c>
    </row>
    <row r="31" spans="1:33" ht="15" customHeight="1" x14ac:dyDescent="0.3">
      <c r="A31" s="75" t="s">
        <v>1870</v>
      </c>
      <c r="O31" s="24"/>
      <c r="P31" s="249"/>
      <c r="Q31" s="249"/>
      <c r="R31" s="249"/>
      <c r="S31" s="249"/>
      <c r="T31" s="249"/>
      <c r="U31" s="249"/>
      <c r="V31" s="249"/>
      <c r="W31" s="249"/>
    </row>
    <row r="32" spans="1:33" ht="16.5" customHeight="1" x14ac:dyDescent="0.3">
      <c r="G32" s="1391" t="s">
        <v>1878</v>
      </c>
      <c r="H32" s="1391"/>
      <c r="I32" s="1391"/>
      <c r="J32" s="1391"/>
      <c r="P32" s="1374" t="s">
        <v>2182</v>
      </c>
      <c r="Q32" s="1374"/>
      <c r="R32" s="1374"/>
      <c r="S32" s="1374"/>
      <c r="T32" s="1374"/>
      <c r="U32" s="1374"/>
      <c r="V32" s="1374"/>
      <c r="W32" s="760"/>
      <c r="X32" s="1338" t="s">
        <v>2177</v>
      </c>
      <c r="Z32" s="1374" t="s">
        <v>2187</v>
      </c>
      <c r="AA32" s="1374"/>
      <c r="AB32" s="1374"/>
      <c r="AC32" s="1374"/>
      <c r="AD32" s="1374"/>
      <c r="AE32" s="1374"/>
      <c r="AF32" s="1374"/>
      <c r="AG32" s="1292"/>
    </row>
    <row r="33" spans="1:35" ht="39.75" customHeight="1" x14ac:dyDescent="0.3">
      <c r="B33" s="425" t="s">
        <v>662</v>
      </c>
      <c r="C33" s="1181" t="s">
        <v>1458</v>
      </c>
      <c r="D33" s="425" t="s">
        <v>566</v>
      </c>
      <c r="E33" s="1181" t="s">
        <v>1844</v>
      </c>
      <c r="F33" s="1102"/>
      <c r="G33" s="425" t="s">
        <v>662</v>
      </c>
      <c r="H33" s="1181" t="s">
        <v>1458</v>
      </c>
      <c r="I33" s="425" t="s">
        <v>566</v>
      </c>
      <c r="J33" s="1181" t="s">
        <v>1844</v>
      </c>
      <c r="L33" s="1214" t="s">
        <v>1809</v>
      </c>
      <c r="M33" s="1215" t="s">
        <v>1810</v>
      </c>
      <c r="N33" s="1214" t="s">
        <v>1811</v>
      </c>
      <c r="P33" s="1214" t="s">
        <v>594</v>
      </c>
      <c r="Q33" s="1214" t="s">
        <v>2178</v>
      </c>
      <c r="R33" s="1214" t="s">
        <v>2179</v>
      </c>
      <c r="S33" s="1214" t="s">
        <v>565</v>
      </c>
      <c r="T33" s="1214" t="s">
        <v>507</v>
      </c>
      <c r="U33" s="1214" t="s">
        <v>1731</v>
      </c>
      <c r="V33" s="1214" t="s">
        <v>2180</v>
      </c>
      <c r="W33" s="1340"/>
      <c r="X33" s="1181" t="s">
        <v>2183</v>
      </c>
      <c r="Z33" s="1214" t="s">
        <v>246</v>
      </c>
      <c r="AA33" s="1214" t="s">
        <v>594</v>
      </c>
      <c r="AB33" s="1214" t="s">
        <v>2178</v>
      </c>
      <c r="AC33" s="1214" t="s">
        <v>2179</v>
      </c>
      <c r="AD33" s="1214" t="s">
        <v>565</v>
      </c>
      <c r="AE33" s="1214" t="s">
        <v>507</v>
      </c>
      <c r="AF33" s="1214" t="s">
        <v>1731</v>
      </c>
      <c r="AG33" s="1340"/>
      <c r="AI33" s="1340"/>
    </row>
    <row r="34" spans="1:35" s="173" customFormat="1" ht="10.5" customHeight="1" x14ac:dyDescent="0.25">
      <c r="A34" s="239">
        <v>1960</v>
      </c>
      <c r="B34" s="1183">
        <f>1-'F-B5'!B34-'C2-Shares'!J6</f>
        <v>0.44547567073127764</v>
      </c>
      <c r="C34" s="1183">
        <f>1-'F-B5'!C34-'C2-Shares'!R6</f>
        <v>0.43151848237250179</v>
      </c>
      <c r="D34" s="1183">
        <f>1-'F-B5'!D34-'C2-Shares'!Z6</f>
        <v>0.43457092254324609</v>
      </c>
      <c r="E34" s="1183">
        <f>1-'F-B5'!E34-'C2-Shares'!II6</f>
        <v>0.43724447766369923</v>
      </c>
      <c r="F34" s="1103"/>
      <c r="G34" s="455">
        <f>B34*$L34*$M34/($N34*0.4)*1000</f>
        <v>18450.443786549033</v>
      </c>
      <c r="H34" s="455">
        <f>C34*'C1-Incomes'!R8*$M34/($N34*0.4)*1000</f>
        <v>18782.193570394575</v>
      </c>
      <c r="I34" s="455">
        <f>D34*$L34*$M34/($N34*0.4)*1000</f>
        <v>17998.79747527132</v>
      </c>
      <c r="J34" s="455">
        <f>E34*'C1-Incomes'!II8*$M34/($N34*0.4)*1000</f>
        <v>14386.747206546886</v>
      </c>
      <c r="L34" s="1013">
        <f>'T-T1'!BN9</f>
        <v>479859</v>
      </c>
      <c r="M34" s="1182">
        <f>'C0-Ref Stats'!AA6</f>
        <v>6.2396557619970361</v>
      </c>
      <c r="N34" s="1013">
        <f>'C0-Ref Stats'!R6</f>
        <v>180730.50313569722</v>
      </c>
      <c r="P34" s="1013"/>
      <c r="Q34" s="1013"/>
      <c r="R34" s="455"/>
      <c r="S34" s="455"/>
      <c r="T34" s="1013"/>
      <c r="U34" s="1013"/>
      <c r="V34" s="1013"/>
      <c r="W34" s="455"/>
      <c r="X34" s="1013"/>
      <c r="Z34" s="1341"/>
      <c r="AA34" s="1341"/>
      <c r="AB34" s="1341"/>
      <c r="AC34" s="1341"/>
      <c r="AD34" s="1341"/>
      <c r="AE34" s="1341"/>
      <c r="AF34" s="1341"/>
      <c r="AG34" s="124"/>
    </row>
    <row r="35" spans="1:35" s="173" customFormat="1" ht="10.5" customHeight="1" x14ac:dyDescent="0.25">
      <c r="A35" s="239">
        <f>A34+1</f>
        <v>1961</v>
      </c>
      <c r="B35" s="1183"/>
      <c r="C35" s="1183"/>
      <c r="D35" s="1183"/>
      <c r="E35" s="1183"/>
      <c r="G35" s="455"/>
      <c r="H35" s="1182"/>
      <c r="I35" s="453"/>
      <c r="J35" s="452"/>
      <c r="L35" s="1013">
        <f>'T-T1'!BN10</f>
        <v>497193</v>
      </c>
      <c r="M35" s="1182">
        <f>'C0-Ref Stats'!AA7</f>
        <v>6.174901297236322</v>
      </c>
      <c r="N35" s="1013"/>
      <c r="P35" s="1013"/>
      <c r="Q35" s="1013"/>
      <c r="R35" s="1013"/>
      <c r="S35" s="1013"/>
      <c r="T35" s="1013"/>
      <c r="U35" s="1013"/>
      <c r="V35" s="1013"/>
      <c r="W35" s="455"/>
      <c r="AG35" s="124"/>
    </row>
    <row r="36" spans="1:35" s="173" customFormat="1" ht="10.5" customHeight="1" x14ac:dyDescent="0.25">
      <c r="A36" s="239">
        <f t="shared" ref="A36:A89" si="0">A35+1</f>
        <v>1962</v>
      </c>
      <c r="B36" s="1183">
        <f>1-'F-B5'!B36-'C2-Shares'!J8</f>
        <v>0.44722264966639164</v>
      </c>
      <c r="C36" s="1183">
        <f>1-'F-B5'!C36-'C2-Shares'!R8</f>
        <v>0.43193498927002233</v>
      </c>
      <c r="D36" s="1183">
        <f>1-'F-B5'!D36-'C2-Shares'!Z8</f>
        <v>0.42899009162609242</v>
      </c>
      <c r="E36" s="1183">
        <f>1-'F-B5'!E36-'C2-Shares'!II8</f>
        <v>0.43121210702526708</v>
      </c>
      <c r="G36" s="455">
        <f>B36*$L36*$M36/($N36*0.4)*1000</f>
        <v>19850.381307672717</v>
      </c>
      <c r="H36" s="455">
        <f>C36*'C1-Incomes'!R10*$M36/($N36*0.4)*1000</f>
        <v>20205.014302631829</v>
      </c>
      <c r="I36" s="455">
        <f>D36*$L36*$M36/($N36*0.4)*1000</f>
        <v>19041.112748523952</v>
      </c>
      <c r="J36" s="455">
        <f>E36*'C1-Incomes'!II10*$M36/($N36*0.4)*1000</f>
        <v>15230.092362494048</v>
      </c>
      <c r="L36" s="1013">
        <f>'T-T1'!BN11</f>
        <v>535189</v>
      </c>
      <c r="M36" s="1182">
        <f>'C0-Ref Stats'!AA8</f>
        <v>6.1029600312169014</v>
      </c>
      <c r="N36" s="1013">
        <f>'C0-Ref Stats'!R8</f>
        <v>183968.15368332862</v>
      </c>
      <c r="P36" s="455">
        <v>19793.556999</v>
      </c>
      <c r="Q36" s="455">
        <v>1114.3249847</v>
      </c>
      <c r="R36" s="455">
        <v>7804.4434234999999</v>
      </c>
      <c r="S36" s="455">
        <v>7004.6978386000001</v>
      </c>
      <c r="T36" s="455">
        <v>9734.8704773000009</v>
      </c>
      <c r="U36" s="455">
        <v>16417.150148000001</v>
      </c>
      <c r="V36" s="455">
        <v>673.98896935000005</v>
      </c>
      <c r="W36" s="455"/>
      <c r="X36" s="1013">
        <f>C36*'C1-Incomes'!R10</f>
        <v>243624.67769000004</v>
      </c>
      <c r="Y36" s="452"/>
      <c r="Z36" s="1341">
        <f>SUM(AA36:AF36)</f>
        <v>0.25671879151763444</v>
      </c>
      <c r="AA36" s="1341">
        <f>P36/$X36</f>
        <v>8.1246108508704895E-2</v>
      </c>
      <c r="AB36" s="1341">
        <f t="shared" ref="AB36:AE36" si="1">Q36/$X36</f>
        <v>4.5739413398749431E-3</v>
      </c>
      <c r="AC36" s="1341">
        <f t="shared" si="1"/>
        <v>3.2034699840345217E-2</v>
      </c>
      <c r="AD36" s="1341">
        <f t="shared" si="1"/>
        <v>2.8752004538362571E-2</v>
      </c>
      <c r="AE36" s="1341">
        <f t="shared" si="1"/>
        <v>3.9958474525668232E-2</v>
      </c>
      <c r="AF36" s="1341">
        <f>(U36+V36)/$X36</f>
        <v>7.0153562764678559E-2</v>
      </c>
      <c r="AG36" s="1341"/>
    </row>
    <row r="37" spans="1:35" s="173" customFormat="1" ht="10.5" customHeight="1" x14ac:dyDescent="0.25">
      <c r="A37" s="239">
        <f t="shared" si="0"/>
        <v>1963</v>
      </c>
      <c r="B37" s="1183"/>
      <c r="C37" s="1183"/>
      <c r="D37" s="1183"/>
      <c r="E37" s="1183"/>
      <c r="G37" s="455"/>
      <c r="H37" s="455"/>
      <c r="I37" s="455"/>
      <c r="J37" s="455"/>
      <c r="L37" s="1013">
        <f>'T-T1'!BN12</f>
        <v>566574</v>
      </c>
      <c r="M37" s="1182">
        <f>'C0-Ref Stats'!AA9</f>
        <v>6.0323433798005395</v>
      </c>
      <c r="N37" s="1013"/>
      <c r="P37" s="455"/>
      <c r="Q37" s="455"/>
      <c r="R37" s="455"/>
      <c r="S37" s="455"/>
      <c r="T37" s="455"/>
      <c r="U37" s="455"/>
      <c r="V37" s="455"/>
      <c r="W37" s="455"/>
    </row>
    <row r="38" spans="1:35" s="173" customFormat="1" ht="10.5" customHeight="1" x14ac:dyDescent="0.25">
      <c r="A38" s="239">
        <f t="shared" si="0"/>
        <v>1964</v>
      </c>
      <c r="B38" s="1183">
        <f>1-'F-B5'!B38-'C2-Shares'!J10</f>
        <v>0.44872154717266605</v>
      </c>
      <c r="C38" s="1183">
        <f>1-'F-B5'!C38-'C2-Shares'!R10</f>
        <v>0.43337106180854762</v>
      </c>
      <c r="D38" s="1183">
        <f>1-'F-B5'!D38-'C2-Shares'!Z10</f>
        <v>0.43207443708418319</v>
      </c>
      <c r="E38" s="1183">
        <f>1-'F-B5'!E38-'C2-Shares'!II10</f>
        <v>0.40905714382926828</v>
      </c>
      <c r="G38" s="455">
        <f>B38*$L38*$M38/($N38*0.4)*1000</f>
        <v>21751.71729741773</v>
      </c>
      <c r="H38" s="455">
        <f>C38*'C1-Incomes'!R12*$M38/($N38*0.4)*1000</f>
        <v>22089.071878225175</v>
      </c>
      <c r="I38" s="455">
        <f>D38*$L38*$M38/($N38*0.4)*1000</f>
        <v>20944.750850753349</v>
      </c>
      <c r="J38" s="455">
        <f>E38*'C1-Incomes'!II12*$M38/($N38*0.4)*1000</f>
        <v>15899.204687320716</v>
      </c>
      <c r="L38" s="1013">
        <f>'T-T1'!BN13</f>
        <v>608340</v>
      </c>
      <c r="M38" s="1182">
        <f>'C0-Ref Stats'!AA10</f>
        <v>5.9455305745628317</v>
      </c>
      <c r="N38" s="1013">
        <f>'C0-Ref Stats'!R10</f>
        <v>186535.01789682038</v>
      </c>
      <c r="P38" s="455">
        <v>18785.965219000002</v>
      </c>
      <c r="Q38" s="455">
        <v>1536.5011473</v>
      </c>
      <c r="R38" s="455">
        <v>8418.2041797000002</v>
      </c>
      <c r="S38" s="455">
        <v>7988.4481618</v>
      </c>
      <c r="T38" s="455">
        <v>11628.413269999999</v>
      </c>
      <c r="U38" s="455">
        <v>18663.000704999999</v>
      </c>
      <c r="V38" s="455">
        <v>834.65406900000005</v>
      </c>
      <c r="W38" s="455"/>
      <c r="X38" s="1013">
        <f>C38*'C1-Incomes'!R12</f>
        <v>277208.92972999992</v>
      </c>
      <c r="Z38" s="1341">
        <f>SUM(AA38:AF38)</f>
        <v>0.24477994564565653</v>
      </c>
      <c r="AA38" s="1341">
        <f>P38/$X38</f>
        <v>6.7768254209189568E-2</v>
      </c>
      <c r="AB38" s="1341">
        <f t="shared" ref="AB38" si="2">Q38/$X38</f>
        <v>5.542754877328606E-3</v>
      </c>
      <c r="AC38" s="1341">
        <f t="shared" ref="AC38" si="3">R38/$X38</f>
        <v>3.0367723680111199E-2</v>
      </c>
      <c r="AD38" s="1341">
        <f t="shared" ref="AD38" si="4">S38/$X38</f>
        <v>2.8817427236491652E-2</v>
      </c>
      <c r="AE38" s="1341">
        <f t="shared" ref="AE38" si="5">T38/$X38</f>
        <v>4.1948191500634606E-2</v>
      </c>
      <c r="AF38" s="1341">
        <f>(U38+V38)/$X38</f>
        <v>7.0335594141900895E-2</v>
      </c>
      <c r="AG38" s="1341"/>
    </row>
    <row r="39" spans="1:35" s="173" customFormat="1" ht="10.5" customHeight="1" x14ac:dyDescent="0.25">
      <c r="A39" s="239">
        <f t="shared" si="0"/>
        <v>1965</v>
      </c>
      <c r="B39" s="1183"/>
      <c r="C39" s="1183"/>
      <c r="D39" s="1183"/>
      <c r="E39" s="1183"/>
      <c r="G39" s="455"/>
      <c r="H39" s="455"/>
      <c r="I39" s="455"/>
      <c r="J39" s="455"/>
      <c r="L39" s="1013">
        <f>'T-T1'!BN14</f>
        <v>660255</v>
      </c>
      <c r="M39" s="1182">
        <f>'C0-Ref Stats'!AA11</f>
        <v>5.8605535035597658</v>
      </c>
      <c r="N39" s="1013"/>
      <c r="P39" s="455"/>
      <c r="Q39" s="455"/>
      <c r="R39" s="455"/>
      <c r="S39" s="455"/>
      <c r="T39" s="455"/>
      <c r="U39" s="455"/>
      <c r="V39" s="455"/>
      <c r="W39" s="455"/>
    </row>
    <row r="40" spans="1:35" s="173" customFormat="1" ht="10.5" customHeight="1" x14ac:dyDescent="0.25">
      <c r="A40" s="239">
        <f t="shared" si="0"/>
        <v>1966</v>
      </c>
      <c r="B40" s="1183">
        <f>1-'F-B5'!B40-'C2-Shares'!J12</f>
        <v>0.44055954456502239</v>
      </c>
      <c r="C40" s="1183">
        <f>1-'F-B5'!C40-'C2-Shares'!R12</f>
        <v>0.42535501459275438</v>
      </c>
      <c r="D40" s="1183">
        <f>1-'F-B5'!D40-'C2-Shares'!Z12</f>
        <v>0.42164342898052481</v>
      </c>
      <c r="E40" s="1183">
        <f>1-'F-B5'!E40-'C2-Shares'!II12</f>
        <v>0.42450244618952604</v>
      </c>
      <c r="G40" s="455">
        <f t="shared" ref="G40:G89" si="6">B40*$L40*$M40/($N40*0.4)*1000</f>
        <v>23106.426786752785</v>
      </c>
      <c r="H40" s="455">
        <f>C40*'C1-Incomes'!R14*$M40/($N40*0.4)*1000</f>
        <v>23461.601417886908</v>
      </c>
      <c r="I40" s="455">
        <f t="shared" ref="I40:I89" si="7">D40*$L40*$M40/($N40*0.4)*1000</f>
        <v>22114.31608291026</v>
      </c>
      <c r="J40" s="455">
        <f>E40*'C1-Incomes'!II14*$M40/($N40*0.4)*1000</f>
        <v>17666.625464961056</v>
      </c>
      <c r="L40" s="1013">
        <f>'T-T1'!BN15</f>
        <v>719692</v>
      </c>
      <c r="M40" s="1182">
        <f>'C0-Ref Stats'!AA12</f>
        <v>5.7155311929000252</v>
      </c>
      <c r="N40" s="1013">
        <f>'C0-Ref Stats'!R12</f>
        <v>196071.7869549928</v>
      </c>
      <c r="P40" s="455">
        <v>23872.377354</v>
      </c>
      <c r="Q40" s="455">
        <v>2009.5301026</v>
      </c>
      <c r="R40" s="455">
        <v>10749.975879</v>
      </c>
      <c r="S40" s="455">
        <v>9349.6633081</v>
      </c>
      <c r="T40" s="455">
        <v>16070.300880000001</v>
      </c>
      <c r="U40" s="455">
        <v>19656.195127999999</v>
      </c>
      <c r="V40" s="455">
        <v>972.69055174000005</v>
      </c>
      <c r="W40" s="455"/>
      <c r="X40" s="1013">
        <f>C40*'C1-Incomes'!R14</f>
        <v>321940.89820000005</v>
      </c>
      <c r="Z40" s="1341">
        <f t="shared" ref="Z40:Z89" si="8">SUM(AA40:AF40)</f>
        <v>0.25681960156573852</v>
      </c>
      <c r="AA40" s="1341">
        <f>P40/$X40</f>
        <v>7.4151428064817379E-2</v>
      </c>
      <c r="AB40" s="1341">
        <f t="shared" ref="AB40" si="9">Q40/$X40</f>
        <v>6.2419223958045094E-3</v>
      </c>
      <c r="AC40" s="1341">
        <f t="shared" ref="AC40" si="10">R40/$X40</f>
        <v>3.3391147067999317E-2</v>
      </c>
      <c r="AD40" s="1341">
        <f t="shared" ref="AD40" si="11">S40/$X40</f>
        <v>2.9041551913331895E-2</v>
      </c>
      <c r="AE40" s="1341">
        <f t="shared" ref="AE40" si="12">T40/$X40</f>
        <v>4.9916928758820235E-2</v>
      </c>
      <c r="AF40" s="1341">
        <f t="shared" ref="AF40:AF89" si="13">(U40+V40)/$X40</f>
        <v>6.4076623364965182E-2</v>
      </c>
      <c r="AG40" s="1341"/>
    </row>
    <row r="41" spans="1:35" s="173" customFormat="1" ht="10.5" customHeight="1" x14ac:dyDescent="0.25">
      <c r="A41" s="239">
        <f t="shared" si="0"/>
        <v>1967</v>
      </c>
      <c r="B41" s="1183">
        <f>1-'F-B5'!B41-'C2-Shares'!J13</f>
        <v>0.44125417854354032</v>
      </c>
      <c r="C41" s="1183">
        <f>1-'F-B5'!C41-'C2-Shares'!R13</f>
        <v>0.42389948811500083</v>
      </c>
      <c r="D41" s="1183">
        <f>1-'F-B5'!D41-'C2-Shares'!Z13</f>
        <v>0.42261758970249519</v>
      </c>
      <c r="E41" s="1183">
        <f>1-'F-B5'!E41-'C2-Shares'!II13</f>
        <v>0.42483748529521032</v>
      </c>
      <c r="G41" s="455">
        <f t="shared" si="6"/>
        <v>23330.510149854297</v>
      </c>
      <c r="H41" s="455">
        <f>C41*'C1-Incomes'!R15*$M41/($N41*0.4)*1000</f>
        <v>23742.960419932682</v>
      </c>
      <c r="I41" s="455">
        <f t="shared" si="7"/>
        <v>22345.134495056373</v>
      </c>
      <c r="J41" s="455">
        <f>E41*'C1-Incomes'!II15*$M41/($N41*0.4)*1000</f>
        <v>17922.882334686925</v>
      </c>
      <c r="L41" s="1013">
        <f>'T-T1'!BN16</f>
        <v>760197</v>
      </c>
      <c r="M41" s="1182">
        <f>'C0-Ref Stats'!AA13</f>
        <v>5.57524061720222</v>
      </c>
      <c r="N41" s="1013">
        <f>'C0-Ref Stats'!R13</f>
        <v>200398.45609555169</v>
      </c>
      <c r="P41" s="455">
        <v>26064.169333000002</v>
      </c>
      <c r="Q41" s="455">
        <v>2207.1390584999999</v>
      </c>
      <c r="R41" s="455">
        <v>10061.985435000001</v>
      </c>
      <c r="S41" s="455">
        <v>8995.4494789</v>
      </c>
      <c r="T41" s="455">
        <v>17354.044209</v>
      </c>
      <c r="U41" s="455">
        <v>21163.722567000001</v>
      </c>
      <c r="V41" s="455">
        <v>985.65898316000005</v>
      </c>
      <c r="W41" s="455"/>
      <c r="X41" s="1013">
        <f>C41*'C1-Incomes'!R15</f>
        <v>341370.20717000001</v>
      </c>
      <c r="Z41" s="1341">
        <f t="shared" si="8"/>
        <v>0.25436364170268139</v>
      </c>
      <c r="AA41" s="1341">
        <f t="shared" ref="AA41:AA89" si="14">P41/$X41</f>
        <v>7.6351622917169876E-2</v>
      </c>
      <c r="AB41" s="1341">
        <f t="shared" ref="AB41:AB89" si="15">Q41/$X41</f>
        <v>6.4655292469646009E-3</v>
      </c>
      <c r="AC41" s="1341">
        <f t="shared" ref="AC41:AC89" si="16">R41/$X41</f>
        <v>2.9475288773484563E-2</v>
      </c>
      <c r="AD41" s="1341">
        <f t="shared" ref="AD41:AD89" si="17">S41/$X41</f>
        <v>2.6351009226825491E-2</v>
      </c>
      <c r="AE41" s="1341">
        <f t="shared" ref="AE41:AE89" si="18">T41/$X41</f>
        <v>5.0836434593595936E-2</v>
      </c>
      <c r="AF41" s="1341">
        <f t="shared" si="13"/>
        <v>6.4883756944640922E-2</v>
      </c>
      <c r="AG41" s="1341"/>
    </row>
    <row r="42" spans="1:35" s="173" customFormat="1" ht="10.5" customHeight="1" x14ac:dyDescent="0.25">
      <c r="A42" s="239">
        <f t="shared" si="0"/>
        <v>1968</v>
      </c>
      <c r="B42" s="1183">
        <f>1-'F-B5'!B42-'C2-Shares'!J14</f>
        <v>0.4436917989671374</v>
      </c>
      <c r="C42" s="1183">
        <f>1-'F-B5'!C42-'C2-Shares'!R14</f>
        <v>0.42539064067453863</v>
      </c>
      <c r="D42" s="1183">
        <f>1-'F-B5'!D42-'C2-Shares'!Z14</f>
        <v>0.4222810728974794</v>
      </c>
      <c r="E42" s="1183">
        <f>1-'F-B5'!E42-'C2-Shares'!II14</f>
        <v>0.42538523422010494</v>
      </c>
      <c r="G42" s="455">
        <f t="shared" si="6"/>
        <v>24510.493100456806</v>
      </c>
      <c r="H42" s="455">
        <f>C42*'C1-Incomes'!R16*$M42/($N42*0.4)*1000</f>
        <v>24981.485245495409</v>
      </c>
      <c r="I42" s="455">
        <f t="shared" si="7"/>
        <v>23327.718357205369</v>
      </c>
      <c r="J42" s="455">
        <f>E42*'C1-Incomes'!II16*$M42/($N42*0.4)*1000</f>
        <v>18481.941283482633</v>
      </c>
      <c r="L42" s="1013">
        <f>'T-T1'!BN17</f>
        <v>832068</v>
      </c>
      <c r="M42" s="1182">
        <f>'C0-Ref Stats'!AA14</f>
        <v>5.3661895892559546</v>
      </c>
      <c r="N42" s="1013">
        <f>'C0-Ref Stats'!R14</f>
        <v>202066.44184766174</v>
      </c>
      <c r="P42" s="455">
        <v>31207.168766999999</v>
      </c>
      <c r="Q42" s="455">
        <v>3076.2170900000001</v>
      </c>
      <c r="R42" s="455">
        <v>11844.366211</v>
      </c>
      <c r="S42" s="455">
        <v>9940.3401367999995</v>
      </c>
      <c r="T42" s="455">
        <v>19698.837867999999</v>
      </c>
      <c r="U42" s="455">
        <v>24242.963154000001</v>
      </c>
      <c r="V42" s="455">
        <v>1024.1493390000001</v>
      </c>
      <c r="W42" s="455"/>
      <c r="X42" s="1013">
        <f>C42*'C1-Incomes'!R16</f>
        <v>376275.92179999995</v>
      </c>
      <c r="Z42" s="1341">
        <f t="shared" si="8"/>
        <v>0.26851051771391876</v>
      </c>
      <c r="AA42" s="1341">
        <f t="shared" si="14"/>
        <v>8.293692728919122E-2</v>
      </c>
      <c r="AB42" s="1341">
        <f t="shared" si="15"/>
        <v>8.1754290183762707E-3</v>
      </c>
      <c r="AC42" s="1341">
        <f t="shared" si="16"/>
        <v>3.1477874412850625E-2</v>
      </c>
      <c r="AD42" s="1341">
        <f t="shared" si="17"/>
        <v>2.6417688618629014E-2</v>
      </c>
      <c r="AE42" s="1341">
        <f t="shared" si="18"/>
        <v>5.2352108457448476E-2</v>
      </c>
      <c r="AF42" s="1341">
        <f t="shared" si="13"/>
        <v>6.7150489917423159E-2</v>
      </c>
      <c r="AG42" s="1341"/>
    </row>
    <row r="43" spans="1:35" s="173" customFormat="1" ht="10.5" customHeight="1" x14ac:dyDescent="0.25">
      <c r="A43" s="239">
        <f t="shared" si="0"/>
        <v>1969</v>
      </c>
      <c r="B43" s="1183">
        <f>1-'F-B5'!B43-'C2-Shares'!J15</f>
        <v>0.45057097197548762</v>
      </c>
      <c r="C43" s="1183">
        <f>1-'F-B5'!C43-'C2-Shares'!R15</f>
        <v>0.4311964446902305</v>
      </c>
      <c r="D43" s="1183">
        <f>1-'F-B5'!D43-'C2-Shares'!Z15</f>
        <v>0.42615345172042174</v>
      </c>
      <c r="E43" s="1183">
        <f>1-'F-B5'!E43-'C2-Shares'!II15</f>
        <v>0.43028066707049573</v>
      </c>
      <c r="G43" s="455">
        <f t="shared" si="6"/>
        <v>25539.356861715933</v>
      </c>
      <c r="H43" s="455">
        <f>C43*'C1-Incomes'!R17*$M43/($N43*0.4)*1000</f>
        <v>26018.723153952669</v>
      </c>
      <c r="I43" s="455">
        <f t="shared" si="7"/>
        <v>24155.317937197226</v>
      </c>
      <c r="J43" s="455">
        <f>E43*'C1-Incomes'!II17*$M43/($N43*0.4)*1000</f>
        <v>18927.937587040949</v>
      </c>
      <c r="L43" s="1013">
        <f>'T-T1'!BN18</f>
        <v>899520</v>
      </c>
      <c r="M43" s="1182">
        <f>'C0-Ref Stats'!AA15</f>
        <v>5.1334458667416882</v>
      </c>
      <c r="N43" s="1013">
        <f>'C0-Ref Stats'!R15</f>
        <v>203663.4383979963</v>
      </c>
      <c r="P43" s="455">
        <v>38860.719042999997</v>
      </c>
      <c r="Q43" s="455">
        <v>3829.0013081000002</v>
      </c>
      <c r="R43" s="455">
        <v>12609.947566000001</v>
      </c>
      <c r="S43" s="455">
        <v>11263.673402</v>
      </c>
      <c r="T43" s="455">
        <v>22493.599076999999</v>
      </c>
      <c r="U43" s="455">
        <v>26660.182453000001</v>
      </c>
      <c r="V43" s="455">
        <v>1149.6583851</v>
      </c>
      <c r="W43" s="455"/>
      <c r="X43" s="1013">
        <f>C43*'C1-Incomes'!R17</f>
        <v>412904.91866999998</v>
      </c>
      <c r="Z43" s="1341">
        <f t="shared" si="8"/>
        <v>0.28303557538291702</v>
      </c>
      <c r="AA43" s="1341">
        <f t="shared" si="14"/>
        <v>9.4115418068095452E-2</v>
      </c>
      <c r="AB43" s="1341">
        <f t="shared" si="15"/>
        <v>9.2733245233152517E-3</v>
      </c>
      <c r="AC43" s="1341">
        <f t="shared" si="16"/>
        <v>3.0539591552015553E-2</v>
      </c>
      <c r="AD43" s="1341">
        <f t="shared" si="17"/>
        <v>2.7279097178791671E-2</v>
      </c>
      <c r="AE43" s="1341">
        <f t="shared" si="18"/>
        <v>5.4476461916350367E-2</v>
      </c>
      <c r="AF43" s="1341">
        <f t="shared" si="13"/>
        <v>6.7351682144348723E-2</v>
      </c>
      <c r="AG43" s="1341"/>
    </row>
    <row r="44" spans="1:35" s="173" customFormat="1" ht="10.5" customHeight="1" x14ac:dyDescent="0.25">
      <c r="A44" s="239">
        <f t="shared" si="0"/>
        <v>1970</v>
      </c>
      <c r="B44" s="1183">
        <f>1-'F-B5'!B44-'C2-Shares'!J16</f>
        <v>0.45669236446261174</v>
      </c>
      <c r="C44" s="1183">
        <f>1-'F-B5'!C44-'C2-Shares'!R16</f>
        <v>0.43328877754044776</v>
      </c>
      <c r="D44" s="1183">
        <f>1-'F-B5'!D44-'C2-Shares'!Z16</f>
        <v>0.42569948006029662</v>
      </c>
      <c r="E44" s="1183">
        <f>1-'F-B5'!E44-'C2-Shares'!II16</f>
        <v>0.42874704202164765</v>
      </c>
      <c r="G44" s="455">
        <f t="shared" si="6"/>
        <v>26111.087044545038</v>
      </c>
      <c r="H44" s="455">
        <f>C44*'C1-Incomes'!R18*$M44/($N44*0.4)*1000</f>
        <v>26634.390528834287</v>
      </c>
      <c r="I44" s="455">
        <f t="shared" si="7"/>
        <v>24339.089162901837</v>
      </c>
      <c r="J44" s="455">
        <f>E44*'C1-Incomes'!II18*$M44/($N44*0.4)*1000</f>
        <v>19549.647558303481</v>
      </c>
      <c r="L44" s="1013">
        <f>'T-T1'!BN19</f>
        <v>940149</v>
      </c>
      <c r="M44" s="1182">
        <f>'C0-Ref Stats'!AA16</f>
        <v>4.9039641657334823</v>
      </c>
      <c r="N44" s="1013">
        <f>'C0-Ref Stats'!R16</f>
        <v>201596.405</v>
      </c>
      <c r="P44" s="455">
        <v>38550.354083999999</v>
      </c>
      <c r="Q44" s="455">
        <v>4302.8581683000002</v>
      </c>
      <c r="R44" s="455">
        <v>11163.119505999999</v>
      </c>
      <c r="S44" s="455">
        <v>12563.361271</v>
      </c>
      <c r="T44" s="455">
        <v>23404.904061000001</v>
      </c>
      <c r="U44" s="455">
        <v>28446.592838</v>
      </c>
      <c r="V44" s="455">
        <v>1188.7960607</v>
      </c>
      <c r="W44" s="455"/>
      <c r="X44" s="1013">
        <f>C44*'C1-Incomes'!R18</f>
        <v>437963.83484999998</v>
      </c>
      <c r="Z44" s="1341">
        <f t="shared" si="8"/>
        <v>0.27312754266563843</v>
      </c>
      <c r="AA44" s="1341">
        <f t="shared" si="14"/>
        <v>8.8021774896557992E-2</v>
      </c>
      <c r="AB44" s="1341">
        <f t="shared" si="15"/>
        <v>9.824688309649365E-3</v>
      </c>
      <c r="AC44" s="1341">
        <f t="shared" si="16"/>
        <v>2.5488678785140561E-2</v>
      </c>
      <c r="AD44" s="1341">
        <f t="shared" si="17"/>
        <v>2.8685841778015475E-2</v>
      </c>
      <c r="AE44" s="1341">
        <f t="shared" si="18"/>
        <v>5.3440266521129633E-2</v>
      </c>
      <c r="AF44" s="1341">
        <f t="shared" si="13"/>
        <v>6.7666292375145418E-2</v>
      </c>
      <c r="AG44" s="1341"/>
    </row>
    <row r="45" spans="1:35" s="173" customFormat="1" ht="10.5" customHeight="1" x14ac:dyDescent="0.25">
      <c r="A45" s="239">
        <f t="shared" si="0"/>
        <v>1971</v>
      </c>
      <c r="B45" s="1183">
        <f>1-'F-B5'!B45-'C2-Shares'!J17</f>
        <v>0.45636938406368521</v>
      </c>
      <c r="C45" s="1183">
        <f>1-'F-B5'!C45-'C2-Shares'!R17</f>
        <v>0.43099943451875294</v>
      </c>
      <c r="D45" s="1183">
        <f>1-'F-B5'!D45-'C2-Shares'!Z17</f>
        <v>0.42440668118808816</v>
      </c>
      <c r="E45" s="1183">
        <f>1-'F-B5'!E45-'C2-Shares'!II17</f>
        <v>0.42668749415951357</v>
      </c>
      <c r="G45" s="455">
        <f t="shared" si="6"/>
        <v>26143.611296408249</v>
      </c>
      <c r="H45" s="455">
        <f>C45*'C1-Incomes'!R19*$M45/($N45*0.4)*1000</f>
        <v>26732.227312806979</v>
      </c>
      <c r="I45" s="455">
        <f t="shared" si="7"/>
        <v>24312.593464928148</v>
      </c>
      <c r="J45" s="455">
        <f>E45*'C1-Incomes'!II19*$M45/($N45*0.4)*1000</f>
        <v>19810.407290741707</v>
      </c>
      <c r="L45" s="1013">
        <f>'T-T1'!BN20</f>
        <v>1017016</v>
      </c>
      <c r="M45" s="1182">
        <f>'C0-Ref Stats'!AA17</f>
        <v>4.7040044685056284</v>
      </c>
      <c r="N45" s="1013">
        <f>'C0-Ref Stats'!R17</f>
        <v>208778.82238244571</v>
      </c>
      <c r="P45" s="455">
        <v>37020.051250999997</v>
      </c>
      <c r="Q45" s="455">
        <v>4952.5133177999996</v>
      </c>
      <c r="R45" s="455">
        <v>12071.648803</v>
      </c>
      <c r="S45" s="455">
        <v>13949.748181999999</v>
      </c>
      <c r="T45" s="455">
        <v>26746.773593999998</v>
      </c>
      <c r="U45" s="455">
        <v>31389.649970999999</v>
      </c>
      <c r="V45" s="455">
        <v>1458.2712913</v>
      </c>
      <c r="W45" s="455"/>
      <c r="X45" s="1013">
        <f>C45*'C1-Incomes'!R19</f>
        <v>474584.83301999996</v>
      </c>
      <c r="Z45" s="1341">
        <f t="shared" si="8"/>
        <v>0.26884267581455379</v>
      </c>
      <c r="AA45" s="1341">
        <f t="shared" si="14"/>
        <v>7.8005129273568452E-2</v>
      </c>
      <c r="AB45" s="1341">
        <f t="shared" si="15"/>
        <v>1.0435464796219669E-2</v>
      </c>
      <c r="AC45" s="1341">
        <f t="shared" si="16"/>
        <v>2.5436229653995866E-2</v>
      </c>
      <c r="AD45" s="1341">
        <f t="shared" si="17"/>
        <v>2.9393581950841925E-2</v>
      </c>
      <c r="AE45" s="1341">
        <f t="shared" si="18"/>
        <v>5.6358256170552408E-2</v>
      </c>
      <c r="AF45" s="1341">
        <f t="shared" si="13"/>
        <v>6.921401396937546E-2</v>
      </c>
      <c r="AG45" s="1341"/>
    </row>
    <row r="46" spans="1:35" s="173" customFormat="1" ht="10.5" customHeight="1" x14ac:dyDescent="0.25">
      <c r="A46" s="239">
        <f t="shared" si="0"/>
        <v>1972</v>
      </c>
      <c r="B46" s="1183">
        <f>1-'F-B5'!B46-'C2-Shares'!J18</f>
        <v>0.45341233666908776</v>
      </c>
      <c r="C46" s="1183">
        <f>1-'F-B5'!C46-'C2-Shares'!R18</f>
        <v>0.42876404018254999</v>
      </c>
      <c r="D46" s="1183">
        <f>1-'F-B5'!D46-'C2-Shares'!Z18</f>
        <v>0.42085630092198861</v>
      </c>
      <c r="E46" s="1183">
        <f>1-'F-B5'!E46-'C2-Shares'!II18</f>
        <v>0.42348856043221828</v>
      </c>
      <c r="G46" s="455">
        <f t="shared" si="6"/>
        <v>27867.546847806421</v>
      </c>
      <c r="H46" s="455">
        <f>C46*'C1-Incomes'!R20*$M46/($N46*0.4)*1000</f>
        <v>28545.020664034291</v>
      </c>
      <c r="I46" s="455">
        <f t="shared" si="7"/>
        <v>25866.593680042737</v>
      </c>
      <c r="J46" s="455">
        <f>E46*'C1-Incomes'!II20*$M46/($N46*0.4)*1000</f>
        <v>20822.966675733642</v>
      </c>
      <c r="L46" s="1013">
        <f>'T-T1'!BN21</f>
        <v>1122976</v>
      </c>
      <c r="M46" s="1182">
        <f>'C0-Ref Stats'!AA18</f>
        <v>4.5484420440382216</v>
      </c>
      <c r="N46" s="1013">
        <f>'C0-Ref Stats'!R18</f>
        <v>207762.77687975508</v>
      </c>
      <c r="P46" s="455">
        <v>43427.726215000002</v>
      </c>
      <c r="Q46" s="455">
        <v>7294.3924064000003</v>
      </c>
      <c r="R46" s="455">
        <v>13484.102983999999</v>
      </c>
      <c r="S46" s="455">
        <v>17338.677347000001</v>
      </c>
      <c r="T46" s="455">
        <v>29637.431601</v>
      </c>
      <c r="U46" s="455">
        <v>32489.307757999999</v>
      </c>
      <c r="V46" s="455">
        <v>1759.4192210000001</v>
      </c>
      <c r="W46" s="455"/>
      <c r="X46" s="1013">
        <f>C46*'C1-Incomes'!R20</f>
        <v>521549.37465000001</v>
      </c>
      <c r="Z46" s="1341">
        <f t="shared" si="8"/>
        <v>0.27884427553957952</v>
      </c>
      <c r="AA46" s="1341">
        <f t="shared" si="14"/>
        <v>8.326675924814092E-2</v>
      </c>
      <c r="AB46" s="1341">
        <f t="shared" si="15"/>
        <v>1.398600546936731E-2</v>
      </c>
      <c r="AC46" s="1341">
        <f t="shared" si="16"/>
        <v>2.5853933758522626E-2</v>
      </c>
      <c r="AD46" s="1341">
        <f t="shared" si="17"/>
        <v>3.3244555913110999E-2</v>
      </c>
      <c r="AE46" s="1341">
        <f t="shared" si="18"/>
        <v>5.6825744678323138E-2</v>
      </c>
      <c r="AF46" s="1341">
        <f t="shared" si="13"/>
        <v>6.5667276472114539E-2</v>
      </c>
      <c r="AG46" s="1341"/>
    </row>
    <row r="47" spans="1:35" s="173" customFormat="1" ht="10.5" customHeight="1" x14ac:dyDescent="0.25">
      <c r="A47" s="239">
        <f t="shared" si="0"/>
        <v>1973</v>
      </c>
      <c r="B47" s="1183">
        <f>1-'F-B5'!B47-'C2-Shares'!J19</f>
        <v>0.4513738235541962</v>
      </c>
      <c r="C47" s="1183">
        <f>1-'F-B5'!C47-'C2-Shares'!R19</f>
        <v>0.42553149693598508</v>
      </c>
      <c r="D47" s="1183">
        <f>1-'F-B5'!D47-'C2-Shares'!Z19</f>
        <v>0.4167520003116002</v>
      </c>
      <c r="E47" s="1183">
        <f>1-'F-B5'!E47-'C2-Shares'!II19</f>
        <v>0.41765035843237608</v>
      </c>
      <c r="G47" s="455">
        <f t="shared" si="6"/>
        <v>28936.869476584765</v>
      </c>
      <c r="H47" s="455">
        <f>C47*'C1-Incomes'!R21*$M47/($N47*0.4)*1000</f>
        <v>29604.068559655978</v>
      </c>
      <c r="I47" s="455">
        <f t="shared" si="7"/>
        <v>26717.31856793067</v>
      </c>
      <c r="J47" s="455">
        <f>E47*'C1-Incomes'!II21*$M47/($N47*0.4)*1000</f>
        <v>21447.340124450642</v>
      </c>
      <c r="L47" s="1013">
        <f>'T-T1'!BN22</f>
        <v>1256980</v>
      </c>
      <c r="M47" s="1182">
        <f>'C0-Ref Stats'!AA19</f>
        <v>4.3157127089246297</v>
      </c>
      <c r="N47" s="1013">
        <f>'C0-Ref Stats'!R19</f>
        <v>211546.4428261568</v>
      </c>
      <c r="P47" s="455">
        <v>46485.093989000001</v>
      </c>
      <c r="Q47" s="455">
        <v>7951.4906203</v>
      </c>
      <c r="R47" s="455">
        <v>16648.310001999998</v>
      </c>
      <c r="S47" s="455">
        <v>19044.508795999998</v>
      </c>
      <c r="T47" s="455">
        <v>38564.462637999997</v>
      </c>
      <c r="U47" s="455">
        <v>36507.972563000003</v>
      </c>
      <c r="V47" s="455">
        <v>1674.4177975</v>
      </c>
      <c r="W47" s="455"/>
      <c r="X47" s="1013">
        <f>C47*'C1-Incomes'!R21</f>
        <v>580449.70269000006</v>
      </c>
      <c r="Z47" s="1341">
        <f t="shared" si="8"/>
        <v>0.28749477453849842</v>
      </c>
      <c r="AA47" s="1341">
        <f t="shared" si="14"/>
        <v>8.0084620206664542E-2</v>
      </c>
      <c r="AB47" s="1341">
        <f t="shared" si="15"/>
        <v>1.3698845194424436E-2</v>
      </c>
      <c r="AC47" s="1341">
        <f t="shared" si="16"/>
        <v>2.8681744386888485E-2</v>
      </c>
      <c r="AD47" s="1341">
        <f t="shared" si="17"/>
        <v>3.2809920838517637E-2</v>
      </c>
      <c r="AE47" s="1341">
        <f t="shared" si="18"/>
        <v>6.6438939427962918E-2</v>
      </c>
      <c r="AF47" s="1341">
        <f t="shared" si="13"/>
        <v>6.57807044840404E-2</v>
      </c>
      <c r="AG47" s="1341"/>
    </row>
    <row r="48" spans="1:35" s="173" customFormat="1" ht="10.5" customHeight="1" x14ac:dyDescent="0.25">
      <c r="A48" s="239">
        <f t="shared" si="0"/>
        <v>1974</v>
      </c>
      <c r="B48" s="1183">
        <f>1-'F-B5'!B48-'C2-Shares'!J20</f>
        <v>0.45666687413854468</v>
      </c>
      <c r="C48" s="1183">
        <f>1-'F-B5'!C48-'C2-Shares'!R20</f>
        <v>0.42845288853248781</v>
      </c>
      <c r="D48" s="1183">
        <f>1-'F-B5'!D48-'C2-Shares'!Z20</f>
        <v>0.41749222326534002</v>
      </c>
      <c r="E48" s="1183">
        <f>1-'F-B5'!E48-'C2-Shares'!II20</f>
        <v>0.41823394944800812</v>
      </c>
      <c r="G48" s="455">
        <f t="shared" si="6"/>
        <v>28083.645110318055</v>
      </c>
      <c r="H48" s="455">
        <f>C48*'C1-Incomes'!R22*$M48/($N48*0.4)*1000</f>
        <v>28821.046085847262</v>
      </c>
      <c r="I48" s="455">
        <f t="shared" si="7"/>
        <v>25674.521403854691</v>
      </c>
      <c r="J48" s="455">
        <f>E48*'C1-Incomes'!II22*$M48/($N48*0.4)*1000</f>
        <v>20633.218414921561</v>
      </c>
      <c r="L48" s="1013">
        <f>'T-T1'!BN23</f>
        <v>1350769</v>
      </c>
      <c r="M48" s="1182">
        <f>'C0-Ref Stats'!AA20</f>
        <v>3.908779320932557</v>
      </c>
      <c r="N48" s="1013">
        <f>'C0-Ref Stats'!R20</f>
        <v>214638.82353930624</v>
      </c>
      <c r="P48" s="455">
        <v>53782.269398999997</v>
      </c>
      <c r="Q48" s="455">
        <v>8276.3804665999996</v>
      </c>
      <c r="R48" s="455">
        <v>18475.163314000001</v>
      </c>
      <c r="S48" s="455">
        <v>20292.847554</v>
      </c>
      <c r="T48" s="455">
        <v>45245.935838999998</v>
      </c>
      <c r="U48" s="455">
        <v>40454.842567</v>
      </c>
      <c r="V48" s="455">
        <v>1605.9264174</v>
      </c>
      <c r="W48" s="455"/>
      <c r="X48" s="1013">
        <f>C48*'C1-Incomes'!R22</f>
        <v>633048.31683999998</v>
      </c>
      <c r="Z48" s="1341">
        <f t="shared" si="8"/>
        <v>0.29718642408862112</v>
      </c>
      <c r="AA48" s="1341">
        <f t="shared" si="14"/>
        <v>8.4957605870379746E-2</v>
      </c>
      <c r="AB48" s="1341">
        <f t="shared" si="15"/>
        <v>1.3073852731989518E-2</v>
      </c>
      <c r="AC48" s="1341">
        <f t="shared" si="16"/>
        <v>2.9184444255728925E-2</v>
      </c>
      <c r="AD48" s="1341">
        <f t="shared" si="17"/>
        <v>3.2055764171834804E-2</v>
      </c>
      <c r="AE48" s="1341">
        <f t="shared" si="18"/>
        <v>7.1473116088286978E-2</v>
      </c>
      <c r="AF48" s="1341">
        <f t="shared" si="13"/>
        <v>6.6441640970401103E-2</v>
      </c>
      <c r="AG48" s="1341"/>
    </row>
    <row r="49" spans="1:33" s="173" customFormat="1" ht="10.5" customHeight="1" x14ac:dyDescent="0.25">
      <c r="A49" s="239">
        <f t="shared" si="0"/>
        <v>1975</v>
      </c>
      <c r="B49" s="1183">
        <f>1-'F-B5'!B49-'C2-Shares'!J21</f>
        <v>0.46337570453411803</v>
      </c>
      <c r="C49" s="1183">
        <f>1-'F-B5'!C49-'C2-Shares'!R21</f>
        <v>0.43126400470705728</v>
      </c>
      <c r="D49" s="1183">
        <f>1-'F-B5'!D49-'C2-Shares'!Z21</f>
        <v>0.41639785262550827</v>
      </c>
      <c r="E49" s="1183">
        <f>1-'F-B5'!E49-'C2-Shares'!II21</f>
        <v>0.41908710211367473</v>
      </c>
      <c r="G49" s="455">
        <f t="shared" si="6"/>
        <v>28263.454878321303</v>
      </c>
      <c r="H49" s="455">
        <f>C49*'C1-Incomes'!R23*$M49/($N49*0.4)*1000</f>
        <v>29227.150773814035</v>
      </c>
      <c r="I49" s="455">
        <f t="shared" si="7"/>
        <v>25398.05562517231</v>
      </c>
      <c r="J49" s="455">
        <f>E49*'C1-Incomes'!II23*$M49/($N49*0.4)*1000</f>
        <v>21301.645628151975</v>
      </c>
      <c r="L49" s="1013">
        <f>'T-T1'!BN24</f>
        <v>1451148</v>
      </c>
      <c r="M49" s="1182">
        <f>'C0-Ref Stats'!AA21</f>
        <v>3.6075194411493343</v>
      </c>
      <c r="N49" s="1013">
        <f>'C0-Ref Stats'!R21</f>
        <v>214569.70674880844</v>
      </c>
      <c r="P49" s="455">
        <v>52349.352265000001</v>
      </c>
      <c r="Q49" s="455">
        <v>9826.0213124000002</v>
      </c>
      <c r="R49" s="455">
        <v>18326.328323999998</v>
      </c>
      <c r="S49" s="455">
        <v>22660.122042999999</v>
      </c>
      <c r="T49" s="455">
        <v>48199.986090999999</v>
      </c>
      <c r="U49" s="455">
        <v>45137.430263000002</v>
      </c>
      <c r="V49" s="455">
        <v>1669.6887022999999</v>
      </c>
      <c r="W49" s="455"/>
      <c r="X49" s="1013">
        <f>C49*'C1-Incomes'!R23</f>
        <v>695354.38662999985</v>
      </c>
      <c r="Z49" s="1341">
        <f t="shared" si="8"/>
        <v>0.28498983081291218</v>
      </c>
      <c r="AA49" s="1341">
        <f t="shared" si="14"/>
        <v>7.5284420824190831E-2</v>
      </c>
      <c r="AB49" s="1341">
        <f t="shared" si="15"/>
        <v>1.4130954663306749E-2</v>
      </c>
      <c r="AC49" s="1341">
        <f t="shared" si="16"/>
        <v>2.6355378892218728E-2</v>
      </c>
      <c r="AD49" s="1341">
        <f t="shared" si="17"/>
        <v>3.2587875303154615E-2</v>
      </c>
      <c r="AE49" s="1341">
        <f t="shared" si="18"/>
        <v>6.9317152545191829E-2</v>
      </c>
      <c r="AF49" s="1341">
        <f t="shared" si="13"/>
        <v>6.7314048584849462E-2</v>
      </c>
      <c r="AG49" s="1341"/>
    </row>
    <row r="50" spans="1:33" s="173" customFormat="1" ht="10.5" customHeight="1" x14ac:dyDescent="0.25">
      <c r="A50" s="239">
        <f t="shared" si="0"/>
        <v>1976</v>
      </c>
      <c r="B50" s="1183">
        <f>1-'F-B5'!B50-'C2-Shares'!J22</f>
        <v>0.4605603826832621</v>
      </c>
      <c r="C50" s="1183">
        <f>1-'F-B5'!C50-'C2-Shares'!R22</f>
        <v>0.42830618490698796</v>
      </c>
      <c r="D50" s="1183">
        <f>1-'F-B5'!D50-'C2-Shares'!Z22</f>
        <v>0.41622914639233294</v>
      </c>
      <c r="E50" s="1183">
        <f>1-'F-B5'!E50-'C2-Shares'!II22</f>
        <v>0.41679909799262005</v>
      </c>
      <c r="G50" s="455">
        <f t="shared" si="6"/>
        <v>29255.45153653996</v>
      </c>
      <c r="H50" s="455">
        <f>C50*'C1-Incomes'!R24*$M50/($N50*0.4)*1000</f>
        <v>30164.984839761535</v>
      </c>
      <c r="I50" s="455">
        <f t="shared" si="7"/>
        <v>26439.468261321716</v>
      </c>
      <c r="J50" s="455">
        <f>E50*'C1-Incomes'!II24*$M50/($N50*0.4)*1000</f>
        <v>21759.673024660271</v>
      </c>
      <c r="L50" s="1013">
        <f>'T-T1'!BN25</f>
        <v>1614767</v>
      </c>
      <c r="M50" s="1182">
        <f>'C0-Ref Stats'!AA22</f>
        <v>3.4198919189079438</v>
      </c>
      <c r="N50" s="1013">
        <f>'C0-Ref Stats'!R22</f>
        <v>217341.18312025352</v>
      </c>
      <c r="P50" s="455">
        <v>60083.535388999997</v>
      </c>
      <c r="Q50" s="455">
        <v>10948.157031000001</v>
      </c>
      <c r="R50" s="455">
        <v>23289.076799999999</v>
      </c>
      <c r="S50" s="455">
        <v>25243.752344</v>
      </c>
      <c r="T50" s="455">
        <v>54304.099907000003</v>
      </c>
      <c r="U50" s="455">
        <v>47785.874544999999</v>
      </c>
      <c r="V50" s="455">
        <v>1875.9981739</v>
      </c>
      <c r="W50" s="455"/>
      <c r="X50" s="1013">
        <f>C50*'C1-Incomes'!R24</f>
        <v>766818.7942</v>
      </c>
      <c r="Z50" s="1341">
        <f t="shared" si="8"/>
        <v>0.29150367189826504</v>
      </c>
      <c r="AA50" s="1341">
        <f t="shared" si="14"/>
        <v>7.8354281146282317E-2</v>
      </c>
      <c r="AB50" s="1341">
        <f t="shared" si="15"/>
        <v>1.4277371803884773E-2</v>
      </c>
      <c r="AC50" s="1341">
        <f t="shared" si="16"/>
        <v>3.0371030256629041E-2</v>
      </c>
      <c r="AD50" s="1341">
        <f t="shared" si="17"/>
        <v>3.2920101248087016E-2</v>
      </c>
      <c r="AE50" s="1341">
        <f t="shared" si="18"/>
        <v>7.0817382565139017E-2</v>
      </c>
      <c r="AF50" s="1341">
        <f t="shared" si="13"/>
        <v>6.4763504878242853E-2</v>
      </c>
      <c r="AG50" s="1341"/>
    </row>
    <row r="51" spans="1:33" s="173" customFormat="1" ht="10.5" customHeight="1" x14ac:dyDescent="0.25">
      <c r="A51" s="239">
        <f t="shared" si="0"/>
        <v>1977</v>
      </c>
      <c r="B51" s="1183">
        <f>1-'F-B5'!B51-'C2-Shares'!J23</f>
        <v>0.46066907636012094</v>
      </c>
      <c r="C51" s="1183">
        <f>1-'F-B5'!C51-'C2-Shares'!R23</f>
        <v>0.42960942003733094</v>
      </c>
      <c r="D51" s="1183">
        <f>1-'F-B5'!D51-'C2-Shares'!Z23</f>
        <v>0.41762590391121901</v>
      </c>
      <c r="E51" s="1183">
        <f>1-'F-B5'!E51-'C2-Shares'!II23</f>
        <v>0.41758658065112125</v>
      </c>
      <c r="G51" s="455">
        <f t="shared" si="6"/>
        <v>30728.439280961426</v>
      </c>
      <c r="H51" s="455">
        <f>C51*'C1-Incomes'!R25*$M51/($N51*0.4)*1000</f>
        <v>31639.725702548953</v>
      </c>
      <c r="I51" s="455">
        <f t="shared" si="7"/>
        <v>27857.290382696596</v>
      </c>
      <c r="J51" s="455">
        <f>E51*'C1-Incomes'!II25*$M51/($N51*0.4)*1000</f>
        <v>22651.158356958331</v>
      </c>
      <c r="L51" s="1013">
        <f>'T-T1'!BN26</f>
        <v>1798653</v>
      </c>
      <c r="M51" s="1182">
        <f>'C0-Ref Stats'!AA23</f>
        <v>3.2114341028423921</v>
      </c>
      <c r="N51" s="1013">
        <f>'C0-Ref Stats'!R23</f>
        <v>216488.56781218035</v>
      </c>
      <c r="P51" s="455">
        <v>69908.427882999997</v>
      </c>
      <c r="Q51" s="455">
        <v>13323.345582</v>
      </c>
      <c r="R51" s="455">
        <v>27757.921159000001</v>
      </c>
      <c r="S51" s="455">
        <v>27707.605897000001</v>
      </c>
      <c r="T51" s="455">
        <v>60169.426097000003</v>
      </c>
      <c r="U51" s="455">
        <v>50691.191974000001</v>
      </c>
      <c r="V51" s="455">
        <v>2405.0217011</v>
      </c>
      <c r="W51" s="455"/>
      <c r="X51" s="1013">
        <f>C51*'C1-Incomes'!R25</f>
        <v>853156.40102999983</v>
      </c>
      <c r="Z51" s="1341">
        <f t="shared" si="8"/>
        <v>0.29533030519247094</v>
      </c>
      <c r="AA51" s="1341">
        <f t="shared" si="14"/>
        <v>8.1940928765934187E-2</v>
      </c>
      <c r="AB51" s="1341">
        <f t="shared" si="15"/>
        <v>1.5616533575690194E-2</v>
      </c>
      <c r="AC51" s="1341">
        <f t="shared" si="16"/>
        <v>3.2535559863922231E-2</v>
      </c>
      <c r="AD51" s="1341">
        <f t="shared" si="17"/>
        <v>3.2476584438151226E-2</v>
      </c>
      <c r="AE51" s="1341">
        <f t="shared" si="18"/>
        <v>7.0525669179014039E-2</v>
      </c>
      <c r="AF51" s="1341">
        <f t="shared" si="13"/>
        <v>6.2235029369759082E-2</v>
      </c>
      <c r="AG51" s="1341"/>
    </row>
    <row r="52" spans="1:33" s="173" customFormat="1" ht="10.5" customHeight="1" x14ac:dyDescent="0.25">
      <c r="A52" s="239">
        <f t="shared" si="0"/>
        <v>1978</v>
      </c>
      <c r="B52" s="1183">
        <f>1-'F-B5'!B52-'C2-Shares'!J24</f>
        <v>0.45873805276697305</v>
      </c>
      <c r="C52" s="1183">
        <f>1-'F-B5'!C52-'C2-Shares'!R24</f>
        <v>0.42893838790564964</v>
      </c>
      <c r="D52" s="1183">
        <f>1-'F-B5'!D52-'C2-Shares'!Z24</f>
        <v>0.41665148454592665</v>
      </c>
      <c r="E52" s="1183">
        <f>1-'F-B5'!E52-'C2-Shares'!II24</f>
        <v>0.415941885665851</v>
      </c>
      <c r="G52" s="455">
        <f t="shared" si="6"/>
        <v>31817.817392917339</v>
      </c>
      <c r="H52" s="455">
        <f>C52*'C1-Incomes'!R26*$M52/($N52*0.4)*1000</f>
        <v>32696.14960686168</v>
      </c>
      <c r="I52" s="455">
        <f t="shared" si="7"/>
        <v>28898.716319276857</v>
      </c>
      <c r="J52" s="455">
        <f>E52*'C1-Incomes'!II26*$M52/($N52*0.4)*1000</f>
        <v>23316.261192423033</v>
      </c>
      <c r="L52" s="1013">
        <f>'T-T1'!BN27</f>
        <v>2029939</v>
      </c>
      <c r="M52" s="1182">
        <f>'C0-Ref Stats'!AA24</f>
        <v>3.0012061734148414</v>
      </c>
      <c r="N52" s="1013">
        <f>'C0-Ref Stats'!R24</f>
        <v>219590.32881160971</v>
      </c>
      <c r="P52" s="455">
        <v>81590.640469000005</v>
      </c>
      <c r="Q52" s="455">
        <v>14659.560584000001</v>
      </c>
      <c r="R52" s="455">
        <v>31904.768278</v>
      </c>
      <c r="S52" s="455">
        <v>28186.588234999999</v>
      </c>
      <c r="T52" s="455">
        <v>70494.872226000007</v>
      </c>
      <c r="U52" s="455">
        <v>55761.173115999998</v>
      </c>
      <c r="V52" s="455">
        <v>1858.3864097999999</v>
      </c>
      <c r="W52" s="455"/>
      <c r="X52" s="1013">
        <f>C52*'C1-Incomes'!R26</f>
        <v>956916.36338000023</v>
      </c>
      <c r="Z52" s="1341">
        <f t="shared" si="8"/>
        <v>0.29726316761169225</v>
      </c>
      <c r="AA52" s="1341">
        <f t="shared" si="14"/>
        <v>8.5264129229441987E-2</v>
      </c>
      <c r="AB52" s="1341">
        <f t="shared" si="15"/>
        <v>1.5319583973065111E-2</v>
      </c>
      <c r="AC52" s="1341">
        <f t="shared" si="16"/>
        <v>3.3341229702987453E-2</v>
      </c>
      <c r="AD52" s="1341">
        <f t="shared" si="17"/>
        <v>2.9455644519903405E-2</v>
      </c>
      <c r="AE52" s="1341">
        <f t="shared" si="18"/>
        <v>7.3668791676839415E-2</v>
      </c>
      <c r="AF52" s="1341">
        <f t="shared" si="13"/>
        <v>6.0213788509454864E-2</v>
      </c>
      <c r="AG52" s="1341"/>
    </row>
    <row r="53" spans="1:33" s="173" customFormat="1" ht="10.5" customHeight="1" x14ac:dyDescent="0.25">
      <c r="A53" s="239">
        <f t="shared" si="0"/>
        <v>1979</v>
      </c>
      <c r="B53" s="1183">
        <f>1-'F-B5'!B53-'C2-Shares'!J25</f>
        <v>0.46128020929630681</v>
      </c>
      <c r="C53" s="1183">
        <f>1-'F-B5'!C53-'C2-Shares'!R25</f>
        <v>0.43138988765295005</v>
      </c>
      <c r="D53" s="1183">
        <f>1-'F-B5'!D53-'C2-Shares'!Z25</f>
        <v>0.4190117538465063</v>
      </c>
      <c r="E53" s="1183">
        <f>1-'F-B5'!E53-'C2-Shares'!II25</f>
        <v>0.41886605658111309</v>
      </c>
      <c r="G53" s="455">
        <f t="shared" si="6"/>
        <v>31895.118883382092</v>
      </c>
      <c r="H53" s="455">
        <f>C53*'C1-Incomes'!R27*$M53/($N53*0.4)*1000</f>
        <v>32808.535961758083</v>
      </c>
      <c r="I53" s="455">
        <f t="shared" si="7"/>
        <v>28972.475803495854</v>
      </c>
      <c r="J53" s="455">
        <f>E53*'C1-Incomes'!II27*$M53/($N53*0.4)*1000</f>
        <v>23324.657197606881</v>
      </c>
      <c r="L53" s="1013">
        <f>'T-T1'!BN28</f>
        <v>2248153</v>
      </c>
      <c r="M53" s="1182">
        <f>'C0-Ref Stats'!AA25</f>
        <v>2.7567356599687769</v>
      </c>
      <c r="N53" s="1013">
        <f>'C0-Ref Stats'!R25</f>
        <v>224079.22504009269</v>
      </c>
      <c r="P53" s="455">
        <v>96235.024602000005</v>
      </c>
      <c r="Q53" s="455">
        <v>16858.763112000001</v>
      </c>
      <c r="R53" s="455">
        <v>32615.365400999999</v>
      </c>
      <c r="S53" s="455">
        <v>28044.237655000001</v>
      </c>
      <c r="T53" s="455">
        <v>82341.217147000003</v>
      </c>
      <c r="U53" s="455">
        <v>61972.233948000001</v>
      </c>
      <c r="V53" s="455">
        <v>1937.1711003999999</v>
      </c>
      <c r="W53" s="455"/>
      <c r="X53" s="1013">
        <f>C53*'C1-Incomes'!R27</f>
        <v>1066727.0597999999</v>
      </c>
      <c r="Z53" s="1341">
        <f t="shared" si="8"/>
        <v>0.29998677733496082</v>
      </c>
      <c r="AA53" s="1341">
        <f t="shared" si="14"/>
        <v>9.021522770786658E-2</v>
      </c>
      <c r="AB53" s="1341">
        <f t="shared" si="15"/>
        <v>1.5804195606663282E-2</v>
      </c>
      <c r="AC53" s="1341">
        <f t="shared" si="16"/>
        <v>3.0575173941040774E-2</v>
      </c>
      <c r="AD53" s="1341">
        <f t="shared" si="17"/>
        <v>2.6289984300443263E-2</v>
      </c>
      <c r="AE53" s="1341">
        <f t="shared" si="18"/>
        <v>7.7190520658994163E-2</v>
      </c>
      <c r="AF53" s="1341">
        <f t="shared" si="13"/>
        <v>5.9911675119952747E-2</v>
      </c>
      <c r="AG53" s="1341"/>
    </row>
    <row r="54" spans="1:33" s="173" customFormat="1" ht="10.5" customHeight="1" x14ac:dyDescent="0.25">
      <c r="A54" s="239">
        <f t="shared" si="0"/>
        <v>1980</v>
      </c>
      <c r="B54" s="1183">
        <f>1-'F-B5'!B54-'C2-Shares'!J26</f>
        <v>0.46665666958179025</v>
      </c>
      <c r="C54" s="1183">
        <f>1-'F-B5'!C54-'C2-Shares'!R26</f>
        <v>0.43390280492997924</v>
      </c>
      <c r="D54" s="1183">
        <f>1-'F-B5'!D54-'C2-Shares'!Z26</f>
        <v>0.4206367807258426</v>
      </c>
      <c r="E54" s="1183">
        <f>1-'F-B5'!E54-'C2-Shares'!II26</f>
        <v>0.42098281475015142</v>
      </c>
      <c r="G54" s="455">
        <f t="shared" si="6"/>
        <v>30890.962874079127</v>
      </c>
      <c r="H54" s="455">
        <f>C54*'C1-Incomes'!R28*$M54/($N54*0.4)*1000</f>
        <v>31900.585162324973</v>
      </c>
      <c r="I54" s="455">
        <f t="shared" si="7"/>
        <v>27844.614732537852</v>
      </c>
      <c r="J54" s="455">
        <f>E54*'C1-Incomes'!II28*$M54/($N54*0.4)*1000</f>
        <v>22665.557344521756</v>
      </c>
      <c r="L54" s="1013">
        <f>'T-T1'!BN29</f>
        <v>2426752</v>
      </c>
      <c r="M54" s="1182">
        <f>'C0-Ref Stats'!AA26</f>
        <v>2.4894492700895898</v>
      </c>
      <c r="N54" s="1013">
        <f>'C0-Ref Stats'!R26</f>
        <v>228157.48309500003</v>
      </c>
      <c r="P54" s="455">
        <v>107553.90104</v>
      </c>
      <c r="Q54" s="455">
        <v>18782.615392</v>
      </c>
      <c r="R54" s="455">
        <v>30421.389221000001</v>
      </c>
      <c r="S54" s="455">
        <v>29944.769445000002</v>
      </c>
      <c r="T54" s="455">
        <v>90712.155471000005</v>
      </c>
      <c r="U54" s="455">
        <v>70395.202325000006</v>
      </c>
      <c r="V54" s="455">
        <v>2229.4930279999999</v>
      </c>
      <c r="W54" s="455"/>
      <c r="X54" s="1013">
        <f>C54*'C1-Incomes'!R28</f>
        <v>1169472.6713</v>
      </c>
      <c r="Z54" s="1341">
        <f t="shared" si="8"/>
        <v>0.29931398527927278</v>
      </c>
      <c r="AA54" s="1341">
        <f t="shared" si="14"/>
        <v>9.1967861823091399E-2</v>
      </c>
      <c r="AB54" s="1341">
        <f t="shared" si="15"/>
        <v>1.6060756145007661E-2</v>
      </c>
      <c r="AC54" s="1341">
        <f t="shared" si="16"/>
        <v>2.6012911603298276E-2</v>
      </c>
      <c r="AD54" s="1341">
        <f t="shared" si="17"/>
        <v>2.5605360586761751E-2</v>
      </c>
      <c r="AE54" s="1341">
        <f t="shared" si="18"/>
        <v>7.7566716775145567E-2</v>
      </c>
      <c r="AF54" s="1341">
        <f t="shared" si="13"/>
        <v>6.2100378345968106E-2</v>
      </c>
      <c r="AG54" s="1341"/>
    </row>
    <row r="55" spans="1:33" s="173" customFormat="1" ht="10.5" customHeight="1" x14ac:dyDescent="0.25">
      <c r="A55" s="239">
        <f t="shared" si="0"/>
        <v>1981</v>
      </c>
      <c r="B55" s="1183">
        <f>1-'F-B5'!B55-'C2-Shares'!J27</f>
        <v>0.46858799351739583</v>
      </c>
      <c r="C55" s="1183">
        <f>1-'F-B5'!C55-'C2-Shares'!R27</f>
        <v>0.43627649828765591</v>
      </c>
      <c r="D55" s="1183">
        <f>1-'F-B5'!D55-'C2-Shares'!Z27</f>
        <v>0.42128897495160739</v>
      </c>
      <c r="E55" s="1183">
        <f>1-'F-B5'!E55-'C2-Shares'!II27</f>
        <v>0.42107367055963668</v>
      </c>
      <c r="G55" s="455">
        <f t="shared" si="6"/>
        <v>31707.590064931279</v>
      </c>
      <c r="H55" s="455">
        <f>C55*'C1-Incomes'!R29*$M55/($N55*0.4)*1000</f>
        <v>32818.987267432254</v>
      </c>
      <c r="I55" s="455">
        <f t="shared" si="7"/>
        <v>28507.04307716063</v>
      </c>
      <c r="J55" s="455">
        <f>E55*'C1-Incomes'!II29*$M55/($N55*0.4)*1000</f>
        <v>23039.131517414356</v>
      </c>
      <c r="L55" s="1013">
        <f>'T-T1'!BN30</f>
        <v>2722132</v>
      </c>
      <c r="M55" s="1182">
        <f>'C0-Ref Stats'!AA27</f>
        <v>2.2852341988811888</v>
      </c>
      <c r="N55" s="1013">
        <f>'C0-Ref Stats'!R27</f>
        <v>229830.58696077392</v>
      </c>
      <c r="P55" s="455">
        <v>127665.39787</v>
      </c>
      <c r="Q55" s="455">
        <v>21388.504223</v>
      </c>
      <c r="R55" s="455">
        <v>30186.689414</v>
      </c>
      <c r="S55" s="455">
        <v>33634.519987</v>
      </c>
      <c r="T55" s="455">
        <v>107226.46709999999</v>
      </c>
      <c r="U55" s="455">
        <v>84882.141289000007</v>
      </c>
      <c r="V55" s="455">
        <v>2375.5415717999999</v>
      </c>
      <c r="W55" s="455"/>
      <c r="X55" s="1013">
        <f>C55*'C1-Incomes'!R29</f>
        <v>1320268.5503</v>
      </c>
      <c r="Z55" s="1341">
        <f t="shared" si="8"/>
        <v>0.30854272894877122</v>
      </c>
      <c r="AA55" s="1341">
        <f t="shared" si="14"/>
        <v>9.6696537867989846E-2</v>
      </c>
      <c r="AB55" s="1341">
        <f t="shared" si="15"/>
        <v>1.62001164218749E-2</v>
      </c>
      <c r="AC55" s="1341">
        <f t="shared" si="16"/>
        <v>2.2864052474127924E-2</v>
      </c>
      <c r="AD55" s="1341">
        <f t="shared" si="17"/>
        <v>2.5475514037926108E-2</v>
      </c>
      <c r="AE55" s="1341">
        <f t="shared" si="18"/>
        <v>8.1215648949325731E-2</v>
      </c>
      <c r="AF55" s="1341">
        <f t="shared" si="13"/>
        <v>6.6090859197526705E-2</v>
      </c>
      <c r="AG55" s="1341"/>
    </row>
    <row r="56" spans="1:33" s="173" customFormat="1" ht="10.5" customHeight="1" x14ac:dyDescent="0.25">
      <c r="A56" s="239">
        <f t="shared" si="0"/>
        <v>1982</v>
      </c>
      <c r="B56" s="1183">
        <f>1-'F-B5'!B56-'C2-Shares'!J28</f>
        <v>0.47019888297975215</v>
      </c>
      <c r="C56" s="1183">
        <f>1-'F-B5'!C56-'C2-Shares'!R28</f>
        <v>0.43679024350836282</v>
      </c>
      <c r="D56" s="1183">
        <f>1-'F-B5'!D56-'C2-Shares'!Z28</f>
        <v>0.42091875274832596</v>
      </c>
      <c r="E56" s="1183">
        <f>1-'F-B5'!E56-'C2-Shares'!II28</f>
        <v>0.42248002013903679</v>
      </c>
      <c r="G56" s="455">
        <f t="shared" si="6"/>
        <v>31194.570391760106</v>
      </c>
      <c r="H56" s="455">
        <f>C56*'C1-Incomes'!R30*$M56/($N56*0.4)*1000</f>
        <v>32440.551728461443</v>
      </c>
      <c r="I56" s="455">
        <f t="shared" si="7"/>
        <v>27925.161324521789</v>
      </c>
      <c r="J56" s="455">
        <f>E56*'C1-Incomes'!II30*$M56/($N56*0.4)*1000</f>
        <v>23164.042796610614</v>
      </c>
      <c r="L56" s="1013">
        <f>'T-T1'!BN31</f>
        <v>2840412</v>
      </c>
      <c r="M56" s="1182">
        <f>'C0-Ref Stats'!AA28</f>
        <v>2.1656677150713115</v>
      </c>
      <c r="N56" s="1013">
        <f>'C0-Ref Stats'!R28</f>
        <v>231801.23945745535</v>
      </c>
      <c r="P56" s="455">
        <v>127421.04833999999</v>
      </c>
      <c r="Q56" s="455">
        <v>22963.247572</v>
      </c>
      <c r="R56" s="455">
        <v>22450.473322999998</v>
      </c>
      <c r="S56" s="455">
        <v>37868.063893999999</v>
      </c>
      <c r="T56" s="455">
        <v>114716.03483999999</v>
      </c>
      <c r="U56" s="455">
        <v>82726.348264999993</v>
      </c>
      <c r="V56" s="455">
        <v>2598.8567355999999</v>
      </c>
      <c r="W56" s="455"/>
      <c r="X56" s="1013">
        <f>C56*'C1-Incomes'!R30</f>
        <v>1388903.7634000001</v>
      </c>
      <c r="Z56" s="1341">
        <f t="shared" si="8"/>
        <v>0.29573256534643499</v>
      </c>
      <c r="AA56" s="1341">
        <f t="shared" si="14"/>
        <v>9.1742172278428138E-2</v>
      </c>
      <c r="AB56" s="1341">
        <f t="shared" si="15"/>
        <v>1.6533361185361448E-2</v>
      </c>
      <c r="AC56" s="1341">
        <f t="shared" si="16"/>
        <v>1.6164167680013931E-2</v>
      </c>
      <c r="AD56" s="1341">
        <f t="shared" si="17"/>
        <v>2.7264714008190149E-2</v>
      </c>
      <c r="AE56" s="1341">
        <f t="shared" si="18"/>
        <v>8.2594660525059094E-2</v>
      </c>
      <c r="AF56" s="1341">
        <f t="shared" si="13"/>
        <v>6.1433489669382224E-2</v>
      </c>
      <c r="AG56" s="1341"/>
    </row>
    <row r="57" spans="1:33" s="173" customFormat="1" ht="10.5" customHeight="1" x14ac:dyDescent="0.25">
      <c r="A57" s="239">
        <f t="shared" si="0"/>
        <v>1983</v>
      </c>
      <c r="B57" s="1183">
        <f>1-'F-B5'!B57-'C2-Shares'!J29</f>
        <v>0.47196615722569402</v>
      </c>
      <c r="C57" s="1183">
        <f>1-'F-B5'!C57-'C2-Shares'!R29</f>
        <v>0.43901218445840107</v>
      </c>
      <c r="D57" s="1183">
        <f>1-'F-B5'!D57-'C2-Shares'!Z29</f>
        <v>0.42450094684121636</v>
      </c>
      <c r="E57" s="1183">
        <f>1-'F-B5'!E57-'C2-Shares'!II29</f>
        <v>0.42647021921440109</v>
      </c>
      <c r="G57" s="455">
        <f t="shared" si="6"/>
        <v>32075.901429255446</v>
      </c>
      <c r="H57" s="455">
        <f>C57*'C1-Incomes'!R31*$M57/($N57*0.4)*1000</f>
        <v>33406.898572747908</v>
      </c>
      <c r="I57" s="455">
        <f t="shared" si="7"/>
        <v>28850.056977693788</v>
      </c>
      <c r="J57" s="455">
        <f>E57*'C1-Incomes'!II31*$M57/($N57*0.4)*1000</f>
        <v>24154.16100627109</v>
      </c>
      <c r="L57" s="1013">
        <f>'T-T1'!BN32</f>
        <v>3060514</v>
      </c>
      <c r="M57" s="1182">
        <f>'C0-Ref Stats'!AA29</f>
        <v>2.0762957765176657</v>
      </c>
      <c r="N57" s="1013">
        <f>'C0-Ref Stats'!R29</f>
        <v>233752.13581434626</v>
      </c>
      <c r="P57" s="455">
        <v>120935.11199</v>
      </c>
      <c r="Q57" s="455">
        <v>26161.000128</v>
      </c>
      <c r="R57" s="455">
        <v>29783.946183</v>
      </c>
      <c r="S57" s="455">
        <v>41482.132669999999</v>
      </c>
      <c r="T57" s="455">
        <v>121709.35026000001</v>
      </c>
      <c r="U57" s="455">
        <v>89657.595530999999</v>
      </c>
      <c r="V57" s="455">
        <v>2125.2685786000002</v>
      </c>
      <c r="W57" s="455"/>
      <c r="X57" s="1013">
        <f>C57*'C1-Incomes'!R31</f>
        <v>1504397.2021000001</v>
      </c>
      <c r="Z57" s="1341">
        <f t="shared" si="8"/>
        <v>0.28706142549173252</v>
      </c>
      <c r="AA57" s="1341">
        <f t="shared" si="14"/>
        <v>8.0387753859941846E-2</v>
      </c>
      <c r="AB57" s="1341">
        <f t="shared" si="15"/>
        <v>1.7389689432738675E-2</v>
      </c>
      <c r="AC57" s="1341">
        <f t="shared" si="16"/>
        <v>1.9797927130829777E-2</v>
      </c>
      <c r="AD57" s="1341">
        <f t="shared" si="17"/>
        <v>2.7573923038473322E-2</v>
      </c>
      <c r="AE57" s="1341">
        <f t="shared" si="18"/>
        <v>8.0902404026080982E-2</v>
      </c>
      <c r="AF57" s="1341">
        <f t="shared" si="13"/>
        <v>6.1009728003667885E-2</v>
      </c>
      <c r="AG57" s="1341"/>
    </row>
    <row r="58" spans="1:33" s="173" customFormat="1" ht="10.5" customHeight="1" x14ac:dyDescent="0.25">
      <c r="A58" s="239">
        <f t="shared" si="0"/>
        <v>1984</v>
      </c>
      <c r="B58" s="1183">
        <f>1-'F-B5'!B58-'C2-Shares'!J30</f>
        <v>0.46912180634502626</v>
      </c>
      <c r="C58" s="1183">
        <f>1-'F-B5'!C58-'C2-Shares'!R30</f>
        <v>0.43978833262222472</v>
      </c>
      <c r="D58" s="1183">
        <f>1-'F-B5'!D58-'C2-Shares'!Z30</f>
        <v>0.42634435703185747</v>
      </c>
      <c r="E58" s="1183">
        <f>1-'F-B5'!E58-'C2-Shares'!II30</f>
        <v>0.4276357869558397</v>
      </c>
      <c r="G58" s="455">
        <f t="shared" si="6"/>
        <v>34057.973906392297</v>
      </c>
      <c r="H58" s="455">
        <f>C58*'C1-Incomes'!R32*$M58/($N58*0.4)*1000</f>
        <v>35411.804430083321</v>
      </c>
      <c r="I58" s="455">
        <f t="shared" si="7"/>
        <v>30952.35563671331</v>
      </c>
      <c r="J58" s="455">
        <f>E58*'C1-Incomes'!II32*$M58/($N58*0.4)*1000</f>
        <v>25687.619329478417</v>
      </c>
      <c r="L58" s="1013">
        <f>'T-T1'!BN33</f>
        <v>3443987</v>
      </c>
      <c r="M58" s="1182">
        <f>'C0-Ref Stats'!AA30</f>
        <v>2.0006030260945837</v>
      </c>
      <c r="N58" s="1013">
        <f>'C0-Ref Stats'!R30</f>
        <v>237262.57854994581</v>
      </c>
      <c r="P58" s="455">
        <v>124700.76237</v>
      </c>
      <c r="Q58" s="455">
        <v>29792.637253000001</v>
      </c>
      <c r="R58" s="455">
        <v>37441.267331000003</v>
      </c>
      <c r="S58" s="455">
        <v>45068.661725999998</v>
      </c>
      <c r="T58" s="455">
        <v>139374.29456000001</v>
      </c>
      <c r="U58" s="455">
        <v>102727.90732</v>
      </c>
      <c r="V58" s="455">
        <v>2147.8577151999998</v>
      </c>
      <c r="W58" s="455"/>
      <c r="X58" s="1013">
        <f>C58*'C1-Incomes'!R32</f>
        <v>1679872.7024999994</v>
      </c>
      <c r="Z58" s="1341">
        <f t="shared" si="8"/>
        <v>0.28648205757435968</v>
      </c>
      <c r="AA58" s="1341">
        <f t="shared" si="14"/>
        <v>7.4232269019205668E-2</v>
      </c>
      <c r="AB58" s="1341">
        <f t="shared" si="15"/>
        <v>1.7735056476995172E-2</v>
      </c>
      <c r="AC58" s="1341">
        <f t="shared" si="16"/>
        <v>2.2288157474837006E-2</v>
      </c>
      <c r="AD58" s="1341">
        <f t="shared" si="17"/>
        <v>2.6828617227322327E-2</v>
      </c>
      <c r="AE58" s="1341">
        <f t="shared" si="18"/>
        <v>8.2967176234593321E-2</v>
      </c>
      <c r="AF58" s="1341">
        <f t="shared" si="13"/>
        <v>6.2430781141406176E-2</v>
      </c>
      <c r="AG58" s="1341"/>
    </row>
    <row r="59" spans="1:33" s="173" customFormat="1" ht="10.5" customHeight="1" x14ac:dyDescent="0.25">
      <c r="A59" s="239">
        <f t="shared" si="0"/>
        <v>1985</v>
      </c>
      <c r="B59" s="1183">
        <f>1-'F-B5'!B59-'C2-Shares'!J31</f>
        <v>0.46903321263585862</v>
      </c>
      <c r="C59" s="1183">
        <f>1-'F-B5'!C59-'C2-Shares'!R31</f>
        <v>0.43852402320879935</v>
      </c>
      <c r="D59" s="1183">
        <f>1-'F-B5'!D59-'C2-Shares'!Z31</f>
        <v>0.42631959282904996</v>
      </c>
      <c r="E59" s="1183">
        <f>1-'F-B5'!E59-'C2-Shares'!II31</f>
        <v>0.42758381115503802</v>
      </c>
      <c r="G59" s="455">
        <f t="shared" si="6"/>
        <v>34952.187478255619</v>
      </c>
      <c r="H59" s="455">
        <f>C59*'C1-Incomes'!R33*$M59/($N59*0.4)*1000</f>
        <v>36204.446491589144</v>
      </c>
      <c r="I59" s="455">
        <f t="shared" si="7"/>
        <v>31769.183786528629</v>
      </c>
      <c r="J59" s="455">
        <f>E59*'C1-Incomes'!II33*$M59/($N59*0.4)*1000</f>
        <v>26216.835007479436</v>
      </c>
      <c r="L59" s="1013">
        <f>'T-T1'!BN34</f>
        <v>3684189</v>
      </c>
      <c r="M59" s="1182">
        <f>'C0-Ref Stats'!AA31</f>
        <v>1.932210868145638</v>
      </c>
      <c r="N59" s="1013">
        <f>'C0-Ref Stats'!R31</f>
        <v>238817.23517205942</v>
      </c>
      <c r="P59" s="455">
        <v>135928.57683000001</v>
      </c>
      <c r="Q59" s="455">
        <v>30578.291316999999</v>
      </c>
      <c r="R59" s="455">
        <v>37703.750977000003</v>
      </c>
      <c r="S59" s="455">
        <v>48763.442631999998</v>
      </c>
      <c r="T59" s="455">
        <v>150811.52215999999</v>
      </c>
      <c r="U59" s="455">
        <v>110497.5067</v>
      </c>
      <c r="V59" s="455">
        <v>2251.7664365000001</v>
      </c>
      <c r="W59" s="455"/>
      <c r="X59" s="1013">
        <f>C59*'C1-Incomes'!R33</f>
        <v>1789917.6440000001</v>
      </c>
      <c r="Z59" s="1341">
        <f t="shared" si="8"/>
        <v>0.28858023651757464</v>
      </c>
      <c r="AA59" s="1341">
        <f t="shared" si="14"/>
        <v>7.5941246395133027E-2</v>
      </c>
      <c r="AB59" s="1341">
        <f t="shared" si="15"/>
        <v>1.7083630310870325E-2</v>
      </c>
      <c r="AC59" s="1341">
        <f t="shared" si="16"/>
        <v>2.1064517187920406E-2</v>
      </c>
      <c r="AD59" s="1341">
        <f t="shared" si="17"/>
        <v>2.7243400161711572E-2</v>
      </c>
      <c r="AE59" s="1341">
        <f t="shared" si="18"/>
        <v>8.42561235515705E-2</v>
      </c>
      <c r="AF59" s="1341">
        <f t="shared" si="13"/>
        <v>6.2991318910368813E-2</v>
      </c>
      <c r="AG59" s="1341"/>
    </row>
    <row r="60" spans="1:33" s="173" customFormat="1" ht="10.5" customHeight="1" x14ac:dyDescent="0.25">
      <c r="A60" s="239">
        <f t="shared" si="0"/>
        <v>1986</v>
      </c>
      <c r="B60" s="1183">
        <f>1-'F-B5'!B60-'C2-Shares'!J32</f>
        <v>0.47218045048254242</v>
      </c>
      <c r="C60" s="1183">
        <f>1-'F-B5'!C60-'C2-Shares'!R32</f>
        <v>0.44113936973508194</v>
      </c>
      <c r="D60" s="1183">
        <f>1-'F-B5'!D60-'C2-Shares'!Z32</f>
        <v>0.43185925881745735</v>
      </c>
      <c r="E60" s="1183">
        <f>1-'F-B5'!E60-'C2-Shares'!II32</f>
        <v>0.43361130454758112</v>
      </c>
      <c r="G60" s="455">
        <f t="shared" si="6"/>
        <v>35795.275112280928</v>
      </c>
      <c r="H60" s="455">
        <f>C60*'C1-Incomes'!R34*$M60/($N60*0.4)*1000</f>
        <v>37117.108760663141</v>
      </c>
      <c r="I60" s="455">
        <f t="shared" si="7"/>
        <v>32738.587468750262</v>
      </c>
      <c r="J60" s="455">
        <f>E60*'C1-Incomes'!II34*$M60/($N60*0.4)*1000</f>
        <v>26937.584143601569</v>
      </c>
      <c r="L60" s="1013">
        <f>'T-T1'!BN35</f>
        <v>3848203</v>
      </c>
      <c r="M60" s="1182">
        <f>'C0-Ref Stats'!AA32</f>
        <v>1.8912881994230137</v>
      </c>
      <c r="N60" s="1013">
        <f>'C0-Ref Stats'!R32</f>
        <v>240014.78368494418</v>
      </c>
      <c r="P60" s="455">
        <v>135522.61483999999</v>
      </c>
      <c r="Q60" s="455">
        <v>31960.740052000001</v>
      </c>
      <c r="R60" s="455">
        <v>42736.288825000003</v>
      </c>
      <c r="S60" s="455">
        <v>52690.692129000003</v>
      </c>
      <c r="T60" s="455">
        <v>162092.49922999999</v>
      </c>
      <c r="U60" s="455">
        <v>113624.61397999999</v>
      </c>
      <c r="V60" s="455">
        <v>2527.9622561000001</v>
      </c>
      <c r="W60" s="455"/>
      <c r="X60" s="1013">
        <f>C60*'C1-Incomes'!R34</f>
        <v>1884145.3846999998</v>
      </c>
      <c r="Z60" s="1341">
        <f t="shared" si="8"/>
        <v>0.28721531560488611</v>
      </c>
      <c r="AA60" s="1341">
        <f t="shared" si="14"/>
        <v>7.1927896828183652E-2</v>
      </c>
      <c r="AB60" s="1341">
        <f t="shared" si="15"/>
        <v>1.6962990388923148E-2</v>
      </c>
      <c r="AC60" s="1341">
        <f t="shared" si="16"/>
        <v>2.2682054777744567E-2</v>
      </c>
      <c r="AD60" s="1341">
        <f t="shared" si="17"/>
        <v>2.7965300638087224E-2</v>
      </c>
      <c r="AE60" s="1341">
        <f t="shared" si="18"/>
        <v>8.6029719652344613E-2</v>
      </c>
      <c r="AF60" s="1341">
        <f t="shared" si="13"/>
        <v>6.1647353319602888E-2</v>
      </c>
      <c r="AG60" s="1341"/>
    </row>
    <row r="61" spans="1:33" s="173" customFormat="1" ht="10.5" customHeight="1" x14ac:dyDescent="0.25">
      <c r="A61" s="239">
        <f t="shared" si="0"/>
        <v>1987</v>
      </c>
      <c r="B61" s="1183">
        <f>1-'F-B5'!B61-'C2-Shares'!J33</f>
        <v>0.46966643537343267</v>
      </c>
      <c r="C61" s="1183">
        <f>1-'F-B5'!C61-'C2-Shares'!R33</f>
        <v>0.43959495570820312</v>
      </c>
      <c r="D61" s="1183">
        <f>1-'F-B5'!D61-'C2-Shares'!Z33</f>
        <v>0.43075312859444975</v>
      </c>
      <c r="E61" s="1183">
        <f>1-'F-B5'!E61-'C2-Shares'!II33</f>
        <v>0.43221010728747733</v>
      </c>
      <c r="G61" s="455">
        <f t="shared" si="6"/>
        <v>37088.670680427997</v>
      </c>
      <c r="H61" s="455">
        <f>C61*'C1-Incomes'!R35*$M61/($N61*0.4)*1000</f>
        <v>38426.267117808668</v>
      </c>
      <c r="I61" s="455">
        <f t="shared" si="7"/>
        <v>34015.76039450425</v>
      </c>
      <c r="J61" s="455">
        <f>E61*'C1-Incomes'!II35*$M61/($N61*0.4)*1000</f>
        <v>27587.916476622057</v>
      </c>
      <c r="L61" s="1013">
        <f>'T-T1'!BN36</f>
        <v>4119198</v>
      </c>
      <c r="M61" s="1182">
        <f>'C0-Ref Stats'!AA33</f>
        <v>1.8353897736797988</v>
      </c>
      <c r="N61" s="1013">
        <f>'C0-Ref Stats'!R33</f>
        <v>239347.69033505797</v>
      </c>
      <c r="P61" s="455">
        <v>148753.99627</v>
      </c>
      <c r="Q61" s="455">
        <v>34002.080388000002</v>
      </c>
      <c r="R61" s="455">
        <v>53554.265741000003</v>
      </c>
      <c r="S61" s="455">
        <v>58103.775076999998</v>
      </c>
      <c r="T61" s="455">
        <v>172332.19618</v>
      </c>
      <c r="U61" s="455">
        <v>115370.36007</v>
      </c>
      <c r="V61" s="455">
        <v>2616.1278409000001</v>
      </c>
      <c r="W61" s="455"/>
      <c r="X61" s="1013">
        <f>C61*'C1-Incomes'!R35</f>
        <v>2004421.8214</v>
      </c>
      <c r="Z61" s="1341">
        <f t="shared" si="8"/>
        <v>0.29172143075078377</v>
      </c>
      <c r="AA61" s="1341">
        <f t="shared" si="14"/>
        <v>7.4212919996102369E-2</v>
      </c>
      <c r="AB61" s="1341">
        <f t="shared" si="15"/>
        <v>1.696353533222416E-2</v>
      </c>
      <c r="AC61" s="1341">
        <f t="shared" si="16"/>
        <v>2.6718061622176274E-2</v>
      </c>
      <c r="AD61" s="1341">
        <f t="shared" si="17"/>
        <v>2.8987798105499112E-2</v>
      </c>
      <c r="AE61" s="1341">
        <f t="shared" si="18"/>
        <v>8.5976012803349738E-2</v>
      </c>
      <c r="AF61" s="1341">
        <f t="shared" si="13"/>
        <v>5.8863102891432123E-2</v>
      </c>
      <c r="AG61" s="1341"/>
    </row>
    <row r="62" spans="1:33" s="173" customFormat="1" ht="10.5" customHeight="1" x14ac:dyDescent="0.25">
      <c r="A62" s="239">
        <f t="shared" si="0"/>
        <v>1988</v>
      </c>
      <c r="B62" s="1183">
        <f>1-'F-B5'!B62-'C2-Shares'!J34</f>
        <v>0.45765299470039272</v>
      </c>
      <c r="C62" s="1183">
        <f>1-'F-B5'!C62-'C2-Shares'!R34</f>
        <v>0.42941194027711016</v>
      </c>
      <c r="D62" s="1183">
        <f>1-'F-B5'!D62-'C2-Shares'!Z34</f>
        <v>0.420381448454687</v>
      </c>
      <c r="E62" s="1183">
        <f>1-'F-B5'!E62-'C2-Shares'!II34</f>
        <v>0.42036792991328331</v>
      </c>
      <c r="G62" s="455">
        <f t="shared" si="6"/>
        <v>37231.885953206613</v>
      </c>
      <c r="H62" s="455">
        <f>C62*'C1-Incomes'!R36*$M62/($N62*0.4)*1000</f>
        <v>38573.702226070112</v>
      </c>
      <c r="I62" s="455">
        <f t="shared" si="7"/>
        <v>34199.697864875088</v>
      </c>
      <c r="J62" s="455">
        <f>E62*'C1-Incomes'!II36*$M62/($N62*0.4)*1000</f>
        <v>27716.823277181898</v>
      </c>
      <c r="L62" s="1013">
        <f>'T-T1'!BN37</f>
        <v>4493372</v>
      </c>
      <c r="M62" s="1182">
        <f>'C0-Ref Stats'!AA34</f>
        <v>1.7665633975538129</v>
      </c>
      <c r="N62" s="1013">
        <f>'C0-Ref Stats'!R34</f>
        <v>243928.69037118822</v>
      </c>
      <c r="P62" s="455">
        <v>147994.40251000001</v>
      </c>
      <c r="Q62" s="455">
        <v>34790.249687000003</v>
      </c>
      <c r="R62" s="455">
        <v>57371.873900999999</v>
      </c>
      <c r="S62" s="455">
        <v>61995.308301999998</v>
      </c>
      <c r="T62" s="455">
        <v>192532.89863000001</v>
      </c>
      <c r="U62" s="455">
        <v>121879.47602</v>
      </c>
      <c r="V62" s="455">
        <v>2708.9693333999999</v>
      </c>
      <c r="W62" s="455"/>
      <c r="X62" s="1013">
        <f>C62*'C1-Incomes'!R36</f>
        <v>2130516.8396000001</v>
      </c>
      <c r="Z62" s="1341">
        <f t="shared" si="8"/>
        <v>0.29066805146664187</v>
      </c>
      <c r="AA62" s="1341">
        <f t="shared" si="14"/>
        <v>6.9464084845152235E-2</v>
      </c>
      <c r="AB62" s="1341">
        <f t="shared" si="15"/>
        <v>1.6329488244519953E-2</v>
      </c>
      <c r="AC62" s="1341">
        <f t="shared" si="16"/>
        <v>2.692861789901245E-2</v>
      </c>
      <c r="AD62" s="1341">
        <f t="shared" si="17"/>
        <v>2.909871780860436E-2</v>
      </c>
      <c r="AE62" s="1341">
        <f t="shared" si="18"/>
        <v>9.0369104365374389E-2</v>
      </c>
      <c r="AF62" s="1341">
        <f t="shared" si="13"/>
        <v>5.8478038303978491E-2</v>
      </c>
      <c r="AG62" s="1341"/>
    </row>
    <row r="63" spans="1:33" s="173" customFormat="1" ht="10.5" customHeight="1" x14ac:dyDescent="0.25">
      <c r="A63" s="239">
        <f t="shared" si="0"/>
        <v>1989</v>
      </c>
      <c r="B63" s="1183">
        <f>1-'F-B5'!B63-'C2-Shares'!J35</f>
        <v>0.46021456650495696</v>
      </c>
      <c r="C63" s="1183">
        <f>1-'F-B5'!C63-'C2-Shares'!R35</f>
        <v>0.43150263259006783</v>
      </c>
      <c r="D63" s="1183">
        <f>1-'F-B5'!D63-'C2-Shares'!Z35</f>
        <v>0.42204774347134488</v>
      </c>
      <c r="E63" s="1183">
        <f>1-'F-B5'!E63-'C2-Shares'!II35</f>
        <v>0.42279783673681426</v>
      </c>
      <c r="G63" s="455">
        <f t="shared" si="6"/>
        <v>37835.160354627282</v>
      </c>
      <c r="H63" s="455">
        <f>C63*'C1-Incomes'!R37*$M63/($N63*0.4)*1000</f>
        <v>39249.080672897151</v>
      </c>
      <c r="I63" s="455">
        <f t="shared" si="7"/>
        <v>34697.389465126667</v>
      </c>
      <c r="J63" s="455">
        <f>E63*'C1-Incomes'!II37*$M63/($N63*0.4)*1000</f>
        <v>28095.391744607834</v>
      </c>
      <c r="L63" s="1013">
        <f>'T-T1'!BN38</f>
        <v>4782194</v>
      </c>
      <c r="M63" s="1182">
        <f>'C0-Ref Stats'!AA35</f>
        <v>1.6936773874166549</v>
      </c>
      <c r="N63" s="1013">
        <f>'C0-Ref Stats'!R35</f>
        <v>246299.01205424103</v>
      </c>
      <c r="P63" s="455">
        <v>170748.08603000001</v>
      </c>
      <c r="Q63" s="455">
        <v>39260.769037999999</v>
      </c>
      <c r="R63" s="455">
        <v>57591.970742999998</v>
      </c>
      <c r="S63" s="455">
        <v>68382.226263999997</v>
      </c>
      <c r="T63" s="455">
        <v>202553.69523000001</v>
      </c>
      <c r="U63" s="455">
        <v>131765.82947999999</v>
      </c>
      <c r="V63" s="455">
        <v>3014.8480184999999</v>
      </c>
      <c r="W63" s="455"/>
      <c r="X63" s="1013">
        <f>C63*'C1-Incomes'!R37</f>
        <v>2283081.7405000003</v>
      </c>
      <c r="Z63" s="1341">
        <f t="shared" si="8"/>
        <v>0.29491603951772744</v>
      </c>
      <c r="AA63" s="1341">
        <f t="shared" si="14"/>
        <v>7.4788424348138219E-2</v>
      </c>
      <c r="AB63" s="1341">
        <f t="shared" si="15"/>
        <v>1.7196392201622092E-2</v>
      </c>
      <c r="AC63" s="1341">
        <f t="shared" si="16"/>
        <v>2.5225540426943811E-2</v>
      </c>
      <c r="AD63" s="1341">
        <f t="shared" si="17"/>
        <v>2.9951720541124442E-2</v>
      </c>
      <c r="AE63" s="1341">
        <f t="shared" si="18"/>
        <v>8.8719423241342327E-2</v>
      </c>
      <c r="AF63" s="1341">
        <f t="shared" si="13"/>
        <v>5.9034538758556535E-2</v>
      </c>
      <c r="AG63" s="1341"/>
    </row>
    <row r="64" spans="1:33" s="173" customFormat="1" ht="10.5" customHeight="1" x14ac:dyDescent="0.25">
      <c r="A64" s="239">
        <f t="shared" si="0"/>
        <v>1990</v>
      </c>
      <c r="B64" s="1183">
        <f>1-'F-B5'!B64-'C2-Shares'!J36</f>
        <v>0.45945471476645411</v>
      </c>
      <c r="C64" s="1183">
        <f>1-'F-B5'!C64-'C2-Shares'!R36</f>
        <v>0.42996862131550473</v>
      </c>
      <c r="D64" s="1183">
        <f>1-'F-B5'!D64-'C2-Shares'!Z36</f>
        <v>0.42025794238320274</v>
      </c>
      <c r="E64" s="1183">
        <f>1-'F-B5'!E64-'C2-Shares'!II36</f>
        <v>0.42126633973750999</v>
      </c>
      <c r="G64" s="455">
        <f t="shared" si="6"/>
        <v>37412.400514211367</v>
      </c>
      <c r="H64" s="455">
        <f>C64*'C1-Incomes'!R38*$M64/($N64*0.4)*1000</f>
        <v>38927.897998678054</v>
      </c>
      <c r="I64" s="455">
        <f t="shared" si="7"/>
        <v>34220.692386867442</v>
      </c>
      <c r="J64" s="455">
        <f>E64*'C1-Incomes'!II38*$M64/($N64*0.4)*1000</f>
        <v>27910.272190172254</v>
      </c>
      <c r="L64" s="1013">
        <f>'T-T1'!BN39</f>
        <v>5036095</v>
      </c>
      <c r="M64" s="1182">
        <f>'C0-Ref Stats'!AA36</f>
        <v>1.6233837485172005</v>
      </c>
      <c r="N64" s="1013">
        <f>'C0-Ref Stats'!R36</f>
        <v>251004.931468</v>
      </c>
      <c r="P64" s="455">
        <v>180612.02781</v>
      </c>
      <c r="Q64" s="455">
        <v>43112.123250999997</v>
      </c>
      <c r="R64" s="455">
        <v>53679.323192999997</v>
      </c>
      <c r="S64" s="455">
        <v>72532.600680999996</v>
      </c>
      <c r="T64" s="455">
        <v>217917.2268</v>
      </c>
      <c r="U64" s="455">
        <v>140734.66983999999</v>
      </c>
      <c r="V64" s="455">
        <v>3781.2321731000002</v>
      </c>
      <c r="W64" s="455"/>
      <c r="X64" s="1013">
        <f>C64*'C1-Incomes'!R38</f>
        <v>2407587.0855</v>
      </c>
      <c r="Z64" s="1341">
        <f t="shared" si="8"/>
        <v>0.29588512417201202</v>
      </c>
      <c r="AA64" s="1341">
        <f t="shared" si="14"/>
        <v>7.50178587091445E-2</v>
      </c>
      <c r="AB64" s="1341">
        <f t="shared" si="15"/>
        <v>1.7906776253556207E-2</v>
      </c>
      <c r="AC64" s="1341">
        <f t="shared" si="16"/>
        <v>2.2295900952572209E-2</v>
      </c>
      <c r="AD64" s="1341">
        <f t="shared" si="17"/>
        <v>3.0126677916589944E-2</v>
      </c>
      <c r="AE64" s="1341">
        <f t="shared" si="18"/>
        <v>9.0512707977391249E-2</v>
      </c>
      <c r="AF64" s="1341">
        <f t="shared" si="13"/>
        <v>6.0025202362757893E-2</v>
      </c>
      <c r="AG64" s="1341"/>
    </row>
    <row r="65" spans="1:33" s="173" customFormat="1" ht="10.5" customHeight="1" x14ac:dyDescent="0.25">
      <c r="A65" s="239">
        <f t="shared" si="0"/>
        <v>1991</v>
      </c>
      <c r="B65" s="1183">
        <f>1-'F-B5'!B65-'C2-Shares'!J37</f>
        <v>0.46249246055714205</v>
      </c>
      <c r="C65" s="1183">
        <f>1-'F-B5'!C65-'C2-Shares'!R37</f>
        <v>0.43027452331866317</v>
      </c>
      <c r="D65" s="1183">
        <f>1-'F-B5'!D65-'C2-Shares'!Z37</f>
        <v>0.41994795614028912</v>
      </c>
      <c r="E65" s="1183">
        <f>1-'F-B5'!E65-'C2-Shares'!II37</f>
        <v>0.42127746409861716</v>
      </c>
      <c r="G65" s="455">
        <f t="shared" si="6"/>
        <v>37059.362962634208</v>
      </c>
      <c r="H65" s="455">
        <f>C65*'C1-Incomes'!R39*$M65/($N65*0.4)*1000</f>
        <v>38723.019534540377</v>
      </c>
      <c r="I65" s="455">
        <f t="shared" si="7"/>
        <v>33650.286349038812</v>
      </c>
      <c r="J65" s="455">
        <f>E65*'C1-Incomes'!II39*$M65/($N65*0.4)*1000</f>
        <v>27917.108765008521</v>
      </c>
      <c r="L65" s="1013">
        <f>'T-T1'!BN40</f>
        <v>5186125</v>
      </c>
      <c r="M65" s="1182">
        <f>'C0-Ref Stats'!AA37</f>
        <v>1.571828518922644</v>
      </c>
      <c r="N65" s="1013">
        <f>'C0-Ref Stats'!R37</f>
        <v>254328.40104512265</v>
      </c>
      <c r="P65" s="455">
        <v>179380.08301</v>
      </c>
      <c r="Q65" s="455">
        <v>44280.110432000001</v>
      </c>
      <c r="R65" s="455">
        <v>49027.775548999998</v>
      </c>
      <c r="S65" s="455">
        <v>77523.973188000004</v>
      </c>
      <c r="T65" s="455">
        <v>225361.71466999999</v>
      </c>
      <c r="U65" s="455">
        <v>151148.09502000001</v>
      </c>
      <c r="V65" s="455">
        <v>3710.6051600999999</v>
      </c>
      <c r="W65" s="455"/>
      <c r="X65" s="1013">
        <f>C65*'C1-Incomes'!R39</f>
        <v>2506218.3370000003</v>
      </c>
      <c r="Z65" s="1341">
        <f t="shared" si="8"/>
        <v>0.29144801402396725</v>
      </c>
      <c r="AA65" s="1341">
        <f t="shared" si="14"/>
        <v>7.1574004691355816E-2</v>
      </c>
      <c r="AB65" s="1341">
        <f t="shared" si="15"/>
        <v>1.7668097698544608E-2</v>
      </c>
      <c r="AC65" s="1341">
        <f t="shared" si="16"/>
        <v>1.9562451852334361E-2</v>
      </c>
      <c r="AD65" s="1341">
        <f t="shared" si="17"/>
        <v>3.0932649419841824E-2</v>
      </c>
      <c r="AE65" s="1341">
        <f t="shared" si="18"/>
        <v>8.9921022180279406E-2</v>
      </c>
      <c r="AF65" s="1341">
        <f t="shared" si="13"/>
        <v>6.1789788181611245E-2</v>
      </c>
      <c r="AG65" s="1341"/>
    </row>
    <row r="66" spans="1:33" s="173" customFormat="1" ht="10.5" customHeight="1" x14ac:dyDescent="0.25">
      <c r="A66" s="239">
        <f t="shared" si="0"/>
        <v>1992</v>
      </c>
      <c r="B66" s="1183">
        <f>1-'F-B5'!B66-'C2-Shares'!J38</f>
        <v>0.45869105273739064</v>
      </c>
      <c r="C66" s="1183">
        <f>1-'F-B5'!C66-'C2-Shares'!R38</f>
        <v>0.42480296216790037</v>
      </c>
      <c r="D66" s="1183">
        <f>1-'F-B5'!D66-'C2-Shares'!Z38</f>
        <v>0.41640432285565065</v>
      </c>
      <c r="E66" s="1183">
        <f>1-'F-B5'!E66-'C2-Shares'!II38</f>
        <v>0.41696237366543754</v>
      </c>
      <c r="G66" s="455">
        <f t="shared" si="6"/>
        <v>37622.447749574509</v>
      </c>
      <c r="H66" s="455">
        <f>C66*'C1-Incomes'!R40*$M66/($N66*0.4)*1000</f>
        <v>39389.620456339137</v>
      </c>
      <c r="I66" s="455">
        <f t="shared" si="7"/>
        <v>34154.034149654202</v>
      </c>
      <c r="J66" s="455">
        <f>E66*'C1-Incomes'!II40*$M66/($N66*0.4)*1000</f>
        <v>28597.913792398118</v>
      </c>
      <c r="L66" s="1013">
        <f>'T-T1'!BN41</f>
        <v>5499748</v>
      </c>
      <c r="M66" s="1182">
        <f>'C0-Ref Stats'!AA38</f>
        <v>1.5313313005287157</v>
      </c>
      <c r="N66" s="1013">
        <f>'C0-Ref Stats'!R38</f>
        <v>256699.59286786182</v>
      </c>
      <c r="P66" s="455">
        <v>176248.80768999999</v>
      </c>
      <c r="Q66" s="455">
        <v>46094.065717999998</v>
      </c>
      <c r="R66" s="455">
        <v>52239.912381000002</v>
      </c>
      <c r="S66" s="455">
        <v>79707.709176000004</v>
      </c>
      <c r="T66" s="455">
        <v>237706.51542000001</v>
      </c>
      <c r="U66" s="455">
        <v>159764.02249999999</v>
      </c>
      <c r="V66" s="455">
        <v>3756.7694818</v>
      </c>
      <c r="W66" s="455"/>
      <c r="X66" s="1013">
        <f>C66*'C1-Incomes'!R40</f>
        <v>2641178.8306999998</v>
      </c>
      <c r="Z66" s="1341">
        <f t="shared" si="8"/>
        <v>0.28605325530591308</v>
      </c>
      <c r="AA66" s="1341">
        <f t="shared" si="14"/>
        <v>6.6731114773961833E-2</v>
      </c>
      <c r="AB66" s="1341">
        <f t="shared" si="15"/>
        <v>1.7452080556689734E-2</v>
      </c>
      <c r="AC66" s="1341">
        <f t="shared" si="16"/>
        <v>1.9779013739540951E-2</v>
      </c>
      <c r="AD66" s="1341">
        <f t="shared" si="17"/>
        <v>3.0178838422264206E-2</v>
      </c>
      <c r="AE66" s="1341">
        <f t="shared" si="18"/>
        <v>9.0000159268655011E-2</v>
      </c>
      <c r="AF66" s="1341">
        <f t="shared" si="13"/>
        <v>6.1912048544801326E-2</v>
      </c>
      <c r="AG66" s="1341"/>
    </row>
    <row r="67" spans="1:33" s="173" customFormat="1" ht="10.5" customHeight="1" x14ac:dyDescent="0.25">
      <c r="A67" s="239">
        <f t="shared" si="0"/>
        <v>1993</v>
      </c>
      <c r="B67" s="1183">
        <f>1-'F-B5'!B67-'C2-Shares'!J39</f>
        <v>0.46243029750101761</v>
      </c>
      <c r="C67" s="1183">
        <f>1-'F-B5'!C67-'C2-Shares'!R39</f>
        <v>0.42729249646035328</v>
      </c>
      <c r="D67" s="1183">
        <f>1-'F-B5'!D67-'C2-Shares'!Z39</f>
        <v>0.42015680975481678</v>
      </c>
      <c r="E67" s="1183">
        <f>1-'F-B5'!E67-'C2-Shares'!II39</f>
        <v>0.42045402857343384</v>
      </c>
      <c r="G67" s="455">
        <f t="shared" si="6"/>
        <v>38281.427335506531</v>
      </c>
      <c r="H67" s="455">
        <f>C67*'C1-Incomes'!R41*$M67/($N67*0.4)*1000</f>
        <v>40073.208367172279</v>
      </c>
      <c r="I67" s="455">
        <f t="shared" si="7"/>
        <v>34781.895712860089</v>
      </c>
      <c r="J67" s="455">
        <f>E67*'C1-Incomes'!II41*$M67/($N67*0.4)*1000</f>
        <v>29031.922050747089</v>
      </c>
      <c r="L67" s="1013">
        <f>'T-T1'!BN42</f>
        <v>5754784</v>
      </c>
      <c r="M67" s="1182">
        <f>'C0-Ref Stats'!AA39</f>
        <v>1.4940296674354181</v>
      </c>
      <c r="N67" s="1013">
        <f>'C0-Ref Stats'!R39</f>
        <v>259648.85743617211</v>
      </c>
      <c r="P67" s="455">
        <v>184062.45314</v>
      </c>
      <c r="Q67" s="455">
        <v>48684.541879999997</v>
      </c>
      <c r="R67" s="455">
        <v>62489.68073</v>
      </c>
      <c r="S67" s="455">
        <v>81477.967889000007</v>
      </c>
      <c r="T67" s="455">
        <v>246845.18017000001</v>
      </c>
      <c r="U67" s="455">
        <v>166914.68749000001</v>
      </c>
      <c r="V67" s="455">
        <v>4251.4363571000004</v>
      </c>
      <c r="W67" s="455"/>
      <c r="X67" s="1013">
        <f>C67*'C1-Incomes'!R41</f>
        <v>2785744.6189000006</v>
      </c>
      <c r="Z67" s="1341">
        <f t="shared" si="8"/>
        <v>0.28528313121893822</v>
      </c>
      <c r="AA67" s="1341">
        <f t="shared" si="14"/>
        <v>6.6072981669324821E-2</v>
      </c>
      <c r="AB67" s="1341">
        <f t="shared" si="15"/>
        <v>1.7476311916640775E-2</v>
      </c>
      <c r="AC67" s="1341">
        <f t="shared" si="16"/>
        <v>2.2431948824754487E-2</v>
      </c>
      <c r="AD67" s="1341">
        <f t="shared" si="17"/>
        <v>2.9248182814824206E-2</v>
      </c>
      <c r="AE67" s="1341">
        <f t="shared" si="18"/>
        <v>8.8610125456320937E-2</v>
      </c>
      <c r="AF67" s="1341">
        <f t="shared" si="13"/>
        <v>6.1443580537073036E-2</v>
      </c>
      <c r="AG67" s="1341"/>
    </row>
    <row r="68" spans="1:33" s="173" customFormat="1" ht="10.5" customHeight="1" x14ac:dyDescent="0.25">
      <c r="A68" s="239">
        <f t="shared" si="0"/>
        <v>1994</v>
      </c>
      <c r="B68" s="1183">
        <f>1-'F-B5'!B68-'C2-Shares'!J40</f>
        <v>0.46059526238657439</v>
      </c>
      <c r="C68" s="1183">
        <f>1-'F-B5'!C68-'C2-Shares'!R40</f>
        <v>0.42593596193582406</v>
      </c>
      <c r="D68" s="1183">
        <f>1-'F-B5'!D68-'C2-Shares'!Z40</f>
        <v>0.41942740522408134</v>
      </c>
      <c r="E68" s="1183">
        <f>1-'F-B5'!E68-'C2-Shares'!II40</f>
        <v>0.41914356762591692</v>
      </c>
      <c r="G68" s="455">
        <f t="shared" si="6"/>
        <v>39819.788116244337</v>
      </c>
      <c r="H68" s="455">
        <f>C68*'C1-Incomes'!R42*$M68/($N68*0.4)*1000</f>
        <v>41610.985805730743</v>
      </c>
      <c r="I68" s="455">
        <f t="shared" si="7"/>
        <v>36260.708196671832</v>
      </c>
      <c r="J68" s="455">
        <f>E68*'C1-Incomes'!II42*$M68/($N68*0.4)*1000</f>
        <v>30055.564584046686</v>
      </c>
      <c r="L68" s="1013">
        <f>'T-T1'!BN43</f>
        <v>6140229</v>
      </c>
      <c r="M68" s="1182">
        <f>'C0-Ref Stats'!AA40</f>
        <v>1.4635910324452228</v>
      </c>
      <c r="N68" s="1013">
        <f>'C0-Ref Stats'!R40</f>
        <v>259875.20131862332</v>
      </c>
      <c r="P68" s="455">
        <v>196906.73099000001</v>
      </c>
      <c r="Q68" s="455">
        <v>52466.397984000003</v>
      </c>
      <c r="R68" s="455">
        <v>70233.329068000006</v>
      </c>
      <c r="S68" s="455">
        <v>86733.675413999998</v>
      </c>
      <c r="T68" s="455">
        <v>257855.66467</v>
      </c>
      <c r="U68" s="455">
        <v>185286.64905000001</v>
      </c>
      <c r="V68" s="455">
        <v>4891.0138723</v>
      </c>
      <c r="W68" s="455"/>
      <c r="X68" s="1013">
        <f>C68*'C1-Incomes'!R42</f>
        <v>2955378.4011000008</v>
      </c>
      <c r="Z68" s="1341">
        <f t="shared" si="8"/>
        <v>0.28909105538915075</v>
      </c>
      <c r="AA68" s="1341">
        <f t="shared" si="14"/>
        <v>6.6626571716403807E-2</v>
      </c>
      <c r="AB68" s="1341">
        <f t="shared" si="15"/>
        <v>1.7752852888304201E-2</v>
      </c>
      <c r="AC68" s="1341">
        <f t="shared" si="16"/>
        <v>2.3764580888139045E-2</v>
      </c>
      <c r="AD68" s="1341">
        <f t="shared" si="17"/>
        <v>2.934773949140234E-2</v>
      </c>
      <c r="AE68" s="1341">
        <f t="shared" si="18"/>
        <v>8.7249627517757236E-2</v>
      </c>
      <c r="AF68" s="1341">
        <f t="shared" si="13"/>
        <v>6.43496828871441E-2</v>
      </c>
      <c r="AG68" s="1341"/>
    </row>
    <row r="69" spans="1:33" s="173" customFormat="1" ht="10.5" customHeight="1" x14ac:dyDescent="0.25">
      <c r="A69" s="239">
        <f t="shared" si="0"/>
        <v>1995</v>
      </c>
      <c r="B69" s="1183">
        <f>1-'F-B5'!B69-'C2-Shares'!J41</f>
        <v>0.45474309536955487</v>
      </c>
      <c r="C69" s="1183">
        <f>1-'F-B5'!C69-'C2-Shares'!R41</f>
        <v>0.42150619696151775</v>
      </c>
      <c r="D69" s="1183">
        <f>1-'F-B5'!D69-'C2-Shares'!Z41</f>
        <v>0.41505017441981884</v>
      </c>
      <c r="E69" s="1183">
        <f>1-'F-B5'!E69-'C2-Shares'!II41</f>
        <v>0.41524511311396778</v>
      </c>
      <c r="G69" s="455">
        <f t="shared" si="6"/>
        <v>40003.695998990166</v>
      </c>
      <c r="H69" s="455">
        <f>C69*'C1-Incomes'!R43*$M69/($N69*0.4)*1000</f>
        <v>41915.559264581498</v>
      </c>
      <c r="I69" s="455">
        <f t="shared" si="7"/>
        <v>36511.914465298527</v>
      </c>
      <c r="J69" s="455">
        <f>E69*'C1-Incomes'!II43*$M69/($N69*0.4)*1000</f>
        <v>30261.507497208811</v>
      </c>
      <c r="L69" s="1013">
        <f>'T-T1'!BN44</f>
        <v>6479476</v>
      </c>
      <c r="M69" s="1182">
        <f>'C0-Ref Stats'!AA41</f>
        <v>1.4338231442191838</v>
      </c>
      <c r="N69" s="1013">
        <f>'C0-Ref Stats'!R41</f>
        <v>264022.82640399999</v>
      </c>
      <c r="P69" s="455">
        <v>206783.96234</v>
      </c>
      <c r="Q69" s="455">
        <v>55347.386094000001</v>
      </c>
      <c r="R69" s="455">
        <v>78424.396735999995</v>
      </c>
      <c r="S69" s="455">
        <v>86907.549025999993</v>
      </c>
      <c r="T69" s="455">
        <v>268361.30073999998</v>
      </c>
      <c r="U69" s="455">
        <v>190549.86472000001</v>
      </c>
      <c r="V69" s="455">
        <v>4811.8968830000003</v>
      </c>
      <c r="W69" s="455"/>
      <c r="X69" s="1013">
        <f>C69*'C1-Incomes'!R43</f>
        <v>3087316.4439999997</v>
      </c>
      <c r="Z69" s="1341">
        <f t="shared" si="8"/>
        <v>0.28866051559792749</v>
      </c>
      <c r="AA69" s="1341">
        <f t="shared" si="14"/>
        <v>6.6978544665180426E-2</v>
      </c>
      <c r="AB69" s="1341">
        <f t="shared" si="15"/>
        <v>1.7927344701436122E-2</v>
      </c>
      <c r="AC69" s="1341">
        <f t="shared" si="16"/>
        <v>2.5402124517690031E-2</v>
      </c>
      <c r="AD69" s="1341">
        <f t="shared" si="17"/>
        <v>2.8149867563754021E-2</v>
      </c>
      <c r="AE69" s="1341">
        <f t="shared" si="18"/>
        <v>8.6923807652287424E-2</v>
      </c>
      <c r="AF69" s="1341">
        <f t="shared" si="13"/>
        <v>6.3278826497579474E-2</v>
      </c>
      <c r="AG69" s="1341"/>
    </row>
    <row r="70" spans="1:33" s="173" customFormat="1" ht="10.5" customHeight="1" x14ac:dyDescent="0.25">
      <c r="A70" s="239">
        <f t="shared" si="0"/>
        <v>1996</v>
      </c>
      <c r="B70" s="1183">
        <f>1-'F-B5'!B70-'C2-Shares'!J42</f>
        <v>0.45112832232152367</v>
      </c>
      <c r="C70" s="1183">
        <f>1-'F-B5'!C70-'C2-Shares'!R42</f>
        <v>0.41918071729579331</v>
      </c>
      <c r="D70" s="1183">
        <f>1-'F-B5'!D70-'C2-Shares'!Z42</f>
        <v>0.41491214859332992</v>
      </c>
      <c r="E70" s="1183">
        <f>1-'F-B5'!E70-'C2-Shares'!II42</f>
        <v>0.41459912642547714</v>
      </c>
      <c r="G70" s="455">
        <f t="shared" si="6"/>
        <v>41171.265003941458</v>
      </c>
      <c r="H70" s="455">
        <f>C70*'C1-Incomes'!R44*$M70/($N70*0.4)*1000</f>
        <v>43176.977601238526</v>
      </c>
      <c r="I70" s="455">
        <f t="shared" si="7"/>
        <v>37866.073083560201</v>
      </c>
      <c r="J70" s="455">
        <f>E70*'C1-Incomes'!II44*$M70/($N70*0.4)*1000</f>
        <v>31140.852120228308</v>
      </c>
      <c r="L70" s="1013">
        <f>'T-T1'!BN45</f>
        <v>6899394</v>
      </c>
      <c r="M70" s="1182">
        <f>'C0-Ref Stats'!AA42</f>
        <v>1.403944550595658</v>
      </c>
      <c r="N70" s="1013">
        <f>'C0-Ref Stats'!R42</f>
        <v>265342.48566089169</v>
      </c>
      <c r="P70" s="455">
        <v>226063.92864999999</v>
      </c>
      <c r="Q70" s="455">
        <v>58693.770871000001</v>
      </c>
      <c r="R70" s="455">
        <v>85880.983687999993</v>
      </c>
      <c r="S70" s="455">
        <v>91328.815130999996</v>
      </c>
      <c r="T70" s="455">
        <v>280114.20396000001</v>
      </c>
      <c r="U70" s="455">
        <v>200559.06700000001</v>
      </c>
      <c r="V70" s="455">
        <v>5563.6465879999996</v>
      </c>
      <c r="W70" s="455"/>
      <c r="X70" s="1013">
        <f>C70*'C1-Incomes'!R44</f>
        <v>3264142.1786000007</v>
      </c>
      <c r="Z70" s="1341">
        <f t="shared" si="8"/>
        <v>0.29049115020311012</v>
      </c>
      <c r="AA70" s="1341">
        <f t="shared" si="14"/>
        <v>6.9256765263503134E-2</v>
      </c>
      <c r="AB70" s="1341">
        <f t="shared" si="15"/>
        <v>1.7981376931373104E-2</v>
      </c>
      <c r="AC70" s="1341">
        <f t="shared" si="16"/>
        <v>2.6310429812476666E-2</v>
      </c>
      <c r="AD70" s="1341">
        <f t="shared" si="17"/>
        <v>2.7979423117583429E-2</v>
      </c>
      <c r="AE70" s="1341">
        <f t="shared" si="18"/>
        <v>8.5815564590431465E-2</v>
      </c>
      <c r="AF70" s="1341">
        <f t="shared" si="13"/>
        <v>6.314759048774235E-2</v>
      </c>
      <c r="AG70" s="1341"/>
    </row>
    <row r="71" spans="1:33" s="173" customFormat="1" ht="10.5" customHeight="1" x14ac:dyDescent="0.25">
      <c r="A71" s="239">
        <f t="shared" si="0"/>
        <v>1997</v>
      </c>
      <c r="B71" s="1183">
        <f>1-'F-B5'!B71-'C2-Shares'!J43</f>
        <v>0.44687362193549962</v>
      </c>
      <c r="C71" s="1183">
        <f>1-'F-B5'!C71-'C2-Shares'!R43</f>
        <v>0.41679108003369097</v>
      </c>
      <c r="D71" s="1183">
        <f>1-'F-B5'!D71-'C2-Shares'!Z43</f>
        <v>0.41420555899327738</v>
      </c>
      <c r="E71" s="1183">
        <f>1-'F-B5'!E71-'C2-Shares'!II43</f>
        <v>0.41403672331039099</v>
      </c>
      <c r="G71" s="455">
        <f t="shared" si="6"/>
        <v>42425.39638925116</v>
      </c>
      <c r="H71" s="455">
        <f>C71*'C1-Incomes'!R45*$M71/($N71*0.4)*1000</f>
        <v>44481.188635484752</v>
      </c>
      <c r="I71" s="455">
        <f t="shared" si="7"/>
        <v>39323.947900101288</v>
      </c>
      <c r="J71" s="455">
        <f>E71*'C1-Incomes'!II45*$M71/($N71*0.4)*1000</f>
        <v>32039.160632800758</v>
      </c>
      <c r="L71" s="1013">
        <f>'T-T1'!BN46</f>
        <v>7380370</v>
      </c>
      <c r="M71" s="1182">
        <f>'C0-Ref Stats'!AA43</f>
        <v>1.3801227829112408</v>
      </c>
      <c r="N71" s="1013">
        <f>'C0-Ref Stats'!R43</f>
        <v>268222.17502512486</v>
      </c>
      <c r="P71" s="455">
        <v>247776.7525</v>
      </c>
      <c r="Q71" s="455">
        <v>61288.597543000003</v>
      </c>
      <c r="R71" s="455">
        <v>89781.568020000006</v>
      </c>
      <c r="S71" s="455">
        <v>95335.841463999997</v>
      </c>
      <c r="T71" s="455">
        <v>295280.31059000001</v>
      </c>
      <c r="U71" s="455">
        <v>209606.11634000001</v>
      </c>
      <c r="V71" s="455">
        <v>6537.5624567000004</v>
      </c>
      <c r="W71" s="455"/>
      <c r="X71" s="1013">
        <f>C71*'C1-Incomes'!R45</f>
        <v>3457907.1691999999</v>
      </c>
      <c r="Z71" s="1341">
        <f t="shared" si="8"/>
        <v>0.2908136915504157</v>
      </c>
      <c r="AA71" s="1341">
        <f t="shared" si="14"/>
        <v>7.1655119809744372E-2</v>
      </c>
      <c r="AB71" s="1341">
        <f t="shared" si="15"/>
        <v>1.7724188228332154E-2</v>
      </c>
      <c r="AC71" s="1341">
        <f t="shared" si="16"/>
        <v>2.5964134844247803E-2</v>
      </c>
      <c r="AD71" s="1341">
        <f t="shared" si="17"/>
        <v>2.7570387751634267E-2</v>
      </c>
      <c r="AE71" s="1341">
        <f t="shared" si="18"/>
        <v>8.539278128114533E-2</v>
      </c>
      <c r="AF71" s="1341">
        <f t="shared" si="13"/>
        <v>6.2507079635311796E-2</v>
      </c>
      <c r="AG71" s="1341"/>
    </row>
    <row r="72" spans="1:33" s="173" customFormat="1" ht="10.5" customHeight="1" x14ac:dyDescent="0.25">
      <c r="A72" s="239">
        <f t="shared" si="0"/>
        <v>1998</v>
      </c>
      <c r="B72" s="1183">
        <f>1-'F-B5'!B72-'C2-Shares'!J44</f>
        <v>0.44548880330529417</v>
      </c>
      <c r="C72" s="1183">
        <f>1-'F-B5'!C72-'C2-Shares'!R44</f>
        <v>0.41704191446285455</v>
      </c>
      <c r="D72" s="1183">
        <f>1-'F-B5'!D72-'C2-Shares'!Z44</f>
        <v>0.41519373701528289</v>
      </c>
      <c r="E72" s="1183">
        <f>1-'F-B5'!E72-'C2-Shares'!II44</f>
        <v>0.41568387896660081</v>
      </c>
      <c r="G72" s="455">
        <f t="shared" si="6"/>
        <v>44167.08028152457</v>
      </c>
      <c r="H72" s="455">
        <f>C72*'C1-Incomes'!R46*$M72/($N72*0.4)*1000</f>
        <v>46277.366667778602</v>
      </c>
      <c r="I72" s="455">
        <f t="shared" si="7"/>
        <v>41163.537622231124</v>
      </c>
      <c r="J72" s="455">
        <f>E72*'C1-Incomes'!II46*$M72/($N72*0.4)*1000</f>
        <v>33304.532281941465</v>
      </c>
      <c r="L72" s="1013">
        <f>'T-T1'!BN47</f>
        <v>7857280</v>
      </c>
      <c r="M72" s="1182">
        <f>'C0-Ref Stats'!AA44</f>
        <v>1.3696081865492391</v>
      </c>
      <c r="N72" s="1013">
        <f>'C0-Ref Stats'!R44</f>
        <v>271360.533413</v>
      </c>
      <c r="P72" s="455">
        <v>267555.86986999999</v>
      </c>
      <c r="Q72" s="455">
        <v>66867.831810000003</v>
      </c>
      <c r="R72" s="455">
        <v>88372.752047999995</v>
      </c>
      <c r="S72" s="455">
        <v>97589.123210000005</v>
      </c>
      <c r="T72" s="455">
        <v>312512.55856999999</v>
      </c>
      <c r="U72" s="455">
        <v>225430.21849999999</v>
      </c>
      <c r="V72" s="455">
        <v>7954.7242385999998</v>
      </c>
      <c r="W72" s="455"/>
      <c r="X72" s="1013">
        <f>C72*'C1-Incomes'!R46</f>
        <v>3667574.7202000003</v>
      </c>
      <c r="Z72" s="1341">
        <f t="shared" si="8"/>
        <v>0.29073247570766692</v>
      </c>
      <c r="AA72" s="1341">
        <f t="shared" si="14"/>
        <v>7.2951716129019892E-2</v>
      </c>
      <c r="AB72" s="1341">
        <f t="shared" si="15"/>
        <v>1.823216618920134E-2</v>
      </c>
      <c r="AC72" s="1341">
        <f t="shared" si="16"/>
        <v>2.4095692328030018E-2</v>
      </c>
      <c r="AD72" s="1341">
        <f t="shared" si="17"/>
        <v>2.6608625769096336E-2</v>
      </c>
      <c r="AE72" s="1341">
        <f t="shared" si="18"/>
        <v>8.5209595553368322E-2</v>
      </c>
      <c r="AF72" s="1341">
        <f t="shared" si="13"/>
        <v>6.3634679738951039E-2</v>
      </c>
      <c r="AG72" s="1341"/>
    </row>
    <row r="73" spans="1:33" s="173" customFormat="1" ht="10.5" customHeight="1" x14ac:dyDescent="0.25">
      <c r="A73" s="239">
        <f t="shared" si="0"/>
        <v>1999</v>
      </c>
      <c r="B73" s="1183">
        <f>1-'F-B5'!B73-'C2-Shares'!J45</f>
        <v>0.44114766159384211</v>
      </c>
      <c r="C73" s="1183">
        <f>1-'F-B5'!C73-'C2-Shares'!R45</f>
        <v>0.41362790054616883</v>
      </c>
      <c r="D73" s="1183">
        <f>1-'F-B5'!D73-'C2-Shares'!Z45</f>
        <v>0.41215126956101328</v>
      </c>
      <c r="E73" s="1183">
        <f>1-'F-B5'!E73-'C2-Shares'!II45</f>
        <v>0.41381605906673452</v>
      </c>
      <c r="G73" s="455">
        <f t="shared" si="6"/>
        <v>46108.891392409671</v>
      </c>
      <c r="H73" s="455">
        <f>C73*'C1-Incomes'!R47*$M73/($N73*0.4)*1000</f>
        <v>48286.982770390488</v>
      </c>
      <c r="I73" s="455">
        <f t="shared" si="7"/>
        <v>43078.179439448249</v>
      </c>
      <c r="J73" s="455">
        <f>E73*'C1-Incomes'!II47*$M73/($N73*0.4)*1000</f>
        <v>34744.98065842934</v>
      </c>
      <c r="L73" s="1013">
        <f>'T-T1'!BN48</f>
        <v>8324399</v>
      </c>
      <c r="M73" s="1182">
        <f>'C0-Ref Stats'!AA45</f>
        <v>1.3497842436197756</v>
      </c>
      <c r="N73" s="1013">
        <f>'C0-Ref Stats'!R45</f>
        <v>268754.99969099998</v>
      </c>
      <c r="P73" s="455">
        <v>278518.77724999998</v>
      </c>
      <c r="Q73" s="455">
        <v>68137.184752000001</v>
      </c>
      <c r="R73" s="455">
        <v>92305.323973000006</v>
      </c>
      <c r="S73" s="455">
        <v>101834.25973999999</v>
      </c>
      <c r="T73" s="455">
        <v>329685.62106999999</v>
      </c>
      <c r="U73" s="455">
        <v>231417.49105000001</v>
      </c>
      <c r="V73" s="455">
        <v>8951.3139967999996</v>
      </c>
      <c r="W73" s="455"/>
      <c r="X73" s="1013">
        <f>C73*'C1-Incomes'!R47</f>
        <v>3845760.7135000005</v>
      </c>
      <c r="Z73" s="1341">
        <f t="shared" si="8"/>
        <v>0.28885051738458867</v>
      </c>
      <c r="AA73" s="1341">
        <f t="shared" si="14"/>
        <v>7.2422284691894406E-2</v>
      </c>
      <c r="AB73" s="1341">
        <f t="shared" si="15"/>
        <v>1.7717479018601968E-2</v>
      </c>
      <c r="AC73" s="1341">
        <f t="shared" si="16"/>
        <v>2.4001837568566133E-2</v>
      </c>
      <c r="AD73" s="1341">
        <f t="shared" si="17"/>
        <v>2.6479614132653959E-2</v>
      </c>
      <c r="AE73" s="1341">
        <f t="shared" si="18"/>
        <v>8.572702402223964E-2</v>
      </c>
      <c r="AF73" s="1341">
        <f t="shared" si="13"/>
        <v>6.2502277950632554E-2</v>
      </c>
      <c r="AG73" s="1341"/>
    </row>
    <row r="74" spans="1:33" s="173" customFormat="1" ht="10.5" customHeight="1" x14ac:dyDescent="0.25">
      <c r="A74" s="239">
        <f t="shared" si="0"/>
        <v>2000</v>
      </c>
      <c r="B74" s="1183">
        <f>1-'F-B5'!B74-'C2-Shares'!J46</f>
        <v>0.43757877962999292</v>
      </c>
      <c r="C74" s="1183">
        <f>1-'F-B5'!C74-'C2-Shares'!R46</f>
        <v>0.41168774986659801</v>
      </c>
      <c r="D74" s="1183">
        <f>1-'F-B5'!D74-'C2-Shares'!Z46</f>
        <v>0.41218251786990989</v>
      </c>
      <c r="E74" s="1183">
        <f>1-'F-B5'!E74-'C2-Shares'!II46</f>
        <v>0.41391743494656008</v>
      </c>
      <c r="G74" s="455">
        <f t="shared" si="6"/>
        <v>46268.147488391325</v>
      </c>
      <c r="H74" s="455">
        <f>C74*'C1-Incomes'!R48*$M74/($N74*0.4)*1000</f>
        <v>48536.59156968067</v>
      </c>
      <c r="I74" s="455">
        <f t="shared" si="7"/>
        <v>43582.829919374613</v>
      </c>
      <c r="J74" s="455">
        <f>E74*'C1-Incomes'!II48*$M74/($N74*0.4)*1000</f>
        <v>34955.981393949936</v>
      </c>
      <c r="L74" s="1013">
        <f>'T-T1'!BN49</f>
        <v>8907019</v>
      </c>
      <c r="M74" s="1182">
        <f>'C0-Ref Stats'!AA46</f>
        <v>1.3169696021941273</v>
      </c>
      <c r="N74" s="1013">
        <f>'C0-Ref Stats'!R46</f>
        <v>277346.238205</v>
      </c>
      <c r="P74" s="455">
        <v>303722.49709999998</v>
      </c>
      <c r="Q74" s="455">
        <v>73262.646024000001</v>
      </c>
      <c r="R74" s="455">
        <v>97284.631630000003</v>
      </c>
      <c r="S74" s="455">
        <v>106771.54325</v>
      </c>
      <c r="T74" s="455">
        <v>346230.63975999999</v>
      </c>
      <c r="U74" s="455">
        <v>251297.53020000001</v>
      </c>
      <c r="V74" s="455">
        <v>8782.0777218000003</v>
      </c>
      <c r="W74" s="455"/>
      <c r="X74" s="1013">
        <f>C74*'C1-Incomes'!R48</f>
        <v>4088611.0248000002</v>
      </c>
      <c r="Z74" s="1341">
        <f t="shared" si="8"/>
        <v>0.29040462848722098</v>
      </c>
      <c r="AA74" s="1341">
        <f t="shared" si="14"/>
        <v>7.428500663372764E-2</v>
      </c>
      <c r="AB74" s="1341">
        <f t="shared" si="15"/>
        <v>1.7918712633609783E-2</v>
      </c>
      <c r="AC74" s="1341">
        <f t="shared" si="16"/>
        <v>2.3794054029573235E-2</v>
      </c>
      <c r="AD74" s="1341">
        <f t="shared" si="17"/>
        <v>2.6114380312131275E-2</v>
      </c>
      <c r="AE74" s="1341">
        <f t="shared" si="18"/>
        <v>8.4681726302622856E-2</v>
      </c>
      <c r="AF74" s="1341">
        <f t="shared" si="13"/>
        <v>6.3610748575556195E-2</v>
      </c>
      <c r="AG74" s="1341"/>
    </row>
    <row r="75" spans="1:33" s="173" customFormat="1" ht="10.5" customHeight="1" x14ac:dyDescent="0.25">
      <c r="A75" s="239">
        <f t="shared" si="0"/>
        <v>2001</v>
      </c>
      <c r="B75" s="1183">
        <f>1-'F-B5'!B75-'C2-Shares'!J47</f>
        <v>0.44519096936568919</v>
      </c>
      <c r="C75" s="1183">
        <f>1-'F-B5'!C75-'C2-Shares'!R47</f>
        <v>0.41722711736028945</v>
      </c>
      <c r="D75" s="1183">
        <f>1-'F-B5'!D75-'C2-Shares'!Z47</f>
        <v>0.41422151842368282</v>
      </c>
      <c r="E75" s="1183">
        <f>1-'F-B5'!E75-'C2-Shares'!II47</f>
        <v>0.41510646223788822</v>
      </c>
      <c r="G75" s="455">
        <f t="shared" si="6"/>
        <v>46825.455431396484</v>
      </c>
      <c r="H75" s="455">
        <f>C75*'C1-Incomes'!R49*$M75/($N75*0.4)*1000</f>
        <v>49250.209837439186</v>
      </c>
      <c r="I75" s="455">
        <f t="shared" si="7"/>
        <v>43568.069849460859</v>
      </c>
      <c r="J75" s="455">
        <f>E75*'C1-Incomes'!II49*$M75/($N75*0.4)*1000</f>
        <v>35699.747717408187</v>
      </c>
      <c r="L75" s="1013">
        <f>'T-T1'!BN50</f>
        <v>9184633</v>
      </c>
      <c r="M75" s="1182">
        <f>'C0-Ref Stats'!AA47</f>
        <v>1.2920246412386707</v>
      </c>
      <c r="N75" s="1013">
        <f>'C0-Ref Stats'!R47</f>
        <v>282057.04306699999</v>
      </c>
      <c r="P75" s="455">
        <v>329009.90111999999</v>
      </c>
      <c r="Q75" s="455">
        <v>79011.242136999994</v>
      </c>
      <c r="R75" s="455">
        <v>75059.864480999997</v>
      </c>
      <c r="S75" s="455">
        <v>114194.14874999999</v>
      </c>
      <c r="T75" s="455">
        <v>364403.34691999998</v>
      </c>
      <c r="U75" s="455">
        <v>256484.51697</v>
      </c>
      <c r="V75" s="455">
        <v>8901.3503068999999</v>
      </c>
      <c r="W75" s="455"/>
      <c r="X75" s="1013">
        <f>C75*'C1-Incomes'!R49</f>
        <v>4300651.2767000003</v>
      </c>
      <c r="Z75" s="1341">
        <f t="shared" si="8"/>
        <v>0.28532059256533299</v>
      </c>
      <c r="AA75" s="1341">
        <f t="shared" si="14"/>
        <v>7.6502343471209711E-2</v>
      </c>
      <c r="AB75" s="1341">
        <f t="shared" si="15"/>
        <v>1.8371924867534795E-2</v>
      </c>
      <c r="AC75" s="1341">
        <f t="shared" si="16"/>
        <v>1.7453138990286918E-2</v>
      </c>
      <c r="AD75" s="1341">
        <f t="shared" si="17"/>
        <v>2.6552757106505991E-2</v>
      </c>
      <c r="AE75" s="1341">
        <f t="shared" si="18"/>
        <v>8.4732130897071017E-2</v>
      </c>
      <c r="AF75" s="1341">
        <f t="shared" si="13"/>
        <v>6.1708297232724564E-2</v>
      </c>
      <c r="AG75" s="1341"/>
    </row>
    <row r="76" spans="1:33" s="173" customFormat="1" ht="10.5" customHeight="1" x14ac:dyDescent="0.25">
      <c r="A76" s="239">
        <f t="shared" si="0"/>
        <v>2002</v>
      </c>
      <c r="B76" s="1183">
        <f>1-'F-B5'!B76-'C2-Shares'!J48</f>
        <v>0.45221445985915759</v>
      </c>
      <c r="C76" s="1183">
        <f>1-'F-B5'!C76-'C2-Shares'!R48</f>
        <v>0.42163996688577227</v>
      </c>
      <c r="D76" s="1183">
        <f>1-'F-B5'!D76-'C2-Shares'!Z48</f>
        <v>0.41806195320530837</v>
      </c>
      <c r="E76" s="1183">
        <f>1-'F-B5'!E76-'C2-Shares'!II48</f>
        <v>0.41812048366004029</v>
      </c>
      <c r="G76" s="455">
        <f t="shared" si="6"/>
        <v>47318.312318620243</v>
      </c>
      <c r="H76" s="455">
        <f>C76*'C1-Incomes'!R50*$M76/($N76*0.4)*1000</f>
        <v>49848.174898386053</v>
      </c>
      <c r="I76" s="455">
        <f t="shared" si="7"/>
        <v>43744.700415953725</v>
      </c>
      <c r="J76" s="455">
        <f>E76*'C1-Incomes'!II50*$M76/($N76*0.4)*1000</f>
        <v>37146.447779345792</v>
      </c>
      <c r="L76" s="1013">
        <f>'T-T1'!BN51</f>
        <v>9436823</v>
      </c>
      <c r="M76" s="1182">
        <f>'C0-Ref Stats'!AA48</f>
        <v>1.2749176108905009</v>
      </c>
      <c r="N76" s="1013">
        <f>'C0-Ref Stats'!R48</f>
        <v>287450.545338</v>
      </c>
      <c r="P76" s="455">
        <v>273191.34610999998</v>
      </c>
      <c r="Q76" s="455">
        <v>74372.325970999998</v>
      </c>
      <c r="R76" s="455">
        <v>73532.728346999997</v>
      </c>
      <c r="S76" s="455">
        <v>124990.1498</v>
      </c>
      <c r="T76" s="455">
        <v>371962.02523999999</v>
      </c>
      <c r="U76" s="455">
        <v>266212.80536</v>
      </c>
      <c r="V76" s="455">
        <v>7891.4448312000004</v>
      </c>
      <c r="W76" s="455"/>
      <c r="X76" s="1013">
        <f>C76*'C1-Incomes'!R50</f>
        <v>4495626.9914999995</v>
      </c>
      <c r="Z76" s="1341">
        <f t="shared" si="8"/>
        <v>0.26518054721026335</v>
      </c>
      <c r="AA76" s="1341">
        <f t="shared" si="14"/>
        <v>6.0768241365782807E-2</v>
      </c>
      <c r="AB76" s="1341">
        <f t="shared" si="15"/>
        <v>1.6543259952753579E-2</v>
      </c>
      <c r="AC76" s="1341">
        <f t="shared" si="16"/>
        <v>1.6356501214631523E-2</v>
      </c>
      <c r="AD76" s="1341">
        <f t="shared" si="17"/>
        <v>2.7802606852463999E-2</v>
      </c>
      <c r="AE76" s="1341">
        <f t="shared" si="18"/>
        <v>8.273863155090011E-2</v>
      </c>
      <c r="AF76" s="1341">
        <f t="shared" si="13"/>
        <v>6.0971306273731367E-2</v>
      </c>
      <c r="AG76" s="1341"/>
    </row>
    <row r="77" spans="1:33" s="173" customFormat="1" ht="10.5" customHeight="1" x14ac:dyDescent="0.25">
      <c r="A77" s="239">
        <f t="shared" si="0"/>
        <v>2003</v>
      </c>
      <c r="B77" s="1183">
        <f>1-'F-B5'!B77-'C2-Shares'!J49</f>
        <v>0.45226587519348299</v>
      </c>
      <c r="C77" s="1183">
        <f>1-'F-B5'!C77-'C2-Shares'!R49</f>
        <v>0.42167325249100113</v>
      </c>
      <c r="D77" s="1183">
        <f>1-'F-B5'!D77-'C2-Shares'!Z49</f>
        <v>0.41788954207131579</v>
      </c>
      <c r="E77" s="1183">
        <f>1-'F-B5'!E77-'C2-Shares'!II49</f>
        <v>0.41760388570616269</v>
      </c>
      <c r="G77" s="455">
        <f t="shared" si="6"/>
        <v>47808.150562154791</v>
      </c>
      <c r="H77" s="455">
        <f>C77*'C1-Incomes'!R51*$M77/($N77*0.4)*1000</f>
        <v>50420.055027944007</v>
      </c>
      <c r="I77" s="455">
        <f t="shared" si="7"/>
        <v>44174.294903740883</v>
      </c>
      <c r="J77" s="455">
        <f>E77*'C1-Incomes'!II51*$M77/($N77*0.4)*1000</f>
        <v>37771.466003328263</v>
      </c>
      <c r="L77" s="1013">
        <f>'T-T1'!BN52</f>
        <v>9864188</v>
      </c>
      <c r="M77" s="1182">
        <f>'C0-Ref Stats'!AA49</f>
        <v>1.2501827068012605</v>
      </c>
      <c r="N77" s="1013">
        <f>'C0-Ref Stats'!R49</f>
        <v>291653.17817799997</v>
      </c>
      <c r="P77" s="455">
        <v>254151.96468</v>
      </c>
      <c r="Q77" s="455">
        <v>75593.725441999995</v>
      </c>
      <c r="R77" s="455">
        <v>94902.922789000004</v>
      </c>
      <c r="S77" s="455">
        <v>131236.06802000001</v>
      </c>
      <c r="T77" s="455">
        <v>382586.95978999999</v>
      </c>
      <c r="U77" s="455">
        <v>275889.47957000002</v>
      </c>
      <c r="V77" s="455">
        <v>6821.0619915999996</v>
      </c>
      <c r="W77" s="455"/>
      <c r="X77" s="1013">
        <f>C77*'C1-Incomes'!R51</f>
        <v>4704966.4701999994</v>
      </c>
      <c r="Z77" s="1341">
        <f t="shared" si="8"/>
        <v>0.25955172901172452</v>
      </c>
      <c r="AA77" s="1341">
        <f t="shared" si="14"/>
        <v>5.4017805714393644E-2</v>
      </c>
      <c r="AB77" s="1341">
        <f t="shared" si="15"/>
        <v>1.6066793657466095E-2</v>
      </c>
      <c r="AC77" s="1341">
        <f t="shared" si="16"/>
        <v>2.0170796835660736E-2</v>
      </c>
      <c r="AD77" s="1341">
        <f t="shared" si="17"/>
        <v>2.7893093149805467E-2</v>
      </c>
      <c r="AE77" s="1341">
        <f t="shared" si="18"/>
        <v>8.1315555001975806E-2</v>
      </c>
      <c r="AF77" s="1341">
        <f t="shared" si="13"/>
        <v>6.0087684652422729E-2</v>
      </c>
      <c r="AG77" s="1341"/>
    </row>
    <row r="78" spans="1:33" s="173" customFormat="1" ht="10.5" customHeight="1" x14ac:dyDescent="0.25">
      <c r="A78" s="239">
        <f t="shared" si="0"/>
        <v>2004</v>
      </c>
      <c r="B78" s="1183">
        <f>1-'F-B5'!B78-'C2-Shares'!J50</f>
        <v>0.44723386015852035</v>
      </c>
      <c r="C78" s="1183">
        <f>1-'F-B5'!C78-'C2-Shares'!R50</f>
        <v>0.4171499581366569</v>
      </c>
      <c r="D78" s="1183">
        <f>1-'F-B5'!D78-'C2-Shares'!Z50</f>
        <v>0.41543743445650538</v>
      </c>
      <c r="E78" s="1183">
        <f>1-'F-B5'!E78-'C2-Shares'!II50</f>
        <v>0.41487444751104197</v>
      </c>
      <c r="G78" s="455">
        <f t="shared" si="6"/>
        <v>48747.795939242227</v>
      </c>
      <c r="H78" s="455">
        <f>C78*'C1-Incomes'!R52*$M78/($N78*0.4)*1000</f>
        <v>51391.70505897118</v>
      </c>
      <c r="I78" s="455">
        <f t="shared" si="7"/>
        <v>45282.034936330441</v>
      </c>
      <c r="J78" s="455">
        <f>E78*'C1-Incomes'!II52*$M78/($N78*0.4)*1000</f>
        <v>38541.390337895791</v>
      </c>
      <c r="L78" s="1013">
        <f>'T-T1'!BN53</f>
        <v>10540946</v>
      </c>
      <c r="M78" s="1182">
        <f>'C0-Ref Stats'!AA50</f>
        <v>1.2204831499503916</v>
      </c>
      <c r="N78" s="1013">
        <f>'C0-Ref Stats'!R50</f>
        <v>295074.090532</v>
      </c>
      <c r="P78" s="455">
        <v>246476.72114000001</v>
      </c>
      <c r="Q78" s="455">
        <v>78323.551143999997</v>
      </c>
      <c r="R78" s="455">
        <v>118775.67593</v>
      </c>
      <c r="S78" s="455">
        <v>135863.20628000001</v>
      </c>
      <c r="T78" s="455">
        <v>404650.41748</v>
      </c>
      <c r="U78" s="455">
        <v>297491.37609999999</v>
      </c>
      <c r="V78" s="455">
        <v>7051.7221616999996</v>
      </c>
      <c r="W78" s="455"/>
      <c r="X78" s="1013">
        <f>C78*'C1-Incomes'!R52</f>
        <v>4969953.294900001</v>
      </c>
      <c r="Z78" s="1341">
        <f t="shared" si="8"/>
        <v>0.25928466401445893</v>
      </c>
      <c r="AA78" s="1341">
        <f t="shared" si="14"/>
        <v>4.9593367686759982E-2</v>
      </c>
      <c r="AB78" s="1341">
        <f t="shared" si="15"/>
        <v>1.5759413921328597E-2</v>
      </c>
      <c r="AC78" s="1341">
        <f t="shared" si="16"/>
        <v>2.3898750930292163E-2</v>
      </c>
      <c r="AD78" s="1341">
        <f t="shared" si="17"/>
        <v>2.7336918119415382E-2</v>
      </c>
      <c r="AE78" s="1341">
        <f t="shared" si="18"/>
        <v>8.14193601970543E-2</v>
      </c>
      <c r="AF78" s="1341">
        <f t="shared" si="13"/>
        <v>6.1276853159608541E-2</v>
      </c>
      <c r="AG78" s="1341"/>
    </row>
    <row r="79" spans="1:33" s="173" customFormat="1" ht="10.5" customHeight="1" x14ac:dyDescent="0.25">
      <c r="A79" s="239">
        <f t="shared" si="0"/>
        <v>2005</v>
      </c>
      <c r="B79" s="1183">
        <f>1-'F-B5'!B79-'C2-Shares'!J51</f>
        <v>0.43868775448779912</v>
      </c>
      <c r="C79" s="1183">
        <f>1-'F-B5'!C79-'C2-Shares'!R51</f>
        <v>0.41003154106972944</v>
      </c>
      <c r="D79" s="1183">
        <f>1-'F-B5'!D79-'C2-Shares'!Z51</f>
        <v>0.41064483408986985</v>
      </c>
      <c r="E79" s="1183">
        <f>1-'F-B5'!E79-'C2-Shares'!II51</f>
        <v>0.40983446886491709</v>
      </c>
      <c r="G79" s="455">
        <f t="shared" si="6"/>
        <v>49606.794130374314</v>
      </c>
      <c r="H79" s="455">
        <f>C79*'C1-Incomes'!R53*$M79/($N79*0.4)*1000</f>
        <v>52362.241954387544</v>
      </c>
      <c r="I79" s="455">
        <f t="shared" si="7"/>
        <v>46435.701787897618</v>
      </c>
      <c r="J79" s="455">
        <f>E79*'C1-Incomes'!II53*$M79/($N79*0.4)*1000</f>
        <v>38730.954341968129</v>
      </c>
      <c r="L79" s="1013">
        <f>'T-T1'!BN54</f>
        <v>11239820</v>
      </c>
      <c r="M79" s="1182">
        <f>'C0-Ref Stats'!AA51</f>
        <v>1.1866444109645462</v>
      </c>
      <c r="N79" s="1013">
        <f>'C0-Ref Stats'!R51</f>
        <v>294872.52815599996</v>
      </c>
      <c r="P79" s="455">
        <v>269048.38053000002</v>
      </c>
      <c r="Q79" s="455">
        <v>83382.801063000006</v>
      </c>
      <c r="R79" s="455">
        <v>159888.92778999999</v>
      </c>
      <c r="S79" s="455">
        <v>145028.43187</v>
      </c>
      <c r="T79" s="455">
        <v>420319.39490999997</v>
      </c>
      <c r="U79" s="455">
        <v>315488.45254999999</v>
      </c>
      <c r="V79" s="455">
        <v>7039.6021737000001</v>
      </c>
      <c r="W79" s="455"/>
      <c r="X79" s="1013">
        <f>C79*'C1-Incomes'!R53</f>
        <v>5204654.9150999999</v>
      </c>
      <c r="Z79" s="1341">
        <f t="shared" si="8"/>
        <v>0.26902763271093783</v>
      </c>
      <c r="AA79" s="1341">
        <f t="shared" si="14"/>
        <v>5.1693798132403296E-2</v>
      </c>
      <c r="AB79" s="1341">
        <f t="shared" si="15"/>
        <v>1.6020812603941472E-2</v>
      </c>
      <c r="AC79" s="1341">
        <f t="shared" si="16"/>
        <v>3.0720370590972785E-2</v>
      </c>
      <c r="AD79" s="1341">
        <f t="shared" si="17"/>
        <v>2.786513884892472E-2</v>
      </c>
      <c r="AE79" s="1341">
        <f t="shared" si="18"/>
        <v>8.0758359923258069E-2</v>
      </c>
      <c r="AF79" s="1341">
        <f t="shared" si="13"/>
        <v>6.1969152611437463E-2</v>
      </c>
      <c r="AG79" s="1341"/>
    </row>
    <row r="80" spans="1:33" s="173" customFormat="1" ht="10.5" customHeight="1" x14ac:dyDescent="0.25">
      <c r="A80" s="239">
        <f t="shared" si="0"/>
        <v>2006</v>
      </c>
      <c r="B80" s="1183">
        <f>1-'F-B5'!B80-'C2-Shares'!J52</f>
        <v>0.43553017167416119</v>
      </c>
      <c r="C80" s="1183">
        <f>1-'F-B5'!C80-'C2-Shares'!R52</f>
        <v>0.40910111904616159</v>
      </c>
      <c r="D80" s="1183">
        <f>1-'F-B5'!D80-'C2-Shares'!Z52</f>
        <v>0.40995499593885992</v>
      </c>
      <c r="E80" s="1183">
        <f>1-'F-B5'!E80-'C2-Shares'!II52</f>
        <v>0.41005368204411313</v>
      </c>
      <c r="G80" s="455">
        <f t="shared" si="6"/>
        <v>50620.060067191982</v>
      </c>
      <c r="H80" s="455">
        <f>C80*'C1-Incomes'!R54*$M80/($N80*0.4)*1000</f>
        <v>53674.768040527713</v>
      </c>
      <c r="I80" s="455">
        <f t="shared" si="7"/>
        <v>47647.552038704576</v>
      </c>
      <c r="J80" s="455">
        <f>E80*'C1-Incomes'!II54*$M80/($N80*0.4)*1000</f>
        <v>39535.218666021974</v>
      </c>
      <c r="L80" s="1013">
        <f>'T-T1'!BN55</f>
        <v>12004751</v>
      </c>
      <c r="M80" s="1182">
        <f>'C0-Ref Stats'!AA52</f>
        <v>1.1557284464102862</v>
      </c>
      <c r="N80" s="1013">
        <f>'C0-Ref Stats'!R52</f>
        <v>298431.42885500001</v>
      </c>
      <c r="P80" s="455">
        <v>298520.31563999999</v>
      </c>
      <c r="Q80" s="455">
        <v>91735.173429999995</v>
      </c>
      <c r="R80" s="455">
        <v>182365.33853000001</v>
      </c>
      <c r="S80" s="455">
        <v>153999.41132000001</v>
      </c>
      <c r="T80" s="455">
        <v>442795.08318000002</v>
      </c>
      <c r="U80" s="455">
        <v>326789.28821999999</v>
      </c>
      <c r="V80" s="455">
        <v>7180.9091068999996</v>
      </c>
      <c r="W80" s="455"/>
      <c r="X80" s="1013">
        <f>C80*'C1-Incomes'!R54</f>
        <v>5543945.1264000004</v>
      </c>
      <c r="Z80" s="1341">
        <f t="shared" si="8"/>
        <v>0.27117611829667115</v>
      </c>
      <c r="AA80" s="1341">
        <f t="shared" si="14"/>
        <v>5.3846188739939106E-2</v>
      </c>
      <c r="AB80" s="1341">
        <f t="shared" si="15"/>
        <v>1.6546912232799981E-2</v>
      </c>
      <c r="AC80" s="1341">
        <f t="shared" si="16"/>
        <v>3.2894506415942867E-2</v>
      </c>
      <c r="AD80" s="1341">
        <f t="shared" si="17"/>
        <v>2.7777946536061877E-2</v>
      </c>
      <c r="AE80" s="1341">
        <f t="shared" si="18"/>
        <v>7.9870033538288657E-2</v>
      </c>
      <c r="AF80" s="1341">
        <f t="shared" si="13"/>
        <v>6.0240530833638652E-2</v>
      </c>
      <c r="AG80" s="1341"/>
    </row>
    <row r="81" spans="1:33" s="173" customFormat="1" ht="10.5" customHeight="1" x14ac:dyDescent="0.25">
      <c r="A81" s="239">
        <f t="shared" si="0"/>
        <v>2007</v>
      </c>
      <c r="B81" s="1183">
        <f>1-'F-B5'!B81-'C2-Shares'!J53</f>
        <v>0.43547410839244116</v>
      </c>
      <c r="C81" s="1183">
        <f>1-'F-B5'!C81-'C2-Shares'!R53</f>
        <v>0.40832966466754622</v>
      </c>
      <c r="D81" s="1183">
        <f>1-'F-B5'!D81-'C2-Shares'!Z53</f>
        <v>0.40958170729826826</v>
      </c>
      <c r="E81" s="1183">
        <f>1-'F-B5'!E81-'C2-Shares'!II53</f>
        <v>0.41074499197372111</v>
      </c>
      <c r="G81" s="455">
        <f t="shared" si="6"/>
        <v>50122.252808228935</v>
      </c>
      <c r="H81" s="455">
        <f>C81*'C1-Incomes'!R55*$M81/($N81*0.4)*1000</f>
        <v>53278.827827844339</v>
      </c>
      <c r="I81" s="455">
        <f t="shared" si="7"/>
        <v>47142.086023468779</v>
      </c>
      <c r="J81" s="455">
        <f>E81*'C1-Incomes'!II55*$M81/($N81*0.4)*1000</f>
        <v>39112.292185865634</v>
      </c>
      <c r="L81" s="1013">
        <f>'T-T1'!BN56</f>
        <v>12321373</v>
      </c>
      <c r="M81" s="1182">
        <f>'C0-Ref Stats'!AA53</f>
        <v>1.127496112295445</v>
      </c>
      <c r="N81" s="1013">
        <f>'C0-Ref Stats'!R53</f>
        <v>301749.05779600004</v>
      </c>
      <c r="P81" s="455">
        <v>327332.63257000002</v>
      </c>
      <c r="Q81" s="455">
        <v>94372.730226</v>
      </c>
      <c r="R81" s="455">
        <v>171967.22620999999</v>
      </c>
      <c r="S81" s="455">
        <v>166601.06847</v>
      </c>
      <c r="T81" s="455">
        <v>462610.15467000002</v>
      </c>
      <c r="U81" s="455">
        <v>337089.53652999998</v>
      </c>
      <c r="V81" s="455">
        <v>6865.1581046000001</v>
      </c>
      <c r="W81" s="455"/>
      <c r="X81" s="1013">
        <f>C81*'C1-Incomes'!R55</f>
        <v>5703553.5367999999</v>
      </c>
      <c r="Z81" s="1341">
        <f t="shared" si="8"/>
        <v>0.27471268511309188</v>
      </c>
      <c r="AA81" s="1341">
        <f t="shared" si="14"/>
        <v>5.7390998516628496E-2</v>
      </c>
      <c r="AB81" s="1341">
        <f t="shared" si="15"/>
        <v>1.6546303916864465E-2</v>
      </c>
      <c r="AC81" s="1341">
        <f t="shared" si="16"/>
        <v>3.0150891913339143E-2</v>
      </c>
      <c r="AD81" s="1341">
        <f t="shared" si="17"/>
        <v>2.9210047279309339E-2</v>
      </c>
      <c r="AE81" s="1341">
        <f t="shared" si="18"/>
        <v>8.1109110607130233E-2</v>
      </c>
      <c r="AF81" s="1341">
        <f t="shared" si="13"/>
        <v>6.0305332879820227E-2</v>
      </c>
      <c r="AG81" s="1341"/>
    </row>
    <row r="82" spans="1:33" s="173" customFormat="1" ht="10.5" customHeight="1" x14ac:dyDescent="0.25">
      <c r="A82" s="239">
        <f t="shared" si="0"/>
        <v>2008</v>
      </c>
      <c r="B82" s="1183">
        <f>1-'F-B5'!B82-'C2-Shares'!J54</f>
        <v>0.44148792636690992</v>
      </c>
      <c r="C82" s="1183">
        <f>1-'F-B5'!C82-'C2-Shares'!R54</f>
        <v>0.41154119279976192</v>
      </c>
      <c r="D82" s="1183">
        <f>1-'F-B5'!D82-'C2-Shares'!Z54</f>
        <v>0.41169356821770192</v>
      </c>
      <c r="E82" s="1183">
        <f>1-'F-B5'!E82-'C2-Shares'!II54</f>
        <v>0.41158475784328563</v>
      </c>
      <c r="G82" s="455">
        <f t="shared" si="6"/>
        <v>49273.466582729154</v>
      </c>
      <c r="H82" s="455">
        <f>C82*'C1-Incomes'!R56*$M82/($N82*0.4)*1000</f>
        <v>53129.562704831689</v>
      </c>
      <c r="I82" s="455">
        <f t="shared" si="7"/>
        <v>45948.18581525742</v>
      </c>
      <c r="J82" s="455">
        <f>E82*'C1-Incomes'!II56*$M82/($N82*0.4)*1000</f>
        <v>39493.724686341819</v>
      </c>
      <c r="L82" s="1013">
        <f>'T-T1'!BN57</f>
        <v>12427821</v>
      </c>
      <c r="M82" s="1182">
        <f>'C0-Ref Stats'!AA54</f>
        <v>1.094098835756758</v>
      </c>
      <c r="N82" s="1013">
        <f>'C0-Ref Stats'!R54</f>
        <v>304577.11416500004</v>
      </c>
      <c r="P82" s="455">
        <v>352891.65201000002</v>
      </c>
      <c r="Q82" s="455">
        <v>100288.7997</v>
      </c>
      <c r="R82" s="455">
        <v>114784.68829999999</v>
      </c>
      <c r="S82" s="455">
        <v>170231.63488999999</v>
      </c>
      <c r="T82" s="455">
        <v>475679.34664</v>
      </c>
      <c r="U82" s="455">
        <v>349698.03762999998</v>
      </c>
      <c r="V82" s="455">
        <v>7441.0422415000003</v>
      </c>
      <c r="W82" s="455"/>
      <c r="X82" s="1013">
        <f>C82*'C1-Incomes'!R56</f>
        <v>5916119.5887000002</v>
      </c>
      <c r="Z82" s="1341">
        <f t="shared" si="8"/>
        <v>0.26554824963514856</v>
      </c>
      <c r="AA82" s="1341">
        <f t="shared" si="14"/>
        <v>5.9649174888897732E-2</v>
      </c>
      <c r="AB82" s="1341">
        <f t="shared" si="15"/>
        <v>1.695178709564208E-2</v>
      </c>
      <c r="AC82" s="1341">
        <f t="shared" si="16"/>
        <v>1.9402022994809445E-2</v>
      </c>
      <c r="AD82" s="1341">
        <f t="shared" si="17"/>
        <v>2.877420449971101E-2</v>
      </c>
      <c r="AE82" s="1341">
        <f t="shared" si="18"/>
        <v>8.0403943752010112E-2</v>
      </c>
      <c r="AF82" s="1341">
        <f t="shared" si="13"/>
        <v>6.0367116404078165E-2</v>
      </c>
      <c r="AG82" s="1341"/>
    </row>
    <row r="83" spans="1:33" s="173" customFormat="1" ht="10.5" customHeight="1" x14ac:dyDescent="0.25">
      <c r="A83" s="239">
        <f t="shared" si="0"/>
        <v>2009</v>
      </c>
      <c r="B83" s="1183">
        <f>1-'F-B5'!B83-'C2-Shares'!J55</f>
        <v>0.45129390686683302</v>
      </c>
      <c r="C83" s="1183">
        <f>1-'F-B5'!C83-'C2-Shares'!R55</f>
        <v>0.41610336963314454</v>
      </c>
      <c r="D83" s="1183">
        <f>1-'F-B5'!D83-'C2-Shares'!Z55</f>
        <v>0.41276580560402421</v>
      </c>
      <c r="E83" s="1183">
        <f>1-'F-B5'!E83-'C2-Shares'!II55</f>
        <v>0.41315587643280072</v>
      </c>
      <c r="G83" s="455">
        <f t="shared" si="6"/>
        <v>48799.482852332942</v>
      </c>
      <c r="H83" s="455">
        <f>C83*'C1-Incomes'!R57*$M83/($N83*0.4)*1000</f>
        <v>52587.749914855602</v>
      </c>
      <c r="I83" s="455">
        <f t="shared" si="7"/>
        <v>44633.347683434738</v>
      </c>
      <c r="J83" s="455">
        <f>E83*'C1-Incomes'!II57*$M83/($N83*0.4)*1000</f>
        <v>40351.373560885695</v>
      </c>
      <c r="L83" s="1013">
        <f>'T-T1'!BN58</f>
        <v>12126078</v>
      </c>
      <c r="M83" s="1182">
        <f>'C0-Ref Stats'!AA55</f>
        <v>1.0948099999999998</v>
      </c>
      <c r="N83" s="1013">
        <f>'C0-Ref Stats'!R55</f>
        <v>306932.850033</v>
      </c>
      <c r="P83" s="455">
        <v>271406.62349999999</v>
      </c>
      <c r="Q83" s="455">
        <v>86921.954610000001</v>
      </c>
      <c r="R83" s="455">
        <v>90701.243858000002</v>
      </c>
      <c r="S83" s="455">
        <v>181361.84049999999</v>
      </c>
      <c r="T83" s="455">
        <v>462731.52799999999</v>
      </c>
      <c r="U83" s="455">
        <v>338094.26879</v>
      </c>
      <c r="V83" s="455">
        <v>4485.5869881999997</v>
      </c>
      <c r="W83" s="455"/>
      <c r="X83" s="1013">
        <f>C83*'C1-Incomes'!R57</f>
        <v>5897245.3514999989</v>
      </c>
      <c r="Z83" s="1341">
        <f t="shared" si="8"/>
        <v>0.24345316510886231</v>
      </c>
      <c r="AA83" s="1341">
        <f t="shared" si="14"/>
        <v>4.6022610104049025E-2</v>
      </c>
      <c r="AB83" s="1341">
        <f t="shared" si="15"/>
        <v>1.47394163595196E-2</v>
      </c>
      <c r="AC83" s="1341">
        <f t="shared" si="16"/>
        <v>1.5380273068497922E-2</v>
      </c>
      <c r="AD83" s="1341">
        <f t="shared" si="17"/>
        <v>3.0753653560279554E-2</v>
      </c>
      <c r="AE83" s="1341">
        <f t="shared" si="18"/>
        <v>7.8465707363235535E-2</v>
      </c>
      <c r="AF83" s="1341">
        <f t="shared" si="13"/>
        <v>5.8091504653280675E-2</v>
      </c>
      <c r="AG83" s="1341"/>
    </row>
    <row r="84" spans="1:33" s="173" customFormat="1" ht="10.5" customHeight="1" x14ac:dyDescent="0.25">
      <c r="A84" s="239">
        <f t="shared" si="0"/>
        <v>2010</v>
      </c>
      <c r="B84" s="1183">
        <f>1-'F-B5'!B84-'C2-Shares'!J56</f>
        <v>0.44231430204160932</v>
      </c>
      <c r="C84" s="1183">
        <f>1-'F-B5'!C84-'C2-Shares'!R56</f>
        <v>0.40707939150184858</v>
      </c>
      <c r="D84" s="1183">
        <f>1-'F-B5'!D84-'C2-Shares'!Z56</f>
        <v>0.40407657079788856</v>
      </c>
      <c r="E84" s="1183">
        <f>1-'F-B5'!E84-'C2-Shares'!II56</f>
        <v>0.40350868869734391</v>
      </c>
      <c r="G84" s="455">
        <f t="shared" si="6"/>
        <v>48924.1571168019</v>
      </c>
      <c r="H84" s="455">
        <f>C84*'C1-Incomes'!R58*$M84/($N84*0.4)*1000</f>
        <v>52884.651966873796</v>
      </c>
      <c r="I84" s="455">
        <f t="shared" si="7"/>
        <v>44694.701359836909</v>
      </c>
      <c r="J84" s="455">
        <f>E84*'C1-Incomes'!II58*$M84/($N84*0.4)*1000</f>
        <v>40425.28944166116</v>
      </c>
      <c r="L84" s="1013">
        <f>'T-T1'!BN59</f>
        <v>12739542</v>
      </c>
      <c r="M84" s="1182">
        <f>'C0-Ref Stats'!AA56</f>
        <v>1.0770070730819552</v>
      </c>
      <c r="N84" s="1013">
        <f>'C0-Ref Stats'!R56</f>
        <v>310113.02631700004</v>
      </c>
      <c r="P84" s="455">
        <v>288745.17096999998</v>
      </c>
      <c r="Q84" s="455">
        <v>88092.864977000005</v>
      </c>
      <c r="R84" s="455">
        <v>112760.80422999999</v>
      </c>
      <c r="S84" s="455">
        <v>176954.86464000001</v>
      </c>
      <c r="T84" s="455">
        <v>474182.63111999998</v>
      </c>
      <c r="U84" s="455">
        <v>354466.52941999998</v>
      </c>
      <c r="V84" s="455">
        <v>2784.5216237999998</v>
      </c>
      <c r="W84" s="455"/>
      <c r="X84" s="1013">
        <f>C84*'C1-Incomes'!R58</f>
        <v>6091035.0088</v>
      </c>
      <c r="Z84" s="1341">
        <f t="shared" si="8"/>
        <v>0.24593314351610002</v>
      </c>
      <c r="AA84" s="1341">
        <f t="shared" si="14"/>
        <v>4.7404943585587091E-2</v>
      </c>
      <c r="AB84" s="1341">
        <f t="shared" si="15"/>
        <v>1.446270869396222E-2</v>
      </c>
      <c r="AC84" s="1341">
        <f t="shared" si="16"/>
        <v>1.8512585146381402E-2</v>
      </c>
      <c r="AD84" s="1341">
        <f t="shared" si="17"/>
        <v>2.9051690621437101E-2</v>
      </c>
      <c r="AE84" s="1341">
        <f t="shared" si="18"/>
        <v>7.7849270351414229E-2</v>
      </c>
      <c r="AF84" s="1341">
        <f t="shared" si="13"/>
        <v>5.8651945117317965E-2</v>
      </c>
      <c r="AG84" s="1341"/>
    </row>
    <row r="85" spans="1:33" s="173" customFormat="1" ht="10.5" customHeight="1" x14ac:dyDescent="0.25">
      <c r="A85" s="239">
        <f t="shared" si="0"/>
        <v>2011</v>
      </c>
      <c r="B85" s="1183">
        <f>1-'F-B5'!B85-'C2-Shares'!J57</f>
        <v>0.44306366243401413</v>
      </c>
      <c r="C85" s="1183">
        <f>1-'F-B5'!C85-'C2-Shares'!R57</f>
        <v>0.40894374308630804</v>
      </c>
      <c r="D85" s="1183">
        <f>1-'F-B5'!D85-'C2-Shares'!Z57</f>
        <v>0.40885776356867037</v>
      </c>
      <c r="E85" s="1183">
        <f>1-'F-B5'!E85-'C2-Shares'!II57</f>
        <v>0.40731248562641725</v>
      </c>
      <c r="G85" s="455">
        <f t="shared" si="6"/>
        <v>49667.896754824891</v>
      </c>
      <c r="H85" s="455">
        <f>C85*'C1-Incomes'!R59*$M85/($N85*0.4)*1000</f>
        <v>53550.867773328479</v>
      </c>
      <c r="I85" s="455">
        <f t="shared" si="7"/>
        <v>45833.379963453175</v>
      </c>
      <c r="J85" s="455">
        <f>E85*'C1-Incomes'!II59*$M85/($N85*0.4)*1000</f>
        <v>40967.637973221928</v>
      </c>
      <c r="L85" s="1013">
        <f>'T-T1'!BN60</f>
        <v>13352255</v>
      </c>
      <c r="M85" s="1182">
        <f>'C0-Ref Stats'!AA57</f>
        <v>1.0511958828217265</v>
      </c>
      <c r="N85" s="1013">
        <f>'C0-Ref Stats'!R57</f>
        <v>313017.51636699995</v>
      </c>
      <c r="P85" s="455">
        <v>350575.49426000001</v>
      </c>
      <c r="Q85" s="455">
        <v>96666.290737999996</v>
      </c>
      <c r="R85" s="455">
        <v>120473.52026</v>
      </c>
      <c r="S85" s="455">
        <v>180018.53286000001</v>
      </c>
      <c r="T85" s="455">
        <v>430370.95188000001</v>
      </c>
      <c r="U85" s="455">
        <v>375904.27717000002</v>
      </c>
      <c r="V85" s="455">
        <v>2105.5290272000002</v>
      </c>
      <c r="W85" s="455"/>
      <c r="X85" s="1013">
        <f>C85*'C1-Incomes'!R59</f>
        <v>6378396.2261000006</v>
      </c>
      <c r="Z85" s="1341">
        <f t="shared" si="8"/>
        <v>0.24396643623794895</v>
      </c>
      <c r="AA85" s="1341">
        <f t="shared" si="14"/>
        <v>5.4962953355808614E-2</v>
      </c>
      <c r="AB85" s="1341">
        <f t="shared" si="15"/>
        <v>1.5155265886814548E-2</v>
      </c>
      <c r="AC85" s="1341">
        <f t="shared" si="16"/>
        <v>1.888774481695412E-2</v>
      </c>
      <c r="AD85" s="1341">
        <f t="shared" si="17"/>
        <v>2.8223165585633481E-2</v>
      </c>
      <c r="AE85" s="1341">
        <f t="shared" si="18"/>
        <v>6.7473223146431199E-2</v>
      </c>
      <c r="AF85" s="1341">
        <f t="shared" si="13"/>
        <v>5.9264083446306993E-2</v>
      </c>
      <c r="AG85" s="1341"/>
    </row>
    <row r="86" spans="1:33" s="173" customFormat="1" ht="10.5" customHeight="1" x14ac:dyDescent="0.25">
      <c r="A86" s="239">
        <f t="shared" si="0"/>
        <v>2012</v>
      </c>
      <c r="B86" s="1183">
        <f>1-'F-B5'!B86-'C2-Shares'!J58</f>
        <v>0.43379309471985883</v>
      </c>
      <c r="C86" s="1183">
        <f>1-'F-B5'!C86-'C2-Shares'!R58</f>
        <v>0.40429258694160497</v>
      </c>
      <c r="D86" s="1183">
        <f>1-'F-B5'!D86-'C2-Shares'!Z58</f>
        <v>0.40707619834492753</v>
      </c>
      <c r="E86" s="1183">
        <f>1-'F-B5'!E86-'C2-Shares'!II58</f>
        <v>0.40450524053492848</v>
      </c>
      <c r="G86" s="455">
        <f t="shared" si="6"/>
        <v>49720.105176527381</v>
      </c>
      <c r="H86" s="455">
        <f>C86*'C1-Incomes'!R60*$M86/($N86*0.4)*1000</f>
        <v>53777.241878976849</v>
      </c>
      <c r="I86" s="455">
        <f t="shared" si="7"/>
        <v>46657.892075579308</v>
      </c>
      <c r="J86" s="455">
        <f>E86*'C1-Incomes'!II60*$M86/($N86*0.4)*1000</f>
        <v>41305.340520499863</v>
      </c>
      <c r="L86" s="1013">
        <f>'T-T1'!BN61</f>
        <v>14061878</v>
      </c>
      <c r="M86" s="1182">
        <f>'C0-Ref Stats'!AA58</f>
        <v>1.0316619707692163</v>
      </c>
      <c r="N86" s="1013">
        <f>'C0-Ref Stats'!R58</f>
        <v>316425.41037200001</v>
      </c>
      <c r="P86" s="455">
        <v>337191.92356999998</v>
      </c>
      <c r="Q86" s="455">
        <v>100240.85599</v>
      </c>
      <c r="R86" s="455">
        <v>139110.40278999999</v>
      </c>
      <c r="S86" s="455">
        <v>178435.0416</v>
      </c>
      <c r="T86" s="455">
        <v>443870.42327000003</v>
      </c>
      <c r="U86" s="455">
        <v>375459.98194999999</v>
      </c>
      <c r="V86" s="455">
        <v>2804.7707945000002</v>
      </c>
      <c r="W86" s="455"/>
      <c r="X86" s="1013">
        <f>C86*'C1-Incomes'!R60</f>
        <v>6597698.2043999992</v>
      </c>
      <c r="Z86" s="1341">
        <f t="shared" si="8"/>
        <v>0.23903994258372177</v>
      </c>
      <c r="AA86" s="1341">
        <f t="shared" si="14"/>
        <v>5.1107509486433764E-2</v>
      </c>
      <c r="AB86" s="1341">
        <f t="shared" si="15"/>
        <v>1.5193307254210182E-2</v>
      </c>
      <c r="AC86" s="1341">
        <f t="shared" si="16"/>
        <v>2.1084687186392882E-2</v>
      </c>
      <c r="AD86" s="1341">
        <f t="shared" si="17"/>
        <v>2.7045044509765817E-2</v>
      </c>
      <c r="AE86" s="1341">
        <f t="shared" si="18"/>
        <v>6.7276557599131051E-2</v>
      </c>
      <c r="AF86" s="1341">
        <f t="shared" si="13"/>
        <v>5.733283654778807E-2</v>
      </c>
      <c r="AG86" s="1341"/>
    </row>
    <row r="87" spans="1:33" s="173" customFormat="1" ht="10.5" customHeight="1" x14ac:dyDescent="0.25">
      <c r="A87" s="239">
        <f t="shared" si="0"/>
        <v>2013</v>
      </c>
      <c r="B87" s="1183">
        <f>1-'F-B5'!B87-'C2-Shares'!J59</f>
        <v>0.44371747241921722</v>
      </c>
      <c r="C87" s="1183">
        <f>1-'F-B5'!C87-'C2-Shares'!R59</f>
        <v>0.41278393968315508</v>
      </c>
      <c r="D87" s="1183">
        <f>1-'F-B5'!D87-'C2-Shares'!Z59</f>
        <v>0.41589874214244654</v>
      </c>
      <c r="E87" s="1183">
        <f>1-'F-B5'!E87-'C2-Shares'!II59</f>
        <v>0.41463465407593642</v>
      </c>
      <c r="G87" s="455">
        <f t="shared" si="6"/>
        <v>51087.539460179833</v>
      </c>
      <c r="H87" s="455">
        <f>C87*'C1-Incomes'!R61*$M87/($N87*0.4)*1000</f>
        <v>55139.050742946289</v>
      </c>
      <c r="I87" s="455">
        <f t="shared" si="7"/>
        <v>47884.621907715496</v>
      </c>
      <c r="J87" s="455">
        <f>E87*'C1-Incomes'!II61*$M87/($N87*0.4)*1000</f>
        <v>41560.437024491868</v>
      </c>
      <c r="L87" s="1013">
        <f>'T-T1'!BN62</f>
        <v>14444823</v>
      </c>
      <c r="M87" s="1182">
        <f>'C0-Ref Stats'!AA59</f>
        <v>1.0181248372577465</v>
      </c>
      <c r="N87" s="1013">
        <f>'C0-Ref Stats'!R59</f>
        <v>319333.74169299996</v>
      </c>
      <c r="P87" s="455">
        <v>380858.9865</v>
      </c>
      <c r="Q87" s="455">
        <v>104891.39792</v>
      </c>
      <c r="R87" s="455">
        <v>153878.35251999999</v>
      </c>
      <c r="S87" s="455">
        <v>182062.17086000001</v>
      </c>
      <c r="T87" s="455">
        <v>522278.52652000001</v>
      </c>
      <c r="U87" s="455">
        <v>406350.17131000001</v>
      </c>
      <c r="V87" s="455">
        <v>3830.5414268999998</v>
      </c>
      <c r="W87" s="455"/>
      <c r="X87" s="1013">
        <f>C87*'C1-Incomes'!R61</f>
        <v>6917721.1842000009</v>
      </c>
      <c r="Z87" s="1341">
        <f t="shared" si="8"/>
        <v>0.25357340955911317</v>
      </c>
      <c r="AA87" s="1341">
        <f t="shared" si="14"/>
        <v>5.5055556065179055E-2</v>
      </c>
      <c r="AB87" s="1341">
        <f t="shared" si="15"/>
        <v>1.5162709673753664E-2</v>
      </c>
      <c r="AC87" s="1341">
        <f t="shared" si="16"/>
        <v>2.2244081312709805E-2</v>
      </c>
      <c r="AD87" s="1341">
        <f t="shared" si="17"/>
        <v>2.6318229083274997E-2</v>
      </c>
      <c r="AE87" s="1341">
        <f t="shared" si="18"/>
        <v>7.5498637862549081E-2</v>
      </c>
      <c r="AF87" s="1341">
        <f t="shared" si="13"/>
        <v>5.929419556164655E-2</v>
      </c>
      <c r="AG87" s="1341"/>
    </row>
    <row r="88" spans="1:33" s="173" customFormat="1" ht="10.5" customHeight="1" x14ac:dyDescent="0.25">
      <c r="A88" s="239">
        <f t="shared" si="0"/>
        <v>2014</v>
      </c>
      <c r="B88" s="1183">
        <f>1-'F-B5'!B88-'C2-Shares'!J60</f>
        <v>0.44091798514948521</v>
      </c>
      <c r="C88" s="1183">
        <f>1-'F-B5'!C88-'C2-Shares'!R60</f>
        <v>0.40986006940193315</v>
      </c>
      <c r="D88" s="1183">
        <f>1-'F-B5'!D88-'C2-Shares'!Z60</f>
        <v>0.41384891937103169</v>
      </c>
      <c r="E88" s="1183">
        <f>1-'F-B5'!E88-'C2-Shares'!II60</f>
        <v>0.41199857455643857</v>
      </c>
      <c r="G88" s="455">
        <f t="shared" si="6"/>
        <v>52093.088649821671</v>
      </c>
      <c r="H88" s="455">
        <f>C88*'C1-Incomes'!R62*$M88/($N88*0.4)*1000</f>
        <v>56167.379500111943</v>
      </c>
      <c r="I88" s="455">
        <f t="shared" si="7"/>
        <v>48894.962715387941</v>
      </c>
      <c r="J88" s="455">
        <f>E88*'C1-Incomes'!II62*$M88/($N88*0.4)*1000</f>
        <v>42314.405154871718</v>
      </c>
      <c r="L88" s="1013">
        <f>'T-T1'!BN63</f>
        <v>15144033</v>
      </c>
      <c r="M88" s="1182">
        <f>'C0-Ref Stats'!AA60</f>
        <v>1.002968201764431</v>
      </c>
      <c r="N88" s="1013">
        <f>'C0-Ref Stats'!R60</f>
        <v>321400.41005999997</v>
      </c>
      <c r="O88" s="1013"/>
      <c r="P88" s="455">
        <v>399665.60892000003</v>
      </c>
      <c r="Q88" s="455">
        <v>107483.37123</v>
      </c>
      <c r="R88" s="455">
        <v>161536.86687999999</v>
      </c>
      <c r="S88" s="455">
        <v>182429.15570999999</v>
      </c>
      <c r="T88" s="455">
        <v>543806.54041999998</v>
      </c>
      <c r="U88" s="455">
        <v>438899.17109000002</v>
      </c>
      <c r="V88" s="455">
        <v>3542.3447941999998</v>
      </c>
      <c r="W88" s="455"/>
      <c r="X88" s="1013">
        <f>C88*'C1-Incomes'!R62</f>
        <v>7199517.8996000001</v>
      </c>
      <c r="Z88" s="1341">
        <f t="shared" si="8"/>
        <v>0.25520640196564864</v>
      </c>
      <c r="AA88" s="1341">
        <f t="shared" si="14"/>
        <v>5.5512829399619268E-2</v>
      </c>
      <c r="AB88" s="1341">
        <f t="shared" si="15"/>
        <v>1.4929245642402209E-2</v>
      </c>
      <c r="AC88" s="1341">
        <f t="shared" si="16"/>
        <v>2.2437178312866596E-2</v>
      </c>
      <c r="AD88" s="1341">
        <f t="shared" si="17"/>
        <v>2.5339079401432645E-2</v>
      </c>
      <c r="AE88" s="1341">
        <f t="shared" si="18"/>
        <v>7.553374378723518E-2</v>
      </c>
      <c r="AF88" s="1341">
        <f t="shared" si="13"/>
        <v>6.145432542209274E-2</v>
      </c>
      <c r="AG88" s="1341"/>
    </row>
    <row r="89" spans="1:33" s="173" customFormat="1" ht="10.5" customHeight="1" x14ac:dyDescent="0.25">
      <c r="A89" s="239">
        <f t="shared" si="0"/>
        <v>2015</v>
      </c>
      <c r="B89" s="1183">
        <f>1-'F-B5'!B89-'C2-Shares'!J61</f>
        <v>0.44219933781017362</v>
      </c>
      <c r="C89" s="1183">
        <f>1-'F-B5'!C89-'C2-Shares'!R61</f>
        <v>0.41088343174683145</v>
      </c>
      <c r="D89" s="1183">
        <f>1-'F-B5'!D89-'C2-Shares'!Z61</f>
        <v>0.41499586067190863</v>
      </c>
      <c r="E89" s="1183">
        <f>1-'F-B5'!E89-'C2-Shares'!II61</f>
        <v>0.41351434124506925</v>
      </c>
      <c r="G89" s="455">
        <f t="shared" si="6"/>
        <v>53686.069919759175</v>
      </c>
      <c r="H89" s="455">
        <f>C89*'C1-Incomes'!R63*$M89/($N89*0.4)*1000</f>
        <v>57962.878963646734</v>
      </c>
      <c r="I89" s="455">
        <f t="shared" si="7"/>
        <v>50383.378914074303</v>
      </c>
      <c r="J89" s="455">
        <f>E89*'C1-Incomes'!II63*$M89/($N89*0.4)*1000</f>
        <v>43603.107379305533</v>
      </c>
      <c r="L89" s="1013">
        <f>'T-T1'!BN64</f>
        <v>15739598</v>
      </c>
      <c r="M89" s="1182">
        <f>'C0-Ref Stats'!AA61</f>
        <v>1</v>
      </c>
      <c r="N89" s="1013">
        <f>'C0-Ref Stats'!R61</f>
        <v>324108.27535899996</v>
      </c>
      <c r="P89" s="455">
        <v>439877.23411000002</v>
      </c>
      <c r="Q89" s="455">
        <v>112556.47554</v>
      </c>
      <c r="R89" s="455">
        <v>159336.53831</v>
      </c>
      <c r="S89" s="455">
        <v>184817.96797999999</v>
      </c>
      <c r="T89" s="455">
        <v>565978.97826</v>
      </c>
      <c r="U89" s="455">
        <v>468198.58549000003</v>
      </c>
      <c r="V89" s="455">
        <v>3759.1521455000002</v>
      </c>
      <c r="W89" s="455"/>
      <c r="X89" s="1013">
        <f>C89*'C1-Incomes'!R63</f>
        <v>7514499.4943000004</v>
      </c>
      <c r="Z89" s="1341">
        <f t="shared" si="8"/>
        <v>0.25743895961439645</v>
      </c>
      <c r="AA89" s="1341">
        <f t="shared" si="14"/>
        <v>5.8537130043546035E-2</v>
      </c>
      <c r="AB89" s="1341">
        <f t="shared" si="15"/>
        <v>1.4978572508438899E-2</v>
      </c>
      <c r="AC89" s="1341">
        <f t="shared" si="16"/>
        <v>2.1203879038232967E-2</v>
      </c>
      <c r="AD89" s="1341">
        <f t="shared" si="17"/>
        <v>2.4594847350803684E-2</v>
      </c>
      <c r="AE89" s="1341">
        <f t="shared" si="18"/>
        <v>7.531825355625002E-2</v>
      </c>
      <c r="AF89" s="1341">
        <f t="shared" si="13"/>
        <v>6.2806277117124804E-2</v>
      </c>
      <c r="AG89" s="1341"/>
    </row>
    <row r="91" spans="1:33" x14ac:dyDescent="0.3">
      <c r="A91" s="1011" t="s">
        <v>1876</v>
      </c>
      <c r="P91" s="988"/>
      <c r="Q91" s="988"/>
      <c r="R91" s="988"/>
      <c r="S91" s="988"/>
      <c r="T91" s="988"/>
      <c r="U91" s="988"/>
      <c r="V91" s="988"/>
      <c r="W91" s="988"/>
      <c r="Y91" s="1319"/>
      <c r="Z91" s="1175"/>
    </row>
    <row r="92" spans="1:33" x14ac:dyDescent="0.3">
      <c r="A92" s="1011" t="s">
        <v>1058</v>
      </c>
      <c r="G92" s="72">
        <f>(G89-G53)/G53</f>
        <v>0.68320645287610271</v>
      </c>
      <c r="H92" s="72">
        <f>(H89-H53)/H53</f>
        <v>0.766701172865768</v>
      </c>
      <c r="I92" s="72">
        <f>(I89-I53)/I53</f>
        <v>0.73900840424534875</v>
      </c>
      <c r="J92" s="72">
        <f>(J89-J53)/J53</f>
        <v>0.86939970906750252</v>
      </c>
      <c r="P92" s="72"/>
      <c r="Q92" s="72"/>
      <c r="R92" s="72"/>
      <c r="S92" s="72"/>
      <c r="T92" s="72"/>
      <c r="U92" s="72"/>
      <c r="V92" s="72"/>
      <c r="W92" s="72"/>
      <c r="Y92" s="1319"/>
      <c r="Z92" s="74"/>
    </row>
    <row r="93" spans="1:33" x14ac:dyDescent="0.3">
      <c r="A93" s="1011" t="s">
        <v>1115</v>
      </c>
      <c r="G93" s="72">
        <f>(G89-G34)/G34</f>
        <v>1.9097440983451057</v>
      </c>
      <c r="H93" s="72">
        <f>(H89-H34)/H34</f>
        <v>2.0860548181662182</v>
      </c>
      <c r="I93" s="72">
        <f>(I89-I34)/I34</f>
        <v>1.7992636165441829</v>
      </c>
      <c r="J93" s="72">
        <f>(J89-J34)/J34</f>
        <v>2.0307828971557478</v>
      </c>
    </row>
    <row r="95" spans="1:33" x14ac:dyDescent="0.3">
      <c r="P95" s="988"/>
      <c r="Q95" s="988"/>
      <c r="R95" s="988"/>
      <c r="S95" s="988"/>
      <c r="T95" s="988"/>
      <c r="U95" s="988"/>
      <c r="V95" s="988"/>
      <c r="W95" s="988"/>
    </row>
    <row r="98" spans="15:23" x14ac:dyDescent="0.3">
      <c r="P98" s="988"/>
      <c r="Q98" s="988"/>
      <c r="R98" s="988"/>
      <c r="S98" s="988"/>
      <c r="T98" s="988"/>
      <c r="U98" s="988"/>
      <c r="V98" s="988"/>
      <c r="W98" s="988"/>
    </row>
    <row r="99" spans="15:23" x14ac:dyDescent="0.3">
      <c r="P99" s="988"/>
      <c r="Q99" s="988"/>
      <c r="R99" s="988"/>
      <c r="S99" s="988"/>
      <c r="T99" s="988"/>
      <c r="U99" s="988"/>
      <c r="V99" s="988"/>
      <c r="W99" s="988"/>
    </row>
    <row r="100" spans="15:23" x14ac:dyDescent="0.3">
      <c r="P100" s="988"/>
      <c r="Q100" s="988"/>
      <c r="R100" s="988"/>
      <c r="S100" s="988"/>
      <c r="T100" s="988"/>
      <c r="U100" s="988"/>
      <c r="V100" s="988"/>
      <c r="W100" s="988"/>
    </row>
    <row r="101" spans="15:23" x14ac:dyDescent="0.3">
      <c r="P101" s="988"/>
      <c r="Q101" s="988"/>
      <c r="R101" s="988"/>
      <c r="S101" s="988"/>
      <c r="T101" s="988"/>
      <c r="U101" s="988"/>
      <c r="V101" s="988"/>
      <c r="W101" s="988"/>
    </row>
    <row r="103" spans="15:23" x14ac:dyDescent="0.3">
      <c r="P103" s="1319"/>
      <c r="Q103" s="1319"/>
      <c r="R103" s="1319"/>
      <c r="S103" s="1319"/>
      <c r="T103" s="1319"/>
      <c r="U103" s="1319"/>
      <c r="V103" s="1319"/>
      <c r="W103" s="1319"/>
    </row>
    <row r="104" spans="15:23" x14ac:dyDescent="0.3">
      <c r="P104" s="1319"/>
      <c r="Q104" s="1319"/>
      <c r="R104" s="1319"/>
      <c r="S104" s="1319"/>
      <c r="T104" s="1319"/>
      <c r="U104" s="1319"/>
    </row>
    <row r="105" spans="15:23" x14ac:dyDescent="0.3">
      <c r="P105" s="1319"/>
      <c r="Q105" s="1319"/>
      <c r="R105" s="1319"/>
      <c r="S105" s="1319"/>
      <c r="T105" s="1319"/>
      <c r="U105" s="1319"/>
      <c r="V105" s="1319"/>
    </row>
    <row r="107" spans="15:23" x14ac:dyDescent="0.3">
      <c r="O107" s="1013"/>
      <c r="P107" s="1319"/>
      <c r="Q107" s="1319"/>
      <c r="R107" s="1319"/>
      <c r="S107" s="1319"/>
      <c r="T107" s="1319"/>
      <c r="U107" s="1319"/>
      <c r="V107" s="1319"/>
      <c r="W107" s="1319"/>
    </row>
  </sheetData>
  <mergeCells count="3">
    <mergeCell ref="G32:J32"/>
    <mergeCell ref="P32:V32"/>
    <mergeCell ref="Z32:AF32"/>
  </mergeCells>
  <hyperlinks>
    <hyperlink ref="J1" location="Index!A1" display="Index"/>
  </hyperlink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7" tint="0.59999389629810485"/>
  </sheetPr>
  <dimension ref="A1:AL164"/>
  <sheetViews>
    <sheetView zoomScale="85" zoomScaleNormal="85" workbookViewId="0">
      <selection activeCell="M36" sqref="M36"/>
    </sheetView>
  </sheetViews>
  <sheetFormatPr defaultColWidth="9.109375" defaultRowHeight="14.4" x14ac:dyDescent="0.3"/>
  <cols>
    <col min="1" max="1" width="9.109375" style="655"/>
    <col min="2" max="2" width="12.77734375" style="655" customWidth="1"/>
    <col min="3" max="4" width="10.77734375" style="655" customWidth="1"/>
    <col min="5" max="5" width="10.109375" style="655" bestFit="1" customWidth="1"/>
    <col min="6" max="6" width="11.5546875" style="655" customWidth="1"/>
    <col min="7" max="7" width="10.77734375" style="655" customWidth="1"/>
    <col min="8" max="10" width="12" style="655" customWidth="1"/>
    <col min="11" max="15" width="11.109375" style="655" customWidth="1"/>
    <col min="16" max="16" width="12" style="655" customWidth="1"/>
    <col min="17" max="17" width="9.77734375" style="655" customWidth="1"/>
    <col min="18" max="18" width="9.109375" style="655"/>
    <col min="19" max="19" width="11" style="655" customWidth="1"/>
    <col min="20" max="20" width="10.109375" style="655" customWidth="1"/>
    <col min="21" max="22" width="10.109375" style="879" customWidth="1"/>
    <col min="23" max="24" width="9.109375" style="655"/>
    <col min="25" max="25" width="11" style="655" customWidth="1"/>
    <col min="26" max="26" width="5.44140625" style="655" customWidth="1"/>
    <col min="27" max="27" width="15.77734375" style="655" customWidth="1"/>
    <col min="28" max="28" width="15.44140625" style="655" customWidth="1"/>
    <col min="29" max="29" width="9.109375" style="655"/>
    <col min="30" max="30" width="2.5546875" style="655" customWidth="1"/>
    <col min="31" max="31" width="16.44140625" style="655" customWidth="1"/>
    <col min="32" max="32" width="10.109375" style="655" customWidth="1"/>
    <col min="33" max="33" width="3" style="655" customWidth="1"/>
    <col min="34" max="34" width="9.109375" style="655"/>
    <col min="35" max="35" width="10.21875" style="655" customWidth="1"/>
    <col min="36" max="36" width="11.109375" style="655" customWidth="1"/>
    <col min="37" max="37" width="11.44140625" style="655" customWidth="1"/>
    <col min="38" max="38" width="14" style="655" customWidth="1"/>
    <col min="39" max="16384" width="9.109375" style="655"/>
  </cols>
  <sheetData>
    <row r="1" spans="1:8" x14ac:dyDescent="0.3">
      <c r="A1" s="370" t="s">
        <v>2047</v>
      </c>
      <c r="H1" s="462" t="s">
        <v>504</v>
      </c>
    </row>
    <row r="32" spans="1:1" x14ac:dyDescent="0.3">
      <c r="A32" s="386" t="s">
        <v>1672</v>
      </c>
    </row>
    <row r="33" spans="1:38" x14ac:dyDescent="0.3">
      <c r="A33" s="1070" t="s">
        <v>1673</v>
      </c>
    </row>
    <row r="34" spans="1:38" x14ac:dyDescent="0.3">
      <c r="A34" s="1070" t="s">
        <v>1674</v>
      </c>
    </row>
    <row r="35" spans="1:38" x14ac:dyDescent="0.3">
      <c r="A35" s="211" t="s">
        <v>1661</v>
      </c>
    </row>
    <row r="37" spans="1:38" x14ac:dyDescent="0.3">
      <c r="A37" s="252" t="s">
        <v>387</v>
      </c>
    </row>
    <row r="38" spans="1:38" x14ac:dyDescent="0.3">
      <c r="A38" s="252" t="s">
        <v>386</v>
      </c>
    </row>
    <row r="39" spans="1:38" x14ac:dyDescent="0.3">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2"/>
      <c r="AA39" s="11"/>
      <c r="AE39" s="11"/>
    </row>
    <row r="40" spans="1:38" ht="53.25" customHeight="1" x14ac:dyDescent="0.3">
      <c r="A40" s="353"/>
      <c r="B40" s="674" t="s">
        <v>1499</v>
      </c>
      <c r="C40" s="674" t="s">
        <v>371</v>
      </c>
      <c r="D40" s="674" t="s">
        <v>383</v>
      </c>
      <c r="E40" s="674" t="s">
        <v>38</v>
      </c>
      <c r="F40" s="674" t="s">
        <v>211</v>
      </c>
      <c r="G40" s="674" t="s">
        <v>384</v>
      </c>
      <c r="H40" s="674" t="s">
        <v>378</v>
      </c>
      <c r="I40" s="674" t="s">
        <v>379</v>
      </c>
      <c r="J40" s="1395" t="s">
        <v>388</v>
      </c>
      <c r="K40" s="1395"/>
      <c r="L40" s="1395"/>
      <c r="M40" s="1395"/>
      <c r="N40" s="1395"/>
      <c r="O40" s="674" t="s">
        <v>655</v>
      </c>
      <c r="P40" s="674" t="s">
        <v>1501</v>
      </c>
      <c r="Q40" s="973" t="s">
        <v>385</v>
      </c>
      <c r="R40" s="354" t="s">
        <v>373</v>
      </c>
      <c r="S40" s="354" t="s">
        <v>1654</v>
      </c>
      <c r="T40" s="354" t="s">
        <v>1006</v>
      </c>
      <c r="U40" s="354" t="s">
        <v>1497</v>
      </c>
      <c r="V40" s="354" t="s">
        <v>1498</v>
      </c>
      <c r="W40" s="354" t="s">
        <v>375</v>
      </c>
      <c r="X40" s="354" t="s">
        <v>374</v>
      </c>
      <c r="Y40" s="354" t="s">
        <v>376</v>
      </c>
      <c r="Z40" s="388"/>
      <c r="AA40" s="388" t="s">
        <v>1649</v>
      </c>
      <c r="AB40" s="354" t="s">
        <v>1650</v>
      </c>
      <c r="AC40" s="342"/>
      <c r="AD40" s="342"/>
      <c r="AE40" s="388" t="s">
        <v>1647</v>
      </c>
      <c r="AF40" s="354" t="s">
        <v>1648</v>
      </c>
      <c r="AG40" s="342"/>
      <c r="AH40" s="342"/>
      <c r="AI40" s="342"/>
      <c r="AJ40" s="342"/>
      <c r="AK40" s="24"/>
      <c r="AL40" s="24"/>
    </row>
    <row r="41" spans="1:38" x14ac:dyDescent="0.3">
      <c r="A41" s="4"/>
      <c r="B41" s="663"/>
      <c r="C41" s="663"/>
      <c r="D41" s="663"/>
      <c r="E41" s="663"/>
      <c r="F41" s="663"/>
      <c r="G41" s="663"/>
      <c r="H41" s="663"/>
      <c r="I41" s="663"/>
      <c r="J41" s="663"/>
      <c r="K41" s="663"/>
      <c r="L41" s="663"/>
      <c r="M41" s="663"/>
      <c r="N41" s="663"/>
      <c r="O41" s="663"/>
      <c r="P41" s="663"/>
      <c r="Q41" s="663"/>
      <c r="R41" s="663"/>
      <c r="S41" s="663"/>
      <c r="T41" s="347"/>
      <c r="U41" s="347"/>
      <c r="V41" s="347"/>
      <c r="W41" s="663"/>
      <c r="X41" s="663"/>
      <c r="Y41" s="663"/>
      <c r="Z41" s="663"/>
      <c r="AA41" s="663"/>
      <c r="AB41" s="663"/>
      <c r="AC41" s="663"/>
      <c r="AD41" s="663"/>
      <c r="AE41" s="663"/>
      <c r="AF41" s="663"/>
      <c r="AG41" s="663"/>
      <c r="AH41" s="24"/>
      <c r="AI41" s="24"/>
      <c r="AJ41" s="24"/>
      <c r="AK41" s="24"/>
      <c r="AL41" s="24"/>
    </row>
    <row r="42" spans="1:38" x14ac:dyDescent="0.3">
      <c r="A42" s="100">
        <v>1960</v>
      </c>
      <c r="B42" s="1085">
        <f>SUM(C42:Y42)</f>
        <v>0.99999959900186974</v>
      </c>
      <c r="C42" s="1085">
        <f t="shared" ref="C42:I42" si="0">C103/$B103</f>
        <v>0.51018395171395292</v>
      </c>
      <c r="D42" s="1085">
        <f t="shared" si="0"/>
        <v>1.3635565456049152E-2</v>
      </c>
      <c r="E42" s="1085">
        <f t="shared" si="0"/>
        <v>1.9426896649318053E-2</v>
      </c>
      <c r="F42" s="1085">
        <f t="shared" si="0"/>
        <v>1.256718359353063E-2</v>
      </c>
      <c r="G42" s="1085">
        <f t="shared" si="0"/>
        <v>4.9994406035702224E-2</v>
      </c>
      <c r="H42" s="1085">
        <f t="shared" si="0"/>
        <v>1.6869707829659925E-2</v>
      </c>
      <c r="I42" s="1085">
        <f t="shared" si="0"/>
        <v>4.4783352188653737E-3</v>
      </c>
      <c r="J42" s="1393">
        <f>SUM(J103:M103)/B103</f>
        <v>1.9503502018935238E-2</v>
      </c>
      <c r="K42" s="1393"/>
      <c r="L42" s="1393"/>
      <c r="M42" s="1393"/>
      <c r="N42" s="1393"/>
      <c r="O42" s="1085">
        <f>O103/$B103</f>
        <v>3.6550618720330941E-2</v>
      </c>
      <c r="P42" s="1085">
        <f>P103/$B103</f>
        <v>3.6748918518075796E-2</v>
      </c>
      <c r="Q42" s="1085">
        <f>(N103+Q103)/$B103</f>
        <v>6.0846309940030097E-2</v>
      </c>
      <c r="R42" s="1085">
        <f t="shared" ref="R42:Y42" si="1">R103/$B103</f>
        <v>1.8342731291398722E-2</v>
      </c>
      <c r="S42" s="1085">
        <f t="shared" si="1"/>
        <v>1.2681272065783225E-2</v>
      </c>
      <c r="T42" s="1085">
        <f t="shared" si="1"/>
        <v>4.7418322811815385E-2</v>
      </c>
      <c r="U42" s="1085">
        <f t="shared" si="1"/>
        <v>2.9939967160621705E-2</v>
      </c>
      <c r="V42" s="1085">
        <f t="shared" si="1"/>
        <v>6.2371235384688001E-2</v>
      </c>
      <c r="W42" s="1085">
        <f t="shared" si="1"/>
        <v>2.3952632569600556E-2</v>
      </c>
      <c r="X42" s="1085">
        <f t="shared" si="1"/>
        <v>0</v>
      </c>
      <c r="Y42" s="1085">
        <f t="shared" si="1"/>
        <v>2.4488042023511656E-2</v>
      </c>
      <c r="Z42" s="1085"/>
      <c r="AA42" s="1085">
        <f>SUM(J42:V42)</f>
        <v>0.3244028779116791</v>
      </c>
      <c r="AB42" s="1085">
        <f>SUM(W42:Y42)</f>
        <v>4.8440674593112215E-2</v>
      </c>
      <c r="AC42" s="1089"/>
      <c r="AD42" s="1089"/>
      <c r="AE42" s="1090">
        <f>AA42*$B103/'T-T1'!$BN9</f>
        <v>0.34091709765134393</v>
      </c>
      <c r="AF42" s="1090">
        <f>AB42*$B103/'T-T1'!$BN9</f>
        <v>5.0906620486434559E-2</v>
      </c>
      <c r="AG42" s="226"/>
      <c r="AH42" s="1199">
        <f>AVERAGE(AE42:AE51)</f>
        <v>0.34144091979106062</v>
      </c>
      <c r="AI42" s="24"/>
      <c r="AJ42" s="24"/>
      <c r="AK42" s="24"/>
      <c r="AL42" s="24"/>
    </row>
    <row r="43" spans="1:38" x14ac:dyDescent="0.3">
      <c r="A43" s="100">
        <v>1961</v>
      </c>
      <c r="B43" s="1086">
        <f>AVERAGE(B42,B44)</f>
        <v>0.99999940098273099</v>
      </c>
      <c r="C43" s="1086">
        <f t="shared" ref="C43:J43" si="2">AVERAGE(C42,C44)</f>
        <v>0.50520375112990767</v>
      </c>
      <c r="D43" s="1086">
        <f t="shared" si="2"/>
        <v>1.4155915624116061E-2</v>
      </c>
      <c r="E43" s="1086">
        <f t="shared" si="2"/>
        <v>1.9475426533511708E-2</v>
      </c>
      <c r="F43" s="1086">
        <f t="shared" si="2"/>
        <v>1.256718359353063E-2</v>
      </c>
      <c r="G43" s="1086">
        <f t="shared" si="2"/>
        <v>5.206412910487513E-2</v>
      </c>
      <c r="H43" s="1086">
        <f t="shared" si="2"/>
        <v>1.6869707829659925E-2</v>
      </c>
      <c r="I43" s="1086">
        <f t="shared" si="2"/>
        <v>4.2596185172896553E-3</v>
      </c>
      <c r="J43" s="1394">
        <f t="shared" si="2"/>
        <v>2.0222558819046249E-2</v>
      </c>
      <c r="K43" s="1394"/>
      <c r="L43" s="1394"/>
      <c r="M43" s="1394"/>
      <c r="N43" s="1394"/>
      <c r="O43" s="1086">
        <f t="shared" ref="O43:Y43" si="3">AVERAGE(O42,O44)</f>
        <v>3.7230831360513292E-2</v>
      </c>
      <c r="P43" s="1086">
        <f t="shared" si="3"/>
        <v>4.0466334289233297E-2</v>
      </c>
      <c r="Q43" s="1086">
        <f t="shared" si="3"/>
        <v>5.9971181875294655E-2</v>
      </c>
      <c r="R43" s="1086">
        <f t="shared" si="3"/>
        <v>1.9083943254448808E-2</v>
      </c>
      <c r="S43" s="1086">
        <f t="shared" si="3"/>
        <v>1.3105336420332769E-2</v>
      </c>
      <c r="T43" s="1086">
        <f t="shared" si="3"/>
        <v>4.446183946604388E-2</v>
      </c>
      <c r="U43" s="1086">
        <f t="shared" si="3"/>
        <v>2.9934793147088922E-2</v>
      </c>
      <c r="V43" s="1086">
        <f t="shared" si="3"/>
        <v>6.113787777501492E-2</v>
      </c>
      <c r="W43" s="1086">
        <f t="shared" si="3"/>
        <v>2.5573089255914477E-2</v>
      </c>
      <c r="X43" s="1086">
        <f t="shared" si="3"/>
        <v>0</v>
      </c>
      <c r="Y43" s="1086">
        <f t="shared" si="3"/>
        <v>2.4215882986908865E-2</v>
      </c>
      <c r="Z43" s="1086"/>
      <c r="AA43" s="1085">
        <f t="shared" ref="AA43:AA96" si="4">SUM(J43:V43)</f>
        <v>0.32561469640701679</v>
      </c>
      <c r="AB43" s="1085">
        <f t="shared" ref="AB43:AB95" si="5">SUM(W43:Y43)</f>
        <v>4.9788972242823346E-2</v>
      </c>
      <c r="AC43" s="1089"/>
      <c r="AD43" s="1089"/>
      <c r="AE43" s="1090"/>
      <c r="AF43" s="1090"/>
      <c r="AG43" s="226"/>
      <c r="AH43" s="24"/>
      <c r="AI43" s="24"/>
      <c r="AJ43" s="24"/>
      <c r="AK43" s="24"/>
      <c r="AL43" s="24"/>
    </row>
    <row r="44" spans="1:38" x14ac:dyDescent="0.3">
      <c r="A44" s="100">
        <v>1962</v>
      </c>
      <c r="B44" s="1085">
        <f>SUM(C44:Y44)</f>
        <v>0.99999920296359224</v>
      </c>
      <c r="C44" s="1085">
        <f t="shared" ref="C44:I44" si="6">C105/$B105</f>
        <v>0.50022355054586243</v>
      </c>
      <c r="D44" s="1085">
        <f t="shared" si="6"/>
        <v>1.4676265792182969E-2</v>
      </c>
      <c r="E44" s="1085">
        <f t="shared" si="6"/>
        <v>1.9523956417705362E-2</v>
      </c>
      <c r="F44" s="1085">
        <f t="shared" si="6"/>
        <v>1.256718359353063E-2</v>
      </c>
      <c r="G44" s="1085">
        <f t="shared" si="6"/>
        <v>5.4133852174048036E-2</v>
      </c>
      <c r="H44" s="1085">
        <f t="shared" si="6"/>
        <v>1.6869707829659925E-2</v>
      </c>
      <c r="I44" s="1085">
        <f t="shared" si="6"/>
        <v>4.0409018157139378E-3</v>
      </c>
      <c r="J44" s="1393">
        <f>SUM(J105:M105)/B105</f>
        <v>2.0941615619157257E-2</v>
      </c>
      <c r="K44" s="1393"/>
      <c r="L44" s="1393"/>
      <c r="M44" s="1393"/>
      <c r="N44" s="1393"/>
      <c r="O44" s="1085">
        <f>O105/$B105</f>
        <v>3.791104400069565E-2</v>
      </c>
      <c r="P44" s="1085">
        <f>P105/$B105</f>
        <v>4.418375006039079E-2</v>
      </c>
      <c r="Q44" s="1085">
        <f>(N105+Q105)/$B105</f>
        <v>5.9096053810559206E-2</v>
      </c>
      <c r="R44" s="1085">
        <f t="shared" ref="R44:Y44" si="7">R105/$B105</f>
        <v>1.9825155217498891E-2</v>
      </c>
      <c r="S44" s="1085">
        <f t="shared" si="7"/>
        <v>1.3529400774882313E-2</v>
      </c>
      <c r="T44" s="1085">
        <f t="shared" si="7"/>
        <v>4.1505356120272376E-2</v>
      </c>
      <c r="U44" s="1085">
        <f>U105/$B105</f>
        <v>2.9929619133556139E-2</v>
      </c>
      <c r="V44" s="1085">
        <f>V105/$B105</f>
        <v>5.9904520165341847E-2</v>
      </c>
      <c r="W44" s="1085">
        <f t="shared" si="7"/>
        <v>2.7193545942228402E-2</v>
      </c>
      <c r="X44" s="1085">
        <f t="shared" si="7"/>
        <v>0</v>
      </c>
      <c r="Y44" s="1085">
        <f t="shared" si="7"/>
        <v>2.3943723950306074E-2</v>
      </c>
      <c r="Z44" s="1085"/>
      <c r="AA44" s="1085">
        <f t="shared" si="4"/>
        <v>0.32682651490235448</v>
      </c>
      <c r="AB44" s="1085">
        <f t="shared" si="5"/>
        <v>5.1137269892534476E-2</v>
      </c>
      <c r="AC44" s="1089"/>
      <c r="AD44" s="1089"/>
      <c r="AE44" s="1090">
        <f>AA44*$B105/'T-T1'!$BN11</f>
        <v>0.34443953638218128</v>
      </c>
      <c r="AF44" s="1090">
        <f>AB44*$B105/'T-T1'!$BN11</f>
        <v>5.3893110658103961E-2</v>
      </c>
      <c r="AG44" s="226"/>
      <c r="AH44" s="276"/>
      <c r="AI44" s="276"/>
      <c r="AJ44" s="276"/>
      <c r="AK44" s="276"/>
      <c r="AL44" s="249"/>
    </row>
    <row r="45" spans="1:38" x14ac:dyDescent="0.3">
      <c r="A45" s="100">
        <v>1963</v>
      </c>
      <c r="B45" s="1086">
        <f>AVERAGE(B44,B46)</f>
        <v>0.999999601190662</v>
      </c>
      <c r="C45" s="1086">
        <f t="shared" ref="C45:Y45" si="8">AVERAGE(C44,C46)</f>
        <v>0.49721778632738267</v>
      </c>
      <c r="D45" s="1086">
        <f t="shared" si="8"/>
        <v>1.4258664008760285E-2</v>
      </c>
      <c r="E45" s="1086">
        <f t="shared" si="8"/>
        <v>1.8418211759107309E-2</v>
      </c>
      <c r="F45" s="1086">
        <f t="shared" si="8"/>
        <v>1.3591072532878831E-2</v>
      </c>
      <c r="G45" s="1086">
        <f t="shared" si="8"/>
        <v>6.2075023356103189E-2</v>
      </c>
      <c r="H45" s="1086">
        <f t="shared" si="8"/>
        <v>1.3780797166854609E-2</v>
      </c>
      <c r="I45" s="1086">
        <f t="shared" si="8"/>
        <v>4.3499435258872853E-3</v>
      </c>
      <c r="J45" s="1394">
        <f t="shared" si="8"/>
        <v>2.1034395267452877E-2</v>
      </c>
      <c r="K45" s="1394"/>
      <c r="L45" s="1394"/>
      <c r="M45" s="1394"/>
      <c r="N45" s="1394"/>
      <c r="O45" s="1086">
        <f>AVERAGE(O44,O46)</f>
        <v>3.7532659224919919E-2</v>
      </c>
      <c r="P45" s="1086">
        <f t="shared" si="8"/>
        <v>4.6604222342547338E-2</v>
      </c>
      <c r="Q45" s="1086">
        <f>AVERAGE(Q44,Q46)</f>
        <v>5.8900466521534196E-2</v>
      </c>
      <c r="R45" s="1086">
        <f t="shared" si="8"/>
        <v>1.9786616042680047E-2</v>
      </c>
      <c r="S45" s="1086">
        <f t="shared" si="8"/>
        <v>1.3988882085223505E-2</v>
      </c>
      <c r="T45" s="1086">
        <f>AVERAGE(T44,T46)</f>
        <v>3.571882414334919E-2</v>
      </c>
      <c r="U45" s="1086">
        <f>AVERAGE(U44,U46)</f>
        <v>3.1591347108311303E-2</v>
      </c>
      <c r="V45" s="1086">
        <f>AVERAGE(V44,V46)</f>
        <v>6.1102537602506932E-2</v>
      </c>
      <c r="W45" s="1086">
        <f t="shared" si="8"/>
        <v>2.6975031979721092E-2</v>
      </c>
      <c r="X45" s="1086">
        <f t="shared" si="8"/>
        <v>0</v>
      </c>
      <c r="Y45" s="1086">
        <f t="shared" si="8"/>
        <v>2.3073120195441384E-2</v>
      </c>
      <c r="Z45" s="1086"/>
      <c r="AA45" s="1085">
        <f t="shared" si="4"/>
        <v>0.32625995033852528</v>
      </c>
      <c r="AB45" s="1085">
        <f t="shared" si="5"/>
        <v>5.004815217516248E-2</v>
      </c>
      <c r="AC45" s="1089"/>
      <c r="AD45" s="1089"/>
      <c r="AE45" s="1090"/>
      <c r="AF45" s="1090"/>
      <c r="AG45" s="226"/>
      <c r="AH45" s="276"/>
      <c r="AI45" s="276"/>
      <c r="AJ45" s="276"/>
      <c r="AK45" s="276"/>
      <c r="AL45" s="24"/>
    </row>
    <row r="46" spans="1:38" x14ac:dyDescent="0.3">
      <c r="A46" s="100">
        <v>1964</v>
      </c>
      <c r="B46" s="1085">
        <f>SUM(C46:Y46)</f>
        <v>0.99999999941773188</v>
      </c>
      <c r="C46" s="1085">
        <f t="shared" ref="C46:I46" si="9">C107/$B107</f>
        <v>0.49421202210890292</v>
      </c>
      <c r="D46" s="1085">
        <f t="shared" si="9"/>
        <v>1.38410622253376E-2</v>
      </c>
      <c r="E46" s="1085">
        <f t="shared" si="9"/>
        <v>1.7312467100509252E-2</v>
      </c>
      <c r="F46" s="1085">
        <f t="shared" si="9"/>
        <v>1.4614961472227029E-2</v>
      </c>
      <c r="G46" s="1085">
        <f t="shared" si="9"/>
        <v>7.0016194538158341E-2</v>
      </c>
      <c r="H46" s="1085">
        <f t="shared" si="9"/>
        <v>1.0691886504049293E-2</v>
      </c>
      <c r="I46" s="1085">
        <f t="shared" si="9"/>
        <v>4.6589852360606329E-3</v>
      </c>
      <c r="J46" s="1393">
        <f>SUM(J107:M107)/B107</f>
        <v>2.1127174915748496E-2</v>
      </c>
      <c r="K46" s="1393"/>
      <c r="L46" s="1393"/>
      <c r="M46" s="1393"/>
      <c r="N46" s="1393"/>
      <c r="O46" s="1085">
        <f>O107/$B107</f>
        <v>3.7154274449144188E-2</v>
      </c>
      <c r="P46" s="1085">
        <f>P107/$B107</f>
        <v>4.9024694624703886E-2</v>
      </c>
      <c r="Q46" s="1085">
        <f>(N107+Q107)/$B107</f>
        <v>5.8704879232509187E-2</v>
      </c>
      <c r="R46" s="1085">
        <f t="shared" ref="R46:Y46" si="10">R107/$B107</f>
        <v>1.9748076867861203E-2</v>
      </c>
      <c r="S46" s="1085">
        <f t="shared" si="10"/>
        <v>1.4448363395564696E-2</v>
      </c>
      <c r="T46" s="1085">
        <f t="shared" si="10"/>
        <v>2.9932292166426004E-2</v>
      </c>
      <c r="U46" s="1085">
        <f>U107/$B107</f>
        <v>3.3253075083066463E-2</v>
      </c>
      <c r="V46" s="1085">
        <f>V107/$B107</f>
        <v>6.2300555039672009E-2</v>
      </c>
      <c r="W46" s="1085">
        <f t="shared" si="10"/>
        <v>2.6756518017213782E-2</v>
      </c>
      <c r="X46" s="1085">
        <f t="shared" si="10"/>
        <v>0</v>
      </c>
      <c r="Y46" s="1085">
        <f t="shared" si="10"/>
        <v>2.2202516440576695E-2</v>
      </c>
      <c r="Z46" s="1085"/>
      <c r="AA46" s="1085">
        <f t="shared" si="4"/>
        <v>0.32569338577469614</v>
      </c>
      <c r="AB46" s="1085">
        <f t="shared" si="5"/>
        <v>4.8959034457790478E-2</v>
      </c>
      <c r="AC46" s="1089"/>
      <c r="AD46" s="1089"/>
      <c r="AE46" s="1090">
        <f>AA46*$B107/'T-T1'!$BN13</f>
        <v>0.34246001668071768</v>
      </c>
      <c r="AF46" s="1090">
        <f>AB46*$B107/'T-T1'!$BN13</f>
        <v>5.1479435841798996E-2</v>
      </c>
      <c r="AG46" s="226"/>
      <c r="AH46" s="276"/>
      <c r="AI46" s="276"/>
      <c r="AJ46" s="276"/>
      <c r="AK46" s="276"/>
      <c r="AL46" s="249"/>
    </row>
    <row r="47" spans="1:38" x14ac:dyDescent="0.3">
      <c r="A47" s="100">
        <v>1965</v>
      </c>
      <c r="B47" s="1086">
        <f>AVERAGE(B46,B48)</f>
        <v>0.99999976773737598</v>
      </c>
      <c r="C47" s="1086">
        <f t="shared" ref="C47:J47" si="11">AVERAGE(C46,C48)</f>
        <v>0.49808711990646798</v>
      </c>
      <c r="D47" s="1086">
        <f t="shared" si="11"/>
        <v>1.1503292914300798E-2</v>
      </c>
      <c r="E47" s="1086">
        <f t="shared" si="11"/>
        <v>1.7717386097351805E-2</v>
      </c>
      <c r="F47" s="1086">
        <f t="shared" si="11"/>
        <v>1.6189940501807769E-2</v>
      </c>
      <c r="G47" s="1086">
        <f t="shared" si="11"/>
        <v>5.9931137887620757E-2</v>
      </c>
      <c r="H47" s="1086">
        <f t="shared" si="11"/>
        <v>1.3539944777471131E-2</v>
      </c>
      <c r="I47" s="1086">
        <f t="shared" si="11"/>
        <v>5.4774590218892305E-3</v>
      </c>
      <c r="J47" s="1394">
        <f t="shared" si="11"/>
        <v>2.2637015499585779E-2</v>
      </c>
      <c r="K47" s="1394"/>
      <c r="L47" s="1394"/>
      <c r="M47" s="1394"/>
      <c r="N47" s="1394"/>
      <c r="O47" s="1086">
        <f>AVERAGE(O46,O48)</f>
        <v>3.6074725034181868E-2</v>
      </c>
      <c r="P47" s="1086">
        <f>AVERAGE(P46,P48)</f>
        <v>5.1974582478028997E-2</v>
      </c>
      <c r="Q47" s="1086">
        <f>AVERAGE(Q46,Q48)</f>
        <v>5.8551419537904922E-2</v>
      </c>
      <c r="R47" s="1086">
        <f t="shared" ref="R47:Y47" si="12">AVERAGE(R46,R48)</f>
        <v>2.1002681324431085E-2</v>
      </c>
      <c r="S47" s="1086">
        <f t="shared" si="12"/>
        <v>1.4749194826459245E-2</v>
      </c>
      <c r="T47" s="1086">
        <f>AVERAGE(T46,T48)</f>
        <v>3.2632733011198782E-2</v>
      </c>
      <c r="U47" s="1086">
        <f>AVERAGE(U46,U48)</f>
        <v>3.2021953902081304E-2</v>
      </c>
      <c r="V47" s="1086">
        <f>AVERAGE(V46,V48)</f>
        <v>5.886684769161793E-2</v>
      </c>
      <c r="W47" s="1086">
        <f t="shared" si="12"/>
        <v>2.7243150198552522E-2</v>
      </c>
      <c r="X47" s="1086">
        <f t="shared" si="12"/>
        <v>4.5317873815050051E-4</v>
      </c>
      <c r="Y47" s="1086">
        <f t="shared" si="12"/>
        <v>2.1346004388273714E-2</v>
      </c>
      <c r="Z47" s="1086"/>
      <c r="AA47" s="1085">
        <f t="shared" si="4"/>
        <v>0.32851115330548997</v>
      </c>
      <c r="AB47" s="1085">
        <f t="shared" si="5"/>
        <v>4.9042333324976733E-2</v>
      </c>
      <c r="AC47" s="1089"/>
      <c r="AD47" s="1089"/>
      <c r="AE47" s="1090"/>
      <c r="AF47" s="1090"/>
      <c r="AG47" s="226"/>
      <c r="AH47" s="276"/>
      <c r="AI47" s="276"/>
      <c r="AJ47" s="276"/>
      <c r="AK47" s="276"/>
      <c r="AL47" s="249"/>
    </row>
    <row r="48" spans="1:38" x14ac:dyDescent="0.3">
      <c r="A48" s="100">
        <v>1966</v>
      </c>
      <c r="B48" s="1085">
        <f t="shared" ref="B48:B79" si="13">SUM(C48:Y48)</f>
        <v>0.99999953605702019</v>
      </c>
      <c r="C48" s="1085">
        <f t="shared" ref="C48:Y63" si="14">C109/$B109</f>
        <v>0.50196221770403304</v>
      </c>
      <c r="D48" s="1085">
        <f t="shared" si="14"/>
        <v>9.1655236032639961E-3</v>
      </c>
      <c r="E48" s="1085">
        <f t="shared" si="14"/>
        <v>1.8122305094194359E-2</v>
      </c>
      <c r="F48" s="1085">
        <f t="shared" si="14"/>
        <v>1.776491953138851E-2</v>
      </c>
      <c r="G48" s="1085">
        <f t="shared" si="14"/>
        <v>4.9846081237083173E-2</v>
      </c>
      <c r="H48" s="1085">
        <f t="shared" si="14"/>
        <v>1.6388003050892969E-2</v>
      </c>
      <c r="I48" s="1085">
        <f t="shared" si="14"/>
        <v>6.295932807717829E-3</v>
      </c>
      <c r="J48" s="1393">
        <f t="shared" ref="J48:J94" si="15">SUM(J109:M109)/B109</f>
        <v>2.4146856083423065E-2</v>
      </c>
      <c r="K48" s="1393"/>
      <c r="L48" s="1393"/>
      <c r="M48" s="1393"/>
      <c r="N48" s="1393"/>
      <c r="O48" s="1085">
        <f t="shared" ref="O48:P96" si="16">O109/$B109</f>
        <v>3.4995175619219554E-2</v>
      </c>
      <c r="P48" s="1085">
        <f t="shared" si="14"/>
        <v>5.49244703313541E-2</v>
      </c>
      <c r="Q48" s="1085">
        <f t="shared" ref="Q48:Q97" si="17">(N109+Q109)/$B109</f>
        <v>5.8397959843300651E-2</v>
      </c>
      <c r="R48" s="1085">
        <f t="shared" si="14"/>
        <v>2.2257285781000967E-2</v>
      </c>
      <c r="S48" s="1085">
        <f t="shared" si="14"/>
        <v>1.5050026257353794E-2</v>
      </c>
      <c r="T48" s="1085">
        <f t="shared" ref="T48:V79" si="18">T109/$B109</f>
        <v>3.533317385597156E-2</v>
      </c>
      <c r="U48" s="1085">
        <f t="shared" si="18"/>
        <v>3.0790832721096138E-2</v>
      </c>
      <c r="V48" s="1085">
        <f t="shared" si="18"/>
        <v>5.5433140343563843E-2</v>
      </c>
      <c r="W48" s="1085">
        <f t="shared" si="14"/>
        <v>2.7729782379891266E-2</v>
      </c>
      <c r="X48" s="1085">
        <f t="shared" si="14"/>
        <v>9.0635747630100102E-4</v>
      </c>
      <c r="Y48" s="1085">
        <f t="shared" si="14"/>
        <v>2.0489492335970735E-2</v>
      </c>
      <c r="Z48" s="1085"/>
      <c r="AA48" s="1085">
        <f t="shared" si="4"/>
        <v>0.33132892083628368</v>
      </c>
      <c r="AB48" s="1085">
        <f t="shared" si="5"/>
        <v>4.9125632192163003E-2</v>
      </c>
      <c r="AC48" s="1089"/>
      <c r="AD48" s="1089"/>
      <c r="AE48" s="1090">
        <f>AA48*$B109/'T-T1'!$BN15</f>
        <v>0.3484474294737287</v>
      </c>
      <c r="AF48" s="1090">
        <f>AB48*$B109/'T-T1'!$BN15</f>
        <v>5.1663767278224575E-2</v>
      </c>
      <c r="AG48" s="226"/>
      <c r="AH48" s="276"/>
      <c r="AI48" s="276"/>
      <c r="AJ48" s="276"/>
      <c r="AK48" s="276"/>
      <c r="AL48" s="249"/>
    </row>
    <row r="49" spans="1:38" x14ac:dyDescent="0.3">
      <c r="A49" s="100">
        <v>1967</v>
      </c>
      <c r="B49" s="1085">
        <f t="shared" si="13"/>
        <v>1.0000001865858463</v>
      </c>
      <c r="C49" s="1085">
        <f t="shared" si="14"/>
        <v>0.51079012746856134</v>
      </c>
      <c r="D49" s="1085">
        <f t="shared" si="14"/>
        <v>8.3583163117709313E-3</v>
      </c>
      <c r="E49" s="1085">
        <f t="shared" si="14"/>
        <v>1.7640163855637634E-2</v>
      </c>
      <c r="F49" s="1085">
        <f t="shared" si="14"/>
        <v>1.9019902826498382E-2</v>
      </c>
      <c r="G49" s="1085">
        <f t="shared" si="14"/>
        <v>4.4584219254546267E-2</v>
      </c>
      <c r="H49" s="1085">
        <f t="shared" si="14"/>
        <v>1.6838757450013911E-2</v>
      </c>
      <c r="I49" s="1085">
        <f t="shared" si="14"/>
        <v>6.3959506470173252E-3</v>
      </c>
      <c r="J49" s="1393">
        <f t="shared" si="15"/>
        <v>2.3626707829355824E-2</v>
      </c>
      <c r="K49" s="1393"/>
      <c r="L49" s="1393"/>
      <c r="M49" s="1393"/>
      <c r="N49" s="1393"/>
      <c r="O49" s="1085">
        <f t="shared" si="16"/>
        <v>3.5378952416518485E-2</v>
      </c>
      <c r="P49" s="1085">
        <f t="shared" si="14"/>
        <v>4.8996080358659572E-2</v>
      </c>
      <c r="Q49" s="1085">
        <f t="shared" si="17"/>
        <v>5.4516940365112176E-2</v>
      </c>
      <c r="R49" s="1085">
        <f t="shared" si="14"/>
        <v>2.2375253363983244E-2</v>
      </c>
      <c r="S49" s="1085">
        <f t="shared" si="14"/>
        <v>1.5479766270903774E-2</v>
      </c>
      <c r="T49" s="1085">
        <f t="shared" si="18"/>
        <v>3.1541340689966522E-2</v>
      </c>
      <c r="U49" s="1085">
        <f t="shared" si="18"/>
        <v>3.2638561566133387E-2</v>
      </c>
      <c r="V49" s="1085">
        <f t="shared" si="18"/>
        <v>5.5800919053072592E-2</v>
      </c>
      <c r="W49" s="1085">
        <f t="shared" si="14"/>
        <v>2.7852651809431386E-2</v>
      </c>
      <c r="X49" s="1085">
        <f t="shared" si="14"/>
        <v>5.0402993176318321E-3</v>
      </c>
      <c r="Y49" s="1085">
        <f t="shared" si="14"/>
        <v>2.3125275731031687E-2</v>
      </c>
      <c r="Z49" s="1085"/>
      <c r="AA49" s="1085">
        <f t="shared" si="4"/>
        <v>0.32035452191370561</v>
      </c>
      <c r="AB49" s="1085">
        <f t="shared" si="5"/>
        <v>5.6018226858094905E-2</v>
      </c>
      <c r="AC49" s="1089"/>
      <c r="AD49" s="1089"/>
      <c r="AE49" s="1090">
        <f>AA49*$B110/'T-T1'!$BN16</f>
        <v>0.3393652976522144</v>
      </c>
      <c r="AF49" s="1090">
        <f>AB49*$B110/'T-T1'!$BN16</f>
        <v>5.9342512532935543E-2</v>
      </c>
      <c r="AG49" s="226"/>
      <c r="AH49" s="276"/>
      <c r="AI49" s="276"/>
      <c r="AJ49" s="276"/>
      <c r="AK49" s="276"/>
      <c r="AL49" s="249"/>
    </row>
    <row r="50" spans="1:38" x14ac:dyDescent="0.3">
      <c r="A50" s="100">
        <v>1968</v>
      </c>
      <c r="B50" s="1085">
        <f t="shared" si="13"/>
        <v>0.99999948993181098</v>
      </c>
      <c r="C50" s="1085">
        <f t="shared" si="14"/>
        <v>0.51058770146563848</v>
      </c>
      <c r="D50" s="1085">
        <f t="shared" si="14"/>
        <v>6.4425119214872395E-3</v>
      </c>
      <c r="E50" s="1085">
        <f t="shared" si="14"/>
        <v>1.8072791925709025E-2</v>
      </c>
      <c r="F50" s="1085">
        <f t="shared" si="14"/>
        <v>1.9406515639550828E-2</v>
      </c>
      <c r="G50" s="1085">
        <f t="shared" si="14"/>
        <v>4.1205110622664881E-2</v>
      </c>
      <c r="H50" s="1085">
        <f t="shared" si="14"/>
        <v>1.5408603715498043E-2</v>
      </c>
      <c r="I50" s="1085">
        <f t="shared" si="14"/>
        <v>8.7478151615730734E-3</v>
      </c>
      <c r="J50" s="1393">
        <f t="shared" si="15"/>
        <v>2.4056724682083301E-2</v>
      </c>
      <c r="K50" s="1393"/>
      <c r="L50" s="1393"/>
      <c r="M50" s="1393"/>
      <c r="N50" s="1393"/>
      <c r="O50" s="1085">
        <f t="shared" si="16"/>
        <v>3.3846891744309889E-2</v>
      </c>
      <c r="P50" s="1085">
        <f t="shared" si="14"/>
        <v>4.3620310333092382E-2</v>
      </c>
      <c r="Q50" s="1085">
        <f t="shared" si="17"/>
        <v>5.7907929086711017E-2</v>
      </c>
      <c r="R50" s="1085">
        <f t="shared" si="14"/>
        <v>2.2554042897190364E-2</v>
      </c>
      <c r="S50" s="1085">
        <f t="shared" si="14"/>
        <v>1.6748779224154148E-2</v>
      </c>
      <c r="T50" s="1085">
        <f t="shared" si="18"/>
        <v>3.4749039840581177E-2</v>
      </c>
      <c r="U50" s="1085">
        <f t="shared" si="18"/>
        <v>2.9055064334952561E-2</v>
      </c>
      <c r="V50" s="1085">
        <f t="shared" si="18"/>
        <v>5.8266306610440813E-2</v>
      </c>
      <c r="W50" s="1085">
        <f t="shared" si="14"/>
        <v>2.9471746580794767E-2</v>
      </c>
      <c r="X50" s="1085">
        <f t="shared" si="14"/>
        <v>5.7182129811523237E-3</v>
      </c>
      <c r="Y50" s="1085">
        <f t="shared" si="14"/>
        <v>2.4133391164226702E-2</v>
      </c>
      <c r="Z50" s="1085"/>
      <c r="AA50" s="1085">
        <f t="shared" si="4"/>
        <v>0.32080508875351565</v>
      </c>
      <c r="AB50" s="1085">
        <f t="shared" si="5"/>
        <v>5.9323350726173799E-2</v>
      </c>
      <c r="AC50" s="1089"/>
      <c r="AD50" s="1089"/>
      <c r="AE50" s="1090">
        <f>AA50*$B111/'T-T1'!$BN17</f>
        <v>0.34103655018967632</v>
      </c>
      <c r="AF50" s="1090">
        <f>AB50*$B111/'T-T1'!$BN17</f>
        <v>6.3064557223688464E-2</v>
      </c>
      <c r="AG50" s="226"/>
      <c r="AH50" s="276"/>
      <c r="AI50" s="276"/>
      <c r="AJ50" s="276"/>
      <c r="AK50" s="276"/>
      <c r="AL50" s="249"/>
    </row>
    <row r="51" spans="1:38" x14ac:dyDescent="0.3">
      <c r="A51" s="100">
        <v>1969</v>
      </c>
      <c r="B51" s="1085">
        <f t="shared" si="13"/>
        <v>0.99999989579118242</v>
      </c>
      <c r="C51" s="1085">
        <f t="shared" si="14"/>
        <v>0.51917531482387003</v>
      </c>
      <c r="D51" s="1085">
        <f t="shared" si="14"/>
        <v>4.6292520726819199E-3</v>
      </c>
      <c r="E51" s="1085">
        <f t="shared" si="14"/>
        <v>1.674045649457714E-2</v>
      </c>
      <c r="F51" s="1085">
        <f t="shared" si="14"/>
        <v>2.0960302588314383E-2</v>
      </c>
      <c r="G51" s="1085">
        <f t="shared" si="14"/>
        <v>4.1058907335602524E-2</v>
      </c>
      <c r="H51" s="1085">
        <f t="shared" si="14"/>
        <v>1.4732152252645824E-2</v>
      </c>
      <c r="I51" s="1085">
        <f t="shared" si="14"/>
        <v>8.8678333543867286E-3</v>
      </c>
      <c r="J51" s="1393">
        <f t="shared" si="15"/>
        <v>2.3760224520325557E-2</v>
      </c>
      <c r="K51" s="1393"/>
      <c r="L51" s="1393"/>
      <c r="M51" s="1393"/>
      <c r="N51" s="1393"/>
      <c r="O51" s="1085">
        <f t="shared" si="16"/>
        <v>3.3480245431072891E-2</v>
      </c>
      <c r="P51" s="1085">
        <f t="shared" si="14"/>
        <v>3.5715046592098967E-2</v>
      </c>
      <c r="Q51" s="1085">
        <f t="shared" si="17"/>
        <v>5.4381902084314433E-2</v>
      </c>
      <c r="R51" s="1085">
        <f t="shared" si="14"/>
        <v>2.3761993279433329E-2</v>
      </c>
      <c r="S51" s="1085">
        <f t="shared" si="14"/>
        <v>1.7542144814446738E-2</v>
      </c>
      <c r="T51" s="1085">
        <f t="shared" si="18"/>
        <v>3.2903453642255449E-2</v>
      </c>
      <c r="U51" s="1085">
        <f t="shared" si="18"/>
        <v>3.2206654586283502E-2</v>
      </c>
      <c r="V51" s="1085">
        <f t="shared" si="18"/>
        <v>5.9453020980549304E-2</v>
      </c>
      <c r="W51" s="1085">
        <f t="shared" si="14"/>
        <v>2.9159977952958462E-2</v>
      </c>
      <c r="X51" s="1085">
        <f t="shared" si="14"/>
        <v>6.0370960335942728E-3</v>
      </c>
      <c r="Y51" s="1085">
        <f t="shared" si="14"/>
        <v>2.5433916951771062E-2</v>
      </c>
      <c r="Z51" s="1085"/>
      <c r="AA51" s="1085">
        <f t="shared" si="4"/>
        <v>0.31320468593078021</v>
      </c>
      <c r="AB51" s="1085">
        <f t="shared" si="5"/>
        <v>6.0630990938323803E-2</v>
      </c>
      <c r="AC51" s="1089"/>
      <c r="AD51" s="1089"/>
      <c r="AE51" s="1090">
        <f>AA51*$B112/'T-T1'!$BN18</f>
        <v>0.33342051050756205</v>
      </c>
      <c r="AF51" s="1090">
        <f>AB51*$B112/'T-T1'!$BN18</f>
        <v>6.4544423692636077E-2</v>
      </c>
      <c r="AG51" s="226"/>
      <c r="AH51" s="276"/>
      <c r="AI51" s="276"/>
      <c r="AJ51" s="276"/>
      <c r="AK51" s="276"/>
      <c r="AL51" s="249"/>
    </row>
    <row r="52" spans="1:38" x14ac:dyDescent="0.3">
      <c r="A52" s="100">
        <v>1970</v>
      </c>
      <c r="B52" s="1085">
        <f t="shared" si="13"/>
        <v>1.0000003963598885</v>
      </c>
      <c r="C52" s="1085">
        <f t="shared" si="14"/>
        <v>0.52621160670426581</v>
      </c>
      <c r="D52" s="1085">
        <f t="shared" si="14"/>
        <v>8.8244484764157787E-3</v>
      </c>
      <c r="E52" s="1085">
        <f t="shared" si="14"/>
        <v>1.5645430020640914E-2</v>
      </c>
      <c r="F52" s="1085">
        <f t="shared" si="14"/>
        <v>2.2664555031054853E-2</v>
      </c>
      <c r="G52" s="1085">
        <f t="shared" si="14"/>
        <v>3.7955204648566707E-2</v>
      </c>
      <c r="H52" s="1085">
        <f t="shared" si="14"/>
        <v>1.2167283398381181E-2</v>
      </c>
      <c r="I52" s="1085">
        <f t="shared" si="14"/>
        <v>9.3027365200013829E-3</v>
      </c>
      <c r="J52" s="1393">
        <f t="shared" si="15"/>
        <v>2.2332949791479238E-2</v>
      </c>
      <c r="K52" s="1393"/>
      <c r="L52" s="1393"/>
      <c r="M52" s="1393"/>
      <c r="N52" s="1393"/>
      <c r="O52" s="1085">
        <f t="shared" si="16"/>
        <v>3.4206917512651605E-2</v>
      </c>
      <c r="P52" s="1085">
        <f t="shared" si="14"/>
        <v>2.6889866323284089E-2</v>
      </c>
      <c r="Q52" s="1085">
        <f t="shared" si="17"/>
        <v>4.7358021009171671E-2</v>
      </c>
      <c r="R52" s="1085">
        <f t="shared" si="14"/>
        <v>2.3584529922029779E-2</v>
      </c>
      <c r="S52" s="1085">
        <f t="shared" si="14"/>
        <v>1.9273049515963845E-2</v>
      </c>
      <c r="T52" s="1085">
        <f t="shared" si="18"/>
        <v>2.9888168118093722E-2</v>
      </c>
      <c r="U52" s="1085">
        <f t="shared" si="18"/>
        <v>3.4971524256723362E-2</v>
      </c>
      <c r="V52" s="1085">
        <f t="shared" si="18"/>
        <v>5.8837164458364656E-2</v>
      </c>
      <c r="W52" s="1085">
        <f t="shared" si="14"/>
        <v>3.2771406253082613E-2</v>
      </c>
      <c r="X52" s="1085">
        <f t="shared" si="14"/>
        <v>6.092266255290045E-3</v>
      </c>
      <c r="Y52" s="1085">
        <f t="shared" si="14"/>
        <v>3.1023268144427612E-2</v>
      </c>
      <c r="Z52" s="1085"/>
      <c r="AA52" s="1085">
        <f t="shared" si="4"/>
        <v>0.29734219090776198</v>
      </c>
      <c r="AB52" s="1085">
        <f t="shared" si="5"/>
        <v>6.9886940652800267E-2</v>
      </c>
      <c r="AC52" s="1089"/>
      <c r="AD52" s="1089"/>
      <c r="AE52" s="1090">
        <f>AA52*$B113/'T-T1'!$BN19</f>
        <v>0.31968382128417355</v>
      </c>
      <c r="AF52" s="1090">
        <f>AB52*$B113/'T-T1'!$BN19</f>
        <v>7.5138089813423195E-2</v>
      </c>
      <c r="AG52" s="226"/>
      <c r="AH52" s="276"/>
      <c r="AI52" s="276"/>
      <c r="AJ52" s="276"/>
      <c r="AK52" s="276"/>
      <c r="AL52" s="249"/>
    </row>
    <row r="53" spans="1:38" x14ac:dyDescent="0.3">
      <c r="A53" s="100">
        <v>1971</v>
      </c>
      <c r="B53" s="1085">
        <f t="shared" si="13"/>
        <v>0.99999963652232959</v>
      </c>
      <c r="C53" s="1085">
        <f t="shared" si="14"/>
        <v>0.5132861824420718</v>
      </c>
      <c r="D53" s="1085">
        <f t="shared" si="14"/>
        <v>1.0840086680135624E-2</v>
      </c>
      <c r="E53" s="1085">
        <f t="shared" si="14"/>
        <v>1.4093743611760001E-2</v>
      </c>
      <c r="F53" s="1085">
        <f t="shared" si="14"/>
        <v>2.2359784103224319E-2</v>
      </c>
      <c r="G53" s="1085">
        <f t="shared" si="14"/>
        <v>3.6313763344718891E-2</v>
      </c>
      <c r="H53" s="1085">
        <f t="shared" si="14"/>
        <v>1.1164626284844142E-2</v>
      </c>
      <c r="I53" s="1085">
        <f t="shared" si="14"/>
        <v>1.0097896991806909E-2</v>
      </c>
      <c r="J53" s="1393">
        <f t="shared" si="15"/>
        <v>2.1934473364743811E-2</v>
      </c>
      <c r="K53" s="1393"/>
      <c r="L53" s="1393"/>
      <c r="M53" s="1393"/>
      <c r="N53" s="1393"/>
      <c r="O53" s="1085">
        <f t="shared" si="16"/>
        <v>3.4108710678019391E-2</v>
      </c>
      <c r="P53" s="1085">
        <f t="shared" si="14"/>
        <v>3.4015170095458125E-2</v>
      </c>
      <c r="Q53" s="1085">
        <f t="shared" si="17"/>
        <v>4.82932772704893E-2</v>
      </c>
      <c r="R53" s="1085">
        <f t="shared" si="14"/>
        <v>2.401722569335164E-2</v>
      </c>
      <c r="S53" s="1085">
        <f t="shared" si="14"/>
        <v>1.942102289390928E-2</v>
      </c>
      <c r="T53" s="1085">
        <f t="shared" si="18"/>
        <v>2.8769203732775788E-2</v>
      </c>
      <c r="U53" s="1085">
        <f t="shared" si="18"/>
        <v>3.6360806519855043E-2</v>
      </c>
      <c r="V53" s="1085">
        <f t="shared" si="18"/>
        <v>5.8538241463437189E-2</v>
      </c>
      <c r="W53" s="1085">
        <f t="shared" si="14"/>
        <v>3.5065912367529817E-2</v>
      </c>
      <c r="X53" s="1085">
        <f t="shared" si="14"/>
        <v>6.1273622382607392E-3</v>
      </c>
      <c r="Y53" s="1085">
        <f t="shared" si="14"/>
        <v>3.5192146745937736E-2</v>
      </c>
      <c r="Z53" s="1085"/>
      <c r="AA53" s="1085">
        <f t="shared" si="4"/>
        <v>0.30545813171203956</v>
      </c>
      <c r="AB53" s="1085">
        <f t="shared" si="5"/>
        <v>7.6385421351728294E-2</v>
      </c>
      <c r="AC53" s="1089"/>
      <c r="AD53" s="1089"/>
      <c r="AE53" s="1090">
        <f>AA53*$B114/'T-T1'!$BN20</f>
        <v>0.33072045752000007</v>
      </c>
      <c r="AF53" s="1090">
        <f>AB53*$B114/'T-T1'!$BN20</f>
        <v>8.270273034052561E-2</v>
      </c>
      <c r="AG53" s="226"/>
      <c r="AH53" s="276"/>
      <c r="AI53" s="276"/>
      <c r="AJ53" s="276"/>
      <c r="AK53" s="276"/>
      <c r="AL53" s="249"/>
    </row>
    <row r="54" spans="1:38" x14ac:dyDescent="0.3">
      <c r="A54" s="100">
        <v>1972</v>
      </c>
      <c r="B54" s="1085">
        <f t="shared" si="13"/>
        <v>1.0000000824584763</v>
      </c>
      <c r="C54" s="1085">
        <f t="shared" si="14"/>
        <v>0.51062168460588109</v>
      </c>
      <c r="D54" s="1085">
        <f t="shared" si="14"/>
        <v>8.8353423678571245E-3</v>
      </c>
      <c r="E54" s="1085">
        <f t="shared" si="14"/>
        <v>1.4055179472161491E-2</v>
      </c>
      <c r="F54" s="1085">
        <f t="shared" si="14"/>
        <v>2.3280021882051437E-2</v>
      </c>
      <c r="G54" s="1085">
        <f t="shared" si="14"/>
        <v>3.7128858208496048E-2</v>
      </c>
      <c r="H54" s="1085">
        <f t="shared" si="14"/>
        <v>1.1454691408897997E-2</v>
      </c>
      <c r="I54" s="1085">
        <f t="shared" si="14"/>
        <v>1.0694351929182755E-2</v>
      </c>
      <c r="J54" s="1393">
        <f t="shared" si="15"/>
        <v>2.2066447964930874E-2</v>
      </c>
      <c r="K54" s="1393"/>
      <c r="L54" s="1393"/>
      <c r="M54" s="1393"/>
      <c r="N54" s="1393"/>
      <c r="O54" s="1085">
        <f t="shared" si="16"/>
        <v>3.2136583628393507E-2</v>
      </c>
      <c r="P54" s="1085">
        <f t="shared" si="14"/>
        <v>3.9489416862957767E-2</v>
      </c>
      <c r="Q54" s="1085">
        <f t="shared" si="17"/>
        <v>4.8139518751831332E-2</v>
      </c>
      <c r="R54" s="1085">
        <f t="shared" si="14"/>
        <v>2.5614068100326327E-2</v>
      </c>
      <c r="S54" s="1085">
        <f t="shared" si="14"/>
        <v>2.0125750270054525E-2</v>
      </c>
      <c r="T54" s="1085">
        <f t="shared" si="18"/>
        <v>2.9649744441617984E-2</v>
      </c>
      <c r="U54" s="1085">
        <f t="shared" si="18"/>
        <v>3.368248291887329E-2</v>
      </c>
      <c r="V54" s="1085">
        <f t="shared" si="18"/>
        <v>5.6220729697243524E-2</v>
      </c>
      <c r="W54" s="1085">
        <f t="shared" si="14"/>
        <v>3.5434013648947757E-2</v>
      </c>
      <c r="X54" s="1085">
        <f t="shared" si="14"/>
        <v>6.1279090932962882E-3</v>
      </c>
      <c r="Y54" s="1085">
        <f t="shared" si="14"/>
        <v>3.5243287205475163E-2</v>
      </c>
      <c r="Z54" s="1085"/>
      <c r="AA54" s="1085">
        <f t="shared" si="4"/>
        <v>0.30712474263622908</v>
      </c>
      <c r="AB54" s="1085">
        <f t="shared" si="5"/>
        <v>7.6805209947719208E-2</v>
      </c>
      <c r="AC54" s="1089"/>
      <c r="AD54" s="1089"/>
      <c r="AE54" s="1090">
        <f>AA54*$B115/'T-T1'!$BN21</f>
        <v>0.33267594965755604</v>
      </c>
      <c r="AF54" s="1090">
        <f>AB54*$B115/'T-T1'!$BN21</f>
        <v>8.319501040093466E-2</v>
      </c>
      <c r="AG54" s="226"/>
      <c r="AH54" s="276"/>
      <c r="AI54" s="276"/>
      <c r="AJ54" s="276"/>
      <c r="AK54" s="276"/>
      <c r="AL54" s="249"/>
    </row>
    <row r="55" spans="1:38" x14ac:dyDescent="0.3">
      <c r="A55" s="100">
        <v>1973</v>
      </c>
      <c r="B55" s="1085">
        <f t="shared" si="13"/>
        <v>1.0000002939289943</v>
      </c>
      <c r="C55" s="1085">
        <f t="shared" si="14"/>
        <v>0.50384588054199031</v>
      </c>
      <c r="D55" s="1085">
        <f t="shared" si="14"/>
        <v>6.7059245738268717E-3</v>
      </c>
      <c r="E55" s="1085">
        <f t="shared" si="14"/>
        <v>1.3821362279174186E-2</v>
      </c>
      <c r="F55" s="1085">
        <f t="shared" si="14"/>
        <v>2.3970227986493856E-2</v>
      </c>
      <c r="G55" s="1085">
        <f t="shared" si="14"/>
        <v>3.9410087666877487E-2</v>
      </c>
      <c r="H55" s="1085">
        <f t="shared" si="14"/>
        <v>9.5309313916164713E-3</v>
      </c>
      <c r="I55" s="1085">
        <f t="shared" si="14"/>
        <v>1.1484083866372081E-2</v>
      </c>
      <c r="J55" s="1393">
        <f t="shared" si="15"/>
        <v>2.4050580541686625E-2</v>
      </c>
      <c r="K55" s="1393"/>
      <c r="L55" s="1393"/>
      <c r="M55" s="1393"/>
      <c r="N55" s="1393"/>
      <c r="O55" s="1085">
        <f t="shared" si="16"/>
        <v>2.9569120834889023E-2</v>
      </c>
      <c r="P55" s="1085">
        <f t="shared" si="14"/>
        <v>3.9228533145111114E-2</v>
      </c>
      <c r="Q55" s="1085">
        <f t="shared" si="17"/>
        <v>4.8529456337262578E-2</v>
      </c>
      <c r="R55" s="1085">
        <f t="shared" si="14"/>
        <v>2.9165179108801263E-2</v>
      </c>
      <c r="S55" s="1085">
        <f t="shared" si="14"/>
        <v>2.0213947755749369E-2</v>
      </c>
      <c r="T55" s="1085">
        <f t="shared" si="18"/>
        <v>3.3776308820615678E-2</v>
      </c>
      <c r="U55" s="1085">
        <f t="shared" si="18"/>
        <v>3.132614027188111E-2</v>
      </c>
      <c r="V55" s="1085">
        <f t="shared" si="18"/>
        <v>5.6872942334730517E-2</v>
      </c>
      <c r="W55" s="1085">
        <f t="shared" si="14"/>
        <v>3.9023996409034006E-2</v>
      </c>
      <c r="X55" s="1085">
        <f t="shared" si="14"/>
        <v>6.3736286145317893E-3</v>
      </c>
      <c r="Y55" s="1085">
        <f t="shared" si="14"/>
        <v>3.3101961448349884E-2</v>
      </c>
      <c r="Z55" s="1085"/>
      <c r="AA55" s="1085">
        <f t="shared" si="4"/>
        <v>0.3127322091507273</v>
      </c>
      <c r="AB55" s="1085">
        <f t="shared" si="5"/>
        <v>7.8499586471915683E-2</v>
      </c>
      <c r="AC55" s="1089"/>
      <c r="AD55" s="1089"/>
      <c r="AE55" s="1090">
        <f>AA55*$B116/'T-T1'!$BN22</f>
        <v>0.33937287456939447</v>
      </c>
      <c r="AF55" s="1090">
        <f>AB55*$B116/'T-T1'!$BN22</f>
        <v>8.5186717370204779E-2</v>
      </c>
      <c r="AG55" s="226"/>
      <c r="AH55" s="276"/>
      <c r="AI55" s="276"/>
      <c r="AJ55" s="276"/>
      <c r="AK55" s="276"/>
      <c r="AL55" s="249"/>
    </row>
    <row r="56" spans="1:38" x14ac:dyDescent="0.3">
      <c r="A56" s="100">
        <v>1974</v>
      </c>
      <c r="B56" s="1085">
        <f t="shared" si="13"/>
        <v>1.0000000000034439</v>
      </c>
      <c r="C56" s="1085">
        <f t="shared" si="14"/>
        <v>0.51429598001791943</v>
      </c>
      <c r="D56" s="1085">
        <f t="shared" si="14"/>
        <v>5.4097023814240058E-3</v>
      </c>
      <c r="E56" s="1085">
        <f t="shared" si="14"/>
        <v>1.4311003889532804E-2</v>
      </c>
      <c r="F56" s="1085">
        <f t="shared" si="14"/>
        <v>2.735818659053044E-2</v>
      </c>
      <c r="G56" s="1085">
        <f t="shared" si="14"/>
        <v>2.8539111514343712E-2</v>
      </c>
      <c r="H56" s="1085">
        <f t="shared" si="14"/>
        <v>9.5561114419910678E-3</v>
      </c>
      <c r="I56" s="1085">
        <f t="shared" si="14"/>
        <v>1.3105007326282999E-2</v>
      </c>
      <c r="J56" s="1393">
        <f t="shared" si="15"/>
        <v>2.4236526886581952E-2</v>
      </c>
      <c r="K56" s="1393"/>
      <c r="L56" s="1393"/>
      <c r="M56" s="1393"/>
      <c r="N56" s="1393"/>
      <c r="O56" s="1085">
        <f t="shared" si="16"/>
        <v>2.8711597446548543E-2</v>
      </c>
      <c r="P56" s="1085">
        <f t="shared" si="14"/>
        <v>2.6869999769587094E-2</v>
      </c>
      <c r="Q56" s="1085">
        <f t="shared" si="17"/>
        <v>4.6458209974150955E-2</v>
      </c>
      <c r="R56" s="1085">
        <f t="shared" si="14"/>
        <v>3.0249307818491365E-2</v>
      </c>
      <c r="S56" s="1085">
        <f t="shared" si="14"/>
        <v>2.1405442752392409E-2</v>
      </c>
      <c r="T56" s="1085">
        <f t="shared" si="18"/>
        <v>3.1195297856246751E-2</v>
      </c>
      <c r="U56" s="1085">
        <f t="shared" si="18"/>
        <v>3.3491137427474379E-2</v>
      </c>
      <c r="V56" s="1085">
        <f t="shared" si="18"/>
        <v>5.9020464469586989E-2</v>
      </c>
      <c r="W56" s="1085">
        <f t="shared" si="14"/>
        <v>4.0881979448430493E-2</v>
      </c>
      <c r="X56" s="1085">
        <f t="shared" si="14"/>
        <v>7.3921094552638535E-3</v>
      </c>
      <c r="Y56" s="1085">
        <f t="shared" si="14"/>
        <v>3.7512823536664928E-2</v>
      </c>
      <c r="Z56" s="1085"/>
      <c r="AA56" s="1085">
        <f t="shared" si="4"/>
        <v>0.30163798440106043</v>
      </c>
      <c r="AB56" s="1085">
        <f t="shared" si="5"/>
        <v>8.578691244035927E-2</v>
      </c>
      <c r="AC56" s="1089"/>
      <c r="AD56" s="1089"/>
      <c r="AE56" s="1090">
        <f>AA56*$B117/'T-T1'!$BN23</f>
        <v>0.32994285523660133</v>
      </c>
      <c r="AF56" s="1090">
        <f>AB56*$B117/'T-T1'!$BN23</f>
        <v>9.3836918081478038E-2</v>
      </c>
      <c r="AG56" s="226"/>
      <c r="AH56" s="276"/>
      <c r="AI56" s="276"/>
      <c r="AJ56" s="276"/>
      <c r="AK56" s="276"/>
      <c r="AL56" s="249"/>
    </row>
    <row r="57" spans="1:38" x14ac:dyDescent="0.3">
      <c r="A57" s="100">
        <v>1975</v>
      </c>
      <c r="B57" s="1085">
        <f t="shared" si="13"/>
        <v>0.99999975267908026</v>
      </c>
      <c r="C57" s="1085">
        <f t="shared" si="14"/>
        <v>0.49273626268858334</v>
      </c>
      <c r="D57" s="1085">
        <f t="shared" si="14"/>
        <v>9.1327607651784347E-3</v>
      </c>
      <c r="E57" s="1085">
        <f t="shared" si="14"/>
        <v>1.3453573223416488E-2</v>
      </c>
      <c r="F57" s="1085">
        <f t="shared" si="14"/>
        <v>2.7263620996461985E-2</v>
      </c>
      <c r="G57" s="1085">
        <f t="shared" si="14"/>
        <v>3.1446155770377633E-2</v>
      </c>
      <c r="H57" s="1085">
        <f t="shared" si="14"/>
        <v>7.7985790479339571E-3</v>
      </c>
      <c r="I57" s="1085">
        <f t="shared" si="14"/>
        <v>1.4817991571786952E-2</v>
      </c>
      <c r="J57" s="1393">
        <f t="shared" si="15"/>
        <v>2.307075182443374E-2</v>
      </c>
      <c r="K57" s="1393"/>
      <c r="L57" s="1393"/>
      <c r="M57" s="1393"/>
      <c r="N57" s="1393"/>
      <c r="O57" s="1085">
        <f t="shared" si="16"/>
        <v>2.7423714961445595E-2</v>
      </c>
      <c r="P57" s="1085">
        <f t="shared" si="14"/>
        <v>3.3648117416453127E-2</v>
      </c>
      <c r="Q57" s="1085">
        <f t="shared" si="17"/>
        <v>4.2999606078928568E-2</v>
      </c>
      <c r="R57" s="1085">
        <f t="shared" si="14"/>
        <v>2.8978575160200463E-2</v>
      </c>
      <c r="S57" s="1085">
        <f t="shared" si="14"/>
        <v>2.322304957406357E-2</v>
      </c>
      <c r="T57" s="1085">
        <f t="shared" si="18"/>
        <v>2.9289044046252259E-2</v>
      </c>
      <c r="U57" s="1085">
        <f t="shared" si="18"/>
        <v>3.7081670280756547E-2</v>
      </c>
      <c r="V57" s="1085">
        <f t="shared" si="18"/>
        <v>5.7648907193643385E-2</v>
      </c>
      <c r="W57" s="1085">
        <f t="shared" si="14"/>
        <v>4.2893550596684017E-2</v>
      </c>
      <c r="X57" s="1085">
        <f t="shared" si="14"/>
        <v>8.5061458420115869E-3</v>
      </c>
      <c r="Y57" s="1085">
        <f t="shared" si="14"/>
        <v>4.8587675640468807E-2</v>
      </c>
      <c r="Z57" s="1085"/>
      <c r="AA57" s="1085">
        <f t="shared" si="4"/>
        <v>0.30336343653617726</v>
      </c>
      <c r="AB57" s="1085">
        <f t="shared" si="5"/>
        <v>9.9987372079164416E-2</v>
      </c>
      <c r="AC57" s="1089"/>
      <c r="AD57" s="1089"/>
      <c r="AE57" s="1090">
        <f>AA57*$B118/'T-T1'!$BN24</f>
        <v>0.33706566461088033</v>
      </c>
      <c r="AF57" s="1090">
        <f>AB57*$B118/'T-T1'!$BN24</f>
        <v>0.11109549129378947</v>
      </c>
      <c r="AG57" s="226"/>
      <c r="AH57" s="276"/>
      <c r="AI57" s="276"/>
      <c r="AJ57" s="276"/>
      <c r="AK57" s="276"/>
      <c r="AL57" s="249"/>
    </row>
    <row r="58" spans="1:38" x14ac:dyDescent="0.3">
      <c r="A58" s="100">
        <v>1976</v>
      </c>
      <c r="B58" s="1085">
        <f t="shared" si="13"/>
        <v>1.0000000849113471</v>
      </c>
      <c r="C58" s="1085">
        <f t="shared" si="14"/>
        <v>0.49208045999893851</v>
      </c>
      <c r="D58" s="1085">
        <f t="shared" si="14"/>
        <v>8.2480128170883821E-3</v>
      </c>
      <c r="E58" s="1085">
        <f t="shared" si="14"/>
        <v>1.3663547098524709E-2</v>
      </c>
      <c r="F58" s="1085">
        <f t="shared" si="14"/>
        <v>2.7749641524622559E-2</v>
      </c>
      <c r="G58" s="1085">
        <f t="shared" si="14"/>
        <v>3.1252566873779586E-2</v>
      </c>
      <c r="H58" s="1085">
        <f t="shared" si="14"/>
        <v>7.5724954194009431E-3</v>
      </c>
      <c r="I58" s="1085">
        <f t="shared" si="14"/>
        <v>1.5062733439257117E-2</v>
      </c>
      <c r="J58" s="1393">
        <f t="shared" si="15"/>
        <v>2.3076564583906178E-2</v>
      </c>
      <c r="K58" s="1393"/>
      <c r="L58" s="1393"/>
      <c r="M58" s="1393"/>
      <c r="N58" s="1393"/>
      <c r="O58" s="1085">
        <f t="shared" si="16"/>
        <v>2.5338593974573071E-2</v>
      </c>
      <c r="P58" s="1085">
        <f t="shared" si="14"/>
        <v>3.91185664632029E-2</v>
      </c>
      <c r="Q58" s="1085">
        <f t="shared" si="17"/>
        <v>4.7085156694864662E-2</v>
      </c>
      <c r="R58" s="1085">
        <f t="shared" si="14"/>
        <v>3.0383970793096571E-2</v>
      </c>
      <c r="S58" s="1085">
        <f t="shared" si="14"/>
        <v>2.5680984762766906E-2</v>
      </c>
      <c r="T58" s="1085">
        <f t="shared" si="18"/>
        <v>2.7337800478640664E-2</v>
      </c>
      <c r="U58" s="1085">
        <f t="shared" si="18"/>
        <v>3.1740279164530961E-2</v>
      </c>
      <c r="V58" s="1085">
        <f t="shared" si="18"/>
        <v>5.6536929807125783E-2</v>
      </c>
      <c r="W58" s="1085">
        <f t="shared" si="14"/>
        <v>4.3595339982572534E-2</v>
      </c>
      <c r="X58" s="1085">
        <f t="shared" si="14"/>
        <v>9.3473243726326545E-3</v>
      </c>
      <c r="Y58" s="1085">
        <f t="shared" si="14"/>
        <v>4.5129116661822566E-2</v>
      </c>
      <c r="Z58" s="1085"/>
      <c r="AA58" s="1085">
        <f t="shared" si="4"/>
        <v>0.30629884672270768</v>
      </c>
      <c r="AB58" s="1085">
        <f t="shared" si="5"/>
        <v>9.8071781017027751E-2</v>
      </c>
      <c r="AC58" s="1089"/>
      <c r="AD58" s="1089"/>
      <c r="AE58" s="1090">
        <f>AA58*$B119/'T-T1'!$BN25</f>
        <v>0.33960486176717286</v>
      </c>
      <c r="AF58" s="1090">
        <f>AB58*$B119/'T-T1'!$BN25</f>
        <v>0.10873581142047119</v>
      </c>
      <c r="AG58" s="226"/>
      <c r="AH58" s="276"/>
      <c r="AI58" s="276"/>
      <c r="AJ58" s="276"/>
      <c r="AK58" s="276"/>
      <c r="AL58" s="249"/>
    </row>
    <row r="59" spans="1:38" x14ac:dyDescent="0.3">
      <c r="A59" s="100">
        <v>1977</v>
      </c>
      <c r="B59" s="1085">
        <f t="shared" si="13"/>
        <v>1.0000001506527851</v>
      </c>
      <c r="C59" s="1085">
        <f t="shared" si="14"/>
        <v>0.48814066877383644</v>
      </c>
      <c r="D59" s="1085">
        <f t="shared" si="14"/>
        <v>8.0787847897344049E-3</v>
      </c>
      <c r="E59" s="1085">
        <f t="shared" si="14"/>
        <v>1.3606081314716753E-2</v>
      </c>
      <c r="F59" s="1085">
        <f t="shared" si="14"/>
        <v>2.8065439403707884E-2</v>
      </c>
      <c r="G59" s="1085">
        <f t="shared" si="14"/>
        <v>2.8202288896697833E-2</v>
      </c>
      <c r="H59" s="1085">
        <f t="shared" si="14"/>
        <v>7.6972503236578636E-3</v>
      </c>
      <c r="I59" s="1085">
        <f t="shared" si="14"/>
        <v>1.6914305703950784E-2</v>
      </c>
      <c r="J59" s="1393">
        <f t="shared" si="15"/>
        <v>2.0943834657628516E-2</v>
      </c>
      <c r="K59" s="1393"/>
      <c r="L59" s="1393"/>
      <c r="M59" s="1393"/>
      <c r="N59" s="1393"/>
      <c r="O59" s="1085">
        <f t="shared" si="16"/>
        <v>2.1955915597483784E-2</v>
      </c>
      <c r="P59" s="1085">
        <f t="shared" si="14"/>
        <v>4.3594089285375982E-2</v>
      </c>
      <c r="Q59" s="1085">
        <f t="shared" si="17"/>
        <v>4.7913062912265082E-2</v>
      </c>
      <c r="R59" s="1085">
        <f t="shared" si="14"/>
        <v>3.0769099276837054E-2</v>
      </c>
      <c r="S59" s="1085">
        <f t="shared" si="14"/>
        <v>2.7953734749853614E-2</v>
      </c>
      <c r="T59" s="1085">
        <f t="shared" si="18"/>
        <v>3.3549036511512281E-2</v>
      </c>
      <c r="U59" s="1085">
        <f t="shared" si="18"/>
        <v>3.4399273360573024E-2</v>
      </c>
      <c r="V59" s="1085">
        <f t="shared" si="18"/>
        <v>5.3934549053146492E-2</v>
      </c>
      <c r="W59" s="1085">
        <f t="shared" si="14"/>
        <v>4.3820184558603592E-2</v>
      </c>
      <c r="X59" s="1085">
        <f t="shared" si="14"/>
        <v>9.9975402108261786E-3</v>
      </c>
      <c r="Y59" s="1085">
        <f t="shared" si="14"/>
        <v>4.0465011272377401E-2</v>
      </c>
      <c r="Z59" s="1085"/>
      <c r="AA59" s="1085">
        <f t="shared" si="4"/>
        <v>0.3150125954046758</v>
      </c>
      <c r="AB59" s="1085">
        <f t="shared" si="5"/>
        <v>9.4282736041807175E-2</v>
      </c>
      <c r="AC59" s="1089"/>
      <c r="AD59" s="1089"/>
      <c r="AE59" s="1090">
        <f>AA59*$B120/'T-T1'!$BN26</f>
        <v>0.34780465513894621</v>
      </c>
      <c r="AF59" s="1090">
        <f>AB59*$B120/'T-T1'!$BN26</f>
        <v>0.10409734395683881</v>
      </c>
      <c r="AG59" s="226"/>
      <c r="AH59" s="276"/>
      <c r="AI59" s="276"/>
      <c r="AJ59" s="276"/>
      <c r="AK59" s="276"/>
      <c r="AL59" s="249"/>
    </row>
    <row r="60" spans="1:38" x14ac:dyDescent="0.3">
      <c r="A60" s="100">
        <v>1978</v>
      </c>
      <c r="B60" s="1085">
        <f t="shared" si="13"/>
        <v>0.9999998652434221</v>
      </c>
      <c r="C60" s="1085">
        <f t="shared" si="14"/>
        <v>0.48871442234031082</v>
      </c>
      <c r="D60" s="1085">
        <f t="shared" si="14"/>
        <v>6.6745131129535076E-3</v>
      </c>
      <c r="E60" s="1085">
        <f t="shared" si="14"/>
        <v>1.3539507661581371E-2</v>
      </c>
      <c r="F60" s="1085">
        <f t="shared" si="14"/>
        <v>2.8036611667639301E-2</v>
      </c>
      <c r="G60" s="1085">
        <f t="shared" si="14"/>
        <v>2.8801162411634381E-2</v>
      </c>
      <c r="H60" s="1085">
        <f t="shared" si="14"/>
        <v>7.7676249946947223E-3</v>
      </c>
      <c r="I60" s="1085">
        <f t="shared" si="14"/>
        <v>1.6561651356378843E-2</v>
      </c>
      <c r="J60" s="1393">
        <f t="shared" si="15"/>
        <v>2.138591083174373E-2</v>
      </c>
      <c r="K60" s="1393"/>
      <c r="L60" s="1393"/>
      <c r="M60" s="1393"/>
      <c r="N60" s="1393"/>
      <c r="O60" s="1085">
        <f t="shared" si="16"/>
        <v>1.9897398382331632E-2</v>
      </c>
      <c r="P60" s="1085">
        <f t="shared" si="14"/>
        <v>4.6133061044691406E-2</v>
      </c>
      <c r="Q60" s="1085">
        <f t="shared" si="17"/>
        <v>4.6774955984507552E-2</v>
      </c>
      <c r="R60" s="1085">
        <f t="shared" si="14"/>
        <v>3.2062472943553966E-2</v>
      </c>
      <c r="S60" s="1085">
        <f t="shared" si="14"/>
        <v>2.9466205142286424E-2</v>
      </c>
      <c r="T60" s="1085">
        <f t="shared" si="18"/>
        <v>3.6103421982211066E-2</v>
      </c>
      <c r="U60" s="1085">
        <f t="shared" si="18"/>
        <v>3.3850469465072038E-2</v>
      </c>
      <c r="V60" s="1085">
        <f t="shared" si="18"/>
        <v>5.4151368784517671E-2</v>
      </c>
      <c r="W60" s="1085">
        <f t="shared" si="14"/>
        <v>4.2747423837686274E-2</v>
      </c>
      <c r="X60" s="1085">
        <f t="shared" si="14"/>
        <v>1.0342487392722019E-2</v>
      </c>
      <c r="Y60" s="1085">
        <f t="shared" si="14"/>
        <v>3.69891959069054E-2</v>
      </c>
      <c r="Z60" s="1085"/>
      <c r="AA60" s="1085">
        <f t="shared" si="4"/>
        <v>0.31982526456091548</v>
      </c>
      <c r="AB60" s="1085">
        <f t="shared" si="5"/>
        <v>9.0079107137313694E-2</v>
      </c>
      <c r="AC60" s="1089"/>
      <c r="AD60" s="1089"/>
      <c r="AE60" s="1090">
        <f>AA60*$B121/'T-T1'!$BN27</f>
        <v>0.35148665948694457</v>
      </c>
      <c r="AF60" s="1090">
        <f>AB60*$B121/'T-T1'!$BN27</f>
        <v>9.8996570832916658E-2</v>
      </c>
      <c r="AG60" s="226"/>
      <c r="AH60" s="276"/>
      <c r="AI60" s="276"/>
      <c r="AJ60" s="276"/>
      <c r="AK60" s="276"/>
      <c r="AL60" s="249"/>
    </row>
    <row r="61" spans="1:38" x14ac:dyDescent="0.3">
      <c r="A61" s="100">
        <v>1979</v>
      </c>
      <c r="B61" s="1085">
        <f t="shared" si="13"/>
        <v>1.0000000000087645</v>
      </c>
      <c r="C61" s="1085">
        <f t="shared" si="14"/>
        <v>0.49704754247402128</v>
      </c>
      <c r="D61" s="1085">
        <f t="shared" si="14"/>
        <v>5.8220387872322792E-3</v>
      </c>
      <c r="E61" s="1085">
        <f t="shared" si="14"/>
        <v>1.3538169647280386E-2</v>
      </c>
      <c r="F61" s="1085">
        <f t="shared" si="14"/>
        <v>3.0569663147901473E-2</v>
      </c>
      <c r="G61" s="1085">
        <f t="shared" si="14"/>
        <v>2.8594341666969381E-2</v>
      </c>
      <c r="H61" s="1085">
        <f t="shared" si="14"/>
        <v>5.9381216442628967E-3</v>
      </c>
      <c r="I61" s="1085">
        <f t="shared" si="14"/>
        <v>1.51023945591932E-2</v>
      </c>
      <c r="J61" s="1393">
        <f t="shared" si="15"/>
        <v>2.110848952381348E-2</v>
      </c>
      <c r="K61" s="1393"/>
      <c r="L61" s="1393"/>
      <c r="M61" s="1393"/>
      <c r="N61" s="1393"/>
      <c r="O61" s="1085">
        <f t="shared" si="16"/>
        <v>1.7691106503667557E-2</v>
      </c>
      <c r="P61" s="1085">
        <f t="shared" si="14"/>
        <v>4.1024473281169746E-2</v>
      </c>
      <c r="Q61" s="1085">
        <f t="shared" si="17"/>
        <v>4.3320281163520609E-2</v>
      </c>
      <c r="R61" s="1085">
        <f t="shared" si="14"/>
        <v>3.3398605879815128E-2</v>
      </c>
      <c r="S61" s="1085">
        <f t="shared" si="14"/>
        <v>3.0322700515509927E-2</v>
      </c>
      <c r="T61" s="1085">
        <f t="shared" si="18"/>
        <v>3.339380913939078E-2</v>
      </c>
      <c r="U61" s="1085">
        <f t="shared" si="18"/>
        <v>3.7526646053575398E-2</v>
      </c>
      <c r="V61" s="1085">
        <f t="shared" si="18"/>
        <v>5.4766159355202203E-2</v>
      </c>
      <c r="W61" s="1085">
        <f t="shared" si="14"/>
        <v>4.3228481200636402E-2</v>
      </c>
      <c r="X61" s="1085">
        <f t="shared" si="14"/>
        <v>1.1006694228279613E-2</v>
      </c>
      <c r="Y61" s="1085">
        <f t="shared" si="14"/>
        <v>3.6600281237322924E-2</v>
      </c>
      <c r="Z61" s="1085"/>
      <c r="AA61" s="1085">
        <f t="shared" si="4"/>
        <v>0.31255227141566483</v>
      </c>
      <c r="AB61" s="1085">
        <f t="shared" si="5"/>
        <v>9.0835456666238934E-2</v>
      </c>
      <c r="AC61" s="1089"/>
      <c r="AD61" s="1089"/>
      <c r="AE61" s="1090">
        <f>AA61*$B122/'T-T1'!$BN28</f>
        <v>0.34377963551487506</v>
      </c>
      <c r="AF61" s="1090">
        <f>AB61*$B122/'T-T1'!$BN28</f>
        <v>9.9910904640387002E-2</v>
      </c>
      <c r="AG61" s="226"/>
      <c r="AH61" s="276"/>
      <c r="AI61" s="276"/>
      <c r="AJ61" s="276"/>
      <c r="AK61" s="276"/>
      <c r="AL61" s="249"/>
    </row>
    <row r="62" spans="1:38" x14ac:dyDescent="0.3">
      <c r="A62" s="100">
        <v>1980</v>
      </c>
      <c r="B62" s="1085">
        <f t="shared" si="13"/>
        <v>0.99999988924644034</v>
      </c>
      <c r="C62" s="1085">
        <f t="shared" si="14"/>
        <v>0.50081308208518305</v>
      </c>
      <c r="D62" s="1085">
        <f t="shared" si="14"/>
        <v>6.8767301848703215E-3</v>
      </c>
      <c r="E62" s="1085">
        <f t="shared" si="14"/>
        <v>1.4372321116161166E-2</v>
      </c>
      <c r="F62" s="1085">
        <f t="shared" si="14"/>
        <v>3.8647383666312166E-2</v>
      </c>
      <c r="G62" s="1085">
        <f t="shared" si="14"/>
        <v>2.4035157080095897E-2</v>
      </c>
      <c r="H62" s="1085">
        <f t="shared" si="14"/>
        <v>3.7465967144311085E-3</v>
      </c>
      <c r="I62" s="1085">
        <f t="shared" si="14"/>
        <v>1.6080197330903306E-2</v>
      </c>
      <c r="J62" s="1393">
        <f t="shared" si="15"/>
        <v>2.1232033187573236E-2</v>
      </c>
      <c r="K62" s="1393"/>
      <c r="L62" s="1393"/>
      <c r="M62" s="1393"/>
      <c r="N62" s="1393"/>
      <c r="O62" s="1085">
        <f t="shared" si="16"/>
        <v>1.7309026668482691E-2</v>
      </c>
      <c r="P62" s="1085">
        <f t="shared" si="14"/>
        <v>2.6825058478335304E-2</v>
      </c>
      <c r="Q62" s="1085">
        <f t="shared" si="17"/>
        <v>3.8323102216144586E-2</v>
      </c>
      <c r="R62" s="1085">
        <f t="shared" si="14"/>
        <v>3.2998903195894075E-2</v>
      </c>
      <c r="S62" s="1085">
        <f t="shared" si="14"/>
        <v>3.1628710374863755E-2</v>
      </c>
      <c r="T62" s="1085">
        <f t="shared" si="18"/>
        <v>2.900147997428619E-2</v>
      </c>
      <c r="U62" s="1085">
        <f t="shared" si="18"/>
        <v>4.1313744411653038E-2</v>
      </c>
      <c r="V62" s="1085">
        <f t="shared" si="18"/>
        <v>5.7181155428846497E-2</v>
      </c>
      <c r="W62" s="1085">
        <f t="shared" si="14"/>
        <v>4.578365928229073E-2</v>
      </c>
      <c r="X62" s="1085">
        <f t="shared" si="14"/>
        <v>1.2314297246140369E-2</v>
      </c>
      <c r="Y62" s="1085">
        <f t="shared" si="14"/>
        <v>4.1517250603972919E-2</v>
      </c>
      <c r="Z62" s="1085"/>
      <c r="AA62" s="1085">
        <f t="shared" si="4"/>
        <v>0.29581321393607934</v>
      </c>
      <c r="AB62" s="1085">
        <f t="shared" si="5"/>
        <v>9.9615207132404016E-2</v>
      </c>
      <c r="AC62" s="1089"/>
      <c r="AD62" s="1089"/>
      <c r="AE62" s="1090">
        <f>AA62*$B123/'T-T1'!$BN29</f>
        <v>0.32854116563721975</v>
      </c>
      <c r="AF62" s="1090">
        <f>AB62*$B123/'T-T1'!$BN29</f>
        <v>0.11063635674349913</v>
      </c>
      <c r="AG62" s="226"/>
      <c r="AH62" s="276"/>
      <c r="AI62" s="276"/>
      <c r="AJ62" s="276"/>
      <c r="AK62" s="276"/>
      <c r="AL62" s="249"/>
    </row>
    <row r="63" spans="1:38" x14ac:dyDescent="0.3">
      <c r="A63" s="100">
        <v>1981</v>
      </c>
      <c r="B63" s="1085">
        <f t="shared" si="13"/>
        <v>0.99999986798565899</v>
      </c>
      <c r="C63" s="1085">
        <f t="shared" si="14"/>
        <v>0.49104590172001072</v>
      </c>
      <c r="D63" s="1085">
        <f t="shared" si="14"/>
        <v>7.0295750509579702E-3</v>
      </c>
      <c r="E63" s="1085">
        <f t="shared" si="14"/>
        <v>1.5331038092823749E-2</v>
      </c>
      <c r="F63" s="1085">
        <f t="shared" si="14"/>
        <v>4.71183673079697E-2</v>
      </c>
      <c r="G63" s="1085">
        <f t="shared" si="14"/>
        <v>1.4991128662065685E-2</v>
      </c>
      <c r="H63" s="1085">
        <f t="shared" si="14"/>
        <v>-3.0676135019996892E-4</v>
      </c>
      <c r="I63" s="1085">
        <f t="shared" si="14"/>
        <v>1.7145071899506099E-2</v>
      </c>
      <c r="J63" s="1393">
        <f t="shared" si="15"/>
        <v>2.1571670396963925E-2</v>
      </c>
      <c r="K63" s="1393"/>
      <c r="L63" s="1393"/>
      <c r="M63" s="1393"/>
      <c r="N63" s="1393"/>
      <c r="O63" s="1085">
        <f t="shared" si="16"/>
        <v>1.698224334352624E-2</v>
      </c>
      <c r="P63" s="1085">
        <f t="shared" si="14"/>
        <v>2.9541476740891623E-2</v>
      </c>
      <c r="Q63" s="1085">
        <f t="shared" si="17"/>
        <v>3.3630406518537825E-2</v>
      </c>
      <c r="R63" s="1085">
        <f t="shared" si="14"/>
        <v>3.423743448051747E-2</v>
      </c>
      <c r="S63" s="1085">
        <f t="shared" si="14"/>
        <v>3.2033694971294699E-2</v>
      </c>
      <c r="T63" s="1085">
        <f t="shared" si="18"/>
        <v>3.9254862753464556E-2</v>
      </c>
      <c r="U63" s="1085">
        <f t="shared" si="18"/>
        <v>3.7922079005200435E-2</v>
      </c>
      <c r="V63" s="1085">
        <f t="shared" si="18"/>
        <v>6.1987567409818659E-2</v>
      </c>
      <c r="W63" s="1085">
        <f t="shared" si="14"/>
        <v>4.7570240256214015E-2</v>
      </c>
      <c r="X63" s="1085">
        <f t="shared" si="14"/>
        <v>1.3144121526218929E-2</v>
      </c>
      <c r="Y63" s="1085">
        <f t="shared" si="14"/>
        <v>3.976974919987683E-2</v>
      </c>
      <c r="Z63" s="1085"/>
      <c r="AA63" s="1085">
        <f t="shared" si="4"/>
        <v>0.30716143562021547</v>
      </c>
      <c r="AB63" s="1085">
        <f t="shared" si="5"/>
        <v>0.10048411098230978</v>
      </c>
      <c r="AC63" s="1089"/>
      <c r="AD63" s="1089"/>
      <c r="AE63" s="1090">
        <f>AA63*$B124/'T-T1'!$BN30</f>
        <v>0.34147425591249658</v>
      </c>
      <c r="AF63" s="1090">
        <f>AB63*$B124/'T-T1'!$BN30</f>
        <v>0.11170913093119658</v>
      </c>
      <c r="AG63" s="226"/>
      <c r="AH63" s="276"/>
      <c r="AI63" s="276"/>
      <c r="AJ63" s="276"/>
      <c r="AK63" s="276"/>
      <c r="AL63" s="249"/>
    </row>
    <row r="64" spans="1:38" x14ac:dyDescent="0.3">
      <c r="A64" s="100">
        <v>1982</v>
      </c>
      <c r="B64" s="1085">
        <f t="shared" si="13"/>
        <v>1.0000000783884055</v>
      </c>
      <c r="C64" s="1085">
        <f t="shared" ref="C64:Y79" si="19">C125/$B125</f>
        <v>0.49216579275945321</v>
      </c>
      <c r="D64" s="1085">
        <f t="shared" si="19"/>
        <v>9.0582918708669285E-3</v>
      </c>
      <c r="E64" s="1085">
        <f t="shared" si="19"/>
        <v>1.6396279308968004E-2</v>
      </c>
      <c r="F64" s="1085">
        <f t="shared" si="19"/>
        <v>5.0328976667574035E-2</v>
      </c>
      <c r="G64" s="1085">
        <f t="shared" si="19"/>
        <v>1.1507163529635725E-2</v>
      </c>
      <c r="H64" s="1085">
        <f t="shared" si="19"/>
        <v>-2.8399091028298649E-4</v>
      </c>
      <c r="I64" s="1085">
        <f t="shared" si="19"/>
        <v>1.9839357793427163E-2</v>
      </c>
      <c r="J64" s="1393">
        <f t="shared" si="15"/>
        <v>1.3516335772165364E-2</v>
      </c>
      <c r="K64" s="1393"/>
      <c r="L64" s="1393"/>
      <c r="M64" s="1393"/>
      <c r="N64" s="1393"/>
      <c r="O64" s="1085">
        <f t="shared" si="16"/>
        <v>1.6411431416734765E-2</v>
      </c>
      <c r="P64" s="1085">
        <f t="shared" si="19"/>
        <v>2.6933176380032554E-2</v>
      </c>
      <c r="Q64" s="1085">
        <f t="shared" si="17"/>
        <v>2.7220616225100976E-2</v>
      </c>
      <c r="R64" s="1085">
        <f t="shared" si="19"/>
        <v>3.4520770627259917E-2</v>
      </c>
      <c r="S64" s="1085">
        <f t="shared" si="19"/>
        <v>3.3950922706839803E-2</v>
      </c>
      <c r="T64" s="1085">
        <f t="shared" si="18"/>
        <v>3.947824124832193E-2</v>
      </c>
      <c r="U64" s="1085">
        <f t="shared" si="18"/>
        <v>4.3123106009874103E-2</v>
      </c>
      <c r="V64" s="1085">
        <f t="shared" si="18"/>
        <v>5.9102852607148572E-2</v>
      </c>
      <c r="W64" s="1085">
        <f t="shared" si="19"/>
        <v>5.0153850165937409E-2</v>
      </c>
      <c r="X64" s="1085">
        <f t="shared" si="19"/>
        <v>1.4853155232583751E-2</v>
      </c>
      <c r="Y64" s="1085">
        <f t="shared" si="19"/>
        <v>4.1723748976764431E-2</v>
      </c>
      <c r="Z64" s="1085"/>
      <c r="AA64" s="1085">
        <f t="shared" si="4"/>
        <v>0.294257452993478</v>
      </c>
      <c r="AB64" s="1085">
        <f t="shared" si="5"/>
        <v>0.10673075437528559</v>
      </c>
      <c r="AC64" s="1089"/>
      <c r="AD64" s="1089"/>
      <c r="AE64" s="1090">
        <f>AA64*$B125/'T-T1'!$BN31</f>
        <v>0.32941650745001783</v>
      </c>
      <c r="AF64" s="1090">
        <f>AB64*$B125/'T-T1'!$BN31</f>
        <v>0.11948337072227549</v>
      </c>
      <c r="AG64" s="226"/>
      <c r="AH64" s="276"/>
      <c r="AI64" s="276"/>
      <c r="AJ64" s="276"/>
      <c r="AK64" s="276"/>
      <c r="AL64" s="249"/>
    </row>
    <row r="65" spans="1:38" x14ac:dyDescent="0.3">
      <c r="A65" s="100">
        <v>1983</v>
      </c>
      <c r="B65" s="1085">
        <f t="shared" si="13"/>
        <v>0.99999992620569589</v>
      </c>
      <c r="C65" s="1085">
        <f t="shared" si="19"/>
        <v>0.47991334776562056</v>
      </c>
      <c r="D65" s="1085">
        <f t="shared" si="19"/>
        <v>9.5782383265457689E-3</v>
      </c>
      <c r="E65" s="1085">
        <f t="shared" si="19"/>
        <v>1.417027045773012E-2</v>
      </c>
      <c r="F65" s="1085">
        <f t="shared" si="19"/>
        <v>4.5778312614201816E-2</v>
      </c>
      <c r="G65" s="1085">
        <f t="shared" si="19"/>
        <v>1.314005964505038E-2</v>
      </c>
      <c r="H65" s="1085">
        <f t="shared" si="19"/>
        <v>-1.5670288939494603E-4</v>
      </c>
      <c r="I65" s="1085">
        <f t="shared" si="19"/>
        <v>2.1409381733696949E-2</v>
      </c>
      <c r="J65" s="1393">
        <f t="shared" si="15"/>
        <v>1.3618331497196635E-2</v>
      </c>
      <c r="K65" s="1393"/>
      <c r="L65" s="1393"/>
      <c r="M65" s="1393"/>
      <c r="N65" s="1393"/>
      <c r="O65" s="1085">
        <f t="shared" si="16"/>
        <v>1.59919911356666E-2</v>
      </c>
      <c r="P65" s="1085">
        <f t="shared" si="19"/>
        <v>3.3750364679394913E-2</v>
      </c>
      <c r="Q65" s="1085">
        <f t="shared" si="17"/>
        <v>3.0569825795293704E-2</v>
      </c>
      <c r="R65" s="1085">
        <f t="shared" si="19"/>
        <v>3.4983884989799152E-2</v>
      </c>
      <c r="S65" s="1085">
        <f t="shared" si="19"/>
        <v>3.4293440453623036E-2</v>
      </c>
      <c r="T65" s="1085">
        <f t="shared" si="18"/>
        <v>3.9740431707577642E-2</v>
      </c>
      <c r="U65" s="1085">
        <f t="shared" si="18"/>
        <v>4.7426556547563323E-2</v>
      </c>
      <c r="V65" s="1085">
        <f t="shared" si="18"/>
        <v>5.8909568266218071E-2</v>
      </c>
      <c r="W65" s="1085">
        <f t="shared" si="19"/>
        <v>4.9736811247780302E-2</v>
      </c>
      <c r="X65" s="1085">
        <f t="shared" si="19"/>
        <v>1.5630135165734908E-2</v>
      </c>
      <c r="Y65" s="1085">
        <f t="shared" si="19"/>
        <v>4.1515677066396757E-2</v>
      </c>
      <c r="Z65" s="1085"/>
      <c r="AA65" s="1085">
        <f t="shared" si="4"/>
        <v>0.30928439507233307</v>
      </c>
      <c r="AB65" s="1085">
        <f t="shared" si="5"/>
        <v>0.10688262347991195</v>
      </c>
      <c r="AC65" s="1089"/>
      <c r="AD65" s="1089"/>
      <c r="AE65" s="1090">
        <f>AA65*$B126/'T-T1'!$BN32</f>
        <v>0.34629767909028247</v>
      </c>
      <c r="AF65" s="1090">
        <f>AB65*$B126/'T-T1'!$BN32</f>
        <v>0.1196736887986789</v>
      </c>
      <c r="AG65" s="226"/>
      <c r="AH65" s="276"/>
      <c r="AI65" s="276"/>
      <c r="AJ65" s="276"/>
      <c r="AK65" s="276"/>
      <c r="AL65" s="249"/>
    </row>
    <row r="66" spans="1:38" x14ac:dyDescent="0.3">
      <c r="A66" s="100">
        <v>1984</v>
      </c>
      <c r="B66" s="1085">
        <f t="shared" si="13"/>
        <v>1.000000039235095</v>
      </c>
      <c r="C66" s="1085">
        <f t="shared" si="19"/>
        <v>0.47309990081789899</v>
      </c>
      <c r="D66" s="1085">
        <f t="shared" si="19"/>
        <v>7.8910615413325738E-3</v>
      </c>
      <c r="E66" s="1085">
        <f t="shared" si="19"/>
        <v>1.2733137156929916E-2</v>
      </c>
      <c r="F66" s="1085">
        <f t="shared" si="19"/>
        <v>4.7019870887165936E-2</v>
      </c>
      <c r="G66" s="1085">
        <f t="shared" si="19"/>
        <v>8.8945787080256505E-3</v>
      </c>
      <c r="H66" s="1085">
        <f t="shared" si="19"/>
        <v>-5.9590184045398193E-4</v>
      </c>
      <c r="I66" s="1085">
        <f t="shared" si="19"/>
        <v>2.4839984636312127E-2</v>
      </c>
      <c r="J66" s="1393">
        <f t="shared" si="15"/>
        <v>1.419943562488497E-2</v>
      </c>
      <c r="K66" s="1393"/>
      <c r="L66" s="1393"/>
      <c r="M66" s="1393"/>
      <c r="N66" s="1393"/>
      <c r="O66" s="1085">
        <f t="shared" si="16"/>
        <v>1.4776175149813765E-2</v>
      </c>
      <c r="P66" s="1085">
        <f t="shared" si="19"/>
        <v>3.9150149012749595E-2</v>
      </c>
      <c r="Q66" s="1085">
        <f t="shared" si="17"/>
        <v>3.23465268268677E-2</v>
      </c>
      <c r="R66" s="1085">
        <f t="shared" si="19"/>
        <v>3.6399954651402458E-2</v>
      </c>
      <c r="S66" s="1085">
        <f t="shared" si="19"/>
        <v>3.3559963368023714E-2</v>
      </c>
      <c r="T66" s="1085">
        <f t="shared" si="18"/>
        <v>4.9619172959723984E-2</v>
      </c>
      <c r="U66" s="1085">
        <f t="shared" si="18"/>
        <v>4.6646124489954296E-2</v>
      </c>
      <c r="V66" s="1085">
        <f t="shared" si="18"/>
        <v>6.1051173238628305E-2</v>
      </c>
      <c r="W66" s="1085">
        <f t="shared" si="19"/>
        <v>4.6886036036399903E-2</v>
      </c>
      <c r="X66" s="1085">
        <f t="shared" si="19"/>
        <v>1.5598222774243085E-2</v>
      </c>
      <c r="Y66" s="1085">
        <f t="shared" si="19"/>
        <v>3.5884473195191849E-2</v>
      </c>
      <c r="Z66" s="1085"/>
      <c r="AA66" s="1085">
        <f t="shared" si="4"/>
        <v>0.32774867532204882</v>
      </c>
      <c r="AB66" s="1085">
        <f t="shared" si="5"/>
        <v>9.8368732005834833E-2</v>
      </c>
      <c r="AC66" s="1089"/>
      <c r="AD66" s="1089"/>
      <c r="AE66" s="1090">
        <f>AA66*$B127/'T-T1'!$BN33</f>
        <v>0.36350644139117544</v>
      </c>
      <c r="AF66" s="1090">
        <f>AB66*$B127/'T-T1'!$BN33</f>
        <v>0.10910087639703635</v>
      </c>
      <c r="AG66" s="226"/>
      <c r="AH66" s="276"/>
      <c r="AI66" s="276"/>
      <c r="AJ66" s="276"/>
      <c r="AK66" s="276"/>
      <c r="AL66" s="249"/>
    </row>
    <row r="67" spans="1:38" x14ac:dyDescent="0.3">
      <c r="A67" s="100">
        <v>1985</v>
      </c>
      <c r="B67" s="1085">
        <f t="shared" si="13"/>
        <v>0.99999993866678183</v>
      </c>
      <c r="C67" s="1085">
        <f t="shared" si="19"/>
        <v>0.47241010227837227</v>
      </c>
      <c r="D67" s="1085">
        <f t="shared" si="19"/>
        <v>7.4069367856237087E-3</v>
      </c>
      <c r="E67" s="1085">
        <f t="shared" si="19"/>
        <v>1.3483633435329963E-2</v>
      </c>
      <c r="F67" s="1085">
        <f t="shared" si="19"/>
        <v>4.5647044158124248E-2</v>
      </c>
      <c r="G67" s="1085">
        <f t="shared" si="19"/>
        <v>1.3531641068089403E-2</v>
      </c>
      <c r="H67" s="1085">
        <f t="shared" si="19"/>
        <v>-6.4889200563858029E-4</v>
      </c>
      <c r="I67" s="1085">
        <f t="shared" si="19"/>
        <v>2.3296729894098079E-2</v>
      </c>
      <c r="J67" s="1393">
        <f t="shared" si="15"/>
        <v>1.416695098908873E-2</v>
      </c>
      <c r="K67" s="1393"/>
      <c r="L67" s="1393"/>
      <c r="M67" s="1393"/>
      <c r="N67" s="1393"/>
      <c r="O67" s="1085">
        <f t="shared" si="16"/>
        <v>1.4005484774557719E-2</v>
      </c>
      <c r="P67" s="1085">
        <f t="shared" si="19"/>
        <v>3.8595809562409905E-2</v>
      </c>
      <c r="Q67" s="1085">
        <f t="shared" si="17"/>
        <v>3.12993160600505E-2</v>
      </c>
      <c r="R67" s="1085">
        <f t="shared" si="19"/>
        <v>3.6194351322193438E-2</v>
      </c>
      <c r="S67" s="1085">
        <f t="shared" si="19"/>
        <v>3.4717510853715078E-2</v>
      </c>
      <c r="T67" s="1085">
        <f t="shared" si="18"/>
        <v>4.8428975404776094E-2</v>
      </c>
      <c r="U67" s="1085">
        <f t="shared" si="18"/>
        <v>4.786781978314153E-2</v>
      </c>
      <c r="V67" s="1085">
        <f t="shared" si="18"/>
        <v>6.2210557252471647E-2</v>
      </c>
      <c r="W67" s="1085">
        <f t="shared" si="19"/>
        <v>4.6423456040161001E-2</v>
      </c>
      <c r="X67" s="1085">
        <f t="shared" si="19"/>
        <v>1.5706007284794661E-2</v>
      </c>
      <c r="Y67" s="1085">
        <f t="shared" si="19"/>
        <v>3.5256503725422508E-2</v>
      </c>
      <c r="Z67" s="1085"/>
      <c r="AA67" s="1085">
        <f t="shared" si="4"/>
        <v>0.32748677600240467</v>
      </c>
      <c r="AB67" s="1085">
        <f t="shared" si="5"/>
        <v>9.7385967050378164E-2</v>
      </c>
      <c r="AC67" s="1089"/>
      <c r="AD67" s="1089"/>
      <c r="AE67" s="1090">
        <f>AA67*$B128/'T-T1'!$BN34</f>
        <v>0.362820256033831</v>
      </c>
      <c r="AF67" s="1090">
        <f>AB67*$B128/'T-T1'!$BN34</f>
        <v>0.10789321611893418</v>
      </c>
      <c r="AG67" s="226"/>
      <c r="AH67" s="276"/>
      <c r="AI67" s="276"/>
      <c r="AJ67" s="276"/>
      <c r="AK67" s="276"/>
      <c r="AL67" s="249"/>
    </row>
    <row r="68" spans="1:38" x14ac:dyDescent="0.3">
      <c r="A68" s="100">
        <v>1986</v>
      </c>
      <c r="B68" s="1085">
        <f t="shared" si="13"/>
        <v>0.99999994175850293</v>
      </c>
      <c r="C68" s="1085">
        <f t="shared" si="19"/>
        <v>0.47637224015077745</v>
      </c>
      <c r="D68" s="1085">
        <f t="shared" si="19"/>
        <v>7.5720813231875024E-3</v>
      </c>
      <c r="E68" s="1085">
        <f t="shared" si="19"/>
        <v>1.4483745349230592E-2</v>
      </c>
      <c r="F68" s="1085">
        <f t="shared" si="19"/>
        <v>4.0027050741311028E-2</v>
      </c>
      <c r="G68" s="1085">
        <f t="shared" si="19"/>
        <v>1.5467904757017367E-2</v>
      </c>
      <c r="H68" s="1085">
        <f t="shared" si="19"/>
        <v>-1.3696593764760236E-3</v>
      </c>
      <c r="I68" s="1085">
        <f t="shared" si="19"/>
        <v>2.5225284751442915E-2</v>
      </c>
      <c r="J68" s="1393">
        <f t="shared" si="15"/>
        <v>1.5697681997445249E-2</v>
      </c>
      <c r="K68" s="1393"/>
      <c r="L68" s="1393"/>
      <c r="M68" s="1393"/>
      <c r="N68" s="1393"/>
      <c r="O68" s="1085">
        <f t="shared" si="16"/>
        <v>1.3038361806522035E-2</v>
      </c>
      <c r="P68" s="1085">
        <f t="shared" si="19"/>
        <v>2.5407807514760176E-2</v>
      </c>
      <c r="Q68" s="1085">
        <f t="shared" si="17"/>
        <v>3.3453063016766177E-2</v>
      </c>
      <c r="R68" s="1085">
        <f t="shared" si="19"/>
        <v>3.6962238543920181E-2</v>
      </c>
      <c r="S68" s="1085">
        <f t="shared" si="19"/>
        <v>3.5926202934922553E-2</v>
      </c>
      <c r="T68" s="1085">
        <f t="shared" si="18"/>
        <v>4.8306841891423459E-2</v>
      </c>
      <c r="U68" s="1085">
        <f t="shared" si="18"/>
        <v>5.3240197147301528E-2</v>
      </c>
      <c r="V68" s="1085">
        <f t="shared" si="18"/>
        <v>6.1177844178224777E-2</v>
      </c>
      <c r="W68" s="1085">
        <f t="shared" si="19"/>
        <v>4.6822253821144404E-2</v>
      </c>
      <c r="X68" s="1085">
        <f t="shared" si="19"/>
        <v>1.6283201920668507E-2</v>
      </c>
      <c r="Y68" s="1085">
        <f t="shared" si="19"/>
        <v>3.5905599288913105E-2</v>
      </c>
      <c r="Z68" s="1085"/>
      <c r="AA68" s="1085">
        <f t="shared" si="4"/>
        <v>0.3232102390312861</v>
      </c>
      <c r="AB68" s="1085">
        <f t="shared" si="5"/>
        <v>9.901105503072602E-2</v>
      </c>
      <c r="AC68" s="1091"/>
      <c r="AD68" s="1089"/>
      <c r="AE68" s="1090">
        <f>AA68*$B129/'T-T1'!$BN35</f>
        <v>0.35872837403468555</v>
      </c>
      <c r="AF68" s="1090">
        <f>AB68*$B129/'T-T1'!$BN35</f>
        <v>0.10989155197893666</v>
      </c>
      <c r="AG68" s="226"/>
      <c r="AH68" s="276"/>
      <c r="AI68" s="276"/>
      <c r="AJ68" s="276"/>
      <c r="AK68" s="276"/>
      <c r="AL68" s="249"/>
    </row>
    <row r="69" spans="1:38" x14ac:dyDescent="0.3">
      <c r="A69" s="100">
        <v>1987</v>
      </c>
      <c r="B69" s="1085">
        <f t="shared" si="13"/>
        <v>1.0000000003824558</v>
      </c>
      <c r="C69" s="1085">
        <f t="shared" si="19"/>
        <v>0.47454598818779203</v>
      </c>
      <c r="D69" s="1085">
        <f t="shared" si="19"/>
        <v>5.8074871278389929E-3</v>
      </c>
      <c r="E69" s="1085">
        <f t="shared" si="19"/>
        <v>1.465067746600179E-2</v>
      </c>
      <c r="F69" s="1085">
        <f t="shared" si="19"/>
        <v>3.7480438870261486E-2</v>
      </c>
      <c r="G69" s="1085">
        <f t="shared" si="19"/>
        <v>1.9968399582957562E-2</v>
      </c>
      <c r="H69" s="1085">
        <f t="shared" si="19"/>
        <v>5.3357425172606745E-3</v>
      </c>
      <c r="I69" s="1085">
        <f t="shared" si="19"/>
        <v>2.7360096905908127E-2</v>
      </c>
      <c r="J69" s="1393">
        <f t="shared" si="15"/>
        <v>1.6871815241597574E-2</v>
      </c>
      <c r="K69" s="1393"/>
      <c r="L69" s="1393"/>
      <c r="M69" s="1393"/>
      <c r="N69" s="1393"/>
      <c r="O69" s="1085">
        <f t="shared" si="16"/>
        <v>1.347917154180203E-2</v>
      </c>
      <c r="P69" s="1085">
        <f t="shared" si="19"/>
        <v>2.7025891363568186E-2</v>
      </c>
      <c r="Q69" s="1085">
        <f t="shared" si="17"/>
        <v>3.6803724200972422E-2</v>
      </c>
      <c r="R69" s="1085">
        <f t="shared" si="19"/>
        <v>3.6462912424789794E-2</v>
      </c>
      <c r="S69" s="1085">
        <f t="shared" si="19"/>
        <v>3.6587043354853736E-2</v>
      </c>
      <c r="T69" s="1085">
        <f t="shared" si="18"/>
        <v>4.5764766655932675E-2</v>
      </c>
      <c r="U69" s="1085">
        <f t="shared" si="18"/>
        <v>4.6568490056121847E-2</v>
      </c>
      <c r="V69" s="1085">
        <f t="shared" si="18"/>
        <v>5.8679278529873438E-2</v>
      </c>
      <c r="W69" s="1085">
        <f t="shared" si="19"/>
        <v>4.5501442496742532E-2</v>
      </c>
      <c r="X69" s="1085">
        <f t="shared" si="19"/>
        <v>1.6267731216295007E-2</v>
      </c>
      <c r="Y69" s="1085">
        <f t="shared" si="19"/>
        <v>3.4838902641886098E-2</v>
      </c>
      <c r="Z69" s="1085"/>
      <c r="AA69" s="1085">
        <f t="shared" si="4"/>
        <v>0.31824309336951173</v>
      </c>
      <c r="AB69" s="1085">
        <f t="shared" si="5"/>
        <v>9.6608076354923633E-2</v>
      </c>
      <c r="AC69" s="1089"/>
      <c r="AD69" s="1089"/>
      <c r="AE69" s="1090">
        <f>AA69*$B130/'T-T1'!$BN36</f>
        <v>0.35227574419677943</v>
      </c>
      <c r="AF69" s="1090">
        <f>AB69*$B130/'T-T1'!$BN36</f>
        <v>0.10693926341972394</v>
      </c>
      <c r="AG69" s="226"/>
      <c r="AH69" s="276"/>
      <c r="AI69" s="276"/>
      <c r="AJ69" s="276"/>
      <c r="AK69" s="276"/>
      <c r="AL69" s="249"/>
    </row>
    <row r="70" spans="1:38" x14ac:dyDescent="0.3">
      <c r="A70" s="100">
        <v>1988</v>
      </c>
      <c r="B70" s="1085">
        <f t="shared" si="13"/>
        <v>0.99999999980243603</v>
      </c>
      <c r="C70" s="1085">
        <f t="shared" si="19"/>
        <v>0.47122312297829211</v>
      </c>
      <c r="D70" s="1085">
        <f t="shared" si="19"/>
        <v>5.1009838973237092E-3</v>
      </c>
      <c r="E70" s="1085">
        <f t="shared" si="19"/>
        <v>1.5585989581777406E-2</v>
      </c>
      <c r="F70" s="1085">
        <f t="shared" si="19"/>
        <v>3.8029981036671011E-2</v>
      </c>
      <c r="G70" s="1085">
        <f t="shared" si="19"/>
        <v>2.4470621972704654E-2</v>
      </c>
      <c r="H70" s="1085">
        <f t="shared" si="19"/>
        <v>1.1504687544692695E-2</v>
      </c>
      <c r="I70" s="1085">
        <f t="shared" si="19"/>
        <v>3.021357120372661E-2</v>
      </c>
      <c r="J70" s="1393">
        <f t="shared" si="15"/>
        <v>1.7859370370762743E-2</v>
      </c>
      <c r="K70" s="1393"/>
      <c r="L70" s="1393"/>
      <c r="M70" s="1393"/>
      <c r="N70" s="1393"/>
      <c r="O70" s="1085">
        <f t="shared" si="16"/>
        <v>1.466519372471559E-2</v>
      </c>
      <c r="P70" s="1085">
        <f t="shared" si="19"/>
        <v>2.8888583397197475E-2</v>
      </c>
      <c r="Q70" s="1085">
        <f t="shared" si="17"/>
        <v>3.7169386082426377E-2</v>
      </c>
      <c r="R70" s="1085">
        <f t="shared" si="19"/>
        <v>3.72133246241175E-2</v>
      </c>
      <c r="S70" s="1085">
        <f t="shared" si="19"/>
        <v>3.7872805855371464E-2</v>
      </c>
      <c r="T70" s="1085">
        <f t="shared" si="18"/>
        <v>4.0493598818766782E-2</v>
      </c>
      <c r="U70" s="1085">
        <f t="shared" si="18"/>
        <v>3.7218054245402581E-2</v>
      </c>
      <c r="V70" s="1085">
        <f t="shared" si="18"/>
        <v>5.8143186939858642E-2</v>
      </c>
      <c r="W70" s="1085">
        <f t="shared" si="19"/>
        <v>4.4467416614967531E-2</v>
      </c>
      <c r="X70" s="1085">
        <f t="shared" si="19"/>
        <v>1.5625996606557776E-2</v>
      </c>
      <c r="Y70" s="1085">
        <f t="shared" si="19"/>
        <v>3.4254124307103243E-2</v>
      </c>
      <c r="Z70" s="1085"/>
      <c r="AA70" s="1085">
        <f t="shared" si="4"/>
        <v>0.30952350405861917</v>
      </c>
      <c r="AB70" s="1085">
        <f t="shared" si="5"/>
        <v>9.4347537528628553E-2</v>
      </c>
      <c r="AC70" s="1089"/>
      <c r="AD70" s="1089"/>
      <c r="AE70" s="1090">
        <f>AA70*$B131/'T-T1'!$BN37</f>
        <v>0.34176856387618315</v>
      </c>
      <c r="AF70" s="1090">
        <f>AB70*$B131/'T-T1'!$BN37</f>
        <v>0.1041763290464266</v>
      </c>
      <c r="AG70" s="226"/>
      <c r="AH70" s="276"/>
      <c r="AI70" s="276"/>
      <c r="AJ70" s="276"/>
      <c r="AK70" s="276"/>
      <c r="AL70" s="249"/>
    </row>
    <row r="71" spans="1:38" x14ac:dyDescent="0.3">
      <c r="A71" s="100">
        <v>1989</v>
      </c>
      <c r="B71" s="1085">
        <f t="shared" si="13"/>
        <v>0.99999999945846074</v>
      </c>
      <c r="C71" s="1085">
        <f t="shared" si="19"/>
        <v>0.4629592313226249</v>
      </c>
      <c r="D71" s="1085">
        <f t="shared" si="19"/>
        <v>4.6569633211359018E-3</v>
      </c>
      <c r="E71" s="1085">
        <f t="shared" si="19"/>
        <v>1.5367107963286478E-2</v>
      </c>
      <c r="F71" s="1085">
        <f t="shared" si="19"/>
        <v>4.1893790974333982E-2</v>
      </c>
      <c r="G71" s="1085">
        <f t="shared" si="19"/>
        <v>2.4690645658838335E-2</v>
      </c>
      <c r="H71" s="1085">
        <f t="shared" si="19"/>
        <v>1.1924403783813944E-2</v>
      </c>
      <c r="I71" s="1085">
        <f t="shared" si="19"/>
        <v>3.0473221144157809E-2</v>
      </c>
      <c r="J71" s="1393">
        <f t="shared" si="15"/>
        <v>1.9773201901345194E-2</v>
      </c>
      <c r="K71" s="1393"/>
      <c r="L71" s="1393"/>
      <c r="M71" s="1393"/>
      <c r="N71" s="1393"/>
      <c r="O71" s="1085">
        <f t="shared" si="16"/>
        <v>1.5065574411491152E-2</v>
      </c>
      <c r="P71" s="1085">
        <f t="shared" si="19"/>
        <v>2.0827619863658088E-2</v>
      </c>
      <c r="Q71" s="1085">
        <f t="shared" si="17"/>
        <v>3.6143619381723231E-2</v>
      </c>
      <c r="R71" s="1085">
        <f t="shared" si="19"/>
        <v>3.6604212577738937E-2</v>
      </c>
      <c r="S71" s="1085">
        <f t="shared" si="19"/>
        <v>3.9324868735574836E-2</v>
      </c>
      <c r="T71" s="1085">
        <f t="shared" si="18"/>
        <v>4.1073383071644334E-2</v>
      </c>
      <c r="U71" s="1085">
        <f t="shared" si="18"/>
        <v>4.2985616857150376E-2</v>
      </c>
      <c r="V71" s="1085">
        <f t="shared" si="18"/>
        <v>6.0071974564968378E-2</v>
      </c>
      <c r="W71" s="1085">
        <f t="shared" si="19"/>
        <v>4.4289900848554969E-2</v>
      </c>
      <c r="X71" s="1085">
        <f t="shared" si="19"/>
        <v>1.6237374910176985E-2</v>
      </c>
      <c r="Y71" s="1085">
        <f t="shared" si="19"/>
        <v>3.5637288166242689E-2</v>
      </c>
      <c r="Z71" s="1085"/>
      <c r="AA71" s="1085">
        <f t="shared" si="4"/>
        <v>0.31187007136529449</v>
      </c>
      <c r="AB71" s="1085">
        <f t="shared" si="5"/>
        <v>9.6164563924974647E-2</v>
      </c>
      <c r="AC71" s="1089"/>
      <c r="AD71" s="1089"/>
      <c r="AE71" s="1090">
        <f>AA71*$B132/'T-T1'!$BN38</f>
        <v>0.34505197728500375</v>
      </c>
      <c r="AF71" s="1090">
        <f>AB71*$B132/'T-T1'!$BN38</f>
        <v>0.10639614369471419</v>
      </c>
      <c r="AG71" s="226"/>
      <c r="AH71" s="276"/>
      <c r="AI71" s="276"/>
      <c r="AJ71" s="276"/>
      <c r="AK71" s="276"/>
      <c r="AL71" s="249"/>
    </row>
    <row r="72" spans="1:38" x14ac:dyDescent="0.3">
      <c r="A72" s="100">
        <v>1990</v>
      </c>
      <c r="B72" s="1085">
        <f t="shared" si="13"/>
        <v>0.99999999969534448</v>
      </c>
      <c r="C72" s="1085">
        <f t="shared" si="19"/>
        <v>0.46422453415620407</v>
      </c>
      <c r="D72" s="1085">
        <f t="shared" si="19"/>
        <v>5.2812857427912679E-3</v>
      </c>
      <c r="E72" s="1085">
        <f t="shared" si="19"/>
        <v>1.431722046276883E-2</v>
      </c>
      <c r="F72" s="1085">
        <f t="shared" si="19"/>
        <v>4.0850748485128527E-2</v>
      </c>
      <c r="G72" s="1085">
        <f t="shared" si="19"/>
        <v>2.4809628314352114E-2</v>
      </c>
      <c r="H72" s="1085">
        <f t="shared" si="19"/>
        <v>1.1969434582547903E-2</v>
      </c>
      <c r="I72" s="1085">
        <f t="shared" si="19"/>
        <v>3.1583258540133642E-2</v>
      </c>
      <c r="J72" s="1393">
        <f t="shared" si="15"/>
        <v>1.9796330228430279E-2</v>
      </c>
      <c r="K72" s="1393"/>
      <c r="L72" s="1393"/>
      <c r="M72" s="1393"/>
      <c r="N72" s="1393"/>
      <c r="O72" s="1085">
        <f t="shared" si="16"/>
        <v>1.5834952752400388E-2</v>
      </c>
      <c r="P72" s="1085">
        <f t="shared" si="19"/>
        <v>1.8335020461704335E-2</v>
      </c>
      <c r="Q72" s="1085">
        <f t="shared" si="17"/>
        <v>3.475592379301938E-2</v>
      </c>
      <c r="R72" s="1085">
        <f t="shared" si="19"/>
        <v>3.6869882038253386E-2</v>
      </c>
      <c r="S72" s="1085">
        <f t="shared" si="19"/>
        <v>4.1417651465885719E-2</v>
      </c>
      <c r="T72" s="1085">
        <f t="shared" si="18"/>
        <v>3.9277342280809799E-2</v>
      </c>
      <c r="U72" s="1085">
        <f t="shared" si="18"/>
        <v>4.0428678981375525E-2</v>
      </c>
      <c r="V72" s="1085">
        <f t="shared" si="18"/>
        <v>5.9639267899058872E-2</v>
      </c>
      <c r="W72" s="1085">
        <f t="shared" si="19"/>
        <v>4.4889422040131639E-2</v>
      </c>
      <c r="X72" s="1085">
        <f t="shared" si="19"/>
        <v>1.7201337354435142E-2</v>
      </c>
      <c r="Y72" s="1085">
        <f t="shared" si="19"/>
        <v>3.8518080115913657E-2</v>
      </c>
      <c r="Z72" s="1085"/>
      <c r="AA72" s="1085">
        <f t="shared" si="4"/>
        <v>0.3063550499009377</v>
      </c>
      <c r="AB72" s="1085">
        <f t="shared" si="5"/>
        <v>0.10060883951048044</v>
      </c>
      <c r="AC72" s="1089"/>
      <c r="AD72" s="1089"/>
      <c r="AE72" s="1090">
        <f>AA72*$B133/'T-T1'!$BN39</f>
        <v>0.34062488445654593</v>
      </c>
      <c r="AF72" s="1090">
        <f>AB72*$B133/'T-T1'!$BN39</f>
        <v>0.11186325913232376</v>
      </c>
      <c r="AG72" s="226"/>
      <c r="AH72" s="276"/>
      <c r="AI72" s="276"/>
      <c r="AJ72" s="276"/>
      <c r="AK72" s="276"/>
      <c r="AL72" s="249"/>
    </row>
    <row r="73" spans="1:38" x14ac:dyDescent="0.3">
      <c r="A73" s="100">
        <v>1991</v>
      </c>
      <c r="B73" s="1085">
        <f t="shared" si="13"/>
        <v>0.99999999981327026</v>
      </c>
      <c r="C73" s="1085">
        <f t="shared" si="19"/>
        <v>0.45912451998382564</v>
      </c>
      <c r="D73" s="1085">
        <f t="shared" si="19"/>
        <v>5.4744470340854492E-3</v>
      </c>
      <c r="E73" s="1085">
        <f t="shared" si="19"/>
        <v>1.3268417296631779E-2</v>
      </c>
      <c r="F73" s="1085">
        <f t="shared" si="19"/>
        <v>3.6212369782355848E-2</v>
      </c>
      <c r="G73" s="1085">
        <f t="shared" si="19"/>
        <v>2.2356854739725315E-2</v>
      </c>
      <c r="H73" s="1085">
        <f t="shared" si="19"/>
        <v>1.0848701435046933E-2</v>
      </c>
      <c r="I73" s="1085">
        <f t="shared" si="19"/>
        <v>3.3843621415385362E-2</v>
      </c>
      <c r="J73" s="1393">
        <f t="shared" si="15"/>
        <v>2.0044805748870412E-2</v>
      </c>
      <c r="K73" s="1393"/>
      <c r="L73" s="1393"/>
      <c r="M73" s="1393"/>
      <c r="N73" s="1393"/>
      <c r="O73" s="1085">
        <f t="shared" si="16"/>
        <v>1.7373438596476169E-2</v>
      </c>
      <c r="P73" s="1085">
        <f t="shared" si="19"/>
        <v>2.2700755160028275E-2</v>
      </c>
      <c r="Q73" s="1085">
        <f t="shared" si="17"/>
        <v>3.4077486046278485E-2</v>
      </c>
      <c r="R73" s="1085">
        <f t="shared" si="19"/>
        <v>3.6934459134711314E-2</v>
      </c>
      <c r="S73" s="1085">
        <f t="shared" si="19"/>
        <v>4.3288095337867497E-2</v>
      </c>
      <c r="T73" s="1085">
        <f t="shared" si="18"/>
        <v>3.8513769253313332E-2</v>
      </c>
      <c r="U73" s="1085">
        <f t="shared" si="18"/>
        <v>3.6342286218242134E-2</v>
      </c>
      <c r="V73" s="1085">
        <f t="shared" si="18"/>
        <v>5.9963986812277527E-2</v>
      </c>
      <c r="W73" s="1085">
        <f t="shared" si="19"/>
        <v>4.6649129058932905E-2</v>
      </c>
      <c r="X73" s="1085">
        <f t="shared" si="19"/>
        <v>1.8121632137693057E-2</v>
      </c>
      <c r="Y73" s="1085">
        <f t="shared" si="19"/>
        <v>4.4861224621522922E-2</v>
      </c>
      <c r="Z73" s="1085"/>
      <c r="AA73" s="1085">
        <f t="shared" si="4"/>
        <v>0.30923908230806518</v>
      </c>
      <c r="AB73" s="1085">
        <f t="shared" si="5"/>
        <v>0.10963198581814888</v>
      </c>
      <c r="AC73" s="1089"/>
      <c r="AD73" s="1089"/>
      <c r="AE73" s="1090">
        <f>AA73*$B134/'T-T1'!$BN40</f>
        <v>0.34731590080030167</v>
      </c>
      <c r="AF73" s="1090">
        <f>AB73*$B134/'T-T1'!$BN40</f>
        <v>0.12313104678348478</v>
      </c>
      <c r="AG73" s="226"/>
      <c r="AH73" s="276"/>
      <c r="AI73" s="276"/>
      <c r="AJ73" s="276"/>
      <c r="AK73" s="276"/>
      <c r="AL73" s="249"/>
    </row>
    <row r="74" spans="1:38" x14ac:dyDescent="0.3">
      <c r="A74" s="100">
        <v>1992</v>
      </c>
      <c r="B74" s="1085">
        <f t="shared" si="13"/>
        <v>0.99999999984159837</v>
      </c>
      <c r="C74" s="1085">
        <f t="shared" si="19"/>
        <v>0.44983286940747946</v>
      </c>
      <c r="D74" s="1085">
        <f t="shared" si="19"/>
        <v>7.6950981318998713E-3</v>
      </c>
      <c r="E74" s="1085">
        <f t="shared" si="19"/>
        <v>1.2533447709570787E-2</v>
      </c>
      <c r="F74" s="1085">
        <f t="shared" si="19"/>
        <v>2.6369936646085085E-2</v>
      </c>
      <c r="G74" s="1085">
        <f t="shared" si="19"/>
        <v>2.4861425123929397E-2</v>
      </c>
      <c r="H74" s="1085">
        <f t="shared" si="19"/>
        <v>1.4097728206413052E-2</v>
      </c>
      <c r="I74" s="1085">
        <f t="shared" si="19"/>
        <v>3.4220771898783649E-2</v>
      </c>
      <c r="J74" s="1393">
        <f t="shared" si="15"/>
        <v>1.9519565173671278E-2</v>
      </c>
      <c r="K74" s="1393"/>
      <c r="L74" s="1393"/>
      <c r="M74" s="1393"/>
      <c r="N74" s="1393"/>
      <c r="O74" s="1085">
        <f t="shared" si="16"/>
        <v>1.9073181825515165E-2</v>
      </c>
      <c r="P74" s="1085">
        <f t="shared" si="19"/>
        <v>2.2045636190426248E-2</v>
      </c>
      <c r="Q74" s="1085">
        <f t="shared" si="17"/>
        <v>3.5033979883085181E-2</v>
      </c>
      <c r="R74" s="1085">
        <f t="shared" si="19"/>
        <v>3.6735167579512021E-2</v>
      </c>
      <c r="S74" s="1085">
        <f t="shared" si="19"/>
        <v>4.5636768511604656E-2</v>
      </c>
      <c r="T74" s="1085">
        <f t="shared" si="18"/>
        <v>3.8690002660226736E-2</v>
      </c>
      <c r="U74" s="1085">
        <f t="shared" si="18"/>
        <v>3.9884780538676327E-2</v>
      </c>
      <c r="V74" s="1085">
        <f t="shared" si="18"/>
        <v>5.8340267407972393E-2</v>
      </c>
      <c r="W74" s="1085">
        <f t="shared" si="19"/>
        <v>4.6565931915429737E-2</v>
      </c>
      <c r="X74" s="1085">
        <f t="shared" si="19"/>
        <v>1.9062405653097598E-2</v>
      </c>
      <c r="Y74" s="1085">
        <f t="shared" si="19"/>
        <v>4.9801035378219713E-2</v>
      </c>
      <c r="Z74" s="1085"/>
      <c r="AA74" s="1085">
        <f t="shared" si="4"/>
        <v>0.31495934977068996</v>
      </c>
      <c r="AB74" s="1085">
        <f t="shared" si="5"/>
        <v>0.11542937294674704</v>
      </c>
      <c r="AC74" s="1089"/>
      <c r="AD74" s="1089"/>
      <c r="AE74" s="1090">
        <f>AA74*$B135/'T-T1'!$BN41</f>
        <v>0.35605901493754449</v>
      </c>
      <c r="AF74" s="1090">
        <f>AB74*$B135/'T-T1'!$BN41</f>
        <v>0.1304919789052153</v>
      </c>
      <c r="AG74" s="226"/>
      <c r="AH74" s="276"/>
      <c r="AI74" s="276"/>
      <c r="AJ74" s="276"/>
      <c r="AK74" s="276"/>
      <c r="AL74" s="249"/>
    </row>
    <row r="75" spans="1:38" x14ac:dyDescent="0.3">
      <c r="A75" s="100">
        <v>1993</v>
      </c>
      <c r="B75" s="1085">
        <f t="shared" si="13"/>
        <v>1.0000000002854266</v>
      </c>
      <c r="C75" s="1085">
        <f t="shared" si="19"/>
        <v>0.44360898604836402</v>
      </c>
      <c r="D75" s="1085">
        <f t="shared" si="19"/>
        <v>7.7932902229076199E-3</v>
      </c>
      <c r="E75" s="1085">
        <f t="shared" si="19"/>
        <v>1.2229206367890245E-2</v>
      </c>
      <c r="F75" s="1085">
        <f t="shared" si="19"/>
        <v>2.0380282717336811E-2</v>
      </c>
      <c r="G75" s="1085">
        <f t="shared" si="19"/>
        <v>2.262245452881945E-2</v>
      </c>
      <c r="H75" s="1085">
        <f t="shared" si="19"/>
        <v>1.424460340168794E-2</v>
      </c>
      <c r="I75" s="1085">
        <f t="shared" si="19"/>
        <v>3.3912690430571941E-2</v>
      </c>
      <c r="J75" s="1393">
        <f t="shared" si="15"/>
        <v>1.8866416584898269E-2</v>
      </c>
      <c r="K75" s="1393"/>
      <c r="L75" s="1393"/>
      <c r="M75" s="1393"/>
      <c r="N75" s="1393"/>
      <c r="O75" s="1085">
        <f t="shared" si="16"/>
        <v>2.1694061195291305E-2</v>
      </c>
      <c r="P75" s="1085">
        <f t="shared" si="19"/>
        <v>2.2339660258967064E-2</v>
      </c>
      <c r="Q75" s="1085">
        <f t="shared" si="17"/>
        <v>3.7344891810929183E-2</v>
      </c>
      <c r="R75" s="1085">
        <f t="shared" si="19"/>
        <v>3.6763254450639687E-2</v>
      </c>
      <c r="S75" s="1085">
        <f t="shared" si="19"/>
        <v>4.6695417950329991E-2</v>
      </c>
      <c r="T75" s="1085">
        <f t="shared" si="18"/>
        <v>4.5072442152916961E-2</v>
      </c>
      <c r="U75" s="1085">
        <f t="shared" si="18"/>
        <v>4.1843274204700548E-2</v>
      </c>
      <c r="V75" s="1085">
        <f t="shared" si="18"/>
        <v>5.7288825822438015E-2</v>
      </c>
      <c r="W75" s="1085">
        <f t="shared" si="19"/>
        <v>4.6899113734735175E-2</v>
      </c>
      <c r="X75" s="1085">
        <f t="shared" si="19"/>
        <v>2.0337674281514933E-2</v>
      </c>
      <c r="Y75" s="1085">
        <f t="shared" si="19"/>
        <v>5.006345412048735E-2</v>
      </c>
      <c r="Z75" s="1085"/>
      <c r="AA75" s="1085">
        <f t="shared" si="4"/>
        <v>0.327908244431111</v>
      </c>
      <c r="AB75" s="1085">
        <f t="shared" si="5"/>
        <v>0.11730024213673745</v>
      </c>
      <c r="AC75" s="1089"/>
      <c r="AD75" s="1089"/>
      <c r="AE75" s="1090">
        <f>AA75*$B136/'T-T1'!$BN42</f>
        <v>0.37148334073322309</v>
      </c>
      <c r="AF75" s="1090">
        <f>AB75*$B136/'T-T1'!$BN42</f>
        <v>0.13288804584151204</v>
      </c>
      <c r="AG75" s="226"/>
      <c r="AH75" s="276"/>
      <c r="AI75" s="276"/>
      <c r="AJ75" s="276"/>
      <c r="AK75" s="276"/>
      <c r="AL75" s="249"/>
    </row>
    <row r="76" spans="1:38" x14ac:dyDescent="0.3">
      <c r="A76" s="100">
        <v>1994</v>
      </c>
      <c r="B76" s="1085">
        <f t="shared" si="13"/>
        <v>1.0000000001341784</v>
      </c>
      <c r="C76" s="1085">
        <f t="shared" si="19"/>
        <v>0.43622619382193228</v>
      </c>
      <c r="D76" s="1085">
        <f t="shared" si="19"/>
        <v>7.6084418183390255E-3</v>
      </c>
      <c r="E76" s="1085">
        <f t="shared" si="19"/>
        <v>1.1877153664139278E-2</v>
      </c>
      <c r="F76" s="1085">
        <f t="shared" si="19"/>
        <v>1.8477626376190083E-2</v>
      </c>
      <c r="G76" s="1085">
        <f t="shared" si="19"/>
        <v>2.2749530926318821E-2</v>
      </c>
      <c r="H76" s="1085">
        <f t="shared" si="19"/>
        <v>1.648555226724133E-2</v>
      </c>
      <c r="I76" s="1085">
        <f t="shared" si="19"/>
        <v>3.4377362915176971E-2</v>
      </c>
      <c r="J76" s="1393">
        <f t="shared" si="15"/>
        <v>1.8835483110342745E-2</v>
      </c>
      <c r="K76" s="1393"/>
      <c r="L76" s="1393"/>
      <c r="M76" s="1393"/>
      <c r="N76" s="1393"/>
      <c r="O76" s="1085">
        <f t="shared" si="16"/>
        <v>2.3919691537385931E-2</v>
      </c>
      <c r="P76" s="1085">
        <f t="shared" si="19"/>
        <v>2.7786781357900362E-2</v>
      </c>
      <c r="Q76" s="1085">
        <f t="shared" si="17"/>
        <v>3.865893605341867E-2</v>
      </c>
      <c r="R76" s="1085">
        <f t="shared" si="19"/>
        <v>3.6627099727777182E-2</v>
      </c>
      <c r="S76" s="1085">
        <f t="shared" si="19"/>
        <v>4.5655785956755533E-2</v>
      </c>
      <c r="T76" s="1085">
        <f t="shared" si="18"/>
        <v>4.686062633753451E-2</v>
      </c>
      <c r="U76" s="1085">
        <f t="shared" si="18"/>
        <v>3.8736480338775414E-2</v>
      </c>
      <c r="V76" s="1085">
        <f t="shared" si="18"/>
        <v>6.0061243202949588E-2</v>
      </c>
      <c r="W76" s="1085">
        <f t="shared" si="19"/>
        <v>4.6136722105050723E-2</v>
      </c>
      <c r="X76" s="1085">
        <f t="shared" si="19"/>
        <v>2.1191312087767613E-2</v>
      </c>
      <c r="Y76" s="1085">
        <f t="shared" si="19"/>
        <v>4.7727976529182356E-2</v>
      </c>
      <c r="Z76" s="1085"/>
      <c r="AA76" s="1085">
        <f t="shared" si="4"/>
        <v>0.3371421276228399</v>
      </c>
      <c r="AB76" s="1085">
        <f t="shared" si="5"/>
        <v>0.1150560107220007</v>
      </c>
      <c r="AC76" s="1089"/>
      <c r="AD76" s="1089"/>
      <c r="AE76" s="1090">
        <f>AA76*$B137/'T-T1'!$BN43</f>
        <v>0.38097566912962755</v>
      </c>
      <c r="AF76" s="1090">
        <f>AB76*$B137/'T-T1'!$BN43</f>
        <v>0.13001502061242343</v>
      </c>
      <c r="AG76" s="226"/>
      <c r="AH76" s="276"/>
      <c r="AI76" s="276"/>
      <c r="AJ76" s="276"/>
      <c r="AK76" s="276"/>
      <c r="AL76" s="249"/>
    </row>
    <row r="77" spans="1:38" x14ac:dyDescent="0.3">
      <c r="A77" s="100">
        <v>1995</v>
      </c>
      <c r="B77" s="1085">
        <f t="shared" si="13"/>
        <v>0.99999999993732513</v>
      </c>
      <c r="C77" s="1085">
        <f t="shared" si="19"/>
        <v>0.43709279899790504</v>
      </c>
      <c r="D77" s="1085">
        <f t="shared" si="19"/>
        <v>6.7642268978034201E-3</v>
      </c>
      <c r="E77" s="1085">
        <f t="shared" si="19"/>
        <v>1.291525195912808E-2</v>
      </c>
      <c r="F77" s="1085">
        <f t="shared" si="19"/>
        <v>2.1443091780861765E-2</v>
      </c>
      <c r="G77" s="1085">
        <f t="shared" si="19"/>
        <v>2.2052807285617024E-2</v>
      </c>
      <c r="H77" s="1085">
        <f t="shared" si="19"/>
        <v>1.7169980178315811E-2</v>
      </c>
      <c r="I77" s="1085">
        <f t="shared" si="19"/>
        <v>3.5275474427793808E-2</v>
      </c>
      <c r="J77" s="1393">
        <f t="shared" si="15"/>
        <v>2.0150734658974847E-2</v>
      </c>
      <c r="K77" s="1393"/>
      <c r="L77" s="1393"/>
      <c r="M77" s="1393"/>
      <c r="N77" s="1393"/>
      <c r="O77" s="1085">
        <f t="shared" si="16"/>
        <v>2.3576806414629579E-2</v>
      </c>
      <c r="P77" s="1085">
        <f t="shared" si="19"/>
        <v>3.0886533873626543E-2</v>
      </c>
      <c r="Q77" s="1085">
        <f t="shared" si="17"/>
        <v>3.998546526146466E-2</v>
      </c>
      <c r="R77" s="1085">
        <f t="shared" si="19"/>
        <v>3.6059865828731379E-2</v>
      </c>
      <c r="S77" s="1085">
        <f t="shared" si="19"/>
        <v>4.2537453040014737E-2</v>
      </c>
      <c r="T77" s="1085">
        <f t="shared" si="18"/>
        <v>4.6075716742534564E-2</v>
      </c>
      <c r="U77" s="1085">
        <f t="shared" si="18"/>
        <v>3.3050400657323897E-2</v>
      </c>
      <c r="V77" s="1085">
        <f t="shared" si="18"/>
        <v>5.9595577212259762E-2</v>
      </c>
      <c r="W77" s="1085">
        <f t="shared" si="19"/>
        <v>4.5832564586949585E-2</v>
      </c>
      <c r="X77" s="1085">
        <f t="shared" si="19"/>
        <v>2.2049736903443903E-2</v>
      </c>
      <c r="Y77" s="1085">
        <f t="shared" si="19"/>
        <v>4.7485513229946902E-2</v>
      </c>
      <c r="Z77" s="1085"/>
      <c r="AA77" s="1085">
        <f t="shared" si="4"/>
        <v>0.33191855368955997</v>
      </c>
      <c r="AB77" s="1085">
        <f t="shared" si="5"/>
        <v>0.11536781472034038</v>
      </c>
      <c r="AC77" s="1089"/>
      <c r="AD77" s="1089"/>
      <c r="AE77" s="1090">
        <f>AA77*$B138/'T-T1'!$BN44</f>
        <v>0.37520518039059536</v>
      </c>
      <c r="AF77" s="1090">
        <f>AB77*$B138/'T-T1'!$BN44</f>
        <v>0.1304133235465337</v>
      </c>
      <c r="AG77" s="226"/>
      <c r="AH77" s="276"/>
      <c r="AI77" s="276"/>
      <c r="AJ77" s="276"/>
      <c r="AK77" s="276"/>
      <c r="AL77" s="249"/>
    </row>
    <row r="78" spans="1:38" x14ac:dyDescent="0.3">
      <c r="A78" s="100">
        <v>1996</v>
      </c>
      <c r="B78" s="1085">
        <f t="shared" si="13"/>
        <v>1.0000000001656868</v>
      </c>
      <c r="C78" s="1085">
        <f t="shared" si="19"/>
        <v>0.43366255183762015</v>
      </c>
      <c r="D78" s="1085">
        <f t="shared" si="19"/>
        <v>6.2353676363937479E-3</v>
      </c>
      <c r="E78" s="1085">
        <f t="shared" si="19"/>
        <v>1.3388844171767817E-2</v>
      </c>
      <c r="F78" s="1085">
        <f t="shared" si="19"/>
        <v>2.1631077659764852E-2</v>
      </c>
      <c r="G78" s="1085">
        <f t="shared" si="19"/>
        <v>2.3053517265084426E-2</v>
      </c>
      <c r="H78" s="1085">
        <f t="shared" si="19"/>
        <v>1.8850047022758665E-2</v>
      </c>
      <c r="I78" s="1085">
        <f t="shared" si="19"/>
        <v>3.6513491858618026E-2</v>
      </c>
      <c r="J78" s="1393">
        <f t="shared" si="15"/>
        <v>1.922430502568194E-2</v>
      </c>
      <c r="K78" s="1393"/>
      <c r="L78" s="1393"/>
      <c r="M78" s="1393"/>
      <c r="N78" s="1393"/>
      <c r="O78" s="1085">
        <f t="shared" si="16"/>
        <v>2.4445621371952365E-2</v>
      </c>
      <c r="P78" s="1085">
        <f t="shared" si="19"/>
        <v>3.2240579117956643E-2</v>
      </c>
      <c r="Q78" s="1085">
        <f t="shared" si="17"/>
        <v>4.0592622264085582E-2</v>
      </c>
      <c r="R78" s="1085">
        <f t="shared" si="19"/>
        <v>3.5290422632839193E-2</v>
      </c>
      <c r="S78" s="1085">
        <f t="shared" si="19"/>
        <v>3.9926508393535419E-2</v>
      </c>
      <c r="T78" s="1085">
        <f t="shared" si="18"/>
        <v>5.1145950950400039E-2</v>
      </c>
      <c r="U78" s="1085">
        <f t="shared" si="18"/>
        <v>3.0809950032718556E-2</v>
      </c>
      <c r="V78" s="1085">
        <f t="shared" si="18"/>
        <v>5.9008545435933514E-2</v>
      </c>
      <c r="W78" s="1085">
        <f t="shared" si="19"/>
        <v>4.4958769456072266E-2</v>
      </c>
      <c r="X78" s="1085">
        <f t="shared" si="19"/>
        <v>2.2615381371358403E-2</v>
      </c>
      <c r="Y78" s="1085">
        <f t="shared" si="19"/>
        <v>4.6406446661144934E-2</v>
      </c>
      <c r="Z78" s="1085"/>
      <c r="AA78" s="1085">
        <f t="shared" si="4"/>
        <v>0.33268450522510329</v>
      </c>
      <c r="AB78" s="1085">
        <f t="shared" si="5"/>
        <v>0.1139805974885756</v>
      </c>
      <c r="AC78" s="1089"/>
      <c r="AD78" s="1089"/>
      <c r="AE78" s="1090">
        <f>AA78*$B139/'T-T1'!$BN45</f>
        <v>0.37548223847671619</v>
      </c>
      <c r="AF78" s="1090">
        <f>AB78*$B139/'T-T1'!$BN45</f>
        <v>0.12864347216581631</v>
      </c>
      <c r="AG78" s="226"/>
      <c r="AH78" s="276"/>
      <c r="AI78" s="276"/>
      <c r="AJ78" s="276"/>
      <c r="AK78" s="276"/>
      <c r="AL78" s="249"/>
    </row>
    <row r="79" spans="1:38" x14ac:dyDescent="0.3">
      <c r="A79" s="100">
        <v>1997</v>
      </c>
      <c r="B79" s="1085">
        <f t="shared" si="13"/>
        <v>1.0000000000160782</v>
      </c>
      <c r="C79" s="1085">
        <f t="shared" si="19"/>
        <v>0.43556566353090981</v>
      </c>
      <c r="D79" s="1085">
        <f t="shared" si="19"/>
        <v>5.8912488704791748E-3</v>
      </c>
      <c r="E79" s="1085">
        <f t="shared" si="19"/>
        <v>1.4522994966962089E-2</v>
      </c>
      <c r="F79" s="1085">
        <f t="shared" si="19"/>
        <v>2.1045709149639515E-2</v>
      </c>
      <c r="G79" s="1085">
        <f t="shared" si="19"/>
        <v>2.2882408088548314E-2</v>
      </c>
      <c r="H79" s="1085">
        <f t="shared" si="19"/>
        <v>2.0287734401031283E-2</v>
      </c>
      <c r="I79" s="1085">
        <f t="shared" si="19"/>
        <v>3.795553604001619E-2</v>
      </c>
      <c r="J79" s="1393">
        <f t="shared" si="15"/>
        <v>1.9036524490359912E-2</v>
      </c>
      <c r="K79" s="1393"/>
      <c r="L79" s="1393"/>
      <c r="M79" s="1393"/>
      <c r="N79" s="1393"/>
      <c r="O79" s="1085">
        <f t="shared" si="16"/>
        <v>2.3697945096768556E-2</v>
      </c>
      <c r="P79" s="1085">
        <f t="shared" si="19"/>
        <v>3.3857168943094963E-2</v>
      </c>
      <c r="Q79" s="1085">
        <f t="shared" si="17"/>
        <v>4.0575544212657966E-2</v>
      </c>
      <c r="R79" s="1085">
        <f t="shared" si="19"/>
        <v>3.4905442319355558E-2</v>
      </c>
      <c r="S79" s="1085">
        <f t="shared" si="19"/>
        <v>3.7718074173447899E-2</v>
      </c>
      <c r="T79" s="1085">
        <f t="shared" si="18"/>
        <v>5.1849239955606606E-2</v>
      </c>
      <c r="U79" s="1085">
        <f t="shared" si="18"/>
        <v>3.157126675459735E-2</v>
      </c>
      <c r="V79" s="1085">
        <f t="shared" si="18"/>
        <v>5.8213946082480567E-2</v>
      </c>
      <c r="W79" s="1085">
        <f t="shared" si="19"/>
        <v>4.3969143949189778E-2</v>
      </c>
      <c r="X79" s="1085">
        <f t="shared" si="19"/>
        <v>2.2615319885135501E-2</v>
      </c>
      <c r="Y79" s="1085">
        <f t="shared" si="19"/>
        <v>4.3839089105797209E-2</v>
      </c>
      <c r="Z79" s="1085"/>
      <c r="AA79" s="1085">
        <f t="shared" si="4"/>
        <v>0.33142515202836942</v>
      </c>
      <c r="AB79" s="1085">
        <f t="shared" si="5"/>
        <v>0.11042355294012249</v>
      </c>
      <c r="AC79" s="1089"/>
      <c r="AD79" s="1089"/>
      <c r="AE79" s="1090">
        <f>AA79*$B140/'T-T1'!$BN46</f>
        <v>0.37256516311383303</v>
      </c>
      <c r="AF79" s="1090">
        <f>AB79*$B140/'T-T1'!$BN46</f>
        <v>0.12413049752248194</v>
      </c>
      <c r="AG79" s="226"/>
      <c r="AH79" s="276"/>
      <c r="AI79" s="276"/>
      <c r="AJ79" s="276"/>
      <c r="AK79" s="276"/>
      <c r="AL79" s="249"/>
    </row>
    <row r="80" spans="1:38" x14ac:dyDescent="0.3">
      <c r="A80" s="663">
        <v>1998</v>
      </c>
      <c r="B80" s="1085">
        <f t="shared" ref="B80:B97" si="20">SUM(C80:Y80)</f>
        <v>0.99999999998982225</v>
      </c>
      <c r="C80" s="1085">
        <f t="shared" ref="C80:Y95" si="21">C141/$B141</f>
        <v>0.44117206271105797</v>
      </c>
      <c r="D80" s="1085">
        <f t="shared" si="21"/>
        <v>5.3030656008514207E-3</v>
      </c>
      <c r="E80" s="1085">
        <f t="shared" si="21"/>
        <v>1.3472706298323207E-2</v>
      </c>
      <c r="F80" s="1085">
        <f t="shared" si="21"/>
        <v>2.0645240364304346E-2</v>
      </c>
      <c r="G80" s="1085">
        <f t="shared" si="21"/>
        <v>2.4338046620748718E-2</v>
      </c>
      <c r="H80" s="1085">
        <f t="shared" si="21"/>
        <v>2.1306215512838803E-2</v>
      </c>
      <c r="I80" s="1085">
        <f t="shared" si="21"/>
        <v>4.0338927034574541E-2</v>
      </c>
      <c r="J80" s="1393">
        <f t="shared" si="15"/>
        <v>1.8176695411840457E-2</v>
      </c>
      <c r="K80" s="1393"/>
      <c r="L80" s="1393"/>
      <c r="M80" s="1393"/>
      <c r="N80" s="1393"/>
      <c r="O80" s="1085">
        <f t="shared" si="16"/>
        <v>2.4456522546876986E-2</v>
      </c>
      <c r="P80" s="1085">
        <f t="shared" si="21"/>
        <v>2.2591101082092203E-2</v>
      </c>
      <c r="Q80" s="1085">
        <f t="shared" si="17"/>
        <v>3.8550830693089067E-2</v>
      </c>
      <c r="R80" s="1085">
        <f t="shared" si="21"/>
        <v>3.4936086228350052E-2</v>
      </c>
      <c r="S80" s="1085">
        <f t="shared" si="21"/>
        <v>3.8106449889408547E-2</v>
      </c>
      <c r="T80" s="1085">
        <f t="shared" si="21"/>
        <v>5.784079967484064E-2</v>
      </c>
      <c r="U80" s="1085">
        <f t="shared" si="21"/>
        <v>3.2776057144001128E-2</v>
      </c>
      <c r="V80" s="1085">
        <f t="shared" si="21"/>
        <v>5.9444460783025996E-2</v>
      </c>
      <c r="W80" s="1085">
        <f t="shared" si="21"/>
        <v>4.2915609902218231E-2</v>
      </c>
      <c r="X80" s="1085">
        <f t="shared" si="21"/>
        <v>2.099380907868886E-2</v>
      </c>
      <c r="Y80" s="1085">
        <f t="shared" si="21"/>
        <v>4.2635313412690987E-2</v>
      </c>
      <c r="Z80" s="1085"/>
      <c r="AA80" s="1085">
        <f t="shared" si="4"/>
        <v>0.32687900345352505</v>
      </c>
      <c r="AB80" s="1085">
        <f t="shared" si="5"/>
        <v>0.10654473239359807</v>
      </c>
      <c r="AC80" s="1089"/>
      <c r="AD80" s="1089"/>
      <c r="AE80" s="1090">
        <f>AA80*$B141/'T-T1'!$BN47</f>
        <v>0.365859267416691</v>
      </c>
      <c r="AF80" s="1090">
        <f>AB80*$B141/'T-T1'!$BN47</f>
        <v>0.11925017308788792</v>
      </c>
      <c r="AG80" s="226"/>
      <c r="AH80" s="276"/>
      <c r="AI80" s="276"/>
      <c r="AJ80" s="276"/>
      <c r="AK80" s="276"/>
      <c r="AL80" s="249"/>
    </row>
    <row r="81" spans="1:38" x14ac:dyDescent="0.3">
      <c r="A81" s="100">
        <v>1999</v>
      </c>
      <c r="B81" s="1085">
        <f t="shared" si="20"/>
        <v>0.9999999999169441</v>
      </c>
      <c r="C81" s="1085">
        <f t="shared" si="21"/>
        <v>0.44722500665745413</v>
      </c>
      <c r="D81" s="1085">
        <f t="shared" si="21"/>
        <v>3.3457527076188515E-3</v>
      </c>
      <c r="E81" s="1085">
        <f t="shared" si="21"/>
        <v>1.4369343326822362E-2</v>
      </c>
      <c r="F81" s="1085">
        <f t="shared" si="21"/>
        <v>1.9500561495597712E-2</v>
      </c>
      <c r="G81" s="1085">
        <f t="shared" si="21"/>
        <v>2.8673257447476674E-2</v>
      </c>
      <c r="H81" s="1085">
        <f t="shared" si="21"/>
        <v>2.2786957168333382E-2</v>
      </c>
      <c r="I81" s="1085">
        <f t="shared" si="21"/>
        <v>4.2439355821459988E-2</v>
      </c>
      <c r="J81" s="1393">
        <f t="shared" si="15"/>
        <v>1.7062464601775573E-2</v>
      </c>
      <c r="K81" s="1393"/>
      <c r="L81" s="1393"/>
      <c r="M81" s="1393"/>
      <c r="N81" s="1393"/>
      <c r="O81" s="1085">
        <f t="shared" si="16"/>
        <v>2.5058311302276513E-2</v>
      </c>
      <c r="P81" s="1085">
        <f t="shared" si="21"/>
        <v>2.4043644529054102E-2</v>
      </c>
      <c r="Q81" s="1085">
        <f t="shared" si="17"/>
        <v>3.8545506415199653E-2</v>
      </c>
      <c r="R81" s="1085">
        <f t="shared" si="21"/>
        <v>3.4776482911486183E-2</v>
      </c>
      <c r="S81" s="1085">
        <f t="shared" si="21"/>
        <v>3.8933992358053095E-2</v>
      </c>
      <c r="T81" s="1085">
        <f t="shared" si="21"/>
        <v>5.2908658680988957E-2</v>
      </c>
      <c r="U81" s="1085">
        <f t="shared" si="21"/>
        <v>2.7990151369883049E-2</v>
      </c>
      <c r="V81" s="1085">
        <f t="shared" si="21"/>
        <v>5.7664994819763449E-2</v>
      </c>
      <c r="W81" s="1085">
        <f t="shared" si="21"/>
        <v>4.1738576922240873E-2</v>
      </c>
      <c r="X81" s="1085">
        <f t="shared" si="21"/>
        <v>2.041046204024204E-2</v>
      </c>
      <c r="Y81" s="1085">
        <f t="shared" si="21"/>
        <v>4.2526519341217699E-2</v>
      </c>
      <c r="Z81" s="1085"/>
      <c r="AA81" s="1085">
        <f t="shared" si="4"/>
        <v>0.31698420698848057</v>
      </c>
      <c r="AB81" s="1085">
        <f t="shared" si="5"/>
        <v>0.10467555830370062</v>
      </c>
      <c r="AC81" s="1089"/>
      <c r="AD81" s="1089"/>
      <c r="AE81" s="1090">
        <f>AA81*$B142/'T-T1'!$BN48</f>
        <v>0.35404394358742758</v>
      </c>
      <c r="AF81" s="1090">
        <f>AB81*$B142/'T-T1'!$BN48</f>
        <v>0.1169135453502409</v>
      </c>
      <c r="AG81" s="226"/>
      <c r="AH81" s="276"/>
      <c r="AI81" s="276"/>
      <c r="AJ81" s="276"/>
      <c r="AK81" s="276"/>
      <c r="AL81" s="249"/>
    </row>
    <row r="82" spans="1:38" x14ac:dyDescent="0.3">
      <c r="A82" s="100">
        <v>2000</v>
      </c>
      <c r="B82" s="1085">
        <f t="shared" si="20"/>
        <v>1.0000000001031697</v>
      </c>
      <c r="C82" s="1085">
        <f t="shared" si="21"/>
        <v>0.44969919389630636</v>
      </c>
      <c r="D82" s="1085">
        <f t="shared" si="21"/>
        <v>4.0886483266705945E-3</v>
      </c>
      <c r="E82" s="1085">
        <f t="shared" si="21"/>
        <v>1.4837492170973791E-2</v>
      </c>
      <c r="F82" s="1085">
        <f t="shared" si="21"/>
        <v>2.0509709980353501E-2</v>
      </c>
      <c r="G82" s="1085">
        <f t="shared" si="21"/>
        <v>2.7310809084446986E-2</v>
      </c>
      <c r="H82" s="1085">
        <f t="shared" si="21"/>
        <v>2.1506773786038356E-2</v>
      </c>
      <c r="I82" s="1085">
        <f t="shared" si="21"/>
        <v>4.2870898744470295E-2</v>
      </c>
      <c r="J82" s="1393">
        <f t="shared" si="15"/>
        <v>1.572590570638532E-2</v>
      </c>
      <c r="K82" s="1393"/>
      <c r="L82" s="1393"/>
      <c r="M82" s="1393"/>
      <c r="N82" s="1393"/>
      <c r="O82" s="1085">
        <f t="shared" si="16"/>
        <v>2.4439199501989629E-2</v>
      </c>
      <c r="P82" s="1085">
        <f t="shared" si="21"/>
        <v>1.3233460920047829E-2</v>
      </c>
      <c r="Q82" s="1085">
        <f t="shared" si="17"/>
        <v>3.7513064637654796E-2</v>
      </c>
      <c r="R82" s="1085">
        <f t="shared" si="21"/>
        <v>3.4760666677970203E-2</v>
      </c>
      <c r="S82" s="1085">
        <f t="shared" si="21"/>
        <v>4.0547599750550882E-2</v>
      </c>
      <c r="T82" s="1085">
        <f t="shared" si="21"/>
        <v>6.1699752045183201E-2</v>
      </c>
      <c r="U82" s="1085">
        <f t="shared" si="21"/>
        <v>3.0072936572674663E-2</v>
      </c>
      <c r="V82" s="1085">
        <f t="shared" si="21"/>
        <v>5.8043627446795087E-2</v>
      </c>
      <c r="W82" s="1085">
        <f t="shared" si="21"/>
        <v>4.1249217053754915E-2</v>
      </c>
      <c r="X82" s="1085">
        <f t="shared" si="21"/>
        <v>1.9993475166302992E-2</v>
      </c>
      <c r="Y82" s="1085">
        <f t="shared" si="21"/>
        <v>4.189756863460032E-2</v>
      </c>
      <c r="Z82" s="1085"/>
      <c r="AA82" s="1085">
        <f t="shared" si="4"/>
        <v>0.31603621325925163</v>
      </c>
      <c r="AB82" s="1085">
        <f t="shared" si="5"/>
        <v>0.10314026085465822</v>
      </c>
      <c r="AC82" s="1089"/>
      <c r="AD82" s="1089"/>
      <c r="AE82" s="1090">
        <f>AA82*$B143/'T-T1'!$BN49</f>
        <v>0.35238086857054596</v>
      </c>
      <c r="AF82" s="1090">
        <f>AB82*$B143/'T-T1'!$BN49</f>
        <v>0.11500155102397333</v>
      </c>
      <c r="AG82" s="226"/>
      <c r="AH82" s="276"/>
      <c r="AI82" s="276"/>
      <c r="AJ82" s="276"/>
      <c r="AK82" s="276"/>
      <c r="AL82" s="249"/>
    </row>
    <row r="83" spans="1:38" x14ac:dyDescent="0.3">
      <c r="A83" s="100">
        <v>2001</v>
      </c>
      <c r="B83" s="1085">
        <f t="shared" si="20"/>
        <v>1.000000000023926</v>
      </c>
      <c r="C83" s="1085">
        <f t="shared" si="21"/>
        <v>0.44285320903173714</v>
      </c>
      <c r="D83" s="1085">
        <f t="shared" si="21"/>
        <v>5.5980336662013568E-3</v>
      </c>
      <c r="E83" s="1085">
        <f t="shared" si="21"/>
        <v>1.1595684375482106E-2</v>
      </c>
      <c r="F83" s="1085">
        <f t="shared" si="21"/>
        <v>1.959344596161159E-2</v>
      </c>
      <c r="G83" s="1085">
        <f t="shared" si="21"/>
        <v>2.3342237765354351E-2</v>
      </c>
      <c r="H83" s="1085">
        <f t="shared" si="21"/>
        <v>2.1839630923608338E-2</v>
      </c>
      <c r="I83" s="1085">
        <f t="shared" si="21"/>
        <v>4.2014417972829066E-2</v>
      </c>
      <c r="J83" s="1393">
        <f t="shared" si="15"/>
        <v>1.5565345200883053E-2</v>
      </c>
      <c r="K83" s="1393"/>
      <c r="L83" s="1393"/>
      <c r="M83" s="1393"/>
      <c r="N83" s="1393"/>
      <c r="O83" s="1085">
        <f t="shared" si="16"/>
        <v>2.5554589453038987E-2</v>
      </c>
      <c r="P83" s="1085">
        <f t="shared" si="21"/>
        <v>1.7479168827769873E-2</v>
      </c>
      <c r="Q83" s="1085">
        <f t="shared" si="17"/>
        <v>3.0617310357058364E-2</v>
      </c>
      <c r="R83" s="1085">
        <f t="shared" si="21"/>
        <v>3.4729964655481074E-2</v>
      </c>
      <c r="S83" s="1085">
        <f t="shared" si="21"/>
        <v>4.2487564572087404E-2</v>
      </c>
      <c r="T83" s="1085">
        <f t="shared" si="21"/>
        <v>6.9572086741219979E-2</v>
      </c>
      <c r="U83" s="1085">
        <f t="shared" si="21"/>
        <v>3.2044116551487749E-2</v>
      </c>
      <c r="V83" s="1085">
        <f t="shared" si="21"/>
        <v>5.6159093847477234E-2</v>
      </c>
      <c r="W83" s="1085">
        <f t="shared" si="21"/>
        <v>4.2055557363395286E-2</v>
      </c>
      <c r="X83" s="1085">
        <f t="shared" si="21"/>
        <v>2.1325420297746919E-2</v>
      </c>
      <c r="Y83" s="1085">
        <f t="shared" si="21"/>
        <v>4.557312245945612E-2</v>
      </c>
      <c r="Z83" s="1085"/>
      <c r="AA83" s="1085">
        <f t="shared" si="4"/>
        <v>0.32420924020650371</v>
      </c>
      <c r="AB83" s="1085">
        <f t="shared" si="5"/>
        <v>0.10895410012059832</v>
      </c>
      <c r="AC83" s="1089"/>
      <c r="AD83" s="1089"/>
      <c r="AE83" s="1090">
        <f>AA83*$B144/'T-T1'!$BN50</f>
        <v>0.36385243222751512</v>
      </c>
      <c r="AF83" s="1090">
        <f>AB83*$B144/'T-T1'!$BN50</f>
        <v>0.12227663315453105</v>
      </c>
      <c r="AG83" s="226"/>
      <c r="AH83" s="276"/>
      <c r="AI83" s="276"/>
      <c r="AJ83" s="276"/>
      <c r="AK83" s="276"/>
      <c r="AL83" s="249"/>
    </row>
    <row r="84" spans="1:38" x14ac:dyDescent="0.3">
      <c r="A84" s="100">
        <v>2002</v>
      </c>
      <c r="B84" s="1085">
        <f t="shared" si="20"/>
        <v>0.99999999971388753</v>
      </c>
      <c r="C84" s="1085">
        <f t="shared" si="21"/>
        <v>0.42759702673867034</v>
      </c>
      <c r="D84" s="1085">
        <f t="shared" si="21"/>
        <v>7.4243863068585896E-3</v>
      </c>
      <c r="E84" s="1085">
        <f t="shared" si="21"/>
        <v>9.682717795266681E-3</v>
      </c>
      <c r="F84" s="1085">
        <f t="shared" si="21"/>
        <v>1.4288040202552098E-2</v>
      </c>
      <c r="G84" s="1085">
        <f t="shared" si="21"/>
        <v>2.2177340489322132E-2</v>
      </c>
      <c r="H84" s="1085">
        <f t="shared" si="21"/>
        <v>2.2320569094854768E-2</v>
      </c>
      <c r="I84" s="1085">
        <f t="shared" si="21"/>
        <v>4.1835492059244153E-2</v>
      </c>
      <c r="J84" s="1393">
        <f t="shared" si="15"/>
        <v>1.2708983219378195E-2</v>
      </c>
      <c r="K84" s="1393"/>
      <c r="L84" s="1393"/>
      <c r="M84" s="1393"/>
      <c r="N84" s="1393"/>
      <c r="O84" s="1085">
        <f t="shared" si="16"/>
        <v>2.670798726788913E-2</v>
      </c>
      <c r="P84" s="1085">
        <f t="shared" si="21"/>
        <v>2.951096270917318E-2</v>
      </c>
      <c r="Q84" s="1085">
        <f t="shared" si="17"/>
        <v>2.9885180470356452E-2</v>
      </c>
      <c r="R84" s="1085">
        <f t="shared" si="21"/>
        <v>3.4330962504343823E-2</v>
      </c>
      <c r="S84" s="1085">
        <f t="shared" si="21"/>
        <v>4.4310009013651903E-2</v>
      </c>
      <c r="T84" s="1085">
        <f t="shared" si="21"/>
        <v>7.3054662035906284E-2</v>
      </c>
      <c r="U84" s="1085">
        <f t="shared" si="21"/>
        <v>3.3946963114083545E-2</v>
      </c>
      <c r="V84" s="1085">
        <f t="shared" si="21"/>
        <v>5.5288001230820408E-2</v>
      </c>
      <c r="W84" s="1085">
        <f t="shared" si="21"/>
        <v>4.2731072670413706E-2</v>
      </c>
      <c r="X84" s="1085">
        <f t="shared" si="21"/>
        <v>2.1958141579326282E-2</v>
      </c>
      <c r="Y84" s="1085">
        <f t="shared" si="21"/>
        <v>5.0241501211775681E-2</v>
      </c>
      <c r="Z84" s="1085"/>
      <c r="AA84" s="1085">
        <f t="shared" si="4"/>
        <v>0.33974371156560285</v>
      </c>
      <c r="AB84" s="1085">
        <f t="shared" si="5"/>
        <v>0.11493071546151568</v>
      </c>
      <c r="AC84" s="1089"/>
      <c r="AD84" s="1089"/>
      <c r="AE84" s="1090">
        <f>AA84*$B145/'T-T1'!$BN51</f>
        <v>0.38386111201799156</v>
      </c>
      <c r="AF84" s="1090">
        <f>AB84*$B145/'T-T1'!$BN51</f>
        <v>0.12985503701828469</v>
      </c>
      <c r="AG84" s="226"/>
      <c r="AH84" s="276"/>
      <c r="AI84" s="276"/>
      <c r="AJ84" s="276"/>
      <c r="AK84" s="276"/>
      <c r="AL84" s="249"/>
    </row>
    <row r="85" spans="1:38" x14ac:dyDescent="0.3">
      <c r="A85" s="100">
        <v>2003</v>
      </c>
      <c r="B85" s="1085">
        <f t="shared" si="20"/>
        <v>1.0000000001857623</v>
      </c>
      <c r="C85" s="1085">
        <f t="shared" si="21"/>
        <v>0.41671263057371111</v>
      </c>
      <c r="D85" s="1085">
        <f t="shared" si="21"/>
        <v>8.4664336427876241E-3</v>
      </c>
      <c r="E85" s="1085">
        <f t="shared" si="21"/>
        <v>1.0319183524385718E-2</v>
      </c>
      <c r="F85" s="1085">
        <f t="shared" si="21"/>
        <v>1.1670401399446077E-2</v>
      </c>
      <c r="G85" s="1085">
        <f t="shared" si="21"/>
        <v>2.2253078025620963E-2</v>
      </c>
      <c r="H85" s="1085">
        <f t="shared" si="21"/>
        <v>2.2750890061428306E-2</v>
      </c>
      <c r="I85" s="1085">
        <f t="shared" si="21"/>
        <v>4.1340140735441289E-2</v>
      </c>
      <c r="J85" s="1393">
        <f t="shared" si="15"/>
        <v>1.2251435171119615E-2</v>
      </c>
      <c r="K85" s="1393"/>
      <c r="L85" s="1393"/>
      <c r="M85" s="1393"/>
      <c r="N85" s="1393"/>
      <c r="O85" s="1085">
        <f t="shared" si="16"/>
        <v>2.7965336379736517E-2</v>
      </c>
      <c r="P85" s="1085">
        <f t="shared" si="21"/>
        <v>3.3933511797719272E-2</v>
      </c>
      <c r="Q85" s="1085">
        <f t="shared" si="17"/>
        <v>3.4239753619608501E-2</v>
      </c>
      <c r="R85" s="1085">
        <f t="shared" si="21"/>
        <v>3.4282324548902433E-2</v>
      </c>
      <c r="S85" s="1085">
        <f t="shared" si="21"/>
        <v>4.7093844068142245E-2</v>
      </c>
      <c r="T85" s="1085">
        <f t="shared" si="21"/>
        <v>7.4153842651043272E-2</v>
      </c>
      <c r="U85" s="1085">
        <f t="shared" si="21"/>
        <v>3.2859215020996008E-2</v>
      </c>
      <c r="V85" s="1085">
        <f t="shared" si="21"/>
        <v>5.3766187468151226E-2</v>
      </c>
      <c r="W85" s="1085">
        <f t="shared" si="21"/>
        <v>4.2336565125297113E-2</v>
      </c>
      <c r="X85" s="1085">
        <f t="shared" si="21"/>
        <v>2.2345973712936916E-2</v>
      </c>
      <c r="Y85" s="1085">
        <f t="shared" si="21"/>
        <v>5.1259252659288095E-2</v>
      </c>
      <c r="Z85" s="1085"/>
      <c r="AA85" s="1085">
        <f t="shared" si="4"/>
        <v>0.35054545072541909</v>
      </c>
      <c r="AB85" s="1085">
        <f t="shared" si="5"/>
        <v>0.11594179149752212</v>
      </c>
      <c r="AC85" s="1089"/>
      <c r="AD85" s="1089"/>
      <c r="AE85" s="1090">
        <f>AA85*$B146/'T-T1'!$BN52</f>
        <v>0.3965185172687562</v>
      </c>
      <c r="AF85" s="1090">
        <f>AB85*$B146/'T-T1'!$BN52</f>
        <v>0.13114723685315</v>
      </c>
      <c r="AG85" s="226"/>
      <c r="AH85" s="276"/>
      <c r="AI85" s="276"/>
      <c r="AJ85" s="276"/>
      <c r="AK85" s="276"/>
      <c r="AL85" s="249"/>
    </row>
    <row r="86" spans="1:38" x14ac:dyDescent="0.3">
      <c r="A86" s="100">
        <v>2004</v>
      </c>
      <c r="B86" s="1085">
        <f t="shared" si="20"/>
        <v>0.99999999997730293</v>
      </c>
      <c r="C86" s="1085">
        <f t="shared" si="21"/>
        <v>0.41309831165289851</v>
      </c>
      <c r="D86" s="1085">
        <f t="shared" si="21"/>
        <v>8.6084895112060241E-3</v>
      </c>
      <c r="E86" s="1085">
        <f t="shared" si="21"/>
        <v>1.2324797948444949E-2</v>
      </c>
      <c r="F86" s="1085">
        <f t="shared" si="21"/>
        <v>1.0783831966268104E-2</v>
      </c>
      <c r="G86" s="1085">
        <f t="shared" si="21"/>
        <v>2.2061072335017671E-2</v>
      </c>
      <c r="H86" s="1085">
        <f t="shared" si="21"/>
        <v>2.6523037403632047E-2</v>
      </c>
      <c r="I86" s="1085">
        <f t="shared" si="21"/>
        <v>4.1627923887129041E-2</v>
      </c>
      <c r="J86" s="1393">
        <f t="shared" si="15"/>
        <v>1.2307612047313201E-2</v>
      </c>
      <c r="K86" s="1393"/>
      <c r="L86" s="1393"/>
      <c r="M86" s="1393"/>
      <c r="N86" s="1393"/>
      <c r="O86" s="1085">
        <f t="shared" si="16"/>
        <v>2.8187683490867137E-2</v>
      </c>
      <c r="P86" s="1085">
        <f t="shared" si="21"/>
        <v>3.4678497115962388E-2</v>
      </c>
      <c r="Q86" s="1085">
        <f t="shared" si="17"/>
        <v>3.8488950187809408E-2</v>
      </c>
      <c r="R86" s="1085">
        <f t="shared" si="21"/>
        <v>3.4303058625492065E-2</v>
      </c>
      <c r="S86" s="1085">
        <f t="shared" si="21"/>
        <v>4.737642615515586E-2</v>
      </c>
      <c r="T86" s="1085">
        <f t="shared" si="21"/>
        <v>7.0337044670940568E-2</v>
      </c>
      <c r="U86" s="1085">
        <f t="shared" si="21"/>
        <v>3.0509026771652636E-2</v>
      </c>
      <c r="V86" s="1085">
        <f t="shared" si="21"/>
        <v>5.3532005858735687E-2</v>
      </c>
      <c r="W86" s="1085">
        <f t="shared" si="21"/>
        <v>4.1507314497177462E-2</v>
      </c>
      <c r="X86" s="1085">
        <f t="shared" si="21"/>
        <v>2.2910896766322471E-2</v>
      </c>
      <c r="Y86" s="1085">
        <f t="shared" si="21"/>
        <v>5.0834019085277592E-2</v>
      </c>
      <c r="Z86" s="1085"/>
      <c r="AA86" s="1085">
        <f t="shared" si="4"/>
        <v>0.34972030492392892</v>
      </c>
      <c r="AB86" s="1085">
        <f t="shared" si="5"/>
        <v>0.11525223034877752</v>
      </c>
      <c r="AC86" s="1089"/>
      <c r="AD86" s="1089"/>
      <c r="AE86" s="1090">
        <f>AA86*$B147/'T-T1'!$BN53</f>
        <v>0.39527683458153218</v>
      </c>
      <c r="AF86" s="1090">
        <f>AB86*$B147/'T-T1'!$BN53</f>
        <v>0.13026563270507222</v>
      </c>
      <c r="AG86" s="226"/>
      <c r="AH86" s="276"/>
      <c r="AI86" s="276"/>
      <c r="AJ86" s="276"/>
      <c r="AK86" s="276"/>
      <c r="AL86" s="249"/>
    </row>
    <row r="87" spans="1:38" x14ac:dyDescent="0.3">
      <c r="A87" s="100">
        <v>2005</v>
      </c>
      <c r="B87" s="1085">
        <f t="shared" si="20"/>
        <v>1.0000000000244784</v>
      </c>
      <c r="C87" s="1085">
        <f t="shared" si="21"/>
        <v>0.40610370510858096</v>
      </c>
      <c r="D87" s="1085">
        <f t="shared" si="21"/>
        <v>8.35803522344984E-3</v>
      </c>
      <c r="E87" s="1085">
        <f t="shared" si="21"/>
        <v>1.3115075968789199E-2</v>
      </c>
      <c r="F87" s="1085">
        <f t="shared" si="21"/>
        <v>1.3097526507384171E-2</v>
      </c>
      <c r="G87" s="1085">
        <f t="shared" si="21"/>
        <v>2.3101094128845243E-2</v>
      </c>
      <c r="H87" s="1085">
        <f t="shared" si="21"/>
        <v>3.1694995477817206E-2</v>
      </c>
      <c r="I87" s="1085">
        <f t="shared" si="21"/>
        <v>4.1945112382448524E-2</v>
      </c>
      <c r="J87" s="1393">
        <f t="shared" si="15"/>
        <v>1.1925593828005124E-2</v>
      </c>
      <c r="K87" s="1393"/>
      <c r="L87" s="1393"/>
      <c r="M87" s="1393"/>
      <c r="N87" s="1393"/>
      <c r="O87" s="1085">
        <f t="shared" si="16"/>
        <v>2.5640999800629369E-2</v>
      </c>
      <c r="P87" s="1085">
        <f t="shared" si="21"/>
        <v>3.8194705487593988E-2</v>
      </c>
      <c r="Q87" s="1085">
        <f t="shared" si="17"/>
        <v>4.5285215686894829E-2</v>
      </c>
      <c r="R87" s="1085">
        <f t="shared" si="21"/>
        <v>3.3722741298430274E-2</v>
      </c>
      <c r="S87" s="1085">
        <f t="shared" si="21"/>
        <v>4.7860983236128633E-2</v>
      </c>
      <c r="T87" s="1085">
        <f t="shared" si="21"/>
        <v>6.3745804195013037E-2</v>
      </c>
      <c r="U87" s="1085">
        <f t="shared" si="21"/>
        <v>2.7957652475579232E-2</v>
      </c>
      <c r="V87" s="1085">
        <f t="shared" si="21"/>
        <v>5.3742824656094861E-2</v>
      </c>
      <c r="W87" s="1085">
        <f t="shared" si="21"/>
        <v>4.1117900315987332E-2</v>
      </c>
      <c r="X87" s="1085">
        <f t="shared" si="21"/>
        <v>2.3211135952303379E-2</v>
      </c>
      <c r="Y87" s="1085">
        <f t="shared" si="21"/>
        <v>5.017889829450322E-2</v>
      </c>
      <c r="Z87" s="1085"/>
      <c r="AA87" s="1085">
        <f t="shared" si="4"/>
        <v>0.34807652066436939</v>
      </c>
      <c r="AB87" s="1085">
        <f t="shared" si="5"/>
        <v>0.11450793456279393</v>
      </c>
      <c r="AC87" s="1089"/>
      <c r="AD87" s="1089"/>
      <c r="AE87" s="1090">
        <f>AA87*$B148/'T-T1'!$BN54</f>
        <v>0.39308823625780537</v>
      </c>
      <c r="AF87" s="1090">
        <f>AB87*$B148/'T-T1'!$BN54</f>
        <v>0.12931559402196832</v>
      </c>
      <c r="AG87" s="226"/>
      <c r="AH87" s="276"/>
      <c r="AI87" s="276"/>
      <c r="AJ87" s="276"/>
      <c r="AK87" s="276"/>
      <c r="AL87" s="249"/>
    </row>
    <row r="88" spans="1:38" x14ac:dyDescent="0.3">
      <c r="A88" s="100">
        <v>2006</v>
      </c>
      <c r="B88" s="1085">
        <f t="shared" si="20"/>
        <v>0.99999999999831857</v>
      </c>
      <c r="C88" s="1085">
        <f t="shared" si="21"/>
        <v>0.40355948356862925</v>
      </c>
      <c r="D88" s="1085">
        <f t="shared" si="21"/>
        <v>7.1476627319653268E-3</v>
      </c>
      <c r="E88" s="1085">
        <f t="shared" si="21"/>
        <v>1.4706010488566578E-2</v>
      </c>
      <c r="F88" s="1085">
        <f t="shared" si="21"/>
        <v>1.6746356039793048E-2</v>
      </c>
      <c r="G88" s="1085">
        <f t="shared" si="21"/>
        <v>2.2603286732365089E-2</v>
      </c>
      <c r="H88" s="1085">
        <f t="shared" si="21"/>
        <v>3.1383201924249475E-2</v>
      </c>
      <c r="I88" s="1085">
        <f t="shared" si="21"/>
        <v>4.2442391999473209E-2</v>
      </c>
      <c r="J88" s="1393">
        <f t="shared" si="15"/>
        <v>1.2775096552440513E-2</v>
      </c>
      <c r="K88" s="1393"/>
      <c r="L88" s="1393"/>
      <c r="M88" s="1393"/>
      <c r="N88" s="1393"/>
      <c r="O88" s="1085">
        <f t="shared" si="16"/>
        <v>2.2329438260785307E-2</v>
      </c>
      <c r="P88" s="1085">
        <f t="shared" si="21"/>
        <v>3.2995542019205487E-2</v>
      </c>
      <c r="Q88" s="1085">
        <f t="shared" si="17"/>
        <v>4.7306105743731411E-2</v>
      </c>
      <c r="R88" s="1085">
        <f t="shared" si="21"/>
        <v>3.3011776351280955E-2</v>
      </c>
      <c r="S88" s="1085">
        <f t="shared" si="21"/>
        <v>4.5390159389151967E-2</v>
      </c>
      <c r="T88" s="1085">
        <f t="shared" si="21"/>
        <v>6.9100611920993038E-2</v>
      </c>
      <c r="U88" s="1085">
        <f t="shared" si="21"/>
        <v>3.0417103303812101E-2</v>
      </c>
      <c r="V88" s="1085">
        <f t="shared" si="21"/>
        <v>5.3945357223250029E-2</v>
      </c>
      <c r="W88" s="1085">
        <f t="shared" si="21"/>
        <v>4.0852589781639859E-2</v>
      </c>
      <c r="X88" s="1085">
        <f t="shared" si="21"/>
        <v>2.6037359706822426E-2</v>
      </c>
      <c r="Y88" s="1085">
        <f t="shared" si="21"/>
        <v>4.7250466260163666E-2</v>
      </c>
      <c r="Z88" s="1085"/>
      <c r="AA88" s="1085">
        <f t="shared" si="4"/>
        <v>0.34727119076465074</v>
      </c>
      <c r="AB88" s="1085">
        <f t="shared" si="5"/>
        <v>0.11414041574862596</v>
      </c>
      <c r="AC88" s="1089"/>
      <c r="AD88" s="1089"/>
      <c r="AE88" s="1090">
        <f>AA88*$B149/'T-T1'!$BN55</f>
        <v>0.39201605628434849</v>
      </c>
      <c r="AF88" s="1090">
        <f>AB88*$B149/'T-T1'!$BN55</f>
        <v>0.12884707063061951</v>
      </c>
      <c r="AG88" s="226"/>
      <c r="AH88" s="276"/>
      <c r="AI88" s="276"/>
      <c r="AJ88" s="276"/>
      <c r="AK88" s="276"/>
      <c r="AL88" s="249"/>
    </row>
    <row r="89" spans="1:38" x14ac:dyDescent="0.3">
      <c r="A89" s="100">
        <v>2007</v>
      </c>
      <c r="B89" s="1085">
        <f t="shared" si="20"/>
        <v>0.99999999993965505</v>
      </c>
      <c r="C89" s="1085">
        <f t="shared" si="21"/>
        <v>0.41823007612845564</v>
      </c>
      <c r="D89" s="1085">
        <f t="shared" si="21"/>
        <v>5.0956303387233179E-3</v>
      </c>
      <c r="E89" s="1085">
        <f t="shared" si="21"/>
        <v>1.694575015930392E-2</v>
      </c>
      <c r="F89" s="1085">
        <f t="shared" si="21"/>
        <v>1.9536498656691992E-2</v>
      </c>
      <c r="G89" s="1085">
        <f t="shared" si="21"/>
        <v>2.2391119592815034E-2</v>
      </c>
      <c r="H89" s="1085">
        <f t="shared" si="21"/>
        <v>2.9684896034381243E-2</v>
      </c>
      <c r="I89" s="1085">
        <f t="shared" si="21"/>
        <v>4.5712983143284175E-2</v>
      </c>
      <c r="J89" s="1393">
        <f t="shared" si="15"/>
        <v>1.285886138490764E-2</v>
      </c>
      <c r="K89" s="1393"/>
      <c r="L89" s="1393"/>
      <c r="M89" s="1393"/>
      <c r="N89" s="1393"/>
      <c r="O89" s="1085">
        <f t="shared" si="16"/>
        <v>2.061567573250777E-2</v>
      </c>
      <c r="P89" s="1085">
        <f t="shared" si="21"/>
        <v>1.8939846667545477E-2</v>
      </c>
      <c r="Q89" s="1085">
        <f t="shared" si="17"/>
        <v>4.4616085168590697E-2</v>
      </c>
      <c r="R89" s="1085">
        <f t="shared" si="21"/>
        <v>3.3051948240821159E-2</v>
      </c>
      <c r="S89" s="1085">
        <f t="shared" si="21"/>
        <v>4.5374604005880316E-2</v>
      </c>
      <c r="T89" s="1085">
        <f t="shared" si="21"/>
        <v>6.2685087867417791E-2</v>
      </c>
      <c r="U89" s="1085">
        <f t="shared" si="21"/>
        <v>3.1405483195165208E-2</v>
      </c>
      <c r="V89" s="1085">
        <f t="shared" si="21"/>
        <v>5.4969169274124145E-2</v>
      </c>
      <c r="W89" s="1085">
        <f t="shared" si="21"/>
        <v>4.1914770136159164E-2</v>
      </c>
      <c r="X89" s="1085">
        <f t="shared" si="21"/>
        <v>2.7076151416983045E-2</v>
      </c>
      <c r="Y89" s="1085">
        <f t="shared" si="21"/>
        <v>4.8895362795897221E-2</v>
      </c>
      <c r="Z89" s="1085"/>
      <c r="AA89" s="1085">
        <f t="shared" si="4"/>
        <v>0.32451676153696024</v>
      </c>
      <c r="AB89" s="1085">
        <f t="shared" si="5"/>
        <v>0.11788628434903943</v>
      </c>
      <c r="AC89" s="1089"/>
      <c r="AD89" s="1089"/>
      <c r="AE89" s="1090">
        <f>AA89*$B150/'T-T1'!$BN56</f>
        <v>0.3678854559950831</v>
      </c>
      <c r="AF89" s="1090">
        <f>AB89*$B150/'T-T1'!$BN56</f>
        <v>0.13364070708678327</v>
      </c>
      <c r="AG89" s="226"/>
      <c r="AH89" s="276"/>
      <c r="AI89" s="276"/>
      <c r="AJ89" s="276"/>
      <c r="AK89" s="276"/>
      <c r="AL89" s="249"/>
    </row>
    <row r="90" spans="1:38" x14ac:dyDescent="0.3">
      <c r="A90" s="100">
        <v>2008</v>
      </c>
      <c r="B90" s="1085">
        <f t="shared" si="20"/>
        <v>1.0000000001521536</v>
      </c>
      <c r="C90" s="1085">
        <f t="shared" si="21"/>
        <v>0.41389906270011401</v>
      </c>
      <c r="D90" s="1085">
        <f t="shared" si="21"/>
        <v>7.0464541562655029E-3</v>
      </c>
      <c r="E90" s="1085">
        <f t="shared" si="21"/>
        <v>1.5254010603674284E-2</v>
      </c>
      <c r="F90" s="1085">
        <f t="shared" si="21"/>
        <v>1.5847896708690058E-2</v>
      </c>
      <c r="G90" s="1085">
        <f t="shared" si="21"/>
        <v>1.8942436110996389E-2</v>
      </c>
      <c r="H90" s="1085">
        <f t="shared" si="21"/>
        <v>2.5554540278078353E-2</v>
      </c>
      <c r="I90" s="1085">
        <f t="shared" si="21"/>
        <v>4.6496489952086877E-2</v>
      </c>
      <c r="J90" s="1393">
        <f t="shared" si="15"/>
        <v>1.3384633091351253E-2</v>
      </c>
      <c r="K90" s="1393"/>
      <c r="L90" s="1393"/>
      <c r="M90" s="1393"/>
      <c r="N90" s="1393"/>
      <c r="O90" s="1085">
        <f t="shared" si="16"/>
        <v>2.3887758174492804E-2</v>
      </c>
      <c r="P90" s="1085">
        <f t="shared" si="21"/>
        <v>1.1641246604513107E-2</v>
      </c>
      <c r="Q90" s="1085">
        <f t="shared" si="17"/>
        <v>3.4434783665709796E-2</v>
      </c>
      <c r="R90" s="1085">
        <f t="shared" si="21"/>
        <v>3.2785800099868458E-2</v>
      </c>
      <c r="S90" s="1085">
        <f t="shared" si="21"/>
        <v>4.505881505472837E-2</v>
      </c>
      <c r="T90" s="1085">
        <f t="shared" si="21"/>
        <v>6.9152809319396366E-2</v>
      </c>
      <c r="U90" s="1085">
        <f t="shared" si="21"/>
        <v>3.617131997347376E-2</v>
      </c>
      <c r="V90" s="1085">
        <f t="shared" si="21"/>
        <v>5.4954664205095718E-2</v>
      </c>
      <c r="W90" s="1085">
        <f t="shared" si="21"/>
        <v>4.2823487575093452E-2</v>
      </c>
      <c r="X90" s="1085">
        <f t="shared" si="21"/>
        <v>2.8358413133762646E-2</v>
      </c>
      <c r="Y90" s="1085">
        <f t="shared" si="21"/>
        <v>6.430537874476222E-2</v>
      </c>
      <c r="Z90" s="1085"/>
      <c r="AA90" s="1085">
        <f t="shared" si="4"/>
        <v>0.32147183018862963</v>
      </c>
      <c r="AB90" s="1085">
        <f t="shared" si="5"/>
        <v>0.13548727945361833</v>
      </c>
      <c r="AC90" s="1089"/>
      <c r="AD90" s="1089"/>
      <c r="AE90" s="1090">
        <f>AA90*$B151/'T-T1'!$BN57</f>
        <v>0.37185323631534867</v>
      </c>
      <c r="AF90" s="1090">
        <f>AB90*$B151/'T-T1'!$BN57</f>
        <v>0.15672098956486419</v>
      </c>
      <c r="AG90" s="226"/>
      <c r="AH90" s="276"/>
      <c r="AI90" s="276"/>
      <c r="AJ90" s="276"/>
      <c r="AK90" s="276"/>
      <c r="AL90" s="249"/>
    </row>
    <row r="91" spans="1:38" x14ac:dyDescent="0.3">
      <c r="A91" s="100">
        <v>2009</v>
      </c>
      <c r="B91" s="1085">
        <f t="shared" si="20"/>
        <v>0.99999999999304923</v>
      </c>
      <c r="C91" s="1085">
        <f t="shared" si="21"/>
        <v>0.40267668450333471</v>
      </c>
      <c r="D91" s="1085">
        <f t="shared" si="21"/>
        <v>8.7083949299833416E-3</v>
      </c>
      <c r="E91" s="1085">
        <f t="shared" si="21"/>
        <v>1.1532259552737286E-2</v>
      </c>
      <c r="F91" s="1085">
        <f t="shared" si="21"/>
        <v>1.2162170379444651E-2</v>
      </c>
      <c r="G91" s="1085">
        <f t="shared" si="21"/>
        <v>1.4358249187899089E-2</v>
      </c>
      <c r="H91" s="1085">
        <f t="shared" si="21"/>
        <v>2.4310367516287196E-2</v>
      </c>
      <c r="I91" s="1085">
        <f t="shared" si="21"/>
        <v>4.6462955447365908E-2</v>
      </c>
      <c r="J91" s="1393">
        <f t="shared" si="15"/>
        <v>1.3380756719164928E-2</v>
      </c>
      <c r="K91" s="1393"/>
      <c r="L91" s="1393"/>
      <c r="M91" s="1393"/>
      <c r="N91" s="1393"/>
      <c r="O91" s="1085">
        <f t="shared" si="16"/>
        <v>2.9833941878243914E-2</v>
      </c>
      <c r="P91" s="1085">
        <f t="shared" si="21"/>
        <v>3.9011895749751793E-2</v>
      </c>
      <c r="Q91" s="1085">
        <f t="shared" si="17"/>
        <v>3.182539734677698E-2</v>
      </c>
      <c r="R91" s="1085">
        <f t="shared" si="21"/>
        <v>3.2323331772848331E-2</v>
      </c>
      <c r="S91" s="1085">
        <f t="shared" si="21"/>
        <v>4.6043305606814071E-2</v>
      </c>
      <c r="T91" s="1085">
        <f t="shared" si="21"/>
        <v>6.3528028200425177E-2</v>
      </c>
      <c r="U91" s="1085">
        <f t="shared" si="21"/>
        <v>2.6721614753850959E-2</v>
      </c>
      <c r="V91" s="1085">
        <f t="shared" si="21"/>
        <v>5.2723896423713841E-2</v>
      </c>
      <c r="W91" s="1085">
        <f t="shared" si="21"/>
        <v>4.7634339101710332E-2</v>
      </c>
      <c r="X91" s="1085">
        <f t="shared" si="21"/>
        <v>3.0498677633950051E-2</v>
      </c>
      <c r="Y91" s="1085">
        <f t="shared" si="21"/>
        <v>6.6263733288746574E-2</v>
      </c>
      <c r="Z91" s="1085"/>
      <c r="AA91" s="1085">
        <f t="shared" si="4"/>
        <v>0.33539216845158998</v>
      </c>
      <c r="AB91" s="1085">
        <f t="shared" si="5"/>
        <v>0.14439675002440694</v>
      </c>
      <c r="AC91" s="1089"/>
      <c r="AD91" s="1089"/>
      <c r="AE91" s="1090">
        <f>AA91*$B152/'T-T1'!$BN58</f>
        <v>0.39199499676484312</v>
      </c>
      <c r="AF91" s="1090">
        <f>AB91*$B152/'T-T1'!$BN58</f>
        <v>0.16876602641018801</v>
      </c>
      <c r="AG91" s="226"/>
      <c r="AH91" s="276"/>
      <c r="AI91" s="276"/>
      <c r="AJ91" s="276"/>
      <c r="AK91" s="276"/>
      <c r="AL91" s="249"/>
    </row>
    <row r="92" spans="1:38" x14ac:dyDescent="0.3">
      <c r="A92" s="100">
        <v>2010</v>
      </c>
      <c r="B92" s="1085">
        <f t="shared" si="20"/>
        <v>0.99999999988873789</v>
      </c>
      <c r="C92" s="1085">
        <f t="shared" si="21"/>
        <v>0.39011313985063051</v>
      </c>
      <c r="D92" s="1085">
        <f t="shared" si="21"/>
        <v>8.5731517630890739E-3</v>
      </c>
      <c r="E92" s="1085">
        <f t="shared" si="21"/>
        <v>1.226554732060846E-2</v>
      </c>
      <c r="F92" s="1085">
        <f t="shared" si="21"/>
        <v>9.5971280819058084E-3</v>
      </c>
      <c r="G92" s="1085">
        <f t="shared" si="21"/>
        <v>1.4823425554170698E-2</v>
      </c>
      <c r="H92" s="1085">
        <f t="shared" si="21"/>
        <v>2.6364092523744987E-2</v>
      </c>
      <c r="I92" s="1085">
        <f t="shared" si="21"/>
        <v>5.0315440789900717E-2</v>
      </c>
      <c r="J92" s="1393">
        <f t="shared" si="15"/>
        <v>1.4503748595210938E-2</v>
      </c>
      <c r="K92" s="1393"/>
      <c r="L92" s="1393"/>
      <c r="M92" s="1393"/>
      <c r="N92" s="1393"/>
      <c r="O92" s="1085">
        <f t="shared" si="16"/>
        <v>3.1689788935934021E-2</v>
      </c>
      <c r="P92" s="1085">
        <f t="shared" si="21"/>
        <v>5.4261279142782809E-2</v>
      </c>
      <c r="Q92" s="1085">
        <f t="shared" si="17"/>
        <v>3.4769499594745741E-2</v>
      </c>
      <c r="R92" s="1085">
        <f t="shared" si="21"/>
        <v>3.1368591708741705E-2</v>
      </c>
      <c r="S92" s="1085">
        <f t="shared" si="21"/>
        <v>4.4112088355969428E-2</v>
      </c>
      <c r="T92" s="1085">
        <f t="shared" si="21"/>
        <v>5.9433806183075054E-2</v>
      </c>
      <c r="U92" s="1085">
        <f t="shared" si="21"/>
        <v>1.5237010584471704E-2</v>
      </c>
      <c r="V92" s="1085">
        <f t="shared" si="21"/>
        <v>5.398833501547249E-2</v>
      </c>
      <c r="W92" s="1085">
        <f t="shared" si="21"/>
        <v>4.6846475237647837E-2</v>
      </c>
      <c r="X92" s="1085">
        <f t="shared" si="21"/>
        <v>3.0429327074750694E-2</v>
      </c>
      <c r="Y92" s="1085">
        <f t="shared" si="21"/>
        <v>7.1308123575885118E-2</v>
      </c>
      <c r="Z92" s="1085"/>
      <c r="AA92" s="1085">
        <f t="shared" si="4"/>
        <v>0.33936414811640386</v>
      </c>
      <c r="AB92" s="1085">
        <f t="shared" si="5"/>
        <v>0.14858392588828365</v>
      </c>
      <c r="AC92" s="1089"/>
      <c r="AD92" s="1089"/>
      <c r="AE92" s="1090">
        <f>AA92*$B153/'T-T1'!$BN59</f>
        <v>0.39858791203774258</v>
      </c>
      <c r="AF92" s="1090">
        <f>AB92*$B153/'T-T1'!$BN59</f>
        <v>0.17451388754791969</v>
      </c>
      <c r="AG92" s="226"/>
      <c r="AH92" s="276"/>
      <c r="AI92" s="276"/>
      <c r="AJ92" s="276"/>
      <c r="AK92" s="276"/>
      <c r="AL92" s="249"/>
    </row>
    <row r="93" spans="1:38" x14ac:dyDescent="0.3">
      <c r="A93" s="100">
        <v>2011</v>
      </c>
      <c r="B93" s="1085">
        <f t="shared" si="20"/>
        <v>0.99999999997201672</v>
      </c>
      <c r="C93" s="1085">
        <f t="shared" si="21"/>
        <v>0.3882139025231755</v>
      </c>
      <c r="D93" s="1085">
        <f t="shared" si="21"/>
        <v>8.2508417872784751E-3</v>
      </c>
      <c r="E93" s="1085">
        <f t="shared" si="21"/>
        <v>1.2476473307995574E-2</v>
      </c>
      <c r="F93" s="1085">
        <f t="shared" si="21"/>
        <v>7.9351779566922721E-3</v>
      </c>
      <c r="G93" s="1085">
        <f t="shared" si="21"/>
        <v>1.4843416479879678E-2</v>
      </c>
      <c r="H93" s="1085">
        <f t="shared" si="21"/>
        <v>2.7280894781574756E-2</v>
      </c>
      <c r="I93" s="1085">
        <f t="shared" si="21"/>
        <v>5.1194033837649838E-2</v>
      </c>
      <c r="J93" s="1393">
        <f t="shared" si="15"/>
        <v>1.5378459658288282E-2</v>
      </c>
      <c r="K93" s="1393"/>
      <c r="L93" s="1393"/>
      <c r="M93" s="1393"/>
      <c r="N93" s="1393"/>
      <c r="O93" s="1085">
        <f t="shared" si="16"/>
        <v>3.4303427319525195E-2</v>
      </c>
      <c r="P93" s="1085">
        <f t="shared" si="21"/>
        <v>4.7050613455667266E-2</v>
      </c>
      <c r="Q93" s="1085">
        <f t="shared" si="17"/>
        <v>3.4286116571381094E-2</v>
      </c>
      <c r="R93" s="1085">
        <f t="shared" si="21"/>
        <v>3.1664948732954085E-2</v>
      </c>
      <c r="S93" s="1085">
        <f t="shared" si="21"/>
        <v>4.4059700859658657E-2</v>
      </c>
      <c r="T93" s="1085">
        <f t="shared" si="21"/>
        <v>6.4974895283597997E-2</v>
      </c>
      <c r="U93" s="1085">
        <f t="shared" si="21"/>
        <v>1.9433055003440617E-2</v>
      </c>
      <c r="V93" s="1085">
        <f t="shared" si="21"/>
        <v>5.4718954314094057E-2</v>
      </c>
      <c r="W93" s="1085">
        <f t="shared" si="21"/>
        <v>4.6432683860804867E-2</v>
      </c>
      <c r="X93" s="1085">
        <f t="shared" si="21"/>
        <v>3.0183469261229091E-2</v>
      </c>
      <c r="Y93" s="1085">
        <f t="shared" si="21"/>
        <v>6.7318934977129249E-2</v>
      </c>
      <c r="Z93" s="1085"/>
      <c r="AA93" s="1085">
        <f t="shared" si="4"/>
        <v>0.34587017119860725</v>
      </c>
      <c r="AB93" s="1085">
        <f t="shared" si="5"/>
        <v>0.14393508809916322</v>
      </c>
      <c r="AC93" s="1089"/>
      <c r="AD93" s="1089"/>
      <c r="AE93" s="1090">
        <f>AA93*$B154/'T-T1'!$BN60</f>
        <v>0.40402330536977826</v>
      </c>
      <c r="AF93" s="1090">
        <f>AB93*$B154/'T-T1'!$BN60</f>
        <v>0.16813571939721042</v>
      </c>
      <c r="AG93" s="226"/>
      <c r="AH93" s="276"/>
      <c r="AI93" s="276"/>
      <c r="AJ93" s="276"/>
      <c r="AK93" s="276"/>
      <c r="AL93" s="249"/>
    </row>
    <row r="94" spans="1:38" x14ac:dyDescent="0.3">
      <c r="A94" s="100">
        <v>2012</v>
      </c>
      <c r="B94" s="1085">
        <f t="shared" si="20"/>
        <v>0.9999999999769037</v>
      </c>
      <c r="C94" s="1085">
        <f t="shared" si="21"/>
        <v>0.3861069402249816</v>
      </c>
      <c r="D94" s="1085">
        <f t="shared" si="21"/>
        <v>1.0015683434219522E-2</v>
      </c>
      <c r="E94" s="1085">
        <f t="shared" si="21"/>
        <v>1.5955934619941044E-2</v>
      </c>
      <c r="F94" s="1085">
        <f t="shared" si="21"/>
        <v>7.0741420585285469E-3</v>
      </c>
      <c r="G94" s="1085">
        <f t="shared" si="21"/>
        <v>1.6119642736298342E-2</v>
      </c>
      <c r="H94" s="1085">
        <f t="shared" si="21"/>
        <v>3.2785340326402276E-2</v>
      </c>
      <c r="I94" s="1085">
        <f t="shared" si="21"/>
        <v>5.1671881120634873E-2</v>
      </c>
      <c r="J94" s="1393">
        <f t="shared" si="15"/>
        <v>1.5798225570687649E-2</v>
      </c>
      <c r="K94" s="1393"/>
      <c r="L94" s="1393"/>
      <c r="M94" s="1393"/>
      <c r="N94" s="1393"/>
      <c r="O94" s="1085">
        <f t="shared" si="16"/>
        <v>3.4619396683078035E-2</v>
      </c>
      <c r="P94" s="1085">
        <f t="shared" si="21"/>
        <v>4.235290313663951E-2</v>
      </c>
      <c r="Q94" s="1085">
        <f t="shared" si="17"/>
        <v>3.6266054359697666E-2</v>
      </c>
      <c r="R94" s="1085">
        <f t="shared" si="21"/>
        <v>3.1517206861744723E-2</v>
      </c>
      <c r="S94" s="1085">
        <f t="shared" si="21"/>
        <v>4.3235426352577135E-2</v>
      </c>
      <c r="T94" s="1085">
        <f t="shared" si="21"/>
        <v>6.3259164769093032E-2</v>
      </c>
      <c r="U94" s="1085">
        <f t="shared" si="21"/>
        <v>2.0892600415548395E-2</v>
      </c>
      <c r="V94" s="1085">
        <f t="shared" si="21"/>
        <v>5.4010702693371479E-2</v>
      </c>
      <c r="W94" s="1085">
        <f t="shared" si="21"/>
        <v>4.7401399192149384E-2</v>
      </c>
      <c r="X94" s="1085">
        <f t="shared" si="21"/>
        <v>3.0024295244615966E-2</v>
      </c>
      <c r="Y94" s="1085">
        <f t="shared" si="21"/>
        <v>6.0893060176694533E-2</v>
      </c>
      <c r="Z94" s="1085"/>
      <c r="AA94" s="1085">
        <f t="shared" si="4"/>
        <v>0.34195168084243766</v>
      </c>
      <c r="AB94" s="1085">
        <f t="shared" si="5"/>
        <v>0.13831875461345988</v>
      </c>
      <c r="AC94" s="1089"/>
      <c r="AD94" s="1089"/>
      <c r="AE94" s="1090">
        <f>AA94*$B155/'T-T1'!$BN61</f>
        <v>0.39684241583971785</v>
      </c>
      <c r="AF94" s="1090">
        <f>AB94*$B155/'T-T1'!$BN61</f>
        <v>0.16052194450840776</v>
      </c>
      <c r="AG94" s="226"/>
      <c r="AH94" s="276"/>
      <c r="AI94" s="276"/>
      <c r="AJ94" s="276"/>
      <c r="AK94" s="276"/>
      <c r="AL94" s="249"/>
    </row>
    <row r="95" spans="1:38" x14ac:dyDescent="0.3">
      <c r="A95" s="100">
        <v>2013</v>
      </c>
      <c r="B95" s="1085">
        <f t="shared" si="20"/>
        <v>1.0000000001640215</v>
      </c>
      <c r="C95" s="1085">
        <f t="shared" si="21"/>
        <v>0.38625435504198252</v>
      </c>
      <c r="D95" s="1085">
        <f t="shared" si="21"/>
        <v>9.7490557574620666E-3</v>
      </c>
      <c r="E95" s="1085">
        <f t="shared" si="21"/>
        <v>1.2818892148134819E-2</v>
      </c>
      <c r="F95" s="1085">
        <f t="shared" si="21"/>
        <v>6.2314754993655005E-3</v>
      </c>
      <c r="G95" s="1085">
        <f t="shared" si="21"/>
        <v>1.6431378707461884E-2</v>
      </c>
      <c r="H95" s="1085">
        <f t="shared" si="21"/>
        <v>3.171592422873324E-2</v>
      </c>
      <c r="I95" s="1085">
        <f t="shared" si="21"/>
        <v>5.0844913827481297E-2</v>
      </c>
      <c r="J95" s="1393">
        <f>SUM(J156:M156)/B156</f>
        <v>1.4099344364675703E-2</v>
      </c>
      <c r="K95" s="1393"/>
      <c r="L95" s="1393"/>
      <c r="M95" s="1393"/>
      <c r="N95" s="1393"/>
      <c r="O95" s="1085">
        <f t="shared" si="16"/>
        <v>3.6089916860105105E-2</v>
      </c>
      <c r="P95" s="1085">
        <f t="shared" si="21"/>
        <v>3.7938986572847631E-2</v>
      </c>
      <c r="Q95" s="1085">
        <f t="shared" si="17"/>
        <v>3.7257549367493314E-2</v>
      </c>
      <c r="R95" s="1085">
        <f t="shared" si="21"/>
        <v>3.1432096648830767E-2</v>
      </c>
      <c r="S95" s="1085">
        <f t="shared" si="21"/>
        <v>4.3648917187345031E-2</v>
      </c>
      <c r="T95" s="1085">
        <f t="shared" si="21"/>
        <v>6.4021529352314116E-2</v>
      </c>
      <c r="U95" s="1085">
        <f t="shared" si="21"/>
        <v>2.8337290685104884E-2</v>
      </c>
      <c r="V95" s="1085">
        <f>V156/$B156</f>
        <v>5.505827640687027E-2</v>
      </c>
      <c r="W95" s="1085">
        <f t="shared" si="21"/>
        <v>4.8376074529321793E-2</v>
      </c>
      <c r="X95" s="1085">
        <f t="shared" si="21"/>
        <v>2.9954774203107274E-2</v>
      </c>
      <c r="Y95" s="1085">
        <f t="shared" si="21"/>
        <v>5.9739248775384321E-2</v>
      </c>
      <c r="Z95" s="1085"/>
      <c r="AA95" s="1085">
        <f t="shared" si="4"/>
        <v>0.34788390744558684</v>
      </c>
      <c r="AB95" s="1085">
        <f t="shared" si="5"/>
        <v>0.13807009750781341</v>
      </c>
      <c r="AC95" s="1089"/>
      <c r="AD95" s="1089"/>
      <c r="AE95" s="1090">
        <f>AA95*$B156/'T-T1'!$BN62</f>
        <v>0.40361042674021319</v>
      </c>
      <c r="AF95" s="1090">
        <f>AB95*$B156/'T-T1'!$BN62</f>
        <v>0.16018714801835929</v>
      </c>
      <c r="AG95" s="226"/>
      <c r="AH95" s="276"/>
      <c r="AI95" s="276"/>
      <c r="AJ95" s="276"/>
      <c r="AK95" s="276"/>
      <c r="AL95" s="249"/>
    </row>
    <row r="96" spans="1:38" x14ac:dyDescent="0.3">
      <c r="A96" s="23">
        <v>2014</v>
      </c>
      <c r="B96" s="1085">
        <f t="shared" si="20"/>
        <v>1.0000000000778675</v>
      </c>
      <c r="C96" s="1085">
        <f t="shared" ref="C96:I96" si="22">C157/$B157</f>
        <v>0.38582587664192114</v>
      </c>
      <c r="D96" s="1085">
        <f t="shared" si="22"/>
        <v>1.0124123242472921E-2</v>
      </c>
      <c r="E96" s="1085">
        <f t="shared" si="22"/>
        <v>1.4489605986721584E-2</v>
      </c>
      <c r="F96" s="1085">
        <f t="shared" si="22"/>
        <v>5.6126472514335911E-3</v>
      </c>
      <c r="G96" s="1085">
        <f t="shared" si="22"/>
        <v>1.7790334640760287E-2</v>
      </c>
      <c r="H96" s="1085">
        <f t="shared" si="22"/>
        <v>3.3213335074574968E-2</v>
      </c>
      <c r="I96" s="1085">
        <f t="shared" si="22"/>
        <v>5.112655810015837E-2</v>
      </c>
      <c r="J96" s="1393">
        <f>SUM(J157:M157)/B157</f>
        <v>1.2441926526084125E-2</v>
      </c>
      <c r="K96" s="1393"/>
      <c r="L96" s="1393"/>
      <c r="M96" s="1393"/>
      <c r="N96" s="1393"/>
      <c r="O96" s="1085">
        <f t="shared" si="16"/>
        <v>3.6423800071228182E-2</v>
      </c>
      <c r="P96" s="1085">
        <f t="shared" si="16"/>
        <v>3.6940713770460223E-2</v>
      </c>
      <c r="Q96" s="1085">
        <f t="shared" si="17"/>
        <v>3.6540731870591904E-2</v>
      </c>
      <c r="R96" s="1085">
        <f t="shared" ref="R96:V97" si="23">R157/$B157</f>
        <v>3.119540017572486E-2</v>
      </c>
      <c r="S96" s="1085">
        <f t="shared" si="23"/>
        <v>4.2945167360669632E-2</v>
      </c>
      <c r="T96" s="1085">
        <f t="shared" si="23"/>
        <v>6.1916218466350759E-2</v>
      </c>
      <c r="U96" s="1085">
        <f t="shared" si="23"/>
        <v>2.8013863489815549E-2</v>
      </c>
      <c r="V96" s="1085">
        <f t="shared" si="23"/>
        <v>5.7531811578668504E-2</v>
      </c>
      <c r="W96" s="1085">
        <f t="shared" ref="W96:Y97" si="24">W157/$B157</f>
        <v>4.8195655638915466E-2</v>
      </c>
      <c r="X96" s="1085">
        <f t="shared" si="24"/>
        <v>2.982421258104391E-2</v>
      </c>
      <c r="Y96" s="1085">
        <f t="shared" si="24"/>
        <v>5.9848017610271469E-2</v>
      </c>
      <c r="Z96" s="1085"/>
      <c r="AA96" s="1085">
        <f t="shared" si="4"/>
        <v>0.34394963330959377</v>
      </c>
      <c r="AB96" s="1085">
        <f>SUM(W96:Y96)</f>
        <v>0.13786788583023085</v>
      </c>
      <c r="AC96" s="1092"/>
      <c r="AD96" s="1092"/>
      <c r="AE96" s="1090">
        <f>AA96*$B157/'T-T1'!$BN63</f>
        <v>0.39895242569800576</v>
      </c>
      <c r="AF96" s="1090">
        <f>AB96*$B157/'T-T1'!$BN63</f>
        <v>0.15991506357652549</v>
      </c>
      <c r="AG96" s="229"/>
    </row>
    <row r="97" spans="1:34" x14ac:dyDescent="0.3">
      <c r="A97" s="23">
        <v>2015</v>
      </c>
      <c r="B97" s="1085">
        <f t="shared" si="20"/>
        <v>1.0000000000218474</v>
      </c>
      <c r="C97" s="1085">
        <f t="shared" ref="C97:I97" si="25">C158/$B158</f>
        <v>0.38856136862896007</v>
      </c>
      <c r="D97" s="1085">
        <f t="shared" si="25"/>
        <v>1.0381925127596338E-2</v>
      </c>
      <c r="E97" s="1085">
        <f t="shared" si="25"/>
        <v>1.420346419209002E-2</v>
      </c>
      <c r="F97" s="1085">
        <f t="shared" si="25"/>
        <v>5.4791902897737927E-3</v>
      </c>
      <c r="G97" s="1085">
        <f t="shared" si="25"/>
        <v>1.7166386633566781E-2</v>
      </c>
      <c r="H97" s="1085">
        <f t="shared" si="25"/>
        <v>3.4329559490974881E-2</v>
      </c>
      <c r="I97" s="1085">
        <f t="shared" si="25"/>
        <v>5.1547829625067175E-2</v>
      </c>
      <c r="J97" s="1393">
        <f>SUM(J158:M158)/B158</f>
        <v>1.1788352050756918E-2</v>
      </c>
      <c r="K97" s="1393"/>
      <c r="L97" s="1393"/>
      <c r="M97" s="1393"/>
      <c r="N97" s="1393"/>
      <c r="O97" s="1085">
        <f>O158/$B158</f>
        <v>3.7251100692116436E-2</v>
      </c>
      <c r="P97" s="1085">
        <f>P158/$B158</f>
        <v>3.1172846916476548E-2</v>
      </c>
      <c r="Q97" s="1085">
        <f t="shared" si="17"/>
        <v>3.4267773467656068E-2</v>
      </c>
      <c r="R97" s="1085">
        <f t="shared" si="23"/>
        <v>3.1243382502692964E-2</v>
      </c>
      <c r="S97" s="1085">
        <f t="shared" si="23"/>
        <v>4.3130050427633203E-2</v>
      </c>
      <c r="T97" s="1085">
        <f t="shared" si="23"/>
        <v>6.2048581921383149E-2</v>
      </c>
      <c r="U97" s="1085">
        <f t="shared" si="23"/>
        <v>2.8436691661286241E-2</v>
      </c>
      <c r="V97" s="1085">
        <f t="shared" si="23"/>
        <v>5.9613068672680528E-2</v>
      </c>
      <c r="W97" s="1085">
        <f t="shared" si="24"/>
        <v>4.8337162374125851E-2</v>
      </c>
      <c r="X97" s="1085">
        <f t="shared" si="24"/>
        <v>3.0152705496290753E-2</v>
      </c>
      <c r="Y97" s="1085">
        <f t="shared" si="24"/>
        <v>6.0888559850719552E-2</v>
      </c>
      <c r="Z97" s="1085"/>
      <c r="AA97" s="1085">
        <f>SUM(J97:V97)</f>
        <v>0.33895184831268205</v>
      </c>
      <c r="AB97" s="1085">
        <f>SUM(W97:Y97)</f>
        <v>0.13937842772113615</v>
      </c>
      <c r="AC97" s="1092"/>
      <c r="AD97" s="1092"/>
      <c r="AE97" s="1090">
        <f>AA97*$B158/'T-T1'!$BN64</f>
        <v>0.39384542112356868</v>
      </c>
      <c r="AF97" s="1090">
        <f>AB97*$B158/'T-T1'!$BN64</f>
        <v>0.16195089607752372</v>
      </c>
      <c r="AG97" s="229"/>
    </row>
    <row r="98" spans="1:34" x14ac:dyDescent="0.3">
      <c r="B98" s="74"/>
      <c r="C98" s="74"/>
      <c r="D98" s="74"/>
      <c r="E98" s="74"/>
      <c r="F98" s="74"/>
      <c r="G98" s="74"/>
      <c r="H98" s="74"/>
      <c r="I98" s="74"/>
      <c r="J98" s="74"/>
      <c r="K98" s="74"/>
      <c r="L98" s="74"/>
      <c r="M98" s="74"/>
      <c r="N98" s="74"/>
      <c r="O98" s="74"/>
      <c r="P98" s="74"/>
      <c r="Q98" s="74"/>
      <c r="R98" s="74"/>
      <c r="S98" s="74"/>
      <c r="T98" s="74"/>
      <c r="U98" s="74"/>
      <c r="V98" s="74"/>
      <c r="W98" s="74"/>
      <c r="X98" s="74"/>
      <c r="Y98" s="74"/>
      <c r="Z98" s="74"/>
      <c r="AA98" s="1093">
        <f>AVERAGE(AA42:AA97)</f>
        <v>0.32320354255757483</v>
      </c>
      <c r="AB98" s="1093">
        <f>AVERAGE(AB42:AB97)</f>
        <v>9.8545436395262517E-2</v>
      </c>
      <c r="AC98" s="1094" t="s">
        <v>1327</v>
      </c>
      <c r="AD98" s="1095"/>
      <c r="AE98" s="1093">
        <f>AVERAGE(AE42:AE97)</f>
        <v>0.35993036027107445</v>
      </c>
      <c r="AF98" s="1093">
        <f>AVERAGE(AF42:AF97)</f>
        <v>0.11363191404263233</v>
      </c>
      <c r="AH98" s="74">
        <f>AVERAGE(AE88:AE97)</f>
        <v>0.39196116521686497</v>
      </c>
    </row>
    <row r="99" spans="1:34" x14ac:dyDescent="0.3">
      <c r="A99" s="11"/>
      <c r="B99" s="11"/>
      <c r="C99" s="11"/>
      <c r="D99" s="11"/>
      <c r="E99" s="11"/>
      <c r="F99" s="11"/>
      <c r="G99" s="11"/>
      <c r="H99" s="11"/>
      <c r="I99" s="11"/>
      <c r="J99" s="830"/>
      <c r="K99" s="830"/>
      <c r="L99" s="830"/>
      <c r="M99" s="830"/>
      <c r="N99" s="830"/>
      <c r="O99" s="830"/>
      <c r="P99" s="830"/>
      <c r="Q99" s="830"/>
      <c r="R99" s="830"/>
      <c r="S99" s="830"/>
      <c r="T99" s="830"/>
      <c r="U99" s="830"/>
      <c r="V99" s="830"/>
      <c r="W99" s="830"/>
      <c r="X99" s="830"/>
      <c r="Y99" s="830"/>
      <c r="Z99" s="12"/>
      <c r="AB99" s="11"/>
      <c r="AC99" s="11"/>
      <c r="AD99" s="11"/>
      <c r="AE99" s="11"/>
      <c r="AF99" s="11"/>
    </row>
    <row r="100" spans="1:34" ht="45" customHeight="1" x14ac:dyDescent="0.3">
      <c r="A100" s="352"/>
      <c r="B100" s="262" t="str">
        <f>B40</f>
        <v>Pre-tax      after-transfer income</v>
      </c>
      <c r="C100" s="262" t="s">
        <v>371</v>
      </c>
      <c r="D100" s="262" t="s">
        <v>383</v>
      </c>
      <c r="E100" s="262" t="s">
        <v>450</v>
      </c>
      <c r="F100" s="262" t="s">
        <v>451</v>
      </c>
      <c r="G100" s="262" t="s">
        <v>452</v>
      </c>
      <c r="H100" s="262" t="s">
        <v>378</v>
      </c>
      <c r="I100" s="262" t="s">
        <v>379</v>
      </c>
      <c r="J100" s="262" t="s">
        <v>382</v>
      </c>
      <c r="K100" s="262" t="s">
        <v>372</v>
      </c>
      <c r="L100" s="262" t="s">
        <v>752</v>
      </c>
      <c r="M100" s="262" t="s">
        <v>1235</v>
      </c>
      <c r="N100" s="262" t="s">
        <v>616</v>
      </c>
      <c r="O100" s="262" t="s">
        <v>655</v>
      </c>
      <c r="P100" s="262" t="s">
        <v>1501</v>
      </c>
      <c r="Q100" s="262" t="s">
        <v>385</v>
      </c>
      <c r="R100" s="342" t="s">
        <v>373</v>
      </c>
      <c r="S100" s="342" t="s">
        <v>1654</v>
      </c>
      <c r="T100" s="342" t="s">
        <v>1006</v>
      </c>
      <c r="U100" s="342" t="str">
        <f>U40</f>
        <v>Other retirement income</v>
      </c>
      <c r="V100" s="342" t="str">
        <f>V40</f>
        <v>Other income</v>
      </c>
      <c r="W100" s="342" t="s">
        <v>375</v>
      </c>
      <c r="X100" s="342" t="s">
        <v>374</v>
      </c>
      <c r="Y100" s="342" t="s">
        <v>376</v>
      </c>
      <c r="Z100" s="342"/>
      <c r="AA100" s="342"/>
      <c r="AB100" s="342" t="s">
        <v>447</v>
      </c>
      <c r="AC100" s="342" t="s">
        <v>380</v>
      </c>
      <c r="AD100" s="342"/>
      <c r="AE100" s="342" t="s">
        <v>1703</v>
      </c>
      <c r="AF100" s="342" t="s">
        <v>377</v>
      </c>
      <c r="AG100" s="342"/>
    </row>
    <row r="101" spans="1:34" x14ac:dyDescent="0.3">
      <c r="A101" s="1"/>
      <c r="B101" s="345" t="s">
        <v>12</v>
      </c>
      <c r="C101" s="345" t="s">
        <v>12</v>
      </c>
      <c r="D101" s="345" t="s">
        <v>12</v>
      </c>
      <c r="E101" s="345" t="s">
        <v>12</v>
      </c>
      <c r="F101" s="345" t="s">
        <v>12</v>
      </c>
      <c r="G101" s="345" t="s">
        <v>12</v>
      </c>
      <c r="H101" s="345" t="s">
        <v>12</v>
      </c>
      <c r="I101" s="345" t="s">
        <v>12</v>
      </c>
      <c r="J101" s="345" t="s">
        <v>12</v>
      </c>
      <c r="K101" s="345" t="s">
        <v>12</v>
      </c>
      <c r="L101" s="345" t="s">
        <v>12</v>
      </c>
      <c r="M101" s="345" t="s">
        <v>12</v>
      </c>
      <c r="N101" s="345" t="s">
        <v>12</v>
      </c>
      <c r="O101" s="345" t="s">
        <v>12</v>
      </c>
      <c r="P101" s="345" t="s">
        <v>12</v>
      </c>
      <c r="Q101" s="345" t="s">
        <v>12</v>
      </c>
      <c r="R101" s="345" t="s">
        <v>12</v>
      </c>
      <c r="S101" s="345" t="s">
        <v>12</v>
      </c>
      <c r="T101" s="345" t="s">
        <v>12</v>
      </c>
      <c r="U101" s="345" t="s">
        <v>12</v>
      </c>
      <c r="V101" s="345" t="s">
        <v>12</v>
      </c>
      <c r="W101" s="345" t="s">
        <v>12</v>
      </c>
      <c r="X101" s="345" t="s">
        <v>12</v>
      </c>
      <c r="Y101" s="345" t="s">
        <v>12</v>
      </c>
      <c r="Z101" s="347"/>
      <c r="AA101" s="347"/>
      <c r="AB101" s="345" t="s">
        <v>12</v>
      </c>
      <c r="AC101" s="345" t="s">
        <v>12</v>
      </c>
      <c r="AD101" s="345"/>
      <c r="AE101" s="345" t="s">
        <v>12</v>
      </c>
      <c r="AF101" s="345" t="s">
        <v>12</v>
      </c>
      <c r="AG101" s="347"/>
    </row>
    <row r="102" spans="1:34" x14ac:dyDescent="0.3">
      <c r="A102" s="4"/>
      <c r="B102" s="663"/>
      <c r="C102" s="663"/>
      <c r="D102" s="663"/>
      <c r="E102" s="663"/>
      <c r="F102" s="663"/>
      <c r="G102" s="663"/>
      <c r="H102" s="663"/>
      <c r="I102" s="663"/>
      <c r="J102" s="663"/>
      <c r="K102" s="663"/>
      <c r="L102" s="663"/>
      <c r="M102" s="663"/>
      <c r="N102" s="663"/>
      <c r="O102" s="663"/>
      <c r="P102" s="663"/>
      <c r="Q102" s="663"/>
      <c r="R102" s="663"/>
      <c r="S102" s="663"/>
      <c r="T102" s="663"/>
      <c r="U102" s="663"/>
      <c r="V102" s="663"/>
      <c r="W102" s="663"/>
      <c r="X102" s="663"/>
      <c r="Y102" s="663"/>
      <c r="Z102" s="663"/>
      <c r="AA102" s="663"/>
      <c r="AB102" s="663"/>
      <c r="AC102" s="663"/>
      <c r="AD102" s="663"/>
      <c r="AE102" s="663"/>
      <c r="AF102" s="663"/>
      <c r="AG102" s="663"/>
    </row>
    <row r="103" spans="1:34" x14ac:dyDescent="0.3">
      <c r="A103" s="100">
        <v>1960</v>
      </c>
      <c r="B103" s="226">
        <f>'C1-Incomes'!R8</f>
        <v>504286.94903999998</v>
      </c>
      <c r="C103" s="226">
        <f>TOTALS!E5/1000000</f>
        <v>257279.10845900001</v>
      </c>
      <c r="D103" s="226">
        <f>'C0-Ref Stats'!AF6</f>
        <v>6876.2377022662431</v>
      </c>
      <c r="E103" s="226">
        <f>TOTALS!G5/1000000</f>
        <v>9796.7304406000003</v>
      </c>
      <c r="F103" s="226">
        <f>F105*($B103/$B105)</f>
        <v>6337.4666724071049</v>
      </c>
      <c r="G103" s="226">
        <f>AB103-C103-D103-E103-F103-H103-I103</f>
        <v>25211.526488811236</v>
      </c>
      <c r="H103" s="226">
        <f>H105*($B103/$B105)</f>
        <v>8507.173492615404</v>
      </c>
      <c r="I103" s="226">
        <f>TOTALS!AD5/1000000</f>
        <v>2258.3660043</v>
      </c>
      <c r="J103" s="226">
        <f>'C10-Adj by Source'!B6</f>
        <v>313</v>
      </c>
      <c r="K103" s="226">
        <f>'C10-Adj by Source'!D6</f>
        <v>1333.8</v>
      </c>
      <c r="L103" s="226">
        <f>'C1-Incomes'!AH8-'C1-Incomes'!B8</f>
        <v>5712.5295299999998</v>
      </c>
      <c r="M103" s="226">
        <f>'C10-Adj by Source'!O6+'C10-Adj by Source'!Q6</f>
        <v>2476.0319987243302</v>
      </c>
      <c r="N103" s="226">
        <f>'C10-Adj by Source'!AE6</f>
        <v>8799</v>
      </c>
      <c r="O103" s="226">
        <f>'C10-Adj by Source'!AS6</f>
        <v>18432</v>
      </c>
      <c r="P103" s="226">
        <f>'C10-Adj by Source'!S6</f>
        <v>18532</v>
      </c>
      <c r="Q103" s="226">
        <f>'C10-Adj by Source'!AC6</f>
        <v>21885</v>
      </c>
      <c r="R103" s="226">
        <f>'C10-Adj by Source'!AY6</f>
        <v>9250</v>
      </c>
      <c r="S103" s="226">
        <f>'C10-Adj by Source'!BA6</f>
        <v>6395</v>
      </c>
      <c r="T103" s="226">
        <f>'C10-Adj by Source'!AQ6</f>
        <v>23912.441339364213</v>
      </c>
      <c r="U103" s="226">
        <f>SUM('C10-Adj by Source'!BC6:BD6)</f>
        <v>15098.33469378771</v>
      </c>
      <c r="V103" s="226">
        <f>SUM('C10-Adj by Source'!BF6:BI6)</f>
        <v>31453</v>
      </c>
      <c r="W103" s="226">
        <f>'C10-Adj by Source'!BL6</f>
        <v>12079</v>
      </c>
      <c r="X103" s="226">
        <f>'C10-Adj by Source'!BW6</f>
        <v>0</v>
      </c>
      <c r="Y103" s="226">
        <f>'C10-Adj by Source'!BP6+'C10-Adj by Source'!BZ6+'C10-Adj by Source'!BU6</f>
        <v>12349</v>
      </c>
      <c r="Z103" s="226"/>
      <c r="AA103" s="226"/>
      <c r="AB103" s="226">
        <f>'C1-Incomes'!B8</f>
        <v>316266.60926</v>
      </c>
      <c r="AC103" s="226">
        <f>AB103-SUM(C103:I103)</f>
        <v>0</v>
      </c>
      <c r="AD103" s="226"/>
      <c r="AE103" s="226">
        <f>'C1-Incomes'!R8-'C1-Incomes'!B8</f>
        <v>188020.33977999998</v>
      </c>
      <c r="AF103" s="226">
        <f>AE103-SUM(J103:Y103)</f>
        <v>0.2022181237116456</v>
      </c>
      <c r="AG103" s="226"/>
      <c r="AH103" s="72"/>
    </row>
    <row r="104" spans="1:34" x14ac:dyDescent="0.3">
      <c r="A104" s="100">
        <v>1961</v>
      </c>
      <c r="B104" s="226"/>
      <c r="C104" s="226"/>
      <c r="D104" s="226"/>
      <c r="E104" s="226"/>
      <c r="F104" s="226"/>
      <c r="G104" s="226"/>
      <c r="H104" s="226"/>
      <c r="I104" s="226"/>
      <c r="J104" s="704"/>
      <c r="K104" s="226"/>
      <c r="L104" s="226"/>
      <c r="M104" s="226"/>
      <c r="N104" s="226"/>
      <c r="O104" s="226"/>
      <c r="P104" s="226"/>
      <c r="Q104" s="226"/>
      <c r="R104" s="226"/>
      <c r="S104" s="226"/>
      <c r="T104" s="226"/>
      <c r="U104" s="226"/>
      <c r="V104" s="226"/>
      <c r="W104" s="226"/>
      <c r="X104" s="226"/>
      <c r="Y104" s="226"/>
      <c r="Z104" s="226"/>
      <c r="AA104" s="226"/>
      <c r="AB104" s="226"/>
      <c r="AC104" s="226"/>
      <c r="AD104" s="226"/>
      <c r="AE104" s="226"/>
      <c r="AF104" s="226"/>
      <c r="AG104" s="226"/>
      <c r="AH104" s="72"/>
    </row>
    <row r="105" spans="1:34" x14ac:dyDescent="0.3">
      <c r="A105" s="100">
        <v>1962</v>
      </c>
      <c r="B105" s="226">
        <f>'C1-Incomes'!R10</f>
        <v>564030.89294000005</v>
      </c>
      <c r="C105" s="226">
        <f>TOTALS!E7/1000000</f>
        <v>282141.53588400001</v>
      </c>
      <c r="D105" s="226">
        <f>'C0-Ref Stats'!AF8</f>
        <v>8277.8672997897374</v>
      </c>
      <c r="E105" s="226">
        <f>TOTALS!G7/1000000</f>
        <v>11012.114572</v>
      </c>
      <c r="F105" s="226">
        <f>TOTALS!F7/1000000</f>
        <v>7088.2797840000003</v>
      </c>
      <c r="G105" s="226">
        <f>AB105-C105-D105-E105-F105-H105-I105</f>
        <v>30533.164980010279</v>
      </c>
      <c r="H105" s="226">
        <f>TOTALS!S7/1000000</f>
        <v>9515.0363707999986</v>
      </c>
      <c r="I105" s="226">
        <f>TOTALS!AD7/1000000</f>
        <v>2279.1934593999999</v>
      </c>
      <c r="J105" s="226">
        <f>'C1-Incomes'!AP10-'C1-Incomes'!AH10</f>
        <v>353.19655999995302</v>
      </c>
      <c r="K105" s="226">
        <f>'C10-Adj by Source'!D8</f>
        <v>1603.55</v>
      </c>
      <c r="L105" s="226">
        <f>'C1-Incomes'!AH10-'C1-Incomes'!B10</f>
        <v>7268.6553399999975</v>
      </c>
      <c r="M105" s="226">
        <f>'C10-Adj by Source'!O8+'C10-Adj by Source'!Q8</f>
        <v>2586.3162572795704</v>
      </c>
      <c r="N105" s="226">
        <f>'C10-Adj by Source'!AE8</f>
        <v>10036</v>
      </c>
      <c r="O105" s="226">
        <f>'C10-Adj by Source'!AS8</f>
        <v>21383</v>
      </c>
      <c r="P105" s="226">
        <f>'C10-Adj by Source'!S8</f>
        <v>24921</v>
      </c>
      <c r="Q105" s="226">
        <f>'C10-Adj by Source'!AC8</f>
        <v>23296</v>
      </c>
      <c r="R105" s="226">
        <f>'C10-Adj by Source'!AY8</f>
        <v>11182</v>
      </c>
      <c r="S105" s="226">
        <f>'C10-Adj by Source'!BA8</f>
        <v>7631</v>
      </c>
      <c r="T105" s="226">
        <f>'C10-Adj by Source'!AQ8</f>
        <v>23410.303074309923</v>
      </c>
      <c r="U105" s="226">
        <f>SUM('C10-Adj by Source'!BC8:BD8)</f>
        <v>16881.229805253781</v>
      </c>
      <c r="V105" s="226">
        <f>SUM('C10-Adj by Source'!BF8:BI8)</f>
        <v>33788</v>
      </c>
      <c r="W105" s="226">
        <f>'C10-Adj by Source'!BL8</f>
        <v>15338</v>
      </c>
      <c r="X105" s="226">
        <f>'C10-Adj by Source'!BW8</f>
        <v>0</v>
      </c>
      <c r="Y105" s="226">
        <f>'C10-Adj by Source'!BP8+'C10-Adj by Source'!BZ8+'C10-Adj by Source'!BU8</f>
        <v>13505</v>
      </c>
      <c r="Z105" s="226"/>
      <c r="AA105" s="226"/>
      <c r="AB105" s="226">
        <f>'C1-Incomes'!B10</f>
        <v>350847.19235000003</v>
      </c>
      <c r="AC105" s="226">
        <f>AB105-SUM(C105:I105)</f>
        <v>0</v>
      </c>
      <c r="AD105" s="226"/>
      <c r="AE105" s="226">
        <f>'C1-Incomes'!R10-'C1-Incomes'!B10</f>
        <v>213183.70059000002</v>
      </c>
      <c r="AF105" s="226">
        <f>AE105-SUM(J105:Y105)</f>
        <v>0.44955315679544583</v>
      </c>
      <c r="AG105" s="226"/>
      <c r="AH105" s="72"/>
    </row>
    <row r="106" spans="1:34" x14ac:dyDescent="0.3">
      <c r="A106" s="100">
        <v>1963</v>
      </c>
      <c r="B106" s="226"/>
      <c r="C106" s="226"/>
      <c r="D106" s="226"/>
      <c r="E106" s="226"/>
      <c r="F106" s="226"/>
      <c r="G106" s="226"/>
      <c r="H106" s="226"/>
      <c r="I106" s="226"/>
      <c r="J106" s="704"/>
      <c r="K106" s="226"/>
      <c r="L106" s="226"/>
      <c r="M106" s="226"/>
      <c r="N106" s="226"/>
      <c r="O106" s="226"/>
      <c r="P106" s="226"/>
      <c r="Q106" s="226"/>
      <c r="R106" s="226"/>
      <c r="S106" s="226"/>
      <c r="T106" s="226"/>
      <c r="U106" s="226"/>
      <c r="V106" s="226"/>
      <c r="W106" s="226"/>
      <c r="X106" s="226"/>
      <c r="Y106" s="226"/>
      <c r="Z106" s="226"/>
      <c r="AA106" s="226"/>
      <c r="AB106" s="226"/>
      <c r="AC106" s="226"/>
      <c r="AD106" s="226"/>
      <c r="AE106" s="226"/>
      <c r="AF106" s="226"/>
      <c r="AG106" s="226"/>
      <c r="AH106" s="72"/>
    </row>
    <row r="107" spans="1:34" x14ac:dyDescent="0.3">
      <c r="A107" s="100">
        <v>1964</v>
      </c>
      <c r="B107" s="226">
        <f>'C1-Incomes'!R12</f>
        <v>639657.22254999995</v>
      </c>
      <c r="C107" s="226">
        <f>TOTALS!E9/1000000</f>
        <v>316126.28941299999</v>
      </c>
      <c r="D107" s="226">
        <f>'C0-Ref Stats'!AF10</f>
        <v>8853.5354202011713</v>
      </c>
      <c r="E107" s="226">
        <f>TOTALS!G9/1000000</f>
        <v>11074.044620999999</v>
      </c>
      <c r="F107" s="226">
        <f>TOTALS!F9/1000000</f>
        <v>9348.5656629999994</v>
      </c>
      <c r="G107" s="226">
        <f>AB107-C107-D107-E107-F107-H107-I107</f>
        <v>44786.364531798841</v>
      </c>
      <c r="H107" s="226">
        <f>TOTALS!S9/1000000</f>
        <v>6839.142425</v>
      </c>
      <c r="I107" s="226">
        <f>TOTALS!AD9/1000000</f>
        <v>2980.1535560000002</v>
      </c>
      <c r="J107" s="226">
        <f>'C10-Adj by Source'!B10</f>
        <v>525.2385999999824</v>
      </c>
      <c r="K107" s="226">
        <f>'C10-Adj by Source'!D10</f>
        <v>1898</v>
      </c>
      <c r="L107" s="226">
        <f>'C1-Incomes'!AH12-'C1-Incomes'!B12</f>
        <v>7224.0333400000236</v>
      </c>
      <c r="M107" s="226">
        <f>'C10-Adj by Source'!O10+'C10-Adj by Source'!Q10</f>
        <v>3866.8780869357061</v>
      </c>
      <c r="N107" s="226">
        <f>'C10-Adj by Source'!AE10</f>
        <v>10978</v>
      </c>
      <c r="O107" s="226">
        <f>'C10-Adj by Source'!AS10</f>
        <v>23766</v>
      </c>
      <c r="P107" s="226">
        <f>'C10-Adj by Source'!S10</f>
        <v>31359</v>
      </c>
      <c r="Q107" s="226">
        <f>'C10-Adj by Source'!AC10</f>
        <v>26573</v>
      </c>
      <c r="R107" s="226">
        <f>'C10-Adj by Source'!AY10</f>
        <v>12632</v>
      </c>
      <c r="S107" s="226">
        <f>'C10-Adj by Source'!BA10</f>
        <v>9242</v>
      </c>
      <c r="T107" s="226">
        <f>'C10-Adj by Source'!AQ10</f>
        <v>19146.406871731178</v>
      </c>
      <c r="U107" s="226">
        <f>SUM('C10-Adj by Source'!BC10:BD10)</f>
        <v>21270.569648880904</v>
      </c>
      <c r="V107" s="226">
        <f>SUM('C10-Adj by Source'!BF10:BI10)</f>
        <v>39851</v>
      </c>
      <c r="W107" s="226">
        <f>'C10-Adj by Source'!BL10</f>
        <v>17115</v>
      </c>
      <c r="X107" s="226">
        <f>'C10-Adj by Source'!BW10</f>
        <v>0</v>
      </c>
      <c r="Y107" s="226">
        <f>'C10-Adj by Source'!BP10+'C10-Adj by Source'!BZ10+'C10-Adj by Source'!BU10</f>
        <v>14202</v>
      </c>
      <c r="Z107" s="226"/>
      <c r="AA107" s="226"/>
      <c r="AB107" s="226">
        <f>'C1-Incomes'!B12</f>
        <v>400008.09563</v>
      </c>
      <c r="AC107" s="226">
        <f>AB107-SUM(C107:I107)</f>
        <v>0</v>
      </c>
      <c r="AD107" s="226"/>
      <c r="AE107" s="226">
        <f>'C1-Incomes'!R12-'C1-Incomes'!B12</f>
        <v>239649.12691999995</v>
      </c>
      <c r="AF107" s="226">
        <f>AE107-SUM(J107:Y107)</f>
        <v>3.7245213752612472E-4</v>
      </c>
      <c r="AG107" s="226"/>
      <c r="AH107" s="72"/>
    </row>
    <row r="108" spans="1:34" x14ac:dyDescent="0.3">
      <c r="A108" s="100">
        <v>1965</v>
      </c>
      <c r="B108" s="226"/>
      <c r="C108" s="226"/>
      <c r="D108" s="226"/>
      <c r="E108" s="226"/>
      <c r="F108" s="226"/>
      <c r="G108" s="226"/>
      <c r="H108" s="226"/>
      <c r="I108" s="226"/>
      <c r="J108" s="226"/>
      <c r="K108" s="226"/>
      <c r="L108" s="226"/>
      <c r="M108" s="226"/>
      <c r="N108" s="226"/>
      <c r="O108" s="226"/>
      <c r="P108" s="226"/>
      <c r="Q108" s="226"/>
      <c r="R108" s="226"/>
      <c r="S108" s="226"/>
      <c r="T108" s="226"/>
      <c r="U108" s="226"/>
      <c r="V108" s="226"/>
      <c r="W108" s="226"/>
      <c r="X108" s="226"/>
      <c r="Y108" s="226"/>
      <c r="Z108" s="226"/>
      <c r="AA108" s="226"/>
      <c r="AB108" s="226"/>
      <c r="AC108" s="226"/>
      <c r="AD108" s="226"/>
      <c r="AE108" s="226"/>
      <c r="AF108" s="226"/>
      <c r="AG108" s="226"/>
      <c r="AH108" s="72"/>
    </row>
    <row r="109" spans="1:34" x14ac:dyDescent="0.3">
      <c r="A109" s="100">
        <v>1966</v>
      </c>
      <c r="B109" s="226">
        <f>'C1-Incomes'!R14</f>
        <v>756875.75590999995</v>
      </c>
      <c r="C109" s="226">
        <f>TOTALS!E11/1000000</f>
        <v>379923.03296300001</v>
      </c>
      <c r="D109" s="226">
        <f>'C0-Ref Stats'!AF12</f>
        <v>6937.1626055313836</v>
      </c>
      <c r="E109" s="226">
        <f>TOTALS!G11/1000000</f>
        <v>13716.333366999999</v>
      </c>
      <c r="F109" s="226">
        <f>TOTALS!F11/1000000</f>
        <v>13445.836899</v>
      </c>
      <c r="G109" s="226">
        <f t="shared" ref="G109:G140" si="26">AB109-C109-D109-E109-F109-H109-I109</f>
        <v>37727.290415468589</v>
      </c>
      <c r="H109" s="226">
        <f>TOTALS!S11/1000000</f>
        <v>12403.682197</v>
      </c>
      <c r="I109" s="226">
        <f>TOTALS!AD11/1000000</f>
        <v>4765.2389030000004</v>
      </c>
      <c r="J109" s="226">
        <f>'C10-Adj by Source'!B12</f>
        <v>945.80612999998266</v>
      </c>
      <c r="K109" s="226">
        <f>'C10-Adj by Source'!D12</f>
        <v>2236.65</v>
      </c>
      <c r="L109" s="226">
        <f>'C1-Incomes'!AH14-'C1-Incomes'!B14</f>
        <v>11097.90134000004</v>
      </c>
      <c r="M109" s="226">
        <f>'C10-Adj by Source'!O12+'C10-Adj by Source'!Q12</f>
        <v>3995.8124809907904</v>
      </c>
      <c r="N109" s="226">
        <f>'C10-Adj by Source'!AE12</f>
        <v>11968</v>
      </c>
      <c r="O109" s="226">
        <f>'C10-Adj by Source'!AS12</f>
        <v>26487</v>
      </c>
      <c r="P109" s="226">
        <f>'C10-Adj by Source'!S12</f>
        <v>41571</v>
      </c>
      <c r="Q109" s="226">
        <f>'C10-Adj by Source'!AC12</f>
        <v>32232</v>
      </c>
      <c r="R109" s="226">
        <f>'C10-Adj by Source'!AY12</f>
        <v>16846</v>
      </c>
      <c r="S109" s="226">
        <f>'C10-Adj by Source'!BA12</f>
        <v>11391</v>
      </c>
      <c r="T109" s="226">
        <f>'C10-Adj by Source'!AQ12</f>
        <v>26742.82267093792</v>
      </c>
      <c r="U109" s="226">
        <f>SUM('C10-Adj by Source'!BC12:BD12)</f>
        <v>23304.834790878002</v>
      </c>
      <c r="V109" s="226">
        <f>SUM('C10-Adj by Source'!BF12:BI12)</f>
        <v>41956</v>
      </c>
      <c r="W109" s="226">
        <f>'C10-Adj by Source'!BL12</f>
        <v>20988</v>
      </c>
      <c r="X109" s="226">
        <f>'C10-Adj by Source'!BW12</f>
        <v>686</v>
      </c>
      <c r="Y109" s="226">
        <f>'C10-Adj by Source'!BP12+'C10-Adj by Source'!BZ12+'C10-Adj by Source'!BU12</f>
        <v>15508</v>
      </c>
      <c r="Z109" s="226"/>
      <c r="AA109" s="226"/>
      <c r="AB109" s="226">
        <f>'C1-Incomes'!B14</f>
        <v>468918.57734999998</v>
      </c>
      <c r="AC109" s="226">
        <f t="shared" ref="AC109:AC140" si="27">AB109-SUM(C109:I109)</f>
        <v>0</v>
      </c>
      <c r="AD109" s="226"/>
      <c r="AE109" s="226">
        <f>'C1-Incomes'!R14-'C1-Incomes'!B14</f>
        <v>287957.17855999997</v>
      </c>
      <c r="AF109" s="226">
        <f t="shared" ref="AF109:AF140" si="28">AE109-SUM(J109:Y109)</f>
        <v>0.35114719322882593</v>
      </c>
      <c r="AG109" s="226"/>
      <c r="AH109" s="72"/>
    </row>
    <row r="110" spans="1:34" x14ac:dyDescent="0.3">
      <c r="A110" s="100">
        <v>1967</v>
      </c>
      <c r="B110" s="226">
        <f>'C1-Incomes'!R15</f>
        <v>805309.31680999999</v>
      </c>
      <c r="C110" s="226">
        <f>TOTALS!E12/1000000</f>
        <v>411344.04858499998</v>
      </c>
      <c r="D110" s="226">
        <f>'C0-Ref Stats'!AF13</f>
        <v>6731.029998714127</v>
      </c>
      <c r="E110" s="226">
        <f>TOTALS!G12/1000000</f>
        <v>14205.788302999999</v>
      </c>
      <c r="F110" s="226">
        <f>TOTALS!F12/1000000</f>
        <v>15316.904951</v>
      </c>
      <c r="G110" s="226">
        <f t="shared" si="26"/>
        <v>35904.087148385901</v>
      </c>
      <c r="H110" s="226">
        <f>TOTALS!S12/1000000</f>
        <v>13560.408257999999</v>
      </c>
      <c r="I110" s="226">
        <f>TOTALS!AD12/1000000</f>
        <v>5150.7186458999995</v>
      </c>
      <c r="J110" s="226">
        <f>'C10-Adj by Source'!B13</f>
        <v>1103.0718899999629</v>
      </c>
      <c r="K110" s="226">
        <f>'C10-Adj by Source'!D13</f>
        <v>2438.15</v>
      </c>
      <c r="L110" s="226">
        <f>'C1-Incomes'!AH15-'C1-Incomes'!B15</f>
        <v>11434.338950000005</v>
      </c>
      <c r="M110" s="226">
        <f>'C10-Adj by Source'!O13+'C10-Adj by Source'!Q13</f>
        <v>4051.2471005280477</v>
      </c>
      <c r="N110" s="226">
        <f>'C10-Adj by Source'!AE13</f>
        <v>12911</v>
      </c>
      <c r="O110" s="226">
        <f>'C10-Adj by Source'!AS13</f>
        <v>28491</v>
      </c>
      <c r="P110" s="226">
        <f>'C10-Adj by Source'!S13</f>
        <v>39457</v>
      </c>
      <c r="Q110" s="226">
        <f>'C10-Adj by Source'!AC13</f>
        <v>30992</v>
      </c>
      <c r="R110" s="226">
        <f>'C10-Adj by Source'!AY13</f>
        <v>18019</v>
      </c>
      <c r="S110" s="226">
        <f>'C10-Adj by Source'!BA13</f>
        <v>12466</v>
      </c>
      <c r="T110" s="226">
        <f>'C10-Adj by Source'!AQ13</f>
        <v>25400.535522308393</v>
      </c>
      <c r="U110" s="226">
        <f>SUM('C10-Adj by Source'!BC13:BD13)</f>
        <v>26284.137716484001</v>
      </c>
      <c r="V110" s="226">
        <f>SUM('C10-Adj by Source'!BF13:BI13)</f>
        <v>44937</v>
      </c>
      <c r="W110" s="226">
        <f>'C10-Adj by Source'!BL13</f>
        <v>22430</v>
      </c>
      <c r="X110" s="226">
        <f>'C10-Adj by Source'!BW13</f>
        <v>4059</v>
      </c>
      <c r="Y110" s="226">
        <f>'C10-Adj by Source'!BP13+'C10-Adj by Source'!BZ13+'C10-Adj by Source'!BU13</f>
        <v>18623</v>
      </c>
      <c r="Z110" s="226"/>
      <c r="AA110" s="226"/>
      <c r="AB110" s="226">
        <f>'C1-Incomes'!B15</f>
        <v>502212.98589000001</v>
      </c>
      <c r="AC110" s="226">
        <f t="shared" si="27"/>
        <v>0</v>
      </c>
      <c r="AD110" s="226"/>
      <c r="AE110" s="226">
        <f>'C1-Incomes'!R15-'C1-Incomes'!B15</f>
        <v>303096.33091999998</v>
      </c>
      <c r="AF110" s="226">
        <f t="shared" si="28"/>
        <v>-0.1502593204495497</v>
      </c>
      <c r="AG110" s="226"/>
      <c r="AH110" s="72"/>
    </row>
    <row r="111" spans="1:34" x14ac:dyDescent="0.3">
      <c r="A111" s="100">
        <v>1968</v>
      </c>
      <c r="B111" s="226">
        <f>'C1-Incomes'!R16</f>
        <v>884542.07926000003</v>
      </c>
      <c r="C111" s="226">
        <f>TOTALS!E13/1000000</f>
        <v>451636.30709900003</v>
      </c>
      <c r="D111" s="226">
        <f>'C0-Ref Stats'!AF14</f>
        <v>5698.6728906896606</v>
      </c>
      <c r="E111" s="226">
        <f>TOTALS!G13/1000000</f>
        <v>15986.144947999999</v>
      </c>
      <c r="F111" s="226">
        <f>TOTALS!F13/1000000</f>
        <v>17165.879695</v>
      </c>
      <c r="G111" s="226">
        <f t="shared" si="26"/>
        <v>36447.654226310311</v>
      </c>
      <c r="H111" s="226">
        <f>TOTALS!S13/1000000</f>
        <v>13629.558369</v>
      </c>
      <c r="I111" s="226">
        <f>TOTALS!AD13/1000000</f>
        <v>7737.8106120000002</v>
      </c>
      <c r="J111" s="226">
        <f>'C10-Adj by Source'!B14</f>
        <v>1203.3203600000124</v>
      </c>
      <c r="K111" s="226">
        <f>'C10-Adj by Source'!D14</f>
        <v>2734.55</v>
      </c>
      <c r="L111" s="226">
        <f>'C1-Incomes'!AH16-'C1-Incomes'!B16</f>
        <v>12986.708340000012</v>
      </c>
      <c r="M111" s="226">
        <f>'C10-Adj by Source'!O14+'C10-Adj by Source'!Q14</f>
        <v>4354.6065704753037</v>
      </c>
      <c r="N111" s="226">
        <f>'C10-Adj by Source'!AE14</f>
        <v>14058</v>
      </c>
      <c r="O111" s="226">
        <f>'C10-Adj by Source'!AS14</f>
        <v>29939</v>
      </c>
      <c r="P111" s="226">
        <f>'C10-Adj by Source'!S14</f>
        <v>38584</v>
      </c>
      <c r="Q111" s="226">
        <f>'C10-Adj by Source'!AC14</f>
        <v>37164</v>
      </c>
      <c r="R111" s="226">
        <f>'C10-Adj by Source'!AY14</f>
        <v>19950</v>
      </c>
      <c r="S111" s="226">
        <f>'C10-Adj by Source'!BA14</f>
        <v>14815</v>
      </c>
      <c r="T111" s="226">
        <f>'C10-Adj by Source'!AQ14</f>
        <v>30736.987952876254</v>
      </c>
      <c r="U111" s="226">
        <f>SUM('C10-Adj by Source'!BC14:BD14)</f>
        <v>25700.427019872008</v>
      </c>
      <c r="V111" s="226">
        <f>SUM('C10-Adj by Source'!BF14:BI14)</f>
        <v>51539</v>
      </c>
      <c r="W111" s="226">
        <f>'C10-Adj by Source'!BL14</f>
        <v>26069</v>
      </c>
      <c r="X111" s="226">
        <f>'C10-Adj by Source'!BW14</f>
        <v>5058</v>
      </c>
      <c r="Y111" s="226">
        <f>'C10-Adj by Source'!BP14+'C10-Adj by Source'!BZ14+'C10-Adj by Source'!BU14</f>
        <v>21347</v>
      </c>
      <c r="Z111" s="226"/>
      <c r="AA111" s="226"/>
      <c r="AB111" s="226">
        <f>'C1-Incomes'!B16</f>
        <v>548302.02784</v>
      </c>
      <c r="AC111" s="226">
        <f t="shared" si="27"/>
        <v>0</v>
      </c>
      <c r="AD111" s="226"/>
      <c r="AE111" s="226">
        <f>'C1-Incomes'!R16-'C1-Incomes'!B16</f>
        <v>336240.05142000003</v>
      </c>
      <c r="AF111" s="226">
        <f t="shared" si="28"/>
        <v>0.45117677643429488</v>
      </c>
      <c r="AG111" s="226"/>
      <c r="AH111" s="72"/>
    </row>
    <row r="112" spans="1:34" x14ac:dyDescent="0.3">
      <c r="A112" s="100">
        <v>1969</v>
      </c>
      <c r="B112" s="226">
        <f>'C1-Incomes'!R17</f>
        <v>957579.59916999994</v>
      </c>
      <c r="C112" s="226">
        <f>TOTALS!E14/1000000</f>
        <v>497151.68986799999</v>
      </c>
      <c r="D112" s="226">
        <f>'C0-Ref Stats'!AF15</f>
        <v>4432.8773442156444</v>
      </c>
      <c r="E112" s="226">
        <f>TOTALS!G14/1000000</f>
        <v>16030.31962</v>
      </c>
      <c r="F112" s="226">
        <f>TOTALS!F14/1000000</f>
        <v>20071.158151</v>
      </c>
      <c r="G112" s="226">
        <f t="shared" si="26"/>
        <v>39317.172028784436</v>
      </c>
      <c r="H112" s="226">
        <f>TOTALS!S14/1000000</f>
        <v>14107.208449</v>
      </c>
      <c r="I112" s="226">
        <f>TOTALS!AD14/1000000</f>
        <v>8491.656309</v>
      </c>
      <c r="J112" s="226">
        <f>'C10-Adj by Source'!B15</f>
        <v>1515.69001999998</v>
      </c>
      <c r="K112" s="226">
        <f>'C10-Adj by Source'!D15</f>
        <v>3149.9</v>
      </c>
      <c r="L112" s="226">
        <f>'C1-Incomes'!AH17-'C1-Incomes'!B17</f>
        <v>13800.859850000008</v>
      </c>
      <c r="M112" s="226">
        <f>'C10-Adj by Source'!O15+'C10-Adj by Source'!Q15</f>
        <v>4285.8564023625613</v>
      </c>
      <c r="N112" s="226">
        <f>'C10-Adj by Source'!AE15</f>
        <v>15117</v>
      </c>
      <c r="O112" s="226">
        <f>'C10-Adj by Source'!AS15</f>
        <v>32060</v>
      </c>
      <c r="P112" s="226">
        <f>'C10-Adj by Source'!S15</f>
        <v>34200</v>
      </c>
      <c r="Q112" s="226">
        <f>'C10-Adj by Source'!AC15</f>
        <v>36958</v>
      </c>
      <c r="R112" s="226">
        <f>'C10-Adj by Source'!AY15</f>
        <v>22754</v>
      </c>
      <c r="S112" s="226">
        <f>'C10-Adj by Source'!BA15</f>
        <v>16798</v>
      </c>
      <c r="T112" s="226">
        <f>'C10-Adj by Source'!AQ15</f>
        <v>31507.675950059645</v>
      </c>
      <c r="U112" s="226">
        <f>SUM('C10-Adj by Source'!BC15:BD15)</f>
        <v>30840.435389339997</v>
      </c>
      <c r="V112" s="226">
        <f>SUM('C10-Adj by Source'!BF15:BI15)</f>
        <v>56931</v>
      </c>
      <c r="W112" s="226">
        <f>'C10-Adj by Source'!BL15</f>
        <v>27923</v>
      </c>
      <c r="X112" s="226">
        <f>'C10-Adj by Source'!BW15</f>
        <v>5781</v>
      </c>
      <c r="Y112" s="226">
        <f>'C10-Adj by Source'!BP15+'C10-Adj by Source'!BZ15+'C10-Adj by Source'!BU15</f>
        <v>24355</v>
      </c>
      <c r="Z112" s="226"/>
      <c r="AA112" s="226"/>
      <c r="AB112" s="226">
        <f>'C1-Incomes'!B17</f>
        <v>599602.08177000005</v>
      </c>
      <c r="AC112" s="226">
        <f t="shared" si="27"/>
        <v>0</v>
      </c>
      <c r="AD112" s="226"/>
      <c r="AE112" s="226">
        <f>'C1-Incomes'!R17-'C1-Incomes'!B17</f>
        <v>357977.5173999999</v>
      </c>
      <c r="AF112" s="226">
        <f t="shared" si="28"/>
        <v>9.9788237712346017E-2</v>
      </c>
      <c r="AG112" s="226"/>
      <c r="AH112" s="72"/>
    </row>
    <row r="113" spans="1:34" x14ac:dyDescent="0.3">
      <c r="A113" s="100">
        <v>1970</v>
      </c>
      <c r="B113" s="226">
        <f>'C1-Incomes'!R18</f>
        <v>1010789.7032</v>
      </c>
      <c r="C113" s="226">
        <f>TOTALS!E15/1000000</f>
        <v>531889.27376100002</v>
      </c>
      <c r="D113" s="226">
        <f>'C0-Ref Stats'!AF16</f>
        <v>8919.6616563799962</v>
      </c>
      <c r="E113" s="226">
        <f>TOTALS!G15/1000000</f>
        <v>15814.239567000001</v>
      </c>
      <c r="F113" s="226">
        <f>TOTALS!F15/1000000</f>
        <v>22909.098853</v>
      </c>
      <c r="G113" s="226">
        <f t="shared" si="26"/>
        <v>38364.730041620001</v>
      </c>
      <c r="H113" s="226">
        <f>TOTALS!S15/1000000</f>
        <v>12298.564775000001</v>
      </c>
      <c r="I113" s="226">
        <f>TOTALS!AD15/1000000</f>
        <v>9403.1102859999992</v>
      </c>
      <c r="J113" s="226">
        <f>'C10-Adj by Source'!B16</f>
        <v>1952.5810399999609</v>
      </c>
      <c r="K113" s="226">
        <f>'C10-Adj by Source'!D16</f>
        <v>3650.4</v>
      </c>
      <c r="L113" s="226">
        <f>'C1-Incomes'!AH18-'C1-Incomes'!B18</f>
        <v>13129.074000000022</v>
      </c>
      <c r="M113" s="226">
        <f>'C10-Adj by Source'!O16+'C10-Adj by Source'!Q16</f>
        <v>3841.8606513098171</v>
      </c>
      <c r="N113" s="226">
        <f>'C10-Adj by Source'!AE16</f>
        <v>16606</v>
      </c>
      <c r="O113" s="226">
        <f>'C10-Adj by Source'!AS16</f>
        <v>34576</v>
      </c>
      <c r="P113" s="226">
        <f>'C10-Adj by Source'!S16</f>
        <v>27180</v>
      </c>
      <c r="Q113" s="226">
        <f>'C10-Adj by Source'!AC16</f>
        <v>31263</v>
      </c>
      <c r="R113" s="226">
        <f>'C10-Adj by Source'!AY16</f>
        <v>23839</v>
      </c>
      <c r="S113" s="226">
        <f>'C10-Adj by Source'!BA16</f>
        <v>19481</v>
      </c>
      <c r="T113" s="226">
        <f>'C10-Adj by Source'!AQ16</f>
        <v>30210.652581279657</v>
      </c>
      <c r="U113" s="226">
        <f>SUM('C10-Adj by Source'!BC16:BD16)</f>
        <v>35348.856623905005</v>
      </c>
      <c r="V113" s="226">
        <f>SUM('C10-Adj by Source'!BF16:BI16)</f>
        <v>59472</v>
      </c>
      <c r="W113" s="226">
        <f>'C10-Adj by Source'!BL16</f>
        <v>33125</v>
      </c>
      <c r="X113" s="226">
        <f>'C10-Adj by Source'!BW16</f>
        <v>6158</v>
      </c>
      <c r="Y113" s="226">
        <f>'C10-Adj by Source'!BP16+'C10-Adj by Source'!BZ16+'C10-Adj by Source'!BU16</f>
        <v>31358</v>
      </c>
      <c r="Z113" s="226"/>
      <c r="AA113" s="226"/>
      <c r="AB113" s="226">
        <f>'C1-Incomes'!B18</f>
        <v>639598.67894000001</v>
      </c>
      <c r="AC113" s="226">
        <f t="shared" si="27"/>
        <v>0</v>
      </c>
      <c r="AD113" s="226"/>
      <c r="AE113" s="226">
        <f>'C1-Incomes'!R18-'C1-Incomes'!B18</f>
        <v>371191.02425999998</v>
      </c>
      <c r="AF113" s="226">
        <f t="shared" si="28"/>
        <v>-0.40063649450894445</v>
      </c>
      <c r="AG113" s="226"/>
      <c r="AH113" s="72"/>
    </row>
    <row r="114" spans="1:34" x14ac:dyDescent="0.3">
      <c r="A114" s="100">
        <v>1971</v>
      </c>
      <c r="B114" s="226">
        <f>'C1-Incomes'!R19</f>
        <v>1101126.3473</v>
      </c>
      <c r="C114" s="226">
        <f>TOTALS!E16/1000000</f>
        <v>565192.93919199996</v>
      </c>
      <c r="D114" s="226">
        <f>'C0-Ref Stats'!AF17</f>
        <v>11936.305050513123</v>
      </c>
      <c r="E114" s="226">
        <f>TOTALS!G16/1000000</f>
        <v>15518.992423</v>
      </c>
      <c r="F114" s="226">
        <f>TOTALS!F16/1000000</f>
        <v>24620.947396</v>
      </c>
      <c r="G114" s="226">
        <f t="shared" si="26"/>
        <v>39986.041588486944</v>
      </c>
      <c r="H114" s="226">
        <f>TOTALS!S16/1000000</f>
        <v>12293.66416</v>
      </c>
      <c r="I114" s="226">
        <f>TOTALS!AD16/1000000</f>
        <v>11119.06043</v>
      </c>
      <c r="J114" s="226">
        <f>'C10-Adj by Source'!B17</f>
        <v>2280.3373700000811</v>
      </c>
      <c r="K114" s="226">
        <f>'C10-Adj by Source'!D17</f>
        <v>4253.6000000000004</v>
      </c>
      <c r="L114" s="226">
        <f>'C1-Incomes'!AH19-'C1-Incomes'!B19</f>
        <v>14108.850419999915</v>
      </c>
      <c r="M114" s="226">
        <f>'C10-Adj by Source'!O17+'C10-Adj by Source'!Q17</f>
        <v>3509.8387460694967</v>
      </c>
      <c r="N114" s="226">
        <f>'C10-Adj by Source'!AE17</f>
        <v>18369</v>
      </c>
      <c r="O114" s="226">
        <f>'C10-Adj by Source'!AS17</f>
        <v>37558</v>
      </c>
      <c r="P114" s="226">
        <f>'C10-Adj by Source'!S17</f>
        <v>37455</v>
      </c>
      <c r="Q114" s="226">
        <f>'C10-Adj by Source'!AC17</f>
        <v>34808</v>
      </c>
      <c r="R114" s="226">
        <f>'C10-Adj by Source'!AY17</f>
        <v>26446</v>
      </c>
      <c r="S114" s="226">
        <f>'C10-Adj by Source'!BA17</f>
        <v>21385</v>
      </c>
      <c r="T114" s="226">
        <f>'C10-Adj by Source'!AQ17</f>
        <v>31678.528221000928</v>
      </c>
      <c r="U114" s="226">
        <f>SUM('C10-Adj by Source'!BC17:BD17)</f>
        <v>40037.842068090009</v>
      </c>
      <c r="V114" s="226">
        <f>SUM('C10-Adj by Source'!BF17:BI17)</f>
        <v>64458</v>
      </c>
      <c r="W114" s="226">
        <f>'C10-Adj by Source'!BL17</f>
        <v>38612</v>
      </c>
      <c r="X114" s="226">
        <f>'C10-Adj by Source'!BW17</f>
        <v>6747</v>
      </c>
      <c r="Y114" s="226">
        <f>'C10-Adj by Source'!BP17+'C10-Adj by Source'!BZ17+'C10-Adj by Source'!BU17</f>
        <v>38751</v>
      </c>
      <c r="Z114" s="226"/>
      <c r="AA114" s="226"/>
      <c r="AB114" s="226">
        <f>'C1-Incomes'!B19</f>
        <v>680667.95024000003</v>
      </c>
      <c r="AC114" s="226">
        <f t="shared" si="27"/>
        <v>0</v>
      </c>
      <c r="AD114" s="226"/>
      <c r="AE114" s="226">
        <f>'C1-Incomes'!R19-'C1-Incomes'!B19</f>
        <v>420458.39705999999</v>
      </c>
      <c r="AF114" s="226">
        <f t="shared" si="28"/>
        <v>0.40023483958793804</v>
      </c>
      <c r="AG114" s="226"/>
      <c r="AH114" s="72"/>
    </row>
    <row r="115" spans="1:34" x14ac:dyDescent="0.3">
      <c r="A115" s="100">
        <v>1972</v>
      </c>
      <c r="B115" s="226">
        <f>'C1-Incomes'!R20</f>
        <v>1216401.8569</v>
      </c>
      <c r="C115" s="226">
        <f>TOTALS!E17/1000000</f>
        <v>621121.16532799997</v>
      </c>
      <c r="D115" s="226">
        <f>'C0-Ref Stats'!AF18</f>
        <v>10747.32686260865</v>
      </c>
      <c r="E115" s="226">
        <f>TOTALS!G17/1000000</f>
        <v>17096.746408999999</v>
      </c>
      <c r="F115" s="226">
        <f>TOTALS!F17/1000000</f>
        <v>28317.861846</v>
      </c>
      <c r="G115" s="226">
        <f t="shared" si="26"/>
        <v>45163.612069391398</v>
      </c>
      <c r="H115" s="226">
        <f>TOTALS!S17/1000000</f>
        <v>13933.507900000001</v>
      </c>
      <c r="I115" s="226">
        <f>TOTALS!AD17/1000000</f>
        <v>13008.629545</v>
      </c>
      <c r="J115" s="226">
        <f>'C10-Adj by Source'!B18</f>
        <v>2506.4024999999674</v>
      </c>
      <c r="K115" s="226">
        <f>'C10-Adj by Source'!D18</f>
        <v>4897.1000000000004</v>
      </c>
      <c r="L115" s="226">
        <f>'C1-Incomes'!AH20-'C1-Incomes'!B20</f>
        <v>15593.953659999999</v>
      </c>
      <c r="M115" s="226">
        <f>'C10-Adj by Source'!O18+'C10-Adj by Source'!Q18</f>
        <v>3844.2121197291763</v>
      </c>
      <c r="N115" s="226">
        <f>'C10-Adj by Source'!AE18</f>
        <v>19447</v>
      </c>
      <c r="O115" s="226">
        <f>'C10-Adj by Source'!AS18</f>
        <v>39091</v>
      </c>
      <c r="P115" s="226">
        <f>'C10-Adj by Source'!S18</f>
        <v>48035</v>
      </c>
      <c r="Q115" s="226">
        <f>'C10-Adj by Source'!AC18</f>
        <v>39110</v>
      </c>
      <c r="R115" s="226">
        <f>'C10-Adj by Source'!AY18</f>
        <v>31157</v>
      </c>
      <c r="S115" s="226">
        <f>'C10-Adj by Source'!BA18</f>
        <v>24481</v>
      </c>
      <c r="T115" s="226">
        <f>'C10-Adj by Source'!AQ18</f>
        <v>36066.004195394569</v>
      </c>
      <c r="U115" s="226">
        <f>SUM('C10-Adj by Source'!BC18:BD18)</f>
        <v>40971.434767520004</v>
      </c>
      <c r="V115" s="226">
        <f>SUM('C10-Adj by Source'!BF18:BI18)</f>
        <v>68387</v>
      </c>
      <c r="W115" s="226">
        <f>'C10-Adj by Source'!BL18</f>
        <v>43102</v>
      </c>
      <c r="X115" s="226">
        <f>'C10-Adj by Source'!BW18</f>
        <v>7454</v>
      </c>
      <c r="Y115" s="226">
        <f>'C10-Adj by Source'!BP18+'C10-Adj by Source'!BZ18+'C10-Adj by Source'!BU18</f>
        <v>42870</v>
      </c>
      <c r="Z115" s="226"/>
      <c r="AA115" s="226"/>
      <c r="AB115" s="226">
        <f>'C1-Incomes'!B20</f>
        <v>749388.84996000002</v>
      </c>
      <c r="AC115" s="226">
        <f t="shared" si="27"/>
        <v>0</v>
      </c>
      <c r="AD115" s="226"/>
      <c r="AE115" s="226">
        <f>'C1-Incomes'!R20-'C1-Incomes'!B20</f>
        <v>467013.00693999999</v>
      </c>
      <c r="AF115" s="226">
        <f t="shared" si="28"/>
        <v>-0.1003026437247172</v>
      </c>
      <c r="AG115" s="226"/>
      <c r="AH115" s="72"/>
    </row>
    <row r="116" spans="1:34" x14ac:dyDescent="0.3">
      <c r="A116" s="100">
        <v>1973</v>
      </c>
      <c r="B116" s="226">
        <f>'C1-Incomes'!R21</f>
        <v>1364058.1410999999</v>
      </c>
      <c r="C116" s="226">
        <f>TOTALS!E18/1000000</f>
        <v>687275.07521299995</v>
      </c>
      <c r="D116" s="226">
        <f>'C0-Ref Stats'!AF19</f>
        <v>9147.2710085310919</v>
      </c>
      <c r="E116" s="226">
        <f>TOTALS!G18/1000000</f>
        <v>18853.141737999998</v>
      </c>
      <c r="F116" s="226">
        <f>TOTALS!F18/1000000</f>
        <v>32696.784629000002</v>
      </c>
      <c r="G116" s="226">
        <f t="shared" si="26"/>
        <v>53757.650923468937</v>
      </c>
      <c r="H116" s="226">
        <f>TOTALS!S18/1000000</f>
        <v>13000.744557</v>
      </c>
      <c r="I116" s="226">
        <f>TOTALS!AD18/1000000</f>
        <v>15664.958091</v>
      </c>
      <c r="J116" s="226">
        <f>'C10-Adj by Source'!B19</f>
        <v>3923.7307499999879</v>
      </c>
      <c r="K116" s="226">
        <f>'C10-Adj by Source'!D19</f>
        <v>5496.4000000000005</v>
      </c>
      <c r="L116" s="226">
        <f>'C1-Incomes'!AH21-'C1-Incomes'!B21</f>
        <v>19554.464520000038</v>
      </c>
      <c r="M116" s="226">
        <f>'C10-Adj by Source'!O19+'C10-Adj by Source'!Q19</f>
        <v>3831.7949160688554</v>
      </c>
      <c r="N116" s="226">
        <f>'C10-Adj by Source'!AE19</f>
        <v>20565</v>
      </c>
      <c r="O116" s="226">
        <f>'C10-Adj by Source'!AS19</f>
        <v>40334</v>
      </c>
      <c r="P116" s="226">
        <f>'C10-Adj by Source'!S19</f>
        <v>53510</v>
      </c>
      <c r="Q116" s="226">
        <f>'C10-Adj by Source'!AC19</f>
        <v>45632</v>
      </c>
      <c r="R116" s="226">
        <f>'C10-Adj by Source'!AY19</f>
        <v>39783</v>
      </c>
      <c r="S116" s="226">
        <f>'C10-Adj by Source'!BA19</f>
        <v>27573</v>
      </c>
      <c r="T116" s="226">
        <f>'C10-Adj by Source'!AQ19</f>
        <v>46072.849023068549</v>
      </c>
      <c r="U116" s="226">
        <f>SUM('C10-Adj by Source'!BC19:BD19)</f>
        <v>42730.676667099993</v>
      </c>
      <c r="V116" s="226">
        <f>SUM('C10-Adj by Source'!BF19:BI19)</f>
        <v>77578</v>
      </c>
      <c r="W116" s="226">
        <f>'C10-Adj by Source'!BL19</f>
        <v>53231</v>
      </c>
      <c r="X116" s="226">
        <f>'C10-Adj by Source'!BW19</f>
        <v>8694</v>
      </c>
      <c r="Y116" s="226">
        <f>'C10-Adj by Source'!BP19+'C10-Adj by Source'!BZ19+'C10-Adj by Source'!BU19</f>
        <v>45153</v>
      </c>
      <c r="Z116" s="226"/>
      <c r="AA116" s="226"/>
      <c r="AB116" s="226">
        <f>'C1-Incomes'!B21</f>
        <v>830395.62615999999</v>
      </c>
      <c r="AC116" s="226">
        <f t="shared" si="27"/>
        <v>0</v>
      </c>
      <c r="AD116" s="226"/>
      <c r="AE116" s="226">
        <f>'C1-Incomes'!R21-'C1-Incomes'!B21</f>
        <v>533662.51493999991</v>
      </c>
      <c r="AF116" s="226">
        <f t="shared" si="28"/>
        <v>-0.40093623753637075</v>
      </c>
      <c r="AG116" s="226"/>
      <c r="AH116" s="72"/>
    </row>
    <row r="117" spans="1:34" x14ac:dyDescent="0.3">
      <c r="A117" s="100">
        <v>1974</v>
      </c>
      <c r="B117" s="226">
        <f>'C1-Incomes'!R22</f>
        <v>1477521.412</v>
      </c>
      <c r="C117" s="226">
        <f>TOTALS!E19/1000000</f>
        <v>759883.32258200005</v>
      </c>
      <c r="D117" s="226">
        <f>'C0-Ref Stats'!AF20</f>
        <v>7992.9511011013601</v>
      </c>
      <c r="E117" s="226">
        <f>TOTALS!G19/1000000</f>
        <v>21144.814674000001</v>
      </c>
      <c r="F117" s="226">
        <f>TOTALS!F19/1000000</f>
        <v>40422.306481</v>
      </c>
      <c r="G117" s="226">
        <f t="shared" si="26"/>
        <v>42167.148341898581</v>
      </c>
      <c r="H117" s="226">
        <f>TOTALS!S19/1000000</f>
        <v>14119.359270999999</v>
      </c>
      <c r="I117" s="226">
        <f>TOTALS!AD19/1000000</f>
        <v>19362.928929000002</v>
      </c>
      <c r="J117" s="226">
        <f>'C10-Adj by Source'!B20</f>
        <v>4854.0851900000125</v>
      </c>
      <c r="K117" s="226">
        <f>'C10-Adj by Source'!D20</f>
        <v>6253</v>
      </c>
      <c r="L117" s="226">
        <f>'C1-Incomes'!AH22-'C1-Incomes'!B22</f>
        <v>20564.560769999982</v>
      </c>
      <c r="M117" s="226">
        <f>'C10-Adj by Source'!O20+'C10-Adj by Source'!Q20</f>
        <v>4138.3414674385349</v>
      </c>
      <c r="N117" s="226">
        <f>'C10-Adj by Source'!AE20</f>
        <v>21408</v>
      </c>
      <c r="O117" s="226">
        <f>'C10-Adj by Source'!AS20</f>
        <v>42422</v>
      </c>
      <c r="P117" s="226">
        <f>'C10-Adj by Source'!S20</f>
        <v>39701</v>
      </c>
      <c r="Q117" s="226">
        <f>'C10-Adj by Source'!AC20</f>
        <v>47235</v>
      </c>
      <c r="R117" s="226">
        <f>'C10-Adj by Source'!AY20</f>
        <v>44694</v>
      </c>
      <c r="S117" s="226">
        <f>'C10-Adj by Source'!BA20</f>
        <v>31627</v>
      </c>
      <c r="T117" s="226">
        <f>'C10-Adj by Source'!AQ20</f>
        <v>46091.720536322275</v>
      </c>
      <c r="U117" s="226">
        <f>SUM('C10-Adj by Source'!BC20:BD20)</f>
        <v>49483.872661327994</v>
      </c>
      <c r="V117" s="226">
        <f>SUM('C10-Adj by Source'!BF20:BI20)</f>
        <v>87204</v>
      </c>
      <c r="W117" s="226">
        <f>'C10-Adj by Source'!BL20</f>
        <v>60404</v>
      </c>
      <c r="X117" s="226">
        <f>'C10-Adj by Source'!BW20</f>
        <v>10922</v>
      </c>
      <c r="Y117" s="226">
        <f>'C10-Adj by Source'!BP20+'C10-Adj by Source'!BZ20+'C10-Adj by Source'!BU20</f>
        <v>55426</v>
      </c>
      <c r="Z117" s="226"/>
      <c r="AA117" s="226"/>
      <c r="AB117" s="226">
        <f>'C1-Incomes'!B22</f>
        <v>905092.83137999999</v>
      </c>
      <c r="AC117" s="226">
        <f t="shared" si="27"/>
        <v>0</v>
      </c>
      <c r="AD117" s="226"/>
      <c r="AE117" s="226">
        <f>'C1-Incomes'!R22-'C1-Incomes'!B22</f>
        <v>572428.58062000002</v>
      </c>
      <c r="AF117" s="226">
        <f t="shared" si="28"/>
        <v>-5.0887465476989746E-6</v>
      </c>
      <c r="AG117" s="226"/>
      <c r="AH117" s="72"/>
    </row>
    <row r="118" spans="1:34" x14ac:dyDescent="0.3">
      <c r="A118" s="100">
        <v>1975</v>
      </c>
      <c r="B118" s="226">
        <f>'C1-Incomes'!R23</f>
        <v>1612363.608</v>
      </c>
      <c r="C118" s="226">
        <f>TOTALS!E20/1000000</f>
        <v>794470.018301</v>
      </c>
      <c r="D118" s="226">
        <f>'C0-Ref Stats'!AF21</f>
        <v>14725.331098343941</v>
      </c>
      <c r="E118" s="226">
        <f>TOTALS!G20/1000000</f>
        <v>21692.051863000001</v>
      </c>
      <c r="F118" s="226">
        <f>TOTALS!F20/1000000</f>
        <v>43958.870317000001</v>
      </c>
      <c r="G118" s="226">
        <f t="shared" si="26"/>
        <v>50702.637175656106</v>
      </c>
      <c r="H118" s="226">
        <f>TOTALS!S20/1000000</f>
        <v>12574.145051</v>
      </c>
      <c r="I118" s="226">
        <f>TOTALS!AD20/1000000</f>
        <v>23891.990354000001</v>
      </c>
      <c r="J118" s="226">
        <f>'C10-Adj by Source'!B21</f>
        <v>5046.3343800000148</v>
      </c>
      <c r="K118" s="226">
        <f>'C10-Adj by Source'!D21</f>
        <v>7191.6</v>
      </c>
      <c r="L118" s="226">
        <f>'C1-Incomes'!AH23-'C1-Incomes'!B23</f>
        <v>21947.001989999902</v>
      </c>
      <c r="M118" s="226">
        <f>'C10-Adj by Source'!O21+'C10-Adj by Source'!Q21</f>
        <v>3013.5042809166534</v>
      </c>
      <c r="N118" s="226">
        <f>'C10-Adj by Source'!AE21</f>
        <v>23067</v>
      </c>
      <c r="O118" s="226">
        <f>'C10-Adj by Source'!AS21</f>
        <v>44217</v>
      </c>
      <c r="P118" s="226">
        <f>'C10-Adj by Source'!S21</f>
        <v>54253</v>
      </c>
      <c r="Q118" s="226">
        <f>'C10-Adj by Source'!AC21</f>
        <v>46264</v>
      </c>
      <c r="R118" s="226">
        <f>'C10-Adj by Source'!AY21</f>
        <v>46724</v>
      </c>
      <c r="S118" s="226">
        <f>'C10-Adj by Source'!BA21</f>
        <v>37444</v>
      </c>
      <c r="T118" s="226">
        <f>'C10-Adj by Source'!AQ21</f>
        <v>47224.588733286211</v>
      </c>
      <c r="U118" s="226">
        <f>SUM('C10-Adj by Source'!BC21:BD21)</f>
        <v>59789.135684547</v>
      </c>
      <c r="V118" s="226">
        <f>SUM('C10-Adj by Source'!BF21:BI21)</f>
        <v>92951</v>
      </c>
      <c r="W118" s="226">
        <f>'C10-Adj by Source'!BL21</f>
        <v>69160</v>
      </c>
      <c r="X118" s="226">
        <f>'C10-Adj by Source'!BW21</f>
        <v>13715</v>
      </c>
      <c r="Y118" s="226">
        <f>'C10-Adj by Source'!BP21+'C10-Adj by Source'!BZ21+'C10-Adj by Source'!BU21</f>
        <v>78341</v>
      </c>
      <c r="Z118" s="226"/>
      <c r="AA118" s="226"/>
      <c r="AB118" s="226">
        <f>'C1-Incomes'!B23</f>
        <v>962015.04416000005</v>
      </c>
      <c r="AC118" s="226">
        <f t="shared" si="27"/>
        <v>0</v>
      </c>
      <c r="AD118" s="226"/>
      <c r="AE118" s="226">
        <f>'C1-Incomes'!R23-'C1-Incomes'!B23</f>
        <v>650348.56383999996</v>
      </c>
      <c r="AF118" s="226">
        <f t="shared" si="28"/>
        <v>0.39877125015482306</v>
      </c>
      <c r="AG118" s="226"/>
      <c r="AH118" s="72"/>
    </row>
    <row r="119" spans="1:34" x14ac:dyDescent="0.3">
      <c r="A119" s="100">
        <v>1976</v>
      </c>
      <c r="B119" s="226">
        <f>'C1-Incomes'!R24</f>
        <v>1790351.9053</v>
      </c>
      <c r="C119" s="226">
        <f>TOTALS!E21/1000000</f>
        <v>880997.18912</v>
      </c>
      <c r="D119" s="226">
        <f>'C0-Ref Stats'!AF22</f>
        <v>14766.845462013005</v>
      </c>
      <c r="E119" s="226">
        <f>TOTALS!G21/1000000</f>
        <v>24462.557581000001</v>
      </c>
      <c r="F119" s="226">
        <f>TOTALS!F21/1000000</f>
        <v>49681.623574999998</v>
      </c>
      <c r="G119" s="226">
        <f t="shared" si="26"/>
        <v>55953.092647986945</v>
      </c>
      <c r="H119" s="226">
        <f>TOTALS!S21/1000000</f>
        <v>13557.431602000001</v>
      </c>
      <c r="I119" s="226">
        <f>TOTALS!AD21/1000000</f>
        <v>26967.593511999999</v>
      </c>
      <c r="J119" s="226">
        <f>'C10-Adj by Source'!B22</f>
        <v>5336.7623000000603</v>
      </c>
      <c r="K119" s="226">
        <f>'C10-Adj by Source'!D22</f>
        <v>8132.1500000000005</v>
      </c>
      <c r="L119" s="226">
        <f>'C1-Incomes'!AH24-'C1-Incomes'!B24</f>
        <v>23246.388100000098</v>
      </c>
      <c r="M119" s="226">
        <f>'C10-Adj by Source'!O22+'C10-Adj by Source'!Q22</f>
        <v>4599.8709705747715</v>
      </c>
      <c r="N119" s="226">
        <f>'C10-Adj by Source'!AE22</f>
        <v>24881</v>
      </c>
      <c r="O119" s="226">
        <f>'C10-Adj by Source'!AS22</f>
        <v>45365</v>
      </c>
      <c r="P119" s="226">
        <f>'C10-Adj by Source'!S22</f>
        <v>70036</v>
      </c>
      <c r="Q119" s="226">
        <f>'C10-Adj by Source'!AC22</f>
        <v>59418</v>
      </c>
      <c r="R119" s="226">
        <f>'C10-Adj by Source'!AY22</f>
        <v>54398</v>
      </c>
      <c r="S119" s="226">
        <f>'C10-Adj by Source'!BA22</f>
        <v>45978</v>
      </c>
      <c r="T119" s="226">
        <f>'C10-Adj by Source'!AQ22</f>
        <v>48944.283173645563</v>
      </c>
      <c r="U119" s="226">
        <f>SUM('C10-Adj by Source'!BC22:BD22)</f>
        <v>56826.2692769719</v>
      </c>
      <c r="V119" s="226">
        <f>SUM('C10-Adj by Source'!BF22:BI22)</f>
        <v>101221</v>
      </c>
      <c r="W119" s="226">
        <f>'C10-Adj by Source'!BL22</f>
        <v>78051</v>
      </c>
      <c r="X119" s="226">
        <f>'C10-Adj by Source'!BW22</f>
        <v>16735</v>
      </c>
      <c r="Y119" s="226">
        <f>'C10-Adj by Source'!BP22+'C10-Adj by Source'!BZ22+'C10-Adj by Source'!BU22</f>
        <v>80797</v>
      </c>
      <c r="Z119" s="226"/>
      <c r="AA119" s="226"/>
      <c r="AB119" s="226">
        <f>'C1-Incomes'!B24</f>
        <v>1066386.3334999999</v>
      </c>
      <c r="AC119" s="226">
        <f t="shared" si="27"/>
        <v>0</v>
      </c>
      <c r="AD119" s="226"/>
      <c r="AE119" s="226">
        <f>'C1-Incomes'!R24-'C1-Incomes'!B24</f>
        <v>723965.57180000003</v>
      </c>
      <c r="AF119" s="226">
        <f t="shared" si="28"/>
        <v>-0.15202119236346334</v>
      </c>
      <c r="AG119" s="226"/>
      <c r="AH119" s="72"/>
    </row>
    <row r="120" spans="1:34" x14ac:dyDescent="0.3">
      <c r="A120" s="100">
        <v>1977</v>
      </c>
      <c r="B120" s="226">
        <f>'C1-Incomes'!R25</f>
        <v>1985888.4867</v>
      </c>
      <c r="C120" s="226">
        <f>TOTALS!E22/1000000</f>
        <v>969392.93400799995</v>
      </c>
      <c r="D120" s="226">
        <f>'C0-Ref Stats'!AF23</f>
        <v>16043.565700460635</v>
      </c>
      <c r="E120" s="226">
        <f>TOTALS!G22/1000000</f>
        <v>27020.160231999998</v>
      </c>
      <c r="F120" s="226">
        <f>TOTALS!F22/1000000</f>
        <v>55734.832986000001</v>
      </c>
      <c r="G120" s="226">
        <f t="shared" si="26"/>
        <v>56006.600818539475</v>
      </c>
      <c r="H120" s="226">
        <f>TOTALS!S22/1000000</f>
        <v>15285.880797</v>
      </c>
      <c r="I120" s="226">
        <f>TOTALS!AD22/1000000</f>
        <v>33589.924958000003</v>
      </c>
      <c r="J120" s="226">
        <f>'C10-Adj by Source'!B23</f>
        <v>5331.9840000001714</v>
      </c>
      <c r="K120" s="226">
        <f>'C10-Adj by Source'!D23</f>
        <v>8893.3000000000011</v>
      </c>
      <c r="L120" s="226">
        <f>'C1-Incomes'!AH25-'C1-Incomes'!B25</f>
        <v>24856.883999999845</v>
      </c>
      <c r="M120" s="226">
        <f>'C10-Adj by Source'!O23+'C10-Adj by Source'!Q23</f>
        <v>2509.9521139328881</v>
      </c>
      <c r="N120" s="226">
        <f>'C10-Adj by Source'!AE23</f>
        <v>26646</v>
      </c>
      <c r="O120" s="226">
        <f>'C10-Adj by Source'!AS23</f>
        <v>43602</v>
      </c>
      <c r="P120" s="226">
        <f>'C10-Adj by Source'!S23</f>
        <v>86573</v>
      </c>
      <c r="Q120" s="226">
        <f>'C10-Adj by Source'!AC23</f>
        <v>68504</v>
      </c>
      <c r="R120" s="226">
        <f>'C10-Adj by Source'!AY23</f>
        <v>61104</v>
      </c>
      <c r="S120" s="226">
        <f>'C10-Adj by Source'!BA23</f>
        <v>55513</v>
      </c>
      <c r="T120" s="226">
        <f>'C10-Adj by Source'!AQ23</f>
        <v>66624.645348090169</v>
      </c>
      <c r="U120" s="226">
        <f>SUM('C10-Adj by Source'!BC23:BD23)</f>
        <v>68313.120917607986</v>
      </c>
      <c r="V120" s="226">
        <f>SUM('C10-Adj by Source'!BF23:BI23)</f>
        <v>107108</v>
      </c>
      <c r="W120" s="226">
        <f>'C10-Adj by Source'!BL23</f>
        <v>87022</v>
      </c>
      <c r="X120" s="226">
        <f>'C10-Adj by Source'!BW23</f>
        <v>19854</v>
      </c>
      <c r="Y120" s="226">
        <f>'C10-Adj by Source'!BP23+'C10-Adj by Source'!BZ23+'C10-Adj by Source'!BU23</f>
        <v>80359</v>
      </c>
      <c r="Z120" s="226"/>
      <c r="AA120" s="226"/>
      <c r="AB120" s="226">
        <f>'C1-Incomes'!B25</f>
        <v>1173073.8995000001</v>
      </c>
      <c r="AC120" s="226">
        <f t="shared" si="27"/>
        <v>0</v>
      </c>
      <c r="AD120" s="226"/>
      <c r="AE120" s="226">
        <f>'C1-Incomes'!R25-'C1-Incomes'!B25</f>
        <v>812814.58719999995</v>
      </c>
      <c r="AF120" s="226">
        <f t="shared" si="28"/>
        <v>-0.29917963105253875</v>
      </c>
      <c r="AG120" s="226"/>
      <c r="AH120" s="72"/>
    </row>
    <row r="121" spans="1:34" x14ac:dyDescent="0.3">
      <c r="A121" s="100">
        <v>1978</v>
      </c>
      <c r="B121" s="226">
        <f>'C1-Incomes'!R26</f>
        <v>2230894.6701000002</v>
      </c>
      <c r="C121" s="226">
        <f>TOTALS!E23/1000000</f>
        <v>1090270.3999999999</v>
      </c>
      <c r="D121" s="226">
        <f>'C0-Ref Stats'!AF24</f>
        <v>14890.135729200541</v>
      </c>
      <c r="E121" s="226">
        <f>TOTALS!G23/1000000</f>
        <v>30205.215477999998</v>
      </c>
      <c r="F121" s="226">
        <f>TOTALS!F23/1000000</f>
        <v>62546.727536999999</v>
      </c>
      <c r="G121" s="226">
        <f t="shared" si="26"/>
        <v>64252.359716799612</v>
      </c>
      <c r="H121" s="226">
        <f>TOTALS!S23/1000000</f>
        <v>17328.753199999999</v>
      </c>
      <c r="I121" s="226">
        <f>TOTALS!AD23/1000000</f>
        <v>36947.299739000002</v>
      </c>
      <c r="J121" s="226">
        <f>'C10-Adj by Source'!B24</f>
        <v>6213.9760000000242</v>
      </c>
      <c r="K121" s="226">
        <f>'C10-Adj by Source'!D24</f>
        <v>9683.7000000000007</v>
      </c>
      <c r="L121" s="226">
        <f>'C1-Incomes'!AH26-'C1-Incomes'!B26</f>
        <v>29759.721399999922</v>
      </c>
      <c r="M121" s="226">
        <f>'C10-Adj by Source'!O24+'C10-Adj by Source'!Q24</f>
        <v>2052.3170897710088</v>
      </c>
      <c r="N121" s="226">
        <f>'C10-Adj by Source'!AE24</f>
        <v>26498</v>
      </c>
      <c r="O121" s="226">
        <f>'C10-Adj by Source'!AS24</f>
        <v>44389</v>
      </c>
      <c r="P121" s="226">
        <f>'C10-Adj by Source'!S24</f>
        <v>102918</v>
      </c>
      <c r="Q121" s="226">
        <f>'C10-Adj by Source'!AC24</f>
        <v>77852</v>
      </c>
      <c r="R121" s="226">
        <f>'C10-Adj by Source'!AY24</f>
        <v>71528</v>
      </c>
      <c r="S121" s="226">
        <f>'C10-Adj by Source'!BA24</f>
        <v>65736</v>
      </c>
      <c r="T121" s="226">
        <f>'C10-Adj by Source'!AQ24</f>
        <v>80542.931672485851</v>
      </c>
      <c r="U121" s="226">
        <f>SUM('C10-Adj by Source'!BC24:BD24)</f>
        <v>75516.831910012013</v>
      </c>
      <c r="V121" s="226">
        <f>SUM('C10-Adj by Source'!BF24:BI24)</f>
        <v>120806</v>
      </c>
      <c r="W121" s="226">
        <f>'C10-Adj by Source'!BL24</f>
        <v>95365</v>
      </c>
      <c r="X121" s="226">
        <f>'C10-Adj by Source'!BW24</f>
        <v>23073</v>
      </c>
      <c r="Y121" s="226">
        <f>'C10-Adj by Source'!BP24+'C10-Adj by Source'!BZ24+'C10-Adj by Source'!BU24</f>
        <v>82519</v>
      </c>
      <c r="Z121" s="226"/>
      <c r="AA121" s="226"/>
      <c r="AB121" s="226">
        <f>'C1-Incomes'!B26</f>
        <v>1316440.8914000001</v>
      </c>
      <c r="AC121" s="226">
        <f t="shared" si="27"/>
        <v>0</v>
      </c>
      <c r="AD121" s="226"/>
      <c r="AE121" s="226">
        <f>'C1-Incomes'!R26-'C1-Incomes'!B26</f>
        <v>914453.77870000014</v>
      </c>
      <c r="AF121" s="226">
        <f t="shared" si="28"/>
        <v>0.30062773136887699</v>
      </c>
      <c r="AG121" s="226"/>
      <c r="AH121" s="72"/>
    </row>
    <row r="122" spans="1:34" x14ac:dyDescent="0.3">
      <c r="A122" s="100">
        <v>1979</v>
      </c>
      <c r="B122" s="226">
        <f>'C1-Incomes'!R27</f>
        <v>2472767.8843</v>
      </c>
      <c r="C122" s="226">
        <f>TOTALS!E24/1000000</f>
        <v>1229083.2</v>
      </c>
      <c r="D122" s="226">
        <f>'C0-Ref Stats'!AF25</f>
        <v>14396.550534216902</v>
      </c>
      <c r="E122" s="226">
        <f>TOTALS!G24/1000000</f>
        <v>33476.751115999999</v>
      </c>
      <c r="F122" s="226">
        <f>TOTALS!F24/1000000</f>
        <v>75591.681266</v>
      </c>
      <c r="G122" s="226">
        <f t="shared" si="26"/>
        <v>70707.169746783213</v>
      </c>
      <c r="H122" s="226">
        <f>TOTALS!S24/1000000</f>
        <v>14683.596495</v>
      </c>
      <c r="I122" s="226">
        <f>TOTALS!AD24/1000000</f>
        <v>37344.716242000002</v>
      </c>
      <c r="J122" s="226">
        <f>'C10-Adj by Source'!B25</f>
        <v>7841.9092999999411</v>
      </c>
      <c r="K122" s="226">
        <f>'C10-Adj by Source'!D25</f>
        <v>11206</v>
      </c>
      <c r="L122" s="226">
        <f>'C1-Incomes'!AH27-'C1-Incomes'!B27</f>
        <v>31278.255399999907</v>
      </c>
      <c r="M122" s="226">
        <f>'C10-Adj by Source'!O25+'C10-Adj by Source'!Q25</f>
        <v>1870.2302805691261</v>
      </c>
      <c r="N122" s="226">
        <f>'C10-Adj by Source'!AE25</f>
        <v>26384</v>
      </c>
      <c r="O122" s="226">
        <f>'C10-Adj by Source'!AS25</f>
        <v>43746</v>
      </c>
      <c r="P122" s="226">
        <f>'C10-Adj by Source'!S25</f>
        <v>101444</v>
      </c>
      <c r="Q122" s="226">
        <f>'C10-Adj by Source'!AC25</f>
        <v>80737</v>
      </c>
      <c r="R122" s="226">
        <f>'C10-Adj by Source'!AY25</f>
        <v>82587</v>
      </c>
      <c r="S122" s="226">
        <f>'C10-Adj by Source'!BA25</f>
        <v>74981</v>
      </c>
      <c r="T122" s="226">
        <f>'C10-Adj by Source'!AQ25</f>
        <v>82575.138774329345</v>
      </c>
      <c r="U122" s="226">
        <f>SUM('C10-Adj by Source'!BC25:BD25)</f>
        <v>92794.68516677458</v>
      </c>
      <c r="V122" s="226">
        <f>SUM('C10-Adj by Source'!BF25:BI25)</f>
        <v>135424</v>
      </c>
      <c r="W122" s="226">
        <f>'C10-Adj by Source'!BL25</f>
        <v>106894</v>
      </c>
      <c r="X122" s="226">
        <f>'C10-Adj by Source'!BW25</f>
        <v>27217</v>
      </c>
      <c r="Y122" s="226">
        <f>'C10-Adj by Source'!BP25+'C10-Adj by Source'!BZ25+'C10-Adj by Source'!BU25</f>
        <v>90504</v>
      </c>
      <c r="Z122" s="226"/>
      <c r="AA122" s="226"/>
      <c r="AB122" s="226">
        <f>'C1-Incomes'!B27</f>
        <v>1475283.6654000001</v>
      </c>
      <c r="AC122" s="226">
        <f t="shared" si="27"/>
        <v>0</v>
      </c>
      <c r="AD122" s="226"/>
      <c r="AE122" s="226">
        <f>'C1-Incomes'!R27-'C1-Incomes'!B27</f>
        <v>997484.21889999998</v>
      </c>
      <c r="AF122" s="226">
        <f t="shared" si="28"/>
        <v>-2.1672924049198627E-5</v>
      </c>
      <c r="AG122" s="226"/>
      <c r="AH122" s="72"/>
    </row>
    <row r="123" spans="1:34" x14ac:dyDescent="0.3">
      <c r="A123" s="100">
        <v>1980</v>
      </c>
      <c r="B123" s="226">
        <f>'C1-Incomes'!R28</f>
        <v>2695241.0954999998</v>
      </c>
      <c r="C123" s="226">
        <f>TOTALS!E25/1000000</f>
        <v>1349812</v>
      </c>
      <c r="D123" s="226">
        <f>'C0-Ref Stats'!AF26</f>
        <v>18534.445796927801</v>
      </c>
      <c r="E123" s="226">
        <f>TOTALS!G25/1000000</f>
        <v>38736.870510000001</v>
      </c>
      <c r="F123" s="226">
        <f>TOTALS!F25/1000000</f>
        <v>104164.016691</v>
      </c>
      <c r="G123" s="226">
        <f t="shared" si="26"/>
        <v>64780.543099072245</v>
      </c>
      <c r="H123" s="226">
        <f>TOTALS!S25/1000000</f>
        <v>10097.981433000001</v>
      </c>
      <c r="I123" s="226">
        <f>TOTALS!AD25/1000000</f>
        <v>43340.008670000003</v>
      </c>
      <c r="J123" s="226">
        <f>'C10-Adj by Source'!B26</f>
        <v>10695.984100000001</v>
      </c>
      <c r="K123" s="226">
        <f>'C10-Adj by Source'!D26</f>
        <v>12582.7</v>
      </c>
      <c r="L123" s="226">
        <f>'C1-Incomes'!AH28-'C1-Incomes'!B28</f>
        <v>30293.569900000002</v>
      </c>
      <c r="M123" s="226">
        <f>'C10-Adj by Source'!O26+'C10-Adj by Source'!Q26</f>
        <v>3653.1943881672432</v>
      </c>
      <c r="N123" s="226">
        <f>'C10-Adj by Source'!AE26</f>
        <v>27806</v>
      </c>
      <c r="O123" s="226">
        <f>'C10-Adj by Source'!AS26</f>
        <v>46652</v>
      </c>
      <c r="P123" s="226">
        <f>'C10-Adj by Source'!S26</f>
        <v>72300</v>
      </c>
      <c r="Q123" s="226">
        <f>'C10-Adj by Source'!AC26</f>
        <v>75484</v>
      </c>
      <c r="R123" s="226">
        <f>'C10-Adj by Source'!AY26</f>
        <v>88940</v>
      </c>
      <c r="S123" s="226">
        <f>'C10-Adj by Source'!BA26</f>
        <v>85247</v>
      </c>
      <c r="T123" s="226">
        <f>'C10-Adj by Source'!AQ26</f>
        <v>78165.980657016422</v>
      </c>
      <c r="U123" s="226">
        <f>SUM('C10-Adj by Source'!BC26:BD26)</f>
        <v>111350.50174727073</v>
      </c>
      <c r="V123" s="226">
        <f>SUM('C10-Adj by Source'!BF26:BI26)</f>
        <v>154117</v>
      </c>
      <c r="W123" s="226">
        <f>'C10-Adj by Source'!BL26</f>
        <v>123398</v>
      </c>
      <c r="X123" s="226">
        <f>'C10-Adj by Source'!BW26</f>
        <v>33190</v>
      </c>
      <c r="Y123" s="226">
        <f>'C10-Adj by Source'!BP26+'C10-Adj by Source'!BZ26+'C10-Adj by Source'!BU26</f>
        <v>111899</v>
      </c>
      <c r="Z123" s="226"/>
      <c r="AA123" s="226"/>
      <c r="AB123" s="226">
        <f>'C1-Incomes'!B28</f>
        <v>1629465.8662</v>
      </c>
      <c r="AC123" s="226">
        <f t="shared" si="27"/>
        <v>0</v>
      </c>
      <c r="AD123" s="226"/>
      <c r="AE123" s="226">
        <f>'C1-Incomes'!R28-'C1-Incomes'!B28</f>
        <v>1065775.2292999998</v>
      </c>
      <c r="AF123" s="226">
        <f t="shared" si="28"/>
        <v>0.2985075453761965</v>
      </c>
      <c r="AG123" s="226"/>
      <c r="AH123" s="72"/>
    </row>
    <row r="124" spans="1:34" x14ac:dyDescent="0.3">
      <c r="A124" s="100">
        <v>1981</v>
      </c>
      <c r="B124" s="226">
        <f>'C1-Incomes'!R29</f>
        <v>3026219.7379000001</v>
      </c>
      <c r="C124" s="226">
        <f>TOTALS!E26/1000000</f>
        <v>1486012.8</v>
      </c>
      <c r="D124" s="226">
        <f>'C0-Ref Stats'!AF27</f>
        <v>21273.038768258408</v>
      </c>
      <c r="E124" s="226">
        <f>TOTALS!G26/1000000</f>
        <v>46395.090079000001</v>
      </c>
      <c r="F124" s="226">
        <f>TOTALS!F26/1000000</f>
        <v>142590.533165</v>
      </c>
      <c r="G124" s="226">
        <f t="shared" si="26"/>
        <v>45366.449450541593</v>
      </c>
      <c r="H124" s="226">
        <f>TOTALS!S26/1000000</f>
        <v>-928.3272528</v>
      </c>
      <c r="I124" s="226">
        <f>TOTALS!AD26/1000000</f>
        <v>51884.754990000001</v>
      </c>
      <c r="J124" s="226">
        <f>'C10-Adj by Source'!B27</f>
        <v>16118.288399999961</v>
      </c>
      <c r="K124" s="226">
        <f>'C10-Adj by Source'!D27</f>
        <v>14848.6</v>
      </c>
      <c r="L124" s="226">
        <f>'C1-Incomes'!AH29-'C1-Incomes'!B29</f>
        <v>27317.309600000037</v>
      </c>
      <c r="M124" s="226">
        <f>'C10-Adj by Source'!O27+'C10-Adj by Source'!Q27</f>
        <v>6996.416734765362</v>
      </c>
      <c r="N124" s="226">
        <f>'C10-Adj by Source'!AE27</f>
        <v>31458</v>
      </c>
      <c r="O124" s="226">
        <f>'C10-Adj by Source'!AS27</f>
        <v>51392</v>
      </c>
      <c r="P124" s="226">
        <f>'C10-Adj by Source'!S27</f>
        <v>89399</v>
      </c>
      <c r="Q124" s="226">
        <f>'C10-Adj by Source'!AC27</f>
        <v>70315</v>
      </c>
      <c r="R124" s="226">
        <f>'C10-Adj by Source'!AY27</f>
        <v>103610</v>
      </c>
      <c r="S124" s="226">
        <f>'C10-Adj by Source'!BA27</f>
        <v>96941</v>
      </c>
      <c r="T124" s="226">
        <f>'C10-Adj by Source'!AQ27</f>
        <v>118793.84047308998</v>
      </c>
      <c r="U124" s="226">
        <f>SUM('C10-Adj by Source'!BC27:BD27)</f>
        <v>114760.54398774076</v>
      </c>
      <c r="V124" s="226">
        <f>SUM('C10-Adj by Source'!BF27:BI27)</f>
        <v>187588</v>
      </c>
      <c r="W124" s="226">
        <f>'C10-Adj by Source'!BL27</f>
        <v>143958</v>
      </c>
      <c r="X124" s="226">
        <f>'C10-Adj by Source'!BW27</f>
        <v>39777</v>
      </c>
      <c r="Y124" s="226">
        <f>'C10-Adj by Source'!BP27+'C10-Adj by Source'!BZ27+'C10-Adj by Source'!BU27</f>
        <v>120352</v>
      </c>
      <c r="Z124" s="226"/>
      <c r="AA124" s="226"/>
      <c r="AB124" s="226">
        <f>'C1-Incomes'!B29</f>
        <v>1792594.3392</v>
      </c>
      <c r="AC124" s="226">
        <f t="shared" si="27"/>
        <v>0</v>
      </c>
      <c r="AD124" s="226"/>
      <c r="AE124" s="226">
        <f>'C1-Incomes'!R29-'C1-Incomes'!B29</f>
        <v>1233625.3987</v>
      </c>
      <c r="AF124" s="226">
        <f t="shared" si="28"/>
        <v>0.39950440381653607</v>
      </c>
      <c r="AG124" s="226"/>
      <c r="AH124" s="72"/>
    </row>
    <row r="125" spans="1:34" x14ac:dyDescent="0.3">
      <c r="A125" s="100">
        <v>1982</v>
      </c>
      <c r="B125" s="226">
        <f>'C1-Incomes'!R30</f>
        <v>3179795.7579000001</v>
      </c>
      <c r="C125" s="226">
        <f>TOTALS!E27/1000000</f>
        <v>1564986.7</v>
      </c>
      <c r="D125" s="226">
        <f>'C0-Ref Stats'!AF28</f>
        <v>28803.518064802716</v>
      </c>
      <c r="E125" s="226">
        <f>TOTALS!G27/1000000</f>
        <v>52136.819391999998</v>
      </c>
      <c r="F125" s="226">
        <f>TOTALS!F27/1000000</f>
        <v>160035.866507</v>
      </c>
      <c r="G125" s="226">
        <f t="shared" si="26"/>
        <v>36590.429776997269</v>
      </c>
      <c r="H125" s="226">
        <f>TOTALS!S27/1000000</f>
        <v>-903.03309179999997</v>
      </c>
      <c r="I125" s="226">
        <f>TOTALS!AD27/1000000</f>
        <v>63085.105751000003</v>
      </c>
      <c r="J125" s="226">
        <f>'C10-Adj by Source'!B28</f>
        <v>16027.766199999955</v>
      </c>
      <c r="K125" s="226">
        <f>'C10-Adj by Source'!D28</f>
        <v>17631.25</v>
      </c>
      <c r="L125" s="226">
        <f>'C1-Incomes'!AH30-'C1-Incomes'!B30</f>
        <v>26360.22080000001</v>
      </c>
      <c r="M125" s="226">
        <f>'C10-Adj by Source'!O28+'C10-Adj by Source'!Q28</f>
        <v>-17040.049849316518</v>
      </c>
      <c r="N125" s="226">
        <f>'C10-Adj by Source'!AE28</f>
        <v>35262</v>
      </c>
      <c r="O125" s="226">
        <f>'C10-Adj by Source'!AS28</f>
        <v>52185</v>
      </c>
      <c r="P125" s="226">
        <f>'C10-Adj by Source'!S28</f>
        <v>85642</v>
      </c>
      <c r="Q125" s="226">
        <f>'C10-Adj by Source'!AC28</f>
        <v>51294</v>
      </c>
      <c r="R125" s="226">
        <f>'C10-Adj by Source'!AY28</f>
        <v>109769</v>
      </c>
      <c r="S125" s="226">
        <f>'C10-Adj by Source'!BA28</f>
        <v>107957</v>
      </c>
      <c r="T125" s="226">
        <f>'C10-Adj by Source'!AQ28</f>
        <v>125532.74405076687</v>
      </c>
      <c r="U125" s="226">
        <f>SUM('C10-Adj by Source'!BC28:BD28)</f>
        <v>137122.66955766967</v>
      </c>
      <c r="V125" s="226">
        <f>SUM('C10-Adj by Source'!BF28:BI28)</f>
        <v>187935</v>
      </c>
      <c r="W125" s="226">
        <f>'C10-Adj by Source'!BL28</f>
        <v>159479</v>
      </c>
      <c r="X125" s="226">
        <f>'C10-Adj by Source'!BW28</f>
        <v>47230</v>
      </c>
      <c r="Y125" s="226">
        <f>'C10-Adj by Source'!BP28+'C10-Adj by Source'!BZ28+'C10-Adj by Source'!BU28</f>
        <v>132673</v>
      </c>
      <c r="Z125" s="226"/>
      <c r="AA125" s="226"/>
      <c r="AB125" s="226">
        <f>'C1-Incomes'!B30</f>
        <v>1904735.4064</v>
      </c>
      <c r="AC125" s="226">
        <f t="shared" si="27"/>
        <v>0</v>
      </c>
      <c r="AD125" s="226"/>
      <c r="AE125" s="226">
        <f>'C1-Incomes'!R30-'C1-Incomes'!B30</f>
        <v>1275060.3515000001</v>
      </c>
      <c r="AF125" s="226">
        <f t="shared" si="28"/>
        <v>-0.24925911985337734</v>
      </c>
      <c r="AG125" s="226"/>
      <c r="AH125" s="72"/>
    </row>
    <row r="126" spans="1:34" ht="15" customHeight="1" x14ac:dyDescent="0.3">
      <c r="A126" s="100">
        <v>1983</v>
      </c>
      <c r="B126" s="226">
        <f>'C1-Incomes'!R31</f>
        <v>3426777.7873999998</v>
      </c>
      <c r="C126" s="226">
        <f>TOTALS!E28/1000000</f>
        <v>1644556.4</v>
      </c>
      <c r="D126" s="226">
        <f>'C0-Ref Stats'!AF29</f>
        <v>32822.494339830388</v>
      </c>
      <c r="E126" s="226">
        <f>TOTALS!G28/1000000</f>
        <v>48558.368046000003</v>
      </c>
      <c r="F126" s="226">
        <f>TOTALS!F28/1000000</f>
        <v>156872.104811</v>
      </c>
      <c r="G126" s="226">
        <f t="shared" si="26"/>
        <v>45028.064516769766</v>
      </c>
      <c r="H126" s="226">
        <f>TOTALS!S28/1000000</f>
        <v>-536.98598060000006</v>
      </c>
      <c r="I126" s="226">
        <f>TOTALS!AD28/1000000</f>
        <v>73365.193767000004</v>
      </c>
      <c r="J126" s="226">
        <f>'C10-Adj by Source'!B29</f>
        <v>20787.40280000004</v>
      </c>
      <c r="K126" s="226">
        <f>'C10-Adj by Source'!D29</f>
        <v>20991.75</v>
      </c>
      <c r="L126" s="226">
        <f>'C1-Incomes'!AH31-'C1-Incomes'!B31</f>
        <v>24675.776099999901</v>
      </c>
      <c r="M126" s="226">
        <f>'C10-Adj by Source'!O29+'C10-Adj by Source'!Q29</f>
        <v>-19787.933023956728</v>
      </c>
      <c r="N126" s="226">
        <f>'C10-Adj by Source'!AE29</f>
        <v>38337</v>
      </c>
      <c r="O126" s="226">
        <f>'C10-Adj by Source'!AS29</f>
        <v>54801</v>
      </c>
      <c r="P126" s="226">
        <f>'C10-Adj by Source'!S29</f>
        <v>115655</v>
      </c>
      <c r="Q126" s="226">
        <f>'C10-Adj by Source'!AC29</f>
        <v>66419</v>
      </c>
      <c r="R126" s="226">
        <f>'C10-Adj by Source'!AY29</f>
        <v>119882</v>
      </c>
      <c r="S126" s="226">
        <f>'C10-Adj by Source'!BA29</f>
        <v>117516</v>
      </c>
      <c r="T126" s="226">
        <f>'C10-Adj by Source'!AQ29</f>
        <v>136181.6286372137</v>
      </c>
      <c r="U126" s="226">
        <f>SUM('C10-Adj by Source'!BC29:BD29)</f>
        <v>162520.27051006001</v>
      </c>
      <c r="V126" s="226">
        <f>SUM('C10-Adj by Source'!BF29:BI29)</f>
        <v>201870</v>
      </c>
      <c r="W126" s="226">
        <f>'C10-Adj by Source'!BL29</f>
        <v>170437</v>
      </c>
      <c r="X126" s="226">
        <f>'C10-Adj by Source'!BW29</f>
        <v>53561</v>
      </c>
      <c r="Y126" s="226">
        <f>'C10-Adj by Source'!BP29+'C10-Adj by Source'!BZ29+'C10-Adj by Source'!BU29</f>
        <v>142265</v>
      </c>
      <c r="Z126" s="226"/>
      <c r="AA126" s="226"/>
      <c r="AB126" s="226">
        <f>'C1-Incomes'!B31</f>
        <v>2000665.6395</v>
      </c>
      <c r="AC126" s="226">
        <f t="shared" si="27"/>
        <v>0</v>
      </c>
      <c r="AD126" s="226"/>
      <c r="AE126" s="226">
        <f>'C1-Incomes'!R31-'C1-Incomes'!B31</f>
        <v>1426112.1478999997</v>
      </c>
      <c r="AF126" s="226">
        <f t="shared" si="28"/>
        <v>0.25287668267264962</v>
      </c>
      <c r="AG126" s="226"/>
      <c r="AH126" s="72"/>
    </row>
    <row r="127" spans="1:34" x14ac:dyDescent="0.3">
      <c r="A127" s="100">
        <v>1984</v>
      </c>
      <c r="B127" s="226">
        <f>'C1-Incomes'!R32</f>
        <v>3819730.0334999999</v>
      </c>
      <c r="C127" s="226">
        <f>TOTALS!E29/1000000</f>
        <v>1807113.9</v>
      </c>
      <c r="D127" s="226">
        <f>'C0-Ref Stats'!AF30</f>
        <v>30141.724765624833</v>
      </c>
      <c r="E127" s="226">
        <f>TOTALS!G29/1000000</f>
        <v>48637.146418999997</v>
      </c>
      <c r="F127" s="226">
        <f>TOTALS!F29/1000000</f>
        <v>179603.21299900001</v>
      </c>
      <c r="G127" s="226">
        <f t="shared" si="26"/>
        <v>33974.889426375201</v>
      </c>
      <c r="H127" s="226">
        <f>TOTALS!S29/1000000</f>
        <v>-2276.1841570000001</v>
      </c>
      <c r="I127" s="226">
        <f>TOTALS!AD29/1000000</f>
        <v>94882.035346999997</v>
      </c>
      <c r="J127" s="226">
        <f>'C10-Adj by Source'!B30</f>
        <v>26883.314799999818</v>
      </c>
      <c r="K127" s="226">
        <f>'C10-Adj by Source'!D30</f>
        <v>24044.15</v>
      </c>
      <c r="L127" s="226">
        <f>'C1-Incomes'!AH32-'C1-Incomes'!B32</f>
        <v>27031.240900000092</v>
      </c>
      <c r="M127" s="226">
        <f>'C10-Adj by Source'!O30+'C10-Adj by Source'!Q30</f>
        <v>-23720.694984876944</v>
      </c>
      <c r="N127" s="226">
        <f>'C10-Adj by Source'!AE30</f>
        <v>42078</v>
      </c>
      <c r="O127" s="226">
        <f>'C10-Adj by Source'!AS30</f>
        <v>56441</v>
      </c>
      <c r="P127" s="226">
        <f>'C10-Adj by Source'!S30</f>
        <v>149543</v>
      </c>
      <c r="Q127" s="226">
        <f>'C10-Adj by Source'!AC30</f>
        <v>81477</v>
      </c>
      <c r="R127" s="226">
        <f>'C10-Adj by Source'!AY30</f>
        <v>139038</v>
      </c>
      <c r="S127" s="226">
        <f>'C10-Adj by Source'!BA30</f>
        <v>128190</v>
      </c>
      <c r="T127" s="226">
        <f>'C10-Adj by Source'!AQ30</f>
        <v>189531.84519168877</v>
      </c>
      <c r="U127" s="226">
        <f>SUM('C10-Adj by Source'!BC30:BD30)</f>
        <v>178175.6026606583</v>
      </c>
      <c r="V127" s="226">
        <f>SUM('C10-Adj by Source'!BF30:BI30)</f>
        <v>233199</v>
      </c>
      <c r="W127" s="226">
        <f>'C10-Adj by Source'!BL30</f>
        <v>179092</v>
      </c>
      <c r="X127" s="226">
        <f>'C10-Adj by Source'!BW30</f>
        <v>59581</v>
      </c>
      <c r="Y127" s="226">
        <f>'C10-Adj by Source'!BP30+'C10-Adj by Source'!BZ30+'C10-Adj by Source'!BU30</f>
        <v>137069</v>
      </c>
      <c r="Z127" s="226"/>
      <c r="AA127" s="226"/>
      <c r="AB127" s="226">
        <f>'C1-Incomes'!B32</f>
        <v>2192076.7248</v>
      </c>
      <c r="AC127" s="226">
        <f t="shared" si="27"/>
        <v>0</v>
      </c>
      <c r="AD127" s="226"/>
      <c r="AE127" s="226">
        <f>'C1-Incomes'!R32-'C1-Incomes'!B32</f>
        <v>1627653.3086999999</v>
      </c>
      <c r="AF127" s="226">
        <f t="shared" si="28"/>
        <v>-0.14986747014336288</v>
      </c>
      <c r="AG127" s="226"/>
      <c r="AH127" s="72"/>
    </row>
    <row r="128" spans="1:34" x14ac:dyDescent="0.3">
      <c r="A128" s="100">
        <v>1985</v>
      </c>
      <c r="B128" s="226">
        <f>'C1-Incomes'!R33</f>
        <v>4081686.6335</v>
      </c>
      <c r="C128" s="226">
        <f>TOTALS!E30/1000000</f>
        <v>1928230</v>
      </c>
      <c r="D128" s="226">
        <f>'C0-Ref Stats'!AF31</f>
        <v>30232.794873059745</v>
      </c>
      <c r="E128" s="226">
        <f>TOTALS!G30/1000000</f>
        <v>55035.966364</v>
      </c>
      <c r="F128" s="226">
        <f>TOTALS!F30/1000000</f>
        <v>186316.92999900001</v>
      </c>
      <c r="G128" s="226">
        <f t="shared" si="26"/>
        <v>55231.918476940176</v>
      </c>
      <c r="H128" s="226">
        <f>TOTALS!S30/1000000</f>
        <v>-2648.5738259999998</v>
      </c>
      <c r="I128" s="226">
        <f>TOTALS!AD30/1000000</f>
        <v>95089.951012999998</v>
      </c>
      <c r="J128" s="226">
        <f>'C10-Adj by Source'!B31</f>
        <v>30296.201700000092</v>
      </c>
      <c r="K128" s="226">
        <f>'C10-Adj by Source'!D31</f>
        <v>27361.75</v>
      </c>
      <c r="L128" s="226">
        <f>'C1-Incomes'!AH33-'C1-Incomes'!B33</f>
        <v>24984.951400000136</v>
      </c>
      <c r="M128" s="226">
        <f>'C10-Adj by Source'!O31+'C10-Adj by Source'!Q31</f>
        <v>-24817.848610387155</v>
      </c>
      <c r="N128" s="226">
        <f>'C10-Adj by Source'!AE31</f>
        <v>46144</v>
      </c>
      <c r="O128" s="226">
        <f>'C10-Adj by Source'!AS31</f>
        <v>57166</v>
      </c>
      <c r="P128" s="226">
        <f>'C10-Adj by Source'!S31</f>
        <v>157536</v>
      </c>
      <c r="Q128" s="226">
        <f>'C10-Adj by Source'!AC31</f>
        <v>81610</v>
      </c>
      <c r="R128" s="226">
        <f>'C10-Adj by Source'!AY31</f>
        <v>147734</v>
      </c>
      <c r="S128" s="226">
        <f>'C10-Adj by Source'!BA31</f>
        <v>141706</v>
      </c>
      <c r="T128" s="226">
        <f>'C10-Adj by Source'!AQ31</f>
        <v>197671.90158377483</v>
      </c>
      <c r="U128" s="226">
        <f>SUM('C10-Adj by Source'!BC31:BD31)</f>
        <v>195381.44018363566</v>
      </c>
      <c r="V128" s="226">
        <f>SUM('C10-Adj by Source'!BF31:BI31)</f>
        <v>253924</v>
      </c>
      <c r="W128" s="226">
        <f>'C10-Adj by Source'!BL31</f>
        <v>189486</v>
      </c>
      <c r="X128" s="226">
        <f>'C10-Adj by Source'!BW31</f>
        <v>64107</v>
      </c>
      <c r="Y128" s="226">
        <f>'C10-Adj by Source'!BP31+'C10-Adj by Source'!BZ31+'C10-Adj by Source'!BU31</f>
        <v>143906</v>
      </c>
      <c r="Z128" s="226"/>
      <c r="AA128" s="226"/>
      <c r="AB128" s="226">
        <f>'C1-Incomes'!B33</f>
        <v>2347488.9868999999</v>
      </c>
      <c r="AC128" s="226">
        <f t="shared" si="27"/>
        <v>0</v>
      </c>
      <c r="AD128" s="226"/>
      <c r="AE128" s="226">
        <f>'C1-Incomes'!R33-'C1-Incomes'!B33</f>
        <v>1734197.6466000001</v>
      </c>
      <c r="AF128" s="226">
        <f t="shared" si="28"/>
        <v>0.25034297653473914</v>
      </c>
      <c r="AG128" s="226"/>
      <c r="AH128" s="72"/>
    </row>
    <row r="129" spans="1:34" x14ac:dyDescent="0.3">
      <c r="A129" s="100">
        <v>1986</v>
      </c>
      <c r="B129" s="226">
        <f>'C1-Incomes'!R34</f>
        <v>4271088.7170000002</v>
      </c>
      <c r="C129" s="226">
        <f>TOTALS!E31/1000000</f>
        <v>2034628.1</v>
      </c>
      <c r="D129" s="226">
        <f>'C0-Ref Stats'!AF32</f>
        <v>32341.031103672572</v>
      </c>
      <c r="E129" s="226">
        <f>TOTALS!G31/1000000</f>
        <v>61861.361341000003</v>
      </c>
      <c r="F129" s="226">
        <f>TOTALS!F31/1000000</f>
        <v>170959.08479600001</v>
      </c>
      <c r="G129" s="226">
        <f>AB129-C129-D129-E129-F129-H129-I129</f>
        <v>66064.793483327507</v>
      </c>
      <c r="H129" s="226">
        <f>TOTALS!S31/1000000</f>
        <v>-5849.9367089999996</v>
      </c>
      <c r="I129" s="226">
        <f>TOTALS!AD31/1000000</f>
        <v>107739.429085</v>
      </c>
      <c r="J129" s="226">
        <f>'C10-Adj by Source'!B32</f>
        <v>35306.330000000075</v>
      </c>
      <c r="K129" s="226">
        <f>'C10-Adj by Source'!D32</f>
        <v>31170.75</v>
      </c>
      <c r="L129" s="226">
        <f>'C1-Incomes'!AH34-'C1-Incomes'!B34</f>
        <v>22515.644899999723</v>
      </c>
      <c r="M129" s="226">
        <f>'C10-Adj by Source'!O32+'C10-Adj by Source'!Q32</f>
        <v>-21946.532437657366</v>
      </c>
      <c r="N129" s="226">
        <f>'C10-Adj by Source'!AE32</f>
        <v>51010</v>
      </c>
      <c r="O129" s="226">
        <f>'C10-Adj by Source'!AS32</f>
        <v>55688</v>
      </c>
      <c r="P129" s="226">
        <f>'C10-Adj by Source'!S32</f>
        <v>108519</v>
      </c>
      <c r="Q129" s="226">
        <f>'C10-Adj by Source'!AC32</f>
        <v>91871</v>
      </c>
      <c r="R129" s="226">
        <f>'C10-Adj by Source'!AY32</f>
        <v>157869</v>
      </c>
      <c r="S129" s="226">
        <f>'C10-Adj by Source'!BA32</f>
        <v>153444</v>
      </c>
      <c r="T129" s="226">
        <f>'C10-Adj by Source'!AQ32</f>
        <v>206322.80735636168</v>
      </c>
      <c r="U129" s="226">
        <f>SUM('C10-Adj by Source'!BC32:BD32)</f>
        <v>227393.60532669516</v>
      </c>
      <c r="V129" s="226">
        <f>SUM('C10-Adj by Source'!BF32:BI32)</f>
        <v>261296</v>
      </c>
      <c r="W129" s="226">
        <f>'C10-Adj by Source'!BL32</f>
        <v>199982</v>
      </c>
      <c r="X129" s="226">
        <f>'C10-Adj by Source'!BW32</f>
        <v>69547</v>
      </c>
      <c r="Y129" s="226">
        <f>'C10-Adj by Source'!BP32+'C10-Adj by Source'!BZ32+'C10-Adj by Source'!BU32</f>
        <v>153356</v>
      </c>
      <c r="Z129" s="226"/>
      <c r="AA129" s="226"/>
      <c r="AB129" s="226">
        <f>'C1-Incomes'!B34</f>
        <v>2467743.8631000002</v>
      </c>
      <c r="AC129" s="226">
        <f>AB129-SUM(C129:I129)</f>
        <v>0</v>
      </c>
      <c r="AD129" s="226"/>
      <c r="AE129" s="226">
        <f>'C1-Incomes'!R34-'C1-Incomes'!B34</f>
        <v>1803344.8539</v>
      </c>
      <c r="AF129" s="226">
        <f>AE129-SUM(J129:Y129)</f>
        <v>0.24875460076145828</v>
      </c>
      <c r="AG129" s="226"/>
      <c r="AH129" s="72"/>
    </row>
    <row r="130" spans="1:34" x14ac:dyDescent="0.3">
      <c r="A130" s="100">
        <v>1987</v>
      </c>
      <c r="B130" s="226">
        <f>'C1-Incomes'!R35</f>
        <v>4559701.5965999998</v>
      </c>
      <c r="C130" s="226">
        <f>TOTALS!E32/1000000</f>
        <v>2163788.1</v>
      </c>
      <c r="D130" s="226">
        <f>'C0-Ref Stats'!AF33</f>
        <v>26480.408329041402</v>
      </c>
      <c r="E130" s="226">
        <f>TOTALS!G32/1000000</f>
        <v>66802.717432999998</v>
      </c>
      <c r="F130" s="226">
        <f>TOTALS!F32/1000000</f>
        <v>170899.616958</v>
      </c>
      <c r="G130" s="226">
        <f t="shared" si="26"/>
        <v>91049.943459958362</v>
      </c>
      <c r="H130" s="226">
        <f>TOTALS!S32/1000000</f>
        <v>24329.393674999999</v>
      </c>
      <c r="I130" s="226">
        <f>TOTALS!AD32/1000000</f>
        <v>124753.877545</v>
      </c>
      <c r="J130" s="226"/>
      <c r="K130" s="226">
        <f>'C10-Adj by Source'!D33</f>
        <v>30550.842477999999</v>
      </c>
      <c r="L130" s="226">
        <f>'C1-Incomes'!AH35-'C1-Incomes'!B35</f>
        <v>43174.307700000238</v>
      </c>
      <c r="M130" s="226">
        <f>'C10-Adj by Source'!O33+'C10-Adj by Source'!Q33</f>
        <v>3205.2927166524241</v>
      </c>
      <c r="N130" s="226">
        <f>'C10-Adj by Source'!AE33</f>
        <v>55112</v>
      </c>
      <c r="O130" s="226">
        <f>'C10-Adj by Source'!AS33</f>
        <v>61461</v>
      </c>
      <c r="P130" s="226">
        <f>'C10-Adj by Source'!S33</f>
        <v>123230</v>
      </c>
      <c r="Q130" s="226">
        <f>'C10-Adj by Source'!AC33</f>
        <v>112702</v>
      </c>
      <c r="R130" s="226">
        <f>'C10-Adj by Source'!AY33</f>
        <v>166260</v>
      </c>
      <c r="S130" s="226">
        <f>'C10-Adj by Source'!BA33</f>
        <v>166826</v>
      </c>
      <c r="T130" s="226">
        <f>'C10-Adj by Source'!AQ33</f>
        <v>208673.67958908266</v>
      </c>
      <c r="U130" s="226">
        <f>SUM('C10-Adj by Source'!BC33:BD33)</f>
        <v>212338.41846015002</v>
      </c>
      <c r="V130" s="226">
        <f>SUM('C10-Adj by Source'!BF33:BI33)</f>
        <v>267560</v>
      </c>
      <c r="W130" s="226">
        <f>'C10-Adj by Source'!BL33</f>
        <v>207473</v>
      </c>
      <c r="X130" s="226">
        <f>'C10-Adj by Source'!BW33</f>
        <v>74176</v>
      </c>
      <c r="Y130" s="226">
        <f>'C10-Adj by Source'!BP33+'C10-Adj by Source'!BZ33+'C10-Adj by Source'!BU33</f>
        <v>158855</v>
      </c>
      <c r="Z130" s="226"/>
      <c r="AA130" s="226"/>
      <c r="AB130" s="226">
        <f>'C1-Incomes'!B35</f>
        <v>2668104.0573999998</v>
      </c>
      <c r="AC130" s="226">
        <f t="shared" si="27"/>
        <v>0</v>
      </c>
      <c r="AD130" s="226"/>
      <c r="AE130" s="226">
        <f>'C1-Incomes'!R35-'C1-Incomes'!B35</f>
        <v>1891597.5392</v>
      </c>
      <c r="AF130" s="226">
        <f t="shared" si="28"/>
        <v>-1.7438854556530714E-3</v>
      </c>
      <c r="AG130" s="226"/>
      <c r="AH130" s="72"/>
    </row>
    <row r="131" spans="1:34" x14ac:dyDescent="0.3">
      <c r="A131" s="100">
        <v>1988</v>
      </c>
      <c r="B131" s="226">
        <f>'C1-Incomes'!R36</f>
        <v>4961475.5431000004</v>
      </c>
      <c r="C131" s="226">
        <f>TOTALS!E33/1000000</f>
        <v>2337962</v>
      </c>
      <c r="D131" s="226">
        <f>'C0-Ref Stats'!AF34</f>
        <v>25308.406852318505</v>
      </c>
      <c r="E131" s="226">
        <f>TOTALS!G33/1000000</f>
        <v>77329.506125</v>
      </c>
      <c r="F131" s="226">
        <f>TOTALS!F33/1000000</f>
        <v>188684.82081800001</v>
      </c>
      <c r="G131" s="226">
        <f t="shared" si="26"/>
        <v>121410.39244201963</v>
      </c>
      <c r="H131" s="226">
        <f>TOTALS!S33/1000000</f>
        <v>57080.225883999999</v>
      </c>
      <c r="I131" s="226">
        <f>TOTALS!AD33/1000000</f>
        <v>149903.89459700001</v>
      </c>
      <c r="J131" s="226"/>
      <c r="K131" s="226">
        <f>'C10-Adj by Source'!D34</f>
        <v>32604.397671999999</v>
      </c>
      <c r="L131" s="226">
        <f>'C1-Incomes'!AH36-'C1-Incomes'!B36</f>
        <v>49030.702481661923</v>
      </c>
      <c r="M131" s="226">
        <f>'C10-Adj by Source'!O34+'C10-Adj by Source'!Q34</f>
        <v>6973.7291560422091</v>
      </c>
      <c r="N131" s="226">
        <f>'C10-Adj by Source'!AE34</f>
        <v>60149</v>
      </c>
      <c r="O131" s="226">
        <f>'C10-Adj by Source'!AS34</f>
        <v>72761</v>
      </c>
      <c r="P131" s="226">
        <f>'C10-Adj by Source'!S34</f>
        <v>143330</v>
      </c>
      <c r="Q131" s="226">
        <f>'C10-Adj by Source'!AC34</f>
        <v>124266</v>
      </c>
      <c r="R131" s="226">
        <f>'C10-Adj by Source'!AY34</f>
        <v>184633</v>
      </c>
      <c r="S131" s="226">
        <f>'C10-Adj by Source'!BA34</f>
        <v>187905</v>
      </c>
      <c r="T131" s="226">
        <f>'C10-Adj by Source'!AQ34</f>
        <v>200908.00019141444</v>
      </c>
      <c r="U131" s="226">
        <f>SUM('C10-Adj by Source'!BC34:BD34)</f>
        <v>184656.46590033403</v>
      </c>
      <c r="V131" s="226">
        <f>SUM('C10-Adj by Source'!BF34:BI34)</f>
        <v>288476</v>
      </c>
      <c r="W131" s="226">
        <f>'C10-Adj by Source'!BL34</f>
        <v>220624</v>
      </c>
      <c r="X131" s="226">
        <f>'C10-Adj by Source'!BW34</f>
        <v>77528</v>
      </c>
      <c r="Y131" s="226">
        <f>'C10-Adj by Source'!BP34+'C10-Adj by Source'!BZ34+'C10-Adj by Source'!BU34</f>
        <v>169951</v>
      </c>
      <c r="Z131" s="226"/>
      <c r="AA131" s="226"/>
      <c r="AB131" s="226">
        <f>'C1-Incomes'!B36</f>
        <v>2957679.2467183382</v>
      </c>
      <c r="AC131" s="226">
        <f t="shared" si="27"/>
        <v>0</v>
      </c>
      <c r="AD131" s="226"/>
      <c r="AE131" s="226">
        <f>'C1-Incomes'!R36-'C1-Incomes'!B36</f>
        <v>2003796.2963816621</v>
      </c>
      <c r="AF131" s="226">
        <f t="shared" si="28"/>
        <v>9.8020955920219421E-4</v>
      </c>
      <c r="AG131" s="226"/>
      <c r="AH131" s="72"/>
    </row>
    <row r="132" spans="1:34" x14ac:dyDescent="0.3">
      <c r="A132" s="100">
        <v>1989</v>
      </c>
      <c r="B132" s="226">
        <f>'C1-Incomes'!R37</f>
        <v>5291003.0393000003</v>
      </c>
      <c r="C132" s="226">
        <f>TOTALS!E34/1000000</f>
        <v>2449518.7000000002</v>
      </c>
      <c r="D132" s="226">
        <f>'C0-Ref Stats'!AF35</f>
        <v>24640.00708603868</v>
      </c>
      <c r="E132" s="226">
        <f>TOTALS!G34/1000000</f>
        <v>81307.414938999995</v>
      </c>
      <c r="F132" s="226">
        <f>TOTALS!F34/1000000</f>
        <v>221660.17537300001</v>
      </c>
      <c r="G132" s="226">
        <f t="shared" si="26"/>
        <v>130638.28122319299</v>
      </c>
      <c r="H132" s="226">
        <f>TOTALS!S34/1000000</f>
        <v>63092.056662000003</v>
      </c>
      <c r="I132" s="226">
        <f>TOTALS!AD34/1000000</f>
        <v>161233.90569099999</v>
      </c>
      <c r="J132" s="226"/>
      <c r="K132" s="226">
        <f>'C10-Adj by Source'!D35</f>
        <v>37321.573773999997</v>
      </c>
      <c r="L132" s="226">
        <f>'C1-Incomes'!AH37-'C1-Incomes'!B37</f>
        <v>53705.794625767972</v>
      </c>
      <c r="M132" s="226">
        <f>'C10-Adj by Source'!O35+'C10-Adj by Source'!Q35</f>
        <v>13592.702956941997</v>
      </c>
      <c r="N132" s="226">
        <f>'C10-Adj by Source'!AE35</f>
        <v>66814</v>
      </c>
      <c r="O132" s="226">
        <f>'C10-Adj by Source'!AS35</f>
        <v>79712</v>
      </c>
      <c r="P132" s="226">
        <f>'C10-Adj by Source'!S35</f>
        <v>110199</v>
      </c>
      <c r="Q132" s="226">
        <f>'C10-Adj by Source'!AC35</f>
        <v>124422</v>
      </c>
      <c r="R132" s="226">
        <f>'C10-Adj by Source'!AY35</f>
        <v>193673</v>
      </c>
      <c r="S132" s="226">
        <f>'C10-Adj by Source'!BA35</f>
        <v>208068</v>
      </c>
      <c r="T132" s="226">
        <f>'C10-Adj by Source'!AQ35</f>
        <v>217319.39466640336</v>
      </c>
      <c r="U132" s="226">
        <f>SUM('C10-Adj by Source'!BC35:BD35)</f>
        <v>227437.02943736798</v>
      </c>
      <c r="V132" s="226">
        <f>SUM('C10-Adj by Source'!BF35:BI35)</f>
        <v>317841</v>
      </c>
      <c r="W132" s="226">
        <f>'C10-Adj by Source'!BL35</f>
        <v>234338</v>
      </c>
      <c r="X132" s="226">
        <f>'C10-Adj by Source'!BW35</f>
        <v>85912</v>
      </c>
      <c r="Y132" s="226">
        <f>'C10-Adj by Source'!BP35+'C10-Adj by Source'!BZ35+'C10-Adj by Source'!BU35</f>
        <v>188557</v>
      </c>
      <c r="Z132" s="226"/>
      <c r="AA132" s="226"/>
      <c r="AB132" s="226">
        <f>'C1-Incomes'!B37</f>
        <v>3132090.5409742319</v>
      </c>
      <c r="AC132" s="226">
        <f t="shared" si="27"/>
        <v>0</v>
      </c>
      <c r="AD132" s="226"/>
      <c r="AE132" s="226">
        <f>'C1-Incomes'!R37-'C1-Incomes'!B37</f>
        <v>2158912.4983257684</v>
      </c>
      <c r="AF132" s="226">
        <f t="shared" si="28"/>
        <v>2.865287009626627E-3</v>
      </c>
      <c r="AG132" s="226"/>
      <c r="AH132" s="72"/>
    </row>
    <row r="133" spans="1:34" x14ac:dyDescent="0.3">
      <c r="A133" s="100">
        <v>1990</v>
      </c>
      <c r="B133" s="226">
        <f>'C1-Incomes'!R38</f>
        <v>5599448.3460999997</v>
      </c>
      <c r="C133" s="226">
        <f>TOTALS!E35/1000000</f>
        <v>2599401.2999999998</v>
      </c>
      <c r="D133" s="226">
        <f>'C0-Ref Stats'!AF36</f>
        <v>29572.286717754072</v>
      </c>
      <c r="E133" s="226">
        <f>TOTALS!G35/1000000</f>
        <v>80168.536441000004</v>
      </c>
      <c r="F133" s="226">
        <f>TOTALS!F35/1000000</f>
        <v>228741.65604199999</v>
      </c>
      <c r="G133" s="226">
        <f t="shared" si="26"/>
        <v>138920.23223215467</v>
      </c>
      <c r="H133" s="226">
        <f>TOTALS!S35/1000000</f>
        <v>67022.230677</v>
      </c>
      <c r="I133" s="226">
        <f>TOTALS!AD35/1000000</f>
        <v>176848.82479700001</v>
      </c>
      <c r="J133" s="226"/>
      <c r="K133" s="226">
        <f>'C10-Adj by Source'!D36</f>
        <v>39998.900526999998</v>
      </c>
      <c r="L133" s="226">
        <f>'C1-Incomes'!AH38-'C1-Incomes'!B38</f>
        <v>53524.738393091597</v>
      </c>
      <c r="M133" s="226">
        <f>'C10-Adj by Source'!O36+'C10-Adj by Source'!Q36</f>
        <v>17324.889636341781</v>
      </c>
      <c r="N133" s="226">
        <f>'C10-Adj by Source'!AE36</f>
        <v>72798</v>
      </c>
      <c r="O133" s="226">
        <f>'C10-Adj by Source'!AS36</f>
        <v>88667</v>
      </c>
      <c r="P133" s="226">
        <f>'C10-Adj by Source'!S36</f>
        <v>102666</v>
      </c>
      <c r="Q133" s="226">
        <f>'C10-Adj by Source'!AC36</f>
        <v>121816</v>
      </c>
      <c r="R133" s="226">
        <f>'C10-Adj by Source'!AY36</f>
        <v>206451</v>
      </c>
      <c r="S133" s="226">
        <f>'C10-Adj by Source'!BA36</f>
        <v>231916</v>
      </c>
      <c r="T133" s="226">
        <f>'C10-Adj by Source'!AQ36</f>
        <v>219931.44927348403</v>
      </c>
      <c r="U133" s="226">
        <f>SUM('C10-Adj by Source'!BC36:BD36)</f>
        <v>226378.29965727101</v>
      </c>
      <c r="V133" s="226">
        <f>SUM('C10-Adj by Source'!BF36:BI36)</f>
        <v>333947</v>
      </c>
      <c r="W133" s="226">
        <f>'C10-Adj by Source'!BL36</f>
        <v>251356</v>
      </c>
      <c r="X133" s="226">
        <f>'C10-Adj by Source'!BW36</f>
        <v>96318</v>
      </c>
      <c r="Y133" s="226">
        <f>'C10-Adj by Source'!BP36+'C10-Adj by Source'!BZ36+'C10-Adj by Source'!BU36</f>
        <v>215680</v>
      </c>
      <c r="Z133" s="226"/>
      <c r="AA133" s="226"/>
      <c r="AB133" s="226">
        <f>'C1-Incomes'!B38</f>
        <v>3320675.0669069085</v>
      </c>
      <c r="AC133" s="226">
        <f t="shared" si="27"/>
        <v>0</v>
      </c>
      <c r="AD133" s="226"/>
      <c r="AE133" s="226">
        <f>'C1-Incomes'!R38-'C1-Incomes'!B38</f>
        <v>2278773.2791930912</v>
      </c>
      <c r="AF133" s="226">
        <f t="shared" si="28"/>
        <v>1.7059026286005974E-3</v>
      </c>
      <c r="AG133" s="226"/>
      <c r="AH133" s="72"/>
    </row>
    <row r="134" spans="1:34" x14ac:dyDescent="0.3">
      <c r="A134" s="100">
        <v>1991</v>
      </c>
      <c r="B134" s="226">
        <f>'C1-Incomes'!R39</f>
        <v>5824696.0979000004</v>
      </c>
      <c r="C134" s="226">
        <f>TOTALS!E36/1000000</f>
        <v>2674260.7999999998</v>
      </c>
      <c r="D134" s="226">
        <f>'C0-Ref Stats'!AF37</f>
        <v>31886.990277597746</v>
      </c>
      <c r="E134" s="226">
        <f>TOTALS!G36/1000000</f>
        <v>77284.498452999993</v>
      </c>
      <c r="F134" s="226">
        <f>TOTALS!F36/1000000</f>
        <v>210926.04896700001</v>
      </c>
      <c r="G134" s="226">
        <f t="shared" si="26"/>
        <v>130221.88456379517</v>
      </c>
      <c r="H134" s="226">
        <f>TOTALS!S36/1000000</f>
        <v>63190.388916000004</v>
      </c>
      <c r="I134" s="226">
        <f>TOTALS!AD36/1000000</f>
        <v>197128.80959700001</v>
      </c>
      <c r="J134" s="550"/>
      <c r="K134" s="226">
        <f>'C10-Adj by Source'!D37</f>
        <v>42831.252594999998</v>
      </c>
      <c r="L134" s="226">
        <f>'C1-Incomes'!AH39-'C1-Incomes'!B39</f>
        <v>47519.721925607417</v>
      </c>
      <c r="M134" s="226">
        <f>'C10-Adj by Source'!O37+'C10-Adj by Source'!Q37</f>
        <v>26403.92730800157</v>
      </c>
      <c r="N134" s="226">
        <f>'C10-Adj by Source'!AE37</f>
        <v>80678</v>
      </c>
      <c r="O134" s="226">
        <f>'C10-Adj by Source'!AS37</f>
        <v>101195</v>
      </c>
      <c r="P134" s="226">
        <f>'C10-Adj by Source'!S37</f>
        <v>132225</v>
      </c>
      <c r="Q134" s="226">
        <f>'C10-Adj by Source'!AC37</f>
        <v>117813</v>
      </c>
      <c r="R134" s="226">
        <f>'C10-Adj by Source'!AY37</f>
        <v>215132</v>
      </c>
      <c r="S134" s="226">
        <f>'C10-Adj by Source'!BA37</f>
        <v>252140</v>
      </c>
      <c r="T134" s="226">
        <f>'C10-Adj by Source'!AQ37</f>
        <v>224331.00148519516</v>
      </c>
      <c r="U134" s="226">
        <f>SUM('C10-Adj by Source'!BC37:BD37)</f>
        <v>211682.77272415994</v>
      </c>
      <c r="V134" s="226">
        <f>SUM('C10-Adj by Source'!BF37:BI37)</f>
        <v>349272</v>
      </c>
      <c r="W134" s="226">
        <f>'C10-Adj by Source'!BL37</f>
        <v>271717</v>
      </c>
      <c r="X134" s="226">
        <f>'C10-Adj by Source'!BW37</f>
        <v>105553</v>
      </c>
      <c r="Y134" s="226">
        <f>'C10-Adj by Source'!BP37+'C10-Adj by Source'!BZ37+'C10-Adj by Source'!BU37</f>
        <v>261303</v>
      </c>
      <c r="Z134" s="226"/>
      <c r="AA134" s="226"/>
      <c r="AB134" s="226">
        <f>'C1-Incomes'!B39</f>
        <v>3384899.4207743928</v>
      </c>
      <c r="AC134" s="226">
        <f t="shared" si="27"/>
        <v>0</v>
      </c>
      <c r="AD134" s="226"/>
      <c r="AE134" s="226">
        <f>'C1-Incomes'!R39-'C1-Incomes'!B39</f>
        <v>2439796.6771256076</v>
      </c>
      <c r="AF134" s="226">
        <f t="shared" si="28"/>
        <v>1.0876432061195374E-3</v>
      </c>
      <c r="AG134" s="226"/>
      <c r="AH134" s="72"/>
    </row>
    <row r="135" spans="1:34" x14ac:dyDescent="0.3">
      <c r="A135" s="100">
        <v>1992</v>
      </c>
      <c r="B135" s="226">
        <f>'C1-Incomes'!R40</f>
        <v>6217420.9360999996</v>
      </c>
      <c r="C135" s="226">
        <f>TOTALS!E37/1000000</f>
        <v>2796800.3</v>
      </c>
      <c r="D135" s="226">
        <f>'C0-Ref Stats'!AF38</f>
        <v>47843.664230618255</v>
      </c>
      <c r="E135" s="226">
        <f>TOTALS!G37/1000000</f>
        <v>77925.720191</v>
      </c>
      <c r="F135" s="226">
        <f>TOTALS!F37/1000000</f>
        <v>163952.99618700001</v>
      </c>
      <c r="G135" s="226">
        <f t="shared" si="26"/>
        <v>154573.94506680116</v>
      </c>
      <c r="H135" s="226">
        <f>TOTALS!S37/1000000</f>
        <v>87651.510502000005</v>
      </c>
      <c r="I135" s="226">
        <f>TOTALS!AD37/1000000</f>
        <v>212764.94365299999</v>
      </c>
      <c r="J135" s="226"/>
      <c r="K135" s="226">
        <f>'C10-Adj by Source'!D38</f>
        <v>45432.320639999998</v>
      </c>
      <c r="L135" s="226">
        <f>'C1-Incomes'!AH40-'C1-Incomes'!B40</f>
        <v>47428.197769580875</v>
      </c>
      <c r="M135" s="226">
        <f>'C10-Adj by Source'!O38+'C10-Adj by Source'!Q38</f>
        <v>28500.83476477136</v>
      </c>
      <c r="N135" s="226">
        <f>'C10-Adj by Source'!AE38</f>
        <v>85907</v>
      </c>
      <c r="O135" s="226">
        <f>'C10-Adj by Source'!AS38</f>
        <v>118586</v>
      </c>
      <c r="P135" s="226">
        <f>'C10-Adj by Source'!S38</f>
        <v>137067</v>
      </c>
      <c r="Q135" s="226">
        <f>'C10-Adj by Source'!AC38</f>
        <v>131914</v>
      </c>
      <c r="R135" s="226">
        <f>'C10-Adj by Source'!AY38</f>
        <v>228398</v>
      </c>
      <c r="S135" s="226">
        <f>'C10-Adj by Source'!BA38</f>
        <v>283743</v>
      </c>
      <c r="T135" s="226">
        <f>'C10-Adj by Source'!AQ38</f>
        <v>240552.03255745838</v>
      </c>
      <c r="U135" s="226">
        <f>SUM('C10-Adj by Source'!BC38:BD38)</f>
        <v>247980.46955292003</v>
      </c>
      <c r="V135" s="226">
        <f>SUM('C10-Adj by Source'!BF38:BI38)</f>
        <v>362726</v>
      </c>
      <c r="W135" s="226">
        <f>'C10-Adj by Source'!BL38</f>
        <v>289520</v>
      </c>
      <c r="X135" s="226">
        <f>'C10-Adj by Source'!BW38</f>
        <v>118519</v>
      </c>
      <c r="Y135" s="226">
        <f>'C10-Adj by Source'!BP38+'C10-Adj by Source'!BZ38+'C10-Adj by Source'!BU38</f>
        <v>309634</v>
      </c>
      <c r="Z135" s="226"/>
      <c r="AA135" s="226"/>
      <c r="AB135" s="226">
        <f>'C1-Incomes'!B40</f>
        <v>3541513.0798304193</v>
      </c>
      <c r="AC135" s="226">
        <f t="shared" si="27"/>
        <v>0</v>
      </c>
      <c r="AD135" s="226"/>
      <c r="AE135" s="226">
        <f>'C1-Incomes'!R40-'C1-Incomes'!B40</f>
        <v>2675907.8562695803</v>
      </c>
      <c r="AF135" s="226">
        <f t="shared" si="28"/>
        <v>9.8484987393021584E-4</v>
      </c>
      <c r="AG135" s="226"/>
      <c r="AH135" s="72"/>
    </row>
    <row r="136" spans="1:34" x14ac:dyDescent="0.3">
      <c r="A136" s="100">
        <v>1993</v>
      </c>
      <c r="B136" s="226">
        <f>'C1-Incomes'!R41</f>
        <v>6519526.1840000004</v>
      </c>
      <c r="C136" s="226">
        <f>TOTALS!E38/1000000</f>
        <v>2892120.4</v>
      </c>
      <c r="D136" s="226">
        <f>'C0-Ref Stats'!AF39</f>
        <v>50808.559667757429</v>
      </c>
      <c r="E136" s="226">
        <f>TOTALS!G38/1000000</f>
        <v>79728.631125</v>
      </c>
      <c r="F136" s="226">
        <f>TOTALS!F38/1000000</f>
        <v>132869.78681300001</v>
      </c>
      <c r="G136" s="226">
        <f t="shared" si="26"/>
        <v>147487.68464698779</v>
      </c>
      <c r="H136" s="226">
        <f>TOTALS!S38/1000000</f>
        <v>92868.064857999998</v>
      </c>
      <c r="I136" s="226">
        <f>TOTALS!AD38/1000000</f>
        <v>221094.673232</v>
      </c>
      <c r="J136" s="226"/>
      <c r="K136" s="226">
        <f>'C10-Adj by Source'!D39</f>
        <v>46170.306726000003</v>
      </c>
      <c r="L136" s="226">
        <f>'C1-Incomes'!AH41-'C1-Incomes'!B41</f>
        <v>46180.182857254986</v>
      </c>
      <c r="M136" s="226">
        <f>'C10-Adj by Source'!O39+'C10-Adj by Source'!Q39</f>
        <v>30649.607340241146</v>
      </c>
      <c r="N136" s="226">
        <f>'C10-Adj by Source'!AE39</f>
        <v>88424</v>
      </c>
      <c r="O136" s="226">
        <f>'C10-Adj by Source'!AS39</f>
        <v>141435</v>
      </c>
      <c r="P136" s="226">
        <f>'C10-Adj by Source'!S39</f>
        <v>145644</v>
      </c>
      <c r="Q136" s="226">
        <f>'C10-Adj by Source'!AC39</f>
        <v>155047</v>
      </c>
      <c r="R136" s="226">
        <f>'C10-Adj by Source'!AY39</f>
        <v>239679</v>
      </c>
      <c r="S136" s="226">
        <f>'C10-Adj by Source'!BA39</f>
        <v>304432</v>
      </c>
      <c r="T136" s="226">
        <f>'C10-Adj by Source'!AQ39</f>
        <v>293850.96679276746</v>
      </c>
      <c r="U136" s="226">
        <f>SUM('C10-Adj by Source'!BC39:BD39)</f>
        <v>272798.32180183701</v>
      </c>
      <c r="V136" s="226">
        <f>SUM('C10-Adj by Source'!BF39:BI39)</f>
        <v>373496</v>
      </c>
      <c r="W136" s="226">
        <f>'C10-Adj by Source'!BL39</f>
        <v>305760</v>
      </c>
      <c r="X136" s="226">
        <f>'C10-Adj by Source'!BW39</f>
        <v>132592</v>
      </c>
      <c r="Y136" s="226">
        <f>'C10-Adj by Source'!BP39+'C10-Adj by Source'!BZ39+'C10-Adj by Source'!BU39</f>
        <v>326390</v>
      </c>
      <c r="Z136" s="226"/>
      <c r="AA136" s="226"/>
      <c r="AB136" s="226">
        <f>'C1-Incomes'!B41</f>
        <v>3616977.8003427451</v>
      </c>
      <c r="AC136" s="226">
        <f t="shared" si="27"/>
        <v>0</v>
      </c>
      <c r="AD136" s="226"/>
      <c r="AE136" s="226">
        <f>'C1-Incomes'!R41-'C1-Incomes'!B41</f>
        <v>2902548.3836572552</v>
      </c>
      <c r="AF136" s="226">
        <f t="shared" si="28"/>
        <v>-1.8608453683555126E-3</v>
      </c>
      <c r="AG136" s="226"/>
      <c r="AH136" s="72"/>
    </row>
    <row r="137" spans="1:34" x14ac:dyDescent="0.3">
      <c r="A137" s="100">
        <v>1994</v>
      </c>
      <c r="B137" s="226">
        <f>'C1-Incomes'!R42</f>
        <v>6938551.0152000003</v>
      </c>
      <c r="C137" s="226">
        <f>TOTALS!E39/1000000</f>
        <v>3026777.7</v>
      </c>
      <c r="D137" s="226">
        <f>'C0-Ref Stats'!AF40</f>
        <v>52791.56170272638</v>
      </c>
      <c r="E137" s="226">
        <f>TOTALS!G39/1000000</f>
        <v>82410.236613999994</v>
      </c>
      <c r="F137" s="226">
        <f>TOTALS!F39/1000000</f>
        <v>128207.953251</v>
      </c>
      <c r="G137" s="226">
        <f t="shared" si="26"/>
        <v>157848.78090413325</v>
      </c>
      <c r="H137" s="226">
        <f>TOTALS!S39/1000000</f>
        <v>114385.84542</v>
      </c>
      <c r="I137" s="226">
        <f>TOTALS!AD39/1000000</f>
        <v>238529.08635500001</v>
      </c>
      <c r="J137" s="226"/>
      <c r="K137" s="226">
        <f>'C10-Adj by Source'!D40</f>
        <v>47907.045584</v>
      </c>
      <c r="L137" s="226">
        <f>'C1-Incomes'!AH42-'C1-Incomes'!B42</f>
        <v>50221.676953140181</v>
      </c>
      <c r="M137" s="226">
        <f>'C10-Adj by Source'!O40+'C10-Adj by Source'!Q40</f>
        <v>32562.237919910931</v>
      </c>
      <c r="N137" s="226">
        <f>'C10-Adj by Source'!AE40</f>
        <v>95566</v>
      </c>
      <c r="O137" s="226">
        <f>'C10-Adj by Source'!AS40</f>
        <v>165968</v>
      </c>
      <c r="P137" s="226">
        <f>'C10-Adj by Source'!S40</f>
        <v>192800</v>
      </c>
      <c r="Q137" s="226">
        <f>'C10-Adj by Source'!AC40</f>
        <v>172671</v>
      </c>
      <c r="R137" s="226">
        <f>'C10-Adj by Source'!AY40</f>
        <v>254139</v>
      </c>
      <c r="S137" s="226">
        <f>'C10-Adj by Source'!BA40</f>
        <v>316785</v>
      </c>
      <c r="T137" s="226">
        <f>'C10-Adj by Source'!AQ40</f>
        <v>325144.84644720796</v>
      </c>
      <c r="U137" s="226">
        <f>SUM('C10-Adj by Source'!BC40:BD40)</f>
        <v>268775.04497988499</v>
      </c>
      <c r="V137" s="226">
        <f>SUM('C10-Adj by Source'!BF40:BI40)</f>
        <v>416738</v>
      </c>
      <c r="W137" s="226">
        <f>'C10-Adj by Source'!BL40</f>
        <v>320122</v>
      </c>
      <c r="X137" s="226">
        <f>'C10-Adj by Source'!BW40</f>
        <v>147037</v>
      </c>
      <c r="Y137" s="226">
        <f>'C10-Adj by Source'!BP40+'C10-Adj by Source'!BZ40+'C10-Adj by Source'!BU40</f>
        <v>331163</v>
      </c>
      <c r="Z137" s="226"/>
      <c r="AA137" s="226"/>
      <c r="AB137" s="226">
        <f>'C1-Incomes'!B42</f>
        <v>3800951.16424686</v>
      </c>
      <c r="AC137" s="226">
        <f t="shared" si="27"/>
        <v>0</v>
      </c>
      <c r="AD137" s="226"/>
      <c r="AE137" s="226">
        <f>'C1-Incomes'!R42-'C1-Incomes'!B42</f>
        <v>3137599.8509531403</v>
      </c>
      <c r="AF137" s="226">
        <f t="shared" si="28"/>
        <v>-9.3100406229496002E-4</v>
      </c>
      <c r="AG137" s="226"/>
      <c r="AH137" s="72"/>
    </row>
    <row r="138" spans="1:34" x14ac:dyDescent="0.3">
      <c r="A138" s="100">
        <v>1995</v>
      </c>
      <c r="B138" s="226">
        <f>'C1-Incomes'!R43</f>
        <v>7324486.4874</v>
      </c>
      <c r="C138" s="226">
        <f>TOTALS!E40/1000000</f>
        <v>3201480.3</v>
      </c>
      <c r="D138" s="226">
        <f>'C0-Ref Stats'!AF41</f>
        <v>49544.488510668773</v>
      </c>
      <c r="E138" s="226">
        <f>TOTALS!G40/1000000</f>
        <v>94597.588455999998</v>
      </c>
      <c r="F138" s="226">
        <f>TOTALS!F40/1000000</f>
        <v>157059.635997</v>
      </c>
      <c r="G138" s="226">
        <f t="shared" si="26"/>
        <v>161525.48897273815</v>
      </c>
      <c r="H138" s="226">
        <f>TOTALS!S40/1000000</f>
        <v>125761.287805</v>
      </c>
      <c r="I138" s="226">
        <f>TOTALS!AD40/1000000</f>
        <v>258374.73578300001</v>
      </c>
      <c r="J138" s="226"/>
      <c r="K138" s="226">
        <f>'C10-Adj by Source'!D41</f>
        <v>48054.642932000002</v>
      </c>
      <c r="L138" s="226">
        <f>'C1-Incomes'!AH43-'C1-Incomes'!B43</f>
        <v>54826.024875593372</v>
      </c>
      <c r="M138" s="226">
        <f>'C10-Adj by Source'!O41+'C10-Adj by Source'!Q41</f>
        <v>44713.115913250724</v>
      </c>
      <c r="N138" s="226">
        <f>'C10-Adj by Source'!AE41</f>
        <v>98424</v>
      </c>
      <c r="O138" s="226">
        <f>'C10-Adj by Source'!AS41</f>
        <v>172688</v>
      </c>
      <c r="P138" s="226">
        <f>'C10-Adj by Source'!S41</f>
        <v>226228</v>
      </c>
      <c r="Q138" s="226">
        <f>'C10-Adj by Source'!AC41</f>
        <v>194449</v>
      </c>
      <c r="R138" s="226">
        <f>'C10-Adj by Source'!AY41</f>
        <v>264120</v>
      </c>
      <c r="S138" s="226">
        <f>'C10-Adj by Source'!BA41</f>
        <v>311565</v>
      </c>
      <c r="T138" s="226">
        <f>'C10-Adj by Source'!AQ41</f>
        <v>337480.96467796434</v>
      </c>
      <c r="U138" s="226">
        <f>SUM('C10-Adj by Source'!BC41:BD41)</f>
        <v>242077.21301772495</v>
      </c>
      <c r="V138" s="226">
        <f>SUM('C10-Adj by Source'!BF41:BI41)</f>
        <v>436507</v>
      </c>
      <c r="W138" s="226">
        <f>'C10-Adj by Source'!BL41</f>
        <v>335700</v>
      </c>
      <c r="X138" s="226">
        <f>'C10-Adj by Source'!BW41</f>
        <v>161503</v>
      </c>
      <c r="Y138" s="226">
        <f>'C10-Adj by Source'!BP41+'C10-Adj by Source'!BZ41+'C10-Adj by Source'!BU41</f>
        <v>347807</v>
      </c>
      <c r="Z138" s="226"/>
      <c r="AA138" s="226"/>
      <c r="AB138" s="226">
        <f>'C1-Incomes'!B43</f>
        <v>4048343.5255244067</v>
      </c>
      <c r="AC138" s="226">
        <f t="shared" si="27"/>
        <v>0</v>
      </c>
      <c r="AD138" s="226"/>
      <c r="AE138" s="226">
        <f>'C1-Incomes'!R43-'C1-Incomes'!B43</f>
        <v>3276142.9618755933</v>
      </c>
      <c r="AF138" s="226">
        <f t="shared" si="28"/>
        <v>4.5906007289886475E-4</v>
      </c>
      <c r="AG138" s="226"/>
      <c r="AH138" s="72"/>
    </row>
    <row r="139" spans="1:34" x14ac:dyDescent="0.3">
      <c r="A139" s="100">
        <v>1996</v>
      </c>
      <c r="B139" s="226">
        <f>'C1-Incomes'!R44</f>
        <v>7786956.8992999997</v>
      </c>
      <c r="C139" s="226">
        <f>TOTALS!E41/1000000</f>
        <v>3376911.6</v>
      </c>
      <c r="D139" s="226">
        <f>'C0-Ref Stats'!AF42</f>
        <v>48554.539035888229</v>
      </c>
      <c r="E139" s="226">
        <f>TOTALS!G41/1000000</f>
        <v>104258.352497</v>
      </c>
      <c r="F139" s="226">
        <f>TOTALS!F41/1000000</f>
        <v>168440.26942200001</v>
      </c>
      <c r="G139" s="226">
        <f t="shared" si="26"/>
        <v>179516.74532048084</v>
      </c>
      <c r="H139" s="226">
        <f>TOTALS!S41/1000000</f>
        <v>146784.50371600001</v>
      </c>
      <c r="I139" s="226">
        <f>TOTALS!AD41/1000000</f>
        <v>284328.98734599998</v>
      </c>
      <c r="J139" s="226"/>
      <c r="K139" s="226">
        <f>'C10-Adj by Source'!D42</f>
        <v>47808.969289000001</v>
      </c>
      <c r="L139" s="226">
        <f>'C1-Incomes'!AH44-'C1-Incomes'!B44</f>
        <v>59425.212962631136</v>
      </c>
      <c r="M139" s="226">
        <f>'C10-Adj by Source'!O42+'C10-Adj by Source'!Q42</f>
        <v>42464.652402350504</v>
      </c>
      <c r="N139" s="226">
        <f>'C10-Adj by Source'!AE42</f>
        <v>104707</v>
      </c>
      <c r="O139" s="226">
        <f>'C10-Adj by Source'!AS42</f>
        <v>190357</v>
      </c>
      <c r="P139" s="226">
        <f>'C10-Adj by Source'!S42</f>
        <v>251056</v>
      </c>
      <c r="Q139" s="226">
        <f>'C10-Adj by Source'!AC42</f>
        <v>211386</v>
      </c>
      <c r="R139" s="226">
        <f>'C10-Adj by Source'!AY42</f>
        <v>274805</v>
      </c>
      <c r="S139" s="226">
        <f>'C10-Adj by Source'!BA42</f>
        <v>310906</v>
      </c>
      <c r="T139" s="226">
        <f>'C10-Adj by Source'!AQ42</f>
        <v>398271.31562447693</v>
      </c>
      <c r="U139" s="226">
        <f>SUM('C10-Adj by Source'!BC42:BD42)</f>
        <v>239915.75297436601</v>
      </c>
      <c r="V139" s="226">
        <f>SUM('C10-Adj by Source'!BF42:BI42)</f>
        <v>459497</v>
      </c>
      <c r="W139" s="226">
        <f>'C10-Adj by Source'!BL42</f>
        <v>350092</v>
      </c>
      <c r="X139" s="226">
        <f>'C10-Adj by Source'!BW42</f>
        <v>176105</v>
      </c>
      <c r="Y139" s="226">
        <f>'C10-Adj by Source'!BP42+'C10-Adj by Source'!BZ42+'C10-Adj by Source'!BU42</f>
        <v>361365</v>
      </c>
      <c r="Z139" s="226"/>
      <c r="AA139" s="226"/>
      <c r="AB139" s="226">
        <f>'C1-Incomes'!B44</f>
        <v>4308794.9973373692</v>
      </c>
      <c r="AC139" s="226">
        <f t="shared" si="27"/>
        <v>0</v>
      </c>
      <c r="AD139" s="226"/>
      <c r="AE139" s="226">
        <f>'C1-Incomes'!R44-'C1-Incomes'!B44</f>
        <v>3478161.9019626305</v>
      </c>
      <c r="AF139" s="226">
        <f t="shared" si="28"/>
        <v>-1.2901937589049339E-3</v>
      </c>
      <c r="AG139" s="226"/>
      <c r="AH139" s="72"/>
    </row>
    <row r="140" spans="1:34" x14ac:dyDescent="0.3">
      <c r="A140" s="100">
        <v>1997</v>
      </c>
      <c r="B140" s="226">
        <f>'C1-Incomes'!R45</f>
        <v>8296499.9369000001</v>
      </c>
      <c r="C140" s="226">
        <f>TOTALS!E42/1000000</f>
        <v>3613670.5</v>
      </c>
      <c r="D140" s="226">
        <f>'C0-Ref Stats'!AF43</f>
        <v>48876.74588219267</v>
      </c>
      <c r="E140" s="226">
        <f>TOTALS!G42/1000000</f>
        <v>120490.02682699999</v>
      </c>
      <c r="F140" s="226">
        <f>TOTALS!F42/1000000</f>
        <v>174605.724632</v>
      </c>
      <c r="G140" s="226">
        <f t="shared" si="26"/>
        <v>189843.89726276114</v>
      </c>
      <c r="H140" s="226">
        <f>TOTALS!S42/1000000</f>
        <v>168317.18717799999</v>
      </c>
      <c r="I140" s="226">
        <f>TOTALS!AD42/1000000</f>
        <v>314898.10236100003</v>
      </c>
      <c r="J140" s="226"/>
      <c r="K140" s="226">
        <f>'C10-Adj by Source'!D43</f>
        <v>48519.344857999997</v>
      </c>
      <c r="L140" s="226">
        <f>'C1-Incomes'!AH45-'C1-Incomes'!B45</f>
        <v>63861.914157046005</v>
      </c>
      <c r="M140" s="226">
        <f>'C10-Adj by Source'!O43+'C10-Adj by Source'!Q43</f>
        <v>45555.265218020293</v>
      </c>
      <c r="N140" s="226">
        <f>'C10-Adj by Source'!AE43</f>
        <v>111873</v>
      </c>
      <c r="O140" s="226">
        <f>'C10-Adj by Source'!AS43</f>
        <v>196610</v>
      </c>
      <c r="P140" s="226">
        <f>'C10-Adj by Source'!S43</f>
        <v>280896</v>
      </c>
      <c r="Q140" s="226">
        <f>'C10-Adj by Source'!AC43</f>
        <v>224762</v>
      </c>
      <c r="R140" s="226">
        <f>'C10-Adj by Source'!AY43</f>
        <v>289593</v>
      </c>
      <c r="S140" s="226">
        <f>'C10-Adj by Source'!BA43</f>
        <v>312928</v>
      </c>
      <c r="T140" s="226">
        <f>'C10-Adj by Source'!AQ43</f>
        <v>430167.21602000319</v>
      </c>
      <c r="U140" s="226">
        <f>SUM('C10-Adj by Source'!BC43:BD43)</f>
        <v>261931.01263736997</v>
      </c>
      <c r="V140" s="226">
        <f>SUM('C10-Adj by Source'!BF43:BI43)</f>
        <v>482972</v>
      </c>
      <c r="W140" s="226">
        <f>'C10-Adj by Source'!BL43</f>
        <v>364790</v>
      </c>
      <c r="X140" s="226">
        <f>'C10-Adj by Source'!BW43</f>
        <v>187628</v>
      </c>
      <c r="Y140" s="226">
        <f>'C10-Adj by Source'!BP43+'C10-Adj by Source'!BZ43+'C10-Adj by Source'!BU43</f>
        <v>363711</v>
      </c>
      <c r="Z140" s="226"/>
      <c r="AA140" s="226"/>
      <c r="AB140" s="226">
        <f>'C1-Incomes'!B45</f>
        <v>4630702.1841429537</v>
      </c>
      <c r="AC140" s="226">
        <f t="shared" si="27"/>
        <v>0</v>
      </c>
      <c r="AD140" s="226"/>
      <c r="AE140" s="226">
        <f>'C1-Incomes'!R45-'C1-Incomes'!B45</f>
        <v>3665797.7527570464</v>
      </c>
      <c r="AF140" s="226">
        <f t="shared" si="28"/>
        <v>-1.3339286670088768E-4</v>
      </c>
      <c r="AG140" s="226"/>
      <c r="AH140" s="72"/>
    </row>
    <row r="141" spans="1:34" x14ac:dyDescent="0.3">
      <c r="A141" s="663">
        <v>1998</v>
      </c>
      <c r="B141" s="226">
        <f>'C1-Incomes'!R46</f>
        <v>8794259.2651000004</v>
      </c>
      <c r="C141" s="226">
        <f>TOTALS!E43/1000000</f>
        <v>3879781.5</v>
      </c>
      <c r="D141" s="226">
        <f>'C0-Ref Stats'!AF44</f>
        <v>46636.533793720708</v>
      </c>
      <c r="E141" s="226">
        <f>TOTALS!G43/1000000</f>
        <v>118482.47219</v>
      </c>
      <c r="F141" s="226">
        <f>TOTALS!F43/1000000</f>
        <v>181559.59635400001</v>
      </c>
      <c r="G141" s="226">
        <f t="shared" ref="G141:G158" si="29">AB141-C141-D141-E141-F141-H141-I141</f>
        <v>214035.09198895516</v>
      </c>
      <c r="H141" s="226">
        <f>TOTALS!S43/1000000</f>
        <v>187372.38317799999</v>
      </c>
      <c r="I141" s="226">
        <f>TOTALS!AD43/1000000</f>
        <v>354750.98281800002</v>
      </c>
      <c r="J141" s="226"/>
      <c r="K141" s="226">
        <f>'C10-Adj by Source'!D44</f>
        <v>49719.133322000001</v>
      </c>
      <c r="L141" s="226">
        <f>'C1-Incomes'!AH46-'C1-Incomes'!B46</f>
        <v>67914.2562773237</v>
      </c>
      <c r="M141" s="226">
        <f>'C10-Adj by Source'!O44+'C10-Adj by Source'!Q44</f>
        <v>42217.182435154886</v>
      </c>
      <c r="N141" s="226">
        <f>'C10-Adj by Source'!AE44</f>
        <v>117221</v>
      </c>
      <c r="O141" s="226">
        <f>'C10-Adj by Source'!AS44</f>
        <v>215077</v>
      </c>
      <c r="P141" s="226">
        <f>'C10-Adj by Source'!S44</f>
        <v>198672</v>
      </c>
      <c r="Q141" s="226">
        <f>'C10-Adj by Source'!AC44</f>
        <v>221805</v>
      </c>
      <c r="R141" s="226">
        <f>'C10-Adj by Source'!AY44</f>
        <v>307237</v>
      </c>
      <c r="S141" s="226">
        <f>'C10-Adj by Source'!BA44</f>
        <v>335118</v>
      </c>
      <c r="T141" s="226">
        <f>'C10-Adj by Source'!AQ44</f>
        <v>508666.98844126042</v>
      </c>
      <c r="U141" s="226">
        <f>SUM('C10-Adj by Source'!BC44:BD44)</f>
        <v>288241.144212079</v>
      </c>
      <c r="V141" s="226">
        <f>SUM('C10-Adj by Source'!BF44:BI44)</f>
        <v>522770</v>
      </c>
      <c r="W141" s="226">
        <f>'C10-Adj by Source'!BL44</f>
        <v>377411</v>
      </c>
      <c r="X141" s="226">
        <f>'C10-Adj by Source'!BW44</f>
        <v>184625</v>
      </c>
      <c r="Y141" s="226">
        <f>'C10-Adj by Source'!BP44+'C10-Adj by Source'!BZ44+'C10-Adj by Source'!BU44</f>
        <v>374946</v>
      </c>
      <c r="Z141" s="226"/>
      <c r="AA141" s="226"/>
      <c r="AB141" s="226">
        <f>'C1-Incomes'!B46</f>
        <v>4982618.5603226759</v>
      </c>
      <c r="AC141" s="226">
        <f t="shared" ref="AC141:AC158" si="30">AB141-SUM(C141:I141)</f>
        <v>0</v>
      </c>
      <c r="AD141" s="226"/>
      <c r="AE141" s="226">
        <f>'C1-Incomes'!R46-'C1-Incomes'!B46</f>
        <v>3811640.7047773246</v>
      </c>
      <c r="AF141" s="226">
        <f t="shared" ref="AF141:AF158" si="31">AE141-SUM(J141:Y141)</f>
        <v>8.9506618678569794E-5</v>
      </c>
      <c r="AG141" s="226"/>
      <c r="AH141" s="72"/>
    </row>
    <row r="142" spans="1:34" x14ac:dyDescent="0.3">
      <c r="A142" s="100">
        <v>1999</v>
      </c>
      <c r="B142" s="226">
        <f>'C1-Incomes'!R47</f>
        <v>9297633.7148000002</v>
      </c>
      <c r="C142" s="226">
        <f>TOTALS!E44/1000000</f>
        <v>4158134.3</v>
      </c>
      <c r="D142" s="226">
        <f>'C0-Ref Stats'!AF45</f>
        <v>31107.583175740423</v>
      </c>
      <c r="E142" s="226">
        <f>TOTALS!G44/1000000</f>
        <v>133600.89097499999</v>
      </c>
      <c r="F142" s="226">
        <f>TOTALS!F44/1000000</f>
        <v>181309.07801900001</v>
      </c>
      <c r="G142" s="226">
        <f t="shared" si="29"/>
        <v>266593.44515679934</v>
      </c>
      <c r="H142" s="226">
        <f>TOTALS!S44/1000000</f>
        <v>211864.78122599999</v>
      </c>
      <c r="I142" s="226">
        <f>TOTALS!AD44/1000000</f>
        <v>394585.58552000002</v>
      </c>
      <c r="J142" s="226"/>
      <c r="K142" s="226">
        <f>'C10-Adj by Source'!D45</f>
        <v>52563.415097999998</v>
      </c>
      <c r="L142" s="226">
        <f>'C1-Incomes'!AH47-'C1-Incomes'!B47</f>
        <v>77168.437727460638</v>
      </c>
      <c r="M142" s="226">
        <f>'C10-Adj by Source'!O45+'C10-Adj by Source'!Q45</f>
        <v>28908.693313589483</v>
      </c>
      <c r="N142" s="226">
        <f>'C10-Adj by Source'!AE45</f>
        <v>125008</v>
      </c>
      <c r="O142" s="226">
        <f>'C10-Adj by Source'!AS45</f>
        <v>232983</v>
      </c>
      <c r="P142" s="226">
        <f>'C10-Adj by Source'!S45</f>
        <v>223549</v>
      </c>
      <c r="Q142" s="226">
        <f>'C10-Adj by Source'!AC45</f>
        <v>233374</v>
      </c>
      <c r="R142" s="226">
        <f>'C10-Adj by Source'!AY45</f>
        <v>323339</v>
      </c>
      <c r="S142" s="226">
        <f>'C10-Adj by Source'!BA45</f>
        <v>361994</v>
      </c>
      <c r="T142" s="226">
        <f>'C10-Adj by Source'!AQ45</f>
        <v>491925.32875720866</v>
      </c>
      <c r="U142" s="226">
        <f>SUM('C10-Adj by Source'!BC45:BD45)</f>
        <v>260242.17505898004</v>
      </c>
      <c r="V142" s="226">
        <f>SUM('C10-Adj by Source'!BF45:BI45)</f>
        <v>536148</v>
      </c>
      <c r="W142" s="226">
        <f>'C10-Adj by Source'!BL45</f>
        <v>388070</v>
      </c>
      <c r="X142" s="226">
        <f>'C10-Adj by Source'!BW45</f>
        <v>189769</v>
      </c>
      <c r="Y142" s="226">
        <f>'C10-Adj by Source'!BP45+'C10-Adj by Source'!BZ45+'C10-Adj by Source'!BU45</f>
        <v>395396</v>
      </c>
      <c r="Z142" s="226"/>
      <c r="AA142" s="226"/>
      <c r="AB142" s="226">
        <f>'C1-Incomes'!B47</f>
        <v>5377195.6640725397</v>
      </c>
      <c r="AC142" s="226">
        <f t="shared" si="30"/>
        <v>0</v>
      </c>
      <c r="AD142" s="226"/>
      <c r="AE142" s="226">
        <f>'C1-Incomes'!R47-'C1-Incomes'!B47</f>
        <v>3920438.0507274605</v>
      </c>
      <c r="AF142" s="226">
        <f t="shared" si="31"/>
        <v>7.7222147956490517E-4</v>
      </c>
      <c r="AG142" s="226"/>
      <c r="AH142" s="72"/>
    </row>
    <row r="143" spans="1:34" x14ac:dyDescent="0.3">
      <c r="A143" s="100">
        <v>2000</v>
      </c>
      <c r="B143" s="226">
        <f>'C1-Incomes'!R48</f>
        <v>9931340.0171000008</v>
      </c>
      <c r="C143" s="226">
        <f>TOTALS!E45/1000000</f>
        <v>4466115.5999999996</v>
      </c>
      <c r="D143" s="226">
        <f>'C0-Ref Stats'!AF46</f>
        <v>40605.756742512633</v>
      </c>
      <c r="E143" s="226">
        <f>TOTALS!G45/1000000</f>
        <v>147356.17975099999</v>
      </c>
      <c r="F143" s="226">
        <f>TOTALS!F45/1000000</f>
        <v>203688.903467</v>
      </c>
      <c r="G143" s="226">
        <f t="shared" si="29"/>
        <v>271232.9311597466</v>
      </c>
      <c r="H143" s="226">
        <f>TOTALS!S45/1000000</f>
        <v>213591.08314</v>
      </c>
      <c r="I143" s="226">
        <f>TOTALS!AD45/1000000</f>
        <v>425765.47227000003</v>
      </c>
      <c r="J143" s="226"/>
      <c r="K143" s="226">
        <f>'C10-Adj by Source'!D46</f>
        <v>54136.454947999999</v>
      </c>
      <c r="L143" s="226">
        <f>'C1-Incomes'!AH48-'C1-Incomes'!B48</f>
        <v>80188.77166974172</v>
      </c>
      <c r="M143" s="226">
        <f>'C10-Adj by Source'!O46+'C10-Adj by Source'!Q46</f>
        <v>21854.090029224062</v>
      </c>
      <c r="N143" s="226">
        <f>'C10-Adj by Source'!AE46</f>
        <v>132807</v>
      </c>
      <c r="O143" s="226">
        <f>'C10-Adj by Source'!AS46</f>
        <v>242714</v>
      </c>
      <c r="P143" s="226">
        <f>'C10-Adj by Source'!S46</f>
        <v>131426</v>
      </c>
      <c r="Q143" s="226">
        <f>'C10-Adj by Source'!AC46</f>
        <v>239748</v>
      </c>
      <c r="R143" s="226">
        <f>'C10-Adj by Source'!AY46</f>
        <v>345220</v>
      </c>
      <c r="S143" s="226">
        <f>'C10-Adj by Source'!BA46</f>
        <v>402692</v>
      </c>
      <c r="T143" s="226">
        <f>'C10-Adj by Source'!AQ46</f>
        <v>612761.21653147554</v>
      </c>
      <c r="U143" s="226">
        <f>SUM('C10-Adj by Source'!BC46:BD46)</f>
        <v>298664.55841591401</v>
      </c>
      <c r="V143" s="226">
        <f>SUM('C10-Adj by Source'!BF46:BI46)</f>
        <v>576451</v>
      </c>
      <c r="W143" s="226">
        <f>'C10-Adj by Source'!BL46</f>
        <v>409660</v>
      </c>
      <c r="X143" s="226">
        <f>'C10-Adj by Source'!BW46</f>
        <v>198562</v>
      </c>
      <c r="Y143" s="226">
        <f>'C10-Adj by Source'!BP46+'C10-Adj by Source'!BZ46+'C10-Adj by Source'!BU46</f>
        <v>416099</v>
      </c>
      <c r="Z143" s="226"/>
      <c r="AA143" s="226"/>
      <c r="AB143" s="226">
        <f>'C1-Incomes'!B48</f>
        <v>5768355.9265302587</v>
      </c>
      <c r="AC143" s="226">
        <f t="shared" si="30"/>
        <v>0</v>
      </c>
      <c r="AD143" s="226"/>
      <c r="AE143" s="226">
        <f>'C1-Incomes'!R48-'C1-Incomes'!B48</f>
        <v>4162984.090569742</v>
      </c>
      <c r="AF143" s="226">
        <f t="shared" si="31"/>
        <v>-1.024613156914711E-3</v>
      </c>
      <c r="AG143" s="226"/>
      <c r="AH143" s="72"/>
    </row>
    <row r="144" spans="1:34" x14ac:dyDescent="0.3">
      <c r="A144" s="100">
        <v>2001</v>
      </c>
      <c r="B144" s="226">
        <f>'C1-Incomes'!R49</f>
        <v>10307698.368000001</v>
      </c>
      <c r="C144" s="226">
        <f>TOTALS!E46/1000000</f>
        <v>4564797.3</v>
      </c>
      <c r="D144" s="226">
        <f>'C0-Ref Stats'!AF47</f>
        <v>57702.842485112786</v>
      </c>
      <c r="E144" s="226">
        <f>TOTALS!G46/1000000</f>
        <v>119524.816913</v>
      </c>
      <c r="F144" s="226">
        <f>TOTALS!F46/1000000</f>
        <v>201963.33096200001</v>
      </c>
      <c r="G144" s="226">
        <f t="shared" si="29"/>
        <v>240604.74611941102</v>
      </c>
      <c r="H144" s="226">
        <f>TOTALS!S46/1000000</f>
        <v>225116.328029</v>
      </c>
      <c r="I144" s="226">
        <f>TOTALS!AD46/1000000</f>
        <v>433071.94757100003</v>
      </c>
      <c r="J144" s="226"/>
      <c r="K144" s="226">
        <f>'C10-Adj by Source'!D47</f>
        <v>55163.395984000002</v>
      </c>
      <c r="L144" s="226">
        <f>'C1-Incomes'!AH49-'C1-Incomes'!B49</f>
        <v>71422.528920476325</v>
      </c>
      <c r="M144" s="226">
        <f>'C10-Adj by Source'!O47+'C10-Adj by Source'!Q47</f>
        <v>33856.958420022551</v>
      </c>
      <c r="N144" s="226">
        <f>'C10-Adj by Source'!AE47</f>
        <v>139387</v>
      </c>
      <c r="O144" s="226">
        <f>'C10-Adj by Source'!AS47</f>
        <v>263409</v>
      </c>
      <c r="P144" s="226">
        <f>'C10-Adj by Source'!S47</f>
        <v>180170</v>
      </c>
      <c r="Q144" s="226">
        <f>'C10-Adj by Source'!AC47</f>
        <v>176207</v>
      </c>
      <c r="R144" s="226">
        <f>'C10-Adj by Source'!AY47</f>
        <v>357986</v>
      </c>
      <c r="S144" s="226">
        <f>'C10-Adj by Source'!BA47</f>
        <v>437949</v>
      </c>
      <c r="T144" s="226">
        <f>'C10-Adj by Source'!AQ47</f>
        <v>717128.0849608276</v>
      </c>
      <c r="U144" s="226">
        <f>SUM('C10-Adj by Source'!BC47:BD47)</f>
        <v>330301.08788177208</v>
      </c>
      <c r="V144" s="226">
        <f>SUM('C10-Adj by Source'!BF47:BI47)</f>
        <v>578871</v>
      </c>
      <c r="W144" s="226">
        <f>'C10-Adj by Source'!BL47</f>
        <v>433496</v>
      </c>
      <c r="X144" s="226">
        <f>'C10-Adj by Source'!BW47</f>
        <v>219816</v>
      </c>
      <c r="Y144" s="226">
        <f>'C10-Adj by Source'!BP47+'C10-Adj by Source'!BZ47+'C10-Adj by Source'!BU47</f>
        <v>469754</v>
      </c>
      <c r="Z144" s="226"/>
      <c r="AA144" s="226"/>
      <c r="AB144" s="226">
        <f>'C1-Incomes'!B49</f>
        <v>5842781.3120795237</v>
      </c>
      <c r="AC144" s="226">
        <f t="shared" si="30"/>
        <v>0</v>
      </c>
      <c r="AD144" s="226"/>
      <c r="AE144" s="226">
        <f>'C1-Incomes'!R49-'C1-Incomes'!B49</f>
        <v>4464917.055920477</v>
      </c>
      <c r="AF144" s="226">
        <f t="shared" si="31"/>
        <v>-2.4662166833877563E-4</v>
      </c>
      <c r="AG144" s="226"/>
      <c r="AH144" s="72"/>
    </row>
    <row r="145" spans="1:34" x14ac:dyDescent="0.3">
      <c r="A145" s="100">
        <v>2002</v>
      </c>
      <c r="B145" s="226">
        <f>'C1-Incomes'!R50</f>
        <v>10662241.117000001</v>
      </c>
      <c r="C145" s="226">
        <f>TOTALS!E47/1000000</f>
        <v>4559142.5999999996</v>
      </c>
      <c r="D145" s="226">
        <f>'C0-Ref Stats'!AF48</f>
        <v>79160.596949479441</v>
      </c>
      <c r="E145" s="226">
        <f>TOTALS!G47/1000000</f>
        <v>103239.47180100001</v>
      </c>
      <c r="F145" s="226">
        <f>TOTALS!F47/1000000</f>
        <v>152342.529729</v>
      </c>
      <c r="G145" s="226">
        <f t="shared" si="29"/>
        <v>236460.15163095936</v>
      </c>
      <c r="H145" s="226">
        <f>TOTALS!S47/1000000</f>
        <v>237987.28955799999</v>
      </c>
      <c r="I145" s="226">
        <f>TOTALS!AD47/1000000</f>
        <v>446060.10358400003</v>
      </c>
      <c r="J145" s="226"/>
      <c r="K145" s="226">
        <f>'C10-Adj by Source'!D48</f>
        <v>54009.674636000003</v>
      </c>
      <c r="L145" s="226">
        <f>'C1-Incomes'!AH50-'C1-Incomes'!B50</f>
        <v>59976.954547561705</v>
      </c>
      <c r="M145" s="226">
        <f>'C10-Adj by Source'!O48+'C10-Adj by Source'!Q48</f>
        <v>21519.614253355503</v>
      </c>
      <c r="N145" s="226">
        <f>'C10-Adj by Source'!AE48</f>
        <v>150802</v>
      </c>
      <c r="O145" s="226">
        <f>'C10-Adj by Source'!AS48</f>
        <v>284767</v>
      </c>
      <c r="P145" s="226">
        <f>'C10-Adj by Source'!S48</f>
        <v>314653</v>
      </c>
      <c r="Q145" s="226">
        <f>'C10-Adj by Source'!AC48</f>
        <v>167841</v>
      </c>
      <c r="R145" s="226">
        <f>'C10-Adj by Source'!AY48</f>
        <v>366045</v>
      </c>
      <c r="S145" s="226">
        <f>'C10-Adj by Source'!BA48</f>
        <v>472444</v>
      </c>
      <c r="T145" s="226">
        <f>'C10-Adj by Source'!AQ48</f>
        <v>778926.42134777899</v>
      </c>
      <c r="U145" s="226">
        <f>SUM('C10-Adj by Source'!BC48:BD48)</f>
        <v>361950.70591226395</v>
      </c>
      <c r="V145" s="226">
        <f>SUM('C10-Adj by Source'!BF48:BI48)</f>
        <v>589494</v>
      </c>
      <c r="W145" s="226">
        <f>'C10-Adj by Source'!BL48</f>
        <v>455609</v>
      </c>
      <c r="X145" s="226">
        <f>'C10-Adj by Source'!BW48</f>
        <v>234123</v>
      </c>
      <c r="Y145" s="226">
        <f>'C10-Adj by Source'!BP48+'C10-Adj by Source'!BZ48+'C10-Adj by Source'!BU48</f>
        <v>535687</v>
      </c>
      <c r="Z145" s="226"/>
      <c r="AA145" s="226"/>
      <c r="AB145" s="226">
        <f>'C1-Incomes'!B50</f>
        <v>5814392.7432524385</v>
      </c>
      <c r="AC145" s="226">
        <f t="shared" si="30"/>
        <v>0</v>
      </c>
      <c r="AD145" s="226"/>
      <c r="AE145" s="226">
        <f>'C1-Incomes'!R50-'C1-Incomes'!B50</f>
        <v>4847848.3737475621</v>
      </c>
      <c r="AF145" s="226">
        <f t="shared" si="31"/>
        <v>3.0506020411849022E-3</v>
      </c>
      <c r="AG145" s="226"/>
      <c r="AH145" s="72"/>
    </row>
    <row r="146" spans="1:34" x14ac:dyDescent="0.3">
      <c r="A146" s="100">
        <v>2003</v>
      </c>
      <c r="B146" s="226">
        <f>'C1-Incomes'!R51</f>
        <v>11157848.98</v>
      </c>
      <c r="C146" s="226">
        <f>TOTALS!E48/1000000</f>
        <v>4649616.5999999996</v>
      </c>
      <c r="D146" s="226">
        <f>'C0-Ref Stats'!AF49</f>
        <v>94467.187985415585</v>
      </c>
      <c r="E146" s="226">
        <f>TOTALS!G48/1000000</f>
        <v>115139.89136199999</v>
      </c>
      <c r="F146" s="226">
        <f>TOTALS!F48/1000000</f>
        <v>130216.576351</v>
      </c>
      <c r="G146" s="226">
        <f t="shared" si="29"/>
        <v>248296.4839500353</v>
      </c>
      <c r="H146" s="226">
        <f>TOTALS!S48/1000000</f>
        <v>253850.99546599999</v>
      </c>
      <c r="I146" s="226">
        <f>TOTALS!AD48/1000000</f>
        <v>461267.04713800002</v>
      </c>
      <c r="J146" s="226"/>
      <c r="K146" s="226">
        <f>'C10-Adj by Source'!D49</f>
        <v>53247.164215999997</v>
      </c>
      <c r="L146" s="226">
        <f>'C1-Incomes'!AH51-'C1-Incomes'!B51</f>
        <v>57236.482247549109</v>
      </c>
      <c r="M146" s="226">
        <f>'C10-Adj by Source'!O49+'C10-Adj by Source'!Q49</f>
        <v>26216.016964064005</v>
      </c>
      <c r="N146" s="226">
        <f>'C10-Adj by Source'!AE49</f>
        <v>160297</v>
      </c>
      <c r="O146" s="226">
        <f>'C10-Adj by Source'!AS49</f>
        <v>312033</v>
      </c>
      <c r="P146" s="226">
        <f>'C10-Adj by Source'!S49</f>
        <v>378625</v>
      </c>
      <c r="Q146" s="226">
        <f>'C10-Adj by Source'!AC49</f>
        <v>221745</v>
      </c>
      <c r="R146" s="226">
        <f>'C10-Adj by Source'!AY49</f>
        <v>382517</v>
      </c>
      <c r="S146" s="226">
        <f>'C10-Adj by Source'!BA49</f>
        <v>525466</v>
      </c>
      <c r="T146" s="226">
        <f>'C10-Adj by Source'!AQ49</f>
        <v>827397.37758702377</v>
      </c>
      <c r="U146" s="226">
        <f>SUM('C10-Adj by Source'!BC49:BD49)</f>
        <v>366638.15880562097</v>
      </c>
      <c r="V146" s="226">
        <f>SUM('C10-Adj by Source'!BF49:BI49)</f>
        <v>599915</v>
      </c>
      <c r="W146" s="226">
        <f>'C10-Adj by Source'!BL49</f>
        <v>472385</v>
      </c>
      <c r="X146" s="226">
        <f>'C10-Adj by Source'!BW49</f>
        <v>249333</v>
      </c>
      <c r="Y146" s="226">
        <f>'C10-Adj by Source'!BP49+'C10-Adj by Source'!BZ49+'C10-Adj by Source'!BU49</f>
        <v>571943</v>
      </c>
      <c r="Z146" s="226"/>
      <c r="AA146" s="226"/>
      <c r="AB146" s="226">
        <f>'C1-Incomes'!B51</f>
        <v>5952854.7822524505</v>
      </c>
      <c r="AC146" s="226">
        <f t="shared" si="30"/>
        <v>0</v>
      </c>
      <c r="AD146" s="226"/>
      <c r="AE146" s="226">
        <f>'C1-Incomes'!R51-'C1-Incomes'!B51</f>
        <v>5204994.19774755</v>
      </c>
      <c r="AF146" s="226">
        <f t="shared" si="31"/>
        <v>-2.0727077499032021E-3</v>
      </c>
      <c r="AG146" s="226"/>
      <c r="AH146" s="72"/>
    </row>
    <row r="147" spans="1:34" x14ac:dyDescent="0.3">
      <c r="A147" s="100">
        <v>2004</v>
      </c>
      <c r="B147" s="226">
        <f>'C1-Incomes'!R52</f>
        <v>11914068.785</v>
      </c>
      <c r="C147" s="226">
        <f>TOTALS!E49/1000000</f>
        <v>4921681.7</v>
      </c>
      <c r="D147" s="226">
        <f>'C0-Ref Stats'!AF50</f>
        <v>102562.1361714596</v>
      </c>
      <c r="E147" s="226">
        <f>TOTALS!G49/1000000</f>
        <v>146838.49051900001</v>
      </c>
      <c r="F147" s="226">
        <f>TOTALS!F49/1000000</f>
        <v>128479.315812</v>
      </c>
      <c r="G147" s="226">
        <f t="shared" si="29"/>
        <v>262837.13327026111</v>
      </c>
      <c r="H147" s="226">
        <f>TOTALS!S49/1000000</f>
        <v>315997.29201400001</v>
      </c>
      <c r="I147" s="226">
        <f>TOTALS!AD49/1000000</f>
        <v>495957.94856799999</v>
      </c>
      <c r="J147" s="226"/>
      <c r="K147" s="226">
        <f>'C10-Adj by Source'!D50</f>
        <v>51527.714362999999</v>
      </c>
      <c r="L147" s="226">
        <f>'C1-Incomes'!AH52-'C1-Incomes'!B52</f>
        <v>59074.737445279025</v>
      </c>
      <c r="M147" s="226">
        <f>'C10-Adj by Source'!O50+'C10-Adj by Source'!Q50</f>
        <v>36031.284702505138</v>
      </c>
      <c r="N147" s="226">
        <f>'C10-Adj by Source'!AE50</f>
        <v>170545</v>
      </c>
      <c r="O147" s="226">
        <f>'C10-Adj by Source'!AS50</f>
        <v>335830</v>
      </c>
      <c r="P147" s="226">
        <f>'C10-Adj by Source'!S50</f>
        <v>413162</v>
      </c>
      <c r="Q147" s="226">
        <f>'C10-Adj by Source'!AC50</f>
        <v>288015</v>
      </c>
      <c r="R147" s="226">
        <f>'C10-Adj by Source'!AY50</f>
        <v>408689</v>
      </c>
      <c r="S147" s="226">
        <f>'C10-Adj by Source'!BA50</f>
        <v>564446</v>
      </c>
      <c r="T147" s="226">
        <f>'C10-Adj by Source'!AQ50</f>
        <v>838000.3883432037</v>
      </c>
      <c r="U147" s="226">
        <f>SUM('C10-Adj by Source'!BC50:BD50)</f>
        <v>363486.64352087601</v>
      </c>
      <c r="V147" s="226">
        <f>SUM('C10-Adj by Source'!BF50:BI50)</f>
        <v>637784</v>
      </c>
      <c r="W147" s="226">
        <f>'C10-Adj by Source'!BL50</f>
        <v>494521</v>
      </c>
      <c r="X147" s="226">
        <f>'C10-Adj by Source'!BW50</f>
        <v>272962</v>
      </c>
      <c r="Y147" s="226">
        <f>'C10-Adj by Source'!BP50+'C10-Adj by Source'!BZ50+'C10-Adj by Source'!BU50</f>
        <v>605640</v>
      </c>
      <c r="Z147" s="226"/>
      <c r="AA147" s="226"/>
      <c r="AB147" s="226">
        <f>'C1-Incomes'!B52</f>
        <v>6374354.016354721</v>
      </c>
      <c r="AC147" s="226">
        <f t="shared" si="30"/>
        <v>0</v>
      </c>
      <c r="AD147" s="226"/>
      <c r="AE147" s="226">
        <f>'C1-Incomes'!R52-'C1-Incomes'!B52</f>
        <v>5539714.7686452791</v>
      </c>
      <c r="AF147" s="226">
        <f t="shared" si="31"/>
        <v>2.7041509747505188E-4</v>
      </c>
      <c r="AG147" s="226"/>
      <c r="AH147" s="72"/>
    </row>
    <row r="148" spans="1:34" x14ac:dyDescent="0.3">
      <c r="A148" s="100">
        <v>2005</v>
      </c>
      <c r="B148" s="226">
        <f>'C1-Incomes'!R53</f>
        <v>12693303.791999999</v>
      </c>
      <c r="C148" s="226">
        <f>TOTALS!E50/1000000</f>
        <v>5154797.7</v>
      </c>
      <c r="D148" s="226">
        <f>'C0-Ref Stats'!AF51</f>
        <v>106091.08019548543</v>
      </c>
      <c r="E148" s="226">
        <f>TOTALS!G50/1000000</f>
        <v>166473.64352700001</v>
      </c>
      <c r="F148" s="226">
        <f>TOTALS!F50/1000000</f>
        <v>166250.88288200001</v>
      </c>
      <c r="G148" s="226">
        <f t="shared" si="29"/>
        <v>293229.20570502023</v>
      </c>
      <c r="H148" s="226">
        <f>TOTALS!S50/1000000</f>
        <v>402314.20628599997</v>
      </c>
      <c r="I148" s="226">
        <f>TOTALS!AD50/1000000</f>
        <v>532422.05405999999</v>
      </c>
      <c r="J148" s="226"/>
      <c r="K148" s="226">
        <f>'C10-Adj by Source'!D51</f>
        <v>57010.428738000002</v>
      </c>
      <c r="L148" s="226">
        <f>'C1-Incomes'!AH53-'C1-Incomes'!B53</f>
        <v>58213.399844494648</v>
      </c>
      <c r="M148" s="226">
        <f>'C10-Adj by Source'!O51+'C10-Adj by Source'!Q51</f>
        <v>36151.356776374581</v>
      </c>
      <c r="N148" s="226">
        <f>'C10-Adj by Source'!AE51</f>
        <v>183903</v>
      </c>
      <c r="O148" s="226">
        <f>'C10-Adj by Source'!AS51</f>
        <v>325469</v>
      </c>
      <c r="P148" s="226">
        <f>'C10-Adj by Source'!S51</f>
        <v>484817</v>
      </c>
      <c r="Q148" s="226">
        <f>'C10-Adj by Source'!AC51</f>
        <v>390916</v>
      </c>
      <c r="R148" s="226">
        <f>'C10-Adj by Source'!AY51</f>
        <v>428053</v>
      </c>
      <c r="S148" s="226">
        <f>'C10-Adj by Source'!BA51</f>
        <v>607514</v>
      </c>
      <c r="T148" s="226">
        <f>'C10-Adj by Source'!AQ51</f>
        <v>809144.85811264836</v>
      </c>
      <c r="U148" s="226">
        <f>SUM('C10-Adj by Source'!BC51:BD51)</f>
        <v>354874.97618368804</v>
      </c>
      <c r="V148" s="226">
        <f>SUM('C10-Adj by Source'!BF51:BI51)</f>
        <v>682174</v>
      </c>
      <c r="W148" s="226">
        <f>'C10-Adj by Source'!BL51</f>
        <v>521922</v>
      </c>
      <c r="X148" s="226">
        <f>'C10-Adj by Source'!BW51</f>
        <v>294626</v>
      </c>
      <c r="Y148" s="226">
        <f>'C10-Adj by Source'!BP51+'C10-Adj by Source'!BZ51+'C10-Adj by Source'!BU51</f>
        <v>636936</v>
      </c>
      <c r="Z148" s="226"/>
      <c r="AA148" s="226"/>
      <c r="AB148" s="226">
        <f>'C1-Incomes'!B53</f>
        <v>6821578.7726555057</v>
      </c>
      <c r="AC148" s="226">
        <f t="shared" si="30"/>
        <v>0</v>
      </c>
      <c r="AD148" s="226"/>
      <c r="AE148" s="226">
        <f>'C1-Incomes'!R53-'C1-Incomes'!B53</f>
        <v>5871725.0193444937</v>
      </c>
      <c r="AF148" s="226">
        <f t="shared" si="31"/>
        <v>-3.1071249395608902E-4</v>
      </c>
      <c r="AG148" s="226"/>
      <c r="AH148" s="72"/>
    </row>
    <row r="149" spans="1:34" x14ac:dyDescent="0.3">
      <c r="A149" s="100">
        <v>2006</v>
      </c>
      <c r="B149" s="226">
        <f>'C1-Incomes'!R54</f>
        <v>13551527.65</v>
      </c>
      <c r="C149" s="226">
        <f>TOTALS!E51/1000000</f>
        <v>5468847.5</v>
      </c>
      <c r="D149" s="226">
        <f>'C0-Ref Stats'!AF52</f>
        <v>96861.749145102673</v>
      </c>
      <c r="E149" s="226">
        <f>TOTALS!G51/1000000</f>
        <v>199288.90775700001</v>
      </c>
      <c r="F149" s="226">
        <f>TOTALS!F51/1000000</f>
        <v>226938.70691000001</v>
      </c>
      <c r="G149" s="226">
        <f t="shared" si="29"/>
        <v>306309.06513452367</v>
      </c>
      <c r="H149" s="226">
        <f>TOTALS!S51/1000000</f>
        <v>425290.328622</v>
      </c>
      <c r="I149" s="226">
        <f>TOTALS!AD51/1000000</f>
        <v>575159.24871299998</v>
      </c>
      <c r="J149" s="226"/>
      <c r="K149" s="226">
        <f>'C10-Adj by Source'!D52</f>
        <v>72110.473721999995</v>
      </c>
      <c r="L149" s="226">
        <f>'C1-Incomes'!AH54-'C1-Incomes'!B54</f>
        <v>62912.431218373589</v>
      </c>
      <c r="M149" s="226">
        <f>'C10-Adj by Source'!O52+'C10-Adj by Source'!Q52</f>
        <v>38099.169221443706</v>
      </c>
      <c r="N149" s="226">
        <f>'C10-Adj by Source'!AE52</f>
        <v>196762</v>
      </c>
      <c r="O149" s="226">
        <f>'C10-Adj by Source'!AS52</f>
        <v>302598</v>
      </c>
      <c r="P149" s="226">
        <f>'C10-Adj by Source'!S52</f>
        <v>447140</v>
      </c>
      <c r="Q149" s="226">
        <f>'C10-Adj by Source'!AC52</f>
        <v>444308</v>
      </c>
      <c r="R149" s="226">
        <f>'C10-Adj by Source'!AY52</f>
        <v>447360</v>
      </c>
      <c r="S149" s="226">
        <f>'C10-Adj by Source'!BA52</f>
        <v>615106</v>
      </c>
      <c r="T149" s="226">
        <f>'C10-Adj by Source'!AQ52</f>
        <v>936418.85307925683</v>
      </c>
      <c r="U149" s="226">
        <f>SUM('C10-Adj by Source'!BC52:BD52)</f>
        <v>412198.21645451605</v>
      </c>
      <c r="V149" s="226">
        <f>SUM('C10-Adj by Source'!BF52:BI52)</f>
        <v>731042</v>
      </c>
      <c r="W149" s="226">
        <f>'C10-Adj by Source'!BL52</f>
        <v>553615</v>
      </c>
      <c r="X149" s="226">
        <f>'C10-Adj by Source'!BW52</f>
        <v>352846</v>
      </c>
      <c r="Y149" s="226">
        <f>'C10-Adj by Source'!BP52+'C10-Adj by Source'!BZ52+'C10-Adj by Source'!BU52</f>
        <v>640316</v>
      </c>
      <c r="Z149" s="226"/>
      <c r="AA149" s="226"/>
      <c r="AB149" s="226">
        <f>'C1-Incomes'!B54</f>
        <v>7298695.5062816264</v>
      </c>
      <c r="AC149" s="226">
        <f t="shared" si="30"/>
        <v>0</v>
      </c>
      <c r="AD149" s="226"/>
      <c r="AE149" s="226">
        <f>'C1-Incomes'!R54-'C1-Incomes'!B54</f>
        <v>6252832.143718374</v>
      </c>
      <c r="AF149" s="226">
        <f t="shared" si="31"/>
        <v>2.2783875465393066E-5</v>
      </c>
      <c r="AG149" s="226"/>
      <c r="AH149" s="72"/>
    </row>
    <row r="150" spans="1:34" x14ac:dyDescent="0.3">
      <c r="A150" s="100">
        <v>2007</v>
      </c>
      <c r="B150" s="226">
        <f>'C1-Incomes'!R55</f>
        <v>13968011.708000001</v>
      </c>
      <c r="C150" s="226">
        <f>TOTALS!E52/1000000</f>
        <v>5841842.5999999996</v>
      </c>
      <c r="D150" s="226">
        <f>'C0-Ref Stats'!AF53</f>
        <v>71175.824230927319</v>
      </c>
      <c r="E150" s="226">
        <f>TOTALS!G52/1000000</f>
        <v>236698.43662600001</v>
      </c>
      <c r="F150" s="226">
        <f>TOTALS!F52/1000000</f>
        <v>272886.04197000002</v>
      </c>
      <c r="G150" s="226">
        <f t="shared" si="29"/>
        <v>312759.42062766862</v>
      </c>
      <c r="H150" s="226">
        <f>TOTALS!S52/1000000</f>
        <v>414638.97535899997</v>
      </c>
      <c r="I150" s="226">
        <f>TOTALS!AD52/1000000</f>
        <v>638519.48375300004</v>
      </c>
      <c r="J150" s="226"/>
      <c r="K150" s="226">
        <f>'C10-Adj by Source'!D53</f>
        <v>78511.321370000005</v>
      </c>
      <c r="L150" s="226">
        <f>'C1-Incomes'!AH55-'C1-Incomes'!B55</f>
        <v>61199.835133404471</v>
      </c>
      <c r="M150" s="226">
        <f>'C10-Adj by Source'!O53+'C10-Adj by Source'!Q53</f>
        <v>39901.569872534514</v>
      </c>
      <c r="N150" s="226">
        <f>'C10-Adj by Source'!AE53</f>
        <v>212266</v>
      </c>
      <c r="O150" s="226">
        <f>'C10-Adj by Source'!AS53</f>
        <v>287960</v>
      </c>
      <c r="P150" s="226">
        <f>'C10-Adj by Source'!S53</f>
        <v>264552</v>
      </c>
      <c r="Q150" s="226">
        <f>'C10-Adj by Source'!AC53</f>
        <v>410932</v>
      </c>
      <c r="R150" s="226">
        <f>'C10-Adj by Source'!AY53</f>
        <v>461670</v>
      </c>
      <c r="S150" s="226">
        <f>'C10-Adj by Source'!BA53</f>
        <v>633793</v>
      </c>
      <c r="T150" s="226">
        <f>'C10-Adj by Source'!AQ53</f>
        <v>875586.04124910058</v>
      </c>
      <c r="U150" s="226">
        <f>SUM('C10-Adj by Source'!BC53:BD53)</f>
        <v>438672.15696546494</v>
      </c>
      <c r="V150" s="226">
        <f>SUM('C10-Adj by Source'!BF53:BI53)</f>
        <v>767810</v>
      </c>
      <c r="W150" s="226">
        <f>'C10-Adj by Source'!BL53</f>
        <v>585466</v>
      </c>
      <c r="X150" s="226">
        <f>'C10-Adj by Source'!BW53</f>
        <v>378200</v>
      </c>
      <c r="Y150" s="226">
        <f>'C10-Adj by Source'!BP53+'C10-Adj by Source'!BZ53+'C10-Adj by Source'!BU53</f>
        <v>682971</v>
      </c>
      <c r="Z150" s="226"/>
      <c r="AA150" s="226"/>
      <c r="AB150" s="226">
        <f>'C1-Incomes'!B55</f>
        <v>7788520.7825665958</v>
      </c>
      <c r="AC150" s="226">
        <f t="shared" si="30"/>
        <v>0</v>
      </c>
      <c r="AD150" s="226"/>
      <c r="AE150" s="226">
        <f>'C1-Incomes'!R55-'C1-Incomes'!B55</f>
        <v>6179490.9254334047</v>
      </c>
      <c r="AF150" s="226">
        <f t="shared" si="31"/>
        <v>8.4290094673633575E-4</v>
      </c>
      <c r="AG150" s="226"/>
      <c r="AH150" s="72"/>
    </row>
    <row r="151" spans="1:34" x14ac:dyDescent="0.3">
      <c r="A151" s="100">
        <v>2008</v>
      </c>
      <c r="B151" s="226">
        <f>'C1-Incomes'!R56</f>
        <v>14375522.286</v>
      </c>
      <c r="C151" s="226">
        <f>TOTALS!E53/1000000</f>
        <v>5950015.2000000002</v>
      </c>
      <c r="D151" s="226">
        <f>'C0-Ref Stats'!AF54</f>
        <v>101296.45876067206</v>
      </c>
      <c r="E151" s="226">
        <f>TOTALS!G53/1000000</f>
        <v>219284.36938399999</v>
      </c>
      <c r="F151" s="226">
        <f>TOTALS!F53/1000000</f>
        <v>227821.79232199999</v>
      </c>
      <c r="G151" s="226">
        <f t="shared" si="29"/>
        <v>272307.41246475978</v>
      </c>
      <c r="H151" s="226">
        <f>TOTALS!S53/1000000</f>
        <v>367359.86327600002</v>
      </c>
      <c r="I151" s="226">
        <f>TOTALS!AD53/1000000</f>
        <v>668411.32752699999</v>
      </c>
      <c r="J151" s="226"/>
      <c r="K151" s="226">
        <f>'C10-Adj by Source'!D54</f>
        <v>79055.145929000006</v>
      </c>
      <c r="L151" s="226">
        <f>'C1-Incomes'!AH56-'C1-Incomes'!B56</f>
        <v>47520.613765567541</v>
      </c>
      <c r="M151" s="226">
        <f>'C10-Adj by Source'!O54+'C10-Adj by Source'!Q54</f>
        <v>65835.331600085468</v>
      </c>
      <c r="N151" s="226">
        <f>'C10-Adj by Source'!AE54</f>
        <v>217607</v>
      </c>
      <c r="O151" s="226">
        <f>'C10-Adj by Source'!AS54</f>
        <v>343399</v>
      </c>
      <c r="P151" s="226">
        <f>'C10-Adj by Source'!S54</f>
        <v>167349</v>
      </c>
      <c r="Q151" s="226">
        <f>'C10-Adj by Source'!AC54</f>
        <v>277411</v>
      </c>
      <c r="R151" s="226">
        <f>'C10-Adj by Source'!AY54</f>
        <v>471313</v>
      </c>
      <c r="S151" s="226">
        <f>'C10-Adj by Source'!BA54</f>
        <v>647744</v>
      </c>
      <c r="T151" s="226">
        <f>'C10-Adj by Source'!AQ54</f>
        <v>994107.7515104909</v>
      </c>
      <c r="U151" s="226">
        <f>SUM('C10-Adj by Source'!BC54:BD54)</f>
        <v>519981.61639270897</v>
      </c>
      <c r="V151" s="226">
        <f>SUM('C10-Adj by Source'!BF54:BI54)</f>
        <v>790002</v>
      </c>
      <c r="W151" s="226">
        <f>'C10-Adj by Source'!BL54</f>
        <v>615610</v>
      </c>
      <c r="X151" s="226">
        <f>'C10-Adj by Source'!BW54</f>
        <v>407667</v>
      </c>
      <c r="Y151" s="538">
        <f>'C10-Adj by Source'!BP54+'C10-Adj by Source'!BZ54+'C10-Adj by Source'!BU54+TOTALS!AS114/1000000</f>
        <v>924423.40525499999</v>
      </c>
      <c r="Z151" s="226"/>
      <c r="AA151" s="226"/>
      <c r="AB151" s="226">
        <f>'C1-Incomes'!B56</f>
        <v>7806496.4237344321</v>
      </c>
      <c r="AC151" s="226">
        <f t="shared" si="30"/>
        <v>0</v>
      </c>
      <c r="AD151" s="226"/>
      <c r="AE151" s="226">
        <f>'C1-Incomes'!R56-'C1-Incomes'!B56</f>
        <v>6569025.8622655682</v>
      </c>
      <c r="AF151" s="226">
        <f t="shared" si="31"/>
        <v>-2.1872846409678459E-3</v>
      </c>
      <c r="AG151" s="226"/>
      <c r="AH151" s="72"/>
    </row>
    <row r="152" spans="1:34" x14ac:dyDescent="0.3">
      <c r="A152" s="100">
        <v>2009</v>
      </c>
      <c r="B152" s="226">
        <f>'C1-Incomes'!R57</f>
        <v>14172548.895</v>
      </c>
      <c r="C152" s="226">
        <f>TOTALS!E54/1000000</f>
        <v>5706955</v>
      </c>
      <c r="D152" s="226">
        <f>'C0-Ref Stats'!AF55</f>
        <v>123420.15294215901</v>
      </c>
      <c r="E152" s="226">
        <f>TOTALS!G54/1000000</f>
        <v>163441.51238100001</v>
      </c>
      <c r="F152" s="226">
        <f>TOTALS!F54/1000000</f>
        <v>172368.95437200001</v>
      </c>
      <c r="G152" s="226">
        <f t="shared" si="29"/>
        <v>203492.98866209388</v>
      </c>
      <c r="H152" s="226">
        <f>TOTALS!S54/1000000</f>
        <v>344539.87228000001</v>
      </c>
      <c r="I152" s="226">
        <f>TOTALS!AD54/1000000</f>
        <v>658498.50788399996</v>
      </c>
      <c r="J152" s="226"/>
      <c r="K152" s="226">
        <f>'C10-Adj by Source'!D55</f>
        <v>73016.993377000006</v>
      </c>
      <c r="L152" s="226">
        <f>'C1-Incomes'!AH57-'C1-Incomes'!B57</f>
        <v>31453.166578747332</v>
      </c>
      <c r="M152" s="226">
        <f>'C10-Adj by Source'!O55+'C10-Adj by Source'!Q55</f>
        <v>85169.268898717375</v>
      </c>
      <c r="N152" s="226">
        <f>'C10-Adj by Source'!AE55</f>
        <v>229033</v>
      </c>
      <c r="O152" s="226">
        <f>'C10-Adj by Source'!AS55</f>
        <v>422823</v>
      </c>
      <c r="P152" s="226">
        <f>'C10-Adj by Source'!S55</f>
        <v>552898</v>
      </c>
      <c r="Q152" s="226">
        <f>'C10-Adj by Source'!AC55</f>
        <v>222014</v>
      </c>
      <c r="R152" s="226">
        <f>'C10-Adj by Source'!AY55</f>
        <v>458104</v>
      </c>
      <c r="S152" s="226">
        <f>'C10-Adj by Source'!BA55</f>
        <v>652551</v>
      </c>
      <c r="T152" s="226">
        <f>'C10-Adj by Source'!AQ55</f>
        <v>900354.08587346459</v>
      </c>
      <c r="U152" s="226">
        <f>SUM('C10-Adj by Source'!BC55:BD55)</f>
        <v>378713.39165230608</v>
      </c>
      <c r="V152" s="226">
        <f>SUM('C10-Adj by Source'!BF55:BI55)</f>
        <v>747232</v>
      </c>
      <c r="W152" s="226">
        <f>'C10-Adj by Source'!BL55</f>
        <v>675100</v>
      </c>
      <c r="X152" s="226">
        <f>'C10-Adj by Source'!BW55</f>
        <v>432244</v>
      </c>
      <c r="Y152" s="226">
        <f>'C10-Adj by Source'!BP55+'C10-Adj by Source'!BZ55+'C10-Adj by Source'!BU55</f>
        <v>939126</v>
      </c>
      <c r="Z152" s="226"/>
      <c r="AA152" s="226"/>
      <c r="AB152" s="226">
        <f>'C1-Incomes'!B57</f>
        <v>7372716.9885212528</v>
      </c>
      <c r="AC152" s="226">
        <f t="shared" si="30"/>
        <v>0</v>
      </c>
      <c r="AD152" s="226"/>
      <c r="AE152" s="226">
        <f>'C1-Incomes'!R57-'C1-Incomes'!B57</f>
        <v>6799831.9064787468</v>
      </c>
      <c r="AF152" s="226">
        <f t="shared" si="31"/>
        <v>9.8511576652526855E-5</v>
      </c>
      <c r="AG152" s="226"/>
      <c r="AH152" s="72"/>
    </row>
    <row r="153" spans="1:34" x14ac:dyDescent="0.3">
      <c r="A153" s="100">
        <v>2010</v>
      </c>
      <c r="B153" s="226">
        <f>'C1-Incomes'!R58</f>
        <v>14962769.267999999</v>
      </c>
      <c r="C153" s="226">
        <f>TOTALS!E55/1000000</f>
        <v>5837172.9000000004</v>
      </c>
      <c r="D153" s="226">
        <f>'C0-Ref Stats'!AF56</f>
        <v>128278.0917306492</v>
      </c>
      <c r="E153" s="226">
        <f>TOTALS!G55/1000000</f>
        <v>183526.554504</v>
      </c>
      <c r="F153" s="226">
        <f>TOTALS!F55/1000000</f>
        <v>143599.613125</v>
      </c>
      <c r="G153" s="226">
        <f t="shared" si="29"/>
        <v>221799.49632843118</v>
      </c>
      <c r="H153" s="226">
        <f>TOTALS!S55/1000000</f>
        <v>394479.83339300001</v>
      </c>
      <c r="I153" s="226">
        <f>TOTALS!AD55/1000000</f>
        <v>752858.33115700004</v>
      </c>
      <c r="J153" s="226"/>
      <c r="K153" s="226">
        <f>'C10-Adj by Source'!D56</f>
        <v>74526.420377999995</v>
      </c>
      <c r="L153" s="226">
        <f>'C1-Incomes'!AH58-'C1-Incomes'!B58</f>
        <v>25648.127661919221</v>
      </c>
      <c r="M153" s="226">
        <f>'C10-Adj by Source'!O56+'C10-Adj by Source'!Q56</f>
        <v>116841.69571130116</v>
      </c>
      <c r="N153" s="226">
        <f>'C10-Adj by Source'!AE56</f>
        <v>228945</v>
      </c>
      <c r="O153" s="226">
        <f>'C10-Adj by Source'!AS56</f>
        <v>474167</v>
      </c>
      <c r="P153" s="226">
        <f>'C10-Adj by Source'!S56</f>
        <v>811899</v>
      </c>
      <c r="Q153" s="226">
        <f>'C10-Adj by Source'!AC56</f>
        <v>291303</v>
      </c>
      <c r="R153" s="226">
        <f>'C10-Adj by Source'!AY56</f>
        <v>469361</v>
      </c>
      <c r="S153" s="226">
        <f>'C10-Adj by Source'!BA56</f>
        <v>660039</v>
      </c>
      <c r="T153" s="226">
        <f>'C10-Adj by Source'!AQ56</f>
        <v>889294.32863638375</v>
      </c>
      <c r="U153" s="226">
        <f>SUM('C10-Adj by Source'!BC56:BD56)</f>
        <v>227987.87370952393</v>
      </c>
      <c r="V153" s="226">
        <f>SUM('C10-Adj by Source'!BF56:BI56)</f>
        <v>807815</v>
      </c>
      <c r="W153" s="226">
        <f>'C10-Adj by Source'!BL56</f>
        <v>700953</v>
      </c>
      <c r="X153" s="226">
        <f>'C10-Adj by Source'!BW56</f>
        <v>455307</v>
      </c>
      <c r="Y153" s="226">
        <f>'C10-Adj by Source'!BP56+'C10-Adj by Source'!BZ56+'C10-Adj by Source'!BU56</f>
        <v>1066967</v>
      </c>
      <c r="Z153" s="226"/>
      <c r="AA153" s="226"/>
      <c r="AB153" s="226">
        <f>'C1-Incomes'!B58</f>
        <v>7661714.8202380808</v>
      </c>
      <c r="AC153" s="226">
        <f t="shared" si="30"/>
        <v>0</v>
      </c>
      <c r="AD153" s="226"/>
      <c r="AE153" s="226">
        <f>'C1-Incomes'!R58-'C1-Incomes'!B58</f>
        <v>7301054.4477619184</v>
      </c>
      <c r="AF153" s="226">
        <f t="shared" si="31"/>
        <v>1.6647903248667717E-3</v>
      </c>
      <c r="AG153" s="226"/>
      <c r="AH153" s="72"/>
    </row>
    <row r="154" spans="1:34" x14ac:dyDescent="0.3">
      <c r="A154" s="100">
        <v>2011</v>
      </c>
      <c r="B154" s="226">
        <f>'C1-Incomes'!R59</f>
        <v>15597246.159</v>
      </c>
      <c r="C154" s="226">
        <f>TOTALS!E56/1000000</f>
        <v>6055067.7999999998</v>
      </c>
      <c r="D154" s="226">
        <f>'C0-Ref Stats'!AF57</f>
        <v>128690.4103751459</v>
      </c>
      <c r="E154" s="226">
        <f>TOTALS!G56/1000000</f>
        <v>194598.62538099999</v>
      </c>
      <c r="F154" s="226">
        <f>TOTALS!F56/1000000</f>
        <v>123766.923906</v>
      </c>
      <c r="G154" s="226">
        <f t="shared" si="29"/>
        <v>231516.42067724059</v>
      </c>
      <c r="H154" s="226">
        <f>TOTALS!S56/1000000</f>
        <v>425506.83134600002</v>
      </c>
      <c r="I154" s="226">
        <f>TOTALS!AD56/1000000</f>
        <v>798485.94763800001</v>
      </c>
      <c r="J154" s="226"/>
      <c r="K154" s="226">
        <f>'C10-Adj by Source'!D57</f>
        <v>72456.551363999999</v>
      </c>
      <c r="L154" s="226">
        <f>'C1-Incomes'!AH59-'C1-Incomes'!B59</f>
        <v>30219.997376613319</v>
      </c>
      <c r="M154" s="226">
        <f>'C10-Adj by Source'!O57+'C10-Adj by Source'!Q57</f>
        <v>137185.07209596006</v>
      </c>
      <c r="N154" s="226">
        <f>'C10-Adj by Source'!AE57</f>
        <v>231098</v>
      </c>
      <c r="O154" s="226">
        <f>'C10-Adj by Source'!AS57</f>
        <v>535039</v>
      </c>
      <c r="P154" s="226">
        <f>'C10-Adj by Source'!S57</f>
        <v>733860</v>
      </c>
      <c r="Q154" s="226">
        <f>'C10-Adj by Source'!AC57</f>
        <v>303671</v>
      </c>
      <c r="R154" s="226">
        <f>'C10-Adj by Source'!AY57</f>
        <v>493886</v>
      </c>
      <c r="S154" s="226">
        <f>'C10-Adj by Source'!BA57</f>
        <v>687210</v>
      </c>
      <c r="T154" s="226">
        <f>'C10-Adj by Source'!AQ57</f>
        <v>1013429.4358935261</v>
      </c>
      <c r="U154" s="226">
        <f>SUM('C10-Adj by Source'!BC57:BD57)</f>
        <v>303102.14251004992</v>
      </c>
      <c r="V154" s="226">
        <f>SUM('C10-Adj by Source'!BF57:BI57)</f>
        <v>853465</v>
      </c>
      <c r="W154" s="226">
        <f>'C10-Adj by Source'!BL57</f>
        <v>724222</v>
      </c>
      <c r="X154" s="226">
        <f>'C10-Adj by Source'!BW57</f>
        <v>470779</v>
      </c>
      <c r="Y154" s="226">
        <f>'C10-Adj by Source'!BP57+'C10-Adj by Source'!BZ57+'C10-Adj by Source'!BU57</f>
        <v>1049990</v>
      </c>
      <c r="Z154" s="226"/>
      <c r="AA154" s="226"/>
      <c r="AB154" s="226">
        <f>'C1-Incomes'!B59</f>
        <v>7957632.9593233867</v>
      </c>
      <c r="AC154" s="226">
        <f t="shared" si="30"/>
        <v>0</v>
      </c>
      <c r="AD154" s="226"/>
      <c r="AE154" s="226">
        <f>'C1-Incomes'!R59-'C1-Incomes'!B59</f>
        <v>7639613.1996766133</v>
      </c>
      <c r="AF154" s="226">
        <f t="shared" si="31"/>
        <v>4.3646339327096939E-4</v>
      </c>
      <c r="AG154" s="226"/>
      <c r="AH154" s="72"/>
    </row>
    <row r="155" spans="1:34" x14ac:dyDescent="0.3">
      <c r="A155" s="100">
        <v>2012</v>
      </c>
      <c r="B155" s="226">
        <f>'C1-Incomes'!R60</f>
        <v>16319117.435000001</v>
      </c>
      <c r="C155" s="226">
        <f>TOTALS!E57/1000000</f>
        <v>6300924.5</v>
      </c>
      <c r="D155" s="226">
        <f>'C0-Ref Stats'!AF58</f>
        <v>163447.1141548125</v>
      </c>
      <c r="E155" s="226">
        <f>TOTALS!G57/1000000</f>
        <v>260386.77084799999</v>
      </c>
      <c r="F155" s="226">
        <f>TOTALS!F57/1000000</f>
        <v>115443.755005</v>
      </c>
      <c r="G155" s="226">
        <f t="shared" si="29"/>
        <v>263058.34282389737</v>
      </c>
      <c r="H155" s="226">
        <f>TOTALS!S57/1000000</f>
        <v>535027.81893299997</v>
      </c>
      <c r="I155" s="226">
        <f>TOTALS!AD57/1000000</f>
        <v>843239.49609499995</v>
      </c>
      <c r="J155" s="226"/>
      <c r="K155" s="226">
        <f>'C10-Adj by Source'!D58</f>
        <v>70495.430407000007</v>
      </c>
      <c r="L155" s="226">
        <f>'C1-Incomes'!AH60-'C1-Incomes'!B60</f>
        <v>25911.360440289602</v>
      </c>
      <c r="M155" s="226">
        <f>'C10-Adj by Source'!O58+'C10-Adj by Source'!Q58</f>
        <v>161406.30750538202</v>
      </c>
      <c r="N155" s="226">
        <f>'C10-Adj by Source'!AE58</f>
        <v>232625</v>
      </c>
      <c r="O155" s="226">
        <f>'C10-Adj by Source'!AS58</f>
        <v>564958</v>
      </c>
      <c r="P155" s="226">
        <f>'C10-Adj by Source'!S58</f>
        <v>691162</v>
      </c>
      <c r="Q155" s="226">
        <f>'C10-Adj by Source'!AC58</f>
        <v>359205</v>
      </c>
      <c r="R155" s="226">
        <f>'C10-Adj by Source'!AY58</f>
        <v>514333</v>
      </c>
      <c r="S155" s="226">
        <f>'C10-Adj by Source'!BA58</f>
        <v>705564</v>
      </c>
      <c r="T155" s="226">
        <f>'C10-Adj by Source'!AQ58</f>
        <v>1032333.7387068439</v>
      </c>
      <c r="U155" s="226">
        <f>SUM('C10-Adj by Source'!BC58:BD58)</f>
        <v>340948.79970386409</v>
      </c>
      <c r="V155" s="226">
        <f>SUM('C10-Adj by Source'!BF58:BI58)</f>
        <v>881407</v>
      </c>
      <c r="W155" s="226">
        <f>'C10-Adj by Source'!BL58</f>
        <v>773549</v>
      </c>
      <c r="X155" s="226">
        <f>'C10-Adj by Source'!BW58</f>
        <v>489970</v>
      </c>
      <c r="Y155" s="226">
        <f>'C10-Adj by Source'!BP58+'C10-Adj by Source'!BZ58+'C10-Adj by Source'!BU58</f>
        <v>993721</v>
      </c>
      <c r="Z155" s="226"/>
      <c r="AA155" s="226"/>
      <c r="AB155" s="226">
        <f>'C1-Incomes'!B60</f>
        <v>8481527.7978597097</v>
      </c>
      <c r="AC155" s="226">
        <f t="shared" si="30"/>
        <v>0</v>
      </c>
      <c r="AD155" s="226"/>
      <c r="AE155" s="226">
        <f>'C1-Incomes'!R60-'C1-Incomes'!B60</f>
        <v>7837589.6371402908</v>
      </c>
      <c r="AF155" s="226">
        <f t="shared" si="31"/>
        <v>3.7691090255975723E-4</v>
      </c>
      <c r="AG155" s="226"/>
      <c r="AH155" s="72"/>
    </row>
    <row r="156" spans="1:34" x14ac:dyDescent="0.3">
      <c r="A156" s="100">
        <v>2013</v>
      </c>
      <c r="B156" s="226">
        <f>'C1-Incomes'!R61</f>
        <v>16758697.515000001</v>
      </c>
      <c r="C156" s="226">
        <f>TOTALS!E58/1000000</f>
        <v>6473119.9000000004</v>
      </c>
      <c r="D156" s="226">
        <f>'C0-Ref Stats'!AF59</f>
        <v>163381.47649617598</v>
      </c>
      <c r="E156" s="226">
        <f>TOTALS!G58/1000000</f>
        <v>214827.93598800001</v>
      </c>
      <c r="F156" s="226">
        <f>TOTALS!F58/1000000</f>
        <v>104431.412966</v>
      </c>
      <c r="G156" s="226">
        <f t="shared" si="29"/>
        <v>275368.50551276538</v>
      </c>
      <c r="H156" s="226">
        <f>TOTALS!S58/1000000</f>
        <v>531517.58055800002</v>
      </c>
      <c r="I156" s="226">
        <f>TOTALS!AD58/1000000</f>
        <v>852094.53101100004</v>
      </c>
      <c r="J156" s="226"/>
      <c r="K156" s="226">
        <f>'C10-Adj by Source'!D59</f>
        <v>67643.673890999999</v>
      </c>
      <c r="L156" s="226">
        <f>'C1-Incomes'!AH61-'C1-Incomes'!B61</f>
        <v>32520.42966805771</v>
      </c>
      <c r="M156" s="226">
        <f>'C10-Adj by Source'!O59+'C10-Adj by Source'!Q59</f>
        <v>136122.54380836227</v>
      </c>
      <c r="N156" s="226">
        <f>'C10-Adj by Source'!AE59</f>
        <v>236330</v>
      </c>
      <c r="O156" s="226">
        <f>'C10-Adj by Source'!AS59</f>
        <v>604820</v>
      </c>
      <c r="P156" s="226">
        <f>'C10-Adj by Source'!S59</f>
        <v>635808</v>
      </c>
      <c r="Q156" s="226">
        <f>'C10-Adj by Source'!AC59</f>
        <v>388058</v>
      </c>
      <c r="R156" s="226">
        <f>'C10-Adj by Source'!AY59</f>
        <v>526761</v>
      </c>
      <c r="S156" s="226">
        <f>'C10-Adj by Source'!BA59</f>
        <v>731499</v>
      </c>
      <c r="T156" s="226">
        <f>'C10-Adj by Source'!AQ59</f>
        <v>1072917.4448631261</v>
      </c>
      <c r="U156" s="226">
        <f>SUM('C10-Adj by Source'!BC59:BD59)</f>
        <v>474896.08298629988</v>
      </c>
      <c r="V156" s="226">
        <f>SUM('C10-Adj by Source'!BF59:BI59)</f>
        <v>922705</v>
      </c>
      <c r="W156" s="226">
        <f>'C10-Adj by Source'!BL59</f>
        <v>810720</v>
      </c>
      <c r="X156" s="226">
        <f>'C10-Adj by Source'!BW59</f>
        <v>502003</v>
      </c>
      <c r="Y156" s="226">
        <f>'C10-Adj by Source'!BP59+'C10-Adj by Source'!BZ59+'C10-Adj by Source'!BU59</f>
        <v>1001152</v>
      </c>
      <c r="Z156" s="226"/>
      <c r="AA156" s="226"/>
      <c r="AB156" s="226">
        <f>'C1-Incomes'!B61</f>
        <v>8614741.3425319418</v>
      </c>
      <c r="AC156" s="226">
        <f t="shared" si="30"/>
        <v>0</v>
      </c>
      <c r="AD156" s="226"/>
      <c r="AE156" s="226">
        <f>'C1-Incomes'!R61-'C1-Incomes'!B61</f>
        <v>8143956.1724680588</v>
      </c>
      <c r="AF156" s="226">
        <f t="shared" si="31"/>
        <v>-2.7487864717841148E-3</v>
      </c>
      <c r="AG156" s="226"/>
      <c r="AH156" s="72"/>
    </row>
    <row r="157" spans="1:34" x14ac:dyDescent="0.3">
      <c r="A157" s="23">
        <v>2014</v>
      </c>
      <c r="B157" s="226">
        <f>'C1-Incomes'!R62</f>
        <v>17565794.857999999</v>
      </c>
      <c r="C157" s="226">
        <f>TOTALS!E59/1000000</f>
        <v>6777338.2000000002</v>
      </c>
      <c r="D157" s="226">
        <f>'C0-Ref Stats'!AF60</f>
        <v>177838.2719943891</v>
      </c>
      <c r="E157" s="226">
        <f>TOTALS!G59/1000000</f>
        <v>254521.44633599999</v>
      </c>
      <c r="F157" s="226">
        <f>TOTALS!F59/1000000</f>
        <v>98590.610228999998</v>
      </c>
      <c r="G157" s="226">
        <f t="shared" si="29"/>
        <v>312501.3687547663</v>
      </c>
      <c r="H157" s="226">
        <f>TOTALS!S59/1000000</f>
        <v>583418.63046999997</v>
      </c>
      <c r="I157" s="226">
        <f>TOTALS!AD59/1000000</f>
        <v>898078.63138300006</v>
      </c>
      <c r="J157" s="226"/>
      <c r="K157" s="226">
        <f>'C10-Adj by Source'!D60</f>
        <v>62103.246835999998</v>
      </c>
      <c r="L157" s="226">
        <f>'C1-Incomes'!AH62-'C1-Incomes'!B62</f>
        <v>37860.636332843453</v>
      </c>
      <c r="M157" s="226">
        <f>'C10-Adj by Source'!O60+'C10-Adj by Source'!Q60</f>
        <v>118588.44582665886</v>
      </c>
      <c r="N157" s="226">
        <f>'C10-Adj by Source'!AE60</f>
        <v>233451</v>
      </c>
      <c r="O157" s="226">
        <f>'C10-Adj by Source'!AS60</f>
        <v>639813</v>
      </c>
      <c r="P157" s="226">
        <f>'C10-Adj by Source'!S60</f>
        <v>648893</v>
      </c>
      <c r="Q157" s="226">
        <f>'C10-Adj by Source'!AC60</f>
        <v>408416</v>
      </c>
      <c r="R157" s="226">
        <f>'C10-Adj by Source'!AY60</f>
        <v>547972</v>
      </c>
      <c r="S157" s="226">
        <f>'C10-Adj by Source'!BA60</f>
        <v>754366</v>
      </c>
      <c r="T157" s="226">
        <f>'C10-Adj by Source'!AQ60</f>
        <v>1087607.5919630288</v>
      </c>
      <c r="U157" s="226">
        <f>SUM('C10-Adj by Source'!BC60:BD60)</f>
        <v>492085.77924211591</v>
      </c>
      <c r="V157" s="226">
        <f>SUM('C10-Adj by Source'!BF60:BI60)</f>
        <v>1010592</v>
      </c>
      <c r="W157" s="226">
        <f>'C10-Adj by Source'!BL60</f>
        <v>846595</v>
      </c>
      <c r="X157" s="226">
        <f>'C10-Adj by Source'!BW60</f>
        <v>523886</v>
      </c>
      <c r="Y157" s="226">
        <f>'C10-Adj by Source'!BP60+'C10-Adj by Source'!BZ60+'C10-Adj by Source'!BU60</f>
        <v>1051278</v>
      </c>
      <c r="Z157" s="226"/>
      <c r="AA157" s="226"/>
      <c r="AB157" s="226">
        <f>'C1-Incomes'!B62</f>
        <v>9102287.1591671556</v>
      </c>
      <c r="AC157" s="226">
        <f t="shared" si="30"/>
        <v>0</v>
      </c>
      <c r="AD157" s="226"/>
      <c r="AE157" s="226">
        <f>'C1-Incomes'!R62-'C1-Incomes'!B62</f>
        <v>8463507.6988328435</v>
      </c>
      <c r="AF157" s="226">
        <f t="shared" si="31"/>
        <v>-1.3678036630153656E-3</v>
      </c>
      <c r="AG157" s="229"/>
      <c r="AH157" s="72"/>
    </row>
    <row r="158" spans="1:34" x14ac:dyDescent="0.3">
      <c r="A158" s="23">
        <v>2015</v>
      </c>
      <c r="B158" s="226">
        <f>'C1-Incomes'!R63</f>
        <v>18288640.800999999</v>
      </c>
      <c r="C158" s="226">
        <f>TOTALS!E60/1000000</f>
        <v>7106259.2999999998</v>
      </c>
      <c r="D158" s="226">
        <f>'C0-Ref Stats'!AF61</f>
        <v>189871.2994814855</v>
      </c>
      <c r="E158" s="226">
        <f>TOTALS!G60/1000000</f>
        <v>259762.05473900001</v>
      </c>
      <c r="F158" s="226">
        <f>TOTALS!F60/1000000</f>
        <v>100206.94309</v>
      </c>
      <c r="G158" s="226">
        <f t="shared" si="29"/>
        <v>313949.87899239047</v>
      </c>
      <c r="H158" s="226">
        <f>TOTALS!S60/1000000</f>
        <v>627840.982387</v>
      </c>
      <c r="I158" s="226">
        <f>TOTALS!AD60/1000000</f>
        <v>942739.74008400005</v>
      </c>
      <c r="J158" s="226"/>
      <c r="K158" s="226">
        <f>'C10-Adj by Source'!D61</f>
        <v>61330.374374999999</v>
      </c>
      <c r="L158" s="226">
        <f>'C1-Incomes'!AH63-'C1-Incomes'!B63</f>
        <v>42663.957926124334</v>
      </c>
      <c r="M158" s="226">
        <f>'C10-Adj by Source'!O61+'C10-Adj by Source'!Q61</f>
        <v>111598.60399090065</v>
      </c>
      <c r="N158" s="226">
        <f>'C10-Adj by Source'!AE61</f>
        <v>229739</v>
      </c>
      <c r="O158" s="226">
        <f>'C10-Adj by Source'!AS61</f>
        <v>681272</v>
      </c>
      <c r="P158" s="226">
        <f>'C10-Adj by Source'!S61</f>
        <v>570109</v>
      </c>
      <c r="Q158" s="226">
        <f>'C10-Adj by Source'!AC61</f>
        <v>396972</v>
      </c>
      <c r="R158" s="226">
        <f>'C10-Adj by Source'!AY61</f>
        <v>571399</v>
      </c>
      <c r="S158" s="226">
        <f>'C10-Adj by Source'!BA61</f>
        <v>788790</v>
      </c>
      <c r="T158" s="226">
        <f>'C10-Adj by Source'!AQ61</f>
        <v>1134784.2269715988</v>
      </c>
      <c r="U158" s="226">
        <f>SUM('C10-Adj by Source'!BC61:BD61)</f>
        <v>520068.43936205597</v>
      </c>
      <c r="V158" s="226">
        <f>SUM('C10-Adj by Source'!BF61:BI61)</f>
        <v>1090242</v>
      </c>
      <c r="W158" s="226">
        <f>'C10-Adj by Source'!BL61</f>
        <v>884021</v>
      </c>
      <c r="X158" s="226">
        <f>'C10-Adj by Source'!BW61</f>
        <v>551452</v>
      </c>
      <c r="Y158" s="226">
        <f>'C10-Adj by Source'!BP61+'C10-Adj by Source'!BZ61+'C10-Adj by Source'!BU61</f>
        <v>1113569</v>
      </c>
      <c r="Z158" s="226"/>
      <c r="AA158" s="226"/>
      <c r="AB158" s="226">
        <f>'C1-Incomes'!B63</f>
        <v>9540630.1987738758</v>
      </c>
      <c r="AC158" s="226">
        <f t="shared" si="30"/>
        <v>0</v>
      </c>
      <c r="AD158" s="226"/>
      <c r="AE158" s="226">
        <f>'C1-Incomes'!R63-'C1-Incomes'!B63</f>
        <v>8748010.6022261232</v>
      </c>
      <c r="AF158" s="226">
        <f t="shared" si="31"/>
        <v>-3.9955601096153259E-4</v>
      </c>
      <c r="AG158" s="229"/>
      <c r="AH158" s="72"/>
    </row>
    <row r="159" spans="1:34" x14ac:dyDescent="0.3">
      <c r="A159" s="23"/>
      <c r="B159" s="229"/>
      <c r="C159" s="229"/>
      <c r="D159" s="229"/>
      <c r="E159" s="229"/>
      <c r="F159" s="229"/>
      <c r="G159" s="229"/>
      <c r="H159" s="229"/>
      <c r="I159" s="229"/>
      <c r="J159" s="229"/>
      <c r="K159" s="229"/>
      <c r="L159" s="229"/>
      <c r="M159" s="229"/>
      <c r="N159" s="229"/>
      <c r="O159" s="229"/>
      <c r="P159" s="229"/>
      <c r="Q159" s="229"/>
      <c r="R159" s="229"/>
      <c r="S159" s="229"/>
      <c r="T159" s="229"/>
      <c r="U159" s="229"/>
      <c r="V159" s="229"/>
      <c r="W159" s="229"/>
      <c r="X159" s="229"/>
      <c r="Y159" s="229"/>
      <c r="Z159" s="229"/>
      <c r="AA159" s="229"/>
      <c r="AB159" s="229"/>
      <c r="AC159" s="229"/>
      <c r="AD159" s="229"/>
      <c r="AE159" s="229"/>
      <c r="AF159" s="229"/>
      <c r="AG159" s="229"/>
    </row>
    <row r="160" spans="1:34" x14ac:dyDescent="0.3">
      <c r="A160" s="678"/>
      <c r="B160" s="661"/>
      <c r="AA160" s="12"/>
    </row>
    <row r="161" spans="1:31" x14ac:dyDescent="0.3">
      <c r="A161" s="235" t="s">
        <v>1294</v>
      </c>
      <c r="B161" s="661"/>
      <c r="I161" s="351"/>
      <c r="J161" s="351"/>
      <c r="K161" s="351"/>
      <c r="L161" s="351"/>
      <c r="M161" s="351"/>
      <c r="N161" s="351"/>
      <c r="O161" s="351"/>
      <c r="P161" s="351"/>
      <c r="Q161" s="351"/>
      <c r="R161" s="351"/>
      <c r="S161" s="351"/>
      <c r="T161" s="351"/>
      <c r="U161" s="351"/>
      <c r="V161" s="351"/>
      <c r="W161" s="34"/>
      <c r="X161" s="351"/>
      <c r="Y161" s="351"/>
      <c r="Z161" s="351"/>
      <c r="AA161" s="24"/>
      <c r="AB161" s="351"/>
      <c r="AC161" s="34"/>
      <c r="AD161" s="24"/>
      <c r="AE161" s="24"/>
    </row>
    <row r="162" spans="1:31" x14ac:dyDescent="0.3">
      <c r="A162" s="700" t="s">
        <v>1293</v>
      </c>
      <c r="B162" s="661"/>
      <c r="I162" s="351"/>
      <c r="J162" s="351"/>
      <c r="K162" s="351"/>
      <c r="L162" s="351"/>
      <c r="M162" s="351"/>
      <c r="N162" s="351"/>
      <c r="O162" s="351"/>
      <c r="P162" s="351"/>
      <c r="Q162" s="351"/>
      <c r="R162" s="351"/>
      <c r="S162" s="351"/>
      <c r="T162" s="351"/>
      <c r="U162" s="351"/>
      <c r="V162" s="351"/>
      <c r="W162" s="34"/>
      <c r="X162" s="351"/>
      <c r="Y162" s="351"/>
      <c r="Z162" s="351"/>
      <c r="AA162" s="24"/>
      <c r="AB162" s="351"/>
      <c r="AC162" s="34"/>
      <c r="AD162" s="24"/>
      <c r="AE162" s="24"/>
    </row>
    <row r="164" spans="1:31" x14ac:dyDescent="0.3">
      <c r="H164" s="642"/>
      <c r="I164" s="642"/>
    </row>
  </sheetData>
  <mergeCells count="57">
    <mergeCell ref="J40:N40"/>
    <mergeCell ref="J42:N42"/>
    <mergeCell ref="J43:N43"/>
    <mergeCell ref="J47:N47"/>
    <mergeCell ref="J48:N48"/>
    <mergeCell ref="J49:N49"/>
    <mergeCell ref="J44:N44"/>
    <mergeCell ref="J45:N45"/>
    <mergeCell ref="J46:N46"/>
    <mergeCell ref="J53:N53"/>
    <mergeCell ref="J54:N54"/>
    <mergeCell ref="J55:N55"/>
    <mergeCell ref="J50:N50"/>
    <mergeCell ref="J51:N51"/>
    <mergeCell ref="J52:N52"/>
    <mergeCell ref="J59:N59"/>
    <mergeCell ref="J60:N60"/>
    <mergeCell ref="J61:N61"/>
    <mergeCell ref="J56:N56"/>
    <mergeCell ref="J57:N57"/>
    <mergeCell ref="J58:N58"/>
    <mergeCell ref="J65:N65"/>
    <mergeCell ref="J66:N66"/>
    <mergeCell ref="J67:N67"/>
    <mergeCell ref="J62:N62"/>
    <mergeCell ref="J63:N63"/>
    <mergeCell ref="J64:N64"/>
    <mergeCell ref="J71:N71"/>
    <mergeCell ref="J72:N72"/>
    <mergeCell ref="J73:N73"/>
    <mergeCell ref="J68:N68"/>
    <mergeCell ref="J69:N69"/>
    <mergeCell ref="J70:N70"/>
    <mergeCell ref="J77:N77"/>
    <mergeCell ref="J78:N78"/>
    <mergeCell ref="J79:N79"/>
    <mergeCell ref="J74:N74"/>
    <mergeCell ref="J75:N75"/>
    <mergeCell ref="J76:N76"/>
    <mergeCell ref="J83:N83"/>
    <mergeCell ref="J84:N84"/>
    <mergeCell ref="J85:N85"/>
    <mergeCell ref="J80:N80"/>
    <mergeCell ref="J81:N81"/>
    <mergeCell ref="J82:N82"/>
    <mergeCell ref="J89:N89"/>
    <mergeCell ref="J90:N90"/>
    <mergeCell ref="J91:N91"/>
    <mergeCell ref="J86:N86"/>
    <mergeCell ref="J87:N87"/>
    <mergeCell ref="J88:N88"/>
    <mergeCell ref="J95:N95"/>
    <mergeCell ref="J96:N96"/>
    <mergeCell ref="J97:N97"/>
    <mergeCell ref="J92:N92"/>
    <mergeCell ref="J93:N93"/>
    <mergeCell ref="J94:N94"/>
  </mergeCells>
  <hyperlinks>
    <hyperlink ref="H1" location="Index!A1" display="Index"/>
  </hyperlink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5" tint="0.59999389629810485"/>
  </sheetPr>
  <dimension ref="A1:CV79"/>
  <sheetViews>
    <sheetView zoomScale="85" zoomScaleNormal="85" workbookViewId="0">
      <pane ySplit="8" topLeftCell="A9" activePane="bottomLeft" state="frozen"/>
      <selection pane="bottomLeft"/>
    </sheetView>
  </sheetViews>
  <sheetFormatPr defaultRowHeight="14.4" x14ac:dyDescent="0.3"/>
  <cols>
    <col min="1" max="1" width="9.5546875" style="655" customWidth="1"/>
    <col min="2" max="2" width="12.77734375" style="655" customWidth="1"/>
    <col min="3" max="3" width="2.44140625" style="655" customWidth="1"/>
    <col min="4" max="4" width="16.109375" style="655" customWidth="1"/>
    <col min="5" max="5" width="11.44140625" style="655" customWidth="1"/>
    <col min="6" max="6" width="1.88671875" style="655" customWidth="1"/>
    <col min="7" max="7" width="10.109375" style="655" customWidth="1"/>
    <col min="8" max="8" width="1.21875" style="655" customWidth="1"/>
    <col min="9" max="9" width="12" style="655" customWidth="1"/>
    <col min="10" max="10" width="9.88671875" style="655" customWidth="1"/>
    <col min="11" max="11" width="9.88671875" style="879" customWidth="1"/>
    <col min="12" max="12" width="2.109375" style="655" customWidth="1"/>
    <col min="13" max="13" width="15" style="655" customWidth="1"/>
    <col min="14" max="14" width="2" style="655" customWidth="1"/>
    <col min="15" max="15" width="12.77734375" style="655" customWidth="1"/>
    <col min="16" max="16" width="1.44140625" style="655" customWidth="1"/>
    <col min="17" max="17" width="15.44140625" style="655" customWidth="1"/>
    <col min="18" max="18" width="2.21875" style="655" customWidth="1"/>
    <col min="19" max="19" width="12.77734375" style="655" customWidth="1"/>
    <col min="20" max="20" width="1.21875" style="879" customWidth="1"/>
    <col min="21" max="21" width="14.109375" style="655" customWidth="1"/>
    <col min="22" max="22" width="1.5546875" style="655" customWidth="1"/>
    <col min="23" max="23" width="12.109375" style="655" customWidth="1"/>
    <col min="24" max="24" width="2.109375" style="24" customWidth="1"/>
    <col min="25" max="25" width="11.77734375" style="655" customWidth="1"/>
    <col min="26" max="26" width="3.21875" style="12" customWidth="1"/>
    <col min="27" max="27" width="10.5546875" style="879" customWidth="1"/>
    <col min="28" max="28" width="3.21875" style="879" customWidth="1"/>
    <col min="29" max="29" width="14" style="24" customWidth="1"/>
    <col min="30" max="30" width="2.77734375" style="655" customWidth="1"/>
    <col min="31" max="31" width="10.77734375" style="655" customWidth="1"/>
    <col min="32" max="32" width="9.109375" style="655"/>
    <col min="33" max="33" width="12.77734375" style="655" customWidth="1"/>
    <col min="34" max="176" width="9.109375" style="655"/>
    <col min="177" max="177" width="9.5546875" style="655" customWidth="1"/>
    <col min="178" max="178" width="11" style="655" customWidth="1"/>
    <col min="179" max="180" width="11.21875" style="655" customWidth="1"/>
    <col min="181" max="181" width="11.5546875" style="655" customWidth="1"/>
    <col min="182" max="182" width="11.109375" style="655" customWidth="1"/>
    <col min="183" max="183" width="2" style="655" customWidth="1"/>
    <col min="184" max="184" width="13.5546875" style="655" customWidth="1"/>
    <col min="185" max="185" width="12.44140625" style="655" customWidth="1"/>
    <col min="186" max="186" width="13.5546875" style="655" customWidth="1"/>
    <col min="187" max="187" width="2.109375" style="655" customWidth="1"/>
    <col min="188" max="188" width="9.109375" style="655"/>
    <col min="189" max="189" width="10.21875" style="655" customWidth="1"/>
    <col min="190" max="190" width="1.88671875" style="655" customWidth="1"/>
    <col min="191" max="191" width="10.77734375" style="655" customWidth="1"/>
    <col min="192" max="192" width="9.109375" style="655"/>
    <col min="193" max="193" width="2.109375" style="655" customWidth="1"/>
    <col min="194" max="194" width="9.109375" style="655"/>
    <col min="195" max="195" width="11.21875" style="655" customWidth="1"/>
    <col min="196" max="196" width="12.77734375" style="655" customWidth="1"/>
    <col min="197" max="197" width="12.5546875" style="655" customWidth="1"/>
    <col min="198" max="198" width="2" style="655" customWidth="1"/>
    <col min="199" max="200" width="9.109375" style="655"/>
    <col min="201" max="201" width="11" style="655" customWidth="1"/>
    <col min="202" max="202" width="9.109375" style="655"/>
    <col min="203" max="203" width="2.21875" style="655" customWidth="1"/>
    <col min="204" max="204" width="11" style="655" customWidth="1"/>
    <col min="205" max="205" width="9.109375" style="655"/>
    <col min="206" max="206" width="11.5546875" style="655" customWidth="1"/>
    <col min="207" max="207" width="11.21875" style="655" customWidth="1"/>
    <col min="208" max="208" width="2.88671875" style="655" customWidth="1"/>
    <col min="209" max="210" width="9.109375" style="655"/>
    <col min="211" max="211" width="11.21875" style="655" customWidth="1"/>
    <col min="212" max="212" width="2.21875" style="655" customWidth="1"/>
    <col min="213" max="213" width="9.109375" style="655"/>
    <col min="214" max="214" width="10.44140625" style="655" customWidth="1"/>
    <col min="215" max="215" width="9.109375" style="655"/>
    <col min="216" max="216" width="11.109375" style="655" customWidth="1"/>
    <col min="217" max="218" width="9.109375" style="655"/>
    <col min="219" max="219" width="10.88671875" style="655" customWidth="1"/>
    <col min="220" max="221" width="9.109375" style="655"/>
    <col min="222" max="222" width="1.5546875" style="655" customWidth="1"/>
    <col min="223" max="223" width="9.77734375" style="655" customWidth="1"/>
    <col min="224" max="227" width="9.109375" style="655"/>
    <col min="228" max="228" width="1.88671875" style="655" customWidth="1"/>
    <col min="229" max="229" width="9.88671875" style="655" customWidth="1"/>
    <col min="230" max="230" width="1.5546875" style="655" customWidth="1"/>
    <col min="231" max="231" width="11.44140625" style="655" customWidth="1"/>
    <col min="232" max="232" width="2.21875" style="655" customWidth="1"/>
    <col min="233" max="233" width="12" style="655" customWidth="1"/>
    <col min="234" max="234" width="2" style="655" customWidth="1"/>
    <col min="235" max="235" width="9.109375" style="655"/>
    <col min="236" max="236" width="11.109375" style="655" customWidth="1"/>
    <col min="237" max="237" width="12" style="655" customWidth="1"/>
    <col min="238" max="238" width="9.109375" style="655"/>
    <col min="239" max="239" width="11.88671875" style="655" customWidth="1"/>
    <col min="240" max="240" width="14.21875" style="655" customWidth="1"/>
    <col min="241" max="244" width="9.109375" style="655"/>
    <col min="245" max="245" width="3.44140625" style="655" customWidth="1"/>
    <col min="246" max="247" width="9.109375" style="655"/>
    <col min="248" max="248" width="11.44140625" style="655" customWidth="1"/>
    <col min="249" max="249" width="2.77734375" style="655" customWidth="1"/>
    <col min="250" max="432" width="9.109375" style="655"/>
    <col min="433" max="433" width="9.5546875" style="655" customWidth="1"/>
    <col min="434" max="434" width="11" style="655" customWidth="1"/>
    <col min="435" max="436" width="11.21875" style="655" customWidth="1"/>
    <col min="437" max="437" width="11.5546875" style="655" customWidth="1"/>
    <col min="438" max="438" width="11.109375" style="655" customWidth="1"/>
    <col min="439" max="439" width="2" style="655" customWidth="1"/>
    <col min="440" max="440" width="13.5546875" style="655" customWidth="1"/>
    <col min="441" max="441" width="12.44140625" style="655" customWidth="1"/>
    <col min="442" max="442" width="13.5546875" style="655" customWidth="1"/>
    <col min="443" max="443" width="2.109375" style="655" customWidth="1"/>
    <col min="444" max="444" width="9.109375" style="655"/>
    <col min="445" max="445" width="10.21875" style="655" customWidth="1"/>
    <col min="446" max="446" width="1.88671875" style="655" customWidth="1"/>
    <col min="447" max="447" width="10.77734375" style="655" customWidth="1"/>
    <col min="448" max="448" width="9.109375" style="655"/>
    <col min="449" max="449" width="2.109375" style="655" customWidth="1"/>
    <col min="450" max="450" width="9.109375" style="655"/>
    <col min="451" max="451" width="11.21875" style="655" customWidth="1"/>
    <col min="452" max="452" width="12.77734375" style="655" customWidth="1"/>
    <col min="453" max="453" width="12.5546875" style="655" customWidth="1"/>
    <col min="454" max="454" width="2" style="655" customWidth="1"/>
    <col min="455" max="456" width="9.109375" style="655"/>
    <col min="457" max="457" width="11" style="655" customWidth="1"/>
    <col min="458" max="458" width="9.109375" style="655"/>
    <col min="459" max="459" width="2.21875" style="655" customWidth="1"/>
    <col min="460" max="460" width="11" style="655" customWidth="1"/>
    <col min="461" max="461" width="9.109375" style="655"/>
    <col min="462" max="462" width="11.5546875" style="655" customWidth="1"/>
    <col min="463" max="463" width="11.21875" style="655" customWidth="1"/>
    <col min="464" max="464" width="2.88671875" style="655" customWidth="1"/>
    <col min="465" max="466" width="9.109375" style="655"/>
    <col min="467" max="467" width="11.21875" style="655" customWidth="1"/>
    <col min="468" max="468" width="2.21875" style="655" customWidth="1"/>
    <col min="469" max="469" width="9.109375" style="655"/>
    <col min="470" max="470" width="10.44140625" style="655" customWidth="1"/>
    <col min="471" max="471" width="9.109375" style="655"/>
    <col min="472" max="472" width="11.109375" style="655" customWidth="1"/>
    <col min="473" max="474" width="9.109375" style="655"/>
    <col min="475" max="475" width="10.88671875" style="655" customWidth="1"/>
    <col min="476" max="477" width="9.109375" style="655"/>
    <col min="478" max="478" width="1.5546875" style="655" customWidth="1"/>
    <col min="479" max="479" width="9.77734375" style="655" customWidth="1"/>
    <col min="480" max="483" width="9.109375" style="655"/>
    <col min="484" max="484" width="1.88671875" style="655" customWidth="1"/>
    <col min="485" max="485" width="9.88671875" style="655" customWidth="1"/>
    <col min="486" max="486" width="1.5546875" style="655" customWidth="1"/>
    <col min="487" max="487" width="11.44140625" style="655" customWidth="1"/>
    <col min="488" max="488" width="2.21875" style="655" customWidth="1"/>
    <col min="489" max="489" width="12" style="655" customWidth="1"/>
    <col min="490" max="490" width="2" style="655" customWidth="1"/>
    <col min="491" max="491" width="9.109375" style="655"/>
    <col min="492" max="492" width="11.109375" style="655" customWidth="1"/>
    <col min="493" max="493" width="12" style="655" customWidth="1"/>
    <col min="494" max="494" width="9.109375" style="655"/>
    <col min="495" max="495" width="11.88671875" style="655" customWidth="1"/>
    <col min="496" max="496" width="14.21875" style="655" customWidth="1"/>
    <col min="497" max="500" width="9.109375" style="655"/>
    <col min="501" max="501" width="3.44140625" style="655" customWidth="1"/>
    <col min="502" max="503" width="9.109375" style="655"/>
    <col min="504" max="504" width="11.44140625" style="655" customWidth="1"/>
    <col min="505" max="505" width="2.77734375" style="655" customWidth="1"/>
    <col min="506" max="688" width="9.109375" style="655"/>
    <col min="689" max="689" width="9.5546875" style="655" customWidth="1"/>
    <col min="690" max="690" width="11" style="655" customWidth="1"/>
    <col min="691" max="692" width="11.21875" style="655" customWidth="1"/>
    <col min="693" max="693" width="11.5546875" style="655" customWidth="1"/>
    <col min="694" max="694" width="11.109375" style="655" customWidth="1"/>
    <col min="695" max="695" width="2" style="655" customWidth="1"/>
    <col min="696" max="696" width="13.5546875" style="655" customWidth="1"/>
    <col min="697" max="697" width="12.44140625" style="655" customWidth="1"/>
    <col min="698" max="698" width="13.5546875" style="655" customWidth="1"/>
    <col min="699" max="699" width="2.109375" style="655" customWidth="1"/>
    <col min="700" max="700" width="9.109375" style="655"/>
    <col min="701" max="701" width="10.21875" style="655" customWidth="1"/>
    <col min="702" max="702" width="1.88671875" style="655" customWidth="1"/>
    <col min="703" max="703" width="10.77734375" style="655" customWidth="1"/>
    <col min="704" max="704" width="9.109375" style="655"/>
    <col min="705" max="705" width="2.109375" style="655" customWidth="1"/>
    <col min="706" max="706" width="9.109375" style="655"/>
    <col min="707" max="707" width="11.21875" style="655" customWidth="1"/>
    <col min="708" max="708" width="12.77734375" style="655" customWidth="1"/>
    <col min="709" max="709" width="12.5546875" style="655" customWidth="1"/>
    <col min="710" max="710" width="2" style="655" customWidth="1"/>
    <col min="711" max="712" width="9.109375" style="655"/>
    <col min="713" max="713" width="11" style="655" customWidth="1"/>
    <col min="714" max="714" width="9.109375" style="655"/>
    <col min="715" max="715" width="2.21875" style="655" customWidth="1"/>
    <col min="716" max="716" width="11" style="655" customWidth="1"/>
    <col min="717" max="717" width="9.109375" style="655"/>
    <col min="718" max="718" width="11.5546875" style="655" customWidth="1"/>
    <col min="719" max="719" width="11.21875" style="655" customWidth="1"/>
    <col min="720" max="720" width="2.88671875" style="655" customWidth="1"/>
    <col min="721" max="722" width="9.109375" style="655"/>
    <col min="723" max="723" width="11.21875" style="655" customWidth="1"/>
    <col min="724" max="724" width="2.21875" style="655" customWidth="1"/>
    <col min="725" max="725" width="9.109375" style="655"/>
    <col min="726" max="726" width="10.44140625" style="655" customWidth="1"/>
    <col min="727" max="727" width="9.109375" style="655"/>
    <col min="728" max="728" width="11.109375" style="655" customWidth="1"/>
    <col min="729" max="730" width="9.109375" style="655"/>
    <col min="731" max="731" width="10.88671875" style="655" customWidth="1"/>
    <col min="732" max="733" width="9.109375" style="655"/>
    <col min="734" max="734" width="1.5546875" style="655" customWidth="1"/>
    <col min="735" max="735" width="9.77734375" style="655" customWidth="1"/>
    <col min="736" max="739" width="9.109375" style="655"/>
    <col min="740" max="740" width="1.88671875" style="655" customWidth="1"/>
    <col min="741" max="741" width="9.88671875" style="655" customWidth="1"/>
    <col min="742" max="742" width="1.5546875" style="655" customWidth="1"/>
    <col min="743" max="743" width="11.44140625" style="655" customWidth="1"/>
    <col min="744" max="744" width="2.21875" style="655" customWidth="1"/>
    <col min="745" max="745" width="12" style="655" customWidth="1"/>
    <col min="746" max="746" width="2" style="655" customWidth="1"/>
    <col min="747" max="747" width="9.109375" style="655"/>
    <col min="748" max="748" width="11.109375" style="655" customWidth="1"/>
    <col min="749" max="749" width="12" style="655" customWidth="1"/>
    <col min="750" max="750" width="9.109375" style="655"/>
    <col min="751" max="751" width="11.88671875" style="655" customWidth="1"/>
    <col min="752" max="752" width="14.21875" style="655" customWidth="1"/>
    <col min="753" max="756" width="9.109375" style="655"/>
    <col min="757" max="757" width="3.44140625" style="655" customWidth="1"/>
    <col min="758" max="759" width="9.109375" style="655"/>
    <col min="760" max="760" width="11.44140625" style="655" customWidth="1"/>
    <col min="761" max="761" width="2.77734375" style="655" customWidth="1"/>
    <col min="762" max="944" width="9.109375" style="655"/>
    <col min="945" max="945" width="9.5546875" style="655" customWidth="1"/>
    <col min="946" max="946" width="11" style="655" customWidth="1"/>
    <col min="947" max="948" width="11.21875" style="655" customWidth="1"/>
    <col min="949" max="949" width="11.5546875" style="655" customWidth="1"/>
    <col min="950" max="950" width="11.109375" style="655" customWidth="1"/>
    <col min="951" max="951" width="2" style="655" customWidth="1"/>
    <col min="952" max="952" width="13.5546875" style="655" customWidth="1"/>
    <col min="953" max="953" width="12.44140625" style="655" customWidth="1"/>
    <col min="954" max="954" width="13.5546875" style="655" customWidth="1"/>
    <col min="955" max="955" width="2.109375" style="655" customWidth="1"/>
    <col min="956" max="956" width="9.109375" style="655"/>
    <col min="957" max="957" width="10.21875" style="655" customWidth="1"/>
    <col min="958" max="958" width="1.88671875" style="655" customWidth="1"/>
    <col min="959" max="959" width="10.77734375" style="655" customWidth="1"/>
    <col min="960" max="960" width="9.109375" style="655"/>
    <col min="961" max="961" width="2.109375" style="655" customWidth="1"/>
    <col min="962" max="962" width="9.109375" style="655"/>
    <col min="963" max="963" width="11.21875" style="655" customWidth="1"/>
    <col min="964" max="964" width="12.77734375" style="655" customWidth="1"/>
    <col min="965" max="965" width="12.5546875" style="655" customWidth="1"/>
    <col min="966" max="966" width="2" style="655" customWidth="1"/>
    <col min="967" max="968" width="9.109375" style="655"/>
    <col min="969" max="969" width="11" style="655" customWidth="1"/>
    <col min="970" max="970" width="9.109375" style="655"/>
    <col min="971" max="971" width="2.21875" style="655" customWidth="1"/>
    <col min="972" max="972" width="11" style="655" customWidth="1"/>
    <col min="973" max="973" width="9.109375" style="655"/>
    <col min="974" max="974" width="11.5546875" style="655" customWidth="1"/>
    <col min="975" max="975" width="11.21875" style="655" customWidth="1"/>
    <col min="976" max="976" width="2.88671875" style="655" customWidth="1"/>
    <col min="977" max="978" width="9.109375" style="655"/>
    <col min="979" max="979" width="11.21875" style="655" customWidth="1"/>
    <col min="980" max="980" width="2.21875" style="655" customWidth="1"/>
    <col min="981" max="981" width="9.109375" style="655"/>
    <col min="982" max="982" width="10.44140625" style="655" customWidth="1"/>
    <col min="983" max="983" width="9.109375" style="655"/>
    <col min="984" max="984" width="11.109375" style="655" customWidth="1"/>
    <col min="985" max="986" width="9.109375" style="655"/>
    <col min="987" max="987" width="10.88671875" style="655" customWidth="1"/>
    <col min="988" max="989" width="9.109375" style="655"/>
    <col min="990" max="990" width="1.5546875" style="655" customWidth="1"/>
    <col min="991" max="991" width="9.77734375" style="655" customWidth="1"/>
    <col min="992" max="995" width="9.109375" style="655"/>
    <col min="996" max="996" width="1.88671875" style="655" customWidth="1"/>
    <col min="997" max="997" width="9.88671875" style="655" customWidth="1"/>
    <col min="998" max="998" width="1.5546875" style="655" customWidth="1"/>
    <col min="999" max="999" width="11.44140625" style="655" customWidth="1"/>
    <col min="1000" max="1000" width="2.21875" style="655" customWidth="1"/>
    <col min="1001" max="1001" width="12" style="655" customWidth="1"/>
    <col min="1002" max="1002" width="2" style="655" customWidth="1"/>
    <col min="1003" max="1003" width="9.109375" style="655"/>
    <col min="1004" max="1004" width="11.109375" style="655" customWidth="1"/>
    <col min="1005" max="1005" width="12" style="655" customWidth="1"/>
    <col min="1006" max="1006" width="9.109375" style="655"/>
    <col min="1007" max="1007" width="11.88671875" style="655" customWidth="1"/>
    <col min="1008" max="1008" width="14.21875" style="655" customWidth="1"/>
    <col min="1009" max="1012" width="9.109375" style="655"/>
    <col min="1013" max="1013" width="3.44140625" style="655" customWidth="1"/>
    <col min="1014" max="1015" width="9.109375" style="655"/>
    <col min="1016" max="1016" width="11.44140625" style="655" customWidth="1"/>
    <col min="1017" max="1017" width="2.77734375" style="655" customWidth="1"/>
    <col min="1018" max="1200" width="9.109375" style="655"/>
    <col min="1201" max="1201" width="9.5546875" style="655" customWidth="1"/>
    <col min="1202" max="1202" width="11" style="655" customWidth="1"/>
    <col min="1203" max="1204" width="11.21875" style="655" customWidth="1"/>
    <col min="1205" max="1205" width="11.5546875" style="655" customWidth="1"/>
    <col min="1206" max="1206" width="11.109375" style="655" customWidth="1"/>
    <col min="1207" max="1207" width="2" style="655" customWidth="1"/>
    <col min="1208" max="1208" width="13.5546875" style="655" customWidth="1"/>
    <col min="1209" max="1209" width="12.44140625" style="655" customWidth="1"/>
    <col min="1210" max="1210" width="13.5546875" style="655" customWidth="1"/>
    <col min="1211" max="1211" width="2.109375" style="655" customWidth="1"/>
    <col min="1212" max="1212" width="9.109375" style="655"/>
    <col min="1213" max="1213" width="10.21875" style="655" customWidth="1"/>
    <col min="1214" max="1214" width="1.88671875" style="655" customWidth="1"/>
    <col min="1215" max="1215" width="10.77734375" style="655" customWidth="1"/>
    <col min="1216" max="1216" width="9.109375" style="655"/>
    <col min="1217" max="1217" width="2.109375" style="655" customWidth="1"/>
    <col min="1218" max="1218" width="9.109375" style="655"/>
    <col min="1219" max="1219" width="11.21875" style="655" customWidth="1"/>
    <col min="1220" max="1220" width="12.77734375" style="655" customWidth="1"/>
    <col min="1221" max="1221" width="12.5546875" style="655" customWidth="1"/>
    <col min="1222" max="1222" width="2" style="655" customWidth="1"/>
    <col min="1223" max="1224" width="9.109375" style="655"/>
    <col min="1225" max="1225" width="11" style="655" customWidth="1"/>
    <col min="1226" max="1226" width="9.109375" style="655"/>
    <col min="1227" max="1227" width="2.21875" style="655" customWidth="1"/>
    <col min="1228" max="1228" width="11" style="655" customWidth="1"/>
    <col min="1229" max="1229" width="9.109375" style="655"/>
    <col min="1230" max="1230" width="11.5546875" style="655" customWidth="1"/>
    <col min="1231" max="1231" width="11.21875" style="655" customWidth="1"/>
    <col min="1232" max="1232" width="2.88671875" style="655" customWidth="1"/>
    <col min="1233" max="1234" width="9.109375" style="655"/>
    <col min="1235" max="1235" width="11.21875" style="655" customWidth="1"/>
    <col min="1236" max="1236" width="2.21875" style="655" customWidth="1"/>
    <col min="1237" max="1237" width="9.109375" style="655"/>
    <col min="1238" max="1238" width="10.44140625" style="655" customWidth="1"/>
    <col min="1239" max="1239" width="9.109375" style="655"/>
    <col min="1240" max="1240" width="11.109375" style="655" customWidth="1"/>
    <col min="1241" max="1242" width="9.109375" style="655"/>
    <col min="1243" max="1243" width="10.88671875" style="655" customWidth="1"/>
    <col min="1244" max="1245" width="9.109375" style="655"/>
    <col min="1246" max="1246" width="1.5546875" style="655" customWidth="1"/>
    <col min="1247" max="1247" width="9.77734375" style="655" customWidth="1"/>
    <col min="1248" max="1251" width="9.109375" style="655"/>
    <col min="1252" max="1252" width="1.88671875" style="655" customWidth="1"/>
    <col min="1253" max="1253" width="9.88671875" style="655" customWidth="1"/>
    <col min="1254" max="1254" width="1.5546875" style="655" customWidth="1"/>
    <col min="1255" max="1255" width="11.44140625" style="655" customWidth="1"/>
    <col min="1256" max="1256" width="2.21875" style="655" customWidth="1"/>
    <col min="1257" max="1257" width="12" style="655" customWidth="1"/>
    <col min="1258" max="1258" width="2" style="655" customWidth="1"/>
    <col min="1259" max="1259" width="9.109375" style="655"/>
    <col min="1260" max="1260" width="11.109375" style="655" customWidth="1"/>
    <col min="1261" max="1261" width="12" style="655" customWidth="1"/>
    <col min="1262" max="1262" width="9.109375" style="655"/>
    <col min="1263" max="1263" width="11.88671875" style="655" customWidth="1"/>
    <col min="1264" max="1264" width="14.21875" style="655" customWidth="1"/>
    <col min="1265" max="1268" width="9.109375" style="655"/>
    <col min="1269" max="1269" width="3.44140625" style="655" customWidth="1"/>
    <col min="1270" max="1271" width="9.109375" style="655"/>
    <col min="1272" max="1272" width="11.44140625" style="655" customWidth="1"/>
    <col min="1273" max="1273" width="2.77734375" style="655" customWidth="1"/>
    <col min="1274" max="1456" width="9.109375" style="655"/>
    <col min="1457" max="1457" width="9.5546875" style="655" customWidth="1"/>
    <col min="1458" max="1458" width="11" style="655" customWidth="1"/>
    <col min="1459" max="1460" width="11.21875" style="655" customWidth="1"/>
    <col min="1461" max="1461" width="11.5546875" style="655" customWidth="1"/>
    <col min="1462" max="1462" width="11.109375" style="655" customWidth="1"/>
    <col min="1463" max="1463" width="2" style="655" customWidth="1"/>
    <col min="1464" max="1464" width="13.5546875" style="655" customWidth="1"/>
    <col min="1465" max="1465" width="12.44140625" style="655" customWidth="1"/>
    <col min="1466" max="1466" width="13.5546875" style="655" customWidth="1"/>
    <col min="1467" max="1467" width="2.109375" style="655" customWidth="1"/>
    <col min="1468" max="1468" width="9.109375" style="655"/>
    <col min="1469" max="1469" width="10.21875" style="655" customWidth="1"/>
    <col min="1470" max="1470" width="1.88671875" style="655" customWidth="1"/>
    <col min="1471" max="1471" width="10.77734375" style="655" customWidth="1"/>
    <col min="1472" max="1472" width="9.109375" style="655"/>
    <col min="1473" max="1473" width="2.109375" style="655" customWidth="1"/>
    <col min="1474" max="1474" width="9.109375" style="655"/>
    <col min="1475" max="1475" width="11.21875" style="655" customWidth="1"/>
    <col min="1476" max="1476" width="12.77734375" style="655" customWidth="1"/>
    <col min="1477" max="1477" width="12.5546875" style="655" customWidth="1"/>
    <col min="1478" max="1478" width="2" style="655" customWidth="1"/>
    <col min="1479" max="1480" width="9.109375" style="655"/>
    <col min="1481" max="1481" width="11" style="655" customWidth="1"/>
    <col min="1482" max="1482" width="9.109375" style="655"/>
    <col min="1483" max="1483" width="2.21875" style="655" customWidth="1"/>
    <col min="1484" max="1484" width="11" style="655" customWidth="1"/>
    <col min="1485" max="1485" width="9.109375" style="655"/>
    <col min="1486" max="1486" width="11.5546875" style="655" customWidth="1"/>
    <col min="1487" max="1487" width="11.21875" style="655" customWidth="1"/>
    <col min="1488" max="1488" width="2.88671875" style="655" customWidth="1"/>
    <col min="1489" max="1490" width="9.109375" style="655"/>
    <col min="1491" max="1491" width="11.21875" style="655" customWidth="1"/>
    <col min="1492" max="1492" width="2.21875" style="655" customWidth="1"/>
    <col min="1493" max="1493" width="9.109375" style="655"/>
    <col min="1494" max="1494" width="10.44140625" style="655" customWidth="1"/>
    <col min="1495" max="1495" width="9.109375" style="655"/>
    <col min="1496" max="1496" width="11.109375" style="655" customWidth="1"/>
    <col min="1497" max="1498" width="9.109375" style="655"/>
    <col min="1499" max="1499" width="10.88671875" style="655" customWidth="1"/>
    <col min="1500" max="1501" width="9.109375" style="655"/>
    <col min="1502" max="1502" width="1.5546875" style="655" customWidth="1"/>
    <col min="1503" max="1503" width="9.77734375" style="655" customWidth="1"/>
    <col min="1504" max="1507" width="9.109375" style="655"/>
    <col min="1508" max="1508" width="1.88671875" style="655" customWidth="1"/>
    <col min="1509" max="1509" width="9.88671875" style="655" customWidth="1"/>
    <col min="1510" max="1510" width="1.5546875" style="655" customWidth="1"/>
    <col min="1511" max="1511" width="11.44140625" style="655" customWidth="1"/>
    <col min="1512" max="1512" width="2.21875" style="655" customWidth="1"/>
    <col min="1513" max="1513" width="12" style="655" customWidth="1"/>
    <col min="1514" max="1514" width="2" style="655" customWidth="1"/>
    <col min="1515" max="1515" width="9.109375" style="655"/>
    <col min="1516" max="1516" width="11.109375" style="655" customWidth="1"/>
    <col min="1517" max="1517" width="12" style="655" customWidth="1"/>
    <col min="1518" max="1518" width="9.109375" style="655"/>
    <col min="1519" max="1519" width="11.88671875" style="655" customWidth="1"/>
    <col min="1520" max="1520" width="14.21875" style="655" customWidth="1"/>
    <col min="1521" max="1524" width="9.109375" style="655"/>
    <col min="1525" max="1525" width="3.44140625" style="655" customWidth="1"/>
    <col min="1526" max="1527" width="9.109375" style="655"/>
    <col min="1528" max="1528" width="11.44140625" style="655" customWidth="1"/>
    <col min="1529" max="1529" width="2.77734375" style="655" customWidth="1"/>
    <col min="1530" max="1712" width="9.109375" style="655"/>
    <col min="1713" max="1713" width="9.5546875" style="655" customWidth="1"/>
    <col min="1714" max="1714" width="11" style="655" customWidth="1"/>
    <col min="1715" max="1716" width="11.21875" style="655" customWidth="1"/>
    <col min="1717" max="1717" width="11.5546875" style="655" customWidth="1"/>
    <col min="1718" max="1718" width="11.109375" style="655" customWidth="1"/>
    <col min="1719" max="1719" width="2" style="655" customWidth="1"/>
    <col min="1720" max="1720" width="13.5546875" style="655" customWidth="1"/>
    <col min="1721" max="1721" width="12.44140625" style="655" customWidth="1"/>
    <col min="1722" max="1722" width="13.5546875" style="655" customWidth="1"/>
    <col min="1723" max="1723" width="2.109375" style="655" customWidth="1"/>
    <col min="1724" max="1724" width="9.109375" style="655"/>
    <col min="1725" max="1725" width="10.21875" style="655" customWidth="1"/>
    <col min="1726" max="1726" width="1.88671875" style="655" customWidth="1"/>
    <col min="1727" max="1727" width="10.77734375" style="655" customWidth="1"/>
    <col min="1728" max="1728" width="9.109375" style="655"/>
    <col min="1729" max="1729" width="2.109375" style="655" customWidth="1"/>
    <col min="1730" max="1730" width="9.109375" style="655"/>
    <col min="1731" max="1731" width="11.21875" style="655" customWidth="1"/>
    <col min="1732" max="1732" width="12.77734375" style="655" customWidth="1"/>
    <col min="1733" max="1733" width="12.5546875" style="655" customWidth="1"/>
    <col min="1734" max="1734" width="2" style="655" customWidth="1"/>
    <col min="1735" max="1736" width="9.109375" style="655"/>
    <col min="1737" max="1737" width="11" style="655" customWidth="1"/>
    <col min="1738" max="1738" width="9.109375" style="655"/>
    <col min="1739" max="1739" width="2.21875" style="655" customWidth="1"/>
    <col min="1740" max="1740" width="11" style="655" customWidth="1"/>
    <col min="1741" max="1741" width="9.109375" style="655"/>
    <col min="1742" max="1742" width="11.5546875" style="655" customWidth="1"/>
    <col min="1743" max="1743" width="11.21875" style="655" customWidth="1"/>
    <col min="1744" max="1744" width="2.88671875" style="655" customWidth="1"/>
    <col min="1745" max="1746" width="9.109375" style="655"/>
    <col min="1747" max="1747" width="11.21875" style="655" customWidth="1"/>
    <col min="1748" max="1748" width="2.21875" style="655" customWidth="1"/>
    <col min="1749" max="1749" width="9.109375" style="655"/>
    <col min="1750" max="1750" width="10.44140625" style="655" customWidth="1"/>
    <col min="1751" max="1751" width="9.109375" style="655"/>
    <col min="1752" max="1752" width="11.109375" style="655" customWidth="1"/>
    <col min="1753" max="1754" width="9.109375" style="655"/>
    <col min="1755" max="1755" width="10.88671875" style="655" customWidth="1"/>
    <col min="1756" max="1757" width="9.109375" style="655"/>
    <col min="1758" max="1758" width="1.5546875" style="655" customWidth="1"/>
    <col min="1759" max="1759" width="9.77734375" style="655" customWidth="1"/>
    <col min="1760" max="1763" width="9.109375" style="655"/>
    <col min="1764" max="1764" width="1.88671875" style="655" customWidth="1"/>
    <col min="1765" max="1765" width="9.88671875" style="655" customWidth="1"/>
    <col min="1766" max="1766" width="1.5546875" style="655" customWidth="1"/>
    <col min="1767" max="1767" width="11.44140625" style="655" customWidth="1"/>
    <col min="1768" max="1768" width="2.21875" style="655" customWidth="1"/>
    <col min="1769" max="1769" width="12" style="655" customWidth="1"/>
    <col min="1770" max="1770" width="2" style="655" customWidth="1"/>
    <col min="1771" max="1771" width="9.109375" style="655"/>
    <col min="1772" max="1772" width="11.109375" style="655" customWidth="1"/>
    <col min="1773" max="1773" width="12" style="655" customWidth="1"/>
    <col min="1774" max="1774" width="9.109375" style="655"/>
    <col min="1775" max="1775" width="11.88671875" style="655" customWidth="1"/>
    <col min="1776" max="1776" width="14.21875" style="655" customWidth="1"/>
    <col min="1777" max="1780" width="9.109375" style="655"/>
    <col min="1781" max="1781" width="3.44140625" style="655" customWidth="1"/>
    <col min="1782" max="1783" width="9.109375" style="655"/>
    <col min="1784" max="1784" width="11.44140625" style="655" customWidth="1"/>
    <col min="1785" max="1785" width="2.77734375" style="655" customWidth="1"/>
    <col min="1786" max="1968" width="9.109375" style="655"/>
    <col min="1969" max="1969" width="9.5546875" style="655" customWidth="1"/>
    <col min="1970" max="1970" width="11" style="655" customWidth="1"/>
    <col min="1971" max="1972" width="11.21875" style="655" customWidth="1"/>
    <col min="1973" max="1973" width="11.5546875" style="655" customWidth="1"/>
    <col min="1974" max="1974" width="11.109375" style="655" customWidth="1"/>
    <col min="1975" max="1975" width="2" style="655" customWidth="1"/>
    <col min="1976" max="1976" width="13.5546875" style="655" customWidth="1"/>
    <col min="1977" max="1977" width="12.44140625" style="655" customWidth="1"/>
    <col min="1978" max="1978" width="13.5546875" style="655" customWidth="1"/>
    <col min="1979" max="1979" width="2.109375" style="655" customWidth="1"/>
    <col min="1980" max="1980" width="9.109375" style="655"/>
    <col min="1981" max="1981" width="10.21875" style="655" customWidth="1"/>
    <col min="1982" max="1982" width="1.88671875" style="655" customWidth="1"/>
    <col min="1983" max="1983" width="10.77734375" style="655" customWidth="1"/>
    <col min="1984" max="1984" width="9.109375" style="655"/>
    <col min="1985" max="1985" width="2.109375" style="655" customWidth="1"/>
    <col min="1986" max="1986" width="9.109375" style="655"/>
    <col min="1987" max="1987" width="11.21875" style="655" customWidth="1"/>
    <col min="1988" max="1988" width="12.77734375" style="655" customWidth="1"/>
    <col min="1989" max="1989" width="12.5546875" style="655" customWidth="1"/>
    <col min="1990" max="1990" width="2" style="655" customWidth="1"/>
    <col min="1991" max="1992" width="9.109375" style="655"/>
    <col min="1993" max="1993" width="11" style="655" customWidth="1"/>
    <col min="1994" max="1994" width="9.109375" style="655"/>
    <col min="1995" max="1995" width="2.21875" style="655" customWidth="1"/>
    <col min="1996" max="1996" width="11" style="655" customWidth="1"/>
    <col min="1997" max="1997" width="9.109375" style="655"/>
    <col min="1998" max="1998" width="11.5546875" style="655" customWidth="1"/>
    <col min="1999" max="1999" width="11.21875" style="655" customWidth="1"/>
    <col min="2000" max="2000" width="2.88671875" style="655" customWidth="1"/>
    <col min="2001" max="2002" width="9.109375" style="655"/>
    <col min="2003" max="2003" width="11.21875" style="655" customWidth="1"/>
    <col min="2004" max="2004" width="2.21875" style="655" customWidth="1"/>
    <col min="2005" max="2005" width="9.109375" style="655"/>
    <col min="2006" max="2006" width="10.44140625" style="655" customWidth="1"/>
    <col min="2007" max="2007" width="9.109375" style="655"/>
    <col min="2008" max="2008" width="11.109375" style="655" customWidth="1"/>
    <col min="2009" max="2010" width="9.109375" style="655"/>
    <col min="2011" max="2011" width="10.88671875" style="655" customWidth="1"/>
    <col min="2012" max="2013" width="9.109375" style="655"/>
    <col min="2014" max="2014" width="1.5546875" style="655" customWidth="1"/>
    <col min="2015" max="2015" width="9.77734375" style="655" customWidth="1"/>
    <col min="2016" max="2019" width="9.109375" style="655"/>
    <col min="2020" max="2020" width="1.88671875" style="655" customWidth="1"/>
    <col min="2021" max="2021" width="9.88671875" style="655" customWidth="1"/>
    <col min="2022" max="2022" width="1.5546875" style="655" customWidth="1"/>
    <col min="2023" max="2023" width="11.44140625" style="655" customWidth="1"/>
    <col min="2024" max="2024" width="2.21875" style="655" customWidth="1"/>
    <col min="2025" max="2025" width="12" style="655" customWidth="1"/>
    <col min="2026" max="2026" width="2" style="655" customWidth="1"/>
    <col min="2027" max="2027" width="9.109375" style="655"/>
    <col min="2028" max="2028" width="11.109375" style="655" customWidth="1"/>
    <col min="2029" max="2029" width="12" style="655" customWidth="1"/>
    <col min="2030" max="2030" width="9.109375" style="655"/>
    <col min="2031" max="2031" width="11.88671875" style="655" customWidth="1"/>
    <col min="2032" max="2032" width="14.21875" style="655" customWidth="1"/>
    <col min="2033" max="2036" width="9.109375" style="655"/>
    <col min="2037" max="2037" width="3.44140625" style="655" customWidth="1"/>
    <col min="2038" max="2039" width="9.109375" style="655"/>
    <col min="2040" max="2040" width="11.44140625" style="655" customWidth="1"/>
    <col min="2041" max="2041" width="2.77734375" style="655" customWidth="1"/>
    <col min="2042" max="2224" width="9.109375" style="655"/>
    <col min="2225" max="2225" width="9.5546875" style="655" customWidth="1"/>
    <col min="2226" max="2226" width="11" style="655" customWidth="1"/>
    <col min="2227" max="2228" width="11.21875" style="655" customWidth="1"/>
    <col min="2229" max="2229" width="11.5546875" style="655" customWidth="1"/>
    <col min="2230" max="2230" width="11.109375" style="655" customWidth="1"/>
    <col min="2231" max="2231" width="2" style="655" customWidth="1"/>
    <col min="2232" max="2232" width="13.5546875" style="655" customWidth="1"/>
    <col min="2233" max="2233" width="12.44140625" style="655" customWidth="1"/>
    <col min="2234" max="2234" width="13.5546875" style="655" customWidth="1"/>
    <col min="2235" max="2235" width="2.109375" style="655" customWidth="1"/>
    <col min="2236" max="2236" width="9.109375" style="655"/>
    <col min="2237" max="2237" width="10.21875" style="655" customWidth="1"/>
    <col min="2238" max="2238" width="1.88671875" style="655" customWidth="1"/>
    <col min="2239" max="2239" width="10.77734375" style="655" customWidth="1"/>
    <col min="2240" max="2240" width="9.109375" style="655"/>
    <col min="2241" max="2241" width="2.109375" style="655" customWidth="1"/>
    <col min="2242" max="2242" width="9.109375" style="655"/>
    <col min="2243" max="2243" width="11.21875" style="655" customWidth="1"/>
    <col min="2244" max="2244" width="12.77734375" style="655" customWidth="1"/>
    <col min="2245" max="2245" width="12.5546875" style="655" customWidth="1"/>
    <col min="2246" max="2246" width="2" style="655" customWidth="1"/>
    <col min="2247" max="2248" width="9.109375" style="655"/>
    <col min="2249" max="2249" width="11" style="655" customWidth="1"/>
    <col min="2250" max="2250" width="9.109375" style="655"/>
    <col min="2251" max="2251" width="2.21875" style="655" customWidth="1"/>
    <col min="2252" max="2252" width="11" style="655" customWidth="1"/>
    <col min="2253" max="2253" width="9.109375" style="655"/>
    <col min="2254" max="2254" width="11.5546875" style="655" customWidth="1"/>
    <col min="2255" max="2255" width="11.21875" style="655" customWidth="1"/>
    <col min="2256" max="2256" width="2.88671875" style="655" customWidth="1"/>
    <col min="2257" max="2258" width="9.109375" style="655"/>
    <col min="2259" max="2259" width="11.21875" style="655" customWidth="1"/>
    <col min="2260" max="2260" width="2.21875" style="655" customWidth="1"/>
    <col min="2261" max="2261" width="9.109375" style="655"/>
    <col min="2262" max="2262" width="10.44140625" style="655" customWidth="1"/>
    <col min="2263" max="2263" width="9.109375" style="655"/>
    <col min="2264" max="2264" width="11.109375" style="655" customWidth="1"/>
    <col min="2265" max="2266" width="9.109375" style="655"/>
    <col min="2267" max="2267" width="10.88671875" style="655" customWidth="1"/>
    <col min="2268" max="2269" width="9.109375" style="655"/>
    <col min="2270" max="2270" width="1.5546875" style="655" customWidth="1"/>
    <col min="2271" max="2271" width="9.77734375" style="655" customWidth="1"/>
    <col min="2272" max="2275" width="9.109375" style="655"/>
    <col min="2276" max="2276" width="1.88671875" style="655" customWidth="1"/>
    <col min="2277" max="2277" width="9.88671875" style="655" customWidth="1"/>
    <col min="2278" max="2278" width="1.5546875" style="655" customWidth="1"/>
    <col min="2279" max="2279" width="11.44140625" style="655" customWidth="1"/>
    <col min="2280" max="2280" width="2.21875" style="655" customWidth="1"/>
    <col min="2281" max="2281" width="12" style="655" customWidth="1"/>
    <col min="2282" max="2282" width="2" style="655" customWidth="1"/>
    <col min="2283" max="2283" width="9.109375" style="655"/>
    <col min="2284" max="2284" width="11.109375" style="655" customWidth="1"/>
    <col min="2285" max="2285" width="12" style="655" customWidth="1"/>
    <col min="2286" max="2286" width="9.109375" style="655"/>
    <col min="2287" max="2287" width="11.88671875" style="655" customWidth="1"/>
    <col min="2288" max="2288" width="14.21875" style="655" customWidth="1"/>
    <col min="2289" max="2292" width="9.109375" style="655"/>
    <col min="2293" max="2293" width="3.44140625" style="655" customWidth="1"/>
    <col min="2294" max="2295" width="9.109375" style="655"/>
    <col min="2296" max="2296" width="11.44140625" style="655" customWidth="1"/>
    <col min="2297" max="2297" width="2.77734375" style="655" customWidth="1"/>
    <col min="2298" max="2480" width="9.109375" style="655"/>
    <col min="2481" max="2481" width="9.5546875" style="655" customWidth="1"/>
    <col min="2482" max="2482" width="11" style="655" customWidth="1"/>
    <col min="2483" max="2484" width="11.21875" style="655" customWidth="1"/>
    <col min="2485" max="2485" width="11.5546875" style="655" customWidth="1"/>
    <col min="2486" max="2486" width="11.109375" style="655" customWidth="1"/>
    <col min="2487" max="2487" width="2" style="655" customWidth="1"/>
    <col min="2488" max="2488" width="13.5546875" style="655" customWidth="1"/>
    <col min="2489" max="2489" width="12.44140625" style="655" customWidth="1"/>
    <col min="2490" max="2490" width="13.5546875" style="655" customWidth="1"/>
    <col min="2491" max="2491" width="2.109375" style="655" customWidth="1"/>
    <col min="2492" max="2492" width="9.109375" style="655"/>
    <col min="2493" max="2493" width="10.21875" style="655" customWidth="1"/>
    <col min="2494" max="2494" width="1.88671875" style="655" customWidth="1"/>
    <col min="2495" max="2495" width="10.77734375" style="655" customWidth="1"/>
    <col min="2496" max="2496" width="9.109375" style="655"/>
    <col min="2497" max="2497" width="2.109375" style="655" customWidth="1"/>
    <col min="2498" max="2498" width="9.109375" style="655"/>
    <col min="2499" max="2499" width="11.21875" style="655" customWidth="1"/>
    <col min="2500" max="2500" width="12.77734375" style="655" customWidth="1"/>
    <col min="2501" max="2501" width="12.5546875" style="655" customWidth="1"/>
    <col min="2502" max="2502" width="2" style="655" customWidth="1"/>
    <col min="2503" max="2504" width="9.109375" style="655"/>
    <col min="2505" max="2505" width="11" style="655" customWidth="1"/>
    <col min="2506" max="2506" width="9.109375" style="655"/>
    <col min="2507" max="2507" width="2.21875" style="655" customWidth="1"/>
    <col min="2508" max="2508" width="11" style="655" customWidth="1"/>
    <col min="2509" max="2509" width="9.109375" style="655"/>
    <col min="2510" max="2510" width="11.5546875" style="655" customWidth="1"/>
    <col min="2511" max="2511" width="11.21875" style="655" customWidth="1"/>
    <col min="2512" max="2512" width="2.88671875" style="655" customWidth="1"/>
    <col min="2513" max="2514" width="9.109375" style="655"/>
    <col min="2515" max="2515" width="11.21875" style="655" customWidth="1"/>
    <col min="2516" max="2516" width="2.21875" style="655" customWidth="1"/>
    <col min="2517" max="2517" width="9.109375" style="655"/>
    <col min="2518" max="2518" width="10.44140625" style="655" customWidth="1"/>
    <col min="2519" max="2519" width="9.109375" style="655"/>
    <col min="2520" max="2520" width="11.109375" style="655" customWidth="1"/>
    <col min="2521" max="2522" width="9.109375" style="655"/>
    <col min="2523" max="2523" width="10.88671875" style="655" customWidth="1"/>
    <col min="2524" max="2525" width="9.109375" style="655"/>
    <col min="2526" max="2526" width="1.5546875" style="655" customWidth="1"/>
    <col min="2527" max="2527" width="9.77734375" style="655" customWidth="1"/>
    <col min="2528" max="2531" width="9.109375" style="655"/>
    <col min="2532" max="2532" width="1.88671875" style="655" customWidth="1"/>
    <col min="2533" max="2533" width="9.88671875" style="655" customWidth="1"/>
    <col min="2534" max="2534" width="1.5546875" style="655" customWidth="1"/>
    <col min="2535" max="2535" width="11.44140625" style="655" customWidth="1"/>
    <col min="2536" max="2536" width="2.21875" style="655" customWidth="1"/>
    <col min="2537" max="2537" width="12" style="655" customWidth="1"/>
    <col min="2538" max="2538" width="2" style="655" customWidth="1"/>
    <col min="2539" max="2539" width="9.109375" style="655"/>
    <col min="2540" max="2540" width="11.109375" style="655" customWidth="1"/>
    <col min="2541" max="2541" width="12" style="655" customWidth="1"/>
    <col min="2542" max="2542" width="9.109375" style="655"/>
    <col min="2543" max="2543" width="11.88671875" style="655" customWidth="1"/>
    <col min="2544" max="2544" width="14.21875" style="655" customWidth="1"/>
    <col min="2545" max="2548" width="9.109375" style="655"/>
    <col min="2549" max="2549" width="3.44140625" style="655" customWidth="1"/>
    <col min="2550" max="2551" width="9.109375" style="655"/>
    <col min="2552" max="2552" width="11.44140625" style="655" customWidth="1"/>
    <col min="2553" max="2553" width="2.77734375" style="655" customWidth="1"/>
    <col min="2554" max="2736" width="9.109375" style="655"/>
    <col min="2737" max="2737" width="9.5546875" style="655" customWidth="1"/>
    <col min="2738" max="2738" width="11" style="655" customWidth="1"/>
    <col min="2739" max="2740" width="11.21875" style="655" customWidth="1"/>
    <col min="2741" max="2741" width="11.5546875" style="655" customWidth="1"/>
    <col min="2742" max="2742" width="11.109375" style="655" customWidth="1"/>
    <col min="2743" max="2743" width="2" style="655" customWidth="1"/>
    <col min="2744" max="2744" width="13.5546875" style="655" customWidth="1"/>
    <col min="2745" max="2745" width="12.44140625" style="655" customWidth="1"/>
    <col min="2746" max="2746" width="13.5546875" style="655" customWidth="1"/>
    <col min="2747" max="2747" width="2.109375" style="655" customWidth="1"/>
    <col min="2748" max="2748" width="9.109375" style="655"/>
    <col min="2749" max="2749" width="10.21875" style="655" customWidth="1"/>
    <col min="2750" max="2750" width="1.88671875" style="655" customWidth="1"/>
    <col min="2751" max="2751" width="10.77734375" style="655" customWidth="1"/>
    <col min="2752" max="2752" width="9.109375" style="655"/>
    <col min="2753" max="2753" width="2.109375" style="655" customWidth="1"/>
    <col min="2754" max="2754" width="9.109375" style="655"/>
    <col min="2755" max="2755" width="11.21875" style="655" customWidth="1"/>
    <col min="2756" max="2756" width="12.77734375" style="655" customWidth="1"/>
    <col min="2757" max="2757" width="12.5546875" style="655" customWidth="1"/>
    <col min="2758" max="2758" width="2" style="655" customWidth="1"/>
    <col min="2759" max="2760" width="9.109375" style="655"/>
    <col min="2761" max="2761" width="11" style="655" customWidth="1"/>
    <col min="2762" max="2762" width="9.109375" style="655"/>
    <col min="2763" max="2763" width="2.21875" style="655" customWidth="1"/>
    <col min="2764" max="2764" width="11" style="655" customWidth="1"/>
    <col min="2765" max="2765" width="9.109375" style="655"/>
    <col min="2766" max="2766" width="11.5546875" style="655" customWidth="1"/>
    <col min="2767" max="2767" width="11.21875" style="655" customWidth="1"/>
    <col min="2768" max="2768" width="2.88671875" style="655" customWidth="1"/>
    <col min="2769" max="2770" width="9.109375" style="655"/>
    <col min="2771" max="2771" width="11.21875" style="655" customWidth="1"/>
    <col min="2772" max="2772" width="2.21875" style="655" customWidth="1"/>
    <col min="2773" max="2773" width="9.109375" style="655"/>
    <col min="2774" max="2774" width="10.44140625" style="655" customWidth="1"/>
    <col min="2775" max="2775" width="9.109375" style="655"/>
    <col min="2776" max="2776" width="11.109375" style="655" customWidth="1"/>
    <col min="2777" max="2778" width="9.109375" style="655"/>
    <col min="2779" max="2779" width="10.88671875" style="655" customWidth="1"/>
    <col min="2780" max="2781" width="9.109375" style="655"/>
    <col min="2782" max="2782" width="1.5546875" style="655" customWidth="1"/>
    <col min="2783" max="2783" width="9.77734375" style="655" customWidth="1"/>
    <col min="2784" max="2787" width="9.109375" style="655"/>
    <col min="2788" max="2788" width="1.88671875" style="655" customWidth="1"/>
    <col min="2789" max="2789" width="9.88671875" style="655" customWidth="1"/>
    <col min="2790" max="2790" width="1.5546875" style="655" customWidth="1"/>
    <col min="2791" max="2791" width="11.44140625" style="655" customWidth="1"/>
    <col min="2792" max="2792" width="2.21875" style="655" customWidth="1"/>
    <col min="2793" max="2793" width="12" style="655" customWidth="1"/>
    <col min="2794" max="2794" width="2" style="655" customWidth="1"/>
    <col min="2795" max="2795" width="9.109375" style="655"/>
    <col min="2796" max="2796" width="11.109375" style="655" customWidth="1"/>
    <col min="2797" max="2797" width="12" style="655" customWidth="1"/>
    <col min="2798" max="2798" width="9.109375" style="655"/>
    <col min="2799" max="2799" width="11.88671875" style="655" customWidth="1"/>
    <col min="2800" max="2800" width="14.21875" style="655" customWidth="1"/>
    <col min="2801" max="2804" width="9.109375" style="655"/>
    <col min="2805" max="2805" width="3.44140625" style="655" customWidth="1"/>
    <col min="2806" max="2807" width="9.109375" style="655"/>
    <col min="2808" max="2808" width="11.44140625" style="655" customWidth="1"/>
    <col min="2809" max="2809" width="2.77734375" style="655" customWidth="1"/>
    <col min="2810" max="2992" width="9.109375" style="655"/>
    <col min="2993" max="2993" width="9.5546875" style="655" customWidth="1"/>
    <col min="2994" max="2994" width="11" style="655" customWidth="1"/>
    <col min="2995" max="2996" width="11.21875" style="655" customWidth="1"/>
    <col min="2997" max="2997" width="11.5546875" style="655" customWidth="1"/>
    <col min="2998" max="2998" width="11.109375" style="655" customWidth="1"/>
    <col min="2999" max="2999" width="2" style="655" customWidth="1"/>
    <col min="3000" max="3000" width="13.5546875" style="655" customWidth="1"/>
    <col min="3001" max="3001" width="12.44140625" style="655" customWidth="1"/>
    <col min="3002" max="3002" width="13.5546875" style="655" customWidth="1"/>
    <col min="3003" max="3003" width="2.109375" style="655" customWidth="1"/>
    <col min="3004" max="3004" width="9.109375" style="655"/>
    <col min="3005" max="3005" width="10.21875" style="655" customWidth="1"/>
    <col min="3006" max="3006" width="1.88671875" style="655" customWidth="1"/>
    <col min="3007" max="3007" width="10.77734375" style="655" customWidth="1"/>
    <col min="3008" max="3008" width="9.109375" style="655"/>
    <col min="3009" max="3009" width="2.109375" style="655" customWidth="1"/>
    <col min="3010" max="3010" width="9.109375" style="655"/>
    <col min="3011" max="3011" width="11.21875" style="655" customWidth="1"/>
    <col min="3012" max="3012" width="12.77734375" style="655" customWidth="1"/>
    <col min="3013" max="3013" width="12.5546875" style="655" customWidth="1"/>
    <col min="3014" max="3014" width="2" style="655" customWidth="1"/>
    <col min="3015" max="3016" width="9.109375" style="655"/>
    <col min="3017" max="3017" width="11" style="655" customWidth="1"/>
    <col min="3018" max="3018" width="9.109375" style="655"/>
    <col min="3019" max="3019" width="2.21875" style="655" customWidth="1"/>
    <col min="3020" max="3020" width="11" style="655" customWidth="1"/>
    <col min="3021" max="3021" width="9.109375" style="655"/>
    <col min="3022" max="3022" width="11.5546875" style="655" customWidth="1"/>
    <col min="3023" max="3023" width="11.21875" style="655" customWidth="1"/>
    <col min="3024" max="3024" width="2.88671875" style="655" customWidth="1"/>
    <col min="3025" max="3026" width="9.109375" style="655"/>
    <col min="3027" max="3027" width="11.21875" style="655" customWidth="1"/>
    <col min="3028" max="3028" width="2.21875" style="655" customWidth="1"/>
    <col min="3029" max="3029" width="9.109375" style="655"/>
    <col min="3030" max="3030" width="10.44140625" style="655" customWidth="1"/>
    <col min="3031" max="3031" width="9.109375" style="655"/>
    <col min="3032" max="3032" width="11.109375" style="655" customWidth="1"/>
    <col min="3033" max="3034" width="9.109375" style="655"/>
    <col min="3035" max="3035" width="10.88671875" style="655" customWidth="1"/>
    <col min="3036" max="3037" width="9.109375" style="655"/>
    <col min="3038" max="3038" width="1.5546875" style="655" customWidth="1"/>
    <col min="3039" max="3039" width="9.77734375" style="655" customWidth="1"/>
    <col min="3040" max="3043" width="9.109375" style="655"/>
    <col min="3044" max="3044" width="1.88671875" style="655" customWidth="1"/>
    <col min="3045" max="3045" width="9.88671875" style="655" customWidth="1"/>
    <col min="3046" max="3046" width="1.5546875" style="655" customWidth="1"/>
    <col min="3047" max="3047" width="11.44140625" style="655" customWidth="1"/>
    <col min="3048" max="3048" width="2.21875" style="655" customWidth="1"/>
    <col min="3049" max="3049" width="12" style="655" customWidth="1"/>
    <col min="3050" max="3050" width="2" style="655" customWidth="1"/>
    <col min="3051" max="3051" width="9.109375" style="655"/>
    <col min="3052" max="3052" width="11.109375" style="655" customWidth="1"/>
    <col min="3053" max="3053" width="12" style="655" customWidth="1"/>
    <col min="3054" max="3054" width="9.109375" style="655"/>
    <col min="3055" max="3055" width="11.88671875" style="655" customWidth="1"/>
    <col min="3056" max="3056" width="14.21875" style="655" customWidth="1"/>
    <col min="3057" max="3060" width="9.109375" style="655"/>
    <col min="3061" max="3061" width="3.44140625" style="655" customWidth="1"/>
    <col min="3062" max="3063" width="9.109375" style="655"/>
    <col min="3064" max="3064" width="11.44140625" style="655" customWidth="1"/>
    <col min="3065" max="3065" width="2.77734375" style="655" customWidth="1"/>
    <col min="3066" max="3248" width="9.109375" style="655"/>
    <col min="3249" max="3249" width="9.5546875" style="655" customWidth="1"/>
    <col min="3250" max="3250" width="11" style="655" customWidth="1"/>
    <col min="3251" max="3252" width="11.21875" style="655" customWidth="1"/>
    <col min="3253" max="3253" width="11.5546875" style="655" customWidth="1"/>
    <col min="3254" max="3254" width="11.109375" style="655" customWidth="1"/>
    <col min="3255" max="3255" width="2" style="655" customWidth="1"/>
    <col min="3256" max="3256" width="13.5546875" style="655" customWidth="1"/>
    <col min="3257" max="3257" width="12.44140625" style="655" customWidth="1"/>
    <col min="3258" max="3258" width="13.5546875" style="655" customWidth="1"/>
    <col min="3259" max="3259" width="2.109375" style="655" customWidth="1"/>
    <col min="3260" max="3260" width="9.109375" style="655"/>
    <col min="3261" max="3261" width="10.21875" style="655" customWidth="1"/>
    <col min="3262" max="3262" width="1.88671875" style="655" customWidth="1"/>
    <col min="3263" max="3263" width="10.77734375" style="655" customWidth="1"/>
    <col min="3264" max="3264" width="9.109375" style="655"/>
    <col min="3265" max="3265" width="2.109375" style="655" customWidth="1"/>
    <col min="3266" max="3266" width="9.109375" style="655"/>
    <col min="3267" max="3267" width="11.21875" style="655" customWidth="1"/>
    <col min="3268" max="3268" width="12.77734375" style="655" customWidth="1"/>
    <col min="3269" max="3269" width="12.5546875" style="655" customWidth="1"/>
    <col min="3270" max="3270" width="2" style="655" customWidth="1"/>
    <col min="3271" max="3272" width="9.109375" style="655"/>
    <col min="3273" max="3273" width="11" style="655" customWidth="1"/>
    <col min="3274" max="3274" width="9.109375" style="655"/>
    <col min="3275" max="3275" width="2.21875" style="655" customWidth="1"/>
    <col min="3276" max="3276" width="11" style="655" customWidth="1"/>
    <col min="3277" max="3277" width="9.109375" style="655"/>
    <col min="3278" max="3278" width="11.5546875" style="655" customWidth="1"/>
    <col min="3279" max="3279" width="11.21875" style="655" customWidth="1"/>
    <col min="3280" max="3280" width="2.88671875" style="655" customWidth="1"/>
    <col min="3281" max="3282" width="9.109375" style="655"/>
    <col min="3283" max="3283" width="11.21875" style="655" customWidth="1"/>
    <col min="3284" max="3284" width="2.21875" style="655" customWidth="1"/>
    <col min="3285" max="3285" width="9.109375" style="655"/>
    <col min="3286" max="3286" width="10.44140625" style="655" customWidth="1"/>
    <col min="3287" max="3287" width="9.109375" style="655"/>
    <col min="3288" max="3288" width="11.109375" style="655" customWidth="1"/>
    <col min="3289" max="3290" width="9.109375" style="655"/>
    <col min="3291" max="3291" width="10.88671875" style="655" customWidth="1"/>
    <col min="3292" max="3293" width="9.109375" style="655"/>
    <col min="3294" max="3294" width="1.5546875" style="655" customWidth="1"/>
    <col min="3295" max="3295" width="9.77734375" style="655" customWidth="1"/>
    <col min="3296" max="3299" width="9.109375" style="655"/>
    <col min="3300" max="3300" width="1.88671875" style="655" customWidth="1"/>
    <col min="3301" max="3301" width="9.88671875" style="655" customWidth="1"/>
    <col min="3302" max="3302" width="1.5546875" style="655" customWidth="1"/>
    <col min="3303" max="3303" width="11.44140625" style="655" customWidth="1"/>
    <col min="3304" max="3304" width="2.21875" style="655" customWidth="1"/>
    <col min="3305" max="3305" width="12" style="655" customWidth="1"/>
    <col min="3306" max="3306" width="2" style="655" customWidth="1"/>
    <col min="3307" max="3307" width="9.109375" style="655"/>
    <col min="3308" max="3308" width="11.109375" style="655" customWidth="1"/>
    <col min="3309" max="3309" width="12" style="655" customWidth="1"/>
    <col min="3310" max="3310" width="9.109375" style="655"/>
    <col min="3311" max="3311" width="11.88671875" style="655" customWidth="1"/>
    <col min="3312" max="3312" width="14.21875" style="655" customWidth="1"/>
    <col min="3313" max="3316" width="9.109375" style="655"/>
    <col min="3317" max="3317" width="3.44140625" style="655" customWidth="1"/>
    <col min="3318" max="3319" width="9.109375" style="655"/>
    <col min="3320" max="3320" width="11.44140625" style="655" customWidth="1"/>
    <col min="3321" max="3321" width="2.77734375" style="655" customWidth="1"/>
    <col min="3322" max="3504" width="9.109375" style="655"/>
    <col min="3505" max="3505" width="9.5546875" style="655" customWidth="1"/>
    <col min="3506" max="3506" width="11" style="655" customWidth="1"/>
    <col min="3507" max="3508" width="11.21875" style="655" customWidth="1"/>
    <col min="3509" max="3509" width="11.5546875" style="655" customWidth="1"/>
    <col min="3510" max="3510" width="11.109375" style="655" customWidth="1"/>
    <col min="3511" max="3511" width="2" style="655" customWidth="1"/>
    <col min="3512" max="3512" width="13.5546875" style="655" customWidth="1"/>
    <col min="3513" max="3513" width="12.44140625" style="655" customWidth="1"/>
    <col min="3514" max="3514" width="13.5546875" style="655" customWidth="1"/>
    <col min="3515" max="3515" width="2.109375" style="655" customWidth="1"/>
    <col min="3516" max="3516" width="9.109375" style="655"/>
    <col min="3517" max="3517" width="10.21875" style="655" customWidth="1"/>
    <col min="3518" max="3518" width="1.88671875" style="655" customWidth="1"/>
    <col min="3519" max="3519" width="10.77734375" style="655" customWidth="1"/>
    <col min="3520" max="3520" width="9.109375" style="655"/>
    <col min="3521" max="3521" width="2.109375" style="655" customWidth="1"/>
    <col min="3522" max="3522" width="9.109375" style="655"/>
    <col min="3523" max="3523" width="11.21875" style="655" customWidth="1"/>
    <col min="3524" max="3524" width="12.77734375" style="655" customWidth="1"/>
    <col min="3525" max="3525" width="12.5546875" style="655" customWidth="1"/>
    <col min="3526" max="3526" width="2" style="655" customWidth="1"/>
    <col min="3527" max="3528" width="9.109375" style="655"/>
    <col min="3529" max="3529" width="11" style="655" customWidth="1"/>
    <col min="3530" max="3530" width="9.109375" style="655"/>
    <col min="3531" max="3531" width="2.21875" style="655" customWidth="1"/>
    <col min="3532" max="3532" width="11" style="655" customWidth="1"/>
    <col min="3533" max="3533" width="9.109375" style="655"/>
    <col min="3534" max="3534" width="11.5546875" style="655" customWidth="1"/>
    <col min="3535" max="3535" width="11.21875" style="655" customWidth="1"/>
    <col min="3536" max="3536" width="2.88671875" style="655" customWidth="1"/>
    <col min="3537" max="3538" width="9.109375" style="655"/>
    <col min="3539" max="3539" width="11.21875" style="655" customWidth="1"/>
    <col min="3540" max="3540" width="2.21875" style="655" customWidth="1"/>
    <col min="3541" max="3541" width="9.109375" style="655"/>
    <col min="3542" max="3542" width="10.44140625" style="655" customWidth="1"/>
    <col min="3543" max="3543" width="9.109375" style="655"/>
    <col min="3544" max="3544" width="11.109375" style="655" customWidth="1"/>
    <col min="3545" max="3546" width="9.109375" style="655"/>
    <col min="3547" max="3547" width="10.88671875" style="655" customWidth="1"/>
    <col min="3548" max="3549" width="9.109375" style="655"/>
    <col min="3550" max="3550" width="1.5546875" style="655" customWidth="1"/>
    <col min="3551" max="3551" width="9.77734375" style="655" customWidth="1"/>
    <col min="3552" max="3555" width="9.109375" style="655"/>
    <col min="3556" max="3556" width="1.88671875" style="655" customWidth="1"/>
    <col min="3557" max="3557" width="9.88671875" style="655" customWidth="1"/>
    <col min="3558" max="3558" width="1.5546875" style="655" customWidth="1"/>
    <col min="3559" max="3559" width="11.44140625" style="655" customWidth="1"/>
    <col min="3560" max="3560" width="2.21875" style="655" customWidth="1"/>
    <col min="3561" max="3561" width="12" style="655" customWidth="1"/>
    <col min="3562" max="3562" width="2" style="655" customWidth="1"/>
    <col min="3563" max="3563" width="9.109375" style="655"/>
    <col min="3564" max="3564" width="11.109375" style="655" customWidth="1"/>
    <col min="3565" max="3565" width="12" style="655" customWidth="1"/>
    <col min="3566" max="3566" width="9.109375" style="655"/>
    <col min="3567" max="3567" width="11.88671875" style="655" customWidth="1"/>
    <col min="3568" max="3568" width="14.21875" style="655" customWidth="1"/>
    <col min="3569" max="3572" width="9.109375" style="655"/>
    <col min="3573" max="3573" width="3.44140625" style="655" customWidth="1"/>
    <col min="3574" max="3575" width="9.109375" style="655"/>
    <col min="3576" max="3576" width="11.44140625" style="655" customWidth="1"/>
    <col min="3577" max="3577" width="2.77734375" style="655" customWidth="1"/>
    <col min="3578" max="3760" width="9.109375" style="655"/>
    <col min="3761" max="3761" width="9.5546875" style="655" customWidth="1"/>
    <col min="3762" max="3762" width="11" style="655" customWidth="1"/>
    <col min="3763" max="3764" width="11.21875" style="655" customWidth="1"/>
    <col min="3765" max="3765" width="11.5546875" style="655" customWidth="1"/>
    <col min="3766" max="3766" width="11.109375" style="655" customWidth="1"/>
    <col min="3767" max="3767" width="2" style="655" customWidth="1"/>
    <col min="3768" max="3768" width="13.5546875" style="655" customWidth="1"/>
    <col min="3769" max="3769" width="12.44140625" style="655" customWidth="1"/>
    <col min="3770" max="3770" width="13.5546875" style="655" customWidth="1"/>
    <col min="3771" max="3771" width="2.109375" style="655" customWidth="1"/>
    <col min="3772" max="3772" width="9.109375" style="655"/>
    <col min="3773" max="3773" width="10.21875" style="655" customWidth="1"/>
    <col min="3774" max="3774" width="1.88671875" style="655" customWidth="1"/>
    <col min="3775" max="3775" width="10.77734375" style="655" customWidth="1"/>
    <col min="3776" max="3776" width="9.109375" style="655"/>
    <col min="3777" max="3777" width="2.109375" style="655" customWidth="1"/>
    <col min="3778" max="3778" width="9.109375" style="655"/>
    <col min="3779" max="3779" width="11.21875" style="655" customWidth="1"/>
    <col min="3780" max="3780" width="12.77734375" style="655" customWidth="1"/>
    <col min="3781" max="3781" width="12.5546875" style="655" customWidth="1"/>
    <col min="3782" max="3782" width="2" style="655" customWidth="1"/>
    <col min="3783" max="3784" width="9.109375" style="655"/>
    <col min="3785" max="3785" width="11" style="655" customWidth="1"/>
    <col min="3786" max="3786" width="9.109375" style="655"/>
    <col min="3787" max="3787" width="2.21875" style="655" customWidth="1"/>
    <col min="3788" max="3788" width="11" style="655" customWidth="1"/>
    <col min="3789" max="3789" width="9.109375" style="655"/>
    <col min="3790" max="3790" width="11.5546875" style="655" customWidth="1"/>
    <col min="3791" max="3791" width="11.21875" style="655" customWidth="1"/>
    <col min="3792" max="3792" width="2.88671875" style="655" customWidth="1"/>
    <col min="3793" max="3794" width="9.109375" style="655"/>
    <col min="3795" max="3795" width="11.21875" style="655" customWidth="1"/>
    <col min="3796" max="3796" width="2.21875" style="655" customWidth="1"/>
    <col min="3797" max="3797" width="9.109375" style="655"/>
    <col min="3798" max="3798" width="10.44140625" style="655" customWidth="1"/>
    <col min="3799" max="3799" width="9.109375" style="655"/>
    <col min="3800" max="3800" width="11.109375" style="655" customWidth="1"/>
    <col min="3801" max="3802" width="9.109375" style="655"/>
    <col min="3803" max="3803" width="10.88671875" style="655" customWidth="1"/>
    <col min="3804" max="3805" width="9.109375" style="655"/>
    <col min="3806" max="3806" width="1.5546875" style="655" customWidth="1"/>
    <col min="3807" max="3807" width="9.77734375" style="655" customWidth="1"/>
    <col min="3808" max="3811" width="9.109375" style="655"/>
    <col min="3812" max="3812" width="1.88671875" style="655" customWidth="1"/>
    <col min="3813" max="3813" width="9.88671875" style="655" customWidth="1"/>
    <col min="3814" max="3814" width="1.5546875" style="655" customWidth="1"/>
    <col min="3815" max="3815" width="11.44140625" style="655" customWidth="1"/>
    <col min="3816" max="3816" width="2.21875" style="655" customWidth="1"/>
    <col min="3817" max="3817" width="12" style="655" customWidth="1"/>
    <col min="3818" max="3818" width="2" style="655" customWidth="1"/>
    <col min="3819" max="3819" width="9.109375" style="655"/>
    <col min="3820" max="3820" width="11.109375" style="655" customWidth="1"/>
    <col min="3821" max="3821" width="12" style="655" customWidth="1"/>
    <col min="3822" max="3822" width="9.109375" style="655"/>
    <col min="3823" max="3823" width="11.88671875" style="655" customWidth="1"/>
    <col min="3824" max="3824" width="14.21875" style="655" customWidth="1"/>
    <col min="3825" max="3828" width="9.109375" style="655"/>
    <col min="3829" max="3829" width="3.44140625" style="655" customWidth="1"/>
    <col min="3830" max="3831" width="9.109375" style="655"/>
    <col min="3832" max="3832" width="11.44140625" style="655" customWidth="1"/>
    <col min="3833" max="3833" width="2.77734375" style="655" customWidth="1"/>
    <col min="3834" max="4016" width="9.109375" style="655"/>
    <col min="4017" max="4017" width="9.5546875" style="655" customWidth="1"/>
    <col min="4018" max="4018" width="11" style="655" customWidth="1"/>
    <col min="4019" max="4020" width="11.21875" style="655" customWidth="1"/>
    <col min="4021" max="4021" width="11.5546875" style="655" customWidth="1"/>
    <col min="4022" max="4022" width="11.109375" style="655" customWidth="1"/>
    <col min="4023" max="4023" width="2" style="655" customWidth="1"/>
    <col min="4024" max="4024" width="13.5546875" style="655" customWidth="1"/>
    <col min="4025" max="4025" width="12.44140625" style="655" customWidth="1"/>
    <col min="4026" max="4026" width="13.5546875" style="655" customWidth="1"/>
    <col min="4027" max="4027" width="2.109375" style="655" customWidth="1"/>
    <col min="4028" max="4028" width="9.109375" style="655"/>
    <col min="4029" max="4029" width="10.21875" style="655" customWidth="1"/>
    <col min="4030" max="4030" width="1.88671875" style="655" customWidth="1"/>
    <col min="4031" max="4031" width="10.77734375" style="655" customWidth="1"/>
    <col min="4032" max="4032" width="9.109375" style="655"/>
    <col min="4033" max="4033" width="2.109375" style="655" customWidth="1"/>
    <col min="4034" max="4034" width="9.109375" style="655"/>
    <col min="4035" max="4035" width="11.21875" style="655" customWidth="1"/>
    <col min="4036" max="4036" width="12.77734375" style="655" customWidth="1"/>
    <col min="4037" max="4037" width="12.5546875" style="655" customWidth="1"/>
    <col min="4038" max="4038" width="2" style="655" customWidth="1"/>
    <col min="4039" max="4040" width="9.109375" style="655"/>
    <col min="4041" max="4041" width="11" style="655" customWidth="1"/>
    <col min="4042" max="4042" width="9.109375" style="655"/>
    <col min="4043" max="4043" width="2.21875" style="655" customWidth="1"/>
    <col min="4044" max="4044" width="11" style="655" customWidth="1"/>
    <col min="4045" max="4045" width="9.109375" style="655"/>
    <col min="4046" max="4046" width="11.5546875" style="655" customWidth="1"/>
    <col min="4047" max="4047" width="11.21875" style="655" customWidth="1"/>
    <col min="4048" max="4048" width="2.88671875" style="655" customWidth="1"/>
    <col min="4049" max="4050" width="9.109375" style="655"/>
    <col min="4051" max="4051" width="11.21875" style="655" customWidth="1"/>
    <col min="4052" max="4052" width="2.21875" style="655" customWidth="1"/>
    <col min="4053" max="4053" width="9.109375" style="655"/>
    <col min="4054" max="4054" width="10.44140625" style="655" customWidth="1"/>
    <col min="4055" max="4055" width="9.109375" style="655"/>
    <col min="4056" max="4056" width="11.109375" style="655" customWidth="1"/>
    <col min="4057" max="4058" width="9.109375" style="655"/>
    <col min="4059" max="4059" width="10.88671875" style="655" customWidth="1"/>
    <col min="4060" max="4061" width="9.109375" style="655"/>
    <col min="4062" max="4062" width="1.5546875" style="655" customWidth="1"/>
    <col min="4063" max="4063" width="9.77734375" style="655" customWidth="1"/>
    <col min="4064" max="4067" width="9.109375" style="655"/>
    <col min="4068" max="4068" width="1.88671875" style="655" customWidth="1"/>
    <col min="4069" max="4069" width="9.88671875" style="655" customWidth="1"/>
    <col min="4070" max="4070" width="1.5546875" style="655" customWidth="1"/>
    <col min="4071" max="4071" width="11.44140625" style="655" customWidth="1"/>
    <col min="4072" max="4072" width="2.21875" style="655" customWidth="1"/>
    <col min="4073" max="4073" width="12" style="655" customWidth="1"/>
    <col min="4074" max="4074" width="2" style="655" customWidth="1"/>
    <col min="4075" max="4075" width="9.109375" style="655"/>
    <col min="4076" max="4076" width="11.109375" style="655" customWidth="1"/>
    <col min="4077" max="4077" width="12" style="655" customWidth="1"/>
    <col min="4078" max="4078" width="9.109375" style="655"/>
    <col min="4079" max="4079" width="11.88671875" style="655" customWidth="1"/>
    <col min="4080" max="4080" width="14.21875" style="655" customWidth="1"/>
    <col min="4081" max="4084" width="9.109375" style="655"/>
    <col min="4085" max="4085" width="3.44140625" style="655" customWidth="1"/>
    <col min="4086" max="4087" width="9.109375" style="655"/>
    <col min="4088" max="4088" width="11.44140625" style="655" customWidth="1"/>
    <col min="4089" max="4089" width="2.77734375" style="655" customWidth="1"/>
    <col min="4090" max="4272" width="9.109375" style="655"/>
    <col min="4273" max="4273" width="9.5546875" style="655" customWidth="1"/>
    <col min="4274" max="4274" width="11" style="655" customWidth="1"/>
    <col min="4275" max="4276" width="11.21875" style="655" customWidth="1"/>
    <col min="4277" max="4277" width="11.5546875" style="655" customWidth="1"/>
    <col min="4278" max="4278" width="11.109375" style="655" customWidth="1"/>
    <col min="4279" max="4279" width="2" style="655" customWidth="1"/>
    <col min="4280" max="4280" width="13.5546875" style="655" customWidth="1"/>
    <col min="4281" max="4281" width="12.44140625" style="655" customWidth="1"/>
    <col min="4282" max="4282" width="13.5546875" style="655" customWidth="1"/>
    <col min="4283" max="4283" width="2.109375" style="655" customWidth="1"/>
    <col min="4284" max="4284" width="9.109375" style="655"/>
    <col min="4285" max="4285" width="10.21875" style="655" customWidth="1"/>
    <col min="4286" max="4286" width="1.88671875" style="655" customWidth="1"/>
    <col min="4287" max="4287" width="10.77734375" style="655" customWidth="1"/>
    <col min="4288" max="4288" width="9.109375" style="655"/>
    <col min="4289" max="4289" width="2.109375" style="655" customWidth="1"/>
    <col min="4290" max="4290" width="9.109375" style="655"/>
    <col min="4291" max="4291" width="11.21875" style="655" customWidth="1"/>
    <col min="4292" max="4292" width="12.77734375" style="655" customWidth="1"/>
    <col min="4293" max="4293" width="12.5546875" style="655" customWidth="1"/>
    <col min="4294" max="4294" width="2" style="655" customWidth="1"/>
    <col min="4295" max="4296" width="9.109375" style="655"/>
    <col min="4297" max="4297" width="11" style="655" customWidth="1"/>
    <col min="4298" max="4298" width="9.109375" style="655"/>
    <col min="4299" max="4299" width="2.21875" style="655" customWidth="1"/>
    <col min="4300" max="4300" width="11" style="655" customWidth="1"/>
    <col min="4301" max="4301" width="9.109375" style="655"/>
    <col min="4302" max="4302" width="11.5546875" style="655" customWidth="1"/>
    <col min="4303" max="4303" width="11.21875" style="655" customWidth="1"/>
    <col min="4304" max="4304" width="2.88671875" style="655" customWidth="1"/>
    <col min="4305" max="4306" width="9.109375" style="655"/>
    <col min="4307" max="4307" width="11.21875" style="655" customWidth="1"/>
    <col min="4308" max="4308" width="2.21875" style="655" customWidth="1"/>
    <col min="4309" max="4309" width="9.109375" style="655"/>
    <col min="4310" max="4310" width="10.44140625" style="655" customWidth="1"/>
    <col min="4311" max="4311" width="9.109375" style="655"/>
    <col min="4312" max="4312" width="11.109375" style="655" customWidth="1"/>
    <col min="4313" max="4314" width="9.109375" style="655"/>
    <col min="4315" max="4315" width="10.88671875" style="655" customWidth="1"/>
    <col min="4316" max="4317" width="9.109375" style="655"/>
    <col min="4318" max="4318" width="1.5546875" style="655" customWidth="1"/>
    <col min="4319" max="4319" width="9.77734375" style="655" customWidth="1"/>
    <col min="4320" max="4323" width="9.109375" style="655"/>
    <col min="4324" max="4324" width="1.88671875" style="655" customWidth="1"/>
    <col min="4325" max="4325" width="9.88671875" style="655" customWidth="1"/>
    <col min="4326" max="4326" width="1.5546875" style="655" customWidth="1"/>
    <col min="4327" max="4327" width="11.44140625" style="655" customWidth="1"/>
    <col min="4328" max="4328" width="2.21875" style="655" customWidth="1"/>
    <col min="4329" max="4329" width="12" style="655" customWidth="1"/>
    <col min="4330" max="4330" width="2" style="655" customWidth="1"/>
    <col min="4331" max="4331" width="9.109375" style="655"/>
    <col min="4332" max="4332" width="11.109375" style="655" customWidth="1"/>
    <col min="4333" max="4333" width="12" style="655" customWidth="1"/>
    <col min="4334" max="4334" width="9.109375" style="655"/>
    <col min="4335" max="4335" width="11.88671875" style="655" customWidth="1"/>
    <col min="4336" max="4336" width="14.21875" style="655" customWidth="1"/>
    <col min="4337" max="4340" width="9.109375" style="655"/>
    <col min="4341" max="4341" width="3.44140625" style="655" customWidth="1"/>
    <col min="4342" max="4343" width="9.109375" style="655"/>
    <col min="4344" max="4344" width="11.44140625" style="655" customWidth="1"/>
    <col min="4345" max="4345" width="2.77734375" style="655" customWidth="1"/>
    <col min="4346" max="4528" width="9.109375" style="655"/>
    <col min="4529" max="4529" width="9.5546875" style="655" customWidth="1"/>
    <col min="4530" max="4530" width="11" style="655" customWidth="1"/>
    <col min="4531" max="4532" width="11.21875" style="655" customWidth="1"/>
    <col min="4533" max="4533" width="11.5546875" style="655" customWidth="1"/>
    <col min="4534" max="4534" width="11.109375" style="655" customWidth="1"/>
    <col min="4535" max="4535" width="2" style="655" customWidth="1"/>
    <col min="4536" max="4536" width="13.5546875" style="655" customWidth="1"/>
    <col min="4537" max="4537" width="12.44140625" style="655" customWidth="1"/>
    <col min="4538" max="4538" width="13.5546875" style="655" customWidth="1"/>
    <col min="4539" max="4539" width="2.109375" style="655" customWidth="1"/>
    <col min="4540" max="4540" width="9.109375" style="655"/>
    <col min="4541" max="4541" width="10.21875" style="655" customWidth="1"/>
    <col min="4542" max="4542" width="1.88671875" style="655" customWidth="1"/>
    <col min="4543" max="4543" width="10.77734375" style="655" customWidth="1"/>
    <col min="4544" max="4544" width="9.109375" style="655"/>
    <col min="4545" max="4545" width="2.109375" style="655" customWidth="1"/>
    <col min="4546" max="4546" width="9.109375" style="655"/>
    <col min="4547" max="4547" width="11.21875" style="655" customWidth="1"/>
    <col min="4548" max="4548" width="12.77734375" style="655" customWidth="1"/>
    <col min="4549" max="4549" width="12.5546875" style="655" customWidth="1"/>
    <col min="4550" max="4550" width="2" style="655" customWidth="1"/>
    <col min="4551" max="4552" width="9.109375" style="655"/>
    <col min="4553" max="4553" width="11" style="655" customWidth="1"/>
    <col min="4554" max="4554" width="9.109375" style="655"/>
    <col min="4555" max="4555" width="2.21875" style="655" customWidth="1"/>
    <col min="4556" max="4556" width="11" style="655" customWidth="1"/>
    <col min="4557" max="4557" width="9.109375" style="655"/>
    <col min="4558" max="4558" width="11.5546875" style="655" customWidth="1"/>
    <col min="4559" max="4559" width="11.21875" style="655" customWidth="1"/>
    <col min="4560" max="4560" width="2.88671875" style="655" customWidth="1"/>
    <col min="4561" max="4562" width="9.109375" style="655"/>
    <col min="4563" max="4563" width="11.21875" style="655" customWidth="1"/>
    <col min="4564" max="4564" width="2.21875" style="655" customWidth="1"/>
    <col min="4565" max="4565" width="9.109375" style="655"/>
    <col min="4566" max="4566" width="10.44140625" style="655" customWidth="1"/>
    <col min="4567" max="4567" width="9.109375" style="655"/>
    <col min="4568" max="4568" width="11.109375" style="655" customWidth="1"/>
    <col min="4569" max="4570" width="9.109375" style="655"/>
    <col min="4571" max="4571" width="10.88671875" style="655" customWidth="1"/>
    <col min="4572" max="4573" width="9.109375" style="655"/>
    <col min="4574" max="4574" width="1.5546875" style="655" customWidth="1"/>
    <col min="4575" max="4575" width="9.77734375" style="655" customWidth="1"/>
    <col min="4576" max="4579" width="9.109375" style="655"/>
    <col min="4580" max="4580" width="1.88671875" style="655" customWidth="1"/>
    <col min="4581" max="4581" width="9.88671875" style="655" customWidth="1"/>
    <col min="4582" max="4582" width="1.5546875" style="655" customWidth="1"/>
    <col min="4583" max="4583" width="11.44140625" style="655" customWidth="1"/>
    <col min="4584" max="4584" width="2.21875" style="655" customWidth="1"/>
    <col min="4585" max="4585" width="12" style="655" customWidth="1"/>
    <col min="4586" max="4586" width="2" style="655" customWidth="1"/>
    <col min="4587" max="4587" width="9.109375" style="655"/>
    <col min="4588" max="4588" width="11.109375" style="655" customWidth="1"/>
    <col min="4589" max="4589" width="12" style="655" customWidth="1"/>
    <col min="4590" max="4590" width="9.109375" style="655"/>
    <col min="4591" max="4591" width="11.88671875" style="655" customWidth="1"/>
    <col min="4592" max="4592" width="14.21875" style="655" customWidth="1"/>
    <col min="4593" max="4596" width="9.109375" style="655"/>
    <col min="4597" max="4597" width="3.44140625" style="655" customWidth="1"/>
    <col min="4598" max="4599" width="9.109375" style="655"/>
    <col min="4600" max="4600" width="11.44140625" style="655" customWidth="1"/>
    <col min="4601" max="4601" width="2.77734375" style="655" customWidth="1"/>
    <col min="4602" max="4784" width="9.109375" style="655"/>
    <col min="4785" max="4785" width="9.5546875" style="655" customWidth="1"/>
    <col min="4786" max="4786" width="11" style="655" customWidth="1"/>
    <col min="4787" max="4788" width="11.21875" style="655" customWidth="1"/>
    <col min="4789" max="4789" width="11.5546875" style="655" customWidth="1"/>
    <col min="4790" max="4790" width="11.109375" style="655" customWidth="1"/>
    <col min="4791" max="4791" width="2" style="655" customWidth="1"/>
    <col min="4792" max="4792" width="13.5546875" style="655" customWidth="1"/>
    <col min="4793" max="4793" width="12.44140625" style="655" customWidth="1"/>
    <col min="4794" max="4794" width="13.5546875" style="655" customWidth="1"/>
    <col min="4795" max="4795" width="2.109375" style="655" customWidth="1"/>
    <col min="4796" max="4796" width="9.109375" style="655"/>
    <col min="4797" max="4797" width="10.21875" style="655" customWidth="1"/>
    <col min="4798" max="4798" width="1.88671875" style="655" customWidth="1"/>
    <col min="4799" max="4799" width="10.77734375" style="655" customWidth="1"/>
    <col min="4800" max="4800" width="9.109375" style="655"/>
    <col min="4801" max="4801" width="2.109375" style="655" customWidth="1"/>
    <col min="4802" max="4802" width="9.109375" style="655"/>
    <col min="4803" max="4803" width="11.21875" style="655" customWidth="1"/>
    <col min="4804" max="4804" width="12.77734375" style="655" customWidth="1"/>
    <col min="4805" max="4805" width="12.5546875" style="655" customWidth="1"/>
    <col min="4806" max="4806" width="2" style="655" customWidth="1"/>
    <col min="4807" max="4808" width="9.109375" style="655"/>
    <col min="4809" max="4809" width="11" style="655" customWidth="1"/>
    <col min="4810" max="4810" width="9.109375" style="655"/>
    <col min="4811" max="4811" width="2.21875" style="655" customWidth="1"/>
    <col min="4812" max="4812" width="11" style="655" customWidth="1"/>
    <col min="4813" max="4813" width="9.109375" style="655"/>
    <col min="4814" max="4814" width="11.5546875" style="655" customWidth="1"/>
    <col min="4815" max="4815" width="11.21875" style="655" customWidth="1"/>
    <col min="4816" max="4816" width="2.88671875" style="655" customWidth="1"/>
    <col min="4817" max="4818" width="9.109375" style="655"/>
    <col min="4819" max="4819" width="11.21875" style="655" customWidth="1"/>
    <col min="4820" max="4820" width="2.21875" style="655" customWidth="1"/>
    <col min="4821" max="4821" width="9.109375" style="655"/>
    <col min="4822" max="4822" width="10.44140625" style="655" customWidth="1"/>
    <col min="4823" max="4823" width="9.109375" style="655"/>
    <col min="4824" max="4824" width="11.109375" style="655" customWidth="1"/>
    <col min="4825" max="4826" width="9.109375" style="655"/>
    <col min="4827" max="4827" width="10.88671875" style="655" customWidth="1"/>
    <col min="4828" max="4829" width="9.109375" style="655"/>
    <col min="4830" max="4830" width="1.5546875" style="655" customWidth="1"/>
    <col min="4831" max="4831" width="9.77734375" style="655" customWidth="1"/>
    <col min="4832" max="4835" width="9.109375" style="655"/>
    <col min="4836" max="4836" width="1.88671875" style="655" customWidth="1"/>
    <col min="4837" max="4837" width="9.88671875" style="655" customWidth="1"/>
    <col min="4838" max="4838" width="1.5546875" style="655" customWidth="1"/>
    <col min="4839" max="4839" width="11.44140625" style="655" customWidth="1"/>
    <col min="4840" max="4840" width="2.21875" style="655" customWidth="1"/>
    <col min="4841" max="4841" width="12" style="655" customWidth="1"/>
    <col min="4842" max="4842" width="2" style="655" customWidth="1"/>
    <col min="4843" max="4843" width="9.109375" style="655"/>
    <col min="4844" max="4844" width="11.109375" style="655" customWidth="1"/>
    <col min="4845" max="4845" width="12" style="655" customWidth="1"/>
    <col min="4846" max="4846" width="9.109375" style="655"/>
    <col min="4847" max="4847" width="11.88671875" style="655" customWidth="1"/>
    <col min="4848" max="4848" width="14.21875" style="655" customWidth="1"/>
    <col min="4849" max="4852" width="9.109375" style="655"/>
    <col min="4853" max="4853" width="3.44140625" style="655" customWidth="1"/>
    <col min="4854" max="4855" width="9.109375" style="655"/>
    <col min="4856" max="4856" width="11.44140625" style="655" customWidth="1"/>
    <col min="4857" max="4857" width="2.77734375" style="655" customWidth="1"/>
    <col min="4858" max="5040" width="9.109375" style="655"/>
    <col min="5041" max="5041" width="9.5546875" style="655" customWidth="1"/>
    <col min="5042" max="5042" width="11" style="655" customWidth="1"/>
    <col min="5043" max="5044" width="11.21875" style="655" customWidth="1"/>
    <col min="5045" max="5045" width="11.5546875" style="655" customWidth="1"/>
    <col min="5046" max="5046" width="11.109375" style="655" customWidth="1"/>
    <col min="5047" max="5047" width="2" style="655" customWidth="1"/>
    <col min="5048" max="5048" width="13.5546875" style="655" customWidth="1"/>
    <col min="5049" max="5049" width="12.44140625" style="655" customWidth="1"/>
    <col min="5050" max="5050" width="13.5546875" style="655" customWidth="1"/>
    <col min="5051" max="5051" width="2.109375" style="655" customWidth="1"/>
    <col min="5052" max="5052" width="9.109375" style="655"/>
    <col min="5053" max="5053" width="10.21875" style="655" customWidth="1"/>
    <col min="5054" max="5054" width="1.88671875" style="655" customWidth="1"/>
    <col min="5055" max="5055" width="10.77734375" style="655" customWidth="1"/>
    <col min="5056" max="5056" width="9.109375" style="655"/>
    <col min="5057" max="5057" width="2.109375" style="655" customWidth="1"/>
    <col min="5058" max="5058" width="9.109375" style="655"/>
    <col min="5059" max="5059" width="11.21875" style="655" customWidth="1"/>
    <col min="5060" max="5060" width="12.77734375" style="655" customWidth="1"/>
    <col min="5061" max="5061" width="12.5546875" style="655" customWidth="1"/>
    <col min="5062" max="5062" width="2" style="655" customWidth="1"/>
    <col min="5063" max="5064" width="9.109375" style="655"/>
    <col min="5065" max="5065" width="11" style="655" customWidth="1"/>
    <col min="5066" max="5066" width="9.109375" style="655"/>
    <col min="5067" max="5067" width="2.21875" style="655" customWidth="1"/>
    <col min="5068" max="5068" width="11" style="655" customWidth="1"/>
    <col min="5069" max="5069" width="9.109375" style="655"/>
    <col min="5070" max="5070" width="11.5546875" style="655" customWidth="1"/>
    <col min="5071" max="5071" width="11.21875" style="655" customWidth="1"/>
    <col min="5072" max="5072" width="2.88671875" style="655" customWidth="1"/>
    <col min="5073" max="5074" width="9.109375" style="655"/>
    <col min="5075" max="5075" width="11.21875" style="655" customWidth="1"/>
    <col min="5076" max="5076" width="2.21875" style="655" customWidth="1"/>
    <col min="5077" max="5077" width="9.109375" style="655"/>
    <col min="5078" max="5078" width="10.44140625" style="655" customWidth="1"/>
    <col min="5079" max="5079" width="9.109375" style="655"/>
    <col min="5080" max="5080" width="11.109375" style="655" customWidth="1"/>
    <col min="5081" max="5082" width="9.109375" style="655"/>
    <col min="5083" max="5083" width="10.88671875" style="655" customWidth="1"/>
    <col min="5084" max="5085" width="9.109375" style="655"/>
    <col min="5086" max="5086" width="1.5546875" style="655" customWidth="1"/>
    <col min="5087" max="5087" width="9.77734375" style="655" customWidth="1"/>
    <col min="5088" max="5091" width="9.109375" style="655"/>
    <col min="5092" max="5092" width="1.88671875" style="655" customWidth="1"/>
    <col min="5093" max="5093" width="9.88671875" style="655" customWidth="1"/>
    <col min="5094" max="5094" width="1.5546875" style="655" customWidth="1"/>
    <col min="5095" max="5095" width="11.44140625" style="655" customWidth="1"/>
    <col min="5096" max="5096" width="2.21875" style="655" customWidth="1"/>
    <col min="5097" max="5097" width="12" style="655" customWidth="1"/>
    <col min="5098" max="5098" width="2" style="655" customWidth="1"/>
    <col min="5099" max="5099" width="9.109375" style="655"/>
    <col min="5100" max="5100" width="11.109375" style="655" customWidth="1"/>
    <col min="5101" max="5101" width="12" style="655" customWidth="1"/>
    <col min="5102" max="5102" width="9.109375" style="655"/>
    <col min="5103" max="5103" width="11.88671875" style="655" customWidth="1"/>
    <col min="5104" max="5104" width="14.21875" style="655" customWidth="1"/>
    <col min="5105" max="5108" width="9.109375" style="655"/>
    <col min="5109" max="5109" width="3.44140625" style="655" customWidth="1"/>
    <col min="5110" max="5111" width="9.109375" style="655"/>
    <col min="5112" max="5112" width="11.44140625" style="655" customWidth="1"/>
    <col min="5113" max="5113" width="2.77734375" style="655" customWidth="1"/>
    <col min="5114" max="5296" width="9.109375" style="655"/>
    <col min="5297" max="5297" width="9.5546875" style="655" customWidth="1"/>
    <col min="5298" max="5298" width="11" style="655" customWidth="1"/>
    <col min="5299" max="5300" width="11.21875" style="655" customWidth="1"/>
    <col min="5301" max="5301" width="11.5546875" style="655" customWidth="1"/>
    <col min="5302" max="5302" width="11.109375" style="655" customWidth="1"/>
    <col min="5303" max="5303" width="2" style="655" customWidth="1"/>
    <col min="5304" max="5304" width="13.5546875" style="655" customWidth="1"/>
    <col min="5305" max="5305" width="12.44140625" style="655" customWidth="1"/>
    <col min="5306" max="5306" width="13.5546875" style="655" customWidth="1"/>
    <col min="5307" max="5307" width="2.109375" style="655" customWidth="1"/>
    <col min="5308" max="5308" width="9.109375" style="655"/>
    <col min="5309" max="5309" width="10.21875" style="655" customWidth="1"/>
    <col min="5310" max="5310" width="1.88671875" style="655" customWidth="1"/>
    <col min="5311" max="5311" width="10.77734375" style="655" customWidth="1"/>
    <col min="5312" max="5312" width="9.109375" style="655"/>
    <col min="5313" max="5313" width="2.109375" style="655" customWidth="1"/>
    <col min="5314" max="5314" width="9.109375" style="655"/>
    <col min="5315" max="5315" width="11.21875" style="655" customWidth="1"/>
    <col min="5316" max="5316" width="12.77734375" style="655" customWidth="1"/>
    <col min="5317" max="5317" width="12.5546875" style="655" customWidth="1"/>
    <col min="5318" max="5318" width="2" style="655" customWidth="1"/>
    <col min="5319" max="5320" width="9.109375" style="655"/>
    <col min="5321" max="5321" width="11" style="655" customWidth="1"/>
    <col min="5322" max="5322" width="9.109375" style="655"/>
    <col min="5323" max="5323" width="2.21875" style="655" customWidth="1"/>
    <col min="5324" max="5324" width="11" style="655" customWidth="1"/>
    <col min="5325" max="5325" width="9.109375" style="655"/>
    <col min="5326" max="5326" width="11.5546875" style="655" customWidth="1"/>
    <col min="5327" max="5327" width="11.21875" style="655" customWidth="1"/>
    <col min="5328" max="5328" width="2.88671875" style="655" customWidth="1"/>
    <col min="5329" max="5330" width="9.109375" style="655"/>
    <col min="5331" max="5331" width="11.21875" style="655" customWidth="1"/>
    <col min="5332" max="5332" width="2.21875" style="655" customWidth="1"/>
    <col min="5333" max="5333" width="9.109375" style="655"/>
    <col min="5334" max="5334" width="10.44140625" style="655" customWidth="1"/>
    <col min="5335" max="5335" width="9.109375" style="655"/>
    <col min="5336" max="5336" width="11.109375" style="655" customWidth="1"/>
    <col min="5337" max="5338" width="9.109375" style="655"/>
    <col min="5339" max="5339" width="10.88671875" style="655" customWidth="1"/>
    <col min="5340" max="5341" width="9.109375" style="655"/>
    <col min="5342" max="5342" width="1.5546875" style="655" customWidth="1"/>
    <col min="5343" max="5343" width="9.77734375" style="655" customWidth="1"/>
    <col min="5344" max="5347" width="9.109375" style="655"/>
    <col min="5348" max="5348" width="1.88671875" style="655" customWidth="1"/>
    <col min="5349" max="5349" width="9.88671875" style="655" customWidth="1"/>
    <col min="5350" max="5350" width="1.5546875" style="655" customWidth="1"/>
    <col min="5351" max="5351" width="11.44140625" style="655" customWidth="1"/>
    <col min="5352" max="5352" width="2.21875" style="655" customWidth="1"/>
    <col min="5353" max="5353" width="12" style="655" customWidth="1"/>
    <col min="5354" max="5354" width="2" style="655" customWidth="1"/>
    <col min="5355" max="5355" width="9.109375" style="655"/>
    <col min="5356" max="5356" width="11.109375" style="655" customWidth="1"/>
    <col min="5357" max="5357" width="12" style="655" customWidth="1"/>
    <col min="5358" max="5358" width="9.109375" style="655"/>
    <col min="5359" max="5359" width="11.88671875" style="655" customWidth="1"/>
    <col min="5360" max="5360" width="14.21875" style="655" customWidth="1"/>
    <col min="5361" max="5364" width="9.109375" style="655"/>
    <col min="5365" max="5365" width="3.44140625" style="655" customWidth="1"/>
    <col min="5366" max="5367" width="9.109375" style="655"/>
    <col min="5368" max="5368" width="11.44140625" style="655" customWidth="1"/>
    <col min="5369" max="5369" width="2.77734375" style="655" customWidth="1"/>
    <col min="5370" max="5552" width="9.109375" style="655"/>
    <col min="5553" max="5553" width="9.5546875" style="655" customWidth="1"/>
    <col min="5554" max="5554" width="11" style="655" customWidth="1"/>
    <col min="5555" max="5556" width="11.21875" style="655" customWidth="1"/>
    <col min="5557" max="5557" width="11.5546875" style="655" customWidth="1"/>
    <col min="5558" max="5558" width="11.109375" style="655" customWidth="1"/>
    <col min="5559" max="5559" width="2" style="655" customWidth="1"/>
    <col min="5560" max="5560" width="13.5546875" style="655" customWidth="1"/>
    <col min="5561" max="5561" width="12.44140625" style="655" customWidth="1"/>
    <col min="5562" max="5562" width="13.5546875" style="655" customWidth="1"/>
    <col min="5563" max="5563" width="2.109375" style="655" customWidth="1"/>
    <col min="5564" max="5564" width="9.109375" style="655"/>
    <col min="5565" max="5565" width="10.21875" style="655" customWidth="1"/>
    <col min="5566" max="5566" width="1.88671875" style="655" customWidth="1"/>
    <col min="5567" max="5567" width="10.77734375" style="655" customWidth="1"/>
    <col min="5568" max="5568" width="9.109375" style="655"/>
    <col min="5569" max="5569" width="2.109375" style="655" customWidth="1"/>
    <col min="5570" max="5570" width="9.109375" style="655"/>
    <col min="5571" max="5571" width="11.21875" style="655" customWidth="1"/>
    <col min="5572" max="5572" width="12.77734375" style="655" customWidth="1"/>
    <col min="5573" max="5573" width="12.5546875" style="655" customWidth="1"/>
    <col min="5574" max="5574" width="2" style="655" customWidth="1"/>
    <col min="5575" max="5576" width="9.109375" style="655"/>
    <col min="5577" max="5577" width="11" style="655" customWidth="1"/>
    <col min="5578" max="5578" width="9.109375" style="655"/>
    <col min="5579" max="5579" width="2.21875" style="655" customWidth="1"/>
    <col min="5580" max="5580" width="11" style="655" customWidth="1"/>
    <col min="5581" max="5581" width="9.109375" style="655"/>
    <col min="5582" max="5582" width="11.5546875" style="655" customWidth="1"/>
    <col min="5583" max="5583" width="11.21875" style="655" customWidth="1"/>
    <col min="5584" max="5584" width="2.88671875" style="655" customWidth="1"/>
    <col min="5585" max="5586" width="9.109375" style="655"/>
    <col min="5587" max="5587" width="11.21875" style="655" customWidth="1"/>
    <col min="5588" max="5588" width="2.21875" style="655" customWidth="1"/>
    <col min="5589" max="5589" width="9.109375" style="655"/>
    <col min="5590" max="5590" width="10.44140625" style="655" customWidth="1"/>
    <col min="5591" max="5591" width="9.109375" style="655"/>
    <col min="5592" max="5592" width="11.109375" style="655" customWidth="1"/>
    <col min="5593" max="5594" width="9.109375" style="655"/>
    <col min="5595" max="5595" width="10.88671875" style="655" customWidth="1"/>
    <col min="5596" max="5597" width="9.109375" style="655"/>
    <col min="5598" max="5598" width="1.5546875" style="655" customWidth="1"/>
    <col min="5599" max="5599" width="9.77734375" style="655" customWidth="1"/>
    <col min="5600" max="5603" width="9.109375" style="655"/>
    <col min="5604" max="5604" width="1.88671875" style="655" customWidth="1"/>
    <col min="5605" max="5605" width="9.88671875" style="655" customWidth="1"/>
    <col min="5606" max="5606" width="1.5546875" style="655" customWidth="1"/>
    <col min="5607" max="5607" width="11.44140625" style="655" customWidth="1"/>
    <col min="5608" max="5608" width="2.21875" style="655" customWidth="1"/>
    <col min="5609" max="5609" width="12" style="655" customWidth="1"/>
    <col min="5610" max="5610" width="2" style="655" customWidth="1"/>
    <col min="5611" max="5611" width="9.109375" style="655"/>
    <col min="5612" max="5612" width="11.109375" style="655" customWidth="1"/>
    <col min="5613" max="5613" width="12" style="655" customWidth="1"/>
    <col min="5614" max="5614" width="9.109375" style="655"/>
    <col min="5615" max="5615" width="11.88671875" style="655" customWidth="1"/>
    <col min="5616" max="5616" width="14.21875" style="655" customWidth="1"/>
    <col min="5617" max="5620" width="9.109375" style="655"/>
    <col min="5621" max="5621" width="3.44140625" style="655" customWidth="1"/>
    <col min="5622" max="5623" width="9.109375" style="655"/>
    <col min="5624" max="5624" width="11.44140625" style="655" customWidth="1"/>
    <col min="5625" max="5625" width="2.77734375" style="655" customWidth="1"/>
    <col min="5626" max="5808" width="9.109375" style="655"/>
    <col min="5809" max="5809" width="9.5546875" style="655" customWidth="1"/>
    <col min="5810" max="5810" width="11" style="655" customWidth="1"/>
    <col min="5811" max="5812" width="11.21875" style="655" customWidth="1"/>
    <col min="5813" max="5813" width="11.5546875" style="655" customWidth="1"/>
    <col min="5814" max="5814" width="11.109375" style="655" customWidth="1"/>
    <col min="5815" max="5815" width="2" style="655" customWidth="1"/>
    <col min="5816" max="5816" width="13.5546875" style="655" customWidth="1"/>
    <col min="5817" max="5817" width="12.44140625" style="655" customWidth="1"/>
    <col min="5818" max="5818" width="13.5546875" style="655" customWidth="1"/>
    <col min="5819" max="5819" width="2.109375" style="655" customWidth="1"/>
    <col min="5820" max="5820" width="9.109375" style="655"/>
    <col min="5821" max="5821" width="10.21875" style="655" customWidth="1"/>
    <col min="5822" max="5822" width="1.88671875" style="655" customWidth="1"/>
    <col min="5823" max="5823" width="10.77734375" style="655" customWidth="1"/>
    <col min="5824" max="5824" width="9.109375" style="655"/>
    <col min="5825" max="5825" width="2.109375" style="655" customWidth="1"/>
    <col min="5826" max="5826" width="9.109375" style="655"/>
    <col min="5827" max="5827" width="11.21875" style="655" customWidth="1"/>
    <col min="5828" max="5828" width="12.77734375" style="655" customWidth="1"/>
    <col min="5829" max="5829" width="12.5546875" style="655" customWidth="1"/>
    <col min="5830" max="5830" width="2" style="655" customWidth="1"/>
    <col min="5831" max="5832" width="9.109375" style="655"/>
    <col min="5833" max="5833" width="11" style="655" customWidth="1"/>
    <col min="5834" max="5834" width="9.109375" style="655"/>
    <col min="5835" max="5835" width="2.21875" style="655" customWidth="1"/>
    <col min="5836" max="5836" width="11" style="655" customWidth="1"/>
    <col min="5837" max="5837" width="9.109375" style="655"/>
    <col min="5838" max="5838" width="11.5546875" style="655" customWidth="1"/>
    <col min="5839" max="5839" width="11.21875" style="655" customWidth="1"/>
    <col min="5840" max="5840" width="2.88671875" style="655" customWidth="1"/>
    <col min="5841" max="5842" width="9.109375" style="655"/>
    <col min="5843" max="5843" width="11.21875" style="655" customWidth="1"/>
    <col min="5844" max="5844" width="2.21875" style="655" customWidth="1"/>
    <col min="5845" max="5845" width="9.109375" style="655"/>
    <col min="5846" max="5846" width="10.44140625" style="655" customWidth="1"/>
    <col min="5847" max="5847" width="9.109375" style="655"/>
    <col min="5848" max="5848" width="11.109375" style="655" customWidth="1"/>
    <col min="5849" max="5850" width="9.109375" style="655"/>
    <col min="5851" max="5851" width="10.88671875" style="655" customWidth="1"/>
    <col min="5852" max="5853" width="9.109375" style="655"/>
    <col min="5854" max="5854" width="1.5546875" style="655" customWidth="1"/>
    <col min="5855" max="5855" width="9.77734375" style="655" customWidth="1"/>
    <col min="5856" max="5859" width="9.109375" style="655"/>
    <col min="5860" max="5860" width="1.88671875" style="655" customWidth="1"/>
    <col min="5861" max="5861" width="9.88671875" style="655" customWidth="1"/>
    <col min="5862" max="5862" width="1.5546875" style="655" customWidth="1"/>
    <col min="5863" max="5863" width="11.44140625" style="655" customWidth="1"/>
    <col min="5864" max="5864" width="2.21875" style="655" customWidth="1"/>
    <col min="5865" max="5865" width="12" style="655" customWidth="1"/>
    <col min="5866" max="5866" width="2" style="655" customWidth="1"/>
    <col min="5867" max="5867" width="9.109375" style="655"/>
    <col min="5868" max="5868" width="11.109375" style="655" customWidth="1"/>
    <col min="5869" max="5869" width="12" style="655" customWidth="1"/>
    <col min="5870" max="5870" width="9.109375" style="655"/>
    <col min="5871" max="5871" width="11.88671875" style="655" customWidth="1"/>
    <col min="5872" max="5872" width="14.21875" style="655" customWidth="1"/>
    <col min="5873" max="5876" width="9.109375" style="655"/>
    <col min="5877" max="5877" width="3.44140625" style="655" customWidth="1"/>
    <col min="5878" max="5879" width="9.109375" style="655"/>
    <col min="5880" max="5880" width="11.44140625" style="655" customWidth="1"/>
    <col min="5881" max="5881" width="2.77734375" style="655" customWidth="1"/>
    <col min="5882" max="6064" width="9.109375" style="655"/>
    <col min="6065" max="6065" width="9.5546875" style="655" customWidth="1"/>
    <col min="6066" max="6066" width="11" style="655" customWidth="1"/>
    <col min="6067" max="6068" width="11.21875" style="655" customWidth="1"/>
    <col min="6069" max="6069" width="11.5546875" style="655" customWidth="1"/>
    <col min="6070" max="6070" width="11.109375" style="655" customWidth="1"/>
    <col min="6071" max="6071" width="2" style="655" customWidth="1"/>
    <col min="6072" max="6072" width="13.5546875" style="655" customWidth="1"/>
    <col min="6073" max="6073" width="12.44140625" style="655" customWidth="1"/>
    <col min="6074" max="6074" width="13.5546875" style="655" customWidth="1"/>
    <col min="6075" max="6075" width="2.109375" style="655" customWidth="1"/>
    <col min="6076" max="6076" width="9.109375" style="655"/>
    <col min="6077" max="6077" width="10.21875" style="655" customWidth="1"/>
    <col min="6078" max="6078" width="1.88671875" style="655" customWidth="1"/>
    <col min="6079" max="6079" width="10.77734375" style="655" customWidth="1"/>
    <col min="6080" max="6080" width="9.109375" style="655"/>
    <col min="6081" max="6081" width="2.109375" style="655" customWidth="1"/>
    <col min="6082" max="6082" width="9.109375" style="655"/>
    <col min="6083" max="6083" width="11.21875" style="655" customWidth="1"/>
    <col min="6084" max="6084" width="12.77734375" style="655" customWidth="1"/>
    <col min="6085" max="6085" width="12.5546875" style="655" customWidth="1"/>
    <col min="6086" max="6086" width="2" style="655" customWidth="1"/>
    <col min="6087" max="6088" width="9.109375" style="655"/>
    <col min="6089" max="6089" width="11" style="655" customWidth="1"/>
    <col min="6090" max="6090" width="9.109375" style="655"/>
    <col min="6091" max="6091" width="2.21875" style="655" customWidth="1"/>
    <col min="6092" max="6092" width="11" style="655" customWidth="1"/>
    <col min="6093" max="6093" width="9.109375" style="655"/>
    <col min="6094" max="6094" width="11.5546875" style="655" customWidth="1"/>
    <col min="6095" max="6095" width="11.21875" style="655" customWidth="1"/>
    <col min="6096" max="6096" width="2.88671875" style="655" customWidth="1"/>
    <col min="6097" max="6098" width="9.109375" style="655"/>
    <col min="6099" max="6099" width="11.21875" style="655" customWidth="1"/>
    <col min="6100" max="6100" width="2.21875" style="655" customWidth="1"/>
    <col min="6101" max="6101" width="9.109375" style="655"/>
    <col min="6102" max="6102" width="10.44140625" style="655" customWidth="1"/>
    <col min="6103" max="6103" width="9.109375" style="655"/>
    <col min="6104" max="6104" width="11.109375" style="655" customWidth="1"/>
    <col min="6105" max="6106" width="9.109375" style="655"/>
    <col min="6107" max="6107" width="10.88671875" style="655" customWidth="1"/>
    <col min="6108" max="6109" width="9.109375" style="655"/>
    <col min="6110" max="6110" width="1.5546875" style="655" customWidth="1"/>
    <col min="6111" max="6111" width="9.77734375" style="655" customWidth="1"/>
    <col min="6112" max="6115" width="9.109375" style="655"/>
    <col min="6116" max="6116" width="1.88671875" style="655" customWidth="1"/>
    <col min="6117" max="6117" width="9.88671875" style="655" customWidth="1"/>
    <col min="6118" max="6118" width="1.5546875" style="655" customWidth="1"/>
    <col min="6119" max="6119" width="11.44140625" style="655" customWidth="1"/>
    <col min="6120" max="6120" width="2.21875" style="655" customWidth="1"/>
    <col min="6121" max="6121" width="12" style="655" customWidth="1"/>
    <col min="6122" max="6122" width="2" style="655" customWidth="1"/>
    <col min="6123" max="6123" width="9.109375" style="655"/>
    <col min="6124" max="6124" width="11.109375" style="655" customWidth="1"/>
    <col min="6125" max="6125" width="12" style="655" customWidth="1"/>
    <col min="6126" max="6126" width="9.109375" style="655"/>
    <col min="6127" max="6127" width="11.88671875" style="655" customWidth="1"/>
    <col min="6128" max="6128" width="14.21875" style="655" customWidth="1"/>
    <col min="6129" max="6132" width="9.109375" style="655"/>
    <col min="6133" max="6133" width="3.44140625" style="655" customWidth="1"/>
    <col min="6134" max="6135" width="9.109375" style="655"/>
    <col min="6136" max="6136" width="11.44140625" style="655" customWidth="1"/>
    <col min="6137" max="6137" width="2.77734375" style="655" customWidth="1"/>
    <col min="6138" max="6320" width="9.109375" style="655"/>
    <col min="6321" max="6321" width="9.5546875" style="655" customWidth="1"/>
    <col min="6322" max="6322" width="11" style="655" customWidth="1"/>
    <col min="6323" max="6324" width="11.21875" style="655" customWidth="1"/>
    <col min="6325" max="6325" width="11.5546875" style="655" customWidth="1"/>
    <col min="6326" max="6326" width="11.109375" style="655" customWidth="1"/>
    <col min="6327" max="6327" width="2" style="655" customWidth="1"/>
    <col min="6328" max="6328" width="13.5546875" style="655" customWidth="1"/>
    <col min="6329" max="6329" width="12.44140625" style="655" customWidth="1"/>
    <col min="6330" max="6330" width="13.5546875" style="655" customWidth="1"/>
    <col min="6331" max="6331" width="2.109375" style="655" customWidth="1"/>
    <col min="6332" max="6332" width="9.109375" style="655"/>
    <col min="6333" max="6333" width="10.21875" style="655" customWidth="1"/>
    <col min="6334" max="6334" width="1.88671875" style="655" customWidth="1"/>
    <col min="6335" max="6335" width="10.77734375" style="655" customWidth="1"/>
    <col min="6336" max="6336" width="9.109375" style="655"/>
    <col min="6337" max="6337" width="2.109375" style="655" customWidth="1"/>
    <col min="6338" max="6338" width="9.109375" style="655"/>
    <col min="6339" max="6339" width="11.21875" style="655" customWidth="1"/>
    <col min="6340" max="6340" width="12.77734375" style="655" customWidth="1"/>
    <col min="6341" max="6341" width="12.5546875" style="655" customWidth="1"/>
    <col min="6342" max="6342" width="2" style="655" customWidth="1"/>
    <col min="6343" max="6344" width="9.109375" style="655"/>
    <col min="6345" max="6345" width="11" style="655" customWidth="1"/>
    <col min="6346" max="6346" width="9.109375" style="655"/>
    <col min="6347" max="6347" width="2.21875" style="655" customWidth="1"/>
    <col min="6348" max="6348" width="11" style="655" customWidth="1"/>
    <col min="6349" max="6349" width="9.109375" style="655"/>
    <col min="6350" max="6350" width="11.5546875" style="655" customWidth="1"/>
    <col min="6351" max="6351" width="11.21875" style="655" customWidth="1"/>
    <col min="6352" max="6352" width="2.88671875" style="655" customWidth="1"/>
    <col min="6353" max="6354" width="9.109375" style="655"/>
    <col min="6355" max="6355" width="11.21875" style="655" customWidth="1"/>
    <col min="6356" max="6356" width="2.21875" style="655" customWidth="1"/>
    <col min="6357" max="6357" width="9.109375" style="655"/>
    <col min="6358" max="6358" width="10.44140625" style="655" customWidth="1"/>
    <col min="6359" max="6359" width="9.109375" style="655"/>
    <col min="6360" max="6360" width="11.109375" style="655" customWidth="1"/>
    <col min="6361" max="6362" width="9.109375" style="655"/>
    <col min="6363" max="6363" width="10.88671875" style="655" customWidth="1"/>
    <col min="6364" max="6365" width="9.109375" style="655"/>
    <col min="6366" max="6366" width="1.5546875" style="655" customWidth="1"/>
    <col min="6367" max="6367" width="9.77734375" style="655" customWidth="1"/>
    <col min="6368" max="6371" width="9.109375" style="655"/>
    <col min="6372" max="6372" width="1.88671875" style="655" customWidth="1"/>
    <col min="6373" max="6373" width="9.88671875" style="655" customWidth="1"/>
    <col min="6374" max="6374" width="1.5546875" style="655" customWidth="1"/>
    <col min="6375" max="6375" width="11.44140625" style="655" customWidth="1"/>
    <col min="6376" max="6376" width="2.21875" style="655" customWidth="1"/>
    <col min="6377" max="6377" width="12" style="655" customWidth="1"/>
    <col min="6378" max="6378" width="2" style="655" customWidth="1"/>
    <col min="6379" max="6379" width="9.109375" style="655"/>
    <col min="6380" max="6380" width="11.109375" style="655" customWidth="1"/>
    <col min="6381" max="6381" width="12" style="655" customWidth="1"/>
    <col min="6382" max="6382" width="9.109375" style="655"/>
    <col min="6383" max="6383" width="11.88671875" style="655" customWidth="1"/>
    <col min="6384" max="6384" width="14.21875" style="655" customWidth="1"/>
    <col min="6385" max="6388" width="9.109375" style="655"/>
    <col min="6389" max="6389" width="3.44140625" style="655" customWidth="1"/>
    <col min="6390" max="6391" width="9.109375" style="655"/>
    <col min="6392" max="6392" width="11.44140625" style="655" customWidth="1"/>
    <col min="6393" max="6393" width="2.77734375" style="655" customWidth="1"/>
    <col min="6394" max="6576" width="9.109375" style="655"/>
    <col min="6577" max="6577" width="9.5546875" style="655" customWidth="1"/>
    <col min="6578" max="6578" width="11" style="655" customWidth="1"/>
    <col min="6579" max="6580" width="11.21875" style="655" customWidth="1"/>
    <col min="6581" max="6581" width="11.5546875" style="655" customWidth="1"/>
    <col min="6582" max="6582" width="11.109375" style="655" customWidth="1"/>
    <col min="6583" max="6583" width="2" style="655" customWidth="1"/>
    <col min="6584" max="6584" width="13.5546875" style="655" customWidth="1"/>
    <col min="6585" max="6585" width="12.44140625" style="655" customWidth="1"/>
    <col min="6586" max="6586" width="13.5546875" style="655" customWidth="1"/>
    <col min="6587" max="6587" width="2.109375" style="655" customWidth="1"/>
    <col min="6588" max="6588" width="9.109375" style="655"/>
    <col min="6589" max="6589" width="10.21875" style="655" customWidth="1"/>
    <col min="6590" max="6590" width="1.88671875" style="655" customWidth="1"/>
    <col min="6591" max="6591" width="10.77734375" style="655" customWidth="1"/>
    <col min="6592" max="6592" width="9.109375" style="655"/>
    <col min="6593" max="6593" width="2.109375" style="655" customWidth="1"/>
    <col min="6594" max="6594" width="9.109375" style="655"/>
    <col min="6595" max="6595" width="11.21875" style="655" customWidth="1"/>
    <col min="6596" max="6596" width="12.77734375" style="655" customWidth="1"/>
    <col min="6597" max="6597" width="12.5546875" style="655" customWidth="1"/>
    <col min="6598" max="6598" width="2" style="655" customWidth="1"/>
    <col min="6599" max="6600" width="9.109375" style="655"/>
    <col min="6601" max="6601" width="11" style="655" customWidth="1"/>
    <col min="6602" max="6602" width="9.109375" style="655"/>
    <col min="6603" max="6603" width="2.21875" style="655" customWidth="1"/>
    <col min="6604" max="6604" width="11" style="655" customWidth="1"/>
    <col min="6605" max="6605" width="9.109375" style="655"/>
    <col min="6606" max="6606" width="11.5546875" style="655" customWidth="1"/>
    <col min="6607" max="6607" width="11.21875" style="655" customWidth="1"/>
    <col min="6608" max="6608" width="2.88671875" style="655" customWidth="1"/>
    <col min="6609" max="6610" width="9.109375" style="655"/>
    <col min="6611" max="6611" width="11.21875" style="655" customWidth="1"/>
    <col min="6612" max="6612" width="2.21875" style="655" customWidth="1"/>
    <col min="6613" max="6613" width="9.109375" style="655"/>
    <col min="6614" max="6614" width="10.44140625" style="655" customWidth="1"/>
    <col min="6615" max="6615" width="9.109375" style="655"/>
    <col min="6616" max="6616" width="11.109375" style="655" customWidth="1"/>
    <col min="6617" max="6618" width="9.109375" style="655"/>
    <col min="6619" max="6619" width="10.88671875" style="655" customWidth="1"/>
    <col min="6620" max="6621" width="9.109375" style="655"/>
    <col min="6622" max="6622" width="1.5546875" style="655" customWidth="1"/>
    <col min="6623" max="6623" width="9.77734375" style="655" customWidth="1"/>
    <col min="6624" max="6627" width="9.109375" style="655"/>
    <col min="6628" max="6628" width="1.88671875" style="655" customWidth="1"/>
    <col min="6629" max="6629" width="9.88671875" style="655" customWidth="1"/>
    <col min="6630" max="6630" width="1.5546875" style="655" customWidth="1"/>
    <col min="6631" max="6631" width="11.44140625" style="655" customWidth="1"/>
    <col min="6632" max="6632" width="2.21875" style="655" customWidth="1"/>
    <col min="6633" max="6633" width="12" style="655" customWidth="1"/>
    <col min="6634" max="6634" width="2" style="655" customWidth="1"/>
    <col min="6635" max="6635" width="9.109375" style="655"/>
    <col min="6636" max="6636" width="11.109375" style="655" customWidth="1"/>
    <col min="6637" max="6637" width="12" style="655" customWidth="1"/>
    <col min="6638" max="6638" width="9.109375" style="655"/>
    <col min="6639" max="6639" width="11.88671875" style="655" customWidth="1"/>
    <col min="6640" max="6640" width="14.21875" style="655" customWidth="1"/>
    <col min="6641" max="6644" width="9.109375" style="655"/>
    <col min="6645" max="6645" width="3.44140625" style="655" customWidth="1"/>
    <col min="6646" max="6647" width="9.109375" style="655"/>
    <col min="6648" max="6648" width="11.44140625" style="655" customWidth="1"/>
    <col min="6649" max="6649" width="2.77734375" style="655" customWidth="1"/>
    <col min="6650" max="6832" width="9.109375" style="655"/>
    <col min="6833" max="6833" width="9.5546875" style="655" customWidth="1"/>
    <col min="6834" max="6834" width="11" style="655" customWidth="1"/>
    <col min="6835" max="6836" width="11.21875" style="655" customWidth="1"/>
    <col min="6837" max="6837" width="11.5546875" style="655" customWidth="1"/>
    <col min="6838" max="6838" width="11.109375" style="655" customWidth="1"/>
    <col min="6839" max="6839" width="2" style="655" customWidth="1"/>
    <col min="6840" max="6840" width="13.5546875" style="655" customWidth="1"/>
    <col min="6841" max="6841" width="12.44140625" style="655" customWidth="1"/>
    <col min="6842" max="6842" width="13.5546875" style="655" customWidth="1"/>
    <col min="6843" max="6843" width="2.109375" style="655" customWidth="1"/>
    <col min="6844" max="6844" width="9.109375" style="655"/>
    <col min="6845" max="6845" width="10.21875" style="655" customWidth="1"/>
    <col min="6846" max="6846" width="1.88671875" style="655" customWidth="1"/>
    <col min="6847" max="6847" width="10.77734375" style="655" customWidth="1"/>
    <col min="6848" max="6848" width="9.109375" style="655"/>
    <col min="6849" max="6849" width="2.109375" style="655" customWidth="1"/>
    <col min="6850" max="6850" width="9.109375" style="655"/>
    <col min="6851" max="6851" width="11.21875" style="655" customWidth="1"/>
    <col min="6852" max="6852" width="12.77734375" style="655" customWidth="1"/>
    <col min="6853" max="6853" width="12.5546875" style="655" customWidth="1"/>
    <col min="6854" max="6854" width="2" style="655" customWidth="1"/>
    <col min="6855" max="6856" width="9.109375" style="655"/>
    <col min="6857" max="6857" width="11" style="655" customWidth="1"/>
    <col min="6858" max="6858" width="9.109375" style="655"/>
    <col min="6859" max="6859" width="2.21875" style="655" customWidth="1"/>
    <col min="6860" max="6860" width="11" style="655" customWidth="1"/>
    <col min="6861" max="6861" width="9.109375" style="655"/>
    <col min="6862" max="6862" width="11.5546875" style="655" customWidth="1"/>
    <col min="6863" max="6863" width="11.21875" style="655" customWidth="1"/>
    <col min="6864" max="6864" width="2.88671875" style="655" customWidth="1"/>
    <col min="6865" max="6866" width="9.109375" style="655"/>
    <col min="6867" max="6867" width="11.21875" style="655" customWidth="1"/>
    <col min="6868" max="6868" width="2.21875" style="655" customWidth="1"/>
    <col min="6869" max="6869" width="9.109375" style="655"/>
    <col min="6870" max="6870" width="10.44140625" style="655" customWidth="1"/>
    <col min="6871" max="6871" width="9.109375" style="655"/>
    <col min="6872" max="6872" width="11.109375" style="655" customWidth="1"/>
    <col min="6873" max="6874" width="9.109375" style="655"/>
    <col min="6875" max="6875" width="10.88671875" style="655" customWidth="1"/>
    <col min="6876" max="6877" width="9.109375" style="655"/>
    <col min="6878" max="6878" width="1.5546875" style="655" customWidth="1"/>
    <col min="6879" max="6879" width="9.77734375" style="655" customWidth="1"/>
    <col min="6880" max="6883" width="9.109375" style="655"/>
    <col min="6884" max="6884" width="1.88671875" style="655" customWidth="1"/>
    <col min="6885" max="6885" width="9.88671875" style="655" customWidth="1"/>
    <col min="6886" max="6886" width="1.5546875" style="655" customWidth="1"/>
    <col min="6887" max="6887" width="11.44140625" style="655" customWidth="1"/>
    <col min="6888" max="6888" width="2.21875" style="655" customWidth="1"/>
    <col min="6889" max="6889" width="12" style="655" customWidth="1"/>
    <col min="6890" max="6890" width="2" style="655" customWidth="1"/>
    <col min="6891" max="6891" width="9.109375" style="655"/>
    <col min="6892" max="6892" width="11.109375" style="655" customWidth="1"/>
    <col min="6893" max="6893" width="12" style="655" customWidth="1"/>
    <col min="6894" max="6894" width="9.109375" style="655"/>
    <col min="6895" max="6895" width="11.88671875" style="655" customWidth="1"/>
    <col min="6896" max="6896" width="14.21875" style="655" customWidth="1"/>
    <col min="6897" max="6900" width="9.109375" style="655"/>
    <col min="6901" max="6901" width="3.44140625" style="655" customWidth="1"/>
    <col min="6902" max="6903" width="9.109375" style="655"/>
    <col min="6904" max="6904" width="11.44140625" style="655" customWidth="1"/>
    <col min="6905" max="6905" width="2.77734375" style="655" customWidth="1"/>
    <col min="6906" max="7088" width="9.109375" style="655"/>
    <col min="7089" max="7089" width="9.5546875" style="655" customWidth="1"/>
    <col min="7090" max="7090" width="11" style="655" customWidth="1"/>
    <col min="7091" max="7092" width="11.21875" style="655" customWidth="1"/>
    <col min="7093" max="7093" width="11.5546875" style="655" customWidth="1"/>
    <col min="7094" max="7094" width="11.109375" style="655" customWidth="1"/>
    <col min="7095" max="7095" width="2" style="655" customWidth="1"/>
    <col min="7096" max="7096" width="13.5546875" style="655" customWidth="1"/>
    <col min="7097" max="7097" width="12.44140625" style="655" customWidth="1"/>
    <col min="7098" max="7098" width="13.5546875" style="655" customWidth="1"/>
    <col min="7099" max="7099" width="2.109375" style="655" customWidth="1"/>
    <col min="7100" max="7100" width="9.109375" style="655"/>
    <col min="7101" max="7101" width="10.21875" style="655" customWidth="1"/>
    <col min="7102" max="7102" width="1.88671875" style="655" customWidth="1"/>
    <col min="7103" max="7103" width="10.77734375" style="655" customWidth="1"/>
    <col min="7104" max="7104" width="9.109375" style="655"/>
    <col min="7105" max="7105" width="2.109375" style="655" customWidth="1"/>
    <col min="7106" max="7106" width="9.109375" style="655"/>
    <col min="7107" max="7107" width="11.21875" style="655" customWidth="1"/>
    <col min="7108" max="7108" width="12.77734375" style="655" customWidth="1"/>
    <col min="7109" max="7109" width="12.5546875" style="655" customWidth="1"/>
    <col min="7110" max="7110" width="2" style="655" customWidth="1"/>
    <col min="7111" max="7112" width="9.109375" style="655"/>
    <col min="7113" max="7113" width="11" style="655" customWidth="1"/>
    <col min="7114" max="7114" width="9.109375" style="655"/>
    <col min="7115" max="7115" width="2.21875" style="655" customWidth="1"/>
    <col min="7116" max="7116" width="11" style="655" customWidth="1"/>
    <col min="7117" max="7117" width="9.109375" style="655"/>
    <col min="7118" max="7118" width="11.5546875" style="655" customWidth="1"/>
    <col min="7119" max="7119" width="11.21875" style="655" customWidth="1"/>
    <col min="7120" max="7120" width="2.88671875" style="655" customWidth="1"/>
    <col min="7121" max="7122" width="9.109375" style="655"/>
    <col min="7123" max="7123" width="11.21875" style="655" customWidth="1"/>
    <col min="7124" max="7124" width="2.21875" style="655" customWidth="1"/>
    <col min="7125" max="7125" width="9.109375" style="655"/>
    <col min="7126" max="7126" width="10.44140625" style="655" customWidth="1"/>
    <col min="7127" max="7127" width="9.109375" style="655"/>
    <col min="7128" max="7128" width="11.109375" style="655" customWidth="1"/>
    <col min="7129" max="7130" width="9.109375" style="655"/>
    <col min="7131" max="7131" width="10.88671875" style="655" customWidth="1"/>
    <col min="7132" max="7133" width="9.109375" style="655"/>
    <col min="7134" max="7134" width="1.5546875" style="655" customWidth="1"/>
    <col min="7135" max="7135" width="9.77734375" style="655" customWidth="1"/>
    <col min="7136" max="7139" width="9.109375" style="655"/>
    <col min="7140" max="7140" width="1.88671875" style="655" customWidth="1"/>
    <col min="7141" max="7141" width="9.88671875" style="655" customWidth="1"/>
    <col min="7142" max="7142" width="1.5546875" style="655" customWidth="1"/>
    <col min="7143" max="7143" width="11.44140625" style="655" customWidth="1"/>
    <col min="7144" max="7144" width="2.21875" style="655" customWidth="1"/>
    <col min="7145" max="7145" width="12" style="655" customWidth="1"/>
    <col min="7146" max="7146" width="2" style="655" customWidth="1"/>
    <col min="7147" max="7147" width="9.109375" style="655"/>
    <col min="7148" max="7148" width="11.109375" style="655" customWidth="1"/>
    <col min="7149" max="7149" width="12" style="655" customWidth="1"/>
    <col min="7150" max="7150" width="9.109375" style="655"/>
    <col min="7151" max="7151" width="11.88671875" style="655" customWidth="1"/>
    <col min="7152" max="7152" width="14.21875" style="655" customWidth="1"/>
    <col min="7153" max="7156" width="9.109375" style="655"/>
    <col min="7157" max="7157" width="3.44140625" style="655" customWidth="1"/>
    <col min="7158" max="7159" width="9.109375" style="655"/>
    <col min="7160" max="7160" width="11.44140625" style="655" customWidth="1"/>
    <col min="7161" max="7161" width="2.77734375" style="655" customWidth="1"/>
    <col min="7162" max="7344" width="9.109375" style="655"/>
    <col min="7345" max="7345" width="9.5546875" style="655" customWidth="1"/>
    <col min="7346" max="7346" width="11" style="655" customWidth="1"/>
    <col min="7347" max="7348" width="11.21875" style="655" customWidth="1"/>
    <col min="7349" max="7349" width="11.5546875" style="655" customWidth="1"/>
    <col min="7350" max="7350" width="11.109375" style="655" customWidth="1"/>
    <col min="7351" max="7351" width="2" style="655" customWidth="1"/>
    <col min="7352" max="7352" width="13.5546875" style="655" customWidth="1"/>
    <col min="7353" max="7353" width="12.44140625" style="655" customWidth="1"/>
    <col min="7354" max="7354" width="13.5546875" style="655" customWidth="1"/>
    <col min="7355" max="7355" width="2.109375" style="655" customWidth="1"/>
    <col min="7356" max="7356" width="9.109375" style="655"/>
    <col min="7357" max="7357" width="10.21875" style="655" customWidth="1"/>
    <col min="7358" max="7358" width="1.88671875" style="655" customWidth="1"/>
    <col min="7359" max="7359" width="10.77734375" style="655" customWidth="1"/>
    <col min="7360" max="7360" width="9.109375" style="655"/>
    <col min="7361" max="7361" width="2.109375" style="655" customWidth="1"/>
    <col min="7362" max="7362" width="9.109375" style="655"/>
    <col min="7363" max="7363" width="11.21875" style="655" customWidth="1"/>
    <col min="7364" max="7364" width="12.77734375" style="655" customWidth="1"/>
    <col min="7365" max="7365" width="12.5546875" style="655" customWidth="1"/>
    <col min="7366" max="7366" width="2" style="655" customWidth="1"/>
    <col min="7367" max="7368" width="9.109375" style="655"/>
    <col min="7369" max="7369" width="11" style="655" customWidth="1"/>
    <col min="7370" max="7370" width="9.109375" style="655"/>
    <col min="7371" max="7371" width="2.21875" style="655" customWidth="1"/>
    <col min="7372" max="7372" width="11" style="655" customWidth="1"/>
    <col min="7373" max="7373" width="9.109375" style="655"/>
    <col min="7374" max="7374" width="11.5546875" style="655" customWidth="1"/>
    <col min="7375" max="7375" width="11.21875" style="655" customWidth="1"/>
    <col min="7376" max="7376" width="2.88671875" style="655" customWidth="1"/>
    <col min="7377" max="7378" width="9.109375" style="655"/>
    <col min="7379" max="7379" width="11.21875" style="655" customWidth="1"/>
    <col min="7380" max="7380" width="2.21875" style="655" customWidth="1"/>
    <col min="7381" max="7381" width="9.109375" style="655"/>
    <col min="7382" max="7382" width="10.44140625" style="655" customWidth="1"/>
    <col min="7383" max="7383" width="9.109375" style="655"/>
    <col min="7384" max="7384" width="11.109375" style="655" customWidth="1"/>
    <col min="7385" max="7386" width="9.109375" style="655"/>
    <col min="7387" max="7387" width="10.88671875" style="655" customWidth="1"/>
    <col min="7388" max="7389" width="9.109375" style="655"/>
    <col min="7390" max="7390" width="1.5546875" style="655" customWidth="1"/>
    <col min="7391" max="7391" width="9.77734375" style="655" customWidth="1"/>
    <col min="7392" max="7395" width="9.109375" style="655"/>
    <col min="7396" max="7396" width="1.88671875" style="655" customWidth="1"/>
    <col min="7397" max="7397" width="9.88671875" style="655" customWidth="1"/>
    <col min="7398" max="7398" width="1.5546875" style="655" customWidth="1"/>
    <col min="7399" max="7399" width="11.44140625" style="655" customWidth="1"/>
    <col min="7400" max="7400" width="2.21875" style="655" customWidth="1"/>
    <col min="7401" max="7401" width="12" style="655" customWidth="1"/>
    <col min="7402" max="7402" width="2" style="655" customWidth="1"/>
    <col min="7403" max="7403" width="9.109375" style="655"/>
    <col min="7404" max="7404" width="11.109375" style="655" customWidth="1"/>
    <col min="7405" max="7405" width="12" style="655" customWidth="1"/>
    <col min="7406" max="7406" width="9.109375" style="655"/>
    <col min="7407" max="7407" width="11.88671875" style="655" customWidth="1"/>
    <col min="7408" max="7408" width="14.21875" style="655" customWidth="1"/>
    <col min="7409" max="7412" width="9.109375" style="655"/>
    <col min="7413" max="7413" width="3.44140625" style="655" customWidth="1"/>
    <col min="7414" max="7415" width="9.109375" style="655"/>
    <col min="7416" max="7416" width="11.44140625" style="655" customWidth="1"/>
    <col min="7417" max="7417" width="2.77734375" style="655" customWidth="1"/>
    <col min="7418" max="7600" width="9.109375" style="655"/>
    <col min="7601" max="7601" width="9.5546875" style="655" customWidth="1"/>
    <col min="7602" max="7602" width="11" style="655" customWidth="1"/>
    <col min="7603" max="7604" width="11.21875" style="655" customWidth="1"/>
    <col min="7605" max="7605" width="11.5546875" style="655" customWidth="1"/>
    <col min="7606" max="7606" width="11.109375" style="655" customWidth="1"/>
    <col min="7607" max="7607" width="2" style="655" customWidth="1"/>
    <col min="7608" max="7608" width="13.5546875" style="655" customWidth="1"/>
    <col min="7609" max="7609" width="12.44140625" style="655" customWidth="1"/>
    <col min="7610" max="7610" width="13.5546875" style="655" customWidth="1"/>
    <col min="7611" max="7611" width="2.109375" style="655" customWidth="1"/>
    <col min="7612" max="7612" width="9.109375" style="655"/>
    <col min="7613" max="7613" width="10.21875" style="655" customWidth="1"/>
    <col min="7614" max="7614" width="1.88671875" style="655" customWidth="1"/>
    <col min="7615" max="7615" width="10.77734375" style="655" customWidth="1"/>
    <col min="7616" max="7616" width="9.109375" style="655"/>
    <col min="7617" max="7617" width="2.109375" style="655" customWidth="1"/>
    <col min="7618" max="7618" width="9.109375" style="655"/>
    <col min="7619" max="7619" width="11.21875" style="655" customWidth="1"/>
    <col min="7620" max="7620" width="12.77734375" style="655" customWidth="1"/>
    <col min="7621" max="7621" width="12.5546875" style="655" customWidth="1"/>
    <col min="7622" max="7622" width="2" style="655" customWidth="1"/>
    <col min="7623" max="7624" width="9.109375" style="655"/>
    <col min="7625" max="7625" width="11" style="655" customWidth="1"/>
    <col min="7626" max="7626" width="9.109375" style="655"/>
    <col min="7627" max="7627" width="2.21875" style="655" customWidth="1"/>
    <col min="7628" max="7628" width="11" style="655" customWidth="1"/>
    <col min="7629" max="7629" width="9.109375" style="655"/>
    <col min="7630" max="7630" width="11.5546875" style="655" customWidth="1"/>
    <col min="7631" max="7631" width="11.21875" style="655" customWidth="1"/>
    <col min="7632" max="7632" width="2.88671875" style="655" customWidth="1"/>
    <col min="7633" max="7634" width="9.109375" style="655"/>
    <col min="7635" max="7635" width="11.21875" style="655" customWidth="1"/>
    <col min="7636" max="7636" width="2.21875" style="655" customWidth="1"/>
    <col min="7637" max="7637" width="9.109375" style="655"/>
    <col min="7638" max="7638" width="10.44140625" style="655" customWidth="1"/>
    <col min="7639" max="7639" width="9.109375" style="655"/>
    <col min="7640" max="7640" width="11.109375" style="655" customWidth="1"/>
    <col min="7641" max="7642" width="9.109375" style="655"/>
    <col min="7643" max="7643" width="10.88671875" style="655" customWidth="1"/>
    <col min="7644" max="7645" width="9.109375" style="655"/>
    <col min="7646" max="7646" width="1.5546875" style="655" customWidth="1"/>
    <col min="7647" max="7647" width="9.77734375" style="655" customWidth="1"/>
    <col min="7648" max="7651" width="9.109375" style="655"/>
    <col min="7652" max="7652" width="1.88671875" style="655" customWidth="1"/>
    <col min="7653" max="7653" width="9.88671875" style="655" customWidth="1"/>
    <col min="7654" max="7654" width="1.5546875" style="655" customWidth="1"/>
    <col min="7655" max="7655" width="11.44140625" style="655" customWidth="1"/>
    <col min="7656" max="7656" width="2.21875" style="655" customWidth="1"/>
    <col min="7657" max="7657" width="12" style="655" customWidth="1"/>
    <col min="7658" max="7658" width="2" style="655" customWidth="1"/>
    <col min="7659" max="7659" width="9.109375" style="655"/>
    <col min="7660" max="7660" width="11.109375" style="655" customWidth="1"/>
    <col min="7661" max="7661" width="12" style="655" customWidth="1"/>
    <col min="7662" max="7662" width="9.109375" style="655"/>
    <col min="7663" max="7663" width="11.88671875" style="655" customWidth="1"/>
    <col min="7664" max="7664" width="14.21875" style="655" customWidth="1"/>
    <col min="7665" max="7668" width="9.109375" style="655"/>
    <col min="7669" max="7669" width="3.44140625" style="655" customWidth="1"/>
    <col min="7670" max="7671" width="9.109375" style="655"/>
    <col min="7672" max="7672" width="11.44140625" style="655" customWidth="1"/>
    <col min="7673" max="7673" width="2.77734375" style="655" customWidth="1"/>
    <col min="7674" max="7856" width="9.109375" style="655"/>
    <col min="7857" max="7857" width="9.5546875" style="655" customWidth="1"/>
    <col min="7858" max="7858" width="11" style="655" customWidth="1"/>
    <col min="7859" max="7860" width="11.21875" style="655" customWidth="1"/>
    <col min="7861" max="7861" width="11.5546875" style="655" customWidth="1"/>
    <col min="7862" max="7862" width="11.109375" style="655" customWidth="1"/>
    <col min="7863" max="7863" width="2" style="655" customWidth="1"/>
    <col min="7864" max="7864" width="13.5546875" style="655" customWidth="1"/>
    <col min="7865" max="7865" width="12.44140625" style="655" customWidth="1"/>
    <col min="7866" max="7866" width="13.5546875" style="655" customWidth="1"/>
    <col min="7867" max="7867" width="2.109375" style="655" customWidth="1"/>
    <col min="7868" max="7868" width="9.109375" style="655"/>
    <col min="7869" max="7869" width="10.21875" style="655" customWidth="1"/>
    <col min="7870" max="7870" width="1.88671875" style="655" customWidth="1"/>
    <col min="7871" max="7871" width="10.77734375" style="655" customWidth="1"/>
    <col min="7872" max="7872" width="9.109375" style="655"/>
    <col min="7873" max="7873" width="2.109375" style="655" customWidth="1"/>
    <col min="7874" max="7874" width="9.109375" style="655"/>
    <col min="7875" max="7875" width="11.21875" style="655" customWidth="1"/>
    <col min="7876" max="7876" width="12.77734375" style="655" customWidth="1"/>
    <col min="7877" max="7877" width="12.5546875" style="655" customWidth="1"/>
    <col min="7878" max="7878" width="2" style="655" customWidth="1"/>
    <col min="7879" max="7880" width="9.109375" style="655"/>
    <col min="7881" max="7881" width="11" style="655" customWidth="1"/>
    <col min="7882" max="7882" width="9.109375" style="655"/>
    <col min="7883" max="7883" width="2.21875" style="655" customWidth="1"/>
    <col min="7884" max="7884" width="11" style="655" customWidth="1"/>
    <col min="7885" max="7885" width="9.109375" style="655"/>
    <col min="7886" max="7886" width="11.5546875" style="655" customWidth="1"/>
    <col min="7887" max="7887" width="11.21875" style="655" customWidth="1"/>
    <col min="7888" max="7888" width="2.88671875" style="655" customWidth="1"/>
    <col min="7889" max="7890" width="9.109375" style="655"/>
    <col min="7891" max="7891" width="11.21875" style="655" customWidth="1"/>
    <col min="7892" max="7892" width="2.21875" style="655" customWidth="1"/>
    <col min="7893" max="7893" width="9.109375" style="655"/>
    <col min="7894" max="7894" width="10.44140625" style="655" customWidth="1"/>
    <col min="7895" max="7895" width="9.109375" style="655"/>
    <col min="7896" max="7896" width="11.109375" style="655" customWidth="1"/>
    <col min="7897" max="7898" width="9.109375" style="655"/>
    <col min="7899" max="7899" width="10.88671875" style="655" customWidth="1"/>
    <col min="7900" max="7901" width="9.109375" style="655"/>
    <col min="7902" max="7902" width="1.5546875" style="655" customWidth="1"/>
    <col min="7903" max="7903" width="9.77734375" style="655" customWidth="1"/>
    <col min="7904" max="7907" width="9.109375" style="655"/>
    <col min="7908" max="7908" width="1.88671875" style="655" customWidth="1"/>
    <col min="7909" max="7909" width="9.88671875" style="655" customWidth="1"/>
    <col min="7910" max="7910" width="1.5546875" style="655" customWidth="1"/>
    <col min="7911" max="7911" width="11.44140625" style="655" customWidth="1"/>
    <col min="7912" max="7912" width="2.21875" style="655" customWidth="1"/>
    <col min="7913" max="7913" width="12" style="655" customWidth="1"/>
    <col min="7914" max="7914" width="2" style="655" customWidth="1"/>
    <col min="7915" max="7915" width="9.109375" style="655"/>
    <col min="7916" max="7916" width="11.109375" style="655" customWidth="1"/>
    <col min="7917" max="7917" width="12" style="655" customWidth="1"/>
    <col min="7918" max="7918" width="9.109375" style="655"/>
    <col min="7919" max="7919" width="11.88671875" style="655" customWidth="1"/>
    <col min="7920" max="7920" width="14.21875" style="655" customWidth="1"/>
    <col min="7921" max="7924" width="9.109375" style="655"/>
    <col min="7925" max="7925" width="3.44140625" style="655" customWidth="1"/>
    <col min="7926" max="7927" width="9.109375" style="655"/>
    <col min="7928" max="7928" width="11.44140625" style="655" customWidth="1"/>
    <col min="7929" max="7929" width="2.77734375" style="655" customWidth="1"/>
    <col min="7930" max="8112" width="9.109375" style="655"/>
    <col min="8113" max="8113" width="9.5546875" style="655" customWidth="1"/>
    <col min="8114" max="8114" width="11" style="655" customWidth="1"/>
    <col min="8115" max="8116" width="11.21875" style="655" customWidth="1"/>
    <col min="8117" max="8117" width="11.5546875" style="655" customWidth="1"/>
    <col min="8118" max="8118" width="11.109375" style="655" customWidth="1"/>
    <col min="8119" max="8119" width="2" style="655" customWidth="1"/>
    <col min="8120" max="8120" width="13.5546875" style="655" customWidth="1"/>
    <col min="8121" max="8121" width="12.44140625" style="655" customWidth="1"/>
    <col min="8122" max="8122" width="13.5546875" style="655" customWidth="1"/>
    <col min="8123" max="8123" width="2.109375" style="655" customWidth="1"/>
    <col min="8124" max="8124" width="9.109375" style="655"/>
    <col min="8125" max="8125" width="10.21875" style="655" customWidth="1"/>
    <col min="8126" max="8126" width="1.88671875" style="655" customWidth="1"/>
    <col min="8127" max="8127" width="10.77734375" style="655" customWidth="1"/>
    <col min="8128" max="8128" width="9.109375" style="655"/>
    <col min="8129" max="8129" width="2.109375" style="655" customWidth="1"/>
    <col min="8130" max="8130" width="9.109375" style="655"/>
    <col min="8131" max="8131" width="11.21875" style="655" customWidth="1"/>
    <col min="8132" max="8132" width="12.77734375" style="655" customWidth="1"/>
    <col min="8133" max="8133" width="12.5546875" style="655" customWidth="1"/>
    <col min="8134" max="8134" width="2" style="655" customWidth="1"/>
    <col min="8135" max="8136" width="9.109375" style="655"/>
    <col min="8137" max="8137" width="11" style="655" customWidth="1"/>
    <col min="8138" max="8138" width="9.109375" style="655"/>
    <col min="8139" max="8139" width="2.21875" style="655" customWidth="1"/>
    <col min="8140" max="8140" width="11" style="655" customWidth="1"/>
    <col min="8141" max="8141" width="9.109375" style="655"/>
    <col min="8142" max="8142" width="11.5546875" style="655" customWidth="1"/>
    <col min="8143" max="8143" width="11.21875" style="655" customWidth="1"/>
    <col min="8144" max="8144" width="2.88671875" style="655" customWidth="1"/>
    <col min="8145" max="8146" width="9.109375" style="655"/>
    <col min="8147" max="8147" width="11.21875" style="655" customWidth="1"/>
    <col min="8148" max="8148" width="2.21875" style="655" customWidth="1"/>
    <col min="8149" max="8149" width="9.109375" style="655"/>
    <col min="8150" max="8150" width="10.44140625" style="655" customWidth="1"/>
    <col min="8151" max="8151" width="9.109375" style="655"/>
    <col min="8152" max="8152" width="11.109375" style="655" customWidth="1"/>
    <col min="8153" max="8154" width="9.109375" style="655"/>
    <col min="8155" max="8155" width="10.88671875" style="655" customWidth="1"/>
    <col min="8156" max="8157" width="9.109375" style="655"/>
    <col min="8158" max="8158" width="1.5546875" style="655" customWidth="1"/>
    <col min="8159" max="8159" width="9.77734375" style="655" customWidth="1"/>
    <col min="8160" max="8163" width="9.109375" style="655"/>
    <col min="8164" max="8164" width="1.88671875" style="655" customWidth="1"/>
    <col min="8165" max="8165" width="9.88671875" style="655" customWidth="1"/>
    <col min="8166" max="8166" width="1.5546875" style="655" customWidth="1"/>
    <col min="8167" max="8167" width="11.44140625" style="655" customWidth="1"/>
    <col min="8168" max="8168" width="2.21875" style="655" customWidth="1"/>
    <col min="8169" max="8169" width="12" style="655" customWidth="1"/>
    <col min="8170" max="8170" width="2" style="655" customWidth="1"/>
    <col min="8171" max="8171" width="9.109375" style="655"/>
    <col min="8172" max="8172" width="11.109375" style="655" customWidth="1"/>
    <col min="8173" max="8173" width="12" style="655" customWidth="1"/>
    <col min="8174" max="8174" width="9.109375" style="655"/>
    <col min="8175" max="8175" width="11.88671875" style="655" customWidth="1"/>
    <col min="8176" max="8176" width="14.21875" style="655" customWidth="1"/>
    <col min="8177" max="8180" width="9.109375" style="655"/>
    <col min="8181" max="8181" width="3.44140625" style="655" customWidth="1"/>
    <col min="8182" max="8183" width="9.109375" style="655"/>
    <col min="8184" max="8184" width="11.44140625" style="655" customWidth="1"/>
    <col min="8185" max="8185" width="2.77734375" style="655" customWidth="1"/>
    <col min="8186" max="8368" width="9.109375" style="655"/>
    <col min="8369" max="8369" width="9.5546875" style="655" customWidth="1"/>
    <col min="8370" max="8370" width="11" style="655" customWidth="1"/>
    <col min="8371" max="8372" width="11.21875" style="655" customWidth="1"/>
    <col min="8373" max="8373" width="11.5546875" style="655" customWidth="1"/>
    <col min="8374" max="8374" width="11.109375" style="655" customWidth="1"/>
    <col min="8375" max="8375" width="2" style="655" customWidth="1"/>
    <col min="8376" max="8376" width="13.5546875" style="655" customWidth="1"/>
    <col min="8377" max="8377" width="12.44140625" style="655" customWidth="1"/>
    <col min="8378" max="8378" width="13.5546875" style="655" customWidth="1"/>
    <col min="8379" max="8379" width="2.109375" style="655" customWidth="1"/>
    <col min="8380" max="8380" width="9.109375" style="655"/>
    <col min="8381" max="8381" width="10.21875" style="655" customWidth="1"/>
    <col min="8382" max="8382" width="1.88671875" style="655" customWidth="1"/>
    <col min="8383" max="8383" width="10.77734375" style="655" customWidth="1"/>
    <col min="8384" max="8384" width="9.109375" style="655"/>
    <col min="8385" max="8385" width="2.109375" style="655" customWidth="1"/>
    <col min="8386" max="8386" width="9.109375" style="655"/>
    <col min="8387" max="8387" width="11.21875" style="655" customWidth="1"/>
    <col min="8388" max="8388" width="12.77734375" style="655" customWidth="1"/>
    <col min="8389" max="8389" width="12.5546875" style="655" customWidth="1"/>
    <col min="8390" max="8390" width="2" style="655" customWidth="1"/>
    <col min="8391" max="8392" width="9.109375" style="655"/>
    <col min="8393" max="8393" width="11" style="655" customWidth="1"/>
    <col min="8394" max="8394" width="9.109375" style="655"/>
    <col min="8395" max="8395" width="2.21875" style="655" customWidth="1"/>
    <col min="8396" max="8396" width="11" style="655" customWidth="1"/>
    <col min="8397" max="8397" width="9.109375" style="655"/>
    <col min="8398" max="8398" width="11.5546875" style="655" customWidth="1"/>
    <col min="8399" max="8399" width="11.21875" style="655" customWidth="1"/>
    <col min="8400" max="8400" width="2.88671875" style="655" customWidth="1"/>
    <col min="8401" max="8402" width="9.109375" style="655"/>
    <col min="8403" max="8403" width="11.21875" style="655" customWidth="1"/>
    <col min="8404" max="8404" width="2.21875" style="655" customWidth="1"/>
    <col min="8405" max="8405" width="9.109375" style="655"/>
    <col min="8406" max="8406" width="10.44140625" style="655" customWidth="1"/>
    <col min="8407" max="8407" width="9.109375" style="655"/>
    <col min="8408" max="8408" width="11.109375" style="655" customWidth="1"/>
    <col min="8409" max="8410" width="9.109375" style="655"/>
    <col min="8411" max="8411" width="10.88671875" style="655" customWidth="1"/>
    <col min="8412" max="8413" width="9.109375" style="655"/>
    <col min="8414" max="8414" width="1.5546875" style="655" customWidth="1"/>
    <col min="8415" max="8415" width="9.77734375" style="655" customWidth="1"/>
    <col min="8416" max="8419" width="9.109375" style="655"/>
    <col min="8420" max="8420" width="1.88671875" style="655" customWidth="1"/>
    <col min="8421" max="8421" width="9.88671875" style="655" customWidth="1"/>
    <col min="8422" max="8422" width="1.5546875" style="655" customWidth="1"/>
    <col min="8423" max="8423" width="11.44140625" style="655" customWidth="1"/>
    <col min="8424" max="8424" width="2.21875" style="655" customWidth="1"/>
    <col min="8425" max="8425" width="12" style="655" customWidth="1"/>
    <col min="8426" max="8426" width="2" style="655" customWidth="1"/>
    <col min="8427" max="8427" width="9.109375" style="655"/>
    <col min="8428" max="8428" width="11.109375" style="655" customWidth="1"/>
    <col min="8429" max="8429" width="12" style="655" customWidth="1"/>
    <col min="8430" max="8430" width="9.109375" style="655"/>
    <col min="8431" max="8431" width="11.88671875" style="655" customWidth="1"/>
    <col min="8432" max="8432" width="14.21875" style="655" customWidth="1"/>
    <col min="8433" max="8436" width="9.109375" style="655"/>
    <col min="8437" max="8437" width="3.44140625" style="655" customWidth="1"/>
    <col min="8438" max="8439" width="9.109375" style="655"/>
    <col min="8440" max="8440" width="11.44140625" style="655" customWidth="1"/>
    <col min="8441" max="8441" width="2.77734375" style="655" customWidth="1"/>
    <col min="8442" max="8624" width="9.109375" style="655"/>
    <col min="8625" max="8625" width="9.5546875" style="655" customWidth="1"/>
    <col min="8626" max="8626" width="11" style="655" customWidth="1"/>
    <col min="8627" max="8628" width="11.21875" style="655" customWidth="1"/>
    <col min="8629" max="8629" width="11.5546875" style="655" customWidth="1"/>
    <col min="8630" max="8630" width="11.109375" style="655" customWidth="1"/>
    <col min="8631" max="8631" width="2" style="655" customWidth="1"/>
    <col min="8632" max="8632" width="13.5546875" style="655" customWidth="1"/>
    <col min="8633" max="8633" width="12.44140625" style="655" customWidth="1"/>
    <col min="8634" max="8634" width="13.5546875" style="655" customWidth="1"/>
    <col min="8635" max="8635" width="2.109375" style="655" customWidth="1"/>
    <col min="8636" max="8636" width="9.109375" style="655"/>
    <col min="8637" max="8637" width="10.21875" style="655" customWidth="1"/>
    <col min="8638" max="8638" width="1.88671875" style="655" customWidth="1"/>
    <col min="8639" max="8639" width="10.77734375" style="655" customWidth="1"/>
    <col min="8640" max="8640" width="9.109375" style="655"/>
    <col min="8641" max="8641" width="2.109375" style="655" customWidth="1"/>
    <col min="8642" max="8642" width="9.109375" style="655"/>
    <col min="8643" max="8643" width="11.21875" style="655" customWidth="1"/>
    <col min="8644" max="8644" width="12.77734375" style="655" customWidth="1"/>
    <col min="8645" max="8645" width="12.5546875" style="655" customWidth="1"/>
    <col min="8646" max="8646" width="2" style="655" customWidth="1"/>
    <col min="8647" max="8648" width="9.109375" style="655"/>
    <col min="8649" max="8649" width="11" style="655" customWidth="1"/>
    <col min="8650" max="8650" width="9.109375" style="655"/>
    <col min="8651" max="8651" width="2.21875" style="655" customWidth="1"/>
    <col min="8652" max="8652" width="11" style="655" customWidth="1"/>
    <col min="8653" max="8653" width="9.109375" style="655"/>
    <col min="8654" max="8654" width="11.5546875" style="655" customWidth="1"/>
    <col min="8655" max="8655" width="11.21875" style="655" customWidth="1"/>
    <col min="8656" max="8656" width="2.88671875" style="655" customWidth="1"/>
    <col min="8657" max="8658" width="9.109375" style="655"/>
    <col min="8659" max="8659" width="11.21875" style="655" customWidth="1"/>
    <col min="8660" max="8660" width="2.21875" style="655" customWidth="1"/>
    <col min="8661" max="8661" width="9.109375" style="655"/>
    <col min="8662" max="8662" width="10.44140625" style="655" customWidth="1"/>
    <col min="8663" max="8663" width="9.109375" style="655"/>
    <col min="8664" max="8664" width="11.109375" style="655" customWidth="1"/>
    <col min="8665" max="8666" width="9.109375" style="655"/>
    <col min="8667" max="8667" width="10.88671875" style="655" customWidth="1"/>
    <col min="8668" max="8669" width="9.109375" style="655"/>
    <col min="8670" max="8670" width="1.5546875" style="655" customWidth="1"/>
    <col min="8671" max="8671" width="9.77734375" style="655" customWidth="1"/>
    <col min="8672" max="8675" width="9.109375" style="655"/>
    <col min="8676" max="8676" width="1.88671875" style="655" customWidth="1"/>
    <col min="8677" max="8677" width="9.88671875" style="655" customWidth="1"/>
    <col min="8678" max="8678" width="1.5546875" style="655" customWidth="1"/>
    <col min="8679" max="8679" width="11.44140625" style="655" customWidth="1"/>
    <col min="8680" max="8680" width="2.21875" style="655" customWidth="1"/>
    <col min="8681" max="8681" width="12" style="655" customWidth="1"/>
    <col min="8682" max="8682" width="2" style="655" customWidth="1"/>
    <col min="8683" max="8683" width="9.109375" style="655"/>
    <col min="8684" max="8684" width="11.109375" style="655" customWidth="1"/>
    <col min="8685" max="8685" width="12" style="655" customWidth="1"/>
    <col min="8686" max="8686" width="9.109375" style="655"/>
    <col min="8687" max="8687" width="11.88671875" style="655" customWidth="1"/>
    <col min="8688" max="8688" width="14.21875" style="655" customWidth="1"/>
    <col min="8689" max="8692" width="9.109375" style="655"/>
    <col min="8693" max="8693" width="3.44140625" style="655" customWidth="1"/>
    <col min="8694" max="8695" width="9.109375" style="655"/>
    <col min="8696" max="8696" width="11.44140625" style="655" customWidth="1"/>
    <col min="8697" max="8697" width="2.77734375" style="655" customWidth="1"/>
    <col min="8698" max="8880" width="9.109375" style="655"/>
    <col min="8881" max="8881" width="9.5546875" style="655" customWidth="1"/>
    <col min="8882" max="8882" width="11" style="655" customWidth="1"/>
    <col min="8883" max="8884" width="11.21875" style="655" customWidth="1"/>
    <col min="8885" max="8885" width="11.5546875" style="655" customWidth="1"/>
    <col min="8886" max="8886" width="11.109375" style="655" customWidth="1"/>
    <col min="8887" max="8887" width="2" style="655" customWidth="1"/>
    <col min="8888" max="8888" width="13.5546875" style="655" customWidth="1"/>
    <col min="8889" max="8889" width="12.44140625" style="655" customWidth="1"/>
    <col min="8890" max="8890" width="13.5546875" style="655" customWidth="1"/>
    <col min="8891" max="8891" width="2.109375" style="655" customWidth="1"/>
    <col min="8892" max="8892" width="9.109375" style="655"/>
    <col min="8893" max="8893" width="10.21875" style="655" customWidth="1"/>
    <col min="8894" max="8894" width="1.88671875" style="655" customWidth="1"/>
    <col min="8895" max="8895" width="10.77734375" style="655" customWidth="1"/>
    <col min="8896" max="8896" width="9.109375" style="655"/>
    <col min="8897" max="8897" width="2.109375" style="655" customWidth="1"/>
    <col min="8898" max="8898" width="9.109375" style="655"/>
    <col min="8899" max="8899" width="11.21875" style="655" customWidth="1"/>
    <col min="8900" max="8900" width="12.77734375" style="655" customWidth="1"/>
    <col min="8901" max="8901" width="12.5546875" style="655" customWidth="1"/>
    <col min="8902" max="8902" width="2" style="655" customWidth="1"/>
    <col min="8903" max="8904" width="9.109375" style="655"/>
    <col min="8905" max="8905" width="11" style="655" customWidth="1"/>
    <col min="8906" max="8906" width="9.109375" style="655"/>
    <col min="8907" max="8907" width="2.21875" style="655" customWidth="1"/>
    <col min="8908" max="8908" width="11" style="655" customWidth="1"/>
    <col min="8909" max="8909" width="9.109375" style="655"/>
    <col min="8910" max="8910" width="11.5546875" style="655" customWidth="1"/>
    <col min="8911" max="8911" width="11.21875" style="655" customWidth="1"/>
    <col min="8912" max="8912" width="2.88671875" style="655" customWidth="1"/>
    <col min="8913" max="8914" width="9.109375" style="655"/>
    <col min="8915" max="8915" width="11.21875" style="655" customWidth="1"/>
    <col min="8916" max="8916" width="2.21875" style="655" customWidth="1"/>
    <col min="8917" max="8917" width="9.109375" style="655"/>
    <col min="8918" max="8918" width="10.44140625" style="655" customWidth="1"/>
    <col min="8919" max="8919" width="9.109375" style="655"/>
    <col min="8920" max="8920" width="11.109375" style="655" customWidth="1"/>
    <col min="8921" max="8922" width="9.109375" style="655"/>
    <col min="8923" max="8923" width="10.88671875" style="655" customWidth="1"/>
    <col min="8924" max="8925" width="9.109375" style="655"/>
    <col min="8926" max="8926" width="1.5546875" style="655" customWidth="1"/>
    <col min="8927" max="8927" width="9.77734375" style="655" customWidth="1"/>
    <col min="8928" max="8931" width="9.109375" style="655"/>
    <col min="8932" max="8932" width="1.88671875" style="655" customWidth="1"/>
    <col min="8933" max="8933" width="9.88671875" style="655" customWidth="1"/>
    <col min="8934" max="8934" width="1.5546875" style="655" customWidth="1"/>
    <col min="8935" max="8935" width="11.44140625" style="655" customWidth="1"/>
    <col min="8936" max="8936" width="2.21875" style="655" customWidth="1"/>
    <col min="8937" max="8937" width="12" style="655" customWidth="1"/>
    <col min="8938" max="8938" width="2" style="655" customWidth="1"/>
    <col min="8939" max="8939" width="9.109375" style="655"/>
    <col min="8940" max="8940" width="11.109375" style="655" customWidth="1"/>
    <col min="8941" max="8941" width="12" style="655" customWidth="1"/>
    <col min="8942" max="8942" width="9.109375" style="655"/>
    <col min="8943" max="8943" width="11.88671875" style="655" customWidth="1"/>
    <col min="8944" max="8944" width="14.21875" style="655" customWidth="1"/>
    <col min="8945" max="8948" width="9.109375" style="655"/>
    <col min="8949" max="8949" width="3.44140625" style="655" customWidth="1"/>
    <col min="8950" max="8951" width="9.109375" style="655"/>
    <col min="8952" max="8952" width="11.44140625" style="655" customWidth="1"/>
    <col min="8953" max="8953" width="2.77734375" style="655" customWidth="1"/>
    <col min="8954" max="9136" width="9.109375" style="655"/>
    <col min="9137" max="9137" width="9.5546875" style="655" customWidth="1"/>
    <col min="9138" max="9138" width="11" style="655" customWidth="1"/>
    <col min="9139" max="9140" width="11.21875" style="655" customWidth="1"/>
    <col min="9141" max="9141" width="11.5546875" style="655" customWidth="1"/>
    <col min="9142" max="9142" width="11.109375" style="655" customWidth="1"/>
    <col min="9143" max="9143" width="2" style="655" customWidth="1"/>
    <col min="9144" max="9144" width="13.5546875" style="655" customWidth="1"/>
    <col min="9145" max="9145" width="12.44140625" style="655" customWidth="1"/>
    <col min="9146" max="9146" width="13.5546875" style="655" customWidth="1"/>
    <col min="9147" max="9147" width="2.109375" style="655" customWidth="1"/>
    <col min="9148" max="9148" width="9.109375" style="655"/>
    <col min="9149" max="9149" width="10.21875" style="655" customWidth="1"/>
    <col min="9150" max="9150" width="1.88671875" style="655" customWidth="1"/>
    <col min="9151" max="9151" width="10.77734375" style="655" customWidth="1"/>
    <col min="9152" max="9152" width="9.109375" style="655"/>
    <col min="9153" max="9153" width="2.109375" style="655" customWidth="1"/>
    <col min="9154" max="9154" width="9.109375" style="655"/>
    <col min="9155" max="9155" width="11.21875" style="655" customWidth="1"/>
    <col min="9156" max="9156" width="12.77734375" style="655" customWidth="1"/>
    <col min="9157" max="9157" width="12.5546875" style="655" customWidth="1"/>
    <col min="9158" max="9158" width="2" style="655" customWidth="1"/>
    <col min="9159" max="9160" width="9.109375" style="655"/>
    <col min="9161" max="9161" width="11" style="655" customWidth="1"/>
    <col min="9162" max="9162" width="9.109375" style="655"/>
    <col min="9163" max="9163" width="2.21875" style="655" customWidth="1"/>
    <col min="9164" max="9164" width="11" style="655" customWidth="1"/>
    <col min="9165" max="9165" width="9.109375" style="655"/>
    <col min="9166" max="9166" width="11.5546875" style="655" customWidth="1"/>
    <col min="9167" max="9167" width="11.21875" style="655" customWidth="1"/>
    <col min="9168" max="9168" width="2.88671875" style="655" customWidth="1"/>
    <col min="9169" max="9170" width="9.109375" style="655"/>
    <col min="9171" max="9171" width="11.21875" style="655" customWidth="1"/>
    <col min="9172" max="9172" width="2.21875" style="655" customWidth="1"/>
    <col min="9173" max="9173" width="9.109375" style="655"/>
    <col min="9174" max="9174" width="10.44140625" style="655" customWidth="1"/>
    <col min="9175" max="9175" width="9.109375" style="655"/>
    <col min="9176" max="9176" width="11.109375" style="655" customWidth="1"/>
    <col min="9177" max="9178" width="9.109375" style="655"/>
    <col min="9179" max="9179" width="10.88671875" style="655" customWidth="1"/>
    <col min="9180" max="9181" width="9.109375" style="655"/>
    <col min="9182" max="9182" width="1.5546875" style="655" customWidth="1"/>
    <col min="9183" max="9183" width="9.77734375" style="655" customWidth="1"/>
    <col min="9184" max="9187" width="9.109375" style="655"/>
    <col min="9188" max="9188" width="1.88671875" style="655" customWidth="1"/>
    <col min="9189" max="9189" width="9.88671875" style="655" customWidth="1"/>
    <col min="9190" max="9190" width="1.5546875" style="655" customWidth="1"/>
    <col min="9191" max="9191" width="11.44140625" style="655" customWidth="1"/>
    <col min="9192" max="9192" width="2.21875" style="655" customWidth="1"/>
    <col min="9193" max="9193" width="12" style="655" customWidth="1"/>
    <col min="9194" max="9194" width="2" style="655" customWidth="1"/>
    <col min="9195" max="9195" width="9.109375" style="655"/>
    <col min="9196" max="9196" width="11.109375" style="655" customWidth="1"/>
    <col min="9197" max="9197" width="12" style="655" customWidth="1"/>
    <col min="9198" max="9198" width="9.109375" style="655"/>
    <col min="9199" max="9199" width="11.88671875" style="655" customWidth="1"/>
    <col min="9200" max="9200" width="14.21875" style="655" customWidth="1"/>
    <col min="9201" max="9204" width="9.109375" style="655"/>
    <col min="9205" max="9205" width="3.44140625" style="655" customWidth="1"/>
    <col min="9206" max="9207" width="9.109375" style="655"/>
    <col min="9208" max="9208" width="11.44140625" style="655" customWidth="1"/>
    <col min="9209" max="9209" width="2.77734375" style="655" customWidth="1"/>
    <col min="9210" max="9392" width="9.109375" style="655"/>
    <col min="9393" max="9393" width="9.5546875" style="655" customWidth="1"/>
    <col min="9394" max="9394" width="11" style="655" customWidth="1"/>
    <col min="9395" max="9396" width="11.21875" style="655" customWidth="1"/>
    <col min="9397" max="9397" width="11.5546875" style="655" customWidth="1"/>
    <col min="9398" max="9398" width="11.109375" style="655" customWidth="1"/>
    <col min="9399" max="9399" width="2" style="655" customWidth="1"/>
    <col min="9400" max="9400" width="13.5546875" style="655" customWidth="1"/>
    <col min="9401" max="9401" width="12.44140625" style="655" customWidth="1"/>
    <col min="9402" max="9402" width="13.5546875" style="655" customWidth="1"/>
    <col min="9403" max="9403" width="2.109375" style="655" customWidth="1"/>
    <col min="9404" max="9404" width="9.109375" style="655"/>
    <col min="9405" max="9405" width="10.21875" style="655" customWidth="1"/>
    <col min="9406" max="9406" width="1.88671875" style="655" customWidth="1"/>
    <col min="9407" max="9407" width="10.77734375" style="655" customWidth="1"/>
    <col min="9408" max="9408" width="9.109375" style="655"/>
    <col min="9409" max="9409" width="2.109375" style="655" customWidth="1"/>
    <col min="9410" max="9410" width="9.109375" style="655"/>
    <col min="9411" max="9411" width="11.21875" style="655" customWidth="1"/>
    <col min="9412" max="9412" width="12.77734375" style="655" customWidth="1"/>
    <col min="9413" max="9413" width="12.5546875" style="655" customWidth="1"/>
    <col min="9414" max="9414" width="2" style="655" customWidth="1"/>
    <col min="9415" max="9416" width="9.109375" style="655"/>
    <col min="9417" max="9417" width="11" style="655" customWidth="1"/>
    <col min="9418" max="9418" width="9.109375" style="655"/>
    <col min="9419" max="9419" width="2.21875" style="655" customWidth="1"/>
    <col min="9420" max="9420" width="11" style="655" customWidth="1"/>
    <col min="9421" max="9421" width="9.109375" style="655"/>
    <col min="9422" max="9422" width="11.5546875" style="655" customWidth="1"/>
    <col min="9423" max="9423" width="11.21875" style="655" customWidth="1"/>
    <col min="9424" max="9424" width="2.88671875" style="655" customWidth="1"/>
    <col min="9425" max="9426" width="9.109375" style="655"/>
    <col min="9427" max="9427" width="11.21875" style="655" customWidth="1"/>
    <col min="9428" max="9428" width="2.21875" style="655" customWidth="1"/>
    <col min="9429" max="9429" width="9.109375" style="655"/>
    <col min="9430" max="9430" width="10.44140625" style="655" customWidth="1"/>
    <col min="9431" max="9431" width="9.109375" style="655"/>
    <col min="9432" max="9432" width="11.109375" style="655" customWidth="1"/>
    <col min="9433" max="9434" width="9.109375" style="655"/>
    <col min="9435" max="9435" width="10.88671875" style="655" customWidth="1"/>
    <col min="9436" max="9437" width="9.109375" style="655"/>
    <col min="9438" max="9438" width="1.5546875" style="655" customWidth="1"/>
    <col min="9439" max="9439" width="9.77734375" style="655" customWidth="1"/>
    <col min="9440" max="9443" width="9.109375" style="655"/>
    <col min="9444" max="9444" width="1.88671875" style="655" customWidth="1"/>
    <col min="9445" max="9445" width="9.88671875" style="655" customWidth="1"/>
    <col min="9446" max="9446" width="1.5546875" style="655" customWidth="1"/>
    <col min="9447" max="9447" width="11.44140625" style="655" customWidth="1"/>
    <col min="9448" max="9448" width="2.21875" style="655" customWidth="1"/>
    <col min="9449" max="9449" width="12" style="655" customWidth="1"/>
    <col min="9450" max="9450" width="2" style="655" customWidth="1"/>
    <col min="9451" max="9451" width="9.109375" style="655"/>
    <col min="9452" max="9452" width="11.109375" style="655" customWidth="1"/>
    <col min="9453" max="9453" width="12" style="655" customWidth="1"/>
    <col min="9454" max="9454" width="9.109375" style="655"/>
    <col min="9455" max="9455" width="11.88671875" style="655" customWidth="1"/>
    <col min="9456" max="9456" width="14.21875" style="655" customWidth="1"/>
    <col min="9457" max="9460" width="9.109375" style="655"/>
    <col min="9461" max="9461" width="3.44140625" style="655" customWidth="1"/>
    <col min="9462" max="9463" width="9.109375" style="655"/>
    <col min="9464" max="9464" width="11.44140625" style="655" customWidth="1"/>
    <col min="9465" max="9465" width="2.77734375" style="655" customWidth="1"/>
    <col min="9466" max="9648" width="9.109375" style="655"/>
    <col min="9649" max="9649" width="9.5546875" style="655" customWidth="1"/>
    <col min="9650" max="9650" width="11" style="655" customWidth="1"/>
    <col min="9651" max="9652" width="11.21875" style="655" customWidth="1"/>
    <col min="9653" max="9653" width="11.5546875" style="655" customWidth="1"/>
    <col min="9654" max="9654" width="11.109375" style="655" customWidth="1"/>
    <col min="9655" max="9655" width="2" style="655" customWidth="1"/>
    <col min="9656" max="9656" width="13.5546875" style="655" customWidth="1"/>
    <col min="9657" max="9657" width="12.44140625" style="655" customWidth="1"/>
    <col min="9658" max="9658" width="13.5546875" style="655" customWidth="1"/>
    <col min="9659" max="9659" width="2.109375" style="655" customWidth="1"/>
    <col min="9660" max="9660" width="9.109375" style="655"/>
    <col min="9661" max="9661" width="10.21875" style="655" customWidth="1"/>
    <col min="9662" max="9662" width="1.88671875" style="655" customWidth="1"/>
    <col min="9663" max="9663" width="10.77734375" style="655" customWidth="1"/>
    <col min="9664" max="9664" width="9.109375" style="655"/>
    <col min="9665" max="9665" width="2.109375" style="655" customWidth="1"/>
    <col min="9666" max="9666" width="9.109375" style="655"/>
    <col min="9667" max="9667" width="11.21875" style="655" customWidth="1"/>
    <col min="9668" max="9668" width="12.77734375" style="655" customWidth="1"/>
    <col min="9669" max="9669" width="12.5546875" style="655" customWidth="1"/>
    <col min="9670" max="9670" width="2" style="655" customWidth="1"/>
    <col min="9671" max="9672" width="9.109375" style="655"/>
    <col min="9673" max="9673" width="11" style="655" customWidth="1"/>
    <col min="9674" max="9674" width="9.109375" style="655"/>
    <col min="9675" max="9675" width="2.21875" style="655" customWidth="1"/>
    <col min="9676" max="9676" width="11" style="655" customWidth="1"/>
    <col min="9677" max="9677" width="9.109375" style="655"/>
    <col min="9678" max="9678" width="11.5546875" style="655" customWidth="1"/>
    <col min="9679" max="9679" width="11.21875" style="655" customWidth="1"/>
    <col min="9680" max="9680" width="2.88671875" style="655" customWidth="1"/>
    <col min="9681" max="9682" width="9.109375" style="655"/>
    <col min="9683" max="9683" width="11.21875" style="655" customWidth="1"/>
    <col min="9684" max="9684" width="2.21875" style="655" customWidth="1"/>
    <col min="9685" max="9685" width="9.109375" style="655"/>
    <col min="9686" max="9686" width="10.44140625" style="655" customWidth="1"/>
    <col min="9687" max="9687" width="9.109375" style="655"/>
    <col min="9688" max="9688" width="11.109375" style="655" customWidth="1"/>
    <col min="9689" max="9690" width="9.109375" style="655"/>
    <col min="9691" max="9691" width="10.88671875" style="655" customWidth="1"/>
    <col min="9692" max="9693" width="9.109375" style="655"/>
    <col min="9694" max="9694" width="1.5546875" style="655" customWidth="1"/>
    <col min="9695" max="9695" width="9.77734375" style="655" customWidth="1"/>
    <col min="9696" max="9699" width="9.109375" style="655"/>
    <col min="9700" max="9700" width="1.88671875" style="655" customWidth="1"/>
    <col min="9701" max="9701" width="9.88671875" style="655" customWidth="1"/>
    <col min="9702" max="9702" width="1.5546875" style="655" customWidth="1"/>
    <col min="9703" max="9703" width="11.44140625" style="655" customWidth="1"/>
    <col min="9704" max="9704" width="2.21875" style="655" customWidth="1"/>
    <col min="9705" max="9705" width="12" style="655" customWidth="1"/>
    <col min="9706" max="9706" width="2" style="655" customWidth="1"/>
    <col min="9707" max="9707" width="9.109375" style="655"/>
    <col min="9708" max="9708" width="11.109375" style="655" customWidth="1"/>
    <col min="9709" max="9709" width="12" style="655" customWidth="1"/>
    <col min="9710" max="9710" width="9.109375" style="655"/>
    <col min="9711" max="9711" width="11.88671875" style="655" customWidth="1"/>
    <col min="9712" max="9712" width="14.21875" style="655" customWidth="1"/>
    <col min="9713" max="9716" width="9.109375" style="655"/>
    <col min="9717" max="9717" width="3.44140625" style="655" customWidth="1"/>
    <col min="9718" max="9719" width="9.109375" style="655"/>
    <col min="9720" max="9720" width="11.44140625" style="655" customWidth="1"/>
    <col min="9721" max="9721" width="2.77734375" style="655" customWidth="1"/>
    <col min="9722" max="9904" width="9.109375" style="655"/>
    <col min="9905" max="9905" width="9.5546875" style="655" customWidth="1"/>
    <col min="9906" max="9906" width="11" style="655" customWidth="1"/>
    <col min="9907" max="9908" width="11.21875" style="655" customWidth="1"/>
    <col min="9909" max="9909" width="11.5546875" style="655" customWidth="1"/>
    <col min="9910" max="9910" width="11.109375" style="655" customWidth="1"/>
    <col min="9911" max="9911" width="2" style="655" customWidth="1"/>
    <col min="9912" max="9912" width="13.5546875" style="655" customWidth="1"/>
    <col min="9913" max="9913" width="12.44140625" style="655" customWidth="1"/>
    <col min="9914" max="9914" width="13.5546875" style="655" customWidth="1"/>
    <col min="9915" max="9915" width="2.109375" style="655" customWidth="1"/>
    <col min="9916" max="9916" width="9.109375" style="655"/>
    <col min="9917" max="9917" width="10.21875" style="655" customWidth="1"/>
    <col min="9918" max="9918" width="1.88671875" style="655" customWidth="1"/>
    <col min="9919" max="9919" width="10.77734375" style="655" customWidth="1"/>
    <col min="9920" max="9920" width="9.109375" style="655"/>
    <col min="9921" max="9921" width="2.109375" style="655" customWidth="1"/>
    <col min="9922" max="9922" width="9.109375" style="655"/>
    <col min="9923" max="9923" width="11.21875" style="655" customWidth="1"/>
    <col min="9924" max="9924" width="12.77734375" style="655" customWidth="1"/>
    <col min="9925" max="9925" width="12.5546875" style="655" customWidth="1"/>
    <col min="9926" max="9926" width="2" style="655" customWidth="1"/>
    <col min="9927" max="9928" width="9.109375" style="655"/>
    <col min="9929" max="9929" width="11" style="655" customWidth="1"/>
    <col min="9930" max="9930" width="9.109375" style="655"/>
    <col min="9931" max="9931" width="2.21875" style="655" customWidth="1"/>
    <col min="9932" max="9932" width="11" style="655" customWidth="1"/>
    <col min="9933" max="9933" width="9.109375" style="655"/>
    <col min="9934" max="9934" width="11.5546875" style="655" customWidth="1"/>
    <col min="9935" max="9935" width="11.21875" style="655" customWidth="1"/>
    <col min="9936" max="9936" width="2.88671875" style="655" customWidth="1"/>
    <col min="9937" max="9938" width="9.109375" style="655"/>
    <col min="9939" max="9939" width="11.21875" style="655" customWidth="1"/>
    <col min="9940" max="9940" width="2.21875" style="655" customWidth="1"/>
    <col min="9941" max="9941" width="9.109375" style="655"/>
    <col min="9942" max="9942" width="10.44140625" style="655" customWidth="1"/>
    <col min="9943" max="9943" width="9.109375" style="655"/>
    <col min="9944" max="9944" width="11.109375" style="655" customWidth="1"/>
    <col min="9945" max="9946" width="9.109375" style="655"/>
    <col min="9947" max="9947" width="10.88671875" style="655" customWidth="1"/>
    <col min="9948" max="9949" width="9.109375" style="655"/>
    <col min="9950" max="9950" width="1.5546875" style="655" customWidth="1"/>
    <col min="9951" max="9951" width="9.77734375" style="655" customWidth="1"/>
    <col min="9952" max="9955" width="9.109375" style="655"/>
    <col min="9956" max="9956" width="1.88671875" style="655" customWidth="1"/>
    <col min="9957" max="9957" width="9.88671875" style="655" customWidth="1"/>
    <col min="9958" max="9958" width="1.5546875" style="655" customWidth="1"/>
    <col min="9959" max="9959" width="11.44140625" style="655" customWidth="1"/>
    <col min="9960" max="9960" width="2.21875" style="655" customWidth="1"/>
    <col min="9961" max="9961" width="12" style="655" customWidth="1"/>
    <col min="9962" max="9962" width="2" style="655" customWidth="1"/>
    <col min="9963" max="9963" width="9.109375" style="655"/>
    <col min="9964" max="9964" width="11.109375" style="655" customWidth="1"/>
    <col min="9965" max="9965" width="12" style="655" customWidth="1"/>
    <col min="9966" max="9966" width="9.109375" style="655"/>
    <col min="9967" max="9967" width="11.88671875" style="655" customWidth="1"/>
    <col min="9968" max="9968" width="14.21875" style="655" customWidth="1"/>
    <col min="9969" max="9972" width="9.109375" style="655"/>
    <col min="9973" max="9973" width="3.44140625" style="655" customWidth="1"/>
    <col min="9974" max="9975" width="9.109375" style="655"/>
    <col min="9976" max="9976" width="11.44140625" style="655" customWidth="1"/>
    <col min="9977" max="9977" width="2.77734375" style="655" customWidth="1"/>
    <col min="9978" max="10160" width="9.109375" style="655"/>
    <col min="10161" max="10161" width="9.5546875" style="655" customWidth="1"/>
    <col min="10162" max="10162" width="11" style="655" customWidth="1"/>
    <col min="10163" max="10164" width="11.21875" style="655" customWidth="1"/>
    <col min="10165" max="10165" width="11.5546875" style="655" customWidth="1"/>
    <col min="10166" max="10166" width="11.109375" style="655" customWidth="1"/>
    <col min="10167" max="10167" width="2" style="655" customWidth="1"/>
    <col min="10168" max="10168" width="13.5546875" style="655" customWidth="1"/>
    <col min="10169" max="10169" width="12.44140625" style="655" customWidth="1"/>
    <col min="10170" max="10170" width="13.5546875" style="655" customWidth="1"/>
    <col min="10171" max="10171" width="2.109375" style="655" customWidth="1"/>
    <col min="10172" max="10172" width="9.109375" style="655"/>
    <col min="10173" max="10173" width="10.21875" style="655" customWidth="1"/>
    <col min="10174" max="10174" width="1.88671875" style="655" customWidth="1"/>
    <col min="10175" max="10175" width="10.77734375" style="655" customWidth="1"/>
    <col min="10176" max="10176" width="9.109375" style="655"/>
    <col min="10177" max="10177" width="2.109375" style="655" customWidth="1"/>
    <col min="10178" max="10178" width="9.109375" style="655"/>
    <col min="10179" max="10179" width="11.21875" style="655" customWidth="1"/>
    <col min="10180" max="10180" width="12.77734375" style="655" customWidth="1"/>
    <col min="10181" max="10181" width="12.5546875" style="655" customWidth="1"/>
    <col min="10182" max="10182" width="2" style="655" customWidth="1"/>
    <col min="10183" max="10184" width="9.109375" style="655"/>
    <col min="10185" max="10185" width="11" style="655" customWidth="1"/>
    <col min="10186" max="10186" width="9.109375" style="655"/>
    <col min="10187" max="10187" width="2.21875" style="655" customWidth="1"/>
    <col min="10188" max="10188" width="11" style="655" customWidth="1"/>
    <col min="10189" max="10189" width="9.109375" style="655"/>
    <col min="10190" max="10190" width="11.5546875" style="655" customWidth="1"/>
    <col min="10191" max="10191" width="11.21875" style="655" customWidth="1"/>
    <col min="10192" max="10192" width="2.88671875" style="655" customWidth="1"/>
    <col min="10193" max="10194" width="9.109375" style="655"/>
    <col min="10195" max="10195" width="11.21875" style="655" customWidth="1"/>
    <col min="10196" max="10196" width="2.21875" style="655" customWidth="1"/>
    <col min="10197" max="10197" width="9.109375" style="655"/>
    <col min="10198" max="10198" width="10.44140625" style="655" customWidth="1"/>
    <col min="10199" max="10199" width="9.109375" style="655"/>
    <col min="10200" max="10200" width="11.109375" style="655" customWidth="1"/>
    <col min="10201" max="10202" width="9.109375" style="655"/>
    <col min="10203" max="10203" width="10.88671875" style="655" customWidth="1"/>
    <col min="10204" max="10205" width="9.109375" style="655"/>
    <col min="10206" max="10206" width="1.5546875" style="655" customWidth="1"/>
    <col min="10207" max="10207" width="9.77734375" style="655" customWidth="1"/>
    <col min="10208" max="10211" width="9.109375" style="655"/>
    <col min="10212" max="10212" width="1.88671875" style="655" customWidth="1"/>
    <col min="10213" max="10213" width="9.88671875" style="655" customWidth="1"/>
    <col min="10214" max="10214" width="1.5546875" style="655" customWidth="1"/>
    <col min="10215" max="10215" width="11.44140625" style="655" customWidth="1"/>
    <col min="10216" max="10216" width="2.21875" style="655" customWidth="1"/>
    <col min="10217" max="10217" width="12" style="655" customWidth="1"/>
    <col min="10218" max="10218" width="2" style="655" customWidth="1"/>
    <col min="10219" max="10219" width="9.109375" style="655"/>
    <col min="10220" max="10220" width="11.109375" style="655" customWidth="1"/>
    <col min="10221" max="10221" width="12" style="655" customWidth="1"/>
    <col min="10222" max="10222" width="9.109375" style="655"/>
    <col min="10223" max="10223" width="11.88671875" style="655" customWidth="1"/>
    <col min="10224" max="10224" width="14.21875" style="655" customWidth="1"/>
    <col min="10225" max="10228" width="9.109375" style="655"/>
    <col min="10229" max="10229" width="3.44140625" style="655" customWidth="1"/>
    <col min="10230" max="10231" width="9.109375" style="655"/>
    <col min="10232" max="10232" width="11.44140625" style="655" customWidth="1"/>
    <col min="10233" max="10233" width="2.77734375" style="655" customWidth="1"/>
    <col min="10234" max="10416" width="9.109375" style="655"/>
    <col min="10417" max="10417" width="9.5546875" style="655" customWidth="1"/>
    <col min="10418" max="10418" width="11" style="655" customWidth="1"/>
    <col min="10419" max="10420" width="11.21875" style="655" customWidth="1"/>
    <col min="10421" max="10421" width="11.5546875" style="655" customWidth="1"/>
    <col min="10422" max="10422" width="11.109375" style="655" customWidth="1"/>
    <col min="10423" max="10423" width="2" style="655" customWidth="1"/>
    <col min="10424" max="10424" width="13.5546875" style="655" customWidth="1"/>
    <col min="10425" max="10425" width="12.44140625" style="655" customWidth="1"/>
    <col min="10426" max="10426" width="13.5546875" style="655" customWidth="1"/>
    <col min="10427" max="10427" width="2.109375" style="655" customWidth="1"/>
    <col min="10428" max="10428" width="9.109375" style="655"/>
    <col min="10429" max="10429" width="10.21875" style="655" customWidth="1"/>
    <col min="10430" max="10430" width="1.88671875" style="655" customWidth="1"/>
    <col min="10431" max="10431" width="10.77734375" style="655" customWidth="1"/>
    <col min="10432" max="10432" width="9.109375" style="655"/>
    <col min="10433" max="10433" width="2.109375" style="655" customWidth="1"/>
    <col min="10434" max="10434" width="9.109375" style="655"/>
    <col min="10435" max="10435" width="11.21875" style="655" customWidth="1"/>
    <col min="10436" max="10436" width="12.77734375" style="655" customWidth="1"/>
    <col min="10437" max="10437" width="12.5546875" style="655" customWidth="1"/>
    <col min="10438" max="10438" width="2" style="655" customWidth="1"/>
    <col min="10439" max="10440" width="9.109375" style="655"/>
    <col min="10441" max="10441" width="11" style="655" customWidth="1"/>
    <col min="10442" max="10442" width="9.109375" style="655"/>
    <col min="10443" max="10443" width="2.21875" style="655" customWidth="1"/>
    <col min="10444" max="10444" width="11" style="655" customWidth="1"/>
    <col min="10445" max="10445" width="9.109375" style="655"/>
    <col min="10446" max="10446" width="11.5546875" style="655" customWidth="1"/>
    <col min="10447" max="10447" width="11.21875" style="655" customWidth="1"/>
    <col min="10448" max="10448" width="2.88671875" style="655" customWidth="1"/>
    <col min="10449" max="10450" width="9.109375" style="655"/>
    <col min="10451" max="10451" width="11.21875" style="655" customWidth="1"/>
    <col min="10452" max="10452" width="2.21875" style="655" customWidth="1"/>
    <col min="10453" max="10453" width="9.109375" style="655"/>
    <col min="10454" max="10454" width="10.44140625" style="655" customWidth="1"/>
    <col min="10455" max="10455" width="9.109375" style="655"/>
    <col min="10456" max="10456" width="11.109375" style="655" customWidth="1"/>
    <col min="10457" max="10458" width="9.109375" style="655"/>
    <col min="10459" max="10459" width="10.88671875" style="655" customWidth="1"/>
    <col min="10460" max="10461" width="9.109375" style="655"/>
    <col min="10462" max="10462" width="1.5546875" style="655" customWidth="1"/>
    <col min="10463" max="10463" width="9.77734375" style="655" customWidth="1"/>
    <col min="10464" max="10467" width="9.109375" style="655"/>
    <col min="10468" max="10468" width="1.88671875" style="655" customWidth="1"/>
    <col min="10469" max="10469" width="9.88671875" style="655" customWidth="1"/>
    <col min="10470" max="10470" width="1.5546875" style="655" customWidth="1"/>
    <col min="10471" max="10471" width="11.44140625" style="655" customWidth="1"/>
    <col min="10472" max="10472" width="2.21875" style="655" customWidth="1"/>
    <col min="10473" max="10473" width="12" style="655" customWidth="1"/>
    <col min="10474" max="10474" width="2" style="655" customWidth="1"/>
    <col min="10475" max="10475" width="9.109375" style="655"/>
    <col min="10476" max="10476" width="11.109375" style="655" customWidth="1"/>
    <col min="10477" max="10477" width="12" style="655" customWidth="1"/>
    <col min="10478" max="10478" width="9.109375" style="655"/>
    <col min="10479" max="10479" width="11.88671875" style="655" customWidth="1"/>
    <col min="10480" max="10480" width="14.21875" style="655" customWidth="1"/>
    <col min="10481" max="10484" width="9.109375" style="655"/>
    <col min="10485" max="10485" width="3.44140625" style="655" customWidth="1"/>
    <col min="10486" max="10487" width="9.109375" style="655"/>
    <col min="10488" max="10488" width="11.44140625" style="655" customWidth="1"/>
    <col min="10489" max="10489" width="2.77734375" style="655" customWidth="1"/>
    <col min="10490" max="10672" width="9.109375" style="655"/>
    <col min="10673" max="10673" width="9.5546875" style="655" customWidth="1"/>
    <col min="10674" max="10674" width="11" style="655" customWidth="1"/>
    <col min="10675" max="10676" width="11.21875" style="655" customWidth="1"/>
    <col min="10677" max="10677" width="11.5546875" style="655" customWidth="1"/>
    <col min="10678" max="10678" width="11.109375" style="655" customWidth="1"/>
    <col min="10679" max="10679" width="2" style="655" customWidth="1"/>
    <col min="10680" max="10680" width="13.5546875" style="655" customWidth="1"/>
    <col min="10681" max="10681" width="12.44140625" style="655" customWidth="1"/>
    <col min="10682" max="10682" width="13.5546875" style="655" customWidth="1"/>
    <col min="10683" max="10683" width="2.109375" style="655" customWidth="1"/>
    <col min="10684" max="10684" width="9.109375" style="655"/>
    <col min="10685" max="10685" width="10.21875" style="655" customWidth="1"/>
    <col min="10686" max="10686" width="1.88671875" style="655" customWidth="1"/>
    <col min="10687" max="10687" width="10.77734375" style="655" customWidth="1"/>
    <col min="10688" max="10688" width="9.109375" style="655"/>
    <col min="10689" max="10689" width="2.109375" style="655" customWidth="1"/>
    <col min="10690" max="10690" width="9.109375" style="655"/>
    <col min="10691" max="10691" width="11.21875" style="655" customWidth="1"/>
    <col min="10692" max="10692" width="12.77734375" style="655" customWidth="1"/>
    <col min="10693" max="10693" width="12.5546875" style="655" customWidth="1"/>
    <col min="10694" max="10694" width="2" style="655" customWidth="1"/>
    <col min="10695" max="10696" width="9.109375" style="655"/>
    <col min="10697" max="10697" width="11" style="655" customWidth="1"/>
    <col min="10698" max="10698" width="9.109375" style="655"/>
    <col min="10699" max="10699" width="2.21875" style="655" customWidth="1"/>
    <col min="10700" max="10700" width="11" style="655" customWidth="1"/>
    <col min="10701" max="10701" width="9.109375" style="655"/>
    <col min="10702" max="10702" width="11.5546875" style="655" customWidth="1"/>
    <col min="10703" max="10703" width="11.21875" style="655" customWidth="1"/>
    <col min="10704" max="10704" width="2.88671875" style="655" customWidth="1"/>
    <col min="10705" max="10706" width="9.109375" style="655"/>
    <col min="10707" max="10707" width="11.21875" style="655" customWidth="1"/>
    <col min="10708" max="10708" width="2.21875" style="655" customWidth="1"/>
    <col min="10709" max="10709" width="9.109375" style="655"/>
    <col min="10710" max="10710" width="10.44140625" style="655" customWidth="1"/>
    <col min="10711" max="10711" width="9.109375" style="655"/>
    <col min="10712" max="10712" width="11.109375" style="655" customWidth="1"/>
    <col min="10713" max="10714" width="9.109375" style="655"/>
    <col min="10715" max="10715" width="10.88671875" style="655" customWidth="1"/>
    <col min="10716" max="10717" width="9.109375" style="655"/>
    <col min="10718" max="10718" width="1.5546875" style="655" customWidth="1"/>
    <col min="10719" max="10719" width="9.77734375" style="655" customWidth="1"/>
    <col min="10720" max="10723" width="9.109375" style="655"/>
    <col min="10724" max="10724" width="1.88671875" style="655" customWidth="1"/>
    <col min="10725" max="10725" width="9.88671875" style="655" customWidth="1"/>
    <col min="10726" max="10726" width="1.5546875" style="655" customWidth="1"/>
    <col min="10727" max="10727" width="11.44140625" style="655" customWidth="1"/>
    <col min="10728" max="10728" width="2.21875" style="655" customWidth="1"/>
    <col min="10729" max="10729" width="12" style="655" customWidth="1"/>
    <col min="10730" max="10730" width="2" style="655" customWidth="1"/>
    <col min="10731" max="10731" width="9.109375" style="655"/>
    <col min="10732" max="10732" width="11.109375" style="655" customWidth="1"/>
    <col min="10733" max="10733" width="12" style="655" customWidth="1"/>
    <col min="10734" max="10734" width="9.109375" style="655"/>
    <col min="10735" max="10735" width="11.88671875" style="655" customWidth="1"/>
    <col min="10736" max="10736" width="14.21875" style="655" customWidth="1"/>
    <col min="10737" max="10740" width="9.109375" style="655"/>
    <col min="10741" max="10741" width="3.44140625" style="655" customWidth="1"/>
    <col min="10742" max="10743" width="9.109375" style="655"/>
    <col min="10744" max="10744" width="11.44140625" style="655" customWidth="1"/>
    <col min="10745" max="10745" width="2.77734375" style="655" customWidth="1"/>
    <col min="10746" max="10928" width="9.109375" style="655"/>
    <col min="10929" max="10929" width="9.5546875" style="655" customWidth="1"/>
    <col min="10930" max="10930" width="11" style="655" customWidth="1"/>
    <col min="10931" max="10932" width="11.21875" style="655" customWidth="1"/>
    <col min="10933" max="10933" width="11.5546875" style="655" customWidth="1"/>
    <col min="10934" max="10934" width="11.109375" style="655" customWidth="1"/>
    <col min="10935" max="10935" width="2" style="655" customWidth="1"/>
    <col min="10936" max="10936" width="13.5546875" style="655" customWidth="1"/>
    <col min="10937" max="10937" width="12.44140625" style="655" customWidth="1"/>
    <col min="10938" max="10938" width="13.5546875" style="655" customWidth="1"/>
    <col min="10939" max="10939" width="2.109375" style="655" customWidth="1"/>
    <col min="10940" max="10940" width="9.109375" style="655"/>
    <col min="10941" max="10941" width="10.21875" style="655" customWidth="1"/>
    <col min="10942" max="10942" width="1.88671875" style="655" customWidth="1"/>
    <col min="10943" max="10943" width="10.77734375" style="655" customWidth="1"/>
    <col min="10944" max="10944" width="9.109375" style="655"/>
    <col min="10945" max="10945" width="2.109375" style="655" customWidth="1"/>
    <col min="10946" max="10946" width="9.109375" style="655"/>
    <col min="10947" max="10947" width="11.21875" style="655" customWidth="1"/>
    <col min="10948" max="10948" width="12.77734375" style="655" customWidth="1"/>
    <col min="10949" max="10949" width="12.5546875" style="655" customWidth="1"/>
    <col min="10950" max="10950" width="2" style="655" customWidth="1"/>
    <col min="10951" max="10952" width="9.109375" style="655"/>
    <col min="10953" max="10953" width="11" style="655" customWidth="1"/>
    <col min="10954" max="10954" width="9.109375" style="655"/>
    <col min="10955" max="10955" width="2.21875" style="655" customWidth="1"/>
    <col min="10956" max="10956" width="11" style="655" customWidth="1"/>
    <col min="10957" max="10957" width="9.109375" style="655"/>
    <col min="10958" max="10958" width="11.5546875" style="655" customWidth="1"/>
    <col min="10959" max="10959" width="11.21875" style="655" customWidth="1"/>
    <col min="10960" max="10960" width="2.88671875" style="655" customWidth="1"/>
    <col min="10961" max="10962" width="9.109375" style="655"/>
    <col min="10963" max="10963" width="11.21875" style="655" customWidth="1"/>
    <col min="10964" max="10964" width="2.21875" style="655" customWidth="1"/>
    <col min="10965" max="10965" width="9.109375" style="655"/>
    <col min="10966" max="10966" width="10.44140625" style="655" customWidth="1"/>
    <col min="10967" max="10967" width="9.109375" style="655"/>
    <col min="10968" max="10968" width="11.109375" style="655" customWidth="1"/>
    <col min="10969" max="10970" width="9.109375" style="655"/>
    <col min="10971" max="10971" width="10.88671875" style="655" customWidth="1"/>
    <col min="10972" max="10973" width="9.109375" style="655"/>
    <col min="10974" max="10974" width="1.5546875" style="655" customWidth="1"/>
    <col min="10975" max="10975" width="9.77734375" style="655" customWidth="1"/>
    <col min="10976" max="10979" width="9.109375" style="655"/>
    <col min="10980" max="10980" width="1.88671875" style="655" customWidth="1"/>
    <col min="10981" max="10981" width="9.88671875" style="655" customWidth="1"/>
    <col min="10982" max="10982" width="1.5546875" style="655" customWidth="1"/>
    <col min="10983" max="10983" width="11.44140625" style="655" customWidth="1"/>
    <col min="10984" max="10984" width="2.21875" style="655" customWidth="1"/>
    <col min="10985" max="10985" width="12" style="655" customWidth="1"/>
    <col min="10986" max="10986" width="2" style="655" customWidth="1"/>
    <col min="10987" max="10987" width="9.109375" style="655"/>
    <col min="10988" max="10988" width="11.109375" style="655" customWidth="1"/>
    <col min="10989" max="10989" width="12" style="655" customWidth="1"/>
    <col min="10990" max="10990" width="9.109375" style="655"/>
    <col min="10991" max="10991" width="11.88671875" style="655" customWidth="1"/>
    <col min="10992" max="10992" width="14.21875" style="655" customWidth="1"/>
    <col min="10993" max="10996" width="9.109375" style="655"/>
    <col min="10997" max="10997" width="3.44140625" style="655" customWidth="1"/>
    <col min="10998" max="10999" width="9.109375" style="655"/>
    <col min="11000" max="11000" width="11.44140625" style="655" customWidth="1"/>
    <col min="11001" max="11001" width="2.77734375" style="655" customWidth="1"/>
    <col min="11002" max="11184" width="9.109375" style="655"/>
    <col min="11185" max="11185" width="9.5546875" style="655" customWidth="1"/>
    <col min="11186" max="11186" width="11" style="655" customWidth="1"/>
    <col min="11187" max="11188" width="11.21875" style="655" customWidth="1"/>
    <col min="11189" max="11189" width="11.5546875" style="655" customWidth="1"/>
    <col min="11190" max="11190" width="11.109375" style="655" customWidth="1"/>
    <col min="11191" max="11191" width="2" style="655" customWidth="1"/>
    <col min="11192" max="11192" width="13.5546875" style="655" customWidth="1"/>
    <col min="11193" max="11193" width="12.44140625" style="655" customWidth="1"/>
    <col min="11194" max="11194" width="13.5546875" style="655" customWidth="1"/>
    <col min="11195" max="11195" width="2.109375" style="655" customWidth="1"/>
    <col min="11196" max="11196" width="9.109375" style="655"/>
    <col min="11197" max="11197" width="10.21875" style="655" customWidth="1"/>
    <col min="11198" max="11198" width="1.88671875" style="655" customWidth="1"/>
    <col min="11199" max="11199" width="10.77734375" style="655" customWidth="1"/>
    <col min="11200" max="11200" width="9.109375" style="655"/>
    <col min="11201" max="11201" width="2.109375" style="655" customWidth="1"/>
    <col min="11202" max="11202" width="9.109375" style="655"/>
    <col min="11203" max="11203" width="11.21875" style="655" customWidth="1"/>
    <col min="11204" max="11204" width="12.77734375" style="655" customWidth="1"/>
    <col min="11205" max="11205" width="12.5546875" style="655" customWidth="1"/>
    <col min="11206" max="11206" width="2" style="655" customWidth="1"/>
    <col min="11207" max="11208" width="9.109375" style="655"/>
    <col min="11209" max="11209" width="11" style="655" customWidth="1"/>
    <col min="11210" max="11210" width="9.109375" style="655"/>
    <col min="11211" max="11211" width="2.21875" style="655" customWidth="1"/>
    <col min="11212" max="11212" width="11" style="655" customWidth="1"/>
    <col min="11213" max="11213" width="9.109375" style="655"/>
    <col min="11214" max="11214" width="11.5546875" style="655" customWidth="1"/>
    <col min="11215" max="11215" width="11.21875" style="655" customWidth="1"/>
    <col min="11216" max="11216" width="2.88671875" style="655" customWidth="1"/>
    <col min="11217" max="11218" width="9.109375" style="655"/>
    <col min="11219" max="11219" width="11.21875" style="655" customWidth="1"/>
    <col min="11220" max="11220" width="2.21875" style="655" customWidth="1"/>
    <col min="11221" max="11221" width="9.109375" style="655"/>
    <col min="11222" max="11222" width="10.44140625" style="655" customWidth="1"/>
    <col min="11223" max="11223" width="9.109375" style="655"/>
    <col min="11224" max="11224" width="11.109375" style="655" customWidth="1"/>
    <col min="11225" max="11226" width="9.109375" style="655"/>
    <col min="11227" max="11227" width="10.88671875" style="655" customWidth="1"/>
    <col min="11228" max="11229" width="9.109375" style="655"/>
    <col min="11230" max="11230" width="1.5546875" style="655" customWidth="1"/>
    <col min="11231" max="11231" width="9.77734375" style="655" customWidth="1"/>
    <col min="11232" max="11235" width="9.109375" style="655"/>
    <col min="11236" max="11236" width="1.88671875" style="655" customWidth="1"/>
    <col min="11237" max="11237" width="9.88671875" style="655" customWidth="1"/>
    <col min="11238" max="11238" width="1.5546875" style="655" customWidth="1"/>
    <col min="11239" max="11239" width="11.44140625" style="655" customWidth="1"/>
    <col min="11240" max="11240" width="2.21875" style="655" customWidth="1"/>
    <col min="11241" max="11241" width="12" style="655" customWidth="1"/>
    <col min="11242" max="11242" width="2" style="655" customWidth="1"/>
    <col min="11243" max="11243" width="9.109375" style="655"/>
    <col min="11244" max="11244" width="11.109375" style="655" customWidth="1"/>
    <col min="11245" max="11245" width="12" style="655" customWidth="1"/>
    <col min="11246" max="11246" width="9.109375" style="655"/>
    <col min="11247" max="11247" width="11.88671875" style="655" customWidth="1"/>
    <col min="11248" max="11248" width="14.21875" style="655" customWidth="1"/>
    <col min="11249" max="11252" width="9.109375" style="655"/>
    <col min="11253" max="11253" width="3.44140625" style="655" customWidth="1"/>
    <col min="11254" max="11255" width="9.109375" style="655"/>
    <col min="11256" max="11256" width="11.44140625" style="655" customWidth="1"/>
    <col min="11257" max="11257" width="2.77734375" style="655" customWidth="1"/>
    <col min="11258" max="11440" width="9.109375" style="655"/>
    <col min="11441" max="11441" width="9.5546875" style="655" customWidth="1"/>
    <col min="11442" max="11442" width="11" style="655" customWidth="1"/>
    <col min="11443" max="11444" width="11.21875" style="655" customWidth="1"/>
    <col min="11445" max="11445" width="11.5546875" style="655" customWidth="1"/>
    <col min="11446" max="11446" width="11.109375" style="655" customWidth="1"/>
    <col min="11447" max="11447" width="2" style="655" customWidth="1"/>
    <col min="11448" max="11448" width="13.5546875" style="655" customWidth="1"/>
    <col min="11449" max="11449" width="12.44140625" style="655" customWidth="1"/>
    <col min="11450" max="11450" width="13.5546875" style="655" customWidth="1"/>
    <col min="11451" max="11451" width="2.109375" style="655" customWidth="1"/>
    <col min="11452" max="11452" width="9.109375" style="655"/>
    <col min="11453" max="11453" width="10.21875" style="655" customWidth="1"/>
    <col min="11454" max="11454" width="1.88671875" style="655" customWidth="1"/>
    <col min="11455" max="11455" width="10.77734375" style="655" customWidth="1"/>
    <col min="11456" max="11456" width="9.109375" style="655"/>
    <col min="11457" max="11457" width="2.109375" style="655" customWidth="1"/>
    <col min="11458" max="11458" width="9.109375" style="655"/>
    <col min="11459" max="11459" width="11.21875" style="655" customWidth="1"/>
    <col min="11460" max="11460" width="12.77734375" style="655" customWidth="1"/>
    <col min="11461" max="11461" width="12.5546875" style="655" customWidth="1"/>
    <col min="11462" max="11462" width="2" style="655" customWidth="1"/>
    <col min="11463" max="11464" width="9.109375" style="655"/>
    <col min="11465" max="11465" width="11" style="655" customWidth="1"/>
    <col min="11466" max="11466" width="9.109375" style="655"/>
    <col min="11467" max="11467" width="2.21875" style="655" customWidth="1"/>
    <col min="11468" max="11468" width="11" style="655" customWidth="1"/>
    <col min="11469" max="11469" width="9.109375" style="655"/>
    <col min="11470" max="11470" width="11.5546875" style="655" customWidth="1"/>
    <col min="11471" max="11471" width="11.21875" style="655" customWidth="1"/>
    <col min="11472" max="11472" width="2.88671875" style="655" customWidth="1"/>
    <col min="11473" max="11474" width="9.109375" style="655"/>
    <col min="11475" max="11475" width="11.21875" style="655" customWidth="1"/>
    <col min="11476" max="11476" width="2.21875" style="655" customWidth="1"/>
    <col min="11477" max="11477" width="9.109375" style="655"/>
    <col min="11478" max="11478" width="10.44140625" style="655" customWidth="1"/>
    <col min="11479" max="11479" width="9.109375" style="655"/>
    <col min="11480" max="11480" width="11.109375" style="655" customWidth="1"/>
    <col min="11481" max="11482" width="9.109375" style="655"/>
    <col min="11483" max="11483" width="10.88671875" style="655" customWidth="1"/>
    <col min="11484" max="11485" width="9.109375" style="655"/>
    <col min="11486" max="11486" width="1.5546875" style="655" customWidth="1"/>
    <col min="11487" max="11487" width="9.77734375" style="655" customWidth="1"/>
    <col min="11488" max="11491" width="9.109375" style="655"/>
    <col min="11492" max="11492" width="1.88671875" style="655" customWidth="1"/>
    <col min="11493" max="11493" width="9.88671875" style="655" customWidth="1"/>
    <col min="11494" max="11494" width="1.5546875" style="655" customWidth="1"/>
    <col min="11495" max="11495" width="11.44140625" style="655" customWidth="1"/>
    <col min="11496" max="11496" width="2.21875" style="655" customWidth="1"/>
    <col min="11497" max="11497" width="12" style="655" customWidth="1"/>
    <col min="11498" max="11498" width="2" style="655" customWidth="1"/>
    <col min="11499" max="11499" width="9.109375" style="655"/>
    <col min="11500" max="11500" width="11.109375" style="655" customWidth="1"/>
    <col min="11501" max="11501" width="12" style="655" customWidth="1"/>
    <col min="11502" max="11502" width="9.109375" style="655"/>
    <col min="11503" max="11503" width="11.88671875" style="655" customWidth="1"/>
    <col min="11504" max="11504" width="14.21875" style="655" customWidth="1"/>
    <col min="11505" max="11508" width="9.109375" style="655"/>
    <col min="11509" max="11509" width="3.44140625" style="655" customWidth="1"/>
    <col min="11510" max="11511" width="9.109375" style="655"/>
    <col min="11512" max="11512" width="11.44140625" style="655" customWidth="1"/>
    <col min="11513" max="11513" width="2.77734375" style="655" customWidth="1"/>
    <col min="11514" max="11696" width="9.109375" style="655"/>
    <col min="11697" max="11697" width="9.5546875" style="655" customWidth="1"/>
    <col min="11698" max="11698" width="11" style="655" customWidth="1"/>
    <col min="11699" max="11700" width="11.21875" style="655" customWidth="1"/>
    <col min="11701" max="11701" width="11.5546875" style="655" customWidth="1"/>
    <col min="11702" max="11702" width="11.109375" style="655" customWidth="1"/>
    <col min="11703" max="11703" width="2" style="655" customWidth="1"/>
    <col min="11704" max="11704" width="13.5546875" style="655" customWidth="1"/>
    <col min="11705" max="11705" width="12.44140625" style="655" customWidth="1"/>
    <col min="11706" max="11706" width="13.5546875" style="655" customWidth="1"/>
    <col min="11707" max="11707" width="2.109375" style="655" customWidth="1"/>
    <col min="11708" max="11708" width="9.109375" style="655"/>
    <col min="11709" max="11709" width="10.21875" style="655" customWidth="1"/>
    <col min="11710" max="11710" width="1.88671875" style="655" customWidth="1"/>
    <col min="11711" max="11711" width="10.77734375" style="655" customWidth="1"/>
    <col min="11712" max="11712" width="9.109375" style="655"/>
    <col min="11713" max="11713" width="2.109375" style="655" customWidth="1"/>
    <col min="11714" max="11714" width="9.109375" style="655"/>
    <col min="11715" max="11715" width="11.21875" style="655" customWidth="1"/>
    <col min="11716" max="11716" width="12.77734375" style="655" customWidth="1"/>
    <col min="11717" max="11717" width="12.5546875" style="655" customWidth="1"/>
    <col min="11718" max="11718" width="2" style="655" customWidth="1"/>
    <col min="11719" max="11720" width="9.109375" style="655"/>
    <col min="11721" max="11721" width="11" style="655" customWidth="1"/>
    <col min="11722" max="11722" width="9.109375" style="655"/>
    <col min="11723" max="11723" width="2.21875" style="655" customWidth="1"/>
    <col min="11724" max="11724" width="11" style="655" customWidth="1"/>
    <col min="11725" max="11725" width="9.109375" style="655"/>
    <col min="11726" max="11726" width="11.5546875" style="655" customWidth="1"/>
    <col min="11727" max="11727" width="11.21875" style="655" customWidth="1"/>
    <col min="11728" max="11728" width="2.88671875" style="655" customWidth="1"/>
    <col min="11729" max="11730" width="9.109375" style="655"/>
    <col min="11731" max="11731" width="11.21875" style="655" customWidth="1"/>
    <col min="11732" max="11732" width="2.21875" style="655" customWidth="1"/>
    <col min="11733" max="11733" width="9.109375" style="655"/>
    <col min="11734" max="11734" width="10.44140625" style="655" customWidth="1"/>
    <col min="11735" max="11735" width="9.109375" style="655"/>
    <col min="11736" max="11736" width="11.109375" style="655" customWidth="1"/>
    <col min="11737" max="11738" width="9.109375" style="655"/>
    <col min="11739" max="11739" width="10.88671875" style="655" customWidth="1"/>
    <col min="11740" max="11741" width="9.109375" style="655"/>
    <col min="11742" max="11742" width="1.5546875" style="655" customWidth="1"/>
    <col min="11743" max="11743" width="9.77734375" style="655" customWidth="1"/>
    <col min="11744" max="11747" width="9.109375" style="655"/>
    <col min="11748" max="11748" width="1.88671875" style="655" customWidth="1"/>
    <col min="11749" max="11749" width="9.88671875" style="655" customWidth="1"/>
    <col min="11750" max="11750" width="1.5546875" style="655" customWidth="1"/>
    <col min="11751" max="11751" width="11.44140625" style="655" customWidth="1"/>
    <col min="11752" max="11752" width="2.21875" style="655" customWidth="1"/>
    <col min="11753" max="11753" width="12" style="655" customWidth="1"/>
    <col min="11754" max="11754" width="2" style="655" customWidth="1"/>
    <col min="11755" max="11755" width="9.109375" style="655"/>
    <col min="11756" max="11756" width="11.109375" style="655" customWidth="1"/>
    <col min="11757" max="11757" width="12" style="655" customWidth="1"/>
    <col min="11758" max="11758" width="9.109375" style="655"/>
    <col min="11759" max="11759" width="11.88671875" style="655" customWidth="1"/>
    <col min="11760" max="11760" width="14.21875" style="655" customWidth="1"/>
    <col min="11761" max="11764" width="9.109375" style="655"/>
    <col min="11765" max="11765" width="3.44140625" style="655" customWidth="1"/>
    <col min="11766" max="11767" width="9.109375" style="655"/>
    <col min="11768" max="11768" width="11.44140625" style="655" customWidth="1"/>
    <col min="11769" max="11769" width="2.77734375" style="655" customWidth="1"/>
    <col min="11770" max="11952" width="9.109375" style="655"/>
    <col min="11953" max="11953" width="9.5546875" style="655" customWidth="1"/>
    <col min="11954" max="11954" width="11" style="655" customWidth="1"/>
    <col min="11955" max="11956" width="11.21875" style="655" customWidth="1"/>
    <col min="11957" max="11957" width="11.5546875" style="655" customWidth="1"/>
    <col min="11958" max="11958" width="11.109375" style="655" customWidth="1"/>
    <col min="11959" max="11959" width="2" style="655" customWidth="1"/>
    <col min="11960" max="11960" width="13.5546875" style="655" customWidth="1"/>
    <col min="11961" max="11961" width="12.44140625" style="655" customWidth="1"/>
    <col min="11962" max="11962" width="13.5546875" style="655" customWidth="1"/>
    <col min="11963" max="11963" width="2.109375" style="655" customWidth="1"/>
    <col min="11964" max="11964" width="9.109375" style="655"/>
    <col min="11965" max="11965" width="10.21875" style="655" customWidth="1"/>
    <col min="11966" max="11966" width="1.88671875" style="655" customWidth="1"/>
    <col min="11967" max="11967" width="10.77734375" style="655" customWidth="1"/>
    <col min="11968" max="11968" width="9.109375" style="655"/>
    <col min="11969" max="11969" width="2.109375" style="655" customWidth="1"/>
    <col min="11970" max="11970" width="9.109375" style="655"/>
    <col min="11971" max="11971" width="11.21875" style="655" customWidth="1"/>
    <col min="11972" max="11972" width="12.77734375" style="655" customWidth="1"/>
    <col min="11973" max="11973" width="12.5546875" style="655" customWidth="1"/>
    <col min="11974" max="11974" width="2" style="655" customWidth="1"/>
    <col min="11975" max="11976" width="9.109375" style="655"/>
    <col min="11977" max="11977" width="11" style="655" customWidth="1"/>
    <col min="11978" max="11978" width="9.109375" style="655"/>
    <col min="11979" max="11979" width="2.21875" style="655" customWidth="1"/>
    <col min="11980" max="11980" width="11" style="655" customWidth="1"/>
    <col min="11981" max="11981" width="9.109375" style="655"/>
    <col min="11982" max="11982" width="11.5546875" style="655" customWidth="1"/>
    <col min="11983" max="11983" width="11.21875" style="655" customWidth="1"/>
    <col min="11984" max="11984" width="2.88671875" style="655" customWidth="1"/>
    <col min="11985" max="11986" width="9.109375" style="655"/>
    <col min="11987" max="11987" width="11.21875" style="655" customWidth="1"/>
    <col min="11988" max="11988" width="2.21875" style="655" customWidth="1"/>
    <col min="11989" max="11989" width="9.109375" style="655"/>
    <col min="11990" max="11990" width="10.44140625" style="655" customWidth="1"/>
    <col min="11991" max="11991" width="9.109375" style="655"/>
    <col min="11992" max="11992" width="11.109375" style="655" customWidth="1"/>
    <col min="11993" max="11994" width="9.109375" style="655"/>
    <col min="11995" max="11995" width="10.88671875" style="655" customWidth="1"/>
    <col min="11996" max="11997" width="9.109375" style="655"/>
    <col min="11998" max="11998" width="1.5546875" style="655" customWidth="1"/>
    <col min="11999" max="11999" width="9.77734375" style="655" customWidth="1"/>
    <col min="12000" max="12003" width="9.109375" style="655"/>
    <col min="12004" max="12004" width="1.88671875" style="655" customWidth="1"/>
    <col min="12005" max="12005" width="9.88671875" style="655" customWidth="1"/>
    <col min="12006" max="12006" width="1.5546875" style="655" customWidth="1"/>
    <col min="12007" max="12007" width="11.44140625" style="655" customWidth="1"/>
    <col min="12008" max="12008" width="2.21875" style="655" customWidth="1"/>
    <col min="12009" max="12009" width="12" style="655" customWidth="1"/>
    <col min="12010" max="12010" width="2" style="655" customWidth="1"/>
    <col min="12011" max="12011" width="9.109375" style="655"/>
    <col min="12012" max="12012" width="11.109375" style="655" customWidth="1"/>
    <col min="12013" max="12013" width="12" style="655" customWidth="1"/>
    <col min="12014" max="12014" width="9.109375" style="655"/>
    <col min="12015" max="12015" width="11.88671875" style="655" customWidth="1"/>
    <col min="12016" max="12016" width="14.21875" style="655" customWidth="1"/>
    <col min="12017" max="12020" width="9.109375" style="655"/>
    <col min="12021" max="12021" width="3.44140625" style="655" customWidth="1"/>
    <col min="12022" max="12023" width="9.109375" style="655"/>
    <col min="12024" max="12024" width="11.44140625" style="655" customWidth="1"/>
    <col min="12025" max="12025" width="2.77734375" style="655" customWidth="1"/>
    <col min="12026" max="12208" width="9.109375" style="655"/>
    <col min="12209" max="12209" width="9.5546875" style="655" customWidth="1"/>
    <col min="12210" max="12210" width="11" style="655" customWidth="1"/>
    <col min="12211" max="12212" width="11.21875" style="655" customWidth="1"/>
    <col min="12213" max="12213" width="11.5546875" style="655" customWidth="1"/>
    <col min="12214" max="12214" width="11.109375" style="655" customWidth="1"/>
    <col min="12215" max="12215" width="2" style="655" customWidth="1"/>
    <col min="12216" max="12216" width="13.5546875" style="655" customWidth="1"/>
    <col min="12217" max="12217" width="12.44140625" style="655" customWidth="1"/>
    <col min="12218" max="12218" width="13.5546875" style="655" customWidth="1"/>
    <col min="12219" max="12219" width="2.109375" style="655" customWidth="1"/>
    <col min="12220" max="12220" width="9.109375" style="655"/>
    <col min="12221" max="12221" width="10.21875" style="655" customWidth="1"/>
    <col min="12222" max="12222" width="1.88671875" style="655" customWidth="1"/>
    <col min="12223" max="12223" width="10.77734375" style="655" customWidth="1"/>
    <col min="12224" max="12224" width="9.109375" style="655"/>
    <col min="12225" max="12225" width="2.109375" style="655" customWidth="1"/>
    <col min="12226" max="12226" width="9.109375" style="655"/>
    <col min="12227" max="12227" width="11.21875" style="655" customWidth="1"/>
    <col min="12228" max="12228" width="12.77734375" style="655" customWidth="1"/>
    <col min="12229" max="12229" width="12.5546875" style="655" customWidth="1"/>
    <col min="12230" max="12230" width="2" style="655" customWidth="1"/>
    <col min="12231" max="12232" width="9.109375" style="655"/>
    <col min="12233" max="12233" width="11" style="655" customWidth="1"/>
    <col min="12234" max="12234" width="9.109375" style="655"/>
    <col min="12235" max="12235" width="2.21875" style="655" customWidth="1"/>
    <col min="12236" max="12236" width="11" style="655" customWidth="1"/>
    <col min="12237" max="12237" width="9.109375" style="655"/>
    <col min="12238" max="12238" width="11.5546875" style="655" customWidth="1"/>
    <col min="12239" max="12239" width="11.21875" style="655" customWidth="1"/>
    <col min="12240" max="12240" width="2.88671875" style="655" customWidth="1"/>
    <col min="12241" max="12242" width="9.109375" style="655"/>
    <col min="12243" max="12243" width="11.21875" style="655" customWidth="1"/>
    <col min="12244" max="12244" width="2.21875" style="655" customWidth="1"/>
    <col min="12245" max="12245" width="9.109375" style="655"/>
    <col min="12246" max="12246" width="10.44140625" style="655" customWidth="1"/>
    <col min="12247" max="12247" width="9.109375" style="655"/>
    <col min="12248" max="12248" width="11.109375" style="655" customWidth="1"/>
    <col min="12249" max="12250" width="9.109375" style="655"/>
    <col min="12251" max="12251" width="10.88671875" style="655" customWidth="1"/>
    <col min="12252" max="12253" width="9.109375" style="655"/>
    <col min="12254" max="12254" width="1.5546875" style="655" customWidth="1"/>
    <col min="12255" max="12255" width="9.77734375" style="655" customWidth="1"/>
    <col min="12256" max="12259" width="9.109375" style="655"/>
    <col min="12260" max="12260" width="1.88671875" style="655" customWidth="1"/>
    <col min="12261" max="12261" width="9.88671875" style="655" customWidth="1"/>
    <col min="12262" max="12262" width="1.5546875" style="655" customWidth="1"/>
    <col min="12263" max="12263" width="11.44140625" style="655" customWidth="1"/>
    <col min="12264" max="12264" width="2.21875" style="655" customWidth="1"/>
    <col min="12265" max="12265" width="12" style="655" customWidth="1"/>
    <col min="12266" max="12266" width="2" style="655" customWidth="1"/>
    <col min="12267" max="12267" width="9.109375" style="655"/>
    <col min="12268" max="12268" width="11.109375" style="655" customWidth="1"/>
    <col min="12269" max="12269" width="12" style="655" customWidth="1"/>
    <col min="12270" max="12270" width="9.109375" style="655"/>
    <col min="12271" max="12271" width="11.88671875" style="655" customWidth="1"/>
    <col min="12272" max="12272" width="14.21875" style="655" customWidth="1"/>
    <col min="12273" max="12276" width="9.109375" style="655"/>
    <col min="12277" max="12277" width="3.44140625" style="655" customWidth="1"/>
    <col min="12278" max="12279" width="9.109375" style="655"/>
    <col min="12280" max="12280" width="11.44140625" style="655" customWidth="1"/>
    <col min="12281" max="12281" width="2.77734375" style="655" customWidth="1"/>
    <col min="12282" max="12464" width="9.109375" style="655"/>
    <col min="12465" max="12465" width="9.5546875" style="655" customWidth="1"/>
    <col min="12466" max="12466" width="11" style="655" customWidth="1"/>
    <col min="12467" max="12468" width="11.21875" style="655" customWidth="1"/>
    <col min="12469" max="12469" width="11.5546875" style="655" customWidth="1"/>
    <col min="12470" max="12470" width="11.109375" style="655" customWidth="1"/>
    <col min="12471" max="12471" width="2" style="655" customWidth="1"/>
    <col min="12472" max="12472" width="13.5546875" style="655" customWidth="1"/>
    <col min="12473" max="12473" width="12.44140625" style="655" customWidth="1"/>
    <col min="12474" max="12474" width="13.5546875" style="655" customWidth="1"/>
    <col min="12475" max="12475" width="2.109375" style="655" customWidth="1"/>
    <col min="12476" max="12476" width="9.109375" style="655"/>
    <col min="12477" max="12477" width="10.21875" style="655" customWidth="1"/>
    <col min="12478" max="12478" width="1.88671875" style="655" customWidth="1"/>
    <col min="12479" max="12479" width="10.77734375" style="655" customWidth="1"/>
    <col min="12480" max="12480" width="9.109375" style="655"/>
    <col min="12481" max="12481" width="2.109375" style="655" customWidth="1"/>
    <col min="12482" max="12482" width="9.109375" style="655"/>
    <col min="12483" max="12483" width="11.21875" style="655" customWidth="1"/>
    <col min="12484" max="12484" width="12.77734375" style="655" customWidth="1"/>
    <col min="12485" max="12485" width="12.5546875" style="655" customWidth="1"/>
    <col min="12486" max="12486" width="2" style="655" customWidth="1"/>
    <col min="12487" max="12488" width="9.109375" style="655"/>
    <col min="12489" max="12489" width="11" style="655" customWidth="1"/>
    <col min="12490" max="12490" width="9.109375" style="655"/>
    <col min="12491" max="12491" width="2.21875" style="655" customWidth="1"/>
    <col min="12492" max="12492" width="11" style="655" customWidth="1"/>
    <col min="12493" max="12493" width="9.109375" style="655"/>
    <col min="12494" max="12494" width="11.5546875" style="655" customWidth="1"/>
    <col min="12495" max="12495" width="11.21875" style="655" customWidth="1"/>
    <col min="12496" max="12496" width="2.88671875" style="655" customWidth="1"/>
    <col min="12497" max="12498" width="9.109375" style="655"/>
    <col min="12499" max="12499" width="11.21875" style="655" customWidth="1"/>
    <col min="12500" max="12500" width="2.21875" style="655" customWidth="1"/>
    <col min="12501" max="12501" width="9.109375" style="655"/>
    <col min="12502" max="12502" width="10.44140625" style="655" customWidth="1"/>
    <col min="12503" max="12503" width="9.109375" style="655"/>
    <col min="12504" max="12504" width="11.109375" style="655" customWidth="1"/>
    <col min="12505" max="12506" width="9.109375" style="655"/>
    <col min="12507" max="12507" width="10.88671875" style="655" customWidth="1"/>
    <col min="12508" max="12509" width="9.109375" style="655"/>
    <col min="12510" max="12510" width="1.5546875" style="655" customWidth="1"/>
    <col min="12511" max="12511" width="9.77734375" style="655" customWidth="1"/>
    <col min="12512" max="12515" width="9.109375" style="655"/>
    <col min="12516" max="12516" width="1.88671875" style="655" customWidth="1"/>
    <col min="12517" max="12517" width="9.88671875" style="655" customWidth="1"/>
    <col min="12518" max="12518" width="1.5546875" style="655" customWidth="1"/>
    <col min="12519" max="12519" width="11.44140625" style="655" customWidth="1"/>
    <col min="12520" max="12520" width="2.21875" style="655" customWidth="1"/>
    <col min="12521" max="12521" width="12" style="655" customWidth="1"/>
    <col min="12522" max="12522" width="2" style="655" customWidth="1"/>
    <col min="12523" max="12523" width="9.109375" style="655"/>
    <col min="12524" max="12524" width="11.109375" style="655" customWidth="1"/>
    <col min="12525" max="12525" width="12" style="655" customWidth="1"/>
    <col min="12526" max="12526" width="9.109375" style="655"/>
    <col min="12527" max="12527" width="11.88671875" style="655" customWidth="1"/>
    <col min="12528" max="12528" width="14.21875" style="655" customWidth="1"/>
    <col min="12529" max="12532" width="9.109375" style="655"/>
    <col min="12533" max="12533" width="3.44140625" style="655" customWidth="1"/>
    <col min="12534" max="12535" width="9.109375" style="655"/>
    <col min="12536" max="12536" width="11.44140625" style="655" customWidth="1"/>
    <col min="12537" max="12537" width="2.77734375" style="655" customWidth="1"/>
    <col min="12538" max="12720" width="9.109375" style="655"/>
    <col min="12721" max="12721" width="9.5546875" style="655" customWidth="1"/>
    <col min="12722" max="12722" width="11" style="655" customWidth="1"/>
    <col min="12723" max="12724" width="11.21875" style="655" customWidth="1"/>
    <col min="12725" max="12725" width="11.5546875" style="655" customWidth="1"/>
    <col min="12726" max="12726" width="11.109375" style="655" customWidth="1"/>
    <col min="12727" max="12727" width="2" style="655" customWidth="1"/>
    <col min="12728" max="12728" width="13.5546875" style="655" customWidth="1"/>
    <col min="12729" max="12729" width="12.44140625" style="655" customWidth="1"/>
    <col min="12730" max="12730" width="13.5546875" style="655" customWidth="1"/>
    <col min="12731" max="12731" width="2.109375" style="655" customWidth="1"/>
    <col min="12732" max="12732" width="9.109375" style="655"/>
    <col min="12733" max="12733" width="10.21875" style="655" customWidth="1"/>
    <col min="12734" max="12734" width="1.88671875" style="655" customWidth="1"/>
    <col min="12735" max="12735" width="10.77734375" style="655" customWidth="1"/>
    <col min="12736" max="12736" width="9.109375" style="655"/>
    <col min="12737" max="12737" width="2.109375" style="655" customWidth="1"/>
    <col min="12738" max="12738" width="9.109375" style="655"/>
    <col min="12739" max="12739" width="11.21875" style="655" customWidth="1"/>
    <col min="12740" max="12740" width="12.77734375" style="655" customWidth="1"/>
    <col min="12741" max="12741" width="12.5546875" style="655" customWidth="1"/>
    <col min="12742" max="12742" width="2" style="655" customWidth="1"/>
    <col min="12743" max="12744" width="9.109375" style="655"/>
    <col min="12745" max="12745" width="11" style="655" customWidth="1"/>
    <col min="12746" max="12746" width="9.109375" style="655"/>
    <col min="12747" max="12747" width="2.21875" style="655" customWidth="1"/>
    <col min="12748" max="12748" width="11" style="655" customWidth="1"/>
    <col min="12749" max="12749" width="9.109375" style="655"/>
    <col min="12750" max="12750" width="11.5546875" style="655" customWidth="1"/>
    <col min="12751" max="12751" width="11.21875" style="655" customWidth="1"/>
    <col min="12752" max="12752" width="2.88671875" style="655" customWidth="1"/>
    <col min="12753" max="12754" width="9.109375" style="655"/>
    <col min="12755" max="12755" width="11.21875" style="655" customWidth="1"/>
    <col min="12756" max="12756" width="2.21875" style="655" customWidth="1"/>
    <col min="12757" max="12757" width="9.109375" style="655"/>
    <col min="12758" max="12758" width="10.44140625" style="655" customWidth="1"/>
    <col min="12759" max="12759" width="9.109375" style="655"/>
    <col min="12760" max="12760" width="11.109375" style="655" customWidth="1"/>
    <col min="12761" max="12762" width="9.109375" style="655"/>
    <col min="12763" max="12763" width="10.88671875" style="655" customWidth="1"/>
    <col min="12764" max="12765" width="9.109375" style="655"/>
    <col min="12766" max="12766" width="1.5546875" style="655" customWidth="1"/>
    <col min="12767" max="12767" width="9.77734375" style="655" customWidth="1"/>
    <col min="12768" max="12771" width="9.109375" style="655"/>
    <col min="12772" max="12772" width="1.88671875" style="655" customWidth="1"/>
    <col min="12773" max="12773" width="9.88671875" style="655" customWidth="1"/>
    <col min="12774" max="12774" width="1.5546875" style="655" customWidth="1"/>
    <col min="12775" max="12775" width="11.44140625" style="655" customWidth="1"/>
    <col min="12776" max="12776" width="2.21875" style="655" customWidth="1"/>
    <col min="12777" max="12777" width="12" style="655" customWidth="1"/>
    <col min="12778" max="12778" width="2" style="655" customWidth="1"/>
    <col min="12779" max="12779" width="9.109375" style="655"/>
    <col min="12780" max="12780" width="11.109375" style="655" customWidth="1"/>
    <col min="12781" max="12781" width="12" style="655" customWidth="1"/>
    <col min="12782" max="12782" width="9.109375" style="655"/>
    <col min="12783" max="12783" width="11.88671875" style="655" customWidth="1"/>
    <col min="12784" max="12784" width="14.21875" style="655" customWidth="1"/>
    <col min="12785" max="12788" width="9.109375" style="655"/>
    <col min="12789" max="12789" width="3.44140625" style="655" customWidth="1"/>
    <col min="12790" max="12791" width="9.109375" style="655"/>
    <col min="12792" max="12792" width="11.44140625" style="655" customWidth="1"/>
    <col min="12793" max="12793" width="2.77734375" style="655" customWidth="1"/>
    <col min="12794" max="12976" width="9.109375" style="655"/>
    <col min="12977" max="12977" width="9.5546875" style="655" customWidth="1"/>
    <col min="12978" max="12978" width="11" style="655" customWidth="1"/>
    <col min="12979" max="12980" width="11.21875" style="655" customWidth="1"/>
    <col min="12981" max="12981" width="11.5546875" style="655" customWidth="1"/>
    <col min="12982" max="12982" width="11.109375" style="655" customWidth="1"/>
    <col min="12983" max="12983" width="2" style="655" customWidth="1"/>
    <col min="12984" max="12984" width="13.5546875" style="655" customWidth="1"/>
    <col min="12985" max="12985" width="12.44140625" style="655" customWidth="1"/>
    <col min="12986" max="12986" width="13.5546875" style="655" customWidth="1"/>
    <col min="12987" max="12987" width="2.109375" style="655" customWidth="1"/>
    <col min="12988" max="12988" width="9.109375" style="655"/>
    <col min="12989" max="12989" width="10.21875" style="655" customWidth="1"/>
    <col min="12990" max="12990" width="1.88671875" style="655" customWidth="1"/>
    <col min="12991" max="12991" width="10.77734375" style="655" customWidth="1"/>
    <col min="12992" max="12992" width="9.109375" style="655"/>
    <col min="12993" max="12993" width="2.109375" style="655" customWidth="1"/>
    <col min="12994" max="12994" width="9.109375" style="655"/>
    <col min="12995" max="12995" width="11.21875" style="655" customWidth="1"/>
    <col min="12996" max="12996" width="12.77734375" style="655" customWidth="1"/>
    <col min="12997" max="12997" width="12.5546875" style="655" customWidth="1"/>
    <col min="12998" max="12998" width="2" style="655" customWidth="1"/>
    <col min="12999" max="13000" width="9.109375" style="655"/>
    <col min="13001" max="13001" width="11" style="655" customWidth="1"/>
    <col min="13002" max="13002" width="9.109375" style="655"/>
    <col min="13003" max="13003" width="2.21875" style="655" customWidth="1"/>
    <col min="13004" max="13004" width="11" style="655" customWidth="1"/>
    <col min="13005" max="13005" width="9.109375" style="655"/>
    <col min="13006" max="13006" width="11.5546875" style="655" customWidth="1"/>
    <col min="13007" max="13007" width="11.21875" style="655" customWidth="1"/>
    <col min="13008" max="13008" width="2.88671875" style="655" customWidth="1"/>
    <col min="13009" max="13010" width="9.109375" style="655"/>
    <col min="13011" max="13011" width="11.21875" style="655" customWidth="1"/>
    <col min="13012" max="13012" width="2.21875" style="655" customWidth="1"/>
    <col min="13013" max="13013" width="9.109375" style="655"/>
    <col min="13014" max="13014" width="10.44140625" style="655" customWidth="1"/>
    <col min="13015" max="13015" width="9.109375" style="655"/>
    <col min="13016" max="13016" width="11.109375" style="655" customWidth="1"/>
    <col min="13017" max="13018" width="9.109375" style="655"/>
    <col min="13019" max="13019" width="10.88671875" style="655" customWidth="1"/>
    <col min="13020" max="13021" width="9.109375" style="655"/>
    <col min="13022" max="13022" width="1.5546875" style="655" customWidth="1"/>
    <col min="13023" max="13023" width="9.77734375" style="655" customWidth="1"/>
    <col min="13024" max="13027" width="9.109375" style="655"/>
    <col min="13028" max="13028" width="1.88671875" style="655" customWidth="1"/>
    <col min="13029" max="13029" width="9.88671875" style="655" customWidth="1"/>
    <col min="13030" max="13030" width="1.5546875" style="655" customWidth="1"/>
    <col min="13031" max="13031" width="11.44140625" style="655" customWidth="1"/>
    <col min="13032" max="13032" width="2.21875" style="655" customWidth="1"/>
    <col min="13033" max="13033" width="12" style="655" customWidth="1"/>
    <col min="13034" max="13034" width="2" style="655" customWidth="1"/>
    <col min="13035" max="13035" width="9.109375" style="655"/>
    <col min="13036" max="13036" width="11.109375" style="655" customWidth="1"/>
    <col min="13037" max="13037" width="12" style="655" customWidth="1"/>
    <col min="13038" max="13038" width="9.109375" style="655"/>
    <col min="13039" max="13039" width="11.88671875" style="655" customWidth="1"/>
    <col min="13040" max="13040" width="14.21875" style="655" customWidth="1"/>
    <col min="13041" max="13044" width="9.109375" style="655"/>
    <col min="13045" max="13045" width="3.44140625" style="655" customWidth="1"/>
    <col min="13046" max="13047" width="9.109375" style="655"/>
    <col min="13048" max="13048" width="11.44140625" style="655" customWidth="1"/>
    <col min="13049" max="13049" width="2.77734375" style="655" customWidth="1"/>
    <col min="13050" max="13232" width="9.109375" style="655"/>
    <col min="13233" max="13233" width="9.5546875" style="655" customWidth="1"/>
    <col min="13234" max="13234" width="11" style="655" customWidth="1"/>
    <col min="13235" max="13236" width="11.21875" style="655" customWidth="1"/>
    <col min="13237" max="13237" width="11.5546875" style="655" customWidth="1"/>
    <col min="13238" max="13238" width="11.109375" style="655" customWidth="1"/>
    <col min="13239" max="13239" width="2" style="655" customWidth="1"/>
    <col min="13240" max="13240" width="13.5546875" style="655" customWidth="1"/>
    <col min="13241" max="13241" width="12.44140625" style="655" customWidth="1"/>
    <col min="13242" max="13242" width="13.5546875" style="655" customWidth="1"/>
    <col min="13243" max="13243" width="2.109375" style="655" customWidth="1"/>
    <col min="13244" max="13244" width="9.109375" style="655"/>
    <col min="13245" max="13245" width="10.21875" style="655" customWidth="1"/>
    <col min="13246" max="13246" width="1.88671875" style="655" customWidth="1"/>
    <col min="13247" max="13247" width="10.77734375" style="655" customWidth="1"/>
    <col min="13248" max="13248" width="9.109375" style="655"/>
    <col min="13249" max="13249" width="2.109375" style="655" customWidth="1"/>
    <col min="13250" max="13250" width="9.109375" style="655"/>
    <col min="13251" max="13251" width="11.21875" style="655" customWidth="1"/>
    <col min="13252" max="13252" width="12.77734375" style="655" customWidth="1"/>
    <col min="13253" max="13253" width="12.5546875" style="655" customWidth="1"/>
    <col min="13254" max="13254" width="2" style="655" customWidth="1"/>
    <col min="13255" max="13256" width="9.109375" style="655"/>
    <col min="13257" max="13257" width="11" style="655" customWidth="1"/>
    <col min="13258" max="13258" width="9.109375" style="655"/>
    <col min="13259" max="13259" width="2.21875" style="655" customWidth="1"/>
    <col min="13260" max="13260" width="11" style="655" customWidth="1"/>
    <col min="13261" max="13261" width="9.109375" style="655"/>
    <col min="13262" max="13262" width="11.5546875" style="655" customWidth="1"/>
    <col min="13263" max="13263" width="11.21875" style="655" customWidth="1"/>
    <col min="13264" max="13264" width="2.88671875" style="655" customWidth="1"/>
    <col min="13265" max="13266" width="9.109375" style="655"/>
    <col min="13267" max="13267" width="11.21875" style="655" customWidth="1"/>
    <col min="13268" max="13268" width="2.21875" style="655" customWidth="1"/>
    <col min="13269" max="13269" width="9.109375" style="655"/>
    <col min="13270" max="13270" width="10.44140625" style="655" customWidth="1"/>
    <col min="13271" max="13271" width="9.109375" style="655"/>
    <col min="13272" max="13272" width="11.109375" style="655" customWidth="1"/>
    <col min="13273" max="13274" width="9.109375" style="655"/>
    <col min="13275" max="13275" width="10.88671875" style="655" customWidth="1"/>
    <col min="13276" max="13277" width="9.109375" style="655"/>
    <col min="13278" max="13278" width="1.5546875" style="655" customWidth="1"/>
    <col min="13279" max="13279" width="9.77734375" style="655" customWidth="1"/>
    <col min="13280" max="13283" width="9.109375" style="655"/>
    <col min="13284" max="13284" width="1.88671875" style="655" customWidth="1"/>
    <col min="13285" max="13285" width="9.88671875" style="655" customWidth="1"/>
    <col min="13286" max="13286" width="1.5546875" style="655" customWidth="1"/>
    <col min="13287" max="13287" width="11.44140625" style="655" customWidth="1"/>
    <col min="13288" max="13288" width="2.21875" style="655" customWidth="1"/>
    <col min="13289" max="13289" width="12" style="655" customWidth="1"/>
    <col min="13290" max="13290" width="2" style="655" customWidth="1"/>
    <col min="13291" max="13291" width="9.109375" style="655"/>
    <col min="13292" max="13292" width="11.109375" style="655" customWidth="1"/>
    <col min="13293" max="13293" width="12" style="655" customWidth="1"/>
    <col min="13294" max="13294" width="9.109375" style="655"/>
    <col min="13295" max="13295" width="11.88671875" style="655" customWidth="1"/>
    <col min="13296" max="13296" width="14.21875" style="655" customWidth="1"/>
    <col min="13297" max="13300" width="9.109375" style="655"/>
    <col min="13301" max="13301" width="3.44140625" style="655" customWidth="1"/>
    <col min="13302" max="13303" width="9.109375" style="655"/>
    <col min="13304" max="13304" width="11.44140625" style="655" customWidth="1"/>
    <col min="13305" max="13305" width="2.77734375" style="655" customWidth="1"/>
    <col min="13306" max="13488" width="9.109375" style="655"/>
    <col min="13489" max="13489" width="9.5546875" style="655" customWidth="1"/>
    <col min="13490" max="13490" width="11" style="655" customWidth="1"/>
    <col min="13491" max="13492" width="11.21875" style="655" customWidth="1"/>
    <col min="13493" max="13493" width="11.5546875" style="655" customWidth="1"/>
    <col min="13494" max="13494" width="11.109375" style="655" customWidth="1"/>
    <col min="13495" max="13495" width="2" style="655" customWidth="1"/>
    <col min="13496" max="13496" width="13.5546875" style="655" customWidth="1"/>
    <col min="13497" max="13497" width="12.44140625" style="655" customWidth="1"/>
    <col min="13498" max="13498" width="13.5546875" style="655" customWidth="1"/>
    <col min="13499" max="13499" width="2.109375" style="655" customWidth="1"/>
    <col min="13500" max="13500" width="9.109375" style="655"/>
    <col min="13501" max="13501" width="10.21875" style="655" customWidth="1"/>
    <col min="13502" max="13502" width="1.88671875" style="655" customWidth="1"/>
    <col min="13503" max="13503" width="10.77734375" style="655" customWidth="1"/>
    <col min="13504" max="13504" width="9.109375" style="655"/>
    <col min="13505" max="13505" width="2.109375" style="655" customWidth="1"/>
    <col min="13506" max="13506" width="9.109375" style="655"/>
    <col min="13507" max="13507" width="11.21875" style="655" customWidth="1"/>
    <col min="13508" max="13508" width="12.77734375" style="655" customWidth="1"/>
    <col min="13509" max="13509" width="12.5546875" style="655" customWidth="1"/>
    <col min="13510" max="13510" width="2" style="655" customWidth="1"/>
    <col min="13511" max="13512" width="9.109375" style="655"/>
    <col min="13513" max="13513" width="11" style="655" customWidth="1"/>
    <col min="13514" max="13514" width="9.109375" style="655"/>
    <col min="13515" max="13515" width="2.21875" style="655" customWidth="1"/>
    <col min="13516" max="13516" width="11" style="655" customWidth="1"/>
    <col min="13517" max="13517" width="9.109375" style="655"/>
    <col min="13518" max="13518" width="11.5546875" style="655" customWidth="1"/>
    <col min="13519" max="13519" width="11.21875" style="655" customWidth="1"/>
    <col min="13520" max="13520" width="2.88671875" style="655" customWidth="1"/>
    <col min="13521" max="13522" width="9.109375" style="655"/>
    <col min="13523" max="13523" width="11.21875" style="655" customWidth="1"/>
    <col min="13524" max="13524" width="2.21875" style="655" customWidth="1"/>
    <col min="13525" max="13525" width="9.109375" style="655"/>
    <col min="13526" max="13526" width="10.44140625" style="655" customWidth="1"/>
    <col min="13527" max="13527" width="9.109375" style="655"/>
    <col min="13528" max="13528" width="11.109375" style="655" customWidth="1"/>
    <col min="13529" max="13530" width="9.109375" style="655"/>
    <col min="13531" max="13531" width="10.88671875" style="655" customWidth="1"/>
    <col min="13532" max="13533" width="9.109375" style="655"/>
    <col min="13534" max="13534" width="1.5546875" style="655" customWidth="1"/>
    <col min="13535" max="13535" width="9.77734375" style="655" customWidth="1"/>
    <col min="13536" max="13539" width="9.109375" style="655"/>
    <col min="13540" max="13540" width="1.88671875" style="655" customWidth="1"/>
    <col min="13541" max="13541" width="9.88671875" style="655" customWidth="1"/>
    <col min="13542" max="13542" width="1.5546875" style="655" customWidth="1"/>
    <col min="13543" max="13543" width="11.44140625" style="655" customWidth="1"/>
    <col min="13544" max="13544" width="2.21875" style="655" customWidth="1"/>
    <col min="13545" max="13545" width="12" style="655" customWidth="1"/>
    <col min="13546" max="13546" width="2" style="655" customWidth="1"/>
    <col min="13547" max="13547" width="9.109375" style="655"/>
    <col min="13548" max="13548" width="11.109375" style="655" customWidth="1"/>
    <col min="13549" max="13549" width="12" style="655" customWidth="1"/>
    <col min="13550" max="13550" width="9.109375" style="655"/>
    <col min="13551" max="13551" width="11.88671875" style="655" customWidth="1"/>
    <col min="13552" max="13552" width="14.21875" style="655" customWidth="1"/>
    <col min="13553" max="13556" width="9.109375" style="655"/>
    <col min="13557" max="13557" width="3.44140625" style="655" customWidth="1"/>
    <col min="13558" max="13559" width="9.109375" style="655"/>
    <col min="13560" max="13560" width="11.44140625" style="655" customWidth="1"/>
    <col min="13561" max="13561" width="2.77734375" style="655" customWidth="1"/>
    <col min="13562" max="13744" width="9.109375" style="655"/>
    <col min="13745" max="13745" width="9.5546875" style="655" customWidth="1"/>
    <col min="13746" max="13746" width="11" style="655" customWidth="1"/>
    <col min="13747" max="13748" width="11.21875" style="655" customWidth="1"/>
    <col min="13749" max="13749" width="11.5546875" style="655" customWidth="1"/>
    <col min="13750" max="13750" width="11.109375" style="655" customWidth="1"/>
    <col min="13751" max="13751" width="2" style="655" customWidth="1"/>
    <col min="13752" max="13752" width="13.5546875" style="655" customWidth="1"/>
    <col min="13753" max="13753" width="12.44140625" style="655" customWidth="1"/>
    <col min="13754" max="13754" width="13.5546875" style="655" customWidth="1"/>
    <col min="13755" max="13755" width="2.109375" style="655" customWidth="1"/>
    <col min="13756" max="13756" width="9.109375" style="655"/>
    <col min="13757" max="13757" width="10.21875" style="655" customWidth="1"/>
    <col min="13758" max="13758" width="1.88671875" style="655" customWidth="1"/>
    <col min="13759" max="13759" width="10.77734375" style="655" customWidth="1"/>
    <col min="13760" max="13760" width="9.109375" style="655"/>
    <col min="13761" max="13761" width="2.109375" style="655" customWidth="1"/>
    <col min="13762" max="13762" width="9.109375" style="655"/>
    <col min="13763" max="13763" width="11.21875" style="655" customWidth="1"/>
    <col min="13764" max="13764" width="12.77734375" style="655" customWidth="1"/>
    <col min="13765" max="13765" width="12.5546875" style="655" customWidth="1"/>
    <col min="13766" max="13766" width="2" style="655" customWidth="1"/>
    <col min="13767" max="13768" width="9.109375" style="655"/>
    <col min="13769" max="13769" width="11" style="655" customWidth="1"/>
    <col min="13770" max="13770" width="9.109375" style="655"/>
    <col min="13771" max="13771" width="2.21875" style="655" customWidth="1"/>
    <col min="13772" max="13772" width="11" style="655" customWidth="1"/>
    <col min="13773" max="13773" width="9.109375" style="655"/>
    <col min="13774" max="13774" width="11.5546875" style="655" customWidth="1"/>
    <col min="13775" max="13775" width="11.21875" style="655" customWidth="1"/>
    <col min="13776" max="13776" width="2.88671875" style="655" customWidth="1"/>
    <col min="13777" max="13778" width="9.109375" style="655"/>
    <col min="13779" max="13779" width="11.21875" style="655" customWidth="1"/>
    <col min="13780" max="13780" width="2.21875" style="655" customWidth="1"/>
    <col min="13781" max="13781" width="9.109375" style="655"/>
    <col min="13782" max="13782" width="10.44140625" style="655" customWidth="1"/>
    <col min="13783" max="13783" width="9.109375" style="655"/>
    <col min="13784" max="13784" width="11.109375" style="655" customWidth="1"/>
    <col min="13785" max="13786" width="9.109375" style="655"/>
    <col min="13787" max="13787" width="10.88671875" style="655" customWidth="1"/>
    <col min="13788" max="13789" width="9.109375" style="655"/>
    <col min="13790" max="13790" width="1.5546875" style="655" customWidth="1"/>
    <col min="13791" max="13791" width="9.77734375" style="655" customWidth="1"/>
    <col min="13792" max="13795" width="9.109375" style="655"/>
    <col min="13796" max="13796" width="1.88671875" style="655" customWidth="1"/>
    <col min="13797" max="13797" width="9.88671875" style="655" customWidth="1"/>
    <col min="13798" max="13798" width="1.5546875" style="655" customWidth="1"/>
    <col min="13799" max="13799" width="11.44140625" style="655" customWidth="1"/>
    <col min="13800" max="13800" width="2.21875" style="655" customWidth="1"/>
    <col min="13801" max="13801" width="12" style="655" customWidth="1"/>
    <col min="13802" max="13802" width="2" style="655" customWidth="1"/>
    <col min="13803" max="13803" width="9.109375" style="655"/>
    <col min="13804" max="13804" width="11.109375" style="655" customWidth="1"/>
    <col min="13805" max="13805" width="12" style="655" customWidth="1"/>
    <col min="13806" max="13806" width="9.109375" style="655"/>
    <col min="13807" max="13807" width="11.88671875" style="655" customWidth="1"/>
    <col min="13808" max="13808" width="14.21875" style="655" customWidth="1"/>
    <col min="13809" max="13812" width="9.109375" style="655"/>
    <col min="13813" max="13813" width="3.44140625" style="655" customWidth="1"/>
    <col min="13814" max="13815" width="9.109375" style="655"/>
    <col min="13816" max="13816" width="11.44140625" style="655" customWidth="1"/>
    <col min="13817" max="13817" width="2.77734375" style="655" customWidth="1"/>
    <col min="13818" max="14000" width="9.109375" style="655"/>
    <col min="14001" max="14001" width="9.5546875" style="655" customWidth="1"/>
    <col min="14002" max="14002" width="11" style="655" customWidth="1"/>
    <col min="14003" max="14004" width="11.21875" style="655" customWidth="1"/>
    <col min="14005" max="14005" width="11.5546875" style="655" customWidth="1"/>
    <col min="14006" max="14006" width="11.109375" style="655" customWidth="1"/>
    <col min="14007" max="14007" width="2" style="655" customWidth="1"/>
    <col min="14008" max="14008" width="13.5546875" style="655" customWidth="1"/>
    <col min="14009" max="14009" width="12.44140625" style="655" customWidth="1"/>
    <col min="14010" max="14010" width="13.5546875" style="655" customWidth="1"/>
    <col min="14011" max="14011" width="2.109375" style="655" customWidth="1"/>
    <col min="14012" max="14012" width="9.109375" style="655"/>
    <col min="14013" max="14013" width="10.21875" style="655" customWidth="1"/>
    <col min="14014" max="14014" width="1.88671875" style="655" customWidth="1"/>
    <col min="14015" max="14015" width="10.77734375" style="655" customWidth="1"/>
    <col min="14016" max="14016" width="9.109375" style="655"/>
    <col min="14017" max="14017" width="2.109375" style="655" customWidth="1"/>
    <col min="14018" max="14018" width="9.109375" style="655"/>
    <col min="14019" max="14019" width="11.21875" style="655" customWidth="1"/>
    <col min="14020" max="14020" width="12.77734375" style="655" customWidth="1"/>
    <col min="14021" max="14021" width="12.5546875" style="655" customWidth="1"/>
    <col min="14022" max="14022" width="2" style="655" customWidth="1"/>
    <col min="14023" max="14024" width="9.109375" style="655"/>
    <col min="14025" max="14025" width="11" style="655" customWidth="1"/>
    <col min="14026" max="14026" width="9.109375" style="655"/>
    <col min="14027" max="14027" width="2.21875" style="655" customWidth="1"/>
    <col min="14028" max="14028" width="11" style="655" customWidth="1"/>
    <col min="14029" max="14029" width="9.109375" style="655"/>
    <col min="14030" max="14030" width="11.5546875" style="655" customWidth="1"/>
    <col min="14031" max="14031" width="11.21875" style="655" customWidth="1"/>
    <col min="14032" max="14032" width="2.88671875" style="655" customWidth="1"/>
    <col min="14033" max="14034" width="9.109375" style="655"/>
    <col min="14035" max="14035" width="11.21875" style="655" customWidth="1"/>
    <col min="14036" max="14036" width="2.21875" style="655" customWidth="1"/>
    <col min="14037" max="14037" width="9.109375" style="655"/>
    <col min="14038" max="14038" width="10.44140625" style="655" customWidth="1"/>
    <col min="14039" max="14039" width="9.109375" style="655"/>
    <col min="14040" max="14040" width="11.109375" style="655" customWidth="1"/>
    <col min="14041" max="14042" width="9.109375" style="655"/>
    <col min="14043" max="14043" width="10.88671875" style="655" customWidth="1"/>
    <col min="14044" max="14045" width="9.109375" style="655"/>
    <col min="14046" max="14046" width="1.5546875" style="655" customWidth="1"/>
    <col min="14047" max="14047" width="9.77734375" style="655" customWidth="1"/>
    <col min="14048" max="14051" width="9.109375" style="655"/>
    <col min="14052" max="14052" width="1.88671875" style="655" customWidth="1"/>
    <col min="14053" max="14053" width="9.88671875" style="655" customWidth="1"/>
    <col min="14054" max="14054" width="1.5546875" style="655" customWidth="1"/>
    <col min="14055" max="14055" width="11.44140625" style="655" customWidth="1"/>
    <col min="14056" max="14056" width="2.21875" style="655" customWidth="1"/>
    <col min="14057" max="14057" width="12" style="655" customWidth="1"/>
    <col min="14058" max="14058" width="2" style="655" customWidth="1"/>
    <col min="14059" max="14059" width="9.109375" style="655"/>
    <col min="14060" max="14060" width="11.109375" style="655" customWidth="1"/>
    <col min="14061" max="14061" width="12" style="655" customWidth="1"/>
    <col min="14062" max="14062" width="9.109375" style="655"/>
    <col min="14063" max="14063" width="11.88671875" style="655" customWidth="1"/>
    <col min="14064" max="14064" width="14.21875" style="655" customWidth="1"/>
    <col min="14065" max="14068" width="9.109375" style="655"/>
    <col min="14069" max="14069" width="3.44140625" style="655" customWidth="1"/>
    <col min="14070" max="14071" width="9.109375" style="655"/>
    <col min="14072" max="14072" width="11.44140625" style="655" customWidth="1"/>
    <col min="14073" max="14073" width="2.77734375" style="655" customWidth="1"/>
    <col min="14074" max="14256" width="9.109375" style="655"/>
    <col min="14257" max="14257" width="9.5546875" style="655" customWidth="1"/>
    <col min="14258" max="14258" width="11" style="655" customWidth="1"/>
    <col min="14259" max="14260" width="11.21875" style="655" customWidth="1"/>
    <col min="14261" max="14261" width="11.5546875" style="655" customWidth="1"/>
    <col min="14262" max="14262" width="11.109375" style="655" customWidth="1"/>
    <col min="14263" max="14263" width="2" style="655" customWidth="1"/>
    <col min="14264" max="14264" width="13.5546875" style="655" customWidth="1"/>
    <col min="14265" max="14265" width="12.44140625" style="655" customWidth="1"/>
    <col min="14266" max="14266" width="13.5546875" style="655" customWidth="1"/>
    <col min="14267" max="14267" width="2.109375" style="655" customWidth="1"/>
    <col min="14268" max="14268" width="9.109375" style="655"/>
    <col min="14269" max="14269" width="10.21875" style="655" customWidth="1"/>
    <col min="14270" max="14270" width="1.88671875" style="655" customWidth="1"/>
    <col min="14271" max="14271" width="10.77734375" style="655" customWidth="1"/>
    <col min="14272" max="14272" width="9.109375" style="655"/>
    <col min="14273" max="14273" width="2.109375" style="655" customWidth="1"/>
    <col min="14274" max="14274" width="9.109375" style="655"/>
    <col min="14275" max="14275" width="11.21875" style="655" customWidth="1"/>
    <col min="14276" max="14276" width="12.77734375" style="655" customWidth="1"/>
    <col min="14277" max="14277" width="12.5546875" style="655" customWidth="1"/>
    <col min="14278" max="14278" width="2" style="655" customWidth="1"/>
    <col min="14279" max="14280" width="9.109375" style="655"/>
    <col min="14281" max="14281" width="11" style="655" customWidth="1"/>
    <col min="14282" max="14282" width="9.109375" style="655"/>
    <col min="14283" max="14283" width="2.21875" style="655" customWidth="1"/>
    <col min="14284" max="14284" width="11" style="655" customWidth="1"/>
    <col min="14285" max="14285" width="9.109375" style="655"/>
    <col min="14286" max="14286" width="11.5546875" style="655" customWidth="1"/>
    <col min="14287" max="14287" width="11.21875" style="655" customWidth="1"/>
    <col min="14288" max="14288" width="2.88671875" style="655" customWidth="1"/>
    <col min="14289" max="14290" width="9.109375" style="655"/>
    <col min="14291" max="14291" width="11.21875" style="655" customWidth="1"/>
    <col min="14292" max="14292" width="2.21875" style="655" customWidth="1"/>
    <col min="14293" max="14293" width="9.109375" style="655"/>
    <col min="14294" max="14294" width="10.44140625" style="655" customWidth="1"/>
    <col min="14295" max="14295" width="9.109375" style="655"/>
    <col min="14296" max="14296" width="11.109375" style="655" customWidth="1"/>
    <col min="14297" max="14298" width="9.109375" style="655"/>
    <col min="14299" max="14299" width="10.88671875" style="655" customWidth="1"/>
    <col min="14300" max="14301" width="9.109375" style="655"/>
    <col min="14302" max="14302" width="1.5546875" style="655" customWidth="1"/>
    <col min="14303" max="14303" width="9.77734375" style="655" customWidth="1"/>
    <col min="14304" max="14307" width="9.109375" style="655"/>
    <col min="14308" max="14308" width="1.88671875" style="655" customWidth="1"/>
    <col min="14309" max="14309" width="9.88671875" style="655" customWidth="1"/>
    <col min="14310" max="14310" width="1.5546875" style="655" customWidth="1"/>
    <col min="14311" max="14311" width="11.44140625" style="655" customWidth="1"/>
    <col min="14312" max="14312" width="2.21875" style="655" customWidth="1"/>
    <col min="14313" max="14313" width="12" style="655" customWidth="1"/>
    <col min="14314" max="14314" width="2" style="655" customWidth="1"/>
    <col min="14315" max="14315" width="9.109375" style="655"/>
    <col min="14316" max="14316" width="11.109375" style="655" customWidth="1"/>
    <col min="14317" max="14317" width="12" style="655" customWidth="1"/>
    <col min="14318" max="14318" width="9.109375" style="655"/>
    <col min="14319" max="14319" width="11.88671875" style="655" customWidth="1"/>
    <col min="14320" max="14320" width="14.21875" style="655" customWidth="1"/>
    <col min="14321" max="14324" width="9.109375" style="655"/>
    <col min="14325" max="14325" width="3.44140625" style="655" customWidth="1"/>
    <col min="14326" max="14327" width="9.109375" style="655"/>
    <col min="14328" max="14328" width="11.44140625" style="655" customWidth="1"/>
    <col min="14329" max="14329" width="2.77734375" style="655" customWidth="1"/>
    <col min="14330" max="14512" width="9.109375" style="655"/>
    <col min="14513" max="14513" width="9.5546875" style="655" customWidth="1"/>
    <col min="14514" max="14514" width="11" style="655" customWidth="1"/>
    <col min="14515" max="14516" width="11.21875" style="655" customWidth="1"/>
    <col min="14517" max="14517" width="11.5546875" style="655" customWidth="1"/>
    <col min="14518" max="14518" width="11.109375" style="655" customWidth="1"/>
    <col min="14519" max="14519" width="2" style="655" customWidth="1"/>
    <col min="14520" max="14520" width="13.5546875" style="655" customWidth="1"/>
    <col min="14521" max="14521" width="12.44140625" style="655" customWidth="1"/>
    <col min="14522" max="14522" width="13.5546875" style="655" customWidth="1"/>
    <col min="14523" max="14523" width="2.109375" style="655" customWidth="1"/>
    <col min="14524" max="14524" width="9.109375" style="655"/>
    <col min="14525" max="14525" width="10.21875" style="655" customWidth="1"/>
    <col min="14526" max="14526" width="1.88671875" style="655" customWidth="1"/>
    <col min="14527" max="14527" width="10.77734375" style="655" customWidth="1"/>
    <col min="14528" max="14528" width="9.109375" style="655"/>
    <col min="14529" max="14529" width="2.109375" style="655" customWidth="1"/>
    <col min="14530" max="14530" width="9.109375" style="655"/>
    <col min="14531" max="14531" width="11.21875" style="655" customWidth="1"/>
    <col min="14532" max="14532" width="12.77734375" style="655" customWidth="1"/>
    <col min="14533" max="14533" width="12.5546875" style="655" customWidth="1"/>
    <col min="14534" max="14534" width="2" style="655" customWidth="1"/>
    <col min="14535" max="14536" width="9.109375" style="655"/>
    <col min="14537" max="14537" width="11" style="655" customWidth="1"/>
    <col min="14538" max="14538" width="9.109375" style="655"/>
    <col min="14539" max="14539" width="2.21875" style="655" customWidth="1"/>
    <col min="14540" max="14540" width="11" style="655" customWidth="1"/>
    <col min="14541" max="14541" width="9.109375" style="655"/>
    <col min="14542" max="14542" width="11.5546875" style="655" customWidth="1"/>
    <col min="14543" max="14543" width="11.21875" style="655" customWidth="1"/>
    <col min="14544" max="14544" width="2.88671875" style="655" customWidth="1"/>
    <col min="14545" max="14546" width="9.109375" style="655"/>
    <col min="14547" max="14547" width="11.21875" style="655" customWidth="1"/>
    <col min="14548" max="14548" width="2.21875" style="655" customWidth="1"/>
    <col min="14549" max="14549" width="9.109375" style="655"/>
    <col min="14550" max="14550" width="10.44140625" style="655" customWidth="1"/>
    <col min="14551" max="14551" width="9.109375" style="655"/>
    <col min="14552" max="14552" width="11.109375" style="655" customWidth="1"/>
    <col min="14553" max="14554" width="9.109375" style="655"/>
    <col min="14555" max="14555" width="10.88671875" style="655" customWidth="1"/>
    <col min="14556" max="14557" width="9.109375" style="655"/>
    <col min="14558" max="14558" width="1.5546875" style="655" customWidth="1"/>
    <col min="14559" max="14559" width="9.77734375" style="655" customWidth="1"/>
    <col min="14560" max="14563" width="9.109375" style="655"/>
    <col min="14564" max="14564" width="1.88671875" style="655" customWidth="1"/>
    <col min="14565" max="14565" width="9.88671875" style="655" customWidth="1"/>
    <col min="14566" max="14566" width="1.5546875" style="655" customWidth="1"/>
    <col min="14567" max="14567" width="11.44140625" style="655" customWidth="1"/>
    <col min="14568" max="14568" width="2.21875" style="655" customWidth="1"/>
    <col min="14569" max="14569" width="12" style="655" customWidth="1"/>
    <col min="14570" max="14570" width="2" style="655" customWidth="1"/>
    <col min="14571" max="14571" width="9.109375" style="655"/>
    <col min="14572" max="14572" width="11.109375" style="655" customWidth="1"/>
    <col min="14573" max="14573" width="12" style="655" customWidth="1"/>
    <col min="14574" max="14574" width="9.109375" style="655"/>
    <col min="14575" max="14575" width="11.88671875" style="655" customWidth="1"/>
    <col min="14576" max="14576" width="14.21875" style="655" customWidth="1"/>
    <col min="14577" max="14580" width="9.109375" style="655"/>
    <col min="14581" max="14581" width="3.44140625" style="655" customWidth="1"/>
    <col min="14582" max="14583" width="9.109375" style="655"/>
    <col min="14584" max="14584" width="11.44140625" style="655" customWidth="1"/>
    <col min="14585" max="14585" width="2.77734375" style="655" customWidth="1"/>
    <col min="14586" max="14768" width="9.109375" style="655"/>
    <col min="14769" max="14769" width="9.5546875" style="655" customWidth="1"/>
    <col min="14770" max="14770" width="11" style="655" customWidth="1"/>
    <col min="14771" max="14772" width="11.21875" style="655" customWidth="1"/>
    <col min="14773" max="14773" width="11.5546875" style="655" customWidth="1"/>
    <col min="14774" max="14774" width="11.109375" style="655" customWidth="1"/>
    <col min="14775" max="14775" width="2" style="655" customWidth="1"/>
    <col min="14776" max="14776" width="13.5546875" style="655" customWidth="1"/>
    <col min="14777" max="14777" width="12.44140625" style="655" customWidth="1"/>
    <col min="14778" max="14778" width="13.5546875" style="655" customWidth="1"/>
    <col min="14779" max="14779" width="2.109375" style="655" customWidth="1"/>
    <col min="14780" max="14780" width="9.109375" style="655"/>
    <col min="14781" max="14781" width="10.21875" style="655" customWidth="1"/>
    <col min="14782" max="14782" width="1.88671875" style="655" customWidth="1"/>
    <col min="14783" max="14783" width="10.77734375" style="655" customWidth="1"/>
    <col min="14784" max="14784" width="9.109375" style="655"/>
    <col min="14785" max="14785" width="2.109375" style="655" customWidth="1"/>
    <col min="14786" max="14786" width="9.109375" style="655"/>
    <col min="14787" max="14787" width="11.21875" style="655" customWidth="1"/>
    <col min="14788" max="14788" width="12.77734375" style="655" customWidth="1"/>
    <col min="14789" max="14789" width="12.5546875" style="655" customWidth="1"/>
    <col min="14790" max="14790" width="2" style="655" customWidth="1"/>
    <col min="14791" max="14792" width="9.109375" style="655"/>
    <col min="14793" max="14793" width="11" style="655" customWidth="1"/>
    <col min="14794" max="14794" width="9.109375" style="655"/>
    <col min="14795" max="14795" width="2.21875" style="655" customWidth="1"/>
    <col min="14796" max="14796" width="11" style="655" customWidth="1"/>
    <col min="14797" max="14797" width="9.109375" style="655"/>
    <col min="14798" max="14798" width="11.5546875" style="655" customWidth="1"/>
    <col min="14799" max="14799" width="11.21875" style="655" customWidth="1"/>
    <col min="14800" max="14800" width="2.88671875" style="655" customWidth="1"/>
    <col min="14801" max="14802" width="9.109375" style="655"/>
    <col min="14803" max="14803" width="11.21875" style="655" customWidth="1"/>
    <col min="14804" max="14804" width="2.21875" style="655" customWidth="1"/>
    <col min="14805" max="14805" width="9.109375" style="655"/>
    <col min="14806" max="14806" width="10.44140625" style="655" customWidth="1"/>
    <col min="14807" max="14807" width="9.109375" style="655"/>
    <col min="14808" max="14808" width="11.109375" style="655" customWidth="1"/>
    <col min="14809" max="14810" width="9.109375" style="655"/>
    <col min="14811" max="14811" width="10.88671875" style="655" customWidth="1"/>
    <col min="14812" max="14813" width="9.109375" style="655"/>
    <col min="14814" max="14814" width="1.5546875" style="655" customWidth="1"/>
    <col min="14815" max="14815" width="9.77734375" style="655" customWidth="1"/>
    <col min="14816" max="14819" width="9.109375" style="655"/>
    <col min="14820" max="14820" width="1.88671875" style="655" customWidth="1"/>
    <col min="14821" max="14821" width="9.88671875" style="655" customWidth="1"/>
    <col min="14822" max="14822" width="1.5546875" style="655" customWidth="1"/>
    <col min="14823" max="14823" width="11.44140625" style="655" customWidth="1"/>
    <col min="14824" max="14824" width="2.21875" style="655" customWidth="1"/>
    <col min="14825" max="14825" width="12" style="655" customWidth="1"/>
    <col min="14826" max="14826" width="2" style="655" customWidth="1"/>
    <col min="14827" max="14827" width="9.109375" style="655"/>
    <col min="14828" max="14828" width="11.109375" style="655" customWidth="1"/>
    <col min="14829" max="14829" width="12" style="655" customWidth="1"/>
    <col min="14830" max="14830" width="9.109375" style="655"/>
    <col min="14831" max="14831" width="11.88671875" style="655" customWidth="1"/>
    <col min="14832" max="14832" width="14.21875" style="655" customWidth="1"/>
    <col min="14833" max="14836" width="9.109375" style="655"/>
    <col min="14837" max="14837" width="3.44140625" style="655" customWidth="1"/>
    <col min="14838" max="14839" width="9.109375" style="655"/>
    <col min="14840" max="14840" width="11.44140625" style="655" customWidth="1"/>
    <col min="14841" max="14841" width="2.77734375" style="655" customWidth="1"/>
    <col min="14842" max="15024" width="9.109375" style="655"/>
    <col min="15025" max="15025" width="9.5546875" style="655" customWidth="1"/>
    <col min="15026" max="15026" width="11" style="655" customWidth="1"/>
    <col min="15027" max="15028" width="11.21875" style="655" customWidth="1"/>
    <col min="15029" max="15029" width="11.5546875" style="655" customWidth="1"/>
    <col min="15030" max="15030" width="11.109375" style="655" customWidth="1"/>
    <col min="15031" max="15031" width="2" style="655" customWidth="1"/>
    <col min="15032" max="15032" width="13.5546875" style="655" customWidth="1"/>
    <col min="15033" max="15033" width="12.44140625" style="655" customWidth="1"/>
    <col min="15034" max="15034" width="13.5546875" style="655" customWidth="1"/>
    <col min="15035" max="15035" width="2.109375" style="655" customWidth="1"/>
    <col min="15036" max="15036" width="9.109375" style="655"/>
    <col min="15037" max="15037" width="10.21875" style="655" customWidth="1"/>
    <col min="15038" max="15038" width="1.88671875" style="655" customWidth="1"/>
    <col min="15039" max="15039" width="10.77734375" style="655" customWidth="1"/>
    <col min="15040" max="15040" width="9.109375" style="655"/>
    <col min="15041" max="15041" width="2.109375" style="655" customWidth="1"/>
    <col min="15042" max="15042" width="9.109375" style="655"/>
    <col min="15043" max="15043" width="11.21875" style="655" customWidth="1"/>
    <col min="15044" max="15044" width="12.77734375" style="655" customWidth="1"/>
    <col min="15045" max="15045" width="12.5546875" style="655" customWidth="1"/>
    <col min="15046" max="15046" width="2" style="655" customWidth="1"/>
    <col min="15047" max="15048" width="9.109375" style="655"/>
    <col min="15049" max="15049" width="11" style="655" customWidth="1"/>
    <col min="15050" max="15050" width="9.109375" style="655"/>
    <col min="15051" max="15051" width="2.21875" style="655" customWidth="1"/>
    <col min="15052" max="15052" width="11" style="655" customWidth="1"/>
    <col min="15053" max="15053" width="9.109375" style="655"/>
    <col min="15054" max="15054" width="11.5546875" style="655" customWidth="1"/>
    <col min="15055" max="15055" width="11.21875" style="655" customWidth="1"/>
    <col min="15056" max="15056" width="2.88671875" style="655" customWidth="1"/>
    <col min="15057" max="15058" width="9.109375" style="655"/>
    <col min="15059" max="15059" width="11.21875" style="655" customWidth="1"/>
    <col min="15060" max="15060" width="2.21875" style="655" customWidth="1"/>
    <col min="15061" max="15061" width="9.109375" style="655"/>
    <col min="15062" max="15062" width="10.44140625" style="655" customWidth="1"/>
    <col min="15063" max="15063" width="9.109375" style="655"/>
    <col min="15064" max="15064" width="11.109375" style="655" customWidth="1"/>
    <col min="15065" max="15066" width="9.109375" style="655"/>
    <col min="15067" max="15067" width="10.88671875" style="655" customWidth="1"/>
    <col min="15068" max="15069" width="9.109375" style="655"/>
    <col min="15070" max="15070" width="1.5546875" style="655" customWidth="1"/>
    <col min="15071" max="15071" width="9.77734375" style="655" customWidth="1"/>
    <col min="15072" max="15075" width="9.109375" style="655"/>
    <col min="15076" max="15076" width="1.88671875" style="655" customWidth="1"/>
    <col min="15077" max="15077" width="9.88671875" style="655" customWidth="1"/>
    <col min="15078" max="15078" width="1.5546875" style="655" customWidth="1"/>
    <col min="15079" max="15079" width="11.44140625" style="655" customWidth="1"/>
    <col min="15080" max="15080" width="2.21875" style="655" customWidth="1"/>
    <col min="15081" max="15081" width="12" style="655" customWidth="1"/>
    <col min="15082" max="15082" width="2" style="655" customWidth="1"/>
    <col min="15083" max="15083" width="9.109375" style="655"/>
    <col min="15084" max="15084" width="11.109375" style="655" customWidth="1"/>
    <col min="15085" max="15085" width="12" style="655" customWidth="1"/>
    <col min="15086" max="15086" width="9.109375" style="655"/>
    <col min="15087" max="15087" width="11.88671875" style="655" customWidth="1"/>
    <col min="15088" max="15088" width="14.21875" style="655" customWidth="1"/>
    <col min="15089" max="15092" width="9.109375" style="655"/>
    <col min="15093" max="15093" width="3.44140625" style="655" customWidth="1"/>
    <col min="15094" max="15095" width="9.109375" style="655"/>
    <col min="15096" max="15096" width="11.44140625" style="655" customWidth="1"/>
    <col min="15097" max="15097" width="2.77734375" style="655" customWidth="1"/>
    <col min="15098" max="15280" width="9.109375" style="655"/>
    <col min="15281" max="15281" width="9.5546875" style="655" customWidth="1"/>
    <col min="15282" max="15282" width="11" style="655" customWidth="1"/>
    <col min="15283" max="15284" width="11.21875" style="655" customWidth="1"/>
    <col min="15285" max="15285" width="11.5546875" style="655" customWidth="1"/>
    <col min="15286" max="15286" width="11.109375" style="655" customWidth="1"/>
    <col min="15287" max="15287" width="2" style="655" customWidth="1"/>
    <col min="15288" max="15288" width="13.5546875" style="655" customWidth="1"/>
    <col min="15289" max="15289" width="12.44140625" style="655" customWidth="1"/>
    <col min="15290" max="15290" width="13.5546875" style="655" customWidth="1"/>
    <col min="15291" max="15291" width="2.109375" style="655" customWidth="1"/>
    <col min="15292" max="15292" width="9.109375" style="655"/>
    <col min="15293" max="15293" width="10.21875" style="655" customWidth="1"/>
    <col min="15294" max="15294" width="1.88671875" style="655" customWidth="1"/>
    <col min="15295" max="15295" width="10.77734375" style="655" customWidth="1"/>
    <col min="15296" max="15296" width="9.109375" style="655"/>
    <col min="15297" max="15297" width="2.109375" style="655" customWidth="1"/>
    <col min="15298" max="15298" width="9.109375" style="655"/>
    <col min="15299" max="15299" width="11.21875" style="655" customWidth="1"/>
    <col min="15300" max="15300" width="12.77734375" style="655" customWidth="1"/>
    <col min="15301" max="15301" width="12.5546875" style="655" customWidth="1"/>
    <col min="15302" max="15302" width="2" style="655" customWidth="1"/>
    <col min="15303" max="15304" width="9.109375" style="655"/>
    <col min="15305" max="15305" width="11" style="655" customWidth="1"/>
    <col min="15306" max="15306" width="9.109375" style="655"/>
    <col min="15307" max="15307" width="2.21875" style="655" customWidth="1"/>
    <col min="15308" max="15308" width="11" style="655" customWidth="1"/>
    <col min="15309" max="15309" width="9.109375" style="655"/>
    <col min="15310" max="15310" width="11.5546875" style="655" customWidth="1"/>
    <col min="15311" max="15311" width="11.21875" style="655" customWidth="1"/>
    <col min="15312" max="15312" width="2.88671875" style="655" customWidth="1"/>
    <col min="15313" max="15314" width="9.109375" style="655"/>
    <col min="15315" max="15315" width="11.21875" style="655" customWidth="1"/>
    <col min="15316" max="15316" width="2.21875" style="655" customWidth="1"/>
    <col min="15317" max="15317" width="9.109375" style="655"/>
    <col min="15318" max="15318" width="10.44140625" style="655" customWidth="1"/>
    <col min="15319" max="15319" width="9.109375" style="655"/>
    <col min="15320" max="15320" width="11.109375" style="655" customWidth="1"/>
    <col min="15321" max="15322" width="9.109375" style="655"/>
    <col min="15323" max="15323" width="10.88671875" style="655" customWidth="1"/>
    <col min="15324" max="15325" width="9.109375" style="655"/>
    <col min="15326" max="15326" width="1.5546875" style="655" customWidth="1"/>
    <col min="15327" max="15327" width="9.77734375" style="655" customWidth="1"/>
    <col min="15328" max="15331" width="9.109375" style="655"/>
    <col min="15332" max="15332" width="1.88671875" style="655" customWidth="1"/>
    <col min="15333" max="15333" width="9.88671875" style="655" customWidth="1"/>
    <col min="15334" max="15334" width="1.5546875" style="655" customWidth="1"/>
    <col min="15335" max="15335" width="11.44140625" style="655" customWidth="1"/>
    <col min="15336" max="15336" width="2.21875" style="655" customWidth="1"/>
    <col min="15337" max="15337" width="12" style="655" customWidth="1"/>
    <col min="15338" max="15338" width="2" style="655" customWidth="1"/>
    <col min="15339" max="15339" width="9.109375" style="655"/>
    <col min="15340" max="15340" width="11.109375" style="655" customWidth="1"/>
    <col min="15341" max="15341" width="12" style="655" customWidth="1"/>
    <col min="15342" max="15342" width="9.109375" style="655"/>
    <col min="15343" max="15343" width="11.88671875" style="655" customWidth="1"/>
    <col min="15344" max="15344" width="14.21875" style="655" customWidth="1"/>
    <col min="15345" max="15348" width="9.109375" style="655"/>
    <col min="15349" max="15349" width="3.44140625" style="655" customWidth="1"/>
    <col min="15350" max="15351" width="9.109375" style="655"/>
    <col min="15352" max="15352" width="11.44140625" style="655" customWidth="1"/>
    <col min="15353" max="15353" width="2.77734375" style="655" customWidth="1"/>
    <col min="15354" max="15536" width="9.109375" style="655"/>
    <col min="15537" max="15537" width="9.5546875" style="655" customWidth="1"/>
    <col min="15538" max="15538" width="11" style="655" customWidth="1"/>
    <col min="15539" max="15540" width="11.21875" style="655" customWidth="1"/>
    <col min="15541" max="15541" width="11.5546875" style="655" customWidth="1"/>
    <col min="15542" max="15542" width="11.109375" style="655" customWidth="1"/>
    <col min="15543" max="15543" width="2" style="655" customWidth="1"/>
    <col min="15544" max="15544" width="13.5546875" style="655" customWidth="1"/>
    <col min="15545" max="15545" width="12.44140625" style="655" customWidth="1"/>
    <col min="15546" max="15546" width="13.5546875" style="655" customWidth="1"/>
    <col min="15547" max="15547" width="2.109375" style="655" customWidth="1"/>
    <col min="15548" max="15548" width="9.109375" style="655"/>
    <col min="15549" max="15549" width="10.21875" style="655" customWidth="1"/>
    <col min="15550" max="15550" width="1.88671875" style="655" customWidth="1"/>
    <col min="15551" max="15551" width="10.77734375" style="655" customWidth="1"/>
    <col min="15552" max="15552" width="9.109375" style="655"/>
    <col min="15553" max="15553" width="2.109375" style="655" customWidth="1"/>
    <col min="15554" max="15554" width="9.109375" style="655"/>
    <col min="15555" max="15555" width="11.21875" style="655" customWidth="1"/>
    <col min="15556" max="15556" width="12.77734375" style="655" customWidth="1"/>
    <col min="15557" max="15557" width="12.5546875" style="655" customWidth="1"/>
    <col min="15558" max="15558" width="2" style="655" customWidth="1"/>
    <col min="15559" max="15560" width="9.109375" style="655"/>
    <col min="15561" max="15561" width="11" style="655" customWidth="1"/>
    <col min="15562" max="15562" width="9.109375" style="655"/>
    <col min="15563" max="15563" width="2.21875" style="655" customWidth="1"/>
    <col min="15564" max="15564" width="11" style="655" customWidth="1"/>
    <col min="15565" max="15565" width="9.109375" style="655"/>
    <col min="15566" max="15566" width="11.5546875" style="655" customWidth="1"/>
    <col min="15567" max="15567" width="11.21875" style="655" customWidth="1"/>
    <col min="15568" max="15568" width="2.88671875" style="655" customWidth="1"/>
    <col min="15569" max="15570" width="9.109375" style="655"/>
    <col min="15571" max="15571" width="11.21875" style="655" customWidth="1"/>
    <col min="15572" max="15572" width="2.21875" style="655" customWidth="1"/>
    <col min="15573" max="15573" width="9.109375" style="655"/>
    <col min="15574" max="15574" width="10.44140625" style="655" customWidth="1"/>
    <col min="15575" max="15575" width="9.109375" style="655"/>
    <col min="15576" max="15576" width="11.109375" style="655" customWidth="1"/>
    <col min="15577" max="15578" width="9.109375" style="655"/>
    <col min="15579" max="15579" width="10.88671875" style="655" customWidth="1"/>
    <col min="15580" max="15581" width="9.109375" style="655"/>
    <col min="15582" max="15582" width="1.5546875" style="655" customWidth="1"/>
    <col min="15583" max="15583" width="9.77734375" style="655" customWidth="1"/>
    <col min="15584" max="15587" width="9.109375" style="655"/>
    <col min="15588" max="15588" width="1.88671875" style="655" customWidth="1"/>
    <col min="15589" max="15589" width="9.88671875" style="655" customWidth="1"/>
    <col min="15590" max="15590" width="1.5546875" style="655" customWidth="1"/>
    <col min="15591" max="15591" width="11.44140625" style="655" customWidth="1"/>
    <col min="15592" max="15592" width="2.21875" style="655" customWidth="1"/>
    <col min="15593" max="15593" width="12" style="655" customWidth="1"/>
    <col min="15594" max="15594" width="2" style="655" customWidth="1"/>
    <col min="15595" max="15595" width="9.109375" style="655"/>
    <col min="15596" max="15596" width="11.109375" style="655" customWidth="1"/>
    <col min="15597" max="15597" width="12" style="655" customWidth="1"/>
    <col min="15598" max="15598" width="9.109375" style="655"/>
    <col min="15599" max="15599" width="11.88671875" style="655" customWidth="1"/>
    <col min="15600" max="15600" width="14.21875" style="655" customWidth="1"/>
    <col min="15601" max="15604" width="9.109375" style="655"/>
    <col min="15605" max="15605" width="3.44140625" style="655" customWidth="1"/>
    <col min="15606" max="15607" width="9.109375" style="655"/>
    <col min="15608" max="15608" width="11.44140625" style="655" customWidth="1"/>
    <col min="15609" max="15609" width="2.77734375" style="655" customWidth="1"/>
    <col min="15610" max="15792" width="9.109375" style="655"/>
    <col min="15793" max="15793" width="9.5546875" style="655" customWidth="1"/>
    <col min="15794" max="15794" width="11" style="655" customWidth="1"/>
    <col min="15795" max="15796" width="11.21875" style="655" customWidth="1"/>
    <col min="15797" max="15797" width="11.5546875" style="655" customWidth="1"/>
    <col min="15798" max="15798" width="11.109375" style="655" customWidth="1"/>
    <col min="15799" max="15799" width="2" style="655" customWidth="1"/>
    <col min="15800" max="15800" width="13.5546875" style="655" customWidth="1"/>
    <col min="15801" max="15801" width="12.44140625" style="655" customWidth="1"/>
    <col min="15802" max="15802" width="13.5546875" style="655" customWidth="1"/>
    <col min="15803" max="15803" width="2.109375" style="655" customWidth="1"/>
    <col min="15804" max="15804" width="9.109375" style="655"/>
    <col min="15805" max="15805" width="10.21875" style="655" customWidth="1"/>
    <col min="15806" max="15806" width="1.88671875" style="655" customWidth="1"/>
    <col min="15807" max="15807" width="10.77734375" style="655" customWidth="1"/>
    <col min="15808" max="15808" width="9.109375" style="655"/>
    <col min="15809" max="15809" width="2.109375" style="655" customWidth="1"/>
    <col min="15810" max="15810" width="9.109375" style="655"/>
    <col min="15811" max="15811" width="11.21875" style="655" customWidth="1"/>
    <col min="15812" max="15812" width="12.77734375" style="655" customWidth="1"/>
    <col min="15813" max="15813" width="12.5546875" style="655" customWidth="1"/>
    <col min="15814" max="15814" width="2" style="655" customWidth="1"/>
    <col min="15815" max="15816" width="9.109375" style="655"/>
    <col min="15817" max="15817" width="11" style="655" customWidth="1"/>
    <col min="15818" max="15818" width="9.109375" style="655"/>
    <col min="15819" max="15819" width="2.21875" style="655" customWidth="1"/>
    <col min="15820" max="15820" width="11" style="655" customWidth="1"/>
    <col min="15821" max="15821" width="9.109375" style="655"/>
    <col min="15822" max="15822" width="11.5546875" style="655" customWidth="1"/>
    <col min="15823" max="15823" width="11.21875" style="655" customWidth="1"/>
    <col min="15824" max="15824" width="2.88671875" style="655" customWidth="1"/>
    <col min="15825" max="15826" width="9.109375" style="655"/>
    <col min="15827" max="15827" width="11.21875" style="655" customWidth="1"/>
    <col min="15828" max="15828" width="2.21875" style="655" customWidth="1"/>
    <col min="15829" max="15829" width="9.109375" style="655"/>
    <col min="15830" max="15830" width="10.44140625" style="655" customWidth="1"/>
    <col min="15831" max="15831" width="9.109375" style="655"/>
    <col min="15832" max="15832" width="11.109375" style="655" customWidth="1"/>
    <col min="15833" max="15834" width="9.109375" style="655"/>
    <col min="15835" max="15835" width="10.88671875" style="655" customWidth="1"/>
    <col min="15836" max="15837" width="9.109375" style="655"/>
    <col min="15838" max="15838" width="1.5546875" style="655" customWidth="1"/>
    <col min="15839" max="15839" width="9.77734375" style="655" customWidth="1"/>
    <col min="15840" max="15843" width="9.109375" style="655"/>
    <col min="15844" max="15844" width="1.88671875" style="655" customWidth="1"/>
    <col min="15845" max="15845" width="9.88671875" style="655" customWidth="1"/>
    <col min="15846" max="15846" width="1.5546875" style="655" customWidth="1"/>
    <col min="15847" max="15847" width="11.44140625" style="655" customWidth="1"/>
    <col min="15848" max="15848" width="2.21875" style="655" customWidth="1"/>
    <col min="15849" max="15849" width="12" style="655" customWidth="1"/>
    <col min="15850" max="15850" width="2" style="655" customWidth="1"/>
    <col min="15851" max="15851" width="9.109375" style="655"/>
    <col min="15852" max="15852" width="11.109375" style="655" customWidth="1"/>
    <col min="15853" max="15853" width="12" style="655" customWidth="1"/>
    <col min="15854" max="15854" width="9.109375" style="655"/>
    <col min="15855" max="15855" width="11.88671875" style="655" customWidth="1"/>
    <col min="15856" max="15856" width="14.21875" style="655" customWidth="1"/>
    <col min="15857" max="15860" width="9.109375" style="655"/>
    <col min="15861" max="15861" width="3.44140625" style="655" customWidth="1"/>
    <col min="15862" max="15863" width="9.109375" style="655"/>
    <col min="15864" max="15864" width="11.44140625" style="655" customWidth="1"/>
    <col min="15865" max="15865" width="2.77734375" style="655" customWidth="1"/>
    <col min="15866" max="16048" width="9.109375" style="655"/>
    <col min="16049" max="16049" width="9.5546875" style="655" customWidth="1"/>
    <col min="16050" max="16050" width="11" style="655" customWidth="1"/>
    <col min="16051" max="16052" width="11.21875" style="655" customWidth="1"/>
    <col min="16053" max="16053" width="11.5546875" style="655" customWidth="1"/>
    <col min="16054" max="16054" width="11.109375" style="655" customWidth="1"/>
    <col min="16055" max="16055" width="2" style="655" customWidth="1"/>
    <col min="16056" max="16056" width="13.5546875" style="655" customWidth="1"/>
    <col min="16057" max="16057" width="12.44140625" style="655" customWidth="1"/>
    <col min="16058" max="16058" width="13.5546875" style="655" customWidth="1"/>
    <col min="16059" max="16059" width="2.109375" style="655" customWidth="1"/>
    <col min="16060" max="16060" width="9.109375" style="655"/>
    <col min="16061" max="16061" width="10.21875" style="655" customWidth="1"/>
    <col min="16062" max="16062" width="1.88671875" style="655" customWidth="1"/>
    <col min="16063" max="16063" width="10.77734375" style="655" customWidth="1"/>
    <col min="16064" max="16064" width="9.109375" style="655"/>
    <col min="16065" max="16065" width="2.109375" style="655" customWidth="1"/>
    <col min="16066" max="16066" width="9.109375" style="655"/>
    <col min="16067" max="16067" width="11.21875" style="655" customWidth="1"/>
    <col min="16068" max="16068" width="12.77734375" style="655" customWidth="1"/>
    <col min="16069" max="16069" width="12.5546875" style="655" customWidth="1"/>
    <col min="16070" max="16070" width="2" style="655" customWidth="1"/>
    <col min="16071" max="16072" width="9.109375" style="655"/>
    <col min="16073" max="16073" width="11" style="655" customWidth="1"/>
    <col min="16074" max="16074" width="9.109375" style="655"/>
    <col min="16075" max="16075" width="2.21875" style="655" customWidth="1"/>
    <col min="16076" max="16076" width="11" style="655" customWidth="1"/>
    <col min="16077" max="16077" width="9.109375" style="655"/>
    <col min="16078" max="16078" width="11.5546875" style="655" customWidth="1"/>
    <col min="16079" max="16079" width="11.21875" style="655" customWidth="1"/>
    <col min="16080" max="16080" width="2.88671875" style="655" customWidth="1"/>
    <col min="16081" max="16082" width="9.109375" style="655"/>
    <col min="16083" max="16083" width="11.21875" style="655" customWidth="1"/>
    <col min="16084" max="16084" width="2.21875" style="655" customWidth="1"/>
    <col min="16085" max="16085" width="9.109375" style="655"/>
    <col min="16086" max="16086" width="10.44140625" style="655" customWidth="1"/>
    <col min="16087" max="16087" width="9.109375" style="655"/>
    <col min="16088" max="16088" width="11.109375" style="655" customWidth="1"/>
    <col min="16089" max="16090" width="9.109375" style="655"/>
    <col min="16091" max="16091" width="10.88671875" style="655" customWidth="1"/>
    <col min="16092" max="16093" width="9.109375" style="655"/>
    <col min="16094" max="16094" width="1.5546875" style="655" customWidth="1"/>
    <col min="16095" max="16095" width="9.77734375" style="655" customWidth="1"/>
    <col min="16096" max="16099" width="9.109375" style="655"/>
    <col min="16100" max="16100" width="1.88671875" style="655" customWidth="1"/>
    <col min="16101" max="16101" width="9.88671875" style="655" customWidth="1"/>
    <col min="16102" max="16102" width="1.5546875" style="655" customWidth="1"/>
    <col min="16103" max="16103" width="11.44140625" style="655" customWidth="1"/>
    <col min="16104" max="16104" width="2.21875" style="655" customWidth="1"/>
    <col min="16105" max="16105" width="12" style="655" customWidth="1"/>
    <col min="16106" max="16106" width="2" style="655" customWidth="1"/>
    <col min="16107" max="16107" width="9.109375" style="655"/>
    <col min="16108" max="16108" width="11.109375" style="655" customWidth="1"/>
    <col min="16109" max="16109" width="12" style="655" customWidth="1"/>
    <col min="16110" max="16110" width="9.109375" style="655"/>
    <col min="16111" max="16111" width="11.88671875" style="655" customWidth="1"/>
    <col min="16112" max="16112" width="14.21875" style="655" customWidth="1"/>
    <col min="16113" max="16116" width="9.109375" style="655"/>
    <col min="16117" max="16117" width="3.44140625" style="655" customWidth="1"/>
    <col min="16118" max="16119" width="9.109375" style="655"/>
    <col min="16120" max="16120" width="11.44140625" style="655" customWidth="1"/>
    <col min="16121" max="16121" width="2.77734375" style="655" customWidth="1"/>
    <col min="16122" max="16384" width="9.109375" style="655"/>
  </cols>
  <sheetData>
    <row r="1" spans="1:38" x14ac:dyDescent="0.3">
      <c r="A1" s="178" t="s">
        <v>2057</v>
      </c>
      <c r="I1" s="879"/>
    </row>
    <row r="2" spans="1:38" ht="16.5" customHeight="1" x14ac:dyDescent="0.3">
      <c r="B2" s="24"/>
      <c r="D2" s="8"/>
      <c r="AA2" s="12"/>
      <c r="AB2" s="12"/>
      <c r="AD2" s="12"/>
    </row>
    <row r="3" spans="1:38" ht="15" customHeight="1" x14ac:dyDescent="0.3">
      <c r="A3" s="412"/>
      <c r="B3" s="1396" t="s">
        <v>1339</v>
      </c>
      <c r="C3" s="845"/>
      <c r="D3" s="1398" t="s">
        <v>698</v>
      </c>
      <c r="E3" s="1398"/>
      <c r="F3" s="589"/>
      <c r="G3" s="1398" t="s">
        <v>699</v>
      </c>
      <c r="H3" s="1398"/>
      <c r="I3" s="1398"/>
      <c r="J3" s="1398"/>
      <c r="K3" s="1398"/>
      <c r="L3" s="589"/>
      <c r="M3" s="846" t="s">
        <v>1335</v>
      </c>
      <c r="N3" s="589"/>
      <c r="O3" s="1398" t="s">
        <v>701</v>
      </c>
      <c r="P3" s="1398"/>
      <c r="Q3" s="1398"/>
      <c r="R3" s="589"/>
      <c r="S3" s="1398" t="s">
        <v>1074</v>
      </c>
      <c r="T3" s="1398"/>
      <c r="U3" s="1398"/>
      <c r="V3" s="1398"/>
      <c r="W3" s="1398"/>
      <c r="X3" s="589"/>
      <c r="Y3" s="1396" t="s">
        <v>730</v>
      </c>
      <c r="Z3" s="709"/>
      <c r="AA3" s="1405" t="s">
        <v>531</v>
      </c>
      <c r="AB3" s="709"/>
      <c r="AC3" s="1405" t="s">
        <v>1768</v>
      </c>
      <c r="AD3" s="847"/>
    </row>
    <row r="4" spans="1:38" ht="15" customHeight="1" x14ac:dyDescent="0.3">
      <c r="A4" s="591"/>
      <c r="B4" s="1397"/>
      <c r="C4" s="847"/>
      <c r="D4" s="1401" t="s">
        <v>706</v>
      </c>
      <c r="E4" s="1401"/>
      <c r="F4" s="604"/>
      <c r="G4" s="1126" t="s">
        <v>675</v>
      </c>
      <c r="H4" s="686"/>
      <c r="I4" s="1402" t="s">
        <v>1244</v>
      </c>
      <c r="J4" s="1402"/>
      <c r="K4" s="1402"/>
      <c r="L4" s="604"/>
      <c r="M4" s="843" t="s">
        <v>708</v>
      </c>
      <c r="N4" s="593"/>
      <c r="O4" s="1403" t="s">
        <v>712</v>
      </c>
      <c r="P4" s="1403"/>
      <c r="Q4" s="1403"/>
      <c r="R4" s="593"/>
      <c r="S4" s="1412" t="s">
        <v>1337</v>
      </c>
      <c r="T4" s="849"/>
      <c r="U4" s="843" t="s">
        <v>1073</v>
      </c>
      <c r="V4" s="850"/>
      <c r="W4" s="842" t="s">
        <v>924</v>
      </c>
      <c r="X4" s="593"/>
      <c r="Y4" s="1404"/>
      <c r="Z4" s="709"/>
      <c r="AA4" s="1406"/>
      <c r="AB4" s="709"/>
      <c r="AC4" s="1406"/>
      <c r="AD4" s="851"/>
      <c r="AF4" s="1400"/>
      <c r="AG4" s="1400"/>
    </row>
    <row r="5" spans="1:38" s="170" customFormat="1" ht="27" customHeight="1" x14ac:dyDescent="0.3">
      <c r="A5" s="591"/>
      <c r="B5" s="1397"/>
      <c r="C5" s="847"/>
      <c r="D5" s="1399" t="s">
        <v>1448</v>
      </c>
      <c r="E5" s="1400" t="s">
        <v>1054</v>
      </c>
      <c r="F5" s="604"/>
      <c r="G5" s="1400" t="s">
        <v>1769</v>
      </c>
      <c r="H5" s="838"/>
      <c r="I5" s="1400" t="s">
        <v>1030</v>
      </c>
      <c r="J5" s="1400" t="s">
        <v>1029</v>
      </c>
      <c r="K5" s="1400" t="s">
        <v>751</v>
      </c>
      <c r="L5" s="604"/>
      <c r="M5" s="1400" t="s">
        <v>719</v>
      </c>
      <c r="N5" s="593"/>
      <c r="O5" s="1410" t="s">
        <v>723</v>
      </c>
      <c r="P5" s="1410"/>
      <c r="Q5" s="1410"/>
      <c r="R5" s="593"/>
      <c r="S5" s="1388"/>
      <c r="T5" s="876"/>
      <c r="U5" s="1411" t="s">
        <v>719</v>
      </c>
      <c r="V5" s="839"/>
      <c r="W5" s="1407" t="s">
        <v>857</v>
      </c>
      <c r="X5" s="604"/>
      <c r="Y5" s="1409" t="s">
        <v>1056</v>
      </c>
      <c r="Z5" s="852"/>
      <c r="AA5" s="1406"/>
      <c r="AB5" s="852"/>
      <c r="AC5" s="1406"/>
      <c r="AD5" s="838"/>
      <c r="AF5" s="1400"/>
      <c r="AG5" s="1400"/>
    </row>
    <row r="6" spans="1:38" s="170" customFormat="1" ht="15" customHeight="1" x14ac:dyDescent="0.3">
      <c r="A6" s="591"/>
      <c r="B6" s="1397"/>
      <c r="C6" s="847"/>
      <c r="D6" s="1400"/>
      <c r="E6" s="1400"/>
      <c r="F6" s="604"/>
      <c r="G6" s="1400"/>
      <c r="H6" s="838"/>
      <c r="I6" s="1400"/>
      <c r="J6" s="1400"/>
      <c r="K6" s="1400"/>
      <c r="L6" s="604"/>
      <c r="M6" s="1400"/>
      <c r="N6" s="593"/>
      <c r="O6" s="844" t="s">
        <v>1338</v>
      </c>
      <c r="P6" s="839"/>
      <c r="Q6" s="848" t="s">
        <v>1336</v>
      </c>
      <c r="R6" s="593"/>
      <c r="S6" s="1408" t="s">
        <v>719</v>
      </c>
      <c r="T6" s="839"/>
      <c r="U6" s="1400"/>
      <c r="V6" s="839"/>
      <c r="W6" s="1408"/>
      <c r="X6" s="604"/>
      <c r="Y6" s="1409"/>
      <c r="Z6" s="852"/>
      <c r="AA6" s="1406"/>
      <c r="AB6" s="852"/>
      <c r="AC6" s="1406"/>
      <c r="AD6" s="838"/>
      <c r="AF6" s="1400"/>
      <c r="AG6" s="1400"/>
    </row>
    <row r="7" spans="1:38" s="170" customFormat="1" ht="39" customHeight="1" x14ac:dyDescent="0.3">
      <c r="A7" s="591"/>
      <c r="B7" s="1397"/>
      <c r="C7" s="847"/>
      <c r="D7" s="1400"/>
      <c r="E7" s="1400"/>
      <c r="F7" s="604"/>
      <c r="G7" s="1400"/>
      <c r="H7" s="838"/>
      <c r="I7" s="1400"/>
      <c r="J7" s="1400"/>
      <c r="K7" s="1400"/>
      <c r="L7" s="604"/>
      <c r="M7" s="1400"/>
      <c r="N7" s="593"/>
      <c r="O7" s="839" t="s">
        <v>2100</v>
      </c>
      <c r="P7" s="839"/>
      <c r="Q7" s="839" t="s">
        <v>1078</v>
      </c>
      <c r="R7" s="593"/>
      <c r="S7" s="1408"/>
      <c r="T7" s="839"/>
      <c r="U7" s="1400"/>
      <c r="V7" s="839"/>
      <c r="W7" s="1408"/>
      <c r="X7" s="604"/>
      <c r="Y7" s="1409"/>
      <c r="Z7" s="852"/>
      <c r="AA7" s="1406"/>
      <c r="AB7" s="852"/>
      <c r="AC7" s="1406"/>
      <c r="AD7" s="838"/>
      <c r="AF7" s="1400"/>
      <c r="AG7" s="1400"/>
    </row>
    <row r="8" spans="1:38" ht="53.25" customHeight="1" x14ac:dyDescent="0.3">
      <c r="A8" s="1098"/>
      <c r="B8" s="400" t="s">
        <v>457</v>
      </c>
      <c r="C8" s="400"/>
      <c r="D8" s="841" t="s">
        <v>732</v>
      </c>
      <c r="E8" s="841" t="s">
        <v>735</v>
      </c>
      <c r="F8" s="403"/>
      <c r="G8" s="841" t="s">
        <v>732</v>
      </c>
      <c r="H8" s="841"/>
      <c r="I8" s="841" t="s">
        <v>732</v>
      </c>
      <c r="J8" s="841" t="s">
        <v>732</v>
      </c>
      <c r="K8" s="900" t="s">
        <v>457</v>
      </c>
      <c r="L8" s="841"/>
      <c r="M8" s="841" t="s">
        <v>732</v>
      </c>
      <c r="N8" s="840"/>
      <c r="O8" s="840" t="s">
        <v>732</v>
      </c>
      <c r="P8" s="840"/>
      <c r="Q8" s="841" t="s">
        <v>1049</v>
      </c>
      <c r="R8" s="840"/>
      <c r="S8" s="840" t="s">
        <v>757</v>
      </c>
      <c r="T8" s="840"/>
      <c r="U8" s="841" t="s">
        <v>1404</v>
      </c>
      <c r="V8" s="840"/>
      <c r="W8" s="840" t="s">
        <v>1075</v>
      </c>
      <c r="X8" s="841"/>
      <c r="Y8" s="840" t="s">
        <v>732</v>
      </c>
      <c r="Z8" s="604"/>
      <c r="AA8" s="400" t="s">
        <v>1365</v>
      </c>
      <c r="AB8" s="604"/>
      <c r="AC8" s="400" t="s">
        <v>1342</v>
      </c>
      <c r="AD8" s="604"/>
      <c r="AE8" s="400" t="s">
        <v>1450</v>
      </c>
      <c r="AG8" s="400"/>
    </row>
    <row r="9" spans="1:38" ht="10.5" customHeight="1" x14ac:dyDescent="0.3">
      <c r="A9" s="268">
        <v>1960</v>
      </c>
      <c r="B9" s="603">
        <f>'C1-Incomes'!BV8</f>
        <v>326102.17186</v>
      </c>
      <c r="C9" s="881"/>
      <c r="D9" s="280">
        <f>(TOTALS!E66)/1000000+'T-T1'!CC9-'T-T1'!BS9</f>
        <v>264827.06959077396</v>
      </c>
      <c r="E9" s="601" t="s">
        <v>50</v>
      </c>
      <c r="F9" s="270"/>
      <c r="G9" s="270">
        <f>TOTALS!T66/1000000+AC9</f>
        <v>4604.9028291584418</v>
      </c>
      <c r="H9" s="331"/>
      <c r="I9" s="892">
        <f>TOTALS!R66/1000000+'C10-Adj by Source'!B6</f>
        <v>20565.926185</v>
      </c>
      <c r="J9" s="280">
        <f>'T-T1'!DW9-Q9</f>
        <v>7439.8504355099994</v>
      </c>
      <c r="K9" s="280">
        <f>'T-T1'!CD9</f>
        <v>2516.253783924647</v>
      </c>
      <c r="L9" s="270"/>
      <c r="M9" s="280">
        <f>TOTALS!U66/1000000</f>
        <v>2479.9501452</v>
      </c>
      <c r="N9" s="270"/>
      <c r="O9" s="280">
        <f>TOTALS!H66/1000000</f>
        <v>10787.053956</v>
      </c>
      <c r="P9" s="270"/>
      <c r="Q9" s="270">
        <f>0.1*TOTALS!$S66/1000000</f>
        <v>826.65004838999994</v>
      </c>
      <c r="R9" s="270"/>
      <c r="S9" s="280">
        <f>'T-T1'!AN9</f>
        <v>1333.8</v>
      </c>
      <c r="T9" s="270"/>
      <c r="U9" s="892">
        <f>U11-'C10-Adj by Source'!Q8+'C10-Adj by Source'!Q6</f>
        <v>5589.8407450543309</v>
      </c>
      <c r="V9" s="280"/>
      <c r="W9" s="892">
        <f>W11*0.2</f>
        <v>551.65930926400006</v>
      </c>
      <c r="X9" s="280"/>
      <c r="Y9" s="280">
        <f>TOTALS!AD66/1000000+'T-T1'!CE9</f>
        <v>4579.2148317246465</v>
      </c>
      <c r="Z9" s="893"/>
      <c r="AA9" s="601">
        <f>B9-SUM(D9:Y9)</f>
        <v>0</v>
      </c>
      <c r="AB9" s="601"/>
      <c r="AC9" s="601">
        <v>2951.6027323584422</v>
      </c>
      <c r="AD9" s="861"/>
      <c r="AE9" s="607">
        <f>AA9+AC9</f>
        <v>2951.6027323584422</v>
      </c>
      <c r="AF9" s="270"/>
      <c r="AG9" s="607"/>
      <c r="AH9" s="270"/>
      <c r="AI9" s="270"/>
      <c r="AJ9" s="270"/>
      <c r="AK9" s="39"/>
      <c r="AL9" s="39"/>
    </row>
    <row r="10" spans="1:38" ht="10.5" customHeight="1" x14ac:dyDescent="0.3">
      <c r="A10" s="268">
        <v>1961</v>
      </c>
      <c r="B10" s="603">
        <f>'C1-Incomes'!BV9</f>
        <v>344380.76629499998</v>
      </c>
      <c r="C10" s="603"/>
      <c r="D10" s="270"/>
      <c r="E10" s="601" t="s">
        <v>50</v>
      </c>
      <c r="F10" s="270"/>
      <c r="G10" s="280"/>
      <c r="H10" s="270"/>
      <c r="I10" s="280"/>
      <c r="J10" s="280"/>
      <c r="K10" s="280"/>
      <c r="L10" s="270"/>
      <c r="M10" s="280"/>
      <c r="N10" s="270"/>
      <c r="O10" s="280"/>
      <c r="P10" s="270"/>
      <c r="Q10" s="270"/>
      <c r="R10" s="270"/>
      <c r="S10" s="280"/>
      <c r="T10" s="270"/>
      <c r="U10" s="892"/>
      <c r="V10" s="280"/>
      <c r="W10" s="280"/>
      <c r="X10" s="280"/>
      <c r="Y10" s="280"/>
      <c r="Z10" s="893"/>
      <c r="AA10" s="601"/>
      <c r="AB10" s="601"/>
      <c r="AC10" s="601"/>
      <c r="AD10" s="277"/>
      <c r="AE10" s="607"/>
      <c r="AF10" s="270"/>
      <c r="AG10" s="607"/>
      <c r="AH10" s="270"/>
      <c r="AI10" s="270"/>
      <c r="AJ10" s="270"/>
      <c r="AK10" s="39"/>
      <c r="AL10" s="39"/>
    </row>
    <row r="11" spans="1:38" ht="10.5" customHeight="1" x14ac:dyDescent="0.3">
      <c r="A11" s="268">
        <v>1962</v>
      </c>
      <c r="B11" s="603">
        <f>'C1-Incomes'!BV10</f>
        <v>362659.36073000001</v>
      </c>
      <c r="C11" s="881"/>
      <c r="D11" s="280">
        <f>(TOTALS!E68)/1000000+'T-T1'!CC11-'T-T1'!BS11</f>
        <v>291484.95001203928</v>
      </c>
      <c r="E11" s="601" t="s">
        <v>50</v>
      </c>
      <c r="F11" s="270"/>
      <c r="G11" s="270">
        <f>TOTALS!T68/1000000+AC11</f>
        <v>6385.5725037516604</v>
      </c>
      <c r="H11" s="270"/>
      <c r="I11" s="280">
        <f>TOTALS!R68/1000000</f>
        <v>21626.751713000001</v>
      </c>
      <c r="J11" s="280">
        <f>'T-T1'!DW11-Q11</f>
        <v>8820.9911781900009</v>
      </c>
      <c r="K11" s="280">
        <f>'T-T1'!CD11</f>
        <v>3114.8375646797472</v>
      </c>
      <c r="L11" s="270"/>
      <c r="M11" s="280">
        <f>TOTALS!U68/1000000</f>
        <v>2515.755467</v>
      </c>
      <c r="N11" s="270"/>
      <c r="O11" s="280">
        <f>TOTALS!H68/1000000</f>
        <v>12228.072388000001</v>
      </c>
      <c r="P11" s="270"/>
      <c r="Q11" s="270">
        <f>0.1*TOTALS!$S68/1000000</f>
        <v>980.11013091000007</v>
      </c>
      <c r="R11" s="270"/>
      <c r="S11" s="280">
        <f>'T-T1'!AN11</f>
        <v>1603.55</v>
      </c>
      <c r="T11" s="270"/>
      <c r="U11" s="892">
        <f>TOTALS!F68/1000000-W11+'C10-Adj by Source'!Q8</f>
        <v>5795.4615956295711</v>
      </c>
      <c r="V11" s="280"/>
      <c r="W11" s="280">
        <f>TOTALS!F68/1000000*0.4</f>
        <v>2758.2965463200003</v>
      </c>
      <c r="X11" s="280"/>
      <c r="Y11" s="280">
        <f>TOTALS!AD68/1000000+'T-T1'!CE11</f>
        <v>5345.0116304797484</v>
      </c>
      <c r="Z11" s="893"/>
      <c r="AA11" s="601">
        <f>B11-SUM(D11:Y11)</f>
        <v>0</v>
      </c>
      <c r="AB11" s="601"/>
      <c r="AC11" s="601">
        <v>3982.6000911516603</v>
      </c>
      <c r="AD11" s="834"/>
      <c r="AE11" s="607">
        <f>AA11+AC11</f>
        <v>3982.6000911516603</v>
      </c>
      <c r="AF11" s="270"/>
      <c r="AG11" s="607"/>
      <c r="AH11" s="270"/>
      <c r="AI11" s="270"/>
      <c r="AJ11" s="270"/>
      <c r="AK11" s="39"/>
      <c r="AL11" s="39"/>
    </row>
    <row r="12" spans="1:38" ht="10.5" customHeight="1" x14ac:dyDescent="0.3">
      <c r="A12" s="268">
        <v>1963</v>
      </c>
      <c r="B12" s="603">
        <f>'C1-Incomes'!BV11</f>
        <v>388090.80312</v>
      </c>
      <c r="C12" s="603"/>
      <c r="D12" s="280"/>
      <c r="E12" s="601" t="s">
        <v>50</v>
      </c>
      <c r="F12" s="270"/>
      <c r="G12" s="280"/>
      <c r="H12" s="270"/>
      <c r="I12" s="280"/>
      <c r="J12" s="280"/>
      <c r="K12" s="280"/>
      <c r="L12" s="270"/>
      <c r="M12" s="280"/>
      <c r="N12" s="270"/>
      <c r="O12" s="280"/>
      <c r="P12" s="270"/>
      <c r="Q12" s="270"/>
      <c r="R12" s="270"/>
      <c r="S12" s="280"/>
      <c r="T12" s="270"/>
      <c r="U12" s="892"/>
      <c r="V12" s="280"/>
      <c r="W12" s="280"/>
      <c r="X12" s="280"/>
      <c r="Y12" s="280"/>
      <c r="Z12" s="893"/>
      <c r="AA12" s="601"/>
      <c r="AB12" s="601"/>
      <c r="AC12" s="601"/>
      <c r="AD12" s="280"/>
      <c r="AE12" s="607"/>
      <c r="AF12" s="270"/>
      <c r="AG12" s="607"/>
      <c r="AH12" s="270"/>
      <c r="AI12" s="270"/>
      <c r="AJ12" s="270"/>
      <c r="AK12" s="39"/>
      <c r="AL12" s="39"/>
    </row>
    <row r="13" spans="1:38" ht="10.5" customHeight="1" x14ac:dyDescent="0.3">
      <c r="A13" s="268">
        <v>1964</v>
      </c>
      <c r="B13" s="603">
        <f>'C1-Incomes'!BV12</f>
        <v>413522.24550999998</v>
      </c>
      <c r="C13" s="881"/>
      <c r="D13" s="280">
        <f>(TOTALS!E70)/1000000+'T-T1'!CC13-'T-T1'!BS13</f>
        <v>326203.4467218807</v>
      </c>
      <c r="E13" s="601" t="s">
        <v>50</v>
      </c>
      <c r="F13" s="270"/>
      <c r="G13" s="270">
        <f>TOTALS!T70/1000000+AC13</f>
        <v>12632.399937423083</v>
      </c>
      <c r="H13" s="270"/>
      <c r="I13" s="280">
        <f>TOTALS!R70/1000000</f>
        <v>28721.947985999999</v>
      </c>
      <c r="J13" s="280">
        <f>'T-T1'!DW13-Q13</f>
        <v>6586.4969886599993</v>
      </c>
      <c r="K13" s="280">
        <f>'T-T1'!CD13</f>
        <v>3361.1652779602346</v>
      </c>
      <c r="L13" s="280"/>
      <c r="M13" s="280">
        <f>TOTALS!U70/1000000</f>
        <v>2853.2850490000001</v>
      </c>
      <c r="N13" s="280"/>
      <c r="O13" s="280">
        <f>TOTALS!H70/1000000</f>
        <v>12719.134177</v>
      </c>
      <c r="P13" s="270"/>
      <c r="Q13" s="280">
        <f>0.1*TOTALS!$S70/1000000</f>
        <v>731.83299873999999</v>
      </c>
      <c r="R13" s="270"/>
      <c r="S13" s="280">
        <f>'T-T1'!AN13</f>
        <v>1898</v>
      </c>
      <c r="T13" s="270"/>
      <c r="U13" s="892">
        <f>TOTALS!F70/1000000-W13+'C10-Adj by Source'!Q10</f>
        <v>7864.8510295757069</v>
      </c>
      <c r="V13" s="280"/>
      <c r="W13" s="280">
        <f>TOTALS!F70/1000000*0.4</f>
        <v>3642.2492568000002</v>
      </c>
      <c r="X13" s="280"/>
      <c r="Y13" s="280">
        <f>TOTALS!AD70/1000000+'T-T1'!CE13</f>
        <v>6307.4360869602351</v>
      </c>
      <c r="Z13" s="893"/>
      <c r="AA13" s="601">
        <f>B13-SUM(D13:Y13)</f>
        <v>0</v>
      </c>
      <c r="AB13" s="601"/>
      <c r="AC13" s="601">
        <v>10754.421489423083</v>
      </c>
      <c r="AD13" s="834"/>
      <c r="AE13" s="607">
        <f>AA13+AC13</f>
        <v>10754.421489423083</v>
      </c>
      <c r="AF13" s="270"/>
      <c r="AG13" s="607"/>
      <c r="AH13" s="270"/>
      <c r="AI13" s="270"/>
      <c r="AJ13" s="270"/>
      <c r="AK13" s="39"/>
      <c r="AL13" s="39"/>
    </row>
    <row r="14" spans="1:38" ht="10.5" customHeight="1" x14ac:dyDescent="0.3">
      <c r="A14" s="268">
        <v>1965</v>
      </c>
      <c r="B14" s="603">
        <f>'C1-Incomes'!BV13</f>
        <v>450358.67123500002</v>
      </c>
      <c r="C14" s="603"/>
      <c r="D14" s="270"/>
      <c r="E14" s="601" t="s">
        <v>50</v>
      </c>
      <c r="F14" s="270"/>
      <c r="G14" s="270"/>
      <c r="H14" s="270"/>
      <c r="I14" s="280"/>
      <c r="J14" s="280"/>
      <c r="K14" s="280"/>
      <c r="L14" s="270"/>
      <c r="M14" s="280"/>
      <c r="N14" s="270"/>
      <c r="O14" s="280"/>
      <c r="P14" s="270"/>
      <c r="Q14" s="270"/>
      <c r="R14" s="270"/>
      <c r="S14" s="280"/>
      <c r="T14" s="270"/>
      <c r="U14" s="280"/>
      <c r="V14" s="280"/>
      <c r="W14" s="280"/>
      <c r="X14" s="280"/>
      <c r="Y14" s="280"/>
      <c r="Z14" s="893"/>
      <c r="AA14" s="601"/>
      <c r="AB14" s="601"/>
      <c r="AC14" s="601"/>
      <c r="AD14" s="280"/>
      <c r="AE14" s="24"/>
      <c r="AF14" s="270"/>
      <c r="AG14" s="24"/>
      <c r="AH14" s="270"/>
      <c r="AI14" s="270"/>
      <c r="AJ14" s="270"/>
      <c r="AK14" s="39"/>
      <c r="AL14" s="39"/>
    </row>
    <row r="15" spans="1:38" ht="10.5" customHeight="1" x14ac:dyDescent="0.3">
      <c r="A15" s="268">
        <v>1966</v>
      </c>
      <c r="B15" s="603">
        <f>'C1-Incomes'!BV14</f>
        <v>487195.09696</v>
      </c>
      <c r="C15" s="881"/>
      <c r="D15" s="280">
        <f>(TOTALS!E72)/1000000+'T-T1'!CC15-'T-T1'!BS15</f>
        <v>390690.54949609673</v>
      </c>
      <c r="E15" s="601" t="s">
        <v>50</v>
      </c>
      <c r="F15" s="270"/>
      <c r="G15" s="270">
        <f>TOTALS!T72/1000000+AC15</f>
        <v>3214.1951194054773</v>
      </c>
      <c r="H15" s="270"/>
      <c r="I15" s="280">
        <f>TOTALS!R72/1000000</f>
        <v>29096.230699</v>
      </c>
      <c r="J15" s="280">
        <f>'T-T1'!DW15-Q15</f>
        <v>11721.293784000001</v>
      </c>
      <c r="K15" s="280">
        <f>'T-T1'!CD15</f>
        <v>3614.2457736988977</v>
      </c>
      <c r="L15" s="270"/>
      <c r="M15" s="280">
        <f>TOTALS!U72/1000000</f>
        <v>5416.8617126000008</v>
      </c>
      <c r="N15" s="270"/>
      <c r="O15" s="280">
        <f>TOTALS!H72/1000000</f>
        <v>17916.760021999999</v>
      </c>
      <c r="P15" s="270"/>
      <c r="Q15" s="270">
        <f>TOTALS!$BC72/1000000</f>
        <v>1581.047507</v>
      </c>
      <c r="R15" s="270"/>
      <c r="S15" s="280">
        <f>'T-T1'!AN15</f>
        <v>2236.65</v>
      </c>
      <c r="T15" s="270"/>
      <c r="U15" s="280">
        <f>TOTALS!F72/1000000-W15</f>
        <v>8050.1629560000001</v>
      </c>
      <c r="V15" s="280"/>
      <c r="W15" s="280">
        <f>TOTALS!F72/1000000*0.4</f>
        <v>5366.7753040000007</v>
      </c>
      <c r="X15" s="280"/>
      <c r="Y15" s="280">
        <f>TOTALS!AD72/1000000+'T-T1'!CE15</f>
        <v>8290.3245861988962</v>
      </c>
      <c r="Z15" s="893"/>
      <c r="AA15" s="601">
        <f t="shared" ref="AA15:AA46" si="0">B15-SUM(D15:Y15)</f>
        <v>0</v>
      </c>
      <c r="AB15" s="601"/>
      <c r="AC15" s="601">
        <v>-701.70029579452239</v>
      </c>
      <c r="AD15" s="834"/>
      <c r="AE15" s="607">
        <f t="shared" ref="AE15:AE64" si="1">AA15+AC15</f>
        <v>-701.70029579452239</v>
      </c>
      <c r="AF15" s="270"/>
      <c r="AG15" s="607"/>
      <c r="AH15" s="270"/>
      <c r="AI15" s="270"/>
      <c r="AJ15" s="270"/>
      <c r="AK15" s="39"/>
      <c r="AL15" s="39"/>
    </row>
    <row r="16" spans="1:38" ht="10.5" customHeight="1" x14ac:dyDescent="0.3">
      <c r="A16" s="268">
        <v>1967</v>
      </c>
      <c r="B16" s="603">
        <f>'C1-Incomes'!BV15</f>
        <v>521239.64363000001</v>
      </c>
      <c r="C16" s="881"/>
      <c r="D16" s="280">
        <f>(TOTALS!E73)/1000000+'T-T1'!CC16-'T-T1'!BS16</f>
        <v>422204.53856652061</v>
      </c>
      <c r="E16" s="601" t="s">
        <v>50</v>
      </c>
      <c r="F16" s="270"/>
      <c r="G16" s="270">
        <f>TOTALS!T73/1000000+AC16</f>
        <v>4135.9428606322399</v>
      </c>
      <c r="H16" s="270"/>
      <c r="I16" s="280">
        <f>TOTALS!R73/1000000</f>
        <v>26855.374530000001</v>
      </c>
      <c r="J16" s="280">
        <f>'T-T1'!DW16-Q16</f>
        <v>13062.526175000001</v>
      </c>
      <c r="K16" s="280">
        <f>'T-T1'!CD16</f>
        <v>3633.3378721735448</v>
      </c>
      <c r="L16" s="270"/>
      <c r="M16" s="280">
        <f>TOTALS!U73/1000000</f>
        <v>5029.2000493000005</v>
      </c>
      <c r="N16" s="270"/>
      <c r="O16" s="280">
        <f>TOTALS!H73/1000000</f>
        <v>18281.988443999999</v>
      </c>
      <c r="P16" s="270"/>
      <c r="Q16" s="270">
        <f>TOTALS!$BC73/1000000</f>
        <v>1515.0096160000001</v>
      </c>
      <c r="R16" s="270"/>
      <c r="S16" s="280">
        <f>'T-T1'!AN16</f>
        <v>2438.15</v>
      </c>
      <c r="T16" s="270"/>
      <c r="U16" s="280">
        <f>TOTALS!F73/1000000-W16</f>
        <v>9222.0512945999999</v>
      </c>
      <c r="V16" s="280"/>
      <c r="W16" s="280">
        <f>TOTALS!F73/1000000*0.4</f>
        <v>6148.0341963999999</v>
      </c>
      <c r="X16" s="280"/>
      <c r="Y16" s="280">
        <f>TOTALS!AD73/1000000+'T-T1'!CE16</f>
        <v>8713.490025373545</v>
      </c>
      <c r="Z16" s="893"/>
      <c r="AA16" s="601">
        <f t="shared" si="0"/>
        <v>0</v>
      </c>
      <c r="AB16" s="601"/>
      <c r="AC16" s="601">
        <v>842.71517913223943</v>
      </c>
      <c r="AD16" s="834"/>
      <c r="AE16" s="607">
        <f t="shared" si="1"/>
        <v>842.71517913223943</v>
      </c>
      <c r="AF16" s="270"/>
      <c r="AG16" s="607"/>
      <c r="AH16" s="270"/>
      <c r="AI16" s="270"/>
      <c r="AJ16" s="270"/>
      <c r="AK16" s="39"/>
      <c r="AL16" s="39"/>
    </row>
    <row r="17" spans="1:38" ht="10.5" customHeight="1" x14ac:dyDescent="0.3">
      <c r="A17" s="268">
        <v>1968</v>
      </c>
      <c r="B17" s="603">
        <f>'C1-Incomes'!BV16</f>
        <v>569581.66304999997</v>
      </c>
      <c r="C17" s="881"/>
      <c r="D17" s="280">
        <f>(TOTALS!E74)/1000000+'T-T1'!CC17-'T-T1'!BS17</f>
        <v>462836.12105178181</v>
      </c>
      <c r="E17" s="601" t="s">
        <v>50</v>
      </c>
      <c r="F17" s="270"/>
      <c r="G17" s="270">
        <f>TOTALS!T74/1000000+AC17</f>
        <v>2053.0010227301832</v>
      </c>
      <c r="H17" s="270"/>
      <c r="I17" s="280">
        <f>TOTALS!R74/1000000</f>
        <v>28523.898774000001</v>
      </c>
      <c r="J17" s="280">
        <f>'T-T1'!DW17-Q17</f>
        <v>13130.866518999999</v>
      </c>
      <c r="K17" s="280">
        <f>'T-T1'!CD17</f>
        <v>3738.7359335939323</v>
      </c>
      <c r="L17" s="270"/>
      <c r="M17" s="280">
        <f>TOTALS!U74/1000000</f>
        <v>6331.6875033000006</v>
      </c>
      <c r="N17" s="270"/>
      <c r="O17" s="280">
        <f>TOTALS!H74/1000000</f>
        <v>20056.839042</v>
      </c>
      <c r="P17" s="270"/>
      <c r="Q17" s="280">
        <f>AVERAGE(Q16,Q18)</f>
        <v>1656.599678</v>
      </c>
      <c r="R17" s="270"/>
      <c r="S17" s="280">
        <f>'T-T1'!AN17</f>
        <v>2734.55</v>
      </c>
      <c r="T17" s="270"/>
      <c r="U17" s="280">
        <f>TOTALS!F74/1000000-W17</f>
        <v>10312.371841799999</v>
      </c>
      <c r="V17" s="280"/>
      <c r="W17" s="280">
        <f>TOTALS!F74/1000000*0.4</f>
        <v>6874.9145611999993</v>
      </c>
      <c r="X17" s="280"/>
      <c r="Y17" s="280">
        <f>TOTALS!AD74/1000000+'T-T1'!CE17</f>
        <v>11332.077122593932</v>
      </c>
      <c r="Z17" s="893"/>
      <c r="AA17" s="601">
        <f t="shared" si="0"/>
        <v>0</v>
      </c>
      <c r="AB17" s="601"/>
      <c r="AC17" s="601">
        <v>-1020.0440882698167</v>
      </c>
      <c r="AD17" s="834"/>
      <c r="AE17" s="607">
        <f t="shared" si="1"/>
        <v>-1020.0440882698167</v>
      </c>
      <c r="AF17" s="270"/>
      <c r="AG17" s="607"/>
      <c r="AH17" s="270"/>
      <c r="AI17" s="270"/>
      <c r="AJ17" s="270"/>
      <c r="AK17" s="39"/>
      <c r="AL17" s="39"/>
    </row>
    <row r="18" spans="1:38" ht="10.5" customHeight="1" x14ac:dyDescent="0.3">
      <c r="A18" s="268">
        <v>1969</v>
      </c>
      <c r="B18" s="603">
        <f>'C1-Incomes'!BV17</f>
        <v>622354.48811000003</v>
      </c>
      <c r="C18" s="881"/>
      <c r="D18" s="280">
        <f>(TOTALS!E75)/1000000+'T-T1'!CC18-'T-T1'!BS18</f>
        <v>508094.12085276138</v>
      </c>
      <c r="E18" s="601" t="s">
        <v>50</v>
      </c>
      <c r="F18" s="270"/>
      <c r="G18" s="270">
        <f>TOTALS!T75/1000000+AC18</f>
        <v>3092.5270557642361</v>
      </c>
      <c r="H18" s="270"/>
      <c r="I18" s="280">
        <f>TOTALS!R75/1000000</f>
        <v>30043.954195999999</v>
      </c>
      <c r="J18" s="280">
        <f>'T-T1'!DW18-Q18</f>
        <v>13739.901777999999</v>
      </c>
      <c r="K18" s="280">
        <f>'T-T1'!CD18</f>
        <v>3647.8752435871315</v>
      </c>
      <c r="L18" s="270"/>
      <c r="M18" s="280">
        <f>TOTALS!U75/1000000</f>
        <v>6271.8226893000001</v>
      </c>
      <c r="N18" s="270"/>
      <c r="O18" s="280">
        <f>TOTALS!H75/1000000</f>
        <v>20352.037507000001</v>
      </c>
      <c r="P18" s="270"/>
      <c r="Q18" s="270">
        <f>TOTALS!$BC75/1000000</f>
        <v>1798.18974</v>
      </c>
      <c r="R18" s="270"/>
      <c r="S18" s="280">
        <f>'T-T1'!AN18</f>
        <v>3149.9</v>
      </c>
      <c r="T18" s="270"/>
      <c r="U18" s="280">
        <f>TOTALS!F75/1000000-W18</f>
        <v>12067.5451992</v>
      </c>
      <c r="V18" s="280"/>
      <c r="W18" s="280">
        <f>TOTALS!F75/1000000*0.4</f>
        <v>8045.0301328000005</v>
      </c>
      <c r="X18" s="280"/>
      <c r="Y18" s="280">
        <f>TOTALS!AD75/1000000+'T-T1'!CE18</f>
        <v>12051.58371558713</v>
      </c>
      <c r="Z18" s="893"/>
      <c r="AA18" s="601">
        <f t="shared" si="0"/>
        <v>0</v>
      </c>
      <c r="AB18" s="601"/>
      <c r="AC18" s="601">
        <v>-459.61313923576381</v>
      </c>
      <c r="AD18" s="834"/>
      <c r="AE18" s="607">
        <f t="shared" si="1"/>
        <v>-459.61313923576381</v>
      </c>
      <c r="AF18" s="270"/>
      <c r="AG18" s="607"/>
      <c r="AH18" s="270"/>
      <c r="AI18" s="270"/>
      <c r="AJ18" s="270"/>
      <c r="AK18" s="39"/>
      <c r="AL18" s="39"/>
    </row>
    <row r="19" spans="1:38" ht="10.5" customHeight="1" x14ac:dyDescent="0.3">
      <c r="A19" s="268">
        <v>1970</v>
      </c>
      <c r="B19" s="603">
        <f>'C1-Incomes'!BV18</f>
        <v>662172.19383999996</v>
      </c>
      <c r="C19" s="881"/>
      <c r="D19" s="280">
        <f>(TOTALS!E76)/1000000+'T-T1'!CC19-'T-T1'!BS19</f>
        <v>545004.18059003993</v>
      </c>
      <c r="E19" s="601" t="s">
        <v>50</v>
      </c>
      <c r="F19" s="270"/>
      <c r="G19" s="270">
        <f>TOTALS!T76/1000000+AC19</f>
        <v>2136.9492261000096</v>
      </c>
      <c r="H19" s="270"/>
      <c r="I19" s="280">
        <f>TOTALS!R76/1000000</f>
        <v>30300.291560000001</v>
      </c>
      <c r="J19" s="280">
        <f>'T-T1'!DW19-Q19</f>
        <v>12497.142240000001</v>
      </c>
      <c r="K19" s="280">
        <f>'T-T1'!CD19</f>
        <v>4543.2177726799982</v>
      </c>
      <c r="L19" s="270"/>
      <c r="M19" s="280">
        <f>TOTALS!U76/1000000</f>
        <v>5599.2789414999997</v>
      </c>
      <c r="N19" s="270"/>
      <c r="O19" s="280">
        <f>TOTALS!H76/1000000</f>
        <v>20021.628756999999</v>
      </c>
      <c r="P19" s="270"/>
      <c r="Q19" s="270">
        <f>TOTALS!$BC76/1000000</f>
        <v>1627.5471749999999</v>
      </c>
      <c r="R19" s="270"/>
      <c r="S19" s="280">
        <f>'T-T1'!AN19</f>
        <v>3650.4</v>
      </c>
      <c r="T19" s="270"/>
      <c r="U19" s="280">
        <f>TOTALS!F76/1000000-W19</f>
        <v>13804.067033399999</v>
      </c>
      <c r="V19" s="280"/>
      <c r="W19" s="280">
        <f>TOTALS!F76/1000000*0.4</f>
        <v>9202.7113556000004</v>
      </c>
      <c r="X19" s="280"/>
      <c r="Y19" s="280">
        <f>TOTALS!AD76/1000000+'T-T1'!CE19</f>
        <v>13784.779188679999</v>
      </c>
      <c r="Z19" s="893"/>
      <c r="AA19" s="601">
        <f t="shared" si="0"/>
        <v>0</v>
      </c>
      <c r="AB19" s="601"/>
      <c r="AC19" s="601">
        <v>-571.13189389999025</v>
      </c>
      <c r="AD19" s="834"/>
      <c r="AE19" s="607">
        <f t="shared" si="1"/>
        <v>-571.13189389999025</v>
      </c>
      <c r="AF19" s="270"/>
      <c r="AG19" s="607"/>
      <c r="AH19" s="270"/>
      <c r="AI19" s="270"/>
      <c r="AJ19" s="270"/>
      <c r="AK19" s="39"/>
      <c r="AL19" s="39"/>
    </row>
    <row r="20" spans="1:38" ht="10.5" customHeight="1" x14ac:dyDescent="0.3">
      <c r="A20" s="268">
        <v>1971</v>
      </c>
      <c r="B20" s="603">
        <f>'C1-Incomes'!BV19</f>
        <v>704820.97753999999</v>
      </c>
      <c r="C20" s="881"/>
      <c r="D20" s="280">
        <f>(TOTALS!E77)/1000000+'T-T1'!CC20-'T-T1'!BS20</f>
        <v>580811.73286309477</v>
      </c>
      <c r="E20" s="601" t="s">
        <v>50</v>
      </c>
      <c r="F20" s="270"/>
      <c r="G20" s="270">
        <f>TOTALS!T77/1000000+AC20</f>
        <v>861.85932344172898</v>
      </c>
      <c r="H20" s="270"/>
      <c r="I20" s="280">
        <f>TOTALS!R77/1000000</f>
        <v>31443.098193999998</v>
      </c>
      <c r="J20" s="280">
        <f>'T-T1'!DW20-Q20</f>
        <v>12570.851089</v>
      </c>
      <c r="K20" s="280">
        <f>'T-T1'!CD20</f>
        <v>5210.1311480316208</v>
      </c>
      <c r="L20" s="270"/>
      <c r="M20" s="280">
        <f>TOTALS!U77/1000000</f>
        <v>6567.6040233999993</v>
      </c>
      <c r="N20" s="270"/>
      <c r="O20" s="280">
        <f>TOTALS!H77/1000000</f>
        <v>20256.331445</v>
      </c>
      <c r="P20" s="270"/>
      <c r="Q20" s="270">
        <f>TOTALS!$BC77/1000000</f>
        <v>1979.221906</v>
      </c>
      <c r="R20" s="270"/>
      <c r="S20" s="280">
        <f>'T-T1'!AN20</f>
        <v>4253.6000000000004</v>
      </c>
      <c r="T20" s="270"/>
      <c r="U20" s="280">
        <f>TOTALS!F77/1000000-W20</f>
        <v>14836.8089358</v>
      </c>
      <c r="V20" s="280"/>
      <c r="W20" s="280">
        <f>TOTALS!F77/1000000*0.4</f>
        <v>9891.2059571999998</v>
      </c>
      <c r="X20" s="280"/>
      <c r="Y20" s="280">
        <f>TOTALS!AD77/1000000+'T-T1'!CE20</f>
        <v>16138.53265503162</v>
      </c>
      <c r="Z20" s="893"/>
      <c r="AA20" s="601">
        <f t="shared" si="0"/>
        <v>0</v>
      </c>
      <c r="AB20" s="601"/>
      <c r="AC20" s="601">
        <v>-1377.9041485582711</v>
      </c>
      <c r="AD20" s="834"/>
      <c r="AE20" s="607">
        <f t="shared" si="1"/>
        <v>-1377.9041485582711</v>
      </c>
      <c r="AF20" s="270"/>
      <c r="AG20" s="607"/>
      <c r="AH20" s="270"/>
      <c r="AI20" s="270"/>
      <c r="AJ20" s="270"/>
      <c r="AK20" s="39"/>
      <c r="AL20" s="39"/>
    </row>
    <row r="21" spans="1:38" ht="10.5" customHeight="1" x14ac:dyDescent="0.3">
      <c r="A21" s="268">
        <v>1972</v>
      </c>
      <c r="B21" s="603">
        <f>'C1-Incomes'!BV20</f>
        <v>776230.41754000005</v>
      </c>
      <c r="C21" s="881"/>
      <c r="D21" s="280">
        <f>(TOTALS!E78)/1000000+'T-T1'!CC21-'T-T1'!BS21</f>
        <v>636933.98783750925</v>
      </c>
      <c r="E21" s="601" t="s">
        <v>50</v>
      </c>
      <c r="F21" s="270"/>
      <c r="G21" s="270">
        <f>TOTALS!T78/1000000+AC21</f>
        <v>1779.3510277513578</v>
      </c>
      <c r="H21" s="270"/>
      <c r="I21" s="280">
        <f>TOTALS!R78/1000000</f>
        <v>34555.688113999997</v>
      </c>
      <c r="J21" s="280">
        <f>'T-T1'!DW21-Q21</f>
        <v>13095.680466000002</v>
      </c>
      <c r="K21" s="280">
        <f>'T-T1'!CD21</f>
        <v>5272.0409181697314</v>
      </c>
      <c r="L21" s="270"/>
      <c r="M21" s="280">
        <f>TOTALS!U78/1000000</f>
        <v>7495.9688183999997</v>
      </c>
      <c r="N21" s="270"/>
      <c r="O21" s="280">
        <f>TOTALS!H78/1000000</f>
        <v>22056.556623</v>
      </c>
      <c r="P21" s="270"/>
      <c r="Q21" s="270">
        <f>TOTALS!$BC78/1000000</f>
        <v>3290.612556</v>
      </c>
      <c r="R21" s="270"/>
      <c r="S21" s="280">
        <f>'T-T1'!AN21</f>
        <v>4897.1000000000004</v>
      </c>
      <c r="T21" s="270"/>
      <c r="U21" s="280">
        <f>TOTALS!F78/1000000-W21</f>
        <v>17216.5031562</v>
      </c>
      <c r="V21" s="280"/>
      <c r="W21" s="280">
        <f>TOTALS!F78/1000000*0.4</f>
        <v>11477.668770800001</v>
      </c>
      <c r="X21" s="280"/>
      <c r="Y21" s="280">
        <f>TOTALS!AD78/1000000+'T-T1'!CE21</f>
        <v>18159.25925216973</v>
      </c>
      <c r="Z21" s="893"/>
      <c r="AA21" s="601">
        <f t="shared" si="0"/>
        <v>0</v>
      </c>
      <c r="AB21" s="601"/>
      <c r="AC21" s="601">
        <v>-2535.4582442486426</v>
      </c>
      <c r="AD21" s="834"/>
      <c r="AE21" s="607">
        <f t="shared" si="1"/>
        <v>-2535.4582442486426</v>
      </c>
      <c r="AF21" s="270"/>
      <c r="AG21" s="607"/>
      <c r="AH21" s="270"/>
      <c r="AI21" s="270"/>
      <c r="AJ21" s="270"/>
      <c r="AK21" s="39"/>
      <c r="AL21" s="39"/>
    </row>
    <row r="22" spans="1:38" ht="10.5" customHeight="1" x14ac:dyDescent="0.3">
      <c r="A22" s="268">
        <v>1973</v>
      </c>
      <c r="B22" s="603">
        <f>'C1-Incomes'!BV21</f>
        <v>863201.61620000005</v>
      </c>
      <c r="C22" s="881"/>
      <c r="D22" s="280">
        <f>(TOTALS!E79)/1000000+'T-T1'!CC22-'T-T1'!BS22</f>
        <v>704497.94325485174</v>
      </c>
      <c r="E22" s="607" t="s">
        <v>50</v>
      </c>
      <c r="F22" s="280"/>
      <c r="G22" s="270">
        <f>TOTALS!T79/1000000+AC22</f>
        <v>6211.3042324139797</v>
      </c>
      <c r="H22" s="270"/>
      <c r="I22" s="280">
        <f>TOTALS!R79/1000000</f>
        <v>37796.983635999997</v>
      </c>
      <c r="J22" s="280">
        <f>'T-T1'!DW22-Q22</f>
        <v>14595.695801000002</v>
      </c>
      <c r="K22" s="280">
        <f>'T-T1'!CD22</f>
        <v>5741.0345576172185</v>
      </c>
      <c r="L22" s="280"/>
      <c r="M22" s="280">
        <f>TOTALS!U79/1000000</f>
        <v>8117.2865044999999</v>
      </c>
      <c r="N22" s="280"/>
      <c r="O22" s="280">
        <f>TOTALS!H79/1000000</f>
        <v>24079.922827999999</v>
      </c>
      <c r="P22" s="280"/>
      <c r="Q22" s="280">
        <f>TOTALS!$BC79/1000000</f>
        <v>2110.76442</v>
      </c>
      <c r="R22" s="280"/>
      <c r="S22" s="280">
        <f>'T-T1'!AN22</f>
        <v>5496.4000000000005</v>
      </c>
      <c r="T22" s="280"/>
      <c r="U22" s="280">
        <f>TOTALS!F79/1000000-W22</f>
        <v>19935.1043574</v>
      </c>
      <c r="V22" s="280"/>
      <c r="W22" s="280">
        <f>TOTALS!F79/1000000*0.4</f>
        <v>13290.069571599999</v>
      </c>
      <c r="X22" s="280"/>
      <c r="Y22" s="280">
        <f>TOTALS!AD79/1000000+'T-T1'!CE22</f>
        <v>21329.107036617221</v>
      </c>
      <c r="Z22" s="894"/>
      <c r="AA22" s="607">
        <f>B22-SUM(D22:Y22)</f>
        <v>0</v>
      </c>
      <c r="AB22" s="607"/>
      <c r="AC22" s="607">
        <v>-1017.97142858602</v>
      </c>
      <c r="AD22" s="834"/>
      <c r="AE22" s="607">
        <f t="shared" si="1"/>
        <v>-1017.97142858602</v>
      </c>
      <c r="AF22" s="270"/>
      <c r="AG22" s="607"/>
      <c r="AH22" s="270"/>
      <c r="AI22" s="270"/>
      <c r="AJ22" s="270"/>
      <c r="AK22" s="39"/>
      <c r="AL22" s="39"/>
    </row>
    <row r="23" spans="1:38" ht="10.5" customHeight="1" x14ac:dyDescent="0.3">
      <c r="A23" s="268">
        <v>1974</v>
      </c>
      <c r="B23" s="603">
        <f>'C1-Incomes'!BV22</f>
        <v>940902.81920999999</v>
      </c>
      <c r="C23" s="881"/>
      <c r="D23" s="280">
        <f>(TOTALS!E80)/1000000+'T-T1'!CC23-'T-T1'!BS23</f>
        <v>776641.84168780083</v>
      </c>
      <c r="E23" s="607" t="s">
        <v>50</v>
      </c>
      <c r="F23" s="280"/>
      <c r="G23" s="270">
        <f>TOTALS!T80/1000000+AC23</f>
        <v>-8852.9856729013882</v>
      </c>
      <c r="H23" s="270"/>
      <c r="I23" s="280">
        <f>TOTALS!R80/1000000</f>
        <v>39588.807128</v>
      </c>
      <c r="J23" s="280">
        <f>'T-T1'!DW23-Q23</f>
        <v>16170.160255999999</v>
      </c>
      <c r="K23" s="280">
        <f>'T-T1'!CD23</f>
        <v>5961.4225846002719</v>
      </c>
      <c r="L23" s="280"/>
      <c r="M23" s="280">
        <f>TOTALS!U80/1000000</f>
        <v>9787.8635438999991</v>
      </c>
      <c r="N23" s="280"/>
      <c r="O23" s="280">
        <f>TOTALS!H80/1000000</f>
        <v>26874.549663000002</v>
      </c>
      <c r="P23" s="280"/>
      <c r="Q23" s="280">
        <f>TOTALS!$BC80/1000000</f>
        <v>2712.4848059999999</v>
      </c>
      <c r="R23" s="280"/>
      <c r="S23" s="280">
        <f>'T-T1'!AN23</f>
        <v>6253</v>
      </c>
      <c r="T23" s="280"/>
      <c r="U23" s="280">
        <f>TOTALS!F80/1000000-W23</f>
        <v>24340.081535400001</v>
      </c>
      <c r="V23" s="280"/>
      <c r="W23" s="280">
        <f>TOTALS!F80/1000000*0.4</f>
        <v>16226.721023600003</v>
      </c>
      <c r="X23" s="280"/>
      <c r="Y23" s="280">
        <f>TOTALS!AD80/1000000+'T-T1'!CE23</f>
        <v>25198.872654600273</v>
      </c>
      <c r="Z23" s="894"/>
      <c r="AA23" s="607">
        <f t="shared" si="0"/>
        <v>0</v>
      </c>
      <c r="AB23" s="607"/>
      <c r="AC23" s="607">
        <v>-14188.597463901388</v>
      </c>
      <c r="AD23" s="834"/>
      <c r="AE23" s="607">
        <f t="shared" si="1"/>
        <v>-14188.597463901388</v>
      </c>
      <c r="AF23" s="270"/>
      <c r="AG23" s="607"/>
      <c r="AH23" s="270"/>
      <c r="AI23" s="270"/>
      <c r="AJ23" s="270"/>
      <c r="AK23" s="39"/>
      <c r="AL23" s="39"/>
    </row>
    <row r="24" spans="1:38" ht="10.5" customHeight="1" x14ac:dyDescent="0.3">
      <c r="A24" s="268">
        <v>1975</v>
      </c>
      <c r="B24" s="603">
        <f>'C1-Incomes'!BV23</f>
        <v>999213.88401000004</v>
      </c>
      <c r="C24" s="881"/>
      <c r="D24" s="280">
        <f>(TOTALS!E81)/1000000+'T-T1'!CC24-'T-T1'!BS24</f>
        <v>813379.20055624633</v>
      </c>
      <c r="E24" s="607" t="s">
        <v>50</v>
      </c>
      <c r="F24" s="280"/>
      <c r="G24" s="270">
        <f>TOTALS!T81/1000000+AC24</f>
        <v>1072.5465866562126</v>
      </c>
      <c r="H24" s="270"/>
      <c r="I24" s="280">
        <f>TOTALS!R81/1000000</f>
        <v>39163.246657000003</v>
      </c>
      <c r="J24" s="280">
        <f>'T-T1'!DW24-Q24</f>
        <v>15539.592368000001</v>
      </c>
      <c r="K24" s="280">
        <f>'T-T1'!CD24</f>
        <v>7334.3444407487877</v>
      </c>
      <c r="L24" s="280"/>
      <c r="M24" s="280">
        <f>TOTALS!U81/1000000</f>
        <v>9964.6810096000008</v>
      </c>
      <c r="N24" s="280"/>
      <c r="O24" s="280">
        <f>TOTALS!H81/1000000</f>
        <v>27878.415185999998</v>
      </c>
      <c r="P24" s="280"/>
      <c r="Q24" s="280">
        <f>TOTALS!$BC81/1000000</f>
        <v>1989.923571</v>
      </c>
      <c r="R24" s="280"/>
      <c r="S24" s="280">
        <f>'T-T1'!AN24</f>
        <v>7191.6</v>
      </c>
      <c r="T24" s="280"/>
      <c r="U24" s="280">
        <f>TOTALS!F81/1000000-W24</f>
        <v>26829.574803</v>
      </c>
      <c r="V24" s="280"/>
      <c r="W24" s="280">
        <f>TOTALS!F81/1000000*0.4</f>
        <v>17886.383202000001</v>
      </c>
      <c r="X24" s="280"/>
      <c r="Y24" s="280">
        <f>TOTALS!AD81/1000000+'T-T1'!CE24</f>
        <v>30984.375629748789</v>
      </c>
      <c r="Z24" s="894"/>
      <c r="AA24" s="607">
        <f t="shared" si="0"/>
        <v>0</v>
      </c>
      <c r="AB24" s="607"/>
      <c r="AC24" s="607">
        <v>-2603.5082273437874</v>
      </c>
      <c r="AD24" s="834"/>
      <c r="AE24" s="607">
        <f t="shared" si="1"/>
        <v>-2603.5082273437874</v>
      </c>
      <c r="AF24" s="270"/>
      <c r="AG24" s="607"/>
      <c r="AH24" s="270"/>
      <c r="AI24" s="270"/>
      <c r="AJ24" s="270"/>
      <c r="AK24" s="39"/>
      <c r="AL24" s="39"/>
    </row>
    <row r="25" spans="1:38" ht="10.5" customHeight="1" x14ac:dyDescent="0.3">
      <c r="A25" s="268">
        <v>1976</v>
      </c>
      <c r="B25" s="603">
        <f>'C1-Incomes'!BV24</f>
        <v>1107701.3548000001</v>
      </c>
      <c r="C25" s="881"/>
      <c r="D25" s="280">
        <f>(TOTALS!E82)/1000000+'T-T1'!CC25-'T-T1'!BS25</f>
        <v>901294.74857456412</v>
      </c>
      <c r="E25" s="601" t="s">
        <v>50</v>
      </c>
      <c r="F25" s="270"/>
      <c r="G25" s="270">
        <f>TOTALS!T82/1000000+AC25</f>
        <v>198.24648939332019</v>
      </c>
      <c r="H25" s="270"/>
      <c r="I25" s="280">
        <f>TOTALS!R82/1000000</f>
        <v>44073.815000000002</v>
      </c>
      <c r="J25" s="280">
        <f>'T-T1'!DW25-Q25</f>
        <v>16990.936427299999</v>
      </c>
      <c r="K25" s="280">
        <f>'T-T1'!CD25</f>
        <v>8026.0771540213527</v>
      </c>
      <c r="L25" s="270"/>
      <c r="M25" s="280">
        <f>TOTALS!U82/1000000</f>
        <v>10898.01993</v>
      </c>
      <c r="N25" s="270"/>
      <c r="O25" s="280">
        <f>TOTALS!H82/1000000</f>
        <v>30989.453348999999</v>
      </c>
      <c r="P25" s="270"/>
      <c r="Q25" s="270">
        <f>TOTALS!$BC82/1000000</f>
        <v>1850.7423467000001</v>
      </c>
      <c r="R25" s="270"/>
      <c r="S25" s="280">
        <f>'T-T1'!AN25</f>
        <v>8132.1500000000005</v>
      </c>
      <c r="T25" s="270"/>
      <c r="U25" s="280">
        <f>TOTALS!F82/1000000-W25</f>
        <v>30334.380677399997</v>
      </c>
      <c r="V25" s="280"/>
      <c r="W25" s="280">
        <f>TOTALS!F82/1000000*0.4</f>
        <v>20222.920451600003</v>
      </c>
      <c r="X25" s="280"/>
      <c r="Y25" s="280">
        <f>TOTALS!AD82/1000000+'T-T1'!CE25</f>
        <v>34689.864400021354</v>
      </c>
      <c r="Z25" s="893"/>
      <c r="AA25" s="601">
        <f t="shared" si="0"/>
        <v>0</v>
      </c>
      <c r="AB25" s="601"/>
      <c r="AC25" s="601">
        <v>-3281.7644077066798</v>
      </c>
      <c r="AD25" s="834"/>
      <c r="AE25" s="607">
        <f t="shared" si="1"/>
        <v>-3281.7644077066798</v>
      </c>
      <c r="AF25" s="270"/>
      <c r="AG25" s="607"/>
      <c r="AH25" s="270"/>
      <c r="AI25" s="270"/>
      <c r="AJ25" s="270"/>
      <c r="AK25" s="39"/>
      <c r="AL25" s="39"/>
    </row>
    <row r="26" spans="1:38" ht="10.5" customHeight="1" x14ac:dyDescent="0.3">
      <c r="A26" s="268">
        <v>1977</v>
      </c>
      <c r="B26" s="603">
        <f>'C1-Incomes'!BV25</f>
        <v>1214665.7194999999</v>
      </c>
      <c r="C26" s="881"/>
      <c r="D26" s="280">
        <f>(TOTALS!E83)/1000000+'T-T1'!CC26-'T-T1'!BS26</f>
        <v>989069.51831285527</v>
      </c>
      <c r="E26" s="601" t="s">
        <v>50</v>
      </c>
      <c r="F26" s="270"/>
      <c r="G26" s="270">
        <f>TOTALS!T83/1000000+AC26</f>
        <v>-4174.2000580924332</v>
      </c>
      <c r="H26" s="270"/>
      <c r="I26" s="280">
        <f>TOTALS!R83/1000000</f>
        <v>49022.194567999999</v>
      </c>
      <c r="J26" s="280">
        <f>'T-T1'!DW26-Q26</f>
        <v>18532.344893000001</v>
      </c>
      <c r="K26" s="280">
        <f>'T-T1'!CD26</f>
        <v>8603.7083666184262</v>
      </c>
      <c r="L26" s="270"/>
      <c r="M26" s="280">
        <f>TOTALS!U83/1000000</f>
        <v>10263.12062</v>
      </c>
      <c r="N26" s="270"/>
      <c r="O26" s="280">
        <f>TOTALS!H83/1000000</f>
        <v>33715.975324999999</v>
      </c>
      <c r="P26" s="270"/>
      <c r="Q26" s="270">
        <f>TOTALS!$BC83/1000000</f>
        <v>1950.272336</v>
      </c>
      <c r="R26" s="270"/>
      <c r="S26" s="280">
        <f>'T-T1'!AN26</f>
        <v>8893.3000000000011</v>
      </c>
      <c r="T26" s="270"/>
      <c r="U26" s="280">
        <f>TOTALS!F83/1000000-W26</f>
        <v>34189.939581600003</v>
      </c>
      <c r="V26" s="280"/>
      <c r="W26" s="280">
        <f>TOTALS!F83/1000000*0.4</f>
        <v>22793.293054400001</v>
      </c>
      <c r="X26" s="280"/>
      <c r="Y26" s="280">
        <f>TOTALS!AD83/1000000+'T-T1'!CE26</f>
        <v>41806.25250061843</v>
      </c>
      <c r="Z26" s="893"/>
      <c r="AA26" s="601">
        <f t="shared" si="0"/>
        <v>0</v>
      </c>
      <c r="AB26" s="601"/>
      <c r="AC26" s="601">
        <v>-4689.3145792924333</v>
      </c>
      <c r="AD26" s="834"/>
      <c r="AE26" s="607">
        <f t="shared" si="1"/>
        <v>-4689.3145792924333</v>
      </c>
      <c r="AF26" s="270"/>
      <c r="AG26" s="607"/>
      <c r="AH26" s="270"/>
      <c r="AI26" s="270"/>
      <c r="AJ26" s="270"/>
      <c r="AK26" s="39"/>
      <c r="AL26" s="39"/>
    </row>
    <row r="27" spans="1:38" ht="10.5" customHeight="1" x14ac:dyDescent="0.3">
      <c r="A27" s="268">
        <v>1978</v>
      </c>
      <c r="B27" s="603">
        <f>'C1-Incomes'!BV26</f>
        <v>1364150.9065</v>
      </c>
      <c r="C27" s="881"/>
      <c r="D27" s="280">
        <f>(TOTALS!E84)/1000000+'T-T1'!CC27-'T-T1'!BS27</f>
        <v>1111390.2829607814</v>
      </c>
      <c r="E27" s="601" t="s">
        <v>50</v>
      </c>
      <c r="F27" s="270"/>
      <c r="G27" s="270">
        <f>TOTALS!T84/1000000+AC27</f>
        <v>-1363.2431981687173</v>
      </c>
      <c r="H27" s="270"/>
      <c r="I27" s="280">
        <f>TOTALS!R84/1000000</f>
        <v>53035.114587999997</v>
      </c>
      <c r="J27" s="280">
        <f>'T-T1'!DW27-Q27</f>
        <v>21086.777488</v>
      </c>
      <c r="K27" s="280">
        <f>'T-T1'!CD27</f>
        <v>9413.7139866937086</v>
      </c>
      <c r="L27" s="270"/>
      <c r="M27" s="280">
        <f>TOTALS!U84/1000000</f>
        <v>11145.647894</v>
      </c>
      <c r="N27" s="270"/>
      <c r="O27" s="280">
        <f>TOTALS!H84/1000000</f>
        <v>37619.598560999999</v>
      </c>
      <c r="P27" s="270"/>
      <c r="Q27" s="270">
        <f>TOTALS!$BC84/1000000</f>
        <v>2201.2822139999998</v>
      </c>
      <c r="R27" s="270"/>
      <c r="S27" s="280">
        <f>'T-T1'!AN27</f>
        <v>9683.7000000000007</v>
      </c>
      <c r="T27" s="270"/>
      <c r="U27" s="280">
        <f>TOTALS!F84/1000000-W27</f>
        <v>38375.473140000002</v>
      </c>
      <c r="V27" s="280"/>
      <c r="W27" s="280">
        <f>TOTALS!F84/1000000*0.4</f>
        <v>25583.64876</v>
      </c>
      <c r="X27" s="280"/>
      <c r="Y27" s="280">
        <f>TOTALS!AD84/1000000+'T-T1'!CE27</f>
        <v>45978.910105693707</v>
      </c>
      <c r="Z27" s="893"/>
      <c r="AA27" s="601">
        <f t="shared" si="0"/>
        <v>0</v>
      </c>
      <c r="AB27" s="601"/>
      <c r="AC27" s="601">
        <v>-4943.3144612687174</v>
      </c>
      <c r="AD27" s="834"/>
      <c r="AE27" s="607">
        <f t="shared" si="1"/>
        <v>-4943.3144612687174</v>
      </c>
      <c r="AF27" s="270"/>
      <c r="AG27" s="607"/>
      <c r="AH27" s="270"/>
      <c r="AI27" s="270"/>
      <c r="AJ27" s="270"/>
      <c r="AK27" s="39"/>
      <c r="AL27" s="39"/>
    </row>
    <row r="28" spans="1:38" ht="10.5" customHeight="1" x14ac:dyDescent="0.3">
      <c r="A28" s="268">
        <v>1979</v>
      </c>
      <c r="B28" s="603">
        <f>'C1-Incomes'!BV27</f>
        <v>1527480.0608000001</v>
      </c>
      <c r="C28" s="881"/>
      <c r="D28" s="280">
        <f>(TOTALS!E85)/1000000+'T-T1'!CC28-'T-T1'!BS28</f>
        <v>1248677.7066897724</v>
      </c>
      <c r="E28" s="601" t="s">
        <v>50</v>
      </c>
      <c r="F28" s="270"/>
      <c r="G28" s="270">
        <f>TOTALS!T85/1000000+AC28</f>
        <v>1505.8541319130354</v>
      </c>
      <c r="H28" s="270"/>
      <c r="I28" s="280">
        <f>TOTALS!R85/1000000</f>
        <v>56310.202097000001</v>
      </c>
      <c r="J28" s="280">
        <f>'T-T1'!DW28-Q28</f>
        <v>20232.814920299999</v>
      </c>
      <c r="K28" s="280">
        <f>'T-T1'!CD28</f>
        <v>10637.728797657459</v>
      </c>
      <c r="L28" s="270"/>
      <c r="M28" s="280">
        <f>TOTALS!U85/1000000</f>
        <v>11183.939011</v>
      </c>
      <c r="N28" s="270"/>
      <c r="O28" s="280">
        <f>TOTALS!H85/1000000</f>
        <v>40599.964314999997</v>
      </c>
      <c r="P28" s="270"/>
      <c r="Q28" s="270">
        <f>TOTALS!$BC85/1000000</f>
        <v>2111.6148886999999</v>
      </c>
      <c r="R28" s="270"/>
      <c r="S28" s="280">
        <f>'T-T1'!AN28</f>
        <v>11206</v>
      </c>
      <c r="T28" s="270"/>
      <c r="U28" s="280">
        <f>TOTALS!F85/1000000-W28</f>
        <v>46451.594574000002</v>
      </c>
      <c r="V28" s="280"/>
      <c r="W28" s="280">
        <f>TOTALS!F85/1000000*0.4</f>
        <v>30967.729716000002</v>
      </c>
      <c r="X28" s="280"/>
      <c r="Y28" s="280">
        <f>TOTALS!AD85/1000000+'T-T1'!CE28</f>
        <v>47594.91165865746</v>
      </c>
      <c r="Z28" s="893"/>
      <c r="AA28" s="601">
        <f t="shared" si="0"/>
        <v>0</v>
      </c>
      <c r="AB28" s="601"/>
      <c r="AC28" s="601">
        <v>-549.48544558696449</v>
      </c>
      <c r="AD28" s="834"/>
      <c r="AE28" s="607">
        <f t="shared" si="1"/>
        <v>-549.48544558696449</v>
      </c>
      <c r="AF28" s="270"/>
      <c r="AG28" s="607"/>
      <c r="AH28" s="270"/>
      <c r="AI28" s="270"/>
      <c r="AJ28" s="270"/>
      <c r="AK28" s="39"/>
      <c r="AL28" s="39"/>
    </row>
    <row r="29" spans="1:38" ht="10.5" customHeight="1" x14ac:dyDescent="0.3">
      <c r="A29" s="268">
        <v>1980</v>
      </c>
      <c r="B29" s="603">
        <f>'C1-Incomes'!BV28</f>
        <v>1686691.6148000001</v>
      </c>
      <c r="C29" s="881"/>
      <c r="D29" s="280">
        <f>(TOTALS!E86)/1000000+'T-T1'!CC29-'T-T1'!BS29</f>
        <v>1371264.0738763015</v>
      </c>
      <c r="E29" s="601" t="s">
        <v>50</v>
      </c>
      <c r="F29" s="270"/>
      <c r="G29" s="270">
        <f>TOTALS!T86/1000000+AC29</f>
        <v>-2235.0665555024789</v>
      </c>
      <c r="H29" s="270"/>
      <c r="I29" s="280">
        <f>TOTALS!R86/1000000</f>
        <v>54900.019494</v>
      </c>
      <c r="J29" s="280">
        <f>'T-T1'!DW29-Q29</f>
        <v>20136.829562109997</v>
      </c>
      <c r="K29" s="280">
        <f>'T-T1'!CD29</f>
        <v>11516.674717100508</v>
      </c>
      <c r="L29" s="270"/>
      <c r="M29" s="280">
        <f>TOTALS!U86/1000000</f>
        <v>11342.439805</v>
      </c>
      <c r="N29" s="270"/>
      <c r="O29" s="280">
        <f>TOTALS!H86/1000000</f>
        <v>46771.313756000003</v>
      </c>
      <c r="P29" s="270"/>
      <c r="Q29" s="270">
        <f>TOTALS!$BC86/1000000</f>
        <v>575.92294788999993</v>
      </c>
      <c r="R29" s="270"/>
      <c r="S29" s="280">
        <f>'T-T1'!AN29</f>
        <v>12582.7</v>
      </c>
      <c r="T29" s="270"/>
      <c r="U29" s="280">
        <f>TOTALS!F86/1000000-W29</f>
        <v>63283.045017599994</v>
      </c>
      <c r="V29" s="280"/>
      <c r="W29" s="280">
        <f>TOTALS!F86/1000000*0.4</f>
        <v>42188.696678400003</v>
      </c>
      <c r="X29" s="280"/>
      <c r="Y29" s="280">
        <f>TOTALS!AD86/1000000+'T-T1'!CE29</f>
        <v>54364.965501100509</v>
      </c>
      <c r="Z29" s="893"/>
      <c r="AA29" s="601">
        <f t="shared" si="0"/>
        <v>0</v>
      </c>
      <c r="AB29" s="601"/>
      <c r="AC29" s="601">
        <v>-339.82299250247888</v>
      </c>
      <c r="AD29" s="834"/>
      <c r="AE29" s="607">
        <f t="shared" si="1"/>
        <v>-339.82299250247888</v>
      </c>
      <c r="AF29" s="270"/>
      <c r="AG29" s="607"/>
      <c r="AH29" s="270"/>
      <c r="AI29" s="270"/>
      <c r="AJ29" s="270"/>
      <c r="AK29" s="39"/>
      <c r="AL29" s="39"/>
    </row>
    <row r="30" spans="1:38" ht="10.5" customHeight="1" x14ac:dyDescent="0.3">
      <c r="A30" s="268">
        <v>1981</v>
      </c>
      <c r="B30" s="603">
        <f>'C1-Incomes'!BV29</f>
        <v>1857875.3540000001</v>
      </c>
      <c r="C30" s="881"/>
      <c r="D30" s="280">
        <f>(TOTALS!E87)/1000000+'T-T1'!CC30-'T-T1'!BS30</f>
        <v>1503961.2404340927</v>
      </c>
      <c r="E30" s="601" t="s">
        <v>50</v>
      </c>
      <c r="F30" s="270"/>
      <c r="G30" s="270">
        <f>TOTALS!T87/1000000+AC30</f>
        <v>-15941.332866054499</v>
      </c>
      <c r="H30" s="270"/>
      <c r="I30" s="280">
        <f>TOTALS!R87/1000000</f>
        <v>52833.956250000003</v>
      </c>
      <c r="J30" s="280">
        <f>'T-T1'!DW30-Q30</f>
        <v>16073.9802014</v>
      </c>
      <c r="K30" s="280">
        <f>'T-T1'!CD30</f>
        <v>12396.40963943088</v>
      </c>
      <c r="L30" s="270"/>
      <c r="M30" s="280">
        <f>TOTALS!U87/1000000</f>
        <v>7910.2246961000001</v>
      </c>
      <c r="N30" s="270"/>
      <c r="O30" s="280">
        <f>TOTALS!H87/1000000</f>
        <v>59252.195582</v>
      </c>
      <c r="P30" s="270"/>
      <c r="Q30" s="270">
        <f>TOTALS!$BC87/1000000</f>
        <v>-909.9312324</v>
      </c>
      <c r="R30" s="270"/>
      <c r="S30" s="280">
        <f>'T-T1'!AN30</f>
        <v>14848.6</v>
      </c>
      <c r="T30" s="270"/>
      <c r="U30" s="280">
        <f>TOTALS!F87/1000000-W30</f>
        <v>86160.695766599994</v>
      </c>
      <c r="V30" s="280"/>
      <c r="W30" s="280">
        <f>TOTALS!F87/1000000*0.4</f>
        <v>57440.463844400008</v>
      </c>
      <c r="X30" s="280"/>
      <c r="Y30" s="280">
        <f>TOTALS!AD87/1000000+'T-T1'!CE30</f>
        <v>63848.851684430883</v>
      </c>
      <c r="Z30" s="893"/>
      <c r="AA30" s="601">
        <f t="shared" si="0"/>
        <v>0</v>
      </c>
      <c r="AB30" s="601"/>
      <c r="AC30" s="601">
        <v>-8078.2548640544992</v>
      </c>
      <c r="AD30" s="834"/>
      <c r="AE30" s="607">
        <f t="shared" si="1"/>
        <v>-8078.2548640544992</v>
      </c>
      <c r="AF30" s="270"/>
      <c r="AG30" s="607"/>
      <c r="AH30" s="270"/>
      <c r="AI30" s="270"/>
      <c r="AJ30" s="270"/>
      <c r="AK30" s="39"/>
      <c r="AL30" s="39"/>
    </row>
    <row r="31" spans="1:38" ht="10.5" customHeight="1" x14ac:dyDescent="0.3">
      <c r="A31" s="268">
        <v>1982</v>
      </c>
      <c r="B31" s="603">
        <f>'C1-Incomes'!BV30</f>
        <v>1947714.3433999999</v>
      </c>
      <c r="C31" s="881"/>
      <c r="D31" s="280">
        <f>(TOTALS!E88)/1000000+'T-T1'!CC31-'T-T1'!BS31</f>
        <v>1560558.961233946</v>
      </c>
      <c r="E31" s="601" t="s">
        <v>50</v>
      </c>
      <c r="F31" s="270"/>
      <c r="G31" s="270">
        <f>TOTALS!T88/1000000+AC31</f>
        <v>-15336.860880977225</v>
      </c>
      <c r="H31" s="270"/>
      <c r="I31" s="280">
        <f>TOTALS!R88/1000000</f>
        <v>50342.701357999998</v>
      </c>
      <c r="J31" s="280">
        <f>'T-T1'!DW31-Q31</f>
        <v>9811.5026426999993</v>
      </c>
      <c r="K31" s="280">
        <f>'T-T1'!CD31</f>
        <v>13250.990236315418</v>
      </c>
      <c r="L31" s="270"/>
      <c r="M31" s="280">
        <f>TOTALS!U88/1000000</f>
        <v>7097.8330323999999</v>
      </c>
      <c r="N31" s="270"/>
      <c r="O31" s="280">
        <f>TOTALS!H88/1000000</f>
        <v>62155.303655999996</v>
      </c>
      <c r="P31" s="270"/>
      <c r="Q31" s="270">
        <f>TOTALS!$BC88/1000000</f>
        <v>5400.5089783000003</v>
      </c>
      <c r="R31" s="270"/>
      <c r="S31" s="280">
        <f>'T-T1'!AN31</f>
        <v>17631.25</v>
      </c>
      <c r="T31" s="270"/>
      <c r="U31" s="280">
        <f>TOTALS!F88/1000000-W31</f>
        <v>96567.307922399981</v>
      </c>
      <c r="V31" s="280"/>
      <c r="W31" s="280">
        <f>TOTALS!F88/1000000*0.4</f>
        <v>64378.2052816</v>
      </c>
      <c r="X31" s="280"/>
      <c r="Y31" s="280">
        <f>TOTALS!AD88/1000000+'T-T1'!CE31</f>
        <v>75856.639939315413</v>
      </c>
      <c r="Z31" s="893"/>
      <c r="AA31" s="601">
        <f t="shared" si="0"/>
        <v>0</v>
      </c>
      <c r="AB31" s="601"/>
      <c r="AC31" s="601">
        <v>-5481.9661869772244</v>
      </c>
      <c r="AD31" s="834"/>
      <c r="AE31" s="607">
        <f t="shared" si="1"/>
        <v>-5481.9661869772244</v>
      </c>
      <c r="AF31" s="270"/>
      <c r="AG31" s="607"/>
      <c r="AH31" s="270"/>
      <c r="AI31" s="270"/>
      <c r="AJ31" s="270"/>
      <c r="AK31" s="39"/>
      <c r="AL31" s="39"/>
    </row>
    <row r="32" spans="1:38" ht="10.5" customHeight="1" x14ac:dyDescent="0.3">
      <c r="A32" s="268">
        <v>1983</v>
      </c>
      <c r="B32" s="603">
        <f>'C1-Incomes'!BV31</f>
        <v>2047332.8859000001</v>
      </c>
      <c r="C32" s="881"/>
      <c r="D32" s="280">
        <f>(TOTALS!E89)/1000000+'T-T1'!CC32-'T-T1'!BS32</f>
        <v>1636416.7771869593</v>
      </c>
      <c r="E32" s="601" t="s">
        <v>50</v>
      </c>
      <c r="F32" s="270"/>
      <c r="G32" s="270">
        <f>TOTALS!T89/1000000+AC32</f>
        <v>-13205.523577065273</v>
      </c>
      <c r="H32" s="270"/>
      <c r="I32" s="280">
        <f>TOTALS!R89/1000000</f>
        <v>60038.544700999999</v>
      </c>
      <c r="J32" s="280">
        <f>'T-T1'!DW32-Q32</f>
        <v>18189.36465</v>
      </c>
      <c r="K32" s="280">
        <f>'T-T1'!CD32</f>
        <v>14044.207147653078</v>
      </c>
      <c r="L32" s="270"/>
      <c r="M32" s="280">
        <f>TOTALS!U89/1000000</f>
        <v>4843.1112638000004</v>
      </c>
      <c r="N32" s="270"/>
      <c r="O32" s="280">
        <f>TOTALS!H89/1000000</f>
        <v>59737.564020999998</v>
      </c>
      <c r="P32" s="270"/>
      <c r="Q32" s="270">
        <f>TOTALS!$BC89/1000000</f>
        <v>1734.4555330000001</v>
      </c>
      <c r="R32" s="270"/>
      <c r="S32" s="280">
        <f>'T-T1'!AN32</f>
        <v>20991.75</v>
      </c>
      <c r="T32" s="270"/>
      <c r="U32" s="280">
        <f>TOTALS!F89/1000000-W32</f>
        <v>94522.005131399987</v>
      </c>
      <c r="V32" s="280"/>
      <c r="W32" s="280">
        <f>TOTALS!F89/1000000*0.4</f>
        <v>63014.670087600003</v>
      </c>
      <c r="X32" s="280"/>
      <c r="Y32" s="280">
        <f>TOTALS!AD89/1000000+'T-T1'!CE32</f>
        <v>87005.959754653086</v>
      </c>
      <c r="Z32" s="893"/>
      <c r="AA32" s="601">
        <f t="shared" si="0"/>
        <v>0</v>
      </c>
      <c r="AB32" s="601"/>
      <c r="AC32" s="601">
        <v>-3885.0593000652734</v>
      </c>
      <c r="AD32" s="834"/>
      <c r="AE32" s="607">
        <f t="shared" si="1"/>
        <v>-3885.0593000652734</v>
      </c>
      <c r="AF32" s="270"/>
      <c r="AG32" s="607"/>
      <c r="AH32" s="270"/>
      <c r="AI32" s="270"/>
      <c r="AJ32" s="270"/>
      <c r="AK32" s="39"/>
      <c r="AL32" s="39"/>
    </row>
    <row r="33" spans="1:38" ht="10.5" customHeight="1" x14ac:dyDescent="0.3">
      <c r="A33" s="268">
        <v>1984</v>
      </c>
      <c r="B33" s="603">
        <f>'C1-Incomes'!BV32</f>
        <v>2246314.5858</v>
      </c>
      <c r="C33" s="881"/>
      <c r="D33" s="280">
        <f>(TOTALS!E90)/1000000+'T-T1'!CC33-'T-T1'!BS33</f>
        <v>1790947.3308220762</v>
      </c>
      <c r="E33" s="601" t="s">
        <v>50</v>
      </c>
      <c r="F33" s="270"/>
      <c r="G33" s="270">
        <f>TOTALS!T90/1000000+AC33</f>
        <v>-28434.072911693747</v>
      </c>
      <c r="H33" s="270"/>
      <c r="I33" s="280">
        <f>TOTALS!R90/1000000</f>
        <v>70303.201604000002</v>
      </c>
      <c r="J33" s="280">
        <f>'T-T1'!DW33-Q33</f>
        <v>18622.5251107</v>
      </c>
      <c r="K33" s="280">
        <f>'T-T1'!CD33</f>
        <v>14302.161199358767</v>
      </c>
      <c r="L33" s="270"/>
      <c r="M33" s="280">
        <f>TOTALS!U90/1000000</f>
        <v>1745.0660249</v>
      </c>
      <c r="N33" s="270"/>
      <c r="O33" s="280">
        <f>TOTALS!H90/1000000</f>
        <v>60761.826352999997</v>
      </c>
      <c r="P33" s="270"/>
      <c r="Q33" s="270">
        <f>TOTALS!$BC90/1000000</f>
        <v>5800.5704102999998</v>
      </c>
      <c r="R33" s="270"/>
      <c r="S33" s="280">
        <f>'T-T1'!AN33</f>
        <v>24044.15</v>
      </c>
      <c r="T33" s="270"/>
      <c r="U33" s="280">
        <f>TOTALS!F90/1000000-W33</f>
        <v>107833.5620388</v>
      </c>
      <c r="V33" s="280"/>
      <c r="W33" s="280">
        <f>TOTALS!F90/1000000*0.4</f>
        <v>71889.041359200011</v>
      </c>
      <c r="X33" s="280"/>
      <c r="Y33" s="280">
        <f>TOTALS!AD90/1000000+'T-T1'!CE33</f>
        <v>108499.22378935877</v>
      </c>
      <c r="Z33" s="893"/>
      <c r="AA33" s="601">
        <f t="shared" si="0"/>
        <v>0</v>
      </c>
      <c r="AB33" s="601"/>
      <c r="AC33" s="601">
        <v>-15324.707486693747</v>
      </c>
      <c r="AD33" s="834"/>
      <c r="AE33" s="607">
        <f t="shared" si="1"/>
        <v>-15324.707486693747</v>
      </c>
      <c r="AF33" s="270"/>
      <c r="AG33" s="607"/>
      <c r="AH33" s="270"/>
      <c r="AI33" s="270"/>
      <c r="AJ33" s="270"/>
      <c r="AK33" s="39"/>
      <c r="AL33" s="39"/>
    </row>
    <row r="34" spans="1:38" ht="10.5" customHeight="1" x14ac:dyDescent="0.3">
      <c r="A34" s="268">
        <v>1985</v>
      </c>
      <c r="B34" s="603">
        <f>'C1-Incomes'!BV33</f>
        <v>2405314.2913000002</v>
      </c>
      <c r="C34" s="881"/>
      <c r="D34" s="280">
        <f>(TOTALS!E91)/1000000+'T-T1'!CC34-'T-T1'!BS34</f>
        <v>1906686.2351116445</v>
      </c>
      <c r="E34" s="601" t="s">
        <v>50</v>
      </c>
      <c r="F34" s="270"/>
      <c r="G34" s="270">
        <f>TOTALS!T91/1000000+AC34</f>
        <v>-14960.125827974194</v>
      </c>
      <c r="H34" s="270"/>
      <c r="I34" s="280">
        <f>TOTALS!R91/1000000</f>
        <v>78389.558592000001</v>
      </c>
      <c r="J34" s="280">
        <f>'T-T1'!DW34-Q34</f>
        <v>21072.6702544</v>
      </c>
      <c r="K34" s="280">
        <f>'T-T1'!CD34</f>
        <v>14650.879313214866</v>
      </c>
      <c r="L34" s="270"/>
      <c r="M34" s="280">
        <f>TOTALS!U91/1000000</f>
        <v>1702.9561749000002</v>
      </c>
      <c r="N34" s="270"/>
      <c r="O34" s="280">
        <f>TOTALS!H91/1000000</f>
        <v>68926.739717999997</v>
      </c>
      <c r="P34" s="270"/>
      <c r="Q34" s="270">
        <f>TOTALS!$BC91/1000000</f>
        <v>6020.7520196000005</v>
      </c>
      <c r="R34" s="270"/>
      <c r="S34" s="280">
        <f>'T-T1'!AN34</f>
        <v>27361.75</v>
      </c>
      <c r="T34" s="270"/>
      <c r="U34" s="280">
        <f>TOTALS!F91/1000000-W34</f>
        <v>111890.5425</v>
      </c>
      <c r="V34" s="280"/>
      <c r="W34" s="280">
        <f>TOTALS!F91/1000000*0.4</f>
        <v>74593.694999999992</v>
      </c>
      <c r="X34" s="280"/>
      <c r="Y34" s="280">
        <f>TOTALS!AD91/1000000+'T-T1'!CE34</f>
        <v>108978.63844421487</v>
      </c>
      <c r="Z34" s="893"/>
      <c r="AA34" s="601">
        <f t="shared" si="0"/>
        <v>0</v>
      </c>
      <c r="AB34" s="601"/>
      <c r="AC34" s="601">
        <v>-2896.4256409741938</v>
      </c>
      <c r="AD34" s="834"/>
      <c r="AE34" s="607">
        <f t="shared" si="1"/>
        <v>-2896.4256409741938</v>
      </c>
      <c r="AF34" s="270"/>
      <c r="AG34" s="607"/>
      <c r="AH34" s="270"/>
      <c r="AI34" s="270"/>
      <c r="AJ34" s="270"/>
      <c r="AK34" s="39"/>
      <c r="AL34" s="39"/>
    </row>
    <row r="35" spans="1:38" ht="10.5" customHeight="1" x14ac:dyDescent="0.3">
      <c r="A35" s="268">
        <v>1986</v>
      </c>
      <c r="B35" s="603">
        <f>'C1-Incomes'!BV34</f>
        <v>2534790.3051</v>
      </c>
      <c r="C35" s="881"/>
      <c r="D35" s="280">
        <f>(TOTALS!E92)/1000000+'T-T1'!CC35-'T-T1'!BS35</f>
        <v>2011863.7547804045</v>
      </c>
      <c r="E35" s="601" t="s">
        <v>50</v>
      </c>
      <c r="F35" s="270"/>
      <c r="G35" s="270">
        <f>TOTALS!T92/1000000+AC35</f>
        <v>-7143.170826007703</v>
      </c>
      <c r="H35" s="270"/>
      <c r="I35" s="280">
        <f>TOTALS!R92/1000000</f>
        <v>90060.747313</v>
      </c>
      <c r="J35" s="280">
        <f>'T-T1'!DW35-Q35</f>
        <v>21614.324535400003</v>
      </c>
      <c r="K35" s="280">
        <f>'T-T1'!CD35</f>
        <v>15350.872547801533</v>
      </c>
      <c r="L35" s="270"/>
      <c r="M35" s="280">
        <f>TOTALS!U92/1000000</f>
        <v>-3762.4216150000002</v>
      </c>
      <c r="N35" s="270"/>
      <c r="O35" s="280">
        <f>TOTALS!H92/1000000</f>
        <v>73952.057375000004</v>
      </c>
      <c r="P35" s="270"/>
      <c r="Q35" s="270">
        <f>TOTALS!$BC92/1000000</f>
        <v>7409.1409196000004</v>
      </c>
      <c r="R35" s="270"/>
      <c r="S35" s="280">
        <f>'T-T1'!AN35</f>
        <v>31170.75</v>
      </c>
      <c r="T35" s="270"/>
      <c r="U35" s="280">
        <f>TOTALS!F92/1000000-W35</f>
        <v>103184.41164719999</v>
      </c>
      <c r="V35" s="280"/>
      <c r="W35" s="280">
        <f>TOTALS!F92/1000000*0.4</f>
        <v>68789.607764800006</v>
      </c>
      <c r="X35" s="280"/>
      <c r="Y35" s="280">
        <f>TOTALS!AD92/1000000+'T-T1'!CE35</f>
        <v>122300.23065780153</v>
      </c>
      <c r="Z35" s="893"/>
      <c r="AA35" s="601">
        <f t="shared" si="0"/>
        <v>0</v>
      </c>
      <c r="AB35" s="601"/>
      <c r="AC35" s="601">
        <v>119.83133299229667</v>
      </c>
      <c r="AD35" s="834"/>
      <c r="AE35" s="607">
        <f t="shared" si="1"/>
        <v>119.83133299229667</v>
      </c>
      <c r="AF35" s="270"/>
      <c r="AG35" s="601"/>
      <c r="AH35" s="270"/>
      <c r="AI35" s="270"/>
      <c r="AJ35" s="270"/>
      <c r="AK35" s="39"/>
      <c r="AL35" s="39"/>
    </row>
    <row r="36" spans="1:38" ht="10.5" customHeight="1" x14ac:dyDescent="0.3">
      <c r="A36" s="268">
        <v>1987</v>
      </c>
      <c r="B36" s="603">
        <f>'C1-Incomes'!BV35</f>
        <v>2745034.4996000002</v>
      </c>
      <c r="C36" s="881"/>
      <c r="D36" s="280">
        <f>(TOTALS!E93)/1000000+'T-T1'!CC36-'T-T1'!BS36</f>
        <v>2175544.6237272467</v>
      </c>
      <c r="E36" s="601" t="s">
        <v>50</v>
      </c>
      <c r="F36" s="270"/>
      <c r="G36" s="270">
        <f>TOTALS!T93/1000000+AC36</f>
        <v>4730.5627295884879</v>
      </c>
      <c r="H36" s="270"/>
      <c r="I36" s="280">
        <f>TOTALS!R93/1000000</f>
        <v>104868.44808</v>
      </c>
      <c r="J36" s="280">
        <f>'T-T1'!DW36-Q36</f>
        <v>5919.0953609999997</v>
      </c>
      <c r="K36" s="280">
        <f>'T-T1'!CD36</f>
        <v>16801.668699082202</v>
      </c>
      <c r="L36" s="270"/>
      <c r="M36" s="280">
        <f>TOTALS!U93/1000000</f>
        <v>-2184.6304850000001</v>
      </c>
      <c r="N36" s="270"/>
      <c r="O36" s="280">
        <f>TOTALS!H93/1000000</f>
        <v>78236.591654999997</v>
      </c>
      <c r="P36" s="270"/>
      <c r="Q36" s="270">
        <f>TOTALS!$BC93/1000000</f>
        <v>17924.477009999999</v>
      </c>
      <c r="R36" s="270"/>
      <c r="S36" s="280">
        <f>'T-T1'!AN36</f>
        <v>30719.615479</v>
      </c>
      <c r="T36" s="270"/>
      <c r="U36" s="280">
        <f>TOTALS!F93/1000000-W36</f>
        <v>103123.96573500001</v>
      </c>
      <c r="V36" s="280"/>
      <c r="W36" s="280">
        <f>TOTALS!F93/1000000*0.4</f>
        <v>68749.310490000003</v>
      </c>
      <c r="X36" s="280"/>
      <c r="Y36" s="280">
        <f>TOTALS!AD93/1000000+'T-T1'!CE36</f>
        <v>140600.7711190822</v>
      </c>
      <c r="Z36" s="893"/>
      <c r="AA36" s="601">
        <f t="shared" si="0"/>
        <v>0</v>
      </c>
      <c r="AB36" s="601"/>
      <c r="AC36" s="601">
        <v>6179.2067195884883</v>
      </c>
      <c r="AD36" s="834"/>
      <c r="AE36" s="607">
        <f t="shared" si="1"/>
        <v>6179.2067195884883</v>
      </c>
      <c r="AF36" s="270"/>
      <c r="AG36" s="601"/>
      <c r="AH36" s="270"/>
      <c r="AI36" s="270"/>
      <c r="AJ36" s="270"/>
      <c r="AK36" s="39"/>
      <c r="AL36" s="39"/>
    </row>
    <row r="37" spans="1:38" ht="10.5" customHeight="1" x14ac:dyDescent="0.3">
      <c r="A37" s="268">
        <v>1988</v>
      </c>
      <c r="B37" s="603">
        <f>'C1-Incomes'!BV36</f>
        <v>3046288.0759999999</v>
      </c>
      <c r="C37" s="881"/>
      <c r="D37" s="280">
        <f>(TOTALS!E94)/1000000+'T-T1'!CC37-'T-T1'!BS37</f>
        <v>2353474.7723655449</v>
      </c>
      <c r="E37" s="601" t="s">
        <v>50</v>
      </c>
      <c r="F37" s="270"/>
      <c r="G37" s="270">
        <f>TOTALS!T94/1000000+AC37</f>
        <v>6499.3042668257222</v>
      </c>
      <c r="H37" s="270"/>
      <c r="I37" s="280">
        <f>TOTALS!R94/1000000</f>
        <v>125577.16265300001</v>
      </c>
      <c r="J37" s="280">
        <f>'T-T1'!DW37-Q37</f>
        <v>22295.962987999999</v>
      </c>
      <c r="K37" s="280">
        <f>'T-T1'!CD37</f>
        <v>18184.455920514909</v>
      </c>
      <c r="L37" s="270"/>
      <c r="M37" s="280">
        <f>TOTALS!U94/1000000</f>
        <v>7775.7943386000006</v>
      </c>
      <c r="N37" s="270"/>
      <c r="O37" s="280">
        <f>TOTALS!H94/1000000</f>
        <v>89601.428436000002</v>
      </c>
      <c r="P37" s="270"/>
      <c r="Q37" s="270">
        <f>TOTALS!$BC94/1000000</f>
        <v>33934.527239000003</v>
      </c>
      <c r="R37" s="270"/>
      <c r="S37" s="280">
        <f>'T-T1'!AN37</f>
        <v>32811.274383000004</v>
      </c>
      <c r="T37" s="270"/>
      <c r="U37" s="280">
        <f>TOTALS!F94/1000000-W37</f>
        <v>113635.85272380001</v>
      </c>
      <c r="V37" s="280"/>
      <c r="W37" s="280">
        <f>TOTALS!F94/1000000*0.4</f>
        <v>75757.235149200002</v>
      </c>
      <c r="X37" s="280"/>
      <c r="Y37" s="280">
        <f>TOTALS!AD94/1000000+'T-T1'!CE37</f>
        <v>166740.3055365149</v>
      </c>
      <c r="Z37" s="893"/>
      <c r="AA37" s="601">
        <f t="shared" si="0"/>
        <v>0</v>
      </c>
      <c r="AB37" s="601"/>
      <c r="AC37" s="601">
        <v>7764.0960578257218</v>
      </c>
      <c r="AD37" s="834"/>
      <c r="AE37" s="607">
        <f t="shared" si="1"/>
        <v>7764.0960578257218</v>
      </c>
      <c r="AF37" s="270"/>
      <c r="AG37" s="601"/>
      <c r="AH37" s="270"/>
      <c r="AI37" s="270"/>
      <c r="AJ37" s="270"/>
      <c r="AK37" s="39"/>
      <c r="AL37" s="39"/>
    </row>
    <row r="38" spans="1:38" ht="10.5" customHeight="1" x14ac:dyDescent="0.3">
      <c r="A38" s="268">
        <v>1989</v>
      </c>
      <c r="B38" s="603">
        <f>'C1-Incomes'!BV37</f>
        <v>3236710.6129999999</v>
      </c>
      <c r="C38" s="881"/>
      <c r="D38" s="280">
        <f>(TOTALS!E95)/1000000+'T-T1'!CC38-'T-T1'!BS38</f>
        <v>2468231.5299776071</v>
      </c>
      <c r="E38" s="601" t="s">
        <v>50</v>
      </c>
      <c r="F38" s="270"/>
      <c r="G38" s="270">
        <f>TOTALS!T95/1000000+AC38</f>
        <v>11475.310276987171</v>
      </c>
      <c r="H38" s="270"/>
      <c r="I38" s="280">
        <f>TOTALS!R95/1000000</f>
        <v>132286.72782999999</v>
      </c>
      <c r="J38" s="280">
        <f>'T-T1'!DW38-Q38</f>
        <v>28159.074351999996</v>
      </c>
      <c r="K38" s="280">
        <f>'T-T1'!CD38</f>
        <v>19030.097186202398</v>
      </c>
      <c r="L38" s="270"/>
      <c r="M38" s="280">
        <f>TOTALS!U95/1000000</f>
        <v>10172.85014</v>
      </c>
      <c r="N38" s="270"/>
      <c r="O38" s="280">
        <f>TOTALS!H95/1000000</f>
        <v>94019.539069000006</v>
      </c>
      <c r="P38" s="270"/>
      <c r="Q38" s="270">
        <f>TOTALS!$BC95/1000000</f>
        <v>34139.844292000002</v>
      </c>
      <c r="R38" s="270"/>
      <c r="S38" s="280">
        <f>'T-T1'!AN38</f>
        <v>37589.693017999998</v>
      </c>
      <c r="T38" s="270"/>
      <c r="U38" s="280">
        <f>TOTALS!F95/1000000-W38</f>
        <v>133424.1319788</v>
      </c>
      <c r="V38" s="280"/>
      <c r="W38" s="280">
        <f>TOTALS!F95/1000000*0.4</f>
        <v>88949.421319200017</v>
      </c>
      <c r="X38" s="280"/>
      <c r="Y38" s="280">
        <f>TOTALS!AD95/1000000+'T-T1'!CE38</f>
        <v>179232.39356020238</v>
      </c>
      <c r="Z38" s="893"/>
      <c r="AA38" s="601">
        <f t="shared" si="0"/>
        <v>0</v>
      </c>
      <c r="AB38" s="601"/>
      <c r="AC38" s="601">
        <v>11758.836775387172</v>
      </c>
      <c r="AD38" s="834"/>
      <c r="AE38" s="607">
        <f t="shared" si="1"/>
        <v>11758.836775387172</v>
      </c>
      <c r="AF38" s="270"/>
      <c r="AG38" s="601"/>
      <c r="AH38" s="270"/>
      <c r="AI38" s="270"/>
      <c r="AJ38" s="270"/>
      <c r="AK38" s="39"/>
      <c r="AL38" s="39"/>
    </row>
    <row r="39" spans="1:38" ht="10.5" customHeight="1" x14ac:dyDescent="0.3">
      <c r="A39" s="268">
        <v>1990</v>
      </c>
      <c r="B39" s="603">
        <f>'C1-Incomes'!BV38</f>
        <v>3431523.5957999998</v>
      </c>
      <c r="C39" s="881"/>
      <c r="D39" s="280">
        <f>(TOTALS!E96)/1000000+'T-T1'!CC39-'T-T1'!BS39</f>
        <v>2620668.7932537501</v>
      </c>
      <c r="E39" s="601" t="s">
        <v>50</v>
      </c>
      <c r="F39" s="270"/>
      <c r="G39" s="270">
        <f>TOTALS!T96/1000000+AC39</f>
        <v>11640.800426082486</v>
      </c>
      <c r="H39" s="270"/>
      <c r="I39" s="280">
        <f>TOTALS!R96/1000000</f>
        <v>140620.38120999999</v>
      </c>
      <c r="J39" s="280">
        <f>'T-T1'!DW39-Q39</f>
        <v>30651.553585000001</v>
      </c>
      <c r="K39" s="280">
        <f>'T-T1'!CD39</f>
        <v>20195.50510958341</v>
      </c>
      <c r="L39" s="270"/>
      <c r="M39" s="280">
        <f>TOTALS!U96/1000000</f>
        <v>13792.867437000001</v>
      </c>
      <c r="N39" s="270"/>
      <c r="O39" s="280">
        <f>TOTALS!H96/1000000</f>
        <v>93367.124536000003</v>
      </c>
      <c r="P39" s="270"/>
      <c r="Q39" s="270">
        <f>TOTALS!$BC96/1000000</f>
        <v>35343.502949000002</v>
      </c>
      <c r="R39" s="270"/>
      <c r="S39" s="280">
        <f>'T-T1'!AN39</f>
        <v>40228.405317999997</v>
      </c>
      <c r="T39" s="270"/>
      <c r="U39" s="280">
        <f>TOTALS!F96/1000000-W39</f>
        <v>137517.768966</v>
      </c>
      <c r="V39" s="280"/>
      <c r="W39" s="280">
        <f>TOTALS!F96/1000000*0.4</f>
        <v>91678.512644000002</v>
      </c>
      <c r="X39" s="280"/>
      <c r="Y39" s="280">
        <f>TOTALS!AD96/1000000+'T-T1'!CE39</f>
        <v>195818.38036558341</v>
      </c>
      <c r="Z39" s="893"/>
      <c r="AA39" s="601">
        <f t="shared" si="0"/>
        <v>0</v>
      </c>
      <c r="AB39" s="601"/>
      <c r="AC39" s="601">
        <v>12100.261077282485</v>
      </c>
      <c r="AD39" s="834"/>
      <c r="AE39" s="607">
        <f t="shared" si="1"/>
        <v>12100.261077282485</v>
      </c>
      <c r="AF39" s="270"/>
      <c r="AG39" s="601"/>
      <c r="AH39" s="270"/>
      <c r="AI39" s="270"/>
      <c r="AJ39" s="270"/>
      <c r="AK39" s="39"/>
      <c r="AL39" s="39"/>
    </row>
    <row r="40" spans="1:38" ht="10.5" customHeight="1" x14ac:dyDescent="0.3">
      <c r="A40" s="268">
        <v>1991</v>
      </c>
      <c r="B40" s="603">
        <f>'C1-Incomes'!BV39</f>
        <v>3501654.3215999999</v>
      </c>
      <c r="C40" s="881"/>
      <c r="D40" s="280">
        <f>(TOTALS!E97)/1000000+'T-T1'!CC40-'T-T1'!BS40</f>
        <v>2692638.8635225873</v>
      </c>
      <c r="E40" s="601" t="s">
        <v>50</v>
      </c>
      <c r="F40" s="270"/>
      <c r="G40" s="270">
        <f>TOTALS!T97/1000000+AC40</f>
        <v>10503.813365021935</v>
      </c>
      <c r="H40" s="270"/>
      <c r="I40" s="280">
        <f>TOTALS!R97/1000000</f>
        <v>140841.68296999999</v>
      </c>
      <c r="J40" s="280">
        <f>'T-T1'!DW40-Q40</f>
        <v>31389.272997999997</v>
      </c>
      <c r="K40" s="280">
        <f>'T-T1'!CD40</f>
        <v>19519.456142195591</v>
      </c>
      <c r="L40" s="270"/>
      <c r="M40" s="280">
        <f>TOTALS!U97/1000000</f>
        <v>14976.469338999999</v>
      </c>
      <c r="N40" s="270"/>
      <c r="O40" s="280">
        <f>TOTALS!H97/1000000</f>
        <v>90456.468634000004</v>
      </c>
      <c r="P40" s="270"/>
      <c r="Q40" s="270">
        <f>TOTALS!$BC97/1000000</f>
        <v>30871.440178000001</v>
      </c>
      <c r="R40" s="270"/>
      <c r="S40" s="280">
        <f>'T-T1'!AN40</f>
        <v>43101.537246</v>
      </c>
      <c r="T40" s="270"/>
      <c r="U40" s="280">
        <f>TOTALS!F97/1000000-W40</f>
        <v>127440.01702439999</v>
      </c>
      <c r="V40" s="280"/>
      <c r="W40" s="280">
        <f>TOTALS!F97/1000000*0.4</f>
        <v>84960.011349599998</v>
      </c>
      <c r="X40" s="280"/>
      <c r="Y40" s="280">
        <f>TOTALS!AD97/1000000+'T-T1'!CE40</f>
        <v>214955.28883119559</v>
      </c>
      <c r="Z40" s="893"/>
      <c r="AA40" s="601">
        <f t="shared" si="0"/>
        <v>0</v>
      </c>
      <c r="AB40" s="601"/>
      <c r="AC40" s="601">
        <v>13387.471967021935</v>
      </c>
      <c r="AD40" s="834"/>
      <c r="AE40" s="607">
        <f t="shared" si="1"/>
        <v>13387.471967021935</v>
      </c>
      <c r="AF40" s="270"/>
      <c r="AG40" s="601"/>
      <c r="AH40" s="270"/>
      <c r="AI40" s="270"/>
      <c r="AJ40" s="270"/>
      <c r="AK40" s="39"/>
      <c r="AL40" s="39"/>
    </row>
    <row r="41" spans="1:38" ht="10.5" customHeight="1" x14ac:dyDescent="0.3">
      <c r="A41" s="268">
        <v>1992</v>
      </c>
      <c r="B41" s="603">
        <f>'C1-Incomes'!BV40</f>
        <v>3662874.4328000001</v>
      </c>
      <c r="C41" s="881"/>
      <c r="D41" s="280">
        <f>(TOTALS!E98)/1000000+'T-T1'!CC41-'T-T1'!BS41</f>
        <v>2822994.1424973756</v>
      </c>
      <c r="E41" s="601" t="s">
        <v>50</v>
      </c>
      <c r="F41" s="270"/>
      <c r="G41" s="270">
        <f>TOTALS!T98/1000000+AC41</f>
        <v>20974.790091707313</v>
      </c>
      <c r="H41" s="270"/>
      <c r="I41" s="280">
        <f>TOTALS!R98/1000000</f>
        <v>152818.32260300001</v>
      </c>
      <c r="J41" s="280">
        <f>'T-T1'!DW41-Q41</f>
        <v>39599.938668999996</v>
      </c>
      <c r="K41" s="280">
        <f>'T-T1'!CD41</f>
        <v>22851.921931458695</v>
      </c>
      <c r="L41" s="270"/>
      <c r="M41" s="280">
        <f>TOTALS!U98/1000000</f>
        <v>19918.648718</v>
      </c>
      <c r="N41" s="270"/>
      <c r="O41" s="280">
        <f>TOTALS!H98/1000000</f>
        <v>90552.067022000003</v>
      </c>
      <c r="P41" s="270"/>
      <c r="Q41" s="270">
        <f>TOTALS!$BC98/1000000</f>
        <v>46959.202932</v>
      </c>
      <c r="R41" s="270"/>
      <c r="S41" s="280">
        <f>'T-T1'!AN41</f>
        <v>45728.471207000002</v>
      </c>
      <c r="T41" s="270"/>
      <c r="U41" s="280">
        <f>TOTALS!F98/1000000-W41</f>
        <v>99888.327179999993</v>
      </c>
      <c r="V41" s="280"/>
      <c r="W41" s="280">
        <f>TOTALS!F98/1000000*0.4</f>
        <v>66592.218120000005</v>
      </c>
      <c r="X41" s="280"/>
      <c r="Y41" s="280">
        <f>TOTALS!AD98/1000000+'T-T1'!CE41</f>
        <v>233996.38182845869</v>
      </c>
      <c r="Z41" s="893"/>
      <c r="AA41" s="601">
        <f t="shared" si="0"/>
        <v>0</v>
      </c>
      <c r="AB41" s="601"/>
      <c r="AC41" s="601">
        <v>23552.248743707314</v>
      </c>
      <c r="AD41" s="834"/>
      <c r="AE41" s="607">
        <f t="shared" si="1"/>
        <v>23552.248743707314</v>
      </c>
      <c r="AF41" s="270"/>
      <c r="AG41" s="601"/>
      <c r="AH41" s="270"/>
      <c r="AI41" s="270"/>
      <c r="AJ41" s="270"/>
      <c r="AK41" s="39"/>
      <c r="AL41" s="39"/>
    </row>
    <row r="42" spans="1:38" ht="10.5" customHeight="1" x14ac:dyDescent="0.3">
      <c r="A42" s="268">
        <v>1993</v>
      </c>
      <c r="B42" s="603">
        <f>'C1-Incomes'!BV41</f>
        <v>3739977.8977000001</v>
      </c>
      <c r="C42" s="881"/>
      <c r="D42" s="280">
        <f>(TOTALS!E99)/1000000+'T-T1'!CC42-'T-T1'!BS42</f>
        <v>2919396.0188103043</v>
      </c>
      <c r="E42" s="601" t="s">
        <v>50</v>
      </c>
      <c r="F42" s="270"/>
      <c r="G42" s="270">
        <f>TOTALS!T99/1000000+AC42</f>
        <v>8655.3706591600476</v>
      </c>
      <c r="H42" s="270"/>
      <c r="I42" s="280">
        <f>TOTALS!R99/1000000</f>
        <v>154496.624388</v>
      </c>
      <c r="J42" s="280">
        <f>'T-T1'!DW42-Q42</f>
        <v>41042.691497</v>
      </c>
      <c r="K42" s="280">
        <f>'T-T1'!CD42</f>
        <v>23197.963208768138</v>
      </c>
      <c r="L42" s="270"/>
      <c r="M42" s="280">
        <f>TOTALS!U99/1000000</f>
        <v>24710.450962999999</v>
      </c>
      <c r="N42" s="270"/>
      <c r="O42" s="280">
        <f>TOTALS!H99/1000000</f>
        <v>92635.028957000002</v>
      </c>
      <c r="P42" s="270"/>
      <c r="Q42" s="270">
        <f>TOTALS!$BC99/1000000</f>
        <v>50456.913680999998</v>
      </c>
      <c r="R42" s="270"/>
      <c r="S42" s="280">
        <f>'T-T1'!AN42</f>
        <v>46459.031517000003</v>
      </c>
      <c r="T42" s="270"/>
      <c r="U42" s="280">
        <f>TOTALS!F99/1000000-W42</f>
        <v>81799.666410599995</v>
      </c>
      <c r="V42" s="280"/>
      <c r="W42" s="280">
        <f>TOTALS!F99/1000000*0.4</f>
        <v>54533.110940400002</v>
      </c>
      <c r="X42" s="280"/>
      <c r="Y42" s="280">
        <f>TOTALS!AD99/1000000+'T-T1'!CE42</f>
        <v>242595.02666776814</v>
      </c>
      <c r="Z42" s="893"/>
      <c r="AA42" s="601">
        <f t="shared" si="0"/>
        <v>0</v>
      </c>
      <c r="AB42" s="601"/>
      <c r="AC42" s="601">
        <v>12379.801749160048</v>
      </c>
      <c r="AD42" s="834"/>
      <c r="AE42" s="607">
        <f t="shared" si="1"/>
        <v>12379.801749160048</v>
      </c>
      <c r="AF42" s="270"/>
      <c r="AG42" s="601"/>
      <c r="AH42" s="270"/>
      <c r="AI42" s="270"/>
      <c r="AJ42" s="270"/>
      <c r="AK42" s="39"/>
      <c r="AL42" s="39"/>
    </row>
    <row r="43" spans="1:38" ht="10.5" customHeight="1" x14ac:dyDescent="0.3">
      <c r="A43" s="268">
        <v>1994</v>
      </c>
      <c r="B43" s="603">
        <f>'C1-Incomes'!BV42</f>
        <v>3931642.1247999999</v>
      </c>
      <c r="C43" s="881"/>
      <c r="D43" s="280">
        <f>(TOTALS!E100)/1000000+'T-T1'!CC43-'T-T1'!BS43</f>
        <v>3056974.5820626249</v>
      </c>
      <c r="E43" s="601" t="s">
        <v>50</v>
      </c>
      <c r="F43" s="270"/>
      <c r="G43" s="270">
        <f>TOTALS!T100/1000000+AC43</f>
        <v>5601.0677679588025</v>
      </c>
      <c r="H43" s="270"/>
      <c r="I43" s="280">
        <f>TOTALS!R100/1000000</f>
        <v>165109.34864499999</v>
      </c>
      <c r="J43" s="280">
        <f>'T-T1'!DW43-Q43</f>
        <v>42715.666272000002</v>
      </c>
      <c r="K43" s="280">
        <f>'T-T1'!CD43</f>
        <v>24396.985869208347</v>
      </c>
      <c r="L43" s="270"/>
      <c r="M43" s="280">
        <f>TOTALS!U100/1000000</f>
        <v>28805.593623000001</v>
      </c>
      <c r="N43" s="270"/>
      <c r="O43" s="280">
        <f>TOTALS!H100/1000000</f>
        <v>96295.132379000002</v>
      </c>
      <c r="P43" s="270"/>
      <c r="Q43" s="270">
        <f>TOTALS!$BC100/1000000</f>
        <v>70163.909312999996</v>
      </c>
      <c r="R43" s="270"/>
      <c r="S43" s="280">
        <f>'T-T1'!AN43</f>
        <v>48296.833779000001</v>
      </c>
      <c r="T43" s="270"/>
      <c r="U43" s="280">
        <f>TOTALS!F100/1000000-W43</f>
        <v>79263.825286199994</v>
      </c>
      <c r="V43" s="280"/>
      <c r="W43" s="280">
        <f>TOTALS!F100/1000000*0.4</f>
        <v>52842.550190800001</v>
      </c>
      <c r="X43" s="280"/>
      <c r="Y43" s="280">
        <f>TOTALS!AD100/1000000+'T-T1'!CE43</f>
        <v>261176.62961220834</v>
      </c>
      <c r="Z43" s="893"/>
      <c r="AA43" s="601">
        <f t="shared" si="0"/>
        <v>0</v>
      </c>
      <c r="AB43" s="601"/>
      <c r="AC43" s="601">
        <v>13008.527398958802</v>
      </c>
      <c r="AD43" s="834"/>
      <c r="AE43" s="607">
        <f t="shared" si="1"/>
        <v>13008.527398958802</v>
      </c>
      <c r="AF43" s="270"/>
      <c r="AG43" s="601"/>
      <c r="AH43" s="270"/>
      <c r="AI43" s="270"/>
      <c r="AJ43" s="270"/>
      <c r="AK43" s="39"/>
      <c r="AL43" s="39"/>
    </row>
    <row r="44" spans="1:38" ht="10.5" customHeight="1" x14ac:dyDescent="0.3">
      <c r="A44" s="268">
        <v>1995</v>
      </c>
      <c r="B44" s="603">
        <f>'C1-Incomes'!BV43</f>
        <v>4195937.3091000002</v>
      </c>
      <c r="C44" s="881"/>
      <c r="D44" s="280">
        <f>(TOTALS!E101)/1000000+'T-T1'!CC44-'T-T1'!BS44</f>
        <v>3229758.9075278942</v>
      </c>
      <c r="E44" s="601" t="s">
        <v>50</v>
      </c>
      <c r="F44" s="270"/>
      <c r="G44" s="270">
        <f>TOTALS!T101/1000000+AC44</f>
        <v>23509.192777176577</v>
      </c>
      <c r="H44" s="270"/>
      <c r="I44" s="280">
        <f>TOTALS!R101/1000000</f>
        <v>168198.18343500001</v>
      </c>
      <c r="J44" s="280">
        <f>'T-T1'!DW44-Q44</f>
        <v>46861.331409000006</v>
      </c>
      <c r="K44" s="280">
        <f>'T-T1'!CD44</f>
        <v>25136.034813964798</v>
      </c>
      <c r="L44" s="270"/>
      <c r="M44" s="280">
        <f>TOTALS!U101/1000000</f>
        <v>25123.717064</v>
      </c>
      <c r="N44" s="270"/>
      <c r="O44" s="280">
        <f>TOTALS!H101/1000000</f>
        <v>109264.776423</v>
      </c>
      <c r="P44" s="270"/>
      <c r="Q44" s="270">
        <f>TOTALS!$BC101/1000000</f>
        <v>77583.668294999996</v>
      </c>
      <c r="R44" s="270"/>
      <c r="S44" s="280">
        <f>'T-T1'!AN44</f>
        <v>48521.099162999999</v>
      </c>
      <c r="T44" s="270"/>
      <c r="U44" s="280">
        <f>TOTALS!F101/1000000-W44</f>
        <v>96220.887244199999</v>
      </c>
      <c r="V44" s="280"/>
      <c r="W44" s="280">
        <f>TOTALS!F101/1000000*0.4</f>
        <v>64147.258162800004</v>
      </c>
      <c r="X44" s="280"/>
      <c r="Y44" s="280">
        <f>TOTALS!AD101/1000000+'T-T1'!CE44</f>
        <v>281612.2527849648</v>
      </c>
      <c r="Z44" s="893"/>
      <c r="AA44" s="601">
        <f t="shared" si="0"/>
        <v>0</v>
      </c>
      <c r="AB44" s="601"/>
      <c r="AC44" s="601">
        <v>31328.197633176576</v>
      </c>
      <c r="AD44" s="834"/>
      <c r="AE44" s="607">
        <f t="shared" si="1"/>
        <v>31328.197633176576</v>
      </c>
      <c r="AF44" s="270"/>
      <c r="AG44" s="601"/>
      <c r="AH44" s="270"/>
      <c r="AI44" s="270"/>
      <c r="AJ44" s="270"/>
      <c r="AK44" s="39"/>
      <c r="AL44" s="39"/>
    </row>
    <row r="45" spans="1:38" ht="10.5" customHeight="1" x14ac:dyDescent="0.3">
      <c r="A45" s="268">
        <v>1996</v>
      </c>
      <c r="B45" s="603">
        <f>'C1-Incomes'!BV44</f>
        <v>4458493.8315000003</v>
      </c>
      <c r="C45" s="881"/>
      <c r="D45" s="280">
        <f>(TOTALS!E102)/1000000+'T-T1'!CC45-'T-T1'!BS45</f>
        <v>3406336.6309994278</v>
      </c>
      <c r="E45" s="601" t="s">
        <v>50</v>
      </c>
      <c r="F45" s="270"/>
      <c r="G45" s="270">
        <f>TOTALS!T102/1000000+AC45</f>
        <v>18839.789753619316</v>
      </c>
      <c r="H45" s="270"/>
      <c r="I45" s="280">
        <f>TOTALS!R102/1000000</f>
        <v>175485.19050699999</v>
      </c>
      <c r="J45" s="280">
        <f>'T-T1'!DW45-Q45</f>
        <v>57392.340354</v>
      </c>
      <c r="K45" s="280">
        <f>'T-T1'!CD45</f>
        <v>26370.71999147602</v>
      </c>
      <c r="L45" s="270"/>
      <c r="M45" s="280">
        <f>TOTALS!U102/1000000</f>
        <v>37074.080443999999</v>
      </c>
      <c r="N45" s="270"/>
      <c r="O45" s="280">
        <f>TOTALS!H102/1000000</f>
        <v>120195.636755</v>
      </c>
      <c r="P45" s="270"/>
      <c r="Q45" s="270">
        <f>TOTALS!$BC102/1000000</f>
        <v>87796.932325999995</v>
      </c>
      <c r="R45" s="270"/>
      <c r="S45" s="280">
        <f>'T-T1'!AN45</f>
        <v>48217.719169000004</v>
      </c>
      <c r="T45" s="270"/>
      <c r="U45" s="280">
        <f>TOTALS!F102/1000000-W45</f>
        <v>103229.56242659999</v>
      </c>
      <c r="V45" s="280"/>
      <c r="W45" s="280">
        <f>TOTALS!F102/1000000*0.4</f>
        <v>68819.708284399996</v>
      </c>
      <c r="X45" s="280"/>
      <c r="Y45" s="280">
        <f>TOTALS!AD102/1000000+'T-T1'!CE45</f>
        <v>308735.52048947604</v>
      </c>
      <c r="Z45" s="893"/>
      <c r="AA45" s="601">
        <f t="shared" si="0"/>
        <v>0</v>
      </c>
      <c r="AB45" s="601"/>
      <c r="AC45" s="601">
        <v>25956.347968619317</v>
      </c>
      <c r="AD45" s="834"/>
      <c r="AE45" s="607">
        <f t="shared" si="1"/>
        <v>25956.347968619317</v>
      </c>
      <c r="AF45" s="270"/>
      <c r="AG45" s="601"/>
      <c r="AH45" s="270"/>
      <c r="AI45" s="270"/>
      <c r="AJ45" s="270"/>
      <c r="AK45" s="39"/>
      <c r="AL45" s="39"/>
    </row>
    <row r="46" spans="1:38" ht="10.5" customHeight="1" x14ac:dyDescent="0.3">
      <c r="A46" s="268">
        <v>1997</v>
      </c>
      <c r="B46" s="603">
        <f>'C1-Incomes'!BV45</f>
        <v>4788638.7085999995</v>
      </c>
      <c r="C46" s="881"/>
      <c r="D46" s="280">
        <f>(TOTALS!E103)/1000000+'T-T1'!CC46-'T-T1'!BS46</f>
        <v>3641960.4565070053</v>
      </c>
      <c r="E46" s="601" t="s">
        <v>50</v>
      </c>
      <c r="F46" s="270"/>
      <c r="G46" s="270">
        <f>TOTALS!T103/1000000+AC46</f>
        <v>22140.910233989671</v>
      </c>
      <c r="H46" s="270"/>
      <c r="I46" s="280">
        <f>TOTALS!R103/1000000</f>
        <v>185546.615464</v>
      </c>
      <c r="J46" s="280">
        <f>'T-T1'!DW46-Q46</f>
        <v>64637.682487999991</v>
      </c>
      <c r="K46" s="280">
        <f>'T-T1'!CD46</f>
        <v>28531.755343001856</v>
      </c>
      <c r="L46" s="270"/>
      <c r="M46" s="280">
        <f>TOTALS!U103/1000000</f>
        <v>39526.313930999997</v>
      </c>
      <c r="N46" s="270"/>
      <c r="O46" s="280">
        <f>TOTALS!H103/1000000</f>
        <v>136522.00104900001</v>
      </c>
      <c r="P46" s="270"/>
      <c r="Q46" s="270">
        <f>TOTALS!$BC103/1000000</f>
        <v>101960.050013</v>
      </c>
      <c r="R46" s="270"/>
      <c r="S46" s="280">
        <f>'T-T1'!AN46</f>
        <v>49018.190544999998</v>
      </c>
      <c r="T46" s="270"/>
      <c r="U46" s="280">
        <f>TOTALS!F103/1000000-W46</f>
        <v>106766.57710379999</v>
      </c>
      <c r="V46" s="280"/>
      <c r="W46" s="280">
        <f>TOTALS!F103/1000000*0.4</f>
        <v>71177.718069199997</v>
      </c>
      <c r="X46" s="280"/>
      <c r="Y46" s="280">
        <f>TOTALS!AD103/1000000+'T-T1'!CE46</f>
        <v>340850.43785300187</v>
      </c>
      <c r="Z46" s="893"/>
      <c r="AA46" s="601">
        <f t="shared" si="0"/>
        <v>0</v>
      </c>
      <c r="AB46" s="601"/>
      <c r="AC46" s="601">
        <v>28957.654587989673</v>
      </c>
      <c r="AD46" s="834"/>
      <c r="AE46" s="607">
        <f t="shared" si="1"/>
        <v>28957.654587989673</v>
      </c>
      <c r="AF46" s="270"/>
      <c r="AG46" s="601"/>
      <c r="AH46" s="270"/>
      <c r="AI46" s="270"/>
      <c r="AJ46" s="270"/>
      <c r="AK46" s="39"/>
      <c r="AL46" s="39"/>
    </row>
    <row r="47" spans="1:38" ht="10.5" customHeight="1" x14ac:dyDescent="0.3">
      <c r="A47" s="268">
        <v>1998</v>
      </c>
      <c r="B47" s="603">
        <f>'C1-Incomes'!BV46</f>
        <v>5142469.1332</v>
      </c>
      <c r="C47" s="881"/>
      <c r="D47" s="280">
        <f>(TOTALS!E104)/1000000+'T-T1'!CC47-'T-T1'!BS47</f>
        <v>3907766.6520607835</v>
      </c>
      <c r="E47" s="601" t="s">
        <v>50</v>
      </c>
      <c r="F47" s="270"/>
      <c r="G47" s="270">
        <f>TOTALS!T104/1000000+AC47</f>
        <v>24316.340171694923</v>
      </c>
      <c r="H47" s="270"/>
      <c r="I47" s="280">
        <f>TOTALS!R104/1000000</f>
        <v>201155.03962699999</v>
      </c>
      <c r="J47" s="280">
        <f>'T-T1'!DW47-Q47</f>
        <v>71743.350153999985</v>
      </c>
      <c r="K47" s="280">
        <f>'T-T1'!CD47</f>
        <v>28979.894197261165</v>
      </c>
      <c r="L47" s="270"/>
      <c r="M47" s="280">
        <f>TOTALS!U104/1000000</f>
        <v>42681.276710999999</v>
      </c>
      <c r="N47" s="270"/>
      <c r="O47" s="280">
        <f>TOTALS!H104/1000000</f>
        <v>135396.18551099999</v>
      </c>
      <c r="P47" s="270"/>
      <c r="Q47" s="270">
        <f>TOTALS!$BC104/1000000</f>
        <v>113466.458637</v>
      </c>
      <c r="R47" s="270"/>
      <c r="S47" s="280">
        <f>'T-T1'!AN47</f>
        <v>50224.300852</v>
      </c>
      <c r="T47" s="270"/>
      <c r="U47" s="280">
        <f>TOTALS!F104/1000000-W47</f>
        <v>111196.80499199999</v>
      </c>
      <c r="V47" s="280"/>
      <c r="W47" s="280">
        <f>TOTALS!F104/1000000*0.4</f>
        <v>74131.203328000003</v>
      </c>
      <c r="X47" s="280"/>
      <c r="Y47" s="280">
        <f>TOTALS!AD104/1000000+'T-T1'!CE47</f>
        <v>381411.62695826113</v>
      </c>
      <c r="Z47" s="893"/>
      <c r="AA47" s="601">
        <f t="shared" ref="AA47:AA64" si="2">B47-SUM(D47:Y47)</f>
        <v>0</v>
      </c>
      <c r="AB47" s="601"/>
      <c r="AC47" s="601">
        <v>32229.672232694924</v>
      </c>
      <c r="AD47" s="834"/>
      <c r="AE47" s="607">
        <f t="shared" si="1"/>
        <v>32229.672232694924</v>
      </c>
      <c r="AF47" s="270"/>
      <c r="AG47" s="601"/>
      <c r="AH47" s="270"/>
      <c r="AI47" s="270"/>
      <c r="AJ47" s="270"/>
      <c r="AK47" s="39"/>
      <c r="AL47" s="39"/>
    </row>
    <row r="48" spans="1:38" ht="10.5" customHeight="1" x14ac:dyDescent="0.3">
      <c r="A48" s="268">
        <v>1999</v>
      </c>
      <c r="B48" s="603">
        <f>'C1-Incomes'!BV47</f>
        <v>5535836.2098000003</v>
      </c>
      <c r="C48" s="881"/>
      <c r="D48" s="280">
        <f>(TOTALS!E105)/1000000+'T-T1'!CC48-'T-T1'!BS48</f>
        <v>4180885.2849466293</v>
      </c>
      <c r="E48" s="601" t="s">
        <v>50</v>
      </c>
      <c r="F48" s="270"/>
      <c r="G48" s="270">
        <f>TOTALS!T105/1000000+AC48</f>
        <v>27284.632681952415</v>
      </c>
      <c r="H48" s="270"/>
      <c r="I48" s="280">
        <f>TOTALS!R105/1000000</f>
        <v>230860.28610600001</v>
      </c>
      <c r="J48" s="280">
        <f>'T-T1'!DW48-Q48</f>
        <v>83464.675078000015</v>
      </c>
      <c r="K48" s="280">
        <f>'T-T1'!CD48</f>
        <v>27906.463722209646</v>
      </c>
      <c r="L48" s="270"/>
      <c r="M48" s="280">
        <f>TOTALS!U105/1000000</f>
        <v>48349.906621000002</v>
      </c>
      <c r="N48" s="270"/>
      <c r="O48" s="280">
        <f>TOTALS!H105/1000000</f>
        <v>153295.55466600001</v>
      </c>
      <c r="P48" s="270"/>
      <c r="Q48" s="270">
        <f>TOTALS!$BC105/1000000</f>
        <v>125673.422087</v>
      </c>
      <c r="R48" s="270"/>
      <c r="S48" s="280">
        <f>'T-T1'!AN48</f>
        <v>53011.417380999999</v>
      </c>
      <c r="T48" s="270"/>
      <c r="U48" s="280">
        <f>TOTALS!F105/1000000-W48</f>
        <v>111155.63156279999</v>
      </c>
      <c r="V48" s="280"/>
      <c r="W48" s="280">
        <f>TOTALS!F105/1000000*0.4</f>
        <v>74103.754375200006</v>
      </c>
      <c r="X48" s="280"/>
      <c r="Y48" s="280">
        <f>TOTALS!AD105/1000000+'T-T1'!CE48</f>
        <v>419845.18057220965</v>
      </c>
      <c r="Z48" s="893"/>
      <c r="AA48" s="601">
        <f t="shared" si="2"/>
        <v>0</v>
      </c>
      <c r="AB48" s="601"/>
      <c r="AC48" s="601">
        <v>34041.362298952416</v>
      </c>
      <c r="AD48" s="834"/>
      <c r="AE48" s="607">
        <f t="shared" si="1"/>
        <v>34041.362298952416</v>
      </c>
      <c r="AF48" s="270"/>
      <c r="AG48" s="601"/>
      <c r="AH48" s="270"/>
      <c r="AI48" s="270"/>
      <c r="AJ48" s="270"/>
      <c r="AK48" s="39"/>
      <c r="AL48" s="39"/>
    </row>
    <row r="49" spans="1:38" ht="10.5" customHeight="1" x14ac:dyDescent="0.3">
      <c r="A49" s="268">
        <v>2000</v>
      </c>
      <c r="B49" s="603">
        <f>'C1-Incomes'!BV48</f>
        <v>5924535.2435999997</v>
      </c>
      <c r="C49" s="881"/>
      <c r="D49" s="280">
        <f>(TOTALS!E106)/1000000+'T-T1'!CC49-'T-T1'!BS49</f>
        <v>4492671.9357684301</v>
      </c>
      <c r="E49" s="601" t="s">
        <v>50</v>
      </c>
      <c r="F49" s="270"/>
      <c r="G49" s="270">
        <f>TOTALS!T106/1000000+AC49</f>
        <v>25916.784724617515</v>
      </c>
      <c r="H49" s="270"/>
      <c r="I49" s="280">
        <f>TOTALS!R106/1000000</f>
        <v>224648.79847000001</v>
      </c>
      <c r="J49" s="280">
        <f>'T-T1'!DW49-Q49</f>
        <v>84043.827982999996</v>
      </c>
      <c r="K49" s="280">
        <f>'T-T1'!CD49</f>
        <v>31323.30574047675</v>
      </c>
      <c r="L49" s="270"/>
      <c r="M49" s="280">
        <f>TOTALS!U106/1000000</f>
        <v>52791.648585000003</v>
      </c>
      <c r="N49" s="270"/>
      <c r="O49" s="280">
        <f>TOTALS!H106/1000000</f>
        <v>168387.63184700001</v>
      </c>
      <c r="P49" s="270"/>
      <c r="Q49" s="270">
        <f>TOTALS!$BC106/1000000</f>
        <v>127819.482197</v>
      </c>
      <c r="R49" s="270"/>
      <c r="S49" s="280">
        <f>'T-T1'!AN49</f>
        <v>54599.420014000003</v>
      </c>
      <c r="T49" s="270"/>
      <c r="U49" s="280">
        <f>TOTALS!F106/1000000-W49</f>
        <v>124495.309971</v>
      </c>
      <c r="V49" s="280"/>
      <c r="W49" s="280">
        <f>TOTALS!F106/1000000*0.4</f>
        <v>82996.873314000011</v>
      </c>
      <c r="X49" s="280"/>
      <c r="Y49" s="280">
        <f>TOTALS!AD106/1000000+'T-T1'!CE49</f>
        <v>454840.22498547676</v>
      </c>
      <c r="Z49" s="893"/>
      <c r="AA49" s="601">
        <f t="shared" si="2"/>
        <v>0</v>
      </c>
      <c r="AB49" s="601"/>
      <c r="AC49" s="601">
        <v>35010.314677617513</v>
      </c>
      <c r="AD49" s="834"/>
      <c r="AE49" s="607">
        <f t="shared" si="1"/>
        <v>35010.314677617513</v>
      </c>
      <c r="AF49" s="270"/>
      <c r="AG49" s="601"/>
      <c r="AH49" s="270"/>
      <c r="AI49" s="270"/>
      <c r="AJ49" s="270"/>
      <c r="AK49" s="39"/>
      <c r="AL49" s="39"/>
    </row>
    <row r="50" spans="1:38" ht="10.5" customHeight="1" x14ac:dyDescent="0.3">
      <c r="A50" s="268">
        <v>2001</v>
      </c>
      <c r="B50" s="603">
        <f>'C1-Incomes'!BV49</f>
        <v>6003224.1955000004</v>
      </c>
      <c r="C50" s="881"/>
      <c r="D50" s="280">
        <f>(TOTALS!E107)/1000000+'T-T1'!CC50-'T-T1'!BS50</f>
        <v>4595437.238572482</v>
      </c>
      <c r="E50" s="601" t="s">
        <v>50</v>
      </c>
      <c r="F50" s="270"/>
      <c r="G50" s="270">
        <f>TOTALS!T107/1000000+AC50</f>
        <v>21463.571090863348</v>
      </c>
      <c r="H50" s="270"/>
      <c r="I50" s="280">
        <f>TOTALS!R107/1000000</f>
        <v>215387.10280399999</v>
      </c>
      <c r="J50" s="280">
        <f>'T-T1'!DW50-Q50</f>
        <v>92551.862498999995</v>
      </c>
      <c r="K50" s="280">
        <f>'T-T1'!CD50</f>
        <v>32996.496987826991</v>
      </c>
      <c r="L50" s="270"/>
      <c r="M50" s="280">
        <f>TOTALS!U107/1000000</f>
        <v>54900.200981000002</v>
      </c>
      <c r="N50" s="270"/>
      <c r="O50" s="280">
        <f>TOTALS!H107/1000000</f>
        <v>136186.01479700001</v>
      </c>
      <c r="P50" s="270"/>
      <c r="Q50" s="270">
        <f>TOTALS!$BC107/1000000</f>
        <v>129762.442104</v>
      </c>
      <c r="R50" s="270"/>
      <c r="S50" s="280">
        <f>'T-T1'!AN50</f>
        <v>55581.210744000004</v>
      </c>
      <c r="T50" s="270"/>
      <c r="U50" s="280">
        <f>TOTALS!F107/1000000-W50</f>
        <v>123248.61393659998</v>
      </c>
      <c r="V50" s="280"/>
      <c r="W50" s="280">
        <f>TOTALS!F107/1000000*0.4</f>
        <v>82165.742624400009</v>
      </c>
      <c r="X50" s="280"/>
      <c r="Y50" s="280">
        <f>TOTALS!AD107/1000000+'T-T1'!CE50</f>
        <v>463543.69835882698</v>
      </c>
      <c r="Z50" s="893"/>
      <c r="AA50" s="601">
        <f t="shared" si="2"/>
        <v>0</v>
      </c>
      <c r="AB50" s="601"/>
      <c r="AC50" s="601">
        <v>32470.124818863347</v>
      </c>
      <c r="AD50" s="834"/>
      <c r="AE50" s="607">
        <f t="shared" si="1"/>
        <v>32470.124818863347</v>
      </c>
      <c r="AF50" s="270"/>
      <c r="AG50" s="601"/>
      <c r="AH50" s="270"/>
      <c r="AI50" s="270"/>
      <c r="AJ50" s="270"/>
      <c r="AK50" s="39"/>
      <c r="AL50" s="39"/>
    </row>
    <row r="51" spans="1:38" ht="10.5" customHeight="1" x14ac:dyDescent="0.3">
      <c r="A51" s="268">
        <v>2002</v>
      </c>
      <c r="B51" s="603">
        <f>'C1-Incomes'!BV50</f>
        <v>5949898.9863999998</v>
      </c>
      <c r="C51" s="881"/>
      <c r="D51" s="280">
        <f>(TOTALS!E108)/1000000+'T-T1'!CC51-'T-T1'!BS51</f>
        <v>4591060.375453339</v>
      </c>
      <c r="E51" s="601" t="s">
        <v>50</v>
      </c>
      <c r="F51" s="270"/>
      <c r="G51" s="270">
        <f>TOTALS!T108/1000000+AC51</f>
        <v>15792.229171102628</v>
      </c>
      <c r="H51" s="270"/>
      <c r="I51" s="280">
        <f>TOTALS!R108/1000000</f>
        <v>218534.57685300001</v>
      </c>
      <c r="J51" s="280">
        <f>'T-T1'!DW51-Q51</f>
        <v>97889.123196</v>
      </c>
      <c r="K51" s="280">
        <f>'T-T1'!CD51</f>
        <v>34885.693628779482</v>
      </c>
      <c r="L51" s="270"/>
      <c r="M51" s="280">
        <f>TOTALS!U108/1000000</f>
        <v>50185.919333999998</v>
      </c>
      <c r="N51" s="270"/>
      <c r="O51" s="280">
        <f>TOTALS!H108/1000000</f>
        <v>117228.51764200001</v>
      </c>
      <c r="P51" s="270"/>
      <c r="Q51" s="270">
        <f>TOTALS!$BC108/1000000</f>
        <v>137535.661016</v>
      </c>
      <c r="R51" s="270"/>
      <c r="S51" s="280">
        <f>'T-T1'!AN51</f>
        <v>54563.281494000003</v>
      </c>
      <c r="T51" s="270"/>
      <c r="U51" s="280">
        <f>TOTALS!F108/1000000-W51</f>
        <v>92386.290157200012</v>
      </c>
      <c r="V51" s="280"/>
      <c r="W51" s="280">
        <f>TOTALS!F108/1000000*0.4</f>
        <v>61590.860104800006</v>
      </c>
      <c r="X51" s="280"/>
      <c r="Y51" s="280">
        <f>TOTALS!AD108/1000000+'T-T1'!CE51</f>
        <v>478246.45834977948</v>
      </c>
      <c r="Z51" s="893"/>
      <c r="AA51" s="601">
        <f t="shared" si="2"/>
        <v>0</v>
      </c>
      <c r="AB51" s="601"/>
      <c r="AC51" s="601">
        <v>30217.534454102628</v>
      </c>
      <c r="AD51" s="834"/>
      <c r="AE51" s="607">
        <f t="shared" si="1"/>
        <v>30217.534454102628</v>
      </c>
      <c r="AF51" s="270"/>
      <c r="AG51" s="601"/>
      <c r="AH51" s="270"/>
      <c r="AI51" s="270"/>
      <c r="AJ51" s="270"/>
      <c r="AK51" s="39"/>
      <c r="AL51" s="39"/>
    </row>
    <row r="52" spans="1:38" ht="10.5" customHeight="1" x14ac:dyDescent="0.3">
      <c r="A52" s="268">
        <f>A51+1</f>
        <v>2003</v>
      </c>
      <c r="B52" s="603">
        <f>'C1-Incomes'!BV51</f>
        <v>6089554.4447999997</v>
      </c>
      <c r="C52" s="881"/>
      <c r="D52" s="280">
        <f>(TOTALS!E109)/1000000+'T-T1'!CC52-'T-T1'!BS52</f>
        <v>4686807.8639000691</v>
      </c>
      <c r="E52" s="601" t="s">
        <v>50</v>
      </c>
      <c r="F52" s="270"/>
      <c r="G52" s="270">
        <f>TOTALS!T109/1000000+AC52</f>
        <v>19162.900350884116</v>
      </c>
      <c r="H52" s="270"/>
      <c r="I52" s="280">
        <f>TOTALS!R109/1000000</f>
        <v>227769.604322</v>
      </c>
      <c r="J52" s="280">
        <f>'T-T1'!DW52-Q52</f>
        <v>104352.26591399999</v>
      </c>
      <c r="K52" s="280">
        <f>'T-T1'!CD52</f>
        <v>37172.63739502299</v>
      </c>
      <c r="L52" s="270"/>
      <c r="M52" s="280">
        <f>TOTALS!U109/1000000</f>
        <v>53583.303103999999</v>
      </c>
      <c r="N52" s="270"/>
      <c r="O52" s="280">
        <f>TOTALS!H109/1000000</f>
        <v>131247.12319899999</v>
      </c>
      <c r="P52" s="270"/>
      <c r="Q52" s="270">
        <f>TOTALS!$BC109/1000000</f>
        <v>147330.04742700001</v>
      </c>
      <c r="R52" s="270"/>
      <c r="S52" s="280">
        <f>'T-T1'!AN52</f>
        <v>53748.847283000003</v>
      </c>
      <c r="T52" s="270"/>
      <c r="U52" s="280">
        <f>TOTALS!F109/1000000-W52</f>
        <v>79521.047571599993</v>
      </c>
      <c r="V52" s="280"/>
      <c r="W52" s="280">
        <f>TOTALS!F109/1000000*0.4</f>
        <v>53014.0317144</v>
      </c>
      <c r="X52" s="280"/>
      <c r="Y52" s="280">
        <f>TOTALS!AD109/1000000+'T-T1'!CE52</f>
        <v>495844.77261902299</v>
      </c>
      <c r="Z52" s="893"/>
      <c r="AA52" s="601">
        <f t="shared" si="2"/>
        <v>0</v>
      </c>
      <c r="AB52" s="601"/>
      <c r="AC52" s="601">
        <v>31452.811254884116</v>
      </c>
      <c r="AD52" s="834"/>
      <c r="AE52" s="607">
        <f t="shared" si="1"/>
        <v>31452.811254884116</v>
      </c>
      <c r="AF52" s="270"/>
      <c r="AG52" s="601"/>
      <c r="AH52" s="270"/>
      <c r="AI52" s="270"/>
      <c r="AJ52" s="270"/>
      <c r="AK52" s="39"/>
      <c r="AL52" s="39"/>
    </row>
    <row r="53" spans="1:38" ht="10.5" customHeight="1" x14ac:dyDescent="0.3">
      <c r="A53" s="268">
        <f>A52+1</f>
        <v>2004</v>
      </c>
      <c r="B53" s="603">
        <f>'C1-Incomes'!BV52</f>
        <v>6520987.7527000001</v>
      </c>
      <c r="C53" s="881"/>
      <c r="D53" s="280">
        <f>(TOTALS!E110)/1000000+'T-T1'!CC53-'T-T1'!BS53</f>
        <v>4960642.9776846115</v>
      </c>
      <c r="E53" s="601" t="s">
        <v>50</v>
      </c>
      <c r="F53" s="270"/>
      <c r="G53" s="270">
        <f>TOTALS!T110/1000000+AC53</f>
        <v>20680.008401980958</v>
      </c>
      <c r="H53" s="270"/>
      <c r="I53" s="280">
        <f>TOTALS!R110/1000000</f>
        <v>245306.59464299999</v>
      </c>
      <c r="J53" s="280">
        <f>'T-T1'!DW53-Q53</f>
        <v>118521.055685</v>
      </c>
      <c r="K53" s="280">
        <f>'T-T1'!CD53</f>
        <v>39880.35549020391</v>
      </c>
      <c r="L53" s="270"/>
      <c r="M53" s="280">
        <f>TOTALS!U110/1000000</f>
        <v>56272.822193</v>
      </c>
      <c r="N53" s="270"/>
      <c r="O53" s="280">
        <f>TOTALS!H110/1000000</f>
        <v>168651.846422</v>
      </c>
      <c r="P53" s="270"/>
      <c r="Q53" s="270">
        <f>TOTALS!$BC110/1000000</f>
        <v>194176.797559</v>
      </c>
      <c r="R53" s="270"/>
      <c r="S53" s="280">
        <f>'T-T1'!AN53</f>
        <v>52031.762896</v>
      </c>
      <c r="T53" s="270"/>
      <c r="U53" s="280">
        <f>TOTALS!F110/1000000-W53</f>
        <v>78890.214003000001</v>
      </c>
      <c r="V53" s="280"/>
      <c r="W53" s="280">
        <f>TOTALS!F110/1000000*0.4</f>
        <v>52593.47600200001</v>
      </c>
      <c r="X53" s="280"/>
      <c r="Y53" s="280">
        <f>TOTALS!AD110/1000000+'T-T1'!CE53</f>
        <v>533339.84172020387</v>
      </c>
      <c r="Z53" s="893"/>
      <c r="AA53" s="601">
        <f t="shared" si="2"/>
        <v>0</v>
      </c>
      <c r="AB53" s="601"/>
      <c r="AC53" s="601">
        <v>33901.78825898096</v>
      </c>
      <c r="AD53" s="834"/>
      <c r="AE53" s="607">
        <f t="shared" si="1"/>
        <v>33901.78825898096</v>
      </c>
      <c r="AF53" s="270"/>
      <c r="AG53" s="601"/>
      <c r="AH53" s="270"/>
      <c r="AI53" s="270"/>
      <c r="AJ53" s="270"/>
      <c r="AK53" s="39"/>
      <c r="AL53" s="39"/>
    </row>
    <row r="54" spans="1:38" ht="10.5" customHeight="1" x14ac:dyDescent="0.3">
      <c r="A54" s="268">
        <v>2005</v>
      </c>
      <c r="B54" s="603">
        <f>'C1-Incomes'!BV53</f>
        <v>6972953.9581000004</v>
      </c>
      <c r="C54" s="881"/>
      <c r="D54" s="280">
        <f>(TOTALS!E111)/1000000+'T-T1'!CC54-'T-T1'!BS54</f>
        <v>5191685.2867919495</v>
      </c>
      <c r="E54" s="601" t="s">
        <v>50</v>
      </c>
      <c r="F54" s="270"/>
      <c r="G54" s="270">
        <f>TOTALS!T111/1000000+AC54</f>
        <v>20929.870554752139</v>
      </c>
      <c r="H54" s="270"/>
      <c r="I54" s="280">
        <f>TOTALS!R111/1000000</f>
        <v>267347.363129</v>
      </c>
      <c r="J54" s="280">
        <f>'T-T1'!DW54-Q54</f>
        <v>148552.196849</v>
      </c>
      <c r="K54" s="280">
        <f>'T-T1'!CD54</f>
        <v>41748.395249650013</v>
      </c>
      <c r="L54" s="270"/>
      <c r="M54" s="280">
        <f>TOTALS!U111/1000000</f>
        <v>62821.623461000003</v>
      </c>
      <c r="N54" s="270"/>
      <c r="O54" s="280">
        <f>TOTALS!H111/1000000</f>
        <v>191205.18784200001</v>
      </c>
      <c r="P54" s="270"/>
      <c r="Q54" s="270">
        <f>TOTALS!$BC111/1000000</f>
        <v>249337.405852</v>
      </c>
      <c r="R54" s="270"/>
      <c r="S54" s="280">
        <f>'T-T1'!AN54</f>
        <v>57688.283131999997</v>
      </c>
      <c r="T54" s="270"/>
      <c r="U54" s="280">
        <f>TOTALS!F111/1000000-W54</f>
        <v>102193.29723479999</v>
      </c>
      <c r="V54" s="280"/>
      <c r="W54" s="280">
        <f>TOTALS!F111/1000000*0.4</f>
        <v>68128.864823199998</v>
      </c>
      <c r="X54" s="280"/>
      <c r="Y54" s="280">
        <f>TOTALS!AD111/1000000+'T-T1'!CE54</f>
        <v>571316.18318065</v>
      </c>
      <c r="Z54" s="893"/>
      <c r="AA54" s="601">
        <f t="shared" si="2"/>
        <v>0</v>
      </c>
      <c r="AB54" s="601"/>
      <c r="AC54" s="601">
        <v>33063.251052752137</v>
      </c>
      <c r="AD54" s="834"/>
      <c r="AE54" s="607">
        <f t="shared" si="1"/>
        <v>33063.251052752137</v>
      </c>
      <c r="AF54" s="270"/>
      <c r="AG54" s="601"/>
      <c r="AH54" s="270"/>
      <c r="AI54" s="270"/>
      <c r="AJ54" s="270"/>
      <c r="AK54" s="39"/>
      <c r="AL54" s="39"/>
    </row>
    <row r="55" spans="1:38" ht="10.5" customHeight="1" x14ac:dyDescent="0.3">
      <c r="A55" s="268">
        <v>2006</v>
      </c>
      <c r="B55" s="603">
        <f>'C1-Incomes'!BV54</f>
        <v>7471817.5791999996</v>
      </c>
      <c r="C55" s="881"/>
      <c r="D55" s="280">
        <f>(TOTALS!E112)/1000000+'T-T1'!CC55-'T-T1'!BS55</f>
        <v>5501121.0863157688</v>
      </c>
      <c r="E55" s="601" t="s">
        <v>50</v>
      </c>
      <c r="F55" s="270"/>
      <c r="G55" s="270">
        <f>TOTALS!T112/1000000+AC55</f>
        <v>18796.892238717897</v>
      </c>
      <c r="H55" s="270"/>
      <c r="I55" s="280">
        <f>TOTALS!R112/1000000</f>
        <v>279036.70962400001</v>
      </c>
      <c r="J55" s="280">
        <f>'T-T1'!DW55-Q55</f>
        <v>156611.09650300001</v>
      </c>
      <c r="K55" s="280">
        <f>'T-T1'!CD55</f>
        <v>41573.857619256436</v>
      </c>
      <c r="L55" s="270"/>
      <c r="M55" s="280">
        <f>TOTALS!U112/1000000</f>
        <v>59825.631346000002</v>
      </c>
      <c r="N55" s="270"/>
      <c r="O55" s="280">
        <f>TOTALS!H112/1000000</f>
        <v>231089.03415799999</v>
      </c>
      <c r="P55" s="270"/>
      <c r="Q55" s="270">
        <f>TOTALS!$BC112/1000000</f>
        <v>264206.87327400001</v>
      </c>
      <c r="R55" s="270"/>
      <c r="S55" s="280">
        <f>'T-T1'!AN55</f>
        <v>72921.697551000005</v>
      </c>
      <c r="T55" s="270"/>
      <c r="U55" s="280">
        <f>TOTALS!F112/1000000-W55</f>
        <v>139954.90268940001</v>
      </c>
      <c r="V55" s="280"/>
      <c r="W55" s="280">
        <f>TOTALS!F112/1000000*0.4</f>
        <v>93303.268459600004</v>
      </c>
      <c r="X55" s="280"/>
      <c r="Y55" s="280">
        <f>TOTALS!AD112/1000000+'T-T1'!CE55</f>
        <v>613376.52942125651</v>
      </c>
      <c r="Z55" s="893"/>
      <c r="AA55" s="601">
        <f t="shared" si="2"/>
        <v>0</v>
      </c>
      <c r="AB55" s="601"/>
      <c r="AC55" s="601">
        <v>34057.695002717897</v>
      </c>
      <c r="AD55" s="834"/>
      <c r="AE55" s="607">
        <f t="shared" si="1"/>
        <v>34057.695002717897</v>
      </c>
      <c r="AF55" s="270"/>
      <c r="AG55" s="601"/>
      <c r="AH55" s="270"/>
      <c r="AI55" s="270"/>
      <c r="AJ55" s="270"/>
      <c r="AK55" s="39"/>
      <c r="AL55" s="39"/>
    </row>
    <row r="56" spans="1:38" ht="10.5" customHeight="1" x14ac:dyDescent="0.3">
      <c r="A56" s="268">
        <v>2007</v>
      </c>
      <c r="B56" s="603">
        <f>'C1-Incomes'!BV55</f>
        <v>7968133.5087000001</v>
      </c>
      <c r="C56" s="881"/>
      <c r="D56" s="280">
        <f>(TOTALS!E113)/1000000+'T-T1'!CC56-'T-T1'!BS56</f>
        <v>5857568.8799872976</v>
      </c>
      <c r="E56" s="601" t="s">
        <v>50</v>
      </c>
      <c r="F56" s="270"/>
      <c r="G56" s="270">
        <f>TOTALS!T113/1000000+AC56</f>
        <v>24088.001015502618</v>
      </c>
      <c r="H56" s="270"/>
      <c r="I56" s="280">
        <f>TOTALS!R113/1000000</f>
        <v>276194.63561</v>
      </c>
      <c r="J56" s="280">
        <f>'T-T1'!DW56-Q56</f>
        <v>156400.36046499998</v>
      </c>
      <c r="K56" s="280">
        <f>'T-T1'!CD56</f>
        <v>38369.924666099367</v>
      </c>
      <c r="L56" s="270"/>
      <c r="M56" s="280">
        <f>TOTALS!U113/1000000</f>
        <v>59395.063593999999</v>
      </c>
      <c r="N56" s="270"/>
      <c r="O56" s="280">
        <f>TOTALS!H113/1000000</f>
        <v>270924.21551200002</v>
      </c>
      <c r="P56" s="270"/>
      <c r="Q56" s="270">
        <f>TOTALS!$BC113/1000000</f>
        <v>252555.093413</v>
      </c>
      <c r="R56" s="270"/>
      <c r="S56" s="280">
        <f>'T-T1'!AN56</f>
        <v>79303.480832000001</v>
      </c>
      <c r="T56" s="270"/>
      <c r="U56" s="280">
        <f>TOTALS!F113/1000000-W56</f>
        <v>167900.72005860001</v>
      </c>
      <c r="V56" s="280"/>
      <c r="W56" s="280">
        <f>TOTALS!F113/1000000*0.4</f>
        <v>111933.81337240001</v>
      </c>
      <c r="X56" s="280"/>
      <c r="Y56" s="280">
        <f>TOTALS!AD113/1000000+'T-T1'!CE56</f>
        <v>673499.32017409941</v>
      </c>
      <c r="Z56" s="893"/>
      <c r="AA56" s="601">
        <f t="shared" si="2"/>
        <v>0</v>
      </c>
      <c r="AB56" s="601"/>
      <c r="AC56" s="601">
        <v>38763.455471502617</v>
      </c>
      <c r="AD56" s="834"/>
      <c r="AE56" s="607">
        <f t="shared" si="1"/>
        <v>38763.455471502617</v>
      </c>
      <c r="AF56" s="270"/>
      <c r="AG56" s="601"/>
      <c r="AH56" s="270"/>
      <c r="AI56" s="270"/>
      <c r="AJ56" s="270"/>
      <c r="AK56" s="39"/>
      <c r="AL56" s="39"/>
    </row>
    <row r="57" spans="1:38" ht="10.5" customHeight="1" x14ac:dyDescent="0.3">
      <c r="A57" s="268">
        <v>2008</v>
      </c>
      <c r="B57" s="603">
        <f>'C1-Incomes'!BV56</f>
        <v>7998907.5153999999</v>
      </c>
      <c r="C57" s="881"/>
      <c r="D57" s="280">
        <f>(TOTALS!E114)/1000000+'T-T1'!CC57-'T-T1'!BS57</f>
        <v>5972968.0141504779</v>
      </c>
      <c r="E57" s="601" t="s">
        <v>50</v>
      </c>
      <c r="F57" s="270"/>
      <c r="G57" s="270">
        <f>TOTALS!T114/1000000+AC57</f>
        <v>24408.512730538314</v>
      </c>
      <c r="H57" s="270"/>
      <c r="I57" s="280">
        <f>TOTALS!R114/1000000</f>
        <v>260612.425189</v>
      </c>
      <c r="J57" s="280">
        <f>'T-T1'!DW57-Q57</f>
        <v>136643.59567299997</v>
      </c>
      <c r="K57" s="280">
        <f>'T-T1'!CD57</f>
        <v>42927.201807492798</v>
      </c>
      <c r="L57" s="270"/>
      <c r="M57" s="280">
        <f>TOTALS!U114/1000000</f>
        <v>69886.838736000005</v>
      </c>
      <c r="N57" s="270"/>
      <c r="O57" s="280">
        <f>TOTALS!H114/1000000</f>
        <v>246335.28420600001</v>
      </c>
      <c r="P57" s="270"/>
      <c r="Q57" s="270">
        <f>TOTALS!$BC114/1000000</f>
        <v>225912.66020300001</v>
      </c>
      <c r="R57" s="270"/>
      <c r="S57" s="280">
        <f>'T-T1'!AN57</f>
        <v>79798.983856000006</v>
      </c>
      <c r="T57" s="270"/>
      <c r="U57" s="280">
        <f>TOTALS!F114/1000000-W57</f>
        <v>138927.92102579999</v>
      </c>
      <c r="V57" s="280"/>
      <c r="W57" s="280">
        <f>TOTALS!F114/1000000*0.4</f>
        <v>92618.614017200016</v>
      </c>
      <c r="X57" s="280"/>
      <c r="Y57" s="280">
        <f>TOTALS!AD114/1000000+'T-T1'!CE57</f>
        <v>707867.46380549273</v>
      </c>
      <c r="Z57" s="893"/>
      <c r="AA57" s="601">
        <f t="shared" si="2"/>
        <v>0</v>
      </c>
      <c r="AB57" s="601"/>
      <c r="AC57" s="601">
        <v>39240.206673538312</v>
      </c>
      <c r="AD57" s="834"/>
      <c r="AE57" s="607">
        <f t="shared" si="1"/>
        <v>39240.206673538312</v>
      </c>
      <c r="AF57" s="270"/>
      <c r="AG57" s="601"/>
      <c r="AH57" s="270"/>
      <c r="AI57" s="270"/>
      <c r="AJ57" s="270"/>
      <c r="AK57" s="39"/>
      <c r="AL57" s="39"/>
    </row>
    <row r="58" spans="1:38" ht="10.5" customHeight="1" x14ac:dyDescent="0.3">
      <c r="A58" s="268">
        <v>2009</v>
      </c>
      <c r="B58" s="603">
        <f>'C1-Incomes'!BV57</f>
        <v>7562356.4171000002</v>
      </c>
      <c r="C58" s="881"/>
      <c r="D58" s="280">
        <f>(TOTALS!E115)/1000000+'T-T1'!CC58-'T-T1'!BS58</f>
        <v>5734242.568413401</v>
      </c>
      <c r="E58" s="601" t="s">
        <v>50</v>
      </c>
      <c r="F58" s="270"/>
      <c r="G58" s="270">
        <f>TOTALS!T115/1000000+AC58</f>
        <v>26227.097764667247</v>
      </c>
      <c r="H58" s="270"/>
      <c r="I58" s="280">
        <f>TOTALS!R115/1000000</f>
        <v>241624.572567</v>
      </c>
      <c r="J58" s="280">
        <f>'T-T1'!DW58-Q58</f>
        <v>135614.77104899997</v>
      </c>
      <c r="K58" s="280">
        <f>'T-T1'!CD58</f>
        <v>41875.864098467107</v>
      </c>
      <c r="L58" s="270"/>
      <c r="M58" s="280">
        <f>TOTALS!U115/1000000</f>
        <v>52709.009747999997</v>
      </c>
      <c r="N58" s="270"/>
      <c r="O58" s="280">
        <f>TOTALS!H115/1000000</f>
        <v>182541.58540099999</v>
      </c>
      <c r="P58" s="270"/>
      <c r="Q58" s="270">
        <f>TOTALS!$BC115/1000000</f>
        <v>204567.030486</v>
      </c>
      <c r="R58" s="270"/>
      <c r="S58" s="280">
        <f>'T-T1'!AN58</f>
        <v>73574.103896999994</v>
      </c>
      <c r="T58" s="270"/>
      <c r="U58" s="280">
        <f>TOTALS!F115/1000000-W58</f>
        <v>103770.91727400001</v>
      </c>
      <c r="V58" s="280"/>
      <c r="W58" s="280">
        <f>TOTALS!F115/1000000*0.4</f>
        <v>69180.611516000004</v>
      </c>
      <c r="X58" s="280"/>
      <c r="Y58" s="280">
        <f>TOTALS!AD115/1000000+'T-T1'!CE58</f>
        <v>696428.28488546703</v>
      </c>
      <c r="Z58" s="893"/>
      <c r="AA58" s="601">
        <f t="shared" si="2"/>
        <v>0</v>
      </c>
      <c r="AB58" s="601"/>
      <c r="AC58" s="601">
        <v>40361.999688667245</v>
      </c>
      <c r="AD58" s="834"/>
      <c r="AE58" s="607">
        <f t="shared" si="1"/>
        <v>40361.999688667245</v>
      </c>
      <c r="AF58" s="270"/>
      <c r="AG58" s="601"/>
      <c r="AH58" s="270"/>
      <c r="AI58" s="270"/>
      <c r="AJ58" s="270"/>
      <c r="AK58" s="39"/>
      <c r="AL58" s="39"/>
    </row>
    <row r="59" spans="1:38" ht="10.5" customHeight="1" x14ac:dyDescent="0.3">
      <c r="A59" s="268">
        <v>2010</v>
      </c>
      <c r="B59" s="603">
        <f>'C1-Incomes'!BV58</f>
        <v>7878731.0645000003</v>
      </c>
      <c r="C59" s="881"/>
      <c r="D59" s="280">
        <f>(TOTALS!E116)/1000000+'T-T1'!CC59-'T-T1'!BS59</f>
        <v>5862680.6738551529</v>
      </c>
      <c r="E59" s="601" t="s">
        <v>50</v>
      </c>
      <c r="F59" s="270"/>
      <c r="G59" s="270">
        <f>TOTALS!T116/1000000+AC59</f>
        <v>33325.605180079066</v>
      </c>
      <c r="H59" s="270"/>
      <c r="I59" s="280">
        <f>TOTALS!R116/1000000</f>
        <v>263612.87514800002</v>
      </c>
      <c r="J59" s="280">
        <f>'T-T1'!DW59-Q59</f>
        <v>155439.06936699999</v>
      </c>
      <c r="K59" s="280">
        <f>'T-T1'!CD59</f>
        <v>42877.640708384366</v>
      </c>
      <c r="L59" s="270"/>
      <c r="M59" s="280">
        <f>TOTALS!U116/1000000</f>
        <v>68906.431771999996</v>
      </c>
      <c r="N59" s="270"/>
      <c r="O59" s="280">
        <f>TOTALS!H116/1000000</f>
        <v>205879.28195999999</v>
      </c>
      <c r="P59" s="270"/>
      <c r="Q59" s="270">
        <f>TOTALS!$BC116/1000000</f>
        <v>233757.375333</v>
      </c>
      <c r="R59" s="270"/>
      <c r="S59" s="280">
        <f>'T-T1'!AN59</f>
        <v>75161.664736000006</v>
      </c>
      <c r="T59" s="270"/>
      <c r="U59" s="280">
        <f>TOTALS!F116/1000000-W59</f>
        <v>87034.446806399996</v>
      </c>
      <c r="V59" s="280"/>
      <c r="W59" s="280">
        <f>TOTALS!F116/1000000*0.4</f>
        <v>58022.964537599997</v>
      </c>
      <c r="X59" s="280"/>
      <c r="Y59" s="280">
        <f>TOTALS!AD116/1000000+'T-T1'!CE59</f>
        <v>792033.03509638435</v>
      </c>
      <c r="Z59" s="893"/>
      <c r="AA59" s="601">
        <f t="shared" si="2"/>
        <v>0</v>
      </c>
      <c r="AB59" s="601"/>
      <c r="AC59" s="601">
        <v>45080.471581079066</v>
      </c>
      <c r="AD59" s="834"/>
      <c r="AE59" s="607">
        <f t="shared" si="1"/>
        <v>45080.471581079066</v>
      </c>
      <c r="AF59" s="270"/>
      <c r="AG59" s="601"/>
      <c r="AH59" s="270"/>
      <c r="AI59" s="270"/>
      <c r="AJ59" s="270"/>
      <c r="AK59" s="39"/>
      <c r="AL59" s="39"/>
    </row>
    <row r="60" spans="1:38" ht="10.5" customHeight="1" x14ac:dyDescent="0.3">
      <c r="A60" s="268">
        <f>A59+1</f>
        <v>2011</v>
      </c>
      <c r="B60" s="603">
        <f>'C1-Incomes'!BV59</f>
        <v>8197494.5801999997</v>
      </c>
      <c r="C60" s="881"/>
      <c r="D60" s="280">
        <f>(TOTALS!E117)/1000000+'T-T1'!CC60-'T-T1'!BS60</f>
        <v>6079980.5363855772</v>
      </c>
      <c r="E60" s="601" t="s">
        <v>50</v>
      </c>
      <c r="F60" s="270"/>
      <c r="G60" s="270">
        <f>TOTALS!T117/1000000+AC60</f>
        <v>37660.347397370773</v>
      </c>
      <c r="H60" s="270"/>
      <c r="I60" s="280">
        <f>TOTALS!R117/1000000</f>
        <v>279097.87580699997</v>
      </c>
      <c r="J60" s="280">
        <f>'T-T1'!DW60-Q60</f>
        <v>168089.24573699996</v>
      </c>
      <c r="K60" s="280">
        <f>'T-T1'!CD60</f>
        <v>44274.846362526063</v>
      </c>
      <c r="L60" s="270"/>
      <c r="M60" s="280">
        <f>TOTALS!U117/1000000</f>
        <v>80013.975732000006</v>
      </c>
      <c r="N60" s="280"/>
      <c r="O60" s="280">
        <f>TOTALS!H117/1000000</f>
        <v>218190.647922</v>
      </c>
      <c r="P60" s="270"/>
      <c r="Q60" s="270">
        <f>TOTALS!$BC117/1000000</f>
        <v>253486.73668500001</v>
      </c>
      <c r="R60" s="270"/>
      <c r="S60" s="280">
        <f>'T-T1'!AN60</f>
        <v>72995.369667000006</v>
      </c>
      <c r="T60" s="270"/>
      <c r="U60" s="280">
        <f>TOTALS!F117/1000000-W60</f>
        <v>75589.060083000004</v>
      </c>
      <c r="V60" s="280"/>
      <c r="W60" s="280">
        <f>TOTALS!F117/1000000*0.4</f>
        <v>50392.706722000003</v>
      </c>
      <c r="X60" s="280"/>
      <c r="Y60" s="280">
        <f>TOTALS!AD117/1000000+'T-T1'!CE60</f>
        <v>837723.23169952608</v>
      </c>
      <c r="Z60" s="893"/>
      <c r="AA60" s="601">
        <f t="shared" si="2"/>
        <v>0</v>
      </c>
      <c r="AB60" s="601"/>
      <c r="AC60" s="601">
        <v>47380.648345370777</v>
      </c>
      <c r="AD60" s="834"/>
      <c r="AE60" s="607">
        <f t="shared" si="1"/>
        <v>47380.648345370777</v>
      </c>
      <c r="AF60" s="270"/>
      <c r="AG60" s="601"/>
      <c r="AH60" s="270"/>
      <c r="AI60" s="270"/>
      <c r="AJ60" s="270"/>
      <c r="AK60" s="39"/>
      <c r="AL60" s="39"/>
    </row>
    <row r="61" spans="1:38" ht="10.5" customHeight="1" x14ac:dyDescent="0.3">
      <c r="A61" s="268">
        <f>A60+1</f>
        <v>2012</v>
      </c>
      <c r="B61" s="603">
        <f>'C1-Incomes'!BV60</f>
        <v>8739340.8960999995</v>
      </c>
      <c r="C61" s="881"/>
      <c r="D61" s="280">
        <f>(TOTALS!E118)/1000000+'T-T1'!CC61-'T-T1'!BS61</f>
        <v>6340644.8716535345</v>
      </c>
      <c r="E61" s="601" t="s">
        <v>50</v>
      </c>
      <c r="F61" s="270"/>
      <c r="G61" s="270">
        <f>TOTALS!T118/1000000+AC61</f>
        <v>37368.932896776962</v>
      </c>
      <c r="H61" s="270"/>
      <c r="I61" s="280">
        <f>TOTALS!R118/1000000</f>
        <v>299858.50620499998</v>
      </c>
      <c r="J61" s="280">
        <f>'T-T1'!DW61-Q61</f>
        <v>210384.72879200004</v>
      </c>
      <c r="K61" s="280">
        <f>'T-T1'!CD61</f>
        <v>52122.871780844653</v>
      </c>
      <c r="L61" s="270"/>
      <c r="M61" s="280">
        <f>TOTALS!U118/1000000</f>
        <v>104890.49926900001</v>
      </c>
      <c r="N61" s="280"/>
      <c r="O61" s="280">
        <f>TOTALS!H118/1000000</f>
        <v>294188.29065699998</v>
      </c>
      <c r="P61" s="270"/>
      <c r="Q61" s="270">
        <f>TOTALS!$BC118/1000000</f>
        <v>320106.85069599998</v>
      </c>
      <c r="R61" s="280"/>
      <c r="S61" s="280">
        <f>'T-T1'!AN61</f>
        <v>71065.280039999998</v>
      </c>
      <c r="T61" s="270"/>
      <c r="U61" s="280">
        <f>TOTALS!F118/1000000-W61</f>
        <v>71099.878345200006</v>
      </c>
      <c r="V61" s="280"/>
      <c r="W61" s="280">
        <f>TOTALS!F118/1000000*0.4</f>
        <v>47399.918896800002</v>
      </c>
      <c r="X61" s="280"/>
      <c r="Y61" s="280">
        <f>TOTALS!AD118/1000000+'T-T1'!CE61</f>
        <v>890210.26686784462</v>
      </c>
      <c r="Z61" s="893"/>
      <c r="AA61" s="601">
        <f t="shared" si="2"/>
        <v>0</v>
      </c>
      <c r="AB61" s="601"/>
      <c r="AC61" s="601">
        <v>42975.720463776961</v>
      </c>
      <c r="AD61" s="834"/>
      <c r="AE61" s="607">
        <f t="shared" si="1"/>
        <v>42975.720463776961</v>
      </c>
      <c r="AF61" s="270"/>
      <c r="AG61" s="601"/>
      <c r="AH61" s="270"/>
      <c r="AI61" s="270"/>
      <c r="AJ61" s="270"/>
      <c r="AK61" s="39"/>
      <c r="AL61" s="39"/>
    </row>
    <row r="62" spans="1:38" s="610" customFormat="1" ht="10.5" customHeight="1" x14ac:dyDescent="0.25">
      <c r="A62" s="268">
        <f>A61+1</f>
        <v>2013</v>
      </c>
      <c r="B62" s="603">
        <f>'C1-Incomes'!BV61</f>
        <v>8851027.9894999992</v>
      </c>
      <c r="C62" s="881"/>
      <c r="D62" s="280">
        <f>(TOTALS!E119)/1000000+'T-T1'!CC62-'T-T1'!BS62</f>
        <v>6513938.157519375</v>
      </c>
      <c r="E62" s="607" t="s">
        <v>50</v>
      </c>
      <c r="F62" s="270"/>
      <c r="G62" s="270">
        <f>TOTALS!T119/1000000+AC62</f>
        <v>28965.88642037403</v>
      </c>
      <c r="H62" s="270"/>
      <c r="I62" s="280">
        <f>TOTALS!R119/1000000</f>
        <v>298097.577995</v>
      </c>
      <c r="J62" s="280">
        <f>'T-T1'!DW62-Q62</f>
        <v>202500.58571000001</v>
      </c>
      <c r="K62" s="280">
        <f>'T-T1'!CD62</f>
        <v>52668.187766124996</v>
      </c>
      <c r="L62" s="280"/>
      <c r="M62" s="280">
        <f>TOTALS!U119/1000000</f>
        <v>111127.118646</v>
      </c>
      <c r="N62" s="280"/>
      <c r="O62" s="280">
        <f>TOTALS!H119/1000000</f>
        <v>243970.70900199999</v>
      </c>
      <c r="P62" s="280"/>
      <c r="Q62" s="270">
        <f>TOTALS!$BC119/1000000</f>
        <v>324440.04108</v>
      </c>
      <c r="R62" s="280"/>
      <c r="S62" s="280">
        <f>'T-T1'!AN62</f>
        <v>68092.020711999998</v>
      </c>
      <c r="T62" s="270"/>
      <c r="U62" s="280">
        <f>TOTALS!F119/1000000-W62</f>
        <v>64362.326995800002</v>
      </c>
      <c r="V62" s="280"/>
      <c r="W62" s="280">
        <f>TOTALS!F119/1000000*0.4</f>
        <v>42908.217997200001</v>
      </c>
      <c r="X62" s="280"/>
      <c r="Y62" s="280">
        <f>TOTALS!AD119/1000000+'T-T1'!CE62</f>
        <v>899957.159656125</v>
      </c>
      <c r="Z62" s="894"/>
      <c r="AA62" s="601">
        <f t="shared" si="2"/>
        <v>0</v>
      </c>
      <c r="AB62" s="607"/>
      <c r="AC62" s="601">
        <v>36805.226286374032</v>
      </c>
      <c r="AD62" s="834"/>
      <c r="AE62" s="607">
        <f t="shared" si="1"/>
        <v>36805.226286374032</v>
      </c>
      <c r="AF62" s="270"/>
      <c r="AG62" s="601"/>
      <c r="AH62" s="270"/>
      <c r="AI62" s="270"/>
      <c r="AJ62" s="270"/>
    </row>
    <row r="63" spans="1:38" s="596" customFormat="1" ht="10.5" customHeight="1" x14ac:dyDescent="0.25">
      <c r="A63" s="268">
        <f>A62+1</f>
        <v>2014</v>
      </c>
      <c r="B63" s="603">
        <f>'C1-Incomes'!BV62</f>
        <v>9320839.4879000001</v>
      </c>
      <c r="C63" s="881"/>
      <c r="D63" s="280">
        <f>(TOTALS!E120)/1000000+'T-T1'!CC63-'T-T1'!BS63</f>
        <v>6830662.7328739809</v>
      </c>
      <c r="E63" s="601" t="s">
        <v>50</v>
      </c>
      <c r="F63" s="270"/>
      <c r="G63" s="270">
        <f>TOTALS!T120/1000000+AC63</f>
        <v>22103.405753363273</v>
      </c>
      <c r="H63" s="270"/>
      <c r="I63" s="280">
        <f>TOTALS!R120/1000000</f>
        <v>312718.09710900002</v>
      </c>
      <c r="J63" s="280">
        <f>'T-T1'!DW63-Q63</f>
        <v>225283.28842599998</v>
      </c>
      <c r="K63" s="280">
        <f>'T-T1'!CD63</f>
        <v>56378.21129632723</v>
      </c>
      <c r="L63" s="270"/>
      <c r="M63" s="280">
        <f>TOTALS!U120/1000000</f>
        <v>121632.695783</v>
      </c>
      <c r="N63" s="280"/>
      <c r="O63" s="280">
        <f>TOTALS!H120/1000000</f>
        <v>284889.66132900002</v>
      </c>
      <c r="P63" s="270"/>
      <c r="Q63" s="270">
        <f>TOTALS!$BC120/1000000</f>
        <v>353630.23204700003</v>
      </c>
      <c r="R63" s="270"/>
      <c r="S63" s="280">
        <f>'T-T1'!AN63</f>
        <v>62456.981712000001</v>
      </c>
      <c r="T63" s="270"/>
      <c r="U63" s="280">
        <f>TOTALS!F120/1000000-W63</f>
        <v>60905.222598599998</v>
      </c>
      <c r="V63" s="280"/>
      <c r="W63" s="280">
        <f>TOTALS!F120/1000000*0.4</f>
        <v>40603.481732400003</v>
      </c>
      <c r="X63" s="280"/>
      <c r="Y63" s="280">
        <f>TOTALS!AD120/1000000+'T-T1'!CE63</f>
        <v>949575.47723932716</v>
      </c>
      <c r="Z63" s="893"/>
      <c r="AA63" s="601">
        <f t="shared" si="2"/>
        <v>0</v>
      </c>
      <c r="AB63" s="601"/>
      <c r="AC63" s="601">
        <v>30355.609902363271</v>
      </c>
      <c r="AD63" s="834"/>
      <c r="AE63" s="607">
        <f t="shared" si="1"/>
        <v>30355.609902363271</v>
      </c>
      <c r="AF63" s="270"/>
      <c r="AG63" s="601"/>
      <c r="AH63" s="270"/>
      <c r="AI63" s="270"/>
      <c r="AJ63" s="270"/>
    </row>
    <row r="64" spans="1:38" s="596" customFormat="1" ht="10.5" customHeight="1" x14ac:dyDescent="0.25">
      <c r="A64" s="268">
        <f>A63+1</f>
        <v>2015</v>
      </c>
      <c r="B64" s="603">
        <f>'C1-Incomes'!BV63</f>
        <v>9756223.1359000001</v>
      </c>
      <c r="C64" s="881"/>
      <c r="D64" s="280">
        <f>(TOTALS!E121)/1000000+'T-T1'!CC64-'T-T1'!BS64</f>
        <v>7166752.6215356914</v>
      </c>
      <c r="E64" s="601" t="s">
        <v>50</v>
      </c>
      <c r="F64" s="270"/>
      <c r="G64" s="270">
        <f>TOTALS!T121/1000000+AC64</f>
        <v>15990.321202512563</v>
      </c>
      <c r="H64" s="270"/>
      <c r="I64" s="280">
        <f>TOTALS!R121/1000000</f>
        <v>327135.96589200001</v>
      </c>
      <c r="J64" s="280">
        <f>'T-T1'!DW64-Q64</f>
        <v>230406.61607500003</v>
      </c>
      <c r="K64" s="280">
        <f>'T-T1'!CD64</f>
        <v>60375.087349897301</v>
      </c>
      <c r="L64" s="270"/>
      <c r="M64" s="280">
        <f>TOTALS!U121/1000000</f>
        <v>110130.92425900001</v>
      </c>
      <c r="N64" s="270"/>
      <c r="O64" s="280">
        <f>TOTALS!H121/1000000</f>
        <v>289804.65391699999</v>
      </c>
      <c r="P64" s="270"/>
      <c r="Q64" s="270">
        <f>TOTALS!$BC121/1000000</f>
        <v>392747.63285699999</v>
      </c>
      <c r="R64" s="270"/>
      <c r="S64" s="280">
        <f>'T-T1'!AN64</f>
        <v>61752.224605000003</v>
      </c>
      <c r="T64" s="270"/>
      <c r="U64" s="280">
        <f>TOTALS!F121/1000000-W64</f>
        <v>61784.994494399994</v>
      </c>
      <c r="V64" s="280"/>
      <c r="W64" s="280">
        <f>TOTALS!F121/1000000*0.4</f>
        <v>41189.996329599999</v>
      </c>
      <c r="X64" s="280"/>
      <c r="Y64" s="280">
        <f>TOTALS!AD121/1000000+'T-T1'!CE64</f>
        <v>998152.09738289728</v>
      </c>
      <c r="Z64" s="893"/>
      <c r="AA64" s="601">
        <f t="shared" si="2"/>
        <v>0</v>
      </c>
      <c r="AB64" s="601"/>
      <c r="AC64" s="601">
        <v>29888.739342512563</v>
      </c>
      <c r="AD64" s="834"/>
      <c r="AE64" s="607">
        <f t="shared" si="1"/>
        <v>29888.739342512563</v>
      </c>
      <c r="AF64" s="270"/>
      <c r="AG64" s="601"/>
      <c r="AH64" s="270"/>
      <c r="AI64" s="270"/>
      <c r="AJ64" s="270"/>
      <c r="AK64" s="270"/>
      <c r="AL64" s="270"/>
    </row>
    <row r="65" spans="1:100" ht="10.5" customHeight="1" x14ac:dyDescent="0.3">
      <c r="A65" s="268"/>
      <c r="B65" s="273"/>
      <c r="C65" s="273"/>
      <c r="D65" s="8"/>
      <c r="E65" s="601"/>
      <c r="F65" s="270"/>
      <c r="G65" s="270"/>
      <c r="H65" s="270"/>
      <c r="I65" s="270"/>
      <c r="J65" s="280"/>
      <c r="K65" s="280"/>
      <c r="L65" s="270"/>
      <c r="M65" s="280"/>
      <c r="N65" s="270"/>
      <c r="O65" s="270"/>
      <c r="P65" s="270"/>
      <c r="Q65" s="280"/>
      <c r="R65" s="270"/>
      <c r="S65" s="270"/>
      <c r="T65" s="270"/>
      <c r="U65" s="270"/>
      <c r="V65" s="270"/>
      <c r="W65" s="270"/>
      <c r="X65" s="280"/>
      <c r="Y65" s="270"/>
      <c r="Z65" s="272"/>
      <c r="AA65" s="270"/>
      <c r="AB65" s="272"/>
      <c r="AC65" s="280"/>
      <c r="AD65" s="280"/>
      <c r="AF65" s="39"/>
      <c r="AG65" s="39"/>
      <c r="AH65" s="39"/>
      <c r="AI65" s="39"/>
      <c r="AJ65" s="39"/>
      <c r="AK65" s="39"/>
      <c r="AL65" s="39"/>
    </row>
    <row r="66" spans="1:100" ht="6.75" customHeight="1" x14ac:dyDescent="0.3">
      <c r="A66" s="148"/>
      <c r="B66" s="148"/>
      <c r="C66" s="148"/>
      <c r="D66" s="11"/>
      <c r="E66" s="599"/>
      <c r="F66" s="599"/>
      <c r="G66" s="599"/>
      <c r="H66" s="599"/>
      <c r="I66" s="599"/>
      <c r="J66" s="683"/>
      <c r="K66" s="683"/>
      <c r="L66" s="599"/>
      <c r="M66" s="599"/>
      <c r="N66" s="599"/>
      <c r="O66" s="599"/>
      <c r="P66" s="599"/>
      <c r="Q66" s="683"/>
      <c r="R66" s="599"/>
      <c r="S66" s="599"/>
      <c r="T66" s="599"/>
      <c r="U66" s="599"/>
      <c r="V66" s="599"/>
      <c r="W66" s="599"/>
      <c r="X66" s="599"/>
      <c r="Y66" s="599"/>
      <c r="Z66" s="272"/>
      <c r="AA66" s="599"/>
      <c r="AB66" s="272"/>
      <c r="AC66" s="599"/>
      <c r="AD66" s="277"/>
      <c r="AF66" s="39"/>
      <c r="AG66" s="39"/>
      <c r="AH66" s="39"/>
      <c r="AI66" s="39"/>
      <c r="AJ66" s="39"/>
      <c r="AK66" s="39"/>
      <c r="AL66" s="39"/>
    </row>
    <row r="67" spans="1:100" x14ac:dyDescent="0.3">
      <c r="D67" s="8"/>
      <c r="E67" s="8"/>
      <c r="F67" s="8"/>
      <c r="G67" s="8"/>
      <c r="H67" s="8"/>
      <c r="I67" s="8"/>
      <c r="J67" s="8"/>
      <c r="K67" s="8"/>
      <c r="L67" s="8"/>
      <c r="M67" s="8"/>
      <c r="N67" s="8"/>
      <c r="O67" s="8"/>
      <c r="P67" s="8"/>
      <c r="Q67" s="8"/>
      <c r="R67" s="8"/>
      <c r="S67" s="8"/>
      <c r="T67" s="8"/>
      <c r="U67" s="8"/>
      <c r="V67" s="8"/>
      <c r="W67" s="8"/>
      <c r="X67" s="655"/>
      <c r="Y67" s="8"/>
      <c r="Z67" s="616"/>
      <c r="AA67" s="8"/>
      <c r="AB67" s="616"/>
      <c r="AC67" s="655"/>
      <c r="AD67" s="12"/>
      <c r="AF67" s="39"/>
      <c r="AG67" s="39"/>
      <c r="AH67" s="39"/>
      <c r="AI67" s="39"/>
      <c r="AJ67" s="39"/>
      <c r="AK67" s="39"/>
      <c r="AL67" s="39"/>
    </row>
    <row r="68" spans="1:100" x14ac:dyDescent="0.3">
      <c r="A68" s="655" t="s">
        <v>1249</v>
      </c>
      <c r="X68" s="34"/>
      <c r="Z68" s="616"/>
      <c r="AA68" s="8"/>
      <c r="AB68" s="8"/>
      <c r="AC68" s="8"/>
    </row>
    <row r="69" spans="1:100" x14ac:dyDescent="0.3">
      <c r="A69" s="655" t="s">
        <v>1247</v>
      </c>
    </row>
    <row r="70" spans="1:100" x14ac:dyDescent="0.3">
      <c r="A70" s="655" t="s">
        <v>1248</v>
      </c>
      <c r="AE70" s="586"/>
      <c r="AF70" s="586"/>
      <c r="AG70" s="586"/>
      <c r="AH70" s="586"/>
      <c r="AI70" s="586"/>
      <c r="AJ70" s="586"/>
      <c r="AK70" s="586"/>
      <c r="AL70" s="586"/>
      <c r="AM70" s="586"/>
      <c r="AN70" s="586"/>
      <c r="AO70" s="586"/>
      <c r="AP70" s="586"/>
      <c r="AQ70" s="586"/>
      <c r="AR70" s="586"/>
      <c r="AS70" s="586"/>
      <c r="AT70" s="586"/>
      <c r="AU70" s="586"/>
      <c r="AV70" s="586"/>
      <c r="AW70" s="586"/>
      <c r="AX70" s="586"/>
      <c r="AY70" s="586"/>
      <c r="AZ70" s="586"/>
      <c r="BA70" s="586"/>
      <c r="BB70" s="586"/>
      <c r="BC70" s="586"/>
      <c r="BD70" s="586"/>
      <c r="BE70" s="586"/>
      <c r="BF70" s="586"/>
      <c r="BG70" s="586"/>
      <c r="BH70" s="586"/>
      <c r="BI70" s="586"/>
      <c r="BJ70" s="586"/>
    </row>
    <row r="71" spans="1:100" x14ac:dyDescent="0.3">
      <c r="A71" s="655" t="s">
        <v>1250</v>
      </c>
    </row>
    <row r="74" spans="1:100" x14ac:dyDescent="0.3">
      <c r="A74" s="877"/>
      <c r="B74" s="877"/>
      <c r="C74" s="877"/>
      <c r="D74" s="877"/>
      <c r="E74" s="877"/>
      <c r="F74" s="877"/>
      <c r="G74" s="877"/>
      <c r="H74" s="877"/>
      <c r="I74" s="877"/>
      <c r="J74" s="877"/>
      <c r="L74" s="877"/>
      <c r="M74" s="877"/>
      <c r="N74" s="877"/>
      <c r="O74" s="877"/>
      <c r="Q74" s="877"/>
      <c r="R74" s="877"/>
      <c r="S74" s="877"/>
      <c r="T74" s="877"/>
      <c r="U74" s="877"/>
      <c r="V74" s="877"/>
      <c r="W74" s="879"/>
      <c r="X74" s="877"/>
      <c r="AD74" s="877"/>
      <c r="AE74" s="877"/>
      <c r="AF74" s="877"/>
      <c r="AG74" s="877"/>
      <c r="AH74" s="877"/>
      <c r="AI74" s="877"/>
      <c r="AJ74" s="877"/>
      <c r="AK74" s="877"/>
      <c r="AL74" s="877"/>
      <c r="AM74" s="877"/>
      <c r="AN74" s="877"/>
      <c r="AO74" s="877"/>
      <c r="AP74" s="877"/>
      <c r="AQ74" s="877"/>
      <c r="AR74" s="877"/>
      <c r="AS74" s="877"/>
      <c r="AT74" s="877"/>
      <c r="AU74" s="877"/>
      <c r="AV74" s="877"/>
      <c r="AW74" s="877"/>
      <c r="AX74" s="877"/>
      <c r="AY74" s="877"/>
      <c r="AZ74" s="877"/>
      <c r="BA74" s="877"/>
      <c r="BB74" s="877"/>
      <c r="BC74" s="877"/>
      <c r="BD74" s="877"/>
      <c r="BE74" s="877"/>
      <c r="BF74" s="877"/>
      <c r="BG74" s="877"/>
      <c r="BH74" s="877"/>
      <c r="BI74" s="877"/>
      <c r="BJ74" s="877"/>
      <c r="BK74" s="877"/>
      <c r="BL74" s="877"/>
      <c r="BM74" s="877"/>
      <c r="BN74" s="877"/>
      <c r="BO74" s="877"/>
      <c r="BP74" s="877"/>
      <c r="BQ74" s="877"/>
      <c r="BR74" s="877"/>
      <c r="BS74" s="877"/>
      <c r="BT74" s="877"/>
      <c r="BU74" s="877"/>
      <c r="BV74" s="877"/>
      <c r="BW74" s="877"/>
      <c r="BX74" s="877"/>
      <c r="BY74" s="877"/>
      <c r="BZ74" s="877"/>
      <c r="CA74" s="877"/>
      <c r="CB74" s="877"/>
      <c r="CC74" s="877"/>
      <c r="CD74" s="877"/>
      <c r="CE74" s="877"/>
      <c r="CF74" s="877"/>
      <c r="CG74" s="877"/>
      <c r="CH74" s="877"/>
      <c r="CI74" s="877"/>
      <c r="CJ74" s="877"/>
      <c r="CK74" s="877"/>
      <c r="CL74" s="877"/>
      <c r="CM74" s="877"/>
      <c r="CN74" s="877"/>
      <c r="CO74" s="877"/>
      <c r="CP74" s="877"/>
      <c r="CQ74" s="877"/>
      <c r="CR74" s="877"/>
      <c r="CS74" s="877"/>
      <c r="CT74" s="877"/>
      <c r="CU74" s="877"/>
      <c r="CV74" s="877"/>
    </row>
    <row r="75" spans="1:100" x14ac:dyDescent="0.3">
      <c r="A75" s="878"/>
      <c r="B75" s="878"/>
      <c r="C75" s="878"/>
      <c r="D75" s="878"/>
      <c r="E75" s="878"/>
      <c r="F75" s="878"/>
      <c r="G75" s="878"/>
      <c r="H75" s="878"/>
      <c r="I75" s="878"/>
      <c r="J75" s="878"/>
      <c r="K75" s="880"/>
      <c r="L75" s="878"/>
      <c r="M75" s="878"/>
      <c r="N75" s="878"/>
      <c r="O75" s="878"/>
      <c r="Q75" s="878"/>
      <c r="R75" s="878"/>
      <c r="S75" s="878"/>
      <c r="T75" s="878"/>
      <c r="U75" s="878"/>
      <c r="V75" s="878"/>
      <c r="W75" s="880"/>
      <c r="X75" s="878"/>
      <c r="Z75" s="895"/>
      <c r="AA75" s="880"/>
      <c r="AB75" s="880"/>
      <c r="AD75" s="878"/>
      <c r="AE75" s="878"/>
      <c r="AF75" s="878"/>
      <c r="AG75" s="878"/>
      <c r="AH75" s="878"/>
      <c r="AI75" s="878"/>
      <c r="AJ75" s="878"/>
      <c r="AK75" s="878"/>
      <c r="AL75" s="878"/>
      <c r="AM75" s="878"/>
      <c r="AN75" s="878"/>
      <c r="AO75" s="878"/>
      <c r="AP75" s="878"/>
      <c r="AQ75" s="878"/>
      <c r="AR75" s="878"/>
      <c r="AS75" s="878"/>
      <c r="AT75" s="878"/>
      <c r="AU75" s="878"/>
      <c r="AV75" s="878"/>
      <c r="AW75" s="878"/>
      <c r="AX75" s="878"/>
      <c r="AY75" s="878"/>
      <c r="AZ75" s="878"/>
      <c r="BA75" s="878"/>
      <c r="BB75" s="878"/>
      <c r="BC75" s="878"/>
      <c r="BD75" s="878"/>
      <c r="BE75" s="878"/>
      <c r="BF75" s="878"/>
      <c r="BG75" s="878"/>
      <c r="BH75" s="878"/>
      <c r="BI75" s="878"/>
      <c r="BJ75" s="878"/>
      <c r="BK75" s="878"/>
      <c r="BL75" s="878"/>
      <c r="BM75" s="878"/>
      <c r="BN75" s="878"/>
      <c r="BO75" s="878"/>
      <c r="BP75" s="878"/>
      <c r="BQ75" s="878"/>
      <c r="BR75" s="878"/>
      <c r="BS75" s="878"/>
      <c r="BT75" s="878"/>
      <c r="BU75" s="878"/>
      <c r="BV75" s="878"/>
      <c r="BW75" s="878"/>
      <c r="BX75" s="878"/>
      <c r="BY75" s="878"/>
      <c r="BZ75" s="878"/>
      <c r="CA75" s="878"/>
      <c r="CB75" s="878"/>
      <c r="CC75" s="878"/>
      <c r="CD75" s="878"/>
      <c r="CE75" s="878"/>
      <c r="CF75" s="878"/>
      <c r="CG75" s="878"/>
      <c r="CH75" s="878"/>
      <c r="CI75" s="878"/>
      <c r="CJ75" s="878"/>
      <c r="CK75" s="878"/>
      <c r="CL75" s="878"/>
      <c r="CM75" s="878"/>
      <c r="CN75" s="878"/>
      <c r="CO75" s="878"/>
      <c r="CP75" s="878"/>
      <c r="CQ75" s="878"/>
      <c r="CR75" s="878"/>
      <c r="CS75" s="878"/>
      <c r="CT75" s="878"/>
      <c r="CU75" s="878"/>
      <c r="CV75" s="878"/>
    </row>
    <row r="76" spans="1:100" x14ac:dyDescent="0.3">
      <c r="T76" s="655"/>
      <c r="W76" s="879"/>
      <c r="X76" s="655"/>
    </row>
    <row r="77" spans="1:100" x14ac:dyDescent="0.3">
      <c r="A77" s="879"/>
      <c r="B77" s="879"/>
      <c r="C77" s="879"/>
      <c r="D77" s="879"/>
      <c r="E77" s="879"/>
      <c r="F77" s="879"/>
      <c r="G77" s="879"/>
      <c r="H77" s="879"/>
      <c r="I77" s="879"/>
      <c r="J77" s="879"/>
      <c r="L77" s="879"/>
      <c r="M77" s="879"/>
      <c r="N77" s="879"/>
      <c r="O77" s="879"/>
      <c r="Q77" s="879"/>
      <c r="R77" s="879"/>
      <c r="S77" s="879"/>
      <c r="U77" s="879"/>
      <c r="V77" s="879"/>
      <c r="W77" s="879"/>
      <c r="X77" s="879"/>
      <c r="AD77" s="879"/>
    </row>
    <row r="78" spans="1:100" x14ac:dyDescent="0.3">
      <c r="A78" s="880"/>
      <c r="B78" s="880"/>
      <c r="C78" s="880"/>
      <c r="D78" s="880"/>
      <c r="E78" s="880"/>
      <c r="F78" s="880"/>
      <c r="G78" s="880"/>
      <c r="H78" s="880"/>
      <c r="I78" s="880"/>
      <c r="J78" s="880"/>
      <c r="K78" s="880"/>
      <c r="L78" s="880"/>
      <c r="M78" s="880"/>
      <c r="N78" s="880"/>
      <c r="O78" s="880"/>
      <c r="Q78" s="880"/>
      <c r="R78" s="880"/>
      <c r="S78" s="880"/>
      <c r="T78" s="880"/>
      <c r="U78" s="880"/>
      <c r="V78" s="880"/>
      <c r="W78" s="880"/>
      <c r="X78" s="880"/>
      <c r="Z78" s="895"/>
      <c r="AA78" s="880"/>
      <c r="AB78" s="880"/>
      <c r="AD78" s="880"/>
    </row>
    <row r="79" spans="1:100" x14ac:dyDescent="0.3">
      <c r="T79" s="655"/>
      <c r="W79" s="879"/>
      <c r="X79" s="655"/>
    </row>
  </sheetData>
  <mergeCells count="26">
    <mergeCell ref="O5:Q5"/>
    <mergeCell ref="U5:U7"/>
    <mergeCell ref="S6:S7"/>
    <mergeCell ref="S3:W3"/>
    <mergeCell ref="S4:S5"/>
    <mergeCell ref="I4:K4"/>
    <mergeCell ref="G3:K3"/>
    <mergeCell ref="K5:K7"/>
    <mergeCell ref="AF4:AF7"/>
    <mergeCell ref="AG4:AG7"/>
    <mergeCell ref="M5:M7"/>
    <mergeCell ref="G5:G7"/>
    <mergeCell ref="I5:I7"/>
    <mergeCell ref="J5:J7"/>
    <mergeCell ref="O4:Q4"/>
    <mergeCell ref="Y3:Y4"/>
    <mergeCell ref="AC3:AC7"/>
    <mergeCell ref="O3:Q3"/>
    <mergeCell ref="AA3:AA7"/>
    <mergeCell ref="W5:W7"/>
    <mergeCell ref="Y5:Y7"/>
    <mergeCell ref="B3:B7"/>
    <mergeCell ref="D3:E3"/>
    <mergeCell ref="D5:D7"/>
    <mergeCell ref="E5:E7"/>
    <mergeCell ref="D4:E4"/>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5" tint="0.59999389629810485"/>
  </sheetPr>
  <dimension ref="A1:GL75"/>
  <sheetViews>
    <sheetView workbookViewId="0">
      <pane ySplit="8" topLeftCell="A9" activePane="bottomLeft" state="frozen"/>
      <selection pane="bottomLeft"/>
    </sheetView>
  </sheetViews>
  <sheetFormatPr defaultRowHeight="14.4" x14ac:dyDescent="0.3"/>
  <cols>
    <col min="1" max="1" width="9.5546875" style="655" customWidth="1"/>
    <col min="2" max="2" width="44.21875" style="24" customWidth="1"/>
    <col min="3" max="3" width="16" style="655" customWidth="1"/>
    <col min="4" max="4" width="11.21875" style="655" customWidth="1"/>
    <col min="5" max="5" width="10.88671875" style="655" customWidth="1"/>
    <col min="6" max="6" width="2.21875" style="655" customWidth="1"/>
    <col min="7" max="7" width="18.21875" style="655" customWidth="1"/>
    <col min="8" max="8" width="14.88671875" style="655" customWidth="1"/>
    <col min="9" max="9" width="13.5546875" style="655" customWidth="1"/>
    <col min="10" max="10" width="2.44140625" style="655" customWidth="1"/>
    <col min="11" max="11" width="10" style="655" customWidth="1"/>
    <col min="12" max="12" width="11" style="655" customWidth="1"/>
    <col min="13" max="13" width="1.21875" style="655" customWidth="1"/>
    <col min="14" max="14" width="12" style="655" customWidth="1"/>
    <col min="15" max="15" width="9.88671875" style="655" customWidth="1"/>
    <col min="16" max="16" width="8.5546875" style="655" customWidth="1"/>
    <col min="17" max="17" width="10.21875" style="655" customWidth="1"/>
    <col min="18" max="18" width="2.109375" style="655" customWidth="1"/>
    <col min="19" max="19" width="11.88671875" style="655" customWidth="1"/>
    <col min="20" max="20" width="11.21875" style="655" customWidth="1"/>
    <col min="21" max="22" width="12.109375" style="655" customWidth="1"/>
    <col min="23" max="23" width="2" style="655" customWidth="1"/>
    <col min="24" max="24" width="13" style="655" customWidth="1"/>
    <col min="25" max="25" width="9.109375" style="655"/>
    <col min="26" max="26" width="9.77734375" style="655" customWidth="1"/>
    <col min="27" max="27" width="8.21875" style="655" customWidth="1"/>
    <col min="28" max="28" width="2.21875" style="655" customWidth="1"/>
    <col min="29" max="29" width="12.88671875" style="655" customWidth="1"/>
    <col min="30" max="30" width="14.21875" style="655" customWidth="1"/>
    <col min="31" max="31" width="15.88671875" style="655" customWidth="1"/>
    <col min="32" max="32" width="1.44140625" style="655" customWidth="1"/>
    <col min="33" max="33" width="11.44140625" style="655" customWidth="1"/>
    <col min="34" max="34" width="14.5546875" style="655" customWidth="1"/>
    <col min="35" max="35" width="2.44140625" style="655" customWidth="1"/>
    <col min="36" max="36" width="9" style="655" customWidth="1"/>
    <col min="37" max="38" width="9.21875" style="655" customWidth="1"/>
    <col min="39" max="39" width="2.21875" style="655" customWidth="1"/>
    <col min="40" max="40" width="11.77734375" style="655" customWidth="1"/>
    <col min="41" max="41" width="10.21875" style="655" customWidth="1"/>
    <col min="42" max="42" width="9.44140625" style="655" customWidth="1"/>
    <col min="43" max="43" width="13.109375" style="655" customWidth="1"/>
    <col min="44" max="44" width="10.88671875" style="655" customWidth="1"/>
    <col min="45" max="45" width="9.77734375" style="655" customWidth="1"/>
    <col min="46" max="46" width="1.5546875" style="655" customWidth="1"/>
    <col min="47" max="48" width="12.109375" style="655" customWidth="1"/>
    <col min="49" max="49" width="10.88671875" style="655" customWidth="1"/>
    <col min="50" max="50" width="1.5546875" style="655" customWidth="1"/>
    <col min="51" max="51" width="9.77734375" style="655" customWidth="1"/>
    <col min="52" max="52" width="10" style="655" customWidth="1"/>
    <col min="53" max="53" width="11.77734375" style="655" customWidth="1"/>
    <col min="54" max="54" width="2.5546875" style="24" customWidth="1"/>
    <col min="55" max="55" width="12.109375" style="24" customWidth="1"/>
    <col min="56" max="56" width="2" style="24" customWidth="1"/>
    <col min="57" max="57" width="11.5546875" style="24" customWidth="1"/>
    <col min="58" max="58" width="2.109375" style="24" customWidth="1"/>
    <col min="59" max="59" width="12.109375" style="24" customWidth="1"/>
    <col min="60" max="60" width="1.44140625" style="655" customWidth="1"/>
    <col min="61" max="61" width="12.21875" style="655" customWidth="1"/>
    <col min="62" max="62" width="17.21875" style="655" customWidth="1"/>
    <col min="63" max="63" width="2.77734375" style="655" customWidth="1"/>
    <col min="64" max="64" width="12.77734375" style="655" customWidth="1"/>
    <col min="65" max="65" width="2.21875" style="655" customWidth="1"/>
    <col min="66" max="66" width="9.88671875" style="655" customWidth="1"/>
    <col min="67" max="67" width="11.109375" style="655" customWidth="1"/>
    <col min="68" max="68" width="10" style="655" customWidth="1"/>
    <col min="69" max="69" width="6.44140625" style="655" customWidth="1"/>
    <col min="70" max="70" width="13.109375" style="655" customWidth="1"/>
    <col min="71" max="71" width="11.109375" style="655" customWidth="1"/>
    <col min="72" max="72" width="16.21875" style="655" customWidth="1"/>
    <col min="73" max="73" width="14" style="655" customWidth="1"/>
    <col min="74" max="74" width="11.88671875" style="655" customWidth="1"/>
    <col min="75" max="75" width="16.88671875" style="655" customWidth="1"/>
    <col min="76" max="76" width="17.109375" style="655" customWidth="1"/>
    <col min="77" max="77" width="15.44140625" style="655" customWidth="1"/>
    <col min="78" max="78" width="10.77734375" style="655" customWidth="1"/>
    <col min="79" max="79" width="5" style="879" customWidth="1"/>
    <col min="80" max="81" width="11.21875" style="655" customWidth="1"/>
    <col min="82" max="82" width="10.88671875" style="655" customWidth="1"/>
    <col min="83" max="83" width="9.109375" style="655"/>
    <col min="84" max="84" width="3.44140625" style="655" customWidth="1"/>
    <col min="85" max="86" width="9.109375" style="655"/>
    <col min="87" max="87" width="11.44140625" style="655" customWidth="1"/>
    <col min="88" max="88" width="2.77734375" style="655" customWidth="1"/>
    <col min="89" max="89" width="9.109375" style="655"/>
    <col min="90" max="90" width="12" style="655" customWidth="1"/>
    <col min="91" max="91" width="14" style="879" customWidth="1"/>
    <col min="92" max="93" width="10.77734375" style="655" customWidth="1"/>
    <col min="94" max="94" width="9.109375" style="655"/>
    <col min="95" max="98" width="14.77734375" style="655" customWidth="1"/>
    <col min="99" max="99" width="13.109375" style="655" customWidth="1"/>
    <col min="100" max="100" width="10.21875" style="655" customWidth="1"/>
    <col min="101" max="101" width="10.77734375" style="655" customWidth="1"/>
    <col min="102" max="107" width="11.44140625" style="655" customWidth="1"/>
    <col min="108" max="108" width="9.5546875" style="655" customWidth="1"/>
    <col min="109" max="114" width="8.88671875" style="655" customWidth="1"/>
    <col min="115" max="115" width="8.88671875" style="879" customWidth="1"/>
    <col min="116" max="116" width="14.109375" style="655" customWidth="1"/>
    <col min="117" max="117" width="11.88671875" style="655" customWidth="1"/>
    <col min="118" max="118" width="9.88671875" style="655" customWidth="1"/>
    <col min="119" max="119" width="10.109375" style="655" customWidth="1"/>
    <col min="120" max="120" width="9" style="655" customWidth="1"/>
    <col min="121" max="121" width="9.21875" style="655" customWidth="1"/>
    <col min="122" max="122" width="2" style="655" customWidth="1"/>
    <col min="123" max="123" width="8.109375" style="655" customWidth="1"/>
    <col min="124" max="124" width="9.5546875" style="655" customWidth="1"/>
    <col min="125" max="125" width="9.5546875" style="879" customWidth="1"/>
    <col min="126" max="126" width="2" style="879" customWidth="1"/>
    <col min="127" max="127" width="10.109375" style="655" customWidth="1"/>
    <col min="128" max="128" width="15.5546875" style="655" customWidth="1"/>
    <col min="129" max="129" width="9.109375" style="655" customWidth="1"/>
    <col min="130" max="130" width="15" style="655" customWidth="1"/>
    <col min="131" max="131" width="1.5546875" style="879" customWidth="1"/>
    <col min="132" max="132" width="9.109375" style="655"/>
    <col min="133" max="133" width="9.109375" style="24"/>
    <col min="134" max="134" width="10.44140625" style="655" customWidth="1"/>
    <col min="135" max="135" width="9.109375" style="655"/>
    <col min="136" max="136" width="12.88671875" style="879" customWidth="1"/>
    <col min="137" max="271" width="9.109375" style="655"/>
    <col min="272" max="272" width="9.5546875" style="655" customWidth="1"/>
    <col min="273" max="273" width="11" style="655" customWidth="1"/>
    <col min="274" max="275" width="11.21875" style="655" customWidth="1"/>
    <col min="276" max="276" width="11.5546875" style="655" customWidth="1"/>
    <col min="277" max="277" width="11.109375" style="655" customWidth="1"/>
    <col min="278" max="278" width="2" style="655" customWidth="1"/>
    <col min="279" max="279" width="13.5546875" style="655" customWidth="1"/>
    <col min="280" max="280" width="12.44140625" style="655" customWidth="1"/>
    <col min="281" max="281" width="13.5546875" style="655" customWidth="1"/>
    <col min="282" max="282" width="2.109375" style="655" customWidth="1"/>
    <col min="283" max="283" width="9.109375" style="655"/>
    <col min="284" max="284" width="10.21875" style="655" customWidth="1"/>
    <col min="285" max="285" width="1.88671875" style="655" customWidth="1"/>
    <col min="286" max="286" width="10.77734375" style="655" customWidth="1"/>
    <col min="287" max="287" width="9.109375" style="655"/>
    <col min="288" max="288" width="2.109375" style="655" customWidth="1"/>
    <col min="289" max="289" width="9.109375" style="655"/>
    <col min="290" max="290" width="11.21875" style="655" customWidth="1"/>
    <col min="291" max="291" width="12.77734375" style="655" customWidth="1"/>
    <col min="292" max="292" width="12.5546875" style="655" customWidth="1"/>
    <col min="293" max="293" width="2" style="655" customWidth="1"/>
    <col min="294" max="295" width="9.109375" style="655"/>
    <col min="296" max="296" width="11" style="655" customWidth="1"/>
    <col min="297" max="297" width="9.109375" style="655"/>
    <col min="298" max="298" width="2.21875" style="655" customWidth="1"/>
    <col min="299" max="299" width="11" style="655" customWidth="1"/>
    <col min="300" max="300" width="9.109375" style="655"/>
    <col min="301" max="301" width="11.5546875" style="655" customWidth="1"/>
    <col min="302" max="302" width="11.21875" style="655" customWidth="1"/>
    <col min="303" max="303" width="2.88671875" style="655" customWidth="1"/>
    <col min="304" max="305" width="9.109375" style="655"/>
    <col min="306" max="306" width="11.21875" style="655" customWidth="1"/>
    <col min="307" max="307" width="2.21875" style="655" customWidth="1"/>
    <col min="308" max="308" width="9.109375" style="655"/>
    <col min="309" max="309" width="10.44140625" style="655" customWidth="1"/>
    <col min="310" max="310" width="9.109375" style="655"/>
    <col min="311" max="311" width="11.109375" style="655" customWidth="1"/>
    <col min="312" max="313" width="9.109375" style="655"/>
    <col min="314" max="314" width="10.88671875" style="655" customWidth="1"/>
    <col min="315" max="316" width="9.109375" style="655"/>
    <col min="317" max="317" width="1.5546875" style="655" customWidth="1"/>
    <col min="318" max="318" width="9.77734375" style="655" customWidth="1"/>
    <col min="319" max="322" width="9.109375" style="655"/>
    <col min="323" max="323" width="1.88671875" style="655" customWidth="1"/>
    <col min="324" max="324" width="9.88671875" style="655" customWidth="1"/>
    <col min="325" max="325" width="1.5546875" style="655" customWidth="1"/>
    <col min="326" max="326" width="11.44140625" style="655" customWidth="1"/>
    <col min="327" max="327" width="2.21875" style="655" customWidth="1"/>
    <col min="328" max="328" width="12" style="655" customWidth="1"/>
    <col min="329" max="329" width="2" style="655" customWidth="1"/>
    <col min="330" max="330" width="9.109375" style="655"/>
    <col min="331" max="331" width="11.109375" style="655" customWidth="1"/>
    <col min="332" max="332" width="12" style="655" customWidth="1"/>
    <col min="333" max="333" width="9.109375" style="655"/>
    <col min="334" max="334" width="11.88671875" style="655" customWidth="1"/>
    <col min="335" max="335" width="14.21875" style="655" customWidth="1"/>
    <col min="336" max="339" width="9.109375" style="655"/>
    <col min="340" max="340" width="3.44140625" style="655" customWidth="1"/>
    <col min="341" max="342" width="9.109375" style="655"/>
    <col min="343" max="343" width="11.44140625" style="655" customWidth="1"/>
    <col min="344" max="344" width="2.77734375" style="655" customWidth="1"/>
    <col min="345" max="527" width="9.109375" style="655"/>
    <col min="528" max="528" width="9.5546875" style="655" customWidth="1"/>
    <col min="529" max="529" width="11" style="655" customWidth="1"/>
    <col min="530" max="531" width="11.21875" style="655" customWidth="1"/>
    <col min="532" max="532" width="11.5546875" style="655" customWidth="1"/>
    <col min="533" max="533" width="11.109375" style="655" customWidth="1"/>
    <col min="534" max="534" width="2" style="655" customWidth="1"/>
    <col min="535" max="535" width="13.5546875" style="655" customWidth="1"/>
    <col min="536" max="536" width="12.44140625" style="655" customWidth="1"/>
    <col min="537" max="537" width="13.5546875" style="655" customWidth="1"/>
    <col min="538" max="538" width="2.109375" style="655" customWidth="1"/>
    <col min="539" max="539" width="9.109375" style="655"/>
    <col min="540" max="540" width="10.21875" style="655" customWidth="1"/>
    <col min="541" max="541" width="1.88671875" style="655" customWidth="1"/>
    <col min="542" max="542" width="10.77734375" style="655" customWidth="1"/>
    <col min="543" max="543" width="9.109375" style="655"/>
    <col min="544" max="544" width="2.109375" style="655" customWidth="1"/>
    <col min="545" max="545" width="9.109375" style="655"/>
    <col min="546" max="546" width="11.21875" style="655" customWidth="1"/>
    <col min="547" max="547" width="12.77734375" style="655" customWidth="1"/>
    <col min="548" max="548" width="12.5546875" style="655" customWidth="1"/>
    <col min="549" max="549" width="2" style="655" customWidth="1"/>
    <col min="550" max="551" width="9.109375" style="655"/>
    <col min="552" max="552" width="11" style="655" customWidth="1"/>
    <col min="553" max="553" width="9.109375" style="655"/>
    <col min="554" max="554" width="2.21875" style="655" customWidth="1"/>
    <col min="555" max="555" width="11" style="655" customWidth="1"/>
    <col min="556" max="556" width="9.109375" style="655"/>
    <col min="557" max="557" width="11.5546875" style="655" customWidth="1"/>
    <col min="558" max="558" width="11.21875" style="655" customWidth="1"/>
    <col min="559" max="559" width="2.88671875" style="655" customWidth="1"/>
    <col min="560" max="561" width="9.109375" style="655"/>
    <col min="562" max="562" width="11.21875" style="655" customWidth="1"/>
    <col min="563" max="563" width="2.21875" style="655" customWidth="1"/>
    <col min="564" max="564" width="9.109375" style="655"/>
    <col min="565" max="565" width="10.44140625" style="655" customWidth="1"/>
    <col min="566" max="566" width="9.109375" style="655"/>
    <col min="567" max="567" width="11.109375" style="655" customWidth="1"/>
    <col min="568" max="569" width="9.109375" style="655"/>
    <col min="570" max="570" width="10.88671875" style="655" customWidth="1"/>
    <col min="571" max="572" width="9.109375" style="655"/>
    <col min="573" max="573" width="1.5546875" style="655" customWidth="1"/>
    <col min="574" max="574" width="9.77734375" style="655" customWidth="1"/>
    <col min="575" max="578" width="9.109375" style="655"/>
    <col min="579" max="579" width="1.88671875" style="655" customWidth="1"/>
    <col min="580" max="580" width="9.88671875" style="655" customWidth="1"/>
    <col min="581" max="581" width="1.5546875" style="655" customWidth="1"/>
    <col min="582" max="582" width="11.44140625" style="655" customWidth="1"/>
    <col min="583" max="583" width="2.21875" style="655" customWidth="1"/>
    <col min="584" max="584" width="12" style="655" customWidth="1"/>
    <col min="585" max="585" width="2" style="655" customWidth="1"/>
    <col min="586" max="586" width="9.109375" style="655"/>
    <col min="587" max="587" width="11.109375" style="655" customWidth="1"/>
    <col min="588" max="588" width="12" style="655" customWidth="1"/>
    <col min="589" max="589" width="9.109375" style="655"/>
    <col min="590" max="590" width="11.88671875" style="655" customWidth="1"/>
    <col min="591" max="591" width="14.21875" style="655" customWidth="1"/>
    <col min="592" max="595" width="9.109375" style="655"/>
    <col min="596" max="596" width="3.44140625" style="655" customWidth="1"/>
    <col min="597" max="598" width="9.109375" style="655"/>
    <col min="599" max="599" width="11.44140625" style="655" customWidth="1"/>
    <col min="600" max="600" width="2.77734375" style="655" customWidth="1"/>
    <col min="601" max="783" width="9.109375" style="655"/>
    <col min="784" max="784" width="9.5546875" style="655" customWidth="1"/>
    <col min="785" max="785" width="11" style="655" customWidth="1"/>
    <col min="786" max="787" width="11.21875" style="655" customWidth="1"/>
    <col min="788" max="788" width="11.5546875" style="655" customWidth="1"/>
    <col min="789" max="789" width="11.109375" style="655" customWidth="1"/>
    <col min="790" max="790" width="2" style="655" customWidth="1"/>
    <col min="791" max="791" width="13.5546875" style="655" customWidth="1"/>
    <col min="792" max="792" width="12.44140625" style="655" customWidth="1"/>
    <col min="793" max="793" width="13.5546875" style="655" customWidth="1"/>
    <col min="794" max="794" width="2.109375" style="655" customWidth="1"/>
    <col min="795" max="795" width="9.109375" style="655"/>
    <col min="796" max="796" width="10.21875" style="655" customWidth="1"/>
    <col min="797" max="797" width="1.88671875" style="655" customWidth="1"/>
    <col min="798" max="798" width="10.77734375" style="655" customWidth="1"/>
    <col min="799" max="799" width="9.109375" style="655"/>
    <col min="800" max="800" width="2.109375" style="655" customWidth="1"/>
    <col min="801" max="801" width="9.109375" style="655"/>
    <col min="802" max="802" width="11.21875" style="655" customWidth="1"/>
    <col min="803" max="803" width="12.77734375" style="655" customWidth="1"/>
    <col min="804" max="804" width="12.5546875" style="655" customWidth="1"/>
    <col min="805" max="805" width="2" style="655" customWidth="1"/>
    <col min="806" max="807" width="9.109375" style="655"/>
    <col min="808" max="808" width="11" style="655" customWidth="1"/>
    <col min="809" max="809" width="9.109375" style="655"/>
    <col min="810" max="810" width="2.21875" style="655" customWidth="1"/>
    <col min="811" max="811" width="11" style="655" customWidth="1"/>
    <col min="812" max="812" width="9.109375" style="655"/>
    <col min="813" max="813" width="11.5546875" style="655" customWidth="1"/>
    <col min="814" max="814" width="11.21875" style="655" customWidth="1"/>
    <col min="815" max="815" width="2.88671875" style="655" customWidth="1"/>
    <col min="816" max="817" width="9.109375" style="655"/>
    <col min="818" max="818" width="11.21875" style="655" customWidth="1"/>
    <col min="819" max="819" width="2.21875" style="655" customWidth="1"/>
    <col min="820" max="820" width="9.109375" style="655"/>
    <col min="821" max="821" width="10.44140625" style="655" customWidth="1"/>
    <col min="822" max="822" width="9.109375" style="655"/>
    <col min="823" max="823" width="11.109375" style="655" customWidth="1"/>
    <col min="824" max="825" width="9.109375" style="655"/>
    <col min="826" max="826" width="10.88671875" style="655" customWidth="1"/>
    <col min="827" max="828" width="9.109375" style="655"/>
    <col min="829" max="829" width="1.5546875" style="655" customWidth="1"/>
    <col min="830" max="830" width="9.77734375" style="655" customWidth="1"/>
    <col min="831" max="834" width="9.109375" style="655"/>
    <col min="835" max="835" width="1.88671875" style="655" customWidth="1"/>
    <col min="836" max="836" width="9.88671875" style="655" customWidth="1"/>
    <col min="837" max="837" width="1.5546875" style="655" customWidth="1"/>
    <col min="838" max="838" width="11.44140625" style="655" customWidth="1"/>
    <col min="839" max="839" width="2.21875" style="655" customWidth="1"/>
    <col min="840" max="840" width="12" style="655" customWidth="1"/>
    <col min="841" max="841" width="2" style="655" customWidth="1"/>
    <col min="842" max="842" width="9.109375" style="655"/>
    <col min="843" max="843" width="11.109375" style="655" customWidth="1"/>
    <col min="844" max="844" width="12" style="655" customWidth="1"/>
    <col min="845" max="845" width="9.109375" style="655"/>
    <col min="846" max="846" width="11.88671875" style="655" customWidth="1"/>
    <col min="847" max="847" width="14.21875" style="655" customWidth="1"/>
    <col min="848" max="851" width="9.109375" style="655"/>
    <col min="852" max="852" width="3.44140625" style="655" customWidth="1"/>
    <col min="853" max="854" width="9.109375" style="655"/>
    <col min="855" max="855" width="11.44140625" style="655" customWidth="1"/>
    <col min="856" max="856" width="2.77734375" style="655" customWidth="1"/>
    <col min="857" max="1039" width="9.109375" style="655"/>
    <col min="1040" max="1040" width="9.5546875" style="655" customWidth="1"/>
    <col min="1041" max="1041" width="11" style="655" customWidth="1"/>
    <col min="1042" max="1043" width="11.21875" style="655" customWidth="1"/>
    <col min="1044" max="1044" width="11.5546875" style="655" customWidth="1"/>
    <col min="1045" max="1045" width="11.109375" style="655" customWidth="1"/>
    <col min="1046" max="1046" width="2" style="655" customWidth="1"/>
    <col min="1047" max="1047" width="13.5546875" style="655" customWidth="1"/>
    <col min="1048" max="1048" width="12.44140625" style="655" customWidth="1"/>
    <col min="1049" max="1049" width="13.5546875" style="655" customWidth="1"/>
    <col min="1050" max="1050" width="2.109375" style="655" customWidth="1"/>
    <col min="1051" max="1051" width="9.109375" style="655"/>
    <col min="1052" max="1052" width="10.21875" style="655" customWidth="1"/>
    <col min="1053" max="1053" width="1.88671875" style="655" customWidth="1"/>
    <col min="1054" max="1054" width="10.77734375" style="655" customWidth="1"/>
    <col min="1055" max="1055" width="9.109375" style="655"/>
    <col min="1056" max="1056" width="2.109375" style="655" customWidth="1"/>
    <col min="1057" max="1057" width="9.109375" style="655"/>
    <col min="1058" max="1058" width="11.21875" style="655" customWidth="1"/>
    <col min="1059" max="1059" width="12.77734375" style="655" customWidth="1"/>
    <col min="1060" max="1060" width="12.5546875" style="655" customWidth="1"/>
    <col min="1061" max="1061" width="2" style="655" customWidth="1"/>
    <col min="1062" max="1063" width="9.109375" style="655"/>
    <col min="1064" max="1064" width="11" style="655" customWidth="1"/>
    <col min="1065" max="1065" width="9.109375" style="655"/>
    <col min="1066" max="1066" width="2.21875" style="655" customWidth="1"/>
    <col min="1067" max="1067" width="11" style="655" customWidth="1"/>
    <col min="1068" max="1068" width="9.109375" style="655"/>
    <col min="1069" max="1069" width="11.5546875" style="655" customWidth="1"/>
    <col min="1070" max="1070" width="11.21875" style="655" customWidth="1"/>
    <col min="1071" max="1071" width="2.88671875" style="655" customWidth="1"/>
    <col min="1072" max="1073" width="9.109375" style="655"/>
    <col min="1074" max="1074" width="11.21875" style="655" customWidth="1"/>
    <col min="1075" max="1075" width="2.21875" style="655" customWidth="1"/>
    <col min="1076" max="1076" width="9.109375" style="655"/>
    <col min="1077" max="1077" width="10.44140625" style="655" customWidth="1"/>
    <col min="1078" max="1078" width="9.109375" style="655"/>
    <col min="1079" max="1079" width="11.109375" style="655" customWidth="1"/>
    <col min="1080" max="1081" width="9.109375" style="655"/>
    <col min="1082" max="1082" width="10.88671875" style="655" customWidth="1"/>
    <col min="1083" max="1084" width="9.109375" style="655"/>
    <col min="1085" max="1085" width="1.5546875" style="655" customWidth="1"/>
    <col min="1086" max="1086" width="9.77734375" style="655" customWidth="1"/>
    <col min="1087" max="1090" width="9.109375" style="655"/>
    <col min="1091" max="1091" width="1.88671875" style="655" customWidth="1"/>
    <col min="1092" max="1092" width="9.88671875" style="655" customWidth="1"/>
    <col min="1093" max="1093" width="1.5546875" style="655" customWidth="1"/>
    <col min="1094" max="1094" width="11.44140625" style="655" customWidth="1"/>
    <col min="1095" max="1095" width="2.21875" style="655" customWidth="1"/>
    <col min="1096" max="1096" width="12" style="655" customWidth="1"/>
    <col min="1097" max="1097" width="2" style="655" customWidth="1"/>
    <col min="1098" max="1098" width="9.109375" style="655"/>
    <col min="1099" max="1099" width="11.109375" style="655" customWidth="1"/>
    <col min="1100" max="1100" width="12" style="655" customWidth="1"/>
    <col min="1101" max="1101" width="9.109375" style="655"/>
    <col min="1102" max="1102" width="11.88671875" style="655" customWidth="1"/>
    <col min="1103" max="1103" width="14.21875" style="655" customWidth="1"/>
    <col min="1104" max="1107" width="9.109375" style="655"/>
    <col min="1108" max="1108" width="3.44140625" style="655" customWidth="1"/>
    <col min="1109" max="1110" width="9.109375" style="655"/>
    <col min="1111" max="1111" width="11.44140625" style="655" customWidth="1"/>
    <col min="1112" max="1112" width="2.77734375" style="655" customWidth="1"/>
    <col min="1113" max="1295" width="9.109375" style="655"/>
    <col min="1296" max="1296" width="9.5546875" style="655" customWidth="1"/>
    <col min="1297" max="1297" width="11" style="655" customWidth="1"/>
    <col min="1298" max="1299" width="11.21875" style="655" customWidth="1"/>
    <col min="1300" max="1300" width="11.5546875" style="655" customWidth="1"/>
    <col min="1301" max="1301" width="11.109375" style="655" customWidth="1"/>
    <col min="1302" max="1302" width="2" style="655" customWidth="1"/>
    <col min="1303" max="1303" width="13.5546875" style="655" customWidth="1"/>
    <col min="1304" max="1304" width="12.44140625" style="655" customWidth="1"/>
    <col min="1305" max="1305" width="13.5546875" style="655" customWidth="1"/>
    <col min="1306" max="1306" width="2.109375" style="655" customWidth="1"/>
    <col min="1307" max="1307" width="9.109375" style="655"/>
    <col min="1308" max="1308" width="10.21875" style="655" customWidth="1"/>
    <col min="1309" max="1309" width="1.88671875" style="655" customWidth="1"/>
    <col min="1310" max="1310" width="10.77734375" style="655" customWidth="1"/>
    <col min="1311" max="1311" width="9.109375" style="655"/>
    <col min="1312" max="1312" width="2.109375" style="655" customWidth="1"/>
    <col min="1313" max="1313" width="9.109375" style="655"/>
    <col min="1314" max="1314" width="11.21875" style="655" customWidth="1"/>
    <col min="1315" max="1315" width="12.77734375" style="655" customWidth="1"/>
    <col min="1316" max="1316" width="12.5546875" style="655" customWidth="1"/>
    <col min="1317" max="1317" width="2" style="655" customWidth="1"/>
    <col min="1318" max="1319" width="9.109375" style="655"/>
    <col min="1320" max="1320" width="11" style="655" customWidth="1"/>
    <col min="1321" max="1321" width="9.109375" style="655"/>
    <col min="1322" max="1322" width="2.21875" style="655" customWidth="1"/>
    <col min="1323" max="1323" width="11" style="655" customWidth="1"/>
    <col min="1324" max="1324" width="9.109375" style="655"/>
    <col min="1325" max="1325" width="11.5546875" style="655" customWidth="1"/>
    <col min="1326" max="1326" width="11.21875" style="655" customWidth="1"/>
    <col min="1327" max="1327" width="2.88671875" style="655" customWidth="1"/>
    <col min="1328" max="1329" width="9.109375" style="655"/>
    <col min="1330" max="1330" width="11.21875" style="655" customWidth="1"/>
    <col min="1331" max="1331" width="2.21875" style="655" customWidth="1"/>
    <col min="1332" max="1332" width="9.109375" style="655"/>
    <col min="1333" max="1333" width="10.44140625" style="655" customWidth="1"/>
    <col min="1334" max="1334" width="9.109375" style="655"/>
    <col min="1335" max="1335" width="11.109375" style="655" customWidth="1"/>
    <col min="1336" max="1337" width="9.109375" style="655"/>
    <col min="1338" max="1338" width="10.88671875" style="655" customWidth="1"/>
    <col min="1339" max="1340" width="9.109375" style="655"/>
    <col min="1341" max="1341" width="1.5546875" style="655" customWidth="1"/>
    <col min="1342" max="1342" width="9.77734375" style="655" customWidth="1"/>
    <col min="1343" max="1346" width="9.109375" style="655"/>
    <col min="1347" max="1347" width="1.88671875" style="655" customWidth="1"/>
    <col min="1348" max="1348" width="9.88671875" style="655" customWidth="1"/>
    <col min="1349" max="1349" width="1.5546875" style="655" customWidth="1"/>
    <col min="1350" max="1350" width="11.44140625" style="655" customWidth="1"/>
    <col min="1351" max="1351" width="2.21875" style="655" customWidth="1"/>
    <col min="1352" max="1352" width="12" style="655" customWidth="1"/>
    <col min="1353" max="1353" width="2" style="655" customWidth="1"/>
    <col min="1354" max="1354" width="9.109375" style="655"/>
    <col min="1355" max="1355" width="11.109375" style="655" customWidth="1"/>
    <col min="1356" max="1356" width="12" style="655" customWidth="1"/>
    <col min="1357" max="1357" width="9.109375" style="655"/>
    <col min="1358" max="1358" width="11.88671875" style="655" customWidth="1"/>
    <col min="1359" max="1359" width="14.21875" style="655" customWidth="1"/>
    <col min="1360" max="1363" width="9.109375" style="655"/>
    <col min="1364" max="1364" width="3.44140625" style="655" customWidth="1"/>
    <col min="1365" max="1366" width="9.109375" style="655"/>
    <col min="1367" max="1367" width="11.44140625" style="655" customWidth="1"/>
    <col min="1368" max="1368" width="2.77734375" style="655" customWidth="1"/>
    <col min="1369" max="1551" width="9.109375" style="655"/>
    <col min="1552" max="1552" width="9.5546875" style="655" customWidth="1"/>
    <col min="1553" max="1553" width="11" style="655" customWidth="1"/>
    <col min="1554" max="1555" width="11.21875" style="655" customWidth="1"/>
    <col min="1556" max="1556" width="11.5546875" style="655" customWidth="1"/>
    <col min="1557" max="1557" width="11.109375" style="655" customWidth="1"/>
    <col min="1558" max="1558" width="2" style="655" customWidth="1"/>
    <col min="1559" max="1559" width="13.5546875" style="655" customWidth="1"/>
    <col min="1560" max="1560" width="12.44140625" style="655" customWidth="1"/>
    <col min="1561" max="1561" width="13.5546875" style="655" customWidth="1"/>
    <col min="1562" max="1562" width="2.109375" style="655" customWidth="1"/>
    <col min="1563" max="1563" width="9.109375" style="655"/>
    <col min="1564" max="1564" width="10.21875" style="655" customWidth="1"/>
    <col min="1565" max="1565" width="1.88671875" style="655" customWidth="1"/>
    <col min="1566" max="1566" width="10.77734375" style="655" customWidth="1"/>
    <col min="1567" max="1567" width="9.109375" style="655"/>
    <col min="1568" max="1568" width="2.109375" style="655" customWidth="1"/>
    <col min="1569" max="1569" width="9.109375" style="655"/>
    <col min="1570" max="1570" width="11.21875" style="655" customWidth="1"/>
    <col min="1571" max="1571" width="12.77734375" style="655" customWidth="1"/>
    <col min="1572" max="1572" width="12.5546875" style="655" customWidth="1"/>
    <col min="1573" max="1573" width="2" style="655" customWidth="1"/>
    <col min="1574" max="1575" width="9.109375" style="655"/>
    <col min="1576" max="1576" width="11" style="655" customWidth="1"/>
    <col min="1577" max="1577" width="9.109375" style="655"/>
    <col min="1578" max="1578" width="2.21875" style="655" customWidth="1"/>
    <col min="1579" max="1579" width="11" style="655" customWidth="1"/>
    <col min="1580" max="1580" width="9.109375" style="655"/>
    <col min="1581" max="1581" width="11.5546875" style="655" customWidth="1"/>
    <col min="1582" max="1582" width="11.21875" style="655" customWidth="1"/>
    <col min="1583" max="1583" width="2.88671875" style="655" customWidth="1"/>
    <col min="1584" max="1585" width="9.109375" style="655"/>
    <col min="1586" max="1586" width="11.21875" style="655" customWidth="1"/>
    <col min="1587" max="1587" width="2.21875" style="655" customWidth="1"/>
    <col min="1588" max="1588" width="9.109375" style="655"/>
    <col min="1589" max="1589" width="10.44140625" style="655" customWidth="1"/>
    <col min="1590" max="1590" width="9.109375" style="655"/>
    <col min="1591" max="1591" width="11.109375" style="655" customWidth="1"/>
    <col min="1592" max="1593" width="9.109375" style="655"/>
    <col min="1594" max="1594" width="10.88671875" style="655" customWidth="1"/>
    <col min="1595" max="1596" width="9.109375" style="655"/>
    <col min="1597" max="1597" width="1.5546875" style="655" customWidth="1"/>
    <col min="1598" max="1598" width="9.77734375" style="655" customWidth="1"/>
    <col min="1599" max="1602" width="9.109375" style="655"/>
    <col min="1603" max="1603" width="1.88671875" style="655" customWidth="1"/>
    <col min="1604" max="1604" width="9.88671875" style="655" customWidth="1"/>
    <col min="1605" max="1605" width="1.5546875" style="655" customWidth="1"/>
    <col min="1606" max="1606" width="11.44140625" style="655" customWidth="1"/>
    <col min="1607" max="1607" width="2.21875" style="655" customWidth="1"/>
    <col min="1608" max="1608" width="12" style="655" customWidth="1"/>
    <col min="1609" max="1609" width="2" style="655" customWidth="1"/>
    <col min="1610" max="1610" width="9.109375" style="655"/>
    <col min="1611" max="1611" width="11.109375" style="655" customWidth="1"/>
    <col min="1612" max="1612" width="12" style="655" customWidth="1"/>
    <col min="1613" max="1613" width="9.109375" style="655"/>
    <col min="1614" max="1614" width="11.88671875" style="655" customWidth="1"/>
    <col min="1615" max="1615" width="14.21875" style="655" customWidth="1"/>
    <col min="1616" max="1619" width="9.109375" style="655"/>
    <col min="1620" max="1620" width="3.44140625" style="655" customWidth="1"/>
    <col min="1621" max="1622" width="9.109375" style="655"/>
    <col min="1623" max="1623" width="11.44140625" style="655" customWidth="1"/>
    <col min="1624" max="1624" width="2.77734375" style="655" customWidth="1"/>
    <col min="1625" max="1807" width="9.109375" style="655"/>
    <col min="1808" max="1808" width="9.5546875" style="655" customWidth="1"/>
    <col min="1809" max="1809" width="11" style="655" customWidth="1"/>
    <col min="1810" max="1811" width="11.21875" style="655" customWidth="1"/>
    <col min="1812" max="1812" width="11.5546875" style="655" customWidth="1"/>
    <col min="1813" max="1813" width="11.109375" style="655" customWidth="1"/>
    <col min="1814" max="1814" width="2" style="655" customWidth="1"/>
    <col min="1815" max="1815" width="13.5546875" style="655" customWidth="1"/>
    <col min="1816" max="1816" width="12.44140625" style="655" customWidth="1"/>
    <col min="1817" max="1817" width="13.5546875" style="655" customWidth="1"/>
    <col min="1818" max="1818" width="2.109375" style="655" customWidth="1"/>
    <col min="1819" max="1819" width="9.109375" style="655"/>
    <col min="1820" max="1820" width="10.21875" style="655" customWidth="1"/>
    <col min="1821" max="1821" width="1.88671875" style="655" customWidth="1"/>
    <col min="1822" max="1822" width="10.77734375" style="655" customWidth="1"/>
    <col min="1823" max="1823" width="9.109375" style="655"/>
    <col min="1824" max="1824" width="2.109375" style="655" customWidth="1"/>
    <col min="1825" max="1825" width="9.109375" style="655"/>
    <col min="1826" max="1826" width="11.21875" style="655" customWidth="1"/>
    <col min="1827" max="1827" width="12.77734375" style="655" customWidth="1"/>
    <col min="1828" max="1828" width="12.5546875" style="655" customWidth="1"/>
    <col min="1829" max="1829" width="2" style="655" customWidth="1"/>
    <col min="1830" max="1831" width="9.109375" style="655"/>
    <col min="1832" max="1832" width="11" style="655" customWidth="1"/>
    <col min="1833" max="1833" width="9.109375" style="655"/>
    <col min="1834" max="1834" width="2.21875" style="655" customWidth="1"/>
    <col min="1835" max="1835" width="11" style="655" customWidth="1"/>
    <col min="1836" max="1836" width="9.109375" style="655"/>
    <col min="1837" max="1837" width="11.5546875" style="655" customWidth="1"/>
    <col min="1838" max="1838" width="11.21875" style="655" customWidth="1"/>
    <col min="1839" max="1839" width="2.88671875" style="655" customWidth="1"/>
    <col min="1840" max="1841" width="9.109375" style="655"/>
    <col min="1842" max="1842" width="11.21875" style="655" customWidth="1"/>
    <col min="1843" max="1843" width="2.21875" style="655" customWidth="1"/>
    <col min="1844" max="1844" width="9.109375" style="655"/>
    <col min="1845" max="1845" width="10.44140625" style="655" customWidth="1"/>
    <col min="1846" max="1846" width="9.109375" style="655"/>
    <col min="1847" max="1847" width="11.109375" style="655" customWidth="1"/>
    <col min="1848" max="1849" width="9.109375" style="655"/>
    <col min="1850" max="1850" width="10.88671875" style="655" customWidth="1"/>
    <col min="1851" max="1852" width="9.109375" style="655"/>
    <col min="1853" max="1853" width="1.5546875" style="655" customWidth="1"/>
    <col min="1854" max="1854" width="9.77734375" style="655" customWidth="1"/>
    <col min="1855" max="1858" width="9.109375" style="655"/>
    <col min="1859" max="1859" width="1.88671875" style="655" customWidth="1"/>
    <col min="1860" max="1860" width="9.88671875" style="655" customWidth="1"/>
    <col min="1861" max="1861" width="1.5546875" style="655" customWidth="1"/>
    <col min="1862" max="1862" width="11.44140625" style="655" customWidth="1"/>
    <col min="1863" max="1863" width="2.21875" style="655" customWidth="1"/>
    <col min="1864" max="1864" width="12" style="655" customWidth="1"/>
    <col min="1865" max="1865" width="2" style="655" customWidth="1"/>
    <col min="1866" max="1866" width="9.109375" style="655"/>
    <col min="1867" max="1867" width="11.109375" style="655" customWidth="1"/>
    <col min="1868" max="1868" width="12" style="655" customWidth="1"/>
    <col min="1869" max="1869" width="9.109375" style="655"/>
    <col min="1870" max="1870" width="11.88671875" style="655" customWidth="1"/>
    <col min="1871" max="1871" width="14.21875" style="655" customWidth="1"/>
    <col min="1872" max="1875" width="9.109375" style="655"/>
    <col min="1876" max="1876" width="3.44140625" style="655" customWidth="1"/>
    <col min="1877" max="1878" width="9.109375" style="655"/>
    <col min="1879" max="1879" width="11.44140625" style="655" customWidth="1"/>
    <col min="1880" max="1880" width="2.77734375" style="655" customWidth="1"/>
    <col min="1881" max="2063" width="9.109375" style="655"/>
    <col min="2064" max="2064" width="9.5546875" style="655" customWidth="1"/>
    <col min="2065" max="2065" width="11" style="655" customWidth="1"/>
    <col min="2066" max="2067" width="11.21875" style="655" customWidth="1"/>
    <col min="2068" max="2068" width="11.5546875" style="655" customWidth="1"/>
    <col min="2069" max="2069" width="11.109375" style="655" customWidth="1"/>
    <col min="2070" max="2070" width="2" style="655" customWidth="1"/>
    <col min="2071" max="2071" width="13.5546875" style="655" customWidth="1"/>
    <col min="2072" max="2072" width="12.44140625" style="655" customWidth="1"/>
    <col min="2073" max="2073" width="13.5546875" style="655" customWidth="1"/>
    <col min="2074" max="2074" width="2.109375" style="655" customWidth="1"/>
    <col min="2075" max="2075" width="9.109375" style="655"/>
    <col min="2076" max="2076" width="10.21875" style="655" customWidth="1"/>
    <col min="2077" max="2077" width="1.88671875" style="655" customWidth="1"/>
    <col min="2078" max="2078" width="10.77734375" style="655" customWidth="1"/>
    <col min="2079" max="2079" width="9.109375" style="655"/>
    <col min="2080" max="2080" width="2.109375" style="655" customWidth="1"/>
    <col min="2081" max="2081" width="9.109375" style="655"/>
    <col min="2082" max="2082" width="11.21875" style="655" customWidth="1"/>
    <col min="2083" max="2083" width="12.77734375" style="655" customWidth="1"/>
    <col min="2084" max="2084" width="12.5546875" style="655" customWidth="1"/>
    <col min="2085" max="2085" width="2" style="655" customWidth="1"/>
    <col min="2086" max="2087" width="9.109375" style="655"/>
    <col min="2088" max="2088" width="11" style="655" customWidth="1"/>
    <col min="2089" max="2089" width="9.109375" style="655"/>
    <col min="2090" max="2090" width="2.21875" style="655" customWidth="1"/>
    <col min="2091" max="2091" width="11" style="655" customWidth="1"/>
    <col min="2092" max="2092" width="9.109375" style="655"/>
    <col min="2093" max="2093" width="11.5546875" style="655" customWidth="1"/>
    <col min="2094" max="2094" width="11.21875" style="655" customWidth="1"/>
    <col min="2095" max="2095" width="2.88671875" style="655" customWidth="1"/>
    <col min="2096" max="2097" width="9.109375" style="655"/>
    <col min="2098" max="2098" width="11.21875" style="655" customWidth="1"/>
    <col min="2099" max="2099" width="2.21875" style="655" customWidth="1"/>
    <col min="2100" max="2100" width="9.109375" style="655"/>
    <col min="2101" max="2101" width="10.44140625" style="655" customWidth="1"/>
    <col min="2102" max="2102" width="9.109375" style="655"/>
    <col min="2103" max="2103" width="11.109375" style="655" customWidth="1"/>
    <col min="2104" max="2105" width="9.109375" style="655"/>
    <col min="2106" max="2106" width="10.88671875" style="655" customWidth="1"/>
    <col min="2107" max="2108" width="9.109375" style="655"/>
    <col min="2109" max="2109" width="1.5546875" style="655" customWidth="1"/>
    <col min="2110" max="2110" width="9.77734375" style="655" customWidth="1"/>
    <col min="2111" max="2114" width="9.109375" style="655"/>
    <col min="2115" max="2115" width="1.88671875" style="655" customWidth="1"/>
    <col min="2116" max="2116" width="9.88671875" style="655" customWidth="1"/>
    <col min="2117" max="2117" width="1.5546875" style="655" customWidth="1"/>
    <col min="2118" max="2118" width="11.44140625" style="655" customWidth="1"/>
    <col min="2119" max="2119" width="2.21875" style="655" customWidth="1"/>
    <col min="2120" max="2120" width="12" style="655" customWidth="1"/>
    <col min="2121" max="2121" width="2" style="655" customWidth="1"/>
    <col min="2122" max="2122" width="9.109375" style="655"/>
    <col min="2123" max="2123" width="11.109375" style="655" customWidth="1"/>
    <col min="2124" max="2124" width="12" style="655" customWidth="1"/>
    <col min="2125" max="2125" width="9.109375" style="655"/>
    <col min="2126" max="2126" width="11.88671875" style="655" customWidth="1"/>
    <col min="2127" max="2127" width="14.21875" style="655" customWidth="1"/>
    <col min="2128" max="2131" width="9.109375" style="655"/>
    <col min="2132" max="2132" width="3.44140625" style="655" customWidth="1"/>
    <col min="2133" max="2134" width="9.109375" style="655"/>
    <col min="2135" max="2135" width="11.44140625" style="655" customWidth="1"/>
    <col min="2136" max="2136" width="2.77734375" style="655" customWidth="1"/>
    <col min="2137" max="2319" width="9.109375" style="655"/>
    <col min="2320" max="2320" width="9.5546875" style="655" customWidth="1"/>
    <col min="2321" max="2321" width="11" style="655" customWidth="1"/>
    <col min="2322" max="2323" width="11.21875" style="655" customWidth="1"/>
    <col min="2324" max="2324" width="11.5546875" style="655" customWidth="1"/>
    <col min="2325" max="2325" width="11.109375" style="655" customWidth="1"/>
    <col min="2326" max="2326" width="2" style="655" customWidth="1"/>
    <col min="2327" max="2327" width="13.5546875" style="655" customWidth="1"/>
    <col min="2328" max="2328" width="12.44140625" style="655" customWidth="1"/>
    <col min="2329" max="2329" width="13.5546875" style="655" customWidth="1"/>
    <col min="2330" max="2330" width="2.109375" style="655" customWidth="1"/>
    <col min="2331" max="2331" width="9.109375" style="655"/>
    <col min="2332" max="2332" width="10.21875" style="655" customWidth="1"/>
    <col min="2333" max="2333" width="1.88671875" style="655" customWidth="1"/>
    <col min="2334" max="2334" width="10.77734375" style="655" customWidth="1"/>
    <col min="2335" max="2335" width="9.109375" style="655"/>
    <col min="2336" max="2336" width="2.109375" style="655" customWidth="1"/>
    <col min="2337" max="2337" width="9.109375" style="655"/>
    <col min="2338" max="2338" width="11.21875" style="655" customWidth="1"/>
    <col min="2339" max="2339" width="12.77734375" style="655" customWidth="1"/>
    <col min="2340" max="2340" width="12.5546875" style="655" customWidth="1"/>
    <col min="2341" max="2341" width="2" style="655" customWidth="1"/>
    <col min="2342" max="2343" width="9.109375" style="655"/>
    <col min="2344" max="2344" width="11" style="655" customWidth="1"/>
    <col min="2345" max="2345" width="9.109375" style="655"/>
    <col min="2346" max="2346" width="2.21875" style="655" customWidth="1"/>
    <col min="2347" max="2347" width="11" style="655" customWidth="1"/>
    <col min="2348" max="2348" width="9.109375" style="655"/>
    <col min="2349" max="2349" width="11.5546875" style="655" customWidth="1"/>
    <col min="2350" max="2350" width="11.21875" style="655" customWidth="1"/>
    <col min="2351" max="2351" width="2.88671875" style="655" customWidth="1"/>
    <col min="2352" max="2353" width="9.109375" style="655"/>
    <col min="2354" max="2354" width="11.21875" style="655" customWidth="1"/>
    <col min="2355" max="2355" width="2.21875" style="655" customWidth="1"/>
    <col min="2356" max="2356" width="9.109375" style="655"/>
    <col min="2357" max="2357" width="10.44140625" style="655" customWidth="1"/>
    <col min="2358" max="2358" width="9.109375" style="655"/>
    <col min="2359" max="2359" width="11.109375" style="655" customWidth="1"/>
    <col min="2360" max="2361" width="9.109375" style="655"/>
    <col min="2362" max="2362" width="10.88671875" style="655" customWidth="1"/>
    <col min="2363" max="2364" width="9.109375" style="655"/>
    <col min="2365" max="2365" width="1.5546875" style="655" customWidth="1"/>
    <col min="2366" max="2366" width="9.77734375" style="655" customWidth="1"/>
    <col min="2367" max="2370" width="9.109375" style="655"/>
    <col min="2371" max="2371" width="1.88671875" style="655" customWidth="1"/>
    <col min="2372" max="2372" width="9.88671875" style="655" customWidth="1"/>
    <col min="2373" max="2373" width="1.5546875" style="655" customWidth="1"/>
    <col min="2374" max="2374" width="11.44140625" style="655" customWidth="1"/>
    <col min="2375" max="2375" width="2.21875" style="655" customWidth="1"/>
    <col min="2376" max="2376" width="12" style="655" customWidth="1"/>
    <col min="2377" max="2377" width="2" style="655" customWidth="1"/>
    <col min="2378" max="2378" width="9.109375" style="655"/>
    <col min="2379" max="2379" width="11.109375" style="655" customWidth="1"/>
    <col min="2380" max="2380" width="12" style="655" customWidth="1"/>
    <col min="2381" max="2381" width="9.109375" style="655"/>
    <col min="2382" max="2382" width="11.88671875" style="655" customWidth="1"/>
    <col min="2383" max="2383" width="14.21875" style="655" customWidth="1"/>
    <col min="2384" max="2387" width="9.109375" style="655"/>
    <col min="2388" max="2388" width="3.44140625" style="655" customWidth="1"/>
    <col min="2389" max="2390" width="9.109375" style="655"/>
    <col min="2391" max="2391" width="11.44140625" style="655" customWidth="1"/>
    <col min="2392" max="2392" width="2.77734375" style="655" customWidth="1"/>
    <col min="2393" max="2575" width="9.109375" style="655"/>
    <col min="2576" max="2576" width="9.5546875" style="655" customWidth="1"/>
    <col min="2577" max="2577" width="11" style="655" customWidth="1"/>
    <col min="2578" max="2579" width="11.21875" style="655" customWidth="1"/>
    <col min="2580" max="2580" width="11.5546875" style="655" customWidth="1"/>
    <col min="2581" max="2581" width="11.109375" style="655" customWidth="1"/>
    <col min="2582" max="2582" width="2" style="655" customWidth="1"/>
    <col min="2583" max="2583" width="13.5546875" style="655" customWidth="1"/>
    <col min="2584" max="2584" width="12.44140625" style="655" customWidth="1"/>
    <col min="2585" max="2585" width="13.5546875" style="655" customWidth="1"/>
    <col min="2586" max="2586" width="2.109375" style="655" customWidth="1"/>
    <col min="2587" max="2587" width="9.109375" style="655"/>
    <col min="2588" max="2588" width="10.21875" style="655" customWidth="1"/>
    <col min="2589" max="2589" width="1.88671875" style="655" customWidth="1"/>
    <col min="2590" max="2590" width="10.77734375" style="655" customWidth="1"/>
    <col min="2591" max="2591" width="9.109375" style="655"/>
    <col min="2592" max="2592" width="2.109375" style="655" customWidth="1"/>
    <col min="2593" max="2593" width="9.109375" style="655"/>
    <col min="2594" max="2594" width="11.21875" style="655" customWidth="1"/>
    <col min="2595" max="2595" width="12.77734375" style="655" customWidth="1"/>
    <col min="2596" max="2596" width="12.5546875" style="655" customWidth="1"/>
    <col min="2597" max="2597" width="2" style="655" customWidth="1"/>
    <col min="2598" max="2599" width="9.109375" style="655"/>
    <col min="2600" max="2600" width="11" style="655" customWidth="1"/>
    <col min="2601" max="2601" width="9.109375" style="655"/>
    <col min="2602" max="2602" width="2.21875" style="655" customWidth="1"/>
    <col min="2603" max="2603" width="11" style="655" customWidth="1"/>
    <col min="2604" max="2604" width="9.109375" style="655"/>
    <col min="2605" max="2605" width="11.5546875" style="655" customWidth="1"/>
    <col min="2606" max="2606" width="11.21875" style="655" customWidth="1"/>
    <col min="2607" max="2607" width="2.88671875" style="655" customWidth="1"/>
    <col min="2608" max="2609" width="9.109375" style="655"/>
    <col min="2610" max="2610" width="11.21875" style="655" customWidth="1"/>
    <col min="2611" max="2611" width="2.21875" style="655" customWidth="1"/>
    <col min="2612" max="2612" width="9.109375" style="655"/>
    <col min="2613" max="2613" width="10.44140625" style="655" customWidth="1"/>
    <col min="2614" max="2614" width="9.109375" style="655"/>
    <col min="2615" max="2615" width="11.109375" style="655" customWidth="1"/>
    <col min="2616" max="2617" width="9.109375" style="655"/>
    <col min="2618" max="2618" width="10.88671875" style="655" customWidth="1"/>
    <col min="2619" max="2620" width="9.109375" style="655"/>
    <col min="2621" max="2621" width="1.5546875" style="655" customWidth="1"/>
    <col min="2622" max="2622" width="9.77734375" style="655" customWidth="1"/>
    <col min="2623" max="2626" width="9.109375" style="655"/>
    <col min="2627" max="2627" width="1.88671875" style="655" customWidth="1"/>
    <col min="2628" max="2628" width="9.88671875" style="655" customWidth="1"/>
    <col min="2629" max="2629" width="1.5546875" style="655" customWidth="1"/>
    <col min="2630" max="2630" width="11.44140625" style="655" customWidth="1"/>
    <col min="2631" max="2631" width="2.21875" style="655" customWidth="1"/>
    <col min="2632" max="2632" width="12" style="655" customWidth="1"/>
    <col min="2633" max="2633" width="2" style="655" customWidth="1"/>
    <col min="2634" max="2634" width="9.109375" style="655"/>
    <col min="2635" max="2635" width="11.109375" style="655" customWidth="1"/>
    <col min="2636" max="2636" width="12" style="655" customWidth="1"/>
    <col min="2637" max="2637" width="9.109375" style="655"/>
    <col min="2638" max="2638" width="11.88671875" style="655" customWidth="1"/>
    <col min="2639" max="2639" width="14.21875" style="655" customWidth="1"/>
    <col min="2640" max="2643" width="9.109375" style="655"/>
    <col min="2644" max="2644" width="3.44140625" style="655" customWidth="1"/>
    <col min="2645" max="2646" width="9.109375" style="655"/>
    <col min="2647" max="2647" width="11.44140625" style="655" customWidth="1"/>
    <col min="2648" max="2648" width="2.77734375" style="655" customWidth="1"/>
    <col min="2649" max="2831" width="9.109375" style="655"/>
    <col min="2832" max="2832" width="9.5546875" style="655" customWidth="1"/>
    <col min="2833" max="2833" width="11" style="655" customWidth="1"/>
    <col min="2834" max="2835" width="11.21875" style="655" customWidth="1"/>
    <col min="2836" max="2836" width="11.5546875" style="655" customWidth="1"/>
    <col min="2837" max="2837" width="11.109375" style="655" customWidth="1"/>
    <col min="2838" max="2838" width="2" style="655" customWidth="1"/>
    <col min="2839" max="2839" width="13.5546875" style="655" customWidth="1"/>
    <col min="2840" max="2840" width="12.44140625" style="655" customWidth="1"/>
    <col min="2841" max="2841" width="13.5546875" style="655" customWidth="1"/>
    <col min="2842" max="2842" width="2.109375" style="655" customWidth="1"/>
    <col min="2843" max="2843" width="9.109375" style="655"/>
    <col min="2844" max="2844" width="10.21875" style="655" customWidth="1"/>
    <col min="2845" max="2845" width="1.88671875" style="655" customWidth="1"/>
    <col min="2846" max="2846" width="10.77734375" style="655" customWidth="1"/>
    <col min="2847" max="2847" width="9.109375" style="655"/>
    <col min="2848" max="2848" width="2.109375" style="655" customWidth="1"/>
    <col min="2849" max="2849" width="9.109375" style="655"/>
    <col min="2850" max="2850" width="11.21875" style="655" customWidth="1"/>
    <col min="2851" max="2851" width="12.77734375" style="655" customWidth="1"/>
    <col min="2852" max="2852" width="12.5546875" style="655" customWidth="1"/>
    <col min="2853" max="2853" width="2" style="655" customWidth="1"/>
    <col min="2854" max="2855" width="9.109375" style="655"/>
    <col min="2856" max="2856" width="11" style="655" customWidth="1"/>
    <col min="2857" max="2857" width="9.109375" style="655"/>
    <col min="2858" max="2858" width="2.21875" style="655" customWidth="1"/>
    <col min="2859" max="2859" width="11" style="655" customWidth="1"/>
    <col min="2860" max="2860" width="9.109375" style="655"/>
    <col min="2861" max="2861" width="11.5546875" style="655" customWidth="1"/>
    <col min="2862" max="2862" width="11.21875" style="655" customWidth="1"/>
    <col min="2863" max="2863" width="2.88671875" style="655" customWidth="1"/>
    <col min="2864" max="2865" width="9.109375" style="655"/>
    <col min="2866" max="2866" width="11.21875" style="655" customWidth="1"/>
    <col min="2867" max="2867" width="2.21875" style="655" customWidth="1"/>
    <col min="2868" max="2868" width="9.109375" style="655"/>
    <col min="2869" max="2869" width="10.44140625" style="655" customWidth="1"/>
    <col min="2870" max="2870" width="9.109375" style="655"/>
    <col min="2871" max="2871" width="11.109375" style="655" customWidth="1"/>
    <col min="2872" max="2873" width="9.109375" style="655"/>
    <col min="2874" max="2874" width="10.88671875" style="655" customWidth="1"/>
    <col min="2875" max="2876" width="9.109375" style="655"/>
    <col min="2877" max="2877" width="1.5546875" style="655" customWidth="1"/>
    <col min="2878" max="2878" width="9.77734375" style="655" customWidth="1"/>
    <col min="2879" max="2882" width="9.109375" style="655"/>
    <col min="2883" max="2883" width="1.88671875" style="655" customWidth="1"/>
    <col min="2884" max="2884" width="9.88671875" style="655" customWidth="1"/>
    <col min="2885" max="2885" width="1.5546875" style="655" customWidth="1"/>
    <col min="2886" max="2886" width="11.44140625" style="655" customWidth="1"/>
    <col min="2887" max="2887" width="2.21875" style="655" customWidth="1"/>
    <col min="2888" max="2888" width="12" style="655" customWidth="1"/>
    <col min="2889" max="2889" width="2" style="655" customWidth="1"/>
    <col min="2890" max="2890" width="9.109375" style="655"/>
    <col min="2891" max="2891" width="11.109375" style="655" customWidth="1"/>
    <col min="2892" max="2892" width="12" style="655" customWidth="1"/>
    <col min="2893" max="2893" width="9.109375" style="655"/>
    <col min="2894" max="2894" width="11.88671875" style="655" customWidth="1"/>
    <col min="2895" max="2895" width="14.21875" style="655" customWidth="1"/>
    <col min="2896" max="2899" width="9.109375" style="655"/>
    <col min="2900" max="2900" width="3.44140625" style="655" customWidth="1"/>
    <col min="2901" max="2902" width="9.109375" style="655"/>
    <col min="2903" max="2903" width="11.44140625" style="655" customWidth="1"/>
    <col min="2904" max="2904" width="2.77734375" style="655" customWidth="1"/>
    <col min="2905" max="3087" width="9.109375" style="655"/>
    <col min="3088" max="3088" width="9.5546875" style="655" customWidth="1"/>
    <col min="3089" max="3089" width="11" style="655" customWidth="1"/>
    <col min="3090" max="3091" width="11.21875" style="655" customWidth="1"/>
    <col min="3092" max="3092" width="11.5546875" style="655" customWidth="1"/>
    <col min="3093" max="3093" width="11.109375" style="655" customWidth="1"/>
    <col min="3094" max="3094" width="2" style="655" customWidth="1"/>
    <col min="3095" max="3095" width="13.5546875" style="655" customWidth="1"/>
    <col min="3096" max="3096" width="12.44140625" style="655" customWidth="1"/>
    <col min="3097" max="3097" width="13.5546875" style="655" customWidth="1"/>
    <col min="3098" max="3098" width="2.109375" style="655" customWidth="1"/>
    <col min="3099" max="3099" width="9.109375" style="655"/>
    <col min="3100" max="3100" width="10.21875" style="655" customWidth="1"/>
    <col min="3101" max="3101" width="1.88671875" style="655" customWidth="1"/>
    <col min="3102" max="3102" width="10.77734375" style="655" customWidth="1"/>
    <col min="3103" max="3103" width="9.109375" style="655"/>
    <col min="3104" max="3104" width="2.109375" style="655" customWidth="1"/>
    <col min="3105" max="3105" width="9.109375" style="655"/>
    <col min="3106" max="3106" width="11.21875" style="655" customWidth="1"/>
    <col min="3107" max="3107" width="12.77734375" style="655" customWidth="1"/>
    <col min="3108" max="3108" width="12.5546875" style="655" customWidth="1"/>
    <col min="3109" max="3109" width="2" style="655" customWidth="1"/>
    <col min="3110" max="3111" width="9.109375" style="655"/>
    <col min="3112" max="3112" width="11" style="655" customWidth="1"/>
    <col min="3113" max="3113" width="9.109375" style="655"/>
    <col min="3114" max="3114" width="2.21875" style="655" customWidth="1"/>
    <col min="3115" max="3115" width="11" style="655" customWidth="1"/>
    <col min="3116" max="3116" width="9.109375" style="655"/>
    <col min="3117" max="3117" width="11.5546875" style="655" customWidth="1"/>
    <col min="3118" max="3118" width="11.21875" style="655" customWidth="1"/>
    <col min="3119" max="3119" width="2.88671875" style="655" customWidth="1"/>
    <col min="3120" max="3121" width="9.109375" style="655"/>
    <col min="3122" max="3122" width="11.21875" style="655" customWidth="1"/>
    <col min="3123" max="3123" width="2.21875" style="655" customWidth="1"/>
    <col min="3124" max="3124" width="9.109375" style="655"/>
    <col min="3125" max="3125" width="10.44140625" style="655" customWidth="1"/>
    <col min="3126" max="3126" width="9.109375" style="655"/>
    <col min="3127" max="3127" width="11.109375" style="655" customWidth="1"/>
    <col min="3128" max="3129" width="9.109375" style="655"/>
    <col min="3130" max="3130" width="10.88671875" style="655" customWidth="1"/>
    <col min="3131" max="3132" width="9.109375" style="655"/>
    <col min="3133" max="3133" width="1.5546875" style="655" customWidth="1"/>
    <col min="3134" max="3134" width="9.77734375" style="655" customWidth="1"/>
    <col min="3135" max="3138" width="9.109375" style="655"/>
    <col min="3139" max="3139" width="1.88671875" style="655" customWidth="1"/>
    <col min="3140" max="3140" width="9.88671875" style="655" customWidth="1"/>
    <col min="3141" max="3141" width="1.5546875" style="655" customWidth="1"/>
    <col min="3142" max="3142" width="11.44140625" style="655" customWidth="1"/>
    <col min="3143" max="3143" width="2.21875" style="655" customWidth="1"/>
    <col min="3144" max="3144" width="12" style="655" customWidth="1"/>
    <col min="3145" max="3145" width="2" style="655" customWidth="1"/>
    <col min="3146" max="3146" width="9.109375" style="655"/>
    <col min="3147" max="3147" width="11.109375" style="655" customWidth="1"/>
    <col min="3148" max="3148" width="12" style="655" customWidth="1"/>
    <col min="3149" max="3149" width="9.109375" style="655"/>
    <col min="3150" max="3150" width="11.88671875" style="655" customWidth="1"/>
    <col min="3151" max="3151" width="14.21875" style="655" customWidth="1"/>
    <col min="3152" max="3155" width="9.109375" style="655"/>
    <col min="3156" max="3156" width="3.44140625" style="655" customWidth="1"/>
    <col min="3157" max="3158" width="9.109375" style="655"/>
    <col min="3159" max="3159" width="11.44140625" style="655" customWidth="1"/>
    <col min="3160" max="3160" width="2.77734375" style="655" customWidth="1"/>
    <col min="3161" max="3343" width="9.109375" style="655"/>
    <col min="3344" max="3344" width="9.5546875" style="655" customWidth="1"/>
    <col min="3345" max="3345" width="11" style="655" customWidth="1"/>
    <col min="3346" max="3347" width="11.21875" style="655" customWidth="1"/>
    <col min="3348" max="3348" width="11.5546875" style="655" customWidth="1"/>
    <col min="3349" max="3349" width="11.109375" style="655" customWidth="1"/>
    <col min="3350" max="3350" width="2" style="655" customWidth="1"/>
    <col min="3351" max="3351" width="13.5546875" style="655" customWidth="1"/>
    <col min="3352" max="3352" width="12.44140625" style="655" customWidth="1"/>
    <col min="3353" max="3353" width="13.5546875" style="655" customWidth="1"/>
    <col min="3354" max="3354" width="2.109375" style="655" customWidth="1"/>
    <col min="3355" max="3355" width="9.109375" style="655"/>
    <col min="3356" max="3356" width="10.21875" style="655" customWidth="1"/>
    <col min="3357" max="3357" width="1.88671875" style="655" customWidth="1"/>
    <col min="3358" max="3358" width="10.77734375" style="655" customWidth="1"/>
    <col min="3359" max="3359" width="9.109375" style="655"/>
    <col min="3360" max="3360" width="2.109375" style="655" customWidth="1"/>
    <col min="3361" max="3361" width="9.109375" style="655"/>
    <col min="3362" max="3362" width="11.21875" style="655" customWidth="1"/>
    <col min="3363" max="3363" width="12.77734375" style="655" customWidth="1"/>
    <col min="3364" max="3364" width="12.5546875" style="655" customWidth="1"/>
    <col min="3365" max="3365" width="2" style="655" customWidth="1"/>
    <col min="3366" max="3367" width="9.109375" style="655"/>
    <col min="3368" max="3368" width="11" style="655" customWidth="1"/>
    <col min="3369" max="3369" width="9.109375" style="655"/>
    <col min="3370" max="3370" width="2.21875" style="655" customWidth="1"/>
    <col min="3371" max="3371" width="11" style="655" customWidth="1"/>
    <col min="3372" max="3372" width="9.109375" style="655"/>
    <col min="3373" max="3373" width="11.5546875" style="655" customWidth="1"/>
    <col min="3374" max="3374" width="11.21875" style="655" customWidth="1"/>
    <col min="3375" max="3375" width="2.88671875" style="655" customWidth="1"/>
    <col min="3376" max="3377" width="9.109375" style="655"/>
    <col min="3378" max="3378" width="11.21875" style="655" customWidth="1"/>
    <col min="3379" max="3379" width="2.21875" style="655" customWidth="1"/>
    <col min="3380" max="3380" width="9.109375" style="655"/>
    <col min="3381" max="3381" width="10.44140625" style="655" customWidth="1"/>
    <col min="3382" max="3382" width="9.109375" style="655"/>
    <col min="3383" max="3383" width="11.109375" style="655" customWidth="1"/>
    <col min="3384" max="3385" width="9.109375" style="655"/>
    <col min="3386" max="3386" width="10.88671875" style="655" customWidth="1"/>
    <col min="3387" max="3388" width="9.109375" style="655"/>
    <col min="3389" max="3389" width="1.5546875" style="655" customWidth="1"/>
    <col min="3390" max="3390" width="9.77734375" style="655" customWidth="1"/>
    <col min="3391" max="3394" width="9.109375" style="655"/>
    <col min="3395" max="3395" width="1.88671875" style="655" customWidth="1"/>
    <col min="3396" max="3396" width="9.88671875" style="655" customWidth="1"/>
    <col min="3397" max="3397" width="1.5546875" style="655" customWidth="1"/>
    <col min="3398" max="3398" width="11.44140625" style="655" customWidth="1"/>
    <col min="3399" max="3399" width="2.21875" style="655" customWidth="1"/>
    <col min="3400" max="3400" width="12" style="655" customWidth="1"/>
    <col min="3401" max="3401" width="2" style="655" customWidth="1"/>
    <col min="3402" max="3402" width="9.109375" style="655"/>
    <col min="3403" max="3403" width="11.109375" style="655" customWidth="1"/>
    <col min="3404" max="3404" width="12" style="655" customWidth="1"/>
    <col min="3405" max="3405" width="9.109375" style="655"/>
    <col min="3406" max="3406" width="11.88671875" style="655" customWidth="1"/>
    <col min="3407" max="3407" width="14.21875" style="655" customWidth="1"/>
    <col min="3408" max="3411" width="9.109375" style="655"/>
    <col min="3412" max="3412" width="3.44140625" style="655" customWidth="1"/>
    <col min="3413" max="3414" width="9.109375" style="655"/>
    <col min="3415" max="3415" width="11.44140625" style="655" customWidth="1"/>
    <col min="3416" max="3416" width="2.77734375" style="655" customWidth="1"/>
    <col min="3417" max="3599" width="9.109375" style="655"/>
    <col min="3600" max="3600" width="9.5546875" style="655" customWidth="1"/>
    <col min="3601" max="3601" width="11" style="655" customWidth="1"/>
    <col min="3602" max="3603" width="11.21875" style="655" customWidth="1"/>
    <col min="3604" max="3604" width="11.5546875" style="655" customWidth="1"/>
    <col min="3605" max="3605" width="11.109375" style="655" customWidth="1"/>
    <col min="3606" max="3606" width="2" style="655" customWidth="1"/>
    <col min="3607" max="3607" width="13.5546875" style="655" customWidth="1"/>
    <col min="3608" max="3608" width="12.44140625" style="655" customWidth="1"/>
    <col min="3609" max="3609" width="13.5546875" style="655" customWidth="1"/>
    <col min="3610" max="3610" width="2.109375" style="655" customWidth="1"/>
    <col min="3611" max="3611" width="9.109375" style="655"/>
    <col min="3612" max="3612" width="10.21875" style="655" customWidth="1"/>
    <col min="3613" max="3613" width="1.88671875" style="655" customWidth="1"/>
    <col min="3614" max="3614" width="10.77734375" style="655" customWidth="1"/>
    <col min="3615" max="3615" width="9.109375" style="655"/>
    <col min="3616" max="3616" width="2.109375" style="655" customWidth="1"/>
    <col min="3617" max="3617" width="9.109375" style="655"/>
    <col min="3618" max="3618" width="11.21875" style="655" customWidth="1"/>
    <col min="3619" max="3619" width="12.77734375" style="655" customWidth="1"/>
    <col min="3620" max="3620" width="12.5546875" style="655" customWidth="1"/>
    <col min="3621" max="3621" width="2" style="655" customWidth="1"/>
    <col min="3622" max="3623" width="9.109375" style="655"/>
    <col min="3624" max="3624" width="11" style="655" customWidth="1"/>
    <col min="3625" max="3625" width="9.109375" style="655"/>
    <col min="3626" max="3626" width="2.21875" style="655" customWidth="1"/>
    <col min="3627" max="3627" width="11" style="655" customWidth="1"/>
    <col min="3628" max="3628" width="9.109375" style="655"/>
    <col min="3629" max="3629" width="11.5546875" style="655" customWidth="1"/>
    <col min="3630" max="3630" width="11.21875" style="655" customWidth="1"/>
    <col min="3631" max="3631" width="2.88671875" style="655" customWidth="1"/>
    <col min="3632" max="3633" width="9.109375" style="655"/>
    <col min="3634" max="3634" width="11.21875" style="655" customWidth="1"/>
    <col min="3635" max="3635" width="2.21875" style="655" customWidth="1"/>
    <col min="3636" max="3636" width="9.109375" style="655"/>
    <col min="3637" max="3637" width="10.44140625" style="655" customWidth="1"/>
    <col min="3638" max="3638" width="9.109375" style="655"/>
    <col min="3639" max="3639" width="11.109375" style="655" customWidth="1"/>
    <col min="3640" max="3641" width="9.109375" style="655"/>
    <col min="3642" max="3642" width="10.88671875" style="655" customWidth="1"/>
    <col min="3643" max="3644" width="9.109375" style="655"/>
    <col min="3645" max="3645" width="1.5546875" style="655" customWidth="1"/>
    <col min="3646" max="3646" width="9.77734375" style="655" customWidth="1"/>
    <col min="3647" max="3650" width="9.109375" style="655"/>
    <col min="3651" max="3651" width="1.88671875" style="655" customWidth="1"/>
    <col min="3652" max="3652" width="9.88671875" style="655" customWidth="1"/>
    <col min="3653" max="3653" width="1.5546875" style="655" customWidth="1"/>
    <col min="3654" max="3654" width="11.44140625" style="655" customWidth="1"/>
    <col min="3655" max="3655" width="2.21875" style="655" customWidth="1"/>
    <col min="3656" max="3656" width="12" style="655" customWidth="1"/>
    <col min="3657" max="3657" width="2" style="655" customWidth="1"/>
    <col min="3658" max="3658" width="9.109375" style="655"/>
    <col min="3659" max="3659" width="11.109375" style="655" customWidth="1"/>
    <col min="3660" max="3660" width="12" style="655" customWidth="1"/>
    <col min="3661" max="3661" width="9.109375" style="655"/>
    <col min="3662" max="3662" width="11.88671875" style="655" customWidth="1"/>
    <col min="3663" max="3663" width="14.21875" style="655" customWidth="1"/>
    <col min="3664" max="3667" width="9.109375" style="655"/>
    <col min="3668" max="3668" width="3.44140625" style="655" customWidth="1"/>
    <col min="3669" max="3670" width="9.109375" style="655"/>
    <col min="3671" max="3671" width="11.44140625" style="655" customWidth="1"/>
    <col min="3672" max="3672" width="2.77734375" style="655" customWidth="1"/>
    <col min="3673" max="3855" width="9.109375" style="655"/>
    <col min="3856" max="3856" width="9.5546875" style="655" customWidth="1"/>
    <col min="3857" max="3857" width="11" style="655" customWidth="1"/>
    <col min="3858" max="3859" width="11.21875" style="655" customWidth="1"/>
    <col min="3860" max="3860" width="11.5546875" style="655" customWidth="1"/>
    <col min="3861" max="3861" width="11.109375" style="655" customWidth="1"/>
    <col min="3862" max="3862" width="2" style="655" customWidth="1"/>
    <col min="3863" max="3863" width="13.5546875" style="655" customWidth="1"/>
    <col min="3864" max="3864" width="12.44140625" style="655" customWidth="1"/>
    <col min="3865" max="3865" width="13.5546875" style="655" customWidth="1"/>
    <col min="3866" max="3866" width="2.109375" style="655" customWidth="1"/>
    <col min="3867" max="3867" width="9.109375" style="655"/>
    <col min="3868" max="3868" width="10.21875" style="655" customWidth="1"/>
    <col min="3869" max="3869" width="1.88671875" style="655" customWidth="1"/>
    <col min="3870" max="3870" width="10.77734375" style="655" customWidth="1"/>
    <col min="3871" max="3871" width="9.109375" style="655"/>
    <col min="3872" max="3872" width="2.109375" style="655" customWidth="1"/>
    <col min="3873" max="3873" width="9.109375" style="655"/>
    <col min="3874" max="3874" width="11.21875" style="655" customWidth="1"/>
    <col min="3875" max="3875" width="12.77734375" style="655" customWidth="1"/>
    <col min="3876" max="3876" width="12.5546875" style="655" customWidth="1"/>
    <col min="3877" max="3877" width="2" style="655" customWidth="1"/>
    <col min="3878" max="3879" width="9.109375" style="655"/>
    <col min="3880" max="3880" width="11" style="655" customWidth="1"/>
    <col min="3881" max="3881" width="9.109375" style="655"/>
    <col min="3882" max="3882" width="2.21875" style="655" customWidth="1"/>
    <col min="3883" max="3883" width="11" style="655" customWidth="1"/>
    <col min="3884" max="3884" width="9.109375" style="655"/>
    <col min="3885" max="3885" width="11.5546875" style="655" customWidth="1"/>
    <col min="3886" max="3886" width="11.21875" style="655" customWidth="1"/>
    <col min="3887" max="3887" width="2.88671875" style="655" customWidth="1"/>
    <col min="3888" max="3889" width="9.109375" style="655"/>
    <col min="3890" max="3890" width="11.21875" style="655" customWidth="1"/>
    <col min="3891" max="3891" width="2.21875" style="655" customWidth="1"/>
    <col min="3892" max="3892" width="9.109375" style="655"/>
    <col min="3893" max="3893" width="10.44140625" style="655" customWidth="1"/>
    <col min="3894" max="3894" width="9.109375" style="655"/>
    <col min="3895" max="3895" width="11.109375" style="655" customWidth="1"/>
    <col min="3896" max="3897" width="9.109375" style="655"/>
    <col min="3898" max="3898" width="10.88671875" style="655" customWidth="1"/>
    <col min="3899" max="3900" width="9.109375" style="655"/>
    <col min="3901" max="3901" width="1.5546875" style="655" customWidth="1"/>
    <col min="3902" max="3902" width="9.77734375" style="655" customWidth="1"/>
    <col min="3903" max="3906" width="9.109375" style="655"/>
    <col min="3907" max="3907" width="1.88671875" style="655" customWidth="1"/>
    <col min="3908" max="3908" width="9.88671875" style="655" customWidth="1"/>
    <col min="3909" max="3909" width="1.5546875" style="655" customWidth="1"/>
    <col min="3910" max="3910" width="11.44140625" style="655" customWidth="1"/>
    <col min="3911" max="3911" width="2.21875" style="655" customWidth="1"/>
    <col min="3912" max="3912" width="12" style="655" customWidth="1"/>
    <col min="3913" max="3913" width="2" style="655" customWidth="1"/>
    <col min="3914" max="3914" width="9.109375" style="655"/>
    <col min="3915" max="3915" width="11.109375" style="655" customWidth="1"/>
    <col min="3916" max="3916" width="12" style="655" customWidth="1"/>
    <col min="3917" max="3917" width="9.109375" style="655"/>
    <col min="3918" max="3918" width="11.88671875" style="655" customWidth="1"/>
    <col min="3919" max="3919" width="14.21875" style="655" customWidth="1"/>
    <col min="3920" max="3923" width="9.109375" style="655"/>
    <col min="3924" max="3924" width="3.44140625" style="655" customWidth="1"/>
    <col min="3925" max="3926" width="9.109375" style="655"/>
    <col min="3927" max="3927" width="11.44140625" style="655" customWidth="1"/>
    <col min="3928" max="3928" width="2.77734375" style="655" customWidth="1"/>
    <col min="3929" max="4111" width="9.109375" style="655"/>
    <col min="4112" max="4112" width="9.5546875" style="655" customWidth="1"/>
    <col min="4113" max="4113" width="11" style="655" customWidth="1"/>
    <col min="4114" max="4115" width="11.21875" style="655" customWidth="1"/>
    <col min="4116" max="4116" width="11.5546875" style="655" customWidth="1"/>
    <col min="4117" max="4117" width="11.109375" style="655" customWidth="1"/>
    <col min="4118" max="4118" width="2" style="655" customWidth="1"/>
    <col min="4119" max="4119" width="13.5546875" style="655" customWidth="1"/>
    <col min="4120" max="4120" width="12.44140625" style="655" customWidth="1"/>
    <col min="4121" max="4121" width="13.5546875" style="655" customWidth="1"/>
    <col min="4122" max="4122" width="2.109375" style="655" customWidth="1"/>
    <col min="4123" max="4123" width="9.109375" style="655"/>
    <col min="4124" max="4124" width="10.21875" style="655" customWidth="1"/>
    <col min="4125" max="4125" width="1.88671875" style="655" customWidth="1"/>
    <col min="4126" max="4126" width="10.77734375" style="655" customWidth="1"/>
    <col min="4127" max="4127" width="9.109375" style="655"/>
    <col min="4128" max="4128" width="2.109375" style="655" customWidth="1"/>
    <col min="4129" max="4129" width="9.109375" style="655"/>
    <col min="4130" max="4130" width="11.21875" style="655" customWidth="1"/>
    <col min="4131" max="4131" width="12.77734375" style="655" customWidth="1"/>
    <col min="4132" max="4132" width="12.5546875" style="655" customWidth="1"/>
    <col min="4133" max="4133" width="2" style="655" customWidth="1"/>
    <col min="4134" max="4135" width="9.109375" style="655"/>
    <col min="4136" max="4136" width="11" style="655" customWidth="1"/>
    <col min="4137" max="4137" width="9.109375" style="655"/>
    <col min="4138" max="4138" width="2.21875" style="655" customWidth="1"/>
    <col min="4139" max="4139" width="11" style="655" customWidth="1"/>
    <col min="4140" max="4140" width="9.109375" style="655"/>
    <col min="4141" max="4141" width="11.5546875" style="655" customWidth="1"/>
    <col min="4142" max="4142" width="11.21875" style="655" customWidth="1"/>
    <col min="4143" max="4143" width="2.88671875" style="655" customWidth="1"/>
    <col min="4144" max="4145" width="9.109375" style="655"/>
    <col min="4146" max="4146" width="11.21875" style="655" customWidth="1"/>
    <col min="4147" max="4147" width="2.21875" style="655" customWidth="1"/>
    <col min="4148" max="4148" width="9.109375" style="655"/>
    <col min="4149" max="4149" width="10.44140625" style="655" customWidth="1"/>
    <col min="4150" max="4150" width="9.109375" style="655"/>
    <col min="4151" max="4151" width="11.109375" style="655" customWidth="1"/>
    <col min="4152" max="4153" width="9.109375" style="655"/>
    <col min="4154" max="4154" width="10.88671875" style="655" customWidth="1"/>
    <col min="4155" max="4156" width="9.109375" style="655"/>
    <col min="4157" max="4157" width="1.5546875" style="655" customWidth="1"/>
    <col min="4158" max="4158" width="9.77734375" style="655" customWidth="1"/>
    <col min="4159" max="4162" width="9.109375" style="655"/>
    <col min="4163" max="4163" width="1.88671875" style="655" customWidth="1"/>
    <col min="4164" max="4164" width="9.88671875" style="655" customWidth="1"/>
    <col min="4165" max="4165" width="1.5546875" style="655" customWidth="1"/>
    <col min="4166" max="4166" width="11.44140625" style="655" customWidth="1"/>
    <col min="4167" max="4167" width="2.21875" style="655" customWidth="1"/>
    <col min="4168" max="4168" width="12" style="655" customWidth="1"/>
    <col min="4169" max="4169" width="2" style="655" customWidth="1"/>
    <col min="4170" max="4170" width="9.109375" style="655"/>
    <col min="4171" max="4171" width="11.109375" style="655" customWidth="1"/>
    <col min="4172" max="4172" width="12" style="655" customWidth="1"/>
    <col min="4173" max="4173" width="9.109375" style="655"/>
    <col min="4174" max="4174" width="11.88671875" style="655" customWidth="1"/>
    <col min="4175" max="4175" width="14.21875" style="655" customWidth="1"/>
    <col min="4176" max="4179" width="9.109375" style="655"/>
    <col min="4180" max="4180" width="3.44140625" style="655" customWidth="1"/>
    <col min="4181" max="4182" width="9.109375" style="655"/>
    <col min="4183" max="4183" width="11.44140625" style="655" customWidth="1"/>
    <col min="4184" max="4184" width="2.77734375" style="655" customWidth="1"/>
    <col min="4185" max="4367" width="9.109375" style="655"/>
    <col min="4368" max="4368" width="9.5546875" style="655" customWidth="1"/>
    <col min="4369" max="4369" width="11" style="655" customWidth="1"/>
    <col min="4370" max="4371" width="11.21875" style="655" customWidth="1"/>
    <col min="4372" max="4372" width="11.5546875" style="655" customWidth="1"/>
    <col min="4373" max="4373" width="11.109375" style="655" customWidth="1"/>
    <col min="4374" max="4374" width="2" style="655" customWidth="1"/>
    <col min="4375" max="4375" width="13.5546875" style="655" customWidth="1"/>
    <col min="4376" max="4376" width="12.44140625" style="655" customWidth="1"/>
    <col min="4377" max="4377" width="13.5546875" style="655" customWidth="1"/>
    <col min="4378" max="4378" width="2.109375" style="655" customWidth="1"/>
    <col min="4379" max="4379" width="9.109375" style="655"/>
    <col min="4380" max="4380" width="10.21875" style="655" customWidth="1"/>
    <col min="4381" max="4381" width="1.88671875" style="655" customWidth="1"/>
    <col min="4382" max="4382" width="10.77734375" style="655" customWidth="1"/>
    <col min="4383" max="4383" width="9.109375" style="655"/>
    <col min="4384" max="4384" width="2.109375" style="655" customWidth="1"/>
    <col min="4385" max="4385" width="9.109375" style="655"/>
    <col min="4386" max="4386" width="11.21875" style="655" customWidth="1"/>
    <col min="4387" max="4387" width="12.77734375" style="655" customWidth="1"/>
    <col min="4388" max="4388" width="12.5546875" style="655" customWidth="1"/>
    <col min="4389" max="4389" width="2" style="655" customWidth="1"/>
    <col min="4390" max="4391" width="9.109375" style="655"/>
    <col min="4392" max="4392" width="11" style="655" customWidth="1"/>
    <col min="4393" max="4393" width="9.109375" style="655"/>
    <col min="4394" max="4394" width="2.21875" style="655" customWidth="1"/>
    <col min="4395" max="4395" width="11" style="655" customWidth="1"/>
    <col min="4396" max="4396" width="9.109375" style="655"/>
    <col min="4397" max="4397" width="11.5546875" style="655" customWidth="1"/>
    <col min="4398" max="4398" width="11.21875" style="655" customWidth="1"/>
    <col min="4399" max="4399" width="2.88671875" style="655" customWidth="1"/>
    <col min="4400" max="4401" width="9.109375" style="655"/>
    <col min="4402" max="4402" width="11.21875" style="655" customWidth="1"/>
    <col min="4403" max="4403" width="2.21875" style="655" customWidth="1"/>
    <col min="4404" max="4404" width="9.109375" style="655"/>
    <col min="4405" max="4405" width="10.44140625" style="655" customWidth="1"/>
    <col min="4406" max="4406" width="9.109375" style="655"/>
    <col min="4407" max="4407" width="11.109375" style="655" customWidth="1"/>
    <col min="4408" max="4409" width="9.109375" style="655"/>
    <col min="4410" max="4410" width="10.88671875" style="655" customWidth="1"/>
    <col min="4411" max="4412" width="9.109375" style="655"/>
    <col min="4413" max="4413" width="1.5546875" style="655" customWidth="1"/>
    <col min="4414" max="4414" width="9.77734375" style="655" customWidth="1"/>
    <col min="4415" max="4418" width="9.109375" style="655"/>
    <col min="4419" max="4419" width="1.88671875" style="655" customWidth="1"/>
    <col min="4420" max="4420" width="9.88671875" style="655" customWidth="1"/>
    <col min="4421" max="4421" width="1.5546875" style="655" customWidth="1"/>
    <col min="4422" max="4422" width="11.44140625" style="655" customWidth="1"/>
    <col min="4423" max="4423" width="2.21875" style="655" customWidth="1"/>
    <col min="4424" max="4424" width="12" style="655" customWidth="1"/>
    <col min="4425" max="4425" width="2" style="655" customWidth="1"/>
    <col min="4426" max="4426" width="9.109375" style="655"/>
    <col min="4427" max="4427" width="11.109375" style="655" customWidth="1"/>
    <col min="4428" max="4428" width="12" style="655" customWidth="1"/>
    <col min="4429" max="4429" width="9.109375" style="655"/>
    <col min="4430" max="4430" width="11.88671875" style="655" customWidth="1"/>
    <col min="4431" max="4431" width="14.21875" style="655" customWidth="1"/>
    <col min="4432" max="4435" width="9.109375" style="655"/>
    <col min="4436" max="4436" width="3.44140625" style="655" customWidth="1"/>
    <col min="4437" max="4438" width="9.109375" style="655"/>
    <col min="4439" max="4439" width="11.44140625" style="655" customWidth="1"/>
    <col min="4440" max="4440" width="2.77734375" style="655" customWidth="1"/>
    <col min="4441" max="4623" width="9.109375" style="655"/>
    <col min="4624" max="4624" width="9.5546875" style="655" customWidth="1"/>
    <col min="4625" max="4625" width="11" style="655" customWidth="1"/>
    <col min="4626" max="4627" width="11.21875" style="655" customWidth="1"/>
    <col min="4628" max="4628" width="11.5546875" style="655" customWidth="1"/>
    <col min="4629" max="4629" width="11.109375" style="655" customWidth="1"/>
    <col min="4630" max="4630" width="2" style="655" customWidth="1"/>
    <col min="4631" max="4631" width="13.5546875" style="655" customWidth="1"/>
    <col min="4632" max="4632" width="12.44140625" style="655" customWidth="1"/>
    <col min="4633" max="4633" width="13.5546875" style="655" customWidth="1"/>
    <col min="4634" max="4634" width="2.109375" style="655" customWidth="1"/>
    <col min="4635" max="4635" width="9.109375" style="655"/>
    <col min="4636" max="4636" width="10.21875" style="655" customWidth="1"/>
    <col min="4637" max="4637" width="1.88671875" style="655" customWidth="1"/>
    <col min="4638" max="4638" width="10.77734375" style="655" customWidth="1"/>
    <col min="4639" max="4639" width="9.109375" style="655"/>
    <col min="4640" max="4640" width="2.109375" style="655" customWidth="1"/>
    <col min="4641" max="4641" width="9.109375" style="655"/>
    <col min="4642" max="4642" width="11.21875" style="655" customWidth="1"/>
    <col min="4643" max="4643" width="12.77734375" style="655" customWidth="1"/>
    <col min="4644" max="4644" width="12.5546875" style="655" customWidth="1"/>
    <col min="4645" max="4645" width="2" style="655" customWidth="1"/>
    <col min="4646" max="4647" width="9.109375" style="655"/>
    <col min="4648" max="4648" width="11" style="655" customWidth="1"/>
    <col min="4649" max="4649" width="9.109375" style="655"/>
    <col min="4650" max="4650" width="2.21875" style="655" customWidth="1"/>
    <col min="4651" max="4651" width="11" style="655" customWidth="1"/>
    <col min="4652" max="4652" width="9.109375" style="655"/>
    <col min="4653" max="4653" width="11.5546875" style="655" customWidth="1"/>
    <col min="4654" max="4654" width="11.21875" style="655" customWidth="1"/>
    <col min="4655" max="4655" width="2.88671875" style="655" customWidth="1"/>
    <col min="4656" max="4657" width="9.109375" style="655"/>
    <col min="4658" max="4658" width="11.21875" style="655" customWidth="1"/>
    <col min="4659" max="4659" width="2.21875" style="655" customWidth="1"/>
    <col min="4660" max="4660" width="9.109375" style="655"/>
    <col min="4661" max="4661" width="10.44140625" style="655" customWidth="1"/>
    <col min="4662" max="4662" width="9.109375" style="655"/>
    <col min="4663" max="4663" width="11.109375" style="655" customWidth="1"/>
    <col min="4664" max="4665" width="9.109375" style="655"/>
    <col min="4666" max="4666" width="10.88671875" style="655" customWidth="1"/>
    <col min="4667" max="4668" width="9.109375" style="655"/>
    <col min="4669" max="4669" width="1.5546875" style="655" customWidth="1"/>
    <col min="4670" max="4670" width="9.77734375" style="655" customWidth="1"/>
    <col min="4671" max="4674" width="9.109375" style="655"/>
    <col min="4675" max="4675" width="1.88671875" style="655" customWidth="1"/>
    <col min="4676" max="4676" width="9.88671875" style="655" customWidth="1"/>
    <col min="4677" max="4677" width="1.5546875" style="655" customWidth="1"/>
    <col min="4678" max="4678" width="11.44140625" style="655" customWidth="1"/>
    <col min="4679" max="4679" width="2.21875" style="655" customWidth="1"/>
    <col min="4680" max="4680" width="12" style="655" customWidth="1"/>
    <col min="4681" max="4681" width="2" style="655" customWidth="1"/>
    <col min="4682" max="4682" width="9.109375" style="655"/>
    <col min="4683" max="4683" width="11.109375" style="655" customWidth="1"/>
    <col min="4684" max="4684" width="12" style="655" customWidth="1"/>
    <col min="4685" max="4685" width="9.109375" style="655"/>
    <col min="4686" max="4686" width="11.88671875" style="655" customWidth="1"/>
    <col min="4687" max="4687" width="14.21875" style="655" customWidth="1"/>
    <col min="4688" max="4691" width="9.109375" style="655"/>
    <col min="4692" max="4692" width="3.44140625" style="655" customWidth="1"/>
    <col min="4693" max="4694" width="9.109375" style="655"/>
    <col min="4695" max="4695" width="11.44140625" style="655" customWidth="1"/>
    <col min="4696" max="4696" width="2.77734375" style="655" customWidth="1"/>
    <col min="4697" max="4879" width="9.109375" style="655"/>
    <col min="4880" max="4880" width="9.5546875" style="655" customWidth="1"/>
    <col min="4881" max="4881" width="11" style="655" customWidth="1"/>
    <col min="4882" max="4883" width="11.21875" style="655" customWidth="1"/>
    <col min="4884" max="4884" width="11.5546875" style="655" customWidth="1"/>
    <col min="4885" max="4885" width="11.109375" style="655" customWidth="1"/>
    <col min="4886" max="4886" width="2" style="655" customWidth="1"/>
    <col min="4887" max="4887" width="13.5546875" style="655" customWidth="1"/>
    <col min="4888" max="4888" width="12.44140625" style="655" customWidth="1"/>
    <col min="4889" max="4889" width="13.5546875" style="655" customWidth="1"/>
    <col min="4890" max="4890" width="2.109375" style="655" customWidth="1"/>
    <col min="4891" max="4891" width="9.109375" style="655"/>
    <col min="4892" max="4892" width="10.21875" style="655" customWidth="1"/>
    <col min="4893" max="4893" width="1.88671875" style="655" customWidth="1"/>
    <col min="4894" max="4894" width="10.77734375" style="655" customWidth="1"/>
    <col min="4895" max="4895" width="9.109375" style="655"/>
    <col min="4896" max="4896" width="2.109375" style="655" customWidth="1"/>
    <col min="4897" max="4897" width="9.109375" style="655"/>
    <col min="4898" max="4898" width="11.21875" style="655" customWidth="1"/>
    <col min="4899" max="4899" width="12.77734375" style="655" customWidth="1"/>
    <col min="4900" max="4900" width="12.5546875" style="655" customWidth="1"/>
    <col min="4901" max="4901" width="2" style="655" customWidth="1"/>
    <col min="4902" max="4903" width="9.109375" style="655"/>
    <col min="4904" max="4904" width="11" style="655" customWidth="1"/>
    <col min="4905" max="4905" width="9.109375" style="655"/>
    <col min="4906" max="4906" width="2.21875" style="655" customWidth="1"/>
    <col min="4907" max="4907" width="11" style="655" customWidth="1"/>
    <col min="4908" max="4908" width="9.109375" style="655"/>
    <col min="4909" max="4909" width="11.5546875" style="655" customWidth="1"/>
    <col min="4910" max="4910" width="11.21875" style="655" customWidth="1"/>
    <col min="4911" max="4911" width="2.88671875" style="655" customWidth="1"/>
    <col min="4912" max="4913" width="9.109375" style="655"/>
    <col min="4914" max="4914" width="11.21875" style="655" customWidth="1"/>
    <col min="4915" max="4915" width="2.21875" style="655" customWidth="1"/>
    <col min="4916" max="4916" width="9.109375" style="655"/>
    <col min="4917" max="4917" width="10.44140625" style="655" customWidth="1"/>
    <col min="4918" max="4918" width="9.109375" style="655"/>
    <col min="4919" max="4919" width="11.109375" style="655" customWidth="1"/>
    <col min="4920" max="4921" width="9.109375" style="655"/>
    <col min="4922" max="4922" width="10.88671875" style="655" customWidth="1"/>
    <col min="4923" max="4924" width="9.109375" style="655"/>
    <col min="4925" max="4925" width="1.5546875" style="655" customWidth="1"/>
    <col min="4926" max="4926" width="9.77734375" style="655" customWidth="1"/>
    <col min="4927" max="4930" width="9.109375" style="655"/>
    <col min="4931" max="4931" width="1.88671875" style="655" customWidth="1"/>
    <col min="4932" max="4932" width="9.88671875" style="655" customWidth="1"/>
    <col min="4933" max="4933" width="1.5546875" style="655" customWidth="1"/>
    <col min="4934" max="4934" width="11.44140625" style="655" customWidth="1"/>
    <col min="4935" max="4935" width="2.21875" style="655" customWidth="1"/>
    <col min="4936" max="4936" width="12" style="655" customWidth="1"/>
    <col min="4937" max="4937" width="2" style="655" customWidth="1"/>
    <col min="4938" max="4938" width="9.109375" style="655"/>
    <col min="4939" max="4939" width="11.109375" style="655" customWidth="1"/>
    <col min="4940" max="4940" width="12" style="655" customWidth="1"/>
    <col min="4941" max="4941" width="9.109375" style="655"/>
    <col min="4942" max="4942" width="11.88671875" style="655" customWidth="1"/>
    <col min="4943" max="4943" width="14.21875" style="655" customWidth="1"/>
    <col min="4944" max="4947" width="9.109375" style="655"/>
    <col min="4948" max="4948" width="3.44140625" style="655" customWidth="1"/>
    <col min="4949" max="4950" width="9.109375" style="655"/>
    <col min="4951" max="4951" width="11.44140625" style="655" customWidth="1"/>
    <col min="4952" max="4952" width="2.77734375" style="655" customWidth="1"/>
    <col min="4953" max="5135" width="9.109375" style="655"/>
    <col min="5136" max="5136" width="9.5546875" style="655" customWidth="1"/>
    <col min="5137" max="5137" width="11" style="655" customWidth="1"/>
    <col min="5138" max="5139" width="11.21875" style="655" customWidth="1"/>
    <col min="5140" max="5140" width="11.5546875" style="655" customWidth="1"/>
    <col min="5141" max="5141" width="11.109375" style="655" customWidth="1"/>
    <col min="5142" max="5142" width="2" style="655" customWidth="1"/>
    <col min="5143" max="5143" width="13.5546875" style="655" customWidth="1"/>
    <col min="5144" max="5144" width="12.44140625" style="655" customWidth="1"/>
    <col min="5145" max="5145" width="13.5546875" style="655" customWidth="1"/>
    <col min="5146" max="5146" width="2.109375" style="655" customWidth="1"/>
    <col min="5147" max="5147" width="9.109375" style="655"/>
    <col min="5148" max="5148" width="10.21875" style="655" customWidth="1"/>
    <col min="5149" max="5149" width="1.88671875" style="655" customWidth="1"/>
    <col min="5150" max="5150" width="10.77734375" style="655" customWidth="1"/>
    <col min="5151" max="5151" width="9.109375" style="655"/>
    <col min="5152" max="5152" width="2.109375" style="655" customWidth="1"/>
    <col min="5153" max="5153" width="9.109375" style="655"/>
    <col min="5154" max="5154" width="11.21875" style="655" customWidth="1"/>
    <col min="5155" max="5155" width="12.77734375" style="655" customWidth="1"/>
    <col min="5156" max="5156" width="12.5546875" style="655" customWidth="1"/>
    <col min="5157" max="5157" width="2" style="655" customWidth="1"/>
    <col min="5158" max="5159" width="9.109375" style="655"/>
    <col min="5160" max="5160" width="11" style="655" customWidth="1"/>
    <col min="5161" max="5161" width="9.109375" style="655"/>
    <col min="5162" max="5162" width="2.21875" style="655" customWidth="1"/>
    <col min="5163" max="5163" width="11" style="655" customWidth="1"/>
    <col min="5164" max="5164" width="9.109375" style="655"/>
    <col min="5165" max="5165" width="11.5546875" style="655" customWidth="1"/>
    <col min="5166" max="5166" width="11.21875" style="655" customWidth="1"/>
    <col min="5167" max="5167" width="2.88671875" style="655" customWidth="1"/>
    <col min="5168" max="5169" width="9.109375" style="655"/>
    <col min="5170" max="5170" width="11.21875" style="655" customWidth="1"/>
    <col min="5171" max="5171" width="2.21875" style="655" customWidth="1"/>
    <col min="5172" max="5172" width="9.109375" style="655"/>
    <col min="5173" max="5173" width="10.44140625" style="655" customWidth="1"/>
    <col min="5174" max="5174" width="9.109375" style="655"/>
    <col min="5175" max="5175" width="11.109375" style="655" customWidth="1"/>
    <col min="5176" max="5177" width="9.109375" style="655"/>
    <col min="5178" max="5178" width="10.88671875" style="655" customWidth="1"/>
    <col min="5179" max="5180" width="9.109375" style="655"/>
    <col min="5181" max="5181" width="1.5546875" style="655" customWidth="1"/>
    <col min="5182" max="5182" width="9.77734375" style="655" customWidth="1"/>
    <col min="5183" max="5186" width="9.109375" style="655"/>
    <col min="5187" max="5187" width="1.88671875" style="655" customWidth="1"/>
    <col min="5188" max="5188" width="9.88671875" style="655" customWidth="1"/>
    <col min="5189" max="5189" width="1.5546875" style="655" customWidth="1"/>
    <col min="5190" max="5190" width="11.44140625" style="655" customWidth="1"/>
    <col min="5191" max="5191" width="2.21875" style="655" customWidth="1"/>
    <col min="5192" max="5192" width="12" style="655" customWidth="1"/>
    <col min="5193" max="5193" width="2" style="655" customWidth="1"/>
    <col min="5194" max="5194" width="9.109375" style="655"/>
    <col min="5195" max="5195" width="11.109375" style="655" customWidth="1"/>
    <col min="5196" max="5196" width="12" style="655" customWidth="1"/>
    <col min="5197" max="5197" width="9.109375" style="655"/>
    <col min="5198" max="5198" width="11.88671875" style="655" customWidth="1"/>
    <col min="5199" max="5199" width="14.21875" style="655" customWidth="1"/>
    <col min="5200" max="5203" width="9.109375" style="655"/>
    <col min="5204" max="5204" width="3.44140625" style="655" customWidth="1"/>
    <col min="5205" max="5206" width="9.109375" style="655"/>
    <col min="5207" max="5207" width="11.44140625" style="655" customWidth="1"/>
    <col min="5208" max="5208" width="2.77734375" style="655" customWidth="1"/>
    <col min="5209" max="5391" width="9.109375" style="655"/>
    <col min="5392" max="5392" width="9.5546875" style="655" customWidth="1"/>
    <col min="5393" max="5393" width="11" style="655" customWidth="1"/>
    <col min="5394" max="5395" width="11.21875" style="655" customWidth="1"/>
    <col min="5396" max="5396" width="11.5546875" style="655" customWidth="1"/>
    <col min="5397" max="5397" width="11.109375" style="655" customWidth="1"/>
    <col min="5398" max="5398" width="2" style="655" customWidth="1"/>
    <col min="5399" max="5399" width="13.5546875" style="655" customWidth="1"/>
    <col min="5400" max="5400" width="12.44140625" style="655" customWidth="1"/>
    <col min="5401" max="5401" width="13.5546875" style="655" customWidth="1"/>
    <col min="5402" max="5402" width="2.109375" style="655" customWidth="1"/>
    <col min="5403" max="5403" width="9.109375" style="655"/>
    <col min="5404" max="5404" width="10.21875" style="655" customWidth="1"/>
    <col min="5405" max="5405" width="1.88671875" style="655" customWidth="1"/>
    <col min="5406" max="5406" width="10.77734375" style="655" customWidth="1"/>
    <col min="5407" max="5407" width="9.109375" style="655"/>
    <col min="5408" max="5408" width="2.109375" style="655" customWidth="1"/>
    <col min="5409" max="5409" width="9.109375" style="655"/>
    <col min="5410" max="5410" width="11.21875" style="655" customWidth="1"/>
    <col min="5411" max="5411" width="12.77734375" style="655" customWidth="1"/>
    <col min="5412" max="5412" width="12.5546875" style="655" customWidth="1"/>
    <col min="5413" max="5413" width="2" style="655" customWidth="1"/>
    <col min="5414" max="5415" width="9.109375" style="655"/>
    <col min="5416" max="5416" width="11" style="655" customWidth="1"/>
    <col min="5417" max="5417" width="9.109375" style="655"/>
    <col min="5418" max="5418" width="2.21875" style="655" customWidth="1"/>
    <col min="5419" max="5419" width="11" style="655" customWidth="1"/>
    <col min="5420" max="5420" width="9.109375" style="655"/>
    <col min="5421" max="5421" width="11.5546875" style="655" customWidth="1"/>
    <col min="5422" max="5422" width="11.21875" style="655" customWidth="1"/>
    <col min="5423" max="5423" width="2.88671875" style="655" customWidth="1"/>
    <col min="5424" max="5425" width="9.109375" style="655"/>
    <col min="5426" max="5426" width="11.21875" style="655" customWidth="1"/>
    <col min="5427" max="5427" width="2.21875" style="655" customWidth="1"/>
    <col min="5428" max="5428" width="9.109375" style="655"/>
    <col min="5429" max="5429" width="10.44140625" style="655" customWidth="1"/>
    <col min="5430" max="5430" width="9.109375" style="655"/>
    <col min="5431" max="5431" width="11.109375" style="655" customWidth="1"/>
    <col min="5432" max="5433" width="9.109375" style="655"/>
    <col min="5434" max="5434" width="10.88671875" style="655" customWidth="1"/>
    <col min="5435" max="5436" width="9.109375" style="655"/>
    <col min="5437" max="5437" width="1.5546875" style="655" customWidth="1"/>
    <col min="5438" max="5438" width="9.77734375" style="655" customWidth="1"/>
    <col min="5439" max="5442" width="9.109375" style="655"/>
    <col min="5443" max="5443" width="1.88671875" style="655" customWidth="1"/>
    <col min="5444" max="5444" width="9.88671875" style="655" customWidth="1"/>
    <col min="5445" max="5445" width="1.5546875" style="655" customWidth="1"/>
    <col min="5446" max="5446" width="11.44140625" style="655" customWidth="1"/>
    <col min="5447" max="5447" width="2.21875" style="655" customWidth="1"/>
    <col min="5448" max="5448" width="12" style="655" customWidth="1"/>
    <col min="5449" max="5449" width="2" style="655" customWidth="1"/>
    <col min="5450" max="5450" width="9.109375" style="655"/>
    <col min="5451" max="5451" width="11.109375" style="655" customWidth="1"/>
    <col min="5452" max="5452" width="12" style="655" customWidth="1"/>
    <col min="5453" max="5453" width="9.109375" style="655"/>
    <col min="5454" max="5454" width="11.88671875" style="655" customWidth="1"/>
    <col min="5455" max="5455" width="14.21875" style="655" customWidth="1"/>
    <col min="5456" max="5459" width="9.109375" style="655"/>
    <col min="5460" max="5460" width="3.44140625" style="655" customWidth="1"/>
    <col min="5461" max="5462" width="9.109375" style="655"/>
    <col min="5463" max="5463" width="11.44140625" style="655" customWidth="1"/>
    <col min="5464" max="5464" width="2.77734375" style="655" customWidth="1"/>
    <col min="5465" max="5647" width="9.109375" style="655"/>
    <col min="5648" max="5648" width="9.5546875" style="655" customWidth="1"/>
    <col min="5649" max="5649" width="11" style="655" customWidth="1"/>
    <col min="5650" max="5651" width="11.21875" style="655" customWidth="1"/>
    <col min="5652" max="5652" width="11.5546875" style="655" customWidth="1"/>
    <col min="5653" max="5653" width="11.109375" style="655" customWidth="1"/>
    <col min="5654" max="5654" width="2" style="655" customWidth="1"/>
    <col min="5655" max="5655" width="13.5546875" style="655" customWidth="1"/>
    <col min="5656" max="5656" width="12.44140625" style="655" customWidth="1"/>
    <col min="5657" max="5657" width="13.5546875" style="655" customWidth="1"/>
    <col min="5658" max="5658" width="2.109375" style="655" customWidth="1"/>
    <col min="5659" max="5659" width="9.109375" style="655"/>
    <col min="5660" max="5660" width="10.21875" style="655" customWidth="1"/>
    <col min="5661" max="5661" width="1.88671875" style="655" customWidth="1"/>
    <col min="5662" max="5662" width="10.77734375" style="655" customWidth="1"/>
    <col min="5663" max="5663" width="9.109375" style="655"/>
    <col min="5664" max="5664" width="2.109375" style="655" customWidth="1"/>
    <col min="5665" max="5665" width="9.109375" style="655"/>
    <col min="5666" max="5666" width="11.21875" style="655" customWidth="1"/>
    <col min="5667" max="5667" width="12.77734375" style="655" customWidth="1"/>
    <col min="5668" max="5668" width="12.5546875" style="655" customWidth="1"/>
    <col min="5669" max="5669" width="2" style="655" customWidth="1"/>
    <col min="5670" max="5671" width="9.109375" style="655"/>
    <col min="5672" max="5672" width="11" style="655" customWidth="1"/>
    <col min="5673" max="5673" width="9.109375" style="655"/>
    <col min="5674" max="5674" width="2.21875" style="655" customWidth="1"/>
    <col min="5675" max="5675" width="11" style="655" customWidth="1"/>
    <col min="5676" max="5676" width="9.109375" style="655"/>
    <col min="5677" max="5677" width="11.5546875" style="655" customWidth="1"/>
    <col min="5678" max="5678" width="11.21875" style="655" customWidth="1"/>
    <col min="5679" max="5679" width="2.88671875" style="655" customWidth="1"/>
    <col min="5680" max="5681" width="9.109375" style="655"/>
    <col min="5682" max="5682" width="11.21875" style="655" customWidth="1"/>
    <col min="5683" max="5683" width="2.21875" style="655" customWidth="1"/>
    <col min="5684" max="5684" width="9.109375" style="655"/>
    <col min="5685" max="5685" width="10.44140625" style="655" customWidth="1"/>
    <col min="5686" max="5686" width="9.109375" style="655"/>
    <col min="5687" max="5687" width="11.109375" style="655" customWidth="1"/>
    <col min="5688" max="5689" width="9.109375" style="655"/>
    <col min="5690" max="5690" width="10.88671875" style="655" customWidth="1"/>
    <col min="5691" max="5692" width="9.109375" style="655"/>
    <col min="5693" max="5693" width="1.5546875" style="655" customWidth="1"/>
    <col min="5694" max="5694" width="9.77734375" style="655" customWidth="1"/>
    <col min="5695" max="5698" width="9.109375" style="655"/>
    <col min="5699" max="5699" width="1.88671875" style="655" customWidth="1"/>
    <col min="5700" max="5700" width="9.88671875" style="655" customWidth="1"/>
    <col min="5701" max="5701" width="1.5546875" style="655" customWidth="1"/>
    <col min="5702" max="5702" width="11.44140625" style="655" customWidth="1"/>
    <col min="5703" max="5703" width="2.21875" style="655" customWidth="1"/>
    <col min="5704" max="5704" width="12" style="655" customWidth="1"/>
    <col min="5705" max="5705" width="2" style="655" customWidth="1"/>
    <col min="5706" max="5706" width="9.109375" style="655"/>
    <col min="5707" max="5707" width="11.109375" style="655" customWidth="1"/>
    <col min="5708" max="5708" width="12" style="655" customWidth="1"/>
    <col min="5709" max="5709" width="9.109375" style="655"/>
    <col min="5710" max="5710" width="11.88671875" style="655" customWidth="1"/>
    <col min="5711" max="5711" width="14.21875" style="655" customWidth="1"/>
    <col min="5712" max="5715" width="9.109375" style="655"/>
    <col min="5716" max="5716" width="3.44140625" style="655" customWidth="1"/>
    <col min="5717" max="5718" width="9.109375" style="655"/>
    <col min="5719" max="5719" width="11.44140625" style="655" customWidth="1"/>
    <col min="5720" max="5720" width="2.77734375" style="655" customWidth="1"/>
    <col min="5721" max="5903" width="9.109375" style="655"/>
    <col min="5904" max="5904" width="9.5546875" style="655" customWidth="1"/>
    <col min="5905" max="5905" width="11" style="655" customWidth="1"/>
    <col min="5906" max="5907" width="11.21875" style="655" customWidth="1"/>
    <col min="5908" max="5908" width="11.5546875" style="655" customWidth="1"/>
    <col min="5909" max="5909" width="11.109375" style="655" customWidth="1"/>
    <col min="5910" max="5910" width="2" style="655" customWidth="1"/>
    <col min="5911" max="5911" width="13.5546875" style="655" customWidth="1"/>
    <col min="5912" max="5912" width="12.44140625" style="655" customWidth="1"/>
    <col min="5913" max="5913" width="13.5546875" style="655" customWidth="1"/>
    <col min="5914" max="5914" width="2.109375" style="655" customWidth="1"/>
    <col min="5915" max="5915" width="9.109375" style="655"/>
    <col min="5916" max="5916" width="10.21875" style="655" customWidth="1"/>
    <col min="5917" max="5917" width="1.88671875" style="655" customWidth="1"/>
    <col min="5918" max="5918" width="10.77734375" style="655" customWidth="1"/>
    <col min="5919" max="5919" width="9.109375" style="655"/>
    <col min="5920" max="5920" width="2.109375" style="655" customWidth="1"/>
    <col min="5921" max="5921" width="9.109375" style="655"/>
    <col min="5922" max="5922" width="11.21875" style="655" customWidth="1"/>
    <col min="5923" max="5923" width="12.77734375" style="655" customWidth="1"/>
    <col min="5924" max="5924" width="12.5546875" style="655" customWidth="1"/>
    <col min="5925" max="5925" width="2" style="655" customWidth="1"/>
    <col min="5926" max="5927" width="9.109375" style="655"/>
    <col min="5928" max="5928" width="11" style="655" customWidth="1"/>
    <col min="5929" max="5929" width="9.109375" style="655"/>
    <col min="5930" max="5930" width="2.21875" style="655" customWidth="1"/>
    <col min="5931" max="5931" width="11" style="655" customWidth="1"/>
    <col min="5932" max="5932" width="9.109375" style="655"/>
    <col min="5933" max="5933" width="11.5546875" style="655" customWidth="1"/>
    <col min="5934" max="5934" width="11.21875" style="655" customWidth="1"/>
    <col min="5935" max="5935" width="2.88671875" style="655" customWidth="1"/>
    <col min="5936" max="5937" width="9.109375" style="655"/>
    <col min="5938" max="5938" width="11.21875" style="655" customWidth="1"/>
    <col min="5939" max="5939" width="2.21875" style="655" customWidth="1"/>
    <col min="5940" max="5940" width="9.109375" style="655"/>
    <col min="5941" max="5941" width="10.44140625" style="655" customWidth="1"/>
    <col min="5942" max="5942" width="9.109375" style="655"/>
    <col min="5943" max="5943" width="11.109375" style="655" customWidth="1"/>
    <col min="5944" max="5945" width="9.109375" style="655"/>
    <col min="5946" max="5946" width="10.88671875" style="655" customWidth="1"/>
    <col min="5947" max="5948" width="9.109375" style="655"/>
    <col min="5949" max="5949" width="1.5546875" style="655" customWidth="1"/>
    <col min="5950" max="5950" width="9.77734375" style="655" customWidth="1"/>
    <col min="5951" max="5954" width="9.109375" style="655"/>
    <col min="5955" max="5955" width="1.88671875" style="655" customWidth="1"/>
    <col min="5956" max="5956" width="9.88671875" style="655" customWidth="1"/>
    <col min="5957" max="5957" width="1.5546875" style="655" customWidth="1"/>
    <col min="5958" max="5958" width="11.44140625" style="655" customWidth="1"/>
    <col min="5959" max="5959" width="2.21875" style="655" customWidth="1"/>
    <col min="5960" max="5960" width="12" style="655" customWidth="1"/>
    <col min="5961" max="5961" width="2" style="655" customWidth="1"/>
    <col min="5962" max="5962" width="9.109375" style="655"/>
    <col min="5963" max="5963" width="11.109375" style="655" customWidth="1"/>
    <col min="5964" max="5964" width="12" style="655" customWidth="1"/>
    <col min="5965" max="5965" width="9.109375" style="655"/>
    <col min="5966" max="5966" width="11.88671875" style="655" customWidth="1"/>
    <col min="5967" max="5967" width="14.21875" style="655" customWidth="1"/>
    <col min="5968" max="5971" width="9.109375" style="655"/>
    <col min="5972" max="5972" width="3.44140625" style="655" customWidth="1"/>
    <col min="5973" max="5974" width="9.109375" style="655"/>
    <col min="5975" max="5975" width="11.44140625" style="655" customWidth="1"/>
    <col min="5976" max="5976" width="2.77734375" style="655" customWidth="1"/>
    <col min="5977" max="6159" width="9.109375" style="655"/>
    <col min="6160" max="6160" width="9.5546875" style="655" customWidth="1"/>
    <col min="6161" max="6161" width="11" style="655" customWidth="1"/>
    <col min="6162" max="6163" width="11.21875" style="655" customWidth="1"/>
    <col min="6164" max="6164" width="11.5546875" style="655" customWidth="1"/>
    <col min="6165" max="6165" width="11.109375" style="655" customWidth="1"/>
    <col min="6166" max="6166" width="2" style="655" customWidth="1"/>
    <col min="6167" max="6167" width="13.5546875" style="655" customWidth="1"/>
    <col min="6168" max="6168" width="12.44140625" style="655" customWidth="1"/>
    <col min="6169" max="6169" width="13.5546875" style="655" customWidth="1"/>
    <col min="6170" max="6170" width="2.109375" style="655" customWidth="1"/>
    <col min="6171" max="6171" width="9.109375" style="655"/>
    <col min="6172" max="6172" width="10.21875" style="655" customWidth="1"/>
    <col min="6173" max="6173" width="1.88671875" style="655" customWidth="1"/>
    <col min="6174" max="6174" width="10.77734375" style="655" customWidth="1"/>
    <col min="6175" max="6175" width="9.109375" style="655"/>
    <col min="6176" max="6176" width="2.109375" style="655" customWidth="1"/>
    <col min="6177" max="6177" width="9.109375" style="655"/>
    <col min="6178" max="6178" width="11.21875" style="655" customWidth="1"/>
    <col min="6179" max="6179" width="12.77734375" style="655" customWidth="1"/>
    <col min="6180" max="6180" width="12.5546875" style="655" customWidth="1"/>
    <col min="6181" max="6181" width="2" style="655" customWidth="1"/>
    <col min="6182" max="6183" width="9.109375" style="655"/>
    <col min="6184" max="6184" width="11" style="655" customWidth="1"/>
    <col min="6185" max="6185" width="9.109375" style="655"/>
    <col min="6186" max="6186" width="2.21875" style="655" customWidth="1"/>
    <col min="6187" max="6187" width="11" style="655" customWidth="1"/>
    <col min="6188" max="6188" width="9.109375" style="655"/>
    <col min="6189" max="6189" width="11.5546875" style="655" customWidth="1"/>
    <col min="6190" max="6190" width="11.21875" style="655" customWidth="1"/>
    <col min="6191" max="6191" width="2.88671875" style="655" customWidth="1"/>
    <col min="6192" max="6193" width="9.109375" style="655"/>
    <col min="6194" max="6194" width="11.21875" style="655" customWidth="1"/>
    <col min="6195" max="6195" width="2.21875" style="655" customWidth="1"/>
    <col min="6196" max="6196" width="9.109375" style="655"/>
    <col min="6197" max="6197" width="10.44140625" style="655" customWidth="1"/>
    <col min="6198" max="6198" width="9.109375" style="655"/>
    <col min="6199" max="6199" width="11.109375" style="655" customWidth="1"/>
    <col min="6200" max="6201" width="9.109375" style="655"/>
    <col min="6202" max="6202" width="10.88671875" style="655" customWidth="1"/>
    <col min="6203" max="6204" width="9.109375" style="655"/>
    <col min="6205" max="6205" width="1.5546875" style="655" customWidth="1"/>
    <col min="6206" max="6206" width="9.77734375" style="655" customWidth="1"/>
    <col min="6207" max="6210" width="9.109375" style="655"/>
    <col min="6211" max="6211" width="1.88671875" style="655" customWidth="1"/>
    <col min="6212" max="6212" width="9.88671875" style="655" customWidth="1"/>
    <col min="6213" max="6213" width="1.5546875" style="655" customWidth="1"/>
    <col min="6214" max="6214" width="11.44140625" style="655" customWidth="1"/>
    <col min="6215" max="6215" width="2.21875" style="655" customWidth="1"/>
    <col min="6216" max="6216" width="12" style="655" customWidth="1"/>
    <col min="6217" max="6217" width="2" style="655" customWidth="1"/>
    <col min="6218" max="6218" width="9.109375" style="655"/>
    <col min="6219" max="6219" width="11.109375" style="655" customWidth="1"/>
    <col min="6220" max="6220" width="12" style="655" customWidth="1"/>
    <col min="6221" max="6221" width="9.109375" style="655"/>
    <col min="6222" max="6222" width="11.88671875" style="655" customWidth="1"/>
    <col min="6223" max="6223" width="14.21875" style="655" customWidth="1"/>
    <col min="6224" max="6227" width="9.109375" style="655"/>
    <col min="6228" max="6228" width="3.44140625" style="655" customWidth="1"/>
    <col min="6229" max="6230" width="9.109375" style="655"/>
    <col min="6231" max="6231" width="11.44140625" style="655" customWidth="1"/>
    <col min="6232" max="6232" width="2.77734375" style="655" customWidth="1"/>
    <col min="6233" max="6415" width="9.109375" style="655"/>
    <col min="6416" max="6416" width="9.5546875" style="655" customWidth="1"/>
    <col min="6417" max="6417" width="11" style="655" customWidth="1"/>
    <col min="6418" max="6419" width="11.21875" style="655" customWidth="1"/>
    <col min="6420" max="6420" width="11.5546875" style="655" customWidth="1"/>
    <col min="6421" max="6421" width="11.109375" style="655" customWidth="1"/>
    <col min="6422" max="6422" width="2" style="655" customWidth="1"/>
    <col min="6423" max="6423" width="13.5546875" style="655" customWidth="1"/>
    <col min="6424" max="6424" width="12.44140625" style="655" customWidth="1"/>
    <col min="6425" max="6425" width="13.5546875" style="655" customWidth="1"/>
    <col min="6426" max="6426" width="2.109375" style="655" customWidth="1"/>
    <col min="6427" max="6427" width="9.109375" style="655"/>
    <col min="6428" max="6428" width="10.21875" style="655" customWidth="1"/>
    <col min="6429" max="6429" width="1.88671875" style="655" customWidth="1"/>
    <col min="6430" max="6430" width="10.77734375" style="655" customWidth="1"/>
    <col min="6431" max="6431" width="9.109375" style="655"/>
    <col min="6432" max="6432" width="2.109375" style="655" customWidth="1"/>
    <col min="6433" max="6433" width="9.109375" style="655"/>
    <col min="6434" max="6434" width="11.21875" style="655" customWidth="1"/>
    <col min="6435" max="6435" width="12.77734375" style="655" customWidth="1"/>
    <col min="6436" max="6436" width="12.5546875" style="655" customWidth="1"/>
    <col min="6437" max="6437" width="2" style="655" customWidth="1"/>
    <col min="6438" max="6439" width="9.109375" style="655"/>
    <col min="6440" max="6440" width="11" style="655" customWidth="1"/>
    <col min="6441" max="6441" width="9.109375" style="655"/>
    <col min="6442" max="6442" width="2.21875" style="655" customWidth="1"/>
    <col min="6443" max="6443" width="11" style="655" customWidth="1"/>
    <col min="6444" max="6444" width="9.109375" style="655"/>
    <col min="6445" max="6445" width="11.5546875" style="655" customWidth="1"/>
    <col min="6446" max="6446" width="11.21875" style="655" customWidth="1"/>
    <col min="6447" max="6447" width="2.88671875" style="655" customWidth="1"/>
    <col min="6448" max="6449" width="9.109375" style="655"/>
    <col min="6450" max="6450" width="11.21875" style="655" customWidth="1"/>
    <col min="6451" max="6451" width="2.21875" style="655" customWidth="1"/>
    <col min="6452" max="6452" width="9.109375" style="655"/>
    <col min="6453" max="6453" width="10.44140625" style="655" customWidth="1"/>
    <col min="6454" max="6454" width="9.109375" style="655"/>
    <col min="6455" max="6455" width="11.109375" style="655" customWidth="1"/>
    <col min="6456" max="6457" width="9.109375" style="655"/>
    <col min="6458" max="6458" width="10.88671875" style="655" customWidth="1"/>
    <col min="6459" max="6460" width="9.109375" style="655"/>
    <col min="6461" max="6461" width="1.5546875" style="655" customWidth="1"/>
    <col min="6462" max="6462" width="9.77734375" style="655" customWidth="1"/>
    <col min="6463" max="6466" width="9.109375" style="655"/>
    <col min="6467" max="6467" width="1.88671875" style="655" customWidth="1"/>
    <col min="6468" max="6468" width="9.88671875" style="655" customWidth="1"/>
    <col min="6469" max="6469" width="1.5546875" style="655" customWidth="1"/>
    <col min="6470" max="6470" width="11.44140625" style="655" customWidth="1"/>
    <col min="6471" max="6471" width="2.21875" style="655" customWidth="1"/>
    <col min="6472" max="6472" width="12" style="655" customWidth="1"/>
    <col min="6473" max="6473" width="2" style="655" customWidth="1"/>
    <col min="6474" max="6474" width="9.109375" style="655"/>
    <col min="6475" max="6475" width="11.109375" style="655" customWidth="1"/>
    <col min="6476" max="6476" width="12" style="655" customWidth="1"/>
    <col min="6477" max="6477" width="9.109375" style="655"/>
    <col min="6478" max="6478" width="11.88671875" style="655" customWidth="1"/>
    <col min="6479" max="6479" width="14.21875" style="655" customWidth="1"/>
    <col min="6480" max="6483" width="9.109375" style="655"/>
    <col min="6484" max="6484" width="3.44140625" style="655" customWidth="1"/>
    <col min="6485" max="6486" width="9.109375" style="655"/>
    <col min="6487" max="6487" width="11.44140625" style="655" customWidth="1"/>
    <col min="6488" max="6488" width="2.77734375" style="655" customWidth="1"/>
    <col min="6489" max="6671" width="9.109375" style="655"/>
    <col min="6672" max="6672" width="9.5546875" style="655" customWidth="1"/>
    <col min="6673" max="6673" width="11" style="655" customWidth="1"/>
    <col min="6674" max="6675" width="11.21875" style="655" customWidth="1"/>
    <col min="6676" max="6676" width="11.5546875" style="655" customWidth="1"/>
    <col min="6677" max="6677" width="11.109375" style="655" customWidth="1"/>
    <col min="6678" max="6678" width="2" style="655" customWidth="1"/>
    <col min="6679" max="6679" width="13.5546875" style="655" customWidth="1"/>
    <col min="6680" max="6680" width="12.44140625" style="655" customWidth="1"/>
    <col min="6681" max="6681" width="13.5546875" style="655" customWidth="1"/>
    <col min="6682" max="6682" width="2.109375" style="655" customWidth="1"/>
    <col min="6683" max="6683" width="9.109375" style="655"/>
    <col min="6684" max="6684" width="10.21875" style="655" customWidth="1"/>
    <col min="6685" max="6685" width="1.88671875" style="655" customWidth="1"/>
    <col min="6686" max="6686" width="10.77734375" style="655" customWidth="1"/>
    <col min="6687" max="6687" width="9.109375" style="655"/>
    <col min="6688" max="6688" width="2.109375" style="655" customWidth="1"/>
    <col min="6689" max="6689" width="9.109375" style="655"/>
    <col min="6690" max="6690" width="11.21875" style="655" customWidth="1"/>
    <col min="6691" max="6691" width="12.77734375" style="655" customWidth="1"/>
    <col min="6692" max="6692" width="12.5546875" style="655" customWidth="1"/>
    <col min="6693" max="6693" width="2" style="655" customWidth="1"/>
    <col min="6694" max="6695" width="9.109375" style="655"/>
    <col min="6696" max="6696" width="11" style="655" customWidth="1"/>
    <col min="6697" max="6697" width="9.109375" style="655"/>
    <col min="6698" max="6698" width="2.21875" style="655" customWidth="1"/>
    <col min="6699" max="6699" width="11" style="655" customWidth="1"/>
    <col min="6700" max="6700" width="9.109375" style="655"/>
    <col min="6701" max="6701" width="11.5546875" style="655" customWidth="1"/>
    <col min="6702" max="6702" width="11.21875" style="655" customWidth="1"/>
    <col min="6703" max="6703" width="2.88671875" style="655" customWidth="1"/>
    <col min="6704" max="6705" width="9.109375" style="655"/>
    <col min="6706" max="6706" width="11.21875" style="655" customWidth="1"/>
    <col min="6707" max="6707" width="2.21875" style="655" customWidth="1"/>
    <col min="6708" max="6708" width="9.109375" style="655"/>
    <col min="6709" max="6709" width="10.44140625" style="655" customWidth="1"/>
    <col min="6710" max="6710" width="9.109375" style="655"/>
    <col min="6711" max="6711" width="11.109375" style="655" customWidth="1"/>
    <col min="6712" max="6713" width="9.109375" style="655"/>
    <col min="6714" max="6714" width="10.88671875" style="655" customWidth="1"/>
    <col min="6715" max="6716" width="9.109375" style="655"/>
    <col min="6717" max="6717" width="1.5546875" style="655" customWidth="1"/>
    <col min="6718" max="6718" width="9.77734375" style="655" customWidth="1"/>
    <col min="6719" max="6722" width="9.109375" style="655"/>
    <col min="6723" max="6723" width="1.88671875" style="655" customWidth="1"/>
    <col min="6724" max="6724" width="9.88671875" style="655" customWidth="1"/>
    <col min="6725" max="6725" width="1.5546875" style="655" customWidth="1"/>
    <col min="6726" max="6726" width="11.44140625" style="655" customWidth="1"/>
    <col min="6727" max="6727" width="2.21875" style="655" customWidth="1"/>
    <col min="6728" max="6728" width="12" style="655" customWidth="1"/>
    <col min="6729" max="6729" width="2" style="655" customWidth="1"/>
    <col min="6730" max="6730" width="9.109375" style="655"/>
    <col min="6731" max="6731" width="11.109375" style="655" customWidth="1"/>
    <col min="6732" max="6732" width="12" style="655" customWidth="1"/>
    <col min="6733" max="6733" width="9.109375" style="655"/>
    <col min="6734" max="6734" width="11.88671875" style="655" customWidth="1"/>
    <col min="6735" max="6735" width="14.21875" style="655" customWidth="1"/>
    <col min="6736" max="6739" width="9.109375" style="655"/>
    <col min="6740" max="6740" width="3.44140625" style="655" customWidth="1"/>
    <col min="6741" max="6742" width="9.109375" style="655"/>
    <col min="6743" max="6743" width="11.44140625" style="655" customWidth="1"/>
    <col min="6744" max="6744" width="2.77734375" style="655" customWidth="1"/>
    <col min="6745" max="6927" width="9.109375" style="655"/>
    <col min="6928" max="6928" width="9.5546875" style="655" customWidth="1"/>
    <col min="6929" max="6929" width="11" style="655" customWidth="1"/>
    <col min="6930" max="6931" width="11.21875" style="655" customWidth="1"/>
    <col min="6932" max="6932" width="11.5546875" style="655" customWidth="1"/>
    <col min="6933" max="6933" width="11.109375" style="655" customWidth="1"/>
    <col min="6934" max="6934" width="2" style="655" customWidth="1"/>
    <col min="6935" max="6935" width="13.5546875" style="655" customWidth="1"/>
    <col min="6936" max="6936" width="12.44140625" style="655" customWidth="1"/>
    <col min="6937" max="6937" width="13.5546875" style="655" customWidth="1"/>
    <col min="6938" max="6938" width="2.109375" style="655" customWidth="1"/>
    <col min="6939" max="6939" width="9.109375" style="655"/>
    <col min="6940" max="6940" width="10.21875" style="655" customWidth="1"/>
    <col min="6941" max="6941" width="1.88671875" style="655" customWidth="1"/>
    <col min="6942" max="6942" width="10.77734375" style="655" customWidth="1"/>
    <col min="6943" max="6943" width="9.109375" style="655"/>
    <col min="6944" max="6944" width="2.109375" style="655" customWidth="1"/>
    <col min="6945" max="6945" width="9.109375" style="655"/>
    <col min="6946" max="6946" width="11.21875" style="655" customWidth="1"/>
    <col min="6947" max="6947" width="12.77734375" style="655" customWidth="1"/>
    <col min="6948" max="6948" width="12.5546875" style="655" customWidth="1"/>
    <col min="6949" max="6949" width="2" style="655" customWidth="1"/>
    <col min="6950" max="6951" width="9.109375" style="655"/>
    <col min="6952" max="6952" width="11" style="655" customWidth="1"/>
    <col min="6953" max="6953" width="9.109375" style="655"/>
    <col min="6954" max="6954" width="2.21875" style="655" customWidth="1"/>
    <col min="6955" max="6955" width="11" style="655" customWidth="1"/>
    <col min="6956" max="6956" width="9.109375" style="655"/>
    <col min="6957" max="6957" width="11.5546875" style="655" customWidth="1"/>
    <col min="6958" max="6958" width="11.21875" style="655" customWidth="1"/>
    <col min="6959" max="6959" width="2.88671875" style="655" customWidth="1"/>
    <col min="6960" max="6961" width="9.109375" style="655"/>
    <col min="6962" max="6962" width="11.21875" style="655" customWidth="1"/>
    <col min="6963" max="6963" width="2.21875" style="655" customWidth="1"/>
    <col min="6964" max="6964" width="9.109375" style="655"/>
    <col min="6965" max="6965" width="10.44140625" style="655" customWidth="1"/>
    <col min="6966" max="6966" width="9.109375" style="655"/>
    <col min="6967" max="6967" width="11.109375" style="655" customWidth="1"/>
    <col min="6968" max="6969" width="9.109375" style="655"/>
    <col min="6970" max="6970" width="10.88671875" style="655" customWidth="1"/>
    <col min="6971" max="6972" width="9.109375" style="655"/>
    <col min="6973" max="6973" width="1.5546875" style="655" customWidth="1"/>
    <col min="6974" max="6974" width="9.77734375" style="655" customWidth="1"/>
    <col min="6975" max="6978" width="9.109375" style="655"/>
    <col min="6979" max="6979" width="1.88671875" style="655" customWidth="1"/>
    <col min="6980" max="6980" width="9.88671875" style="655" customWidth="1"/>
    <col min="6981" max="6981" width="1.5546875" style="655" customWidth="1"/>
    <col min="6982" max="6982" width="11.44140625" style="655" customWidth="1"/>
    <col min="6983" max="6983" width="2.21875" style="655" customWidth="1"/>
    <col min="6984" max="6984" width="12" style="655" customWidth="1"/>
    <col min="6985" max="6985" width="2" style="655" customWidth="1"/>
    <col min="6986" max="6986" width="9.109375" style="655"/>
    <col min="6987" max="6987" width="11.109375" style="655" customWidth="1"/>
    <col min="6988" max="6988" width="12" style="655" customWidth="1"/>
    <col min="6989" max="6989" width="9.109375" style="655"/>
    <col min="6990" max="6990" width="11.88671875" style="655" customWidth="1"/>
    <col min="6991" max="6991" width="14.21875" style="655" customWidth="1"/>
    <col min="6992" max="6995" width="9.109375" style="655"/>
    <col min="6996" max="6996" width="3.44140625" style="655" customWidth="1"/>
    <col min="6997" max="6998" width="9.109375" style="655"/>
    <col min="6999" max="6999" width="11.44140625" style="655" customWidth="1"/>
    <col min="7000" max="7000" width="2.77734375" style="655" customWidth="1"/>
    <col min="7001" max="7183" width="9.109375" style="655"/>
    <col min="7184" max="7184" width="9.5546875" style="655" customWidth="1"/>
    <col min="7185" max="7185" width="11" style="655" customWidth="1"/>
    <col min="7186" max="7187" width="11.21875" style="655" customWidth="1"/>
    <col min="7188" max="7188" width="11.5546875" style="655" customWidth="1"/>
    <col min="7189" max="7189" width="11.109375" style="655" customWidth="1"/>
    <col min="7190" max="7190" width="2" style="655" customWidth="1"/>
    <col min="7191" max="7191" width="13.5546875" style="655" customWidth="1"/>
    <col min="7192" max="7192" width="12.44140625" style="655" customWidth="1"/>
    <col min="7193" max="7193" width="13.5546875" style="655" customWidth="1"/>
    <col min="7194" max="7194" width="2.109375" style="655" customWidth="1"/>
    <col min="7195" max="7195" width="9.109375" style="655"/>
    <col min="7196" max="7196" width="10.21875" style="655" customWidth="1"/>
    <col min="7197" max="7197" width="1.88671875" style="655" customWidth="1"/>
    <col min="7198" max="7198" width="10.77734375" style="655" customWidth="1"/>
    <col min="7199" max="7199" width="9.109375" style="655"/>
    <col min="7200" max="7200" width="2.109375" style="655" customWidth="1"/>
    <col min="7201" max="7201" width="9.109375" style="655"/>
    <col min="7202" max="7202" width="11.21875" style="655" customWidth="1"/>
    <col min="7203" max="7203" width="12.77734375" style="655" customWidth="1"/>
    <col min="7204" max="7204" width="12.5546875" style="655" customWidth="1"/>
    <col min="7205" max="7205" width="2" style="655" customWidth="1"/>
    <col min="7206" max="7207" width="9.109375" style="655"/>
    <col min="7208" max="7208" width="11" style="655" customWidth="1"/>
    <col min="7209" max="7209" width="9.109375" style="655"/>
    <col min="7210" max="7210" width="2.21875" style="655" customWidth="1"/>
    <col min="7211" max="7211" width="11" style="655" customWidth="1"/>
    <col min="7212" max="7212" width="9.109375" style="655"/>
    <col min="7213" max="7213" width="11.5546875" style="655" customWidth="1"/>
    <col min="7214" max="7214" width="11.21875" style="655" customWidth="1"/>
    <col min="7215" max="7215" width="2.88671875" style="655" customWidth="1"/>
    <col min="7216" max="7217" width="9.109375" style="655"/>
    <col min="7218" max="7218" width="11.21875" style="655" customWidth="1"/>
    <col min="7219" max="7219" width="2.21875" style="655" customWidth="1"/>
    <col min="7220" max="7220" width="9.109375" style="655"/>
    <col min="7221" max="7221" width="10.44140625" style="655" customWidth="1"/>
    <col min="7222" max="7222" width="9.109375" style="655"/>
    <col min="7223" max="7223" width="11.109375" style="655" customWidth="1"/>
    <col min="7224" max="7225" width="9.109375" style="655"/>
    <col min="7226" max="7226" width="10.88671875" style="655" customWidth="1"/>
    <col min="7227" max="7228" width="9.109375" style="655"/>
    <col min="7229" max="7229" width="1.5546875" style="655" customWidth="1"/>
    <col min="7230" max="7230" width="9.77734375" style="655" customWidth="1"/>
    <col min="7231" max="7234" width="9.109375" style="655"/>
    <col min="7235" max="7235" width="1.88671875" style="655" customWidth="1"/>
    <col min="7236" max="7236" width="9.88671875" style="655" customWidth="1"/>
    <col min="7237" max="7237" width="1.5546875" style="655" customWidth="1"/>
    <col min="7238" max="7238" width="11.44140625" style="655" customWidth="1"/>
    <col min="7239" max="7239" width="2.21875" style="655" customWidth="1"/>
    <col min="7240" max="7240" width="12" style="655" customWidth="1"/>
    <col min="7241" max="7241" width="2" style="655" customWidth="1"/>
    <col min="7242" max="7242" width="9.109375" style="655"/>
    <col min="7243" max="7243" width="11.109375" style="655" customWidth="1"/>
    <col min="7244" max="7244" width="12" style="655" customWidth="1"/>
    <col min="7245" max="7245" width="9.109375" style="655"/>
    <col min="7246" max="7246" width="11.88671875" style="655" customWidth="1"/>
    <col min="7247" max="7247" width="14.21875" style="655" customWidth="1"/>
    <col min="7248" max="7251" width="9.109375" style="655"/>
    <col min="7252" max="7252" width="3.44140625" style="655" customWidth="1"/>
    <col min="7253" max="7254" width="9.109375" style="655"/>
    <col min="7255" max="7255" width="11.44140625" style="655" customWidth="1"/>
    <col min="7256" max="7256" width="2.77734375" style="655" customWidth="1"/>
    <col min="7257" max="7439" width="9.109375" style="655"/>
    <col min="7440" max="7440" width="9.5546875" style="655" customWidth="1"/>
    <col min="7441" max="7441" width="11" style="655" customWidth="1"/>
    <col min="7442" max="7443" width="11.21875" style="655" customWidth="1"/>
    <col min="7444" max="7444" width="11.5546875" style="655" customWidth="1"/>
    <col min="7445" max="7445" width="11.109375" style="655" customWidth="1"/>
    <col min="7446" max="7446" width="2" style="655" customWidth="1"/>
    <col min="7447" max="7447" width="13.5546875" style="655" customWidth="1"/>
    <col min="7448" max="7448" width="12.44140625" style="655" customWidth="1"/>
    <col min="7449" max="7449" width="13.5546875" style="655" customWidth="1"/>
    <col min="7450" max="7450" width="2.109375" style="655" customWidth="1"/>
    <col min="7451" max="7451" width="9.109375" style="655"/>
    <col min="7452" max="7452" width="10.21875" style="655" customWidth="1"/>
    <col min="7453" max="7453" width="1.88671875" style="655" customWidth="1"/>
    <col min="7454" max="7454" width="10.77734375" style="655" customWidth="1"/>
    <col min="7455" max="7455" width="9.109375" style="655"/>
    <col min="7456" max="7456" width="2.109375" style="655" customWidth="1"/>
    <col min="7457" max="7457" width="9.109375" style="655"/>
    <col min="7458" max="7458" width="11.21875" style="655" customWidth="1"/>
    <col min="7459" max="7459" width="12.77734375" style="655" customWidth="1"/>
    <col min="7460" max="7460" width="12.5546875" style="655" customWidth="1"/>
    <col min="7461" max="7461" width="2" style="655" customWidth="1"/>
    <col min="7462" max="7463" width="9.109375" style="655"/>
    <col min="7464" max="7464" width="11" style="655" customWidth="1"/>
    <col min="7465" max="7465" width="9.109375" style="655"/>
    <col min="7466" max="7466" width="2.21875" style="655" customWidth="1"/>
    <col min="7467" max="7467" width="11" style="655" customWidth="1"/>
    <col min="7468" max="7468" width="9.109375" style="655"/>
    <col min="7469" max="7469" width="11.5546875" style="655" customWidth="1"/>
    <col min="7470" max="7470" width="11.21875" style="655" customWidth="1"/>
    <col min="7471" max="7471" width="2.88671875" style="655" customWidth="1"/>
    <col min="7472" max="7473" width="9.109375" style="655"/>
    <col min="7474" max="7474" width="11.21875" style="655" customWidth="1"/>
    <col min="7475" max="7475" width="2.21875" style="655" customWidth="1"/>
    <col min="7476" max="7476" width="9.109375" style="655"/>
    <col min="7477" max="7477" width="10.44140625" style="655" customWidth="1"/>
    <col min="7478" max="7478" width="9.109375" style="655"/>
    <col min="7479" max="7479" width="11.109375" style="655" customWidth="1"/>
    <col min="7480" max="7481" width="9.109375" style="655"/>
    <col min="7482" max="7482" width="10.88671875" style="655" customWidth="1"/>
    <col min="7483" max="7484" width="9.109375" style="655"/>
    <col min="7485" max="7485" width="1.5546875" style="655" customWidth="1"/>
    <col min="7486" max="7486" width="9.77734375" style="655" customWidth="1"/>
    <col min="7487" max="7490" width="9.109375" style="655"/>
    <col min="7491" max="7491" width="1.88671875" style="655" customWidth="1"/>
    <col min="7492" max="7492" width="9.88671875" style="655" customWidth="1"/>
    <col min="7493" max="7493" width="1.5546875" style="655" customWidth="1"/>
    <col min="7494" max="7494" width="11.44140625" style="655" customWidth="1"/>
    <col min="7495" max="7495" width="2.21875" style="655" customWidth="1"/>
    <col min="7496" max="7496" width="12" style="655" customWidth="1"/>
    <col min="7497" max="7497" width="2" style="655" customWidth="1"/>
    <col min="7498" max="7498" width="9.109375" style="655"/>
    <col min="7499" max="7499" width="11.109375" style="655" customWidth="1"/>
    <col min="7500" max="7500" width="12" style="655" customWidth="1"/>
    <col min="7501" max="7501" width="9.109375" style="655"/>
    <col min="7502" max="7502" width="11.88671875" style="655" customWidth="1"/>
    <col min="7503" max="7503" width="14.21875" style="655" customWidth="1"/>
    <col min="7504" max="7507" width="9.109375" style="655"/>
    <col min="7508" max="7508" width="3.44140625" style="655" customWidth="1"/>
    <col min="7509" max="7510" width="9.109375" style="655"/>
    <col min="7511" max="7511" width="11.44140625" style="655" customWidth="1"/>
    <col min="7512" max="7512" width="2.77734375" style="655" customWidth="1"/>
    <col min="7513" max="7695" width="9.109375" style="655"/>
    <col min="7696" max="7696" width="9.5546875" style="655" customWidth="1"/>
    <col min="7697" max="7697" width="11" style="655" customWidth="1"/>
    <col min="7698" max="7699" width="11.21875" style="655" customWidth="1"/>
    <col min="7700" max="7700" width="11.5546875" style="655" customWidth="1"/>
    <col min="7701" max="7701" width="11.109375" style="655" customWidth="1"/>
    <col min="7702" max="7702" width="2" style="655" customWidth="1"/>
    <col min="7703" max="7703" width="13.5546875" style="655" customWidth="1"/>
    <col min="7704" max="7704" width="12.44140625" style="655" customWidth="1"/>
    <col min="7705" max="7705" width="13.5546875" style="655" customWidth="1"/>
    <col min="7706" max="7706" width="2.109375" style="655" customWidth="1"/>
    <col min="7707" max="7707" width="9.109375" style="655"/>
    <col min="7708" max="7708" width="10.21875" style="655" customWidth="1"/>
    <col min="7709" max="7709" width="1.88671875" style="655" customWidth="1"/>
    <col min="7710" max="7710" width="10.77734375" style="655" customWidth="1"/>
    <col min="7711" max="7711" width="9.109375" style="655"/>
    <col min="7712" max="7712" width="2.109375" style="655" customWidth="1"/>
    <col min="7713" max="7713" width="9.109375" style="655"/>
    <col min="7714" max="7714" width="11.21875" style="655" customWidth="1"/>
    <col min="7715" max="7715" width="12.77734375" style="655" customWidth="1"/>
    <col min="7716" max="7716" width="12.5546875" style="655" customWidth="1"/>
    <col min="7717" max="7717" width="2" style="655" customWidth="1"/>
    <col min="7718" max="7719" width="9.109375" style="655"/>
    <col min="7720" max="7720" width="11" style="655" customWidth="1"/>
    <col min="7721" max="7721" width="9.109375" style="655"/>
    <col min="7722" max="7722" width="2.21875" style="655" customWidth="1"/>
    <col min="7723" max="7723" width="11" style="655" customWidth="1"/>
    <col min="7724" max="7724" width="9.109375" style="655"/>
    <col min="7725" max="7725" width="11.5546875" style="655" customWidth="1"/>
    <col min="7726" max="7726" width="11.21875" style="655" customWidth="1"/>
    <col min="7727" max="7727" width="2.88671875" style="655" customWidth="1"/>
    <col min="7728" max="7729" width="9.109375" style="655"/>
    <col min="7730" max="7730" width="11.21875" style="655" customWidth="1"/>
    <col min="7731" max="7731" width="2.21875" style="655" customWidth="1"/>
    <col min="7732" max="7732" width="9.109375" style="655"/>
    <col min="7733" max="7733" width="10.44140625" style="655" customWidth="1"/>
    <col min="7734" max="7734" width="9.109375" style="655"/>
    <col min="7735" max="7735" width="11.109375" style="655" customWidth="1"/>
    <col min="7736" max="7737" width="9.109375" style="655"/>
    <col min="7738" max="7738" width="10.88671875" style="655" customWidth="1"/>
    <col min="7739" max="7740" width="9.109375" style="655"/>
    <col min="7741" max="7741" width="1.5546875" style="655" customWidth="1"/>
    <col min="7742" max="7742" width="9.77734375" style="655" customWidth="1"/>
    <col min="7743" max="7746" width="9.109375" style="655"/>
    <col min="7747" max="7747" width="1.88671875" style="655" customWidth="1"/>
    <col min="7748" max="7748" width="9.88671875" style="655" customWidth="1"/>
    <col min="7749" max="7749" width="1.5546875" style="655" customWidth="1"/>
    <col min="7750" max="7750" width="11.44140625" style="655" customWidth="1"/>
    <col min="7751" max="7751" width="2.21875" style="655" customWidth="1"/>
    <col min="7752" max="7752" width="12" style="655" customWidth="1"/>
    <col min="7753" max="7753" width="2" style="655" customWidth="1"/>
    <col min="7754" max="7754" width="9.109375" style="655"/>
    <col min="7755" max="7755" width="11.109375" style="655" customWidth="1"/>
    <col min="7756" max="7756" width="12" style="655" customWidth="1"/>
    <col min="7757" max="7757" width="9.109375" style="655"/>
    <col min="7758" max="7758" width="11.88671875" style="655" customWidth="1"/>
    <col min="7759" max="7759" width="14.21875" style="655" customWidth="1"/>
    <col min="7760" max="7763" width="9.109375" style="655"/>
    <col min="7764" max="7764" width="3.44140625" style="655" customWidth="1"/>
    <col min="7765" max="7766" width="9.109375" style="655"/>
    <col min="7767" max="7767" width="11.44140625" style="655" customWidth="1"/>
    <col min="7768" max="7768" width="2.77734375" style="655" customWidth="1"/>
    <col min="7769" max="7951" width="9.109375" style="655"/>
    <col min="7952" max="7952" width="9.5546875" style="655" customWidth="1"/>
    <col min="7953" max="7953" width="11" style="655" customWidth="1"/>
    <col min="7954" max="7955" width="11.21875" style="655" customWidth="1"/>
    <col min="7956" max="7956" width="11.5546875" style="655" customWidth="1"/>
    <col min="7957" max="7957" width="11.109375" style="655" customWidth="1"/>
    <col min="7958" max="7958" width="2" style="655" customWidth="1"/>
    <col min="7959" max="7959" width="13.5546875" style="655" customWidth="1"/>
    <col min="7960" max="7960" width="12.44140625" style="655" customWidth="1"/>
    <col min="7961" max="7961" width="13.5546875" style="655" customWidth="1"/>
    <col min="7962" max="7962" width="2.109375" style="655" customWidth="1"/>
    <col min="7963" max="7963" width="9.109375" style="655"/>
    <col min="7964" max="7964" width="10.21875" style="655" customWidth="1"/>
    <col min="7965" max="7965" width="1.88671875" style="655" customWidth="1"/>
    <col min="7966" max="7966" width="10.77734375" style="655" customWidth="1"/>
    <col min="7967" max="7967" width="9.109375" style="655"/>
    <col min="7968" max="7968" width="2.109375" style="655" customWidth="1"/>
    <col min="7969" max="7969" width="9.109375" style="655"/>
    <col min="7970" max="7970" width="11.21875" style="655" customWidth="1"/>
    <col min="7971" max="7971" width="12.77734375" style="655" customWidth="1"/>
    <col min="7972" max="7972" width="12.5546875" style="655" customWidth="1"/>
    <col min="7973" max="7973" width="2" style="655" customWidth="1"/>
    <col min="7974" max="7975" width="9.109375" style="655"/>
    <col min="7976" max="7976" width="11" style="655" customWidth="1"/>
    <col min="7977" max="7977" width="9.109375" style="655"/>
    <col min="7978" max="7978" width="2.21875" style="655" customWidth="1"/>
    <col min="7979" max="7979" width="11" style="655" customWidth="1"/>
    <col min="7980" max="7980" width="9.109375" style="655"/>
    <col min="7981" max="7981" width="11.5546875" style="655" customWidth="1"/>
    <col min="7982" max="7982" width="11.21875" style="655" customWidth="1"/>
    <col min="7983" max="7983" width="2.88671875" style="655" customWidth="1"/>
    <col min="7984" max="7985" width="9.109375" style="655"/>
    <col min="7986" max="7986" width="11.21875" style="655" customWidth="1"/>
    <col min="7987" max="7987" width="2.21875" style="655" customWidth="1"/>
    <col min="7988" max="7988" width="9.109375" style="655"/>
    <col min="7989" max="7989" width="10.44140625" style="655" customWidth="1"/>
    <col min="7990" max="7990" width="9.109375" style="655"/>
    <col min="7991" max="7991" width="11.109375" style="655" customWidth="1"/>
    <col min="7992" max="7993" width="9.109375" style="655"/>
    <col min="7994" max="7994" width="10.88671875" style="655" customWidth="1"/>
    <col min="7995" max="7996" width="9.109375" style="655"/>
    <col min="7997" max="7997" width="1.5546875" style="655" customWidth="1"/>
    <col min="7998" max="7998" width="9.77734375" style="655" customWidth="1"/>
    <col min="7999" max="8002" width="9.109375" style="655"/>
    <col min="8003" max="8003" width="1.88671875" style="655" customWidth="1"/>
    <col min="8004" max="8004" width="9.88671875" style="655" customWidth="1"/>
    <col min="8005" max="8005" width="1.5546875" style="655" customWidth="1"/>
    <col min="8006" max="8006" width="11.44140625" style="655" customWidth="1"/>
    <col min="8007" max="8007" width="2.21875" style="655" customWidth="1"/>
    <col min="8008" max="8008" width="12" style="655" customWidth="1"/>
    <col min="8009" max="8009" width="2" style="655" customWidth="1"/>
    <col min="8010" max="8010" width="9.109375" style="655"/>
    <col min="8011" max="8011" width="11.109375" style="655" customWidth="1"/>
    <col min="8012" max="8012" width="12" style="655" customWidth="1"/>
    <col min="8013" max="8013" width="9.109375" style="655"/>
    <col min="8014" max="8014" width="11.88671875" style="655" customWidth="1"/>
    <col min="8015" max="8015" width="14.21875" style="655" customWidth="1"/>
    <col min="8016" max="8019" width="9.109375" style="655"/>
    <col min="8020" max="8020" width="3.44140625" style="655" customWidth="1"/>
    <col min="8021" max="8022" width="9.109375" style="655"/>
    <col min="8023" max="8023" width="11.44140625" style="655" customWidth="1"/>
    <col min="8024" max="8024" width="2.77734375" style="655" customWidth="1"/>
    <col min="8025" max="8207" width="9.109375" style="655"/>
    <col min="8208" max="8208" width="9.5546875" style="655" customWidth="1"/>
    <col min="8209" max="8209" width="11" style="655" customWidth="1"/>
    <col min="8210" max="8211" width="11.21875" style="655" customWidth="1"/>
    <col min="8212" max="8212" width="11.5546875" style="655" customWidth="1"/>
    <col min="8213" max="8213" width="11.109375" style="655" customWidth="1"/>
    <col min="8214" max="8214" width="2" style="655" customWidth="1"/>
    <col min="8215" max="8215" width="13.5546875" style="655" customWidth="1"/>
    <col min="8216" max="8216" width="12.44140625" style="655" customWidth="1"/>
    <col min="8217" max="8217" width="13.5546875" style="655" customWidth="1"/>
    <col min="8218" max="8218" width="2.109375" style="655" customWidth="1"/>
    <col min="8219" max="8219" width="9.109375" style="655"/>
    <col min="8220" max="8220" width="10.21875" style="655" customWidth="1"/>
    <col min="8221" max="8221" width="1.88671875" style="655" customWidth="1"/>
    <col min="8222" max="8222" width="10.77734375" style="655" customWidth="1"/>
    <col min="8223" max="8223" width="9.109375" style="655"/>
    <col min="8224" max="8224" width="2.109375" style="655" customWidth="1"/>
    <col min="8225" max="8225" width="9.109375" style="655"/>
    <col min="8226" max="8226" width="11.21875" style="655" customWidth="1"/>
    <col min="8227" max="8227" width="12.77734375" style="655" customWidth="1"/>
    <col min="8228" max="8228" width="12.5546875" style="655" customWidth="1"/>
    <col min="8229" max="8229" width="2" style="655" customWidth="1"/>
    <col min="8230" max="8231" width="9.109375" style="655"/>
    <col min="8232" max="8232" width="11" style="655" customWidth="1"/>
    <col min="8233" max="8233" width="9.109375" style="655"/>
    <col min="8234" max="8234" width="2.21875" style="655" customWidth="1"/>
    <col min="8235" max="8235" width="11" style="655" customWidth="1"/>
    <col min="8236" max="8236" width="9.109375" style="655"/>
    <col min="8237" max="8237" width="11.5546875" style="655" customWidth="1"/>
    <col min="8238" max="8238" width="11.21875" style="655" customWidth="1"/>
    <col min="8239" max="8239" width="2.88671875" style="655" customWidth="1"/>
    <col min="8240" max="8241" width="9.109375" style="655"/>
    <col min="8242" max="8242" width="11.21875" style="655" customWidth="1"/>
    <col min="8243" max="8243" width="2.21875" style="655" customWidth="1"/>
    <col min="8244" max="8244" width="9.109375" style="655"/>
    <col min="8245" max="8245" width="10.44140625" style="655" customWidth="1"/>
    <col min="8246" max="8246" width="9.109375" style="655"/>
    <col min="8247" max="8247" width="11.109375" style="655" customWidth="1"/>
    <col min="8248" max="8249" width="9.109375" style="655"/>
    <col min="8250" max="8250" width="10.88671875" style="655" customWidth="1"/>
    <col min="8251" max="8252" width="9.109375" style="655"/>
    <col min="8253" max="8253" width="1.5546875" style="655" customWidth="1"/>
    <col min="8254" max="8254" width="9.77734375" style="655" customWidth="1"/>
    <col min="8255" max="8258" width="9.109375" style="655"/>
    <col min="8259" max="8259" width="1.88671875" style="655" customWidth="1"/>
    <col min="8260" max="8260" width="9.88671875" style="655" customWidth="1"/>
    <col min="8261" max="8261" width="1.5546875" style="655" customWidth="1"/>
    <col min="8262" max="8262" width="11.44140625" style="655" customWidth="1"/>
    <col min="8263" max="8263" width="2.21875" style="655" customWidth="1"/>
    <col min="8264" max="8264" width="12" style="655" customWidth="1"/>
    <col min="8265" max="8265" width="2" style="655" customWidth="1"/>
    <col min="8266" max="8266" width="9.109375" style="655"/>
    <col min="8267" max="8267" width="11.109375" style="655" customWidth="1"/>
    <col min="8268" max="8268" width="12" style="655" customWidth="1"/>
    <col min="8269" max="8269" width="9.109375" style="655"/>
    <col min="8270" max="8270" width="11.88671875" style="655" customWidth="1"/>
    <col min="8271" max="8271" width="14.21875" style="655" customWidth="1"/>
    <col min="8272" max="8275" width="9.109375" style="655"/>
    <col min="8276" max="8276" width="3.44140625" style="655" customWidth="1"/>
    <col min="8277" max="8278" width="9.109375" style="655"/>
    <col min="8279" max="8279" width="11.44140625" style="655" customWidth="1"/>
    <col min="8280" max="8280" width="2.77734375" style="655" customWidth="1"/>
    <col min="8281" max="8463" width="9.109375" style="655"/>
    <col min="8464" max="8464" width="9.5546875" style="655" customWidth="1"/>
    <col min="8465" max="8465" width="11" style="655" customWidth="1"/>
    <col min="8466" max="8467" width="11.21875" style="655" customWidth="1"/>
    <col min="8468" max="8468" width="11.5546875" style="655" customWidth="1"/>
    <col min="8469" max="8469" width="11.109375" style="655" customWidth="1"/>
    <col min="8470" max="8470" width="2" style="655" customWidth="1"/>
    <col min="8471" max="8471" width="13.5546875" style="655" customWidth="1"/>
    <col min="8472" max="8472" width="12.44140625" style="655" customWidth="1"/>
    <col min="8473" max="8473" width="13.5546875" style="655" customWidth="1"/>
    <col min="8474" max="8474" width="2.109375" style="655" customWidth="1"/>
    <col min="8475" max="8475" width="9.109375" style="655"/>
    <col min="8476" max="8476" width="10.21875" style="655" customWidth="1"/>
    <col min="8477" max="8477" width="1.88671875" style="655" customWidth="1"/>
    <col min="8478" max="8478" width="10.77734375" style="655" customWidth="1"/>
    <col min="8479" max="8479" width="9.109375" style="655"/>
    <col min="8480" max="8480" width="2.109375" style="655" customWidth="1"/>
    <col min="8481" max="8481" width="9.109375" style="655"/>
    <col min="8482" max="8482" width="11.21875" style="655" customWidth="1"/>
    <col min="8483" max="8483" width="12.77734375" style="655" customWidth="1"/>
    <col min="8484" max="8484" width="12.5546875" style="655" customWidth="1"/>
    <col min="8485" max="8485" width="2" style="655" customWidth="1"/>
    <col min="8486" max="8487" width="9.109375" style="655"/>
    <col min="8488" max="8488" width="11" style="655" customWidth="1"/>
    <col min="8489" max="8489" width="9.109375" style="655"/>
    <col min="8490" max="8490" width="2.21875" style="655" customWidth="1"/>
    <col min="8491" max="8491" width="11" style="655" customWidth="1"/>
    <col min="8492" max="8492" width="9.109375" style="655"/>
    <col min="8493" max="8493" width="11.5546875" style="655" customWidth="1"/>
    <col min="8494" max="8494" width="11.21875" style="655" customWidth="1"/>
    <col min="8495" max="8495" width="2.88671875" style="655" customWidth="1"/>
    <col min="8496" max="8497" width="9.109375" style="655"/>
    <col min="8498" max="8498" width="11.21875" style="655" customWidth="1"/>
    <col min="8499" max="8499" width="2.21875" style="655" customWidth="1"/>
    <col min="8500" max="8500" width="9.109375" style="655"/>
    <col min="8501" max="8501" width="10.44140625" style="655" customWidth="1"/>
    <col min="8502" max="8502" width="9.109375" style="655"/>
    <col min="8503" max="8503" width="11.109375" style="655" customWidth="1"/>
    <col min="8504" max="8505" width="9.109375" style="655"/>
    <col min="8506" max="8506" width="10.88671875" style="655" customWidth="1"/>
    <col min="8507" max="8508" width="9.109375" style="655"/>
    <col min="8509" max="8509" width="1.5546875" style="655" customWidth="1"/>
    <col min="8510" max="8510" width="9.77734375" style="655" customWidth="1"/>
    <col min="8511" max="8514" width="9.109375" style="655"/>
    <col min="8515" max="8515" width="1.88671875" style="655" customWidth="1"/>
    <col min="8516" max="8516" width="9.88671875" style="655" customWidth="1"/>
    <col min="8517" max="8517" width="1.5546875" style="655" customWidth="1"/>
    <col min="8518" max="8518" width="11.44140625" style="655" customWidth="1"/>
    <col min="8519" max="8519" width="2.21875" style="655" customWidth="1"/>
    <col min="8520" max="8520" width="12" style="655" customWidth="1"/>
    <col min="8521" max="8521" width="2" style="655" customWidth="1"/>
    <col min="8522" max="8522" width="9.109375" style="655"/>
    <col min="8523" max="8523" width="11.109375" style="655" customWidth="1"/>
    <col min="8524" max="8524" width="12" style="655" customWidth="1"/>
    <col min="8525" max="8525" width="9.109375" style="655"/>
    <col min="8526" max="8526" width="11.88671875" style="655" customWidth="1"/>
    <col min="8527" max="8527" width="14.21875" style="655" customWidth="1"/>
    <col min="8528" max="8531" width="9.109375" style="655"/>
    <col min="8532" max="8532" width="3.44140625" style="655" customWidth="1"/>
    <col min="8533" max="8534" width="9.109375" style="655"/>
    <col min="8535" max="8535" width="11.44140625" style="655" customWidth="1"/>
    <col min="8536" max="8536" width="2.77734375" style="655" customWidth="1"/>
    <col min="8537" max="8719" width="9.109375" style="655"/>
    <col min="8720" max="8720" width="9.5546875" style="655" customWidth="1"/>
    <col min="8721" max="8721" width="11" style="655" customWidth="1"/>
    <col min="8722" max="8723" width="11.21875" style="655" customWidth="1"/>
    <col min="8724" max="8724" width="11.5546875" style="655" customWidth="1"/>
    <col min="8725" max="8725" width="11.109375" style="655" customWidth="1"/>
    <col min="8726" max="8726" width="2" style="655" customWidth="1"/>
    <col min="8727" max="8727" width="13.5546875" style="655" customWidth="1"/>
    <col min="8728" max="8728" width="12.44140625" style="655" customWidth="1"/>
    <col min="8729" max="8729" width="13.5546875" style="655" customWidth="1"/>
    <col min="8730" max="8730" width="2.109375" style="655" customWidth="1"/>
    <col min="8731" max="8731" width="9.109375" style="655"/>
    <col min="8732" max="8732" width="10.21875" style="655" customWidth="1"/>
    <col min="8733" max="8733" width="1.88671875" style="655" customWidth="1"/>
    <col min="8734" max="8734" width="10.77734375" style="655" customWidth="1"/>
    <col min="8735" max="8735" width="9.109375" style="655"/>
    <col min="8736" max="8736" width="2.109375" style="655" customWidth="1"/>
    <col min="8737" max="8737" width="9.109375" style="655"/>
    <col min="8738" max="8738" width="11.21875" style="655" customWidth="1"/>
    <col min="8739" max="8739" width="12.77734375" style="655" customWidth="1"/>
    <col min="8740" max="8740" width="12.5546875" style="655" customWidth="1"/>
    <col min="8741" max="8741" width="2" style="655" customWidth="1"/>
    <col min="8742" max="8743" width="9.109375" style="655"/>
    <col min="8744" max="8744" width="11" style="655" customWidth="1"/>
    <col min="8745" max="8745" width="9.109375" style="655"/>
    <col min="8746" max="8746" width="2.21875" style="655" customWidth="1"/>
    <col min="8747" max="8747" width="11" style="655" customWidth="1"/>
    <col min="8748" max="8748" width="9.109375" style="655"/>
    <col min="8749" max="8749" width="11.5546875" style="655" customWidth="1"/>
    <col min="8750" max="8750" width="11.21875" style="655" customWidth="1"/>
    <col min="8751" max="8751" width="2.88671875" style="655" customWidth="1"/>
    <col min="8752" max="8753" width="9.109375" style="655"/>
    <col min="8754" max="8754" width="11.21875" style="655" customWidth="1"/>
    <col min="8755" max="8755" width="2.21875" style="655" customWidth="1"/>
    <col min="8756" max="8756" width="9.109375" style="655"/>
    <col min="8757" max="8757" width="10.44140625" style="655" customWidth="1"/>
    <col min="8758" max="8758" width="9.109375" style="655"/>
    <col min="8759" max="8759" width="11.109375" style="655" customWidth="1"/>
    <col min="8760" max="8761" width="9.109375" style="655"/>
    <col min="8762" max="8762" width="10.88671875" style="655" customWidth="1"/>
    <col min="8763" max="8764" width="9.109375" style="655"/>
    <col min="8765" max="8765" width="1.5546875" style="655" customWidth="1"/>
    <col min="8766" max="8766" width="9.77734375" style="655" customWidth="1"/>
    <col min="8767" max="8770" width="9.109375" style="655"/>
    <col min="8771" max="8771" width="1.88671875" style="655" customWidth="1"/>
    <col min="8772" max="8772" width="9.88671875" style="655" customWidth="1"/>
    <col min="8773" max="8773" width="1.5546875" style="655" customWidth="1"/>
    <col min="8774" max="8774" width="11.44140625" style="655" customWidth="1"/>
    <col min="8775" max="8775" width="2.21875" style="655" customWidth="1"/>
    <col min="8776" max="8776" width="12" style="655" customWidth="1"/>
    <col min="8777" max="8777" width="2" style="655" customWidth="1"/>
    <col min="8778" max="8778" width="9.109375" style="655"/>
    <col min="8779" max="8779" width="11.109375" style="655" customWidth="1"/>
    <col min="8780" max="8780" width="12" style="655" customWidth="1"/>
    <col min="8781" max="8781" width="9.109375" style="655"/>
    <col min="8782" max="8782" width="11.88671875" style="655" customWidth="1"/>
    <col min="8783" max="8783" width="14.21875" style="655" customWidth="1"/>
    <col min="8784" max="8787" width="9.109375" style="655"/>
    <col min="8788" max="8788" width="3.44140625" style="655" customWidth="1"/>
    <col min="8789" max="8790" width="9.109375" style="655"/>
    <col min="8791" max="8791" width="11.44140625" style="655" customWidth="1"/>
    <col min="8792" max="8792" width="2.77734375" style="655" customWidth="1"/>
    <col min="8793" max="8975" width="9.109375" style="655"/>
    <col min="8976" max="8976" width="9.5546875" style="655" customWidth="1"/>
    <col min="8977" max="8977" width="11" style="655" customWidth="1"/>
    <col min="8978" max="8979" width="11.21875" style="655" customWidth="1"/>
    <col min="8980" max="8980" width="11.5546875" style="655" customWidth="1"/>
    <col min="8981" max="8981" width="11.109375" style="655" customWidth="1"/>
    <col min="8982" max="8982" width="2" style="655" customWidth="1"/>
    <col min="8983" max="8983" width="13.5546875" style="655" customWidth="1"/>
    <col min="8984" max="8984" width="12.44140625" style="655" customWidth="1"/>
    <col min="8985" max="8985" width="13.5546875" style="655" customWidth="1"/>
    <col min="8986" max="8986" width="2.109375" style="655" customWidth="1"/>
    <col min="8987" max="8987" width="9.109375" style="655"/>
    <col min="8988" max="8988" width="10.21875" style="655" customWidth="1"/>
    <col min="8989" max="8989" width="1.88671875" style="655" customWidth="1"/>
    <col min="8990" max="8990" width="10.77734375" style="655" customWidth="1"/>
    <col min="8991" max="8991" width="9.109375" style="655"/>
    <col min="8992" max="8992" width="2.109375" style="655" customWidth="1"/>
    <col min="8993" max="8993" width="9.109375" style="655"/>
    <col min="8994" max="8994" width="11.21875" style="655" customWidth="1"/>
    <col min="8995" max="8995" width="12.77734375" style="655" customWidth="1"/>
    <col min="8996" max="8996" width="12.5546875" style="655" customWidth="1"/>
    <col min="8997" max="8997" width="2" style="655" customWidth="1"/>
    <col min="8998" max="8999" width="9.109375" style="655"/>
    <col min="9000" max="9000" width="11" style="655" customWidth="1"/>
    <col min="9001" max="9001" width="9.109375" style="655"/>
    <col min="9002" max="9002" width="2.21875" style="655" customWidth="1"/>
    <col min="9003" max="9003" width="11" style="655" customWidth="1"/>
    <col min="9004" max="9004" width="9.109375" style="655"/>
    <col min="9005" max="9005" width="11.5546875" style="655" customWidth="1"/>
    <col min="9006" max="9006" width="11.21875" style="655" customWidth="1"/>
    <col min="9007" max="9007" width="2.88671875" style="655" customWidth="1"/>
    <col min="9008" max="9009" width="9.109375" style="655"/>
    <col min="9010" max="9010" width="11.21875" style="655" customWidth="1"/>
    <col min="9011" max="9011" width="2.21875" style="655" customWidth="1"/>
    <col min="9012" max="9012" width="9.109375" style="655"/>
    <col min="9013" max="9013" width="10.44140625" style="655" customWidth="1"/>
    <col min="9014" max="9014" width="9.109375" style="655"/>
    <col min="9015" max="9015" width="11.109375" style="655" customWidth="1"/>
    <col min="9016" max="9017" width="9.109375" style="655"/>
    <col min="9018" max="9018" width="10.88671875" style="655" customWidth="1"/>
    <col min="9019" max="9020" width="9.109375" style="655"/>
    <col min="9021" max="9021" width="1.5546875" style="655" customWidth="1"/>
    <col min="9022" max="9022" width="9.77734375" style="655" customWidth="1"/>
    <col min="9023" max="9026" width="9.109375" style="655"/>
    <col min="9027" max="9027" width="1.88671875" style="655" customWidth="1"/>
    <col min="9028" max="9028" width="9.88671875" style="655" customWidth="1"/>
    <col min="9029" max="9029" width="1.5546875" style="655" customWidth="1"/>
    <col min="9030" max="9030" width="11.44140625" style="655" customWidth="1"/>
    <col min="9031" max="9031" width="2.21875" style="655" customWidth="1"/>
    <col min="9032" max="9032" width="12" style="655" customWidth="1"/>
    <col min="9033" max="9033" width="2" style="655" customWidth="1"/>
    <col min="9034" max="9034" width="9.109375" style="655"/>
    <col min="9035" max="9035" width="11.109375" style="655" customWidth="1"/>
    <col min="9036" max="9036" width="12" style="655" customWidth="1"/>
    <col min="9037" max="9037" width="9.109375" style="655"/>
    <col min="9038" max="9038" width="11.88671875" style="655" customWidth="1"/>
    <col min="9039" max="9039" width="14.21875" style="655" customWidth="1"/>
    <col min="9040" max="9043" width="9.109375" style="655"/>
    <col min="9044" max="9044" width="3.44140625" style="655" customWidth="1"/>
    <col min="9045" max="9046" width="9.109375" style="655"/>
    <col min="9047" max="9047" width="11.44140625" style="655" customWidth="1"/>
    <col min="9048" max="9048" width="2.77734375" style="655" customWidth="1"/>
    <col min="9049" max="9231" width="9.109375" style="655"/>
    <col min="9232" max="9232" width="9.5546875" style="655" customWidth="1"/>
    <col min="9233" max="9233" width="11" style="655" customWidth="1"/>
    <col min="9234" max="9235" width="11.21875" style="655" customWidth="1"/>
    <col min="9236" max="9236" width="11.5546875" style="655" customWidth="1"/>
    <col min="9237" max="9237" width="11.109375" style="655" customWidth="1"/>
    <col min="9238" max="9238" width="2" style="655" customWidth="1"/>
    <col min="9239" max="9239" width="13.5546875" style="655" customWidth="1"/>
    <col min="9240" max="9240" width="12.44140625" style="655" customWidth="1"/>
    <col min="9241" max="9241" width="13.5546875" style="655" customWidth="1"/>
    <col min="9242" max="9242" width="2.109375" style="655" customWidth="1"/>
    <col min="9243" max="9243" width="9.109375" style="655"/>
    <col min="9244" max="9244" width="10.21875" style="655" customWidth="1"/>
    <col min="9245" max="9245" width="1.88671875" style="655" customWidth="1"/>
    <col min="9246" max="9246" width="10.77734375" style="655" customWidth="1"/>
    <col min="9247" max="9247" width="9.109375" style="655"/>
    <col min="9248" max="9248" width="2.109375" style="655" customWidth="1"/>
    <col min="9249" max="9249" width="9.109375" style="655"/>
    <col min="9250" max="9250" width="11.21875" style="655" customWidth="1"/>
    <col min="9251" max="9251" width="12.77734375" style="655" customWidth="1"/>
    <col min="9252" max="9252" width="12.5546875" style="655" customWidth="1"/>
    <col min="9253" max="9253" width="2" style="655" customWidth="1"/>
    <col min="9254" max="9255" width="9.109375" style="655"/>
    <col min="9256" max="9256" width="11" style="655" customWidth="1"/>
    <col min="9257" max="9257" width="9.109375" style="655"/>
    <col min="9258" max="9258" width="2.21875" style="655" customWidth="1"/>
    <col min="9259" max="9259" width="11" style="655" customWidth="1"/>
    <col min="9260" max="9260" width="9.109375" style="655"/>
    <col min="9261" max="9261" width="11.5546875" style="655" customWidth="1"/>
    <col min="9262" max="9262" width="11.21875" style="655" customWidth="1"/>
    <col min="9263" max="9263" width="2.88671875" style="655" customWidth="1"/>
    <col min="9264" max="9265" width="9.109375" style="655"/>
    <col min="9266" max="9266" width="11.21875" style="655" customWidth="1"/>
    <col min="9267" max="9267" width="2.21875" style="655" customWidth="1"/>
    <col min="9268" max="9268" width="9.109375" style="655"/>
    <col min="9269" max="9269" width="10.44140625" style="655" customWidth="1"/>
    <col min="9270" max="9270" width="9.109375" style="655"/>
    <col min="9271" max="9271" width="11.109375" style="655" customWidth="1"/>
    <col min="9272" max="9273" width="9.109375" style="655"/>
    <col min="9274" max="9274" width="10.88671875" style="655" customWidth="1"/>
    <col min="9275" max="9276" width="9.109375" style="655"/>
    <col min="9277" max="9277" width="1.5546875" style="655" customWidth="1"/>
    <col min="9278" max="9278" width="9.77734375" style="655" customWidth="1"/>
    <col min="9279" max="9282" width="9.109375" style="655"/>
    <col min="9283" max="9283" width="1.88671875" style="655" customWidth="1"/>
    <col min="9284" max="9284" width="9.88671875" style="655" customWidth="1"/>
    <col min="9285" max="9285" width="1.5546875" style="655" customWidth="1"/>
    <col min="9286" max="9286" width="11.44140625" style="655" customWidth="1"/>
    <col min="9287" max="9287" width="2.21875" style="655" customWidth="1"/>
    <col min="9288" max="9288" width="12" style="655" customWidth="1"/>
    <col min="9289" max="9289" width="2" style="655" customWidth="1"/>
    <col min="9290" max="9290" width="9.109375" style="655"/>
    <col min="9291" max="9291" width="11.109375" style="655" customWidth="1"/>
    <col min="9292" max="9292" width="12" style="655" customWidth="1"/>
    <col min="9293" max="9293" width="9.109375" style="655"/>
    <col min="9294" max="9294" width="11.88671875" style="655" customWidth="1"/>
    <col min="9295" max="9295" width="14.21875" style="655" customWidth="1"/>
    <col min="9296" max="9299" width="9.109375" style="655"/>
    <col min="9300" max="9300" width="3.44140625" style="655" customWidth="1"/>
    <col min="9301" max="9302" width="9.109375" style="655"/>
    <col min="9303" max="9303" width="11.44140625" style="655" customWidth="1"/>
    <col min="9304" max="9304" width="2.77734375" style="655" customWidth="1"/>
    <col min="9305" max="9487" width="9.109375" style="655"/>
    <col min="9488" max="9488" width="9.5546875" style="655" customWidth="1"/>
    <col min="9489" max="9489" width="11" style="655" customWidth="1"/>
    <col min="9490" max="9491" width="11.21875" style="655" customWidth="1"/>
    <col min="9492" max="9492" width="11.5546875" style="655" customWidth="1"/>
    <col min="9493" max="9493" width="11.109375" style="655" customWidth="1"/>
    <col min="9494" max="9494" width="2" style="655" customWidth="1"/>
    <col min="9495" max="9495" width="13.5546875" style="655" customWidth="1"/>
    <col min="9496" max="9496" width="12.44140625" style="655" customWidth="1"/>
    <col min="9497" max="9497" width="13.5546875" style="655" customWidth="1"/>
    <col min="9498" max="9498" width="2.109375" style="655" customWidth="1"/>
    <col min="9499" max="9499" width="9.109375" style="655"/>
    <col min="9500" max="9500" width="10.21875" style="655" customWidth="1"/>
    <col min="9501" max="9501" width="1.88671875" style="655" customWidth="1"/>
    <col min="9502" max="9502" width="10.77734375" style="655" customWidth="1"/>
    <col min="9503" max="9503" width="9.109375" style="655"/>
    <col min="9504" max="9504" width="2.109375" style="655" customWidth="1"/>
    <col min="9505" max="9505" width="9.109375" style="655"/>
    <col min="9506" max="9506" width="11.21875" style="655" customWidth="1"/>
    <col min="9507" max="9507" width="12.77734375" style="655" customWidth="1"/>
    <col min="9508" max="9508" width="12.5546875" style="655" customWidth="1"/>
    <col min="9509" max="9509" width="2" style="655" customWidth="1"/>
    <col min="9510" max="9511" width="9.109375" style="655"/>
    <col min="9512" max="9512" width="11" style="655" customWidth="1"/>
    <col min="9513" max="9513" width="9.109375" style="655"/>
    <col min="9514" max="9514" width="2.21875" style="655" customWidth="1"/>
    <col min="9515" max="9515" width="11" style="655" customWidth="1"/>
    <col min="9516" max="9516" width="9.109375" style="655"/>
    <col min="9517" max="9517" width="11.5546875" style="655" customWidth="1"/>
    <col min="9518" max="9518" width="11.21875" style="655" customWidth="1"/>
    <col min="9519" max="9519" width="2.88671875" style="655" customWidth="1"/>
    <col min="9520" max="9521" width="9.109375" style="655"/>
    <col min="9522" max="9522" width="11.21875" style="655" customWidth="1"/>
    <col min="9523" max="9523" width="2.21875" style="655" customWidth="1"/>
    <col min="9524" max="9524" width="9.109375" style="655"/>
    <col min="9525" max="9525" width="10.44140625" style="655" customWidth="1"/>
    <col min="9526" max="9526" width="9.109375" style="655"/>
    <col min="9527" max="9527" width="11.109375" style="655" customWidth="1"/>
    <col min="9528" max="9529" width="9.109375" style="655"/>
    <col min="9530" max="9530" width="10.88671875" style="655" customWidth="1"/>
    <col min="9531" max="9532" width="9.109375" style="655"/>
    <col min="9533" max="9533" width="1.5546875" style="655" customWidth="1"/>
    <col min="9534" max="9534" width="9.77734375" style="655" customWidth="1"/>
    <col min="9535" max="9538" width="9.109375" style="655"/>
    <col min="9539" max="9539" width="1.88671875" style="655" customWidth="1"/>
    <col min="9540" max="9540" width="9.88671875" style="655" customWidth="1"/>
    <col min="9541" max="9541" width="1.5546875" style="655" customWidth="1"/>
    <col min="9542" max="9542" width="11.44140625" style="655" customWidth="1"/>
    <col min="9543" max="9543" width="2.21875" style="655" customWidth="1"/>
    <col min="9544" max="9544" width="12" style="655" customWidth="1"/>
    <col min="9545" max="9545" width="2" style="655" customWidth="1"/>
    <col min="9546" max="9546" width="9.109375" style="655"/>
    <col min="9547" max="9547" width="11.109375" style="655" customWidth="1"/>
    <col min="9548" max="9548" width="12" style="655" customWidth="1"/>
    <col min="9549" max="9549" width="9.109375" style="655"/>
    <col min="9550" max="9550" width="11.88671875" style="655" customWidth="1"/>
    <col min="9551" max="9551" width="14.21875" style="655" customWidth="1"/>
    <col min="9552" max="9555" width="9.109375" style="655"/>
    <col min="9556" max="9556" width="3.44140625" style="655" customWidth="1"/>
    <col min="9557" max="9558" width="9.109375" style="655"/>
    <col min="9559" max="9559" width="11.44140625" style="655" customWidth="1"/>
    <col min="9560" max="9560" width="2.77734375" style="655" customWidth="1"/>
    <col min="9561" max="9743" width="9.109375" style="655"/>
    <col min="9744" max="9744" width="9.5546875" style="655" customWidth="1"/>
    <col min="9745" max="9745" width="11" style="655" customWidth="1"/>
    <col min="9746" max="9747" width="11.21875" style="655" customWidth="1"/>
    <col min="9748" max="9748" width="11.5546875" style="655" customWidth="1"/>
    <col min="9749" max="9749" width="11.109375" style="655" customWidth="1"/>
    <col min="9750" max="9750" width="2" style="655" customWidth="1"/>
    <col min="9751" max="9751" width="13.5546875" style="655" customWidth="1"/>
    <col min="9752" max="9752" width="12.44140625" style="655" customWidth="1"/>
    <col min="9753" max="9753" width="13.5546875" style="655" customWidth="1"/>
    <col min="9754" max="9754" width="2.109375" style="655" customWidth="1"/>
    <col min="9755" max="9755" width="9.109375" style="655"/>
    <col min="9756" max="9756" width="10.21875" style="655" customWidth="1"/>
    <col min="9757" max="9757" width="1.88671875" style="655" customWidth="1"/>
    <col min="9758" max="9758" width="10.77734375" style="655" customWidth="1"/>
    <col min="9759" max="9759" width="9.109375" style="655"/>
    <col min="9760" max="9760" width="2.109375" style="655" customWidth="1"/>
    <col min="9761" max="9761" width="9.109375" style="655"/>
    <col min="9762" max="9762" width="11.21875" style="655" customWidth="1"/>
    <col min="9763" max="9763" width="12.77734375" style="655" customWidth="1"/>
    <col min="9764" max="9764" width="12.5546875" style="655" customWidth="1"/>
    <col min="9765" max="9765" width="2" style="655" customWidth="1"/>
    <col min="9766" max="9767" width="9.109375" style="655"/>
    <col min="9768" max="9768" width="11" style="655" customWidth="1"/>
    <col min="9769" max="9769" width="9.109375" style="655"/>
    <col min="9770" max="9770" width="2.21875" style="655" customWidth="1"/>
    <col min="9771" max="9771" width="11" style="655" customWidth="1"/>
    <col min="9772" max="9772" width="9.109375" style="655"/>
    <col min="9773" max="9773" width="11.5546875" style="655" customWidth="1"/>
    <col min="9774" max="9774" width="11.21875" style="655" customWidth="1"/>
    <col min="9775" max="9775" width="2.88671875" style="655" customWidth="1"/>
    <col min="9776" max="9777" width="9.109375" style="655"/>
    <col min="9778" max="9778" width="11.21875" style="655" customWidth="1"/>
    <col min="9779" max="9779" width="2.21875" style="655" customWidth="1"/>
    <col min="9780" max="9780" width="9.109375" style="655"/>
    <col min="9781" max="9781" width="10.44140625" style="655" customWidth="1"/>
    <col min="9782" max="9782" width="9.109375" style="655"/>
    <col min="9783" max="9783" width="11.109375" style="655" customWidth="1"/>
    <col min="9784" max="9785" width="9.109375" style="655"/>
    <col min="9786" max="9786" width="10.88671875" style="655" customWidth="1"/>
    <col min="9787" max="9788" width="9.109375" style="655"/>
    <col min="9789" max="9789" width="1.5546875" style="655" customWidth="1"/>
    <col min="9790" max="9790" width="9.77734375" style="655" customWidth="1"/>
    <col min="9791" max="9794" width="9.109375" style="655"/>
    <col min="9795" max="9795" width="1.88671875" style="655" customWidth="1"/>
    <col min="9796" max="9796" width="9.88671875" style="655" customWidth="1"/>
    <col min="9797" max="9797" width="1.5546875" style="655" customWidth="1"/>
    <col min="9798" max="9798" width="11.44140625" style="655" customWidth="1"/>
    <col min="9799" max="9799" width="2.21875" style="655" customWidth="1"/>
    <col min="9800" max="9800" width="12" style="655" customWidth="1"/>
    <col min="9801" max="9801" width="2" style="655" customWidth="1"/>
    <col min="9802" max="9802" width="9.109375" style="655"/>
    <col min="9803" max="9803" width="11.109375" style="655" customWidth="1"/>
    <col min="9804" max="9804" width="12" style="655" customWidth="1"/>
    <col min="9805" max="9805" width="9.109375" style="655"/>
    <col min="9806" max="9806" width="11.88671875" style="655" customWidth="1"/>
    <col min="9807" max="9807" width="14.21875" style="655" customWidth="1"/>
    <col min="9808" max="9811" width="9.109375" style="655"/>
    <col min="9812" max="9812" width="3.44140625" style="655" customWidth="1"/>
    <col min="9813" max="9814" width="9.109375" style="655"/>
    <col min="9815" max="9815" width="11.44140625" style="655" customWidth="1"/>
    <col min="9816" max="9816" width="2.77734375" style="655" customWidth="1"/>
    <col min="9817" max="9999" width="9.109375" style="655"/>
    <col min="10000" max="10000" width="9.5546875" style="655" customWidth="1"/>
    <col min="10001" max="10001" width="11" style="655" customWidth="1"/>
    <col min="10002" max="10003" width="11.21875" style="655" customWidth="1"/>
    <col min="10004" max="10004" width="11.5546875" style="655" customWidth="1"/>
    <col min="10005" max="10005" width="11.109375" style="655" customWidth="1"/>
    <col min="10006" max="10006" width="2" style="655" customWidth="1"/>
    <col min="10007" max="10007" width="13.5546875" style="655" customWidth="1"/>
    <col min="10008" max="10008" width="12.44140625" style="655" customWidth="1"/>
    <col min="10009" max="10009" width="13.5546875" style="655" customWidth="1"/>
    <col min="10010" max="10010" width="2.109375" style="655" customWidth="1"/>
    <col min="10011" max="10011" width="9.109375" style="655"/>
    <col min="10012" max="10012" width="10.21875" style="655" customWidth="1"/>
    <col min="10013" max="10013" width="1.88671875" style="655" customWidth="1"/>
    <col min="10014" max="10014" width="10.77734375" style="655" customWidth="1"/>
    <col min="10015" max="10015" width="9.109375" style="655"/>
    <col min="10016" max="10016" width="2.109375" style="655" customWidth="1"/>
    <col min="10017" max="10017" width="9.109375" style="655"/>
    <col min="10018" max="10018" width="11.21875" style="655" customWidth="1"/>
    <col min="10019" max="10019" width="12.77734375" style="655" customWidth="1"/>
    <col min="10020" max="10020" width="12.5546875" style="655" customWidth="1"/>
    <col min="10021" max="10021" width="2" style="655" customWidth="1"/>
    <col min="10022" max="10023" width="9.109375" style="655"/>
    <col min="10024" max="10024" width="11" style="655" customWidth="1"/>
    <col min="10025" max="10025" width="9.109375" style="655"/>
    <col min="10026" max="10026" width="2.21875" style="655" customWidth="1"/>
    <col min="10027" max="10027" width="11" style="655" customWidth="1"/>
    <col min="10028" max="10028" width="9.109375" style="655"/>
    <col min="10029" max="10029" width="11.5546875" style="655" customWidth="1"/>
    <col min="10030" max="10030" width="11.21875" style="655" customWidth="1"/>
    <col min="10031" max="10031" width="2.88671875" style="655" customWidth="1"/>
    <col min="10032" max="10033" width="9.109375" style="655"/>
    <col min="10034" max="10034" width="11.21875" style="655" customWidth="1"/>
    <col min="10035" max="10035" width="2.21875" style="655" customWidth="1"/>
    <col min="10036" max="10036" width="9.109375" style="655"/>
    <col min="10037" max="10037" width="10.44140625" style="655" customWidth="1"/>
    <col min="10038" max="10038" width="9.109375" style="655"/>
    <col min="10039" max="10039" width="11.109375" style="655" customWidth="1"/>
    <col min="10040" max="10041" width="9.109375" style="655"/>
    <col min="10042" max="10042" width="10.88671875" style="655" customWidth="1"/>
    <col min="10043" max="10044" width="9.109375" style="655"/>
    <col min="10045" max="10045" width="1.5546875" style="655" customWidth="1"/>
    <col min="10046" max="10046" width="9.77734375" style="655" customWidth="1"/>
    <col min="10047" max="10050" width="9.109375" style="655"/>
    <col min="10051" max="10051" width="1.88671875" style="655" customWidth="1"/>
    <col min="10052" max="10052" width="9.88671875" style="655" customWidth="1"/>
    <col min="10053" max="10053" width="1.5546875" style="655" customWidth="1"/>
    <col min="10054" max="10054" width="11.44140625" style="655" customWidth="1"/>
    <col min="10055" max="10055" width="2.21875" style="655" customWidth="1"/>
    <col min="10056" max="10056" width="12" style="655" customWidth="1"/>
    <col min="10057" max="10057" width="2" style="655" customWidth="1"/>
    <col min="10058" max="10058" width="9.109375" style="655"/>
    <col min="10059" max="10059" width="11.109375" style="655" customWidth="1"/>
    <col min="10060" max="10060" width="12" style="655" customWidth="1"/>
    <col min="10061" max="10061" width="9.109375" style="655"/>
    <col min="10062" max="10062" width="11.88671875" style="655" customWidth="1"/>
    <col min="10063" max="10063" width="14.21875" style="655" customWidth="1"/>
    <col min="10064" max="10067" width="9.109375" style="655"/>
    <col min="10068" max="10068" width="3.44140625" style="655" customWidth="1"/>
    <col min="10069" max="10070" width="9.109375" style="655"/>
    <col min="10071" max="10071" width="11.44140625" style="655" customWidth="1"/>
    <col min="10072" max="10072" width="2.77734375" style="655" customWidth="1"/>
    <col min="10073" max="10255" width="9.109375" style="655"/>
    <col min="10256" max="10256" width="9.5546875" style="655" customWidth="1"/>
    <col min="10257" max="10257" width="11" style="655" customWidth="1"/>
    <col min="10258" max="10259" width="11.21875" style="655" customWidth="1"/>
    <col min="10260" max="10260" width="11.5546875" style="655" customWidth="1"/>
    <col min="10261" max="10261" width="11.109375" style="655" customWidth="1"/>
    <col min="10262" max="10262" width="2" style="655" customWidth="1"/>
    <col min="10263" max="10263" width="13.5546875" style="655" customWidth="1"/>
    <col min="10264" max="10264" width="12.44140625" style="655" customWidth="1"/>
    <col min="10265" max="10265" width="13.5546875" style="655" customWidth="1"/>
    <col min="10266" max="10266" width="2.109375" style="655" customWidth="1"/>
    <col min="10267" max="10267" width="9.109375" style="655"/>
    <col min="10268" max="10268" width="10.21875" style="655" customWidth="1"/>
    <col min="10269" max="10269" width="1.88671875" style="655" customWidth="1"/>
    <col min="10270" max="10270" width="10.77734375" style="655" customWidth="1"/>
    <col min="10271" max="10271" width="9.109375" style="655"/>
    <col min="10272" max="10272" width="2.109375" style="655" customWidth="1"/>
    <col min="10273" max="10273" width="9.109375" style="655"/>
    <col min="10274" max="10274" width="11.21875" style="655" customWidth="1"/>
    <col min="10275" max="10275" width="12.77734375" style="655" customWidth="1"/>
    <col min="10276" max="10276" width="12.5546875" style="655" customWidth="1"/>
    <col min="10277" max="10277" width="2" style="655" customWidth="1"/>
    <col min="10278" max="10279" width="9.109375" style="655"/>
    <col min="10280" max="10280" width="11" style="655" customWidth="1"/>
    <col min="10281" max="10281" width="9.109375" style="655"/>
    <col min="10282" max="10282" width="2.21875" style="655" customWidth="1"/>
    <col min="10283" max="10283" width="11" style="655" customWidth="1"/>
    <col min="10284" max="10284" width="9.109375" style="655"/>
    <col min="10285" max="10285" width="11.5546875" style="655" customWidth="1"/>
    <col min="10286" max="10286" width="11.21875" style="655" customWidth="1"/>
    <col min="10287" max="10287" width="2.88671875" style="655" customWidth="1"/>
    <col min="10288" max="10289" width="9.109375" style="655"/>
    <col min="10290" max="10290" width="11.21875" style="655" customWidth="1"/>
    <col min="10291" max="10291" width="2.21875" style="655" customWidth="1"/>
    <col min="10292" max="10292" width="9.109375" style="655"/>
    <col min="10293" max="10293" width="10.44140625" style="655" customWidth="1"/>
    <col min="10294" max="10294" width="9.109375" style="655"/>
    <col min="10295" max="10295" width="11.109375" style="655" customWidth="1"/>
    <col min="10296" max="10297" width="9.109375" style="655"/>
    <col min="10298" max="10298" width="10.88671875" style="655" customWidth="1"/>
    <col min="10299" max="10300" width="9.109375" style="655"/>
    <col min="10301" max="10301" width="1.5546875" style="655" customWidth="1"/>
    <col min="10302" max="10302" width="9.77734375" style="655" customWidth="1"/>
    <col min="10303" max="10306" width="9.109375" style="655"/>
    <col min="10307" max="10307" width="1.88671875" style="655" customWidth="1"/>
    <col min="10308" max="10308" width="9.88671875" style="655" customWidth="1"/>
    <col min="10309" max="10309" width="1.5546875" style="655" customWidth="1"/>
    <col min="10310" max="10310" width="11.44140625" style="655" customWidth="1"/>
    <col min="10311" max="10311" width="2.21875" style="655" customWidth="1"/>
    <col min="10312" max="10312" width="12" style="655" customWidth="1"/>
    <col min="10313" max="10313" width="2" style="655" customWidth="1"/>
    <col min="10314" max="10314" width="9.109375" style="655"/>
    <col min="10315" max="10315" width="11.109375" style="655" customWidth="1"/>
    <col min="10316" max="10316" width="12" style="655" customWidth="1"/>
    <col min="10317" max="10317" width="9.109375" style="655"/>
    <col min="10318" max="10318" width="11.88671875" style="655" customWidth="1"/>
    <col min="10319" max="10319" width="14.21875" style="655" customWidth="1"/>
    <col min="10320" max="10323" width="9.109375" style="655"/>
    <col min="10324" max="10324" width="3.44140625" style="655" customWidth="1"/>
    <col min="10325" max="10326" width="9.109375" style="655"/>
    <col min="10327" max="10327" width="11.44140625" style="655" customWidth="1"/>
    <col min="10328" max="10328" width="2.77734375" style="655" customWidth="1"/>
    <col min="10329" max="10511" width="9.109375" style="655"/>
    <col min="10512" max="10512" width="9.5546875" style="655" customWidth="1"/>
    <col min="10513" max="10513" width="11" style="655" customWidth="1"/>
    <col min="10514" max="10515" width="11.21875" style="655" customWidth="1"/>
    <col min="10516" max="10516" width="11.5546875" style="655" customWidth="1"/>
    <col min="10517" max="10517" width="11.109375" style="655" customWidth="1"/>
    <col min="10518" max="10518" width="2" style="655" customWidth="1"/>
    <col min="10519" max="10519" width="13.5546875" style="655" customWidth="1"/>
    <col min="10520" max="10520" width="12.44140625" style="655" customWidth="1"/>
    <col min="10521" max="10521" width="13.5546875" style="655" customWidth="1"/>
    <col min="10522" max="10522" width="2.109375" style="655" customWidth="1"/>
    <col min="10523" max="10523" width="9.109375" style="655"/>
    <col min="10524" max="10524" width="10.21875" style="655" customWidth="1"/>
    <col min="10525" max="10525" width="1.88671875" style="655" customWidth="1"/>
    <col min="10526" max="10526" width="10.77734375" style="655" customWidth="1"/>
    <col min="10527" max="10527" width="9.109375" style="655"/>
    <col min="10528" max="10528" width="2.109375" style="655" customWidth="1"/>
    <col min="10529" max="10529" width="9.109375" style="655"/>
    <col min="10530" max="10530" width="11.21875" style="655" customWidth="1"/>
    <col min="10531" max="10531" width="12.77734375" style="655" customWidth="1"/>
    <col min="10532" max="10532" width="12.5546875" style="655" customWidth="1"/>
    <col min="10533" max="10533" width="2" style="655" customWidth="1"/>
    <col min="10534" max="10535" width="9.109375" style="655"/>
    <col min="10536" max="10536" width="11" style="655" customWidth="1"/>
    <col min="10537" max="10537" width="9.109375" style="655"/>
    <col min="10538" max="10538" width="2.21875" style="655" customWidth="1"/>
    <col min="10539" max="10539" width="11" style="655" customWidth="1"/>
    <col min="10540" max="10540" width="9.109375" style="655"/>
    <col min="10541" max="10541" width="11.5546875" style="655" customWidth="1"/>
    <col min="10542" max="10542" width="11.21875" style="655" customWidth="1"/>
    <col min="10543" max="10543" width="2.88671875" style="655" customWidth="1"/>
    <col min="10544" max="10545" width="9.109375" style="655"/>
    <col min="10546" max="10546" width="11.21875" style="655" customWidth="1"/>
    <col min="10547" max="10547" width="2.21875" style="655" customWidth="1"/>
    <col min="10548" max="10548" width="9.109375" style="655"/>
    <col min="10549" max="10549" width="10.44140625" style="655" customWidth="1"/>
    <col min="10550" max="10550" width="9.109375" style="655"/>
    <col min="10551" max="10551" width="11.109375" style="655" customWidth="1"/>
    <col min="10552" max="10553" width="9.109375" style="655"/>
    <col min="10554" max="10554" width="10.88671875" style="655" customWidth="1"/>
    <col min="10555" max="10556" width="9.109375" style="655"/>
    <col min="10557" max="10557" width="1.5546875" style="655" customWidth="1"/>
    <col min="10558" max="10558" width="9.77734375" style="655" customWidth="1"/>
    <col min="10559" max="10562" width="9.109375" style="655"/>
    <col min="10563" max="10563" width="1.88671875" style="655" customWidth="1"/>
    <col min="10564" max="10564" width="9.88671875" style="655" customWidth="1"/>
    <col min="10565" max="10565" width="1.5546875" style="655" customWidth="1"/>
    <col min="10566" max="10566" width="11.44140625" style="655" customWidth="1"/>
    <col min="10567" max="10567" width="2.21875" style="655" customWidth="1"/>
    <col min="10568" max="10568" width="12" style="655" customWidth="1"/>
    <col min="10569" max="10569" width="2" style="655" customWidth="1"/>
    <col min="10570" max="10570" width="9.109375" style="655"/>
    <col min="10571" max="10571" width="11.109375" style="655" customWidth="1"/>
    <col min="10572" max="10572" width="12" style="655" customWidth="1"/>
    <col min="10573" max="10573" width="9.109375" style="655"/>
    <col min="10574" max="10574" width="11.88671875" style="655" customWidth="1"/>
    <col min="10575" max="10575" width="14.21875" style="655" customWidth="1"/>
    <col min="10576" max="10579" width="9.109375" style="655"/>
    <col min="10580" max="10580" width="3.44140625" style="655" customWidth="1"/>
    <col min="10581" max="10582" width="9.109375" style="655"/>
    <col min="10583" max="10583" width="11.44140625" style="655" customWidth="1"/>
    <col min="10584" max="10584" width="2.77734375" style="655" customWidth="1"/>
    <col min="10585" max="10767" width="9.109375" style="655"/>
    <col min="10768" max="10768" width="9.5546875" style="655" customWidth="1"/>
    <col min="10769" max="10769" width="11" style="655" customWidth="1"/>
    <col min="10770" max="10771" width="11.21875" style="655" customWidth="1"/>
    <col min="10772" max="10772" width="11.5546875" style="655" customWidth="1"/>
    <col min="10773" max="10773" width="11.109375" style="655" customWidth="1"/>
    <col min="10774" max="10774" width="2" style="655" customWidth="1"/>
    <col min="10775" max="10775" width="13.5546875" style="655" customWidth="1"/>
    <col min="10776" max="10776" width="12.44140625" style="655" customWidth="1"/>
    <col min="10777" max="10777" width="13.5546875" style="655" customWidth="1"/>
    <col min="10778" max="10778" width="2.109375" style="655" customWidth="1"/>
    <col min="10779" max="10779" width="9.109375" style="655"/>
    <col min="10780" max="10780" width="10.21875" style="655" customWidth="1"/>
    <col min="10781" max="10781" width="1.88671875" style="655" customWidth="1"/>
    <col min="10782" max="10782" width="10.77734375" style="655" customWidth="1"/>
    <col min="10783" max="10783" width="9.109375" style="655"/>
    <col min="10784" max="10784" width="2.109375" style="655" customWidth="1"/>
    <col min="10785" max="10785" width="9.109375" style="655"/>
    <col min="10786" max="10786" width="11.21875" style="655" customWidth="1"/>
    <col min="10787" max="10787" width="12.77734375" style="655" customWidth="1"/>
    <col min="10788" max="10788" width="12.5546875" style="655" customWidth="1"/>
    <col min="10789" max="10789" width="2" style="655" customWidth="1"/>
    <col min="10790" max="10791" width="9.109375" style="655"/>
    <col min="10792" max="10792" width="11" style="655" customWidth="1"/>
    <col min="10793" max="10793" width="9.109375" style="655"/>
    <col min="10794" max="10794" width="2.21875" style="655" customWidth="1"/>
    <col min="10795" max="10795" width="11" style="655" customWidth="1"/>
    <col min="10796" max="10796" width="9.109375" style="655"/>
    <col min="10797" max="10797" width="11.5546875" style="655" customWidth="1"/>
    <col min="10798" max="10798" width="11.21875" style="655" customWidth="1"/>
    <col min="10799" max="10799" width="2.88671875" style="655" customWidth="1"/>
    <col min="10800" max="10801" width="9.109375" style="655"/>
    <col min="10802" max="10802" width="11.21875" style="655" customWidth="1"/>
    <col min="10803" max="10803" width="2.21875" style="655" customWidth="1"/>
    <col min="10804" max="10804" width="9.109375" style="655"/>
    <col min="10805" max="10805" width="10.44140625" style="655" customWidth="1"/>
    <col min="10806" max="10806" width="9.109375" style="655"/>
    <col min="10807" max="10807" width="11.109375" style="655" customWidth="1"/>
    <col min="10808" max="10809" width="9.109375" style="655"/>
    <col min="10810" max="10810" width="10.88671875" style="655" customWidth="1"/>
    <col min="10811" max="10812" width="9.109375" style="655"/>
    <col min="10813" max="10813" width="1.5546875" style="655" customWidth="1"/>
    <col min="10814" max="10814" width="9.77734375" style="655" customWidth="1"/>
    <col min="10815" max="10818" width="9.109375" style="655"/>
    <col min="10819" max="10819" width="1.88671875" style="655" customWidth="1"/>
    <col min="10820" max="10820" width="9.88671875" style="655" customWidth="1"/>
    <col min="10821" max="10821" width="1.5546875" style="655" customWidth="1"/>
    <col min="10822" max="10822" width="11.44140625" style="655" customWidth="1"/>
    <col min="10823" max="10823" width="2.21875" style="655" customWidth="1"/>
    <col min="10824" max="10824" width="12" style="655" customWidth="1"/>
    <col min="10825" max="10825" width="2" style="655" customWidth="1"/>
    <col min="10826" max="10826" width="9.109375" style="655"/>
    <col min="10827" max="10827" width="11.109375" style="655" customWidth="1"/>
    <col min="10828" max="10828" width="12" style="655" customWidth="1"/>
    <col min="10829" max="10829" width="9.109375" style="655"/>
    <col min="10830" max="10830" width="11.88671875" style="655" customWidth="1"/>
    <col min="10831" max="10831" width="14.21875" style="655" customWidth="1"/>
    <col min="10832" max="10835" width="9.109375" style="655"/>
    <col min="10836" max="10836" width="3.44140625" style="655" customWidth="1"/>
    <col min="10837" max="10838" width="9.109375" style="655"/>
    <col min="10839" max="10839" width="11.44140625" style="655" customWidth="1"/>
    <col min="10840" max="10840" width="2.77734375" style="655" customWidth="1"/>
    <col min="10841" max="11023" width="9.109375" style="655"/>
    <col min="11024" max="11024" width="9.5546875" style="655" customWidth="1"/>
    <col min="11025" max="11025" width="11" style="655" customWidth="1"/>
    <col min="11026" max="11027" width="11.21875" style="655" customWidth="1"/>
    <col min="11028" max="11028" width="11.5546875" style="655" customWidth="1"/>
    <col min="11029" max="11029" width="11.109375" style="655" customWidth="1"/>
    <col min="11030" max="11030" width="2" style="655" customWidth="1"/>
    <col min="11031" max="11031" width="13.5546875" style="655" customWidth="1"/>
    <col min="11032" max="11032" width="12.44140625" style="655" customWidth="1"/>
    <col min="11033" max="11033" width="13.5546875" style="655" customWidth="1"/>
    <col min="11034" max="11034" width="2.109375" style="655" customWidth="1"/>
    <col min="11035" max="11035" width="9.109375" style="655"/>
    <col min="11036" max="11036" width="10.21875" style="655" customWidth="1"/>
    <col min="11037" max="11037" width="1.88671875" style="655" customWidth="1"/>
    <col min="11038" max="11038" width="10.77734375" style="655" customWidth="1"/>
    <col min="11039" max="11039" width="9.109375" style="655"/>
    <col min="11040" max="11040" width="2.109375" style="655" customWidth="1"/>
    <col min="11041" max="11041" width="9.109375" style="655"/>
    <col min="11042" max="11042" width="11.21875" style="655" customWidth="1"/>
    <col min="11043" max="11043" width="12.77734375" style="655" customWidth="1"/>
    <col min="11044" max="11044" width="12.5546875" style="655" customWidth="1"/>
    <col min="11045" max="11045" width="2" style="655" customWidth="1"/>
    <col min="11046" max="11047" width="9.109375" style="655"/>
    <col min="11048" max="11048" width="11" style="655" customWidth="1"/>
    <col min="11049" max="11049" width="9.109375" style="655"/>
    <col min="11050" max="11050" width="2.21875" style="655" customWidth="1"/>
    <col min="11051" max="11051" width="11" style="655" customWidth="1"/>
    <col min="11052" max="11052" width="9.109375" style="655"/>
    <col min="11053" max="11053" width="11.5546875" style="655" customWidth="1"/>
    <col min="11054" max="11054" width="11.21875" style="655" customWidth="1"/>
    <col min="11055" max="11055" width="2.88671875" style="655" customWidth="1"/>
    <col min="11056" max="11057" width="9.109375" style="655"/>
    <col min="11058" max="11058" width="11.21875" style="655" customWidth="1"/>
    <col min="11059" max="11059" width="2.21875" style="655" customWidth="1"/>
    <col min="11060" max="11060" width="9.109375" style="655"/>
    <col min="11061" max="11061" width="10.44140625" style="655" customWidth="1"/>
    <col min="11062" max="11062" width="9.109375" style="655"/>
    <col min="11063" max="11063" width="11.109375" style="655" customWidth="1"/>
    <col min="11064" max="11065" width="9.109375" style="655"/>
    <col min="11066" max="11066" width="10.88671875" style="655" customWidth="1"/>
    <col min="11067" max="11068" width="9.109375" style="655"/>
    <col min="11069" max="11069" width="1.5546875" style="655" customWidth="1"/>
    <col min="11070" max="11070" width="9.77734375" style="655" customWidth="1"/>
    <col min="11071" max="11074" width="9.109375" style="655"/>
    <col min="11075" max="11075" width="1.88671875" style="655" customWidth="1"/>
    <col min="11076" max="11076" width="9.88671875" style="655" customWidth="1"/>
    <col min="11077" max="11077" width="1.5546875" style="655" customWidth="1"/>
    <col min="11078" max="11078" width="11.44140625" style="655" customWidth="1"/>
    <col min="11079" max="11079" width="2.21875" style="655" customWidth="1"/>
    <col min="11080" max="11080" width="12" style="655" customWidth="1"/>
    <col min="11081" max="11081" width="2" style="655" customWidth="1"/>
    <col min="11082" max="11082" width="9.109375" style="655"/>
    <col min="11083" max="11083" width="11.109375" style="655" customWidth="1"/>
    <col min="11084" max="11084" width="12" style="655" customWidth="1"/>
    <col min="11085" max="11085" width="9.109375" style="655"/>
    <col min="11086" max="11086" width="11.88671875" style="655" customWidth="1"/>
    <col min="11087" max="11087" width="14.21875" style="655" customWidth="1"/>
    <col min="11088" max="11091" width="9.109375" style="655"/>
    <col min="11092" max="11092" width="3.44140625" style="655" customWidth="1"/>
    <col min="11093" max="11094" width="9.109375" style="655"/>
    <col min="11095" max="11095" width="11.44140625" style="655" customWidth="1"/>
    <col min="11096" max="11096" width="2.77734375" style="655" customWidth="1"/>
    <col min="11097" max="11279" width="9.109375" style="655"/>
    <col min="11280" max="11280" width="9.5546875" style="655" customWidth="1"/>
    <col min="11281" max="11281" width="11" style="655" customWidth="1"/>
    <col min="11282" max="11283" width="11.21875" style="655" customWidth="1"/>
    <col min="11284" max="11284" width="11.5546875" style="655" customWidth="1"/>
    <col min="11285" max="11285" width="11.109375" style="655" customWidth="1"/>
    <col min="11286" max="11286" width="2" style="655" customWidth="1"/>
    <col min="11287" max="11287" width="13.5546875" style="655" customWidth="1"/>
    <col min="11288" max="11288" width="12.44140625" style="655" customWidth="1"/>
    <col min="11289" max="11289" width="13.5546875" style="655" customWidth="1"/>
    <col min="11290" max="11290" width="2.109375" style="655" customWidth="1"/>
    <col min="11291" max="11291" width="9.109375" style="655"/>
    <col min="11292" max="11292" width="10.21875" style="655" customWidth="1"/>
    <col min="11293" max="11293" width="1.88671875" style="655" customWidth="1"/>
    <col min="11294" max="11294" width="10.77734375" style="655" customWidth="1"/>
    <col min="11295" max="11295" width="9.109375" style="655"/>
    <col min="11296" max="11296" width="2.109375" style="655" customWidth="1"/>
    <col min="11297" max="11297" width="9.109375" style="655"/>
    <col min="11298" max="11298" width="11.21875" style="655" customWidth="1"/>
    <col min="11299" max="11299" width="12.77734375" style="655" customWidth="1"/>
    <col min="11300" max="11300" width="12.5546875" style="655" customWidth="1"/>
    <col min="11301" max="11301" width="2" style="655" customWidth="1"/>
    <col min="11302" max="11303" width="9.109375" style="655"/>
    <col min="11304" max="11304" width="11" style="655" customWidth="1"/>
    <col min="11305" max="11305" width="9.109375" style="655"/>
    <col min="11306" max="11306" width="2.21875" style="655" customWidth="1"/>
    <col min="11307" max="11307" width="11" style="655" customWidth="1"/>
    <col min="11308" max="11308" width="9.109375" style="655"/>
    <col min="11309" max="11309" width="11.5546875" style="655" customWidth="1"/>
    <col min="11310" max="11310" width="11.21875" style="655" customWidth="1"/>
    <col min="11311" max="11311" width="2.88671875" style="655" customWidth="1"/>
    <col min="11312" max="11313" width="9.109375" style="655"/>
    <col min="11314" max="11314" width="11.21875" style="655" customWidth="1"/>
    <col min="11315" max="11315" width="2.21875" style="655" customWidth="1"/>
    <col min="11316" max="11316" width="9.109375" style="655"/>
    <col min="11317" max="11317" width="10.44140625" style="655" customWidth="1"/>
    <col min="11318" max="11318" width="9.109375" style="655"/>
    <col min="11319" max="11319" width="11.109375" style="655" customWidth="1"/>
    <col min="11320" max="11321" width="9.109375" style="655"/>
    <col min="11322" max="11322" width="10.88671875" style="655" customWidth="1"/>
    <col min="11323" max="11324" width="9.109375" style="655"/>
    <col min="11325" max="11325" width="1.5546875" style="655" customWidth="1"/>
    <col min="11326" max="11326" width="9.77734375" style="655" customWidth="1"/>
    <col min="11327" max="11330" width="9.109375" style="655"/>
    <col min="11331" max="11331" width="1.88671875" style="655" customWidth="1"/>
    <col min="11332" max="11332" width="9.88671875" style="655" customWidth="1"/>
    <col min="11333" max="11333" width="1.5546875" style="655" customWidth="1"/>
    <col min="11334" max="11334" width="11.44140625" style="655" customWidth="1"/>
    <col min="11335" max="11335" width="2.21875" style="655" customWidth="1"/>
    <col min="11336" max="11336" width="12" style="655" customWidth="1"/>
    <col min="11337" max="11337" width="2" style="655" customWidth="1"/>
    <col min="11338" max="11338" width="9.109375" style="655"/>
    <col min="11339" max="11339" width="11.109375" style="655" customWidth="1"/>
    <col min="11340" max="11340" width="12" style="655" customWidth="1"/>
    <col min="11341" max="11341" width="9.109375" style="655"/>
    <col min="11342" max="11342" width="11.88671875" style="655" customWidth="1"/>
    <col min="11343" max="11343" width="14.21875" style="655" customWidth="1"/>
    <col min="11344" max="11347" width="9.109375" style="655"/>
    <col min="11348" max="11348" width="3.44140625" style="655" customWidth="1"/>
    <col min="11349" max="11350" width="9.109375" style="655"/>
    <col min="11351" max="11351" width="11.44140625" style="655" customWidth="1"/>
    <col min="11352" max="11352" width="2.77734375" style="655" customWidth="1"/>
    <col min="11353" max="11535" width="9.109375" style="655"/>
    <col min="11536" max="11536" width="9.5546875" style="655" customWidth="1"/>
    <col min="11537" max="11537" width="11" style="655" customWidth="1"/>
    <col min="11538" max="11539" width="11.21875" style="655" customWidth="1"/>
    <col min="11540" max="11540" width="11.5546875" style="655" customWidth="1"/>
    <col min="11541" max="11541" width="11.109375" style="655" customWidth="1"/>
    <col min="11542" max="11542" width="2" style="655" customWidth="1"/>
    <col min="11543" max="11543" width="13.5546875" style="655" customWidth="1"/>
    <col min="11544" max="11544" width="12.44140625" style="655" customWidth="1"/>
    <col min="11545" max="11545" width="13.5546875" style="655" customWidth="1"/>
    <col min="11546" max="11546" width="2.109375" style="655" customWidth="1"/>
    <col min="11547" max="11547" width="9.109375" style="655"/>
    <col min="11548" max="11548" width="10.21875" style="655" customWidth="1"/>
    <col min="11549" max="11549" width="1.88671875" style="655" customWidth="1"/>
    <col min="11550" max="11550" width="10.77734375" style="655" customWidth="1"/>
    <col min="11551" max="11551" width="9.109375" style="655"/>
    <col min="11552" max="11552" width="2.109375" style="655" customWidth="1"/>
    <col min="11553" max="11553" width="9.109375" style="655"/>
    <col min="11554" max="11554" width="11.21875" style="655" customWidth="1"/>
    <col min="11555" max="11555" width="12.77734375" style="655" customWidth="1"/>
    <col min="11556" max="11556" width="12.5546875" style="655" customWidth="1"/>
    <col min="11557" max="11557" width="2" style="655" customWidth="1"/>
    <col min="11558" max="11559" width="9.109375" style="655"/>
    <col min="11560" max="11560" width="11" style="655" customWidth="1"/>
    <col min="11561" max="11561" width="9.109375" style="655"/>
    <col min="11562" max="11562" width="2.21875" style="655" customWidth="1"/>
    <col min="11563" max="11563" width="11" style="655" customWidth="1"/>
    <col min="11564" max="11564" width="9.109375" style="655"/>
    <col min="11565" max="11565" width="11.5546875" style="655" customWidth="1"/>
    <col min="11566" max="11566" width="11.21875" style="655" customWidth="1"/>
    <col min="11567" max="11567" width="2.88671875" style="655" customWidth="1"/>
    <col min="11568" max="11569" width="9.109375" style="655"/>
    <col min="11570" max="11570" width="11.21875" style="655" customWidth="1"/>
    <col min="11571" max="11571" width="2.21875" style="655" customWidth="1"/>
    <col min="11572" max="11572" width="9.109375" style="655"/>
    <col min="11573" max="11573" width="10.44140625" style="655" customWidth="1"/>
    <col min="11574" max="11574" width="9.109375" style="655"/>
    <col min="11575" max="11575" width="11.109375" style="655" customWidth="1"/>
    <col min="11576" max="11577" width="9.109375" style="655"/>
    <col min="11578" max="11578" width="10.88671875" style="655" customWidth="1"/>
    <col min="11579" max="11580" width="9.109375" style="655"/>
    <col min="11581" max="11581" width="1.5546875" style="655" customWidth="1"/>
    <col min="11582" max="11582" width="9.77734375" style="655" customWidth="1"/>
    <col min="11583" max="11586" width="9.109375" style="655"/>
    <col min="11587" max="11587" width="1.88671875" style="655" customWidth="1"/>
    <col min="11588" max="11588" width="9.88671875" style="655" customWidth="1"/>
    <col min="11589" max="11589" width="1.5546875" style="655" customWidth="1"/>
    <col min="11590" max="11590" width="11.44140625" style="655" customWidth="1"/>
    <col min="11591" max="11591" width="2.21875" style="655" customWidth="1"/>
    <col min="11592" max="11592" width="12" style="655" customWidth="1"/>
    <col min="11593" max="11593" width="2" style="655" customWidth="1"/>
    <col min="11594" max="11594" width="9.109375" style="655"/>
    <col min="11595" max="11595" width="11.109375" style="655" customWidth="1"/>
    <col min="11596" max="11596" width="12" style="655" customWidth="1"/>
    <col min="11597" max="11597" width="9.109375" style="655"/>
    <col min="11598" max="11598" width="11.88671875" style="655" customWidth="1"/>
    <col min="11599" max="11599" width="14.21875" style="655" customWidth="1"/>
    <col min="11600" max="11603" width="9.109375" style="655"/>
    <col min="11604" max="11604" width="3.44140625" style="655" customWidth="1"/>
    <col min="11605" max="11606" width="9.109375" style="655"/>
    <col min="11607" max="11607" width="11.44140625" style="655" customWidth="1"/>
    <col min="11608" max="11608" width="2.77734375" style="655" customWidth="1"/>
    <col min="11609" max="11791" width="9.109375" style="655"/>
    <col min="11792" max="11792" width="9.5546875" style="655" customWidth="1"/>
    <col min="11793" max="11793" width="11" style="655" customWidth="1"/>
    <col min="11794" max="11795" width="11.21875" style="655" customWidth="1"/>
    <col min="11796" max="11796" width="11.5546875" style="655" customWidth="1"/>
    <col min="11797" max="11797" width="11.109375" style="655" customWidth="1"/>
    <col min="11798" max="11798" width="2" style="655" customWidth="1"/>
    <col min="11799" max="11799" width="13.5546875" style="655" customWidth="1"/>
    <col min="11800" max="11800" width="12.44140625" style="655" customWidth="1"/>
    <col min="11801" max="11801" width="13.5546875" style="655" customWidth="1"/>
    <col min="11802" max="11802" width="2.109375" style="655" customWidth="1"/>
    <col min="11803" max="11803" width="9.109375" style="655"/>
    <col min="11804" max="11804" width="10.21875" style="655" customWidth="1"/>
    <col min="11805" max="11805" width="1.88671875" style="655" customWidth="1"/>
    <col min="11806" max="11806" width="10.77734375" style="655" customWidth="1"/>
    <col min="11807" max="11807" width="9.109375" style="655"/>
    <col min="11808" max="11808" width="2.109375" style="655" customWidth="1"/>
    <col min="11809" max="11809" width="9.109375" style="655"/>
    <col min="11810" max="11810" width="11.21875" style="655" customWidth="1"/>
    <col min="11811" max="11811" width="12.77734375" style="655" customWidth="1"/>
    <col min="11812" max="11812" width="12.5546875" style="655" customWidth="1"/>
    <col min="11813" max="11813" width="2" style="655" customWidth="1"/>
    <col min="11814" max="11815" width="9.109375" style="655"/>
    <col min="11816" max="11816" width="11" style="655" customWidth="1"/>
    <col min="11817" max="11817" width="9.109375" style="655"/>
    <col min="11818" max="11818" width="2.21875" style="655" customWidth="1"/>
    <col min="11819" max="11819" width="11" style="655" customWidth="1"/>
    <col min="11820" max="11820" width="9.109375" style="655"/>
    <col min="11821" max="11821" width="11.5546875" style="655" customWidth="1"/>
    <col min="11822" max="11822" width="11.21875" style="655" customWidth="1"/>
    <col min="11823" max="11823" width="2.88671875" style="655" customWidth="1"/>
    <col min="11824" max="11825" width="9.109375" style="655"/>
    <col min="11826" max="11826" width="11.21875" style="655" customWidth="1"/>
    <col min="11827" max="11827" width="2.21875" style="655" customWidth="1"/>
    <col min="11828" max="11828" width="9.109375" style="655"/>
    <col min="11829" max="11829" width="10.44140625" style="655" customWidth="1"/>
    <col min="11830" max="11830" width="9.109375" style="655"/>
    <col min="11831" max="11831" width="11.109375" style="655" customWidth="1"/>
    <col min="11832" max="11833" width="9.109375" style="655"/>
    <col min="11834" max="11834" width="10.88671875" style="655" customWidth="1"/>
    <col min="11835" max="11836" width="9.109375" style="655"/>
    <col min="11837" max="11837" width="1.5546875" style="655" customWidth="1"/>
    <col min="11838" max="11838" width="9.77734375" style="655" customWidth="1"/>
    <col min="11839" max="11842" width="9.109375" style="655"/>
    <col min="11843" max="11843" width="1.88671875" style="655" customWidth="1"/>
    <col min="11844" max="11844" width="9.88671875" style="655" customWidth="1"/>
    <col min="11845" max="11845" width="1.5546875" style="655" customWidth="1"/>
    <col min="11846" max="11846" width="11.44140625" style="655" customWidth="1"/>
    <col min="11847" max="11847" width="2.21875" style="655" customWidth="1"/>
    <col min="11848" max="11848" width="12" style="655" customWidth="1"/>
    <col min="11849" max="11849" width="2" style="655" customWidth="1"/>
    <col min="11850" max="11850" width="9.109375" style="655"/>
    <col min="11851" max="11851" width="11.109375" style="655" customWidth="1"/>
    <col min="11852" max="11852" width="12" style="655" customWidth="1"/>
    <col min="11853" max="11853" width="9.109375" style="655"/>
    <col min="11854" max="11854" width="11.88671875" style="655" customWidth="1"/>
    <col min="11855" max="11855" width="14.21875" style="655" customWidth="1"/>
    <col min="11856" max="11859" width="9.109375" style="655"/>
    <col min="11860" max="11860" width="3.44140625" style="655" customWidth="1"/>
    <col min="11861" max="11862" width="9.109375" style="655"/>
    <col min="11863" max="11863" width="11.44140625" style="655" customWidth="1"/>
    <col min="11864" max="11864" width="2.77734375" style="655" customWidth="1"/>
    <col min="11865" max="12047" width="9.109375" style="655"/>
    <col min="12048" max="12048" width="9.5546875" style="655" customWidth="1"/>
    <col min="12049" max="12049" width="11" style="655" customWidth="1"/>
    <col min="12050" max="12051" width="11.21875" style="655" customWidth="1"/>
    <col min="12052" max="12052" width="11.5546875" style="655" customWidth="1"/>
    <col min="12053" max="12053" width="11.109375" style="655" customWidth="1"/>
    <col min="12054" max="12054" width="2" style="655" customWidth="1"/>
    <col min="12055" max="12055" width="13.5546875" style="655" customWidth="1"/>
    <col min="12056" max="12056" width="12.44140625" style="655" customWidth="1"/>
    <col min="12057" max="12057" width="13.5546875" style="655" customWidth="1"/>
    <col min="12058" max="12058" width="2.109375" style="655" customWidth="1"/>
    <col min="12059" max="12059" width="9.109375" style="655"/>
    <col min="12060" max="12060" width="10.21875" style="655" customWidth="1"/>
    <col min="12061" max="12061" width="1.88671875" style="655" customWidth="1"/>
    <col min="12062" max="12062" width="10.77734375" style="655" customWidth="1"/>
    <col min="12063" max="12063" width="9.109375" style="655"/>
    <col min="12064" max="12064" width="2.109375" style="655" customWidth="1"/>
    <col min="12065" max="12065" width="9.109375" style="655"/>
    <col min="12066" max="12066" width="11.21875" style="655" customWidth="1"/>
    <col min="12067" max="12067" width="12.77734375" style="655" customWidth="1"/>
    <col min="12068" max="12068" width="12.5546875" style="655" customWidth="1"/>
    <col min="12069" max="12069" width="2" style="655" customWidth="1"/>
    <col min="12070" max="12071" width="9.109375" style="655"/>
    <col min="12072" max="12072" width="11" style="655" customWidth="1"/>
    <col min="12073" max="12073" width="9.109375" style="655"/>
    <col min="12074" max="12074" width="2.21875" style="655" customWidth="1"/>
    <col min="12075" max="12075" width="11" style="655" customWidth="1"/>
    <col min="12076" max="12076" width="9.109375" style="655"/>
    <col min="12077" max="12077" width="11.5546875" style="655" customWidth="1"/>
    <col min="12078" max="12078" width="11.21875" style="655" customWidth="1"/>
    <col min="12079" max="12079" width="2.88671875" style="655" customWidth="1"/>
    <col min="12080" max="12081" width="9.109375" style="655"/>
    <col min="12082" max="12082" width="11.21875" style="655" customWidth="1"/>
    <col min="12083" max="12083" width="2.21875" style="655" customWidth="1"/>
    <col min="12084" max="12084" width="9.109375" style="655"/>
    <col min="12085" max="12085" width="10.44140625" style="655" customWidth="1"/>
    <col min="12086" max="12086" width="9.109375" style="655"/>
    <col min="12087" max="12087" width="11.109375" style="655" customWidth="1"/>
    <col min="12088" max="12089" width="9.109375" style="655"/>
    <col min="12090" max="12090" width="10.88671875" style="655" customWidth="1"/>
    <col min="12091" max="12092" width="9.109375" style="655"/>
    <col min="12093" max="12093" width="1.5546875" style="655" customWidth="1"/>
    <col min="12094" max="12094" width="9.77734375" style="655" customWidth="1"/>
    <col min="12095" max="12098" width="9.109375" style="655"/>
    <col min="12099" max="12099" width="1.88671875" style="655" customWidth="1"/>
    <col min="12100" max="12100" width="9.88671875" style="655" customWidth="1"/>
    <col min="12101" max="12101" width="1.5546875" style="655" customWidth="1"/>
    <col min="12102" max="12102" width="11.44140625" style="655" customWidth="1"/>
    <col min="12103" max="12103" width="2.21875" style="655" customWidth="1"/>
    <col min="12104" max="12104" width="12" style="655" customWidth="1"/>
    <col min="12105" max="12105" width="2" style="655" customWidth="1"/>
    <col min="12106" max="12106" width="9.109375" style="655"/>
    <col min="12107" max="12107" width="11.109375" style="655" customWidth="1"/>
    <col min="12108" max="12108" width="12" style="655" customWidth="1"/>
    <col min="12109" max="12109" width="9.109375" style="655"/>
    <col min="12110" max="12110" width="11.88671875" style="655" customWidth="1"/>
    <col min="12111" max="12111" width="14.21875" style="655" customWidth="1"/>
    <col min="12112" max="12115" width="9.109375" style="655"/>
    <col min="12116" max="12116" width="3.44140625" style="655" customWidth="1"/>
    <col min="12117" max="12118" width="9.109375" style="655"/>
    <col min="12119" max="12119" width="11.44140625" style="655" customWidth="1"/>
    <col min="12120" max="12120" width="2.77734375" style="655" customWidth="1"/>
    <col min="12121" max="12303" width="9.109375" style="655"/>
    <col min="12304" max="12304" width="9.5546875" style="655" customWidth="1"/>
    <col min="12305" max="12305" width="11" style="655" customWidth="1"/>
    <col min="12306" max="12307" width="11.21875" style="655" customWidth="1"/>
    <col min="12308" max="12308" width="11.5546875" style="655" customWidth="1"/>
    <col min="12309" max="12309" width="11.109375" style="655" customWidth="1"/>
    <col min="12310" max="12310" width="2" style="655" customWidth="1"/>
    <col min="12311" max="12311" width="13.5546875" style="655" customWidth="1"/>
    <col min="12312" max="12312" width="12.44140625" style="655" customWidth="1"/>
    <col min="12313" max="12313" width="13.5546875" style="655" customWidth="1"/>
    <col min="12314" max="12314" width="2.109375" style="655" customWidth="1"/>
    <col min="12315" max="12315" width="9.109375" style="655"/>
    <col min="12316" max="12316" width="10.21875" style="655" customWidth="1"/>
    <col min="12317" max="12317" width="1.88671875" style="655" customWidth="1"/>
    <col min="12318" max="12318" width="10.77734375" style="655" customWidth="1"/>
    <col min="12319" max="12319" width="9.109375" style="655"/>
    <col min="12320" max="12320" width="2.109375" style="655" customWidth="1"/>
    <col min="12321" max="12321" width="9.109375" style="655"/>
    <col min="12322" max="12322" width="11.21875" style="655" customWidth="1"/>
    <col min="12323" max="12323" width="12.77734375" style="655" customWidth="1"/>
    <col min="12324" max="12324" width="12.5546875" style="655" customWidth="1"/>
    <col min="12325" max="12325" width="2" style="655" customWidth="1"/>
    <col min="12326" max="12327" width="9.109375" style="655"/>
    <col min="12328" max="12328" width="11" style="655" customWidth="1"/>
    <col min="12329" max="12329" width="9.109375" style="655"/>
    <col min="12330" max="12330" width="2.21875" style="655" customWidth="1"/>
    <col min="12331" max="12331" width="11" style="655" customWidth="1"/>
    <col min="12332" max="12332" width="9.109375" style="655"/>
    <col min="12333" max="12333" width="11.5546875" style="655" customWidth="1"/>
    <col min="12334" max="12334" width="11.21875" style="655" customWidth="1"/>
    <col min="12335" max="12335" width="2.88671875" style="655" customWidth="1"/>
    <col min="12336" max="12337" width="9.109375" style="655"/>
    <col min="12338" max="12338" width="11.21875" style="655" customWidth="1"/>
    <col min="12339" max="12339" width="2.21875" style="655" customWidth="1"/>
    <col min="12340" max="12340" width="9.109375" style="655"/>
    <col min="12341" max="12341" width="10.44140625" style="655" customWidth="1"/>
    <col min="12342" max="12342" width="9.109375" style="655"/>
    <col min="12343" max="12343" width="11.109375" style="655" customWidth="1"/>
    <col min="12344" max="12345" width="9.109375" style="655"/>
    <col min="12346" max="12346" width="10.88671875" style="655" customWidth="1"/>
    <col min="12347" max="12348" width="9.109375" style="655"/>
    <col min="12349" max="12349" width="1.5546875" style="655" customWidth="1"/>
    <col min="12350" max="12350" width="9.77734375" style="655" customWidth="1"/>
    <col min="12351" max="12354" width="9.109375" style="655"/>
    <col min="12355" max="12355" width="1.88671875" style="655" customWidth="1"/>
    <col min="12356" max="12356" width="9.88671875" style="655" customWidth="1"/>
    <col min="12357" max="12357" width="1.5546875" style="655" customWidth="1"/>
    <col min="12358" max="12358" width="11.44140625" style="655" customWidth="1"/>
    <col min="12359" max="12359" width="2.21875" style="655" customWidth="1"/>
    <col min="12360" max="12360" width="12" style="655" customWidth="1"/>
    <col min="12361" max="12361" width="2" style="655" customWidth="1"/>
    <col min="12362" max="12362" width="9.109375" style="655"/>
    <col min="12363" max="12363" width="11.109375" style="655" customWidth="1"/>
    <col min="12364" max="12364" width="12" style="655" customWidth="1"/>
    <col min="12365" max="12365" width="9.109375" style="655"/>
    <col min="12366" max="12366" width="11.88671875" style="655" customWidth="1"/>
    <col min="12367" max="12367" width="14.21875" style="655" customWidth="1"/>
    <col min="12368" max="12371" width="9.109375" style="655"/>
    <col min="12372" max="12372" width="3.44140625" style="655" customWidth="1"/>
    <col min="12373" max="12374" width="9.109375" style="655"/>
    <col min="12375" max="12375" width="11.44140625" style="655" customWidth="1"/>
    <col min="12376" max="12376" width="2.77734375" style="655" customWidth="1"/>
    <col min="12377" max="12559" width="9.109375" style="655"/>
    <col min="12560" max="12560" width="9.5546875" style="655" customWidth="1"/>
    <col min="12561" max="12561" width="11" style="655" customWidth="1"/>
    <col min="12562" max="12563" width="11.21875" style="655" customWidth="1"/>
    <col min="12564" max="12564" width="11.5546875" style="655" customWidth="1"/>
    <col min="12565" max="12565" width="11.109375" style="655" customWidth="1"/>
    <col min="12566" max="12566" width="2" style="655" customWidth="1"/>
    <col min="12567" max="12567" width="13.5546875" style="655" customWidth="1"/>
    <col min="12568" max="12568" width="12.44140625" style="655" customWidth="1"/>
    <col min="12569" max="12569" width="13.5546875" style="655" customWidth="1"/>
    <col min="12570" max="12570" width="2.109375" style="655" customWidth="1"/>
    <col min="12571" max="12571" width="9.109375" style="655"/>
    <col min="12572" max="12572" width="10.21875" style="655" customWidth="1"/>
    <col min="12573" max="12573" width="1.88671875" style="655" customWidth="1"/>
    <col min="12574" max="12574" width="10.77734375" style="655" customWidth="1"/>
    <col min="12575" max="12575" width="9.109375" style="655"/>
    <col min="12576" max="12576" width="2.109375" style="655" customWidth="1"/>
    <col min="12577" max="12577" width="9.109375" style="655"/>
    <col min="12578" max="12578" width="11.21875" style="655" customWidth="1"/>
    <col min="12579" max="12579" width="12.77734375" style="655" customWidth="1"/>
    <col min="12580" max="12580" width="12.5546875" style="655" customWidth="1"/>
    <col min="12581" max="12581" width="2" style="655" customWidth="1"/>
    <col min="12582" max="12583" width="9.109375" style="655"/>
    <col min="12584" max="12584" width="11" style="655" customWidth="1"/>
    <col min="12585" max="12585" width="9.109375" style="655"/>
    <col min="12586" max="12586" width="2.21875" style="655" customWidth="1"/>
    <col min="12587" max="12587" width="11" style="655" customWidth="1"/>
    <col min="12588" max="12588" width="9.109375" style="655"/>
    <col min="12589" max="12589" width="11.5546875" style="655" customWidth="1"/>
    <col min="12590" max="12590" width="11.21875" style="655" customWidth="1"/>
    <col min="12591" max="12591" width="2.88671875" style="655" customWidth="1"/>
    <col min="12592" max="12593" width="9.109375" style="655"/>
    <col min="12594" max="12594" width="11.21875" style="655" customWidth="1"/>
    <col min="12595" max="12595" width="2.21875" style="655" customWidth="1"/>
    <col min="12596" max="12596" width="9.109375" style="655"/>
    <col min="12597" max="12597" width="10.44140625" style="655" customWidth="1"/>
    <col min="12598" max="12598" width="9.109375" style="655"/>
    <col min="12599" max="12599" width="11.109375" style="655" customWidth="1"/>
    <col min="12600" max="12601" width="9.109375" style="655"/>
    <col min="12602" max="12602" width="10.88671875" style="655" customWidth="1"/>
    <col min="12603" max="12604" width="9.109375" style="655"/>
    <col min="12605" max="12605" width="1.5546875" style="655" customWidth="1"/>
    <col min="12606" max="12606" width="9.77734375" style="655" customWidth="1"/>
    <col min="12607" max="12610" width="9.109375" style="655"/>
    <col min="12611" max="12611" width="1.88671875" style="655" customWidth="1"/>
    <col min="12612" max="12612" width="9.88671875" style="655" customWidth="1"/>
    <col min="12613" max="12613" width="1.5546875" style="655" customWidth="1"/>
    <col min="12614" max="12614" width="11.44140625" style="655" customWidth="1"/>
    <col min="12615" max="12615" width="2.21875" style="655" customWidth="1"/>
    <col min="12616" max="12616" width="12" style="655" customWidth="1"/>
    <col min="12617" max="12617" width="2" style="655" customWidth="1"/>
    <col min="12618" max="12618" width="9.109375" style="655"/>
    <col min="12619" max="12619" width="11.109375" style="655" customWidth="1"/>
    <col min="12620" max="12620" width="12" style="655" customWidth="1"/>
    <col min="12621" max="12621" width="9.109375" style="655"/>
    <col min="12622" max="12622" width="11.88671875" style="655" customWidth="1"/>
    <col min="12623" max="12623" width="14.21875" style="655" customWidth="1"/>
    <col min="12624" max="12627" width="9.109375" style="655"/>
    <col min="12628" max="12628" width="3.44140625" style="655" customWidth="1"/>
    <col min="12629" max="12630" width="9.109375" style="655"/>
    <col min="12631" max="12631" width="11.44140625" style="655" customWidth="1"/>
    <col min="12632" max="12632" width="2.77734375" style="655" customWidth="1"/>
    <col min="12633" max="12815" width="9.109375" style="655"/>
    <col min="12816" max="12816" width="9.5546875" style="655" customWidth="1"/>
    <col min="12817" max="12817" width="11" style="655" customWidth="1"/>
    <col min="12818" max="12819" width="11.21875" style="655" customWidth="1"/>
    <col min="12820" max="12820" width="11.5546875" style="655" customWidth="1"/>
    <col min="12821" max="12821" width="11.109375" style="655" customWidth="1"/>
    <col min="12822" max="12822" width="2" style="655" customWidth="1"/>
    <col min="12823" max="12823" width="13.5546875" style="655" customWidth="1"/>
    <col min="12824" max="12824" width="12.44140625" style="655" customWidth="1"/>
    <col min="12825" max="12825" width="13.5546875" style="655" customWidth="1"/>
    <col min="12826" max="12826" width="2.109375" style="655" customWidth="1"/>
    <col min="12827" max="12827" width="9.109375" style="655"/>
    <col min="12828" max="12828" width="10.21875" style="655" customWidth="1"/>
    <col min="12829" max="12829" width="1.88671875" style="655" customWidth="1"/>
    <col min="12830" max="12830" width="10.77734375" style="655" customWidth="1"/>
    <col min="12831" max="12831" width="9.109375" style="655"/>
    <col min="12832" max="12832" width="2.109375" style="655" customWidth="1"/>
    <col min="12833" max="12833" width="9.109375" style="655"/>
    <col min="12834" max="12834" width="11.21875" style="655" customWidth="1"/>
    <col min="12835" max="12835" width="12.77734375" style="655" customWidth="1"/>
    <col min="12836" max="12836" width="12.5546875" style="655" customWidth="1"/>
    <col min="12837" max="12837" width="2" style="655" customWidth="1"/>
    <col min="12838" max="12839" width="9.109375" style="655"/>
    <col min="12840" max="12840" width="11" style="655" customWidth="1"/>
    <col min="12841" max="12841" width="9.109375" style="655"/>
    <col min="12842" max="12842" width="2.21875" style="655" customWidth="1"/>
    <col min="12843" max="12843" width="11" style="655" customWidth="1"/>
    <col min="12844" max="12844" width="9.109375" style="655"/>
    <col min="12845" max="12845" width="11.5546875" style="655" customWidth="1"/>
    <col min="12846" max="12846" width="11.21875" style="655" customWidth="1"/>
    <col min="12847" max="12847" width="2.88671875" style="655" customWidth="1"/>
    <col min="12848" max="12849" width="9.109375" style="655"/>
    <col min="12850" max="12850" width="11.21875" style="655" customWidth="1"/>
    <col min="12851" max="12851" width="2.21875" style="655" customWidth="1"/>
    <col min="12852" max="12852" width="9.109375" style="655"/>
    <col min="12853" max="12853" width="10.44140625" style="655" customWidth="1"/>
    <col min="12854" max="12854" width="9.109375" style="655"/>
    <col min="12855" max="12855" width="11.109375" style="655" customWidth="1"/>
    <col min="12856" max="12857" width="9.109375" style="655"/>
    <col min="12858" max="12858" width="10.88671875" style="655" customWidth="1"/>
    <col min="12859" max="12860" width="9.109375" style="655"/>
    <col min="12861" max="12861" width="1.5546875" style="655" customWidth="1"/>
    <col min="12862" max="12862" width="9.77734375" style="655" customWidth="1"/>
    <col min="12863" max="12866" width="9.109375" style="655"/>
    <col min="12867" max="12867" width="1.88671875" style="655" customWidth="1"/>
    <col min="12868" max="12868" width="9.88671875" style="655" customWidth="1"/>
    <col min="12869" max="12869" width="1.5546875" style="655" customWidth="1"/>
    <col min="12870" max="12870" width="11.44140625" style="655" customWidth="1"/>
    <col min="12871" max="12871" width="2.21875" style="655" customWidth="1"/>
    <col min="12872" max="12872" width="12" style="655" customWidth="1"/>
    <col min="12873" max="12873" width="2" style="655" customWidth="1"/>
    <col min="12874" max="12874" width="9.109375" style="655"/>
    <col min="12875" max="12875" width="11.109375" style="655" customWidth="1"/>
    <col min="12876" max="12876" width="12" style="655" customWidth="1"/>
    <col min="12877" max="12877" width="9.109375" style="655"/>
    <col min="12878" max="12878" width="11.88671875" style="655" customWidth="1"/>
    <col min="12879" max="12879" width="14.21875" style="655" customWidth="1"/>
    <col min="12880" max="12883" width="9.109375" style="655"/>
    <col min="12884" max="12884" width="3.44140625" style="655" customWidth="1"/>
    <col min="12885" max="12886" width="9.109375" style="655"/>
    <col min="12887" max="12887" width="11.44140625" style="655" customWidth="1"/>
    <col min="12888" max="12888" width="2.77734375" style="655" customWidth="1"/>
    <col min="12889" max="13071" width="9.109375" style="655"/>
    <col min="13072" max="13072" width="9.5546875" style="655" customWidth="1"/>
    <col min="13073" max="13073" width="11" style="655" customWidth="1"/>
    <col min="13074" max="13075" width="11.21875" style="655" customWidth="1"/>
    <col min="13076" max="13076" width="11.5546875" style="655" customWidth="1"/>
    <col min="13077" max="13077" width="11.109375" style="655" customWidth="1"/>
    <col min="13078" max="13078" width="2" style="655" customWidth="1"/>
    <col min="13079" max="13079" width="13.5546875" style="655" customWidth="1"/>
    <col min="13080" max="13080" width="12.44140625" style="655" customWidth="1"/>
    <col min="13081" max="13081" width="13.5546875" style="655" customWidth="1"/>
    <col min="13082" max="13082" width="2.109375" style="655" customWidth="1"/>
    <col min="13083" max="13083" width="9.109375" style="655"/>
    <col min="13084" max="13084" width="10.21875" style="655" customWidth="1"/>
    <col min="13085" max="13085" width="1.88671875" style="655" customWidth="1"/>
    <col min="13086" max="13086" width="10.77734375" style="655" customWidth="1"/>
    <col min="13087" max="13087" width="9.109375" style="655"/>
    <col min="13088" max="13088" width="2.109375" style="655" customWidth="1"/>
    <col min="13089" max="13089" width="9.109375" style="655"/>
    <col min="13090" max="13090" width="11.21875" style="655" customWidth="1"/>
    <col min="13091" max="13091" width="12.77734375" style="655" customWidth="1"/>
    <col min="13092" max="13092" width="12.5546875" style="655" customWidth="1"/>
    <col min="13093" max="13093" width="2" style="655" customWidth="1"/>
    <col min="13094" max="13095" width="9.109375" style="655"/>
    <col min="13096" max="13096" width="11" style="655" customWidth="1"/>
    <col min="13097" max="13097" width="9.109375" style="655"/>
    <col min="13098" max="13098" width="2.21875" style="655" customWidth="1"/>
    <col min="13099" max="13099" width="11" style="655" customWidth="1"/>
    <col min="13100" max="13100" width="9.109375" style="655"/>
    <col min="13101" max="13101" width="11.5546875" style="655" customWidth="1"/>
    <col min="13102" max="13102" width="11.21875" style="655" customWidth="1"/>
    <col min="13103" max="13103" width="2.88671875" style="655" customWidth="1"/>
    <col min="13104" max="13105" width="9.109375" style="655"/>
    <col min="13106" max="13106" width="11.21875" style="655" customWidth="1"/>
    <col min="13107" max="13107" width="2.21875" style="655" customWidth="1"/>
    <col min="13108" max="13108" width="9.109375" style="655"/>
    <col min="13109" max="13109" width="10.44140625" style="655" customWidth="1"/>
    <col min="13110" max="13110" width="9.109375" style="655"/>
    <col min="13111" max="13111" width="11.109375" style="655" customWidth="1"/>
    <col min="13112" max="13113" width="9.109375" style="655"/>
    <col min="13114" max="13114" width="10.88671875" style="655" customWidth="1"/>
    <col min="13115" max="13116" width="9.109375" style="655"/>
    <col min="13117" max="13117" width="1.5546875" style="655" customWidth="1"/>
    <col min="13118" max="13118" width="9.77734375" style="655" customWidth="1"/>
    <col min="13119" max="13122" width="9.109375" style="655"/>
    <col min="13123" max="13123" width="1.88671875" style="655" customWidth="1"/>
    <col min="13124" max="13124" width="9.88671875" style="655" customWidth="1"/>
    <col min="13125" max="13125" width="1.5546875" style="655" customWidth="1"/>
    <col min="13126" max="13126" width="11.44140625" style="655" customWidth="1"/>
    <col min="13127" max="13127" width="2.21875" style="655" customWidth="1"/>
    <col min="13128" max="13128" width="12" style="655" customWidth="1"/>
    <col min="13129" max="13129" width="2" style="655" customWidth="1"/>
    <col min="13130" max="13130" width="9.109375" style="655"/>
    <col min="13131" max="13131" width="11.109375" style="655" customWidth="1"/>
    <col min="13132" max="13132" width="12" style="655" customWidth="1"/>
    <col min="13133" max="13133" width="9.109375" style="655"/>
    <col min="13134" max="13134" width="11.88671875" style="655" customWidth="1"/>
    <col min="13135" max="13135" width="14.21875" style="655" customWidth="1"/>
    <col min="13136" max="13139" width="9.109375" style="655"/>
    <col min="13140" max="13140" width="3.44140625" style="655" customWidth="1"/>
    <col min="13141" max="13142" width="9.109375" style="655"/>
    <col min="13143" max="13143" width="11.44140625" style="655" customWidth="1"/>
    <col min="13144" max="13144" width="2.77734375" style="655" customWidth="1"/>
    <col min="13145" max="13327" width="9.109375" style="655"/>
    <col min="13328" max="13328" width="9.5546875" style="655" customWidth="1"/>
    <col min="13329" max="13329" width="11" style="655" customWidth="1"/>
    <col min="13330" max="13331" width="11.21875" style="655" customWidth="1"/>
    <col min="13332" max="13332" width="11.5546875" style="655" customWidth="1"/>
    <col min="13333" max="13333" width="11.109375" style="655" customWidth="1"/>
    <col min="13334" max="13334" width="2" style="655" customWidth="1"/>
    <col min="13335" max="13335" width="13.5546875" style="655" customWidth="1"/>
    <col min="13336" max="13336" width="12.44140625" style="655" customWidth="1"/>
    <col min="13337" max="13337" width="13.5546875" style="655" customWidth="1"/>
    <col min="13338" max="13338" width="2.109375" style="655" customWidth="1"/>
    <col min="13339" max="13339" width="9.109375" style="655"/>
    <col min="13340" max="13340" width="10.21875" style="655" customWidth="1"/>
    <col min="13341" max="13341" width="1.88671875" style="655" customWidth="1"/>
    <col min="13342" max="13342" width="10.77734375" style="655" customWidth="1"/>
    <col min="13343" max="13343" width="9.109375" style="655"/>
    <col min="13344" max="13344" width="2.109375" style="655" customWidth="1"/>
    <col min="13345" max="13345" width="9.109375" style="655"/>
    <col min="13346" max="13346" width="11.21875" style="655" customWidth="1"/>
    <col min="13347" max="13347" width="12.77734375" style="655" customWidth="1"/>
    <col min="13348" max="13348" width="12.5546875" style="655" customWidth="1"/>
    <col min="13349" max="13349" width="2" style="655" customWidth="1"/>
    <col min="13350" max="13351" width="9.109375" style="655"/>
    <col min="13352" max="13352" width="11" style="655" customWidth="1"/>
    <col min="13353" max="13353" width="9.109375" style="655"/>
    <col min="13354" max="13354" width="2.21875" style="655" customWidth="1"/>
    <col min="13355" max="13355" width="11" style="655" customWidth="1"/>
    <col min="13356" max="13356" width="9.109375" style="655"/>
    <col min="13357" max="13357" width="11.5546875" style="655" customWidth="1"/>
    <col min="13358" max="13358" width="11.21875" style="655" customWidth="1"/>
    <col min="13359" max="13359" width="2.88671875" style="655" customWidth="1"/>
    <col min="13360" max="13361" width="9.109375" style="655"/>
    <col min="13362" max="13362" width="11.21875" style="655" customWidth="1"/>
    <col min="13363" max="13363" width="2.21875" style="655" customWidth="1"/>
    <col min="13364" max="13364" width="9.109375" style="655"/>
    <col min="13365" max="13365" width="10.44140625" style="655" customWidth="1"/>
    <col min="13366" max="13366" width="9.109375" style="655"/>
    <col min="13367" max="13367" width="11.109375" style="655" customWidth="1"/>
    <col min="13368" max="13369" width="9.109375" style="655"/>
    <col min="13370" max="13370" width="10.88671875" style="655" customWidth="1"/>
    <col min="13371" max="13372" width="9.109375" style="655"/>
    <col min="13373" max="13373" width="1.5546875" style="655" customWidth="1"/>
    <col min="13374" max="13374" width="9.77734375" style="655" customWidth="1"/>
    <col min="13375" max="13378" width="9.109375" style="655"/>
    <col min="13379" max="13379" width="1.88671875" style="655" customWidth="1"/>
    <col min="13380" max="13380" width="9.88671875" style="655" customWidth="1"/>
    <col min="13381" max="13381" width="1.5546875" style="655" customWidth="1"/>
    <col min="13382" max="13382" width="11.44140625" style="655" customWidth="1"/>
    <col min="13383" max="13383" width="2.21875" style="655" customWidth="1"/>
    <col min="13384" max="13384" width="12" style="655" customWidth="1"/>
    <col min="13385" max="13385" width="2" style="655" customWidth="1"/>
    <col min="13386" max="13386" width="9.109375" style="655"/>
    <col min="13387" max="13387" width="11.109375" style="655" customWidth="1"/>
    <col min="13388" max="13388" width="12" style="655" customWidth="1"/>
    <col min="13389" max="13389" width="9.109375" style="655"/>
    <col min="13390" max="13390" width="11.88671875" style="655" customWidth="1"/>
    <col min="13391" max="13391" width="14.21875" style="655" customWidth="1"/>
    <col min="13392" max="13395" width="9.109375" style="655"/>
    <col min="13396" max="13396" width="3.44140625" style="655" customWidth="1"/>
    <col min="13397" max="13398" width="9.109375" style="655"/>
    <col min="13399" max="13399" width="11.44140625" style="655" customWidth="1"/>
    <col min="13400" max="13400" width="2.77734375" style="655" customWidth="1"/>
    <col min="13401" max="13583" width="9.109375" style="655"/>
    <col min="13584" max="13584" width="9.5546875" style="655" customWidth="1"/>
    <col min="13585" max="13585" width="11" style="655" customWidth="1"/>
    <col min="13586" max="13587" width="11.21875" style="655" customWidth="1"/>
    <col min="13588" max="13588" width="11.5546875" style="655" customWidth="1"/>
    <col min="13589" max="13589" width="11.109375" style="655" customWidth="1"/>
    <col min="13590" max="13590" width="2" style="655" customWidth="1"/>
    <col min="13591" max="13591" width="13.5546875" style="655" customWidth="1"/>
    <col min="13592" max="13592" width="12.44140625" style="655" customWidth="1"/>
    <col min="13593" max="13593" width="13.5546875" style="655" customWidth="1"/>
    <col min="13594" max="13594" width="2.109375" style="655" customWidth="1"/>
    <col min="13595" max="13595" width="9.109375" style="655"/>
    <col min="13596" max="13596" width="10.21875" style="655" customWidth="1"/>
    <col min="13597" max="13597" width="1.88671875" style="655" customWidth="1"/>
    <col min="13598" max="13598" width="10.77734375" style="655" customWidth="1"/>
    <col min="13599" max="13599" width="9.109375" style="655"/>
    <col min="13600" max="13600" width="2.109375" style="655" customWidth="1"/>
    <col min="13601" max="13601" width="9.109375" style="655"/>
    <col min="13602" max="13602" width="11.21875" style="655" customWidth="1"/>
    <col min="13603" max="13603" width="12.77734375" style="655" customWidth="1"/>
    <col min="13604" max="13604" width="12.5546875" style="655" customWidth="1"/>
    <col min="13605" max="13605" width="2" style="655" customWidth="1"/>
    <col min="13606" max="13607" width="9.109375" style="655"/>
    <col min="13608" max="13608" width="11" style="655" customWidth="1"/>
    <col min="13609" max="13609" width="9.109375" style="655"/>
    <col min="13610" max="13610" width="2.21875" style="655" customWidth="1"/>
    <col min="13611" max="13611" width="11" style="655" customWidth="1"/>
    <col min="13612" max="13612" width="9.109375" style="655"/>
    <col min="13613" max="13613" width="11.5546875" style="655" customWidth="1"/>
    <col min="13614" max="13614" width="11.21875" style="655" customWidth="1"/>
    <col min="13615" max="13615" width="2.88671875" style="655" customWidth="1"/>
    <col min="13616" max="13617" width="9.109375" style="655"/>
    <col min="13618" max="13618" width="11.21875" style="655" customWidth="1"/>
    <col min="13619" max="13619" width="2.21875" style="655" customWidth="1"/>
    <col min="13620" max="13620" width="9.109375" style="655"/>
    <col min="13621" max="13621" width="10.44140625" style="655" customWidth="1"/>
    <col min="13622" max="13622" width="9.109375" style="655"/>
    <col min="13623" max="13623" width="11.109375" style="655" customWidth="1"/>
    <col min="13624" max="13625" width="9.109375" style="655"/>
    <col min="13626" max="13626" width="10.88671875" style="655" customWidth="1"/>
    <col min="13627" max="13628" width="9.109375" style="655"/>
    <col min="13629" max="13629" width="1.5546875" style="655" customWidth="1"/>
    <col min="13630" max="13630" width="9.77734375" style="655" customWidth="1"/>
    <col min="13631" max="13634" width="9.109375" style="655"/>
    <col min="13635" max="13635" width="1.88671875" style="655" customWidth="1"/>
    <col min="13636" max="13636" width="9.88671875" style="655" customWidth="1"/>
    <col min="13637" max="13637" width="1.5546875" style="655" customWidth="1"/>
    <col min="13638" max="13638" width="11.44140625" style="655" customWidth="1"/>
    <col min="13639" max="13639" width="2.21875" style="655" customWidth="1"/>
    <col min="13640" max="13640" width="12" style="655" customWidth="1"/>
    <col min="13641" max="13641" width="2" style="655" customWidth="1"/>
    <col min="13642" max="13642" width="9.109375" style="655"/>
    <col min="13643" max="13643" width="11.109375" style="655" customWidth="1"/>
    <col min="13644" max="13644" width="12" style="655" customWidth="1"/>
    <col min="13645" max="13645" width="9.109375" style="655"/>
    <col min="13646" max="13646" width="11.88671875" style="655" customWidth="1"/>
    <col min="13647" max="13647" width="14.21875" style="655" customWidth="1"/>
    <col min="13648" max="13651" width="9.109375" style="655"/>
    <col min="13652" max="13652" width="3.44140625" style="655" customWidth="1"/>
    <col min="13653" max="13654" width="9.109375" style="655"/>
    <col min="13655" max="13655" width="11.44140625" style="655" customWidth="1"/>
    <col min="13656" max="13656" width="2.77734375" style="655" customWidth="1"/>
    <col min="13657" max="13839" width="9.109375" style="655"/>
    <col min="13840" max="13840" width="9.5546875" style="655" customWidth="1"/>
    <col min="13841" max="13841" width="11" style="655" customWidth="1"/>
    <col min="13842" max="13843" width="11.21875" style="655" customWidth="1"/>
    <col min="13844" max="13844" width="11.5546875" style="655" customWidth="1"/>
    <col min="13845" max="13845" width="11.109375" style="655" customWidth="1"/>
    <col min="13846" max="13846" width="2" style="655" customWidth="1"/>
    <col min="13847" max="13847" width="13.5546875" style="655" customWidth="1"/>
    <col min="13848" max="13848" width="12.44140625" style="655" customWidth="1"/>
    <col min="13849" max="13849" width="13.5546875" style="655" customWidth="1"/>
    <col min="13850" max="13850" width="2.109375" style="655" customWidth="1"/>
    <col min="13851" max="13851" width="9.109375" style="655"/>
    <col min="13852" max="13852" width="10.21875" style="655" customWidth="1"/>
    <col min="13853" max="13853" width="1.88671875" style="655" customWidth="1"/>
    <col min="13854" max="13854" width="10.77734375" style="655" customWidth="1"/>
    <col min="13855" max="13855" width="9.109375" style="655"/>
    <col min="13856" max="13856" width="2.109375" style="655" customWidth="1"/>
    <col min="13857" max="13857" width="9.109375" style="655"/>
    <col min="13858" max="13858" width="11.21875" style="655" customWidth="1"/>
    <col min="13859" max="13859" width="12.77734375" style="655" customWidth="1"/>
    <col min="13860" max="13860" width="12.5546875" style="655" customWidth="1"/>
    <col min="13861" max="13861" width="2" style="655" customWidth="1"/>
    <col min="13862" max="13863" width="9.109375" style="655"/>
    <col min="13864" max="13864" width="11" style="655" customWidth="1"/>
    <col min="13865" max="13865" width="9.109375" style="655"/>
    <col min="13866" max="13866" width="2.21875" style="655" customWidth="1"/>
    <col min="13867" max="13867" width="11" style="655" customWidth="1"/>
    <col min="13868" max="13868" width="9.109375" style="655"/>
    <col min="13869" max="13869" width="11.5546875" style="655" customWidth="1"/>
    <col min="13870" max="13870" width="11.21875" style="655" customWidth="1"/>
    <col min="13871" max="13871" width="2.88671875" style="655" customWidth="1"/>
    <col min="13872" max="13873" width="9.109375" style="655"/>
    <col min="13874" max="13874" width="11.21875" style="655" customWidth="1"/>
    <col min="13875" max="13875" width="2.21875" style="655" customWidth="1"/>
    <col min="13876" max="13876" width="9.109375" style="655"/>
    <col min="13877" max="13877" width="10.44140625" style="655" customWidth="1"/>
    <col min="13878" max="13878" width="9.109375" style="655"/>
    <col min="13879" max="13879" width="11.109375" style="655" customWidth="1"/>
    <col min="13880" max="13881" width="9.109375" style="655"/>
    <col min="13882" max="13882" width="10.88671875" style="655" customWidth="1"/>
    <col min="13883" max="13884" width="9.109375" style="655"/>
    <col min="13885" max="13885" width="1.5546875" style="655" customWidth="1"/>
    <col min="13886" max="13886" width="9.77734375" style="655" customWidth="1"/>
    <col min="13887" max="13890" width="9.109375" style="655"/>
    <col min="13891" max="13891" width="1.88671875" style="655" customWidth="1"/>
    <col min="13892" max="13892" width="9.88671875" style="655" customWidth="1"/>
    <col min="13893" max="13893" width="1.5546875" style="655" customWidth="1"/>
    <col min="13894" max="13894" width="11.44140625" style="655" customWidth="1"/>
    <col min="13895" max="13895" width="2.21875" style="655" customWidth="1"/>
    <col min="13896" max="13896" width="12" style="655" customWidth="1"/>
    <col min="13897" max="13897" width="2" style="655" customWidth="1"/>
    <col min="13898" max="13898" width="9.109375" style="655"/>
    <col min="13899" max="13899" width="11.109375" style="655" customWidth="1"/>
    <col min="13900" max="13900" width="12" style="655" customWidth="1"/>
    <col min="13901" max="13901" width="9.109375" style="655"/>
    <col min="13902" max="13902" width="11.88671875" style="655" customWidth="1"/>
    <col min="13903" max="13903" width="14.21875" style="655" customWidth="1"/>
    <col min="13904" max="13907" width="9.109375" style="655"/>
    <col min="13908" max="13908" width="3.44140625" style="655" customWidth="1"/>
    <col min="13909" max="13910" width="9.109375" style="655"/>
    <col min="13911" max="13911" width="11.44140625" style="655" customWidth="1"/>
    <col min="13912" max="13912" width="2.77734375" style="655" customWidth="1"/>
    <col min="13913" max="14095" width="9.109375" style="655"/>
    <col min="14096" max="14096" width="9.5546875" style="655" customWidth="1"/>
    <col min="14097" max="14097" width="11" style="655" customWidth="1"/>
    <col min="14098" max="14099" width="11.21875" style="655" customWidth="1"/>
    <col min="14100" max="14100" width="11.5546875" style="655" customWidth="1"/>
    <col min="14101" max="14101" width="11.109375" style="655" customWidth="1"/>
    <col min="14102" max="14102" width="2" style="655" customWidth="1"/>
    <col min="14103" max="14103" width="13.5546875" style="655" customWidth="1"/>
    <col min="14104" max="14104" width="12.44140625" style="655" customWidth="1"/>
    <col min="14105" max="14105" width="13.5546875" style="655" customWidth="1"/>
    <col min="14106" max="14106" width="2.109375" style="655" customWidth="1"/>
    <col min="14107" max="14107" width="9.109375" style="655"/>
    <col min="14108" max="14108" width="10.21875" style="655" customWidth="1"/>
    <col min="14109" max="14109" width="1.88671875" style="655" customWidth="1"/>
    <col min="14110" max="14110" width="10.77734375" style="655" customWidth="1"/>
    <col min="14111" max="14111" width="9.109375" style="655"/>
    <col min="14112" max="14112" width="2.109375" style="655" customWidth="1"/>
    <col min="14113" max="14113" width="9.109375" style="655"/>
    <col min="14114" max="14114" width="11.21875" style="655" customWidth="1"/>
    <col min="14115" max="14115" width="12.77734375" style="655" customWidth="1"/>
    <col min="14116" max="14116" width="12.5546875" style="655" customWidth="1"/>
    <col min="14117" max="14117" width="2" style="655" customWidth="1"/>
    <col min="14118" max="14119" width="9.109375" style="655"/>
    <col min="14120" max="14120" width="11" style="655" customWidth="1"/>
    <col min="14121" max="14121" width="9.109375" style="655"/>
    <col min="14122" max="14122" width="2.21875" style="655" customWidth="1"/>
    <col min="14123" max="14123" width="11" style="655" customWidth="1"/>
    <col min="14124" max="14124" width="9.109375" style="655"/>
    <col min="14125" max="14125" width="11.5546875" style="655" customWidth="1"/>
    <col min="14126" max="14126" width="11.21875" style="655" customWidth="1"/>
    <col min="14127" max="14127" width="2.88671875" style="655" customWidth="1"/>
    <col min="14128" max="14129" width="9.109375" style="655"/>
    <col min="14130" max="14130" width="11.21875" style="655" customWidth="1"/>
    <col min="14131" max="14131" width="2.21875" style="655" customWidth="1"/>
    <col min="14132" max="14132" width="9.109375" style="655"/>
    <col min="14133" max="14133" width="10.44140625" style="655" customWidth="1"/>
    <col min="14134" max="14134" width="9.109375" style="655"/>
    <col min="14135" max="14135" width="11.109375" style="655" customWidth="1"/>
    <col min="14136" max="14137" width="9.109375" style="655"/>
    <col min="14138" max="14138" width="10.88671875" style="655" customWidth="1"/>
    <col min="14139" max="14140" width="9.109375" style="655"/>
    <col min="14141" max="14141" width="1.5546875" style="655" customWidth="1"/>
    <col min="14142" max="14142" width="9.77734375" style="655" customWidth="1"/>
    <col min="14143" max="14146" width="9.109375" style="655"/>
    <col min="14147" max="14147" width="1.88671875" style="655" customWidth="1"/>
    <col min="14148" max="14148" width="9.88671875" style="655" customWidth="1"/>
    <col min="14149" max="14149" width="1.5546875" style="655" customWidth="1"/>
    <col min="14150" max="14150" width="11.44140625" style="655" customWidth="1"/>
    <col min="14151" max="14151" width="2.21875" style="655" customWidth="1"/>
    <col min="14152" max="14152" width="12" style="655" customWidth="1"/>
    <col min="14153" max="14153" width="2" style="655" customWidth="1"/>
    <col min="14154" max="14154" width="9.109375" style="655"/>
    <col min="14155" max="14155" width="11.109375" style="655" customWidth="1"/>
    <col min="14156" max="14156" width="12" style="655" customWidth="1"/>
    <col min="14157" max="14157" width="9.109375" style="655"/>
    <col min="14158" max="14158" width="11.88671875" style="655" customWidth="1"/>
    <col min="14159" max="14159" width="14.21875" style="655" customWidth="1"/>
    <col min="14160" max="14163" width="9.109375" style="655"/>
    <col min="14164" max="14164" width="3.44140625" style="655" customWidth="1"/>
    <col min="14165" max="14166" width="9.109375" style="655"/>
    <col min="14167" max="14167" width="11.44140625" style="655" customWidth="1"/>
    <col min="14168" max="14168" width="2.77734375" style="655" customWidth="1"/>
    <col min="14169" max="14351" width="9.109375" style="655"/>
    <col min="14352" max="14352" width="9.5546875" style="655" customWidth="1"/>
    <col min="14353" max="14353" width="11" style="655" customWidth="1"/>
    <col min="14354" max="14355" width="11.21875" style="655" customWidth="1"/>
    <col min="14356" max="14356" width="11.5546875" style="655" customWidth="1"/>
    <col min="14357" max="14357" width="11.109375" style="655" customWidth="1"/>
    <col min="14358" max="14358" width="2" style="655" customWidth="1"/>
    <col min="14359" max="14359" width="13.5546875" style="655" customWidth="1"/>
    <col min="14360" max="14360" width="12.44140625" style="655" customWidth="1"/>
    <col min="14361" max="14361" width="13.5546875" style="655" customWidth="1"/>
    <col min="14362" max="14362" width="2.109375" style="655" customWidth="1"/>
    <col min="14363" max="14363" width="9.109375" style="655"/>
    <col min="14364" max="14364" width="10.21875" style="655" customWidth="1"/>
    <col min="14365" max="14365" width="1.88671875" style="655" customWidth="1"/>
    <col min="14366" max="14366" width="10.77734375" style="655" customWidth="1"/>
    <col min="14367" max="14367" width="9.109375" style="655"/>
    <col min="14368" max="14368" width="2.109375" style="655" customWidth="1"/>
    <col min="14369" max="14369" width="9.109375" style="655"/>
    <col min="14370" max="14370" width="11.21875" style="655" customWidth="1"/>
    <col min="14371" max="14371" width="12.77734375" style="655" customWidth="1"/>
    <col min="14372" max="14372" width="12.5546875" style="655" customWidth="1"/>
    <col min="14373" max="14373" width="2" style="655" customWidth="1"/>
    <col min="14374" max="14375" width="9.109375" style="655"/>
    <col min="14376" max="14376" width="11" style="655" customWidth="1"/>
    <col min="14377" max="14377" width="9.109375" style="655"/>
    <col min="14378" max="14378" width="2.21875" style="655" customWidth="1"/>
    <col min="14379" max="14379" width="11" style="655" customWidth="1"/>
    <col min="14380" max="14380" width="9.109375" style="655"/>
    <col min="14381" max="14381" width="11.5546875" style="655" customWidth="1"/>
    <col min="14382" max="14382" width="11.21875" style="655" customWidth="1"/>
    <col min="14383" max="14383" width="2.88671875" style="655" customWidth="1"/>
    <col min="14384" max="14385" width="9.109375" style="655"/>
    <col min="14386" max="14386" width="11.21875" style="655" customWidth="1"/>
    <col min="14387" max="14387" width="2.21875" style="655" customWidth="1"/>
    <col min="14388" max="14388" width="9.109375" style="655"/>
    <col min="14389" max="14389" width="10.44140625" style="655" customWidth="1"/>
    <col min="14390" max="14390" width="9.109375" style="655"/>
    <col min="14391" max="14391" width="11.109375" style="655" customWidth="1"/>
    <col min="14392" max="14393" width="9.109375" style="655"/>
    <col min="14394" max="14394" width="10.88671875" style="655" customWidth="1"/>
    <col min="14395" max="14396" width="9.109375" style="655"/>
    <col min="14397" max="14397" width="1.5546875" style="655" customWidth="1"/>
    <col min="14398" max="14398" width="9.77734375" style="655" customWidth="1"/>
    <col min="14399" max="14402" width="9.109375" style="655"/>
    <col min="14403" max="14403" width="1.88671875" style="655" customWidth="1"/>
    <col min="14404" max="14404" width="9.88671875" style="655" customWidth="1"/>
    <col min="14405" max="14405" width="1.5546875" style="655" customWidth="1"/>
    <col min="14406" max="14406" width="11.44140625" style="655" customWidth="1"/>
    <col min="14407" max="14407" width="2.21875" style="655" customWidth="1"/>
    <col min="14408" max="14408" width="12" style="655" customWidth="1"/>
    <col min="14409" max="14409" width="2" style="655" customWidth="1"/>
    <col min="14410" max="14410" width="9.109375" style="655"/>
    <col min="14411" max="14411" width="11.109375" style="655" customWidth="1"/>
    <col min="14412" max="14412" width="12" style="655" customWidth="1"/>
    <col min="14413" max="14413" width="9.109375" style="655"/>
    <col min="14414" max="14414" width="11.88671875" style="655" customWidth="1"/>
    <col min="14415" max="14415" width="14.21875" style="655" customWidth="1"/>
    <col min="14416" max="14419" width="9.109375" style="655"/>
    <col min="14420" max="14420" width="3.44140625" style="655" customWidth="1"/>
    <col min="14421" max="14422" width="9.109375" style="655"/>
    <col min="14423" max="14423" width="11.44140625" style="655" customWidth="1"/>
    <col min="14424" max="14424" width="2.77734375" style="655" customWidth="1"/>
    <col min="14425" max="14607" width="9.109375" style="655"/>
    <col min="14608" max="14608" width="9.5546875" style="655" customWidth="1"/>
    <col min="14609" max="14609" width="11" style="655" customWidth="1"/>
    <col min="14610" max="14611" width="11.21875" style="655" customWidth="1"/>
    <col min="14612" max="14612" width="11.5546875" style="655" customWidth="1"/>
    <col min="14613" max="14613" width="11.109375" style="655" customWidth="1"/>
    <col min="14614" max="14614" width="2" style="655" customWidth="1"/>
    <col min="14615" max="14615" width="13.5546875" style="655" customWidth="1"/>
    <col min="14616" max="14616" width="12.44140625" style="655" customWidth="1"/>
    <col min="14617" max="14617" width="13.5546875" style="655" customWidth="1"/>
    <col min="14618" max="14618" width="2.109375" style="655" customWidth="1"/>
    <col min="14619" max="14619" width="9.109375" style="655"/>
    <col min="14620" max="14620" width="10.21875" style="655" customWidth="1"/>
    <col min="14621" max="14621" width="1.88671875" style="655" customWidth="1"/>
    <col min="14622" max="14622" width="10.77734375" style="655" customWidth="1"/>
    <col min="14623" max="14623" width="9.109375" style="655"/>
    <col min="14624" max="14624" width="2.109375" style="655" customWidth="1"/>
    <col min="14625" max="14625" width="9.109375" style="655"/>
    <col min="14626" max="14626" width="11.21875" style="655" customWidth="1"/>
    <col min="14627" max="14627" width="12.77734375" style="655" customWidth="1"/>
    <col min="14628" max="14628" width="12.5546875" style="655" customWidth="1"/>
    <col min="14629" max="14629" width="2" style="655" customWidth="1"/>
    <col min="14630" max="14631" width="9.109375" style="655"/>
    <col min="14632" max="14632" width="11" style="655" customWidth="1"/>
    <col min="14633" max="14633" width="9.109375" style="655"/>
    <col min="14634" max="14634" width="2.21875" style="655" customWidth="1"/>
    <col min="14635" max="14635" width="11" style="655" customWidth="1"/>
    <col min="14636" max="14636" width="9.109375" style="655"/>
    <col min="14637" max="14637" width="11.5546875" style="655" customWidth="1"/>
    <col min="14638" max="14638" width="11.21875" style="655" customWidth="1"/>
    <col min="14639" max="14639" width="2.88671875" style="655" customWidth="1"/>
    <col min="14640" max="14641" width="9.109375" style="655"/>
    <col min="14642" max="14642" width="11.21875" style="655" customWidth="1"/>
    <col min="14643" max="14643" width="2.21875" style="655" customWidth="1"/>
    <col min="14644" max="14644" width="9.109375" style="655"/>
    <col min="14645" max="14645" width="10.44140625" style="655" customWidth="1"/>
    <col min="14646" max="14646" width="9.109375" style="655"/>
    <col min="14647" max="14647" width="11.109375" style="655" customWidth="1"/>
    <col min="14648" max="14649" width="9.109375" style="655"/>
    <col min="14650" max="14650" width="10.88671875" style="655" customWidth="1"/>
    <col min="14651" max="14652" width="9.109375" style="655"/>
    <col min="14653" max="14653" width="1.5546875" style="655" customWidth="1"/>
    <col min="14654" max="14654" width="9.77734375" style="655" customWidth="1"/>
    <col min="14655" max="14658" width="9.109375" style="655"/>
    <col min="14659" max="14659" width="1.88671875" style="655" customWidth="1"/>
    <col min="14660" max="14660" width="9.88671875" style="655" customWidth="1"/>
    <col min="14661" max="14661" width="1.5546875" style="655" customWidth="1"/>
    <col min="14662" max="14662" width="11.44140625" style="655" customWidth="1"/>
    <col min="14663" max="14663" width="2.21875" style="655" customWidth="1"/>
    <col min="14664" max="14664" width="12" style="655" customWidth="1"/>
    <col min="14665" max="14665" width="2" style="655" customWidth="1"/>
    <col min="14666" max="14666" width="9.109375" style="655"/>
    <col min="14667" max="14667" width="11.109375" style="655" customWidth="1"/>
    <col min="14668" max="14668" width="12" style="655" customWidth="1"/>
    <col min="14669" max="14669" width="9.109375" style="655"/>
    <col min="14670" max="14670" width="11.88671875" style="655" customWidth="1"/>
    <col min="14671" max="14671" width="14.21875" style="655" customWidth="1"/>
    <col min="14672" max="14675" width="9.109375" style="655"/>
    <col min="14676" max="14676" width="3.44140625" style="655" customWidth="1"/>
    <col min="14677" max="14678" width="9.109375" style="655"/>
    <col min="14679" max="14679" width="11.44140625" style="655" customWidth="1"/>
    <col min="14680" max="14680" width="2.77734375" style="655" customWidth="1"/>
    <col min="14681" max="14863" width="9.109375" style="655"/>
    <col min="14864" max="14864" width="9.5546875" style="655" customWidth="1"/>
    <col min="14865" max="14865" width="11" style="655" customWidth="1"/>
    <col min="14866" max="14867" width="11.21875" style="655" customWidth="1"/>
    <col min="14868" max="14868" width="11.5546875" style="655" customWidth="1"/>
    <col min="14869" max="14869" width="11.109375" style="655" customWidth="1"/>
    <col min="14870" max="14870" width="2" style="655" customWidth="1"/>
    <col min="14871" max="14871" width="13.5546875" style="655" customWidth="1"/>
    <col min="14872" max="14872" width="12.44140625" style="655" customWidth="1"/>
    <col min="14873" max="14873" width="13.5546875" style="655" customWidth="1"/>
    <col min="14874" max="14874" width="2.109375" style="655" customWidth="1"/>
    <col min="14875" max="14875" width="9.109375" style="655"/>
    <col min="14876" max="14876" width="10.21875" style="655" customWidth="1"/>
    <col min="14877" max="14877" width="1.88671875" style="655" customWidth="1"/>
    <col min="14878" max="14878" width="10.77734375" style="655" customWidth="1"/>
    <col min="14879" max="14879" width="9.109375" style="655"/>
    <col min="14880" max="14880" width="2.109375" style="655" customWidth="1"/>
    <col min="14881" max="14881" width="9.109375" style="655"/>
    <col min="14882" max="14882" width="11.21875" style="655" customWidth="1"/>
    <col min="14883" max="14883" width="12.77734375" style="655" customWidth="1"/>
    <col min="14884" max="14884" width="12.5546875" style="655" customWidth="1"/>
    <col min="14885" max="14885" width="2" style="655" customWidth="1"/>
    <col min="14886" max="14887" width="9.109375" style="655"/>
    <col min="14888" max="14888" width="11" style="655" customWidth="1"/>
    <col min="14889" max="14889" width="9.109375" style="655"/>
    <col min="14890" max="14890" width="2.21875" style="655" customWidth="1"/>
    <col min="14891" max="14891" width="11" style="655" customWidth="1"/>
    <col min="14892" max="14892" width="9.109375" style="655"/>
    <col min="14893" max="14893" width="11.5546875" style="655" customWidth="1"/>
    <col min="14894" max="14894" width="11.21875" style="655" customWidth="1"/>
    <col min="14895" max="14895" width="2.88671875" style="655" customWidth="1"/>
    <col min="14896" max="14897" width="9.109375" style="655"/>
    <col min="14898" max="14898" width="11.21875" style="655" customWidth="1"/>
    <col min="14899" max="14899" width="2.21875" style="655" customWidth="1"/>
    <col min="14900" max="14900" width="9.109375" style="655"/>
    <col min="14901" max="14901" width="10.44140625" style="655" customWidth="1"/>
    <col min="14902" max="14902" width="9.109375" style="655"/>
    <col min="14903" max="14903" width="11.109375" style="655" customWidth="1"/>
    <col min="14904" max="14905" width="9.109375" style="655"/>
    <col min="14906" max="14906" width="10.88671875" style="655" customWidth="1"/>
    <col min="14907" max="14908" width="9.109375" style="655"/>
    <col min="14909" max="14909" width="1.5546875" style="655" customWidth="1"/>
    <col min="14910" max="14910" width="9.77734375" style="655" customWidth="1"/>
    <col min="14911" max="14914" width="9.109375" style="655"/>
    <col min="14915" max="14915" width="1.88671875" style="655" customWidth="1"/>
    <col min="14916" max="14916" width="9.88671875" style="655" customWidth="1"/>
    <col min="14917" max="14917" width="1.5546875" style="655" customWidth="1"/>
    <col min="14918" max="14918" width="11.44140625" style="655" customWidth="1"/>
    <col min="14919" max="14919" width="2.21875" style="655" customWidth="1"/>
    <col min="14920" max="14920" width="12" style="655" customWidth="1"/>
    <col min="14921" max="14921" width="2" style="655" customWidth="1"/>
    <col min="14922" max="14922" width="9.109375" style="655"/>
    <col min="14923" max="14923" width="11.109375" style="655" customWidth="1"/>
    <col min="14924" max="14924" width="12" style="655" customWidth="1"/>
    <col min="14925" max="14925" width="9.109375" style="655"/>
    <col min="14926" max="14926" width="11.88671875" style="655" customWidth="1"/>
    <col min="14927" max="14927" width="14.21875" style="655" customWidth="1"/>
    <col min="14928" max="14931" width="9.109375" style="655"/>
    <col min="14932" max="14932" width="3.44140625" style="655" customWidth="1"/>
    <col min="14933" max="14934" width="9.109375" style="655"/>
    <col min="14935" max="14935" width="11.44140625" style="655" customWidth="1"/>
    <col min="14936" max="14936" width="2.77734375" style="655" customWidth="1"/>
    <col min="14937" max="15119" width="9.109375" style="655"/>
    <col min="15120" max="15120" width="9.5546875" style="655" customWidth="1"/>
    <col min="15121" max="15121" width="11" style="655" customWidth="1"/>
    <col min="15122" max="15123" width="11.21875" style="655" customWidth="1"/>
    <col min="15124" max="15124" width="11.5546875" style="655" customWidth="1"/>
    <col min="15125" max="15125" width="11.109375" style="655" customWidth="1"/>
    <col min="15126" max="15126" width="2" style="655" customWidth="1"/>
    <col min="15127" max="15127" width="13.5546875" style="655" customWidth="1"/>
    <col min="15128" max="15128" width="12.44140625" style="655" customWidth="1"/>
    <col min="15129" max="15129" width="13.5546875" style="655" customWidth="1"/>
    <col min="15130" max="15130" width="2.109375" style="655" customWidth="1"/>
    <col min="15131" max="15131" width="9.109375" style="655"/>
    <col min="15132" max="15132" width="10.21875" style="655" customWidth="1"/>
    <col min="15133" max="15133" width="1.88671875" style="655" customWidth="1"/>
    <col min="15134" max="15134" width="10.77734375" style="655" customWidth="1"/>
    <col min="15135" max="15135" width="9.109375" style="655"/>
    <col min="15136" max="15136" width="2.109375" style="655" customWidth="1"/>
    <col min="15137" max="15137" width="9.109375" style="655"/>
    <col min="15138" max="15138" width="11.21875" style="655" customWidth="1"/>
    <col min="15139" max="15139" width="12.77734375" style="655" customWidth="1"/>
    <col min="15140" max="15140" width="12.5546875" style="655" customWidth="1"/>
    <col min="15141" max="15141" width="2" style="655" customWidth="1"/>
    <col min="15142" max="15143" width="9.109375" style="655"/>
    <col min="15144" max="15144" width="11" style="655" customWidth="1"/>
    <col min="15145" max="15145" width="9.109375" style="655"/>
    <col min="15146" max="15146" width="2.21875" style="655" customWidth="1"/>
    <col min="15147" max="15147" width="11" style="655" customWidth="1"/>
    <col min="15148" max="15148" width="9.109375" style="655"/>
    <col min="15149" max="15149" width="11.5546875" style="655" customWidth="1"/>
    <col min="15150" max="15150" width="11.21875" style="655" customWidth="1"/>
    <col min="15151" max="15151" width="2.88671875" style="655" customWidth="1"/>
    <col min="15152" max="15153" width="9.109375" style="655"/>
    <col min="15154" max="15154" width="11.21875" style="655" customWidth="1"/>
    <col min="15155" max="15155" width="2.21875" style="655" customWidth="1"/>
    <col min="15156" max="15156" width="9.109375" style="655"/>
    <col min="15157" max="15157" width="10.44140625" style="655" customWidth="1"/>
    <col min="15158" max="15158" width="9.109375" style="655"/>
    <col min="15159" max="15159" width="11.109375" style="655" customWidth="1"/>
    <col min="15160" max="15161" width="9.109375" style="655"/>
    <col min="15162" max="15162" width="10.88671875" style="655" customWidth="1"/>
    <col min="15163" max="15164" width="9.109375" style="655"/>
    <col min="15165" max="15165" width="1.5546875" style="655" customWidth="1"/>
    <col min="15166" max="15166" width="9.77734375" style="655" customWidth="1"/>
    <col min="15167" max="15170" width="9.109375" style="655"/>
    <col min="15171" max="15171" width="1.88671875" style="655" customWidth="1"/>
    <col min="15172" max="15172" width="9.88671875" style="655" customWidth="1"/>
    <col min="15173" max="15173" width="1.5546875" style="655" customWidth="1"/>
    <col min="15174" max="15174" width="11.44140625" style="655" customWidth="1"/>
    <col min="15175" max="15175" width="2.21875" style="655" customWidth="1"/>
    <col min="15176" max="15176" width="12" style="655" customWidth="1"/>
    <col min="15177" max="15177" width="2" style="655" customWidth="1"/>
    <col min="15178" max="15178" width="9.109375" style="655"/>
    <col min="15179" max="15179" width="11.109375" style="655" customWidth="1"/>
    <col min="15180" max="15180" width="12" style="655" customWidth="1"/>
    <col min="15181" max="15181" width="9.109375" style="655"/>
    <col min="15182" max="15182" width="11.88671875" style="655" customWidth="1"/>
    <col min="15183" max="15183" width="14.21875" style="655" customWidth="1"/>
    <col min="15184" max="15187" width="9.109375" style="655"/>
    <col min="15188" max="15188" width="3.44140625" style="655" customWidth="1"/>
    <col min="15189" max="15190" width="9.109375" style="655"/>
    <col min="15191" max="15191" width="11.44140625" style="655" customWidth="1"/>
    <col min="15192" max="15192" width="2.77734375" style="655" customWidth="1"/>
    <col min="15193" max="15375" width="9.109375" style="655"/>
    <col min="15376" max="15376" width="9.5546875" style="655" customWidth="1"/>
    <col min="15377" max="15377" width="11" style="655" customWidth="1"/>
    <col min="15378" max="15379" width="11.21875" style="655" customWidth="1"/>
    <col min="15380" max="15380" width="11.5546875" style="655" customWidth="1"/>
    <col min="15381" max="15381" width="11.109375" style="655" customWidth="1"/>
    <col min="15382" max="15382" width="2" style="655" customWidth="1"/>
    <col min="15383" max="15383" width="13.5546875" style="655" customWidth="1"/>
    <col min="15384" max="15384" width="12.44140625" style="655" customWidth="1"/>
    <col min="15385" max="15385" width="13.5546875" style="655" customWidth="1"/>
    <col min="15386" max="15386" width="2.109375" style="655" customWidth="1"/>
    <col min="15387" max="15387" width="9.109375" style="655"/>
    <col min="15388" max="15388" width="10.21875" style="655" customWidth="1"/>
    <col min="15389" max="15389" width="1.88671875" style="655" customWidth="1"/>
    <col min="15390" max="15390" width="10.77734375" style="655" customWidth="1"/>
    <col min="15391" max="15391" width="9.109375" style="655"/>
    <col min="15392" max="15392" width="2.109375" style="655" customWidth="1"/>
    <col min="15393" max="15393" width="9.109375" style="655"/>
    <col min="15394" max="15394" width="11.21875" style="655" customWidth="1"/>
    <col min="15395" max="15395" width="12.77734375" style="655" customWidth="1"/>
    <col min="15396" max="15396" width="12.5546875" style="655" customWidth="1"/>
    <col min="15397" max="15397" width="2" style="655" customWidth="1"/>
    <col min="15398" max="15399" width="9.109375" style="655"/>
    <col min="15400" max="15400" width="11" style="655" customWidth="1"/>
    <col min="15401" max="15401" width="9.109375" style="655"/>
    <col min="15402" max="15402" width="2.21875" style="655" customWidth="1"/>
    <col min="15403" max="15403" width="11" style="655" customWidth="1"/>
    <col min="15404" max="15404" width="9.109375" style="655"/>
    <col min="15405" max="15405" width="11.5546875" style="655" customWidth="1"/>
    <col min="15406" max="15406" width="11.21875" style="655" customWidth="1"/>
    <col min="15407" max="15407" width="2.88671875" style="655" customWidth="1"/>
    <col min="15408" max="15409" width="9.109375" style="655"/>
    <col min="15410" max="15410" width="11.21875" style="655" customWidth="1"/>
    <col min="15411" max="15411" width="2.21875" style="655" customWidth="1"/>
    <col min="15412" max="15412" width="9.109375" style="655"/>
    <col min="15413" max="15413" width="10.44140625" style="655" customWidth="1"/>
    <col min="15414" max="15414" width="9.109375" style="655"/>
    <col min="15415" max="15415" width="11.109375" style="655" customWidth="1"/>
    <col min="15416" max="15417" width="9.109375" style="655"/>
    <col min="15418" max="15418" width="10.88671875" style="655" customWidth="1"/>
    <col min="15419" max="15420" width="9.109375" style="655"/>
    <col min="15421" max="15421" width="1.5546875" style="655" customWidth="1"/>
    <col min="15422" max="15422" width="9.77734375" style="655" customWidth="1"/>
    <col min="15423" max="15426" width="9.109375" style="655"/>
    <col min="15427" max="15427" width="1.88671875" style="655" customWidth="1"/>
    <col min="15428" max="15428" width="9.88671875" style="655" customWidth="1"/>
    <col min="15429" max="15429" width="1.5546875" style="655" customWidth="1"/>
    <col min="15430" max="15430" width="11.44140625" style="655" customWidth="1"/>
    <col min="15431" max="15431" width="2.21875" style="655" customWidth="1"/>
    <col min="15432" max="15432" width="12" style="655" customWidth="1"/>
    <col min="15433" max="15433" width="2" style="655" customWidth="1"/>
    <col min="15434" max="15434" width="9.109375" style="655"/>
    <col min="15435" max="15435" width="11.109375" style="655" customWidth="1"/>
    <col min="15436" max="15436" width="12" style="655" customWidth="1"/>
    <col min="15437" max="15437" width="9.109375" style="655"/>
    <col min="15438" max="15438" width="11.88671875" style="655" customWidth="1"/>
    <col min="15439" max="15439" width="14.21875" style="655" customWidth="1"/>
    <col min="15440" max="15443" width="9.109375" style="655"/>
    <col min="15444" max="15444" width="3.44140625" style="655" customWidth="1"/>
    <col min="15445" max="15446" width="9.109375" style="655"/>
    <col min="15447" max="15447" width="11.44140625" style="655" customWidth="1"/>
    <col min="15448" max="15448" width="2.77734375" style="655" customWidth="1"/>
    <col min="15449" max="15631" width="9.109375" style="655"/>
    <col min="15632" max="15632" width="9.5546875" style="655" customWidth="1"/>
    <col min="15633" max="15633" width="11" style="655" customWidth="1"/>
    <col min="15634" max="15635" width="11.21875" style="655" customWidth="1"/>
    <col min="15636" max="15636" width="11.5546875" style="655" customWidth="1"/>
    <col min="15637" max="15637" width="11.109375" style="655" customWidth="1"/>
    <col min="15638" max="15638" width="2" style="655" customWidth="1"/>
    <col min="15639" max="15639" width="13.5546875" style="655" customWidth="1"/>
    <col min="15640" max="15640" width="12.44140625" style="655" customWidth="1"/>
    <col min="15641" max="15641" width="13.5546875" style="655" customWidth="1"/>
    <col min="15642" max="15642" width="2.109375" style="655" customWidth="1"/>
    <col min="15643" max="15643" width="9.109375" style="655"/>
    <col min="15644" max="15644" width="10.21875" style="655" customWidth="1"/>
    <col min="15645" max="15645" width="1.88671875" style="655" customWidth="1"/>
    <col min="15646" max="15646" width="10.77734375" style="655" customWidth="1"/>
    <col min="15647" max="15647" width="9.109375" style="655"/>
    <col min="15648" max="15648" width="2.109375" style="655" customWidth="1"/>
    <col min="15649" max="15649" width="9.109375" style="655"/>
    <col min="15650" max="15650" width="11.21875" style="655" customWidth="1"/>
    <col min="15651" max="15651" width="12.77734375" style="655" customWidth="1"/>
    <col min="15652" max="15652" width="12.5546875" style="655" customWidth="1"/>
    <col min="15653" max="15653" width="2" style="655" customWidth="1"/>
    <col min="15654" max="15655" width="9.109375" style="655"/>
    <col min="15656" max="15656" width="11" style="655" customWidth="1"/>
    <col min="15657" max="15657" width="9.109375" style="655"/>
    <col min="15658" max="15658" width="2.21875" style="655" customWidth="1"/>
    <col min="15659" max="15659" width="11" style="655" customWidth="1"/>
    <col min="15660" max="15660" width="9.109375" style="655"/>
    <col min="15661" max="15661" width="11.5546875" style="655" customWidth="1"/>
    <col min="15662" max="15662" width="11.21875" style="655" customWidth="1"/>
    <col min="15663" max="15663" width="2.88671875" style="655" customWidth="1"/>
    <col min="15664" max="15665" width="9.109375" style="655"/>
    <col min="15666" max="15666" width="11.21875" style="655" customWidth="1"/>
    <col min="15667" max="15667" width="2.21875" style="655" customWidth="1"/>
    <col min="15668" max="15668" width="9.109375" style="655"/>
    <col min="15669" max="15669" width="10.44140625" style="655" customWidth="1"/>
    <col min="15670" max="15670" width="9.109375" style="655"/>
    <col min="15671" max="15671" width="11.109375" style="655" customWidth="1"/>
    <col min="15672" max="15673" width="9.109375" style="655"/>
    <col min="15674" max="15674" width="10.88671875" style="655" customWidth="1"/>
    <col min="15675" max="15676" width="9.109375" style="655"/>
    <col min="15677" max="15677" width="1.5546875" style="655" customWidth="1"/>
    <col min="15678" max="15678" width="9.77734375" style="655" customWidth="1"/>
    <col min="15679" max="15682" width="9.109375" style="655"/>
    <col min="15683" max="15683" width="1.88671875" style="655" customWidth="1"/>
    <col min="15684" max="15684" width="9.88671875" style="655" customWidth="1"/>
    <col min="15685" max="15685" width="1.5546875" style="655" customWidth="1"/>
    <col min="15686" max="15686" width="11.44140625" style="655" customWidth="1"/>
    <col min="15687" max="15687" width="2.21875" style="655" customWidth="1"/>
    <col min="15688" max="15688" width="12" style="655" customWidth="1"/>
    <col min="15689" max="15689" width="2" style="655" customWidth="1"/>
    <col min="15690" max="15690" width="9.109375" style="655"/>
    <col min="15691" max="15691" width="11.109375" style="655" customWidth="1"/>
    <col min="15692" max="15692" width="12" style="655" customWidth="1"/>
    <col min="15693" max="15693" width="9.109375" style="655"/>
    <col min="15694" max="15694" width="11.88671875" style="655" customWidth="1"/>
    <col min="15695" max="15695" width="14.21875" style="655" customWidth="1"/>
    <col min="15696" max="15699" width="9.109375" style="655"/>
    <col min="15700" max="15700" width="3.44140625" style="655" customWidth="1"/>
    <col min="15701" max="15702" width="9.109375" style="655"/>
    <col min="15703" max="15703" width="11.44140625" style="655" customWidth="1"/>
    <col min="15704" max="15704" width="2.77734375" style="655" customWidth="1"/>
    <col min="15705" max="15887" width="9.109375" style="655"/>
    <col min="15888" max="15888" width="9.5546875" style="655" customWidth="1"/>
    <col min="15889" max="15889" width="11" style="655" customWidth="1"/>
    <col min="15890" max="15891" width="11.21875" style="655" customWidth="1"/>
    <col min="15892" max="15892" width="11.5546875" style="655" customWidth="1"/>
    <col min="15893" max="15893" width="11.109375" style="655" customWidth="1"/>
    <col min="15894" max="15894" width="2" style="655" customWidth="1"/>
    <col min="15895" max="15895" width="13.5546875" style="655" customWidth="1"/>
    <col min="15896" max="15896" width="12.44140625" style="655" customWidth="1"/>
    <col min="15897" max="15897" width="13.5546875" style="655" customWidth="1"/>
    <col min="15898" max="15898" width="2.109375" style="655" customWidth="1"/>
    <col min="15899" max="15899" width="9.109375" style="655"/>
    <col min="15900" max="15900" width="10.21875" style="655" customWidth="1"/>
    <col min="15901" max="15901" width="1.88671875" style="655" customWidth="1"/>
    <col min="15902" max="15902" width="10.77734375" style="655" customWidth="1"/>
    <col min="15903" max="15903" width="9.109375" style="655"/>
    <col min="15904" max="15904" width="2.109375" style="655" customWidth="1"/>
    <col min="15905" max="15905" width="9.109375" style="655"/>
    <col min="15906" max="15906" width="11.21875" style="655" customWidth="1"/>
    <col min="15907" max="15907" width="12.77734375" style="655" customWidth="1"/>
    <col min="15908" max="15908" width="12.5546875" style="655" customWidth="1"/>
    <col min="15909" max="15909" width="2" style="655" customWidth="1"/>
    <col min="15910" max="15911" width="9.109375" style="655"/>
    <col min="15912" max="15912" width="11" style="655" customWidth="1"/>
    <col min="15913" max="15913" width="9.109375" style="655"/>
    <col min="15914" max="15914" width="2.21875" style="655" customWidth="1"/>
    <col min="15915" max="15915" width="11" style="655" customWidth="1"/>
    <col min="15916" max="15916" width="9.109375" style="655"/>
    <col min="15917" max="15917" width="11.5546875" style="655" customWidth="1"/>
    <col min="15918" max="15918" width="11.21875" style="655" customWidth="1"/>
    <col min="15919" max="15919" width="2.88671875" style="655" customWidth="1"/>
    <col min="15920" max="15921" width="9.109375" style="655"/>
    <col min="15922" max="15922" width="11.21875" style="655" customWidth="1"/>
    <col min="15923" max="15923" width="2.21875" style="655" customWidth="1"/>
    <col min="15924" max="15924" width="9.109375" style="655"/>
    <col min="15925" max="15925" width="10.44140625" style="655" customWidth="1"/>
    <col min="15926" max="15926" width="9.109375" style="655"/>
    <col min="15927" max="15927" width="11.109375" style="655" customWidth="1"/>
    <col min="15928" max="15929" width="9.109375" style="655"/>
    <col min="15930" max="15930" width="10.88671875" style="655" customWidth="1"/>
    <col min="15931" max="15932" width="9.109375" style="655"/>
    <col min="15933" max="15933" width="1.5546875" style="655" customWidth="1"/>
    <col min="15934" max="15934" width="9.77734375" style="655" customWidth="1"/>
    <col min="15935" max="15938" width="9.109375" style="655"/>
    <col min="15939" max="15939" width="1.88671875" style="655" customWidth="1"/>
    <col min="15940" max="15940" width="9.88671875" style="655" customWidth="1"/>
    <col min="15941" max="15941" width="1.5546875" style="655" customWidth="1"/>
    <col min="15942" max="15942" width="11.44140625" style="655" customWidth="1"/>
    <col min="15943" max="15943" width="2.21875" style="655" customWidth="1"/>
    <col min="15944" max="15944" width="12" style="655" customWidth="1"/>
    <col min="15945" max="15945" width="2" style="655" customWidth="1"/>
    <col min="15946" max="15946" width="9.109375" style="655"/>
    <col min="15947" max="15947" width="11.109375" style="655" customWidth="1"/>
    <col min="15948" max="15948" width="12" style="655" customWidth="1"/>
    <col min="15949" max="15949" width="9.109375" style="655"/>
    <col min="15950" max="15950" width="11.88671875" style="655" customWidth="1"/>
    <col min="15951" max="15951" width="14.21875" style="655" customWidth="1"/>
    <col min="15952" max="15955" width="9.109375" style="655"/>
    <col min="15956" max="15956" width="3.44140625" style="655" customWidth="1"/>
    <col min="15957" max="15958" width="9.109375" style="655"/>
    <col min="15959" max="15959" width="11.44140625" style="655" customWidth="1"/>
    <col min="15960" max="15960" width="2.77734375" style="655" customWidth="1"/>
    <col min="15961" max="16143" width="9.109375" style="655"/>
    <col min="16144" max="16144" width="9.5546875" style="655" customWidth="1"/>
    <col min="16145" max="16145" width="11" style="655" customWidth="1"/>
    <col min="16146" max="16147" width="11.21875" style="655" customWidth="1"/>
    <col min="16148" max="16148" width="11.5546875" style="655" customWidth="1"/>
    <col min="16149" max="16149" width="11.109375" style="655" customWidth="1"/>
    <col min="16150" max="16150" width="2" style="655" customWidth="1"/>
    <col min="16151" max="16151" width="13.5546875" style="655" customWidth="1"/>
    <col min="16152" max="16152" width="12.44140625" style="655" customWidth="1"/>
    <col min="16153" max="16153" width="13.5546875" style="655" customWidth="1"/>
    <col min="16154" max="16154" width="2.109375" style="655" customWidth="1"/>
    <col min="16155" max="16155" width="9.109375" style="655"/>
    <col min="16156" max="16156" width="10.21875" style="655" customWidth="1"/>
    <col min="16157" max="16157" width="1.88671875" style="655" customWidth="1"/>
    <col min="16158" max="16158" width="10.77734375" style="655" customWidth="1"/>
    <col min="16159" max="16159" width="9.109375" style="655"/>
    <col min="16160" max="16160" width="2.109375" style="655" customWidth="1"/>
    <col min="16161" max="16161" width="9.109375" style="655"/>
    <col min="16162" max="16162" width="11.21875" style="655" customWidth="1"/>
    <col min="16163" max="16163" width="12.77734375" style="655" customWidth="1"/>
    <col min="16164" max="16164" width="12.5546875" style="655" customWidth="1"/>
    <col min="16165" max="16165" width="2" style="655" customWidth="1"/>
    <col min="16166" max="16167" width="9.109375" style="655"/>
    <col min="16168" max="16168" width="11" style="655" customWidth="1"/>
    <col min="16169" max="16169" width="9.109375" style="655"/>
    <col min="16170" max="16170" width="2.21875" style="655" customWidth="1"/>
    <col min="16171" max="16171" width="11" style="655" customWidth="1"/>
    <col min="16172" max="16172" width="9.109375" style="655"/>
    <col min="16173" max="16173" width="11.5546875" style="655" customWidth="1"/>
    <col min="16174" max="16174" width="11.21875" style="655" customWidth="1"/>
    <col min="16175" max="16175" width="2.88671875" style="655" customWidth="1"/>
    <col min="16176" max="16177" width="9.109375" style="655"/>
    <col min="16178" max="16178" width="11.21875" style="655" customWidth="1"/>
    <col min="16179" max="16179" width="2.21875" style="655" customWidth="1"/>
    <col min="16180" max="16180" width="9.109375" style="655"/>
    <col min="16181" max="16181" width="10.44140625" style="655" customWidth="1"/>
    <col min="16182" max="16182" width="9.109375" style="655"/>
    <col min="16183" max="16183" width="11.109375" style="655" customWidth="1"/>
    <col min="16184" max="16185" width="9.109375" style="655"/>
    <col min="16186" max="16186" width="10.88671875" style="655" customWidth="1"/>
    <col min="16187" max="16188" width="9.109375" style="655"/>
    <col min="16189" max="16189" width="1.5546875" style="655" customWidth="1"/>
    <col min="16190" max="16190" width="9.77734375" style="655" customWidth="1"/>
    <col min="16191" max="16194" width="9.109375" style="655"/>
    <col min="16195" max="16195" width="1.88671875" style="655" customWidth="1"/>
    <col min="16196" max="16196" width="9.88671875" style="655" customWidth="1"/>
    <col min="16197" max="16197" width="1.5546875" style="655" customWidth="1"/>
    <col min="16198" max="16198" width="11.44140625" style="655" customWidth="1"/>
    <col min="16199" max="16199" width="2.21875" style="655" customWidth="1"/>
    <col min="16200" max="16200" width="12" style="655" customWidth="1"/>
    <col min="16201" max="16201" width="2" style="655" customWidth="1"/>
    <col min="16202" max="16202" width="9.109375" style="655"/>
    <col min="16203" max="16203" width="11.109375" style="655" customWidth="1"/>
    <col min="16204" max="16204" width="12" style="655" customWidth="1"/>
    <col min="16205" max="16205" width="9.109375" style="655"/>
    <col min="16206" max="16206" width="11.88671875" style="655" customWidth="1"/>
    <col min="16207" max="16207" width="14.21875" style="655" customWidth="1"/>
    <col min="16208" max="16211" width="9.109375" style="655"/>
    <col min="16212" max="16212" width="3.44140625" style="655" customWidth="1"/>
    <col min="16213" max="16214" width="9.109375" style="655"/>
    <col min="16215" max="16215" width="11.44140625" style="655" customWidth="1"/>
    <col min="16216" max="16216" width="2.77734375" style="655" customWidth="1"/>
    <col min="16217" max="16384" width="9.109375" style="655"/>
  </cols>
  <sheetData>
    <row r="1" spans="1:194" ht="15.6" x14ac:dyDescent="0.3">
      <c r="A1" s="178" t="s">
        <v>2058</v>
      </c>
      <c r="C1" s="24"/>
      <c r="G1" s="463" t="s">
        <v>504</v>
      </c>
      <c r="AA1" s="543"/>
      <c r="AB1" s="543"/>
      <c r="AC1" s="543"/>
      <c r="AD1" s="543"/>
      <c r="AE1" s="586"/>
      <c r="AF1" s="586"/>
      <c r="AG1" s="586"/>
      <c r="AH1" s="586"/>
      <c r="AI1" s="586"/>
      <c r="AJ1" s="586"/>
      <c r="AK1" s="586"/>
      <c r="AL1" s="586"/>
      <c r="AM1" s="586"/>
      <c r="AN1" s="586"/>
      <c r="AO1" s="586"/>
      <c r="AP1" s="586"/>
      <c r="AQ1" s="586"/>
      <c r="AR1" s="586"/>
      <c r="AS1" s="586"/>
      <c r="AT1" s="586"/>
      <c r="AU1" s="586"/>
      <c r="AV1" s="586"/>
      <c r="AW1" s="586"/>
      <c r="AX1" s="586"/>
      <c r="AY1" s="586"/>
      <c r="AZ1" s="586"/>
      <c r="BA1" s="586"/>
      <c r="BB1" s="586"/>
      <c r="BC1" s="586"/>
      <c r="BD1" s="586"/>
      <c r="BE1" s="586"/>
      <c r="BF1" s="586"/>
      <c r="BG1" s="586"/>
      <c r="BH1" s="586"/>
      <c r="BI1" s="586"/>
      <c r="BJ1" s="586"/>
      <c r="BK1" s="586"/>
      <c r="BL1" s="586"/>
      <c r="BM1" s="586"/>
      <c r="BN1" s="586"/>
      <c r="BO1" s="586"/>
      <c r="BP1" s="586"/>
      <c r="BQ1" s="586"/>
      <c r="BR1" s="586"/>
      <c r="BS1" s="586"/>
      <c r="BT1" s="586"/>
      <c r="BU1" s="586"/>
      <c r="BV1" s="586"/>
      <c r="BW1" s="586"/>
      <c r="BX1" s="586"/>
      <c r="BY1" s="586"/>
      <c r="BZ1" s="586"/>
      <c r="CA1" s="586"/>
      <c r="CO1" s="586"/>
      <c r="CP1" s="586"/>
      <c r="CQ1" s="586"/>
      <c r="CR1" s="586"/>
      <c r="CS1" s="586"/>
      <c r="CT1" s="586"/>
      <c r="CU1" s="586"/>
      <c r="CV1" s="586"/>
      <c r="CW1" s="586"/>
      <c r="CX1" s="586"/>
      <c r="CY1" s="586"/>
      <c r="CZ1" s="586"/>
      <c r="DA1" s="586"/>
      <c r="DB1" s="586"/>
      <c r="DC1" s="586"/>
      <c r="DD1" s="586"/>
      <c r="DE1" s="586"/>
      <c r="DF1" s="586"/>
      <c r="DG1" s="586"/>
      <c r="DH1" s="586"/>
      <c r="DI1" s="586"/>
      <c r="DJ1" s="586"/>
      <c r="DK1" s="586"/>
      <c r="DL1" s="586"/>
      <c r="DM1" s="586"/>
      <c r="DN1" s="586"/>
      <c r="DO1" s="586"/>
      <c r="DP1" s="586"/>
      <c r="DQ1" s="586"/>
      <c r="DR1" s="586"/>
      <c r="DS1" s="586"/>
      <c r="DT1" s="586"/>
      <c r="DU1" s="586"/>
      <c r="DV1" s="586"/>
      <c r="DW1" s="586"/>
      <c r="DX1" s="586"/>
      <c r="DY1" s="586"/>
      <c r="DZ1" s="586"/>
      <c r="EA1" s="586"/>
      <c r="EB1" s="586"/>
      <c r="EC1" s="543"/>
      <c r="ED1" s="543"/>
      <c r="EE1" s="543"/>
      <c r="EF1" s="543"/>
      <c r="EG1" s="586"/>
      <c r="EH1" s="586"/>
      <c r="EI1" s="586"/>
      <c r="EJ1" s="586"/>
      <c r="EK1" s="586"/>
      <c r="EL1" s="586"/>
      <c r="EM1" s="586"/>
      <c r="EN1" s="586"/>
      <c r="EO1" s="586"/>
      <c r="EP1" s="586"/>
      <c r="EQ1" s="586"/>
      <c r="ER1" s="586"/>
      <c r="ES1" s="586"/>
      <c r="ET1" s="586"/>
      <c r="EU1" s="586"/>
      <c r="EV1" s="586"/>
      <c r="EW1" s="586"/>
      <c r="EX1" s="586"/>
      <c r="EY1" s="586"/>
      <c r="EZ1" s="586"/>
      <c r="FA1" s="586"/>
      <c r="FB1" s="586"/>
      <c r="FC1" s="586"/>
      <c r="FD1" s="586"/>
      <c r="FE1" s="586"/>
      <c r="FF1" s="586"/>
      <c r="FG1" s="586"/>
      <c r="FH1" s="586"/>
      <c r="FI1" s="586"/>
      <c r="FJ1" s="586"/>
      <c r="FK1" s="586"/>
      <c r="FL1" s="586"/>
      <c r="FM1" s="586"/>
      <c r="FN1" s="586"/>
      <c r="FO1" s="586"/>
      <c r="FP1" s="586"/>
      <c r="FQ1" s="586"/>
      <c r="FR1" s="586"/>
      <c r="FS1" s="586"/>
      <c r="FT1" s="586"/>
      <c r="FU1" s="586"/>
      <c r="FV1" s="586"/>
      <c r="FW1" s="586"/>
      <c r="FX1" s="586"/>
      <c r="FY1" s="586"/>
      <c r="FZ1" s="586"/>
      <c r="GA1" s="586"/>
      <c r="GB1" s="586"/>
      <c r="GC1" s="586"/>
      <c r="GD1" s="586"/>
      <c r="GE1" s="586"/>
      <c r="GF1" s="586"/>
      <c r="GG1" s="586"/>
      <c r="GH1" s="586"/>
      <c r="GI1" s="586"/>
      <c r="GJ1" s="586"/>
      <c r="GK1" s="586"/>
      <c r="GL1" s="586"/>
    </row>
    <row r="2" spans="1:194" ht="12.75" customHeight="1" x14ac:dyDescent="0.3">
      <c r="C2" s="8"/>
      <c r="H2" s="8"/>
      <c r="I2" s="8"/>
      <c r="U2" s="24"/>
      <c r="AJ2" s="24"/>
      <c r="BK2" s="12"/>
      <c r="BM2" s="24"/>
      <c r="BN2" s="11"/>
      <c r="BO2" s="11"/>
      <c r="BP2" s="11"/>
      <c r="BQ2" s="12"/>
      <c r="CB2" s="11"/>
      <c r="CC2" s="11"/>
      <c r="CD2" s="11"/>
      <c r="CE2" s="11"/>
      <c r="CF2" s="11"/>
      <c r="CG2" s="11"/>
      <c r="CH2" s="11"/>
      <c r="CI2" s="11"/>
      <c r="CJ2" s="11"/>
      <c r="CK2" s="125"/>
      <c r="CL2" s="125"/>
      <c r="CM2" s="125"/>
      <c r="CN2" s="125"/>
      <c r="CO2" s="125"/>
      <c r="CP2" s="125"/>
      <c r="CQ2" s="125"/>
      <c r="CR2" s="125"/>
      <c r="CS2" s="125"/>
      <c r="CT2" s="125"/>
      <c r="CU2" s="125"/>
      <c r="CV2" s="125"/>
      <c r="CW2" s="125"/>
      <c r="CX2" s="125"/>
      <c r="CY2" s="125"/>
      <c r="CZ2" s="125"/>
      <c r="DA2" s="125"/>
      <c r="DB2" s="125"/>
      <c r="DC2" s="125"/>
      <c r="DD2" s="125"/>
      <c r="DE2" s="125"/>
      <c r="DF2" s="125"/>
      <c r="DG2" s="125"/>
      <c r="DH2" s="125"/>
      <c r="DI2" s="125"/>
      <c r="DJ2" s="125"/>
      <c r="DK2" s="125"/>
      <c r="DL2" s="125"/>
      <c r="DM2" s="125"/>
      <c r="DN2" s="125"/>
      <c r="DO2" s="125"/>
      <c r="DP2" s="125"/>
      <c r="DQ2" s="125"/>
      <c r="DR2" s="125"/>
      <c r="DS2" s="125"/>
      <c r="DT2" s="125"/>
      <c r="DU2" s="125"/>
      <c r="DV2" s="125"/>
      <c r="DW2" s="125"/>
      <c r="DX2" s="11"/>
      <c r="DY2" s="11"/>
      <c r="DZ2" s="11"/>
      <c r="EA2" s="11"/>
      <c r="EB2" s="11"/>
      <c r="EC2" s="125"/>
      <c r="ED2" s="11"/>
      <c r="EE2" s="11"/>
    </row>
    <row r="3" spans="1:194" ht="15" customHeight="1" x14ac:dyDescent="0.3">
      <c r="A3" s="412"/>
      <c r="B3" s="1417" t="s">
        <v>1320</v>
      </c>
      <c r="C3" s="1398" t="s">
        <v>698</v>
      </c>
      <c r="D3" s="1398"/>
      <c r="E3" s="1398"/>
      <c r="F3" s="1398"/>
      <c r="G3" s="1398"/>
      <c r="H3" s="1398"/>
      <c r="I3" s="1398"/>
      <c r="J3" s="589"/>
      <c r="K3" s="1398" t="s">
        <v>699</v>
      </c>
      <c r="L3" s="1398"/>
      <c r="M3" s="1398"/>
      <c r="N3" s="1398"/>
      <c r="O3" s="1398"/>
      <c r="P3" s="1398"/>
      <c r="Q3" s="1398"/>
      <c r="R3" s="589"/>
      <c r="S3" s="1398" t="s">
        <v>700</v>
      </c>
      <c r="T3" s="1398"/>
      <c r="U3" s="1398"/>
      <c r="V3" s="1398"/>
      <c r="W3" s="589"/>
      <c r="X3" s="1398" t="s">
        <v>701</v>
      </c>
      <c r="Y3" s="1398"/>
      <c r="Z3" s="1398"/>
      <c r="AA3" s="1398"/>
      <c r="AB3" s="1398"/>
      <c r="AC3" s="1398"/>
      <c r="AD3" s="1398"/>
      <c r="AE3" s="1398"/>
      <c r="AF3" s="1398"/>
      <c r="AG3" s="1398"/>
      <c r="AH3" s="1398"/>
      <c r="AI3" s="1398"/>
      <c r="AJ3" s="1398"/>
      <c r="AK3" s="1398"/>
      <c r="AL3" s="1398"/>
      <c r="AM3" s="589"/>
      <c r="AN3" s="1398" t="s">
        <v>1074</v>
      </c>
      <c r="AO3" s="1398"/>
      <c r="AP3" s="1398"/>
      <c r="AQ3" s="1398"/>
      <c r="AR3" s="1398"/>
      <c r="AS3" s="1398"/>
      <c r="AT3" s="1398"/>
      <c r="AU3" s="1398"/>
      <c r="AV3" s="1398"/>
      <c r="AW3" s="1398"/>
      <c r="AX3" s="589"/>
      <c r="AY3" s="1398" t="s">
        <v>702</v>
      </c>
      <c r="AZ3" s="1398"/>
      <c r="BA3" s="1398"/>
      <c r="BB3" s="862"/>
      <c r="BC3" s="845" t="s">
        <v>703</v>
      </c>
      <c r="BD3" s="589"/>
      <c r="BE3" s="1396" t="s">
        <v>693</v>
      </c>
      <c r="BF3" s="589"/>
      <c r="BG3" s="1423" t="s">
        <v>704</v>
      </c>
      <c r="BH3" s="589"/>
      <c r="BI3" s="1396" t="s">
        <v>730</v>
      </c>
      <c r="BJ3" s="1396"/>
      <c r="BK3" s="593"/>
      <c r="BL3" s="1396" t="s">
        <v>1457</v>
      </c>
      <c r="BM3" s="847"/>
      <c r="BN3" s="1404" t="s">
        <v>531</v>
      </c>
      <c r="BO3" s="1404"/>
      <c r="BP3" s="1404"/>
      <c r="BQ3" s="847"/>
      <c r="BR3" s="1398" t="s">
        <v>773</v>
      </c>
      <c r="BS3" s="1398"/>
      <c r="BT3" s="1398"/>
      <c r="BU3" s="1398"/>
      <c r="BV3" s="1398"/>
      <c r="BW3" s="1398"/>
      <c r="BX3" s="1398"/>
      <c r="BY3" s="1398"/>
      <c r="BZ3" s="1398"/>
      <c r="CA3" s="906"/>
      <c r="CB3" s="1404" t="s">
        <v>774</v>
      </c>
      <c r="CC3" s="1404"/>
      <c r="CD3" s="1404"/>
      <c r="CE3" s="1404"/>
      <c r="CF3" s="1404"/>
      <c r="CG3" s="1404"/>
      <c r="CH3" s="1404"/>
      <c r="CI3" s="1404"/>
      <c r="CJ3" s="1404"/>
      <c r="CK3" s="1404"/>
      <c r="CL3" s="1404"/>
      <c r="CM3" s="1404"/>
      <c r="CN3" s="1404"/>
      <c r="CO3" s="1404"/>
      <c r="CP3" s="1404"/>
      <c r="CQ3" s="1404"/>
      <c r="CR3" s="1404"/>
      <c r="CS3" s="1404"/>
      <c r="CT3" s="1404"/>
      <c r="CU3" s="1404"/>
      <c r="CV3" s="1404"/>
      <c r="CW3" s="1404"/>
      <c r="CX3" s="1404"/>
      <c r="CY3" s="1404"/>
      <c r="CZ3" s="1404"/>
      <c r="DA3" s="1404"/>
      <c r="DB3" s="1404"/>
      <c r="DC3" s="1404"/>
      <c r="DD3" s="1404"/>
      <c r="DE3" s="1404"/>
      <c r="DF3" s="1404"/>
      <c r="DG3" s="1404"/>
      <c r="DH3" s="1404"/>
      <c r="DI3" s="1404"/>
      <c r="DJ3" s="1404"/>
      <c r="DK3" s="1404"/>
      <c r="DL3" s="1404"/>
      <c r="DM3" s="1404"/>
      <c r="DN3" s="1404"/>
      <c r="DO3" s="1404"/>
      <c r="DP3" s="1404"/>
      <c r="DQ3" s="1404"/>
      <c r="DR3" s="1404"/>
      <c r="DS3" s="1404"/>
      <c r="DT3" s="1404"/>
      <c r="DU3" s="1404"/>
      <c r="DV3" s="1404"/>
      <c r="DW3" s="1404"/>
      <c r="DX3" s="1404"/>
      <c r="DY3" s="1404"/>
      <c r="DZ3" s="1404"/>
      <c r="EA3" s="856"/>
    </row>
    <row r="4" spans="1:194" ht="15" customHeight="1" x14ac:dyDescent="0.3">
      <c r="A4" s="591"/>
      <c r="B4" s="1418"/>
      <c r="C4" s="1401" t="s">
        <v>706</v>
      </c>
      <c r="D4" s="1401"/>
      <c r="E4" s="1401"/>
      <c r="F4" s="686"/>
      <c r="G4" s="1420" t="s">
        <v>707</v>
      </c>
      <c r="H4" s="1420"/>
      <c r="I4" s="1420"/>
      <c r="J4" s="604"/>
      <c r="K4" s="1401" t="s">
        <v>675</v>
      </c>
      <c r="L4" s="1401"/>
      <c r="M4" s="686"/>
      <c r="N4" s="1402" t="s">
        <v>1244</v>
      </c>
      <c r="O4" s="1402"/>
      <c r="P4" s="1402"/>
      <c r="Q4" s="1402"/>
      <c r="R4" s="604"/>
      <c r="S4" s="1401" t="s">
        <v>708</v>
      </c>
      <c r="T4" s="1401"/>
      <c r="U4" s="1399" t="s">
        <v>709</v>
      </c>
      <c r="V4" s="1399" t="s">
        <v>710</v>
      </c>
      <c r="W4" s="593"/>
      <c r="X4" s="1419" t="s">
        <v>711</v>
      </c>
      <c r="Y4" s="1419"/>
      <c r="Z4" s="1419"/>
      <c r="AA4" s="1419"/>
      <c r="AB4" s="851"/>
      <c r="AC4" s="1403" t="s">
        <v>712</v>
      </c>
      <c r="AD4" s="1403"/>
      <c r="AE4" s="1403"/>
      <c r="AF4" s="1403"/>
      <c r="AG4" s="1403"/>
      <c r="AH4" s="1403"/>
      <c r="AI4" s="1403"/>
      <c r="AJ4" s="1403"/>
      <c r="AK4" s="1403"/>
      <c r="AL4" s="1403"/>
      <c r="AM4" s="593"/>
      <c r="AN4" s="1412" t="s">
        <v>1072</v>
      </c>
      <c r="AO4" s="1412"/>
      <c r="AP4" s="1412"/>
      <c r="AQ4" s="1401" t="s">
        <v>1073</v>
      </c>
      <c r="AR4" s="1401"/>
      <c r="AS4" s="1401"/>
      <c r="AT4" s="850"/>
      <c r="AU4" s="1419" t="s">
        <v>924</v>
      </c>
      <c r="AV4" s="1419"/>
      <c r="AW4" s="1419"/>
      <c r="AX4" s="593"/>
      <c r="AY4" s="1419" t="s">
        <v>570</v>
      </c>
      <c r="AZ4" s="1419"/>
      <c r="BA4" s="1399" t="s">
        <v>1325</v>
      </c>
      <c r="BB4" s="838"/>
      <c r="BC4" s="1397"/>
      <c r="BD4" s="593"/>
      <c r="BE4" s="1397"/>
      <c r="BF4" s="593"/>
      <c r="BG4" s="1424"/>
      <c r="BH4" s="593"/>
      <c r="BI4" s="1404"/>
      <c r="BJ4" s="1404"/>
      <c r="BK4" s="593"/>
      <c r="BL4" s="1404"/>
      <c r="BM4" s="839"/>
      <c r="BN4" s="1419" t="s">
        <v>676</v>
      </c>
      <c r="BO4" s="1419"/>
      <c r="BP4" s="1419"/>
      <c r="BQ4" s="851"/>
      <c r="BR4" s="1419" t="s">
        <v>715</v>
      </c>
      <c r="BS4" s="1419"/>
      <c r="BT4" s="1419"/>
      <c r="BU4" s="1419"/>
      <c r="BV4" s="1419"/>
      <c r="BW4" s="1419"/>
      <c r="BX4" s="1419"/>
      <c r="BY4" s="1419"/>
      <c r="BZ4" s="1419"/>
      <c r="CA4" s="907"/>
      <c r="CB4" s="1403" t="s">
        <v>751</v>
      </c>
      <c r="CC4" s="1403"/>
      <c r="CD4" s="1403"/>
      <c r="CE4" s="1403"/>
      <c r="CF4" s="594"/>
      <c r="CG4" s="1403" t="s">
        <v>716</v>
      </c>
      <c r="CH4" s="1403"/>
      <c r="CI4" s="1403"/>
      <c r="CJ4" s="594"/>
      <c r="CK4" s="1408" t="s">
        <v>767</v>
      </c>
      <c r="CL4" s="1408" t="s">
        <v>1082</v>
      </c>
      <c r="CM4" s="1408" t="s">
        <v>1370</v>
      </c>
      <c r="CN4" s="1408" t="s">
        <v>789</v>
      </c>
      <c r="CO4" s="1408" t="s">
        <v>790</v>
      </c>
      <c r="CP4" s="1408" t="s">
        <v>768</v>
      </c>
      <c r="CQ4" s="1408" t="s">
        <v>769</v>
      </c>
      <c r="CR4" s="1408" t="s">
        <v>770</v>
      </c>
      <c r="CS4" s="1408" t="s">
        <v>772</v>
      </c>
      <c r="CT4" s="1408" t="s">
        <v>783</v>
      </c>
      <c r="CU4" s="1408" t="s">
        <v>1292</v>
      </c>
      <c r="CV4" s="1408" t="s">
        <v>1323</v>
      </c>
      <c r="CW4" s="1408" t="s">
        <v>1324</v>
      </c>
      <c r="CX4" s="1408" t="s">
        <v>846</v>
      </c>
      <c r="CY4" s="1408" t="s">
        <v>850</v>
      </c>
      <c r="CZ4" s="1408" t="s">
        <v>859</v>
      </c>
      <c r="DA4" s="1408" t="s">
        <v>849</v>
      </c>
      <c r="DB4" s="1408" t="s">
        <v>854</v>
      </c>
      <c r="DC4" s="1408" t="s">
        <v>855</v>
      </c>
      <c r="DD4" s="1408" t="s">
        <v>713</v>
      </c>
      <c r="DE4" s="1408" t="s">
        <v>597</v>
      </c>
      <c r="DF4" s="1403" t="s">
        <v>714</v>
      </c>
      <c r="DG4" s="1403"/>
      <c r="DH4" s="1403"/>
      <c r="DI4" s="1403"/>
      <c r="DJ4" s="1407" t="s">
        <v>856</v>
      </c>
      <c r="DK4" s="1400" t="s">
        <v>1475</v>
      </c>
      <c r="DL4" s="1408" t="s">
        <v>760</v>
      </c>
      <c r="DM4" s="1408" t="s">
        <v>1070</v>
      </c>
      <c r="DN4" s="1403" t="s">
        <v>727</v>
      </c>
      <c r="DO4" s="1403"/>
      <c r="DP4" s="1403"/>
      <c r="DQ4" s="1403"/>
      <c r="DR4" s="851"/>
      <c r="DS4" s="1408" t="s">
        <v>1123</v>
      </c>
      <c r="DT4" s="1414" t="s">
        <v>649</v>
      </c>
      <c r="DU4" s="1400" t="s">
        <v>710</v>
      </c>
      <c r="DW4" s="1403" t="s">
        <v>1134</v>
      </c>
      <c r="DX4" s="1403"/>
      <c r="DY4" s="1403"/>
      <c r="DZ4" s="1403"/>
      <c r="EA4" s="855"/>
      <c r="EB4" s="1413" t="s">
        <v>696</v>
      </c>
      <c r="EC4" s="1400" t="s">
        <v>722</v>
      </c>
      <c r="ED4" s="1413" t="s">
        <v>526</v>
      </c>
      <c r="EE4" s="1400" t="s">
        <v>1371</v>
      </c>
      <c r="EF4" s="1400"/>
    </row>
    <row r="5" spans="1:194" s="170" customFormat="1" ht="27" customHeight="1" x14ac:dyDescent="0.3">
      <c r="A5" s="591"/>
      <c r="B5" s="1418"/>
      <c r="C5" s="1400" t="s">
        <v>1448</v>
      </c>
      <c r="D5" s="1400" t="s">
        <v>1054</v>
      </c>
      <c r="E5" s="1400" t="s">
        <v>717</v>
      </c>
      <c r="F5" s="838"/>
      <c r="G5" s="1426" t="s">
        <v>718</v>
      </c>
      <c r="H5" s="1426"/>
      <c r="I5" s="1399" t="s">
        <v>1447</v>
      </c>
      <c r="J5" s="604"/>
      <c r="K5" s="1400" t="s">
        <v>1770</v>
      </c>
      <c r="L5" s="1400" t="s">
        <v>717</v>
      </c>
      <c r="M5" s="838"/>
      <c r="N5" s="1400" t="s">
        <v>1030</v>
      </c>
      <c r="O5" s="1400" t="s">
        <v>1029</v>
      </c>
      <c r="P5" s="1400" t="s">
        <v>751</v>
      </c>
      <c r="Q5" s="1400" t="s">
        <v>717</v>
      </c>
      <c r="R5" s="604"/>
      <c r="S5" s="1400" t="s">
        <v>719</v>
      </c>
      <c r="T5" s="1400" t="s">
        <v>717</v>
      </c>
      <c r="U5" s="1400"/>
      <c r="V5" s="1400"/>
      <c r="W5" s="593"/>
      <c r="X5" s="1407" t="s">
        <v>2094</v>
      </c>
      <c r="Y5" s="1407" t="s">
        <v>858</v>
      </c>
      <c r="Z5" s="1407" t="s">
        <v>1077</v>
      </c>
      <c r="AA5" s="1407" t="s">
        <v>722</v>
      </c>
      <c r="AB5" s="839"/>
      <c r="AC5" s="1410" t="s">
        <v>723</v>
      </c>
      <c r="AD5" s="1410"/>
      <c r="AE5" s="1410"/>
      <c r="AF5" s="1410"/>
      <c r="AG5" s="1410"/>
      <c r="AH5" s="1410"/>
      <c r="AI5" s="839"/>
      <c r="AJ5" s="1419" t="s">
        <v>724</v>
      </c>
      <c r="AK5" s="1419"/>
      <c r="AL5" s="1419"/>
      <c r="AM5" s="593"/>
      <c r="AN5" s="1388"/>
      <c r="AO5" s="1388"/>
      <c r="AP5" s="1388"/>
      <c r="AQ5" s="1411" t="s">
        <v>719</v>
      </c>
      <c r="AR5" s="1399" t="s">
        <v>858</v>
      </c>
      <c r="AS5" s="1399" t="s">
        <v>1077</v>
      </c>
      <c r="AT5" s="839"/>
      <c r="AU5" s="1407" t="s">
        <v>857</v>
      </c>
      <c r="AV5" s="1399" t="s">
        <v>858</v>
      </c>
      <c r="AW5" s="1399" t="s">
        <v>721</v>
      </c>
      <c r="AX5" s="593"/>
      <c r="AY5" s="1407" t="s">
        <v>725</v>
      </c>
      <c r="AZ5" s="1399" t="s">
        <v>726</v>
      </c>
      <c r="BA5" s="1400"/>
      <c r="BB5" s="838"/>
      <c r="BC5" s="1397"/>
      <c r="BD5" s="604"/>
      <c r="BE5" s="1397"/>
      <c r="BF5" s="604"/>
      <c r="BG5" s="1424"/>
      <c r="BH5" s="593"/>
      <c r="BI5" s="1409" t="s">
        <v>1453</v>
      </c>
      <c r="BJ5" s="1415" t="s">
        <v>1452</v>
      </c>
      <c r="BK5" s="593"/>
      <c r="BL5" s="1409"/>
      <c r="BM5" s="839"/>
      <c r="BN5" s="1400" t="s">
        <v>765</v>
      </c>
      <c r="BO5" s="1400" t="s">
        <v>766</v>
      </c>
      <c r="BP5" s="1400" t="s">
        <v>764</v>
      </c>
      <c r="BQ5" s="838"/>
      <c r="BR5" s="1407" t="s">
        <v>1451</v>
      </c>
      <c r="BS5" s="1407" t="s">
        <v>1122</v>
      </c>
      <c r="BT5" s="1407" t="s">
        <v>727</v>
      </c>
      <c r="BU5" s="1407" t="s">
        <v>728</v>
      </c>
      <c r="BV5" s="1407" t="s">
        <v>729</v>
      </c>
      <c r="BW5" s="1407" t="s">
        <v>855</v>
      </c>
      <c r="BX5" s="1407" t="s">
        <v>854</v>
      </c>
      <c r="BY5" s="1407" t="s">
        <v>923</v>
      </c>
      <c r="BZ5" s="1407" t="s">
        <v>1645</v>
      </c>
      <c r="CA5" s="905"/>
      <c r="CB5" s="1408" t="s">
        <v>750</v>
      </c>
      <c r="CC5" s="1408" t="s">
        <v>1772</v>
      </c>
      <c r="CD5" s="1408" t="s">
        <v>1803</v>
      </c>
      <c r="CE5" s="1408" t="s">
        <v>1773</v>
      </c>
      <c r="CF5" s="1408"/>
      <c r="CG5" s="1407" t="s">
        <v>719</v>
      </c>
      <c r="CH5" s="1407" t="s">
        <v>720</v>
      </c>
      <c r="CI5" s="1407" t="s">
        <v>721</v>
      </c>
      <c r="CJ5" s="839"/>
      <c r="CK5" s="1408"/>
      <c r="CL5" s="1408"/>
      <c r="CM5" s="1408"/>
      <c r="CN5" s="1408"/>
      <c r="CO5" s="1408"/>
      <c r="CP5" s="1408"/>
      <c r="CQ5" s="1408"/>
      <c r="CR5" s="1408"/>
      <c r="CS5" s="1408"/>
      <c r="CT5" s="1408"/>
      <c r="CU5" s="1408"/>
      <c r="CV5" s="1408"/>
      <c r="CW5" s="1408"/>
      <c r="CX5" s="1408"/>
      <c r="CY5" s="1408"/>
      <c r="CZ5" s="1408"/>
      <c r="DA5" s="1408"/>
      <c r="DB5" s="1408"/>
      <c r="DC5" s="1408"/>
      <c r="DD5" s="1408"/>
      <c r="DE5" s="1408"/>
      <c r="DF5" s="1408" t="s">
        <v>828</v>
      </c>
      <c r="DG5" s="1408" t="s">
        <v>829</v>
      </c>
      <c r="DH5" s="1408" t="s">
        <v>830</v>
      </c>
      <c r="DI5" s="1408" t="s">
        <v>831</v>
      </c>
      <c r="DJ5" s="1408"/>
      <c r="DK5" s="1400"/>
      <c r="DL5" s="1408"/>
      <c r="DM5" s="1408"/>
      <c r="DN5" s="1408" t="s">
        <v>778</v>
      </c>
      <c r="DO5" s="1408" t="s">
        <v>779</v>
      </c>
      <c r="DP5" s="1408" t="s">
        <v>780</v>
      </c>
      <c r="DQ5" s="1408" t="s">
        <v>1084</v>
      </c>
      <c r="DR5" s="839"/>
      <c r="DS5" s="1408"/>
      <c r="DT5" s="1413"/>
      <c r="DU5" s="1400"/>
      <c r="DW5" s="1407" t="s">
        <v>1031</v>
      </c>
      <c r="DX5" s="1407" t="s">
        <v>1050</v>
      </c>
      <c r="DY5" s="1407" t="s">
        <v>1045</v>
      </c>
      <c r="DZ5" s="1407" t="s">
        <v>1047</v>
      </c>
      <c r="EA5" s="855"/>
      <c r="EB5" s="1413"/>
      <c r="EC5" s="1400"/>
      <c r="ED5" s="1413"/>
      <c r="EE5" s="1400"/>
      <c r="EF5" s="1400"/>
    </row>
    <row r="6" spans="1:194" s="170" customFormat="1" ht="15" customHeight="1" x14ac:dyDescent="0.3">
      <c r="A6" s="1348"/>
      <c r="B6" s="1418"/>
      <c r="C6" s="1400"/>
      <c r="D6" s="1400"/>
      <c r="E6" s="1400"/>
      <c r="F6" s="838"/>
      <c r="G6" s="1399" t="s">
        <v>1455</v>
      </c>
      <c r="H6" s="1399" t="s">
        <v>1079</v>
      </c>
      <c r="I6" s="1400"/>
      <c r="J6" s="604"/>
      <c r="K6" s="1400"/>
      <c r="L6" s="1400"/>
      <c r="M6" s="838"/>
      <c r="N6" s="1400"/>
      <c r="O6" s="1400"/>
      <c r="P6" s="1400"/>
      <c r="Q6" s="1400"/>
      <c r="R6" s="604"/>
      <c r="S6" s="1400"/>
      <c r="T6" s="1400"/>
      <c r="U6" s="1400"/>
      <c r="V6" s="1400"/>
      <c r="W6" s="593"/>
      <c r="X6" s="1408"/>
      <c r="Y6" s="1408"/>
      <c r="Z6" s="1408"/>
      <c r="AA6" s="1408"/>
      <c r="AB6" s="839"/>
      <c r="AC6" s="1422" t="s">
        <v>731</v>
      </c>
      <c r="AD6" s="1422"/>
      <c r="AE6" s="1422"/>
      <c r="AF6" s="839"/>
      <c r="AG6" s="1410" t="s">
        <v>1044</v>
      </c>
      <c r="AH6" s="1410"/>
      <c r="AI6" s="839"/>
      <c r="AJ6" s="1408" t="s">
        <v>719</v>
      </c>
      <c r="AK6" s="1400" t="s">
        <v>1322</v>
      </c>
      <c r="AL6" s="1408" t="s">
        <v>1077</v>
      </c>
      <c r="AM6" s="593"/>
      <c r="AN6" s="1408" t="s">
        <v>719</v>
      </c>
      <c r="AO6" s="1400" t="s">
        <v>1322</v>
      </c>
      <c r="AP6" s="1408" t="s">
        <v>1077</v>
      </c>
      <c r="AQ6" s="1400"/>
      <c r="AR6" s="1400"/>
      <c r="AS6" s="1400"/>
      <c r="AT6" s="839"/>
      <c r="AU6" s="1408"/>
      <c r="AV6" s="1400"/>
      <c r="AW6" s="1400"/>
      <c r="AX6" s="593"/>
      <c r="AY6" s="1408"/>
      <c r="AZ6" s="1400"/>
      <c r="BA6" s="1400"/>
      <c r="BB6" s="838"/>
      <c r="BC6" s="1397"/>
      <c r="BD6" s="604"/>
      <c r="BE6" s="838"/>
      <c r="BF6" s="604"/>
      <c r="BG6" s="686"/>
      <c r="BH6" s="593"/>
      <c r="BI6" s="1409"/>
      <c r="BJ6" s="1416"/>
      <c r="BK6" s="593"/>
      <c r="BL6" s="1409"/>
      <c r="BM6" s="839"/>
      <c r="BN6" s="1400"/>
      <c r="BO6" s="1400"/>
      <c r="BP6" s="1400"/>
      <c r="BQ6" s="838"/>
      <c r="BR6" s="1408"/>
      <c r="BS6" s="1408"/>
      <c r="BT6" s="1408"/>
      <c r="BU6" s="1408"/>
      <c r="BV6" s="1408"/>
      <c r="BW6" s="1408"/>
      <c r="BX6" s="1408"/>
      <c r="BY6" s="1408"/>
      <c r="BZ6" s="1408"/>
      <c r="CA6" s="905"/>
      <c r="CB6" s="1408"/>
      <c r="CC6" s="1408"/>
      <c r="CD6" s="1408"/>
      <c r="CE6" s="1408"/>
      <c r="CF6" s="1408"/>
      <c r="CG6" s="1408"/>
      <c r="CH6" s="1408"/>
      <c r="CI6" s="1408"/>
      <c r="CJ6" s="839"/>
      <c r="CK6" s="1408"/>
      <c r="CL6" s="1408"/>
      <c r="CM6" s="1408"/>
      <c r="CN6" s="1408"/>
      <c r="CO6" s="1408"/>
      <c r="CP6" s="1408"/>
      <c r="CQ6" s="1408"/>
      <c r="CR6" s="1408"/>
      <c r="CS6" s="1408"/>
      <c r="CT6" s="1408"/>
      <c r="CU6" s="1408"/>
      <c r="CV6" s="1408"/>
      <c r="CW6" s="1408"/>
      <c r="CX6" s="1408"/>
      <c r="CY6" s="1408"/>
      <c r="CZ6" s="1408"/>
      <c r="DA6" s="1408"/>
      <c r="DB6" s="1408"/>
      <c r="DC6" s="1408"/>
      <c r="DD6" s="1408"/>
      <c r="DE6" s="1408"/>
      <c r="DF6" s="1408"/>
      <c r="DG6" s="1408"/>
      <c r="DH6" s="1408"/>
      <c r="DI6" s="1408"/>
      <c r="DJ6" s="1408"/>
      <c r="DK6" s="1400"/>
      <c r="DL6" s="1408"/>
      <c r="DM6" s="1408"/>
      <c r="DN6" s="1408"/>
      <c r="DO6" s="1408"/>
      <c r="DP6" s="1408"/>
      <c r="DQ6" s="1408"/>
      <c r="DR6" s="839"/>
      <c r="DS6" s="1408"/>
      <c r="DT6" s="1413"/>
      <c r="DU6" s="1400"/>
      <c r="DW6" s="1408"/>
      <c r="DX6" s="1408"/>
      <c r="DY6" s="1408"/>
      <c r="DZ6" s="1408"/>
      <c r="EA6" s="855"/>
      <c r="EB6" s="1413"/>
      <c r="EC6" s="1400"/>
      <c r="ED6" s="1413"/>
      <c r="EE6" s="1400"/>
      <c r="EF6" s="1400"/>
    </row>
    <row r="7" spans="1:194" s="170" customFormat="1" ht="39" customHeight="1" x14ac:dyDescent="0.3">
      <c r="A7" s="591"/>
      <c r="B7" s="1418"/>
      <c r="C7" s="1400"/>
      <c r="D7" s="1400"/>
      <c r="E7" s="1400"/>
      <c r="F7" s="838"/>
      <c r="G7" s="1400"/>
      <c r="H7" s="1400"/>
      <c r="I7" s="1400"/>
      <c r="J7" s="604"/>
      <c r="K7" s="1400"/>
      <c r="L7" s="1400"/>
      <c r="M7" s="838"/>
      <c r="N7" s="1400"/>
      <c r="O7" s="1400"/>
      <c r="P7" s="1400"/>
      <c r="Q7" s="1400"/>
      <c r="R7" s="604"/>
      <c r="S7" s="1400"/>
      <c r="T7" s="1400"/>
      <c r="U7" s="1400"/>
      <c r="V7" s="1400"/>
      <c r="W7" s="593"/>
      <c r="X7" s="1408"/>
      <c r="Y7" s="1408"/>
      <c r="Z7" s="1408"/>
      <c r="AA7" s="1408"/>
      <c r="AB7" s="839"/>
      <c r="AC7" s="839" t="s">
        <v>2093</v>
      </c>
      <c r="AD7" s="838" t="s">
        <v>858</v>
      </c>
      <c r="AE7" s="839" t="s">
        <v>721</v>
      </c>
      <c r="AF7" s="839"/>
      <c r="AG7" s="839" t="s">
        <v>1078</v>
      </c>
      <c r="AH7" s="838" t="s">
        <v>1043</v>
      </c>
      <c r="AI7" s="839"/>
      <c r="AJ7" s="1408"/>
      <c r="AK7" s="1400"/>
      <c r="AL7" s="1408"/>
      <c r="AM7" s="593"/>
      <c r="AN7" s="1408"/>
      <c r="AO7" s="1400"/>
      <c r="AP7" s="1408"/>
      <c r="AQ7" s="1400"/>
      <c r="AR7" s="1400"/>
      <c r="AS7" s="1400"/>
      <c r="AT7" s="839"/>
      <c r="AU7" s="1408"/>
      <c r="AV7" s="1400"/>
      <c r="AW7" s="1400"/>
      <c r="AX7" s="593"/>
      <c r="AY7" s="1408"/>
      <c r="AZ7" s="1400"/>
      <c r="BA7" s="1400"/>
      <c r="BB7" s="838"/>
      <c r="BC7" s="1397"/>
      <c r="BD7" s="604"/>
      <c r="BE7" s="838"/>
      <c r="BF7" s="604"/>
      <c r="BG7" s="686"/>
      <c r="BH7" s="593"/>
      <c r="BI7" s="1409"/>
      <c r="BJ7" s="1416"/>
      <c r="BK7" s="593"/>
      <c r="BL7" s="1409"/>
      <c r="BM7" s="839"/>
      <c r="BN7" s="1400"/>
      <c r="BO7" s="1400"/>
      <c r="BP7" s="1400"/>
      <c r="BQ7" s="838"/>
      <c r="BR7" s="1408"/>
      <c r="BS7" s="1408"/>
      <c r="BT7" s="1408"/>
      <c r="BU7" s="1408"/>
      <c r="BV7" s="1408"/>
      <c r="BW7" s="1408"/>
      <c r="BX7" s="1408"/>
      <c r="BY7" s="1408"/>
      <c r="BZ7" s="1408"/>
      <c r="CA7" s="905"/>
      <c r="CB7" s="1408"/>
      <c r="CC7" s="1408"/>
      <c r="CD7" s="1408"/>
      <c r="CE7" s="1408"/>
      <c r="CF7" s="1408"/>
      <c r="CG7" s="1408"/>
      <c r="CH7" s="1408"/>
      <c r="CI7" s="1408"/>
      <c r="CJ7" s="839"/>
      <c r="CK7" s="1408"/>
      <c r="CL7" s="1408"/>
      <c r="CM7" s="1408"/>
      <c r="CN7" s="1408"/>
      <c r="CO7" s="1408"/>
      <c r="CP7" s="1408"/>
      <c r="CQ7" s="1408"/>
      <c r="CR7" s="1408"/>
      <c r="CS7" s="1408"/>
      <c r="CT7" s="1408"/>
      <c r="CU7" s="1408"/>
      <c r="CV7" s="1408"/>
      <c r="CW7" s="1408"/>
      <c r="CX7" s="1408"/>
      <c r="CY7" s="1408"/>
      <c r="CZ7" s="1408"/>
      <c r="DA7" s="1408"/>
      <c r="DB7" s="1408"/>
      <c r="DC7" s="1408"/>
      <c r="DD7" s="1408"/>
      <c r="DE7" s="1408"/>
      <c r="DF7" s="1408"/>
      <c r="DG7" s="1408"/>
      <c r="DH7" s="1408"/>
      <c r="DI7" s="1408"/>
      <c r="DJ7" s="1408"/>
      <c r="DK7" s="1400"/>
      <c r="DL7" s="1408"/>
      <c r="DM7" s="1408"/>
      <c r="DN7" s="1408"/>
      <c r="DO7" s="1408"/>
      <c r="DP7" s="1408"/>
      <c r="DQ7" s="1408"/>
      <c r="DR7" s="839"/>
      <c r="DS7" s="1408"/>
      <c r="DT7" s="1413"/>
      <c r="DU7" s="1400"/>
      <c r="DV7" s="402"/>
      <c r="DW7" s="1408"/>
      <c r="DX7" s="1408"/>
      <c r="DY7" s="1408"/>
      <c r="DZ7" s="1408"/>
      <c r="EA7" s="855"/>
      <c r="EB7" s="1413"/>
      <c r="EC7" s="1400"/>
      <c r="ED7" s="1413"/>
      <c r="EE7" s="1400"/>
      <c r="EF7" s="1400"/>
    </row>
    <row r="8" spans="1:194" ht="53.25" customHeight="1" x14ac:dyDescent="0.3">
      <c r="A8" s="411"/>
      <c r="B8" s="403" t="s">
        <v>457</v>
      </c>
      <c r="C8" s="841" t="s">
        <v>732</v>
      </c>
      <c r="D8" s="841" t="s">
        <v>735</v>
      </c>
      <c r="E8" s="841" t="s">
        <v>733</v>
      </c>
      <c r="F8" s="841"/>
      <c r="G8" s="841" t="s">
        <v>1550</v>
      </c>
      <c r="H8" s="841" t="s">
        <v>1449</v>
      </c>
      <c r="I8" s="841" t="s">
        <v>736</v>
      </c>
      <c r="J8" s="403"/>
      <c r="K8" s="1124" t="s">
        <v>457</v>
      </c>
      <c r="L8" s="841" t="s">
        <v>755</v>
      </c>
      <c r="M8" s="841"/>
      <c r="N8" s="841" t="s">
        <v>732</v>
      </c>
      <c r="O8" s="841" t="s">
        <v>732</v>
      </c>
      <c r="P8" s="841" t="s">
        <v>457</v>
      </c>
      <c r="Q8" s="841" t="s">
        <v>737</v>
      </c>
      <c r="R8" s="841"/>
      <c r="S8" s="841" t="s">
        <v>732</v>
      </c>
      <c r="T8" s="841" t="s">
        <v>738</v>
      </c>
      <c r="U8" s="841" t="s">
        <v>1372</v>
      </c>
      <c r="V8" s="841" t="s">
        <v>748</v>
      </c>
      <c r="W8" s="840"/>
      <c r="X8" s="1421" t="s">
        <v>739</v>
      </c>
      <c r="Y8" s="1421"/>
      <c r="Z8" s="1421"/>
      <c r="AA8" s="840" t="s">
        <v>740</v>
      </c>
      <c r="AB8" s="840"/>
      <c r="AC8" s="840" t="s">
        <v>732</v>
      </c>
      <c r="AD8" s="840" t="s">
        <v>1053</v>
      </c>
      <c r="AE8" s="840" t="s">
        <v>1052</v>
      </c>
      <c r="AF8" s="840"/>
      <c r="AG8" s="840" t="s">
        <v>732</v>
      </c>
      <c r="AH8" s="841" t="s">
        <v>1401</v>
      </c>
      <c r="AI8" s="840"/>
      <c r="AJ8" s="1421" t="s">
        <v>741</v>
      </c>
      <c r="AK8" s="1421"/>
      <c r="AL8" s="1421"/>
      <c r="AM8" s="840"/>
      <c r="AN8" s="840" t="s">
        <v>757</v>
      </c>
      <c r="AO8" s="841" t="s">
        <v>457</v>
      </c>
      <c r="AP8" s="841" t="s">
        <v>742</v>
      </c>
      <c r="AQ8" s="841" t="str">
        <f>'T-T0'!U8</f>
        <v>Tax returns (60% of taxable amount, except 1960 to 1964)</v>
      </c>
      <c r="AR8" s="841" t="s">
        <v>457</v>
      </c>
      <c r="AS8" s="841" t="s">
        <v>1321</v>
      </c>
      <c r="AT8" s="840"/>
      <c r="AU8" s="840" t="s">
        <v>1075</v>
      </c>
      <c r="AV8" s="841" t="s">
        <v>457</v>
      </c>
      <c r="AW8" s="841" t="s">
        <v>922</v>
      </c>
      <c r="AX8" s="840"/>
      <c r="AY8" s="840" t="s">
        <v>743</v>
      </c>
      <c r="AZ8" s="841" t="s">
        <v>515</v>
      </c>
      <c r="BA8" s="901" t="s">
        <v>1397</v>
      </c>
      <c r="BB8" s="841"/>
      <c r="BC8" s="841" t="s">
        <v>1102</v>
      </c>
      <c r="BD8" s="841"/>
      <c r="BE8" s="841" t="s">
        <v>1387</v>
      </c>
      <c r="BF8" s="841"/>
      <c r="BG8" s="841" t="s">
        <v>781</v>
      </c>
      <c r="BH8" s="840"/>
      <c r="BI8" s="840" t="s">
        <v>732</v>
      </c>
      <c r="BJ8" s="913" t="s">
        <v>1393</v>
      </c>
      <c r="BK8" s="593"/>
      <c r="BL8" s="840" t="s">
        <v>1319</v>
      </c>
      <c r="BM8" s="593"/>
      <c r="BN8" s="841" t="s">
        <v>761</v>
      </c>
      <c r="BO8" s="841" t="s">
        <v>762</v>
      </c>
      <c r="BP8" s="841" t="s">
        <v>763</v>
      </c>
      <c r="BQ8" s="604"/>
      <c r="BR8" s="840" t="s">
        <v>1456</v>
      </c>
      <c r="BS8" s="840" t="s">
        <v>732</v>
      </c>
      <c r="BT8" s="841" t="s">
        <v>1081</v>
      </c>
      <c r="BU8" s="840" t="s">
        <v>1053</v>
      </c>
      <c r="BV8" s="841" t="s">
        <v>744</v>
      </c>
      <c r="BW8" s="841" t="s">
        <v>745</v>
      </c>
      <c r="BX8" s="841" t="s">
        <v>860</v>
      </c>
      <c r="BY8" s="841" t="s">
        <v>1076</v>
      </c>
      <c r="BZ8" s="841" t="s">
        <v>457</v>
      </c>
      <c r="CA8" s="604"/>
      <c r="CB8" s="841" t="s">
        <v>1771</v>
      </c>
      <c r="CC8" s="1425" t="s">
        <v>753</v>
      </c>
      <c r="CD8" s="1425"/>
      <c r="CE8" s="1425"/>
      <c r="CF8" s="841"/>
      <c r="CG8" s="1425" t="s">
        <v>746</v>
      </c>
      <c r="CH8" s="1425"/>
      <c r="CI8" s="1425"/>
      <c r="CJ8" s="841"/>
      <c r="CK8" s="840" t="s">
        <v>749</v>
      </c>
      <c r="CL8" s="840" t="s">
        <v>1080</v>
      </c>
      <c r="CM8" s="857" t="s">
        <v>1369</v>
      </c>
      <c r="CN8" s="840" t="s">
        <v>787</v>
      </c>
      <c r="CO8" s="840" t="s">
        <v>788</v>
      </c>
      <c r="CP8" s="841" t="s">
        <v>747</v>
      </c>
      <c r="CQ8" s="840" t="s">
        <v>754</v>
      </c>
      <c r="CR8" s="840" t="s">
        <v>756</v>
      </c>
      <c r="CS8" s="840" t="s">
        <v>771</v>
      </c>
      <c r="CT8" s="840" t="s">
        <v>784</v>
      </c>
      <c r="CU8" s="841" t="s">
        <v>1102</v>
      </c>
      <c r="CV8" s="841" t="s">
        <v>758</v>
      </c>
      <c r="CW8" s="841" t="s">
        <v>781</v>
      </c>
      <c r="CX8" s="841" t="s">
        <v>844</v>
      </c>
      <c r="CY8" s="841" t="s">
        <v>847</v>
      </c>
      <c r="CZ8" s="841" t="s">
        <v>848</v>
      </c>
      <c r="DA8" s="841" t="s">
        <v>852</v>
      </c>
      <c r="DB8" s="841" t="s">
        <v>851</v>
      </c>
      <c r="DC8" s="841" t="s">
        <v>853</v>
      </c>
      <c r="DD8" s="840" t="s">
        <v>522</v>
      </c>
      <c r="DE8" s="840" t="s">
        <v>782</v>
      </c>
      <c r="DF8" s="840" t="s">
        <v>827</v>
      </c>
      <c r="DG8" s="840" t="s">
        <v>826</v>
      </c>
      <c r="DH8" s="840" t="s">
        <v>825</v>
      </c>
      <c r="DI8" s="840" t="s">
        <v>824</v>
      </c>
      <c r="DJ8" s="841" t="s">
        <v>785</v>
      </c>
      <c r="DK8" s="966" t="s">
        <v>1476</v>
      </c>
      <c r="DL8" s="840" t="s">
        <v>759</v>
      </c>
      <c r="DM8" s="840" t="s">
        <v>1071</v>
      </c>
      <c r="DN8" s="841" t="s">
        <v>775</v>
      </c>
      <c r="DO8" s="841" t="s">
        <v>776</v>
      </c>
      <c r="DP8" s="841" t="s">
        <v>777</v>
      </c>
      <c r="DQ8" s="841" t="s">
        <v>1085</v>
      </c>
      <c r="DR8" s="841"/>
      <c r="DS8" s="841" t="s">
        <v>786</v>
      </c>
      <c r="DT8" s="400" t="s">
        <v>1373</v>
      </c>
      <c r="DU8" s="841" t="s">
        <v>748</v>
      </c>
      <c r="DV8" s="400"/>
      <c r="DW8" s="841" t="s">
        <v>1048</v>
      </c>
      <c r="DX8" s="841" t="s">
        <v>1049</v>
      </c>
      <c r="DY8" s="1011" t="s">
        <v>1046</v>
      </c>
      <c r="DZ8" s="841" t="s">
        <v>1051</v>
      </c>
      <c r="EA8" s="858"/>
      <c r="EB8" s="400" t="s">
        <v>524</v>
      </c>
      <c r="EC8" s="858" t="s">
        <v>740</v>
      </c>
      <c r="ED8" s="470" t="s">
        <v>530</v>
      </c>
      <c r="EE8" s="857" t="s">
        <v>515</v>
      </c>
      <c r="EF8" s="966"/>
    </row>
    <row r="9" spans="1:194" ht="10.5" customHeight="1" x14ac:dyDescent="0.3">
      <c r="A9" s="268">
        <v>1960</v>
      </c>
      <c r="B9" s="603">
        <f>'C1-Incomes'!EX8</f>
        <v>479858.94903999998</v>
      </c>
      <c r="C9" s="280">
        <f>(TOTALS!E66)/1000000+CC9-BS9</f>
        <v>264827.06959077396</v>
      </c>
      <c r="D9" s="601" t="s">
        <v>50</v>
      </c>
      <c r="E9" s="270">
        <f>CK9-C9-BR9</f>
        <v>5379.6597133183031</v>
      </c>
      <c r="F9" s="598"/>
      <c r="G9" s="270">
        <f t="shared" ref="G9:G40" si="0">DN9-DO9+DP9+DQ9</f>
        <v>6395</v>
      </c>
      <c r="H9" s="601" t="s">
        <v>50</v>
      </c>
      <c r="I9" s="270">
        <f>CM9</f>
        <v>9250</v>
      </c>
      <c r="J9" s="270"/>
      <c r="K9" s="270">
        <f>'T-T0'!G9</f>
        <v>4604.9028291584418</v>
      </c>
      <c r="L9" s="270">
        <f>CN9-K9</f>
        <v>6043.0971708415582</v>
      </c>
      <c r="M9" s="331"/>
      <c r="N9" s="280">
        <f>'T-T0'!I9</f>
        <v>20565.926185</v>
      </c>
      <c r="O9" s="280">
        <f>'T-T0'!J9</f>
        <v>7439.8504355099994</v>
      </c>
      <c r="P9" s="280">
        <f>CD9</f>
        <v>2516.253783924647</v>
      </c>
      <c r="Q9" s="280">
        <f>CO9-N9-O9-P9</f>
        <v>9416.9695955653533</v>
      </c>
      <c r="R9" s="270"/>
      <c r="S9" s="280">
        <f>TOTALS!U66/1000000</f>
        <v>2479.9501452</v>
      </c>
      <c r="T9" s="270">
        <f>DS9-S9</f>
        <v>2990.0498548</v>
      </c>
      <c r="U9" s="270">
        <f>DT9-DU9</f>
        <v>10993</v>
      </c>
      <c r="V9" s="270"/>
      <c r="W9" s="270"/>
      <c r="X9" s="280">
        <f t="shared" ref="X9:X40" si="1">CP9-Y9-Z9-AA9</f>
        <v>14800.928802379156</v>
      </c>
      <c r="Y9" s="280">
        <f>(CP9-AA9)*'C13-CapOwn'!N5</f>
        <v>5811.45835540803</v>
      </c>
      <c r="Z9" s="607">
        <f>(CP9-AA9)*'C13-CapOwn'!O5</f>
        <v>1272.6128422128122</v>
      </c>
      <c r="AA9" s="607">
        <f>EC9</f>
        <v>897</v>
      </c>
      <c r="AB9" s="270"/>
      <c r="AC9" s="280">
        <f>TOTALS!H66/1000000</f>
        <v>10787.053956</v>
      </c>
      <c r="AD9" s="601">
        <f>BU9</f>
        <v>1004.2517826428435</v>
      </c>
      <c r="AE9" s="270">
        <f t="shared" ref="AE9:AE40" si="2">($CQ9-$AG9)*CI9</f>
        <v>665.37920812815662</v>
      </c>
      <c r="AF9" s="270"/>
      <c r="AG9" s="280">
        <f>DX9</f>
        <v>826.65004838999994</v>
      </c>
      <c r="AH9" s="280">
        <f>DZ9-AG9</f>
        <v>82.665004839000062</v>
      </c>
      <c r="AI9" s="270"/>
      <c r="AJ9" s="270">
        <f>'C10-Adj by Source'!X6</f>
        <v>16752.928</v>
      </c>
      <c r="AK9" s="601">
        <f t="shared" ref="AK9:AK40" si="3">BV9</f>
        <v>802.84393423298286</v>
      </c>
      <c r="AL9" s="607">
        <f t="shared" ref="AL9:AL40" si="4">$CI9*CR9</f>
        <v>983.36895713224544</v>
      </c>
      <c r="AM9" s="270"/>
      <c r="AN9" s="270">
        <f>DL9*0.65</f>
        <v>1333.8</v>
      </c>
      <c r="AO9" s="601">
        <f>BW9</f>
        <v>615.6</v>
      </c>
      <c r="AP9" s="607">
        <f t="shared" ref="AP9:AP40" si="5">DC9*0.05</f>
        <v>102.60000000000001</v>
      </c>
      <c r="AQ9" s="280">
        <f>'T-T0'!U9</f>
        <v>5589.8407450543309</v>
      </c>
      <c r="AR9" s="607">
        <f>BX9</f>
        <v>2014.459254945669</v>
      </c>
      <c r="AS9" s="607">
        <f t="shared" ref="AS9:AS40" si="6">DB9*0.05</f>
        <v>417.70000000000005</v>
      </c>
      <c r="AT9" s="280"/>
      <c r="AU9" s="280">
        <f>'T-T0'!W9</f>
        <v>551.65930926400006</v>
      </c>
      <c r="AV9" s="607">
        <f>BY9</f>
        <v>44.023656199198783</v>
      </c>
      <c r="AW9" s="607">
        <f>0.05*(CS9-SUM(AN9:AU9))</f>
        <v>2.31703453680002</v>
      </c>
      <c r="AX9" s="270"/>
      <c r="AY9" s="270">
        <f>'C10-Adj by Source'!AE6</f>
        <v>8799</v>
      </c>
      <c r="AZ9" s="270">
        <f>'C10-Adj by Source'!AU6</f>
        <v>7439</v>
      </c>
      <c r="BA9" s="607">
        <f>CT9-DE9</f>
        <v>28309</v>
      </c>
      <c r="BB9" s="607"/>
      <c r="BC9" s="280">
        <f t="shared" ref="BC9:BC40" si="7">CU9</f>
        <v>-1146</v>
      </c>
      <c r="BD9" s="280"/>
      <c r="BE9" s="280">
        <f t="shared" ref="BE9:BE40" si="8">CV9</f>
        <v>1742</v>
      </c>
      <c r="BF9" s="280"/>
      <c r="BG9" s="280">
        <f t="shared" ref="BG9:BG40" si="9">CW9</f>
        <v>463</v>
      </c>
      <c r="BH9" s="270"/>
      <c r="BI9" s="280">
        <f>TOTALS!AD66/1000000+CE9</f>
        <v>4579.2148317246465</v>
      </c>
      <c r="BJ9" s="280">
        <f>BR9+BT9-$BI9</f>
        <v>11420.055864183094</v>
      </c>
      <c r="BK9" s="272"/>
      <c r="BL9" s="280">
        <f>BN9-SUM(C9:BJ9)</f>
        <v>-7.1408913652412593</v>
      </c>
      <c r="BM9" s="863"/>
      <c r="BN9" s="270">
        <v>479859</v>
      </c>
      <c r="BO9" s="270">
        <f>B9</f>
        <v>479858.94903999998</v>
      </c>
      <c r="BP9" s="860">
        <f>BO9-BN9</f>
        <v>-5.0960000022314489E-2</v>
      </c>
      <c r="BQ9" s="860"/>
      <c r="BR9" s="270">
        <f>C9*0.01</f>
        <v>2648.2706959077395</v>
      </c>
      <c r="BS9" s="270"/>
      <c r="BT9" s="270">
        <f t="shared" ref="BT9:BT40" si="10">CL9-G9</f>
        <v>13351</v>
      </c>
      <c r="BU9" s="270">
        <f>CQ9-AG9-AH9-AC9-AE9</f>
        <v>1004.2517826428435</v>
      </c>
      <c r="BV9" s="270">
        <f t="shared" ref="BV9:BV40" si="11">CR9*CH9</f>
        <v>802.84393423298286</v>
      </c>
      <c r="BW9" s="280">
        <f>DL9-AN9-AP9</f>
        <v>615.6</v>
      </c>
      <c r="BX9" s="607">
        <f>DB9-CZ9-AQ9-AS9</f>
        <v>2014.459254945669</v>
      </c>
      <c r="BY9" s="280">
        <f>CS9-BW9-BX9-AN9-AP9-AQ9-AS9-AU9-AW9</f>
        <v>44.023656199198783</v>
      </c>
      <c r="BZ9" s="280">
        <f>SUM(BU9:BY9)</f>
        <v>4481.1786280206943</v>
      </c>
      <c r="CA9" s="280"/>
      <c r="CB9" s="270">
        <f>'C0-Ref Stats'!AJ6</f>
        <v>12581.268919623235</v>
      </c>
      <c r="CC9" s="270">
        <f>CB9*0.6</f>
        <v>7548.761351773941</v>
      </c>
      <c r="CD9" s="270">
        <f>CB9-CC9-CE9</f>
        <v>2516.253783924647</v>
      </c>
      <c r="CE9" s="270">
        <f>CB9*0.2</f>
        <v>2516.253783924647</v>
      </c>
      <c r="CF9" s="270"/>
      <c r="CG9" s="331">
        <f>'C12-CorpOwn'!R5</f>
        <v>0.90361467238478155</v>
      </c>
      <c r="CH9" s="331">
        <f>'C12-CorpOwn'!S5</f>
        <v>4.3322034007823376E-2</v>
      </c>
      <c r="CI9" s="331">
        <f>'C12-CorpOwn'!T5</f>
        <v>5.3063293607395069E-2</v>
      </c>
      <c r="CJ9" s="270"/>
      <c r="CK9" s="270">
        <v>272855</v>
      </c>
      <c r="CL9" s="270">
        <v>19746</v>
      </c>
      <c r="CM9" s="270">
        <v>9250</v>
      </c>
      <c r="CN9" s="270">
        <v>10648</v>
      </c>
      <c r="CO9" s="270">
        <v>39939</v>
      </c>
      <c r="CP9" s="270">
        <v>22782</v>
      </c>
      <c r="CQ9" s="270">
        <v>13366</v>
      </c>
      <c r="CR9" s="270">
        <v>18532</v>
      </c>
      <c r="CS9" s="270">
        <v>10672</v>
      </c>
      <c r="CT9" s="270">
        <v>44547</v>
      </c>
      <c r="CU9" s="280">
        <v>-1146</v>
      </c>
      <c r="CV9" s="280">
        <v>1742</v>
      </c>
      <c r="CW9" s="280">
        <v>463</v>
      </c>
      <c r="CX9" s="280">
        <v>16858</v>
      </c>
      <c r="CY9" s="280">
        <v>16526</v>
      </c>
      <c r="CZ9" s="280">
        <f t="shared" ref="CZ9:CZ40" si="12">CX9-CY9</f>
        <v>332</v>
      </c>
      <c r="DA9" s="280">
        <v>14483</v>
      </c>
      <c r="DB9" s="280">
        <v>8354</v>
      </c>
      <c r="DC9" s="280">
        <v>2052</v>
      </c>
      <c r="DD9" s="270">
        <v>12156</v>
      </c>
      <c r="DE9" s="270">
        <v>16238</v>
      </c>
      <c r="DF9" s="270">
        <v>2359</v>
      </c>
      <c r="DG9" s="270">
        <v>3397</v>
      </c>
      <c r="DH9" s="270">
        <v>383</v>
      </c>
      <c r="DI9" s="270">
        <v>268</v>
      </c>
      <c r="DJ9" s="270">
        <f>CT9-SUM(DD9:DI9)</f>
        <v>9746</v>
      </c>
      <c r="DK9" s="280">
        <v>7051</v>
      </c>
      <c r="DL9" s="270">
        <v>2052</v>
      </c>
      <c r="DM9" s="270">
        <v>710</v>
      </c>
      <c r="DN9" s="270">
        <v>3398</v>
      </c>
      <c r="DO9" s="270"/>
      <c r="DP9" s="270">
        <v>1090</v>
      </c>
      <c r="DQ9" s="270">
        <v>1907</v>
      </c>
      <c r="DR9" s="270"/>
      <c r="DS9" s="270">
        <v>5470</v>
      </c>
      <c r="DT9" s="272">
        <v>10993</v>
      </c>
      <c r="DU9" s="270"/>
      <c r="DV9" s="272"/>
      <c r="DW9" s="270">
        <f>TOTALS!S66/1000000</f>
        <v>8266.5004838999994</v>
      </c>
      <c r="DX9" s="280">
        <f>0.1*$DW9</f>
        <v>826.65004838999994</v>
      </c>
      <c r="DY9" s="280"/>
      <c r="DZ9" s="270">
        <f>DX9*1.1</f>
        <v>909.315053229</v>
      </c>
      <c r="EA9" s="270"/>
      <c r="EB9" s="272">
        <v>41838</v>
      </c>
      <c r="EC9" s="607">
        <v>897</v>
      </c>
      <c r="ED9" s="277">
        <v>2536</v>
      </c>
      <c r="EE9" s="280">
        <v>7439</v>
      </c>
      <c r="EF9" s="280"/>
      <c r="EG9" s="586"/>
      <c r="EH9" s="586"/>
      <c r="EI9" s="586"/>
      <c r="EJ9" s="586"/>
      <c r="EK9" s="586"/>
      <c r="EL9" s="586"/>
      <c r="EM9" s="586"/>
      <c r="EN9" s="586"/>
      <c r="EO9" s="586"/>
      <c r="EP9" s="586"/>
      <c r="EQ9" s="586"/>
      <c r="ER9" s="586"/>
      <c r="ES9" s="586"/>
      <c r="ET9" s="586"/>
      <c r="EU9" s="586"/>
      <c r="EV9" s="586"/>
      <c r="EW9" s="586"/>
      <c r="EX9" s="586"/>
      <c r="EY9" s="586"/>
      <c r="EZ9" s="586"/>
      <c r="FA9" s="586"/>
      <c r="FB9" s="586"/>
      <c r="FC9" s="586"/>
      <c r="FD9" s="586"/>
      <c r="FE9" s="586"/>
      <c r="FF9" s="586"/>
      <c r="FG9" s="586"/>
      <c r="FH9" s="586"/>
      <c r="FI9" s="586"/>
      <c r="FJ9" s="586"/>
      <c r="FK9" s="586"/>
      <c r="FL9" s="586"/>
      <c r="FM9" s="586"/>
      <c r="FN9" s="586"/>
      <c r="FO9" s="586"/>
      <c r="FP9" s="586"/>
      <c r="FQ9" s="586"/>
      <c r="FR9" s="586"/>
      <c r="FS9" s="586"/>
      <c r="FT9" s="586"/>
      <c r="FU9" s="586"/>
      <c r="FV9" s="586"/>
      <c r="FW9" s="586"/>
      <c r="FX9" s="586"/>
      <c r="FY9" s="586"/>
      <c r="FZ9" s="586"/>
      <c r="GA9" s="586"/>
      <c r="GB9" s="586"/>
      <c r="GC9" s="586"/>
      <c r="GD9" s="586"/>
      <c r="GE9" s="586"/>
      <c r="GF9" s="586"/>
      <c r="GG9" s="586"/>
      <c r="GH9" s="586"/>
    </row>
    <row r="10" spans="1:194" ht="10.5" customHeight="1" x14ac:dyDescent="0.3">
      <c r="A10" s="268">
        <v>1961</v>
      </c>
      <c r="B10" s="603">
        <f>'C1-Incomes'!EX9</f>
        <v>507523.42099000001</v>
      </c>
      <c r="C10" s="270"/>
      <c r="D10" s="601" t="s">
        <v>50</v>
      </c>
      <c r="E10" s="270"/>
      <c r="F10" s="598"/>
      <c r="G10" s="270">
        <f t="shared" si="0"/>
        <v>6934</v>
      </c>
      <c r="H10" s="601" t="s">
        <v>50</v>
      </c>
      <c r="I10" s="270">
        <f t="shared" ref="I10:I64" si="13">CM10</f>
        <v>9610</v>
      </c>
      <c r="J10" s="270"/>
      <c r="K10" s="280"/>
      <c r="L10" s="270"/>
      <c r="M10" s="270"/>
      <c r="N10" s="280"/>
      <c r="O10" s="280"/>
      <c r="P10" s="280"/>
      <c r="Q10" s="280"/>
      <c r="R10" s="270"/>
      <c r="S10" s="280"/>
      <c r="T10" s="270"/>
      <c r="U10" s="270">
        <f t="shared" ref="U10:U64" si="14">DT10-DU10</f>
        <v>11664</v>
      </c>
      <c r="V10" s="270"/>
      <c r="W10" s="270"/>
      <c r="X10" s="280">
        <f t="shared" si="1"/>
        <v>15356.729814737371</v>
      </c>
      <c r="Y10" s="280">
        <f>(CP10-AA10)*'C13-CapOwn'!N6</f>
        <v>5588.7747795234391</v>
      </c>
      <c r="Z10" s="607">
        <f>(CP10-AA10)*'C13-CapOwn'!O6</f>
        <v>1257.495405739189</v>
      </c>
      <c r="AA10" s="607">
        <f t="shared" ref="AA10:AA64" si="15">EC10</f>
        <v>687</v>
      </c>
      <c r="AB10" s="270"/>
      <c r="AC10" s="280"/>
      <c r="AD10" s="601"/>
      <c r="AE10" s="270">
        <f t="shared" si="2"/>
        <v>739.93153078163016</v>
      </c>
      <c r="AF10" s="270"/>
      <c r="AG10" s="280"/>
      <c r="AH10" s="24"/>
      <c r="AI10" s="270"/>
      <c r="AJ10" s="270"/>
      <c r="AK10" s="601">
        <f t="shared" si="3"/>
        <v>936.71164276775983</v>
      </c>
      <c r="AL10" s="607">
        <f t="shared" si="4"/>
        <v>1019.5416545997658</v>
      </c>
      <c r="AM10" s="270"/>
      <c r="AN10" s="270"/>
      <c r="AO10" s="601"/>
      <c r="AP10" s="607">
        <f t="shared" si="5"/>
        <v>112.4</v>
      </c>
      <c r="AQ10" s="280"/>
      <c r="AR10" s="607"/>
      <c r="AS10" s="607">
        <f t="shared" si="6"/>
        <v>395.65000000000003</v>
      </c>
      <c r="AT10" s="280"/>
      <c r="AU10" s="280"/>
      <c r="AV10" s="607"/>
      <c r="AW10" s="607"/>
      <c r="AX10" s="270"/>
      <c r="AY10" s="270">
        <f>'C10-Adj by Source'!AE7</f>
        <v>9359</v>
      </c>
      <c r="AZ10" s="270">
        <f>'C10-Adj by Source'!AU7</f>
        <v>8221</v>
      </c>
      <c r="BA10" s="607">
        <f t="shared" ref="BA10:BA64" si="16">CT10-DE10</f>
        <v>29388</v>
      </c>
      <c r="BB10" s="607"/>
      <c r="BC10" s="280">
        <f t="shared" si="7"/>
        <v>-2014</v>
      </c>
      <c r="BD10" s="280"/>
      <c r="BE10" s="280">
        <f t="shared" si="8"/>
        <v>1901</v>
      </c>
      <c r="BF10" s="280"/>
      <c r="BG10" s="280">
        <f t="shared" si="9"/>
        <v>335</v>
      </c>
      <c r="BH10" s="270"/>
      <c r="BI10" s="280"/>
      <c r="BJ10" s="280"/>
      <c r="BK10" s="272"/>
      <c r="BL10" s="280"/>
      <c r="BM10" s="863"/>
      <c r="BN10" s="270">
        <v>497193</v>
      </c>
      <c r="BO10" s="270"/>
      <c r="BP10" s="280"/>
      <c r="BQ10" s="860"/>
      <c r="BR10" s="270"/>
      <c r="BS10" s="270"/>
      <c r="BT10" s="270">
        <f t="shared" si="10"/>
        <v>14025</v>
      </c>
      <c r="BU10" s="270"/>
      <c r="BV10" s="270">
        <f t="shared" si="11"/>
        <v>936.71164276775983</v>
      </c>
      <c r="BW10" s="280"/>
      <c r="BX10" s="607"/>
      <c r="BY10" s="280"/>
      <c r="BZ10" s="280"/>
      <c r="CA10" s="280"/>
      <c r="CB10" s="270"/>
      <c r="CC10" s="270"/>
      <c r="CD10" s="270"/>
      <c r="CE10" s="270"/>
      <c r="CF10" s="270"/>
      <c r="CG10" s="331">
        <f>'C12-CorpOwn'!R6</f>
        <v>0.89786711405620101</v>
      </c>
      <c r="CH10" s="331">
        <f>'C12-CorpOwn'!S6</f>
        <v>4.8904231114532723E-2</v>
      </c>
      <c r="CI10" s="331">
        <f>'C12-CorpOwn'!T6</f>
        <v>5.3228654829266253E-2</v>
      </c>
      <c r="CJ10" s="270"/>
      <c r="CK10" s="270">
        <v>280519</v>
      </c>
      <c r="CL10" s="270">
        <v>20959</v>
      </c>
      <c r="CM10" s="270">
        <v>9610</v>
      </c>
      <c r="CN10" s="270">
        <v>11249</v>
      </c>
      <c r="CO10" s="270">
        <v>41950</v>
      </c>
      <c r="CP10" s="270">
        <v>22890</v>
      </c>
      <c r="CQ10" s="270">
        <v>13901</v>
      </c>
      <c r="CR10" s="270">
        <v>19154</v>
      </c>
      <c r="CS10" s="270">
        <v>12571</v>
      </c>
      <c r="CT10" s="270">
        <v>46968</v>
      </c>
      <c r="CU10" s="280">
        <v>-2014</v>
      </c>
      <c r="CV10" s="280">
        <v>1901</v>
      </c>
      <c r="CW10" s="280">
        <v>335</v>
      </c>
      <c r="CX10" s="280">
        <v>17169</v>
      </c>
      <c r="CY10" s="280">
        <v>16891</v>
      </c>
      <c r="CZ10" s="280">
        <f t="shared" si="12"/>
        <v>278</v>
      </c>
      <c r="DA10" s="280">
        <v>14695</v>
      </c>
      <c r="DB10" s="280">
        <v>7913</v>
      </c>
      <c r="DC10" s="280">
        <v>2248</v>
      </c>
      <c r="DD10" s="270">
        <v>13020</v>
      </c>
      <c r="DE10" s="270">
        <v>17580</v>
      </c>
      <c r="DF10" s="270">
        <v>2393</v>
      </c>
      <c r="DG10" s="270">
        <v>3562</v>
      </c>
      <c r="DH10" s="270">
        <v>410</v>
      </c>
      <c r="DI10" s="270">
        <v>298</v>
      </c>
      <c r="DJ10" s="270">
        <f t="shared" ref="DJ10:DJ40" si="17">CT10-SUM(DD10:DI10)</f>
        <v>9705</v>
      </c>
      <c r="DK10" s="280">
        <v>7716</v>
      </c>
      <c r="DL10" s="270">
        <v>2248</v>
      </c>
      <c r="DM10" s="270">
        <v>725</v>
      </c>
      <c r="DN10" s="270">
        <v>3773</v>
      </c>
      <c r="DO10" s="270"/>
      <c r="DP10" s="270">
        <v>1143</v>
      </c>
      <c r="DQ10" s="270">
        <v>2018</v>
      </c>
      <c r="DR10" s="270"/>
      <c r="DS10" s="270">
        <v>5536</v>
      </c>
      <c r="DT10" s="272">
        <v>11664</v>
      </c>
      <c r="DU10" s="270"/>
      <c r="DV10" s="272"/>
      <c r="DW10" s="270"/>
      <c r="DX10" s="280"/>
      <c r="DY10" s="280"/>
      <c r="DZ10" s="270"/>
      <c r="EA10" s="270"/>
      <c r="EB10" s="272">
        <v>42694</v>
      </c>
      <c r="EC10" s="607">
        <v>687</v>
      </c>
      <c r="ED10" s="277">
        <v>2800</v>
      </c>
      <c r="EE10" s="280">
        <v>8221</v>
      </c>
      <c r="EF10" s="280"/>
      <c r="EG10" s="586"/>
      <c r="EH10" s="586"/>
      <c r="EI10" s="586"/>
      <c r="EJ10" s="586"/>
      <c r="EK10" s="586"/>
      <c r="EL10" s="586"/>
      <c r="EM10" s="586"/>
      <c r="EN10" s="586"/>
      <c r="EO10" s="586"/>
      <c r="EP10" s="586"/>
      <c r="EQ10" s="586"/>
      <c r="ER10" s="586"/>
      <c r="ES10" s="586"/>
      <c r="ET10" s="586"/>
      <c r="EU10" s="586"/>
      <c r="EV10" s="586"/>
      <c r="EW10" s="586"/>
      <c r="EX10" s="586"/>
      <c r="EY10" s="586"/>
      <c r="EZ10" s="586"/>
      <c r="FA10" s="586"/>
      <c r="FB10" s="586"/>
      <c r="FC10" s="586"/>
      <c r="FD10" s="586"/>
      <c r="FE10" s="586"/>
      <c r="FF10" s="586"/>
      <c r="FG10" s="586"/>
      <c r="FH10" s="586"/>
      <c r="FI10" s="586"/>
      <c r="FJ10" s="586"/>
      <c r="FK10" s="586"/>
      <c r="FL10" s="586"/>
      <c r="FM10" s="586"/>
      <c r="FN10" s="586"/>
      <c r="FO10" s="586"/>
      <c r="FP10" s="586"/>
      <c r="FQ10" s="586"/>
      <c r="FR10" s="586"/>
      <c r="FS10" s="586"/>
      <c r="FT10" s="586"/>
      <c r="FU10" s="586"/>
      <c r="FV10" s="586"/>
      <c r="FW10" s="586"/>
      <c r="FX10" s="586"/>
      <c r="FY10" s="586"/>
      <c r="FZ10" s="586"/>
      <c r="GA10" s="586"/>
      <c r="GB10" s="586"/>
      <c r="GC10" s="586"/>
      <c r="GD10" s="586"/>
    </row>
    <row r="11" spans="1:194" ht="10.5" customHeight="1" x14ac:dyDescent="0.3">
      <c r="A11" s="268">
        <v>1962</v>
      </c>
      <c r="B11" s="603">
        <f>'C1-Incomes'!EX10</f>
        <v>535187.89294000005</v>
      </c>
      <c r="C11" s="280">
        <f>(TOTALS!E68)/1000000+CC11-BS11</f>
        <v>291484.95001203928</v>
      </c>
      <c r="D11" s="601" t="s">
        <v>50</v>
      </c>
      <c r="E11" s="270">
        <f>CK11-C11-BR11</f>
        <v>4958.2004878403304</v>
      </c>
      <c r="F11" s="598"/>
      <c r="G11" s="270">
        <f t="shared" si="0"/>
        <v>7631</v>
      </c>
      <c r="H11" s="601" t="s">
        <v>50</v>
      </c>
      <c r="I11" s="270">
        <f t="shared" si="13"/>
        <v>11182</v>
      </c>
      <c r="J11" s="270"/>
      <c r="K11" s="270">
        <f>'T-T0'!G11</f>
        <v>6385.5725037516604</v>
      </c>
      <c r="L11" s="270">
        <f>CN11-K11</f>
        <v>4831.4274962483396</v>
      </c>
      <c r="M11" s="270"/>
      <c r="N11" s="280">
        <f>'T-T0'!I11</f>
        <v>21626.751713000001</v>
      </c>
      <c r="O11" s="280">
        <f>'T-T0'!J11</f>
        <v>8820.9911781900009</v>
      </c>
      <c r="P11" s="280">
        <f>CD11</f>
        <v>3114.8375646797472</v>
      </c>
      <c r="Q11" s="280">
        <f>CO11-N11-O11-P11</f>
        <v>10454.419544130251</v>
      </c>
      <c r="R11" s="270"/>
      <c r="S11" s="280">
        <f>TOTALS!U68/1000000</f>
        <v>2515.755467</v>
      </c>
      <c r="T11" s="270">
        <f>DS11-S11</f>
        <v>3068.244533</v>
      </c>
      <c r="U11" s="270">
        <f t="shared" si="14"/>
        <v>12461</v>
      </c>
      <c r="V11" s="270"/>
      <c r="W11" s="270"/>
      <c r="X11" s="280">
        <f t="shared" si="1"/>
        <v>15786.162790034025</v>
      </c>
      <c r="Y11" s="280">
        <f>(CP11-AA11)*'C13-CapOwn'!N7</f>
        <v>6202.6620995076428</v>
      </c>
      <c r="Z11" s="607">
        <f>(CP11-AA11)*'C13-CapOwn'!O7</f>
        <v>1307.17511045833</v>
      </c>
      <c r="AA11" s="607">
        <f t="shared" si="15"/>
        <v>799</v>
      </c>
      <c r="AB11" s="270"/>
      <c r="AC11" s="280">
        <f>TOTALS!H68/1000000</f>
        <v>12228.072388000001</v>
      </c>
      <c r="AD11" s="601">
        <f>BU11</f>
        <v>975.02311988735346</v>
      </c>
      <c r="AE11" s="270">
        <f t="shared" si="2"/>
        <v>745.78334811164677</v>
      </c>
      <c r="AF11" s="270"/>
      <c r="AG11" s="280">
        <f>DX11</f>
        <v>980.11013091000007</v>
      </c>
      <c r="AH11" s="280">
        <f>DZ11-AG11</f>
        <v>98.011013091000109</v>
      </c>
      <c r="AI11" s="270"/>
      <c r="AJ11" s="270">
        <f>'C10-Adj by Source'!X8</f>
        <v>22379.057999999997</v>
      </c>
      <c r="AK11" s="601">
        <f t="shared" si="3"/>
        <v>1223.5335261386738</v>
      </c>
      <c r="AL11" s="607">
        <f t="shared" si="4"/>
        <v>1323.1161482363345</v>
      </c>
      <c r="AM11" s="270"/>
      <c r="AN11" s="270">
        <f>DL11*0.65</f>
        <v>1603.55</v>
      </c>
      <c r="AO11" s="601">
        <f>BW11</f>
        <v>740.1</v>
      </c>
      <c r="AP11" s="607">
        <f t="shared" si="5"/>
        <v>123.35000000000001</v>
      </c>
      <c r="AQ11" s="280">
        <f>'T-T0'!U11</f>
        <v>5795.4615956295711</v>
      </c>
      <c r="AR11" s="607">
        <f>BX11</f>
        <v>2077.3384043704291</v>
      </c>
      <c r="AS11" s="607">
        <f t="shared" si="6"/>
        <v>432.20000000000005</v>
      </c>
      <c r="AT11" s="280"/>
      <c r="AU11" s="280">
        <f>TOTALS!F68/1000000*0.4</f>
        <v>2758.2965463200003</v>
      </c>
      <c r="AV11" s="607">
        <f>BY11</f>
        <v>777.76828099599879</v>
      </c>
      <c r="AW11" s="607">
        <f>0.05*(CS11-SUM(AN11:AU11))</f>
        <v>40.935172684000008</v>
      </c>
      <c r="AX11" s="270"/>
      <c r="AY11" s="270">
        <f>'C10-Adj by Source'!AE8</f>
        <v>10036</v>
      </c>
      <c r="AZ11" s="270">
        <f>'C10-Adj by Source'!AU8</f>
        <v>8922</v>
      </c>
      <c r="BA11" s="607">
        <f t="shared" si="16"/>
        <v>31424</v>
      </c>
      <c r="BB11" s="607"/>
      <c r="BC11" s="280">
        <f t="shared" si="7"/>
        <v>-2273</v>
      </c>
      <c r="BD11" s="280"/>
      <c r="BE11" s="280">
        <f t="shared" si="8"/>
        <v>2117</v>
      </c>
      <c r="BF11" s="280"/>
      <c r="BG11" s="280">
        <f t="shared" si="9"/>
        <v>379</v>
      </c>
      <c r="BH11" s="270"/>
      <c r="BI11" s="280">
        <f>TOTALS!AD68/1000000+CE11</f>
        <v>5345.0116304797484</v>
      </c>
      <c r="BJ11" s="280">
        <f>BR11+BT11-$BI11</f>
        <v>12310.837869640643</v>
      </c>
      <c r="BK11" s="272"/>
      <c r="BL11" s="280">
        <f>BN11-SUM(C11:BJ11)</f>
        <v>-3.7076743750367314</v>
      </c>
      <c r="BM11" s="863"/>
      <c r="BN11" s="270">
        <v>535189</v>
      </c>
      <c r="BO11" s="270">
        <f>B11</f>
        <v>535187.89294000005</v>
      </c>
      <c r="BP11" s="860">
        <f>BO11-BN11</f>
        <v>-1.1070599999511614</v>
      </c>
      <c r="BQ11" s="860"/>
      <c r="BR11" s="270">
        <f>C11*0.01</f>
        <v>2914.8495001203928</v>
      </c>
      <c r="BS11" s="270"/>
      <c r="BT11" s="270">
        <f t="shared" si="10"/>
        <v>14741</v>
      </c>
      <c r="BU11" s="270">
        <f>CQ11-AG11-AH11-AC11-AE11</f>
        <v>975.02311988735346</v>
      </c>
      <c r="BV11" s="270">
        <f t="shared" si="11"/>
        <v>1223.5335261386738</v>
      </c>
      <c r="BW11" s="280">
        <f>DL11-AN11-AP11</f>
        <v>740.1</v>
      </c>
      <c r="BX11" s="607">
        <f>DB11-CZ11-AQ11-AS11</f>
        <v>2077.3384043704291</v>
      </c>
      <c r="BY11" s="280">
        <f>CS11-BW11-BX11-AN11-AP11-AQ11-AS11-AU11-AW11</f>
        <v>777.76828099599879</v>
      </c>
      <c r="BZ11" s="280">
        <f>SUM(BU11:BY11)</f>
        <v>5793.7633313924543</v>
      </c>
      <c r="CA11" s="280"/>
      <c r="CB11" s="270">
        <f>'C0-Ref Stats'!AJ8</f>
        <v>15574.187823398739</v>
      </c>
      <c r="CC11" s="270">
        <f>CB11*0.6</f>
        <v>9344.5126940392438</v>
      </c>
      <c r="CD11" s="270">
        <f>CB11-CC11-CE11</f>
        <v>3114.8375646797472</v>
      </c>
      <c r="CE11" s="270">
        <f>CB11*0.2</f>
        <v>3114.8375646797481</v>
      </c>
      <c r="CF11" s="270"/>
      <c r="CG11" s="331">
        <f>'C12-CorpOwn'!R7</f>
        <v>0.89781109608863974</v>
      </c>
      <c r="CH11" s="331">
        <f>'C12-CorpOwn'!S7</f>
        <v>4.9096485941120892E-2</v>
      </c>
      <c r="CI11" s="331">
        <f>'C12-CorpOwn'!T7</f>
        <v>5.3092417970239336E-2</v>
      </c>
      <c r="CJ11" s="270"/>
      <c r="CK11" s="270">
        <v>299358</v>
      </c>
      <c r="CL11" s="270">
        <v>22372</v>
      </c>
      <c r="CM11" s="270">
        <v>11182</v>
      </c>
      <c r="CN11" s="270">
        <v>11217</v>
      </c>
      <c r="CO11" s="270">
        <v>44017</v>
      </c>
      <c r="CP11" s="270">
        <v>24095</v>
      </c>
      <c r="CQ11" s="270">
        <v>15027</v>
      </c>
      <c r="CR11" s="270">
        <v>24921</v>
      </c>
      <c r="CS11" s="270">
        <v>14349</v>
      </c>
      <c r="CT11" s="270">
        <v>50382</v>
      </c>
      <c r="CU11" s="280">
        <v>-2273</v>
      </c>
      <c r="CV11" s="280">
        <v>2117</v>
      </c>
      <c r="CW11" s="280">
        <v>379</v>
      </c>
      <c r="CX11" s="280">
        <v>18612</v>
      </c>
      <c r="CY11" s="280">
        <v>18273</v>
      </c>
      <c r="CZ11" s="280">
        <f t="shared" si="12"/>
        <v>339</v>
      </c>
      <c r="DA11" s="280">
        <v>15901</v>
      </c>
      <c r="DB11" s="280">
        <v>8644</v>
      </c>
      <c r="DC11" s="280">
        <v>2467</v>
      </c>
      <c r="DD11" s="270">
        <v>14013</v>
      </c>
      <c r="DE11" s="270">
        <v>18958</v>
      </c>
      <c r="DF11" s="270">
        <v>2470</v>
      </c>
      <c r="DG11" s="270">
        <v>3792</v>
      </c>
      <c r="DH11" s="270">
        <v>428</v>
      </c>
      <c r="DI11" s="270">
        <v>312</v>
      </c>
      <c r="DJ11" s="270">
        <f t="shared" si="17"/>
        <v>10409</v>
      </c>
      <c r="DK11" s="280">
        <v>8632</v>
      </c>
      <c r="DL11" s="270">
        <v>2467</v>
      </c>
      <c r="DM11" s="270">
        <v>785</v>
      </c>
      <c r="DN11" s="270">
        <v>4220</v>
      </c>
      <c r="DO11" s="270"/>
      <c r="DP11" s="270">
        <v>1227</v>
      </c>
      <c r="DQ11" s="270">
        <v>2184</v>
      </c>
      <c r="DR11" s="270"/>
      <c r="DS11" s="270">
        <v>5584</v>
      </c>
      <c r="DT11" s="272">
        <v>12461</v>
      </c>
      <c r="DU11" s="270"/>
      <c r="DV11" s="272"/>
      <c r="DW11" s="270">
        <f>TOTALS!S68/1000000</f>
        <v>9801.1013091000004</v>
      </c>
      <c r="DX11" s="280">
        <f>0.1*$DW11</f>
        <v>980.11013091000007</v>
      </c>
      <c r="DY11" s="280"/>
      <c r="DZ11" s="270">
        <f>DX11*1.1</f>
        <v>1078.1211440010002</v>
      </c>
      <c r="EA11" s="270"/>
      <c r="EB11" s="272">
        <v>46529</v>
      </c>
      <c r="EC11" s="607">
        <v>799</v>
      </c>
      <c r="ED11" s="277">
        <v>3180</v>
      </c>
      <c r="EE11" s="280">
        <v>8922</v>
      </c>
      <c r="EF11" s="280"/>
      <c r="EG11" s="586"/>
      <c r="EH11" s="586"/>
      <c r="EI11" s="586"/>
      <c r="EJ11" s="586"/>
      <c r="EK11" s="586"/>
      <c r="EL11" s="586"/>
      <c r="EM11" s="586"/>
      <c r="EN11" s="586"/>
      <c r="EO11" s="586"/>
      <c r="EP11" s="586"/>
      <c r="EQ11" s="586"/>
      <c r="ER11" s="586"/>
      <c r="ES11" s="586"/>
      <c r="ET11" s="586"/>
      <c r="EU11" s="586"/>
      <c r="EV11" s="586"/>
      <c r="EW11" s="586"/>
      <c r="EX11" s="586"/>
      <c r="EY11" s="586"/>
      <c r="EZ11" s="586"/>
      <c r="FA11" s="586"/>
      <c r="FB11" s="586"/>
      <c r="FC11" s="586"/>
      <c r="FD11" s="586"/>
      <c r="FE11" s="586"/>
      <c r="FF11" s="586"/>
      <c r="FG11" s="586"/>
      <c r="FH11" s="586"/>
      <c r="FI11" s="586"/>
      <c r="FJ11" s="586"/>
      <c r="FK11" s="586"/>
      <c r="FL11" s="586"/>
      <c r="FM11" s="586"/>
      <c r="FN11" s="586"/>
      <c r="FO11" s="586"/>
      <c r="FP11" s="586"/>
      <c r="FQ11" s="586"/>
      <c r="FR11" s="586"/>
      <c r="FS11" s="586"/>
      <c r="FT11" s="586"/>
      <c r="FU11" s="586"/>
      <c r="FV11" s="586"/>
      <c r="FW11" s="586"/>
      <c r="FX11" s="586"/>
      <c r="FY11" s="586"/>
      <c r="FZ11" s="586"/>
      <c r="GA11" s="586"/>
      <c r="GB11" s="586"/>
      <c r="GC11" s="586"/>
    </row>
    <row r="12" spans="1:194" ht="10.5" customHeight="1" x14ac:dyDescent="0.3">
      <c r="A12" s="268">
        <v>1963</v>
      </c>
      <c r="B12" s="603">
        <f>'C1-Incomes'!EX11</f>
        <v>571764.057745</v>
      </c>
      <c r="C12" s="270"/>
      <c r="D12" s="601" t="s">
        <v>50</v>
      </c>
      <c r="E12" s="270"/>
      <c r="F12" s="598"/>
      <c r="G12" s="270">
        <f t="shared" si="0"/>
        <v>8260</v>
      </c>
      <c r="H12" s="601" t="s">
        <v>50</v>
      </c>
      <c r="I12" s="270">
        <f t="shared" si="13"/>
        <v>12405</v>
      </c>
      <c r="J12" s="270"/>
      <c r="K12" s="280"/>
      <c r="L12" s="270"/>
      <c r="M12" s="270"/>
      <c r="N12" s="280"/>
      <c r="O12" s="280"/>
      <c r="P12" s="280"/>
      <c r="Q12" s="280"/>
      <c r="R12" s="270"/>
      <c r="S12" s="280"/>
      <c r="T12" s="270"/>
      <c r="U12" s="270">
        <f t="shared" si="14"/>
        <v>12911</v>
      </c>
      <c r="V12" s="270"/>
      <c r="W12" s="270"/>
      <c r="X12" s="280">
        <f t="shared" si="1"/>
        <v>17230.881203309313</v>
      </c>
      <c r="Y12" s="280">
        <f>(CP12-AA12)*'C13-CapOwn'!N8</f>
        <v>6854.648901097923</v>
      </c>
      <c r="Z12" s="607">
        <f>(CP12-AA12)*'C13-CapOwn'!O8</f>
        <v>1405.4698955927652</v>
      </c>
      <c r="AA12" s="607">
        <f t="shared" si="15"/>
        <v>880</v>
      </c>
      <c r="AB12" s="270"/>
      <c r="AC12" s="280"/>
      <c r="AD12" s="601"/>
      <c r="AE12" s="270">
        <f t="shared" si="2"/>
        <v>868.03727819810558</v>
      </c>
      <c r="AF12" s="270"/>
      <c r="AG12" s="280"/>
      <c r="AH12" s="280"/>
      <c r="AI12" s="270"/>
      <c r="AJ12" s="270"/>
      <c r="AK12" s="601">
        <f t="shared" si="3"/>
        <v>1578.5234170325493</v>
      </c>
      <c r="AL12" s="607">
        <f t="shared" si="4"/>
        <v>1491.6918021067593</v>
      </c>
      <c r="AM12" s="270"/>
      <c r="AN12" s="270"/>
      <c r="AO12" s="601"/>
      <c r="AP12" s="607">
        <f t="shared" si="5"/>
        <v>133.75</v>
      </c>
      <c r="AQ12" s="280"/>
      <c r="AR12" s="607"/>
      <c r="AS12" s="607">
        <f t="shared" si="6"/>
        <v>464.75</v>
      </c>
      <c r="AT12" s="280"/>
      <c r="AU12" s="280"/>
      <c r="AV12" s="607"/>
      <c r="AW12" s="607"/>
      <c r="AX12" s="270"/>
      <c r="AY12" s="270">
        <f>'C10-Adj by Source'!AE9</f>
        <v>10426</v>
      </c>
      <c r="AZ12" s="270">
        <f>'C10-Adj by Source'!AU9</f>
        <v>9819</v>
      </c>
      <c r="BA12" s="607">
        <f t="shared" si="16"/>
        <v>33141</v>
      </c>
      <c r="BB12" s="607"/>
      <c r="BC12" s="280">
        <f t="shared" si="7"/>
        <v>-2234</v>
      </c>
      <c r="BD12" s="280"/>
      <c r="BE12" s="280">
        <f t="shared" si="8"/>
        <v>2529</v>
      </c>
      <c r="BF12" s="280"/>
      <c r="BG12" s="280">
        <f t="shared" si="9"/>
        <v>799</v>
      </c>
      <c r="BH12" s="270"/>
      <c r="BI12" s="280"/>
      <c r="BJ12" s="280"/>
      <c r="BK12" s="272"/>
      <c r="BL12" s="280"/>
      <c r="BM12" s="863"/>
      <c r="BN12" s="270">
        <v>566574</v>
      </c>
      <c r="BO12" s="270"/>
      <c r="BP12" s="280"/>
      <c r="BQ12" s="860"/>
      <c r="BR12" s="270"/>
      <c r="BS12" s="270"/>
      <c r="BT12" s="270">
        <f t="shared" si="10"/>
        <v>15663</v>
      </c>
      <c r="BU12" s="270"/>
      <c r="BV12" s="270">
        <f t="shared" si="11"/>
        <v>1578.5234170325493</v>
      </c>
      <c r="BW12" s="280"/>
      <c r="BX12" s="607"/>
      <c r="BY12" s="280"/>
      <c r="BZ12" s="280"/>
      <c r="CA12" s="280"/>
      <c r="CB12" s="270"/>
      <c r="CC12" s="270"/>
      <c r="CD12" s="270"/>
      <c r="CE12" s="270"/>
      <c r="CF12" s="270"/>
      <c r="CG12" s="331">
        <f>'C12-CorpOwn'!R8</f>
        <v>0.88996038783056852</v>
      </c>
      <c r="CH12" s="331">
        <f>'C12-CorpOwn'!S8</f>
        <v>5.6575872443014562E-2</v>
      </c>
      <c r="CI12" s="331">
        <f>'C12-CorpOwn'!T8</f>
        <v>5.3463739726416951E-2</v>
      </c>
      <c r="CJ12" s="270"/>
      <c r="CK12" s="270">
        <v>314851</v>
      </c>
      <c r="CL12" s="270">
        <v>23923</v>
      </c>
      <c r="CM12" s="270">
        <v>12405</v>
      </c>
      <c r="CN12" s="270">
        <v>11010</v>
      </c>
      <c r="CO12" s="270">
        <v>45388</v>
      </c>
      <c r="CP12" s="270">
        <v>26371</v>
      </c>
      <c r="CQ12" s="270">
        <v>16236</v>
      </c>
      <c r="CR12" s="270">
        <v>27901</v>
      </c>
      <c r="CS12" s="270">
        <v>15282</v>
      </c>
      <c r="CT12" s="270">
        <v>53386</v>
      </c>
      <c r="CU12" s="280">
        <v>-2234</v>
      </c>
      <c r="CV12" s="280">
        <v>2529</v>
      </c>
      <c r="CW12" s="280">
        <v>799</v>
      </c>
      <c r="CX12" s="280">
        <v>20073</v>
      </c>
      <c r="CY12" s="280">
        <v>19672</v>
      </c>
      <c r="CZ12" s="280">
        <f t="shared" si="12"/>
        <v>401</v>
      </c>
      <c r="DA12" s="280">
        <v>17143</v>
      </c>
      <c r="DB12" s="280">
        <v>9295</v>
      </c>
      <c r="DC12" s="280">
        <v>2675</v>
      </c>
      <c r="DD12" s="270">
        <v>14975</v>
      </c>
      <c r="DE12" s="270">
        <v>20245</v>
      </c>
      <c r="DF12" s="270">
        <v>2591</v>
      </c>
      <c r="DG12" s="270">
        <v>3988</v>
      </c>
      <c r="DH12" s="270">
        <v>461</v>
      </c>
      <c r="DI12" s="270">
        <v>332</v>
      </c>
      <c r="DJ12" s="270">
        <f t="shared" si="17"/>
        <v>10794</v>
      </c>
      <c r="DK12" s="280">
        <v>9351</v>
      </c>
      <c r="DL12" s="270">
        <v>2675</v>
      </c>
      <c r="DM12" s="270">
        <v>904</v>
      </c>
      <c r="DN12" s="270">
        <v>4585</v>
      </c>
      <c r="DO12" s="270"/>
      <c r="DP12" s="270">
        <v>1342</v>
      </c>
      <c r="DQ12" s="270">
        <v>2333</v>
      </c>
      <c r="DR12" s="270"/>
      <c r="DS12" s="270">
        <v>5816</v>
      </c>
      <c r="DT12" s="272">
        <v>12911</v>
      </c>
      <c r="DU12" s="270"/>
      <c r="DV12" s="272"/>
      <c r="DW12" s="270"/>
      <c r="DX12" s="280"/>
      <c r="DY12" s="280"/>
      <c r="DZ12" s="270"/>
      <c r="EA12" s="270"/>
      <c r="EB12" s="272">
        <v>49138</v>
      </c>
      <c r="EC12" s="607">
        <v>880</v>
      </c>
      <c r="ED12" s="277">
        <v>3432</v>
      </c>
      <c r="EE12" s="280">
        <v>9819</v>
      </c>
      <c r="EF12" s="280"/>
    </row>
    <row r="13" spans="1:194" ht="10.5" customHeight="1" x14ac:dyDescent="0.3">
      <c r="A13" s="268">
        <v>1964</v>
      </c>
      <c r="B13" s="603">
        <f>'C1-Incomes'!EX12</f>
        <v>608340.22254999995</v>
      </c>
      <c r="C13" s="280">
        <f>(TOTALS!E70)/1000000+CC13-BS13</f>
        <v>326203.4467218807</v>
      </c>
      <c r="D13" s="601" t="s">
        <v>50</v>
      </c>
      <c r="E13" s="270">
        <f>CK13-C13-BR13</f>
        <v>8322.5188109004957</v>
      </c>
      <c r="F13" s="598"/>
      <c r="G13" s="270">
        <f t="shared" si="0"/>
        <v>9242</v>
      </c>
      <c r="H13" s="601" t="s">
        <v>50</v>
      </c>
      <c r="I13" s="270">
        <f t="shared" si="13"/>
        <v>12632</v>
      </c>
      <c r="J13" s="270"/>
      <c r="K13" s="270">
        <f>'T-T0'!G13</f>
        <v>12632.399937423083</v>
      </c>
      <c r="L13" s="270">
        <f>CN13-K13</f>
        <v>-2851.3999374230825</v>
      </c>
      <c r="M13" s="270"/>
      <c r="N13" s="280">
        <f>'T-T0'!I13</f>
        <v>28721.947985999999</v>
      </c>
      <c r="O13" s="280">
        <f>'T-T0'!J13</f>
        <v>6586.4969886599993</v>
      </c>
      <c r="P13" s="280">
        <f>CD13</f>
        <v>3361.1652779602346</v>
      </c>
      <c r="Q13" s="280">
        <f>CO13-N13-O13-P13</f>
        <v>10681.389747379766</v>
      </c>
      <c r="R13" s="270"/>
      <c r="S13" s="280">
        <f>TOTALS!U70/1000000</f>
        <v>2853.2850490000001</v>
      </c>
      <c r="T13" s="270">
        <f>DS13-S13</f>
        <v>2920.7149509999999</v>
      </c>
      <c r="U13" s="270">
        <f t="shared" si="14"/>
        <v>13057</v>
      </c>
      <c r="V13" s="270"/>
      <c r="W13" s="270"/>
      <c r="X13" s="280">
        <f t="shared" si="1"/>
        <v>18164.513733297106</v>
      </c>
      <c r="Y13" s="280">
        <f>(CP13-AA13)*'C13-CapOwn'!N9</f>
        <v>6962.4158293367318</v>
      </c>
      <c r="Z13" s="607">
        <f>(CP13-AA13)*'C13-CapOwn'!O9</f>
        <v>1446.0704373661595</v>
      </c>
      <c r="AA13" s="607">
        <f t="shared" si="15"/>
        <v>1582</v>
      </c>
      <c r="AB13" s="270"/>
      <c r="AC13" s="280">
        <f>TOTALS!H70/1000000</f>
        <v>12719.134177</v>
      </c>
      <c r="AD13" s="601">
        <f>BU13</f>
        <v>3738.2574724166116</v>
      </c>
      <c r="AE13" s="270">
        <f t="shared" si="2"/>
        <v>931.5920519693899</v>
      </c>
      <c r="AF13" s="270"/>
      <c r="AG13" s="280">
        <f>DX13</f>
        <v>731.83299873999999</v>
      </c>
      <c r="AH13" s="280">
        <f>DZ13-AG13</f>
        <v>73.183299874000113</v>
      </c>
      <c r="AI13" s="270"/>
      <c r="AJ13" s="270">
        <f>'C10-Adj by Source'!X10</f>
        <v>27815.432999999997</v>
      </c>
      <c r="AK13" s="601">
        <f t="shared" si="3"/>
        <v>1874.667156619053</v>
      </c>
      <c r="AL13" s="607">
        <f t="shared" si="4"/>
        <v>1672.9765071883774</v>
      </c>
      <c r="AM13" s="270"/>
      <c r="AN13" s="270">
        <f>DL13*0.65</f>
        <v>1898</v>
      </c>
      <c r="AO13" s="601">
        <f>BW13</f>
        <v>876</v>
      </c>
      <c r="AP13" s="607">
        <f t="shared" si="5"/>
        <v>146</v>
      </c>
      <c r="AQ13" s="280">
        <f>'T-T0'!U13</f>
        <v>7864.8510295757069</v>
      </c>
      <c r="AR13" s="607">
        <f>BX13</f>
        <v>1194.498970424293</v>
      </c>
      <c r="AS13" s="607">
        <f t="shared" si="6"/>
        <v>500.65000000000003</v>
      </c>
      <c r="AT13" s="280"/>
      <c r="AU13" s="280">
        <f>TOTALS!F70/1000000*0.4</f>
        <v>3642.2492568000002</v>
      </c>
      <c r="AV13" s="607">
        <f>BY13</f>
        <v>1347.8132060400008</v>
      </c>
      <c r="AW13" s="607">
        <f>0.05*(CS13-SUM(AN13:AU13))</f>
        <v>70.937537160000019</v>
      </c>
      <c r="AX13" s="270"/>
      <c r="AY13" s="270">
        <f>'C10-Adj by Source'!AE10</f>
        <v>10978</v>
      </c>
      <c r="AZ13" s="270">
        <f>'C10-Adj by Source'!AU10</f>
        <v>10709</v>
      </c>
      <c r="BA13" s="607">
        <f t="shared" si="16"/>
        <v>35582</v>
      </c>
      <c r="BB13" s="607"/>
      <c r="BC13" s="280">
        <f t="shared" si="7"/>
        <v>-2729</v>
      </c>
      <c r="BD13" s="280"/>
      <c r="BE13" s="280">
        <f t="shared" si="8"/>
        <v>3004</v>
      </c>
      <c r="BF13" s="280"/>
      <c r="BG13" s="280">
        <f t="shared" si="9"/>
        <v>763</v>
      </c>
      <c r="BH13" s="270"/>
      <c r="BI13" s="280">
        <f>TOTALS!AD70/1000000+CE13</f>
        <v>6307.4360869602351</v>
      </c>
      <c r="BJ13" s="280">
        <f>BR13+BT13-$BI13</f>
        <v>14113.598380258572</v>
      </c>
      <c r="BK13" s="272"/>
      <c r="BL13" s="280">
        <f>BN13-SUM(C13:BJ13)</f>
        <v>-4.0766638075001538</v>
      </c>
      <c r="BM13" s="863"/>
      <c r="BN13" s="270">
        <v>608340</v>
      </c>
      <c r="BO13" s="270">
        <f>B13</f>
        <v>608340.22254999995</v>
      </c>
      <c r="BP13" s="860">
        <f>BO13-BN13</f>
        <v>0.22254999994765967</v>
      </c>
      <c r="BQ13" s="860"/>
      <c r="BR13" s="270">
        <f>C13*0.01</f>
        <v>3262.0344672188071</v>
      </c>
      <c r="BS13" s="270"/>
      <c r="BT13" s="270">
        <f t="shared" si="10"/>
        <v>17159</v>
      </c>
      <c r="BU13" s="270">
        <f>CQ13-AG13-AH13-AC13-AE13</f>
        <v>3738.2574724166116</v>
      </c>
      <c r="BV13" s="270">
        <f t="shared" si="11"/>
        <v>1874.667156619053</v>
      </c>
      <c r="BW13" s="280">
        <f>DL13-AN13-AP13</f>
        <v>876</v>
      </c>
      <c r="BX13" s="607">
        <f>DB13-CZ13-AQ13-AS13</f>
        <v>1194.498970424293</v>
      </c>
      <c r="BY13" s="280">
        <f>CS13-BW13-BX13-AN13-AP13-AQ13-AS13-AU13-AW13</f>
        <v>1347.8132060400008</v>
      </c>
      <c r="BZ13" s="280">
        <f>SUM(BU13:BY13)</f>
        <v>9031.236805499957</v>
      </c>
      <c r="CA13" s="280"/>
      <c r="CB13" s="270">
        <f>'C0-Ref Stats'!AJ10</f>
        <v>16805.826389801172</v>
      </c>
      <c r="CC13" s="270">
        <f>CB13*0.6</f>
        <v>10083.495833880703</v>
      </c>
      <c r="CD13" s="270">
        <f>CB13-CC13-CE13</f>
        <v>3361.1652779602346</v>
      </c>
      <c r="CE13" s="270">
        <f>CB13*0.2</f>
        <v>3361.1652779602346</v>
      </c>
      <c r="CF13" s="270"/>
      <c r="CG13" s="331">
        <f>'C12-CorpOwn'!R9</f>
        <v>0.88687000019747353</v>
      </c>
      <c r="CH13" s="331">
        <f>'C12-CorpOwn'!S9</f>
        <v>5.9780833464684872E-2</v>
      </c>
      <c r="CI13" s="331">
        <f>'C12-CorpOwn'!T9</f>
        <v>5.3349166337841682E-2</v>
      </c>
      <c r="CJ13" s="270"/>
      <c r="CK13" s="270">
        <v>337788</v>
      </c>
      <c r="CL13" s="270">
        <v>26401</v>
      </c>
      <c r="CM13" s="270">
        <v>12632</v>
      </c>
      <c r="CN13" s="270">
        <v>9781</v>
      </c>
      <c r="CO13" s="270">
        <v>49351</v>
      </c>
      <c r="CP13" s="270">
        <v>28155</v>
      </c>
      <c r="CQ13" s="270">
        <v>18194</v>
      </c>
      <c r="CR13" s="270">
        <v>31359</v>
      </c>
      <c r="CS13" s="270">
        <v>17541</v>
      </c>
      <c r="CT13" s="270">
        <v>57269</v>
      </c>
      <c r="CU13" s="280">
        <v>-2729</v>
      </c>
      <c r="CV13" s="280">
        <v>3004</v>
      </c>
      <c r="CW13" s="280">
        <v>763</v>
      </c>
      <c r="CX13" s="280">
        <v>21638</v>
      </c>
      <c r="CY13" s="280">
        <v>21185</v>
      </c>
      <c r="CZ13" s="280">
        <f t="shared" si="12"/>
        <v>453</v>
      </c>
      <c r="DA13" s="280">
        <v>18430</v>
      </c>
      <c r="DB13" s="280">
        <v>10013</v>
      </c>
      <c r="DC13" s="280">
        <v>2920</v>
      </c>
      <c r="DD13" s="270">
        <v>16454</v>
      </c>
      <c r="DE13" s="270">
        <v>21687</v>
      </c>
      <c r="DF13" s="270">
        <v>2669</v>
      </c>
      <c r="DG13" s="270">
        <v>4212</v>
      </c>
      <c r="DH13" s="270">
        <v>477</v>
      </c>
      <c r="DI13" s="270">
        <v>362</v>
      </c>
      <c r="DJ13" s="270">
        <f t="shared" si="17"/>
        <v>11408</v>
      </c>
      <c r="DK13" s="280">
        <v>10297</v>
      </c>
      <c r="DL13" s="270">
        <v>2920</v>
      </c>
      <c r="DM13" s="270">
        <v>1093</v>
      </c>
      <c r="DN13" s="270">
        <v>5216</v>
      </c>
      <c r="DO13" s="270"/>
      <c r="DP13" s="270">
        <v>1491</v>
      </c>
      <c r="DQ13" s="270">
        <v>2535</v>
      </c>
      <c r="DR13" s="270"/>
      <c r="DS13" s="270">
        <v>5774</v>
      </c>
      <c r="DT13" s="272">
        <v>13057</v>
      </c>
      <c r="DU13" s="270"/>
      <c r="DV13" s="272"/>
      <c r="DW13" s="270">
        <f>TOTALS!S70/1000000</f>
        <v>7318.3299873999995</v>
      </c>
      <c r="DX13" s="280">
        <f>0.1*$DW13</f>
        <v>731.83299873999999</v>
      </c>
      <c r="DY13" s="280"/>
      <c r="DZ13" s="270">
        <f>DX13*1.1</f>
        <v>805.01629861400011</v>
      </c>
      <c r="EA13" s="270"/>
      <c r="EB13" s="272">
        <v>45985</v>
      </c>
      <c r="EC13" s="607">
        <v>1582</v>
      </c>
      <c r="ED13" s="277">
        <v>4018</v>
      </c>
      <c r="EE13" s="280">
        <v>10709</v>
      </c>
      <c r="EF13" s="280"/>
    </row>
    <row r="14" spans="1:194" ht="10.5" customHeight="1" x14ac:dyDescent="0.3">
      <c r="A14" s="268">
        <v>1965</v>
      </c>
      <c r="B14" s="603">
        <f>'C1-Incomes'!EX13</f>
        <v>664016.98922999995</v>
      </c>
      <c r="C14" s="270"/>
      <c r="D14" s="601" t="s">
        <v>50</v>
      </c>
      <c r="E14" s="270"/>
      <c r="F14" s="598"/>
      <c r="G14" s="270">
        <f t="shared" si="0"/>
        <v>10320</v>
      </c>
      <c r="H14" s="601" t="s">
        <v>50</v>
      </c>
      <c r="I14" s="270">
        <f t="shared" si="13"/>
        <v>13093</v>
      </c>
      <c r="J14" s="270"/>
      <c r="K14" s="270"/>
      <c r="L14" s="270"/>
      <c r="M14" s="270"/>
      <c r="N14" s="280"/>
      <c r="O14" s="280"/>
      <c r="P14" s="280"/>
      <c r="Q14" s="280"/>
      <c r="R14" s="270"/>
      <c r="S14" s="280"/>
      <c r="T14" s="270"/>
      <c r="U14" s="270">
        <f t="shared" si="14"/>
        <v>13388</v>
      </c>
      <c r="V14" s="270"/>
      <c r="W14" s="270"/>
      <c r="X14" s="280">
        <f t="shared" si="1"/>
        <v>20498.73691426979</v>
      </c>
      <c r="Y14" s="280">
        <f>(CP14-AA14)*'C13-CapOwn'!N10</f>
        <v>7671.8974756729904</v>
      </c>
      <c r="Z14" s="607">
        <f>(CP14-AA14)*'C13-CapOwn'!O10</f>
        <v>1597.3656100572198</v>
      </c>
      <c r="AA14" s="607">
        <f t="shared" si="15"/>
        <v>1297</v>
      </c>
      <c r="AB14" s="270"/>
      <c r="AC14" s="280"/>
      <c r="AD14" s="601"/>
      <c r="AE14" s="270">
        <f t="shared" si="2"/>
        <v>1077.5784291477835</v>
      </c>
      <c r="AF14" s="270"/>
      <c r="AG14" s="280"/>
      <c r="AH14" s="280"/>
      <c r="AI14" s="270"/>
      <c r="AJ14" s="270"/>
      <c r="AK14" s="601">
        <f t="shared" si="3"/>
        <v>2416.9240234818649</v>
      </c>
      <c r="AL14" s="607">
        <f t="shared" si="4"/>
        <v>2027.6394109264825</v>
      </c>
      <c r="AM14" s="270"/>
      <c r="AN14" s="270"/>
      <c r="AO14" s="601"/>
      <c r="AP14" s="607">
        <f t="shared" si="5"/>
        <v>157.05000000000001</v>
      </c>
      <c r="AQ14" s="280"/>
      <c r="AR14" s="607"/>
      <c r="AS14" s="607">
        <f t="shared" si="6"/>
        <v>528.05000000000007</v>
      </c>
      <c r="AT14" s="280"/>
      <c r="AU14" s="280"/>
      <c r="AV14" s="607"/>
      <c r="AW14" s="607"/>
      <c r="AX14" s="270"/>
      <c r="AY14" s="270">
        <f>'C10-Adj by Source'!AE11</f>
        <v>11527</v>
      </c>
      <c r="AZ14" s="270">
        <f>'C10-Adj by Source'!AU11</f>
        <v>11660</v>
      </c>
      <c r="BA14" s="607">
        <f t="shared" si="16"/>
        <v>37522</v>
      </c>
      <c r="BB14" s="607"/>
      <c r="BC14" s="280">
        <f t="shared" si="7"/>
        <v>-3007</v>
      </c>
      <c r="BD14" s="280"/>
      <c r="BE14" s="280">
        <f t="shared" si="8"/>
        <v>3485</v>
      </c>
      <c r="BF14" s="280"/>
      <c r="BG14" s="280">
        <f t="shared" si="9"/>
        <v>680</v>
      </c>
      <c r="BH14" s="270"/>
      <c r="BI14" s="280"/>
      <c r="BJ14" s="280"/>
      <c r="BK14" s="272"/>
      <c r="BL14" s="280"/>
      <c r="BM14" s="863"/>
      <c r="BN14" s="270">
        <v>660255</v>
      </c>
      <c r="BO14" s="270"/>
      <c r="BP14" s="280"/>
      <c r="BQ14" s="860"/>
      <c r="BR14" s="270"/>
      <c r="BS14" s="270"/>
      <c r="BT14" s="270">
        <f t="shared" si="10"/>
        <v>19177</v>
      </c>
      <c r="BU14" s="270"/>
      <c r="BV14" s="270">
        <f t="shared" si="11"/>
        <v>2416.9240234818649</v>
      </c>
      <c r="BW14" s="280"/>
      <c r="BX14" s="607"/>
      <c r="BY14" s="280"/>
      <c r="BZ14" s="280"/>
      <c r="CA14" s="280"/>
      <c r="CB14" s="270"/>
      <c r="CC14" s="270"/>
      <c r="CD14" s="270"/>
      <c r="CE14" s="270"/>
      <c r="CF14" s="270"/>
      <c r="CG14" s="331">
        <f>'C12-CorpOwn'!R10</f>
        <v>0.88309625622956034</v>
      </c>
      <c r="CH14" s="331">
        <f>'C12-CorpOwn'!S10</f>
        <v>6.3571478036820145E-2</v>
      </c>
      <c r="CI14" s="331">
        <f>'C12-CorpOwn'!T10</f>
        <v>5.3332265733619572E-2</v>
      </c>
      <c r="CJ14" s="270"/>
      <c r="CK14" s="270">
        <v>363757</v>
      </c>
      <c r="CL14" s="270">
        <v>29497</v>
      </c>
      <c r="CM14" s="270">
        <v>13093</v>
      </c>
      <c r="CN14" s="270">
        <v>12029</v>
      </c>
      <c r="CO14" s="270">
        <v>51633</v>
      </c>
      <c r="CP14" s="270">
        <v>31065</v>
      </c>
      <c r="CQ14" s="270">
        <v>20205</v>
      </c>
      <c r="CR14" s="270">
        <v>38019</v>
      </c>
      <c r="CS14" s="270">
        <v>19753</v>
      </c>
      <c r="CT14" s="270">
        <v>60709</v>
      </c>
      <c r="CU14" s="280">
        <v>-3007</v>
      </c>
      <c r="CV14" s="280">
        <v>3485</v>
      </c>
      <c r="CW14" s="280">
        <v>680</v>
      </c>
      <c r="CX14" s="280">
        <v>23058</v>
      </c>
      <c r="CY14" s="280">
        <v>22569</v>
      </c>
      <c r="CZ14" s="280">
        <f t="shared" si="12"/>
        <v>489</v>
      </c>
      <c r="DA14" s="280">
        <v>19506</v>
      </c>
      <c r="DB14" s="280">
        <v>10561</v>
      </c>
      <c r="DC14" s="280">
        <v>3141</v>
      </c>
      <c r="DD14" s="270">
        <v>18185</v>
      </c>
      <c r="DE14" s="270">
        <v>23187</v>
      </c>
      <c r="DF14" s="270">
        <v>2795</v>
      </c>
      <c r="DG14" s="270">
        <v>4504</v>
      </c>
      <c r="DH14" s="270">
        <v>536</v>
      </c>
      <c r="DI14" s="270">
        <v>372</v>
      </c>
      <c r="DJ14" s="270">
        <f t="shared" si="17"/>
        <v>11130</v>
      </c>
      <c r="DK14" s="280">
        <v>11262</v>
      </c>
      <c r="DL14" s="270">
        <v>3141</v>
      </c>
      <c r="DM14" s="270">
        <v>1342</v>
      </c>
      <c r="DN14" s="270">
        <v>5921</v>
      </c>
      <c r="DO14" s="270"/>
      <c r="DP14" s="270">
        <v>1660</v>
      </c>
      <c r="DQ14" s="270">
        <v>2739</v>
      </c>
      <c r="DR14" s="270"/>
      <c r="DS14" s="270">
        <v>5949</v>
      </c>
      <c r="DT14" s="272">
        <v>13388</v>
      </c>
      <c r="DU14" s="270"/>
      <c r="DV14" s="272"/>
      <c r="DW14" s="270"/>
      <c r="DX14" s="280"/>
      <c r="DY14" s="280"/>
      <c r="DZ14" s="270"/>
      <c r="EA14" s="270"/>
      <c r="EB14" s="272">
        <v>51068</v>
      </c>
      <c r="EC14" s="607">
        <v>1297</v>
      </c>
      <c r="ED14" s="277">
        <v>4417</v>
      </c>
      <c r="EE14" s="280">
        <v>11660</v>
      </c>
      <c r="EF14" s="280"/>
    </row>
    <row r="15" spans="1:194" ht="10.5" customHeight="1" x14ac:dyDescent="0.3">
      <c r="A15" s="268">
        <v>1966</v>
      </c>
      <c r="B15" s="603">
        <f>'C1-Incomes'!EX14</f>
        <v>719693.75590999995</v>
      </c>
      <c r="C15" s="280">
        <f>(TOTALS!E72)/1000000+CC15-BS15</f>
        <v>390690.54949609673</v>
      </c>
      <c r="D15" s="601" t="s">
        <v>50</v>
      </c>
      <c r="E15" s="270">
        <f t="shared" ref="E15:E46" si="18">CK15-C15-BR15</f>
        <v>5723.5450089422993</v>
      </c>
      <c r="F15" s="598"/>
      <c r="G15" s="270">
        <f t="shared" si="0"/>
        <v>11391</v>
      </c>
      <c r="H15" s="601" t="s">
        <v>50</v>
      </c>
      <c r="I15" s="270">
        <f t="shared" si="13"/>
        <v>16846</v>
      </c>
      <c r="J15" s="270"/>
      <c r="K15" s="270">
        <f>'T-T0'!G15</f>
        <v>3214.1951194054773</v>
      </c>
      <c r="L15" s="270">
        <f t="shared" ref="L15:L46" si="19">CN15-K15</f>
        <v>9803.8048805945218</v>
      </c>
      <c r="M15" s="270"/>
      <c r="N15" s="280">
        <f>'T-T0'!I15</f>
        <v>29096.230699</v>
      </c>
      <c r="O15" s="280">
        <f>'T-T0'!J15</f>
        <v>11721.293784000001</v>
      </c>
      <c r="P15" s="280">
        <f t="shared" ref="P15:P46" si="20">CD15</f>
        <v>3614.2457736988977</v>
      </c>
      <c r="Q15" s="280">
        <f t="shared" ref="Q15:Q46" si="21">CO15-N15-O15-P15</f>
        <v>10483.229743301101</v>
      </c>
      <c r="R15" s="270"/>
      <c r="S15" s="280">
        <f>TOTALS!U72/1000000</f>
        <v>5416.8617126000008</v>
      </c>
      <c r="T15" s="270">
        <f t="shared" ref="T15:T46" si="22">DS15-S15</f>
        <v>574.13828739999917</v>
      </c>
      <c r="U15" s="270">
        <f t="shared" si="14"/>
        <v>13920</v>
      </c>
      <c r="V15" s="270"/>
      <c r="W15" s="270"/>
      <c r="X15" s="280">
        <f t="shared" si="1"/>
        <v>21344.784527178395</v>
      </c>
      <c r="Y15" s="280">
        <f>(CP15-AA15)*'C13-CapOwn'!N11</f>
        <v>9111.4901472206548</v>
      </c>
      <c r="Z15" s="607">
        <f>(CP15-AA15)*'C13-CapOwn'!O11</f>
        <v>1775.7253256009481</v>
      </c>
      <c r="AA15" s="607">
        <f t="shared" si="15"/>
        <v>1649</v>
      </c>
      <c r="AB15" s="270"/>
      <c r="AC15" s="280">
        <f>TOTALS!H72/1000000</f>
        <v>17916.760021999999</v>
      </c>
      <c r="AD15" s="601">
        <f t="shared" ref="AD15:AD46" si="23">BU15</f>
        <v>-16.715714321998121</v>
      </c>
      <c r="AE15" s="270">
        <f t="shared" si="2"/>
        <v>1030.8034346219999</v>
      </c>
      <c r="AF15" s="270"/>
      <c r="AG15" s="280">
        <f t="shared" ref="AG15:AG46" si="24">DX15</f>
        <v>1581.047507</v>
      </c>
      <c r="AH15" s="280">
        <f t="shared" ref="AH15:AH46" si="25">DZ15-AG15</f>
        <v>158.10475070000007</v>
      </c>
      <c r="AI15" s="270"/>
      <c r="AJ15" s="270">
        <f>'C10-Adj by Source'!X12</f>
        <v>36416.195999999996</v>
      </c>
      <c r="AK15" s="601">
        <f t="shared" si="3"/>
        <v>2909.9700000000003</v>
      </c>
      <c r="AL15" s="607">
        <f t="shared" si="4"/>
        <v>2244.8339999999998</v>
      </c>
      <c r="AM15" s="270"/>
      <c r="AN15" s="270">
        <f t="shared" ref="AN15:AN35" si="26">DL15*0.65</f>
        <v>2236.65</v>
      </c>
      <c r="AO15" s="601">
        <f t="shared" ref="AO15:AO46" si="27">BW15</f>
        <v>1032.3</v>
      </c>
      <c r="AP15" s="607">
        <f t="shared" si="5"/>
        <v>172.05</v>
      </c>
      <c r="AQ15" s="280">
        <f>TOTALS!F72/1000000-AU15</f>
        <v>8050.1629560000001</v>
      </c>
      <c r="AR15" s="607">
        <f t="shared" ref="AR15:AR46" si="28">BX15</f>
        <v>2457.8870440000001</v>
      </c>
      <c r="AS15" s="607">
        <f t="shared" si="6"/>
        <v>581.95000000000005</v>
      </c>
      <c r="AT15" s="280"/>
      <c r="AU15" s="280">
        <f>TOTALS!F72/1000000*0.4</f>
        <v>5366.7753040000007</v>
      </c>
      <c r="AV15" s="607">
        <f t="shared" ref="AV15:AV46" si="29">BY15</f>
        <v>2486.3634612000005</v>
      </c>
      <c r="AW15" s="607">
        <f t="shared" ref="AW15:AW46" si="30">0.05*(CS15-SUM(AN15:AU15))</f>
        <v>130.86123479999989</v>
      </c>
      <c r="AX15" s="270"/>
      <c r="AY15" s="270">
        <f>'C10-Adj by Source'!AE12</f>
        <v>11968</v>
      </c>
      <c r="AZ15" s="270">
        <f>'C10-Adj by Source'!AU12</f>
        <v>12567</v>
      </c>
      <c r="BA15" s="607">
        <f t="shared" si="16"/>
        <v>38676</v>
      </c>
      <c r="BB15" s="607"/>
      <c r="BC15" s="280">
        <f t="shared" si="7"/>
        <v>-3949</v>
      </c>
      <c r="BD15" s="280"/>
      <c r="BE15" s="280">
        <f t="shared" si="8"/>
        <v>3392</v>
      </c>
      <c r="BF15" s="280"/>
      <c r="BG15" s="280">
        <f t="shared" si="9"/>
        <v>272</v>
      </c>
      <c r="BH15" s="270"/>
      <c r="BI15" s="280">
        <f>TOTALS!AD72/1000000+CE15</f>
        <v>8290.3245861988962</v>
      </c>
      <c r="BJ15" s="280">
        <f t="shared" ref="BJ15:BJ46" si="31">BR15+BT15-$BI15</f>
        <v>17344.580908762073</v>
      </c>
      <c r="BK15" s="272"/>
      <c r="BL15" s="280">
        <f t="shared" ref="BL15:BL46" si="32">BN15-SUM(C15:BJ15)</f>
        <v>-0.99999999988358468</v>
      </c>
      <c r="BM15" s="863"/>
      <c r="BN15" s="270">
        <v>719692</v>
      </c>
      <c r="BO15" s="270">
        <f t="shared" ref="BO15:BO46" si="33">B15</f>
        <v>719693.75590999995</v>
      </c>
      <c r="BP15" s="860">
        <f t="shared" ref="BP15:BP46" si="34">BO15-BN15</f>
        <v>1.7559099999489263</v>
      </c>
      <c r="BQ15" s="860"/>
      <c r="BR15" s="270">
        <f t="shared" ref="BR15:BR30" si="35">C15*0.01</f>
        <v>3906.9054949609672</v>
      </c>
      <c r="BS15" s="270"/>
      <c r="BT15" s="270">
        <f t="shared" si="10"/>
        <v>21728</v>
      </c>
      <c r="BU15" s="270">
        <f t="shared" ref="BU15:BU46" si="36">CQ15-AG15-AH15-AC15-AE15</f>
        <v>-16.715714321998121</v>
      </c>
      <c r="BV15" s="270">
        <f>CR15*CH15</f>
        <v>2909.9700000000003</v>
      </c>
      <c r="BW15" s="280">
        <f t="shared" ref="BW15:BW46" si="37">DL15-AN15-AP15</f>
        <v>1032.3</v>
      </c>
      <c r="BX15" s="607">
        <f t="shared" ref="BX15:BX46" si="38">DB15-CZ15-AQ15-AS15</f>
        <v>2457.8870440000001</v>
      </c>
      <c r="BY15" s="280">
        <f t="shared" ref="BY15:BY46" si="39">CS15-BW15-BX15-AN15-AP15-AQ15-AS15-AU15-AW15</f>
        <v>2486.3634612000005</v>
      </c>
      <c r="BZ15" s="280">
        <f t="shared" ref="BZ15:BZ46" si="40">SUM(BU15:BY15)</f>
        <v>8869.8047908780027</v>
      </c>
      <c r="CA15" s="280"/>
      <c r="CB15" s="270">
        <f>'C0-Ref Stats'!AJ12</f>
        <v>18071.228868494483</v>
      </c>
      <c r="CC15" s="270">
        <f t="shared" ref="CC15:CC64" si="41">CB15*0.6</f>
        <v>10842.737321096689</v>
      </c>
      <c r="CD15" s="270">
        <f t="shared" ref="CD15:CD64" si="42">CB15-CC15-CE15</f>
        <v>3614.2457736988977</v>
      </c>
      <c r="CE15" s="270">
        <f t="shared" ref="CE15:CE64" si="43">CB15*0.2</f>
        <v>3614.2457736988968</v>
      </c>
      <c r="CF15" s="270"/>
      <c r="CG15" s="331">
        <f>ROUND('C12-CorpOwn'!R11,3)</f>
        <v>0.877</v>
      </c>
      <c r="CH15" s="331">
        <f>ROUND('C12-CorpOwn'!S11,3)</f>
        <v>7.0000000000000007E-2</v>
      </c>
      <c r="CI15" s="331">
        <f>ROUND('C12-CorpOwn'!T11,3)</f>
        <v>5.3999999999999999E-2</v>
      </c>
      <c r="CJ15" s="270"/>
      <c r="CK15" s="270">
        <v>400321</v>
      </c>
      <c r="CL15" s="270">
        <v>33119</v>
      </c>
      <c r="CM15" s="270">
        <v>16846</v>
      </c>
      <c r="CN15" s="270">
        <v>13018</v>
      </c>
      <c r="CO15" s="270">
        <v>54915</v>
      </c>
      <c r="CP15" s="270">
        <v>33881</v>
      </c>
      <c r="CQ15" s="270">
        <v>20670</v>
      </c>
      <c r="CR15" s="270">
        <v>41571</v>
      </c>
      <c r="CS15" s="270">
        <v>22515</v>
      </c>
      <c r="CT15" s="270">
        <v>63211</v>
      </c>
      <c r="CU15" s="280">
        <v>-3949</v>
      </c>
      <c r="CV15" s="280">
        <v>3392</v>
      </c>
      <c r="CW15" s="280">
        <v>272</v>
      </c>
      <c r="CX15" s="280">
        <v>25154</v>
      </c>
      <c r="CY15" s="280">
        <v>24605</v>
      </c>
      <c r="CZ15" s="280">
        <f t="shared" si="12"/>
        <v>549</v>
      </c>
      <c r="DA15" s="280">
        <v>21070</v>
      </c>
      <c r="DB15" s="280">
        <v>11639</v>
      </c>
      <c r="DC15" s="280">
        <v>3441</v>
      </c>
      <c r="DD15" s="270">
        <v>19953</v>
      </c>
      <c r="DE15" s="270">
        <v>24535</v>
      </c>
      <c r="DF15" s="270">
        <v>2906</v>
      </c>
      <c r="DG15" s="270">
        <v>4754</v>
      </c>
      <c r="DH15" s="270">
        <v>558</v>
      </c>
      <c r="DI15" s="270">
        <v>392</v>
      </c>
      <c r="DJ15" s="270">
        <f t="shared" si="17"/>
        <v>10113</v>
      </c>
      <c r="DK15" s="280">
        <v>12150</v>
      </c>
      <c r="DL15" s="270">
        <v>3441</v>
      </c>
      <c r="DM15" s="270">
        <v>1637</v>
      </c>
      <c r="DN15" s="270">
        <v>7464</v>
      </c>
      <c r="DO15" s="270">
        <v>1020</v>
      </c>
      <c r="DP15" s="270">
        <v>1841</v>
      </c>
      <c r="DQ15" s="270">
        <v>3106</v>
      </c>
      <c r="DR15" s="270"/>
      <c r="DS15" s="270">
        <v>5991</v>
      </c>
      <c r="DT15" s="272">
        <v>13920</v>
      </c>
      <c r="DU15" s="270"/>
      <c r="DV15" s="272"/>
      <c r="DW15" s="270">
        <f>TOTALS!S72/1000000</f>
        <v>13302.341291000001</v>
      </c>
      <c r="DX15" s="280">
        <f>TOTALS!$BC72/1000000</f>
        <v>1581.047507</v>
      </c>
      <c r="DY15" s="280"/>
      <c r="DZ15" s="270">
        <f t="shared" ref="DZ15:DZ29" si="44">DX15*1.1</f>
        <v>1739.1522577000001</v>
      </c>
      <c r="EA15" s="270"/>
      <c r="EB15" s="277">
        <v>58602</v>
      </c>
      <c r="EC15" s="607">
        <v>1649</v>
      </c>
      <c r="ED15" s="277">
        <v>5422</v>
      </c>
      <c r="EE15" s="280">
        <v>12567</v>
      </c>
      <c r="EF15" s="280"/>
    </row>
    <row r="16" spans="1:194" ht="10.5" customHeight="1" x14ac:dyDescent="0.3">
      <c r="A16" s="268">
        <v>1967</v>
      </c>
      <c r="B16" s="603">
        <f>'C1-Incomes'!EX15</f>
        <v>760197.31680999999</v>
      </c>
      <c r="C16" s="280">
        <f>(TOTALS!E73)/1000000+CC16-BS16</f>
        <v>422204.53856652061</v>
      </c>
      <c r="D16" s="601" t="s">
        <v>50</v>
      </c>
      <c r="E16" s="270">
        <f t="shared" si="18"/>
        <v>2582.4160478141812</v>
      </c>
      <c r="F16" s="598"/>
      <c r="G16" s="270">
        <f t="shared" si="0"/>
        <v>12466</v>
      </c>
      <c r="H16" s="601" t="s">
        <v>50</v>
      </c>
      <c r="I16" s="270">
        <f t="shared" si="13"/>
        <v>18019</v>
      </c>
      <c r="J16" s="270"/>
      <c r="K16" s="270">
        <f>'T-T0'!G16</f>
        <v>4135.9428606322399</v>
      </c>
      <c r="L16" s="270">
        <f t="shared" si="19"/>
        <v>7506.0571393677601</v>
      </c>
      <c r="M16" s="270"/>
      <c r="N16" s="280">
        <f>'T-T0'!I16</f>
        <v>26855.374530000001</v>
      </c>
      <c r="O16" s="280">
        <f>'T-T0'!J16</f>
        <v>13062.526175000001</v>
      </c>
      <c r="P16" s="280">
        <f t="shared" si="20"/>
        <v>3633.3378721735448</v>
      </c>
      <c r="Q16" s="280">
        <f t="shared" si="21"/>
        <v>14281.761422826456</v>
      </c>
      <c r="R16" s="270"/>
      <c r="S16" s="280">
        <f>TOTALS!U73/1000000</f>
        <v>5029.2000493000005</v>
      </c>
      <c r="T16" s="270">
        <f t="shared" si="22"/>
        <v>878.7999506999995</v>
      </c>
      <c r="U16" s="270">
        <f t="shared" si="14"/>
        <v>14438</v>
      </c>
      <c r="V16" s="270"/>
      <c r="W16" s="270"/>
      <c r="X16" s="280">
        <f t="shared" si="1"/>
        <v>21098.094942284097</v>
      </c>
      <c r="Y16" s="280">
        <f>(CP16-AA16)*'C13-CapOwn'!N12</f>
        <v>8206.1516345534128</v>
      </c>
      <c r="Z16" s="607">
        <f>(CP16-AA16)*'C13-CapOwn'!O12</f>
        <v>1687.7534231624925</v>
      </c>
      <c r="AA16" s="607">
        <f t="shared" si="15"/>
        <v>1907</v>
      </c>
      <c r="AB16" s="270"/>
      <c r="AC16" s="280">
        <f>TOTALS!H73/1000000</f>
        <v>18281.988443999999</v>
      </c>
      <c r="AD16" s="601">
        <f t="shared" si="23"/>
        <v>481.77149766400316</v>
      </c>
      <c r="AE16" s="270">
        <f t="shared" si="2"/>
        <v>1079.7294807359999</v>
      </c>
      <c r="AF16" s="270"/>
      <c r="AG16" s="280">
        <f t="shared" si="24"/>
        <v>1515.0096160000001</v>
      </c>
      <c r="AH16" s="280">
        <f>DZ16-AG16</f>
        <v>151.50096160000021</v>
      </c>
      <c r="AI16" s="270"/>
      <c r="AJ16" s="270">
        <f>'C10-Adj by Source'!X13</f>
        <v>34485.417999999998</v>
      </c>
      <c r="AK16" s="601">
        <f t="shared" si="3"/>
        <v>2840.904</v>
      </c>
      <c r="AL16" s="607">
        <f t="shared" si="4"/>
        <v>2130.6779999999999</v>
      </c>
      <c r="AM16" s="270"/>
      <c r="AN16" s="270">
        <f t="shared" si="26"/>
        <v>2438.15</v>
      </c>
      <c r="AO16" s="601">
        <f t="shared" si="27"/>
        <v>1125.3</v>
      </c>
      <c r="AP16" s="607">
        <f t="shared" si="5"/>
        <v>187.55</v>
      </c>
      <c r="AQ16" s="280">
        <f>TOTALS!F73/1000000-AU16</f>
        <v>9222.0512945999999</v>
      </c>
      <c r="AR16" s="607">
        <f t="shared" si="28"/>
        <v>2210.7487054000003</v>
      </c>
      <c r="AS16" s="607">
        <f t="shared" si="6"/>
        <v>633.20000000000005</v>
      </c>
      <c r="AT16" s="280"/>
      <c r="AU16" s="280">
        <f>TOTALS!F73/1000000*0.4</f>
        <v>6148.0341963999999</v>
      </c>
      <c r="AV16" s="607">
        <f t="shared" si="29"/>
        <v>3508.3175134199982</v>
      </c>
      <c r="AW16" s="607">
        <f t="shared" si="30"/>
        <v>184.64829018</v>
      </c>
      <c r="AX16" s="270"/>
      <c r="AY16" s="270">
        <f>'C10-Adj by Source'!AE13</f>
        <v>12911</v>
      </c>
      <c r="AZ16" s="270">
        <f>'C10-Adj by Source'!AU13</f>
        <v>14053</v>
      </c>
      <c r="BA16" s="607">
        <f t="shared" si="16"/>
        <v>40973</v>
      </c>
      <c r="BB16" s="607"/>
      <c r="BC16" s="280">
        <f t="shared" si="7"/>
        <v>-3811</v>
      </c>
      <c r="BD16" s="280"/>
      <c r="BE16" s="280">
        <f t="shared" si="8"/>
        <v>3628</v>
      </c>
      <c r="BF16" s="280"/>
      <c r="BG16" s="280">
        <f t="shared" si="9"/>
        <v>155</v>
      </c>
      <c r="BH16" s="270"/>
      <c r="BI16" s="280">
        <f>TOTALS!AD73/1000000+CE16</f>
        <v>8713.490025373545</v>
      </c>
      <c r="BJ16" s="280">
        <f t="shared" si="31"/>
        <v>18957.555360291663</v>
      </c>
      <c r="BK16" s="272"/>
      <c r="BL16" s="280">
        <f t="shared" si="32"/>
        <v>0</v>
      </c>
      <c r="BM16" s="863"/>
      <c r="BN16" s="270">
        <v>760197</v>
      </c>
      <c r="BO16" s="270">
        <f t="shared" si="33"/>
        <v>760197.31680999999</v>
      </c>
      <c r="BP16" s="860">
        <f t="shared" si="34"/>
        <v>0.31680999998934567</v>
      </c>
      <c r="BQ16" s="860"/>
      <c r="BR16" s="270">
        <f t="shared" si="35"/>
        <v>4222.0453856652066</v>
      </c>
      <c r="BS16" s="270"/>
      <c r="BT16" s="270">
        <f t="shared" si="10"/>
        <v>23449</v>
      </c>
      <c r="BU16" s="270">
        <f t="shared" si="36"/>
        <v>481.77149766400316</v>
      </c>
      <c r="BV16" s="270">
        <f t="shared" si="11"/>
        <v>2840.904</v>
      </c>
      <c r="BW16" s="280">
        <f t="shared" si="37"/>
        <v>1125.3</v>
      </c>
      <c r="BX16" s="607">
        <f t="shared" si="38"/>
        <v>2210.7487054000003</v>
      </c>
      <c r="BY16" s="280">
        <f t="shared" si="39"/>
        <v>3508.3175134199982</v>
      </c>
      <c r="BZ16" s="280">
        <f t="shared" si="40"/>
        <v>10167.041716484002</v>
      </c>
      <c r="CA16" s="280"/>
      <c r="CB16" s="270">
        <f>'C0-Ref Stats'!AJ13</f>
        <v>18166.689360867727</v>
      </c>
      <c r="CC16" s="270">
        <f t="shared" si="41"/>
        <v>10900.013616520637</v>
      </c>
      <c r="CD16" s="270">
        <f t="shared" si="42"/>
        <v>3633.3378721735448</v>
      </c>
      <c r="CE16" s="270">
        <f t="shared" si="43"/>
        <v>3633.3378721735457</v>
      </c>
      <c r="CF16" s="270"/>
      <c r="CG16" s="331">
        <f>ROUND('C12-CorpOwn'!R12,3)</f>
        <v>0.874</v>
      </c>
      <c r="CH16" s="331">
        <f>ROUND('C12-CorpOwn'!S12,3)</f>
        <v>7.1999999999999995E-2</v>
      </c>
      <c r="CI16" s="331">
        <f>ROUND('C12-CorpOwn'!T12,3)</f>
        <v>5.3999999999999999E-2</v>
      </c>
      <c r="CJ16" s="270"/>
      <c r="CK16" s="270">
        <v>429009</v>
      </c>
      <c r="CL16" s="270">
        <v>35915</v>
      </c>
      <c r="CM16" s="270">
        <v>18019</v>
      </c>
      <c r="CN16" s="270">
        <v>11642</v>
      </c>
      <c r="CO16" s="270">
        <v>57833</v>
      </c>
      <c r="CP16" s="270">
        <v>32899</v>
      </c>
      <c r="CQ16" s="270">
        <v>21510</v>
      </c>
      <c r="CR16" s="270">
        <v>39457</v>
      </c>
      <c r="CS16" s="270">
        <v>25658</v>
      </c>
      <c r="CT16" s="270">
        <v>67937</v>
      </c>
      <c r="CU16" s="280">
        <v>-3811</v>
      </c>
      <c r="CV16" s="280">
        <v>3628</v>
      </c>
      <c r="CW16" s="280">
        <v>155</v>
      </c>
      <c r="CX16" s="280">
        <v>27165</v>
      </c>
      <c r="CY16" s="280">
        <v>26567</v>
      </c>
      <c r="CZ16" s="280">
        <f t="shared" si="12"/>
        <v>598</v>
      </c>
      <c r="DA16" s="280">
        <v>22460</v>
      </c>
      <c r="DB16" s="280">
        <v>12664</v>
      </c>
      <c r="DC16" s="280">
        <v>3751</v>
      </c>
      <c r="DD16" s="270">
        <v>21370</v>
      </c>
      <c r="DE16" s="270">
        <v>26964</v>
      </c>
      <c r="DF16" s="270">
        <v>3000</v>
      </c>
      <c r="DG16" s="270">
        <v>5021</v>
      </c>
      <c r="DH16" s="270">
        <v>610</v>
      </c>
      <c r="DI16" s="270">
        <v>381</v>
      </c>
      <c r="DJ16" s="270">
        <f t="shared" si="17"/>
        <v>10591</v>
      </c>
      <c r="DK16" s="280">
        <v>12862</v>
      </c>
      <c r="DL16" s="270">
        <v>3751</v>
      </c>
      <c r="DM16" s="270">
        <v>1853</v>
      </c>
      <c r="DN16" s="270">
        <v>8559</v>
      </c>
      <c r="DO16" s="270">
        <v>1545</v>
      </c>
      <c r="DP16" s="270">
        <v>2045</v>
      </c>
      <c r="DQ16" s="270">
        <v>3407</v>
      </c>
      <c r="DR16" s="270"/>
      <c r="DS16" s="270">
        <v>5908</v>
      </c>
      <c r="DT16" s="272">
        <v>14438</v>
      </c>
      <c r="DU16" s="270"/>
      <c r="DV16" s="272"/>
      <c r="DW16" s="270">
        <f>TOTALS!S73/1000000</f>
        <v>14577.535791</v>
      </c>
      <c r="DX16" s="280">
        <f>TOTALS!$BC73/1000000</f>
        <v>1515.0096160000001</v>
      </c>
      <c r="DY16" s="280"/>
      <c r="DZ16" s="270">
        <f t="shared" si="44"/>
        <v>1666.5105776000003</v>
      </c>
      <c r="EA16" s="270"/>
      <c r="EB16" s="277">
        <v>64386</v>
      </c>
      <c r="EC16" s="607">
        <v>1907</v>
      </c>
      <c r="ED16" s="277">
        <v>6112</v>
      </c>
      <c r="EE16" s="280">
        <v>14053</v>
      </c>
      <c r="EF16" s="280"/>
    </row>
    <row r="17" spans="1:136" ht="10.5" customHeight="1" x14ac:dyDescent="0.3">
      <c r="A17" s="268">
        <v>1968</v>
      </c>
      <c r="B17" s="603">
        <f>'C1-Incomes'!EX16</f>
        <v>832068.07926000003</v>
      </c>
      <c r="C17" s="280">
        <f>(TOTALS!E74)/1000000+CC17-BS17</f>
        <v>462836.12105178181</v>
      </c>
      <c r="D17" s="601" t="s">
        <v>50</v>
      </c>
      <c r="E17" s="270">
        <f t="shared" si="18"/>
        <v>4507.5177377003711</v>
      </c>
      <c r="F17" s="598"/>
      <c r="G17" s="270">
        <f t="shared" si="0"/>
        <v>14815</v>
      </c>
      <c r="H17" s="601" t="s">
        <v>50</v>
      </c>
      <c r="I17" s="270">
        <f t="shared" si="13"/>
        <v>19950</v>
      </c>
      <c r="J17" s="270"/>
      <c r="K17" s="270">
        <f>'T-T0'!G17</f>
        <v>2053.0010227301832</v>
      </c>
      <c r="L17" s="270">
        <f t="shared" si="19"/>
        <v>9606.9989772698173</v>
      </c>
      <c r="M17" s="270"/>
      <c r="N17" s="280">
        <f>'T-T0'!I17</f>
        <v>28523.898774000001</v>
      </c>
      <c r="O17" s="280">
        <f>'T-T0'!J17</f>
        <v>13130.866518999999</v>
      </c>
      <c r="P17" s="280">
        <f t="shared" si="20"/>
        <v>3738.7359335939323</v>
      </c>
      <c r="Q17" s="280">
        <f t="shared" si="21"/>
        <v>16778.498773406067</v>
      </c>
      <c r="R17" s="270"/>
      <c r="S17" s="280">
        <f>TOTALS!U74/1000000</f>
        <v>6331.6875033000006</v>
      </c>
      <c r="T17" s="270">
        <f t="shared" si="22"/>
        <v>-321.68750330000057</v>
      </c>
      <c r="U17" s="270">
        <f t="shared" si="14"/>
        <v>14101</v>
      </c>
      <c r="V17" s="270"/>
      <c r="W17" s="270"/>
      <c r="X17" s="280">
        <f t="shared" si="1"/>
        <v>25817.524629833111</v>
      </c>
      <c r="Y17" s="280">
        <f>(CP17-AA17)*'C13-CapOwn'!N13</f>
        <v>9345.0552603353044</v>
      </c>
      <c r="Z17" s="607">
        <f>(CP17-AA17)*'C13-CapOwn'!O13</f>
        <v>2001.420109831583</v>
      </c>
      <c r="AA17" s="607">
        <f t="shared" si="15"/>
        <v>2464</v>
      </c>
      <c r="AB17" s="270"/>
      <c r="AC17" s="280">
        <f>TOTALS!H74/1000000</f>
        <v>20056.839042</v>
      </c>
      <c r="AD17" s="601">
        <f t="shared" si="23"/>
        <v>474.46769481200317</v>
      </c>
      <c r="AE17" s="270">
        <f t="shared" si="2"/>
        <v>1181.4336173880001</v>
      </c>
      <c r="AF17" s="270"/>
      <c r="AG17" s="280">
        <f t="shared" si="24"/>
        <v>1656.599678</v>
      </c>
      <c r="AH17" s="280">
        <f t="shared" si="25"/>
        <v>165.65996780000023</v>
      </c>
      <c r="AI17" s="270"/>
      <c r="AJ17" s="270">
        <f>'C10-Adj by Source'!X14</f>
        <v>33645.248</v>
      </c>
      <c r="AK17" s="601">
        <f t="shared" si="3"/>
        <v>2855.2159999999999</v>
      </c>
      <c r="AL17" s="607">
        <f t="shared" si="4"/>
        <v>2083.5360000000001</v>
      </c>
      <c r="AM17" s="270"/>
      <c r="AN17" s="270">
        <f t="shared" si="26"/>
        <v>2734.55</v>
      </c>
      <c r="AO17" s="601">
        <f t="shared" si="27"/>
        <v>1262.0999999999999</v>
      </c>
      <c r="AP17" s="607">
        <f t="shared" si="5"/>
        <v>210.35000000000002</v>
      </c>
      <c r="AQ17" s="280">
        <f>TOTALS!F74/1000000-AU17</f>
        <v>10312.371841799999</v>
      </c>
      <c r="AR17" s="607">
        <f t="shared" si="28"/>
        <v>2855.6281582000011</v>
      </c>
      <c r="AS17" s="607">
        <f t="shared" si="6"/>
        <v>730</v>
      </c>
      <c r="AT17" s="280"/>
      <c r="AU17" s="280">
        <f>TOTALS!F74/1000000*0.4</f>
        <v>6874.9145611999993</v>
      </c>
      <c r="AV17" s="607">
        <f t="shared" si="29"/>
        <v>2448.2311668600041</v>
      </c>
      <c r="AW17" s="607">
        <f t="shared" si="30"/>
        <v>128.85427194000005</v>
      </c>
      <c r="AX17" s="270"/>
      <c r="AY17" s="270">
        <f>'C10-Adj by Source'!AE14</f>
        <v>14058</v>
      </c>
      <c r="AZ17" s="270">
        <f>'C10-Adj by Source'!AU14</f>
        <v>15838</v>
      </c>
      <c r="BA17" s="607">
        <f t="shared" si="16"/>
        <v>46511</v>
      </c>
      <c r="BB17" s="607"/>
      <c r="BC17" s="280">
        <f t="shared" si="7"/>
        <v>-4174</v>
      </c>
      <c r="BD17" s="280"/>
      <c r="BE17" s="280">
        <f t="shared" si="8"/>
        <v>4183</v>
      </c>
      <c r="BF17" s="280"/>
      <c r="BG17" s="280">
        <f t="shared" si="9"/>
        <v>304</v>
      </c>
      <c r="BH17" s="270"/>
      <c r="BI17" s="280">
        <f>TOTALS!AD74/1000000+CE17</f>
        <v>11332.077122593932</v>
      </c>
      <c r="BJ17" s="280">
        <f t="shared" si="31"/>
        <v>18660.284087923887</v>
      </c>
      <c r="BK17" s="272"/>
      <c r="BL17" s="280">
        <f t="shared" si="32"/>
        <v>0</v>
      </c>
      <c r="BM17" s="863"/>
      <c r="BN17" s="270">
        <v>832068</v>
      </c>
      <c r="BO17" s="270">
        <f t="shared" si="33"/>
        <v>832068.07926000003</v>
      </c>
      <c r="BP17" s="860">
        <f t="shared" si="34"/>
        <v>7.926000002771616E-2</v>
      </c>
      <c r="BQ17" s="860"/>
      <c r="BR17" s="270">
        <f t="shared" si="35"/>
        <v>4628.3612105178181</v>
      </c>
      <c r="BS17" s="270"/>
      <c r="BT17" s="270">
        <f t="shared" si="10"/>
        <v>25364</v>
      </c>
      <c r="BU17" s="270">
        <f t="shared" si="36"/>
        <v>474.46769481200317</v>
      </c>
      <c r="BV17" s="270">
        <f t="shared" si="11"/>
        <v>2855.2159999999999</v>
      </c>
      <c r="BW17" s="280">
        <f t="shared" si="37"/>
        <v>1262.0999999999999</v>
      </c>
      <c r="BX17" s="607">
        <f t="shared" si="38"/>
        <v>2855.6281582000011</v>
      </c>
      <c r="BY17" s="280">
        <f t="shared" si="39"/>
        <v>2448.2311668600041</v>
      </c>
      <c r="BZ17" s="280">
        <f t="shared" si="40"/>
        <v>9895.6430198720082</v>
      </c>
      <c r="CA17" s="280"/>
      <c r="CB17" s="270">
        <f>'C0-Ref Stats'!AJ14</f>
        <v>18693.679667969656</v>
      </c>
      <c r="CC17" s="270">
        <f t="shared" si="41"/>
        <v>11216.207800781793</v>
      </c>
      <c r="CD17" s="270">
        <f t="shared" si="42"/>
        <v>3738.7359335939323</v>
      </c>
      <c r="CE17" s="270">
        <f t="shared" si="43"/>
        <v>3738.7359335939313</v>
      </c>
      <c r="CF17" s="270"/>
      <c r="CG17" s="331">
        <f>ROUND('C12-CorpOwn'!R13,3)</f>
        <v>0.872</v>
      </c>
      <c r="CH17" s="331">
        <f>ROUND('C12-CorpOwn'!S13,3)</f>
        <v>7.3999999999999996E-2</v>
      </c>
      <c r="CI17" s="331">
        <f>ROUND('C12-CorpOwn'!T13,3)</f>
        <v>5.3999999999999999E-2</v>
      </c>
      <c r="CJ17" s="270"/>
      <c r="CK17" s="270">
        <v>471972</v>
      </c>
      <c r="CL17" s="270">
        <v>40179</v>
      </c>
      <c r="CM17" s="270">
        <v>19950</v>
      </c>
      <c r="CN17" s="270">
        <v>11660</v>
      </c>
      <c r="CO17" s="270">
        <v>62172</v>
      </c>
      <c r="CP17" s="270">
        <v>39628</v>
      </c>
      <c r="CQ17" s="270">
        <v>23535</v>
      </c>
      <c r="CR17" s="270">
        <v>38584</v>
      </c>
      <c r="CS17" s="270">
        <v>27557</v>
      </c>
      <c r="CT17" s="270">
        <v>76407</v>
      </c>
      <c r="CU17" s="280">
        <v>-4174</v>
      </c>
      <c r="CV17" s="280">
        <v>4183</v>
      </c>
      <c r="CW17" s="280">
        <v>304</v>
      </c>
      <c r="CX17" s="280">
        <v>30578</v>
      </c>
      <c r="CY17" s="280">
        <v>29876</v>
      </c>
      <c r="CZ17" s="280">
        <f t="shared" si="12"/>
        <v>702</v>
      </c>
      <c r="DA17" s="280">
        <v>25078</v>
      </c>
      <c r="DB17" s="280">
        <v>14600</v>
      </c>
      <c r="DC17" s="280">
        <v>4207</v>
      </c>
      <c r="DD17" s="270">
        <v>25057</v>
      </c>
      <c r="DE17" s="270">
        <v>29896</v>
      </c>
      <c r="DF17" s="270">
        <v>3159</v>
      </c>
      <c r="DG17" s="270">
        <v>5484</v>
      </c>
      <c r="DH17" s="270">
        <v>678</v>
      </c>
      <c r="DI17" s="270">
        <v>467</v>
      </c>
      <c r="DJ17" s="270">
        <f t="shared" si="17"/>
        <v>11666</v>
      </c>
      <c r="DK17" s="280">
        <v>13949</v>
      </c>
      <c r="DL17" s="270">
        <v>4207</v>
      </c>
      <c r="DM17" s="270">
        <v>2183</v>
      </c>
      <c r="DN17" s="270">
        <v>10626</v>
      </c>
      <c r="DO17" s="270">
        <v>2105</v>
      </c>
      <c r="DP17" s="270">
        <v>2393</v>
      </c>
      <c r="DQ17" s="270">
        <v>3901</v>
      </c>
      <c r="DR17" s="270"/>
      <c r="DS17" s="270">
        <v>6010</v>
      </c>
      <c r="DT17" s="272">
        <v>14101</v>
      </c>
      <c r="DU17" s="270"/>
      <c r="DV17" s="272"/>
      <c r="DW17" s="270">
        <f>TOTALS!S74/1000000</f>
        <v>14787.466197</v>
      </c>
      <c r="DX17" s="280">
        <f>AVERAGE(DX16,DX18)</f>
        <v>1656.599678</v>
      </c>
      <c r="DY17" s="280"/>
      <c r="DZ17" s="270">
        <f t="shared" si="44"/>
        <v>1822.2596458000003</v>
      </c>
      <c r="EA17" s="270"/>
      <c r="EB17" s="277">
        <v>76435</v>
      </c>
      <c r="EC17" s="607">
        <v>2464</v>
      </c>
      <c r="ED17" s="277">
        <v>7841</v>
      </c>
      <c r="EE17" s="280">
        <v>15838</v>
      </c>
      <c r="EF17" s="280"/>
    </row>
    <row r="18" spans="1:136" ht="10.5" customHeight="1" x14ac:dyDescent="0.3">
      <c r="A18" s="268">
        <v>1969</v>
      </c>
      <c r="B18" s="603">
        <f>'C1-Incomes'!EX17</f>
        <v>899520.59916999994</v>
      </c>
      <c r="C18" s="280">
        <f>(TOTALS!E75)/1000000+CC18-BS18</f>
        <v>508094.12085276138</v>
      </c>
      <c r="D18" s="601" t="s">
        <v>50</v>
      </c>
      <c r="E18" s="270">
        <f t="shared" si="18"/>
        <v>5157.9379387110084</v>
      </c>
      <c r="F18" s="598"/>
      <c r="G18" s="270">
        <f t="shared" si="0"/>
        <v>16798</v>
      </c>
      <c r="H18" s="601" t="s">
        <v>50</v>
      </c>
      <c r="I18" s="270">
        <f t="shared" si="13"/>
        <v>22754</v>
      </c>
      <c r="J18" s="270"/>
      <c r="K18" s="270">
        <f>'T-T0'!G18</f>
        <v>3092.5270557642361</v>
      </c>
      <c r="L18" s="270">
        <f t="shared" si="19"/>
        <v>9740.4729442357639</v>
      </c>
      <c r="M18" s="270"/>
      <c r="N18" s="280">
        <f>'T-T0'!I18</f>
        <v>30043.954195999999</v>
      </c>
      <c r="O18" s="280">
        <f>'T-T0'!J18</f>
        <v>13739.901777999999</v>
      </c>
      <c r="P18" s="280">
        <f t="shared" si="20"/>
        <v>3647.8752435871315</v>
      </c>
      <c r="Q18" s="280">
        <f t="shared" si="21"/>
        <v>16740.26878241287</v>
      </c>
      <c r="R18" s="270"/>
      <c r="S18" s="280">
        <f>TOTALS!U75/1000000</f>
        <v>6271.8226893000001</v>
      </c>
      <c r="T18" s="270">
        <f t="shared" si="22"/>
        <v>-310.82268930000009</v>
      </c>
      <c r="U18" s="270">
        <f t="shared" si="14"/>
        <v>14414</v>
      </c>
      <c r="V18" s="270"/>
      <c r="W18" s="270"/>
      <c r="X18" s="280">
        <f t="shared" si="1"/>
        <v>24294.482506921835</v>
      </c>
      <c r="Y18" s="280">
        <f>(CP18-AA18)*'C13-CapOwn'!N14</f>
        <v>10550.526033648073</v>
      </c>
      <c r="Z18" s="607">
        <f>(CP18-AA18)*'C13-CapOwn'!O14</f>
        <v>2112.9914594300931</v>
      </c>
      <c r="AA18" s="607">
        <f t="shared" si="15"/>
        <v>3019</v>
      </c>
      <c r="AB18" s="270"/>
      <c r="AC18" s="280">
        <f>TOTALS!H75/1000000</f>
        <v>20352.037507000001</v>
      </c>
      <c r="AD18" s="601">
        <f t="shared" si="23"/>
        <v>674.70921469999598</v>
      </c>
      <c r="AE18" s="270">
        <f t="shared" si="2"/>
        <v>1234.2445642999999</v>
      </c>
      <c r="AF18" s="270"/>
      <c r="AG18" s="280">
        <f t="shared" si="24"/>
        <v>1798.18974</v>
      </c>
      <c r="AH18" s="280">
        <f t="shared" si="25"/>
        <v>179.81897400000025</v>
      </c>
      <c r="AI18" s="270"/>
      <c r="AJ18" s="270">
        <f>'C10-Adj by Source'!X15</f>
        <v>29241</v>
      </c>
      <c r="AK18" s="601">
        <f t="shared" si="3"/>
        <v>3078</v>
      </c>
      <c r="AL18" s="607">
        <f t="shared" si="4"/>
        <v>1881</v>
      </c>
      <c r="AM18" s="270"/>
      <c r="AN18" s="270">
        <f t="shared" si="26"/>
        <v>3149.9</v>
      </c>
      <c r="AO18" s="601">
        <f t="shared" si="27"/>
        <v>1453.8</v>
      </c>
      <c r="AP18" s="607">
        <f t="shared" si="5"/>
        <v>242.3</v>
      </c>
      <c r="AQ18" s="280">
        <f>TOTALS!F75/1000000-AU18</f>
        <v>12067.5451992</v>
      </c>
      <c r="AR18" s="607">
        <f t="shared" si="28"/>
        <v>2187.3048008000001</v>
      </c>
      <c r="AS18" s="607">
        <f t="shared" si="6"/>
        <v>791.15000000000009</v>
      </c>
      <c r="AT18" s="280"/>
      <c r="AU18" s="280">
        <f>TOTALS!F75/1000000*0.4</f>
        <v>8045.0301328000005</v>
      </c>
      <c r="AV18" s="607">
        <f t="shared" si="29"/>
        <v>5364.6213738400002</v>
      </c>
      <c r="AW18" s="607">
        <f t="shared" si="30"/>
        <v>282.34849335999974</v>
      </c>
      <c r="AX18" s="270"/>
      <c r="AY18" s="270">
        <f>'C10-Adj by Source'!AE15</f>
        <v>15117</v>
      </c>
      <c r="AZ18" s="270">
        <f>'C10-Adj by Source'!AU15</f>
        <v>17646</v>
      </c>
      <c r="BA18" s="607">
        <f t="shared" si="16"/>
        <v>51093</v>
      </c>
      <c r="BB18" s="607"/>
      <c r="BC18" s="280">
        <f t="shared" si="7"/>
        <v>-4534</v>
      </c>
      <c r="BD18" s="280"/>
      <c r="BE18" s="280">
        <f t="shared" si="8"/>
        <v>4798</v>
      </c>
      <c r="BF18" s="280"/>
      <c r="BG18" s="280">
        <f t="shared" si="9"/>
        <v>5</v>
      </c>
      <c r="BH18" s="270"/>
      <c r="BI18" s="280">
        <f>TOTALS!AD75/1000000+CE18</f>
        <v>12051.58371558713</v>
      </c>
      <c r="BJ18" s="280">
        <f t="shared" si="31"/>
        <v>21160.357492940482</v>
      </c>
      <c r="BK18" s="272"/>
      <c r="BL18" s="280">
        <f t="shared" si="32"/>
        <v>-1.000000000349246</v>
      </c>
      <c r="BM18" s="863"/>
      <c r="BN18" s="270">
        <v>899520</v>
      </c>
      <c r="BO18" s="270">
        <f t="shared" si="33"/>
        <v>899520.59916999994</v>
      </c>
      <c r="BP18" s="860">
        <f t="shared" si="34"/>
        <v>0.59916999994311482</v>
      </c>
      <c r="BQ18" s="860"/>
      <c r="BR18" s="270">
        <f t="shared" si="35"/>
        <v>5080.9412085276135</v>
      </c>
      <c r="BS18" s="270"/>
      <c r="BT18" s="270">
        <f t="shared" si="10"/>
        <v>28131</v>
      </c>
      <c r="BU18" s="270">
        <f t="shared" si="36"/>
        <v>674.70921469999598</v>
      </c>
      <c r="BV18" s="270">
        <f t="shared" si="11"/>
        <v>3078</v>
      </c>
      <c r="BW18" s="280">
        <f t="shared" si="37"/>
        <v>1453.8</v>
      </c>
      <c r="BX18" s="607">
        <f t="shared" si="38"/>
        <v>2187.3048008000001</v>
      </c>
      <c r="BY18" s="280">
        <f t="shared" si="39"/>
        <v>5364.6213738400002</v>
      </c>
      <c r="BZ18" s="280">
        <f t="shared" si="40"/>
        <v>12758.435389339997</v>
      </c>
      <c r="CA18" s="280"/>
      <c r="CB18" s="270">
        <f>'C0-Ref Stats'!AJ15</f>
        <v>18239.376217935653</v>
      </c>
      <c r="CC18" s="270">
        <f t="shared" si="41"/>
        <v>10943.625730761391</v>
      </c>
      <c r="CD18" s="270">
        <f t="shared" si="42"/>
        <v>3647.8752435871315</v>
      </c>
      <c r="CE18" s="270">
        <f t="shared" si="43"/>
        <v>3647.8752435871306</v>
      </c>
      <c r="CF18" s="270"/>
      <c r="CG18" s="331">
        <f>ROUND('C12-CorpOwn'!R14,3)</f>
        <v>0.85499999999999998</v>
      </c>
      <c r="CH18" s="331">
        <f>ROUND('C12-CorpOwn'!S14,3)</f>
        <v>0.09</v>
      </c>
      <c r="CI18" s="331">
        <f>ROUND('C12-CorpOwn'!T14,3)</f>
        <v>5.5E-2</v>
      </c>
      <c r="CJ18" s="270"/>
      <c r="CK18" s="270">
        <v>518333</v>
      </c>
      <c r="CL18" s="270">
        <v>44929</v>
      </c>
      <c r="CM18" s="270">
        <v>22754</v>
      </c>
      <c r="CN18" s="270">
        <v>12833</v>
      </c>
      <c r="CO18" s="270">
        <v>64172</v>
      </c>
      <c r="CP18" s="270">
        <v>39977</v>
      </c>
      <c r="CQ18" s="270">
        <v>24239</v>
      </c>
      <c r="CR18" s="270">
        <v>34200</v>
      </c>
      <c r="CS18" s="270">
        <v>33584</v>
      </c>
      <c r="CT18" s="270">
        <v>83856</v>
      </c>
      <c r="CU18" s="280">
        <v>-4534</v>
      </c>
      <c r="CV18" s="280">
        <v>4798</v>
      </c>
      <c r="CW18" s="280">
        <v>5</v>
      </c>
      <c r="CX18" s="280">
        <v>34026</v>
      </c>
      <c r="CY18" s="280">
        <v>33249</v>
      </c>
      <c r="CZ18" s="280">
        <f t="shared" si="12"/>
        <v>777</v>
      </c>
      <c r="DA18" s="280">
        <v>27966</v>
      </c>
      <c r="DB18" s="280">
        <v>15823</v>
      </c>
      <c r="DC18" s="280">
        <v>4846</v>
      </c>
      <c r="DD18" s="270">
        <v>28562</v>
      </c>
      <c r="DE18" s="270">
        <v>32763</v>
      </c>
      <c r="DF18" s="270">
        <v>3344</v>
      </c>
      <c r="DG18" s="270">
        <v>5977</v>
      </c>
      <c r="DH18" s="270">
        <v>831</v>
      </c>
      <c r="DI18" s="270">
        <v>612</v>
      </c>
      <c r="DJ18" s="270">
        <f t="shared" si="17"/>
        <v>11767</v>
      </c>
      <c r="DK18" s="280">
        <v>15368</v>
      </c>
      <c r="DL18" s="270">
        <v>4846</v>
      </c>
      <c r="DM18" s="270">
        <v>2780</v>
      </c>
      <c r="DN18" s="270">
        <v>12389</v>
      </c>
      <c r="DO18" s="270">
        <v>2263</v>
      </c>
      <c r="DP18" s="270">
        <v>2414</v>
      </c>
      <c r="DQ18" s="270">
        <v>4258</v>
      </c>
      <c r="DR18" s="270"/>
      <c r="DS18" s="270">
        <v>5961</v>
      </c>
      <c r="DT18" s="272">
        <v>14414</v>
      </c>
      <c r="DU18" s="270"/>
      <c r="DV18" s="272"/>
      <c r="DW18" s="270">
        <f>TOTALS!S75/1000000</f>
        <v>15538.091517999999</v>
      </c>
      <c r="DX18" s="280">
        <f>TOTALS!$BC75/1000000</f>
        <v>1798.18974</v>
      </c>
      <c r="DY18" s="280"/>
      <c r="DZ18" s="270">
        <f t="shared" si="44"/>
        <v>1978.0087140000003</v>
      </c>
      <c r="EA18" s="270"/>
      <c r="EB18" s="277">
        <v>91700</v>
      </c>
      <c r="EC18" s="607">
        <v>3019</v>
      </c>
      <c r="ED18" s="277">
        <v>9769</v>
      </c>
      <c r="EE18" s="280">
        <v>17646</v>
      </c>
      <c r="EF18" s="280"/>
    </row>
    <row r="19" spans="1:136" ht="10.5" customHeight="1" x14ac:dyDescent="0.3">
      <c r="A19" s="268">
        <v>1970</v>
      </c>
      <c r="B19" s="603">
        <f>'C1-Incomes'!EX18</f>
        <v>940148.70322000002</v>
      </c>
      <c r="C19" s="280">
        <f>(TOTALS!E76)/1000000+CC19-BS19</f>
        <v>545004.18059003993</v>
      </c>
      <c r="D19" s="601" t="s">
        <v>50</v>
      </c>
      <c r="E19" s="270">
        <f t="shared" si="18"/>
        <v>1105.7776040596664</v>
      </c>
      <c r="F19" s="598"/>
      <c r="G19" s="270">
        <f t="shared" si="0"/>
        <v>19481</v>
      </c>
      <c r="H19" s="601" t="s">
        <v>50</v>
      </c>
      <c r="I19" s="270">
        <f t="shared" si="13"/>
        <v>23839</v>
      </c>
      <c r="J19" s="270"/>
      <c r="K19" s="270">
        <f>'T-T0'!G19</f>
        <v>2136.9492261000096</v>
      </c>
      <c r="L19" s="270">
        <f t="shared" si="19"/>
        <v>10757.050773899991</v>
      </c>
      <c r="M19" s="270"/>
      <c r="N19" s="280">
        <f>'T-T0'!I19</f>
        <v>30300.291560000001</v>
      </c>
      <c r="O19" s="280">
        <f>'T-T0'!J19</f>
        <v>12497.142240000001</v>
      </c>
      <c r="P19" s="280">
        <f t="shared" si="20"/>
        <v>4543.2177726799982</v>
      </c>
      <c r="Q19" s="280">
        <f t="shared" si="21"/>
        <v>17568.348427320001</v>
      </c>
      <c r="R19" s="270"/>
      <c r="S19" s="280">
        <f>TOTALS!U76/1000000</f>
        <v>5599.2789414999997</v>
      </c>
      <c r="T19" s="270">
        <f t="shared" si="22"/>
        <v>616.72105850000025</v>
      </c>
      <c r="U19" s="270">
        <f t="shared" si="14"/>
        <v>14508</v>
      </c>
      <c r="V19" s="270"/>
      <c r="W19" s="270"/>
      <c r="X19" s="280">
        <f t="shared" si="1"/>
        <v>19913.505316144743</v>
      </c>
      <c r="Y19" s="280">
        <f>(CP19-AA19)*'C13-CapOwn'!N15</f>
        <v>9581.2616856690638</v>
      </c>
      <c r="Z19" s="607">
        <f>(CP19-AA19)*'C13-CapOwn'!O15</f>
        <v>1768.2329981861915</v>
      </c>
      <c r="AA19" s="607">
        <f t="shared" si="15"/>
        <v>3494</v>
      </c>
      <c r="AB19" s="270"/>
      <c r="AC19" s="280">
        <f>TOTALS!H76/1000000</f>
        <v>20021.628756999999</v>
      </c>
      <c r="AD19" s="601">
        <f t="shared" si="23"/>
        <v>1247.6994451250018</v>
      </c>
      <c r="AE19" s="270">
        <f t="shared" si="2"/>
        <v>1247.3699053749999</v>
      </c>
      <c r="AF19" s="270"/>
      <c r="AG19" s="280">
        <f t="shared" si="24"/>
        <v>1627.5471749999999</v>
      </c>
      <c r="AH19" s="280">
        <f t="shared" si="25"/>
        <v>162.7547175000002</v>
      </c>
      <c r="AI19" s="270"/>
      <c r="AJ19" s="270">
        <f>'C10-Adj by Source'!X16</f>
        <v>22885.559999999998</v>
      </c>
      <c r="AK19" s="601">
        <f t="shared" si="3"/>
        <v>2799.54</v>
      </c>
      <c r="AL19" s="607">
        <f t="shared" si="4"/>
        <v>1494.9</v>
      </c>
      <c r="AM19" s="270"/>
      <c r="AN19" s="270">
        <f t="shared" si="26"/>
        <v>3650.4</v>
      </c>
      <c r="AO19" s="601">
        <f t="shared" si="27"/>
        <v>1684.8</v>
      </c>
      <c r="AP19" s="607">
        <f t="shared" si="5"/>
        <v>280.8</v>
      </c>
      <c r="AQ19" s="280">
        <f>TOTALS!F76/1000000-AU19</f>
        <v>13804.067033399999</v>
      </c>
      <c r="AR19" s="607">
        <f t="shared" si="28"/>
        <v>2106.5829666000013</v>
      </c>
      <c r="AS19" s="607">
        <f t="shared" si="6"/>
        <v>887.35</v>
      </c>
      <c r="AT19" s="280"/>
      <c r="AU19" s="280">
        <f>TOTALS!F76/1000000*0.4</f>
        <v>9202.7113556000004</v>
      </c>
      <c r="AV19" s="607">
        <f t="shared" si="29"/>
        <v>8407.7742121800002</v>
      </c>
      <c r="AW19" s="607">
        <f t="shared" si="30"/>
        <v>442.51443222</v>
      </c>
      <c r="AX19" s="270"/>
      <c r="AY19" s="270">
        <f>'C10-Adj by Source'!AE16</f>
        <v>16606</v>
      </c>
      <c r="AZ19" s="270">
        <f>'C10-Adj by Source'!AU16</f>
        <v>20068</v>
      </c>
      <c r="BA19" s="607">
        <f t="shared" si="16"/>
        <v>54739</v>
      </c>
      <c r="BB19" s="607"/>
      <c r="BC19" s="280">
        <f t="shared" si="7"/>
        <v>-4777</v>
      </c>
      <c r="BD19" s="280"/>
      <c r="BE19" s="280">
        <f t="shared" si="8"/>
        <v>4357</v>
      </c>
      <c r="BF19" s="280"/>
      <c r="BG19" s="280">
        <f t="shared" si="9"/>
        <v>-1199</v>
      </c>
      <c r="BH19" s="270"/>
      <c r="BI19" s="280">
        <f>TOTALS!AD76/1000000+CE19</f>
        <v>13784.779188679999</v>
      </c>
      <c r="BJ19" s="280">
        <f t="shared" si="31"/>
        <v>21902.262617220404</v>
      </c>
      <c r="BK19" s="272"/>
      <c r="BL19" s="280">
        <f t="shared" si="32"/>
        <v>0</v>
      </c>
      <c r="BM19" s="863"/>
      <c r="BN19" s="270">
        <v>940149</v>
      </c>
      <c r="BO19" s="270">
        <f t="shared" si="33"/>
        <v>940148.70322000002</v>
      </c>
      <c r="BP19" s="860">
        <f t="shared" si="34"/>
        <v>-0.29677999997511506</v>
      </c>
      <c r="BQ19" s="860"/>
      <c r="BR19" s="270">
        <f t="shared" si="35"/>
        <v>5450.0418059003996</v>
      </c>
      <c r="BS19" s="270"/>
      <c r="BT19" s="270">
        <f t="shared" si="10"/>
        <v>30237</v>
      </c>
      <c r="BU19" s="270">
        <f t="shared" si="36"/>
        <v>1247.6994451250018</v>
      </c>
      <c r="BV19" s="270">
        <f t="shared" si="11"/>
        <v>2799.54</v>
      </c>
      <c r="BW19" s="280">
        <f t="shared" si="37"/>
        <v>1684.8</v>
      </c>
      <c r="BX19" s="607">
        <f t="shared" si="38"/>
        <v>2106.5829666000013</v>
      </c>
      <c r="BY19" s="280">
        <f t="shared" si="39"/>
        <v>8407.7742121800002</v>
      </c>
      <c r="BZ19" s="280">
        <f t="shared" si="40"/>
        <v>16246.396623905004</v>
      </c>
      <c r="CA19" s="280"/>
      <c r="CB19" s="270">
        <f>'C0-Ref Stats'!AJ16</f>
        <v>22716.088863399989</v>
      </c>
      <c r="CC19" s="270">
        <f t="shared" si="41"/>
        <v>13629.653318039993</v>
      </c>
      <c r="CD19" s="270">
        <f t="shared" si="42"/>
        <v>4543.2177726799982</v>
      </c>
      <c r="CE19" s="270">
        <f t="shared" si="43"/>
        <v>4543.2177726799982</v>
      </c>
      <c r="CF19" s="270"/>
      <c r="CG19" s="331">
        <f>ROUND('C12-CorpOwn'!R15,3)</f>
        <v>0.84099999999999997</v>
      </c>
      <c r="CH19" s="331">
        <f>ROUND('C12-CorpOwn'!S15,3)</f>
        <v>0.10299999999999999</v>
      </c>
      <c r="CI19" s="331">
        <f>ROUND('C12-CorpOwn'!T15,3)</f>
        <v>5.5E-2</v>
      </c>
      <c r="CJ19" s="270"/>
      <c r="CK19" s="270">
        <v>551560</v>
      </c>
      <c r="CL19" s="270">
        <v>49718</v>
      </c>
      <c r="CM19" s="270">
        <v>23839</v>
      </c>
      <c r="CN19" s="270">
        <v>12894</v>
      </c>
      <c r="CO19" s="270">
        <v>64909</v>
      </c>
      <c r="CP19" s="270">
        <v>34757</v>
      </c>
      <c r="CQ19" s="270">
        <v>24307</v>
      </c>
      <c r="CR19" s="270">
        <v>27180</v>
      </c>
      <c r="CS19" s="270">
        <v>40467</v>
      </c>
      <c r="CT19" s="270">
        <v>91413</v>
      </c>
      <c r="CU19" s="280">
        <v>-4777</v>
      </c>
      <c r="CV19" s="280">
        <v>4357</v>
      </c>
      <c r="CW19" s="280">
        <v>-1199</v>
      </c>
      <c r="CX19" s="280">
        <v>41023</v>
      </c>
      <c r="CY19" s="280">
        <v>40074</v>
      </c>
      <c r="CZ19" s="280">
        <f t="shared" si="12"/>
        <v>949</v>
      </c>
      <c r="DA19" s="280">
        <v>33882</v>
      </c>
      <c r="DB19" s="280">
        <v>17747</v>
      </c>
      <c r="DC19" s="280">
        <v>5616</v>
      </c>
      <c r="DD19" s="270">
        <v>31645</v>
      </c>
      <c r="DE19" s="270">
        <v>36674</v>
      </c>
      <c r="DF19" s="270">
        <v>3543</v>
      </c>
      <c r="DG19" s="270">
        <v>6407</v>
      </c>
      <c r="DH19" s="270">
        <v>944</v>
      </c>
      <c r="DI19" s="270">
        <v>731</v>
      </c>
      <c r="DJ19" s="270">
        <f t="shared" si="17"/>
        <v>11469</v>
      </c>
      <c r="DK19" s="280">
        <v>16727</v>
      </c>
      <c r="DL19" s="270">
        <v>5616</v>
      </c>
      <c r="DM19" s="270">
        <v>3310</v>
      </c>
      <c r="DN19" s="270">
        <v>14683</v>
      </c>
      <c r="DO19" s="270">
        <v>2342</v>
      </c>
      <c r="DP19" s="270">
        <v>2447</v>
      </c>
      <c r="DQ19" s="270">
        <v>4693</v>
      </c>
      <c r="DR19" s="270"/>
      <c r="DS19" s="270">
        <v>6216</v>
      </c>
      <c r="DT19" s="272">
        <v>14508</v>
      </c>
      <c r="DU19" s="270"/>
      <c r="DV19" s="272"/>
      <c r="DW19" s="270">
        <f>TOTALS!S76/1000000</f>
        <v>14124.689415000001</v>
      </c>
      <c r="DX19" s="280">
        <f>TOTALS!$BC76/1000000</f>
        <v>1627.5471749999999</v>
      </c>
      <c r="DY19" s="280"/>
      <c r="DZ19" s="270">
        <f t="shared" si="44"/>
        <v>1790.3018925000001</v>
      </c>
      <c r="EA19" s="270"/>
      <c r="EB19" s="277">
        <v>88853</v>
      </c>
      <c r="EC19" s="607">
        <v>3494</v>
      </c>
      <c r="ED19" s="277">
        <v>10903</v>
      </c>
      <c r="EE19" s="280">
        <v>20068</v>
      </c>
      <c r="EF19" s="280"/>
    </row>
    <row r="20" spans="1:136" ht="10.5" customHeight="1" x14ac:dyDescent="0.3">
      <c r="A20" s="268">
        <v>1971</v>
      </c>
      <c r="B20" s="603">
        <f>'C1-Incomes'!EX19</f>
        <v>1017016.3473</v>
      </c>
      <c r="C20" s="280">
        <f>(TOTALS!E77)/1000000+CC20-BS20</f>
        <v>580811.73286309477</v>
      </c>
      <c r="D20" s="601" t="s">
        <v>50</v>
      </c>
      <c r="E20" s="270">
        <f t="shared" si="18"/>
        <v>-2070.8501917257217</v>
      </c>
      <c r="F20" s="598"/>
      <c r="G20" s="270">
        <f t="shared" si="0"/>
        <v>21385</v>
      </c>
      <c r="H20" s="601" t="s">
        <v>50</v>
      </c>
      <c r="I20" s="270">
        <f t="shared" si="13"/>
        <v>26446</v>
      </c>
      <c r="J20" s="270"/>
      <c r="K20" s="270">
        <f>'T-T0'!G20</f>
        <v>861.85932344172898</v>
      </c>
      <c r="L20" s="270">
        <f t="shared" si="19"/>
        <v>12524.140676558271</v>
      </c>
      <c r="M20" s="270"/>
      <c r="N20" s="280">
        <f>'T-T0'!I20</f>
        <v>31443.098193999998</v>
      </c>
      <c r="O20" s="280">
        <f>'T-T0'!J20</f>
        <v>12570.851089</v>
      </c>
      <c r="P20" s="280">
        <f t="shared" si="20"/>
        <v>5210.1311480316208</v>
      </c>
      <c r="Q20" s="280">
        <f t="shared" si="21"/>
        <v>21293.91956896838</v>
      </c>
      <c r="R20" s="270"/>
      <c r="S20" s="280">
        <f>TOTALS!U77/1000000</f>
        <v>6567.6040233999993</v>
      </c>
      <c r="T20" s="270">
        <f t="shared" si="22"/>
        <v>-266.60402339999928</v>
      </c>
      <c r="U20" s="270">
        <f t="shared" si="14"/>
        <v>15482</v>
      </c>
      <c r="V20" s="270">
        <f t="shared" ref="V20:V64" si="45">DU20</f>
        <v>147</v>
      </c>
      <c r="W20" s="270"/>
      <c r="X20" s="280">
        <f t="shared" si="1"/>
        <v>22156.30854034617</v>
      </c>
      <c r="Y20" s="280">
        <f>(CP20-AA20)*'C13-CapOwn'!N16</f>
        <v>10737.682954835045</v>
      </c>
      <c r="Z20" s="607">
        <f>(CP20-AA20)*'C13-CapOwn'!O16</f>
        <v>1914.0085048187871</v>
      </c>
      <c r="AA20" s="607">
        <f t="shared" si="15"/>
        <v>3357</v>
      </c>
      <c r="AB20" s="270"/>
      <c r="AC20" s="280">
        <f>TOTALS!H77/1000000</f>
        <v>20256.331445</v>
      </c>
      <c r="AD20" s="601">
        <f>BU20</f>
        <v>1325.8966632300028</v>
      </c>
      <c r="AE20" s="270">
        <f t="shared" si="2"/>
        <v>1267.6277951700001</v>
      </c>
      <c r="AF20" s="270"/>
      <c r="AG20" s="280">
        <f t="shared" si="24"/>
        <v>1979.221906</v>
      </c>
      <c r="AH20" s="280">
        <f t="shared" si="25"/>
        <v>197.92219060000002</v>
      </c>
      <c r="AI20" s="270"/>
      <c r="AJ20" s="270">
        <f>'C10-Adj by Source'!X17</f>
        <v>30937.829999999998</v>
      </c>
      <c r="AK20" s="601">
        <f t="shared" si="3"/>
        <v>4457.1449999999995</v>
      </c>
      <c r="AL20" s="607">
        <f t="shared" si="4"/>
        <v>2060.0250000000001</v>
      </c>
      <c r="AM20" s="270"/>
      <c r="AN20" s="270">
        <f t="shared" si="26"/>
        <v>4253.6000000000004</v>
      </c>
      <c r="AO20" s="601">
        <f t="shared" si="27"/>
        <v>1963.1999999999996</v>
      </c>
      <c r="AP20" s="607">
        <f t="shared" si="5"/>
        <v>327.20000000000005</v>
      </c>
      <c r="AQ20" s="280">
        <f>TOTALS!F77/1000000-AU20</f>
        <v>14836.8089358</v>
      </c>
      <c r="AR20" s="607">
        <f t="shared" si="28"/>
        <v>441.84106420000023</v>
      </c>
      <c r="AS20" s="607">
        <f t="shared" si="6"/>
        <v>896.35</v>
      </c>
      <c r="AT20" s="280"/>
      <c r="AU20" s="280">
        <f>TOTALS!F77/1000000*0.4</f>
        <v>9891.2059571999998</v>
      </c>
      <c r="AV20" s="607">
        <f t="shared" si="29"/>
        <v>11986.904340660007</v>
      </c>
      <c r="AW20" s="607">
        <f t="shared" si="30"/>
        <v>630.88970214000005</v>
      </c>
      <c r="AX20" s="270"/>
      <c r="AY20" s="270">
        <f>'C10-Adj by Source'!AE17</f>
        <v>18369</v>
      </c>
      <c r="AZ20" s="270">
        <f>'C10-Adj by Source'!AU17</f>
        <v>22076</v>
      </c>
      <c r="BA20" s="607">
        <f t="shared" si="16"/>
        <v>60048</v>
      </c>
      <c r="BB20" s="607"/>
      <c r="BC20" s="280">
        <f t="shared" si="7"/>
        <v>-4675</v>
      </c>
      <c r="BD20" s="280"/>
      <c r="BE20" s="280">
        <f t="shared" si="8"/>
        <v>4157</v>
      </c>
      <c r="BF20" s="280"/>
      <c r="BG20" s="280">
        <f t="shared" si="9"/>
        <v>-1698</v>
      </c>
      <c r="BH20" s="270"/>
      <c r="BI20" s="280">
        <f>TOTALS!AD77/1000000+CE20</f>
        <v>16138.53265503162</v>
      </c>
      <c r="BJ20" s="280">
        <f t="shared" si="31"/>
        <v>24319.584673599329</v>
      </c>
      <c r="BK20" s="272"/>
      <c r="BL20" s="280">
        <f t="shared" si="32"/>
        <v>0</v>
      </c>
      <c r="BM20" s="863"/>
      <c r="BN20" s="270">
        <v>1017016</v>
      </c>
      <c r="BO20" s="270">
        <f t="shared" si="33"/>
        <v>1017016.3473</v>
      </c>
      <c r="BP20" s="860">
        <f t="shared" si="34"/>
        <v>0.3473000000230968</v>
      </c>
      <c r="BQ20" s="860"/>
      <c r="BR20" s="270">
        <f t="shared" si="35"/>
        <v>5808.1173286309477</v>
      </c>
      <c r="BS20" s="270"/>
      <c r="BT20" s="270">
        <f t="shared" si="10"/>
        <v>34650</v>
      </c>
      <c r="BU20" s="270">
        <f t="shared" si="36"/>
        <v>1325.8966632300028</v>
      </c>
      <c r="BV20" s="270">
        <f t="shared" si="11"/>
        <v>4457.1449999999995</v>
      </c>
      <c r="BW20" s="280">
        <f t="shared" si="37"/>
        <v>1963.1999999999996</v>
      </c>
      <c r="BX20" s="607">
        <f t="shared" si="38"/>
        <v>441.84106420000023</v>
      </c>
      <c r="BY20" s="280">
        <f t="shared" si="39"/>
        <v>11986.904340660007</v>
      </c>
      <c r="BZ20" s="280">
        <f t="shared" si="40"/>
        <v>20174.987068090009</v>
      </c>
      <c r="CA20" s="280"/>
      <c r="CB20" s="270">
        <f>'C0-Ref Stats'!AJ17</f>
        <v>26050.655740158101</v>
      </c>
      <c r="CC20" s="270">
        <f t="shared" si="41"/>
        <v>15630.39344409486</v>
      </c>
      <c r="CD20" s="270">
        <f t="shared" si="42"/>
        <v>5210.1311480316208</v>
      </c>
      <c r="CE20" s="270">
        <f t="shared" si="43"/>
        <v>5210.1311480316208</v>
      </c>
      <c r="CF20" s="270"/>
      <c r="CG20" s="331">
        <f>ROUND('C12-CorpOwn'!R16,3)</f>
        <v>0.82499999999999996</v>
      </c>
      <c r="CH20" s="331">
        <f>ROUND('C12-CorpOwn'!S16,3)</f>
        <v>0.11899999999999999</v>
      </c>
      <c r="CI20" s="331">
        <f>ROUND('C12-CorpOwn'!T16,3)</f>
        <v>5.5E-2</v>
      </c>
      <c r="CJ20" s="270"/>
      <c r="CK20" s="270">
        <v>584549</v>
      </c>
      <c r="CL20" s="270">
        <v>56035</v>
      </c>
      <c r="CM20" s="270">
        <v>26446</v>
      </c>
      <c r="CN20" s="270">
        <v>13386</v>
      </c>
      <c r="CO20" s="270">
        <v>70518</v>
      </c>
      <c r="CP20" s="270">
        <v>38165</v>
      </c>
      <c r="CQ20" s="270">
        <v>25027</v>
      </c>
      <c r="CR20" s="270">
        <v>37455</v>
      </c>
      <c r="CS20" s="270">
        <v>45228</v>
      </c>
      <c r="CT20" s="270">
        <v>100493</v>
      </c>
      <c r="CU20" s="280">
        <v>-4675</v>
      </c>
      <c r="CV20" s="280">
        <v>4157</v>
      </c>
      <c r="CW20" s="280">
        <v>-1698</v>
      </c>
      <c r="CX20" s="280">
        <v>44644</v>
      </c>
      <c r="CY20" s="280">
        <v>42892</v>
      </c>
      <c r="CZ20" s="280">
        <f t="shared" si="12"/>
        <v>1752</v>
      </c>
      <c r="DA20" s="280">
        <v>36946</v>
      </c>
      <c r="DB20" s="280">
        <v>17927</v>
      </c>
      <c r="DC20" s="280">
        <v>6544</v>
      </c>
      <c r="DD20" s="270">
        <v>35364</v>
      </c>
      <c r="DE20" s="270">
        <v>40445</v>
      </c>
      <c r="DF20" s="270">
        <v>3675</v>
      </c>
      <c r="DG20" s="270">
        <v>6866</v>
      </c>
      <c r="DH20" s="270">
        <v>1151</v>
      </c>
      <c r="DI20" s="270">
        <v>876</v>
      </c>
      <c r="DJ20" s="270">
        <f t="shared" si="17"/>
        <v>12116</v>
      </c>
      <c r="DK20" s="280">
        <v>18844</v>
      </c>
      <c r="DL20" s="270">
        <v>6544</v>
      </c>
      <c r="DM20" s="270">
        <v>3416</v>
      </c>
      <c r="DN20" s="270">
        <v>16345</v>
      </c>
      <c r="DO20" s="270">
        <v>2407</v>
      </c>
      <c r="DP20" s="270">
        <v>2469</v>
      </c>
      <c r="DQ20" s="270">
        <v>4978</v>
      </c>
      <c r="DR20" s="270"/>
      <c r="DS20" s="270">
        <v>6301</v>
      </c>
      <c r="DT20" s="272">
        <v>15629</v>
      </c>
      <c r="DU20" s="270">
        <v>147</v>
      </c>
      <c r="DV20" s="272"/>
      <c r="DW20" s="270">
        <f>TOTALS!S77/1000000</f>
        <v>14550.072995</v>
      </c>
      <c r="DX20" s="280">
        <f>TOTALS!$BC77/1000000</f>
        <v>1979.221906</v>
      </c>
      <c r="DY20" s="280"/>
      <c r="DZ20" s="270">
        <f t="shared" si="44"/>
        <v>2177.1440966</v>
      </c>
      <c r="EA20" s="270"/>
      <c r="EB20" s="277">
        <v>85803</v>
      </c>
      <c r="EC20" s="607">
        <v>3357</v>
      </c>
      <c r="ED20" s="277">
        <v>12440</v>
      </c>
      <c r="EE20" s="280">
        <v>22076</v>
      </c>
      <c r="EF20" s="280"/>
    </row>
    <row r="21" spans="1:136" ht="10.5" customHeight="1" x14ac:dyDescent="0.3">
      <c r="A21" s="268">
        <v>1972</v>
      </c>
      <c r="B21" s="603">
        <f>'C1-Incomes'!EX20</f>
        <v>1122975.8569</v>
      </c>
      <c r="C21" s="280">
        <f>(TOTALS!E78)/1000000+CC21-BS21</f>
        <v>636933.98783750925</v>
      </c>
      <c r="D21" s="601" t="s">
        <v>50</v>
      </c>
      <c r="E21" s="270">
        <f t="shared" si="18"/>
        <v>-4518.3277158843448</v>
      </c>
      <c r="F21" s="598"/>
      <c r="G21" s="270">
        <f t="shared" si="0"/>
        <v>24481</v>
      </c>
      <c r="H21" s="601" t="s">
        <v>50</v>
      </c>
      <c r="I21" s="270">
        <f t="shared" si="13"/>
        <v>31157</v>
      </c>
      <c r="J21" s="270"/>
      <c r="K21" s="270">
        <f>'T-T0'!G21</f>
        <v>1779.3510277513578</v>
      </c>
      <c r="L21" s="270">
        <f t="shared" si="19"/>
        <v>15243.648972248642</v>
      </c>
      <c r="M21" s="270"/>
      <c r="N21" s="280">
        <f>'T-T0'!I21</f>
        <v>34555.688113999997</v>
      </c>
      <c r="O21" s="280">
        <f>'T-T0'!J21</f>
        <v>13095.680466000002</v>
      </c>
      <c r="P21" s="280">
        <f t="shared" si="20"/>
        <v>5272.0409181697314</v>
      </c>
      <c r="Q21" s="280">
        <f t="shared" si="21"/>
        <v>25147.590501830269</v>
      </c>
      <c r="R21" s="270"/>
      <c r="S21" s="280">
        <f>TOTALS!U78/1000000</f>
        <v>7495.9688183999997</v>
      </c>
      <c r="T21" s="270">
        <f t="shared" si="22"/>
        <v>-135.96881839999969</v>
      </c>
      <c r="U21" s="270">
        <f t="shared" si="14"/>
        <v>15311</v>
      </c>
      <c r="V21" s="270">
        <f t="shared" si="45"/>
        <v>155</v>
      </c>
      <c r="W21" s="270"/>
      <c r="X21" s="280">
        <f t="shared" si="1"/>
        <v>25216.823410772748</v>
      </c>
      <c r="Y21" s="280">
        <f>(CP21-AA21)*'C13-CapOwn'!N17</f>
        <v>11810.90375098673</v>
      </c>
      <c r="Z21" s="607">
        <f>(CP21-AA21)*'C13-CapOwn'!O17</f>
        <v>2082.2728382405239</v>
      </c>
      <c r="AA21" s="607">
        <f t="shared" si="15"/>
        <v>3231</v>
      </c>
      <c r="AB21" s="270"/>
      <c r="AC21" s="280">
        <f>TOTALS!H78/1000000</f>
        <v>22056.556623</v>
      </c>
      <c r="AD21" s="601">
        <f t="shared" si="23"/>
        <v>-135.22674402000189</v>
      </c>
      <c r="AE21" s="270">
        <f t="shared" si="2"/>
        <v>1294.99630942</v>
      </c>
      <c r="AF21" s="270"/>
      <c r="AG21" s="280">
        <f t="shared" si="24"/>
        <v>3290.612556</v>
      </c>
      <c r="AH21" s="280">
        <f t="shared" si="25"/>
        <v>329.0612556000001</v>
      </c>
      <c r="AI21" s="270"/>
      <c r="AJ21" s="270">
        <f>'C10-Adj by Source'!X18</f>
        <v>39580.839999999997</v>
      </c>
      <c r="AK21" s="601">
        <f t="shared" si="3"/>
        <v>5812.2349999999997</v>
      </c>
      <c r="AL21" s="607">
        <f t="shared" si="4"/>
        <v>2641.9250000000002</v>
      </c>
      <c r="AM21" s="270"/>
      <c r="AN21" s="270">
        <f t="shared" si="26"/>
        <v>4897.1000000000004</v>
      </c>
      <c r="AO21" s="601">
        <f t="shared" si="27"/>
        <v>2260.1999999999998</v>
      </c>
      <c r="AP21" s="607">
        <f t="shared" si="5"/>
        <v>376.70000000000005</v>
      </c>
      <c r="AQ21" s="280">
        <f>TOTALS!F78/1000000-AU21</f>
        <v>17216.5031562</v>
      </c>
      <c r="AR21" s="607">
        <f t="shared" si="28"/>
        <v>-1934.1031562000003</v>
      </c>
      <c r="AS21" s="607">
        <f t="shared" si="6"/>
        <v>938.6</v>
      </c>
      <c r="AT21" s="280"/>
      <c r="AU21" s="280">
        <f>TOTALS!F78/1000000*0.4</f>
        <v>11477.668770800001</v>
      </c>
      <c r="AV21" s="607">
        <f t="shared" si="29"/>
        <v>13352.564667740007</v>
      </c>
      <c r="AW21" s="607">
        <f t="shared" si="30"/>
        <v>702.76656145999993</v>
      </c>
      <c r="AX21" s="270"/>
      <c r="AY21" s="270">
        <f>'C10-Adj by Source'!AE18</f>
        <v>19447</v>
      </c>
      <c r="AZ21" s="270">
        <f>'C10-Adj by Source'!AU18</f>
        <v>23780</v>
      </c>
      <c r="BA21" s="607">
        <f t="shared" si="16"/>
        <v>64701</v>
      </c>
      <c r="BB21" s="607"/>
      <c r="BC21" s="280">
        <f t="shared" si="7"/>
        <v>-6636</v>
      </c>
      <c r="BD21" s="280"/>
      <c r="BE21" s="280">
        <f t="shared" si="8"/>
        <v>4779</v>
      </c>
      <c r="BF21" s="280"/>
      <c r="BG21" s="280">
        <f t="shared" si="9"/>
        <v>-1156</v>
      </c>
      <c r="BH21" s="270"/>
      <c r="BI21" s="280">
        <f>TOTALS!AD78/1000000+CE21</f>
        <v>18159.25925216973</v>
      </c>
      <c r="BJ21" s="280">
        <f t="shared" si="31"/>
        <v>27428.080626205359</v>
      </c>
      <c r="BK21" s="272"/>
      <c r="BL21" s="280">
        <f t="shared" si="32"/>
        <v>0</v>
      </c>
      <c r="BM21" s="863"/>
      <c r="BN21" s="270">
        <v>1122976</v>
      </c>
      <c r="BO21" s="270">
        <f t="shared" si="33"/>
        <v>1122975.8569</v>
      </c>
      <c r="BP21" s="860">
        <f t="shared" si="34"/>
        <v>-0.14309999998658895</v>
      </c>
      <c r="BQ21" s="860"/>
      <c r="BR21" s="270">
        <f t="shared" si="35"/>
        <v>6369.3398783750927</v>
      </c>
      <c r="BS21" s="270"/>
      <c r="BT21" s="270">
        <f t="shared" si="10"/>
        <v>39218</v>
      </c>
      <c r="BU21" s="270">
        <f t="shared" si="36"/>
        <v>-135.22674402000189</v>
      </c>
      <c r="BV21" s="270">
        <f t="shared" si="11"/>
        <v>5812.2349999999997</v>
      </c>
      <c r="BW21" s="280">
        <f t="shared" si="37"/>
        <v>2260.1999999999998</v>
      </c>
      <c r="BX21" s="607">
        <f t="shared" si="38"/>
        <v>-1934.1031562000003</v>
      </c>
      <c r="BY21" s="280">
        <f t="shared" si="39"/>
        <v>13352.564667740007</v>
      </c>
      <c r="BZ21" s="280">
        <f t="shared" si="40"/>
        <v>19355.669767520005</v>
      </c>
      <c r="CA21" s="280"/>
      <c r="CB21" s="270">
        <f>'C0-Ref Stats'!AJ18</f>
        <v>26360.204590848654</v>
      </c>
      <c r="CC21" s="270">
        <f t="shared" si="41"/>
        <v>15816.122754509192</v>
      </c>
      <c r="CD21" s="270">
        <f t="shared" si="42"/>
        <v>5272.0409181697314</v>
      </c>
      <c r="CE21" s="270">
        <f t="shared" si="43"/>
        <v>5272.0409181697314</v>
      </c>
      <c r="CF21" s="270"/>
      <c r="CG21" s="331">
        <f>ROUND('C12-CorpOwn'!R17,3)</f>
        <v>0.82399999999999995</v>
      </c>
      <c r="CH21" s="331">
        <f>ROUND('C12-CorpOwn'!S17,3)</f>
        <v>0.121</v>
      </c>
      <c r="CI21" s="331">
        <f>ROUND('C12-CorpOwn'!T17,3)</f>
        <v>5.5E-2</v>
      </c>
      <c r="CJ21" s="270"/>
      <c r="CK21" s="270">
        <v>638785</v>
      </c>
      <c r="CL21" s="270">
        <v>63699</v>
      </c>
      <c r="CM21" s="270">
        <v>31157</v>
      </c>
      <c r="CN21" s="270">
        <v>17023</v>
      </c>
      <c r="CO21" s="270">
        <v>78071</v>
      </c>
      <c r="CP21" s="270">
        <v>42341</v>
      </c>
      <c r="CQ21" s="270">
        <v>26836</v>
      </c>
      <c r="CR21" s="270">
        <v>48035</v>
      </c>
      <c r="CS21" s="270">
        <v>49288</v>
      </c>
      <c r="CT21" s="270">
        <v>107928</v>
      </c>
      <c r="CU21" s="280">
        <v>-6636</v>
      </c>
      <c r="CV21" s="280">
        <v>4779</v>
      </c>
      <c r="CW21" s="280">
        <v>-1156</v>
      </c>
      <c r="CX21" s="280">
        <v>48721</v>
      </c>
      <c r="CY21" s="280">
        <v>46170</v>
      </c>
      <c r="CZ21" s="280">
        <f t="shared" si="12"/>
        <v>2551</v>
      </c>
      <c r="DA21" s="280">
        <v>40532</v>
      </c>
      <c r="DB21" s="280">
        <v>18772</v>
      </c>
      <c r="DC21" s="280">
        <v>7534</v>
      </c>
      <c r="DD21" s="270">
        <v>39801</v>
      </c>
      <c r="DE21" s="270">
        <v>43227</v>
      </c>
      <c r="DF21" s="270">
        <v>3890</v>
      </c>
      <c r="DG21" s="270">
        <v>7625</v>
      </c>
      <c r="DH21" s="270">
        <v>1316</v>
      </c>
      <c r="DI21" s="270">
        <v>996</v>
      </c>
      <c r="DJ21" s="270">
        <f t="shared" si="17"/>
        <v>11073</v>
      </c>
      <c r="DK21" s="280">
        <v>21747</v>
      </c>
      <c r="DL21" s="270">
        <v>7534</v>
      </c>
      <c r="DM21" s="270">
        <v>3767</v>
      </c>
      <c r="DN21" s="270">
        <v>19193</v>
      </c>
      <c r="DO21" s="270">
        <v>2721</v>
      </c>
      <c r="DP21" s="270">
        <v>2517</v>
      </c>
      <c r="DQ21" s="270">
        <v>5492</v>
      </c>
      <c r="DR21" s="270"/>
      <c r="DS21" s="270">
        <v>7360</v>
      </c>
      <c r="DT21" s="272">
        <v>15466</v>
      </c>
      <c r="DU21" s="270">
        <v>155</v>
      </c>
      <c r="DV21" s="272"/>
      <c r="DW21" s="270">
        <f>TOTALS!S78/1000000</f>
        <v>16386.293022000002</v>
      </c>
      <c r="DX21" s="280">
        <f>TOTALS!$BC78/1000000</f>
        <v>3290.612556</v>
      </c>
      <c r="DY21" s="280"/>
      <c r="DZ21" s="270">
        <f t="shared" si="44"/>
        <v>3619.6738116000001</v>
      </c>
      <c r="EA21" s="270"/>
      <c r="EB21" s="277">
        <v>102757</v>
      </c>
      <c r="EC21" s="607">
        <v>3231</v>
      </c>
      <c r="ED21" s="277">
        <v>17197</v>
      </c>
      <c r="EE21" s="280">
        <v>23780</v>
      </c>
      <c r="EF21" s="280"/>
    </row>
    <row r="22" spans="1:136" ht="10.5" customHeight="1" x14ac:dyDescent="0.3">
      <c r="A22" s="268">
        <v>1973</v>
      </c>
      <c r="B22" s="603">
        <f>'C1-Incomes'!EX21</f>
        <v>1256980.1410999999</v>
      </c>
      <c r="C22" s="280">
        <f>(TOTALS!E79)/1000000+CC22-BS22</f>
        <v>704497.94325485174</v>
      </c>
      <c r="D22" s="601" t="s">
        <v>50</v>
      </c>
      <c r="E22" s="270">
        <f t="shared" si="18"/>
        <v>-2780.9226874002534</v>
      </c>
      <c r="F22" s="598"/>
      <c r="G22" s="270">
        <f t="shared" si="0"/>
        <v>27573</v>
      </c>
      <c r="H22" s="601" t="s">
        <v>50</v>
      </c>
      <c r="I22" s="270">
        <f t="shared" si="13"/>
        <v>39783</v>
      </c>
      <c r="J22" s="270"/>
      <c r="K22" s="270">
        <f>'T-T0'!G22</f>
        <v>6211.3042324139797</v>
      </c>
      <c r="L22" s="270">
        <f>CN22-K22</f>
        <v>22863.695767586021</v>
      </c>
      <c r="M22" s="270"/>
      <c r="N22" s="280">
        <f>'T-T0'!I22</f>
        <v>37796.983635999997</v>
      </c>
      <c r="O22" s="280">
        <f>'T-T0'!J22</f>
        <v>14595.695801000002</v>
      </c>
      <c r="P22" s="280">
        <f t="shared" si="20"/>
        <v>5741.0345576172185</v>
      </c>
      <c r="Q22" s="280">
        <f t="shared" si="21"/>
        <v>25312.286005382783</v>
      </c>
      <c r="R22" s="270"/>
      <c r="S22" s="280">
        <f>TOTALS!U79/1000000</f>
        <v>8117.2865044999999</v>
      </c>
      <c r="T22" s="270">
        <f t="shared" si="22"/>
        <v>466.71349550000014</v>
      </c>
      <c r="U22" s="270">
        <f t="shared" si="14"/>
        <v>14544</v>
      </c>
      <c r="V22" s="270">
        <f t="shared" si="45"/>
        <v>129</v>
      </c>
      <c r="W22" s="270"/>
      <c r="X22" s="280">
        <f t="shared" si="1"/>
        <v>26913.666874012073</v>
      </c>
      <c r="Y22" s="280">
        <f>(CP22-AA22)*'C13-CapOwn'!N18</f>
        <v>16217.661932338424</v>
      </c>
      <c r="Z22" s="607">
        <f>(CP22-AA22)*'C13-CapOwn'!O18</f>
        <v>2500.6711936495053</v>
      </c>
      <c r="AA22" s="607">
        <f t="shared" si="15"/>
        <v>4341</v>
      </c>
      <c r="AB22" s="270"/>
      <c r="AC22" s="280">
        <f>TOTALS!H79/1000000</f>
        <v>24079.922827999999</v>
      </c>
      <c r="AD22" s="601">
        <f t="shared" si="23"/>
        <v>1948.6471175200002</v>
      </c>
      <c r="AE22" s="270">
        <f t="shared" si="2"/>
        <v>1556.5891924800001</v>
      </c>
      <c r="AF22" s="270"/>
      <c r="AG22" s="280">
        <f t="shared" si="24"/>
        <v>2110.76442</v>
      </c>
      <c r="AH22" s="280">
        <f t="shared" si="25"/>
        <v>211.07644200000004</v>
      </c>
      <c r="AI22" s="270"/>
      <c r="AJ22" s="270">
        <f>'C10-Adj by Source'!X19</f>
        <v>43075.549999999996</v>
      </c>
      <c r="AK22" s="601">
        <f t="shared" si="3"/>
        <v>7437.89</v>
      </c>
      <c r="AL22" s="607">
        <f t="shared" si="4"/>
        <v>2996.56</v>
      </c>
      <c r="AM22" s="270"/>
      <c r="AN22" s="270">
        <f t="shared" si="26"/>
        <v>5496.4000000000005</v>
      </c>
      <c r="AO22" s="601">
        <f t="shared" si="27"/>
        <v>2536.7999999999993</v>
      </c>
      <c r="AP22" s="607">
        <f t="shared" si="5"/>
        <v>422.8</v>
      </c>
      <c r="AQ22" s="280">
        <f>TOTALS!F79/1000000-AU22</f>
        <v>19935.1043574</v>
      </c>
      <c r="AR22" s="607">
        <f t="shared" si="28"/>
        <v>-1909.0043573999997</v>
      </c>
      <c r="AS22" s="607">
        <f t="shared" si="6"/>
        <v>1140.9000000000001</v>
      </c>
      <c r="AT22" s="280"/>
      <c r="AU22" s="280">
        <f>TOTALS!F79/1000000*0.4</f>
        <v>13290.069571599999</v>
      </c>
      <c r="AV22" s="607">
        <f t="shared" si="29"/>
        <v>15517.233906979993</v>
      </c>
      <c r="AW22" s="607">
        <f t="shared" si="30"/>
        <v>816.69652142000018</v>
      </c>
      <c r="AX22" s="270"/>
      <c r="AY22" s="270">
        <f>'C10-Adj by Source'!AE19</f>
        <v>20565</v>
      </c>
      <c r="AZ22" s="270">
        <f>'C10-Adj by Source'!AU19</f>
        <v>25790</v>
      </c>
      <c r="BA22" s="607">
        <f t="shared" si="16"/>
        <v>70865</v>
      </c>
      <c r="BB22" s="607"/>
      <c r="BC22" s="280">
        <f t="shared" si="7"/>
        <v>-5230</v>
      </c>
      <c r="BD22" s="280"/>
      <c r="BE22" s="280">
        <f t="shared" si="8"/>
        <v>5740</v>
      </c>
      <c r="BF22" s="280"/>
      <c r="BG22" s="280">
        <f t="shared" si="9"/>
        <v>-2204</v>
      </c>
      <c r="BH22" s="270"/>
      <c r="BI22" s="280">
        <f>TOTALS!AD79/1000000+CE22</f>
        <v>21329.107036617221</v>
      </c>
      <c r="BJ22" s="280">
        <f t="shared" si="31"/>
        <v>24636.872395931299</v>
      </c>
      <c r="BK22" s="272"/>
      <c r="BL22" s="280">
        <f t="shared" si="32"/>
        <v>0</v>
      </c>
      <c r="BM22" s="863"/>
      <c r="BN22" s="270">
        <v>1256980</v>
      </c>
      <c r="BO22" s="270">
        <f t="shared" si="33"/>
        <v>1256980.1410999999</v>
      </c>
      <c r="BP22" s="860">
        <f t="shared" si="34"/>
        <v>0.14109999989159405</v>
      </c>
      <c r="BQ22" s="860"/>
      <c r="BR22" s="270">
        <f t="shared" si="35"/>
        <v>7044.9794325485173</v>
      </c>
      <c r="BS22" s="270"/>
      <c r="BT22" s="270">
        <f t="shared" si="10"/>
        <v>38921</v>
      </c>
      <c r="BU22" s="270">
        <f t="shared" si="36"/>
        <v>1948.6471175200002</v>
      </c>
      <c r="BV22" s="270">
        <f t="shared" si="11"/>
        <v>7437.89</v>
      </c>
      <c r="BW22" s="280">
        <f t="shared" si="37"/>
        <v>2536.7999999999993</v>
      </c>
      <c r="BX22" s="607">
        <f t="shared" si="38"/>
        <v>-1909.0043573999997</v>
      </c>
      <c r="BY22" s="280">
        <f t="shared" si="39"/>
        <v>15517.233906979993</v>
      </c>
      <c r="BZ22" s="280">
        <f t="shared" si="40"/>
        <v>25531.566667099993</v>
      </c>
      <c r="CA22" s="280"/>
      <c r="CB22" s="270">
        <f>'C0-Ref Stats'!AJ19</f>
        <v>28705.172788086089</v>
      </c>
      <c r="CC22" s="270">
        <f t="shared" si="41"/>
        <v>17223.103672851652</v>
      </c>
      <c r="CD22" s="270">
        <f t="shared" si="42"/>
        <v>5741.0345576172185</v>
      </c>
      <c r="CE22" s="270">
        <f t="shared" si="43"/>
        <v>5741.0345576172185</v>
      </c>
      <c r="CF22" s="270"/>
      <c r="CG22" s="331">
        <f>ROUND('C12-CorpOwn'!R18,3)</f>
        <v>0.80400000000000005</v>
      </c>
      <c r="CH22" s="331">
        <f>ROUND('C12-CorpOwn'!S18,3)</f>
        <v>0.13900000000000001</v>
      </c>
      <c r="CI22" s="331">
        <f>ROUND('C12-CorpOwn'!T18,3)</f>
        <v>5.6000000000000001E-2</v>
      </c>
      <c r="CJ22" s="270"/>
      <c r="CK22" s="270">
        <v>708762</v>
      </c>
      <c r="CL22" s="270">
        <v>66494</v>
      </c>
      <c r="CM22" s="270">
        <v>39783</v>
      </c>
      <c r="CN22" s="270">
        <v>29075</v>
      </c>
      <c r="CO22" s="270">
        <v>83446</v>
      </c>
      <c r="CP22" s="270">
        <v>49973</v>
      </c>
      <c r="CQ22" s="270">
        <v>29907</v>
      </c>
      <c r="CR22" s="270">
        <v>53510</v>
      </c>
      <c r="CS22" s="270">
        <v>57247</v>
      </c>
      <c r="CT22" s="270">
        <v>117220</v>
      </c>
      <c r="CU22" s="280">
        <v>-5230</v>
      </c>
      <c r="CV22" s="280">
        <v>5740</v>
      </c>
      <c r="CW22" s="280">
        <v>-2204</v>
      </c>
      <c r="CX22" s="280">
        <v>55456</v>
      </c>
      <c r="CY22" s="280">
        <v>51805</v>
      </c>
      <c r="CZ22" s="280">
        <f t="shared" si="12"/>
        <v>3651</v>
      </c>
      <c r="DA22" s="280">
        <v>45491</v>
      </c>
      <c r="DB22" s="280">
        <v>22818</v>
      </c>
      <c r="DC22" s="280">
        <v>8456</v>
      </c>
      <c r="DD22" s="270">
        <v>44080</v>
      </c>
      <c r="DE22" s="270">
        <v>46355</v>
      </c>
      <c r="DF22" s="270">
        <v>4124</v>
      </c>
      <c r="DG22" s="270">
        <v>8275</v>
      </c>
      <c r="DH22" s="270">
        <v>1387</v>
      </c>
      <c r="DI22" s="270">
        <v>1117</v>
      </c>
      <c r="DJ22" s="270">
        <f t="shared" si="17"/>
        <v>11882</v>
      </c>
      <c r="DK22" s="280">
        <v>25290</v>
      </c>
      <c r="DL22" s="270">
        <v>8456</v>
      </c>
      <c r="DM22" s="270">
        <v>5538</v>
      </c>
      <c r="DN22" s="270">
        <v>23914</v>
      </c>
      <c r="DO22" s="270">
        <v>5255</v>
      </c>
      <c r="DP22" s="270">
        <v>2526</v>
      </c>
      <c r="DQ22" s="270">
        <v>6388</v>
      </c>
      <c r="DR22" s="270"/>
      <c r="DS22" s="270">
        <v>8584</v>
      </c>
      <c r="DT22" s="272">
        <v>14673</v>
      </c>
      <c r="DU22" s="270">
        <v>129</v>
      </c>
      <c r="DV22" s="272"/>
      <c r="DW22" s="270">
        <f>TOTALS!S79/1000000</f>
        <v>16706.460221000001</v>
      </c>
      <c r="DX22" s="280">
        <f>TOTALS!$BC79/1000000</f>
        <v>2110.76442</v>
      </c>
      <c r="DY22" s="280"/>
      <c r="DZ22" s="270">
        <f t="shared" si="44"/>
        <v>2321.840862</v>
      </c>
      <c r="EA22" s="270"/>
      <c r="EB22" s="277">
        <v>109581</v>
      </c>
      <c r="EC22" s="607">
        <v>4341</v>
      </c>
      <c r="ED22" s="277">
        <v>18864</v>
      </c>
      <c r="EE22" s="280">
        <v>25790</v>
      </c>
      <c r="EF22" s="280"/>
    </row>
    <row r="23" spans="1:136" ht="10.5" customHeight="1" x14ac:dyDescent="0.3">
      <c r="A23" s="268">
        <v>1974</v>
      </c>
      <c r="B23" s="603">
        <f>'C1-Incomes'!EX22</f>
        <v>1350769.412</v>
      </c>
      <c r="C23" s="280">
        <f>(TOTALS!E80)/1000000+CC23-BS23</f>
        <v>776641.84168780083</v>
      </c>
      <c r="D23" s="601" t="s">
        <v>50</v>
      </c>
      <c r="E23" s="270">
        <f t="shared" si="18"/>
        <v>-12126.260104678837</v>
      </c>
      <c r="F23" s="598"/>
      <c r="G23" s="270">
        <f t="shared" si="0"/>
        <v>31627</v>
      </c>
      <c r="H23" s="601" t="s">
        <v>50</v>
      </c>
      <c r="I23" s="270">
        <f t="shared" si="13"/>
        <v>44694</v>
      </c>
      <c r="J23" s="270"/>
      <c r="K23" s="270">
        <f>'T-T0'!G23</f>
        <v>-8852.9856729013882</v>
      </c>
      <c r="L23" s="270">
        <f t="shared" si="19"/>
        <v>32320.985672901388</v>
      </c>
      <c r="M23" s="270"/>
      <c r="N23" s="280">
        <f>'T-T0'!I23</f>
        <v>39588.807128</v>
      </c>
      <c r="O23" s="280">
        <f>'T-T0'!J23</f>
        <v>16170.160255999999</v>
      </c>
      <c r="P23" s="280">
        <f t="shared" si="20"/>
        <v>5961.4225846002719</v>
      </c>
      <c r="Q23" s="280">
        <f t="shared" si="21"/>
        <v>27024.610031399723</v>
      </c>
      <c r="R23" s="270"/>
      <c r="S23" s="280">
        <f>TOTALS!U80/1000000</f>
        <v>9787.8635438999991</v>
      </c>
      <c r="T23" s="270">
        <f t="shared" si="22"/>
        <v>-1398.8635438999991</v>
      </c>
      <c r="U23" s="270">
        <f t="shared" si="14"/>
        <v>14850</v>
      </c>
      <c r="V23" s="270">
        <f t="shared" si="45"/>
        <v>99</v>
      </c>
      <c r="W23" s="270"/>
      <c r="X23" s="280">
        <f t="shared" si="1"/>
        <v>24297.668337646362</v>
      </c>
      <c r="Y23" s="280">
        <f>(CP23-AA23)*'C13-CapOwn'!N19</f>
        <v>20214.598233133624</v>
      </c>
      <c r="Z23" s="607">
        <f>(CP23-AA23)*'C13-CapOwn'!O19</f>
        <v>2722.733429220013</v>
      </c>
      <c r="AA23" s="607">
        <f t="shared" si="15"/>
        <v>5550</v>
      </c>
      <c r="AB23" s="270"/>
      <c r="AC23" s="280">
        <f>TOTALS!H80/1000000</f>
        <v>26874.549663000002</v>
      </c>
      <c r="AD23" s="601">
        <f t="shared" si="23"/>
        <v>1591.3391691479985</v>
      </c>
      <c r="AE23" s="270">
        <f t="shared" si="2"/>
        <v>1769.3778812520002</v>
      </c>
      <c r="AF23" s="270"/>
      <c r="AG23" s="280">
        <f t="shared" si="24"/>
        <v>2712.4848059999999</v>
      </c>
      <c r="AH23" s="280">
        <f t="shared" si="25"/>
        <v>271.24848060000022</v>
      </c>
      <c r="AI23" s="270"/>
      <c r="AJ23" s="270">
        <f>'C10-Adj by Source'!X20</f>
        <v>30569.77</v>
      </c>
      <c r="AK23" s="601">
        <f t="shared" si="3"/>
        <v>6828.5719999999992</v>
      </c>
      <c r="AL23" s="607">
        <f t="shared" si="4"/>
        <v>2302.6579999999999</v>
      </c>
      <c r="AM23" s="270"/>
      <c r="AN23" s="270">
        <f t="shared" si="26"/>
        <v>6253</v>
      </c>
      <c r="AO23" s="601">
        <f t="shared" si="27"/>
        <v>2886</v>
      </c>
      <c r="AP23" s="607">
        <f t="shared" si="5"/>
        <v>481</v>
      </c>
      <c r="AQ23" s="280">
        <f>TOTALS!F80/1000000-AU23</f>
        <v>24340.081535400001</v>
      </c>
      <c r="AR23" s="607">
        <f t="shared" si="28"/>
        <v>-3699.4315354000009</v>
      </c>
      <c r="AS23" s="607">
        <f t="shared" si="6"/>
        <v>1299.3500000000001</v>
      </c>
      <c r="AT23" s="280"/>
      <c r="AU23" s="280">
        <f>TOTALS!F80/1000000*0.4</f>
        <v>16226.721023600003</v>
      </c>
      <c r="AV23" s="607">
        <f t="shared" si="29"/>
        <v>24420.965027579998</v>
      </c>
      <c r="AW23" s="607">
        <f t="shared" si="30"/>
        <v>1285.31394882</v>
      </c>
      <c r="AX23" s="270"/>
      <c r="AY23" s="270">
        <f>'C10-Adj by Source'!AE20</f>
        <v>21408</v>
      </c>
      <c r="AZ23" s="270">
        <f>'C10-Adj by Source'!AU20</f>
        <v>27572</v>
      </c>
      <c r="BA23" s="607">
        <f t="shared" si="16"/>
        <v>75922</v>
      </c>
      <c r="BB23" s="607"/>
      <c r="BC23" s="280">
        <f t="shared" si="7"/>
        <v>-3307</v>
      </c>
      <c r="BD23" s="280"/>
      <c r="BE23" s="280">
        <f t="shared" si="8"/>
        <v>6788</v>
      </c>
      <c r="BF23" s="280"/>
      <c r="BG23" s="280">
        <f t="shared" si="9"/>
        <v>-2683</v>
      </c>
      <c r="BH23" s="270"/>
      <c r="BI23" s="280">
        <f>TOTALS!AD80/1000000+CE23</f>
        <v>25198.872654600273</v>
      </c>
      <c r="BJ23" s="280">
        <f t="shared" si="31"/>
        <v>24284.545762277732</v>
      </c>
      <c r="BK23" s="272"/>
      <c r="BL23" s="280">
        <f t="shared" si="32"/>
        <v>0</v>
      </c>
      <c r="BM23" s="863"/>
      <c r="BN23" s="270">
        <v>1350769</v>
      </c>
      <c r="BO23" s="270">
        <f t="shared" si="33"/>
        <v>1350769.412</v>
      </c>
      <c r="BP23" s="860">
        <f t="shared" si="34"/>
        <v>0.41200000001117587</v>
      </c>
      <c r="BQ23" s="860"/>
      <c r="BR23" s="270">
        <f t="shared" si="35"/>
        <v>7766.4184168780084</v>
      </c>
      <c r="BS23" s="270"/>
      <c r="BT23" s="270">
        <f t="shared" si="10"/>
        <v>41717</v>
      </c>
      <c r="BU23" s="270">
        <f t="shared" si="36"/>
        <v>1591.3391691479985</v>
      </c>
      <c r="BV23" s="270">
        <f t="shared" si="11"/>
        <v>6828.5719999999992</v>
      </c>
      <c r="BW23" s="280">
        <f t="shared" si="37"/>
        <v>2886</v>
      </c>
      <c r="BX23" s="607">
        <f t="shared" si="38"/>
        <v>-3699.4315354000009</v>
      </c>
      <c r="BY23" s="280">
        <f t="shared" si="39"/>
        <v>24420.965027579998</v>
      </c>
      <c r="BZ23" s="280">
        <f t="shared" si="40"/>
        <v>32027.444661327994</v>
      </c>
      <c r="CA23" s="280"/>
      <c r="CB23" s="270">
        <f>'C0-Ref Stats'!AJ20</f>
        <v>29807.112923001358</v>
      </c>
      <c r="CC23" s="270">
        <f t="shared" si="41"/>
        <v>17884.267753800814</v>
      </c>
      <c r="CD23" s="270">
        <f t="shared" si="42"/>
        <v>5961.4225846002719</v>
      </c>
      <c r="CE23" s="270">
        <f t="shared" si="43"/>
        <v>5961.4225846002719</v>
      </c>
      <c r="CF23" s="270"/>
      <c r="CG23" s="331">
        <f>ROUND('C12-CorpOwn'!R19,3)</f>
        <v>0.77</v>
      </c>
      <c r="CH23" s="331">
        <f>ROUND('C12-CorpOwn'!S19,3)</f>
        <v>0.17199999999999999</v>
      </c>
      <c r="CI23" s="331">
        <f>ROUND('C12-CorpOwn'!T19,3)</f>
        <v>5.8000000000000003E-2</v>
      </c>
      <c r="CJ23" s="270"/>
      <c r="CK23" s="270">
        <v>772282</v>
      </c>
      <c r="CL23" s="270">
        <v>73344</v>
      </c>
      <c r="CM23" s="270">
        <v>44694</v>
      </c>
      <c r="CN23" s="270">
        <v>23468</v>
      </c>
      <c r="CO23" s="270">
        <v>88745</v>
      </c>
      <c r="CP23" s="270">
        <v>52785</v>
      </c>
      <c r="CQ23" s="270">
        <v>33219</v>
      </c>
      <c r="CR23" s="270">
        <v>39701</v>
      </c>
      <c r="CS23" s="270">
        <v>73493</v>
      </c>
      <c r="CT23" s="270">
        <v>124902</v>
      </c>
      <c r="CU23" s="280">
        <v>-3307</v>
      </c>
      <c r="CV23" s="280">
        <v>6788</v>
      </c>
      <c r="CW23" s="280">
        <v>-2683</v>
      </c>
      <c r="CX23" s="280">
        <v>62196</v>
      </c>
      <c r="CY23" s="280">
        <v>58149</v>
      </c>
      <c r="CZ23" s="280">
        <f t="shared" si="12"/>
        <v>4047</v>
      </c>
      <c r="DA23" s="280">
        <v>49656</v>
      </c>
      <c r="DB23" s="280">
        <v>25987</v>
      </c>
      <c r="DC23" s="280">
        <v>9620</v>
      </c>
      <c r="DD23" s="270">
        <v>48160</v>
      </c>
      <c r="DE23" s="270">
        <v>48980</v>
      </c>
      <c r="DF23" s="270">
        <v>3953</v>
      </c>
      <c r="DG23" s="270">
        <v>8132</v>
      </c>
      <c r="DH23" s="270">
        <v>1546</v>
      </c>
      <c r="DI23" s="270">
        <v>1309</v>
      </c>
      <c r="DJ23" s="270">
        <f t="shared" si="17"/>
        <v>12822</v>
      </c>
      <c r="DK23" s="280">
        <v>29035</v>
      </c>
      <c r="DL23" s="270">
        <v>9620</v>
      </c>
      <c r="DM23" s="270">
        <v>7656</v>
      </c>
      <c r="DN23" s="270">
        <v>26827</v>
      </c>
      <c r="DO23" s="270">
        <v>5374</v>
      </c>
      <c r="DP23" s="270">
        <v>2728</v>
      </c>
      <c r="DQ23" s="270">
        <v>7446</v>
      </c>
      <c r="DR23" s="270"/>
      <c r="DS23" s="270">
        <v>8389</v>
      </c>
      <c r="DT23" s="272">
        <v>14949</v>
      </c>
      <c r="DU23" s="270">
        <v>99</v>
      </c>
      <c r="DV23" s="272"/>
      <c r="DW23" s="270">
        <f>TOTALS!S80/1000000</f>
        <v>18882.645062</v>
      </c>
      <c r="DX23" s="280">
        <f>TOTALS!$BC80/1000000</f>
        <v>2712.4848059999999</v>
      </c>
      <c r="DY23" s="280"/>
      <c r="DZ23" s="270">
        <f t="shared" si="44"/>
        <v>2983.7332866000002</v>
      </c>
      <c r="EA23" s="270"/>
      <c r="EB23" s="277">
        <v>126525</v>
      </c>
      <c r="EC23" s="607">
        <v>5550</v>
      </c>
      <c r="ED23" s="277">
        <v>20351</v>
      </c>
      <c r="EE23" s="280">
        <v>27572</v>
      </c>
      <c r="EF23" s="280"/>
    </row>
    <row r="24" spans="1:136" ht="10.5" customHeight="1" x14ac:dyDescent="0.3">
      <c r="A24" s="268">
        <v>1975</v>
      </c>
      <c r="B24" s="603">
        <f>'C1-Incomes'!EX23</f>
        <v>1451147.608</v>
      </c>
      <c r="C24" s="280">
        <f>(TOTALS!E81)/1000000+CC24-BS24</f>
        <v>813379.20055624633</v>
      </c>
      <c r="D24" s="601" t="s">
        <v>50</v>
      </c>
      <c r="E24" s="270">
        <f t="shared" si="18"/>
        <v>-6674.9925618087946</v>
      </c>
      <c r="F24" s="598"/>
      <c r="G24" s="270">
        <f t="shared" si="0"/>
        <v>37444</v>
      </c>
      <c r="H24" s="601" t="s">
        <v>50</v>
      </c>
      <c r="I24" s="270">
        <f t="shared" si="13"/>
        <v>46724</v>
      </c>
      <c r="J24" s="270"/>
      <c r="K24" s="270">
        <f>'T-T0'!G24</f>
        <v>1072.5465866562126</v>
      </c>
      <c r="L24" s="270">
        <f t="shared" si="19"/>
        <v>20926.453413343788</v>
      </c>
      <c r="M24" s="270"/>
      <c r="N24" s="280">
        <f>'T-T0'!I24</f>
        <v>39163.246657000003</v>
      </c>
      <c r="O24" s="280">
        <f>'T-T0'!J24</f>
        <v>15539.592368000001</v>
      </c>
      <c r="P24" s="280">
        <f t="shared" si="20"/>
        <v>7334.3444407487877</v>
      </c>
      <c r="Q24" s="280">
        <f t="shared" si="21"/>
        <v>34201.816534251207</v>
      </c>
      <c r="R24" s="270"/>
      <c r="S24" s="280">
        <f>TOTALS!U81/1000000</f>
        <v>9964.6810096000008</v>
      </c>
      <c r="T24" s="270">
        <f t="shared" si="22"/>
        <v>-1427.6810096000008</v>
      </c>
      <c r="U24" s="270">
        <f t="shared" si="14"/>
        <v>13900</v>
      </c>
      <c r="V24" s="270">
        <f t="shared" si="45"/>
        <v>92</v>
      </c>
      <c r="W24" s="270"/>
      <c r="X24" s="280">
        <f t="shared" si="1"/>
        <v>24112.788882124416</v>
      </c>
      <c r="Y24" s="280">
        <f>(CP24-AA24)*'C13-CapOwn'!N20</f>
        <v>19561.649263538417</v>
      </c>
      <c r="Z24" s="607">
        <f>(CP24-AA24)*'C13-CapOwn'!O20</f>
        <v>2589.5618543371684</v>
      </c>
      <c r="AA24" s="607">
        <f t="shared" si="15"/>
        <v>5382</v>
      </c>
      <c r="AB24" s="270"/>
      <c r="AC24" s="280">
        <f>TOTALS!H81/1000000</f>
        <v>27878.415185999998</v>
      </c>
      <c r="AD24" s="601">
        <f t="shared" si="23"/>
        <v>1127.3745294470023</v>
      </c>
      <c r="AE24" s="270">
        <f t="shared" si="2"/>
        <v>1765.2943564530001</v>
      </c>
      <c r="AF24" s="270"/>
      <c r="AG24" s="280">
        <f t="shared" si="24"/>
        <v>1989.923571</v>
      </c>
      <c r="AH24" s="280">
        <f t="shared" si="25"/>
        <v>198.99235710000016</v>
      </c>
      <c r="AI24" s="270"/>
      <c r="AJ24" s="270">
        <f>'C10-Adj by Source'!X21</f>
        <v>41069.521000000001</v>
      </c>
      <c r="AK24" s="601">
        <f t="shared" si="3"/>
        <v>10091.057999999999</v>
      </c>
      <c r="AL24" s="607">
        <f t="shared" si="4"/>
        <v>3092.4210000000003</v>
      </c>
      <c r="AM24" s="270"/>
      <c r="AN24" s="270">
        <f t="shared" si="26"/>
        <v>7191.6</v>
      </c>
      <c r="AO24" s="601">
        <f t="shared" si="27"/>
        <v>3319.2</v>
      </c>
      <c r="AP24" s="607">
        <f t="shared" si="5"/>
        <v>553.20000000000005</v>
      </c>
      <c r="AQ24" s="280">
        <f>TOTALS!F81/1000000-AU24</f>
        <v>26829.574803</v>
      </c>
      <c r="AR24" s="607">
        <f t="shared" si="28"/>
        <v>-3689.5248029999993</v>
      </c>
      <c r="AS24" s="607">
        <f t="shared" si="6"/>
        <v>1445.95</v>
      </c>
      <c r="AT24" s="280"/>
      <c r="AU24" s="280">
        <f>TOTALS!F81/1000000*0.4</f>
        <v>17886.383202000001</v>
      </c>
      <c r="AV24" s="607">
        <f t="shared" si="29"/>
        <v>30714.0859581</v>
      </c>
      <c r="AW24" s="607">
        <f t="shared" si="30"/>
        <v>1616.5308399000003</v>
      </c>
      <c r="AX24" s="270"/>
      <c r="AY24" s="270">
        <f>'C10-Adj by Source'!AE21</f>
        <v>23067</v>
      </c>
      <c r="AZ24" s="270">
        <f>'C10-Adj by Source'!AU21</f>
        <v>30317</v>
      </c>
      <c r="BA24" s="607">
        <f t="shared" si="16"/>
        <v>81908</v>
      </c>
      <c r="BB24" s="607"/>
      <c r="BC24" s="280">
        <f t="shared" si="7"/>
        <v>-4494</v>
      </c>
      <c r="BD24" s="280"/>
      <c r="BE24" s="280">
        <f t="shared" si="8"/>
        <v>9036</v>
      </c>
      <c r="BF24" s="280"/>
      <c r="BG24" s="280">
        <f t="shared" si="9"/>
        <v>-4354</v>
      </c>
      <c r="BH24" s="270"/>
      <c r="BI24" s="280">
        <f>TOTALS!AD81/1000000+CE24</f>
        <v>30984.375629748789</v>
      </c>
      <c r="BJ24" s="280">
        <f t="shared" si="31"/>
        <v>28318.416375813675</v>
      </c>
      <c r="BK24" s="272"/>
      <c r="BL24" s="280">
        <f t="shared" si="32"/>
        <v>0</v>
      </c>
      <c r="BM24" s="863"/>
      <c r="BN24" s="270">
        <v>1451148</v>
      </c>
      <c r="BO24" s="270">
        <f t="shared" si="33"/>
        <v>1451147.608</v>
      </c>
      <c r="BP24" s="860">
        <f t="shared" si="34"/>
        <v>-0.39199999999254942</v>
      </c>
      <c r="BQ24" s="860"/>
      <c r="BR24" s="270">
        <f t="shared" si="35"/>
        <v>8133.7920055624636</v>
      </c>
      <c r="BS24" s="270">
        <f>TOTALS!BP81/1000000</f>
        <v>3093.8438169999999</v>
      </c>
      <c r="BT24" s="270">
        <f t="shared" si="10"/>
        <v>51169</v>
      </c>
      <c r="BU24" s="270">
        <f t="shared" si="36"/>
        <v>1127.3745294470023</v>
      </c>
      <c r="BV24" s="270">
        <f t="shared" si="11"/>
        <v>10091.057999999999</v>
      </c>
      <c r="BW24" s="280">
        <f t="shared" si="37"/>
        <v>3319.2</v>
      </c>
      <c r="BX24" s="607">
        <f t="shared" si="38"/>
        <v>-3689.5248029999993</v>
      </c>
      <c r="BY24" s="280">
        <f t="shared" si="39"/>
        <v>30714.0859581</v>
      </c>
      <c r="BZ24" s="280">
        <f t="shared" si="40"/>
        <v>41562.193684547005</v>
      </c>
      <c r="CA24" s="280"/>
      <c r="CB24" s="270">
        <f>'C0-Ref Stats'!AJ21</f>
        <v>36671.722203743935</v>
      </c>
      <c r="CC24" s="270">
        <f t="shared" si="41"/>
        <v>22003.03332224636</v>
      </c>
      <c r="CD24" s="270">
        <f t="shared" si="42"/>
        <v>7334.3444407487877</v>
      </c>
      <c r="CE24" s="270">
        <f t="shared" si="43"/>
        <v>7334.3444407487877</v>
      </c>
      <c r="CF24" s="270"/>
      <c r="CG24" s="331">
        <f>ROUND('C12-CorpOwn'!R20,3)</f>
        <v>0.75600000000000001</v>
      </c>
      <c r="CH24" s="331">
        <f>ROUND('C12-CorpOwn'!S20,3)</f>
        <v>0.186</v>
      </c>
      <c r="CI24" s="331">
        <f>ROUND('C12-CorpOwn'!T20,3)</f>
        <v>5.7000000000000002E-2</v>
      </c>
      <c r="CJ24" s="270"/>
      <c r="CK24" s="270">
        <v>814838</v>
      </c>
      <c r="CL24" s="270">
        <v>88613</v>
      </c>
      <c r="CM24" s="270">
        <v>46724</v>
      </c>
      <c r="CN24" s="270">
        <v>21999</v>
      </c>
      <c r="CO24" s="270">
        <v>96239</v>
      </c>
      <c r="CP24" s="270">
        <v>51646</v>
      </c>
      <c r="CQ24" s="270">
        <v>32960</v>
      </c>
      <c r="CR24" s="270">
        <v>54253</v>
      </c>
      <c r="CS24" s="270">
        <v>85867</v>
      </c>
      <c r="CT24" s="270">
        <v>135292</v>
      </c>
      <c r="CU24" s="280">
        <v>-4494</v>
      </c>
      <c r="CV24" s="280">
        <v>9036</v>
      </c>
      <c r="CW24" s="280">
        <v>-4354</v>
      </c>
      <c r="CX24" s="280">
        <v>69194</v>
      </c>
      <c r="CY24" s="280">
        <v>64861</v>
      </c>
      <c r="CZ24" s="280">
        <f t="shared" si="12"/>
        <v>4333</v>
      </c>
      <c r="DA24" s="280">
        <v>55095</v>
      </c>
      <c r="DB24" s="280">
        <v>28919</v>
      </c>
      <c r="DC24" s="280">
        <v>11064</v>
      </c>
      <c r="DD24" s="270">
        <v>51703</v>
      </c>
      <c r="DE24" s="270">
        <v>53384</v>
      </c>
      <c r="DF24" s="270">
        <v>4070</v>
      </c>
      <c r="DG24" s="270">
        <v>8385</v>
      </c>
      <c r="DH24" s="270">
        <v>1862</v>
      </c>
      <c r="DI24" s="270">
        <v>1544</v>
      </c>
      <c r="DJ24" s="270">
        <f t="shared" si="17"/>
        <v>14344</v>
      </c>
      <c r="DK24" s="280">
        <v>32571</v>
      </c>
      <c r="DL24" s="270">
        <v>11064</v>
      </c>
      <c r="DM24" s="270">
        <v>7937</v>
      </c>
      <c r="DN24" s="270">
        <v>31409</v>
      </c>
      <c r="DO24" s="270">
        <v>5609</v>
      </c>
      <c r="DP24" s="270">
        <v>3065</v>
      </c>
      <c r="DQ24" s="270">
        <v>8579</v>
      </c>
      <c r="DR24" s="270"/>
      <c r="DS24" s="270">
        <v>8537</v>
      </c>
      <c r="DT24" s="272">
        <v>13992</v>
      </c>
      <c r="DU24" s="270">
        <v>92</v>
      </c>
      <c r="DV24" s="272"/>
      <c r="DW24" s="270">
        <f>TOTALS!S81/1000000</f>
        <v>17529.515939000001</v>
      </c>
      <c r="DX24" s="280">
        <f>TOTALS!$BC81/1000000</f>
        <v>1989.923571</v>
      </c>
      <c r="DY24" s="280"/>
      <c r="DZ24" s="270">
        <f t="shared" si="44"/>
        <v>2188.9159281000002</v>
      </c>
      <c r="EA24" s="270"/>
      <c r="EB24" s="277">
        <v>120730</v>
      </c>
      <c r="EC24" s="607">
        <v>5382</v>
      </c>
      <c r="ED24" s="277">
        <v>22453</v>
      </c>
      <c r="EE24" s="280">
        <v>30317</v>
      </c>
      <c r="EF24" s="280"/>
    </row>
    <row r="25" spans="1:136" ht="10.5" customHeight="1" x14ac:dyDescent="0.3">
      <c r="A25" s="268">
        <v>1976</v>
      </c>
      <c r="B25" s="603">
        <f>'C1-Incomes'!EX24</f>
        <v>1614768.9053</v>
      </c>
      <c r="C25" s="280">
        <f>(TOTALS!E82)/1000000+CC25-BS25</f>
        <v>901294.74857456412</v>
      </c>
      <c r="D25" s="601" t="s">
        <v>50</v>
      </c>
      <c r="E25" s="270">
        <f t="shared" si="18"/>
        <v>-10562.696060309758</v>
      </c>
      <c r="F25" s="598"/>
      <c r="G25" s="270">
        <f t="shared" si="0"/>
        <v>45978</v>
      </c>
      <c r="H25" s="601" t="s">
        <v>50</v>
      </c>
      <c r="I25" s="270">
        <f t="shared" si="13"/>
        <v>54398</v>
      </c>
      <c r="J25" s="270"/>
      <c r="K25" s="270">
        <f>'T-T0'!G25</f>
        <v>198.24648939332019</v>
      </c>
      <c r="L25" s="270">
        <f t="shared" si="19"/>
        <v>17011.753510606679</v>
      </c>
      <c r="M25" s="270"/>
      <c r="N25" s="280">
        <f>'T-T0'!I25</f>
        <v>44073.815000000002</v>
      </c>
      <c r="O25" s="280">
        <f>'T-T0'!J25</f>
        <v>16990.936427299999</v>
      </c>
      <c r="P25" s="280">
        <f t="shared" si="20"/>
        <v>8026.0771540213527</v>
      </c>
      <c r="Q25" s="280">
        <f t="shared" si="21"/>
        <v>44673.171418678648</v>
      </c>
      <c r="R25" s="270"/>
      <c r="S25" s="280">
        <f>TOTALS!U82/1000000</f>
        <v>10898.01993</v>
      </c>
      <c r="T25" s="270">
        <f t="shared" si="22"/>
        <v>-2363.0199300000004</v>
      </c>
      <c r="U25" s="270">
        <f t="shared" si="14"/>
        <v>11999</v>
      </c>
      <c r="V25" s="270">
        <f t="shared" si="45"/>
        <v>89</v>
      </c>
      <c r="W25" s="270"/>
      <c r="X25" s="280">
        <f t="shared" si="1"/>
        <v>31781.717044765574</v>
      </c>
      <c r="Y25" s="280">
        <f>(CP25-AA25)*'C13-CapOwn'!N21</f>
        <v>24388.596060092095</v>
      </c>
      <c r="Z25" s="607">
        <f>(CP25-AA25)*'C13-CapOwn'!O21</f>
        <v>3247.6868951423312</v>
      </c>
      <c r="AA25" s="607">
        <f t="shared" si="15"/>
        <v>5870</v>
      </c>
      <c r="AB25" s="270"/>
      <c r="AC25" s="280">
        <f>TOTALS!H82/1000000</f>
        <v>30989.453348999999</v>
      </c>
      <c r="AD25" s="601">
        <f t="shared" si="23"/>
        <v>3870.424383391904</v>
      </c>
      <c r="AE25" s="270">
        <f t="shared" si="2"/>
        <v>2118.3056862381004</v>
      </c>
      <c r="AF25" s="270"/>
      <c r="AG25" s="280">
        <f t="shared" si="24"/>
        <v>1850.7423467000001</v>
      </c>
      <c r="AH25" s="280">
        <f t="shared" si="25"/>
        <v>185.07423467000012</v>
      </c>
      <c r="AI25" s="270"/>
      <c r="AJ25" s="270">
        <f>'C10-Adj by Source'!X22</f>
        <v>53577.54</v>
      </c>
      <c r="AK25" s="601">
        <f t="shared" si="3"/>
        <v>12466.407999999999</v>
      </c>
      <c r="AL25" s="607">
        <f t="shared" si="4"/>
        <v>3992.0520000000001</v>
      </c>
      <c r="AM25" s="270"/>
      <c r="AN25" s="270">
        <f t="shared" si="26"/>
        <v>8132.1500000000005</v>
      </c>
      <c r="AO25" s="601">
        <f t="shared" si="27"/>
        <v>3753.2999999999993</v>
      </c>
      <c r="AP25" s="607">
        <f t="shared" si="5"/>
        <v>625.55000000000007</v>
      </c>
      <c r="AQ25" s="280">
        <f>TOTALS!F82/1000000-AU25</f>
        <v>30334.380677399997</v>
      </c>
      <c r="AR25" s="607">
        <f t="shared" si="28"/>
        <v>-2517.180677399997</v>
      </c>
      <c r="AS25" s="607">
        <f t="shared" si="6"/>
        <v>1688.8000000000002</v>
      </c>
      <c r="AT25" s="280"/>
      <c r="AU25" s="280">
        <f>TOTALS!F82/1000000*0.4</f>
        <v>20222.920451600003</v>
      </c>
      <c r="AV25" s="607">
        <f t="shared" si="29"/>
        <v>26283.725570979997</v>
      </c>
      <c r="AW25" s="607">
        <f t="shared" si="30"/>
        <v>1383.3539774199999</v>
      </c>
      <c r="AX25" s="270"/>
      <c r="AY25" s="270">
        <f>'C10-Adj by Source'!AE22</f>
        <v>24881</v>
      </c>
      <c r="AZ25" s="270">
        <f>'C10-Adj by Source'!AU22</f>
        <v>33366</v>
      </c>
      <c r="BA25" s="607">
        <f t="shared" si="16"/>
        <v>88141</v>
      </c>
      <c r="BB25" s="607"/>
      <c r="BC25" s="280">
        <f t="shared" si="7"/>
        <v>-5125</v>
      </c>
      <c r="BD25" s="280"/>
      <c r="BE25" s="280">
        <f t="shared" si="8"/>
        <v>9136</v>
      </c>
      <c r="BF25" s="280"/>
      <c r="BG25" s="280">
        <f t="shared" si="9"/>
        <v>-2706</v>
      </c>
      <c r="BH25" s="270"/>
      <c r="BI25" s="280">
        <f>TOTALS!AD82/1000000+CE25</f>
        <v>34689.864400021354</v>
      </c>
      <c r="BJ25" s="280">
        <f t="shared" si="31"/>
        <v>25436.083085724284</v>
      </c>
      <c r="BK25" s="272"/>
      <c r="BL25" s="280">
        <f t="shared" si="32"/>
        <v>-2</v>
      </c>
      <c r="BM25" s="863"/>
      <c r="BN25" s="270">
        <v>1614767</v>
      </c>
      <c r="BO25" s="270">
        <f t="shared" si="33"/>
        <v>1614768.9053</v>
      </c>
      <c r="BP25" s="860">
        <f t="shared" si="34"/>
        <v>1.9052999999839813</v>
      </c>
      <c r="BQ25" s="860"/>
      <c r="BR25" s="270">
        <f t="shared" si="35"/>
        <v>9012.9474857456407</v>
      </c>
      <c r="BS25" s="270">
        <f>TOTALS!BP82/1000000</f>
        <v>1960.2768325</v>
      </c>
      <c r="BT25" s="270">
        <f t="shared" si="10"/>
        <v>51113</v>
      </c>
      <c r="BU25" s="270">
        <f t="shared" si="36"/>
        <v>3870.424383391904</v>
      </c>
      <c r="BV25" s="270">
        <f t="shared" si="11"/>
        <v>12466.407999999999</v>
      </c>
      <c r="BW25" s="280">
        <f t="shared" si="37"/>
        <v>3753.2999999999993</v>
      </c>
      <c r="BX25" s="607">
        <f t="shared" si="38"/>
        <v>-2517.180677399997</v>
      </c>
      <c r="BY25" s="280">
        <f t="shared" si="39"/>
        <v>26283.725570979997</v>
      </c>
      <c r="BZ25" s="280">
        <f t="shared" si="40"/>
        <v>43856.677276971903</v>
      </c>
      <c r="CA25" s="280"/>
      <c r="CB25" s="270">
        <f>'C0-Ref Stats'!AJ22</f>
        <v>40130.385770106754</v>
      </c>
      <c r="CC25" s="270">
        <f t="shared" si="41"/>
        <v>24078.23146206405</v>
      </c>
      <c r="CD25" s="270">
        <f t="shared" si="42"/>
        <v>8026.0771540213527</v>
      </c>
      <c r="CE25" s="270">
        <f t="shared" si="43"/>
        <v>8026.0771540213509</v>
      </c>
      <c r="CF25" s="270"/>
      <c r="CG25" s="331">
        <f>ROUND('C12-CorpOwn'!R21,3)</f>
        <v>0.76500000000000001</v>
      </c>
      <c r="CH25" s="331">
        <f>ROUND('C12-CorpOwn'!S21,3)</f>
        <v>0.17799999999999999</v>
      </c>
      <c r="CI25" s="331">
        <f>ROUND('C12-CorpOwn'!T21,3)</f>
        <v>5.7000000000000002E-2</v>
      </c>
      <c r="CJ25" s="270"/>
      <c r="CK25" s="270">
        <v>899745</v>
      </c>
      <c r="CL25" s="270">
        <v>97091</v>
      </c>
      <c r="CM25" s="270">
        <v>54398</v>
      </c>
      <c r="CN25" s="270">
        <v>17210</v>
      </c>
      <c r="CO25" s="270">
        <v>113764</v>
      </c>
      <c r="CP25" s="270">
        <v>65288</v>
      </c>
      <c r="CQ25" s="270">
        <v>39014</v>
      </c>
      <c r="CR25" s="270">
        <v>70036</v>
      </c>
      <c r="CS25" s="270">
        <v>89907</v>
      </c>
      <c r="CT25" s="270">
        <v>146388</v>
      </c>
      <c r="CU25" s="280">
        <v>-5125</v>
      </c>
      <c r="CV25" s="280">
        <v>9136</v>
      </c>
      <c r="CW25" s="280">
        <v>-2706</v>
      </c>
      <c r="CX25" s="280">
        <v>76448</v>
      </c>
      <c r="CY25" s="280">
        <v>72178</v>
      </c>
      <c r="CZ25" s="280">
        <f t="shared" si="12"/>
        <v>4270</v>
      </c>
      <c r="DA25" s="280">
        <v>62248</v>
      </c>
      <c r="DB25" s="280">
        <v>33776</v>
      </c>
      <c r="DC25" s="280">
        <v>12511</v>
      </c>
      <c r="DD25" s="270">
        <v>57760</v>
      </c>
      <c r="DE25" s="270">
        <v>58247</v>
      </c>
      <c r="DF25" s="270">
        <v>4264</v>
      </c>
      <c r="DG25" s="270">
        <v>8961</v>
      </c>
      <c r="DH25" s="270">
        <v>2111</v>
      </c>
      <c r="DI25" s="270">
        <v>1771</v>
      </c>
      <c r="DJ25" s="270">
        <f t="shared" si="17"/>
        <v>13274</v>
      </c>
      <c r="DK25" s="280">
        <v>37470</v>
      </c>
      <c r="DL25" s="270">
        <v>12511</v>
      </c>
      <c r="DM25" s="270">
        <v>7645</v>
      </c>
      <c r="DN25" s="270">
        <v>38554</v>
      </c>
      <c r="DO25" s="270">
        <v>6225</v>
      </c>
      <c r="DP25" s="270">
        <v>3114</v>
      </c>
      <c r="DQ25" s="270">
        <v>10535</v>
      </c>
      <c r="DR25" s="270"/>
      <c r="DS25" s="270">
        <v>8535</v>
      </c>
      <c r="DT25" s="272">
        <v>12088</v>
      </c>
      <c r="DU25" s="270">
        <v>89</v>
      </c>
      <c r="DV25" s="272"/>
      <c r="DW25" s="270">
        <f>TOTALS!S82/1000000</f>
        <v>18841.678774</v>
      </c>
      <c r="DX25" s="280">
        <f>TOTALS!$BC82/1000000</f>
        <v>1850.7423467000001</v>
      </c>
      <c r="DY25" s="280"/>
      <c r="DZ25" s="270">
        <f t="shared" si="44"/>
        <v>2035.8165813700002</v>
      </c>
      <c r="EA25" s="270"/>
      <c r="EB25" s="277">
        <v>141597</v>
      </c>
      <c r="EC25" s="607">
        <v>5870</v>
      </c>
      <c r="ED25" s="277">
        <v>26259</v>
      </c>
      <c r="EE25" s="280">
        <v>33366</v>
      </c>
      <c r="EF25" s="280"/>
    </row>
    <row r="26" spans="1:136" ht="10.5" customHeight="1" x14ac:dyDescent="0.3">
      <c r="A26" s="268">
        <v>1977</v>
      </c>
      <c r="B26" s="603">
        <f>'C1-Incomes'!EX25</f>
        <v>1798653.4867</v>
      </c>
      <c r="C26" s="280">
        <f>(TOTALS!E83)/1000000+CC26-BS26</f>
        <v>989069.51831285527</v>
      </c>
      <c r="D26" s="601" t="s">
        <v>50</v>
      </c>
      <c r="E26" s="270">
        <f t="shared" si="18"/>
        <v>-4802.2134959838277</v>
      </c>
      <c r="F26" s="598"/>
      <c r="G26" s="270">
        <f t="shared" si="0"/>
        <v>55513</v>
      </c>
      <c r="H26" s="601" t="s">
        <v>50</v>
      </c>
      <c r="I26" s="270">
        <f t="shared" si="13"/>
        <v>61104</v>
      </c>
      <c r="J26" s="270"/>
      <c r="K26" s="270">
        <f>'T-T0'!G26</f>
        <v>-4174.2000580924332</v>
      </c>
      <c r="L26" s="270">
        <f t="shared" si="19"/>
        <v>20138.200058092432</v>
      </c>
      <c r="M26" s="270"/>
      <c r="N26" s="280">
        <f>'T-T0'!I26</f>
        <v>49022.194567999999</v>
      </c>
      <c r="O26" s="280">
        <f>'T-T0'!J26</f>
        <v>18532.344893000001</v>
      </c>
      <c r="P26" s="280">
        <f t="shared" si="20"/>
        <v>8603.7083666184262</v>
      </c>
      <c r="Q26" s="280">
        <f t="shared" si="21"/>
        <v>52369.752172381566</v>
      </c>
      <c r="R26" s="270"/>
      <c r="S26" s="280">
        <f>TOTALS!U83/1000000</f>
        <v>10263.12062</v>
      </c>
      <c r="T26" s="270">
        <f t="shared" si="22"/>
        <v>-1276.1206199999997</v>
      </c>
      <c r="U26" s="270">
        <f t="shared" si="14"/>
        <v>7048</v>
      </c>
      <c r="V26" s="270">
        <f t="shared" si="45"/>
        <v>160</v>
      </c>
      <c r="W26" s="270"/>
      <c r="X26" s="280">
        <f t="shared" si="1"/>
        <v>33725.390108972904</v>
      </c>
      <c r="Y26" s="280">
        <f>(CP26-AA26)*'C13-CapOwn'!N22</f>
        <v>31043.456216485825</v>
      </c>
      <c r="Z26" s="607">
        <f>(CP26-AA26)*'C13-CapOwn'!O22</f>
        <v>3735.1536745412768</v>
      </c>
      <c r="AA26" s="607">
        <f t="shared" si="15"/>
        <v>5937</v>
      </c>
      <c r="AB26" s="270"/>
      <c r="AC26" s="280">
        <f>TOTALS!H83/1000000</f>
        <v>33715.975324999999</v>
      </c>
      <c r="AD26" s="601">
        <f t="shared" si="23"/>
        <v>6424.2389008880009</v>
      </c>
      <c r="AE26" s="270">
        <f t="shared" si="2"/>
        <v>2483.4862045119999</v>
      </c>
      <c r="AF26" s="270"/>
      <c r="AG26" s="280">
        <f t="shared" si="24"/>
        <v>1950.272336</v>
      </c>
      <c r="AH26" s="280">
        <f t="shared" si="25"/>
        <v>195.02723360000027</v>
      </c>
      <c r="AI26" s="270"/>
      <c r="AJ26" s="270">
        <f>'C10-Adj by Source'!X23</f>
        <v>64150.592999999986</v>
      </c>
      <c r="AK26" s="601">
        <f t="shared" si="3"/>
        <v>17401.173000000003</v>
      </c>
      <c r="AL26" s="607">
        <f t="shared" si="4"/>
        <v>5021.2340000000004</v>
      </c>
      <c r="AM26" s="270"/>
      <c r="AN26" s="270">
        <f t="shared" si="26"/>
        <v>8893.3000000000011</v>
      </c>
      <c r="AO26" s="601">
        <f t="shared" si="27"/>
        <v>4104.5999999999985</v>
      </c>
      <c r="AP26" s="607">
        <f t="shared" si="5"/>
        <v>684.1</v>
      </c>
      <c r="AQ26" s="280">
        <f>TOTALS!F83/1000000-AU26</f>
        <v>34189.939581600003</v>
      </c>
      <c r="AR26" s="607">
        <f t="shared" si="28"/>
        <v>-4151.5395816000037</v>
      </c>
      <c r="AS26" s="607">
        <f t="shared" si="6"/>
        <v>1856.6000000000001</v>
      </c>
      <c r="AT26" s="280"/>
      <c r="AU26" s="280">
        <f>TOTALS!F83/1000000*0.4</f>
        <v>22793.293054400001</v>
      </c>
      <c r="AV26" s="607">
        <f t="shared" si="29"/>
        <v>35641.821598319992</v>
      </c>
      <c r="AW26" s="607">
        <f t="shared" si="30"/>
        <v>1875.8853472800001</v>
      </c>
      <c r="AX26" s="270"/>
      <c r="AY26" s="270">
        <f>'C10-Adj by Source'!AE23</f>
        <v>26646</v>
      </c>
      <c r="AZ26" s="270">
        <f>'C10-Adj by Source'!AU23</f>
        <v>36554</v>
      </c>
      <c r="BA26" s="607">
        <f t="shared" si="16"/>
        <v>96464</v>
      </c>
      <c r="BB26" s="607"/>
      <c r="BC26" s="280">
        <f t="shared" si="7"/>
        <v>-7100</v>
      </c>
      <c r="BD26" s="280"/>
      <c r="BE26" s="280">
        <f t="shared" si="8"/>
        <v>8081</v>
      </c>
      <c r="BF26" s="280"/>
      <c r="BG26" s="280">
        <f t="shared" si="9"/>
        <v>-3334</v>
      </c>
      <c r="BH26" s="270"/>
      <c r="BI26" s="280">
        <f>TOTALS!AD83/1000000+CE26</f>
        <v>41806.25250061843</v>
      </c>
      <c r="BJ26" s="280">
        <f t="shared" si="31"/>
        <v>26294.442682510125</v>
      </c>
      <c r="BK26" s="272"/>
      <c r="BL26" s="280">
        <f t="shared" si="32"/>
        <v>-1.0000000004656613</v>
      </c>
      <c r="BM26" s="863"/>
      <c r="BN26" s="270">
        <v>1798653</v>
      </c>
      <c r="BO26" s="270">
        <f t="shared" si="33"/>
        <v>1798653.4867</v>
      </c>
      <c r="BP26" s="860">
        <f t="shared" si="34"/>
        <v>0.48670000000856817</v>
      </c>
      <c r="BQ26" s="860"/>
      <c r="BR26" s="270">
        <f t="shared" si="35"/>
        <v>9890.6951831285533</v>
      </c>
      <c r="BS26" s="270">
        <f>TOTALS!BP83/1000000</f>
        <v>4285.3805179999999</v>
      </c>
      <c r="BT26" s="270">
        <f t="shared" si="10"/>
        <v>58210</v>
      </c>
      <c r="BU26" s="270">
        <f t="shared" si="36"/>
        <v>6424.2389008880009</v>
      </c>
      <c r="BV26" s="270">
        <f t="shared" si="11"/>
        <v>17401.173000000003</v>
      </c>
      <c r="BW26" s="280">
        <f t="shared" si="37"/>
        <v>4104.5999999999985</v>
      </c>
      <c r="BX26" s="607">
        <f t="shared" si="38"/>
        <v>-4151.5395816000037</v>
      </c>
      <c r="BY26" s="280">
        <f t="shared" si="39"/>
        <v>35641.821598319992</v>
      </c>
      <c r="BZ26" s="280">
        <f t="shared" si="40"/>
        <v>59420.293917607989</v>
      </c>
      <c r="CA26" s="280"/>
      <c r="CB26" s="270">
        <f>'C0-Ref Stats'!AJ23</f>
        <v>43018.541833092131</v>
      </c>
      <c r="CC26" s="270">
        <f t="shared" si="41"/>
        <v>25811.125099855279</v>
      </c>
      <c r="CD26" s="270">
        <f t="shared" si="42"/>
        <v>8603.7083666184262</v>
      </c>
      <c r="CE26" s="270">
        <f t="shared" si="43"/>
        <v>8603.7083666184262</v>
      </c>
      <c r="CF26" s="270"/>
      <c r="CG26" s="331">
        <f>ROUND('C12-CorpOwn'!R22,3)</f>
        <v>0.74099999999999999</v>
      </c>
      <c r="CH26" s="331">
        <f>ROUND('C12-CorpOwn'!S22,3)</f>
        <v>0.20100000000000001</v>
      </c>
      <c r="CI26" s="331">
        <f>ROUND('C12-CorpOwn'!T22,3)</f>
        <v>5.8000000000000003E-2</v>
      </c>
      <c r="CJ26" s="270"/>
      <c r="CK26" s="270">
        <v>994158</v>
      </c>
      <c r="CL26" s="270">
        <v>113723</v>
      </c>
      <c r="CM26" s="270">
        <v>61104</v>
      </c>
      <c r="CN26" s="270">
        <v>15964</v>
      </c>
      <c r="CO26" s="270">
        <v>128528</v>
      </c>
      <c r="CP26" s="270">
        <v>74441</v>
      </c>
      <c r="CQ26" s="270">
        <v>44769</v>
      </c>
      <c r="CR26" s="270">
        <v>86573</v>
      </c>
      <c r="CS26" s="270">
        <v>105888</v>
      </c>
      <c r="CT26" s="270">
        <v>159664</v>
      </c>
      <c r="CU26" s="280">
        <v>-7100</v>
      </c>
      <c r="CV26" s="280">
        <v>8081</v>
      </c>
      <c r="CW26" s="280">
        <v>-3334</v>
      </c>
      <c r="CX26" s="280">
        <v>84476</v>
      </c>
      <c r="CY26" s="280">
        <v>79239</v>
      </c>
      <c r="CZ26" s="280">
        <f t="shared" si="12"/>
        <v>5237</v>
      </c>
      <c r="DA26" s="280">
        <v>68328</v>
      </c>
      <c r="DB26" s="280">
        <v>37132</v>
      </c>
      <c r="DC26" s="280">
        <v>13682</v>
      </c>
      <c r="DD26" s="270">
        <v>64018</v>
      </c>
      <c r="DE26" s="270">
        <v>63200</v>
      </c>
      <c r="DF26" s="270">
        <v>4387</v>
      </c>
      <c r="DG26" s="270">
        <v>9315</v>
      </c>
      <c r="DH26" s="270">
        <v>2395</v>
      </c>
      <c r="DI26" s="270">
        <v>2038</v>
      </c>
      <c r="DJ26" s="270">
        <f t="shared" si="17"/>
        <v>14311</v>
      </c>
      <c r="DK26" s="280">
        <v>44495</v>
      </c>
      <c r="DL26" s="270">
        <v>13682</v>
      </c>
      <c r="DM26" s="270">
        <v>8749</v>
      </c>
      <c r="DN26" s="270">
        <v>45972</v>
      </c>
      <c r="DO26" s="270">
        <v>6892</v>
      </c>
      <c r="DP26" s="270">
        <v>3331</v>
      </c>
      <c r="DQ26" s="270">
        <v>13102</v>
      </c>
      <c r="DR26" s="270"/>
      <c r="DS26" s="270">
        <v>8987</v>
      </c>
      <c r="DT26" s="272">
        <v>7208</v>
      </c>
      <c r="DU26" s="270">
        <v>160</v>
      </c>
      <c r="DV26" s="272"/>
      <c r="DW26" s="270">
        <f>TOTALS!S83/1000000</f>
        <v>20482.617228999999</v>
      </c>
      <c r="DX26" s="280">
        <f>TOTALS!$BC83/1000000</f>
        <v>1950.272336</v>
      </c>
      <c r="DY26" s="280"/>
      <c r="DZ26" s="270">
        <f t="shared" si="44"/>
        <v>2145.2995696000003</v>
      </c>
      <c r="EA26" s="270"/>
      <c r="EB26" s="277">
        <v>162513</v>
      </c>
      <c r="EC26" s="607">
        <v>5937</v>
      </c>
      <c r="ED26" s="277">
        <v>30385</v>
      </c>
      <c r="EE26" s="280">
        <v>36554</v>
      </c>
      <c r="EF26" s="280"/>
    </row>
    <row r="27" spans="1:136" ht="10.5" customHeight="1" x14ac:dyDescent="0.3">
      <c r="A27" s="268">
        <v>1978</v>
      </c>
      <c r="B27" s="603">
        <f>'C1-Incomes'!EX26</f>
        <v>2029937.6701</v>
      </c>
      <c r="C27" s="280">
        <f>(TOTALS!E84)/1000000+CC27-BS27</f>
        <v>1111390.2829607814</v>
      </c>
      <c r="D27" s="601" t="s">
        <v>50</v>
      </c>
      <c r="E27" s="270">
        <f t="shared" si="18"/>
        <v>-1934.185790389176</v>
      </c>
      <c r="F27" s="598"/>
      <c r="G27" s="270">
        <f t="shared" si="0"/>
        <v>65736</v>
      </c>
      <c r="H27" s="601" t="s">
        <v>50</v>
      </c>
      <c r="I27" s="270">
        <f t="shared" si="13"/>
        <v>71528</v>
      </c>
      <c r="J27" s="270"/>
      <c r="K27" s="270">
        <f>'T-T0'!G27</f>
        <v>-1363.2431981687173</v>
      </c>
      <c r="L27" s="270">
        <f t="shared" si="19"/>
        <v>21285.243198168719</v>
      </c>
      <c r="M27" s="270"/>
      <c r="N27" s="280">
        <f>'T-T0'!I27</f>
        <v>53035.114587999997</v>
      </c>
      <c r="O27" s="280">
        <f>'T-T0'!J27</f>
        <v>21086.777488</v>
      </c>
      <c r="P27" s="280">
        <f t="shared" si="20"/>
        <v>9413.7139866937086</v>
      </c>
      <c r="Q27" s="280">
        <f t="shared" si="21"/>
        <v>62516.393937306304</v>
      </c>
      <c r="R27" s="270"/>
      <c r="S27" s="280">
        <f>TOTALS!U84/1000000</f>
        <v>11145.647894</v>
      </c>
      <c r="T27" s="270">
        <f t="shared" si="22"/>
        <v>-1544.6478939999997</v>
      </c>
      <c r="U27" s="270">
        <f t="shared" si="14"/>
        <v>7139</v>
      </c>
      <c r="V27" s="270">
        <f t="shared" si="45"/>
        <v>170</v>
      </c>
      <c r="W27" s="270"/>
      <c r="X27" s="280">
        <f t="shared" si="1"/>
        <v>36691.743533380926</v>
      </c>
      <c r="Y27" s="280">
        <f>(CP27-AA27)*'C13-CapOwn'!N23</f>
        <v>36897.908169442773</v>
      </c>
      <c r="Z27" s="607">
        <f>(CP27-AA27)*'C13-CapOwn'!O23</f>
        <v>4262.3482971762987</v>
      </c>
      <c r="AA27" s="607">
        <f t="shared" si="15"/>
        <v>7006</v>
      </c>
      <c r="AB27" s="270"/>
      <c r="AC27" s="280">
        <f>TOTALS!H84/1000000</f>
        <v>37619.598560999999</v>
      </c>
      <c r="AD27" s="601">
        <f t="shared" si="23"/>
        <v>7933.6713720120006</v>
      </c>
      <c r="AE27" s="270">
        <f t="shared" si="2"/>
        <v>2818.319631588</v>
      </c>
      <c r="AF27" s="270"/>
      <c r="AG27" s="280">
        <f t="shared" si="24"/>
        <v>2201.2822139999998</v>
      </c>
      <c r="AH27" s="280">
        <f t="shared" si="25"/>
        <v>220.12822140000026</v>
      </c>
      <c r="AI27" s="270"/>
      <c r="AJ27" s="270">
        <f>'C10-Adj by Source'!X24</f>
        <v>73380.534</v>
      </c>
      <c r="AK27" s="601">
        <f t="shared" si="3"/>
        <v>23568.222000000002</v>
      </c>
      <c r="AL27" s="607">
        <f t="shared" si="4"/>
        <v>5969.2440000000006</v>
      </c>
      <c r="AM27" s="270"/>
      <c r="AN27" s="270">
        <f t="shared" si="26"/>
        <v>9683.7000000000007</v>
      </c>
      <c r="AO27" s="601">
        <f t="shared" si="27"/>
        <v>4469.3999999999996</v>
      </c>
      <c r="AP27" s="607">
        <f t="shared" si="5"/>
        <v>744.90000000000009</v>
      </c>
      <c r="AQ27" s="280">
        <f>TOTALS!F84/1000000-AU27</f>
        <v>38375.473140000002</v>
      </c>
      <c r="AR27" s="607">
        <f t="shared" si="28"/>
        <v>-3535.4731400000019</v>
      </c>
      <c r="AS27" s="607">
        <f t="shared" si="6"/>
        <v>2267</v>
      </c>
      <c r="AT27" s="280"/>
      <c r="AU27" s="280">
        <f>TOTALS!F84/1000000*0.4</f>
        <v>25583.64876</v>
      </c>
      <c r="AV27" s="607">
        <f t="shared" si="29"/>
        <v>39123.233678000019</v>
      </c>
      <c r="AW27" s="607">
        <f t="shared" si="30"/>
        <v>2059.1175620000004</v>
      </c>
      <c r="AX27" s="270"/>
      <c r="AY27" s="270">
        <f>'C10-Adj by Source'!AE24</f>
        <v>26498</v>
      </c>
      <c r="AZ27" s="270">
        <f>'C10-Adj by Source'!AU24</f>
        <v>37250</v>
      </c>
      <c r="BA27" s="607">
        <f t="shared" si="16"/>
        <v>107150</v>
      </c>
      <c r="BB27" s="607"/>
      <c r="BC27" s="280">
        <f t="shared" si="7"/>
        <v>-8936</v>
      </c>
      <c r="BD27" s="280"/>
      <c r="BE27" s="280">
        <f t="shared" si="8"/>
        <v>10374</v>
      </c>
      <c r="BF27" s="280"/>
      <c r="BG27" s="280">
        <f t="shared" si="9"/>
        <v>-2847</v>
      </c>
      <c r="BH27" s="270"/>
      <c r="BI27" s="280">
        <f>TOTALS!AD84/1000000+CE27</f>
        <v>45978.910105693707</v>
      </c>
      <c r="BJ27" s="280">
        <f t="shared" si="31"/>
        <v>27525.992723914111</v>
      </c>
      <c r="BK27" s="272"/>
      <c r="BL27" s="280">
        <f t="shared" si="32"/>
        <v>1.0000000002328306</v>
      </c>
      <c r="BM27" s="863"/>
      <c r="BN27" s="270">
        <v>2029939</v>
      </c>
      <c r="BO27" s="270">
        <f t="shared" si="33"/>
        <v>2029937.6701</v>
      </c>
      <c r="BP27" s="860">
        <f t="shared" si="34"/>
        <v>-1.3299000000115484</v>
      </c>
      <c r="BQ27" s="860"/>
      <c r="BR27" s="270">
        <f t="shared" si="35"/>
        <v>11113.902829607814</v>
      </c>
      <c r="BS27" s="270">
        <f>TOTALS!BP84/1000000</f>
        <v>4952.4589993</v>
      </c>
      <c r="BT27" s="270">
        <f t="shared" si="10"/>
        <v>62391</v>
      </c>
      <c r="BU27" s="270">
        <f t="shared" si="36"/>
        <v>7933.6713720120006</v>
      </c>
      <c r="BV27" s="270">
        <f t="shared" si="11"/>
        <v>23568.222000000002</v>
      </c>
      <c r="BW27" s="280">
        <f t="shared" si="37"/>
        <v>4469.3999999999996</v>
      </c>
      <c r="BX27" s="607">
        <f t="shared" si="38"/>
        <v>-3535.4731400000019</v>
      </c>
      <c r="BY27" s="280">
        <f t="shared" si="39"/>
        <v>39123.233678000019</v>
      </c>
      <c r="BZ27" s="280">
        <f t="shared" si="40"/>
        <v>71559.053910012022</v>
      </c>
      <c r="CA27" s="280"/>
      <c r="CB27" s="270">
        <f>'C0-Ref Stats'!AJ24</f>
        <v>47068.569933468541</v>
      </c>
      <c r="CC27" s="270">
        <f t="shared" si="41"/>
        <v>28241.141960081124</v>
      </c>
      <c r="CD27" s="270">
        <f t="shared" si="42"/>
        <v>9413.7139866937086</v>
      </c>
      <c r="CE27" s="270">
        <f t="shared" si="43"/>
        <v>9413.7139866937086</v>
      </c>
      <c r="CF27" s="270"/>
      <c r="CG27" s="331">
        <f>ROUND('C12-CorpOwn'!R23,3)</f>
        <v>0.71299999999999997</v>
      </c>
      <c r="CH27" s="331">
        <f>ROUND('C12-CorpOwn'!S23,3)</f>
        <v>0.22900000000000001</v>
      </c>
      <c r="CI27" s="331">
        <f>ROUND('C12-CorpOwn'!T23,3)</f>
        <v>5.8000000000000003E-2</v>
      </c>
      <c r="CJ27" s="270"/>
      <c r="CK27" s="270">
        <v>1120570</v>
      </c>
      <c r="CL27" s="270">
        <v>128127</v>
      </c>
      <c r="CM27" s="270">
        <v>71528</v>
      </c>
      <c r="CN27" s="270">
        <v>19922</v>
      </c>
      <c r="CO27" s="270">
        <v>146052</v>
      </c>
      <c r="CP27" s="270">
        <v>84858</v>
      </c>
      <c r="CQ27" s="270">
        <v>50793</v>
      </c>
      <c r="CR27" s="270">
        <v>102918</v>
      </c>
      <c r="CS27" s="270">
        <v>118771</v>
      </c>
      <c r="CT27" s="270">
        <v>170898</v>
      </c>
      <c r="CU27" s="280">
        <v>-8936</v>
      </c>
      <c r="CV27" s="280">
        <v>10374</v>
      </c>
      <c r="CW27" s="280">
        <v>-2847</v>
      </c>
      <c r="CX27" s="280">
        <v>100119</v>
      </c>
      <c r="CY27" s="280">
        <v>91886</v>
      </c>
      <c r="CZ27" s="280">
        <f t="shared" si="12"/>
        <v>8233</v>
      </c>
      <c r="DA27" s="280">
        <v>79423</v>
      </c>
      <c r="DB27" s="280">
        <v>45340</v>
      </c>
      <c r="DC27" s="280">
        <v>14898</v>
      </c>
      <c r="DD27" s="270">
        <v>71000</v>
      </c>
      <c r="DE27" s="270">
        <v>63748</v>
      </c>
      <c r="DF27" s="270">
        <v>4520</v>
      </c>
      <c r="DG27" s="270">
        <v>9744</v>
      </c>
      <c r="DH27" s="270">
        <v>2693</v>
      </c>
      <c r="DI27" s="270">
        <v>2299</v>
      </c>
      <c r="DJ27" s="270">
        <f t="shared" si="17"/>
        <v>16894</v>
      </c>
      <c r="DK27" s="280">
        <v>53276</v>
      </c>
      <c r="DL27" s="270">
        <v>14898</v>
      </c>
      <c r="DM27" s="270">
        <v>11894</v>
      </c>
      <c r="DN27" s="270">
        <v>54969</v>
      </c>
      <c r="DO27" s="270">
        <v>8583</v>
      </c>
      <c r="DP27" s="270">
        <v>3728</v>
      </c>
      <c r="DQ27" s="270">
        <v>15622</v>
      </c>
      <c r="DR27" s="270"/>
      <c r="DS27" s="270">
        <v>9601</v>
      </c>
      <c r="DT27" s="272">
        <v>7309</v>
      </c>
      <c r="DU27" s="270">
        <v>170</v>
      </c>
      <c r="DV27" s="272"/>
      <c r="DW27" s="270">
        <f>TOTALS!S84/1000000</f>
        <v>23288.059701999999</v>
      </c>
      <c r="DX27" s="280">
        <f>TOTALS!$BC84/1000000</f>
        <v>2201.2822139999998</v>
      </c>
      <c r="DY27" s="280"/>
      <c r="DZ27" s="270">
        <f t="shared" si="44"/>
        <v>2421.4104354000001</v>
      </c>
      <c r="EA27" s="270"/>
      <c r="EB27" s="277">
        <v>189199</v>
      </c>
      <c r="EC27" s="607">
        <v>7006</v>
      </c>
      <c r="ED27" s="277">
        <v>34981</v>
      </c>
      <c r="EE27" s="280">
        <v>37250</v>
      </c>
      <c r="EF27" s="280"/>
    </row>
    <row r="28" spans="1:136" ht="10.5" customHeight="1" x14ac:dyDescent="0.3">
      <c r="A28" s="268">
        <v>1979</v>
      </c>
      <c r="B28" s="603">
        <f>'C1-Incomes'!EX27</f>
        <v>2248152.8843</v>
      </c>
      <c r="C28" s="280">
        <f>(TOTALS!E85)/1000000+CC28-BS28</f>
        <v>1248677.7066897724</v>
      </c>
      <c r="D28" s="601" t="s">
        <v>50</v>
      </c>
      <c r="E28" s="270">
        <f t="shared" si="18"/>
        <v>-7850.4837566701535</v>
      </c>
      <c r="F28" s="598"/>
      <c r="G28" s="270">
        <f t="shared" si="0"/>
        <v>74981</v>
      </c>
      <c r="H28" s="601" t="s">
        <v>50</v>
      </c>
      <c r="I28" s="270">
        <f t="shared" si="13"/>
        <v>82587</v>
      </c>
      <c r="J28" s="270"/>
      <c r="K28" s="270">
        <f>'T-T0'!G28</f>
        <v>1505.8541319130354</v>
      </c>
      <c r="L28" s="270">
        <f t="shared" si="19"/>
        <v>20644.145868086965</v>
      </c>
      <c r="M28" s="270"/>
      <c r="N28" s="280">
        <f>'T-T0'!I28</f>
        <v>56310.202097000001</v>
      </c>
      <c r="O28" s="280">
        <f>'T-T0'!J28</f>
        <v>20232.814920299999</v>
      </c>
      <c r="P28" s="280">
        <f t="shared" si="20"/>
        <v>10637.728797657459</v>
      </c>
      <c r="Q28" s="280">
        <f t="shared" si="21"/>
        <v>70107.254185042533</v>
      </c>
      <c r="R28" s="270"/>
      <c r="S28" s="280">
        <f>TOTALS!U85/1000000</f>
        <v>11183.939011</v>
      </c>
      <c r="T28" s="270">
        <f t="shared" si="22"/>
        <v>-536.93901100000039</v>
      </c>
      <c r="U28" s="270">
        <f t="shared" si="14"/>
        <v>5727</v>
      </c>
      <c r="V28" s="270">
        <f t="shared" si="45"/>
        <v>194</v>
      </c>
      <c r="W28" s="270"/>
      <c r="X28" s="280">
        <f t="shared" si="1"/>
        <v>38947.842982797883</v>
      </c>
      <c r="Y28" s="280">
        <f>(CP28-AA28)*'C13-CapOwn'!N24</f>
        <v>37254.619602241975</v>
      </c>
      <c r="Z28" s="607">
        <f>(CP28-AA28)*'C13-CapOwn'!O24</f>
        <v>4534.5374149601403</v>
      </c>
      <c r="AA28" s="607">
        <f t="shared" si="15"/>
        <v>9279</v>
      </c>
      <c r="AB28" s="270"/>
      <c r="AC28" s="280">
        <f>TOTALS!H85/1000000</f>
        <v>40599.964314999997</v>
      </c>
      <c r="AD28" s="601">
        <f t="shared" si="23"/>
        <v>11383.572970974601</v>
      </c>
      <c r="AE28" s="270">
        <f t="shared" si="2"/>
        <v>3213.6863364554001</v>
      </c>
      <c r="AF28" s="270"/>
      <c r="AG28" s="280">
        <f t="shared" si="24"/>
        <v>2111.6148886999999</v>
      </c>
      <c r="AH28" s="280">
        <f t="shared" si="25"/>
        <v>211.16148887000008</v>
      </c>
      <c r="AI28" s="270"/>
      <c r="AJ28" s="270">
        <f>'C10-Adj by Source'!X25</f>
        <v>72329.572</v>
      </c>
      <c r="AK28" s="601">
        <f t="shared" si="3"/>
        <v>23230.675999999999</v>
      </c>
      <c r="AL28" s="607">
        <f t="shared" si="4"/>
        <v>5883.7520000000004</v>
      </c>
      <c r="AM28" s="270"/>
      <c r="AN28" s="270">
        <f t="shared" si="26"/>
        <v>11206</v>
      </c>
      <c r="AO28" s="601">
        <f t="shared" si="27"/>
        <v>5172</v>
      </c>
      <c r="AP28" s="607">
        <f t="shared" si="5"/>
        <v>862</v>
      </c>
      <c r="AQ28" s="280">
        <f>TOTALS!F85/1000000-AU28</f>
        <v>46451.594574000002</v>
      </c>
      <c r="AR28" s="607">
        <f t="shared" si="28"/>
        <v>-4101.1945740000028</v>
      </c>
      <c r="AS28" s="607">
        <f t="shared" si="6"/>
        <v>2784.6000000000004</v>
      </c>
      <c r="AT28" s="280"/>
      <c r="AU28" s="280">
        <f>TOTALS!F85/1000000*0.4</f>
        <v>30967.729716000002</v>
      </c>
      <c r="AV28" s="607">
        <f t="shared" si="29"/>
        <v>45295.306769799987</v>
      </c>
      <c r="AW28" s="607">
        <f t="shared" si="30"/>
        <v>2383.9635142000002</v>
      </c>
      <c r="AX28" s="270"/>
      <c r="AY28" s="270">
        <f>'C10-Adj by Source'!AE25</f>
        <v>26384</v>
      </c>
      <c r="AZ28" s="270">
        <f>'C10-Adj by Source'!AU25</f>
        <v>38019</v>
      </c>
      <c r="BA28" s="607">
        <f t="shared" si="16"/>
        <v>115698</v>
      </c>
      <c r="BB28" s="607"/>
      <c r="BC28" s="280">
        <f t="shared" si="7"/>
        <v>-8531</v>
      </c>
      <c r="BD28" s="280"/>
      <c r="BE28" s="280">
        <f t="shared" si="8"/>
        <v>12752</v>
      </c>
      <c r="BF28" s="280"/>
      <c r="BG28" s="280">
        <f t="shared" si="9"/>
        <v>-3212</v>
      </c>
      <c r="BH28" s="270"/>
      <c r="BI28" s="280">
        <f>TOTALS!AD85/1000000+CE28</f>
        <v>47594.91165865746</v>
      </c>
      <c r="BJ28" s="280">
        <f t="shared" si="31"/>
        <v>35044.865408240257</v>
      </c>
      <c r="BK28" s="272"/>
      <c r="BL28" s="280">
        <f t="shared" si="32"/>
        <v>0</v>
      </c>
      <c r="BM28" s="863"/>
      <c r="BN28" s="270">
        <v>2248153</v>
      </c>
      <c r="BO28" s="270">
        <f t="shared" si="33"/>
        <v>2248152.8843</v>
      </c>
      <c r="BP28" s="860">
        <f t="shared" si="34"/>
        <v>-0.11569999996572733</v>
      </c>
      <c r="BQ28" s="860"/>
      <c r="BR28" s="270">
        <f t="shared" si="35"/>
        <v>12486.777066897725</v>
      </c>
      <c r="BS28" s="270">
        <f>TOTALS!BP85/1000000</f>
        <v>5217.4797031999997</v>
      </c>
      <c r="BT28" s="270">
        <f t="shared" si="10"/>
        <v>70153</v>
      </c>
      <c r="BU28" s="270">
        <f t="shared" si="36"/>
        <v>11383.572970974601</v>
      </c>
      <c r="BV28" s="270">
        <f t="shared" si="11"/>
        <v>23230.675999999999</v>
      </c>
      <c r="BW28" s="280">
        <f t="shared" si="37"/>
        <v>5172</v>
      </c>
      <c r="BX28" s="607">
        <f t="shared" si="38"/>
        <v>-4101.1945740000028</v>
      </c>
      <c r="BY28" s="280">
        <f t="shared" si="39"/>
        <v>45295.306769799987</v>
      </c>
      <c r="BZ28" s="280">
        <f t="shared" si="40"/>
        <v>80980.361166774586</v>
      </c>
      <c r="CA28" s="280"/>
      <c r="CB28" s="270">
        <f>'C0-Ref Stats'!AJ25</f>
        <v>53188.643988287287</v>
      </c>
      <c r="CC28" s="270">
        <f t="shared" si="41"/>
        <v>31913.18639297237</v>
      </c>
      <c r="CD28" s="270">
        <f t="shared" si="42"/>
        <v>10637.728797657459</v>
      </c>
      <c r="CE28" s="270">
        <f t="shared" si="43"/>
        <v>10637.728797657459</v>
      </c>
      <c r="CF28" s="270"/>
      <c r="CG28" s="331">
        <f>ROUND('C12-CorpOwn'!R24,3)</f>
        <v>0.71299999999999997</v>
      </c>
      <c r="CH28" s="331">
        <f>ROUND('C12-CorpOwn'!S24,3)</f>
        <v>0.22900000000000001</v>
      </c>
      <c r="CI28" s="331">
        <f>ROUND('C12-CorpOwn'!T24,3)</f>
        <v>5.8000000000000003E-2</v>
      </c>
      <c r="CJ28" s="270"/>
      <c r="CK28" s="270">
        <v>1253314</v>
      </c>
      <c r="CL28" s="270">
        <v>145134</v>
      </c>
      <c r="CM28" s="270">
        <v>82587</v>
      </c>
      <c r="CN28" s="270">
        <v>22150</v>
      </c>
      <c r="CO28" s="270">
        <v>157288</v>
      </c>
      <c r="CP28" s="270">
        <v>90016</v>
      </c>
      <c r="CQ28" s="270">
        <v>57520</v>
      </c>
      <c r="CR28" s="270">
        <v>101444</v>
      </c>
      <c r="CS28" s="270">
        <v>141022</v>
      </c>
      <c r="CT28" s="270">
        <v>180101</v>
      </c>
      <c r="CU28" s="280">
        <v>-8531</v>
      </c>
      <c r="CV28" s="280">
        <v>12752</v>
      </c>
      <c r="CW28" s="280">
        <v>-3212</v>
      </c>
      <c r="CX28" s="280">
        <v>114937</v>
      </c>
      <c r="CY28" s="280">
        <v>104380</v>
      </c>
      <c r="CZ28" s="280">
        <f t="shared" si="12"/>
        <v>10557</v>
      </c>
      <c r="DA28" s="280">
        <v>87674</v>
      </c>
      <c r="DB28" s="280">
        <v>55692</v>
      </c>
      <c r="DC28" s="280">
        <v>17240</v>
      </c>
      <c r="DD28" s="270">
        <v>77281</v>
      </c>
      <c r="DE28" s="270">
        <v>64403</v>
      </c>
      <c r="DF28" s="270">
        <v>4391</v>
      </c>
      <c r="DG28" s="270">
        <v>9740</v>
      </c>
      <c r="DH28" s="270">
        <v>2932</v>
      </c>
      <c r="DI28" s="270">
        <v>2517</v>
      </c>
      <c r="DJ28" s="270">
        <f t="shared" si="17"/>
        <v>18837</v>
      </c>
      <c r="DK28" s="280">
        <v>64926</v>
      </c>
      <c r="DL28" s="270">
        <v>17240</v>
      </c>
      <c r="DM28" s="270">
        <v>17065</v>
      </c>
      <c r="DN28" s="270">
        <v>63531</v>
      </c>
      <c r="DO28" s="270">
        <v>10526</v>
      </c>
      <c r="DP28" s="270">
        <v>3874</v>
      </c>
      <c r="DQ28" s="270">
        <v>18102</v>
      </c>
      <c r="DR28" s="270"/>
      <c r="DS28" s="270">
        <v>10647</v>
      </c>
      <c r="DT28" s="272">
        <v>5921</v>
      </c>
      <c r="DU28" s="270">
        <v>194</v>
      </c>
      <c r="DV28" s="272"/>
      <c r="DW28" s="270">
        <f>TOTALS!S85/1000000</f>
        <v>22344.429809000001</v>
      </c>
      <c r="DX28" s="280">
        <f>TOTALS!$BC85/1000000</f>
        <v>2111.6148886999999</v>
      </c>
      <c r="DY28" s="280"/>
      <c r="DZ28" s="270">
        <f t="shared" si="44"/>
        <v>2322.77637757</v>
      </c>
      <c r="EA28" s="270"/>
      <c r="EB28" s="277">
        <v>224881</v>
      </c>
      <c r="EC28" s="607">
        <v>9279</v>
      </c>
      <c r="ED28" s="277">
        <v>38214</v>
      </c>
      <c r="EE28" s="280">
        <v>38019</v>
      </c>
      <c r="EF28" s="280"/>
    </row>
    <row r="29" spans="1:136" ht="10.5" customHeight="1" x14ac:dyDescent="0.3">
      <c r="A29" s="268">
        <v>1980</v>
      </c>
      <c r="B29" s="603">
        <f>'C1-Incomes'!EX28</f>
        <v>2426754.0954999998</v>
      </c>
      <c r="C29" s="280">
        <f>(TOTALS!E86)/1000000+CC29-BS29</f>
        <v>1371264.0738763015</v>
      </c>
      <c r="D29" s="601" t="s">
        <v>50</v>
      </c>
      <c r="E29" s="270">
        <f>CK29-C29-BR29</f>
        <v>-11554.71461506454</v>
      </c>
      <c r="F29" s="598"/>
      <c r="G29" s="270">
        <f t="shared" si="0"/>
        <v>85247</v>
      </c>
      <c r="H29" s="601" t="s">
        <v>50</v>
      </c>
      <c r="I29" s="270">
        <f t="shared" si="13"/>
        <v>88940</v>
      </c>
      <c r="J29" s="270"/>
      <c r="K29" s="270">
        <f>'T-T0'!G29</f>
        <v>-2235.0665555024789</v>
      </c>
      <c r="L29" s="270">
        <f t="shared" si="19"/>
        <v>13942.066555502479</v>
      </c>
      <c r="M29" s="270"/>
      <c r="N29" s="280">
        <f>'T-T0'!I29</f>
        <v>54900.019494</v>
      </c>
      <c r="O29" s="280">
        <f>'T-T0'!J29</f>
        <v>20136.829562109997</v>
      </c>
      <c r="P29" s="280">
        <f t="shared" si="20"/>
        <v>11516.674717100508</v>
      </c>
      <c r="Q29" s="280">
        <f t="shared" si="21"/>
        <v>73308.476226789484</v>
      </c>
      <c r="R29" s="270"/>
      <c r="S29" s="280">
        <f>TOTALS!U86/1000000</f>
        <v>11342.439805</v>
      </c>
      <c r="T29" s="270">
        <f t="shared" si="22"/>
        <v>2412.560195</v>
      </c>
      <c r="U29" s="270">
        <f t="shared" si="14"/>
        <v>5632</v>
      </c>
      <c r="V29" s="270">
        <f t="shared" si="45"/>
        <v>349</v>
      </c>
      <c r="W29" s="270"/>
      <c r="X29" s="280">
        <f t="shared" si="1"/>
        <v>37455.53009404309</v>
      </c>
      <c r="Y29" s="280">
        <f>(CP29-AA29)*'C13-CapOwn'!N25</f>
        <v>33934.869645148014</v>
      </c>
      <c r="Z29" s="607">
        <f>(CP29-AA29)*'C13-CapOwn'!O25</f>
        <v>4093.6002608088979</v>
      </c>
      <c r="AA29" s="607">
        <f t="shared" si="15"/>
        <v>11706</v>
      </c>
      <c r="AB29" s="270"/>
      <c r="AC29" s="280">
        <f>TOTALS!H86/1000000</f>
        <v>46771.313756000003</v>
      </c>
      <c r="AD29" s="601">
        <f t="shared" si="23"/>
        <v>13046.008609350725</v>
      </c>
      <c r="AE29" s="270">
        <f t="shared" si="2"/>
        <v>3619.1623919702702</v>
      </c>
      <c r="AF29" s="270"/>
      <c r="AG29" s="280">
        <f t="shared" si="24"/>
        <v>575.92294788999993</v>
      </c>
      <c r="AH29" s="280">
        <f t="shared" si="25"/>
        <v>57.592294788999993</v>
      </c>
      <c r="AI29" s="270"/>
      <c r="AJ29" s="270">
        <f>'C10-Adj by Source'!X26</f>
        <v>52272.9</v>
      </c>
      <c r="AK29" s="601">
        <f t="shared" si="3"/>
        <v>15906</v>
      </c>
      <c r="AL29" s="607">
        <f t="shared" si="4"/>
        <v>4121.1000000000004</v>
      </c>
      <c r="AM29" s="270"/>
      <c r="AN29" s="270">
        <f t="shared" si="26"/>
        <v>12582.7</v>
      </c>
      <c r="AO29" s="601">
        <f t="shared" si="27"/>
        <v>5807.4</v>
      </c>
      <c r="AP29" s="607">
        <f t="shared" si="5"/>
        <v>967.90000000000009</v>
      </c>
      <c r="AQ29" s="280">
        <f>TOTALS!F86/1000000-AU29</f>
        <v>63283.045017599994</v>
      </c>
      <c r="AR29" s="607">
        <f t="shared" si="28"/>
        <v>-8920.7450175999948</v>
      </c>
      <c r="AS29" s="607">
        <f t="shared" si="6"/>
        <v>3485.7000000000003</v>
      </c>
      <c r="AT29" s="280"/>
      <c r="AU29" s="280">
        <f>TOTALS!F86/1000000*0.4</f>
        <v>42188.696678400003</v>
      </c>
      <c r="AV29" s="607">
        <f t="shared" si="29"/>
        <v>63449.838155519989</v>
      </c>
      <c r="AW29" s="607">
        <f t="shared" si="30"/>
        <v>3339.4651660799996</v>
      </c>
      <c r="AX29" s="270"/>
      <c r="AY29" s="270">
        <f>'C10-Adj by Source'!AE26</f>
        <v>27806</v>
      </c>
      <c r="AZ29" s="270">
        <f>'C10-Adj by Source'!AU26</f>
        <v>41020</v>
      </c>
      <c r="BA29" s="607">
        <f t="shared" si="16"/>
        <v>131504</v>
      </c>
      <c r="BB29" s="607"/>
      <c r="BC29" s="280">
        <f t="shared" si="7"/>
        <v>-9800</v>
      </c>
      <c r="BD29" s="280"/>
      <c r="BE29" s="280">
        <f t="shared" si="8"/>
        <v>13997</v>
      </c>
      <c r="BF29" s="280"/>
      <c r="BG29" s="280">
        <f t="shared" si="9"/>
        <v>-5051</v>
      </c>
      <c r="BH29" s="270"/>
      <c r="BI29" s="280">
        <f>TOTALS!AD86/1000000+CE29</f>
        <v>54364.965501100509</v>
      </c>
      <c r="BJ29" s="280">
        <f t="shared" si="31"/>
        <v>37967.675237662508</v>
      </c>
      <c r="BK29" s="272"/>
      <c r="BL29" s="280">
        <f t="shared" si="32"/>
        <v>-1.9999999990686774</v>
      </c>
      <c r="BM29" s="863"/>
      <c r="BN29" s="270">
        <v>2426752</v>
      </c>
      <c r="BO29" s="270">
        <f t="shared" si="33"/>
        <v>2426754.0954999998</v>
      </c>
      <c r="BP29" s="860">
        <f t="shared" si="34"/>
        <v>2.0954999998211861</v>
      </c>
      <c r="BQ29" s="860"/>
      <c r="BR29" s="270">
        <f t="shared" si="35"/>
        <v>13712.640738763015</v>
      </c>
      <c r="BS29" s="270">
        <f>TOTALS!BP86/1000000</f>
        <v>5422.4502750000001</v>
      </c>
      <c r="BT29" s="270">
        <f t="shared" si="10"/>
        <v>78620</v>
      </c>
      <c r="BU29" s="270">
        <f t="shared" si="36"/>
        <v>13046.008609350725</v>
      </c>
      <c r="BV29" s="270">
        <f t="shared" si="11"/>
        <v>15906</v>
      </c>
      <c r="BW29" s="280">
        <f t="shared" si="37"/>
        <v>5807.4</v>
      </c>
      <c r="BX29" s="607">
        <f t="shared" si="38"/>
        <v>-8920.7450175999948</v>
      </c>
      <c r="BY29" s="280">
        <f t="shared" si="39"/>
        <v>63449.838155519989</v>
      </c>
      <c r="BZ29" s="280">
        <f t="shared" si="40"/>
        <v>89288.501747270726</v>
      </c>
      <c r="CA29" s="280"/>
      <c r="CB29" s="270">
        <f>'C0-Ref Stats'!AJ26</f>
        <v>57583.373585502537</v>
      </c>
      <c r="CC29" s="270">
        <f t="shared" si="41"/>
        <v>34550.024151301521</v>
      </c>
      <c r="CD29" s="270">
        <f t="shared" si="42"/>
        <v>11516.674717100508</v>
      </c>
      <c r="CE29" s="270">
        <f t="shared" si="43"/>
        <v>11516.674717100508</v>
      </c>
      <c r="CF29" s="270"/>
      <c r="CG29" s="331">
        <f>ROUND('C12-CorpOwn'!R25,3)</f>
        <v>0.72199999999999998</v>
      </c>
      <c r="CH29" s="331">
        <f>ROUND('C12-CorpOwn'!S25,3)</f>
        <v>0.22</v>
      </c>
      <c r="CI29" s="331">
        <f>ROUND('C12-CorpOwn'!T25,3)</f>
        <v>5.7000000000000002E-2</v>
      </c>
      <c r="CJ29" s="270"/>
      <c r="CK29" s="270">
        <v>1373422</v>
      </c>
      <c r="CL29" s="270">
        <v>163867</v>
      </c>
      <c r="CM29" s="270">
        <v>88940</v>
      </c>
      <c r="CN29" s="270">
        <v>11707</v>
      </c>
      <c r="CO29" s="270">
        <v>159862</v>
      </c>
      <c r="CP29" s="270">
        <v>87190</v>
      </c>
      <c r="CQ29" s="270">
        <v>64070</v>
      </c>
      <c r="CR29" s="270">
        <v>72300</v>
      </c>
      <c r="CS29" s="270">
        <v>186184</v>
      </c>
      <c r="CT29" s="270">
        <v>200330</v>
      </c>
      <c r="CU29" s="280">
        <v>-9800</v>
      </c>
      <c r="CV29" s="280">
        <v>13997</v>
      </c>
      <c r="CW29" s="280">
        <v>-5051</v>
      </c>
      <c r="CX29" s="280">
        <v>133135</v>
      </c>
      <c r="CY29" s="280">
        <v>121269</v>
      </c>
      <c r="CZ29" s="280">
        <f t="shared" si="12"/>
        <v>11866</v>
      </c>
      <c r="DA29" s="280">
        <v>98760</v>
      </c>
      <c r="DB29" s="280">
        <v>69714</v>
      </c>
      <c r="DC29" s="280">
        <v>19358</v>
      </c>
      <c r="DD29" s="270">
        <v>82858</v>
      </c>
      <c r="DE29" s="270">
        <v>68826</v>
      </c>
      <c r="DF29" s="270">
        <v>4097</v>
      </c>
      <c r="DG29" s="270">
        <v>9570</v>
      </c>
      <c r="DH29" s="270">
        <v>3706</v>
      </c>
      <c r="DI29" s="270">
        <v>2600</v>
      </c>
      <c r="DJ29" s="270">
        <f t="shared" si="17"/>
        <v>28673</v>
      </c>
      <c r="DK29" s="280">
        <v>77652</v>
      </c>
      <c r="DL29" s="270">
        <v>19358</v>
      </c>
      <c r="DM29" s="270">
        <v>22249</v>
      </c>
      <c r="DN29" s="270">
        <v>73070</v>
      </c>
      <c r="DO29" s="270">
        <v>11612</v>
      </c>
      <c r="DP29" s="270">
        <v>4132</v>
      </c>
      <c r="DQ29" s="270">
        <v>19657</v>
      </c>
      <c r="DR29" s="270"/>
      <c r="DS29" s="270">
        <v>13755</v>
      </c>
      <c r="DT29" s="272">
        <v>5981</v>
      </c>
      <c r="DU29" s="270">
        <v>349</v>
      </c>
      <c r="DV29" s="272"/>
      <c r="DW29" s="270">
        <f>TOTALS!S86/1000000</f>
        <v>20712.752509999998</v>
      </c>
      <c r="DX29" s="280">
        <f>TOTALS!$BC86/1000000</f>
        <v>575.92294788999993</v>
      </c>
      <c r="DY29" s="280"/>
      <c r="DZ29" s="270">
        <f t="shared" si="44"/>
        <v>633.51524267899993</v>
      </c>
      <c r="EA29" s="270"/>
      <c r="EB29" s="272">
        <v>250621</v>
      </c>
      <c r="EC29" s="607">
        <v>11706</v>
      </c>
      <c r="ED29" s="277">
        <v>42594</v>
      </c>
      <c r="EE29" s="280">
        <v>41020</v>
      </c>
      <c r="EF29" s="280"/>
    </row>
    <row r="30" spans="1:136" ht="10.5" customHeight="1" x14ac:dyDescent="0.3">
      <c r="A30" s="268">
        <v>1981</v>
      </c>
      <c r="B30" s="603">
        <f>'C1-Incomes'!EX29</f>
        <v>2722132.7376000001</v>
      </c>
      <c r="C30" s="280">
        <f>(TOTALS!E87)/1000000+CC30-BS30</f>
        <v>1503961.2404340927</v>
      </c>
      <c r="D30" s="601" t="s">
        <v>50</v>
      </c>
      <c r="E30" s="270">
        <f t="shared" si="18"/>
        <v>-7627.8528384336296</v>
      </c>
      <c r="F30" s="598"/>
      <c r="G30" s="270">
        <f t="shared" si="0"/>
        <v>96941</v>
      </c>
      <c r="H30" s="601" t="s">
        <v>50</v>
      </c>
      <c r="I30" s="270">
        <f t="shared" si="13"/>
        <v>103610</v>
      </c>
      <c r="J30" s="270"/>
      <c r="K30" s="270">
        <f>'T-T0'!G30</f>
        <v>-15941.332866054499</v>
      </c>
      <c r="L30" s="270">
        <f t="shared" si="19"/>
        <v>34969.332866054501</v>
      </c>
      <c r="M30" s="270"/>
      <c r="N30" s="280">
        <f>'T-T0'!I30</f>
        <v>52833.956250000003</v>
      </c>
      <c r="O30" s="280">
        <f>'T-T0'!J30</f>
        <v>16073.9802014</v>
      </c>
      <c r="P30" s="280">
        <f t="shared" si="20"/>
        <v>12396.40963943088</v>
      </c>
      <c r="Q30" s="280">
        <f t="shared" si="21"/>
        <v>79347.653909169108</v>
      </c>
      <c r="R30" s="270"/>
      <c r="S30" s="280">
        <f>TOTALS!U87/1000000</f>
        <v>7910.2246961000001</v>
      </c>
      <c r="T30" s="270">
        <f t="shared" si="22"/>
        <v>11194.7753039</v>
      </c>
      <c r="U30" s="270">
        <f t="shared" si="14"/>
        <v>5770</v>
      </c>
      <c r="V30" s="270">
        <f t="shared" si="45"/>
        <v>540</v>
      </c>
      <c r="W30" s="270"/>
      <c r="X30" s="280">
        <f t="shared" si="1"/>
        <v>31579.084959777276</v>
      </c>
      <c r="Y30" s="280">
        <f>(CP30-AA30)*'C13-CapOwn'!N26</f>
        <v>35021.685516898651</v>
      </c>
      <c r="Z30" s="607">
        <f>(CP30-AA30)*'C13-CapOwn'!O26</f>
        <v>3714.2295233240748</v>
      </c>
      <c r="AA30" s="607">
        <f t="shared" si="15"/>
        <v>14024</v>
      </c>
      <c r="AB30" s="270"/>
      <c r="AC30" s="280">
        <f>TOTALS!H87/1000000</f>
        <v>59252.195582</v>
      </c>
      <c r="AD30" s="601">
        <f t="shared" si="23"/>
        <v>10173.180406520798</v>
      </c>
      <c r="AE30" s="270">
        <f t="shared" si="2"/>
        <v>4330.6240114792008</v>
      </c>
      <c r="AF30" s="270"/>
      <c r="AG30" s="280">
        <f t="shared" si="24"/>
        <v>-909.9312324</v>
      </c>
      <c r="AH30" s="280">
        <f t="shared" si="25"/>
        <v>909.9312324</v>
      </c>
      <c r="AI30" s="270"/>
      <c r="AJ30" s="270">
        <f>'C10-Adj by Source'!X27</f>
        <v>60970.117999999995</v>
      </c>
      <c r="AK30" s="601">
        <f t="shared" si="3"/>
        <v>23243.74</v>
      </c>
      <c r="AL30" s="607">
        <f t="shared" si="4"/>
        <v>5185.1419999999998</v>
      </c>
      <c r="AM30" s="270"/>
      <c r="AN30" s="270">
        <f t="shared" si="26"/>
        <v>14848.6</v>
      </c>
      <c r="AO30" s="601">
        <f t="shared" si="27"/>
        <v>6853.2</v>
      </c>
      <c r="AP30" s="607">
        <f t="shared" si="5"/>
        <v>1142.2</v>
      </c>
      <c r="AQ30" s="280">
        <f>TOTALS!F87/1000000-AU30</f>
        <v>86160.695766599994</v>
      </c>
      <c r="AR30" s="607">
        <f t="shared" si="28"/>
        <v>-13238.345766599996</v>
      </c>
      <c r="AS30" s="607">
        <f t="shared" si="6"/>
        <v>4694.6500000000005</v>
      </c>
      <c r="AT30" s="280"/>
      <c r="AU30" s="280">
        <f>TOTALS!F87/1000000*0.4</f>
        <v>57440.463844400008</v>
      </c>
      <c r="AV30" s="607">
        <f t="shared" si="29"/>
        <v>76437.509347819956</v>
      </c>
      <c r="AW30" s="607">
        <f t="shared" si="30"/>
        <v>4023.0268077799992</v>
      </c>
      <c r="AX30" s="270"/>
      <c r="AY30" s="270">
        <f>'C10-Adj by Source'!AE27</f>
        <v>31458</v>
      </c>
      <c r="AZ30" s="270">
        <f>'C10-Adj by Source'!AU27</f>
        <v>45622</v>
      </c>
      <c r="BA30" s="607">
        <f t="shared" si="16"/>
        <v>158564</v>
      </c>
      <c r="BB30" s="607"/>
      <c r="BC30" s="280">
        <f t="shared" si="7"/>
        <v>-11473</v>
      </c>
      <c r="BD30" s="280"/>
      <c r="BE30" s="280">
        <f t="shared" si="8"/>
        <v>16913</v>
      </c>
      <c r="BF30" s="280"/>
      <c r="BG30" s="280">
        <f t="shared" si="9"/>
        <v>-5171</v>
      </c>
      <c r="BH30" s="270"/>
      <c r="BI30" s="280">
        <f>TOTALS!AD87/1000000+CE30</f>
        <v>63848.851684430883</v>
      </c>
      <c r="BJ30" s="280">
        <f t="shared" si="31"/>
        <v>34534.760719910038</v>
      </c>
      <c r="BK30" s="272"/>
      <c r="BL30" s="280">
        <f t="shared" si="32"/>
        <v>0</v>
      </c>
      <c r="BM30" s="863"/>
      <c r="BN30" s="270">
        <v>2722132</v>
      </c>
      <c r="BO30" s="270">
        <f t="shared" si="33"/>
        <v>2722132.7376000001</v>
      </c>
      <c r="BP30" s="860">
        <f t="shared" si="34"/>
        <v>0.73760000010952353</v>
      </c>
      <c r="BQ30" s="860"/>
      <c r="BR30" s="270">
        <f t="shared" si="35"/>
        <v>15039.612404340927</v>
      </c>
      <c r="BS30" s="270">
        <f>TOTALS!BP87/1000000</f>
        <v>6738.2884841999994</v>
      </c>
      <c r="BT30" s="270">
        <f t="shared" si="10"/>
        <v>83344</v>
      </c>
      <c r="BU30" s="270">
        <f t="shared" si="36"/>
        <v>10173.180406520798</v>
      </c>
      <c r="BV30" s="270">
        <f t="shared" si="11"/>
        <v>23243.74</v>
      </c>
      <c r="BW30" s="280">
        <f t="shared" si="37"/>
        <v>6853.2</v>
      </c>
      <c r="BX30" s="607">
        <f t="shared" si="38"/>
        <v>-13238.345766599996</v>
      </c>
      <c r="BY30" s="280">
        <f t="shared" si="39"/>
        <v>76437.509347819956</v>
      </c>
      <c r="BZ30" s="280">
        <f t="shared" si="40"/>
        <v>103469.28398774075</v>
      </c>
      <c r="CA30" s="280"/>
      <c r="CB30" s="270">
        <f>'C0-Ref Stats'!AJ27</f>
        <v>61982.048197154392</v>
      </c>
      <c r="CC30" s="270">
        <f t="shared" si="41"/>
        <v>37189.228918292632</v>
      </c>
      <c r="CD30" s="270">
        <f t="shared" si="42"/>
        <v>12396.40963943088</v>
      </c>
      <c r="CE30" s="270">
        <f t="shared" si="43"/>
        <v>12396.40963943088</v>
      </c>
      <c r="CF30" s="270"/>
      <c r="CG30" s="331">
        <f>ROUND('C12-CorpOwn'!R26,3)</f>
        <v>0.68100000000000005</v>
      </c>
      <c r="CH30" s="331">
        <f>ROUND('C12-CorpOwn'!S26,3)</f>
        <v>0.26</v>
      </c>
      <c r="CI30" s="331">
        <f>ROUND('C12-CorpOwn'!T26,3)</f>
        <v>5.8000000000000003E-2</v>
      </c>
      <c r="CJ30" s="270"/>
      <c r="CK30" s="270">
        <v>1511373</v>
      </c>
      <c r="CL30" s="270">
        <v>180285</v>
      </c>
      <c r="CM30" s="270">
        <v>103610</v>
      </c>
      <c r="CN30" s="270">
        <v>19028</v>
      </c>
      <c r="CO30" s="270">
        <v>160652</v>
      </c>
      <c r="CP30" s="270">
        <v>84339</v>
      </c>
      <c r="CQ30" s="270">
        <v>73756</v>
      </c>
      <c r="CR30" s="270">
        <v>89399</v>
      </c>
      <c r="CS30" s="270">
        <v>238362</v>
      </c>
      <c r="CT30" s="270">
        <v>235644</v>
      </c>
      <c r="CU30" s="280">
        <v>-11473</v>
      </c>
      <c r="CV30" s="280">
        <v>16913</v>
      </c>
      <c r="CW30" s="280">
        <v>-5171</v>
      </c>
      <c r="CX30" s="280">
        <v>162719</v>
      </c>
      <c r="CY30" s="280">
        <v>146443</v>
      </c>
      <c r="CZ30" s="280">
        <f t="shared" si="12"/>
        <v>16276</v>
      </c>
      <c r="DA30" s="280">
        <v>119398</v>
      </c>
      <c r="DB30" s="280">
        <v>93893</v>
      </c>
      <c r="DC30" s="280">
        <v>22844</v>
      </c>
      <c r="DD30" s="270">
        <v>90747</v>
      </c>
      <c r="DE30" s="270">
        <v>77080</v>
      </c>
      <c r="DF30" s="270">
        <v>4052</v>
      </c>
      <c r="DG30" s="270">
        <v>10093</v>
      </c>
      <c r="DH30" s="270">
        <v>4621</v>
      </c>
      <c r="DI30" s="270">
        <v>2793</v>
      </c>
      <c r="DJ30" s="270">
        <f t="shared" si="17"/>
        <v>46258</v>
      </c>
      <c r="DK30" s="280">
        <v>90680</v>
      </c>
      <c r="DL30" s="270">
        <v>22844</v>
      </c>
      <c r="DM30" s="270">
        <v>28016</v>
      </c>
      <c r="DN30" s="270">
        <v>88106</v>
      </c>
      <c r="DO30" s="270">
        <v>15942</v>
      </c>
      <c r="DP30" s="270">
        <v>4359</v>
      </c>
      <c r="DQ30" s="270">
        <v>20418</v>
      </c>
      <c r="DR30" s="270"/>
      <c r="DS30" s="270">
        <v>19105</v>
      </c>
      <c r="DT30" s="272">
        <v>6310</v>
      </c>
      <c r="DU30" s="270">
        <v>540</v>
      </c>
      <c r="DV30" s="272"/>
      <c r="DW30" s="270">
        <f>TOTALS!S87/1000000</f>
        <v>15164.048968999999</v>
      </c>
      <c r="DX30" s="280">
        <f>TOTALS!$BC87/1000000</f>
        <v>-909.9312324</v>
      </c>
      <c r="DY30" s="280"/>
      <c r="DZ30" s="270">
        <v>0</v>
      </c>
      <c r="EA30" s="270"/>
      <c r="EB30" s="272">
        <v>291165</v>
      </c>
      <c r="EC30" s="607">
        <v>14024</v>
      </c>
      <c r="ED30" s="277">
        <v>47912</v>
      </c>
      <c r="EE30" s="280">
        <v>45622</v>
      </c>
      <c r="EF30" s="280"/>
    </row>
    <row r="31" spans="1:136" ht="10.5" customHeight="1" x14ac:dyDescent="0.3">
      <c r="A31" s="268">
        <v>1982</v>
      </c>
      <c r="B31" s="603">
        <f>'C1-Incomes'!EX30</f>
        <v>2840413.7584000002</v>
      </c>
      <c r="C31" s="280">
        <f>(TOTALS!E88)/1000000+CC31-BS31</f>
        <v>1560558.961233946</v>
      </c>
      <c r="D31" s="601" t="s">
        <v>50</v>
      </c>
      <c r="E31" s="270">
        <f t="shared" si="18"/>
        <v>-4253.1404586249519</v>
      </c>
      <c r="F31" s="598"/>
      <c r="G31" s="270">
        <f t="shared" si="0"/>
        <v>107957</v>
      </c>
      <c r="H31" s="601" t="s">
        <v>50</v>
      </c>
      <c r="I31" s="270">
        <f t="shared" si="13"/>
        <v>109769</v>
      </c>
      <c r="J31" s="270"/>
      <c r="K31" s="270">
        <f>'T-T0'!G31</f>
        <v>-15336.860880977225</v>
      </c>
      <c r="L31" s="270">
        <f t="shared" si="19"/>
        <v>28650.860880977227</v>
      </c>
      <c r="M31" s="270"/>
      <c r="N31" s="280">
        <f>'T-T0'!I31</f>
        <v>50342.701357999998</v>
      </c>
      <c r="O31" s="280">
        <f>'T-T0'!J31</f>
        <v>9811.5026426999993</v>
      </c>
      <c r="P31" s="280">
        <f t="shared" si="20"/>
        <v>13250.990236315418</v>
      </c>
      <c r="Q31" s="280">
        <f t="shared" si="21"/>
        <v>84471.805762984586</v>
      </c>
      <c r="R31" s="270"/>
      <c r="S31" s="280">
        <f>TOTALS!U88/1000000</f>
        <v>7097.8330323999999</v>
      </c>
      <c r="T31" s="270">
        <f t="shared" si="22"/>
        <v>16123.1669676</v>
      </c>
      <c r="U31" s="270">
        <f t="shared" si="14"/>
        <v>2147</v>
      </c>
      <c r="V31" s="270">
        <f t="shared" si="45"/>
        <v>771</v>
      </c>
      <c r="W31" s="270"/>
      <c r="X31" s="280">
        <f t="shared" si="1"/>
        <v>21654.520301625962</v>
      </c>
      <c r="Y31" s="280">
        <f>(CP31-AA31)*'C13-CapOwn'!N27</f>
        <v>26953.833960922693</v>
      </c>
      <c r="Z31" s="607">
        <f>(CP31-AA31)*'C13-CapOwn'!O27</f>
        <v>2685.6457374513448</v>
      </c>
      <c r="AA31" s="607">
        <f t="shared" si="15"/>
        <v>15205</v>
      </c>
      <c r="AB31" s="270"/>
      <c r="AC31" s="280">
        <f>TOTALS!H88/1000000</f>
        <v>62155.303655999996</v>
      </c>
      <c r="AD31" s="601">
        <f t="shared" si="23"/>
        <v>5353.5224975896981</v>
      </c>
      <c r="AE31" s="270">
        <f t="shared" si="2"/>
        <v>4266.6139702802993</v>
      </c>
      <c r="AF31" s="270"/>
      <c r="AG31" s="280">
        <f t="shared" si="24"/>
        <v>5400.5089783000003</v>
      </c>
      <c r="AH31" s="280">
        <f t="shared" si="25"/>
        <v>540.05089783000039</v>
      </c>
      <c r="AI31" s="270"/>
      <c r="AJ31" s="270">
        <f>'C10-Adj by Source'!X28</f>
        <v>54125.744000000013</v>
      </c>
      <c r="AK31" s="601">
        <f t="shared" si="3"/>
        <v>26463.378000000001</v>
      </c>
      <c r="AL31" s="607">
        <f t="shared" si="4"/>
        <v>5052.8779999999997</v>
      </c>
      <c r="AM31" s="270"/>
      <c r="AN31" s="270">
        <f t="shared" si="26"/>
        <v>17631.25</v>
      </c>
      <c r="AO31" s="601">
        <f t="shared" si="27"/>
        <v>8137.5</v>
      </c>
      <c r="AP31" s="607">
        <f t="shared" si="5"/>
        <v>1356.25</v>
      </c>
      <c r="AQ31" s="280">
        <f>TOTALS!F88/1000000-AU31</f>
        <v>96567.307922399981</v>
      </c>
      <c r="AR31" s="607">
        <f t="shared" si="28"/>
        <v>-8362.5579223999812</v>
      </c>
      <c r="AS31" s="607">
        <f t="shared" si="6"/>
        <v>5589.25</v>
      </c>
      <c r="AT31" s="280"/>
      <c r="AU31" s="280">
        <f>TOTALS!F88/1000000*0.4</f>
        <v>64378.2052816</v>
      </c>
      <c r="AV31" s="607">
        <f t="shared" si="29"/>
        <v>87563.204982479961</v>
      </c>
      <c r="AW31" s="607">
        <f t="shared" si="30"/>
        <v>4608.5897359199998</v>
      </c>
      <c r="AX31" s="270"/>
      <c r="AY31" s="270">
        <f>'C10-Adj by Source'!AE28</f>
        <v>35262</v>
      </c>
      <c r="AZ31" s="270">
        <f>'C10-Adj by Source'!AU28</f>
        <v>50038</v>
      </c>
      <c r="BA31" s="607">
        <f t="shared" si="16"/>
        <v>155633</v>
      </c>
      <c r="BB31" s="607"/>
      <c r="BC31" s="280">
        <f t="shared" si="7"/>
        <v>-15017</v>
      </c>
      <c r="BD31" s="280"/>
      <c r="BE31" s="280">
        <f t="shared" si="8"/>
        <v>19316</v>
      </c>
      <c r="BF31" s="280"/>
      <c r="BG31" s="280">
        <f t="shared" si="9"/>
        <v>-3794</v>
      </c>
      <c r="BH31" s="270"/>
      <c r="BI31" s="280">
        <f>TOTALS!AD88/1000000+CE31</f>
        <v>75856.639939315413</v>
      </c>
      <c r="BJ31" s="280">
        <f t="shared" si="31"/>
        <v>44430.539285363513</v>
      </c>
      <c r="BK31" s="272"/>
      <c r="BL31" s="280">
        <f t="shared" si="32"/>
        <v>-1</v>
      </c>
      <c r="BM31" s="863"/>
      <c r="BN31" s="270">
        <v>2840412</v>
      </c>
      <c r="BO31" s="270">
        <f t="shared" si="33"/>
        <v>2840413.7584000002</v>
      </c>
      <c r="BP31" s="860">
        <f t="shared" si="34"/>
        <v>1.7584000001661479</v>
      </c>
      <c r="BQ31" s="860"/>
      <c r="BR31" s="270">
        <f>C31*0.02</f>
        <v>31211.179224678923</v>
      </c>
      <c r="BS31" s="270">
        <f>TOTALS!BP88/1000000</f>
        <v>30597.909475</v>
      </c>
      <c r="BT31" s="270">
        <f t="shared" si="10"/>
        <v>89076</v>
      </c>
      <c r="BU31" s="270">
        <f t="shared" si="36"/>
        <v>5353.5224975896981</v>
      </c>
      <c r="BV31" s="270">
        <f t="shared" si="11"/>
        <v>26463.378000000001</v>
      </c>
      <c r="BW31" s="280">
        <f t="shared" si="37"/>
        <v>8137.5</v>
      </c>
      <c r="BX31" s="607">
        <f t="shared" si="38"/>
        <v>-8362.5579223999812</v>
      </c>
      <c r="BY31" s="280">
        <f t="shared" si="39"/>
        <v>87563.204982479961</v>
      </c>
      <c r="BZ31" s="280">
        <f t="shared" si="40"/>
        <v>119155.04755766968</v>
      </c>
      <c r="CA31" s="280"/>
      <c r="CB31" s="270">
        <f>'C0-Ref Stats'!AJ28</f>
        <v>66254.951181577082</v>
      </c>
      <c r="CC31" s="270">
        <f t="shared" si="41"/>
        <v>39752.970708946246</v>
      </c>
      <c r="CD31" s="270">
        <f t="shared" si="42"/>
        <v>13250.990236315418</v>
      </c>
      <c r="CE31" s="270">
        <f t="shared" si="43"/>
        <v>13250.990236315418</v>
      </c>
      <c r="CF31" s="270"/>
      <c r="CG31" s="331">
        <f>ROUND('C12-CorpOwn'!R27,3)</f>
        <v>0.63200000000000001</v>
      </c>
      <c r="CH31" s="331">
        <f>ROUND('C12-CorpOwn'!S27,3)</f>
        <v>0.309</v>
      </c>
      <c r="CI31" s="331">
        <f>ROUND('C12-CorpOwn'!T27,3)</f>
        <v>5.8999999999999997E-2</v>
      </c>
      <c r="CJ31" s="270"/>
      <c r="CK31" s="270">
        <v>1587517</v>
      </c>
      <c r="CL31" s="270">
        <v>197033</v>
      </c>
      <c r="CM31" s="270">
        <v>109769</v>
      </c>
      <c r="CN31" s="270">
        <v>13314</v>
      </c>
      <c r="CO31" s="270">
        <v>157877</v>
      </c>
      <c r="CP31" s="270">
        <v>66499</v>
      </c>
      <c r="CQ31" s="270">
        <v>77716</v>
      </c>
      <c r="CR31" s="270">
        <v>85642</v>
      </c>
      <c r="CS31" s="270">
        <v>277469</v>
      </c>
      <c r="CT31" s="270">
        <v>240933</v>
      </c>
      <c r="CU31" s="280">
        <v>-15017</v>
      </c>
      <c r="CV31" s="280">
        <v>19316</v>
      </c>
      <c r="CW31" s="280">
        <v>-3794</v>
      </c>
      <c r="CX31" s="280">
        <v>186861</v>
      </c>
      <c r="CY31" s="280">
        <v>168870</v>
      </c>
      <c r="CZ31" s="280">
        <f t="shared" si="12"/>
        <v>17991</v>
      </c>
      <c r="DA31" s="280">
        <v>135446</v>
      </c>
      <c r="DB31" s="280">
        <v>111785</v>
      </c>
      <c r="DC31" s="280">
        <v>27125</v>
      </c>
      <c r="DD31" s="270">
        <v>96199</v>
      </c>
      <c r="DE31" s="270">
        <v>85300</v>
      </c>
      <c r="DF31" s="270">
        <v>4054</v>
      </c>
      <c r="DG31" s="270">
        <v>10466</v>
      </c>
      <c r="DH31" s="270">
        <v>5350</v>
      </c>
      <c r="DI31" s="270">
        <v>3211</v>
      </c>
      <c r="DJ31" s="270">
        <f t="shared" si="17"/>
        <v>36353</v>
      </c>
      <c r="DK31" s="280">
        <v>104541</v>
      </c>
      <c r="DL31" s="270">
        <v>27125</v>
      </c>
      <c r="DM31" s="270">
        <v>31613</v>
      </c>
      <c r="DN31" s="270">
        <v>100115</v>
      </c>
      <c r="DO31" s="270">
        <v>16806</v>
      </c>
      <c r="DP31" s="270">
        <v>4669</v>
      </c>
      <c r="DQ31" s="270">
        <v>19979</v>
      </c>
      <c r="DR31" s="270"/>
      <c r="DS31" s="270">
        <v>23221</v>
      </c>
      <c r="DT31" s="272">
        <v>2918</v>
      </c>
      <c r="DU31" s="270">
        <v>771</v>
      </c>
      <c r="DV31" s="272"/>
      <c r="DW31" s="270">
        <f>TOTALS!S88/1000000</f>
        <v>15212.011621</v>
      </c>
      <c r="DX31" s="280">
        <f>TOTALS!$BC88/1000000</f>
        <v>5400.5089783000003</v>
      </c>
      <c r="DY31" s="280"/>
      <c r="DZ31" s="270">
        <f t="shared" ref="DZ31:DZ39" si="46">DX31*1.1</f>
        <v>5940.5598761300007</v>
      </c>
      <c r="EA31" s="270"/>
      <c r="EB31" s="272">
        <v>295596</v>
      </c>
      <c r="EC31" s="607">
        <v>15205</v>
      </c>
      <c r="ED31" s="277">
        <v>51887</v>
      </c>
      <c r="EE31" s="280">
        <v>50038</v>
      </c>
      <c r="EF31" s="280"/>
    </row>
    <row r="32" spans="1:136" ht="10.5" customHeight="1" x14ac:dyDescent="0.3">
      <c r="A32" s="268">
        <v>1983</v>
      </c>
      <c r="B32" s="603">
        <f>'C1-Incomes'!EX31</f>
        <v>3060514.7870999998</v>
      </c>
      <c r="C32" s="280">
        <f>(TOTALS!E89)/1000000+CC32-BS32</f>
        <v>1636416.7771869593</v>
      </c>
      <c r="D32" s="601" t="s">
        <v>50</v>
      </c>
      <c r="E32" s="270">
        <f t="shared" si="18"/>
        <v>8367.8872693015292</v>
      </c>
      <c r="F32" s="598"/>
      <c r="G32" s="270">
        <f t="shared" si="0"/>
        <v>117516</v>
      </c>
      <c r="H32" s="601" t="s">
        <v>50</v>
      </c>
      <c r="I32" s="270">
        <f t="shared" si="13"/>
        <v>119882</v>
      </c>
      <c r="J32" s="270"/>
      <c r="K32" s="270">
        <f>'T-T0'!G32</f>
        <v>-13205.523577065273</v>
      </c>
      <c r="L32" s="270">
        <f t="shared" si="19"/>
        <v>19378.523577065273</v>
      </c>
      <c r="M32" s="270"/>
      <c r="N32" s="280">
        <f>'T-T0'!I32</f>
        <v>60038.544700999999</v>
      </c>
      <c r="O32" s="280">
        <f>'T-T0'!J32</f>
        <v>18189.36465</v>
      </c>
      <c r="P32" s="280">
        <f t="shared" si="20"/>
        <v>14044.207147653078</v>
      </c>
      <c r="Q32" s="280">
        <f t="shared" si="21"/>
        <v>87804.883501346907</v>
      </c>
      <c r="R32" s="270"/>
      <c r="S32" s="280">
        <f>TOTALS!U89/1000000</f>
        <v>4843.1112638000004</v>
      </c>
      <c r="T32" s="270">
        <f t="shared" si="22"/>
        <v>20456.888736199999</v>
      </c>
      <c r="U32" s="270">
        <f t="shared" si="14"/>
        <v>1261</v>
      </c>
      <c r="V32" s="270">
        <f t="shared" si="45"/>
        <v>928</v>
      </c>
      <c r="W32" s="270"/>
      <c r="X32" s="280">
        <f t="shared" si="1"/>
        <v>27202.052018047885</v>
      </c>
      <c r="Y32" s="280">
        <f>(CP32-AA32)*'C13-CapOwn'!N28</f>
        <v>35704.493952231642</v>
      </c>
      <c r="Z32" s="607">
        <f>(CP32-AA32)*'C13-CapOwn'!O28</f>
        <v>3512.4540297204699</v>
      </c>
      <c r="AA32" s="607">
        <f t="shared" si="15"/>
        <v>14229</v>
      </c>
      <c r="AB32" s="270"/>
      <c r="AC32" s="280">
        <f>TOTALS!H89/1000000</f>
        <v>59737.564020999998</v>
      </c>
      <c r="AD32" s="601">
        <f t="shared" si="23"/>
        <v>16914.762224680002</v>
      </c>
      <c r="AE32" s="270">
        <f t="shared" si="2"/>
        <v>4903.7726680199994</v>
      </c>
      <c r="AF32" s="270"/>
      <c r="AG32" s="280">
        <f t="shared" si="24"/>
        <v>1734.4555330000001</v>
      </c>
      <c r="AH32" s="280">
        <f t="shared" si="25"/>
        <v>173.44555330000026</v>
      </c>
      <c r="AI32" s="270"/>
      <c r="AJ32" s="270">
        <f>'C10-Adj by Source'!X29</f>
        <v>68814.724999999991</v>
      </c>
      <c r="AK32" s="601">
        <f t="shared" si="3"/>
        <v>39900.974999999999</v>
      </c>
      <c r="AL32" s="607">
        <f t="shared" si="4"/>
        <v>6939.3</v>
      </c>
      <c r="AM32" s="270"/>
      <c r="AN32" s="270">
        <f t="shared" si="26"/>
        <v>20991.75</v>
      </c>
      <c r="AO32" s="601">
        <f t="shared" si="27"/>
        <v>9688.5</v>
      </c>
      <c r="AP32" s="607">
        <f t="shared" si="5"/>
        <v>1614.75</v>
      </c>
      <c r="AQ32" s="280">
        <f>TOTALS!F89/1000000-AU32</f>
        <v>94522.005131399987</v>
      </c>
      <c r="AR32" s="607">
        <f t="shared" si="28"/>
        <v>5769.9448686000133</v>
      </c>
      <c r="AS32" s="607">
        <f t="shared" si="6"/>
        <v>6229.05</v>
      </c>
      <c r="AT32" s="280"/>
      <c r="AU32" s="280">
        <f>TOTALS!F89/1000000*0.4</f>
        <v>63014.670087600003</v>
      </c>
      <c r="AV32" s="607">
        <f t="shared" si="29"/>
        <v>85429.063416780016</v>
      </c>
      <c r="AW32" s="607">
        <f t="shared" si="30"/>
        <v>4496.2664956199997</v>
      </c>
      <c r="AX32" s="270"/>
      <c r="AY32" s="270">
        <f>'C10-Adj by Source'!AE29</f>
        <v>38337</v>
      </c>
      <c r="AZ32" s="270">
        <f>'C10-Adj by Source'!AU29</f>
        <v>53540</v>
      </c>
      <c r="BA32" s="607">
        <f t="shared" si="16"/>
        <v>171404</v>
      </c>
      <c r="BB32" s="607"/>
      <c r="BC32" s="280">
        <f t="shared" si="7"/>
        <v>-21304</v>
      </c>
      <c r="BD32" s="280"/>
      <c r="BE32" s="280">
        <f t="shared" si="8"/>
        <v>21681</v>
      </c>
      <c r="BF32" s="280"/>
      <c r="BG32" s="280">
        <f t="shared" si="9"/>
        <v>-2312</v>
      </c>
      <c r="BH32" s="270"/>
      <c r="BI32" s="280">
        <f>TOTALS!AD89/1000000+CE32</f>
        <v>87005.959754653086</v>
      </c>
      <c r="BJ32" s="280">
        <f t="shared" si="31"/>
        <v>44718.375789086116</v>
      </c>
      <c r="BK32" s="272"/>
      <c r="BL32" s="280">
        <f t="shared" si="32"/>
        <v>-1</v>
      </c>
      <c r="BM32" s="863"/>
      <c r="BN32" s="270">
        <v>3060514</v>
      </c>
      <c r="BO32" s="270">
        <f t="shared" si="33"/>
        <v>3060514.7870999998</v>
      </c>
      <c r="BP32" s="860">
        <f t="shared" si="34"/>
        <v>0.78709999984130263</v>
      </c>
      <c r="BQ32" s="860"/>
      <c r="BR32" s="270">
        <f>C32*0.02</f>
        <v>32728.335543739187</v>
      </c>
      <c r="BS32" s="270">
        <f>TOTALS!BP89/1000000</f>
        <v>34811.844255999997</v>
      </c>
      <c r="BT32" s="270">
        <f t="shared" si="10"/>
        <v>98996</v>
      </c>
      <c r="BU32" s="270">
        <f t="shared" si="36"/>
        <v>16914.762224680002</v>
      </c>
      <c r="BV32" s="270">
        <f t="shared" si="11"/>
        <v>39900.974999999999</v>
      </c>
      <c r="BW32" s="280">
        <f t="shared" si="37"/>
        <v>9688.5</v>
      </c>
      <c r="BX32" s="607">
        <f t="shared" si="38"/>
        <v>5769.9448686000133</v>
      </c>
      <c r="BY32" s="280">
        <f t="shared" si="39"/>
        <v>85429.063416780016</v>
      </c>
      <c r="BZ32" s="280">
        <f t="shared" si="40"/>
        <v>157703.24551006002</v>
      </c>
      <c r="CA32" s="280"/>
      <c r="CB32" s="270">
        <f>'C0-Ref Stats'!AJ29</f>
        <v>70221.035738265404</v>
      </c>
      <c r="CC32" s="270">
        <f t="shared" si="41"/>
        <v>42132.621442959244</v>
      </c>
      <c r="CD32" s="270">
        <f t="shared" si="42"/>
        <v>14044.207147653078</v>
      </c>
      <c r="CE32" s="270">
        <f t="shared" si="43"/>
        <v>14044.207147653082</v>
      </c>
      <c r="CF32" s="270"/>
      <c r="CG32" s="331">
        <f>ROUND('C12-CorpOwn'!R28,3)</f>
        <v>0.59499999999999997</v>
      </c>
      <c r="CH32" s="331">
        <f>ROUND('C12-CorpOwn'!S28,3)</f>
        <v>0.34499999999999997</v>
      </c>
      <c r="CI32" s="331">
        <f>ROUND('C12-CorpOwn'!T28,3)</f>
        <v>0.06</v>
      </c>
      <c r="CJ32" s="270"/>
      <c r="CK32" s="270">
        <v>1677513</v>
      </c>
      <c r="CL32" s="270">
        <v>216512</v>
      </c>
      <c r="CM32" s="270">
        <v>119882</v>
      </c>
      <c r="CN32" s="270">
        <v>6173</v>
      </c>
      <c r="CO32" s="270">
        <v>180077</v>
      </c>
      <c r="CP32" s="270">
        <v>80648</v>
      </c>
      <c r="CQ32" s="270">
        <v>83464</v>
      </c>
      <c r="CR32" s="270">
        <v>115655</v>
      </c>
      <c r="CS32" s="270">
        <v>291756</v>
      </c>
      <c r="CT32" s="270">
        <v>263281</v>
      </c>
      <c r="CU32" s="280">
        <v>-21304</v>
      </c>
      <c r="CV32" s="280">
        <v>21681</v>
      </c>
      <c r="CW32" s="280">
        <v>-2312</v>
      </c>
      <c r="CX32" s="280">
        <v>206469</v>
      </c>
      <c r="CY32" s="280">
        <v>188409</v>
      </c>
      <c r="CZ32" s="280">
        <f t="shared" si="12"/>
        <v>18060</v>
      </c>
      <c r="DA32" s="280">
        <v>149097</v>
      </c>
      <c r="DB32" s="280">
        <v>124581</v>
      </c>
      <c r="DC32" s="280">
        <v>32295</v>
      </c>
      <c r="DD32" s="270">
        <v>107650</v>
      </c>
      <c r="DE32" s="270">
        <v>91877</v>
      </c>
      <c r="DF32" s="270">
        <v>7948</v>
      </c>
      <c r="DG32" s="270">
        <v>11609</v>
      </c>
      <c r="DH32" s="270">
        <v>5868</v>
      </c>
      <c r="DI32" s="270">
        <v>3480</v>
      </c>
      <c r="DJ32" s="270">
        <f t="shared" si="17"/>
        <v>34849</v>
      </c>
      <c r="DK32" s="280">
        <v>115071</v>
      </c>
      <c r="DL32" s="270">
        <v>32295</v>
      </c>
      <c r="DM32" s="270">
        <v>34441</v>
      </c>
      <c r="DN32" s="270">
        <v>110876</v>
      </c>
      <c r="DO32" s="270">
        <v>18680</v>
      </c>
      <c r="DP32" s="270">
        <v>4880</v>
      </c>
      <c r="DQ32" s="270">
        <v>20440</v>
      </c>
      <c r="DR32" s="270"/>
      <c r="DS32" s="270">
        <v>25300</v>
      </c>
      <c r="DT32" s="272">
        <v>2189</v>
      </c>
      <c r="DU32" s="270">
        <v>928</v>
      </c>
      <c r="DV32" s="272"/>
      <c r="DW32" s="270">
        <f>TOTALS!S89/1000000</f>
        <v>19923.820183</v>
      </c>
      <c r="DX32" s="280">
        <f>TOTALS!$BC89/1000000</f>
        <v>1734.4555330000001</v>
      </c>
      <c r="DY32" s="280"/>
      <c r="DZ32" s="270">
        <f t="shared" si="46"/>
        <v>1907.9010863000003</v>
      </c>
      <c r="EA32" s="270"/>
      <c r="EB32" s="272">
        <v>286774</v>
      </c>
      <c r="EC32" s="607">
        <v>14229</v>
      </c>
      <c r="ED32" s="277">
        <v>58285</v>
      </c>
      <c r="EE32" s="280">
        <v>53540</v>
      </c>
      <c r="EF32" s="280"/>
    </row>
    <row r="33" spans="1:136" ht="10.5" customHeight="1" x14ac:dyDescent="0.3">
      <c r="A33" s="268">
        <v>1984</v>
      </c>
      <c r="B33" s="603">
        <f>'C1-Incomes'!EX32</f>
        <v>3443988.0337</v>
      </c>
      <c r="C33" s="280">
        <f>(TOTALS!E90)/1000000+CC33-BS33</f>
        <v>1790947.3308220762</v>
      </c>
      <c r="D33" s="601" t="s">
        <v>50</v>
      </c>
      <c r="E33" s="270">
        <f t="shared" si="18"/>
        <v>9126.6691779238172</v>
      </c>
      <c r="F33" s="598"/>
      <c r="G33" s="270">
        <f t="shared" si="0"/>
        <v>128190</v>
      </c>
      <c r="H33" s="601" t="s">
        <v>50</v>
      </c>
      <c r="I33" s="270">
        <f t="shared" si="13"/>
        <v>139038</v>
      </c>
      <c r="J33" s="270"/>
      <c r="K33" s="270">
        <f>'T-T0'!G33</f>
        <v>-28434.072911693747</v>
      </c>
      <c r="L33" s="270">
        <f t="shared" si="19"/>
        <v>49372.072911693744</v>
      </c>
      <c r="M33" s="270"/>
      <c r="N33" s="280">
        <f>'T-T0'!I33</f>
        <v>70303.201604000002</v>
      </c>
      <c r="O33" s="280">
        <f>'T-T0'!J33</f>
        <v>18622.5251107</v>
      </c>
      <c r="P33" s="280">
        <f t="shared" si="20"/>
        <v>14302.161199358767</v>
      </c>
      <c r="Q33" s="280">
        <f t="shared" si="21"/>
        <v>104081.11208594123</v>
      </c>
      <c r="R33" s="270"/>
      <c r="S33" s="280">
        <f>TOTALS!U90/1000000</f>
        <v>1745.0660249</v>
      </c>
      <c r="T33" s="270">
        <f t="shared" si="22"/>
        <v>26371.933975100001</v>
      </c>
      <c r="U33" s="270">
        <f t="shared" si="14"/>
        <v>-1181</v>
      </c>
      <c r="V33" s="270">
        <f t="shared" si="45"/>
        <v>951</v>
      </c>
      <c r="W33" s="270"/>
      <c r="X33" s="280">
        <f t="shared" si="1"/>
        <v>30653.312707328543</v>
      </c>
      <c r="Y33" s="280">
        <f>(CP33-AA33)*'C13-CapOwn'!N29</f>
        <v>46456.136146736622</v>
      </c>
      <c r="Z33" s="607">
        <f>(CP33-AA33)*'C13-CapOwn'!O29</f>
        <v>4367.5511459348336</v>
      </c>
      <c r="AA33" s="607">
        <f t="shared" si="15"/>
        <v>16054</v>
      </c>
      <c r="AB33" s="270"/>
      <c r="AC33" s="280">
        <f>TOTALS!H90/1000000</f>
        <v>60761.826352999997</v>
      </c>
      <c r="AD33" s="601">
        <f t="shared" si="23"/>
        <v>18479.153990698302</v>
      </c>
      <c r="AE33" s="270">
        <f t="shared" si="2"/>
        <v>5185.3922049716994</v>
      </c>
      <c r="AF33" s="270"/>
      <c r="AG33" s="280">
        <f t="shared" si="24"/>
        <v>5800.5704102999998</v>
      </c>
      <c r="AH33" s="280">
        <f t="shared" si="25"/>
        <v>580.05704103000062</v>
      </c>
      <c r="AI33" s="270"/>
      <c r="AJ33" s="270">
        <f>'C10-Adj by Source'!X30</f>
        <v>80753.22</v>
      </c>
      <c r="AK33" s="601">
        <f t="shared" si="3"/>
        <v>59667.657000000007</v>
      </c>
      <c r="AL33" s="607">
        <f t="shared" si="4"/>
        <v>9122.1229999999996</v>
      </c>
      <c r="AM33" s="270"/>
      <c r="AN33" s="270">
        <f t="shared" si="26"/>
        <v>24044.15</v>
      </c>
      <c r="AO33" s="601">
        <f t="shared" si="27"/>
        <v>11097.3</v>
      </c>
      <c r="AP33" s="607">
        <f t="shared" si="5"/>
        <v>1849.5500000000002</v>
      </c>
      <c r="AQ33" s="280">
        <f>TOTALS!F90/1000000-AU33</f>
        <v>107833.5620388</v>
      </c>
      <c r="AR33" s="607">
        <f t="shared" si="28"/>
        <v>14777.787961200003</v>
      </c>
      <c r="AS33" s="607">
        <f t="shared" si="6"/>
        <v>7514.6500000000005</v>
      </c>
      <c r="AT33" s="280"/>
      <c r="AU33" s="280">
        <f>TOTALS!F90/1000000*0.4</f>
        <v>71889.041359200011</v>
      </c>
      <c r="AV33" s="607">
        <f t="shared" si="29"/>
        <v>92218.36070876001</v>
      </c>
      <c r="AW33" s="607">
        <f t="shared" si="30"/>
        <v>4853.597932040002</v>
      </c>
      <c r="AX33" s="270"/>
      <c r="AY33" s="270">
        <f>'C10-Adj by Source'!AE30</f>
        <v>42078</v>
      </c>
      <c r="AZ33" s="270">
        <f>'C10-Adj by Source'!AU30</f>
        <v>57622</v>
      </c>
      <c r="BA33" s="607">
        <f t="shared" si="16"/>
        <v>190073</v>
      </c>
      <c r="BB33" s="607"/>
      <c r="BC33" s="280">
        <f t="shared" si="7"/>
        <v>-21065</v>
      </c>
      <c r="BD33" s="280"/>
      <c r="BE33" s="280">
        <f t="shared" si="8"/>
        <v>29158</v>
      </c>
      <c r="BF33" s="280"/>
      <c r="BG33" s="280">
        <f t="shared" si="9"/>
        <v>-1375</v>
      </c>
      <c r="BH33" s="270"/>
      <c r="BI33" s="280">
        <f>TOTALS!AD90/1000000+CE33</f>
        <v>108499.22378935877</v>
      </c>
      <c r="BJ33" s="280">
        <f t="shared" si="31"/>
        <v>41602.776210641226</v>
      </c>
      <c r="BK33" s="272"/>
      <c r="BL33" s="280">
        <f t="shared" si="32"/>
        <v>-1.0000000009313226</v>
      </c>
      <c r="BM33" s="863"/>
      <c r="BN33" s="270">
        <v>3443987</v>
      </c>
      <c r="BO33" s="270">
        <f t="shared" si="33"/>
        <v>3443988.0337</v>
      </c>
      <c r="BP33" s="860">
        <f t="shared" si="34"/>
        <v>1.0337000000290573</v>
      </c>
      <c r="BQ33" s="860"/>
      <c r="BR33" s="270">
        <v>44841</v>
      </c>
      <c r="BS33" s="270">
        <f>TOTALS!BP90/1000000</f>
        <v>39194.552775999997</v>
      </c>
      <c r="BT33" s="270">
        <f t="shared" si="10"/>
        <v>105261</v>
      </c>
      <c r="BU33" s="270">
        <f t="shared" si="36"/>
        <v>18479.153990698302</v>
      </c>
      <c r="BV33" s="270">
        <f t="shared" si="11"/>
        <v>59667.657000000007</v>
      </c>
      <c r="BW33" s="280">
        <f t="shared" si="37"/>
        <v>11097.3</v>
      </c>
      <c r="BX33" s="607">
        <f t="shared" si="38"/>
        <v>14777.787961200003</v>
      </c>
      <c r="BY33" s="280">
        <f t="shared" si="39"/>
        <v>92218.36070876001</v>
      </c>
      <c r="BZ33" s="280">
        <f t="shared" si="40"/>
        <v>196240.25966065834</v>
      </c>
      <c r="CA33" s="280"/>
      <c r="CB33" s="270">
        <f>'C0-Ref Stats'!AJ30</f>
        <v>71510.805996793846</v>
      </c>
      <c r="CC33" s="270">
        <f t="shared" si="41"/>
        <v>42906.483598076309</v>
      </c>
      <c r="CD33" s="270">
        <f t="shared" si="42"/>
        <v>14302.161199358767</v>
      </c>
      <c r="CE33" s="270">
        <f t="shared" si="43"/>
        <v>14302.16119935877</v>
      </c>
      <c r="CF33" s="270"/>
      <c r="CG33" s="331">
        <f>ROUND('C12-CorpOwn'!R29,3)</f>
        <v>0.54</v>
      </c>
      <c r="CH33" s="331">
        <f>ROUND('C12-CorpOwn'!S29,3)</f>
        <v>0.39900000000000002</v>
      </c>
      <c r="CI33" s="331">
        <f>ROUND('C12-CorpOwn'!T29,3)</f>
        <v>6.0999999999999999E-2</v>
      </c>
      <c r="CJ33" s="270"/>
      <c r="CK33" s="270">
        <v>1844915</v>
      </c>
      <c r="CL33" s="270">
        <v>233451</v>
      </c>
      <c r="CM33" s="270">
        <v>139038</v>
      </c>
      <c r="CN33" s="270">
        <v>20938</v>
      </c>
      <c r="CO33" s="270">
        <v>207309</v>
      </c>
      <c r="CP33" s="270">
        <v>97531</v>
      </c>
      <c r="CQ33" s="270">
        <v>90807</v>
      </c>
      <c r="CR33" s="270">
        <v>149543</v>
      </c>
      <c r="CS33" s="270">
        <v>336078</v>
      </c>
      <c r="CT33" s="270">
        <v>289773</v>
      </c>
      <c r="CU33" s="280">
        <v>-21065</v>
      </c>
      <c r="CV33" s="280">
        <v>29158</v>
      </c>
      <c r="CW33" s="280">
        <v>-1375</v>
      </c>
      <c r="CX33" s="280">
        <v>237009</v>
      </c>
      <c r="CY33" s="280">
        <v>216842</v>
      </c>
      <c r="CZ33" s="280">
        <f t="shared" si="12"/>
        <v>20167</v>
      </c>
      <c r="DA33" s="280">
        <v>171638</v>
      </c>
      <c r="DB33" s="280">
        <v>150293</v>
      </c>
      <c r="DC33" s="280">
        <v>36991</v>
      </c>
      <c r="DD33" s="270">
        <v>121000</v>
      </c>
      <c r="DE33" s="270">
        <v>99700</v>
      </c>
      <c r="DF33" s="270">
        <v>8870</v>
      </c>
      <c r="DG33" s="270">
        <v>12907</v>
      </c>
      <c r="DH33" s="270">
        <v>5935</v>
      </c>
      <c r="DI33" s="270">
        <v>3766</v>
      </c>
      <c r="DJ33" s="270">
        <f t="shared" si="17"/>
        <v>37595</v>
      </c>
      <c r="DK33" s="280">
        <v>129848</v>
      </c>
      <c r="DL33" s="270">
        <v>36991</v>
      </c>
      <c r="DM33" s="270">
        <v>40276</v>
      </c>
      <c r="DN33" s="270">
        <v>121663</v>
      </c>
      <c r="DO33" s="270">
        <v>20573</v>
      </c>
      <c r="DP33" s="270">
        <v>4899</v>
      </c>
      <c r="DQ33" s="270">
        <v>22201</v>
      </c>
      <c r="DR33" s="270"/>
      <c r="DS33" s="270">
        <v>28117</v>
      </c>
      <c r="DT33" s="272">
        <v>-230</v>
      </c>
      <c r="DU33" s="270">
        <v>951</v>
      </c>
      <c r="DV33" s="272"/>
      <c r="DW33" s="270">
        <f>TOTALS!S90/1000000</f>
        <v>24423.095520999999</v>
      </c>
      <c r="DX33" s="280">
        <f>TOTALS!$BC90/1000000</f>
        <v>5800.5704102999998</v>
      </c>
      <c r="DY33" s="280"/>
      <c r="DZ33" s="270">
        <f t="shared" si="46"/>
        <v>6380.6274513300004</v>
      </c>
      <c r="EA33" s="270"/>
      <c r="EB33" s="272">
        <v>301893</v>
      </c>
      <c r="EC33" s="607">
        <v>16054</v>
      </c>
      <c r="ED33" s="277">
        <v>67471</v>
      </c>
      <c r="EE33" s="280">
        <v>57622</v>
      </c>
      <c r="EF33" s="280"/>
    </row>
    <row r="34" spans="1:136" ht="10.5" customHeight="1" x14ac:dyDescent="0.3">
      <c r="A34" s="268">
        <v>1985</v>
      </c>
      <c r="B34" s="603">
        <f>'C1-Incomes'!EX33</f>
        <v>3684187.6332999999</v>
      </c>
      <c r="C34" s="280">
        <f>(TOTALS!E91)/1000000+CC34-BS34</f>
        <v>1906686.2351116445</v>
      </c>
      <c r="D34" s="601" t="s">
        <v>50</v>
      </c>
      <c r="E34" s="270">
        <f t="shared" si="18"/>
        <v>24304.764888355508</v>
      </c>
      <c r="F34" s="598"/>
      <c r="G34" s="270">
        <f t="shared" si="0"/>
        <v>141706</v>
      </c>
      <c r="H34" s="601" t="s">
        <v>50</v>
      </c>
      <c r="I34" s="270">
        <f t="shared" si="13"/>
        <v>147734</v>
      </c>
      <c r="J34" s="270"/>
      <c r="K34" s="270">
        <f>'T-T0'!G34</f>
        <v>-14960.125827974194</v>
      </c>
      <c r="L34" s="270">
        <f t="shared" si="19"/>
        <v>35941.125827974196</v>
      </c>
      <c r="M34" s="270"/>
      <c r="N34" s="280">
        <f>'T-T0'!I34</f>
        <v>78389.558592000001</v>
      </c>
      <c r="O34" s="280">
        <f>'T-T0'!J34</f>
        <v>21072.6702544</v>
      </c>
      <c r="P34" s="280">
        <f t="shared" si="20"/>
        <v>14650.879313214866</v>
      </c>
      <c r="Q34" s="280">
        <f t="shared" si="21"/>
        <v>105957.89184038514</v>
      </c>
      <c r="R34" s="270"/>
      <c r="S34" s="280">
        <f>TOTALS!U91/1000000</f>
        <v>1702.9561749000002</v>
      </c>
      <c r="T34" s="270">
        <f t="shared" si="22"/>
        <v>30866.043825100001</v>
      </c>
      <c r="U34" s="270">
        <f t="shared" si="14"/>
        <v>-4181</v>
      </c>
      <c r="V34" s="270">
        <f t="shared" si="45"/>
        <v>1116</v>
      </c>
      <c r="W34" s="270"/>
      <c r="X34" s="280">
        <f t="shared" si="1"/>
        <v>30259.983813809245</v>
      </c>
      <c r="Y34" s="280">
        <f>(CP34-AA34)*'C13-CapOwn'!N30</f>
        <v>46935.18058185406</v>
      </c>
      <c r="Z34" s="607">
        <f>(CP34-AA34)*'C13-CapOwn'!O30</f>
        <v>4414.8356043366948</v>
      </c>
      <c r="AA34" s="607">
        <f t="shared" si="15"/>
        <v>17796</v>
      </c>
      <c r="AB34" s="270"/>
      <c r="AC34" s="280">
        <f>TOTALS!H91/1000000</f>
        <v>68926.739717999997</v>
      </c>
      <c r="AD34" s="601">
        <f t="shared" si="23"/>
        <v>16413.392933635601</v>
      </c>
      <c r="AE34" s="270">
        <f t="shared" si="2"/>
        <v>5583.0401268043997</v>
      </c>
      <c r="AF34" s="270"/>
      <c r="AG34" s="280">
        <f t="shared" si="24"/>
        <v>6020.7520196000005</v>
      </c>
      <c r="AH34" s="280">
        <f t="shared" si="25"/>
        <v>602.07520196000041</v>
      </c>
      <c r="AI34" s="270"/>
      <c r="AJ34" s="270">
        <f>'C10-Adj by Source'!X31</f>
        <v>79713.216</v>
      </c>
      <c r="AK34" s="601">
        <f t="shared" si="3"/>
        <v>68213.088000000003</v>
      </c>
      <c r="AL34" s="607">
        <f t="shared" si="4"/>
        <v>9609.6959999999999</v>
      </c>
      <c r="AM34" s="270"/>
      <c r="AN34" s="270">
        <f t="shared" si="26"/>
        <v>27361.75</v>
      </c>
      <c r="AO34" s="601">
        <f t="shared" si="27"/>
        <v>12628.5</v>
      </c>
      <c r="AP34" s="607">
        <f t="shared" si="5"/>
        <v>2104.75</v>
      </c>
      <c r="AQ34" s="280">
        <f>TOTALS!F91/1000000-AU34</f>
        <v>111890.5425</v>
      </c>
      <c r="AR34" s="607">
        <f t="shared" si="28"/>
        <v>26881.657500000001</v>
      </c>
      <c r="AS34" s="607">
        <f t="shared" si="6"/>
        <v>8469.8000000000011</v>
      </c>
      <c r="AT34" s="280"/>
      <c r="AU34" s="280">
        <f>TOTALS!F91/1000000*0.4</f>
        <v>74593.694999999992</v>
      </c>
      <c r="AV34" s="607">
        <f t="shared" si="29"/>
        <v>79902.88975000006</v>
      </c>
      <c r="AW34" s="607">
        <f t="shared" si="30"/>
        <v>4205.4152500000027</v>
      </c>
      <c r="AX34" s="270"/>
      <c r="AY34" s="270">
        <f>'C10-Adj by Source'!AE31</f>
        <v>46144</v>
      </c>
      <c r="AZ34" s="270">
        <f>'C10-Adj by Source'!AU31</f>
        <v>61347</v>
      </c>
      <c r="BA34" s="607">
        <f t="shared" si="16"/>
        <v>200642</v>
      </c>
      <c r="BB34" s="607"/>
      <c r="BC34" s="280">
        <f t="shared" si="7"/>
        <v>-21360</v>
      </c>
      <c r="BD34" s="280"/>
      <c r="BE34" s="280">
        <f t="shared" si="8"/>
        <v>34060</v>
      </c>
      <c r="BF34" s="280"/>
      <c r="BG34" s="280">
        <f t="shared" si="9"/>
        <v>1307</v>
      </c>
      <c r="BH34" s="270"/>
      <c r="BI34" s="280">
        <f>TOTALS!AD91/1000000+CE34</f>
        <v>108978.63844421487</v>
      </c>
      <c r="BJ34" s="280">
        <f t="shared" si="31"/>
        <v>59555.36155578513</v>
      </c>
      <c r="BK34" s="272"/>
      <c r="BL34" s="280">
        <f t="shared" si="32"/>
        <v>1.0000000004656613</v>
      </c>
      <c r="BM34" s="863"/>
      <c r="BN34" s="270">
        <v>3684189</v>
      </c>
      <c r="BO34" s="270">
        <f t="shared" si="33"/>
        <v>3684187.6332999999</v>
      </c>
      <c r="BP34" s="860">
        <f t="shared" si="34"/>
        <v>-1.3667000001296401</v>
      </c>
      <c r="BQ34" s="860"/>
      <c r="BR34" s="270">
        <v>51559</v>
      </c>
      <c r="BS34" s="270">
        <f>TOTALS!BP91/1000000</f>
        <v>43124.502827999997</v>
      </c>
      <c r="BT34" s="270">
        <f t="shared" si="10"/>
        <v>116975</v>
      </c>
      <c r="BU34" s="270">
        <f t="shared" si="36"/>
        <v>16413.392933635601</v>
      </c>
      <c r="BV34" s="270">
        <f t="shared" si="11"/>
        <v>68213.088000000003</v>
      </c>
      <c r="BW34" s="280">
        <f t="shared" si="37"/>
        <v>12628.5</v>
      </c>
      <c r="BX34" s="607">
        <f t="shared" si="38"/>
        <v>26881.657500000001</v>
      </c>
      <c r="BY34" s="280">
        <f t="shared" si="39"/>
        <v>79902.88975000006</v>
      </c>
      <c r="BZ34" s="280">
        <f t="shared" si="40"/>
        <v>204039.52818363567</v>
      </c>
      <c r="CA34" s="280"/>
      <c r="CB34" s="270">
        <f>'C0-Ref Stats'!AJ31</f>
        <v>73254.396566074342</v>
      </c>
      <c r="CC34" s="270">
        <f t="shared" si="41"/>
        <v>43952.637939644606</v>
      </c>
      <c r="CD34" s="270">
        <f t="shared" si="42"/>
        <v>14650.879313214866</v>
      </c>
      <c r="CE34" s="270">
        <f t="shared" si="43"/>
        <v>14650.879313214869</v>
      </c>
      <c r="CF34" s="270"/>
      <c r="CG34" s="331">
        <f>ROUND('C12-CorpOwn'!R30,3)</f>
        <v>0.50600000000000001</v>
      </c>
      <c r="CH34" s="331">
        <f>ROUND('C12-CorpOwn'!S30,3)</f>
        <v>0.433</v>
      </c>
      <c r="CI34" s="331">
        <f>ROUND('C12-CorpOwn'!T30,3)</f>
        <v>6.0999999999999999E-2</v>
      </c>
      <c r="CJ34" s="270"/>
      <c r="CK34" s="270">
        <v>1982550</v>
      </c>
      <c r="CL34" s="270">
        <v>258681</v>
      </c>
      <c r="CM34" s="270">
        <v>147734</v>
      </c>
      <c r="CN34" s="270">
        <v>20981</v>
      </c>
      <c r="CO34" s="270">
        <v>220071</v>
      </c>
      <c r="CP34" s="270">
        <v>99406</v>
      </c>
      <c r="CQ34" s="270">
        <v>97546</v>
      </c>
      <c r="CR34" s="270">
        <v>157536</v>
      </c>
      <c r="CS34" s="270">
        <v>348039</v>
      </c>
      <c r="CT34" s="270">
        <v>308133</v>
      </c>
      <c r="CU34" s="280">
        <v>-21360</v>
      </c>
      <c r="CV34" s="280">
        <v>34060</v>
      </c>
      <c r="CW34" s="280">
        <v>1307</v>
      </c>
      <c r="CX34" s="280">
        <v>261000</v>
      </c>
      <c r="CY34" s="280">
        <v>238846</v>
      </c>
      <c r="CZ34" s="280">
        <f t="shared" si="12"/>
        <v>22154</v>
      </c>
      <c r="DA34" s="280">
        <v>185325</v>
      </c>
      <c r="DB34" s="280">
        <v>169396</v>
      </c>
      <c r="DC34" s="280">
        <v>42095</v>
      </c>
      <c r="DD34" s="270">
        <v>131124</v>
      </c>
      <c r="DE34" s="270">
        <v>107491</v>
      </c>
      <c r="DF34" s="270">
        <v>8912</v>
      </c>
      <c r="DG34" s="270">
        <v>13955</v>
      </c>
      <c r="DH34" s="270">
        <v>6185</v>
      </c>
      <c r="DI34" s="270">
        <v>3973</v>
      </c>
      <c r="DJ34" s="270">
        <f t="shared" si="17"/>
        <v>36493</v>
      </c>
      <c r="DK34" s="280">
        <v>145435</v>
      </c>
      <c r="DL34" s="270">
        <v>42095</v>
      </c>
      <c r="DM34" s="270">
        <v>45714</v>
      </c>
      <c r="DN34" s="270">
        <v>133636</v>
      </c>
      <c r="DO34" s="270">
        <v>22742</v>
      </c>
      <c r="DP34" s="270">
        <v>5568</v>
      </c>
      <c r="DQ34" s="270">
        <v>25244</v>
      </c>
      <c r="DR34" s="270"/>
      <c r="DS34" s="270">
        <v>32569</v>
      </c>
      <c r="DT34" s="277">
        <v>-3065</v>
      </c>
      <c r="DU34" s="270">
        <v>1116</v>
      </c>
      <c r="DV34" s="277"/>
      <c r="DW34" s="270">
        <f>TOTALS!S91/1000000</f>
        <v>27093.422274</v>
      </c>
      <c r="DX34" s="280">
        <f>TOTALS!$BC91/1000000</f>
        <v>6020.7520196000005</v>
      </c>
      <c r="DY34" s="280"/>
      <c r="DZ34" s="270">
        <f t="shared" si="46"/>
        <v>6622.8272215600009</v>
      </c>
      <c r="EA34" s="270"/>
      <c r="EB34" s="272">
        <v>336453</v>
      </c>
      <c r="EC34" s="607">
        <v>17796</v>
      </c>
      <c r="ED34" s="277">
        <v>72122</v>
      </c>
      <c r="EE34" s="280">
        <v>61347</v>
      </c>
      <c r="EF34" s="280"/>
    </row>
    <row r="35" spans="1:136" ht="10.5" customHeight="1" x14ac:dyDescent="0.3">
      <c r="A35" s="268">
        <v>1986</v>
      </c>
      <c r="B35" s="603">
        <f>'C1-Incomes'!EX34</f>
        <v>3848203.7167000002</v>
      </c>
      <c r="C35" s="280">
        <f>(TOTALS!E92)/1000000+CC35-BS35</f>
        <v>2011863.7547804045</v>
      </c>
      <c r="D35" s="601" t="s">
        <v>50</v>
      </c>
      <c r="E35" s="270">
        <f t="shared" si="18"/>
        <v>34995.245219595497</v>
      </c>
      <c r="F35" s="598"/>
      <c r="G35" s="270">
        <f t="shared" si="0"/>
        <v>153444</v>
      </c>
      <c r="H35" s="601" t="s">
        <v>50</v>
      </c>
      <c r="I35" s="270">
        <f t="shared" si="13"/>
        <v>157869</v>
      </c>
      <c r="J35" s="270"/>
      <c r="K35" s="270">
        <f>'T-T0'!G35</f>
        <v>-7143.170826007703</v>
      </c>
      <c r="L35" s="270">
        <f t="shared" si="19"/>
        <v>29938.170826007703</v>
      </c>
      <c r="M35" s="270"/>
      <c r="N35" s="280">
        <f>'T-T0'!I35</f>
        <v>90060.747313</v>
      </c>
      <c r="O35" s="280">
        <f>'T-T0'!J35</f>
        <v>21614.324535400003</v>
      </c>
      <c r="P35" s="280">
        <f t="shared" si="20"/>
        <v>15350.872547801533</v>
      </c>
      <c r="Q35" s="280">
        <f t="shared" si="21"/>
        <v>106658.05560379848</v>
      </c>
      <c r="R35" s="270"/>
      <c r="S35" s="280">
        <f>TOTALS!U92/1000000</f>
        <v>-3762.4216150000002</v>
      </c>
      <c r="T35" s="270">
        <f t="shared" si="22"/>
        <v>33990.421614999999</v>
      </c>
      <c r="U35" s="270">
        <f t="shared" si="14"/>
        <v>-9460</v>
      </c>
      <c r="V35" s="270">
        <f t="shared" si="45"/>
        <v>1136</v>
      </c>
      <c r="W35" s="270"/>
      <c r="X35" s="280">
        <f t="shared" si="1"/>
        <v>34498.315157814839</v>
      </c>
      <c r="Y35" s="280">
        <f>(CP35-AA35)*'C13-CapOwn'!N31</f>
        <v>52535.888622028848</v>
      </c>
      <c r="Z35" s="607">
        <f>(CP35-AA35)*'C13-CapOwn'!O31</f>
        <v>4836.7962201563168</v>
      </c>
      <c r="AA35" s="607">
        <f t="shared" si="15"/>
        <v>17804</v>
      </c>
      <c r="AB35" s="270"/>
      <c r="AC35" s="280">
        <f>TOTALS!H92/1000000</f>
        <v>73952.057375000004</v>
      </c>
      <c r="AD35" s="601">
        <f t="shared" si="23"/>
        <v>17954.094350455191</v>
      </c>
      <c r="AE35" s="270">
        <f t="shared" si="2"/>
        <v>6123.7932629848001</v>
      </c>
      <c r="AF35" s="270"/>
      <c r="AG35" s="280">
        <f t="shared" si="24"/>
        <v>7409.1409196000004</v>
      </c>
      <c r="AH35" s="280">
        <f t="shared" si="25"/>
        <v>740.91409196000041</v>
      </c>
      <c r="AI35" s="270"/>
      <c r="AJ35" s="270">
        <f>'C10-Adj by Source'!X32</f>
        <v>57189.512999999992</v>
      </c>
      <c r="AK35" s="601">
        <f t="shared" si="3"/>
        <v>44601.308999999994</v>
      </c>
      <c r="AL35" s="607">
        <f t="shared" si="4"/>
        <v>6728.1779999999999</v>
      </c>
      <c r="AM35" s="270"/>
      <c r="AN35" s="270">
        <f t="shared" si="26"/>
        <v>31170.75</v>
      </c>
      <c r="AO35" s="601">
        <f t="shared" si="27"/>
        <v>14386.5</v>
      </c>
      <c r="AP35" s="607">
        <f t="shared" si="5"/>
        <v>2397.75</v>
      </c>
      <c r="AQ35" s="280">
        <f>TOTALS!F92/1000000-AU35</f>
        <v>103184.41164719999</v>
      </c>
      <c r="AR35" s="607">
        <f t="shared" si="28"/>
        <v>42725.488352800014</v>
      </c>
      <c r="AS35" s="607">
        <f t="shared" si="6"/>
        <v>8908.1</v>
      </c>
      <c r="AT35" s="280"/>
      <c r="AU35" s="280">
        <f>TOTALS!F92/1000000*0.4</f>
        <v>68789.607764800006</v>
      </c>
      <c r="AV35" s="607">
        <f t="shared" si="29"/>
        <v>88955.52262343996</v>
      </c>
      <c r="AW35" s="607">
        <f t="shared" si="30"/>
        <v>4681.8696117599993</v>
      </c>
      <c r="AX35" s="270"/>
      <c r="AY35" s="270">
        <f>'C10-Adj by Source'!AE32</f>
        <v>51010</v>
      </c>
      <c r="AZ35" s="270">
        <f>'C10-Adj by Source'!AU32</f>
        <v>65148</v>
      </c>
      <c r="BA35" s="607">
        <f t="shared" si="16"/>
        <v>207215</v>
      </c>
      <c r="BB35" s="607"/>
      <c r="BC35" s="280">
        <f t="shared" si="7"/>
        <v>-24895</v>
      </c>
      <c r="BD35" s="280"/>
      <c r="BE35" s="280">
        <f t="shared" si="8"/>
        <v>35961</v>
      </c>
      <c r="BF35" s="280"/>
      <c r="BG35" s="280">
        <f t="shared" si="9"/>
        <v>1963</v>
      </c>
      <c r="BH35" s="270"/>
      <c r="BI35" s="280">
        <f>TOTALS!AD92/1000000+CE35</f>
        <v>122300.23065780153</v>
      </c>
      <c r="BJ35" s="280">
        <f t="shared" si="31"/>
        <v>63371.769342198473</v>
      </c>
      <c r="BK35" s="272"/>
      <c r="BL35" s="280">
        <f t="shared" si="32"/>
        <v>0</v>
      </c>
      <c r="BM35" s="863"/>
      <c r="BN35" s="270">
        <v>3848203</v>
      </c>
      <c r="BO35" s="270">
        <f t="shared" si="33"/>
        <v>3848203.7167000002</v>
      </c>
      <c r="BP35" s="860">
        <f t="shared" si="34"/>
        <v>0.71670000022277236</v>
      </c>
      <c r="BQ35" s="860"/>
      <c r="BR35" s="270">
        <v>55476</v>
      </c>
      <c r="BS35" s="270">
        <f>TOTALS!BP92/1000000</f>
        <v>43787.562862999999</v>
      </c>
      <c r="BT35" s="270">
        <f t="shared" si="10"/>
        <v>130196</v>
      </c>
      <c r="BU35" s="270">
        <f t="shared" si="36"/>
        <v>17954.094350455191</v>
      </c>
      <c r="BV35" s="270">
        <f t="shared" si="11"/>
        <v>44601.308999999994</v>
      </c>
      <c r="BW35" s="280">
        <f t="shared" si="37"/>
        <v>14386.5</v>
      </c>
      <c r="BX35" s="607">
        <f t="shared" si="38"/>
        <v>42725.488352800014</v>
      </c>
      <c r="BY35" s="280">
        <f t="shared" si="39"/>
        <v>88955.52262343996</v>
      </c>
      <c r="BZ35" s="280">
        <f t="shared" si="40"/>
        <v>208622.91432669517</v>
      </c>
      <c r="CA35" s="280"/>
      <c r="CB35" s="270">
        <f>'C0-Ref Stats'!AJ32</f>
        <v>76754.362739007658</v>
      </c>
      <c r="CC35" s="270">
        <f t="shared" si="41"/>
        <v>46052.617643404592</v>
      </c>
      <c r="CD35" s="270">
        <f t="shared" si="42"/>
        <v>15350.872547801533</v>
      </c>
      <c r="CE35" s="270">
        <f t="shared" si="43"/>
        <v>15350.872547801533</v>
      </c>
      <c r="CF35" s="270"/>
      <c r="CG35" s="331">
        <f>ROUND('C12-CorpOwn'!R31,3)</f>
        <v>0.52700000000000002</v>
      </c>
      <c r="CH35" s="331">
        <f>ROUND('C12-CorpOwn'!S31,3)</f>
        <v>0.41099999999999998</v>
      </c>
      <c r="CI35" s="331">
        <f>ROUND('C12-CorpOwn'!T31,3)</f>
        <v>6.2E-2</v>
      </c>
      <c r="CJ35" s="270"/>
      <c r="CK35" s="270">
        <v>2102335</v>
      </c>
      <c r="CL35" s="270">
        <v>283640</v>
      </c>
      <c r="CM35" s="270">
        <v>157869</v>
      </c>
      <c r="CN35" s="270">
        <v>22795</v>
      </c>
      <c r="CO35" s="270">
        <v>233684</v>
      </c>
      <c r="CP35" s="270">
        <v>109675</v>
      </c>
      <c r="CQ35" s="270">
        <v>106180</v>
      </c>
      <c r="CR35" s="270">
        <v>108519</v>
      </c>
      <c r="CS35" s="270">
        <v>365200</v>
      </c>
      <c r="CT35" s="270">
        <v>323373</v>
      </c>
      <c r="CU35" s="280">
        <v>-24895</v>
      </c>
      <c r="CV35" s="280">
        <v>35961</v>
      </c>
      <c r="CW35" s="280">
        <v>1963</v>
      </c>
      <c r="CX35" s="280">
        <v>276026</v>
      </c>
      <c r="CY35" s="280">
        <v>252682</v>
      </c>
      <c r="CZ35" s="280">
        <f t="shared" si="12"/>
        <v>23344</v>
      </c>
      <c r="DA35" s="280">
        <v>194611</v>
      </c>
      <c r="DB35" s="280">
        <v>178162</v>
      </c>
      <c r="DC35" s="280">
        <v>47955</v>
      </c>
      <c r="DD35" s="270">
        <v>139850</v>
      </c>
      <c r="DE35" s="270">
        <v>116158</v>
      </c>
      <c r="DF35" s="270">
        <v>9194</v>
      </c>
      <c r="DG35" s="270">
        <v>14949</v>
      </c>
      <c r="DH35" s="270">
        <v>6028</v>
      </c>
      <c r="DI35" s="270">
        <v>4111</v>
      </c>
      <c r="DJ35" s="270">
        <f t="shared" si="17"/>
        <v>33083</v>
      </c>
      <c r="DK35" s="280">
        <v>160479</v>
      </c>
      <c r="DL35" s="270">
        <v>47955</v>
      </c>
      <c r="DM35" s="270">
        <v>48406</v>
      </c>
      <c r="DN35" s="270">
        <v>144534</v>
      </c>
      <c r="DO35" s="270">
        <v>26101</v>
      </c>
      <c r="DP35" s="270">
        <v>6071</v>
      </c>
      <c r="DQ35" s="270">
        <v>28940</v>
      </c>
      <c r="DR35" s="270"/>
      <c r="DS35" s="270">
        <v>30228</v>
      </c>
      <c r="DT35" s="277">
        <v>-8324</v>
      </c>
      <c r="DU35" s="270">
        <v>1136</v>
      </c>
      <c r="DV35" s="277"/>
      <c r="DW35" s="270">
        <f>TOTALS!S92/1000000</f>
        <v>29023.465455000001</v>
      </c>
      <c r="DX35" s="280">
        <f>TOTALS!$BC92/1000000</f>
        <v>7409.1409196000004</v>
      </c>
      <c r="DY35" s="280"/>
      <c r="DZ35" s="270">
        <f t="shared" si="46"/>
        <v>8150.0550115600008</v>
      </c>
      <c r="EA35" s="270"/>
      <c r="EB35" s="272">
        <v>350601</v>
      </c>
      <c r="EC35" s="607">
        <v>17804</v>
      </c>
      <c r="ED35" s="277">
        <v>77449</v>
      </c>
      <c r="EE35" s="280">
        <v>65148</v>
      </c>
      <c r="EF35" s="280"/>
    </row>
    <row r="36" spans="1:136" ht="10.5" customHeight="1" x14ac:dyDescent="0.3">
      <c r="A36" s="268">
        <v>1987</v>
      </c>
      <c r="B36" s="603">
        <f>'C1-Incomes'!EX35</f>
        <v>4119197.5964000002</v>
      </c>
      <c r="C36" s="280">
        <f>(TOTALS!E93)/1000000+CC36-BS36</f>
        <v>2175544.6237272467</v>
      </c>
      <c r="D36" s="601" t="s">
        <v>50</v>
      </c>
      <c r="E36" s="270">
        <f t="shared" si="18"/>
        <v>21632.376272753347</v>
      </c>
      <c r="F36" s="598"/>
      <c r="G36" s="270">
        <f t="shared" si="0"/>
        <v>166826</v>
      </c>
      <c r="H36" s="601" t="s">
        <v>50</v>
      </c>
      <c r="I36" s="270">
        <f t="shared" si="13"/>
        <v>166260</v>
      </c>
      <c r="J36" s="270"/>
      <c r="K36" s="270">
        <f>'T-T0'!G36</f>
        <v>4730.5627295884879</v>
      </c>
      <c r="L36" s="270">
        <f t="shared" si="19"/>
        <v>24163.437270411512</v>
      </c>
      <c r="M36" s="270"/>
      <c r="N36" s="280">
        <f>'T-T0'!I36</f>
        <v>104868.44808</v>
      </c>
      <c r="O36" s="280">
        <f>'T-T0'!J36</f>
        <v>5919.0953609999997</v>
      </c>
      <c r="P36" s="280">
        <f t="shared" si="20"/>
        <v>16801.668699082202</v>
      </c>
      <c r="Q36" s="280">
        <f t="shared" si="21"/>
        <v>129984.78785991781</v>
      </c>
      <c r="R36" s="270"/>
      <c r="S36" s="280">
        <f>TOTALS!U93/1000000</f>
        <v>-2184.6304850000001</v>
      </c>
      <c r="T36" s="270">
        <f t="shared" si="22"/>
        <v>31100.630485000001</v>
      </c>
      <c r="U36" s="270">
        <f t="shared" si="14"/>
        <v>-9849</v>
      </c>
      <c r="V36" s="270">
        <f t="shared" si="45"/>
        <v>1141</v>
      </c>
      <c r="W36" s="270"/>
      <c r="X36" s="280">
        <f t="shared" si="1"/>
        <v>39426.289549933259</v>
      </c>
      <c r="Y36" s="280">
        <f>(CP36-AA36)*'C13-CapOwn'!N32</f>
        <v>67007.183359125978</v>
      </c>
      <c r="Z36" s="607">
        <f>(CP36-AA36)*'C13-CapOwn'!O32</f>
        <v>6268.5270909407636</v>
      </c>
      <c r="AA36" s="607">
        <f t="shared" si="15"/>
        <v>17739</v>
      </c>
      <c r="AB36" s="270"/>
      <c r="AC36" s="280">
        <f>TOTALS!H93/1000000</f>
        <v>78236.591654999997</v>
      </c>
      <c r="AD36" s="601">
        <f t="shared" si="23"/>
        <v>8223.2946396500047</v>
      </c>
      <c r="AE36" s="270">
        <f t="shared" si="2"/>
        <v>6135.18899435</v>
      </c>
      <c r="AF36" s="270"/>
      <c r="AG36" s="280">
        <f t="shared" si="24"/>
        <v>17924.477009999999</v>
      </c>
      <c r="AH36" s="280">
        <f t="shared" si="25"/>
        <v>1792.447701000001</v>
      </c>
      <c r="AI36" s="270"/>
      <c r="AJ36" s="270">
        <f>'C10-Adj by Source'!X33</f>
        <v>57055.490000000005</v>
      </c>
      <c r="AK36" s="601">
        <f t="shared" si="3"/>
        <v>58164.56</v>
      </c>
      <c r="AL36" s="607">
        <f t="shared" si="4"/>
        <v>8009.9500000000007</v>
      </c>
      <c r="AM36" s="270"/>
      <c r="AN36" s="270">
        <f>TOTALS!BF32/1000000</f>
        <v>30719.615479</v>
      </c>
      <c r="AO36" s="601">
        <f t="shared" si="27"/>
        <v>18610.084521000001</v>
      </c>
      <c r="AP36" s="607">
        <f t="shared" si="5"/>
        <v>2596.3000000000002</v>
      </c>
      <c r="AQ36" s="280">
        <f>TOTALS!F93/1000000-AU36</f>
        <v>103123.96573500001</v>
      </c>
      <c r="AR36" s="607">
        <f t="shared" si="28"/>
        <v>48123.034264999995</v>
      </c>
      <c r="AS36" s="607">
        <f t="shared" si="6"/>
        <v>9229</v>
      </c>
      <c r="AT36" s="280"/>
      <c r="AU36" s="280">
        <f>TOTALS!F93/1000000*0.4</f>
        <v>68749.310490000003</v>
      </c>
      <c r="AV36" s="607">
        <f t="shared" si="29"/>
        <v>83936.00503450002</v>
      </c>
      <c r="AW36" s="607">
        <f t="shared" si="30"/>
        <v>4417.6844755000002</v>
      </c>
      <c r="AX36" s="270"/>
      <c r="AY36" s="270">
        <f>'C10-Adj by Source'!AE33</f>
        <v>55112</v>
      </c>
      <c r="AZ36" s="270">
        <f>'C10-Adj by Source'!AU33</f>
        <v>71310</v>
      </c>
      <c r="BA36" s="607">
        <f t="shared" si="16"/>
        <v>221123</v>
      </c>
      <c r="BB36" s="607"/>
      <c r="BC36" s="280">
        <f t="shared" si="7"/>
        <v>-30282</v>
      </c>
      <c r="BD36" s="280"/>
      <c r="BE36" s="280">
        <f t="shared" si="8"/>
        <v>33294</v>
      </c>
      <c r="BF36" s="280"/>
      <c r="BG36" s="280">
        <f t="shared" si="9"/>
        <v>2167</v>
      </c>
      <c r="BH36" s="270"/>
      <c r="BI36" s="280">
        <f>TOTALS!AD93/1000000+CE36</f>
        <v>140600.7711190822</v>
      </c>
      <c r="BJ36" s="280">
        <f t="shared" si="31"/>
        <v>53446.228880917799</v>
      </c>
      <c r="BK36" s="272"/>
      <c r="BL36" s="280">
        <f t="shared" si="32"/>
        <v>0</v>
      </c>
      <c r="BM36" s="863"/>
      <c r="BN36" s="270">
        <v>4119198</v>
      </c>
      <c r="BO36" s="270">
        <f t="shared" si="33"/>
        <v>4119197.5964000002</v>
      </c>
      <c r="BP36" s="860">
        <f t="shared" si="34"/>
        <v>-0.40359999984502792</v>
      </c>
      <c r="BQ36" s="860"/>
      <c r="BR36" s="270">
        <v>59090</v>
      </c>
      <c r="BS36" s="270">
        <f>TOTALS!BP93/1000000</f>
        <v>20079.882369999999</v>
      </c>
      <c r="BT36" s="270">
        <f t="shared" si="10"/>
        <v>134957</v>
      </c>
      <c r="BU36" s="270">
        <f t="shared" si="36"/>
        <v>8223.2946396500047</v>
      </c>
      <c r="BV36" s="270">
        <f t="shared" si="11"/>
        <v>58164.56</v>
      </c>
      <c r="BW36" s="280">
        <f t="shared" si="37"/>
        <v>18610.084521000001</v>
      </c>
      <c r="BX36" s="607">
        <f t="shared" si="38"/>
        <v>48123.034264999995</v>
      </c>
      <c r="BY36" s="280">
        <f t="shared" si="39"/>
        <v>83936.00503450002</v>
      </c>
      <c r="BZ36" s="280">
        <f t="shared" si="40"/>
        <v>217056.97846015001</v>
      </c>
      <c r="CA36" s="280"/>
      <c r="CB36" s="270">
        <f>'C0-Ref Stats'!AJ33</f>
        <v>84008.343495411013</v>
      </c>
      <c r="CC36" s="270">
        <f t="shared" si="41"/>
        <v>50405.006097246609</v>
      </c>
      <c r="CD36" s="270">
        <f t="shared" si="42"/>
        <v>16801.668699082202</v>
      </c>
      <c r="CE36" s="270">
        <f t="shared" si="43"/>
        <v>16801.668699082202</v>
      </c>
      <c r="CF36" s="270"/>
      <c r="CG36" s="331">
        <f>ROUND('C12-CorpOwn'!R32,3)</f>
        <v>0.46300000000000002</v>
      </c>
      <c r="CH36" s="331">
        <f>ROUND('C12-CorpOwn'!S32,3)</f>
        <v>0.47199999999999998</v>
      </c>
      <c r="CI36" s="331">
        <f>ROUND('C12-CorpOwn'!T32,3)</f>
        <v>6.5000000000000002E-2</v>
      </c>
      <c r="CJ36" s="270"/>
      <c r="CK36" s="270">
        <v>2256267</v>
      </c>
      <c r="CL36" s="270">
        <v>301783</v>
      </c>
      <c r="CM36" s="270">
        <v>166260</v>
      </c>
      <c r="CN36" s="270">
        <v>28894</v>
      </c>
      <c r="CO36" s="270">
        <v>257574</v>
      </c>
      <c r="CP36" s="270">
        <v>130441</v>
      </c>
      <c r="CQ36" s="270">
        <v>112312</v>
      </c>
      <c r="CR36" s="270">
        <v>123230</v>
      </c>
      <c r="CS36" s="270">
        <v>369505</v>
      </c>
      <c r="CT36" s="270">
        <v>347545</v>
      </c>
      <c r="CU36" s="280">
        <v>-30282</v>
      </c>
      <c r="CV36" s="280">
        <v>33294</v>
      </c>
      <c r="CW36" s="280">
        <v>2167</v>
      </c>
      <c r="CX36" s="280">
        <v>285842</v>
      </c>
      <c r="CY36" s="280">
        <v>261738</v>
      </c>
      <c r="CZ36" s="280">
        <f t="shared" si="12"/>
        <v>24104</v>
      </c>
      <c r="DA36" s="280">
        <v>207674</v>
      </c>
      <c r="DB36" s="280">
        <v>184580</v>
      </c>
      <c r="DC36" s="280">
        <v>51926</v>
      </c>
      <c r="DD36" s="270">
        <v>150326</v>
      </c>
      <c r="DE36" s="270">
        <v>126422</v>
      </c>
      <c r="DF36" s="270">
        <v>8997</v>
      </c>
      <c r="DG36" s="270">
        <v>16517</v>
      </c>
      <c r="DH36" s="270">
        <v>6071</v>
      </c>
      <c r="DI36" s="270">
        <v>4270</v>
      </c>
      <c r="DJ36" s="270">
        <f t="shared" si="17"/>
        <v>34942</v>
      </c>
      <c r="DK36" s="280">
        <v>171605</v>
      </c>
      <c r="DL36" s="270">
        <v>51926</v>
      </c>
      <c r="DM36" s="270">
        <v>49438</v>
      </c>
      <c r="DN36" s="270">
        <v>154875</v>
      </c>
      <c r="DO36" s="270">
        <v>27722</v>
      </c>
      <c r="DP36" s="270">
        <v>6132</v>
      </c>
      <c r="DQ36" s="270">
        <v>33541</v>
      </c>
      <c r="DR36" s="270"/>
      <c r="DS36" s="270">
        <v>28916</v>
      </c>
      <c r="DT36" s="277">
        <v>-8708</v>
      </c>
      <c r="DU36" s="270">
        <v>1141</v>
      </c>
      <c r="DV36" s="277"/>
      <c r="DW36" s="270">
        <f>TOTALS!S93/1000000</f>
        <v>23843.572370999998</v>
      </c>
      <c r="DX36" s="280">
        <f>TOTALS!$BC93/1000000</f>
        <v>17924.477009999999</v>
      </c>
      <c r="DY36" s="280"/>
      <c r="DZ36" s="270">
        <f t="shared" si="46"/>
        <v>19716.924711</v>
      </c>
      <c r="EA36" s="270"/>
      <c r="EB36" s="272">
        <v>392987</v>
      </c>
      <c r="EC36" s="607">
        <v>17739</v>
      </c>
      <c r="ED36" s="277">
        <v>85959</v>
      </c>
      <c r="EE36" s="280">
        <v>71310</v>
      </c>
      <c r="EF36" s="280"/>
    </row>
    <row r="37" spans="1:136" ht="10.5" customHeight="1" x14ac:dyDescent="0.3">
      <c r="A37" s="268">
        <v>1988</v>
      </c>
      <c r="B37" s="603">
        <f>'C1-Incomes'!EX36</f>
        <v>4493372.5432000002</v>
      </c>
      <c r="C37" s="280">
        <f>(TOTALS!E94)/1000000+CC37-BS37</f>
        <v>2353474.7723655449</v>
      </c>
      <c r="D37" s="601" t="s">
        <v>50</v>
      </c>
      <c r="E37" s="270">
        <f t="shared" si="18"/>
        <v>24432.227634455077</v>
      </c>
      <c r="F37" s="598"/>
      <c r="G37" s="270">
        <f t="shared" si="0"/>
        <v>187905</v>
      </c>
      <c r="H37" s="601" t="s">
        <v>50</v>
      </c>
      <c r="I37" s="270">
        <f t="shared" si="13"/>
        <v>184633</v>
      </c>
      <c r="J37" s="270"/>
      <c r="K37" s="270">
        <f>'T-T0'!G37</f>
        <v>6499.3042668257222</v>
      </c>
      <c r="L37" s="270">
        <f t="shared" si="19"/>
        <v>20290.695733174278</v>
      </c>
      <c r="M37" s="270"/>
      <c r="N37" s="280">
        <f>'T-T0'!I37</f>
        <v>125577.16265300001</v>
      </c>
      <c r="O37" s="280">
        <f>'T-T0'!J37</f>
        <v>22295.962987999999</v>
      </c>
      <c r="P37" s="280">
        <f t="shared" si="20"/>
        <v>18184.455920514909</v>
      </c>
      <c r="Q37" s="280">
        <f t="shared" si="21"/>
        <v>132995.4184384851</v>
      </c>
      <c r="R37" s="270"/>
      <c r="S37" s="280">
        <f>TOTALS!U94/1000000</f>
        <v>7775.7943386000006</v>
      </c>
      <c r="T37" s="270">
        <f t="shared" si="22"/>
        <v>19796.205661399999</v>
      </c>
      <c r="U37" s="270">
        <f t="shared" si="14"/>
        <v>-3586</v>
      </c>
      <c r="V37" s="270">
        <f t="shared" si="45"/>
        <v>1129</v>
      </c>
      <c r="W37" s="270"/>
      <c r="X37" s="280">
        <f t="shared" si="1"/>
        <v>45364.110714131042</v>
      </c>
      <c r="Y37" s="280">
        <f>(CP37-AA37)*'C13-CapOwn'!N33</f>
        <v>71364.994956174211</v>
      </c>
      <c r="Z37" s="607">
        <f>(CP37-AA37)*'C13-CapOwn'!O33</f>
        <v>7536.8943296947455</v>
      </c>
      <c r="AA37" s="607">
        <f t="shared" si="15"/>
        <v>17364</v>
      </c>
      <c r="AB37" s="270"/>
      <c r="AC37" s="280">
        <f>TOTALS!H94/1000000</f>
        <v>89601.428436000002</v>
      </c>
      <c r="AD37" s="601">
        <f t="shared" si="23"/>
        <v>-3345.3836011260064</v>
      </c>
      <c r="AE37" s="270">
        <f t="shared" si="2"/>
        <v>6334.975202226</v>
      </c>
      <c r="AF37" s="270"/>
      <c r="AG37" s="280">
        <f t="shared" si="24"/>
        <v>33934.527239000003</v>
      </c>
      <c r="AH37" s="280">
        <f t="shared" si="25"/>
        <v>3393.4527239000017</v>
      </c>
      <c r="AI37" s="270"/>
      <c r="AJ37" s="270">
        <f>'C10-Adj by Source'!X34</f>
        <v>69228.389999999985</v>
      </c>
      <c r="AK37" s="601">
        <f t="shared" si="3"/>
        <v>64641.83</v>
      </c>
      <c r="AL37" s="607">
        <f t="shared" si="4"/>
        <v>9459.7800000000007</v>
      </c>
      <c r="AM37" s="270"/>
      <c r="AN37" s="270">
        <f>TOTALS!BF33/1000000</f>
        <v>32811.274383000004</v>
      </c>
      <c r="AO37" s="601">
        <f t="shared" si="27"/>
        <v>18857.325616999995</v>
      </c>
      <c r="AP37" s="607">
        <f t="shared" si="5"/>
        <v>2719.4</v>
      </c>
      <c r="AQ37" s="280">
        <f>TOTALS!F94/1000000-AU37</f>
        <v>113635.85272380001</v>
      </c>
      <c r="AR37" s="607">
        <f t="shared" si="28"/>
        <v>46954.597276199987</v>
      </c>
      <c r="AS37" s="607">
        <f t="shared" si="6"/>
        <v>9965.5500000000011</v>
      </c>
      <c r="AT37" s="280"/>
      <c r="AU37" s="280">
        <f>TOTALS!F94/1000000*0.4</f>
        <v>75757.235149200002</v>
      </c>
      <c r="AV37" s="607">
        <f t="shared" si="29"/>
        <v>89334.926608260052</v>
      </c>
      <c r="AW37" s="607">
        <f t="shared" si="30"/>
        <v>4701.8382425400023</v>
      </c>
      <c r="AX37" s="270"/>
      <c r="AY37" s="270">
        <f>'C10-Adj by Source'!AE34</f>
        <v>60149</v>
      </c>
      <c r="AZ37" s="270">
        <f>'C10-Adj by Source'!AU34</f>
        <v>76347</v>
      </c>
      <c r="BA37" s="607">
        <f t="shared" si="16"/>
        <v>237968</v>
      </c>
      <c r="BB37" s="607"/>
      <c r="BC37" s="280">
        <f t="shared" si="7"/>
        <v>-29502</v>
      </c>
      <c r="BD37" s="280"/>
      <c r="BE37" s="280">
        <f t="shared" si="8"/>
        <v>32755</v>
      </c>
      <c r="BF37" s="280"/>
      <c r="BG37" s="280">
        <f t="shared" si="9"/>
        <v>5040</v>
      </c>
      <c r="BH37" s="270"/>
      <c r="BI37" s="280">
        <f>TOTALS!AD94/1000000+CE37</f>
        <v>166740.3055365149</v>
      </c>
      <c r="BJ37" s="280">
        <f t="shared" si="31"/>
        <v>32854.694463485095</v>
      </c>
      <c r="BK37" s="272"/>
      <c r="BL37" s="280">
        <f t="shared" si="32"/>
        <v>0</v>
      </c>
      <c r="BM37" s="863"/>
      <c r="BN37" s="270">
        <v>4493372</v>
      </c>
      <c r="BO37" s="270">
        <f t="shared" si="33"/>
        <v>4493372.5432000002</v>
      </c>
      <c r="BP37" s="860">
        <f t="shared" si="34"/>
        <v>0.54320000018924475</v>
      </c>
      <c r="BQ37" s="860"/>
      <c r="BR37" s="270">
        <v>61875</v>
      </c>
      <c r="BS37" s="270">
        <f>TOTALS!BP94/1000000</f>
        <v>18379.495395999998</v>
      </c>
      <c r="BT37" s="270">
        <f t="shared" si="10"/>
        <v>137720</v>
      </c>
      <c r="BU37" s="270">
        <f t="shared" si="36"/>
        <v>-3345.3836011260064</v>
      </c>
      <c r="BV37" s="270">
        <f t="shared" si="11"/>
        <v>64641.83</v>
      </c>
      <c r="BW37" s="280">
        <f t="shared" si="37"/>
        <v>18857.325616999995</v>
      </c>
      <c r="BX37" s="607">
        <f t="shared" si="38"/>
        <v>46954.597276199987</v>
      </c>
      <c r="BY37" s="280">
        <f t="shared" si="39"/>
        <v>89334.926608260052</v>
      </c>
      <c r="BZ37" s="280">
        <f t="shared" si="40"/>
        <v>216443.29590033402</v>
      </c>
      <c r="CA37" s="280"/>
      <c r="CB37" s="270">
        <f>'C0-Ref Stats'!AJ34</f>
        <v>90922.279602574534</v>
      </c>
      <c r="CC37" s="270">
        <f t="shared" si="41"/>
        <v>54553.367761544716</v>
      </c>
      <c r="CD37" s="270">
        <f t="shared" si="42"/>
        <v>18184.455920514909</v>
      </c>
      <c r="CE37" s="270">
        <f t="shared" si="43"/>
        <v>18184.455920514909</v>
      </c>
      <c r="CF37" s="270"/>
      <c r="CG37" s="331">
        <f>ROUND('C12-CorpOwn'!R33,3)</f>
        <v>0.48299999999999998</v>
      </c>
      <c r="CH37" s="331">
        <f>ROUND('C12-CorpOwn'!S33,3)</f>
        <v>0.45100000000000001</v>
      </c>
      <c r="CI37" s="331">
        <f>ROUND('C12-CorpOwn'!T33,3)</f>
        <v>6.6000000000000003E-2</v>
      </c>
      <c r="CJ37" s="270"/>
      <c r="CK37" s="270">
        <v>2439782</v>
      </c>
      <c r="CL37" s="270">
        <v>325625</v>
      </c>
      <c r="CM37" s="270">
        <v>184633</v>
      </c>
      <c r="CN37" s="270">
        <v>26790</v>
      </c>
      <c r="CO37" s="270">
        <v>299053</v>
      </c>
      <c r="CP37" s="270">
        <v>141630</v>
      </c>
      <c r="CQ37" s="270">
        <v>129919</v>
      </c>
      <c r="CR37" s="270">
        <v>143330</v>
      </c>
      <c r="CS37" s="270">
        <v>394738</v>
      </c>
      <c r="CT37" s="270">
        <v>374464</v>
      </c>
      <c r="CU37" s="280">
        <v>-29502</v>
      </c>
      <c r="CV37" s="280">
        <v>32755</v>
      </c>
      <c r="CW37" s="280">
        <v>5040</v>
      </c>
      <c r="CX37" s="280">
        <v>302990</v>
      </c>
      <c r="CY37" s="280">
        <v>274235</v>
      </c>
      <c r="CZ37" s="280">
        <f t="shared" si="12"/>
        <v>28755</v>
      </c>
      <c r="DA37" s="280">
        <v>219008</v>
      </c>
      <c r="DB37" s="280">
        <v>199311</v>
      </c>
      <c r="DC37" s="280">
        <v>54388</v>
      </c>
      <c r="DD37" s="270">
        <v>162392</v>
      </c>
      <c r="DE37" s="270">
        <v>136496</v>
      </c>
      <c r="DF37" s="270">
        <v>9797</v>
      </c>
      <c r="DG37" s="270">
        <v>17554</v>
      </c>
      <c r="DH37" s="270">
        <v>6121</v>
      </c>
      <c r="DI37" s="270">
        <v>4491</v>
      </c>
      <c r="DJ37" s="270">
        <f t="shared" si="17"/>
        <v>37613</v>
      </c>
      <c r="DK37" s="280">
        <v>183778</v>
      </c>
      <c r="DL37" s="270">
        <v>54388</v>
      </c>
      <c r="DM37" s="270">
        <v>53077</v>
      </c>
      <c r="DN37" s="270">
        <v>172809</v>
      </c>
      <c r="DO37" s="270">
        <v>29490</v>
      </c>
      <c r="DP37" s="270">
        <v>6459</v>
      </c>
      <c r="DQ37" s="270">
        <v>38127</v>
      </c>
      <c r="DR37" s="270"/>
      <c r="DS37" s="270">
        <v>27572</v>
      </c>
      <c r="DT37" s="277">
        <v>-2457</v>
      </c>
      <c r="DU37" s="270">
        <v>1129</v>
      </c>
      <c r="DV37" s="277"/>
      <c r="DW37" s="270">
        <f>TOTALS!S94/1000000</f>
        <v>56230.490227000002</v>
      </c>
      <c r="DX37" s="280">
        <f>TOTALS!$BC94/1000000</f>
        <v>33934.527239000003</v>
      </c>
      <c r="DY37" s="280"/>
      <c r="DZ37" s="270">
        <f t="shared" si="46"/>
        <v>37327.979962900004</v>
      </c>
      <c r="EA37" s="270"/>
      <c r="EB37" s="272">
        <v>403845</v>
      </c>
      <c r="EC37" s="607">
        <v>17364</v>
      </c>
      <c r="ED37" s="277">
        <v>90599</v>
      </c>
      <c r="EE37" s="280">
        <v>76347</v>
      </c>
      <c r="EF37" s="280"/>
    </row>
    <row r="38" spans="1:136" ht="10.5" customHeight="1" x14ac:dyDescent="0.3">
      <c r="A38" s="268">
        <v>1989</v>
      </c>
      <c r="B38" s="603">
        <f>'C1-Incomes'!EX37</f>
        <v>4782196.0384999998</v>
      </c>
      <c r="C38" s="280">
        <f>(TOTALS!E95)/1000000+CC38-BS38</f>
        <v>2468231.5299776071</v>
      </c>
      <c r="D38" s="601" t="s">
        <v>50</v>
      </c>
      <c r="E38" s="270">
        <f t="shared" si="18"/>
        <v>46446.470022392925</v>
      </c>
      <c r="F38" s="598"/>
      <c r="G38" s="270">
        <f t="shared" si="0"/>
        <v>208068</v>
      </c>
      <c r="H38" s="601" t="s">
        <v>50</v>
      </c>
      <c r="I38" s="270">
        <f t="shared" si="13"/>
        <v>193673</v>
      </c>
      <c r="J38" s="270"/>
      <c r="K38" s="270">
        <f>'T-T0'!G38</f>
        <v>11475.310276987171</v>
      </c>
      <c r="L38" s="270">
        <f t="shared" si="19"/>
        <v>21549.689723012831</v>
      </c>
      <c r="M38" s="270"/>
      <c r="N38" s="280">
        <f>'T-T0'!I38</f>
        <v>132286.72782999999</v>
      </c>
      <c r="O38" s="280">
        <f>'T-T0'!J38</f>
        <v>28159.074351999996</v>
      </c>
      <c r="P38" s="280">
        <f t="shared" si="20"/>
        <v>19030.097186202398</v>
      </c>
      <c r="Q38" s="280">
        <f t="shared" si="21"/>
        <v>129437.10063179761</v>
      </c>
      <c r="R38" s="270"/>
      <c r="S38" s="280">
        <f>TOTALS!U95/1000000</f>
        <v>10172.85014</v>
      </c>
      <c r="T38" s="270">
        <f t="shared" si="22"/>
        <v>16472.149859999998</v>
      </c>
      <c r="U38" s="270">
        <f t="shared" si="14"/>
        <v>-3338</v>
      </c>
      <c r="V38" s="270">
        <f t="shared" si="45"/>
        <v>1106</v>
      </c>
      <c r="W38" s="270"/>
      <c r="X38" s="280">
        <f t="shared" si="1"/>
        <v>45530.259999557209</v>
      </c>
      <c r="Y38" s="280">
        <f>(CP38-AA38)*'C13-CapOwn'!N34</f>
        <v>71022.078692580704</v>
      </c>
      <c r="Z38" s="607">
        <f>(CP38-AA38)*'C13-CapOwn'!O34</f>
        <v>7869.6613078620912</v>
      </c>
      <c r="AA38" s="607">
        <f t="shared" si="15"/>
        <v>21646</v>
      </c>
      <c r="AB38" s="270"/>
      <c r="AC38" s="280">
        <f>TOTALS!H95/1000000</f>
        <v>94019.539069000006</v>
      </c>
      <c r="AD38" s="601">
        <f t="shared" si="23"/>
        <v>17236.904687407994</v>
      </c>
      <c r="AE38" s="270">
        <f t="shared" si="2"/>
        <v>9163.7275223920005</v>
      </c>
      <c r="AF38" s="270"/>
      <c r="AG38" s="280">
        <f t="shared" si="24"/>
        <v>34139.844292000002</v>
      </c>
      <c r="AH38" s="280">
        <f t="shared" si="25"/>
        <v>3413.9844292000053</v>
      </c>
      <c r="AI38" s="270"/>
      <c r="AJ38" s="270">
        <f>'C10-Adj by Source'!X35</f>
        <v>53336.316000000006</v>
      </c>
      <c r="AK38" s="601">
        <f t="shared" si="3"/>
        <v>48707.957999999999</v>
      </c>
      <c r="AL38" s="607">
        <f t="shared" si="4"/>
        <v>8154.7259999999997</v>
      </c>
      <c r="AM38" s="270"/>
      <c r="AN38" s="270">
        <f>TOTALS!BF34/1000000</f>
        <v>37589.693017999998</v>
      </c>
      <c r="AO38" s="601">
        <f t="shared" si="27"/>
        <v>17107.506982000003</v>
      </c>
      <c r="AP38" s="607">
        <f t="shared" si="5"/>
        <v>2878.8</v>
      </c>
      <c r="AQ38" s="280">
        <f>TOTALS!F95/1000000-AU38</f>
        <v>133424.1319788</v>
      </c>
      <c r="AR38" s="607">
        <f t="shared" si="28"/>
        <v>40413.568021200001</v>
      </c>
      <c r="AS38" s="607">
        <f t="shared" si="6"/>
        <v>10967.300000000001</v>
      </c>
      <c r="AT38" s="280"/>
      <c r="AU38" s="280">
        <f>TOTALS!F95/1000000*0.4</f>
        <v>88949.421319200017</v>
      </c>
      <c r="AV38" s="607">
        <f t="shared" si="29"/>
        <v>105764.04974675998</v>
      </c>
      <c r="AW38" s="607">
        <f t="shared" si="30"/>
        <v>5566.5289340399995</v>
      </c>
      <c r="AX38" s="270"/>
      <c r="AY38" s="270">
        <f>'C10-Adj by Source'!AE35</f>
        <v>66814</v>
      </c>
      <c r="AZ38" s="270">
        <f>'C10-Adj by Source'!AU35</f>
        <v>83050</v>
      </c>
      <c r="BA38" s="607">
        <f t="shared" si="16"/>
        <v>249003</v>
      </c>
      <c r="BB38" s="607"/>
      <c r="BC38" s="280">
        <f t="shared" si="7"/>
        <v>-27428</v>
      </c>
      <c r="BD38" s="280"/>
      <c r="BE38" s="280">
        <f t="shared" si="8"/>
        <v>38266</v>
      </c>
      <c r="BF38" s="280"/>
      <c r="BG38" s="280">
        <f t="shared" si="9"/>
        <v>6672</v>
      </c>
      <c r="BH38" s="270"/>
      <c r="BI38" s="280">
        <f>TOTALS!AD95/1000000+CE38</f>
        <v>179232.39356020238</v>
      </c>
      <c r="BJ38" s="280">
        <f t="shared" si="31"/>
        <v>46914.606439797615</v>
      </c>
      <c r="BK38" s="272"/>
      <c r="BL38" s="280">
        <f t="shared" si="32"/>
        <v>-2</v>
      </c>
      <c r="BM38" s="863"/>
      <c r="BN38" s="270">
        <v>4782194</v>
      </c>
      <c r="BO38" s="270">
        <f t="shared" si="33"/>
        <v>4782196.0384999998</v>
      </c>
      <c r="BP38" s="860">
        <f t="shared" si="34"/>
        <v>2.0384999997913837</v>
      </c>
      <c r="BQ38" s="860"/>
      <c r="BR38" s="270">
        <v>68373</v>
      </c>
      <c r="BS38" s="270">
        <f>TOTALS!BP95/1000000</f>
        <v>17001.161581</v>
      </c>
      <c r="BT38" s="270">
        <f t="shared" si="10"/>
        <v>157774</v>
      </c>
      <c r="BU38" s="270">
        <f t="shared" si="36"/>
        <v>17236.904687407994</v>
      </c>
      <c r="BV38" s="270">
        <f t="shared" si="11"/>
        <v>48707.957999999999</v>
      </c>
      <c r="BW38" s="280">
        <f t="shared" si="37"/>
        <v>17107.506982000003</v>
      </c>
      <c r="BX38" s="607">
        <f t="shared" si="38"/>
        <v>40413.568021200001</v>
      </c>
      <c r="BY38" s="280">
        <f t="shared" si="39"/>
        <v>105764.04974675998</v>
      </c>
      <c r="BZ38" s="280">
        <f t="shared" si="40"/>
        <v>229229.98743736796</v>
      </c>
      <c r="CA38" s="280"/>
      <c r="CB38" s="270">
        <f>'C0-Ref Stats'!AJ35</f>
        <v>95150.485931011979</v>
      </c>
      <c r="CC38" s="270">
        <f t="shared" si="41"/>
        <v>57090.291558607183</v>
      </c>
      <c r="CD38" s="270">
        <f t="shared" si="42"/>
        <v>19030.097186202398</v>
      </c>
      <c r="CE38" s="270">
        <f t="shared" si="43"/>
        <v>19030.097186202398</v>
      </c>
      <c r="CF38" s="270"/>
      <c r="CG38" s="331">
        <f>ROUND('C12-CorpOwn'!R34,3)</f>
        <v>0.48499999999999999</v>
      </c>
      <c r="CH38" s="331">
        <f>ROUND('C12-CorpOwn'!S34,3)</f>
        <v>0.442</v>
      </c>
      <c r="CI38" s="331">
        <f>ROUND('C12-CorpOwn'!T34,3)</f>
        <v>7.3999999999999996E-2</v>
      </c>
      <c r="CJ38" s="270"/>
      <c r="CK38" s="270">
        <v>2583051</v>
      </c>
      <c r="CL38" s="270">
        <v>365842</v>
      </c>
      <c r="CM38" s="270">
        <v>193673</v>
      </c>
      <c r="CN38" s="270">
        <v>33025</v>
      </c>
      <c r="CO38" s="270">
        <v>308913</v>
      </c>
      <c r="CP38" s="270">
        <v>146068</v>
      </c>
      <c r="CQ38" s="270">
        <v>157974</v>
      </c>
      <c r="CR38" s="270">
        <v>110199</v>
      </c>
      <c r="CS38" s="270">
        <v>442661</v>
      </c>
      <c r="CT38" s="270">
        <v>398867</v>
      </c>
      <c r="CU38" s="280">
        <v>-27428</v>
      </c>
      <c r="CV38" s="280">
        <v>38266</v>
      </c>
      <c r="CW38" s="280">
        <v>6672</v>
      </c>
      <c r="CX38" s="280">
        <v>331969</v>
      </c>
      <c r="CY38" s="280">
        <v>297428</v>
      </c>
      <c r="CZ38" s="280">
        <f t="shared" si="12"/>
        <v>34541</v>
      </c>
      <c r="DA38" s="280">
        <v>243813</v>
      </c>
      <c r="DB38" s="280">
        <v>219346</v>
      </c>
      <c r="DC38" s="280">
        <v>57576</v>
      </c>
      <c r="DD38" s="270">
        <v>172319</v>
      </c>
      <c r="DE38" s="270">
        <v>149864</v>
      </c>
      <c r="DF38" s="270">
        <v>9470</v>
      </c>
      <c r="DG38" s="270">
        <v>18617</v>
      </c>
      <c r="DH38" s="270">
        <v>6243</v>
      </c>
      <c r="DI38" s="270">
        <v>4816</v>
      </c>
      <c r="DJ38" s="270">
        <f t="shared" si="17"/>
        <v>37538</v>
      </c>
      <c r="DK38" s="280">
        <v>199927</v>
      </c>
      <c r="DL38" s="270">
        <v>57576</v>
      </c>
      <c r="DM38" s="270">
        <v>58895</v>
      </c>
      <c r="DN38" s="270">
        <v>191494</v>
      </c>
      <c r="DO38" s="270">
        <v>31555</v>
      </c>
      <c r="DP38" s="270">
        <v>6665</v>
      </c>
      <c r="DQ38" s="270">
        <v>41464</v>
      </c>
      <c r="DR38" s="270"/>
      <c r="DS38" s="270">
        <v>26645</v>
      </c>
      <c r="DT38" s="277">
        <v>-2232</v>
      </c>
      <c r="DU38" s="270">
        <v>1106</v>
      </c>
      <c r="DV38" s="277"/>
      <c r="DW38" s="270">
        <f>TOTALS!S95/1000000</f>
        <v>62298.918643999998</v>
      </c>
      <c r="DX38" s="280">
        <f>TOTALS!$BC95/1000000</f>
        <v>34139.844292000002</v>
      </c>
      <c r="DY38" s="280"/>
      <c r="DZ38" s="270">
        <f t="shared" si="46"/>
        <v>37553.828721200007</v>
      </c>
      <c r="EA38" s="270"/>
      <c r="EB38" s="272">
        <v>453095</v>
      </c>
      <c r="EC38" s="607">
        <v>21646</v>
      </c>
      <c r="ED38" s="277">
        <v>102270</v>
      </c>
      <c r="EE38" s="280">
        <v>83050</v>
      </c>
      <c r="EF38" s="280"/>
    </row>
    <row r="39" spans="1:136" ht="10.5" customHeight="1" x14ac:dyDescent="0.3">
      <c r="A39" s="268">
        <v>1990</v>
      </c>
      <c r="B39" s="603">
        <f>'C1-Incomes'!EX38</f>
        <v>5036094.3466999996</v>
      </c>
      <c r="C39" s="280">
        <f>(TOTALS!E96)/1000000+CC39-BS39</f>
        <v>2620668.7932537501</v>
      </c>
      <c r="D39" s="601" t="s">
        <v>50</v>
      </c>
      <c r="E39" s="270">
        <f t="shared" si="18"/>
        <v>48602.206746249925</v>
      </c>
      <c r="F39" s="598"/>
      <c r="G39" s="270">
        <f t="shared" si="0"/>
        <v>231916</v>
      </c>
      <c r="H39" s="601" t="s">
        <v>50</v>
      </c>
      <c r="I39" s="270">
        <f t="shared" si="13"/>
        <v>206451</v>
      </c>
      <c r="J39" s="270"/>
      <c r="K39" s="270">
        <f>'T-T0'!G39</f>
        <v>11640.800426082486</v>
      </c>
      <c r="L39" s="270">
        <f t="shared" si="19"/>
        <v>20515.199573917514</v>
      </c>
      <c r="M39" s="270"/>
      <c r="N39" s="280">
        <f>'T-T0'!I39</f>
        <v>140620.38120999999</v>
      </c>
      <c r="O39" s="280">
        <f>'T-T0'!J39</f>
        <v>30651.553585000001</v>
      </c>
      <c r="P39" s="280">
        <f t="shared" si="20"/>
        <v>20195.50510958341</v>
      </c>
      <c r="Q39" s="280">
        <f t="shared" si="21"/>
        <v>130825.56009541659</v>
      </c>
      <c r="R39" s="270"/>
      <c r="S39" s="280">
        <f>TOTALS!U96/1000000</f>
        <v>13792.867437000001</v>
      </c>
      <c r="T39" s="270">
        <f t="shared" si="22"/>
        <v>16454.132562999999</v>
      </c>
      <c r="U39" s="270">
        <f t="shared" si="14"/>
        <v>-68</v>
      </c>
      <c r="V39" s="270">
        <f t="shared" si="45"/>
        <v>1177</v>
      </c>
      <c r="W39" s="270"/>
      <c r="X39" s="280">
        <f t="shared" si="1"/>
        <v>41937.385087871895</v>
      </c>
      <c r="Y39" s="280">
        <f>(CP39-AA39)*'C13-CapOwn'!N35</f>
        <v>72085.995004165568</v>
      </c>
      <c r="Z39" s="607">
        <f>(CP39-AA39)*'C13-CapOwn'!O35</f>
        <v>7792.619907962543</v>
      </c>
      <c r="AA39" s="607">
        <f t="shared" si="15"/>
        <v>23608</v>
      </c>
      <c r="AB39" s="270"/>
      <c r="AC39" s="280">
        <f>TOTALS!H96/1000000</f>
        <v>93367.124536000003</v>
      </c>
      <c r="AD39" s="601">
        <f t="shared" si="23"/>
        <v>26253.260953070996</v>
      </c>
      <c r="AE39" s="270">
        <f t="shared" si="2"/>
        <v>10563.761267029002</v>
      </c>
      <c r="AF39" s="270"/>
      <c r="AG39" s="280">
        <f t="shared" si="24"/>
        <v>35343.502949000002</v>
      </c>
      <c r="AH39" s="280">
        <f t="shared" si="25"/>
        <v>3534.3502949000031</v>
      </c>
      <c r="AI39" s="270"/>
      <c r="AJ39" s="270">
        <f>'C10-Adj by Source'!X36</f>
        <v>43119.72</v>
      </c>
      <c r="AK39" s="601">
        <f t="shared" si="3"/>
        <v>51435.665999999997</v>
      </c>
      <c r="AL39" s="607">
        <f t="shared" si="4"/>
        <v>8110.6140000000005</v>
      </c>
      <c r="AM39" s="270"/>
      <c r="AN39" s="270">
        <f>TOTALS!BF35/1000000</f>
        <v>40228.405317999997</v>
      </c>
      <c r="AO39" s="601">
        <f t="shared" si="27"/>
        <v>17140.194682000001</v>
      </c>
      <c r="AP39" s="607">
        <f t="shared" si="5"/>
        <v>3019.4</v>
      </c>
      <c r="AQ39" s="280">
        <f>TOTALS!F96/1000000-AU39</f>
        <v>137517.768966</v>
      </c>
      <c r="AR39" s="607">
        <f t="shared" si="28"/>
        <v>51998.481033999997</v>
      </c>
      <c r="AS39" s="607">
        <f t="shared" si="6"/>
        <v>11872.75</v>
      </c>
      <c r="AT39" s="280"/>
      <c r="AU39" s="280">
        <f>TOTALS!F96/1000000*0.4</f>
        <v>91678.512644000002</v>
      </c>
      <c r="AV39" s="607">
        <f t="shared" si="29"/>
        <v>91772.362988199995</v>
      </c>
      <c r="AW39" s="607">
        <f t="shared" si="30"/>
        <v>4830.1243678000001</v>
      </c>
      <c r="AX39" s="270"/>
      <c r="AY39" s="270">
        <f>'C10-Adj by Source'!AE36</f>
        <v>72798</v>
      </c>
      <c r="AZ39" s="270">
        <f>'C10-Adj by Source'!AU36</f>
        <v>88735</v>
      </c>
      <c r="BA39" s="607">
        <f t="shared" si="16"/>
        <v>263457</v>
      </c>
      <c r="BB39" s="607"/>
      <c r="BC39" s="280">
        <f t="shared" si="7"/>
        <v>-26993</v>
      </c>
      <c r="BD39" s="280"/>
      <c r="BE39" s="280">
        <f t="shared" si="8"/>
        <v>39179</v>
      </c>
      <c r="BF39" s="280"/>
      <c r="BG39" s="280">
        <f t="shared" si="9"/>
        <v>3233</v>
      </c>
      <c r="BH39" s="270"/>
      <c r="BI39" s="280">
        <f>TOTALS!AD96/1000000+CE39</f>
        <v>195818.38036558341</v>
      </c>
      <c r="BJ39" s="280">
        <f t="shared" si="31"/>
        <v>39213.619634416595</v>
      </c>
      <c r="BK39" s="272"/>
      <c r="BL39" s="280">
        <f t="shared" si="32"/>
        <v>1</v>
      </c>
      <c r="BM39" s="863"/>
      <c r="BN39" s="270">
        <v>5036095</v>
      </c>
      <c r="BO39" s="270">
        <f t="shared" si="33"/>
        <v>5036094.3466999996</v>
      </c>
      <c r="BP39" s="860">
        <f t="shared" si="34"/>
        <v>-0.65330000035464764</v>
      </c>
      <c r="BQ39" s="860"/>
      <c r="BR39" s="270">
        <v>71928</v>
      </c>
      <c r="BS39" s="270">
        <f>TOTALS!BP96/1000000</f>
        <v>16500.622074999999</v>
      </c>
      <c r="BT39" s="270">
        <f t="shared" si="10"/>
        <v>163104</v>
      </c>
      <c r="BU39" s="270">
        <f t="shared" si="36"/>
        <v>26253.260953070996</v>
      </c>
      <c r="BV39" s="270">
        <f t="shared" si="11"/>
        <v>51435.665999999997</v>
      </c>
      <c r="BW39" s="280">
        <f t="shared" si="37"/>
        <v>17140.194682000001</v>
      </c>
      <c r="BX39" s="607">
        <f t="shared" si="38"/>
        <v>51998.481033999997</v>
      </c>
      <c r="BY39" s="280">
        <f t="shared" si="39"/>
        <v>91772.362988199995</v>
      </c>
      <c r="BZ39" s="280">
        <f t="shared" si="40"/>
        <v>238599.96565727098</v>
      </c>
      <c r="CA39" s="280"/>
      <c r="CB39" s="270">
        <f>'C0-Ref Stats'!AJ36</f>
        <v>100977.52554791704</v>
      </c>
      <c r="CC39" s="270">
        <f t="shared" si="41"/>
        <v>60586.515328750225</v>
      </c>
      <c r="CD39" s="270">
        <f t="shared" si="42"/>
        <v>20195.50510958341</v>
      </c>
      <c r="CE39" s="270">
        <f t="shared" si="43"/>
        <v>20195.50510958341</v>
      </c>
      <c r="CF39" s="270"/>
      <c r="CG39" s="331">
        <f>ROUND('C12-CorpOwn'!R35,3)</f>
        <v>0.42</v>
      </c>
      <c r="CH39" s="331">
        <f>ROUND('C12-CorpOwn'!S35,3)</f>
        <v>0.501</v>
      </c>
      <c r="CI39" s="331">
        <f>ROUND('C12-CorpOwn'!T35,3)</f>
        <v>7.9000000000000001E-2</v>
      </c>
      <c r="CJ39" s="270"/>
      <c r="CK39" s="270">
        <v>2741199</v>
      </c>
      <c r="CL39" s="270">
        <v>395020</v>
      </c>
      <c r="CM39" s="270">
        <v>206451</v>
      </c>
      <c r="CN39" s="270">
        <v>32156</v>
      </c>
      <c r="CO39" s="270">
        <v>322293</v>
      </c>
      <c r="CP39" s="270">
        <v>145424</v>
      </c>
      <c r="CQ39" s="270">
        <v>169062</v>
      </c>
      <c r="CR39" s="270">
        <v>102666</v>
      </c>
      <c r="CS39" s="270">
        <v>450058</v>
      </c>
      <c r="CT39" s="270">
        <v>424990</v>
      </c>
      <c r="CU39" s="280">
        <v>-26993</v>
      </c>
      <c r="CV39" s="280">
        <v>39179</v>
      </c>
      <c r="CW39" s="280">
        <v>3233</v>
      </c>
      <c r="CX39" s="280">
        <v>350868</v>
      </c>
      <c r="CY39" s="280">
        <v>314802</v>
      </c>
      <c r="CZ39" s="280">
        <f t="shared" si="12"/>
        <v>36066</v>
      </c>
      <c r="DA39" s="280">
        <v>259844</v>
      </c>
      <c r="DB39" s="280">
        <v>237455</v>
      </c>
      <c r="DC39" s="280">
        <v>60388</v>
      </c>
      <c r="DD39" s="270">
        <v>184291</v>
      </c>
      <c r="DE39" s="270">
        <v>161533</v>
      </c>
      <c r="DF39" s="270">
        <v>10048</v>
      </c>
      <c r="DG39" s="270">
        <v>20121</v>
      </c>
      <c r="DH39" s="270">
        <v>6665</v>
      </c>
      <c r="DI39" s="270">
        <v>5149</v>
      </c>
      <c r="DJ39" s="270">
        <f t="shared" si="17"/>
        <v>37183</v>
      </c>
      <c r="DK39" s="280">
        <v>214446</v>
      </c>
      <c r="DL39" s="270">
        <v>60388</v>
      </c>
      <c r="DM39" s="270">
        <v>61164</v>
      </c>
      <c r="DN39" s="270">
        <v>211879</v>
      </c>
      <c r="DO39" s="270">
        <v>33472</v>
      </c>
      <c r="DP39" s="270">
        <v>7251</v>
      </c>
      <c r="DQ39" s="270">
        <v>46258</v>
      </c>
      <c r="DR39" s="270"/>
      <c r="DS39" s="270">
        <v>30247</v>
      </c>
      <c r="DT39" s="277">
        <v>1109</v>
      </c>
      <c r="DU39" s="270">
        <v>1177</v>
      </c>
      <c r="DV39" s="277"/>
      <c r="DW39" s="270">
        <f>TOTALS!S96/1000000</f>
        <v>65995.056534000003</v>
      </c>
      <c r="DX39" s="280">
        <f>TOTALS!$BC96/1000000</f>
        <v>35343.502949000002</v>
      </c>
      <c r="DY39" s="280"/>
      <c r="DZ39" s="270">
        <f t="shared" si="46"/>
        <v>38877.853243900005</v>
      </c>
      <c r="EA39" s="270"/>
      <c r="EB39" s="272">
        <v>472109</v>
      </c>
      <c r="EC39" s="607">
        <v>23608</v>
      </c>
      <c r="ED39" s="277">
        <v>109594</v>
      </c>
      <c r="EE39" s="280">
        <v>88735</v>
      </c>
      <c r="EF39" s="280"/>
    </row>
    <row r="40" spans="1:136" ht="10.5" customHeight="1" x14ac:dyDescent="0.3">
      <c r="A40" s="268">
        <v>1991</v>
      </c>
      <c r="B40" s="603">
        <f>'C1-Incomes'!EX39</f>
        <v>5186123.0979000004</v>
      </c>
      <c r="C40" s="280">
        <f>(TOTALS!E97)/1000000+CC40-BS40</f>
        <v>2692638.8635225873</v>
      </c>
      <c r="D40" s="601" t="s">
        <v>50</v>
      </c>
      <c r="E40" s="270">
        <f t="shared" si="18"/>
        <v>44863.136477412656</v>
      </c>
      <c r="F40" s="598"/>
      <c r="G40" s="270">
        <f t="shared" si="0"/>
        <v>252140</v>
      </c>
      <c r="H40" s="601" t="s">
        <v>50</v>
      </c>
      <c r="I40" s="270">
        <f t="shared" si="13"/>
        <v>215132</v>
      </c>
      <c r="J40" s="270"/>
      <c r="K40" s="270">
        <f>'T-T0'!G40</f>
        <v>10503.813365021935</v>
      </c>
      <c r="L40" s="270">
        <f t="shared" si="19"/>
        <v>16279.186634978065</v>
      </c>
      <c r="M40" s="270"/>
      <c r="N40" s="280">
        <f>'T-T0'!I40</f>
        <v>140841.68296999999</v>
      </c>
      <c r="O40" s="280">
        <f>'T-T0'!J40</f>
        <v>31389.272997999997</v>
      </c>
      <c r="P40" s="280">
        <f t="shared" si="20"/>
        <v>19519.456142195591</v>
      </c>
      <c r="Q40" s="280">
        <f t="shared" si="21"/>
        <v>137422.58788980442</v>
      </c>
      <c r="R40" s="270"/>
      <c r="S40" s="280">
        <f>TOTALS!U97/1000000</f>
        <v>14976.469338999999</v>
      </c>
      <c r="T40" s="270">
        <f t="shared" si="22"/>
        <v>19950.530661000001</v>
      </c>
      <c r="U40" s="270">
        <f t="shared" si="14"/>
        <v>5802</v>
      </c>
      <c r="V40" s="270">
        <f t="shared" si="45"/>
        <v>1275</v>
      </c>
      <c r="W40" s="270"/>
      <c r="X40" s="280">
        <f t="shared" si="1"/>
        <v>44344.827959921306</v>
      </c>
      <c r="Y40" s="280">
        <f>(CP40-AA40)*'C13-CapOwn'!N36</f>
        <v>67192.61082400642</v>
      </c>
      <c r="Z40" s="607">
        <f>(CP40-AA40)*'C13-CapOwn'!O36</f>
        <v>6275.5612160722749</v>
      </c>
      <c r="AA40" s="607">
        <f t="shared" si="15"/>
        <v>20778</v>
      </c>
      <c r="AB40" s="270"/>
      <c r="AC40" s="280">
        <f>TOTALS!H97/1000000</f>
        <v>90456.468634000004</v>
      </c>
      <c r="AD40" s="601">
        <f t="shared" si="23"/>
        <v>44391.037776679994</v>
      </c>
      <c r="AE40" s="270">
        <f t="shared" si="2"/>
        <v>8978.49358932</v>
      </c>
      <c r="AF40" s="270"/>
      <c r="AG40" s="280">
        <f t="shared" si="24"/>
        <v>30871.440178000001</v>
      </c>
      <c r="AH40" s="280">
        <f t="shared" si="25"/>
        <v>5815.5598219999993</v>
      </c>
      <c r="AI40" s="270"/>
      <c r="AJ40" s="270">
        <f>'C10-Adj by Source'!X37</f>
        <v>63864.674999999988</v>
      </c>
      <c r="AK40" s="601">
        <f t="shared" si="3"/>
        <v>60426.825000000004</v>
      </c>
      <c r="AL40" s="607">
        <f t="shared" si="4"/>
        <v>7933.5</v>
      </c>
      <c r="AM40" s="270"/>
      <c r="AN40" s="270">
        <f>TOTALS!BF36/1000000</f>
        <v>43101.537246</v>
      </c>
      <c r="AO40" s="601">
        <f t="shared" si="27"/>
        <v>17378.312753999999</v>
      </c>
      <c r="AP40" s="607">
        <f t="shared" si="5"/>
        <v>3183.15</v>
      </c>
      <c r="AQ40" s="280">
        <f>TOTALS!F97/1000000-AU40</f>
        <v>127440.01702439999</v>
      </c>
      <c r="AR40" s="607">
        <f t="shared" si="28"/>
        <v>74888.732975600011</v>
      </c>
      <c r="AS40" s="607">
        <f t="shared" si="6"/>
        <v>12547.25</v>
      </c>
      <c r="AT40" s="280"/>
      <c r="AU40" s="280">
        <f>TOTALS!F97/1000000*0.4</f>
        <v>84960.011349599998</v>
      </c>
      <c r="AV40" s="607">
        <f t="shared" si="29"/>
        <v>42755.689217879946</v>
      </c>
      <c r="AW40" s="607">
        <f t="shared" si="30"/>
        <v>2250.2994325200011</v>
      </c>
      <c r="AX40" s="270"/>
      <c r="AY40" s="270">
        <f>'C10-Adj by Source'!AE37</f>
        <v>80678</v>
      </c>
      <c r="AZ40" s="270">
        <f>'C10-Adj by Source'!AU37</f>
        <v>95393</v>
      </c>
      <c r="BA40" s="607">
        <f t="shared" si="16"/>
        <v>281020</v>
      </c>
      <c r="BB40" s="607"/>
      <c r="BC40" s="280">
        <f t="shared" si="7"/>
        <v>-27488</v>
      </c>
      <c r="BD40" s="280"/>
      <c r="BE40" s="280">
        <f t="shared" si="8"/>
        <v>38889</v>
      </c>
      <c r="BF40" s="280"/>
      <c r="BG40" s="280">
        <f t="shared" si="9"/>
        <v>7839</v>
      </c>
      <c r="BH40" s="270"/>
      <c r="BI40" s="280">
        <f>TOTALS!AD97/1000000+CE40</f>
        <v>214955.28883119559</v>
      </c>
      <c r="BJ40" s="280">
        <f t="shared" si="31"/>
        <v>32268.71116880441</v>
      </c>
      <c r="BK40" s="272"/>
      <c r="BL40" s="280">
        <f t="shared" si="32"/>
        <v>1.9999999990686774</v>
      </c>
      <c r="BM40" s="863"/>
      <c r="BN40" s="270">
        <v>5186125</v>
      </c>
      <c r="BO40" s="270">
        <f t="shared" si="33"/>
        <v>5186123.0979000004</v>
      </c>
      <c r="BP40" s="860">
        <f t="shared" si="34"/>
        <v>-1.9020999995991588</v>
      </c>
      <c r="BQ40" s="860"/>
      <c r="BR40" s="270">
        <v>76976</v>
      </c>
      <c r="BS40" s="270">
        <f>TOTALS!BP97/1000000</f>
        <v>15800.204904</v>
      </c>
      <c r="BT40" s="270">
        <f t="shared" si="10"/>
        <v>170248</v>
      </c>
      <c r="BU40" s="270">
        <f t="shared" si="36"/>
        <v>44391.037776679994</v>
      </c>
      <c r="BV40" s="270">
        <f t="shared" si="11"/>
        <v>60426.825000000004</v>
      </c>
      <c r="BW40" s="280">
        <f t="shared" si="37"/>
        <v>17378.312753999999</v>
      </c>
      <c r="BX40" s="607">
        <f t="shared" si="38"/>
        <v>74888.732975600011</v>
      </c>
      <c r="BY40" s="280">
        <f t="shared" si="39"/>
        <v>42755.689217879946</v>
      </c>
      <c r="BZ40" s="280">
        <f t="shared" si="40"/>
        <v>239840.59772415995</v>
      </c>
      <c r="CA40" s="280"/>
      <c r="CB40" s="270">
        <f>'C0-Ref Stats'!AJ37</f>
        <v>97597.280710977953</v>
      </c>
      <c r="CC40" s="270">
        <f t="shared" si="41"/>
        <v>58558.368426586771</v>
      </c>
      <c r="CD40" s="270">
        <f t="shared" si="42"/>
        <v>19519.456142195591</v>
      </c>
      <c r="CE40" s="270">
        <f t="shared" si="43"/>
        <v>19519.456142195591</v>
      </c>
      <c r="CF40" s="270"/>
      <c r="CG40" s="331">
        <f>ROUND('C12-CorpOwn'!R36,3)</f>
        <v>0.48399999999999999</v>
      </c>
      <c r="CH40" s="331">
        <f>ROUND('C12-CorpOwn'!S36,3)</f>
        <v>0.45700000000000002</v>
      </c>
      <c r="CI40" s="331">
        <f>ROUND('C12-CorpOwn'!T36,3)</f>
        <v>0.06</v>
      </c>
      <c r="CJ40" s="270"/>
      <c r="CK40" s="270">
        <v>2814478</v>
      </c>
      <c r="CL40" s="270">
        <v>422388</v>
      </c>
      <c r="CM40" s="270">
        <v>215132</v>
      </c>
      <c r="CN40" s="270">
        <v>26783</v>
      </c>
      <c r="CO40" s="270">
        <v>329173</v>
      </c>
      <c r="CP40" s="270">
        <v>138591</v>
      </c>
      <c r="CQ40" s="270">
        <v>180513</v>
      </c>
      <c r="CR40" s="270">
        <v>132225</v>
      </c>
      <c r="CS40" s="270">
        <v>408505</v>
      </c>
      <c r="CT40" s="270">
        <v>457091</v>
      </c>
      <c r="CU40" s="280">
        <v>-27488</v>
      </c>
      <c r="CV40" s="280">
        <v>38889</v>
      </c>
      <c r="CW40" s="280">
        <v>7839</v>
      </c>
      <c r="CX40" s="280">
        <v>371908</v>
      </c>
      <c r="CY40" s="280">
        <v>335839</v>
      </c>
      <c r="CZ40" s="280">
        <f t="shared" si="12"/>
        <v>36069</v>
      </c>
      <c r="DA40" s="280">
        <v>283292</v>
      </c>
      <c r="DB40" s="280">
        <v>250945</v>
      </c>
      <c r="DC40" s="280">
        <v>63663</v>
      </c>
      <c r="DD40" s="270">
        <v>190661</v>
      </c>
      <c r="DE40" s="270">
        <v>176071</v>
      </c>
      <c r="DF40" s="270">
        <v>15238</v>
      </c>
      <c r="DG40" s="270">
        <v>21399</v>
      </c>
      <c r="DH40" s="270">
        <v>6977</v>
      </c>
      <c r="DI40" s="270">
        <v>5589</v>
      </c>
      <c r="DJ40" s="270">
        <f t="shared" si="17"/>
        <v>41156</v>
      </c>
      <c r="DK40" s="280">
        <v>220132</v>
      </c>
      <c r="DL40" s="270">
        <v>63663</v>
      </c>
      <c r="DM40" s="270">
        <v>59695</v>
      </c>
      <c r="DN40" s="270">
        <v>231304</v>
      </c>
      <c r="DO40" s="270">
        <v>36809</v>
      </c>
      <c r="DP40" s="270">
        <v>6991</v>
      </c>
      <c r="DQ40" s="270">
        <v>50654</v>
      </c>
      <c r="DR40" s="270"/>
      <c r="DS40" s="270">
        <v>34927</v>
      </c>
      <c r="DT40" s="277">
        <v>7077</v>
      </c>
      <c r="DU40" s="270">
        <v>1275</v>
      </c>
      <c r="DV40" s="277"/>
      <c r="DW40" s="270">
        <f>TOTALS!S97/1000000</f>
        <v>62260.713175999997</v>
      </c>
      <c r="DX40" s="280">
        <f>TOTALS!$BC97/1000000</f>
        <v>30871.440178000001</v>
      </c>
      <c r="DY40" s="280">
        <v>36687</v>
      </c>
      <c r="DZ40" s="270">
        <f t="shared" ref="DZ40:DZ62" si="47">DY40</f>
        <v>36687</v>
      </c>
      <c r="EA40" s="270"/>
      <c r="EB40" s="272">
        <v>463590</v>
      </c>
      <c r="EC40" s="607">
        <v>20778</v>
      </c>
      <c r="ED40" s="277">
        <v>111720</v>
      </c>
      <c r="EE40" s="280">
        <v>95393</v>
      </c>
      <c r="EF40" s="280"/>
    </row>
    <row r="41" spans="1:136" ht="10.5" customHeight="1" x14ac:dyDescent="0.3">
      <c r="A41" s="268">
        <v>1992</v>
      </c>
      <c r="B41" s="603">
        <f>'C1-Incomes'!EX40</f>
        <v>5499747.9360999996</v>
      </c>
      <c r="C41" s="280">
        <f>(TOTALS!E98)/1000000+CC41-BS41</f>
        <v>2822994.1424973756</v>
      </c>
      <c r="D41" s="601" t="s">
        <v>50</v>
      </c>
      <c r="E41" s="270">
        <f t="shared" si="18"/>
        <v>55778.857502624393</v>
      </c>
      <c r="F41" s="598"/>
      <c r="G41" s="270">
        <f t="shared" ref="G41:G64" si="48">DN41-DO41+DP41+DQ41</f>
        <v>283743</v>
      </c>
      <c r="H41" s="601" t="s">
        <v>50</v>
      </c>
      <c r="I41" s="270">
        <f t="shared" si="13"/>
        <v>228398</v>
      </c>
      <c r="J41" s="270"/>
      <c r="K41" s="270">
        <f>'T-T0'!G41</f>
        <v>20974.790091707313</v>
      </c>
      <c r="L41" s="270">
        <f t="shared" si="19"/>
        <v>13783.209908292687</v>
      </c>
      <c r="M41" s="270"/>
      <c r="N41" s="280">
        <f>'T-T0'!I41</f>
        <v>152818.32260300001</v>
      </c>
      <c r="O41" s="280">
        <f>'T-T0'!J41</f>
        <v>39599.938668999996</v>
      </c>
      <c r="P41" s="280">
        <f t="shared" si="20"/>
        <v>22851.921931458695</v>
      </c>
      <c r="Q41" s="280">
        <f t="shared" si="21"/>
        <v>152333.8167965413</v>
      </c>
      <c r="R41" s="270"/>
      <c r="S41" s="280">
        <f>TOTALS!U98/1000000</f>
        <v>19918.648718</v>
      </c>
      <c r="T41" s="270">
        <f t="shared" si="22"/>
        <v>23021.351282</v>
      </c>
      <c r="U41" s="270">
        <f t="shared" si="14"/>
        <v>19815</v>
      </c>
      <c r="V41" s="270">
        <f t="shared" si="45"/>
        <v>1571</v>
      </c>
      <c r="W41" s="270"/>
      <c r="X41" s="280">
        <f t="shared" ref="X41:X64" si="49">CP41-Y41-Z41-AA41</f>
        <v>50322.947250679339</v>
      </c>
      <c r="Y41" s="280">
        <f>(CP41-AA41)*'C13-CapOwn'!N37</f>
        <v>74667.627159700569</v>
      </c>
      <c r="Z41" s="607">
        <f>(CP41-AA41)*'C13-CapOwn'!O37</f>
        <v>6923.4255896200866</v>
      </c>
      <c r="AA41" s="607">
        <f t="shared" si="15"/>
        <v>16774</v>
      </c>
      <c r="AB41" s="270"/>
      <c r="AC41" s="280">
        <f>TOTALS!H98/1000000</f>
        <v>90552.067022000003</v>
      </c>
      <c r="AD41" s="601">
        <f t="shared" si="23"/>
        <v>47816.525153919996</v>
      </c>
      <c r="AE41" s="270">
        <f t="shared" ref="AE41:AE64" si="50">($CQ41-$AG41)*CI41</f>
        <v>8553.4078240800009</v>
      </c>
      <c r="AF41" s="270"/>
      <c r="AG41" s="280">
        <f t="shared" si="24"/>
        <v>46959.202932</v>
      </c>
      <c r="AH41" s="280">
        <f t="shared" si="25"/>
        <v>-4365.2029320000001</v>
      </c>
      <c r="AI41" s="270"/>
      <c r="AJ41" s="270">
        <f>'C10-Adj by Source'!X38</f>
        <v>66888.696000000011</v>
      </c>
      <c r="AK41" s="601">
        <f t="shared" ref="AK41:AK64" si="51">BV41</f>
        <v>61954.284</v>
      </c>
      <c r="AL41" s="607">
        <f t="shared" ref="AL41:AL64" si="52">$CI41*CR41</f>
        <v>8224.02</v>
      </c>
      <c r="AM41" s="270"/>
      <c r="AN41" s="270">
        <f>TOTALS!BF37/1000000</f>
        <v>45728.471207000002</v>
      </c>
      <c r="AO41" s="601">
        <f t="shared" si="27"/>
        <v>16050.978792999998</v>
      </c>
      <c r="AP41" s="607">
        <f t="shared" ref="AP41:AP64" si="53">DC41*0.05</f>
        <v>3251.55</v>
      </c>
      <c r="AQ41" s="280">
        <f>TOTALS!F98/1000000-AU41</f>
        <v>99888.327179999993</v>
      </c>
      <c r="AR41" s="607">
        <f t="shared" si="28"/>
        <v>104542.37282</v>
      </c>
      <c r="AS41" s="607">
        <f t="shared" ref="AS41:AS64" si="54">DB41*0.05</f>
        <v>12563.300000000001</v>
      </c>
      <c r="AT41" s="280"/>
      <c r="AU41" s="280">
        <f>TOTALS!F98/1000000*0.4</f>
        <v>66592.218120000005</v>
      </c>
      <c r="AV41" s="607">
        <f t="shared" si="29"/>
        <v>33348.592786000037</v>
      </c>
      <c r="AW41" s="607">
        <f t="shared" si="30"/>
        <v>1755.1890940000012</v>
      </c>
      <c r="AX41" s="270"/>
      <c r="AY41" s="270">
        <f>'C10-Adj by Source'!AE38</f>
        <v>85907</v>
      </c>
      <c r="AZ41" s="270">
        <f>'C10-Adj by Source'!AU38</f>
        <v>98771</v>
      </c>
      <c r="BA41" s="607">
        <f t="shared" si="16"/>
        <v>298698</v>
      </c>
      <c r="BB41" s="607"/>
      <c r="BC41" s="280">
        <f t="shared" ref="BC41:BC65" si="55">CU41</f>
        <v>-30088</v>
      </c>
      <c r="BD41" s="280"/>
      <c r="BE41" s="280">
        <f t="shared" ref="BE41:BE65" si="56">CV41</f>
        <v>39719</v>
      </c>
      <c r="BF41" s="280"/>
      <c r="BG41" s="280">
        <f t="shared" ref="BG41:BG65" si="57">CW41</f>
        <v>9929</v>
      </c>
      <c r="BH41" s="270"/>
      <c r="BI41" s="280">
        <f>TOTALS!AD98/1000000+CE41</f>
        <v>233996.38182845869</v>
      </c>
      <c r="BJ41" s="280">
        <f t="shared" si="31"/>
        <v>46221.618171541311</v>
      </c>
      <c r="BK41" s="272"/>
      <c r="BL41" s="280">
        <f t="shared" si="32"/>
        <v>0</v>
      </c>
      <c r="BM41" s="863"/>
      <c r="BN41" s="270">
        <v>5499748</v>
      </c>
      <c r="BO41" s="270">
        <f t="shared" si="33"/>
        <v>5499747.9360999996</v>
      </c>
      <c r="BP41" s="860">
        <f t="shared" si="34"/>
        <v>-6.3900000415742397E-2</v>
      </c>
      <c r="BQ41" s="860"/>
      <c r="BR41" s="270">
        <v>86768</v>
      </c>
      <c r="BS41" s="270">
        <f>TOTALS!BP98/1000000</f>
        <v>16116.023297</v>
      </c>
      <c r="BT41" s="270">
        <f t="shared" ref="BT41:BT64" si="58">CL41-G41</f>
        <v>193450</v>
      </c>
      <c r="BU41" s="270">
        <f t="shared" si="36"/>
        <v>47816.525153919996</v>
      </c>
      <c r="BV41" s="270">
        <f t="shared" ref="BV41:BV64" si="59">CR41*CH41</f>
        <v>61954.284</v>
      </c>
      <c r="BW41" s="280">
        <f t="shared" si="37"/>
        <v>16050.978792999998</v>
      </c>
      <c r="BX41" s="607">
        <f t="shared" si="38"/>
        <v>104542.37282</v>
      </c>
      <c r="BY41" s="280">
        <f t="shared" si="39"/>
        <v>33348.592786000037</v>
      </c>
      <c r="BZ41" s="280">
        <f t="shared" si="40"/>
        <v>263712.75355292007</v>
      </c>
      <c r="CA41" s="280"/>
      <c r="CB41" s="270">
        <f>'C0-Ref Stats'!AJ38</f>
        <v>114259.60965729346</v>
      </c>
      <c r="CC41" s="270">
        <f t="shared" si="41"/>
        <v>68555.765794376071</v>
      </c>
      <c r="CD41" s="270">
        <f t="shared" si="42"/>
        <v>22851.921931458695</v>
      </c>
      <c r="CE41" s="270">
        <f t="shared" si="43"/>
        <v>22851.921931458695</v>
      </c>
      <c r="CF41" s="270"/>
      <c r="CG41" s="331">
        <f>ROUND('C12-CorpOwn'!R37,3)</f>
        <v>0.48899999999999999</v>
      </c>
      <c r="CH41" s="331">
        <f>ROUND('C12-CorpOwn'!S37,3)</f>
        <v>0.45200000000000001</v>
      </c>
      <c r="CI41" s="331">
        <f>ROUND('C12-CorpOwn'!T37,3)</f>
        <v>0.06</v>
      </c>
      <c r="CJ41" s="270"/>
      <c r="CK41" s="270">
        <v>2965541</v>
      </c>
      <c r="CL41" s="270">
        <v>477193</v>
      </c>
      <c r="CM41" s="270">
        <v>228398</v>
      </c>
      <c r="CN41" s="270">
        <v>34758</v>
      </c>
      <c r="CO41" s="270">
        <v>367604</v>
      </c>
      <c r="CP41" s="270">
        <v>148688</v>
      </c>
      <c r="CQ41" s="270">
        <v>189516</v>
      </c>
      <c r="CR41" s="270">
        <v>137067</v>
      </c>
      <c r="CS41" s="270">
        <v>383721</v>
      </c>
      <c r="CT41" s="270">
        <v>483376</v>
      </c>
      <c r="CU41" s="280">
        <v>-30088</v>
      </c>
      <c r="CV41" s="280">
        <v>39719</v>
      </c>
      <c r="CW41" s="280">
        <v>9929</v>
      </c>
      <c r="CX41" s="280">
        <v>380527</v>
      </c>
      <c r="CY41" s="280">
        <v>346255</v>
      </c>
      <c r="CZ41" s="280">
        <f t="shared" ref="CZ41:CZ65" si="60">CX41-CY41</f>
        <v>34272</v>
      </c>
      <c r="DA41" s="280">
        <v>299509</v>
      </c>
      <c r="DB41" s="280">
        <v>251266</v>
      </c>
      <c r="DC41" s="280">
        <v>65031</v>
      </c>
      <c r="DD41" s="270">
        <v>204306</v>
      </c>
      <c r="DE41" s="270">
        <v>184678</v>
      </c>
      <c r="DF41" s="270">
        <v>15543</v>
      </c>
      <c r="DG41" s="270">
        <v>22866</v>
      </c>
      <c r="DH41" s="270">
        <v>7930</v>
      </c>
      <c r="DI41" s="270">
        <v>6019</v>
      </c>
      <c r="DJ41" s="270">
        <f t="shared" ref="DJ41:DJ65" si="61">CT41-SUM(DD41:DI41)</f>
        <v>42034</v>
      </c>
      <c r="DK41" s="280">
        <v>222199</v>
      </c>
      <c r="DL41" s="270">
        <v>65031</v>
      </c>
      <c r="DM41" s="270">
        <v>55908</v>
      </c>
      <c r="DN41" s="270">
        <v>256051</v>
      </c>
      <c r="DO41" s="270">
        <v>38612</v>
      </c>
      <c r="DP41" s="270">
        <v>7971</v>
      </c>
      <c r="DQ41" s="270">
        <v>58333</v>
      </c>
      <c r="DR41" s="270"/>
      <c r="DS41" s="270">
        <v>42940</v>
      </c>
      <c r="DT41" s="277">
        <v>21386</v>
      </c>
      <c r="DU41" s="270">
        <v>1571</v>
      </c>
      <c r="DV41" s="277"/>
      <c r="DW41" s="270">
        <f>TOTALS!S98/1000000</f>
        <v>86559.141600999996</v>
      </c>
      <c r="DX41" s="280">
        <f>TOTALS!$BC98/1000000</f>
        <v>46959.202932</v>
      </c>
      <c r="DY41" s="280">
        <v>42594</v>
      </c>
      <c r="DZ41" s="270">
        <f t="shared" si="47"/>
        <v>42594</v>
      </c>
      <c r="EA41" s="270"/>
      <c r="EB41" s="272">
        <v>477497</v>
      </c>
      <c r="EC41" s="280">
        <v>16774</v>
      </c>
      <c r="ED41" s="277">
        <v>120377</v>
      </c>
      <c r="EE41" s="280">
        <v>98771</v>
      </c>
      <c r="EF41" s="280"/>
    </row>
    <row r="42" spans="1:136" ht="10.5" customHeight="1" x14ac:dyDescent="0.3">
      <c r="A42" s="268">
        <v>1993</v>
      </c>
      <c r="B42" s="603">
        <f>'C1-Incomes'!EX41</f>
        <v>5754784.1842999998</v>
      </c>
      <c r="C42" s="280">
        <f>(TOTALS!E99)/1000000+CC42-BS42</f>
        <v>2919396.0188103043</v>
      </c>
      <c r="D42" s="601" t="s">
        <v>50</v>
      </c>
      <c r="E42" s="270">
        <f t="shared" si="18"/>
        <v>66407.981189695653</v>
      </c>
      <c r="F42" s="598"/>
      <c r="G42" s="270">
        <f t="shared" si="48"/>
        <v>304432</v>
      </c>
      <c r="H42" s="601" t="s">
        <v>50</v>
      </c>
      <c r="I42" s="270">
        <f t="shared" si="13"/>
        <v>239679</v>
      </c>
      <c r="J42" s="270"/>
      <c r="K42" s="270">
        <f>'T-T0'!G42</f>
        <v>8655.3706591600476</v>
      </c>
      <c r="L42" s="270">
        <f t="shared" si="19"/>
        <v>22700.629340839951</v>
      </c>
      <c r="M42" s="270"/>
      <c r="N42" s="280">
        <f>'T-T0'!I42</f>
        <v>154496.624388</v>
      </c>
      <c r="O42" s="280">
        <f>'T-T0'!J42</f>
        <v>41042.691497</v>
      </c>
      <c r="P42" s="280">
        <f t="shared" si="20"/>
        <v>23197.963208768138</v>
      </c>
      <c r="Q42" s="280">
        <f t="shared" si="21"/>
        <v>180416.72090623187</v>
      </c>
      <c r="R42" s="270"/>
      <c r="S42" s="280">
        <f>TOTALS!U99/1000000</f>
        <v>24710.450962999999</v>
      </c>
      <c r="T42" s="270">
        <f t="shared" si="22"/>
        <v>24541.549037000001</v>
      </c>
      <c r="U42" s="270">
        <f t="shared" si="14"/>
        <v>42601</v>
      </c>
      <c r="V42" s="270">
        <f t="shared" si="45"/>
        <v>1786</v>
      </c>
      <c r="W42" s="270"/>
      <c r="X42" s="280">
        <f t="shared" si="49"/>
        <v>59157.478327036719</v>
      </c>
      <c r="Y42" s="280">
        <f>(CP42-AA42)*'C13-CapOwn'!N38</f>
        <v>87813.721452273414</v>
      </c>
      <c r="Z42" s="607">
        <f>(CP42-AA42)*'C13-CapOwn'!O38</f>
        <v>8075.80022068986</v>
      </c>
      <c r="AA42" s="607">
        <f t="shared" si="15"/>
        <v>15987</v>
      </c>
      <c r="AB42" s="270"/>
      <c r="AC42" s="280">
        <f>TOTALS!H99/1000000</f>
        <v>92635.028957000002</v>
      </c>
      <c r="AD42" s="601">
        <f t="shared" si="23"/>
        <v>53616.775122816995</v>
      </c>
      <c r="AE42" s="270">
        <f t="shared" si="50"/>
        <v>8827.1959201829995</v>
      </c>
      <c r="AF42" s="270"/>
      <c r="AG42" s="280">
        <f t="shared" si="24"/>
        <v>50456.913680999998</v>
      </c>
      <c r="AH42" s="280">
        <f t="shared" si="25"/>
        <v>-215.91368099999818</v>
      </c>
      <c r="AI42" s="270"/>
      <c r="AJ42" s="270">
        <f>'C10-Adj by Source'!X39</f>
        <v>71219.916000000012</v>
      </c>
      <c r="AK42" s="601">
        <f t="shared" si="51"/>
        <v>66122.376000000004</v>
      </c>
      <c r="AL42" s="607">
        <f t="shared" si="52"/>
        <v>8301.7080000000005</v>
      </c>
      <c r="AM42" s="270"/>
      <c r="AN42" s="270">
        <f>TOTALS!BF38/1000000</f>
        <v>46459.031517000003</v>
      </c>
      <c r="AO42" s="601">
        <f t="shared" si="27"/>
        <v>15030.668482999998</v>
      </c>
      <c r="AP42" s="607">
        <f t="shared" si="53"/>
        <v>3236.3</v>
      </c>
      <c r="AQ42" s="280">
        <f>TOTALS!F99/1000000-AU42</f>
        <v>81799.666410599995</v>
      </c>
      <c r="AR42" s="607">
        <f t="shared" si="28"/>
        <v>124744.48358939998</v>
      </c>
      <c r="AS42" s="607">
        <f t="shared" si="54"/>
        <v>12668.85</v>
      </c>
      <c r="AT42" s="280"/>
      <c r="AU42" s="280">
        <f>TOTALS!F99/1000000*0.4</f>
        <v>54533.110940400002</v>
      </c>
      <c r="AV42" s="607">
        <f t="shared" si="29"/>
        <v>31245.394606620011</v>
      </c>
      <c r="AW42" s="607">
        <f t="shared" si="30"/>
        <v>1644.4944529800007</v>
      </c>
      <c r="AX42" s="270"/>
      <c r="AY42" s="270">
        <f>'C10-Adj by Source'!AE39</f>
        <v>88424</v>
      </c>
      <c r="AZ42" s="270">
        <f>'C10-Adj by Source'!AU39</f>
        <v>98834</v>
      </c>
      <c r="BA42" s="607">
        <f t="shared" si="16"/>
        <v>315867</v>
      </c>
      <c r="BB42" s="607"/>
      <c r="BC42" s="280">
        <f t="shared" si="55"/>
        <v>-36681</v>
      </c>
      <c r="BD42" s="280"/>
      <c r="BE42" s="280">
        <f t="shared" si="56"/>
        <v>39389</v>
      </c>
      <c r="BF42" s="280"/>
      <c r="BG42" s="280">
        <f t="shared" si="57"/>
        <v>10771</v>
      </c>
      <c r="BH42" s="270"/>
      <c r="BI42" s="280">
        <f>TOTALS!AD99/1000000+CE42</f>
        <v>242595.02666776814</v>
      </c>
      <c r="BJ42" s="280">
        <f t="shared" si="31"/>
        <v>48160.973332231864</v>
      </c>
      <c r="BK42" s="272"/>
      <c r="BL42" s="280">
        <f t="shared" si="32"/>
        <v>0</v>
      </c>
      <c r="BM42" s="863"/>
      <c r="BN42" s="270">
        <v>5754784</v>
      </c>
      <c r="BO42" s="270">
        <f t="shared" si="33"/>
        <v>5754784.1842999998</v>
      </c>
      <c r="BP42" s="860">
        <f t="shared" si="34"/>
        <v>0.18429999984800816</v>
      </c>
      <c r="BQ42" s="860"/>
      <c r="BR42" s="270">
        <v>93536</v>
      </c>
      <c r="BS42" s="270">
        <f>TOTALS!BP99/1000000</f>
        <v>16512.670816000002</v>
      </c>
      <c r="BT42" s="270">
        <f t="shared" si="58"/>
        <v>197220</v>
      </c>
      <c r="BU42" s="270">
        <f t="shared" si="36"/>
        <v>53616.775122816995</v>
      </c>
      <c r="BV42" s="270">
        <f t="shared" si="59"/>
        <v>66122.376000000004</v>
      </c>
      <c r="BW42" s="280">
        <f t="shared" si="37"/>
        <v>15030.668482999998</v>
      </c>
      <c r="BX42" s="607">
        <f t="shared" si="38"/>
        <v>124744.48358939998</v>
      </c>
      <c r="BY42" s="280">
        <f t="shared" si="39"/>
        <v>31245.394606620011</v>
      </c>
      <c r="BZ42" s="280">
        <f t="shared" si="40"/>
        <v>290759.697801837</v>
      </c>
      <c r="CA42" s="280"/>
      <c r="CB42" s="270">
        <f>'C0-Ref Stats'!AJ39</f>
        <v>115989.81604384069</v>
      </c>
      <c r="CC42" s="270">
        <f t="shared" si="41"/>
        <v>69593.889626304415</v>
      </c>
      <c r="CD42" s="270">
        <f t="shared" si="42"/>
        <v>23197.963208768138</v>
      </c>
      <c r="CE42" s="270">
        <f t="shared" si="43"/>
        <v>23197.963208768138</v>
      </c>
      <c r="CF42" s="270"/>
      <c r="CG42" s="331">
        <f>ROUND('C12-CorpOwn'!R38,3)</f>
        <v>0.48899999999999999</v>
      </c>
      <c r="CH42" s="331">
        <f>ROUND('C12-CorpOwn'!S38,3)</f>
        <v>0.45400000000000001</v>
      </c>
      <c r="CI42" s="331">
        <f>ROUND('C12-CorpOwn'!T38,3)</f>
        <v>5.7000000000000002E-2</v>
      </c>
      <c r="CJ42" s="270"/>
      <c r="CK42" s="270">
        <v>3079340</v>
      </c>
      <c r="CL42" s="270">
        <v>501652</v>
      </c>
      <c r="CM42" s="270">
        <v>239679</v>
      </c>
      <c r="CN42" s="270">
        <v>31356</v>
      </c>
      <c r="CO42" s="270">
        <v>399154</v>
      </c>
      <c r="CP42" s="270">
        <v>171034</v>
      </c>
      <c r="CQ42" s="270">
        <v>205320</v>
      </c>
      <c r="CR42" s="270">
        <v>145644</v>
      </c>
      <c r="CS42" s="270">
        <v>371362</v>
      </c>
      <c r="CT42" s="270">
        <v>503125</v>
      </c>
      <c r="CU42" s="280">
        <v>-36681</v>
      </c>
      <c r="CV42" s="280">
        <v>39389</v>
      </c>
      <c r="CW42" s="280">
        <v>10771</v>
      </c>
      <c r="CX42" s="280">
        <v>383674</v>
      </c>
      <c r="CY42" s="280">
        <v>349510</v>
      </c>
      <c r="CZ42" s="280">
        <f t="shared" si="60"/>
        <v>34164</v>
      </c>
      <c r="DA42" s="280">
        <v>304846</v>
      </c>
      <c r="DB42" s="280">
        <v>253377</v>
      </c>
      <c r="DC42" s="280">
        <v>64726</v>
      </c>
      <c r="DD42" s="270">
        <v>216393</v>
      </c>
      <c r="DE42" s="270">
        <v>187258</v>
      </c>
      <c r="DF42" s="270">
        <v>15998</v>
      </c>
      <c r="DG42" s="270">
        <v>24017</v>
      </c>
      <c r="DH42" s="270">
        <v>7977</v>
      </c>
      <c r="DI42" s="270">
        <v>6464</v>
      </c>
      <c r="DJ42" s="270">
        <f t="shared" si="61"/>
        <v>45018</v>
      </c>
      <c r="DK42" s="280">
        <v>219400</v>
      </c>
      <c r="DL42" s="270">
        <v>64726</v>
      </c>
      <c r="DM42" s="270">
        <v>52777</v>
      </c>
      <c r="DN42" s="270">
        <v>276236</v>
      </c>
      <c r="DO42" s="270">
        <v>40309</v>
      </c>
      <c r="DP42" s="270">
        <v>8585</v>
      </c>
      <c r="DQ42" s="270">
        <v>59920</v>
      </c>
      <c r="DR42" s="270"/>
      <c r="DS42" s="270">
        <v>49252</v>
      </c>
      <c r="DT42" s="277">
        <v>44387</v>
      </c>
      <c r="DU42" s="270">
        <v>1786</v>
      </c>
      <c r="DV42" s="277"/>
      <c r="DW42" s="270">
        <f>TOTALS!S99/1000000</f>
        <v>91499.605177999998</v>
      </c>
      <c r="DX42" s="280">
        <f>TOTALS!$BC99/1000000</f>
        <v>50456.913680999998</v>
      </c>
      <c r="DY42" s="280">
        <v>50241</v>
      </c>
      <c r="DZ42" s="270">
        <f t="shared" si="47"/>
        <v>50241</v>
      </c>
      <c r="EA42" s="270"/>
      <c r="EB42" s="272">
        <v>507688</v>
      </c>
      <c r="EC42" s="280">
        <v>15987</v>
      </c>
      <c r="ED42" s="277">
        <v>126225</v>
      </c>
      <c r="EE42" s="280">
        <v>98834</v>
      </c>
      <c r="EF42" s="280"/>
    </row>
    <row r="43" spans="1:136" ht="10.5" customHeight="1" x14ac:dyDescent="0.3">
      <c r="A43" s="268">
        <v>1994</v>
      </c>
      <c r="B43" s="603">
        <f>'C1-Incomes'!EX42</f>
        <v>6140229.0157000003</v>
      </c>
      <c r="C43" s="280">
        <f>(TOTALS!E100)/1000000+CC43-BS43</f>
        <v>3056974.5820626249</v>
      </c>
      <c r="D43" s="601" t="s">
        <v>50</v>
      </c>
      <c r="E43" s="270">
        <f t="shared" si="18"/>
        <v>81806.417937375139</v>
      </c>
      <c r="F43" s="598"/>
      <c r="G43" s="270">
        <f t="shared" si="48"/>
        <v>316785</v>
      </c>
      <c r="H43" s="601" t="s">
        <v>50</v>
      </c>
      <c r="I43" s="270">
        <f t="shared" si="13"/>
        <v>254139</v>
      </c>
      <c r="J43" s="270"/>
      <c r="K43" s="270">
        <f>'T-T0'!G43</f>
        <v>5601.0677679588025</v>
      </c>
      <c r="L43" s="270">
        <f t="shared" si="19"/>
        <v>29049.932232041196</v>
      </c>
      <c r="M43" s="270"/>
      <c r="N43" s="280">
        <f>'T-T0'!I43</f>
        <v>165109.34864499999</v>
      </c>
      <c r="O43" s="280">
        <f>'T-T0'!J43</f>
        <v>42715.666272000002</v>
      </c>
      <c r="P43" s="280">
        <f t="shared" si="20"/>
        <v>24396.985869208347</v>
      </c>
      <c r="Q43" s="280">
        <f t="shared" si="21"/>
        <v>192626.99921379166</v>
      </c>
      <c r="R43" s="270"/>
      <c r="S43" s="280">
        <f>TOTALS!U100/1000000</f>
        <v>28805.593623000001</v>
      </c>
      <c r="T43" s="270">
        <f t="shared" si="22"/>
        <v>24381.406376999999</v>
      </c>
      <c r="U43" s="270">
        <f t="shared" si="14"/>
        <v>62165</v>
      </c>
      <c r="V43" s="270">
        <f t="shared" si="45"/>
        <v>2118</v>
      </c>
      <c r="W43" s="270"/>
      <c r="X43" s="280">
        <f t="shared" si="49"/>
        <v>65658.264757198456</v>
      </c>
      <c r="Y43" s="280">
        <f>(CP43-AA43)*'C13-CapOwn'!N39</f>
        <v>97723.642037681318</v>
      </c>
      <c r="Z43" s="607">
        <f>(CP43-AA43)*'C13-CapOwn'!O39</f>
        <v>9289.0932051202326</v>
      </c>
      <c r="AA43" s="607">
        <f t="shared" si="15"/>
        <v>20470</v>
      </c>
      <c r="AB43" s="270"/>
      <c r="AC43" s="280">
        <f>TOTALS!H100/1000000</f>
        <v>96295.132379000002</v>
      </c>
      <c r="AD43" s="601">
        <f t="shared" si="23"/>
        <v>61456.276726344993</v>
      </c>
      <c r="AE43" s="270">
        <f t="shared" si="50"/>
        <v>10777.590894655001</v>
      </c>
      <c r="AF43" s="270"/>
      <c r="AG43" s="280">
        <f t="shared" si="24"/>
        <v>70163.909312999996</v>
      </c>
      <c r="AH43" s="280">
        <f t="shared" si="25"/>
        <v>-2719.9093129999965</v>
      </c>
      <c r="AI43" s="270"/>
      <c r="AJ43" s="270">
        <f>'C10-Adj by Source'!X40</f>
        <v>86374.400000000009</v>
      </c>
      <c r="AK43" s="601">
        <f t="shared" si="51"/>
        <v>93893.599999999991</v>
      </c>
      <c r="AL43" s="607">
        <f t="shared" si="52"/>
        <v>12532</v>
      </c>
      <c r="AM43" s="270"/>
      <c r="AN43" s="270">
        <f>TOTALS!BF39/1000000</f>
        <v>48296.833779000001</v>
      </c>
      <c r="AO43" s="601">
        <f t="shared" si="27"/>
        <v>14152.366221</v>
      </c>
      <c r="AP43" s="607">
        <f t="shared" si="53"/>
        <v>3286.8</v>
      </c>
      <c r="AQ43" s="280">
        <f>TOTALS!F100/1000000-AU43</f>
        <v>79263.825286199994</v>
      </c>
      <c r="AR43" s="607">
        <f t="shared" si="28"/>
        <v>132655.12471380003</v>
      </c>
      <c r="AS43" s="607">
        <f t="shared" si="54"/>
        <v>13067.050000000001</v>
      </c>
      <c r="AT43" s="280"/>
      <c r="AU43" s="280">
        <f>TOTALS!F100/1000000*0.4</f>
        <v>52842.550190800001</v>
      </c>
      <c r="AV43" s="607">
        <f t="shared" si="29"/>
        <v>21264.277318739998</v>
      </c>
      <c r="AW43" s="607">
        <f t="shared" si="30"/>
        <v>1119.1724904600007</v>
      </c>
      <c r="AX43" s="270"/>
      <c r="AY43" s="270">
        <f>'C10-Adj by Source'!AE40</f>
        <v>95566</v>
      </c>
      <c r="AZ43" s="270">
        <f>'C10-Adj by Source'!AU40</f>
        <v>103803</v>
      </c>
      <c r="BA43" s="607">
        <f t="shared" si="16"/>
        <v>345879</v>
      </c>
      <c r="BB43" s="607"/>
      <c r="BC43" s="280">
        <f t="shared" si="55"/>
        <v>-32523</v>
      </c>
      <c r="BD43" s="280"/>
      <c r="BE43" s="280">
        <f t="shared" si="56"/>
        <v>40714</v>
      </c>
      <c r="BF43" s="280"/>
      <c r="BG43" s="280">
        <f t="shared" si="57"/>
        <v>11829</v>
      </c>
      <c r="BH43" s="270"/>
      <c r="BI43" s="280">
        <f>TOTALS!AD100/1000000+CE43</f>
        <v>261176.62961220834</v>
      </c>
      <c r="BJ43" s="280">
        <f t="shared" si="31"/>
        <v>39247.370387791656</v>
      </c>
      <c r="BK43" s="272"/>
      <c r="BL43" s="280">
        <f t="shared" si="32"/>
        <v>0</v>
      </c>
      <c r="BM43" s="863"/>
      <c r="BN43" s="270">
        <v>6140229</v>
      </c>
      <c r="BO43" s="270">
        <f t="shared" si="33"/>
        <v>6140229.0157000003</v>
      </c>
      <c r="BP43" s="860">
        <f t="shared" si="34"/>
        <v>1.5700000338256359E-2</v>
      </c>
      <c r="BQ43" s="860"/>
      <c r="BR43" s="270">
        <v>97808</v>
      </c>
      <c r="BS43" s="270">
        <f>TOTALS!BP100/1000000</f>
        <v>16351.875545000001</v>
      </c>
      <c r="BT43" s="270">
        <f t="shared" si="58"/>
        <v>202616</v>
      </c>
      <c r="BU43" s="270">
        <f t="shared" si="36"/>
        <v>61456.276726344993</v>
      </c>
      <c r="BV43" s="270">
        <f t="shared" si="59"/>
        <v>93893.599999999991</v>
      </c>
      <c r="BW43" s="280">
        <f t="shared" si="37"/>
        <v>14152.366221</v>
      </c>
      <c r="BX43" s="607">
        <f t="shared" si="38"/>
        <v>132655.12471380003</v>
      </c>
      <c r="BY43" s="280">
        <f t="shared" si="39"/>
        <v>21264.277318739998</v>
      </c>
      <c r="BZ43" s="280">
        <f t="shared" si="40"/>
        <v>323421.64497988502</v>
      </c>
      <c r="CA43" s="280"/>
      <c r="CB43" s="270">
        <f>'C0-Ref Stats'!AJ40</f>
        <v>121984.9293460417</v>
      </c>
      <c r="CC43" s="270">
        <f t="shared" si="41"/>
        <v>73190.957607625009</v>
      </c>
      <c r="CD43" s="270">
        <f t="shared" si="42"/>
        <v>24396.985869208347</v>
      </c>
      <c r="CE43" s="270">
        <f t="shared" si="43"/>
        <v>24396.98586920834</v>
      </c>
      <c r="CF43" s="270"/>
      <c r="CG43" s="331">
        <f>ROUND('C12-CorpOwn'!R39,3)</f>
        <v>0.44800000000000001</v>
      </c>
      <c r="CH43" s="331">
        <f>ROUND('C12-CorpOwn'!S39,3)</f>
        <v>0.48699999999999999</v>
      </c>
      <c r="CI43" s="331">
        <f>ROUND('C12-CorpOwn'!T39,3)</f>
        <v>6.5000000000000002E-2</v>
      </c>
      <c r="CJ43" s="270"/>
      <c r="CK43" s="270">
        <v>3236589</v>
      </c>
      <c r="CL43" s="270">
        <v>519401</v>
      </c>
      <c r="CM43" s="270">
        <v>254139</v>
      </c>
      <c r="CN43" s="270">
        <v>34651</v>
      </c>
      <c r="CO43" s="270">
        <v>424849</v>
      </c>
      <c r="CP43" s="270">
        <v>193141</v>
      </c>
      <c r="CQ43" s="270">
        <v>235973</v>
      </c>
      <c r="CR43" s="270">
        <v>192800</v>
      </c>
      <c r="CS43" s="270">
        <v>365948</v>
      </c>
      <c r="CT43" s="270">
        <v>545248</v>
      </c>
      <c r="CU43" s="280">
        <v>-32523</v>
      </c>
      <c r="CV43" s="280">
        <v>40714</v>
      </c>
      <c r="CW43" s="280">
        <v>11829</v>
      </c>
      <c r="CX43" s="280">
        <v>392604</v>
      </c>
      <c r="CY43" s="280">
        <v>356249</v>
      </c>
      <c r="CZ43" s="280">
        <f t="shared" si="60"/>
        <v>36355</v>
      </c>
      <c r="DA43" s="280">
        <v>314368</v>
      </c>
      <c r="DB43" s="280">
        <v>261341</v>
      </c>
      <c r="DC43" s="280">
        <v>65736</v>
      </c>
      <c r="DD43" s="270">
        <v>231421</v>
      </c>
      <c r="DE43" s="270">
        <v>199369</v>
      </c>
      <c r="DF43" s="270">
        <v>21299</v>
      </c>
      <c r="DG43" s="270">
        <v>25174</v>
      </c>
      <c r="DH43" s="270">
        <v>8525</v>
      </c>
      <c r="DI43" s="270">
        <v>6841</v>
      </c>
      <c r="DJ43" s="270">
        <f t="shared" si="61"/>
        <v>52619</v>
      </c>
      <c r="DK43" s="280">
        <v>223561</v>
      </c>
      <c r="DL43" s="270">
        <v>65736</v>
      </c>
      <c r="DM43" s="270">
        <v>54540</v>
      </c>
      <c r="DN43" s="270">
        <v>292067</v>
      </c>
      <c r="DO43" s="270">
        <v>44714</v>
      </c>
      <c r="DP43" s="270">
        <v>9134</v>
      </c>
      <c r="DQ43" s="270">
        <v>60298</v>
      </c>
      <c r="DR43" s="270"/>
      <c r="DS43" s="270">
        <v>53187</v>
      </c>
      <c r="DT43" s="277">
        <v>64283</v>
      </c>
      <c r="DU43" s="270">
        <v>2118</v>
      </c>
      <c r="DV43" s="277"/>
      <c r="DW43" s="270">
        <f>TOTALS!S100/1000000</f>
        <v>112879.575585</v>
      </c>
      <c r="DX43" s="280">
        <f>TOTALS!$BC100/1000000</f>
        <v>70163.909312999996</v>
      </c>
      <c r="DY43" s="280">
        <v>67444</v>
      </c>
      <c r="DZ43" s="270">
        <f t="shared" si="47"/>
        <v>67444</v>
      </c>
      <c r="EA43" s="270"/>
      <c r="EB43" s="272">
        <v>545082</v>
      </c>
      <c r="EC43" s="280">
        <v>20470</v>
      </c>
      <c r="ED43" s="277">
        <v>132241</v>
      </c>
      <c r="EE43" s="280">
        <v>103803</v>
      </c>
      <c r="EF43" s="280"/>
    </row>
    <row r="44" spans="1:136" ht="10.5" customHeight="1" x14ac:dyDescent="0.3">
      <c r="A44" s="268">
        <v>1995</v>
      </c>
      <c r="B44" s="603">
        <f>'C1-Incomes'!EX43</f>
        <v>6479476.4874999998</v>
      </c>
      <c r="C44" s="280">
        <f>(TOTALS!E101)/1000000+CC44-BS44</f>
        <v>3229758.9075278942</v>
      </c>
      <c r="D44" s="601" t="s">
        <v>50</v>
      </c>
      <c r="E44" s="270">
        <f t="shared" si="18"/>
        <v>80653.092472105753</v>
      </c>
      <c r="F44" s="598"/>
      <c r="G44" s="270">
        <f t="shared" si="48"/>
        <v>311565</v>
      </c>
      <c r="H44" s="601" t="s">
        <v>50</v>
      </c>
      <c r="I44" s="270">
        <f t="shared" si="13"/>
        <v>264120</v>
      </c>
      <c r="J44" s="270"/>
      <c r="K44" s="270">
        <f>'T-T0'!G44</f>
        <v>23509.192777176577</v>
      </c>
      <c r="L44" s="270">
        <f t="shared" si="19"/>
        <v>-1502.1927771765768</v>
      </c>
      <c r="M44" s="270"/>
      <c r="N44" s="280">
        <f>'T-T0'!I44</f>
        <v>168198.18343500001</v>
      </c>
      <c r="O44" s="280">
        <f>'T-T0'!J44</f>
        <v>46861.331409000006</v>
      </c>
      <c r="P44" s="280">
        <f t="shared" si="20"/>
        <v>25136.034813964798</v>
      </c>
      <c r="Q44" s="280">
        <f t="shared" si="21"/>
        <v>222253.45034203518</v>
      </c>
      <c r="R44" s="270"/>
      <c r="S44" s="280">
        <f>TOTALS!U101/1000000</f>
        <v>25123.717064</v>
      </c>
      <c r="T44" s="270">
        <f t="shared" si="22"/>
        <v>32905.282936000003</v>
      </c>
      <c r="U44" s="270">
        <f t="shared" si="14"/>
        <v>68533</v>
      </c>
      <c r="V44" s="270">
        <f t="shared" si="45"/>
        <v>2625</v>
      </c>
      <c r="W44" s="270"/>
      <c r="X44" s="280">
        <f t="shared" si="49"/>
        <v>75602.830898142973</v>
      </c>
      <c r="Y44" s="280">
        <f>(CP44-AA44)*'C13-CapOwn'!N40</f>
        <v>108225.65625161209</v>
      </c>
      <c r="Z44" s="607">
        <f>(CP44-AA44)*'C13-CapOwn'!O40</f>
        <v>10620.512850244942</v>
      </c>
      <c r="AA44" s="607">
        <f t="shared" si="15"/>
        <v>23389</v>
      </c>
      <c r="AB44" s="270"/>
      <c r="AC44" s="280">
        <f>TOTALS!H101/1000000</f>
        <v>109264.776423</v>
      </c>
      <c r="AD44" s="601">
        <f t="shared" si="23"/>
        <v>57504.144679584992</v>
      </c>
      <c r="AE44" s="270">
        <f t="shared" si="50"/>
        <v>11426.078897415002</v>
      </c>
      <c r="AF44" s="270"/>
      <c r="AG44" s="280">
        <f t="shared" si="24"/>
        <v>77583.668294999996</v>
      </c>
      <c r="AH44" s="280">
        <f t="shared" si="25"/>
        <v>3171.3317050000041</v>
      </c>
      <c r="AI44" s="270"/>
      <c r="AJ44" s="270">
        <f>'C10-Adj by Source'!X41</f>
        <v>107458.3</v>
      </c>
      <c r="AK44" s="601">
        <f t="shared" si="51"/>
        <v>104517.33600000001</v>
      </c>
      <c r="AL44" s="607">
        <f t="shared" si="52"/>
        <v>14252.364</v>
      </c>
      <c r="AM44" s="270"/>
      <c r="AN44" s="270">
        <f>TOTALS!BF40/1000000</f>
        <v>48521.099162999999</v>
      </c>
      <c r="AO44" s="601">
        <f t="shared" si="27"/>
        <v>15990.550837000001</v>
      </c>
      <c r="AP44" s="607">
        <f t="shared" si="53"/>
        <v>3395.3500000000004</v>
      </c>
      <c r="AQ44" s="280">
        <f>TOTALS!F101/1000000-AU44</f>
        <v>96220.887244199999</v>
      </c>
      <c r="AR44" s="607">
        <f t="shared" si="28"/>
        <v>132565.46275580002</v>
      </c>
      <c r="AS44" s="607">
        <f t="shared" si="54"/>
        <v>14519.650000000001</v>
      </c>
      <c r="AT44" s="280"/>
      <c r="AU44" s="280">
        <f>TOTALS!F101/1000000*0.4</f>
        <v>64147.258162800004</v>
      </c>
      <c r="AV44" s="607">
        <f t="shared" si="29"/>
        <v>1077.0547453399442</v>
      </c>
      <c r="AW44" s="607">
        <f t="shared" si="30"/>
        <v>56.687091860000514</v>
      </c>
      <c r="AX44" s="270"/>
      <c r="AY44" s="270">
        <f>'C10-Adj by Source'!AE41</f>
        <v>98424</v>
      </c>
      <c r="AZ44" s="270">
        <f>'C10-Adj by Source'!AU41</f>
        <v>104155</v>
      </c>
      <c r="BA44" s="607">
        <f t="shared" si="16"/>
        <v>355324</v>
      </c>
      <c r="BB44" s="607"/>
      <c r="BC44" s="280">
        <f t="shared" si="55"/>
        <v>-34812</v>
      </c>
      <c r="BD44" s="280"/>
      <c r="BE44" s="280">
        <f t="shared" si="56"/>
        <v>44965</v>
      </c>
      <c r="BF44" s="280"/>
      <c r="BG44" s="280">
        <f t="shared" si="57"/>
        <v>15618</v>
      </c>
      <c r="BH44" s="270"/>
      <c r="BI44" s="280">
        <f>TOTALS!AD101/1000000+CE44</f>
        <v>281612.2527849648</v>
      </c>
      <c r="BJ44" s="280">
        <f t="shared" si="31"/>
        <v>34939.747215035197</v>
      </c>
      <c r="BK44" s="272"/>
      <c r="BL44" s="280">
        <f t="shared" si="32"/>
        <v>0</v>
      </c>
      <c r="BM44" s="863"/>
      <c r="BN44" s="270">
        <v>6479476</v>
      </c>
      <c r="BO44" s="270">
        <f t="shared" si="33"/>
        <v>6479476.4874999998</v>
      </c>
      <c r="BP44" s="860">
        <f t="shared" si="34"/>
        <v>0.48749999981373549</v>
      </c>
      <c r="BQ44" s="860"/>
      <c r="BR44" s="270">
        <v>107610</v>
      </c>
      <c r="BS44" s="270">
        <f>TOTALS!BP101/1000000</f>
        <v>16828.796913999999</v>
      </c>
      <c r="BT44" s="270">
        <f t="shared" si="58"/>
        <v>208942</v>
      </c>
      <c r="BU44" s="270">
        <f t="shared" si="36"/>
        <v>57504.144679584992</v>
      </c>
      <c r="BV44" s="270">
        <f t="shared" si="59"/>
        <v>104517.33600000001</v>
      </c>
      <c r="BW44" s="280">
        <f t="shared" si="37"/>
        <v>15990.550837000001</v>
      </c>
      <c r="BX44" s="607">
        <f t="shared" si="38"/>
        <v>132565.46275580002</v>
      </c>
      <c r="BY44" s="280">
        <f t="shared" si="39"/>
        <v>1077.0547453399442</v>
      </c>
      <c r="BZ44" s="280">
        <f t="shared" si="40"/>
        <v>311654.54901772499</v>
      </c>
      <c r="CA44" s="280"/>
      <c r="CB44" s="270">
        <f>'C0-Ref Stats'!AJ41</f>
        <v>125680.17406982397</v>
      </c>
      <c r="CC44" s="270">
        <f t="shared" si="41"/>
        <v>75408.104441894378</v>
      </c>
      <c r="CD44" s="270">
        <f t="shared" si="42"/>
        <v>25136.034813964798</v>
      </c>
      <c r="CE44" s="270">
        <f t="shared" si="43"/>
        <v>25136.034813964798</v>
      </c>
      <c r="CF44" s="270"/>
      <c r="CG44" s="331">
        <f>ROUND('C12-CorpOwn'!R40,3)</f>
        <v>0.47399999999999998</v>
      </c>
      <c r="CH44" s="331">
        <f>ROUND('C12-CorpOwn'!S40,3)</f>
        <v>0.46200000000000002</v>
      </c>
      <c r="CI44" s="331">
        <f>ROUND('C12-CorpOwn'!T40,3)</f>
        <v>6.3E-2</v>
      </c>
      <c r="CJ44" s="270"/>
      <c r="CK44" s="270">
        <v>3418022</v>
      </c>
      <c r="CL44" s="270">
        <v>520507</v>
      </c>
      <c r="CM44" s="270">
        <v>264120</v>
      </c>
      <c r="CN44" s="270">
        <v>22007</v>
      </c>
      <c r="CO44" s="270">
        <v>462449</v>
      </c>
      <c r="CP44" s="270">
        <v>217838</v>
      </c>
      <c r="CQ44" s="270">
        <v>258950</v>
      </c>
      <c r="CR44" s="270">
        <v>226228</v>
      </c>
      <c r="CS44" s="270">
        <v>376494</v>
      </c>
      <c r="CT44" s="270">
        <v>557903</v>
      </c>
      <c r="CU44" s="280">
        <v>-34812</v>
      </c>
      <c r="CV44" s="280">
        <v>44965</v>
      </c>
      <c r="CW44" s="280">
        <v>15618</v>
      </c>
      <c r="CX44" s="280">
        <v>428946</v>
      </c>
      <c r="CY44" s="280">
        <v>381859</v>
      </c>
      <c r="CZ44" s="280">
        <f t="shared" si="60"/>
        <v>47087</v>
      </c>
      <c r="DA44" s="280">
        <v>344477</v>
      </c>
      <c r="DB44" s="280">
        <v>290393</v>
      </c>
      <c r="DC44" s="280">
        <v>67907</v>
      </c>
      <c r="DD44" s="270">
        <v>242735</v>
      </c>
      <c r="DE44" s="270">
        <v>202579</v>
      </c>
      <c r="DF44" s="270">
        <v>21186</v>
      </c>
      <c r="DG44" s="270">
        <v>25688</v>
      </c>
      <c r="DH44" s="270">
        <v>7932</v>
      </c>
      <c r="DI44" s="270">
        <v>7217</v>
      </c>
      <c r="DJ44" s="270">
        <f t="shared" si="61"/>
        <v>50566</v>
      </c>
      <c r="DK44" s="280">
        <v>243938</v>
      </c>
      <c r="DL44" s="270">
        <v>67907</v>
      </c>
      <c r="DM44" s="270">
        <v>59563</v>
      </c>
      <c r="DN44" s="270">
        <v>291434</v>
      </c>
      <c r="DO44" s="270">
        <v>47537</v>
      </c>
      <c r="DP44" s="270">
        <v>9489</v>
      </c>
      <c r="DQ44" s="270">
        <v>58179</v>
      </c>
      <c r="DR44" s="270"/>
      <c r="DS44" s="270">
        <v>58029</v>
      </c>
      <c r="DT44" s="277">
        <v>71158</v>
      </c>
      <c r="DU44" s="270">
        <v>2625</v>
      </c>
      <c r="DV44" s="277"/>
      <c r="DW44" s="270">
        <f>TOTALS!S101/1000000</f>
        <v>124444.999704</v>
      </c>
      <c r="DX44" s="280">
        <f>TOTALS!$BC101/1000000</f>
        <v>77583.668294999996</v>
      </c>
      <c r="DY44" s="280">
        <v>80755</v>
      </c>
      <c r="DZ44" s="270">
        <f t="shared" si="47"/>
        <v>80755</v>
      </c>
      <c r="EA44" s="270"/>
      <c r="EB44" s="272">
        <v>590297</v>
      </c>
      <c r="EC44" s="280">
        <v>23389</v>
      </c>
      <c r="ED44" s="277">
        <v>141737</v>
      </c>
      <c r="EE44" s="280">
        <v>104155</v>
      </c>
      <c r="EF44" s="280"/>
    </row>
    <row r="45" spans="1:136" ht="10.5" customHeight="1" x14ac:dyDescent="0.3">
      <c r="A45" s="268">
        <v>1996</v>
      </c>
      <c r="B45" s="603">
        <f>'C1-Incomes'!EX44</f>
        <v>6899394.8994000005</v>
      </c>
      <c r="C45" s="280">
        <f>(TOTALS!E102)/1000000+CC45-BS45</f>
        <v>3406336.6309994278</v>
      </c>
      <c r="D45" s="601" t="s">
        <v>50</v>
      </c>
      <c r="E45" s="270">
        <f t="shared" si="18"/>
        <v>89956.369000572246</v>
      </c>
      <c r="F45" s="598"/>
      <c r="G45" s="270">
        <f t="shared" si="48"/>
        <v>310906</v>
      </c>
      <c r="H45" s="601" t="s">
        <v>50</v>
      </c>
      <c r="I45" s="270">
        <f t="shared" si="13"/>
        <v>274805</v>
      </c>
      <c r="J45" s="270"/>
      <c r="K45" s="270">
        <f>'T-T0'!G45</f>
        <v>18839.789753619316</v>
      </c>
      <c r="L45" s="270">
        <f t="shared" si="19"/>
        <v>18479.210246380684</v>
      </c>
      <c r="M45" s="270"/>
      <c r="N45" s="280">
        <f>'T-T0'!I45</f>
        <v>175485.19050699999</v>
      </c>
      <c r="O45" s="280">
        <f>'T-T0'!J45</f>
        <v>57392.340354</v>
      </c>
      <c r="P45" s="280">
        <f t="shared" si="20"/>
        <v>26370.71999147602</v>
      </c>
      <c r="Q45" s="280">
        <f t="shared" si="21"/>
        <v>250803.74914752404</v>
      </c>
      <c r="R45" s="270"/>
      <c r="S45" s="280">
        <f>TOTALS!U102/1000000</f>
        <v>37074.080443999999</v>
      </c>
      <c r="T45" s="270">
        <f t="shared" si="22"/>
        <v>24265.919556000001</v>
      </c>
      <c r="U45" s="270">
        <f t="shared" si="14"/>
        <v>82712</v>
      </c>
      <c r="V45" s="270">
        <f t="shared" si="45"/>
        <v>2900</v>
      </c>
      <c r="W45" s="270"/>
      <c r="X45" s="280">
        <f t="shared" si="49"/>
        <v>78815.585782880356</v>
      </c>
      <c r="Y45" s="280">
        <f>(CP45-AA45)*'C13-CapOwn'!N41</f>
        <v>120216.6333212068</v>
      </c>
      <c r="Z45" s="607">
        <f>(CP45-AA45)*'C13-CapOwn'!O41</f>
        <v>12353.780895912843</v>
      </c>
      <c r="AA45" s="607">
        <f t="shared" si="15"/>
        <v>20083</v>
      </c>
      <c r="AB45" s="270"/>
      <c r="AC45" s="280">
        <f>TOTALS!H102/1000000</f>
        <v>120195.636755</v>
      </c>
      <c r="AD45" s="601">
        <f t="shared" si="23"/>
        <v>65452.457440146005</v>
      </c>
      <c r="AE45" s="270">
        <f t="shared" si="50"/>
        <v>15316.905804853997</v>
      </c>
      <c r="AF45" s="270"/>
      <c r="AG45" s="280">
        <f t="shared" si="24"/>
        <v>87796.932325999995</v>
      </c>
      <c r="AH45" s="280">
        <f t="shared" si="25"/>
        <v>14766.067674000005</v>
      </c>
      <c r="AI45" s="270"/>
      <c r="AJ45" s="270">
        <f>'C10-Adj by Source'!X42</f>
        <v>111970.976</v>
      </c>
      <c r="AK45" s="601">
        <f t="shared" si="51"/>
        <v>121260.048</v>
      </c>
      <c r="AL45" s="607">
        <f t="shared" si="52"/>
        <v>17824.975999999999</v>
      </c>
      <c r="AM45" s="270"/>
      <c r="AN45" s="270">
        <f>TOTALS!BF41/1000000</f>
        <v>48217.719169000004</v>
      </c>
      <c r="AO45" s="601">
        <f t="shared" si="27"/>
        <v>19098.330830999996</v>
      </c>
      <c r="AP45" s="607">
        <f t="shared" si="53"/>
        <v>3542.9500000000003</v>
      </c>
      <c r="AQ45" s="280">
        <f>TOTALS!F102/1000000-AU45</f>
        <v>103229.56242659999</v>
      </c>
      <c r="AR45" s="607">
        <f t="shared" si="28"/>
        <v>122395.8375734</v>
      </c>
      <c r="AS45" s="607">
        <f t="shared" si="54"/>
        <v>14862.6</v>
      </c>
      <c r="AT45" s="280"/>
      <c r="AU45" s="280">
        <f>TOTALS!F102/1000000*0.4</f>
        <v>68819.708284399996</v>
      </c>
      <c r="AV45" s="607">
        <f t="shared" si="29"/>
        <v>1599.1271298200038</v>
      </c>
      <c r="AW45" s="607">
        <f t="shared" si="30"/>
        <v>84.164585780000209</v>
      </c>
      <c r="AX45" s="270"/>
      <c r="AY45" s="270">
        <f>'C10-Adj by Source'!AE42</f>
        <v>104707</v>
      </c>
      <c r="AZ45" s="270">
        <f>'C10-Adj by Source'!AU42</f>
        <v>107645</v>
      </c>
      <c r="BA45" s="607">
        <f t="shared" si="16"/>
        <v>368402</v>
      </c>
      <c r="BB45" s="607"/>
      <c r="BC45" s="280">
        <f t="shared" si="55"/>
        <v>-35234</v>
      </c>
      <c r="BD45" s="280"/>
      <c r="BE45" s="280">
        <f t="shared" si="56"/>
        <v>52649</v>
      </c>
      <c r="BF45" s="280"/>
      <c r="BG45" s="280">
        <f t="shared" si="57"/>
        <v>16890</v>
      </c>
      <c r="BH45" s="270"/>
      <c r="BI45" s="280">
        <f>TOTALS!AD102/1000000+CE45</f>
        <v>308735.52048947604</v>
      </c>
      <c r="BJ45" s="280">
        <f t="shared" si="31"/>
        <v>31370.479510523961</v>
      </c>
      <c r="BK45" s="272"/>
      <c r="BL45" s="280">
        <f t="shared" si="32"/>
        <v>-1.0000000009313226</v>
      </c>
      <c r="BM45" s="863"/>
      <c r="BN45" s="270">
        <v>6899394</v>
      </c>
      <c r="BO45" s="270">
        <f t="shared" si="33"/>
        <v>6899394.8994000005</v>
      </c>
      <c r="BP45" s="860">
        <f t="shared" si="34"/>
        <v>0.89940000046044588</v>
      </c>
      <c r="BQ45" s="860"/>
      <c r="BR45" s="270">
        <v>120176</v>
      </c>
      <c r="BS45" s="270">
        <f>TOTALS!BP102/1000000</f>
        <v>17323.828975</v>
      </c>
      <c r="BT45" s="270">
        <f t="shared" si="58"/>
        <v>219930</v>
      </c>
      <c r="BU45" s="270">
        <f t="shared" si="36"/>
        <v>65452.457440146005</v>
      </c>
      <c r="BV45" s="270">
        <f t="shared" si="59"/>
        <v>121260.048</v>
      </c>
      <c r="BW45" s="280">
        <f t="shared" si="37"/>
        <v>19098.330830999996</v>
      </c>
      <c r="BX45" s="607">
        <f t="shared" si="38"/>
        <v>122395.8375734</v>
      </c>
      <c r="BY45" s="280">
        <f t="shared" si="39"/>
        <v>1599.1271298200038</v>
      </c>
      <c r="BZ45" s="280">
        <f t="shared" si="40"/>
        <v>329805.80097436596</v>
      </c>
      <c r="CA45" s="280"/>
      <c r="CB45" s="270">
        <f>'C0-Ref Stats'!AJ42</f>
        <v>131853.59995738009</v>
      </c>
      <c r="CC45" s="270">
        <f t="shared" si="41"/>
        <v>79112.159974428054</v>
      </c>
      <c r="CD45" s="270">
        <f t="shared" si="42"/>
        <v>26370.71999147602</v>
      </c>
      <c r="CE45" s="270">
        <f t="shared" si="43"/>
        <v>26370.71999147602</v>
      </c>
      <c r="CF45" s="270"/>
      <c r="CG45" s="331">
        <f>ROUND('C12-CorpOwn'!R41,3)</f>
        <v>0.44600000000000001</v>
      </c>
      <c r="CH45" s="331">
        <f>ROUND('C12-CorpOwn'!S41,3)</f>
        <v>0.48299999999999998</v>
      </c>
      <c r="CI45" s="331">
        <f>ROUND('C12-CorpOwn'!T41,3)</f>
        <v>7.0999999999999994E-2</v>
      </c>
      <c r="CJ45" s="270"/>
      <c r="CK45" s="270">
        <v>3616469</v>
      </c>
      <c r="CL45" s="270">
        <v>530836</v>
      </c>
      <c r="CM45" s="270">
        <v>274805</v>
      </c>
      <c r="CN45" s="270">
        <v>37319</v>
      </c>
      <c r="CO45" s="270">
        <v>510052</v>
      </c>
      <c r="CP45" s="270">
        <v>231469</v>
      </c>
      <c r="CQ45" s="270">
        <v>303528</v>
      </c>
      <c r="CR45" s="270">
        <v>251056</v>
      </c>
      <c r="CS45" s="270">
        <v>381850</v>
      </c>
      <c r="CT45" s="270">
        <v>580754</v>
      </c>
      <c r="CU45" s="280">
        <v>-35234</v>
      </c>
      <c r="CV45" s="280">
        <v>52649</v>
      </c>
      <c r="CW45" s="280">
        <v>16890</v>
      </c>
      <c r="CX45" s="280">
        <v>432339</v>
      </c>
      <c r="CY45" s="280">
        <v>375575</v>
      </c>
      <c r="CZ45" s="280">
        <f t="shared" si="60"/>
        <v>56764</v>
      </c>
      <c r="DA45" s="280">
        <v>342088</v>
      </c>
      <c r="DB45" s="280">
        <v>297252</v>
      </c>
      <c r="DC45" s="280">
        <v>70859</v>
      </c>
      <c r="DD45" s="270">
        <v>256186</v>
      </c>
      <c r="DE45" s="270">
        <v>212352</v>
      </c>
      <c r="DF45" s="270">
        <v>22300</v>
      </c>
      <c r="DG45" s="270">
        <v>26606</v>
      </c>
      <c r="DH45" s="270">
        <v>8872</v>
      </c>
      <c r="DI45" s="270">
        <v>7520</v>
      </c>
      <c r="DJ45" s="270">
        <f t="shared" si="61"/>
        <v>46918</v>
      </c>
      <c r="DK45" s="280">
        <v>252927</v>
      </c>
      <c r="DL45" s="270">
        <v>70859</v>
      </c>
      <c r="DM45" s="270">
        <v>63546</v>
      </c>
      <c r="DN45" s="270">
        <v>296681</v>
      </c>
      <c r="DO45" s="270">
        <v>50258</v>
      </c>
      <c r="DP45" s="270">
        <v>10030</v>
      </c>
      <c r="DQ45" s="270">
        <v>54453</v>
      </c>
      <c r="DR45" s="270"/>
      <c r="DS45" s="270">
        <v>61340</v>
      </c>
      <c r="DT45" s="277">
        <v>85612</v>
      </c>
      <c r="DU45" s="270">
        <v>2900</v>
      </c>
      <c r="DV45" s="277"/>
      <c r="DW45" s="270">
        <f>TOTALS!S102/1000000</f>
        <v>145189.27267999999</v>
      </c>
      <c r="DX45" s="280">
        <f>TOTALS!$BC102/1000000</f>
        <v>87796.932325999995</v>
      </c>
      <c r="DY45" s="280">
        <v>102563</v>
      </c>
      <c r="DZ45" s="270">
        <f t="shared" si="47"/>
        <v>102563</v>
      </c>
      <c r="EA45" s="270"/>
      <c r="EB45" s="272">
        <v>668410</v>
      </c>
      <c r="EC45" s="280">
        <v>20083</v>
      </c>
      <c r="ED45" s="277">
        <v>152326</v>
      </c>
      <c r="EE45" s="280">
        <v>107645</v>
      </c>
      <c r="EF45" s="280"/>
    </row>
    <row r="46" spans="1:136" ht="10.5" customHeight="1" x14ac:dyDescent="0.3">
      <c r="A46" s="268">
        <v>1997</v>
      </c>
      <c r="B46" s="603">
        <f>'C1-Incomes'!EX45</f>
        <v>7380370.9369000001</v>
      </c>
      <c r="C46" s="280">
        <f>(TOTALS!E103)/1000000+CC46-BS46</f>
        <v>3641960.4565070053</v>
      </c>
      <c r="D46" s="601" t="s">
        <v>50</v>
      </c>
      <c r="E46" s="270">
        <f t="shared" si="18"/>
        <v>102727.54349299474</v>
      </c>
      <c r="F46" s="598"/>
      <c r="G46" s="270">
        <f t="shared" si="48"/>
        <v>312928</v>
      </c>
      <c r="H46" s="601" t="s">
        <v>50</v>
      </c>
      <c r="I46" s="270">
        <f t="shared" si="13"/>
        <v>289593</v>
      </c>
      <c r="J46" s="270"/>
      <c r="K46" s="270">
        <f>'T-T0'!G46</f>
        <v>22140.910233989671</v>
      </c>
      <c r="L46" s="270">
        <f t="shared" si="19"/>
        <v>10229.089766010329</v>
      </c>
      <c r="M46" s="270"/>
      <c r="N46" s="280">
        <f>'T-T0'!I46</f>
        <v>185546.615464</v>
      </c>
      <c r="O46" s="280">
        <f>'T-T0'!J46</f>
        <v>64637.682487999991</v>
      </c>
      <c r="P46" s="280">
        <f t="shared" si="20"/>
        <v>28531.755343001856</v>
      </c>
      <c r="Q46" s="280">
        <f t="shared" si="21"/>
        <v>276767.94670499809</v>
      </c>
      <c r="R46" s="270"/>
      <c r="S46" s="280">
        <f>TOTALS!U103/1000000</f>
        <v>39526.313930999997</v>
      </c>
      <c r="T46" s="270">
        <f t="shared" si="22"/>
        <v>24329.686069000003</v>
      </c>
      <c r="U46" s="270">
        <f t="shared" si="14"/>
        <v>84953</v>
      </c>
      <c r="V46" s="270">
        <f t="shared" si="45"/>
        <v>3238</v>
      </c>
      <c r="W46" s="270"/>
      <c r="X46" s="280">
        <f t="shared" si="49"/>
        <v>85525.25827980446</v>
      </c>
      <c r="Y46" s="280">
        <f>(CP46-AA46)*'C13-CapOwn'!N42</f>
        <v>126284.35303238829</v>
      </c>
      <c r="Z46" s="607">
        <f>(CP46-AA46)*'C13-CapOwn'!O42</f>
        <v>12952.388687807248</v>
      </c>
      <c r="AA46" s="607">
        <f t="shared" si="15"/>
        <v>20659</v>
      </c>
      <c r="AB46" s="270"/>
      <c r="AC46" s="280">
        <f>TOTALS!H103/1000000</f>
        <v>136522.00104900001</v>
      </c>
      <c r="AD46" s="601">
        <f t="shared" si="23"/>
        <v>68232.56245190998</v>
      </c>
      <c r="AE46" s="270">
        <f t="shared" si="50"/>
        <v>16624.436499090003</v>
      </c>
      <c r="AF46" s="270"/>
      <c r="AG46" s="280">
        <f t="shared" si="24"/>
        <v>101960.050013</v>
      </c>
      <c r="AH46" s="280">
        <f t="shared" si="25"/>
        <v>16112.949987</v>
      </c>
      <c r="AI46" s="270"/>
      <c r="AJ46" s="270">
        <f>'C10-Adj by Source'!X43</f>
        <v>132021.12</v>
      </c>
      <c r="AK46" s="601">
        <f t="shared" si="51"/>
        <v>129212.16</v>
      </c>
      <c r="AL46" s="607">
        <f t="shared" si="52"/>
        <v>19662.72</v>
      </c>
      <c r="AM46" s="270"/>
      <c r="AN46" s="270">
        <f>TOTALS!BF42/1000000</f>
        <v>49018.190544999998</v>
      </c>
      <c r="AO46" s="601">
        <f t="shared" si="27"/>
        <v>21028.159455000001</v>
      </c>
      <c r="AP46" s="607">
        <f t="shared" si="53"/>
        <v>3686.65</v>
      </c>
      <c r="AQ46" s="280">
        <f>TOTALS!F103/1000000-AU46</f>
        <v>106766.57710379999</v>
      </c>
      <c r="AR46" s="607">
        <f t="shared" si="28"/>
        <v>108522.42289620001</v>
      </c>
      <c r="AS46" s="607">
        <f t="shared" si="54"/>
        <v>14999</v>
      </c>
      <c r="AT46" s="280"/>
      <c r="AU46" s="280">
        <f>TOTALS!F103/1000000*0.4</f>
        <v>71177.718069199997</v>
      </c>
      <c r="AV46" s="607">
        <f t="shared" si="29"/>
        <v>37513.867834259974</v>
      </c>
      <c r="AW46" s="607">
        <f t="shared" si="30"/>
        <v>1974.4140965400002</v>
      </c>
      <c r="AX46" s="270"/>
      <c r="AY46" s="270">
        <f>'C10-Adj by Source'!AE43</f>
        <v>111873</v>
      </c>
      <c r="AZ46" s="270">
        <f>'C10-Adj by Source'!AU43</f>
        <v>111657</v>
      </c>
      <c r="BA46" s="607">
        <f t="shared" si="16"/>
        <v>388085</v>
      </c>
      <c r="BB46" s="607"/>
      <c r="BC46" s="280">
        <f t="shared" si="55"/>
        <v>-33810</v>
      </c>
      <c r="BD46" s="280"/>
      <c r="BE46" s="280">
        <f t="shared" si="56"/>
        <v>50061</v>
      </c>
      <c r="BF46" s="280"/>
      <c r="BG46" s="280">
        <f t="shared" si="57"/>
        <v>17454</v>
      </c>
      <c r="BH46" s="270"/>
      <c r="BI46" s="280">
        <f>TOTALS!AD103/1000000+CE46</f>
        <v>340850.43785300187</v>
      </c>
      <c r="BJ46" s="280">
        <f t="shared" si="31"/>
        <v>26633.562146998127</v>
      </c>
      <c r="BK46" s="272"/>
      <c r="BL46" s="280">
        <f t="shared" si="32"/>
        <v>0</v>
      </c>
      <c r="BM46" s="863"/>
      <c r="BN46" s="270">
        <v>7380370</v>
      </c>
      <c r="BO46" s="270">
        <f t="shared" si="33"/>
        <v>7380370.9369000001</v>
      </c>
      <c r="BP46" s="860">
        <f t="shared" si="34"/>
        <v>0.93690000008791685</v>
      </c>
      <c r="BQ46" s="860"/>
      <c r="BR46" s="270">
        <v>132156</v>
      </c>
      <c r="BS46" s="270">
        <f>TOTALS!BP103/1000000</f>
        <v>18534.709522000001</v>
      </c>
      <c r="BT46" s="270">
        <f t="shared" si="58"/>
        <v>235328</v>
      </c>
      <c r="BU46" s="270">
        <f t="shared" si="36"/>
        <v>68232.56245190998</v>
      </c>
      <c r="BV46" s="270">
        <f t="shared" si="59"/>
        <v>129212.16</v>
      </c>
      <c r="BW46" s="280">
        <f t="shared" si="37"/>
        <v>21028.159455000001</v>
      </c>
      <c r="BX46" s="607">
        <f t="shared" si="38"/>
        <v>108522.42289620001</v>
      </c>
      <c r="BY46" s="280">
        <f t="shared" si="39"/>
        <v>37513.867834259974</v>
      </c>
      <c r="BZ46" s="280">
        <f t="shared" si="40"/>
        <v>364509.17263736995</v>
      </c>
      <c r="CA46" s="280"/>
      <c r="CB46" s="270">
        <f>'C0-Ref Stats'!AJ43</f>
        <v>142658.77671500924</v>
      </c>
      <c r="CC46" s="270">
        <f t="shared" si="41"/>
        <v>85595.266029005536</v>
      </c>
      <c r="CD46" s="270">
        <f t="shared" si="42"/>
        <v>28531.755343001856</v>
      </c>
      <c r="CE46" s="270">
        <f t="shared" si="43"/>
        <v>28531.755343001849</v>
      </c>
      <c r="CF46" s="270"/>
      <c r="CG46" s="331">
        <f>ROUND('C12-CorpOwn'!R42,3)</f>
        <v>0.47</v>
      </c>
      <c r="CH46" s="331">
        <f>ROUND('C12-CorpOwn'!S42,3)</f>
        <v>0.46</v>
      </c>
      <c r="CI46" s="331">
        <f>ROUND('C12-CorpOwn'!T42,3)</f>
        <v>7.0000000000000007E-2</v>
      </c>
      <c r="CJ46" s="270"/>
      <c r="CK46" s="270">
        <v>3876844</v>
      </c>
      <c r="CL46" s="270">
        <v>548256</v>
      </c>
      <c r="CM46" s="270">
        <v>289593</v>
      </c>
      <c r="CN46" s="270">
        <v>32370</v>
      </c>
      <c r="CO46" s="270">
        <v>555484</v>
      </c>
      <c r="CP46" s="270">
        <v>245421</v>
      </c>
      <c r="CQ46" s="270">
        <v>339452</v>
      </c>
      <c r="CR46" s="270">
        <v>280896</v>
      </c>
      <c r="CS46" s="270">
        <v>414687</v>
      </c>
      <c r="CT46" s="270">
        <v>611615</v>
      </c>
      <c r="CU46" s="280">
        <v>-33810</v>
      </c>
      <c r="CV46" s="280">
        <v>50061</v>
      </c>
      <c r="CW46" s="280">
        <v>17454</v>
      </c>
      <c r="CX46" s="280">
        <v>435822</v>
      </c>
      <c r="CY46" s="280">
        <v>366130</v>
      </c>
      <c r="CZ46" s="280">
        <f t="shared" si="60"/>
        <v>69692</v>
      </c>
      <c r="DA46" s="280">
        <v>343062</v>
      </c>
      <c r="DB46" s="280">
        <v>299980</v>
      </c>
      <c r="DC46" s="280">
        <v>73733</v>
      </c>
      <c r="DD46" s="270">
        <v>268650</v>
      </c>
      <c r="DE46" s="270">
        <v>223530</v>
      </c>
      <c r="DF46" s="270">
        <v>22143</v>
      </c>
      <c r="DG46" s="270">
        <v>27709</v>
      </c>
      <c r="DH46" s="270">
        <v>8890</v>
      </c>
      <c r="DI46" s="270">
        <v>7904</v>
      </c>
      <c r="DJ46" s="270">
        <f t="shared" si="61"/>
        <v>52789</v>
      </c>
      <c r="DK46" s="280">
        <v>268715</v>
      </c>
      <c r="DL46" s="270">
        <v>73733</v>
      </c>
      <c r="DM46" s="270">
        <v>67494</v>
      </c>
      <c r="DN46" s="270">
        <v>303748</v>
      </c>
      <c r="DO46" s="270">
        <v>54131</v>
      </c>
      <c r="DP46" s="270">
        <v>10820</v>
      </c>
      <c r="DQ46" s="270">
        <v>52491</v>
      </c>
      <c r="DR46" s="270"/>
      <c r="DS46" s="270">
        <v>63856</v>
      </c>
      <c r="DT46" s="277">
        <v>88191</v>
      </c>
      <c r="DU46" s="270">
        <v>3238</v>
      </c>
      <c r="DV46" s="277"/>
      <c r="DW46" s="270">
        <f>TOTALS!S103/1000000</f>
        <v>166597.73250099999</v>
      </c>
      <c r="DX46" s="280">
        <f>TOTALS!$BC103/1000000</f>
        <v>101960.050013</v>
      </c>
      <c r="DY46" s="280">
        <v>118073</v>
      </c>
      <c r="DZ46" s="270">
        <f t="shared" si="47"/>
        <v>118073</v>
      </c>
      <c r="EA46" s="270"/>
      <c r="EB46" s="272">
        <v>749822</v>
      </c>
      <c r="EC46" s="280">
        <v>20659</v>
      </c>
      <c r="ED46" s="277">
        <v>164667</v>
      </c>
      <c r="EE46" s="280">
        <v>111657</v>
      </c>
      <c r="EF46" s="280"/>
    </row>
    <row r="47" spans="1:136" ht="10.5" customHeight="1" x14ac:dyDescent="0.3">
      <c r="A47" s="268">
        <v>1998</v>
      </c>
      <c r="B47" s="603">
        <f>'C1-Incomes'!EX46</f>
        <v>7857277.2644999996</v>
      </c>
      <c r="C47" s="280">
        <f>(TOTALS!E104)/1000000+CC47-BS47</f>
        <v>3907766.6520607835</v>
      </c>
      <c r="D47" s="601" t="s">
        <v>50</v>
      </c>
      <c r="E47" s="270">
        <f t="shared" ref="E47:E64" si="62">CK47-C47-BR47</f>
        <v>131949.34793921653</v>
      </c>
      <c r="F47" s="598"/>
      <c r="G47" s="270">
        <f t="shared" si="48"/>
        <v>335118</v>
      </c>
      <c r="H47" s="601" t="s">
        <v>50</v>
      </c>
      <c r="I47" s="270">
        <f t="shared" si="13"/>
        <v>307237</v>
      </c>
      <c r="J47" s="270"/>
      <c r="K47" s="270">
        <f>'T-T0'!G47</f>
        <v>24316.340171694923</v>
      </c>
      <c r="L47" s="270">
        <f t="shared" ref="L47:L64" si="63">CN47-K47</f>
        <v>4132.6598283050771</v>
      </c>
      <c r="M47" s="270"/>
      <c r="N47" s="280">
        <f>'T-T0'!I47</f>
        <v>201155.03962699999</v>
      </c>
      <c r="O47" s="280">
        <f>'T-T0'!J47</f>
        <v>71743.350153999985</v>
      </c>
      <c r="P47" s="280">
        <f t="shared" ref="P47:P64" si="64">CD47</f>
        <v>28979.894197261165</v>
      </c>
      <c r="Q47" s="280">
        <f t="shared" ref="Q47:Q64" si="65">CO47-N47-O47-P47</f>
        <v>313866.71602173883</v>
      </c>
      <c r="R47" s="270"/>
      <c r="S47" s="280">
        <f>TOTALS!U104/1000000</f>
        <v>42681.276710999999</v>
      </c>
      <c r="T47" s="270">
        <f t="shared" ref="T47:T64" si="66">DS47-S47</f>
        <v>22230.723289000001</v>
      </c>
      <c r="U47" s="270">
        <f t="shared" si="14"/>
        <v>101290</v>
      </c>
      <c r="V47" s="270">
        <f t="shared" si="45"/>
        <v>3660</v>
      </c>
      <c r="W47" s="270"/>
      <c r="X47" s="280">
        <f t="shared" si="49"/>
        <v>85236.752525772768</v>
      </c>
      <c r="Y47" s="280">
        <f>(CP47-AA47)*'C13-CapOwn'!N43</f>
        <v>124073.94879326825</v>
      </c>
      <c r="Z47" s="607">
        <f>(CP47-AA47)*'C13-CapOwn'!O43</f>
        <v>12494.298680958973</v>
      </c>
      <c r="AA47" s="607">
        <f t="shared" si="15"/>
        <v>26561</v>
      </c>
      <c r="AB47" s="270"/>
      <c r="AC47" s="280">
        <f>TOTALS!H104/1000000</f>
        <v>135396.18551099999</v>
      </c>
      <c r="AD47" s="601">
        <f t="shared" ref="AD47:AD64" si="67">BU47</f>
        <v>55400.24321767901</v>
      </c>
      <c r="AE47" s="270">
        <f t="shared" si="50"/>
        <v>16321.571271321001</v>
      </c>
      <c r="AF47" s="270"/>
      <c r="AG47" s="280">
        <f t="shared" ref="AG47:AG64" si="68">DX47</f>
        <v>113466.458637</v>
      </c>
      <c r="AH47" s="280">
        <f t="shared" ref="AH47:AH63" si="69">DZ47-AG47</f>
        <v>36487.541362999997</v>
      </c>
      <c r="AI47" s="270"/>
      <c r="AJ47" s="270">
        <f>'C10-Adj by Source'!X44</f>
        <v>94766.544000000009</v>
      </c>
      <c r="AK47" s="601">
        <f t="shared" si="51"/>
        <v>90594.432000000001</v>
      </c>
      <c r="AL47" s="607">
        <f t="shared" si="52"/>
        <v>13311.024000000001</v>
      </c>
      <c r="AM47" s="270"/>
      <c r="AN47" s="270">
        <f>TOTALS!BF43/1000000</f>
        <v>50224.300852</v>
      </c>
      <c r="AO47" s="601">
        <f t="shared" ref="AO47:AO64" si="70">BW47</f>
        <v>22397.499147999999</v>
      </c>
      <c r="AP47" s="607">
        <f t="shared" si="53"/>
        <v>3822.2000000000003</v>
      </c>
      <c r="AQ47" s="280">
        <f>TOTALS!F104/1000000-AU47</f>
        <v>111196.80499199999</v>
      </c>
      <c r="AR47" s="607">
        <f t="shared" ref="AR47:AR64" si="71">BX47</f>
        <v>100619.095008</v>
      </c>
      <c r="AS47" s="607">
        <f t="shared" si="54"/>
        <v>14942.1</v>
      </c>
      <c r="AT47" s="280"/>
      <c r="AU47" s="280">
        <f>TOTALS!F104/1000000*0.4</f>
        <v>74131.203328000003</v>
      </c>
      <c r="AV47" s="607">
        <f t="shared" ref="AV47:AV64" si="72">BY47</f>
        <v>95484.306838400022</v>
      </c>
      <c r="AW47" s="607">
        <f t="shared" ref="AW47:AW64" si="73">0.05*(CS47-SUM(AN47:AU47))</f>
        <v>5025.4898335999987</v>
      </c>
      <c r="AX47" s="270"/>
      <c r="AY47" s="270">
        <f>'C10-Adj by Source'!AE44</f>
        <v>117221</v>
      </c>
      <c r="AZ47" s="270">
        <f>'C10-Adj by Source'!AU44</f>
        <v>113787</v>
      </c>
      <c r="BA47" s="607">
        <f t="shared" si="16"/>
        <v>408465</v>
      </c>
      <c r="BB47" s="607"/>
      <c r="BC47" s="280">
        <f t="shared" si="55"/>
        <v>-36368</v>
      </c>
      <c r="BD47" s="280"/>
      <c r="BE47" s="280">
        <f t="shared" si="56"/>
        <v>64079</v>
      </c>
      <c r="BF47" s="280"/>
      <c r="BG47" s="280">
        <f t="shared" si="57"/>
        <v>16262</v>
      </c>
      <c r="BH47" s="270"/>
      <c r="BI47" s="280">
        <f>TOTALS!AD104/1000000+CE47</f>
        <v>381411.62695826113</v>
      </c>
      <c r="BJ47" s="280">
        <f t="shared" ref="BJ47:BJ63" si="74">BR47+BT47-$BI47</f>
        <v>14340.373041738872</v>
      </c>
      <c r="BK47" s="272"/>
      <c r="BL47" s="280">
        <f t="shared" ref="BL47:BL64" si="75">BN47-SUM(C47:BJ47)</f>
        <v>2.0000000009313226</v>
      </c>
      <c r="BM47" s="863"/>
      <c r="BN47" s="270">
        <v>7857280</v>
      </c>
      <c r="BO47" s="270">
        <f t="shared" ref="BO47:BO64" si="76">B47</f>
        <v>7857277.2644999996</v>
      </c>
      <c r="BP47" s="860">
        <f t="shared" ref="BP47:BP64" si="77">BO47-BN47</f>
        <v>-2.7355000004172325</v>
      </c>
      <c r="BQ47" s="860"/>
      <c r="BR47" s="270">
        <v>141900</v>
      </c>
      <c r="BS47" s="270">
        <f>TOTALS!BP104/1000000</f>
        <v>19083.230531000001</v>
      </c>
      <c r="BT47" s="270">
        <f t="shared" si="58"/>
        <v>253852</v>
      </c>
      <c r="BU47" s="270">
        <f t="shared" ref="BU47:BU64" si="78">CQ47-AG47-AH47-AC47-AE47</f>
        <v>55400.24321767901</v>
      </c>
      <c r="BV47" s="270">
        <f t="shared" si="59"/>
        <v>90594.432000000001</v>
      </c>
      <c r="BW47" s="280">
        <f t="shared" ref="BW47:BW63" si="79">DL47-AN47-AP47</f>
        <v>22397.499147999999</v>
      </c>
      <c r="BX47" s="607">
        <f t="shared" ref="BX47:BX64" si="80">DB47-CZ47-AQ47-AS47</f>
        <v>100619.095008</v>
      </c>
      <c r="BY47" s="280">
        <f t="shared" ref="BY47:BY64" si="81">CS47-BW47-BX47-AN47-AP47-AQ47-AS47-AU47-AW47</f>
        <v>95484.306838400022</v>
      </c>
      <c r="BZ47" s="280">
        <f t="shared" ref="BZ47:BZ64" si="82">SUM(BU47:BY47)</f>
        <v>364495.57621207903</v>
      </c>
      <c r="CA47" s="280"/>
      <c r="CB47" s="270">
        <f>'C0-Ref Stats'!AJ44</f>
        <v>144899.47098630582</v>
      </c>
      <c r="CC47" s="270">
        <f t="shared" si="41"/>
        <v>86939.682591783494</v>
      </c>
      <c r="CD47" s="270">
        <f t="shared" si="42"/>
        <v>28979.894197261165</v>
      </c>
      <c r="CE47" s="270">
        <f t="shared" si="43"/>
        <v>28979.894197261165</v>
      </c>
      <c r="CF47" s="270"/>
      <c r="CG47" s="331">
        <f>ROUND('C12-CorpOwn'!R43,3)</f>
        <v>0.47699999999999998</v>
      </c>
      <c r="CH47" s="331">
        <f>ROUND('C12-CorpOwn'!S43,3)</f>
        <v>0.45600000000000002</v>
      </c>
      <c r="CI47" s="331">
        <f>ROUND('C12-CorpOwn'!T43,3)</f>
        <v>6.7000000000000004E-2</v>
      </c>
      <c r="CJ47" s="270"/>
      <c r="CK47" s="270">
        <v>4181616</v>
      </c>
      <c r="CL47" s="270">
        <v>588970</v>
      </c>
      <c r="CM47" s="270">
        <v>307237</v>
      </c>
      <c r="CN47" s="270">
        <v>28449</v>
      </c>
      <c r="CO47" s="270">
        <v>615745</v>
      </c>
      <c r="CP47" s="270">
        <v>248366</v>
      </c>
      <c r="CQ47" s="270">
        <v>357072</v>
      </c>
      <c r="CR47" s="270">
        <v>198672</v>
      </c>
      <c r="CS47" s="270">
        <v>477843</v>
      </c>
      <c r="CT47" s="270">
        <v>639473</v>
      </c>
      <c r="CU47" s="280">
        <v>-36368</v>
      </c>
      <c r="CV47" s="280">
        <v>64079</v>
      </c>
      <c r="CW47" s="280">
        <v>16262</v>
      </c>
      <c r="CX47" s="280">
        <v>427002</v>
      </c>
      <c r="CY47" s="280">
        <v>354918</v>
      </c>
      <c r="CZ47" s="280">
        <f t="shared" si="60"/>
        <v>72084</v>
      </c>
      <c r="DA47" s="280">
        <v>334715</v>
      </c>
      <c r="DB47" s="280">
        <v>298842</v>
      </c>
      <c r="DC47" s="280">
        <v>76444</v>
      </c>
      <c r="DD47" s="270">
        <v>283870</v>
      </c>
      <c r="DE47" s="270">
        <v>231008</v>
      </c>
      <c r="DF47" s="270">
        <v>23428</v>
      </c>
      <c r="DG47" s="270">
        <v>28625</v>
      </c>
      <c r="DH47" s="270">
        <v>8840</v>
      </c>
      <c r="DI47" s="270">
        <v>8220</v>
      </c>
      <c r="DJ47" s="270">
        <f t="shared" si="61"/>
        <v>55482</v>
      </c>
      <c r="DK47" s="280">
        <v>280916</v>
      </c>
      <c r="DL47" s="270">
        <v>76444</v>
      </c>
      <c r="DM47" s="270">
        <v>70459</v>
      </c>
      <c r="DN47" s="270">
        <v>328325</v>
      </c>
      <c r="DO47" s="270">
        <v>58545</v>
      </c>
      <c r="DP47" s="270">
        <v>11472</v>
      </c>
      <c r="DQ47" s="270">
        <v>53866</v>
      </c>
      <c r="DR47" s="270"/>
      <c r="DS47" s="270">
        <v>64912</v>
      </c>
      <c r="DT47" s="277">
        <v>104950</v>
      </c>
      <c r="DU47" s="270">
        <v>3660</v>
      </c>
      <c r="DV47" s="277"/>
      <c r="DW47" s="270">
        <f>TOTALS!S104/1000000</f>
        <v>185209.80879099999</v>
      </c>
      <c r="DX47" s="280">
        <f>TOTALS!$BC104/1000000</f>
        <v>113466.458637</v>
      </c>
      <c r="DY47" s="280">
        <v>149954</v>
      </c>
      <c r="DZ47" s="270">
        <f t="shared" si="47"/>
        <v>149954</v>
      </c>
      <c r="EA47" s="270"/>
      <c r="EB47" s="272">
        <v>831199</v>
      </c>
      <c r="EC47" s="280">
        <v>26561</v>
      </c>
      <c r="ED47" s="277">
        <v>183020</v>
      </c>
      <c r="EE47" s="280">
        <v>113787</v>
      </c>
      <c r="EF47" s="280"/>
    </row>
    <row r="48" spans="1:136" ht="10.5" customHeight="1" x14ac:dyDescent="0.3">
      <c r="A48" s="268">
        <v>1999</v>
      </c>
      <c r="B48" s="603">
        <f>'C1-Incomes'!EX47</f>
        <v>8324398.7141000004</v>
      </c>
      <c r="C48" s="280">
        <f>(TOTALS!E105)/1000000+CC48-BS48</f>
        <v>4180885.2849466293</v>
      </c>
      <c r="D48" s="601" t="s">
        <v>50</v>
      </c>
      <c r="E48" s="270">
        <f t="shared" si="62"/>
        <v>113609.71505337069</v>
      </c>
      <c r="F48" s="598"/>
      <c r="G48" s="270">
        <f t="shared" si="48"/>
        <v>361994</v>
      </c>
      <c r="H48" s="601" t="s">
        <v>50</v>
      </c>
      <c r="I48" s="270">
        <f t="shared" si="13"/>
        <v>323339</v>
      </c>
      <c r="J48" s="270"/>
      <c r="K48" s="270">
        <f>'T-T0'!G48</f>
        <v>27284.632681952415</v>
      </c>
      <c r="L48" s="270">
        <f t="shared" si="63"/>
        <v>822.36731804758529</v>
      </c>
      <c r="M48" s="270"/>
      <c r="N48" s="280">
        <f>'T-T0'!I48</f>
        <v>230860.28610600001</v>
      </c>
      <c r="O48" s="280">
        <f>'T-T0'!J48</f>
        <v>83464.675078000015</v>
      </c>
      <c r="P48" s="280">
        <f t="shared" si="64"/>
        <v>27906.463722209646</v>
      </c>
      <c r="Q48" s="280">
        <f t="shared" si="65"/>
        <v>330099.57509379036</v>
      </c>
      <c r="R48" s="270"/>
      <c r="S48" s="280">
        <f>TOTALS!U105/1000000</f>
        <v>48349.906621000002</v>
      </c>
      <c r="T48" s="270">
        <f t="shared" si="66"/>
        <v>15748.093378999998</v>
      </c>
      <c r="U48" s="270">
        <f t="shared" si="14"/>
        <v>115189</v>
      </c>
      <c r="V48" s="270">
        <f t="shared" si="45"/>
        <v>3818</v>
      </c>
      <c r="W48" s="270"/>
      <c r="X48" s="280">
        <f t="shared" si="49"/>
        <v>94824.753573897251</v>
      </c>
      <c r="Y48" s="280">
        <f>(CP48-AA48)*'C13-CapOwn'!N44</f>
        <v>126208.30891849416</v>
      </c>
      <c r="Z48" s="607">
        <f>(CP48-AA48)*'C13-CapOwn'!O44</f>
        <v>12340.937507608594</v>
      </c>
      <c r="AA48" s="607">
        <f t="shared" si="15"/>
        <v>25410</v>
      </c>
      <c r="AB48" s="270"/>
      <c r="AC48" s="280">
        <f>TOTALS!H105/1000000</f>
        <v>153295.55466600001</v>
      </c>
      <c r="AD48" s="601">
        <f t="shared" si="67"/>
        <v>23948.09065921999</v>
      </c>
      <c r="AE48" s="270">
        <f t="shared" si="50"/>
        <v>13333.354674780001</v>
      </c>
      <c r="AF48" s="270"/>
      <c r="AG48" s="280">
        <f t="shared" si="68"/>
        <v>125673.422087</v>
      </c>
      <c r="AH48" s="280">
        <f t="shared" si="69"/>
        <v>31645.577913000001</v>
      </c>
      <c r="AI48" s="270"/>
      <c r="AJ48" s="270">
        <f>'C10-Adj by Source'!X45</f>
        <v>111327.40200000002</v>
      </c>
      <c r="AK48" s="601">
        <f t="shared" si="51"/>
        <v>98808.657999999996</v>
      </c>
      <c r="AL48" s="607">
        <f t="shared" si="52"/>
        <v>13412.939999999999</v>
      </c>
      <c r="AM48" s="270"/>
      <c r="AN48" s="270">
        <f>TOTALS!BF44/1000000</f>
        <v>53011.417380999999</v>
      </c>
      <c r="AO48" s="601">
        <f t="shared" si="70"/>
        <v>22362.532619000001</v>
      </c>
      <c r="AP48" s="607">
        <f t="shared" si="53"/>
        <v>3967.05</v>
      </c>
      <c r="AQ48" s="280">
        <f>TOTALS!F105/1000000-AU48</f>
        <v>111155.63156279999</v>
      </c>
      <c r="AR48" s="607">
        <f t="shared" si="71"/>
        <v>90625.318437200011</v>
      </c>
      <c r="AS48" s="607">
        <f t="shared" si="54"/>
        <v>14133.050000000001</v>
      </c>
      <c r="AT48" s="280"/>
      <c r="AU48" s="280">
        <f>TOTALS!F105/1000000*0.4</f>
        <v>74103.754375200006</v>
      </c>
      <c r="AV48" s="607">
        <f t="shared" si="72"/>
        <v>112670.23334356004</v>
      </c>
      <c r="AW48" s="607">
        <f t="shared" si="73"/>
        <v>5930.0122812400023</v>
      </c>
      <c r="AX48" s="270"/>
      <c r="AY48" s="270">
        <f>'C10-Adj by Source'!AE45</f>
        <v>125008</v>
      </c>
      <c r="AZ48" s="270">
        <f>'C10-Adj by Source'!AU45</f>
        <v>117794</v>
      </c>
      <c r="BA48" s="607">
        <f t="shared" si="16"/>
        <v>430783</v>
      </c>
      <c r="BB48" s="607"/>
      <c r="BC48" s="280">
        <f t="shared" si="55"/>
        <v>-45209</v>
      </c>
      <c r="BD48" s="280"/>
      <c r="BE48" s="280">
        <f t="shared" si="56"/>
        <v>67813</v>
      </c>
      <c r="BF48" s="280"/>
      <c r="BG48" s="280">
        <f t="shared" si="57"/>
        <v>16170</v>
      </c>
      <c r="BH48" s="270"/>
      <c r="BI48" s="280">
        <f>TOTALS!AD105/1000000+CE48</f>
        <v>419845.18057220965</v>
      </c>
      <c r="BJ48" s="280">
        <f t="shared" si="74"/>
        <v>10635.819427790353</v>
      </c>
      <c r="BK48" s="272"/>
      <c r="BL48" s="280">
        <f t="shared" si="75"/>
        <v>0</v>
      </c>
      <c r="BM48" s="863"/>
      <c r="BN48" s="270">
        <v>8324399</v>
      </c>
      <c r="BO48" s="270">
        <f t="shared" si="76"/>
        <v>8324398.7141000004</v>
      </c>
      <c r="BP48" s="860">
        <f t="shared" si="77"/>
        <v>-0.28589999955147505</v>
      </c>
      <c r="BQ48" s="860"/>
      <c r="BR48" s="270">
        <v>163511</v>
      </c>
      <c r="BS48" s="270">
        <f>TOTALS!BP105/1000000</f>
        <v>20637.606220000001</v>
      </c>
      <c r="BT48" s="270">
        <f t="shared" si="58"/>
        <v>266970</v>
      </c>
      <c r="BU48" s="270">
        <f t="shared" si="78"/>
        <v>23948.09065921999</v>
      </c>
      <c r="BV48" s="270">
        <f t="shared" si="59"/>
        <v>98808.657999999996</v>
      </c>
      <c r="BW48" s="280">
        <f t="shared" si="79"/>
        <v>22362.532619000001</v>
      </c>
      <c r="BX48" s="607">
        <f t="shared" si="80"/>
        <v>90625.318437200011</v>
      </c>
      <c r="BY48" s="280">
        <f t="shared" si="81"/>
        <v>112670.23334356004</v>
      </c>
      <c r="BZ48" s="280">
        <f t="shared" si="82"/>
        <v>348414.83305898006</v>
      </c>
      <c r="CA48" s="280"/>
      <c r="CB48" s="270">
        <f>'C0-Ref Stats'!AJ45</f>
        <v>139532.31861104819</v>
      </c>
      <c r="CC48" s="270">
        <f t="shared" si="41"/>
        <v>83719.391166628906</v>
      </c>
      <c r="CD48" s="270">
        <f t="shared" si="42"/>
        <v>27906.463722209646</v>
      </c>
      <c r="CE48" s="270">
        <f t="shared" si="43"/>
        <v>27906.463722209639</v>
      </c>
      <c r="CF48" s="270"/>
      <c r="CG48" s="331">
        <f>ROUND('C12-CorpOwn'!R44,3)</f>
        <v>0.499</v>
      </c>
      <c r="CH48" s="331">
        <f>ROUND('C12-CorpOwn'!S44,3)</f>
        <v>0.442</v>
      </c>
      <c r="CI48" s="331">
        <f>ROUND('C12-CorpOwn'!T44,3)</f>
        <v>0.06</v>
      </c>
      <c r="CJ48" s="270"/>
      <c r="CK48" s="270">
        <v>4458006</v>
      </c>
      <c r="CL48" s="270">
        <v>628964</v>
      </c>
      <c r="CM48" s="270">
        <v>323339</v>
      </c>
      <c r="CN48" s="270">
        <v>28107</v>
      </c>
      <c r="CO48" s="270">
        <v>672331</v>
      </c>
      <c r="CP48" s="270">
        <v>258784</v>
      </c>
      <c r="CQ48" s="270">
        <v>347896</v>
      </c>
      <c r="CR48" s="270">
        <v>223549</v>
      </c>
      <c r="CS48" s="270">
        <v>487959</v>
      </c>
      <c r="CT48" s="270">
        <v>673585</v>
      </c>
      <c r="CU48" s="280">
        <v>-45209</v>
      </c>
      <c r="CV48" s="280">
        <v>67813</v>
      </c>
      <c r="CW48" s="280">
        <v>16170</v>
      </c>
      <c r="CX48" s="280">
        <v>409967</v>
      </c>
      <c r="CY48" s="280">
        <v>343220</v>
      </c>
      <c r="CZ48" s="280">
        <f t="shared" si="60"/>
        <v>66747</v>
      </c>
      <c r="DA48" s="280">
        <v>314300</v>
      </c>
      <c r="DB48" s="280">
        <v>282661</v>
      </c>
      <c r="DC48" s="280">
        <v>79341</v>
      </c>
      <c r="DD48" s="270">
        <v>301568</v>
      </c>
      <c r="DE48" s="270">
        <v>242802</v>
      </c>
      <c r="DF48" s="270">
        <v>23437</v>
      </c>
      <c r="DG48" s="270">
        <v>29615</v>
      </c>
      <c r="DH48" s="270">
        <v>9361</v>
      </c>
      <c r="DI48" s="270">
        <v>8485</v>
      </c>
      <c r="DJ48" s="270">
        <f t="shared" si="61"/>
        <v>58317</v>
      </c>
      <c r="DK48" s="280">
        <v>299645</v>
      </c>
      <c r="DL48" s="270">
        <v>79341</v>
      </c>
      <c r="DM48" s="270">
        <v>73906</v>
      </c>
      <c r="DN48" s="270">
        <v>358425</v>
      </c>
      <c r="DO48" s="270">
        <v>62532</v>
      </c>
      <c r="DP48" s="270">
        <v>11603</v>
      </c>
      <c r="DQ48" s="270">
        <v>54498</v>
      </c>
      <c r="DR48" s="270"/>
      <c r="DS48" s="270">
        <v>64098</v>
      </c>
      <c r="DT48" s="277">
        <v>119007</v>
      </c>
      <c r="DU48" s="270">
        <v>3818</v>
      </c>
      <c r="DV48" s="277"/>
      <c r="DW48" s="270">
        <f>TOTALS!S105/1000000</f>
        <v>209138.09716500001</v>
      </c>
      <c r="DX48" s="280">
        <f>TOTALS!$BC105/1000000</f>
        <v>125673.422087</v>
      </c>
      <c r="DY48" s="280">
        <v>157319</v>
      </c>
      <c r="DZ48" s="270">
        <f t="shared" si="47"/>
        <v>157319</v>
      </c>
      <c r="EA48" s="270"/>
      <c r="EB48" s="272">
        <v>897630</v>
      </c>
      <c r="EC48" s="280">
        <v>25410</v>
      </c>
      <c r="ED48" s="277">
        <v>195532</v>
      </c>
      <c r="EE48" s="280">
        <v>117794</v>
      </c>
      <c r="EF48" s="280"/>
    </row>
    <row r="49" spans="1:136" ht="10.5" customHeight="1" x14ac:dyDescent="0.3">
      <c r="A49" s="268">
        <v>2000</v>
      </c>
      <c r="B49" s="603">
        <f>'C1-Incomes'!EX48</f>
        <v>8907019.0170000009</v>
      </c>
      <c r="C49" s="280">
        <f>(TOTALS!E106)/1000000+CC49-BS49</f>
        <v>4492671.9357684301</v>
      </c>
      <c r="D49" s="601" t="s">
        <v>50</v>
      </c>
      <c r="E49" s="270">
        <f t="shared" si="62"/>
        <v>159364.06423156988</v>
      </c>
      <c r="F49" s="598"/>
      <c r="G49" s="270">
        <f t="shared" si="48"/>
        <v>402692</v>
      </c>
      <c r="H49" s="601" t="s">
        <v>50</v>
      </c>
      <c r="I49" s="270">
        <f t="shared" si="13"/>
        <v>345220</v>
      </c>
      <c r="J49" s="270"/>
      <c r="K49" s="270">
        <f>'T-T0'!G49</f>
        <v>25916.784724617515</v>
      </c>
      <c r="L49" s="270">
        <f t="shared" si="63"/>
        <v>5559.2152753824848</v>
      </c>
      <c r="M49" s="270"/>
      <c r="N49" s="280">
        <f>'T-T0'!I49</f>
        <v>224648.79847000001</v>
      </c>
      <c r="O49" s="280">
        <f>'T-T0'!J49</f>
        <v>84043.827982999996</v>
      </c>
      <c r="P49" s="280">
        <f t="shared" si="64"/>
        <v>31323.30574047675</v>
      </c>
      <c r="Q49" s="280">
        <f t="shared" si="65"/>
        <v>386279.06780652324</v>
      </c>
      <c r="R49" s="270"/>
      <c r="S49" s="280">
        <f>TOTALS!U106/1000000</f>
        <v>52791.648585000003</v>
      </c>
      <c r="T49" s="270">
        <f t="shared" si="66"/>
        <v>10305.351414999997</v>
      </c>
      <c r="U49" s="270">
        <f t="shared" si="14"/>
        <v>120852</v>
      </c>
      <c r="V49" s="270">
        <f t="shared" si="45"/>
        <v>3773</v>
      </c>
      <c r="W49" s="270"/>
      <c r="X49" s="280">
        <f t="shared" si="49"/>
        <v>87124.444470301736</v>
      </c>
      <c r="Y49" s="280">
        <f>(CP49-AA49)*'C13-CapOwn'!N45</f>
        <v>139200.71056323979</v>
      </c>
      <c r="Z49" s="607">
        <f>(CP49-AA49)*'C13-CapOwn'!O45</f>
        <v>13422.844966458484</v>
      </c>
      <c r="AA49" s="607">
        <f t="shared" si="15"/>
        <v>25344</v>
      </c>
      <c r="AB49" s="270"/>
      <c r="AC49" s="280">
        <f>TOTALS!H106/1000000</f>
        <v>168387.63184700001</v>
      </c>
      <c r="AD49" s="601">
        <f t="shared" si="67"/>
        <v>21297.768049213992</v>
      </c>
      <c r="AE49" s="270">
        <f t="shared" si="50"/>
        <v>15925.600103785999</v>
      </c>
      <c r="AF49" s="270"/>
      <c r="AG49" s="280">
        <f t="shared" si="68"/>
        <v>127819.482197</v>
      </c>
      <c r="AH49" s="280">
        <f t="shared" si="69"/>
        <v>51253.517802999995</v>
      </c>
      <c r="AI49" s="270"/>
      <c r="AJ49" s="270">
        <f>'C10-Adj by Source'!X46</f>
        <v>58615.995999999999</v>
      </c>
      <c r="AK49" s="601">
        <f t="shared" si="51"/>
        <v>64661.591999999997</v>
      </c>
      <c r="AL49" s="607">
        <f t="shared" si="52"/>
        <v>8148.4120000000003</v>
      </c>
      <c r="AM49" s="270"/>
      <c r="AN49" s="270">
        <f>TOTALS!BF45/1000000</f>
        <v>54599.420014000003</v>
      </c>
      <c r="AO49" s="601">
        <f t="shared" si="70"/>
        <v>24299.979985999998</v>
      </c>
      <c r="AP49" s="607">
        <f t="shared" si="53"/>
        <v>4152.6000000000004</v>
      </c>
      <c r="AQ49" s="280">
        <f>TOTALS!F106/1000000-AU49</f>
        <v>124495.309971</v>
      </c>
      <c r="AR49" s="607">
        <f t="shared" si="71"/>
        <v>80211.940029000005</v>
      </c>
      <c r="AS49" s="607">
        <f t="shared" si="54"/>
        <v>14162.75</v>
      </c>
      <c r="AT49" s="280"/>
      <c r="AU49" s="280">
        <f>TOTALS!F106/1000000*0.4</f>
        <v>82996.873314000011</v>
      </c>
      <c r="AV49" s="607">
        <f t="shared" si="72"/>
        <v>171061.87035170002</v>
      </c>
      <c r="AW49" s="607">
        <f t="shared" si="73"/>
        <v>9003.2563342999983</v>
      </c>
      <c r="AX49" s="270"/>
      <c r="AY49" s="270">
        <f>'C10-Adj by Source'!AE46</f>
        <v>132807</v>
      </c>
      <c r="AZ49" s="270">
        <f>'C10-Adj by Source'!AU46</f>
        <v>121862</v>
      </c>
      <c r="BA49" s="607">
        <f t="shared" si="16"/>
        <v>453887</v>
      </c>
      <c r="BB49" s="607"/>
      <c r="BC49" s="280">
        <f t="shared" si="55"/>
        <v>-45840</v>
      </c>
      <c r="BD49" s="280"/>
      <c r="BE49" s="280">
        <f t="shared" si="56"/>
        <v>85315</v>
      </c>
      <c r="BF49" s="280"/>
      <c r="BG49" s="280">
        <f t="shared" si="57"/>
        <v>10728</v>
      </c>
      <c r="BH49" s="270"/>
      <c r="BI49" s="280">
        <f>TOTALS!AD106/1000000+CE49</f>
        <v>454840.22498547676</v>
      </c>
      <c r="BJ49" s="280">
        <f t="shared" si="74"/>
        <v>1792.7750145232421</v>
      </c>
      <c r="BK49" s="272"/>
      <c r="BL49" s="280">
        <f t="shared" si="75"/>
        <v>0</v>
      </c>
      <c r="BM49" s="863"/>
      <c r="BN49" s="270">
        <v>8907019</v>
      </c>
      <c r="BO49" s="270">
        <f t="shared" si="76"/>
        <v>8907019.0170000009</v>
      </c>
      <c r="BP49" s="860">
        <f t="shared" si="77"/>
        <v>1.7000000923871994E-2</v>
      </c>
      <c r="BQ49" s="860"/>
      <c r="BR49" s="270">
        <v>173829</v>
      </c>
      <c r="BS49" s="270">
        <f>TOTALS!BP106/1000000</f>
        <v>20312.781453</v>
      </c>
      <c r="BT49" s="270">
        <f t="shared" si="58"/>
        <v>282804</v>
      </c>
      <c r="BU49" s="270">
        <f t="shared" si="78"/>
        <v>21297.768049213992</v>
      </c>
      <c r="BV49" s="270">
        <f t="shared" si="59"/>
        <v>64661.591999999997</v>
      </c>
      <c r="BW49" s="280">
        <f t="shared" si="79"/>
        <v>24299.979985999998</v>
      </c>
      <c r="BX49" s="607">
        <f t="shared" si="80"/>
        <v>80211.940029000005</v>
      </c>
      <c r="BY49" s="280">
        <f t="shared" si="81"/>
        <v>171061.87035170002</v>
      </c>
      <c r="BZ49" s="280">
        <f t="shared" si="82"/>
        <v>361533.15041591402</v>
      </c>
      <c r="CA49" s="280"/>
      <c r="CB49" s="270">
        <f>'C0-Ref Stats'!AJ46</f>
        <v>156616.52870238377</v>
      </c>
      <c r="CC49" s="270">
        <f t="shared" si="41"/>
        <v>93969.917221430267</v>
      </c>
      <c r="CD49" s="270">
        <f t="shared" si="42"/>
        <v>31323.30574047675</v>
      </c>
      <c r="CE49" s="270">
        <f t="shared" si="43"/>
        <v>31323.305740476757</v>
      </c>
      <c r="CF49" s="270"/>
      <c r="CG49" s="331">
        <f>ROUND('C12-CorpOwn'!R45,3)</f>
        <v>0.44600000000000001</v>
      </c>
      <c r="CH49" s="331">
        <f>ROUND('C12-CorpOwn'!S45,3)</f>
        <v>0.49199999999999999</v>
      </c>
      <c r="CI49" s="331">
        <f>ROUND('C12-CorpOwn'!T45,3)</f>
        <v>6.2E-2</v>
      </c>
      <c r="CJ49" s="270"/>
      <c r="CK49" s="270">
        <v>4825865</v>
      </c>
      <c r="CL49" s="270">
        <v>685496</v>
      </c>
      <c r="CM49" s="270">
        <v>345220</v>
      </c>
      <c r="CN49" s="270">
        <v>31476</v>
      </c>
      <c r="CO49" s="270">
        <v>726295</v>
      </c>
      <c r="CP49" s="270">
        <v>265092</v>
      </c>
      <c r="CQ49" s="270">
        <v>384684</v>
      </c>
      <c r="CR49" s="270">
        <v>131426</v>
      </c>
      <c r="CS49" s="270">
        <v>564984</v>
      </c>
      <c r="CT49" s="270">
        <v>708556</v>
      </c>
      <c r="CU49" s="280">
        <v>-45840</v>
      </c>
      <c r="CV49" s="280">
        <v>85315</v>
      </c>
      <c r="CW49" s="280">
        <v>10728</v>
      </c>
      <c r="CX49" s="280">
        <v>405829</v>
      </c>
      <c r="CY49" s="280">
        <v>341444</v>
      </c>
      <c r="CZ49" s="280">
        <f t="shared" si="60"/>
        <v>64385</v>
      </c>
      <c r="DA49" s="280">
        <v>300196</v>
      </c>
      <c r="DB49" s="280">
        <v>283255</v>
      </c>
      <c r="DC49" s="280">
        <v>83052</v>
      </c>
      <c r="DD49" s="270">
        <v>316814</v>
      </c>
      <c r="DE49" s="270">
        <v>254669</v>
      </c>
      <c r="DF49" s="270">
        <v>23432</v>
      </c>
      <c r="DG49" s="270">
        <v>30368</v>
      </c>
      <c r="DH49" s="270">
        <v>8803</v>
      </c>
      <c r="DI49" s="270">
        <v>9186</v>
      </c>
      <c r="DJ49" s="270">
        <f t="shared" si="61"/>
        <v>65284</v>
      </c>
      <c r="DK49" s="280">
        <v>330242</v>
      </c>
      <c r="DL49" s="270">
        <v>83052</v>
      </c>
      <c r="DM49" s="270">
        <v>81460</v>
      </c>
      <c r="DN49" s="270">
        <v>397920</v>
      </c>
      <c r="DO49" s="270">
        <v>67541</v>
      </c>
      <c r="DP49" s="270">
        <v>12383</v>
      </c>
      <c r="DQ49" s="270">
        <v>59930</v>
      </c>
      <c r="DR49" s="270"/>
      <c r="DS49" s="270">
        <v>63097</v>
      </c>
      <c r="DT49" s="277">
        <v>124625</v>
      </c>
      <c r="DU49" s="270">
        <v>3773</v>
      </c>
      <c r="DV49" s="277"/>
      <c r="DW49" s="270">
        <f>TOTALS!S106/1000000</f>
        <v>211863.31018</v>
      </c>
      <c r="DX49" s="280">
        <f>TOTALS!$BC106/1000000</f>
        <v>127819.482197</v>
      </c>
      <c r="DY49" s="280">
        <v>179073</v>
      </c>
      <c r="DZ49" s="270">
        <f t="shared" si="47"/>
        <v>179073</v>
      </c>
      <c r="EA49" s="270"/>
      <c r="EB49" s="272">
        <v>999848</v>
      </c>
      <c r="EC49" s="280">
        <v>25344</v>
      </c>
      <c r="ED49" s="277">
        <v>217354</v>
      </c>
      <c r="EE49" s="280">
        <v>121862</v>
      </c>
      <c r="EF49" s="280"/>
    </row>
    <row r="50" spans="1:136" ht="10.5" customHeight="1" x14ac:dyDescent="0.3">
      <c r="A50" s="268">
        <v>2001</v>
      </c>
      <c r="B50" s="603">
        <f>'C1-Incomes'!EX49</f>
        <v>9184632.3684999999</v>
      </c>
      <c r="C50" s="280">
        <f>(TOTALS!E107)/1000000+CC50-BS50</f>
        <v>4595437.238572482</v>
      </c>
      <c r="D50" s="601" t="s">
        <v>50</v>
      </c>
      <c r="E50" s="270">
        <f t="shared" si="62"/>
        <v>178651.76142751798</v>
      </c>
      <c r="F50" s="598"/>
      <c r="G50" s="270">
        <f t="shared" si="48"/>
        <v>437949</v>
      </c>
      <c r="H50" s="601" t="s">
        <v>50</v>
      </c>
      <c r="I50" s="270">
        <f t="shared" si="13"/>
        <v>357986</v>
      </c>
      <c r="J50" s="270"/>
      <c r="K50" s="270">
        <f>'T-T0'!G50</f>
        <v>21463.571090863348</v>
      </c>
      <c r="L50" s="270">
        <f t="shared" si="63"/>
        <v>10602.428909136652</v>
      </c>
      <c r="M50" s="270"/>
      <c r="N50" s="280">
        <f>'T-T0'!I50</f>
        <v>215387.10280399999</v>
      </c>
      <c r="O50" s="280">
        <f>'T-T0'!J50</f>
        <v>92551.862498999995</v>
      </c>
      <c r="P50" s="280">
        <f t="shared" si="64"/>
        <v>32996.496987826991</v>
      </c>
      <c r="Q50" s="280">
        <f t="shared" si="65"/>
        <v>463783.53770917299</v>
      </c>
      <c r="R50" s="270"/>
      <c r="S50" s="280">
        <f>TOTALS!U107/1000000</f>
        <v>54900.200981000002</v>
      </c>
      <c r="T50" s="270">
        <f t="shared" si="66"/>
        <v>13577.799018999998</v>
      </c>
      <c r="U50" s="270">
        <f t="shared" si="14"/>
        <v>134778</v>
      </c>
      <c r="V50" s="270">
        <f t="shared" si="45"/>
        <v>4286</v>
      </c>
      <c r="W50" s="270"/>
      <c r="X50" s="280">
        <f t="shared" si="49"/>
        <v>58852.806605411271</v>
      </c>
      <c r="Y50" s="280">
        <f>(CP50-AA50)*'C13-CapOwn'!N46</f>
        <v>107661.97154476898</v>
      </c>
      <c r="Z50" s="607">
        <f>(CP50-AA50)*'C13-CapOwn'!O46</f>
        <v>9692.2218498197417</v>
      </c>
      <c r="AA50" s="607">
        <f t="shared" si="15"/>
        <v>27089</v>
      </c>
      <c r="AB50" s="270"/>
      <c r="AC50" s="280">
        <f>TOTALS!H107/1000000</f>
        <v>136186.01479700001</v>
      </c>
      <c r="AD50" s="601">
        <f t="shared" si="67"/>
        <v>38944.668055551992</v>
      </c>
      <c r="AE50" s="270">
        <f t="shared" si="50"/>
        <v>15171.317147447999</v>
      </c>
      <c r="AF50" s="270"/>
      <c r="AG50" s="280">
        <f t="shared" si="68"/>
        <v>129762.442104</v>
      </c>
      <c r="AH50" s="280">
        <f t="shared" si="69"/>
        <v>50512.557895999998</v>
      </c>
      <c r="AI50" s="270"/>
      <c r="AJ50" s="270">
        <f>'C10-Adj by Source'!X47</f>
        <v>74770.55</v>
      </c>
      <c r="AK50" s="601">
        <f t="shared" si="51"/>
        <v>94048.74</v>
      </c>
      <c r="AL50" s="607">
        <f t="shared" si="52"/>
        <v>11350.710000000001</v>
      </c>
      <c r="AM50" s="270"/>
      <c r="AN50" s="270">
        <f>TOTALS!BF46/1000000</f>
        <v>55581.210744000004</v>
      </c>
      <c r="AO50" s="601">
        <f t="shared" si="70"/>
        <v>25997.189255999998</v>
      </c>
      <c r="AP50" s="607">
        <f t="shared" si="53"/>
        <v>4293.6000000000004</v>
      </c>
      <c r="AQ50" s="280">
        <f>TOTALS!F107/1000000-AU50</f>
        <v>123248.61393659998</v>
      </c>
      <c r="AR50" s="607">
        <f t="shared" si="71"/>
        <v>65321.236063400014</v>
      </c>
      <c r="AS50" s="607">
        <f t="shared" si="54"/>
        <v>12929.150000000001</v>
      </c>
      <c r="AT50" s="280"/>
      <c r="AU50" s="280">
        <f>TOTALS!F107/1000000*0.4</f>
        <v>82165.742624400009</v>
      </c>
      <c r="AV50" s="607">
        <f t="shared" si="72"/>
        <v>187059.99450682005</v>
      </c>
      <c r="AW50" s="607">
        <f t="shared" si="73"/>
        <v>9845.2628687800006</v>
      </c>
      <c r="AX50" s="270"/>
      <c r="AY50" s="270">
        <f>'C10-Adj by Source'!AE47</f>
        <v>139387</v>
      </c>
      <c r="AZ50" s="270">
        <f>'C10-Adj by Source'!AU47</f>
        <v>128631</v>
      </c>
      <c r="BA50" s="607">
        <f t="shared" si="16"/>
        <v>459672</v>
      </c>
      <c r="BB50" s="607"/>
      <c r="BC50" s="280">
        <f t="shared" si="55"/>
        <v>-58722</v>
      </c>
      <c r="BD50" s="280"/>
      <c r="BE50" s="280">
        <f t="shared" si="56"/>
        <v>99145</v>
      </c>
      <c r="BF50" s="280"/>
      <c r="BG50" s="280">
        <f t="shared" si="57"/>
        <v>5162</v>
      </c>
      <c r="BH50" s="270"/>
      <c r="BI50" s="280">
        <f>TOTALS!AD107/1000000+CE50</f>
        <v>463543.69835882698</v>
      </c>
      <c r="BJ50" s="280">
        <f t="shared" si="74"/>
        <v>12978.30164117302</v>
      </c>
      <c r="BK50" s="272"/>
      <c r="BL50" s="280">
        <f t="shared" si="75"/>
        <v>0</v>
      </c>
      <c r="BM50" s="863"/>
      <c r="BN50" s="270">
        <v>9184633</v>
      </c>
      <c r="BO50" s="270">
        <f t="shared" si="76"/>
        <v>9184632.3684999999</v>
      </c>
      <c r="BP50" s="860">
        <f t="shared" si="77"/>
        <v>-0.63150000013411045</v>
      </c>
      <c r="BQ50" s="860"/>
      <c r="BR50" s="270">
        <v>180347</v>
      </c>
      <c r="BS50" s="270">
        <f>TOTALS!BP107/1000000</f>
        <v>20358.152391</v>
      </c>
      <c r="BT50" s="270">
        <f t="shared" si="58"/>
        <v>296175</v>
      </c>
      <c r="BU50" s="270">
        <f t="shared" si="78"/>
        <v>38944.668055551992</v>
      </c>
      <c r="BV50" s="270">
        <f t="shared" si="59"/>
        <v>94048.74</v>
      </c>
      <c r="BW50" s="280">
        <f t="shared" si="79"/>
        <v>25997.189255999998</v>
      </c>
      <c r="BX50" s="607">
        <f t="shared" si="80"/>
        <v>65321.236063400014</v>
      </c>
      <c r="BY50" s="280">
        <f t="shared" si="81"/>
        <v>187059.99450682005</v>
      </c>
      <c r="BZ50" s="280">
        <f t="shared" si="82"/>
        <v>411371.82788177207</v>
      </c>
      <c r="CA50" s="280"/>
      <c r="CB50" s="270">
        <f>'C0-Ref Stats'!AJ47</f>
        <v>164982.48493913494</v>
      </c>
      <c r="CC50" s="270">
        <f t="shared" si="41"/>
        <v>98989.490963480959</v>
      </c>
      <c r="CD50" s="270">
        <f t="shared" si="42"/>
        <v>32996.496987826991</v>
      </c>
      <c r="CE50" s="270">
        <f t="shared" si="43"/>
        <v>32996.496987826991</v>
      </c>
      <c r="CF50" s="270"/>
      <c r="CG50" s="331">
        <f>ROUND('C12-CorpOwn'!R46,3)</f>
        <v>0.41499999999999998</v>
      </c>
      <c r="CH50" s="331">
        <f>ROUND('C12-CorpOwn'!S46,3)</f>
        <v>0.52200000000000002</v>
      </c>
      <c r="CI50" s="331">
        <f>ROUND('C12-CorpOwn'!T46,3)</f>
        <v>6.3E-2</v>
      </c>
      <c r="CJ50" s="270"/>
      <c r="CK50" s="270">
        <v>4954436</v>
      </c>
      <c r="CL50" s="270">
        <v>734124</v>
      </c>
      <c r="CM50" s="270">
        <v>357986</v>
      </c>
      <c r="CN50" s="270">
        <v>32066</v>
      </c>
      <c r="CO50" s="270">
        <v>804719</v>
      </c>
      <c r="CP50" s="270">
        <v>203296</v>
      </c>
      <c r="CQ50" s="270">
        <v>370577</v>
      </c>
      <c r="CR50" s="270">
        <v>180170</v>
      </c>
      <c r="CS50" s="270">
        <v>566442</v>
      </c>
      <c r="CT50" s="270">
        <v>727690</v>
      </c>
      <c r="CU50" s="280">
        <v>-58722</v>
      </c>
      <c r="CV50" s="280">
        <v>99145</v>
      </c>
      <c r="CW50" s="280">
        <v>5162</v>
      </c>
      <c r="CX50" s="280">
        <v>396672</v>
      </c>
      <c r="CY50" s="280">
        <v>339588</v>
      </c>
      <c r="CZ50" s="280">
        <f t="shared" si="60"/>
        <v>57084</v>
      </c>
      <c r="DA50" s="280">
        <v>297380</v>
      </c>
      <c r="DB50" s="280">
        <v>258583</v>
      </c>
      <c r="DC50" s="280">
        <v>85872</v>
      </c>
      <c r="DD50" s="270">
        <v>321803</v>
      </c>
      <c r="DE50" s="270">
        <v>268018</v>
      </c>
      <c r="DF50" s="270">
        <v>23301</v>
      </c>
      <c r="DG50" s="270">
        <v>31622</v>
      </c>
      <c r="DH50" s="270">
        <v>9833</v>
      </c>
      <c r="DI50" s="270">
        <v>9874</v>
      </c>
      <c r="DJ50" s="270">
        <f t="shared" si="61"/>
        <v>63239</v>
      </c>
      <c r="DK50" s="280">
        <v>351232</v>
      </c>
      <c r="DL50" s="270">
        <v>85872</v>
      </c>
      <c r="DM50" s="270">
        <v>76812</v>
      </c>
      <c r="DN50" s="270">
        <v>429421</v>
      </c>
      <c r="DO50" s="270">
        <v>69077</v>
      </c>
      <c r="DP50" s="270">
        <v>13062</v>
      </c>
      <c r="DQ50" s="270">
        <v>64543</v>
      </c>
      <c r="DR50" s="270"/>
      <c r="DS50" s="270">
        <v>68478</v>
      </c>
      <c r="DT50" s="277">
        <v>139064</v>
      </c>
      <c r="DU50" s="270">
        <v>4286</v>
      </c>
      <c r="DV50" s="277"/>
      <c r="DW50" s="270">
        <f>TOTALS!S107/1000000</f>
        <v>222314.304603</v>
      </c>
      <c r="DX50" s="280">
        <f>TOTALS!$BC107/1000000</f>
        <v>129762.442104</v>
      </c>
      <c r="DY50" s="280">
        <v>180275</v>
      </c>
      <c r="DZ50" s="270">
        <f t="shared" si="47"/>
        <v>180275</v>
      </c>
      <c r="EA50" s="270"/>
      <c r="EB50" s="272">
        <v>996305</v>
      </c>
      <c r="EC50" s="280">
        <v>27089</v>
      </c>
      <c r="ED50" s="277">
        <v>223336</v>
      </c>
      <c r="EE50" s="280">
        <v>128631</v>
      </c>
      <c r="EF50" s="280"/>
    </row>
    <row r="51" spans="1:136" ht="10.5" customHeight="1" x14ac:dyDescent="0.3">
      <c r="A51" s="268">
        <v>2002</v>
      </c>
      <c r="B51" s="603">
        <f>'C1-Incomes'!EX50</f>
        <v>9436822.1164999995</v>
      </c>
      <c r="C51" s="280">
        <f>(TOTALS!E108)/1000000+CC51-BS51</f>
        <v>4591060.375453339</v>
      </c>
      <c r="D51" s="601" t="s">
        <v>50</v>
      </c>
      <c r="E51" s="270">
        <f t="shared" si="62"/>
        <v>217825.62454666104</v>
      </c>
      <c r="F51" s="598"/>
      <c r="G51" s="270">
        <f t="shared" si="48"/>
        <v>472444</v>
      </c>
      <c r="H51" s="601" t="s">
        <v>50</v>
      </c>
      <c r="I51" s="270">
        <f t="shared" si="13"/>
        <v>366045</v>
      </c>
      <c r="J51" s="270"/>
      <c r="K51" s="270">
        <f>'T-T0'!G51</f>
        <v>15792.229171102628</v>
      </c>
      <c r="L51" s="270">
        <f t="shared" si="63"/>
        <v>4136.7708288973718</v>
      </c>
      <c r="M51" s="270"/>
      <c r="N51" s="280">
        <f>'T-T0'!I51</f>
        <v>218534.57685300001</v>
      </c>
      <c r="O51" s="280">
        <f>'T-T0'!J51</f>
        <v>97889.123196</v>
      </c>
      <c r="P51" s="280">
        <f t="shared" si="64"/>
        <v>34885.693628779482</v>
      </c>
      <c r="Q51" s="280">
        <f t="shared" si="65"/>
        <v>499798.60632222053</v>
      </c>
      <c r="R51" s="270"/>
      <c r="S51" s="280">
        <f>TOTALS!U108/1000000</f>
        <v>50185.919333999998</v>
      </c>
      <c r="T51" s="270">
        <f t="shared" si="66"/>
        <v>16137.080666000002</v>
      </c>
      <c r="U51" s="270">
        <f t="shared" si="14"/>
        <v>146301</v>
      </c>
      <c r="V51" s="270">
        <f t="shared" si="45"/>
        <v>4677</v>
      </c>
      <c r="W51" s="270"/>
      <c r="X51" s="280">
        <f t="shared" si="49"/>
        <v>49209.170531459575</v>
      </c>
      <c r="Y51" s="280">
        <f>(CP51-AA51)*'C13-CapOwn'!N47</f>
        <v>109561.03938718588</v>
      </c>
      <c r="Z51" s="607">
        <f>(CP51-AA51)*'C13-CapOwn'!O47</f>
        <v>9070.7900813545475</v>
      </c>
      <c r="AA51" s="607">
        <f t="shared" si="15"/>
        <v>24495</v>
      </c>
      <c r="AB51" s="270"/>
      <c r="AC51" s="280">
        <f>TOTALS!H108/1000000</f>
        <v>117228.51764200001</v>
      </c>
      <c r="AD51" s="601">
        <f t="shared" si="67"/>
        <v>87578.244663024016</v>
      </c>
      <c r="AE51" s="270">
        <f t="shared" si="50"/>
        <v>16809.237694976004</v>
      </c>
      <c r="AF51" s="270"/>
      <c r="AG51" s="280">
        <f t="shared" si="68"/>
        <v>137535.661016</v>
      </c>
      <c r="AH51" s="280">
        <f t="shared" si="69"/>
        <v>41028.338984000002</v>
      </c>
      <c r="AI51" s="270"/>
      <c r="AJ51" s="270">
        <f>'C10-Adj by Source'!X48</f>
        <v>115792.30400000002</v>
      </c>
      <c r="AK51" s="601">
        <f t="shared" si="51"/>
        <v>178722.90399999998</v>
      </c>
      <c r="AL51" s="607">
        <f t="shared" si="52"/>
        <v>20137.792000000001</v>
      </c>
      <c r="AM51" s="270"/>
      <c r="AN51" s="270">
        <f>TOTALS!BF47/1000000</f>
        <v>54563.281494000003</v>
      </c>
      <c r="AO51" s="601">
        <f t="shared" si="70"/>
        <v>29430.968505999997</v>
      </c>
      <c r="AP51" s="607">
        <f t="shared" si="53"/>
        <v>4420.75</v>
      </c>
      <c r="AQ51" s="280">
        <f>TOTALS!F108/1000000-AU51</f>
        <v>92386.290157200012</v>
      </c>
      <c r="AR51" s="607">
        <f t="shared" si="71"/>
        <v>75918.909842799985</v>
      </c>
      <c r="AS51" s="607">
        <f t="shared" si="54"/>
        <v>11453.800000000001</v>
      </c>
      <c r="AT51" s="280"/>
      <c r="AU51" s="280">
        <f>TOTALS!F108/1000000*0.4</f>
        <v>61590.860104800006</v>
      </c>
      <c r="AV51" s="607">
        <f t="shared" si="72"/>
        <v>152732.58290044</v>
      </c>
      <c r="AW51" s="607">
        <f t="shared" si="73"/>
        <v>8038.5569947599988</v>
      </c>
      <c r="AX51" s="270"/>
      <c r="AY51" s="270">
        <f>'C10-Adj by Source'!AE48</f>
        <v>150802</v>
      </c>
      <c r="AZ51" s="270">
        <f>'C10-Adj by Source'!AU48</f>
        <v>138466</v>
      </c>
      <c r="BA51" s="607">
        <f t="shared" si="16"/>
        <v>473334</v>
      </c>
      <c r="BB51" s="607"/>
      <c r="BC51" s="280">
        <f t="shared" si="55"/>
        <v>-41390</v>
      </c>
      <c r="BD51" s="280"/>
      <c r="BE51" s="280">
        <f t="shared" si="56"/>
        <v>80663</v>
      </c>
      <c r="BF51" s="280"/>
      <c r="BG51" s="280">
        <f t="shared" si="57"/>
        <v>6993</v>
      </c>
      <c r="BH51" s="270"/>
      <c r="BI51" s="280">
        <f>TOTALS!AD108/1000000+CE51</f>
        <v>478246.45834977948</v>
      </c>
      <c r="BJ51" s="280">
        <f t="shared" si="74"/>
        <v>16289.541650220519</v>
      </c>
      <c r="BK51" s="272"/>
      <c r="BL51" s="280">
        <f t="shared" si="75"/>
        <v>0.99999999813735485</v>
      </c>
      <c r="BM51" s="863"/>
      <c r="BN51" s="270">
        <v>9436823</v>
      </c>
      <c r="BO51" s="270">
        <f t="shared" si="76"/>
        <v>9436822.1164999995</v>
      </c>
      <c r="BP51" s="860">
        <f t="shared" si="77"/>
        <v>-0.883500000461936</v>
      </c>
      <c r="BQ51" s="860"/>
      <c r="BR51" s="270">
        <v>187525</v>
      </c>
      <c r="BS51" s="270">
        <f>TOTALS!BP108/1000000</f>
        <v>25671.705432999999</v>
      </c>
      <c r="BT51" s="270">
        <f t="shared" si="58"/>
        <v>307011</v>
      </c>
      <c r="BU51" s="270">
        <f t="shared" si="78"/>
        <v>87578.244663024016</v>
      </c>
      <c r="BV51" s="270">
        <f t="shared" si="59"/>
        <v>178722.90399999998</v>
      </c>
      <c r="BW51" s="280">
        <f t="shared" si="79"/>
        <v>29430.968505999997</v>
      </c>
      <c r="BX51" s="607">
        <f t="shared" si="80"/>
        <v>75918.909842799985</v>
      </c>
      <c r="BY51" s="280">
        <f t="shared" si="81"/>
        <v>152732.58290044</v>
      </c>
      <c r="BZ51" s="280">
        <f t="shared" si="82"/>
        <v>524383.60991226404</v>
      </c>
      <c r="CA51" s="280"/>
      <c r="CB51" s="270">
        <f>'C0-Ref Stats'!AJ48</f>
        <v>174428.46814389739</v>
      </c>
      <c r="CC51" s="270">
        <f t="shared" si="41"/>
        <v>104657.08088633843</v>
      </c>
      <c r="CD51" s="270">
        <f t="shared" si="42"/>
        <v>34885.693628779482</v>
      </c>
      <c r="CE51" s="270">
        <f t="shared" si="43"/>
        <v>34885.693628779482</v>
      </c>
      <c r="CF51" s="270"/>
      <c r="CG51" s="331">
        <f>ROUND('C12-CorpOwn'!R47,3)</f>
        <v>0.36799999999999999</v>
      </c>
      <c r="CH51" s="331">
        <f>ROUND('C12-CorpOwn'!S47,3)</f>
        <v>0.56799999999999995</v>
      </c>
      <c r="CI51" s="331">
        <f>ROUND('C12-CorpOwn'!T47,3)</f>
        <v>6.4000000000000001E-2</v>
      </c>
      <c r="CJ51" s="270"/>
      <c r="CK51" s="270">
        <v>4996411</v>
      </c>
      <c r="CL51" s="270">
        <v>779455</v>
      </c>
      <c r="CM51" s="270">
        <v>366045</v>
      </c>
      <c r="CN51" s="270">
        <v>19929</v>
      </c>
      <c r="CO51" s="270">
        <v>851108</v>
      </c>
      <c r="CP51" s="270">
        <v>192336</v>
      </c>
      <c r="CQ51" s="270">
        <v>400180</v>
      </c>
      <c r="CR51" s="270">
        <v>314653</v>
      </c>
      <c r="CS51" s="270">
        <v>490536</v>
      </c>
      <c r="CT51" s="270">
        <v>762602</v>
      </c>
      <c r="CU51" s="280">
        <v>-41390</v>
      </c>
      <c r="CV51" s="280">
        <v>80663</v>
      </c>
      <c r="CW51" s="280">
        <v>6993</v>
      </c>
      <c r="CX51" s="280">
        <v>387040</v>
      </c>
      <c r="CY51" s="280">
        <v>337723</v>
      </c>
      <c r="CZ51" s="280">
        <f t="shared" si="60"/>
        <v>49317</v>
      </c>
      <c r="DA51" s="280">
        <v>301311</v>
      </c>
      <c r="DB51" s="280">
        <v>229076</v>
      </c>
      <c r="DC51" s="280">
        <v>88415</v>
      </c>
      <c r="DD51" s="270">
        <v>331105</v>
      </c>
      <c r="DE51" s="270">
        <v>289268</v>
      </c>
      <c r="DF51" s="270">
        <v>23280</v>
      </c>
      <c r="DG51" s="270">
        <v>32396</v>
      </c>
      <c r="DH51" s="270">
        <v>10342</v>
      </c>
      <c r="DI51" s="270">
        <v>10376</v>
      </c>
      <c r="DJ51" s="270">
        <f t="shared" si="61"/>
        <v>65835</v>
      </c>
      <c r="DK51" s="280">
        <v>354777</v>
      </c>
      <c r="DL51" s="270">
        <v>88415</v>
      </c>
      <c r="DM51" s="270">
        <v>65923</v>
      </c>
      <c r="DN51" s="270">
        <v>457684</v>
      </c>
      <c r="DO51" s="270">
        <v>69303</v>
      </c>
      <c r="DP51" s="270">
        <v>12336</v>
      </c>
      <c r="DQ51" s="270">
        <v>71727</v>
      </c>
      <c r="DR51" s="270"/>
      <c r="DS51" s="270">
        <v>66323</v>
      </c>
      <c r="DT51" s="277">
        <v>150978</v>
      </c>
      <c r="DU51" s="270">
        <v>4677</v>
      </c>
      <c r="DV51" s="277"/>
      <c r="DW51" s="270">
        <f>TOTALS!S108/1000000</f>
        <v>235424.784212</v>
      </c>
      <c r="DX51" s="280">
        <f>TOTALS!$BC108/1000000</f>
        <v>137535.661016</v>
      </c>
      <c r="DY51" s="280">
        <v>178564</v>
      </c>
      <c r="DZ51" s="270">
        <f t="shared" si="47"/>
        <v>178564</v>
      </c>
      <c r="EA51" s="270"/>
      <c r="EB51" s="272">
        <v>832815</v>
      </c>
      <c r="EC51" s="280">
        <v>24495</v>
      </c>
      <c r="ED51" s="277">
        <v>201328</v>
      </c>
      <c r="EE51" s="280">
        <v>138466</v>
      </c>
      <c r="EF51" s="280"/>
    </row>
    <row r="52" spans="1:136" ht="10.5" customHeight="1" x14ac:dyDescent="0.3">
      <c r="A52" s="268">
        <f>A51+1</f>
        <v>2003</v>
      </c>
      <c r="B52" s="603">
        <f>'C1-Incomes'!EX51</f>
        <v>9864187.9810000006</v>
      </c>
      <c r="C52" s="280">
        <f>(TOTALS!E109)/1000000+CC52-BS52</f>
        <v>4686807.8639000691</v>
      </c>
      <c r="D52" s="601" t="s">
        <v>50</v>
      </c>
      <c r="E52" s="270">
        <f t="shared" si="62"/>
        <v>258856.13609993085</v>
      </c>
      <c r="F52" s="598"/>
      <c r="G52" s="270">
        <f t="shared" si="48"/>
        <v>525466</v>
      </c>
      <c r="H52" s="601" t="s">
        <v>50</v>
      </c>
      <c r="I52" s="270">
        <f t="shared" si="13"/>
        <v>382517</v>
      </c>
      <c r="J52" s="270"/>
      <c r="K52" s="270">
        <f>'T-T0'!G52</f>
        <v>19162.900350884116</v>
      </c>
      <c r="L52" s="270">
        <f t="shared" si="63"/>
        <v>18884.099649115884</v>
      </c>
      <c r="M52" s="270"/>
      <c r="N52" s="280">
        <f>'T-T0'!I52</f>
        <v>227769.604322</v>
      </c>
      <c r="O52" s="280">
        <f>'T-T0'!J52</f>
        <v>104352.26591399999</v>
      </c>
      <c r="P52" s="280">
        <f t="shared" si="64"/>
        <v>37172.63739502299</v>
      </c>
      <c r="Q52" s="280">
        <f t="shared" si="65"/>
        <v>492725.49236897705</v>
      </c>
      <c r="R52" s="270"/>
      <c r="S52" s="280">
        <f>TOTALS!U109/1000000</f>
        <v>53583.303103999999</v>
      </c>
      <c r="T52" s="270">
        <f t="shared" si="66"/>
        <v>14399.696896000001</v>
      </c>
      <c r="U52" s="270">
        <f t="shared" si="14"/>
        <v>165348</v>
      </c>
      <c r="V52" s="270">
        <f t="shared" si="45"/>
        <v>4692</v>
      </c>
      <c r="W52" s="270"/>
      <c r="X52" s="280">
        <f t="shared" si="49"/>
        <v>68777.764581908108</v>
      </c>
      <c r="Y52" s="280">
        <f>(CP52-AA52)*'C13-CapOwn'!N48</f>
        <v>140984.75987094163</v>
      </c>
      <c r="Z52" s="607">
        <f>(CP52-AA52)*'C13-CapOwn'!O48</f>
        <v>11982.475547150263</v>
      </c>
      <c r="AA52" s="607">
        <f t="shared" si="15"/>
        <v>22022</v>
      </c>
      <c r="AB52" s="270"/>
      <c r="AC52" s="280">
        <f>TOTALS!H109/1000000</f>
        <v>131247.12319899999</v>
      </c>
      <c r="AD52" s="601">
        <f t="shared" si="67"/>
        <v>94804.433788901006</v>
      </c>
      <c r="AE52" s="270">
        <f t="shared" si="50"/>
        <v>18058.443012099</v>
      </c>
      <c r="AF52" s="270"/>
      <c r="AG52" s="280">
        <f t="shared" si="68"/>
        <v>147330.04742700001</v>
      </c>
      <c r="AH52" s="280">
        <f t="shared" si="69"/>
        <v>42531.952572999988</v>
      </c>
      <c r="AI52" s="270"/>
      <c r="AJ52" s="270">
        <f>'C10-Adj by Source'!X49</f>
        <v>145013.37499999997</v>
      </c>
      <c r="AK52" s="601">
        <f t="shared" si="51"/>
        <v>209758.25000000003</v>
      </c>
      <c r="AL52" s="607">
        <f t="shared" si="52"/>
        <v>23853.375</v>
      </c>
      <c r="AM52" s="270"/>
      <c r="AN52" s="270">
        <f>TOTALS!BF48/1000000</f>
        <v>53748.847283000003</v>
      </c>
      <c r="AO52" s="601">
        <f t="shared" si="70"/>
        <v>33590.352716999994</v>
      </c>
      <c r="AP52" s="607">
        <f t="shared" si="53"/>
        <v>4596.8</v>
      </c>
      <c r="AQ52" s="280">
        <f>TOTALS!F109/1000000-AU52</f>
        <v>79521.047571599993</v>
      </c>
      <c r="AR52" s="607">
        <f t="shared" si="71"/>
        <v>75849.50242840001</v>
      </c>
      <c r="AS52" s="607">
        <f t="shared" si="54"/>
        <v>10673.45</v>
      </c>
      <c r="AT52" s="280"/>
      <c r="AU52" s="280">
        <f>TOTALS!F109/1000000*0.4</f>
        <v>53014.0317144</v>
      </c>
      <c r="AV52" s="607">
        <f t="shared" si="72"/>
        <v>147422.86987131997</v>
      </c>
      <c r="AW52" s="607">
        <f t="shared" si="73"/>
        <v>7759.098414279998</v>
      </c>
      <c r="AX52" s="270"/>
      <c r="AY52" s="270">
        <f>'C10-Adj by Source'!AE49</f>
        <v>160297</v>
      </c>
      <c r="AZ52" s="270">
        <f>'C10-Adj by Source'!AU49</f>
        <v>146685</v>
      </c>
      <c r="BA52" s="607">
        <f t="shared" si="16"/>
        <v>501022</v>
      </c>
      <c r="BB52" s="607"/>
      <c r="BC52" s="280">
        <f t="shared" si="55"/>
        <v>-49057</v>
      </c>
      <c r="BD52" s="280"/>
      <c r="BE52" s="280">
        <f t="shared" si="56"/>
        <v>76259</v>
      </c>
      <c r="BF52" s="280"/>
      <c r="BG52" s="280">
        <f t="shared" si="57"/>
        <v>3889</v>
      </c>
      <c r="BH52" s="270"/>
      <c r="BI52" s="280">
        <f>TOTALS!AD109/1000000+CE52</f>
        <v>495844.77261902299</v>
      </c>
      <c r="BJ52" s="280">
        <f t="shared" si="74"/>
        <v>14971.227380977012</v>
      </c>
      <c r="BK52" s="272"/>
      <c r="BL52" s="280">
        <f t="shared" si="75"/>
        <v>0</v>
      </c>
      <c r="BM52" s="863"/>
      <c r="BN52" s="270">
        <v>9864188</v>
      </c>
      <c r="BO52" s="270">
        <f t="shared" si="76"/>
        <v>9864187.9810000006</v>
      </c>
      <c r="BP52" s="860">
        <f t="shared" si="77"/>
        <v>-1.8999999389052391E-2</v>
      </c>
      <c r="BQ52" s="860"/>
      <c r="BR52" s="270">
        <v>192183</v>
      </c>
      <c r="BS52" s="270">
        <f>TOTALS!BP109/1000000</f>
        <v>27680.848285</v>
      </c>
      <c r="BT52" s="270">
        <f t="shared" si="58"/>
        <v>318633</v>
      </c>
      <c r="BU52" s="270">
        <f t="shared" si="78"/>
        <v>94804.433788901006</v>
      </c>
      <c r="BV52" s="270">
        <f t="shared" si="59"/>
        <v>209758.25000000003</v>
      </c>
      <c r="BW52" s="280">
        <f t="shared" si="79"/>
        <v>33590.352716999994</v>
      </c>
      <c r="BX52" s="607">
        <f t="shared" si="80"/>
        <v>75849.50242840001</v>
      </c>
      <c r="BY52" s="280">
        <f t="shared" si="81"/>
        <v>147422.86987131997</v>
      </c>
      <c r="BZ52" s="280">
        <f t="shared" si="82"/>
        <v>561425.40880562097</v>
      </c>
      <c r="CA52" s="280"/>
      <c r="CB52" s="270">
        <f>'C0-Ref Stats'!AJ49</f>
        <v>185863.18697511495</v>
      </c>
      <c r="CC52" s="270">
        <f t="shared" si="41"/>
        <v>111517.91218506897</v>
      </c>
      <c r="CD52" s="270">
        <f t="shared" si="42"/>
        <v>37172.63739502299</v>
      </c>
      <c r="CE52" s="270">
        <f t="shared" si="43"/>
        <v>37172.63739502299</v>
      </c>
      <c r="CF52" s="270"/>
      <c r="CG52" s="331">
        <f>ROUND('C12-CorpOwn'!R48,3)</f>
        <v>0.38300000000000001</v>
      </c>
      <c r="CH52" s="331">
        <f>ROUND('C12-CorpOwn'!S48,3)</f>
        <v>0.55400000000000005</v>
      </c>
      <c r="CI52" s="331">
        <f>ROUND('C12-CorpOwn'!T48,3)</f>
        <v>6.3E-2</v>
      </c>
      <c r="CJ52" s="270"/>
      <c r="CK52" s="270">
        <v>5137847</v>
      </c>
      <c r="CL52" s="270">
        <v>844099</v>
      </c>
      <c r="CM52" s="270">
        <v>382517</v>
      </c>
      <c r="CN52" s="270">
        <v>38047</v>
      </c>
      <c r="CO52" s="270">
        <v>862020</v>
      </c>
      <c r="CP52" s="270">
        <v>243767</v>
      </c>
      <c r="CQ52" s="270">
        <v>433972</v>
      </c>
      <c r="CR52" s="270">
        <v>378625</v>
      </c>
      <c r="CS52" s="270">
        <v>466176</v>
      </c>
      <c r="CT52" s="270">
        <v>808004</v>
      </c>
      <c r="CU52" s="280">
        <v>-49057</v>
      </c>
      <c r="CV52" s="280">
        <v>76259</v>
      </c>
      <c r="CW52" s="280">
        <v>3889</v>
      </c>
      <c r="CX52" s="280">
        <v>407826</v>
      </c>
      <c r="CY52" s="280">
        <v>360401</v>
      </c>
      <c r="CZ52" s="280">
        <f t="shared" si="60"/>
        <v>47425</v>
      </c>
      <c r="DA52" s="280">
        <v>326864</v>
      </c>
      <c r="DB52" s="280">
        <v>213469</v>
      </c>
      <c r="DC52" s="280">
        <v>91936</v>
      </c>
      <c r="DD52" s="270">
        <v>348853</v>
      </c>
      <c r="DE52" s="270">
        <v>306982</v>
      </c>
      <c r="DF52" s="270">
        <v>24031</v>
      </c>
      <c r="DG52" s="270">
        <v>32708</v>
      </c>
      <c r="DH52" s="270">
        <v>10547</v>
      </c>
      <c r="DI52" s="270">
        <v>10637</v>
      </c>
      <c r="DJ52" s="270">
        <f t="shared" si="61"/>
        <v>74246</v>
      </c>
      <c r="DK52" s="280">
        <v>348709</v>
      </c>
      <c r="DL52" s="270">
        <v>91936</v>
      </c>
      <c r="DM52" s="270">
        <v>59431</v>
      </c>
      <c r="DN52" s="270">
        <v>502347</v>
      </c>
      <c r="DO52" s="270">
        <v>71007</v>
      </c>
      <c r="DP52" s="270">
        <v>11450</v>
      </c>
      <c r="DQ52" s="270">
        <v>82676</v>
      </c>
      <c r="DR52" s="270"/>
      <c r="DS52" s="270">
        <v>67983</v>
      </c>
      <c r="DT52" s="277">
        <v>170040</v>
      </c>
      <c r="DU52" s="270">
        <v>4692</v>
      </c>
      <c r="DV52" s="277"/>
      <c r="DW52" s="270">
        <f>TOTALS!S109/1000000</f>
        <v>251682.313341</v>
      </c>
      <c r="DX52" s="280">
        <f>TOTALS!$BC109/1000000</f>
        <v>147330.04742700001</v>
      </c>
      <c r="DY52" s="280">
        <v>189862</v>
      </c>
      <c r="DZ52" s="270">
        <f t="shared" si="47"/>
        <v>189862</v>
      </c>
      <c r="EA52" s="270"/>
      <c r="EB52" s="272">
        <v>778520</v>
      </c>
      <c r="EC52" s="280">
        <v>22022</v>
      </c>
      <c r="ED52" s="277">
        <v>204698</v>
      </c>
      <c r="EE52" s="280">
        <v>146685</v>
      </c>
      <c r="EF52" s="280"/>
    </row>
    <row r="53" spans="1:136" ht="10.5" customHeight="1" x14ac:dyDescent="0.3">
      <c r="A53" s="268">
        <f>A52+1</f>
        <v>2004</v>
      </c>
      <c r="B53" s="603">
        <f>'C1-Incomes'!EX52</f>
        <v>10540945.784</v>
      </c>
      <c r="C53" s="280">
        <f>(TOTALS!E110)/1000000+CC53-BS53</f>
        <v>4960642.9776846115</v>
      </c>
      <c r="D53" s="601" t="s">
        <v>50</v>
      </c>
      <c r="E53" s="270">
        <f t="shared" si="62"/>
        <v>253565.02231538855</v>
      </c>
      <c r="F53" s="598"/>
      <c r="G53" s="270">
        <f t="shared" si="48"/>
        <v>564446</v>
      </c>
      <c r="H53" s="601" t="s">
        <v>50</v>
      </c>
      <c r="I53" s="270">
        <f t="shared" si="13"/>
        <v>408689</v>
      </c>
      <c r="J53" s="270"/>
      <c r="K53" s="270">
        <f>'T-T0'!G53</f>
        <v>20680.008401980958</v>
      </c>
      <c r="L53" s="270">
        <f t="shared" si="63"/>
        <v>29758.991598019042</v>
      </c>
      <c r="M53" s="270"/>
      <c r="N53" s="280">
        <f>'T-T0'!I53</f>
        <v>245306.59464299999</v>
      </c>
      <c r="O53" s="280">
        <f>'T-T0'!J53</f>
        <v>118521.055685</v>
      </c>
      <c r="P53" s="280">
        <f t="shared" si="64"/>
        <v>39880.35549020391</v>
      </c>
      <c r="Q53" s="280">
        <f t="shared" si="65"/>
        <v>507905.99418179604</v>
      </c>
      <c r="R53" s="270"/>
      <c r="S53" s="280">
        <f>TOTALS!U110/1000000</f>
        <v>56272.822193</v>
      </c>
      <c r="T53" s="270">
        <f t="shared" si="66"/>
        <v>14131.177807</v>
      </c>
      <c r="U53" s="270">
        <f t="shared" si="14"/>
        <v>180194</v>
      </c>
      <c r="V53" s="270">
        <f t="shared" si="45"/>
        <v>4820</v>
      </c>
      <c r="W53" s="270"/>
      <c r="X53" s="280">
        <f t="shared" si="49"/>
        <v>94688.235570596255</v>
      </c>
      <c r="Y53" s="280">
        <f>(CP53-AA53)*'C13-CapOwn'!N49</f>
        <v>176050.52538893235</v>
      </c>
      <c r="Z53" s="607">
        <f>(CP53-AA53)*'C13-CapOwn'!O49</f>
        <v>17276.239040471395</v>
      </c>
      <c r="AA53" s="607">
        <f t="shared" si="15"/>
        <v>18078</v>
      </c>
      <c r="AB53" s="270"/>
      <c r="AC53" s="280">
        <f>TOTALS!H110/1000000</f>
        <v>168651.846422</v>
      </c>
      <c r="AD53" s="601">
        <f t="shared" si="67"/>
        <v>144946.77262177601</v>
      </c>
      <c r="AE53" s="270">
        <f t="shared" si="50"/>
        <v>23674.380956224002</v>
      </c>
      <c r="AF53" s="270"/>
      <c r="AG53" s="280">
        <f t="shared" si="68"/>
        <v>194176.797559</v>
      </c>
      <c r="AH53" s="280">
        <f t="shared" si="69"/>
        <v>32639.202441000001</v>
      </c>
      <c r="AI53" s="270"/>
      <c r="AJ53" s="270">
        <f>'C10-Adj by Source'!X50</f>
        <v>157827.88399999999</v>
      </c>
      <c r="AK53" s="601">
        <f t="shared" si="51"/>
        <v>228891.74800000002</v>
      </c>
      <c r="AL53" s="607">
        <f t="shared" si="52"/>
        <v>26442.368000000002</v>
      </c>
      <c r="AM53" s="270"/>
      <c r="AN53" s="270">
        <f>TOTALS!BF49/1000000</f>
        <v>52031.762896</v>
      </c>
      <c r="AO53" s="601">
        <f t="shared" si="70"/>
        <v>35695.037104000003</v>
      </c>
      <c r="AP53" s="607">
        <f t="shared" si="53"/>
        <v>4617.2</v>
      </c>
      <c r="AQ53" s="280">
        <f>TOTALS!F110/1000000-AU53</f>
        <v>78890.214003000001</v>
      </c>
      <c r="AR53" s="607">
        <f t="shared" si="71"/>
        <v>76112.635997000005</v>
      </c>
      <c r="AS53" s="607">
        <f t="shared" si="54"/>
        <v>11043.150000000001</v>
      </c>
      <c r="AT53" s="280"/>
      <c r="AU53" s="280">
        <f>TOTALS!F110/1000000*0.4</f>
        <v>52593.47600200001</v>
      </c>
      <c r="AV53" s="607">
        <f t="shared" si="72"/>
        <v>87881.197798099965</v>
      </c>
      <c r="AW53" s="607">
        <f t="shared" si="73"/>
        <v>4625.3261998999978</v>
      </c>
      <c r="AX53" s="270"/>
      <c r="AY53" s="270">
        <f>'C10-Adj by Source'!AE50</f>
        <v>170545</v>
      </c>
      <c r="AZ53" s="270">
        <f>'C10-Adj by Source'!AU50</f>
        <v>155636</v>
      </c>
      <c r="BA53" s="607">
        <f t="shared" si="16"/>
        <v>537760</v>
      </c>
      <c r="BB53" s="607"/>
      <c r="BC53" s="280">
        <f t="shared" si="55"/>
        <v>-46387</v>
      </c>
      <c r="BD53" s="280"/>
      <c r="BE53" s="280">
        <f t="shared" si="56"/>
        <v>81350</v>
      </c>
      <c r="BF53" s="280"/>
      <c r="BG53" s="280">
        <f t="shared" si="57"/>
        <v>-1797</v>
      </c>
      <c r="BH53" s="270"/>
      <c r="BI53" s="280">
        <f>TOTALS!AD110/1000000+CE53</f>
        <v>533339.84172020387</v>
      </c>
      <c r="BJ53" s="280">
        <f t="shared" si="74"/>
        <v>18851.158279796131</v>
      </c>
      <c r="BK53" s="272"/>
      <c r="BL53" s="280">
        <f t="shared" si="75"/>
        <v>0</v>
      </c>
      <c r="BM53" s="863"/>
      <c r="BN53" s="270">
        <v>10540946</v>
      </c>
      <c r="BO53" s="270">
        <f t="shared" si="76"/>
        <v>10540945.784</v>
      </c>
      <c r="BP53" s="860">
        <f t="shared" si="77"/>
        <v>-0.21600000001490116</v>
      </c>
      <c r="BQ53" s="860"/>
      <c r="BR53" s="270">
        <v>207725</v>
      </c>
      <c r="BS53" s="270">
        <f>TOTALS!BP110/1000000</f>
        <v>29146.088786</v>
      </c>
      <c r="BT53" s="270">
        <f t="shared" si="58"/>
        <v>344466</v>
      </c>
      <c r="BU53" s="270">
        <f t="shared" si="78"/>
        <v>144946.77262177601</v>
      </c>
      <c r="BV53" s="270">
        <f t="shared" si="59"/>
        <v>228891.74800000002</v>
      </c>
      <c r="BW53" s="280">
        <f t="shared" si="79"/>
        <v>35695.037104000003</v>
      </c>
      <c r="BX53" s="607">
        <f t="shared" si="80"/>
        <v>76112.635997000005</v>
      </c>
      <c r="BY53" s="280">
        <f t="shared" si="81"/>
        <v>87881.197798099965</v>
      </c>
      <c r="BZ53" s="280">
        <f t="shared" si="82"/>
        <v>573527.39152087597</v>
      </c>
      <c r="CA53" s="280"/>
      <c r="CB53" s="270">
        <f>'C0-Ref Stats'!AJ50</f>
        <v>199401.77745101953</v>
      </c>
      <c r="CC53" s="270">
        <f t="shared" si="41"/>
        <v>119641.06647061171</v>
      </c>
      <c r="CD53" s="270">
        <f t="shared" si="42"/>
        <v>39880.35549020391</v>
      </c>
      <c r="CE53" s="270">
        <f t="shared" si="43"/>
        <v>39880.35549020391</v>
      </c>
      <c r="CF53" s="270"/>
      <c r="CG53" s="331">
        <f>ROUND('C12-CorpOwn'!R49,3)</f>
        <v>0.38200000000000001</v>
      </c>
      <c r="CH53" s="331">
        <f>ROUND('C12-CorpOwn'!S49,3)</f>
        <v>0.55400000000000005</v>
      </c>
      <c r="CI53" s="331">
        <f>ROUND('C12-CorpOwn'!T49,3)</f>
        <v>6.4000000000000001E-2</v>
      </c>
      <c r="CJ53" s="270"/>
      <c r="CK53" s="270">
        <v>5421933</v>
      </c>
      <c r="CL53" s="270">
        <v>908912</v>
      </c>
      <c r="CM53" s="270">
        <v>408689</v>
      </c>
      <c r="CN53" s="270">
        <v>50439</v>
      </c>
      <c r="CO53" s="270">
        <v>911614</v>
      </c>
      <c r="CP53" s="270">
        <v>306093</v>
      </c>
      <c r="CQ53" s="270">
        <v>564089</v>
      </c>
      <c r="CR53" s="270">
        <v>413162</v>
      </c>
      <c r="CS53" s="270">
        <v>403490</v>
      </c>
      <c r="CT53" s="270">
        <v>863941</v>
      </c>
      <c r="CU53" s="280">
        <v>-46387</v>
      </c>
      <c r="CV53" s="280">
        <v>81350</v>
      </c>
      <c r="CW53" s="280">
        <v>-1797</v>
      </c>
      <c r="CX53" s="280">
        <v>416561</v>
      </c>
      <c r="CY53" s="280">
        <v>361744</v>
      </c>
      <c r="CZ53" s="280">
        <f t="shared" si="60"/>
        <v>54817</v>
      </c>
      <c r="DA53" s="280">
        <v>333545</v>
      </c>
      <c r="DB53" s="280">
        <v>220863</v>
      </c>
      <c r="DC53" s="280">
        <v>92344</v>
      </c>
      <c r="DD53" s="270">
        <v>371051</v>
      </c>
      <c r="DE53" s="270">
        <v>326181</v>
      </c>
      <c r="DF53" s="270">
        <v>24193</v>
      </c>
      <c r="DG53" s="270">
        <v>33944</v>
      </c>
      <c r="DH53" s="270">
        <v>10636</v>
      </c>
      <c r="DI53" s="270">
        <v>11274</v>
      </c>
      <c r="DJ53" s="270">
        <f t="shared" si="61"/>
        <v>86662</v>
      </c>
      <c r="DK53" s="280">
        <v>353267</v>
      </c>
      <c r="DL53" s="270">
        <v>92344</v>
      </c>
      <c r="DM53" s="270">
        <v>61098</v>
      </c>
      <c r="DN53" s="270">
        <v>539677</v>
      </c>
      <c r="DO53" s="270">
        <v>75041</v>
      </c>
      <c r="DP53" s="270">
        <v>12628</v>
      </c>
      <c r="DQ53" s="270">
        <v>87182</v>
      </c>
      <c r="DR53" s="270"/>
      <c r="DS53" s="270">
        <v>70404</v>
      </c>
      <c r="DT53" s="277">
        <v>185014</v>
      </c>
      <c r="DU53" s="270">
        <v>4820</v>
      </c>
      <c r="DV53" s="277"/>
      <c r="DW53" s="270">
        <f>TOTALS!S110/1000000</f>
        <v>312697.853244</v>
      </c>
      <c r="DX53" s="280">
        <f>TOTALS!$BC110/1000000</f>
        <v>194176.797559</v>
      </c>
      <c r="DY53" s="280">
        <v>226816</v>
      </c>
      <c r="DZ53" s="270">
        <f t="shared" si="47"/>
        <v>226816</v>
      </c>
      <c r="EA53" s="270"/>
      <c r="EB53" s="272">
        <v>803166</v>
      </c>
      <c r="EC53" s="280">
        <v>18078</v>
      </c>
      <c r="ED53" s="277">
        <v>223644</v>
      </c>
      <c r="EE53" s="280">
        <v>155636</v>
      </c>
      <c r="EF53" s="280"/>
    </row>
    <row r="54" spans="1:136" ht="10.5" customHeight="1" x14ac:dyDescent="0.3">
      <c r="A54" s="268">
        <v>2005</v>
      </c>
      <c r="B54" s="603">
        <f>'C1-Incomes'!EX53</f>
        <v>11239819.791999999</v>
      </c>
      <c r="C54" s="280">
        <f>(TOTALS!E111)/1000000+CC54-BS54</f>
        <v>5191685.2867919495</v>
      </c>
      <c r="D54" s="601" t="s">
        <v>50</v>
      </c>
      <c r="E54" s="270">
        <f>CK54-C54-BR54</f>
        <v>277390.71320805047</v>
      </c>
      <c r="F54" s="598"/>
      <c r="G54" s="270">
        <f t="shared" si="48"/>
        <v>607514</v>
      </c>
      <c r="H54" s="601" t="s">
        <v>50</v>
      </c>
      <c r="I54" s="270">
        <f t="shared" si="13"/>
        <v>428053</v>
      </c>
      <c r="J54" s="270"/>
      <c r="K54" s="270">
        <f>'T-T0'!G54</f>
        <v>20929.870554752139</v>
      </c>
      <c r="L54" s="270">
        <f t="shared" si="63"/>
        <v>25437.129445247861</v>
      </c>
      <c r="M54" s="270"/>
      <c r="N54" s="280">
        <f>'T-T0'!I54</f>
        <v>267347.363129</v>
      </c>
      <c r="O54" s="280">
        <f>'T-T0'!J54</f>
        <v>148552.196849</v>
      </c>
      <c r="P54" s="280">
        <f t="shared" si="64"/>
        <v>41748.395249650013</v>
      </c>
      <c r="Q54" s="280">
        <f t="shared" si="65"/>
        <v>474942.04477235005</v>
      </c>
      <c r="R54" s="270"/>
      <c r="S54" s="280">
        <f>TOTALS!U111/1000000</f>
        <v>62821.623461000003</v>
      </c>
      <c r="T54" s="270">
        <f t="shared" si="66"/>
        <v>12699.376538999997</v>
      </c>
      <c r="U54" s="270">
        <f t="shared" si="14"/>
        <v>158054</v>
      </c>
      <c r="V54" s="270">
        <f t="shared" si="45"/>
        <v>4866</v>
      </c>
      <c r="W54" s="270"/>
      <c r="X54" s="280">
        <f t="shared" si="49"/>
        <v>131403.56338650043</v>
      </c>
      <c r="Y54" s="280">
        <f>(CP54-AA54)*'C13-CapOwn'!N50</f>
        <v>235825.16309649273</v>
      </c>
      <c r="Z54" s="607">
        <f>(CP54-AA54)*'C13-CapOwn'!O50</f>
        <v>23687.273517006841</v>
      </c>
      <c r="AA54" s="607">
        <f t="shared" si="15"/>
        <v>21468</v>
      </c>
      <c r="AB54" s="270"/>
      <c r="AC54" s="280">
        <f>TOTALS!H111/1000000</f>
        <v>191205.18784200001</v>
      </c>
      <c r="AD54" s="601">
        <f t="shared" si="67"/>
        <v>100112.67813252799</v>
      </c>
      <c r="AE54" s="270">
        <f t="shared" si="50"/>
        <v>21196.134025472002</v>
      </c>
      <c r="AF54" s="270"/>
      <c r="AG54" s="280">
        <f t="shared" si="68"/>
        <v>249337.405852</v>
      </c>
      <c r="AH54" s="280">
        <f t="shared" si="69"/>
        <v>18675.594148000004</v>
      </c>
      <c r="AI54" s="270"/>
      <c r="AJ54" s="270">
        <f>'C10-Adj by Source'!X51</f>
        <v>188108.99599999998</v>
      </c>
      <c r="AK54" s="601">
        <f t="shared" si="51"/>
        <v>265679.71600000001</v>
      </c>
      <c r="AL54" s="607">
        <f t="shared" si="52"/>
        <v>31028.288</v>
      </c>
      <c r="AM54" s="270"/>
      <c r="AN54" s="270">
        <f>TOTALS!BF50/1000000</f>
        <v>57688.283131999997</v>
      </c>
      <c r="AO54" s="601">
        <f t="shared" si="70"/>
        <v>32665.266868000002</v>
      </c>
      <c r="AP54" s="607">
        <f t="shared" si="53"/>
        <v>4755.45</v>
      </c>
      <c r="AQ54" s="280">
        <f>TOTALS!F111/1000000-AU54</f>
        <v>102193.29723479999</v>
      </c>
      <c r="AR54" s="607">
        <f t="shared" si="71"/>
        <v>74425.452765200011</v>
      </c>
      <c r="AS54" s="607">
        <f t="shared" si="54"/>
        <v>12874.25</v>
      </c>
      <c r="AT54" s="280"/>
      <c r="AU54" s="280">
        <f>TOTALS!F111/1000000*0.4</f>
        <v>68128.864823199998</v>
      </c>
      <c r="AV54" s="607">
        <f t="shared" si="72"/>
        <v>136829.57841796003</v>
      </c>
      <c r="AW54" s="607">
        <f t="shared" si="73"/>
        <v>7201.5567588400008</v>
      </c>
      <c r="AX54" s="270"/>
      <c r="AY54" s="270">
        <f>'C10-Adj by Source'!AE51</f>
        <v>183903</v>
      </c>
      <c r="AZ54" s="270">
        <f>'C10-Adj by Source'!AU51</f>
        <v>167415</v>
      </c>
      <c r="BA54" s="607">
        <f t="shared" si="16"/>
        <v>583212</v>
      </c>
      <c r="BB54" s="607"/>
      <c r="BC54" s="280">
        <f t="shared" si="55"/>
        <v>-60910</v>
      </c>
      <c r="BD54" s="280"/>
      <c r="BE54" s="280">
        <f t="shared" si="56"/>
        <v>93908</v>
      </c>
      <c r="BF54" s="280"/>
      <c r="BG54" s="280">
        <f t="shared" si="57"/>
        <v>-6397</v>
      </c>
      <c r="BH54" s="270"/>
      <c r="BI54" s="280">
        <f>TOTALS!AD111/1000000+CE54</f>
        <v>571316.18318065</v>
      </c>
      <c r="BJ54" s="280">
        <f t="shared" si="74"/>
        <v>10841.816819350002</v>
      </c>
      <c r="BK54" s="272"/>
      <c r="BL54" s="280">
        <f t="shared" si="75"/>
        <v>0</v>
      </c>
      <c r="BM54" s="863"/>
      <c r="BN54" s="270">
        <v>11239820</v>
      </c>
      <c r="BO54" s="270">
        <f t="shared" si="76"/>
        <v>11239819.791999999</v>
      </c>
      <c r="BP54" s="860">
        <f t="shared" si="77"/>
        <v>-0.20800000056624413</v>
      </c>
      <c r="BQ54" s="860"/>
      <c r="BR54" s="270">
        <v>222883</v>
      </c>
      <c r="BS54" s="270">
        <f>TOTALS!BP111/1000000</f>
        <v>33061.498957000003</v>
      </c>
      <c r="BT54" s="270">
        <f t="shared" si="58"/>
        <v>359275</v>
      </c>
      <c r="BU54" s="270">
        <f t="shared" si="78"/>
        <v>100112.67813252799</v>
      </c>
      <c r="BV54" s="270">
        <f t="shared" si="59"/>
        <v>265679.71600000001</v>
      </c>
      <c r="BW54" s="280">
        <f t="shared" si="79"/>
        <v>32665.266868000002</v>
      </c>
      <c r="BX54" s="607">
        <f t="shared" si="80"/>
        <v>74425.452765200011</v>
      </c>
      <c r="BY54" s="280">
        <f t="shared" si="81"/>
        <v>136829.57841796003</v>
      </c>
      <c r="BZ54" s="280">
        <f t="shared" si="82"/>
        <v>609712.69218368805</v>
      </c>
      <c r="CA54" s="280"/>
      <c r="CB54" s="270">
        <f>'C0-Ref Stats'!AJ51</f>
        <v>208741.97624825005</v>
      </c>
      <c r="CC54" s="270">
        <f t="shared" si="41"/>
        <v>125245.18574895003</v>
      </c>
      <c r="CD54" s="270">
        <f t="shared" si="42"/>
        <v>41748.395249650013</v>
      </c>
      <c r="CE54" s="270">
        <f t="shared" si="43"/>
        <v>41748.395249650013</v>
      </c>
      <c r="CF54" s="270"/>
      <c r="CG54" s="331">
        <f>ROUND('C12-CorpOwn'!R50,3)</f>
        <v>0.38800000000000001</v>
      </c>
      <c r="CH54" s="331">
        <f>ROUND('C12-CorpOwn'!S50,3)</f>
        <v>0.54800000000000004</v>
      </c>
      <c r="CI54" s="331">
        <f>ROUND('C12-CorpOwn'!T50,3)</f>
        <v>6.4000000000000001E-2</v>
      </c>
      <c r="CJ54" s="270"/>
      <c r="CK54" s="270">
        <v>5691959</v>
      </c>
      <c r="CL54" s="270">
        <v>966789</v>
      </c>
      <c r="CM54" s="270">
        <v>428053</v>
      </c>
      <c r="CN54" s="270">
        <v>46367</v>
      </c>
      <c r="CO54" s="270">
        <v>932590</v>
      </c>
      <c r="CP54" s="270">
        <v>412384</v>
      </c>
      <c r="CQ54" s="270">
        <v>580527</v>
      </c>
      <c r="CR54" s="270">
        <v>484817</v>
      </c>
      <c r="CS54" s="270">
        <v>496762</v>
      </c>
      <c r="CT54" s="270">
        <v>934530</v>
      </c>
      <c r="CU54" s="280">
        <v>-60910</v>
      </c>
      <c r="CV54" s="280">
        <v>93908</v>
      </c>
      <c r="CW54" s="280">
        <v>-6397</v>
      </c>
      <c r="CX54" s="280">
        <v>456221</v>
      </c>
      <c r="CY54" s="280">
        <v>388229</v>
      </c>
      <c r="CZ54" s="280">
        <f t="shared" si="60"/>
        <v>67992</v>
      </c>
      <c r="DA54" s="280">
        <v>362036</v>
      </c>
      <c r="DB54" s="280">
        <v>257485</v>
      </c>
      <c r="DC54" s="280">
        <v>95109</v>
      </c>
      <c r="DD54" s="270">
        <v>402469</v>
      </c>
      <c r="DE54" s="270">
        <v>351318</v>
      </c>
      <c r="DF54" s="270">
        <v>25821</v>
      </c>
      <c r="DG54" s="270">
        <v>35139</v>
      </c>
      <c r="DH54" s="270">
        <v>11668</v>
      </c>
      <c r="DI54" s="270">
        <v>12014</v>
      </c>
      <c r="DJ54" s="270">
        <f t="shared" si="61"/>
        <v>96101</v>
      </c>
      <c r="DK54" s="280">
        <v>402922</v>
      </c>
      <c r="DL54" s="270">
        <v>95109</v>
      </c>
      <c r="DM54" s="270">
        <v>71281</v>
      </c>
      <c r="DN54" s="270">
        <v>580715</v>
      </c>
      <c r="DO54" s="270">
        <v>78907</v>
      </c>
      <c r="DP54" s="270">
        <v>13207</v>
      </c>
      <c r="DQ54" s="270">
        <v>92499</v>
      </c>
      <c r="DR54" s="270"/>
      <c r="DS54" s="270">
        <v>75521</v>
      </c>
      <c r="DT54" s="277">
        <v>162920</v>
      </c>
      <c r="DU54" s="270">
        <v>4866</v>
      </c>
      <c r="DV54" s="277"/>
      <c r="DW54" s="270">
        <f>TOTALS!S111/1000000</f>
        <v>397889.602701</v>
      </c>
      <c r="DX54" s="280">
        <f>TOTALS!$BC111/1000000</f>
        <v>249337.405852</v>
      </c>
      <c r="DY54" s="280">
        <v>268013</v>
      </c>
      <c r="DZ54" s="270">
        <f t="shared" si="47"/>
        <v>268013</v>
      </c>
      <c r="EA54" s="270"/>
      <c r="EB54" s="272">
        <v>936792</v>
      </c>
      <c r="EC54" s="280">
        <v>21468</v>
      </c>
      <c r="ED54" s="277">
        <v>251511</v>
      </c>
      <c r="EE54" s="280">
        <v>167415</v>
      </c>
      <c r="EF54" s="280"/>
    </row>
    <row r="55" spans="1:136" ht="10.5" customHeight="1" x14ac:dyDescent="0.3">
      <c r="A55" s="268">
        <v>2006</v>
      </c>
      <c r="B55" s="603">
        <f>'C1-Incomes'!EX54</f>
        <v>12004750.65</v>
      </c>
      <c r="C55" s="280">
        <f>(TOTALS!E112)/1000000+CC55-BS55</f>
        <v>5501121.0863157688</v>
      </c>
      <c r="D55" s="601" t="s">
        <v>50</v>
      </c>
      <c r="E55" s="270">
        <f t="shared" si="62"/>
        <v>308952.91368423123</v>
      </c>
      <c r="F55" s="598"/>
      <c r="G55" s="270">
        <f t="shared" si="48"/>
        <v>615106</v>
      </c>
      <c r="H55" s="601" t="s">
        <v>50</v>
      </c>
      <c r="I55" s="270">
        <f t="shared" si="13"/>
        <v>447360</v>
      </c>
      <c r="J55" s="270"/>
      <c r="K55" s="270">
        <f>'T-T0'!G55</f>
        <v>18796.892238717897</v>
      </c>
      <c r="L55" s="270">
        <f t="shared" si="63"/>
        <v>17178.107761282103</v>
      </c>
      <c r="M55" s="270"/>
      <c r="N55" s="280">
        <f>'T-T0'!I55</f>
        <v>279036.70962400001</v>
      </c>
      <c r="O55" s="280">
        <f>'T-T0'!J55</f>
        <v>156611.09650300001</v>
      </c>
      <c r="P55" s="280">
        <f t="shared" si="64"/>
        <v>41573.857619256436</v>
      </c>
      <c r="Q55" s="280">
        <f t="shared" si="65"/>
        <v>540488.3362537435</v>
      </c>
      <c r="R55" s="270"/>
      <c r="S55" s="280">
        <f>TOTALS!U112/1000000</f>
        <v>59825.631346000002</v>
      </c>
      <c r="T55" s="270">
        <f t="shared" si="66"/>
        <v>18333.368653999998</v>
      </c>
      <c r="U55" s="270">
        <f t="shared" si="14"/>
        <v>124340</v>
      </c>
      <c r="V55" s="270">
        <f t="shared" si="45"/>
        <v>5022</v>
      </c>
      <c r="W55" s="270"/>
      <c r="X55" s="280">
        <f t="shared" si="49"/>
        <v>154855.2105454948</v>
      </c>
      <c r="Y55" s="280">
        <f>(CP55-AA55)*'C13-CapOwn'!N51</f>
        <v>263567.3435779835</v>
      </c>
      <c r="Z55" s="607">
        <f>(CP55-AA55)*'C13-CapOwn'!O51</f>
        <v>25885.445876521684</v>
      </c>
      <c r="AA55" s="607">
        <f t="shared" si="15"/>
        <v>29052</v>
      </c>
      <c r="AB55" s="270"/>
      <c r="AC55" s="280">
        <f>TOTALS!H112/1000000</f>
        <v>231089.03415799999</v>
      </c>
      <c r="AD55" s="601">
        <f t="shared" si="67"/>
        <v>149688.82173153601</v>
      </c>
      <c r="AE55" s="270">
        <f t="shared" si="50"/>
        <v>29555.144110464</v>
      </c>
      <c r="AF55" s="270"/>
      <c r="AG55" s="280">
        <f t="shared" si="68"/>
        <v>264206.87327400001</v>
      </c>
      <c r="AH55" s="280">
        <f t="shared" si="69"/>
        <v>51466.126725999988</v>
      </c>
      <c r="AI55" s="270"/>
      <c r="AJ55" s="270">
        <f>'C10-Adj by Source'!X52</f>
        <v>188245.94</v>
      </c>
      <c r="AK55" s="601">
        <f t="shared" si="51"/>
        <v>230277.1</v>
      </c>
      <c r="AL55" s="607">
        <f t="shared" si="52"/>
        <v>28616.959999999999</v>
      </c>
      <c r="AM55" s="270"/>
      <c r="AN55" s="270">
        <f>TOTALS!BF51/1000000</f>
        <v>72921.697551000005</v>
      </c>
      <c r="AO55" s="601">
        <f t="shared" si="70"/>
        <v>24710.752448999996</v>
      </c>
      <c r="AP55" s="607">
        <f t="shared" si="53"/>
        <v>5138.55</v>
      </c>
      <c r="AQ55" s="280">
        <f>TOTALS!F112/1000000-AU55</f>
        <v>139954.90268940001</v>
      </c>
      <c r="AR55" s="607">
        <f t="shared" si="71"/>
        <v>40845.64731059999</v>
      </c>
      <c r="AS55" s="607">
        <f t="shared" si="54"/>
        <v>14035.45</v>
      </c>
      <c r="AT55" s="280"/>
      <c r="AU55" s="280">
        <f>TOTALS!F112/1000000*0.4</f>
        <v>93303.268459600004</v>
      </c>
      <c r="AV55" s="607">
        <f t="shared" si="72"/>
        <v>180532.99496338001</v>
      </c>
      <c r="AW55" s="607">
        <f t="shared" si="73"/>
        <v>9501.7365770200013</v>
      </c>
      <c r="AX55" s="270"/>
      <c r="AY55" s="270">
        <f>'C10-Adj by Source'!AE52</f>
        <v>196762</v>
      </c>
      <c r="AZ55" s="270">
        <f>'C10-Adj by Source'!AU52</f>
        <v>178258</v>
      </c>
      <c r="BA55" s="607">
        <f t="shared" si="16"/>
        <v>616925</v>
      </c>
      <c r="BB55" s="607"/>
      <c r="BC55" s="280">
        <f t="shared" si="55"/>
        <v>-51467</v>
      </c>
      <c r="BD55" s="280"/>
      <c r="BE55" s="280">
        <f t="shared" si="56"/>
        <v>82591</v>
      </c>
      <c r="BF55" s="280"/>
      <c r="BG55" s="280">
        <f t="shared" si="57"/>
        <v>-9312</v>
      </c>
      <c r="BH55" s="270"/>
      <c r="BI55" s="280">
        <f>TOTALS!AD112/1000000+CE55</f>
        <v>613376.52942125651</v>
      </c>
      <c r="BJ55" s="280">
        <f t="shared" si="74"/>
        <v>16420.470578743494</v>
      </c>
      <c r="BK55" s="272"/>
      <c r="BL55" s="280">
        <f t="shared" si="75"/>
        <v>0</v>
      </c>
      <c r="BM55" s="863"/>
      <c r="BN55" s="270">
        <v>12004751</v>
      </c>
      <c r="BO55" s="270">
        <f t="shared" si="76"/>
        <v>12004750.65</v>
      </c>
      <c r="BP55" s="860">
        <f t="shared" si="77"/>
        <v>-0.34999999962747097</v>
      </c>
      <c r="BQ55" s="860"/>
      <c r="BR55" s="270">
        <v>247328</v>
      </c>
      <c r="BS55" s="270">
        <f>TOTALS!BP112/1000000</f>
        <v>34316.986541999999</v>
      </c>
      <c r="BT55" s="270">
        <f t="shared" si="58"/>
        <v>382469</v>
      </c>
      <c r="BU55" s="270">
        <f t="shared" si="78"/>
        <v>149688.82173153601</v>
      </c>
      <c r="BV55" s="270">
        <f t="shared" si="59"/>
        <v>230277.1</v>
      </c>
      <c r="BW55" s="280">
        <f t="shared" si="79"/>
        <v>24710.752448999996</v>
      </c>
      <c r="BX55" s="607">
        <f t="shared" si="80"/>
        <v>40845.64731059999</v>
      </c>
      <c r="BY55" s="280">
        <f t="shared" si="81"/>
        <v>180532.99496338001</v>
      </c>
      <c r="BZ55" s="280">
        <f t="shared" si="82"/>
        <v>626055.31645451603</v>
      </c>
      <c r="CA55" s="280"/>
      <c r="CB55" s="270">
        <f>'C0-Ref Stats'!AJ52</f>
        <v>207869.28809628217</v>
      </c>
      <c r="CC55" s="270">
        <f t="shared" si="41"/>
        <v>124721.57285776929</v>
      </c>
      <c r="CD55" s="270">
        <f t="shared" si="42"/>
        <v>41573.857619256436</v>
      </c>
      <c r="CE55" s="270">
        <f t="shared" si="43"/>
        <v>41573.857619256436</v>
      </c>
      <c r="CF55" s="270"/>
      <c r="CG55" s="331">
        <f>ROUND('C12-CorpOwn'!R51,3)</f>
        <v>0.42099999999999999</v>
      </c>
      <c r="CH55" s="331">
        <f>ROUND('C12-CorpOwn'!S51,3)</f>
        <v>0.51500000000000001</v>
      </c>
      <c r="CI55" s="331">
        <f>ROUND('C12-CorpOwn'!T51,3)</f>
        <v>6.4000000000000001E-2</v>
      </c>
      <c r="CJ55" s="270"/>
      <c r="CK55" s="270">
        <v>6057402</v>
      </c>
      <c r="CL55" s="270">
        <v>997575</v>
      </c>
      <c r="CM55" s="270">
        <v>447360</v>
      </c>
      <c r="CN55" s="270">
        <v>35975</v>
      </c>
      <c r="CO55" s="270">
        <v>1017710</v>
      </c>
      <c r="CP55" s="270">
        <v>473360</v>
      </c>
      <c r="CQ55" s="270">
        <v>726006</v>
      </c>
      <c r="CR55" s="270">
        <v>447140</v>
      </c>
      <c r="CS55" s="270">
        <v>580945</v>
      </c>
      <c r="CT55" s="270">
        <v>991945</v>
      </c>
      <c r="CU55" s="280">
        <v>-51467</v>
      </c>
      <c r="CV55" s="280">
        <v>82591</v>
      </c>
      <c r="CW55" s="280">
        <v>-9312</v>
      </c>
      <c r="CX55" s="280">
        <v>492445</v>
      </c>
      <c r="CY55" s="280">
        <v>406572</v>
      </c>
      <c r="CZ55" s="280">
        <f t="shared" si="60"/>
        <v>85873</v>
      </c>
      <c r="DA55" s="280">
        <v>378959</v>
      </c>
      <c r="DB55" s="280">
        <v>280709</v>
      </c>
      <c r="DC55" s="280">
        <v>102771</v>
      </c>
      <c r="DD55" s="270">
        <v>431811</v>
      </c>
      <c r="DE55" s="270">
        <v>375020</v>
      </c>
      <c r="DF55" s="270">
        <v>25843</v>
      </c>
      <c r="DG55" s="270">
        <v>36293</v>
      </c>
      <c r="DH55" s="270">
        <v>14104</v>
      </c>
      <c r="DI55" s="270">
        <v>12650</v>
      </c>
      <c r="DJ55" s="270">
        <f t="shared" si="61"/>
        <v>96224</v>
      </c>
      <c r="DK55" s="280">
        <v>463502</v>
      </c>
      <c r="DL55" s="270">
        <v>102771</v>
      </c>
      <c r="DM55" s="270">
        <v>88859</v>
      </c>
      <c r="DN55" s="270">
        <v>596512</v>
      </c>
      <c r="DO55" s="270">
        <v>83917</v>
      </c>
      <c r="DP55" s="270">
        <v>16032</v>
      </c>
      <c r="DQ55" s="270">
        <v>86479</v>
      </c>
      <c r="DR55" s="270"/>
      <c r="DS55" s="270">
        <v>78159</v>
      </c>
      <c r="DT55" s="277">
        <v>129362</v>
      </c>
      <c r="DU55" s="270">
        <v>5022</v>
      </c>
      <c r="DV55" s="277"/>
      <c r="DW55" s="270">
        <f>TOTALS!S112/1000000</f>
        <v>420817.96977700002</v>
      </c>
      <c r="DX55" s="280">
        <f>TOTALS!$BC112/1000000</f>
        <v>264206.87327400001</v>
      </c>
      <c r="DY55" s="280">
        <v>315673</v>
      </c>
      <c r="DZ55" s="270">
        <f t="shared" si="47"/>
        <v>315673</v>
      </c>
      <c r="EA55" s="270"/>
      <c r="EB55" s="272">
        <v>1054559</v>
      </c>
      <c r="EC55" s="280">
        <v>29052</v>
      </c>
      <c r="ED55" s="277">
        <v>276152</v>
      </c>
      <c r="EE55" s="280">
        <v>178258</v>
      </c>
      <c r="EF55" s="280"/>
    </row>
    <row r="56" spans="1:136" ht="10.5" customHeight="1" x14ac:dyDescent="0.3">
      <c r="A56" s="268">
        <v>2007</v>
      </c>
      <c r="B56" s="603">
        <f>'C1-Incomes'!EX55</f>
        <v>12321374.707</v>
      </c>
      <c r="C56" s="280">
        <f>(TOTALS!E113)/1000000+CC56-BS56</f>
        <v>5857568.8799872976</v>
      </c>
      <c r="D56" s="601" t="s">
        <v>50</v>
      </c>
      <c r="E56" s="270">
        <f t="shared" si="62"/>
        <v>270405.12001270242</v>
      </c>
      <c r="F56" s="598"/>
      <c r="G56" s="270">
        <f t="shared" si="48"/>
        <v>633793</v>
      </c>
      <c r="H56" s="601" t="s">
        <v>50</v>
      </c>
      <c r="I56" s="270">
        <f t="shared" si="13"/>
        <v>461670</v>
      </c>
      <c r="J56" s="270"/>
      <c r="K56" s="270">
        <f>'T-T0'!G56</f>
        <v>24088.001015502618</v>
      </c>
      <c r="L56" s="270">
        <f t="shared" si="63"/>
        <v>14014.998984497382</v>
      </c>
      <c r="M56" s="270"/>
      <c r="N56" s="280">
        <f>'T-T0'!I56</f>
        <v>276194.63561</v>
      </c>
      <c r="O56" s="280">
        <f>'T-T0'!J56</f>
        <v>156400.36046499998</v>
      </c>
      <c r="P56" s="280">
        <f t="shared" si="64"/>
        <v>38369.924666099367</v>
      </c>
      <c r="Q56" s="280">
        <f t="shared" si="65"/>
        <v>470102.07925890066</v>
      </c>
      <c r="R56" s="270"/>
      <c r="S56" s="280">
        <f>TOTALS!U113/1000000</f>
        <v>59395.063593999999</v>
      </c>
      <c r="T56" s="270">
        <f t="shared" si="66"/>
        <v>28015.936406000001</v>
      </c>
      <c r="U56" s="270">
        <f t="shared" si="14"/>
        <v>96398</v>
      </c>
      <c r="V56" s="270">
        <f t="shared" si="45"/>
        <v>5602</v>
      </c>
      <c r="W56" s="270"/>
      <c r="X56" s="280">
        <f t="shared" si="49"/>
        <v>135833.58561978542</v>
      </c>
      <c r="Y56" s="280">
        <f>(CP56-AA56)*'C13-CapOwn'!N52</f>
        <v>249789.37707731867</v>
      </c>
      <c r="Z56" s="607">
        <f>(CP56-AA56)*'C13-CapOwn'!O52</f>
        <v>25309.037302895911</v>
      </c>
      <c r="AA56" s="607">
        <f t="shared" si="15"/>
        <v>34598</v>
      </c>
      <c r="AB56" s="270"/>
      <c r="AC56" s="280">
        <f>TOTALS!H113/1000000</f>
        <v>270924.21551200002</v>
      </c>
      <c r="AD56" s="601">
        <f t="shared" si="67"/>
        <v>165568.78055984498</v>
      </c>
      <c r="AE56" s="270">
        <f t="shared" si="50"/>
        <v>36813.003928154998</v>
      </c>
      <c r="AF56" s="270"/>
      <c r="AG56" s="280">
        <f t="shared" si="68"/>
        <v>252555.093413</v>
      </c>
      <c r="AH56" s="280">
        <f t="shared" si="69"/>
        <v>93047.906587000005</v>
      </c>
      <c r="AI56" s="270"/>
      <c r="AJ56" s="270">
        <f>'C10-Adj by Source'!X53</f>
        <v>98942.447999999989</v>
      </c>
      <c r="AK56" s="601">
        <f t="shared" si="51"/>
        <v>148413.67200000002</v>
      </c>
      <c r="AL56" s="607">
        <f t="shared" si="52"/>
        <v>17195.88</v>
      </c>
      <c r="AM56" s="270"/>
      <c r="AN56" s="270">
        <f>TOTALS!BF52/1000000</f>
        <v>79303.480832000001</v>
      </c>
      <c r="AO56" s="601">
        <f t="shared" si="70"/>
        <v>25927.069167999998</v>
      </c>
      <c r="AP56" s="607">
        <f t="shared" si="53"/>
        <v>5538.4500000000007</v>
      </c>
      <c r="AQ56" s="280">
        <f>TOTALS!F113/1000000-AU56</f>
        <v>167900.72005860001</v>
      </c>
      <c r="AR56" s="607">
        <f t="shared" si="71"/>
        <v>31891.179941399991</v>
      </c>
      <c r="AS56" s="607">
        <f t="shared" si="54"/>
        <v>15728.1</v>
      </c>
      <c r="AT56" s="280"/>
      <c r="AU56" s="280">
        <f>TOTALS!F113/1000000*0.4</f>
        <v>111933.81337240001</v>
      </c>
      <c r="AV56" s="607">
        <f t="shared" si="72"/>
        <v>213960.12729621999</v>
      </c>
      <c r="AW56" s="607">
        <f t="shared" si="73"/>
        <v>11261.05933138</v>
      </c>
      <c r="AX56" s="270"/>
      <c r="AY56" s="270">
        <f>'C10-Adj by Source'!AE53</f>
        <v>212266</v>
      </c>
      <c r="AZ56" s="270">
        <f>'C10-Adj by Source'!AU53</f>
        <v>191562</v>
      </c>
      <c r="BA56" s="607">
        <f t="shared" si="16"/>
        <v>630734</v>
      </c>
      <c r="BB56" s="607"/>
      <c r="BC56" s="280">
        <f t="shared" si="55"/>
        <v>-54584</v>
      </c>
      <c r="BD56" s="280"/>
      <c r="BE56" s="280">
        <f t="shared" si="56"/>
        <v>98560</v>
      </c>
      <c r="BF56" s="280"/>
      <c r="BG56" s="280">
        <f t="shared" si="57"/>
        <v>-16441</v>
      </c>
      <c r="BH56" s="270"/>
      <c r="BI56" s="280">
        <f>TOTALS!AD113/1000000+CE56</f>
        <v>673499.32017409941</v>
      </c>
      <c r="BJ56" s="280">
        <f t="shared" si="74"/>
        <v>1324.6798259005882</v>
      </c>
      <c r="BK56" s="272"/>
      <c r="BL56" s="280">
        <f t="shared" si="75"/>
        <v>-1</v>
      </c>
      <c r="BM56" s="863"/>
      <c r="BN56" s="270">
        <v>12321373</v>
      </c>
      <c r="BO56" s="270">
        <f t="shared" si="76"/>
        <v>12321374.707</v>
      </c>
      <c r="BP56" s="860">
        <f t="shared" si="77"/>
        <v>1.7070000004023314</v>
      </c>
      <c r="BQ56" s="860"/>
      <c r="BR56" s="270">
        <v>267193</v>
      </c>
      <c r="BS56" s="270">
        <f>TOTALS!BP113/1000000</f>
        <v>34873.994011000003</v>
      </c>
      <c r="BT56" s="270">
        <f t="shared" si="58"/>
        <v>407631</v>
      </c>
      <c r="BU56" s="270">
        <f t="shared" si="78"/>
        <v>165568.78055984498</v>
      </c>
      <c r="BV56" s="270">
        <f t="shared" si="59"/>
        <v>148413.67200000002</v>
      </c>
      <c r="BW56" s="280">
        <f t="shared" si="79"/>
        <v>25927.069167999998</v>
      </c>
      <c r="BX56" s="607">
        <f t="shared" si="80"/>
        <v>31891.179941399991</v>
      </c>
      <c r="BY56" s="280">
        <f t="shared" si="81"/>
        <v>213960.12729621999</v>
      </c>
      <c r="BZ56" s="280">
        <f t="shared" si="82"/>
        <v>585760.82896546507</v>
      </c>
      <c r="CA56" s="280"/>
      <c r="CB56" s="270">
        <f>'C0-Ref Stats'!AJ53</f>
        <v>191849.62333049683</v>
      </c>
      <c r="CC56" s="270">
        <f t="shared" si="41"/>
        <v>115109.7739982981</v>
      </c>
      <c r="CD56" s="270">
        <f t="shared" si="42"/>
        <v>38369.924666099367</v>
      </c>
      <c r="CE56" s="270">
        <f t="shared" si="43"/>
        <v>38369.924666099367</v>
      </c>
      <c r="CF56" s="270"/>
      <c r="CG56" s="331">
        <f>ROUND('C12-CorpOwn'!R52,3)</f>
        <v>0.374</v>
      </c>
      <c r="CH56" s="331">
        <f>ROUND('C12-CorpOwn'!S52,3)</f>
        <v>0.56100000000000005</v>
      </c>
      <c r="CI56" s="331">
        <f>ROUND('C12-CorpOwn'!T52,3)</f>
        <v>6.5000000000000002E-2</v>
      </c>
      <c r="CJ56" s="270"/>
      <c r="CK56" s="270">
        <v>6395167</v>
      </c>
      <c r="CL56" s="270">
        <v>1041424</v>
      </c>
      <c r="CM56" s="270">
        <v>461670</v>
      </c>
      <c r="CN56" s="270">
        <v>38103</v>
      </c>
      <c r="CO56" s="270">
        <v>941067</v>
      </c>
      <c r="CP56" s="270">
        <v>445530</v>
      </c>
      <c r="CQ56" s="270">
        <v>818909</v>
      </c>
      <c r="CR56" s="270">
        <v>264552</v>
      </c>
      <c r="CS56" s="270">
        <v>663444</v>
      </c>
      <c r="CT56" s="270">
        <v>1034562</v>
      </c>
      <c r="CU56" s="280">
        <v>-54584</v>
      </c>
      <c r="CV56" s="280">
        <v>98560</v>
      </c>
      <c r="CW56" s="280">
        <v>-16441</v>
      </c>
      <c r="CX56" s="280">
        <v>529756</v>
      </c>
      <c r="CY56" s="280">
        <v>430714</v>
      </c>
      <c r="CZ56" s="280">
        <f t="shared" si="60"/>
        <v>99042</v>
      </c>
      <c r="DA56" s="280">
        <v>403447</v>
      </c>
      <c r="DB56" s="280">
        <v>314562</v>
      </c>
      <c r="DC56" s="280">
        <v>110769</v>
      </c>
      <c r="DD56" s="270">
        <v>448916</v>
      </c>
      <c r="DE56" s="270">
        <v>403828</v>
      </c>
      <c r="DF56" s="270">
        <v>22485</v>
      </c>
      <c r="DG56" s="270">
        <v>37358</v>
      </c>
      <c r="DH56" s="270">
        <v>14713</v>
      </c>
      <c r="DI56" s="270">
        <v>13150</v>
      </c>
      <c r="DJ56" s="270">
        <f t="shared" si="61"/>
        <v>94112</v>
      </c>
      <c r="DK56" s="280">
        <v>510903</v>
      </c>
      <c r="DL56" s="270">
        <v>110769</v>
      </c>
      <c r="DM56" s="270">
        <v>98435</v>
      </c>
      <c r="DN56" s="270">
        <v>621768</v>
      </c>
      <c r="DO56" s="270">
        <v>88644</v>
      </c>
      <c r="DP56" s="270">
        <v>17755</v>
      </c>
      <c r="DQ56" s="270">
        <v>82914</v>
      </c>
      <c r="DR56" s="270"/>
      <c r="DS56" s="270">
        <v>87411</v>
      </c>
      <c r="DT56" s="277">
        <v>102000</v>
      </c>
      <c r="DU56" s="270">
        <v>5602</v>
      </c>
      <c r="DV56" s="277"/>
      <c r="DW56" s="270">
        <f>TOTALS!S113/1000000</f>
        <v>408955.45387799997</v>
      </c>
      <c r="DX56" s="280">
        <f>TOTALS!$BC113/1000000</f>
        <v>252555.093413</v>
      </c>
      <c r="DY56" s="280">
        <v>345603</v>
      </c>
      <c r="DZ56" s="270">
        <f t="shared" si="47"/>
        <v>345603</v>
      </c>
      <c r="EA56" s="270"/>
      <c r="EB56" s="272">
        <v>1169712</v>
      </c>
      <c r="EC56" s="280">
        <v>34598</v>
      </c>
      <c r="ED56" s="277">
        <v>296376</v>
      </c>
      <c r="EE56" s="280">
        <v>191562</v>
      </c>
      <c r="EF56" s="280"/>
    </row>
    <row r="57" spans="1:136" ht="10.5" customHeight="1" x14ac:dyDescent="0.3">
      <c r="A57" s="268">
        <v>2008</v>
      </c>
      <c r="B57" s="603">
        <f>'C1-Incomes'!EX56</f>
        <v>12427821.880999999</v>
      </c>
      <c r="C57" s="280">
        <f>(TOTALS!E114)/1000000+CC57-BS57</f>
        <v>5972968.0141504779</v>
      </c>
      <c r="D57" s="601" t="s">
        <v>50</v>
      </c>
      <c r="E57" s="270">
        <f t="shared" si="62"/>
        <v>285613.98584952205</v>
      </c>
      <c r="F57" s="598"/>
      <c r="G57" s="270">
        <f t="shared" si="48"/>
        <v>647744</v>
      </c>
      <c r="H57" s="601" t="s">
        <v>50</v>
      </c>
      <c r="I57" s="270">
        <f t="shared" si="13"/>
        <v>471313</v>
      </c>
      <c r="J57" s="270"/>
      <c r="K57" s="270">
        <f>'T-T0'!G57</f>
        <v>24408.512730538314</v>
      </c>
      <c r="L57" s="270">
        <f t="shared" si="63"/>
        <v>22582.487269461686</v>
      </c>
      <c r="M57" s="270"/>
      <c r="N57" s="280">
        <f>'T-T0'!I57</f>
        <v>260612.425189</v>
      </c>
      <c r="O57" s="280">
        <f>'T-T0'!J57</f>
        <v>136643.59567299997</v>
      </c>
      <c r="P57" s="280">
        <f t="shared" si="64"/>
        <v>42927.201807492798</v>
      </c>
      <c r="Q57" s="280">
        <f t="shared" si="65"/>
        <v>539299.77733050729</v>
      </c>
      <c r="R57" s="270"/>
      <c r="S57" s="280">
        <f>TOTALS!U114/1000000</f>
        <v>69886.838736000005</v>
      </c>
      <c r="T57" s="270">
        <f t="shared" si="66"/>
        <v>38828.161263999995</v>
      </c>
      <c r="U57" s="270">
        <f t="shared" si="14"/>
        <v>147234</v>
      </c>
      <c r="V57" s="270">
        <f t="shared" si="45"/>
        <v>6157</v>
      </c>
      <c r="W57" s="270"/>
      <c r="X57" s="280">
        <f t="shared" si="49"/>
        <v>88798.456227795366</v>
      </c>
      <c r="Y57" s="280">
        <f>(CP57-AA57)*'C13-CapOwn'!N53</f>
        <v>169228.63136397066</v>
      </c>
      <c r="Z57" s="607">
        <f>(CP57-AA57)*'C13-CapOwn'!O53</f>
        <v>19383.912408233973</v>
      </c>
      <c r="AA57" s="607">
        <f t="shared" si="15"/>
        <v>31689</v>
      </c>
      <c r="AB57" s="270"/>
      <c r="AC57" s="280">
        <f>TOTALS!H114/1000000</f>
        <v>246335.28420600001</v>
      </c>
      <c r="AD57" s="601">
        <f t="shared" si="67"/>
        <v>180218.50459084893</v>
      </c>
      <c r="AE57" s="270">
        <f t="shared" si="50"/>
        <v>48364.211203150997</v>
      </c>
      <c r="AF57" s="270"/>
      <c r="AG57" s="280">
        <f t="shared" si="68"/>
        <v>225912.66020300001</v>
      </c>
      <c r="AH57" s="280">
        <f t="shared" si="69"/>
        <v>107783.33979699999</v>
      </c>
      <c r="AI57" s="270"/>
      <c r="AJ57" s="270">
        <f>'C10-Adj by Source'!X54</f>
        <v>57400.707000000002</v>
      </c>
      <c r="AK57" s="601">
        <f t="shared" si="51"/>
        <v>96058.325999999986</v>
      </c>
      <c r="AL57" s="607">
        <f t="shared" si="52"/>
        <v>13889.967000000001</v>
      </c>
      <c r="AM57" s="270"/>
      <c r="AN57" s="270">
        <f>TOTALS!BF53/1000000</f>
        <v>79798.983856000006</v>
      </c>
      <c r="AO57" s="601">
        <f t="shared" si="70"/>
        <v>31041.316143999993</v>
      </c>
      <c r="AP57" s="607">
        <f t="shared" si="53"/>
        <v>5833.7000000000007</v>
      </c>
      <c r="AQ57" s="280">
        <f>TOTALS!F114/1000000-AU57</f>
        <v>138927.92102579999</v>
      </c>
      <c r="AR57" s="607">
        <f t="shared" si="71"/>
        <v>40475.228974200007</v>
      </c>
      <c r="AS57" s="607">
        <f t="shared" si="54"/>
        <v>14707.85</v>
      </c>
      <c r="AT57" s="280"/>
      <c r="AU57" s="280">
        <f>TOTALS!F114/1000000*0.4</f>
        <v>92618.614017200016</v>
      </c>
      <c r="AV57" s="607">
        <f t="shared" si="72"/>
        <v>275496.56668366003</v>
      </c>
      <c r="AW57" s="607">
        <f t="shared" si="73"/>
        <v>14499.819299139999</v>
      </c>
      <c r="AX57" s="270"/>
      <c r="AY57" s="270">
        <f>'C10-Adj by Source'!AE54</f>
        <v>217607</v>
      </c>
      <c r="AZ57" s="270">
        <f>'C10-Adj by Source'!AU54</f>
        <v>196165</v>
      </c>
      <c r="BA57" s="607">
        <f t="shared" si="16"/>
        <v>628145</v>
      </c>
      <c r="BB57" s="607"/>
      <c r="BC57" s="280">
        <f t="shared" si="55"/>
        <v>-52558</v>
      </c>
      <c r="BD57" s="280"/>
      <c r="BE57" s="280">
        <f t="shared" si="56"/>
        <v>114370</v>
      </c>
      <c r="BF57" s="280"/>
      <c r="BG57" s="280">
        <f t="shared" si="57"/>
        <v>-21207</v>
      </c>
      <c r="BH57" s="270"/>
      <c r="BI57" s="280">
        <f>TOTALS!AD114/1000000+CE57</f>
        <v>707867.46380549273</v>
      </c>
      <c r="BJ57" s="280">
        <f t="shared" si="74"/>
        <v>-7250.4638054927345</v>
      </c>
      <c r="BK57" s="272"/>
      <c r="BL57" s="280">
        <f t="shared" si="75"/>
        <v>0</v>
      </c>
      <c r="BM57" s="863"/>
      <c r="BN57" s="270">
        <v>12427821</v>
      </c>
      <c r="BO57" s="270">
        <f t="shared" si="76"/>
        <v>12427821.880999999</v>
      </c>
      <c r="BP57" s="860">
        <f t="shared" si="77"/>
        <v>0.88099999912083149</v>
      </c>
      <c r="BQ57" s="860"/>
      <c r="BR57" s="270">
        <v>273287</v>
      </c>
      <c r="BS57" s="270">
        <f>TOTALS!BP114/1000000</f>
        <v>31649.091272000001</v>
      </c>
      <c r="BT57" s="270">
        <f t="shared" si="58"/>
        <v>427330</v>
      </c>
      <c r="BU57" s="270">
        <f t="shared" si="78"/>
        <v>180218.50459084893</v>
      </c>
      <c r="BV57" s="270">
        <f t="shared" si="59"/>
        <v>96058.325999999986</v>
      </c>
      <c r="BW57" s="280">
        <f t="shared" si="79"/>
        <v>31041.316143999993</v>
      </c>
      <c r="BX57" s="607">
        <f t="shared" si="80"/>
        <v>40475.228974200007</v>
      </c>
      <c r="BY57" s="280">
        <f t="shared" si="81"/>
        <v>275496.56668366003</v>
      </c>
      <c r="BZ57" s="280">
        <f t="shared" si="82"/>
        <v>623289.94239270897</v>
      </c>
      <c r="CA57" s="280"/>
      <c r="CB57" s="270">
        <f>'C0-Ref Stats'!AJ54</f>
        <v>214636.00903746398</v>
      </c>
      <c r="CC57" s="270">
        <f t="shared" si="41"/>
        <v>128781.60542247839</v>
      </c>
      <c r="CD57" s="270">
        <f t="shared" si="42"/>
        <v>42927.201807492798</v>
      </c>
      <c r="CE57" s="270">
        <f t="shared" si="43"/>
        <v>42927.201807492798</v>
      </c>
      <c r="CF57" s="270"/>
      <c r="CG57" s="331">
        <f>ROUND('C12-CorpOwn'!R53,3)</f>
        <v>0.34300000000000003</v>
      </c>
      <c r="CH57" s="331">
        <f>ROUND('C12-CorpOwn'!S53,3)</f>
        <v>0.57399999999999995</v>
      </c>
      <c r="CI57" s="331">
        <f>ROUND('C12-CorpOwn'!T53,3)</f>
        <v>8.3000000000000004E-2</v>
      </c>
      <c r="CJ57" s="270"/>
      <c r="CK57" s="270">
        <v>6531869</v>
      </c>
      <c r="CL57" s="270">
        <v>1075074</v>
      </c>
      <c r="CM57" s="270">
        <v>471313</v>
      </c>
      <c r="CN57" s="270">
        <v>46991</v>
      </c>
      <c r="CO57" s="270">
        <v>979483</v>
      </c>
      <c r="CP57" s="270">
        <v>309100</v>
      </c>
      <c r="CQ57" s="270">
        <v>808614</v>
      </c>
      <c r="CR57" s="270">
        <v>167349</v>
      </c>
      <c r="CS57" s="270">
        <v>693400</v>
      </c>
      <c r="CT57" s="270">
        <v>1041917</v>
      </c>
      <c r="CU57" s="280">
        <v>-52558</v>
      </c>
      <c r="CV57" s="280">
        <v>114370</v>
      </c>
      <c r="CW57" s="280">
        <v>-21207</v>
      </c>
      <c r="CX57" s="280">
        <v>514996</v>
      </c>
      <c r="CY57" s="280">
        <v>414950</v>
      </c>
      <c r="CZ57" s="280">
        <f t="shared" si="60"/>
        <v>100046</v>
      </c>
      <c r="DA57" s="280">
        <v>404451</v>
      </c>
      <c r="DB57" s="280">
        <v>294157</v>
      </c>
      <c r="DC57" s="280">
        <v>116674</v>
      </c>
      <c r="DD57" s="270">
        <v>444780</v>
      </c>
      <c r="DE57" s="270">
        <v>413772</v>
      </c>
      <c r="DF57" s="270">
        <v>19647</v>
      </c>
      <c r="DG57" s="270">
        <v>36916</v>
      </c>
      <c r="DH57" s="270">
        <v>14827</v>
      </c>
      <c r="DI57" s="270">
        <v>13701</v>
      </c>
      <c r="DJ57" s="270">
        <f t="shared" si="61"/>
        <v>98274</v>
      </c>
      <c r="DK57" s="280">
        <v>513820</v>
      </c>
      <c r="DL57" s="270">
        <v>116674</v>
      </c>
      <c r="DM57" s="270">
        <v>85699</v>
      </c>
      <c r="DN57" s="270">
        <v>645558</v>
      </c>
      <c r="DO57" s="270">
        <v>90450</v>
      </c>
      <c r="DP57" s="270">
        <v>12984</v>
      </c>
      <c r="DQ57" s="270">
        <v>79652</v>
      </c>
      <c r="DR57" s="270"/>
      <c r="DS57" s="270">
        <v>108715</v>
      </c>
      <c r="DT57" s="277">
        <v>153391</v>
      </c>
      <c r="DU57" s="270">
        <v>6157</v>
      </c>
      <c r="DV57" s="277"/>
      <c r="DW57" s="270">
        <f>TOTALS!S114/1000000</f>
        <v>362556.25587599998</v>
      </c>
      <c r="DX57" s="280">
        <f>TOTALS!$BC114/1000000</f>
        <v>225912.66020300001</v>
      </c>
      <c r="DY57" s="280">
        <v>333696</v>
      </c>
      <c r="DZ57" s="270">
        <f t="shared" si="47"/>
        <v>333696</v>
      </c>
      <c r="EA57" s="270"/>
      <c r="EB57" s="272">
        <v>1174269</v>
      </c>
      <c r="EC57" s="280">
        <v>31689</v>
      </c>
      <c r="ED57" s="277">
        <v>307019</v>
      </c>
      <c r="EE57" s="280">
        <v>196165</v>
      </c>
      <c r="EF57" s="280"/>
    </row>
    <row r="58" spans="1:136" ht="10.5" customHeight="1" x14ac:dyDescent="0.3">
      <c r="A58" s="268">
        <v>2009</v>
      </c>
      <c r="B58" s="603">
        <f>'C1-Incomes'!EX57</f>
        <v>12126078.895</v>
      </c>
      <c r="C58" s="280">
        <f>(TOTALS!E115)/1000000+CC58-BS58</f>
        <v>5734242.568413401</v>
      </c>
      <c r="D58" s="601" t="s">
        <v>50</v>
      </c>
      <c r="E58" s="270">
        <f t="shared" si="62"/>
        <v>246159.43158659898</v>
      </c>
      <c r="F58" s="598"/>
      <c r="G58" s="270">
        <f t="shared" si="48"/>
        <v>652551</v>
      </c>
      <c r="H58" s="601" t="s">
        <v>50</v>
      </c>
      <c r="I58" s="270">
        <f t="shared" si="13"/>
        <v>458104</v>
      </c>
      <c r="J58" s="270"/>
      <c r="K58" s="270">
        <f>'T-T0'!G58</f>
        <v>26227.097764667247</v>
      </c>
      <c r="L58" s="270">
        <f t="shared" si="63"/>
        <v>9234.9022353327528</v>
      </c>
      <c r="M58" s="270"/>
      <c r="N58" s="280">
        <f>'T-T0'!I58</f>
        <v>241624.572567</v>
      </c>
      <c r="O58" s="280">
        <f>'T-T0'!J58</f>
        <v>135614.77104899997</v>
      </c>
      <c r="P58" s="280">
        <f t="shared" si="64"/>
        <v>41875.864098467107</v>
      </c>
      <c r="Q58" s="280">
        <f t="shared" si="65"/>
        <v>518418.79228553287</v>
      </c>
      <c r="R58" s="270"/>
      <c r="S58" s="280">
        <f>TOTALS!U115/1000000</f>
        <v>52709.009747999997</v>
      </c>
      <c r="T58" s="270">
        <f t="shared" si="66"/>
        <v>56931.990252000003</v>
      </c>
      <c r="U58" s="270">
        <f t="shared" si="14"/>
        <v>216752</v>
      </c>
      <c r="V58" s="270">
        <f t="shared" si="45"/>
        <v>7308</v>
      </c>
      <c r="W58" s="270"/>
      <c r="X58" s="280">
        <f t="shared" si="49"/>
        <v>71917.205515133508</v>
      </c>
      <c r="Y58" s="280">
        <f>(CP58-AA58)*'C13-CapOwn'!N54</f>
        <v>135448.75253567309</v>
      </c>
      <c r="Z58" s="607">
        <f>(CP58-AA58)*'C13-CapOwn'!O54</f>
        <v>14648.041949193406</v>
      </c>
      <c r="AA58" s="607">
        <f t="shared" si="15"/>
        <v>47430</v>
      </c>
      <c r="AB58" s="270"/>
      <c r="AC58" s="280">
        <f>TOTALS!H115/1000000</f>
        <v>182541.58540099999</v>
      </c>
      <c r="AD58" s="601">
        <f t="shared" si="67"/>
        <v>91637.943763506017</v>
      </c>
      <c r="AE58" s="270">
        <f t="shared" si="50"/>
        <v>26274.470835493998</v>
      </c>
      <c r="AF58" s="270"/>
      <c r="AG58" s="280">
        <f t="shared" si="68"/>
        <v>204567.030486</v>
      </c>
      <c r="AH58" s="280">
        <f t="shared" si="69"/>
        <v>69608.969513999997</v>
      </c>
      <c r="AI58" s="270"/>
      <c r="AJ58" s="270">
        <f>'C10-Adj by Source'!X55</f>
        <v>201807.77000000002</v>
      </c>
      <c r="AK58" s="601">
        <f t="shared" si="51"/>
        <v>311834.47199999995</v>
      </c>
      <c r="AL58" s="607">
        <f t="shared" si="52"/>
        <v>39255.757999999994</v>
      </c>
      <c r="AM58" s="270"/>
      <c r="AN58" s="270">
        <f>TOTALS!BF54/1000000</f>
        <v>73574.103896999994</v>
      </c>
      <c r="AO58" s="601">
        <f t="shared" si="70"/>
        <v>39696.296103000008</v>
      </c>
      <c r="AP58" s="607">
        <f t="shared" si="53"/>
        <v>5961.6</v>
      </c>
      <c r="AQ58" s="280">
        <f>TOTALS!F115/1000000-AU58</f>
        <v>103770.91727400001</v>
      </c>
      <c r="AR58" s="607">
        <f t="shared" si="71"/>
        <v>45923.632725999996</v>
      </c>
      <c r="AS58" s="607">
        <f t="shared" si="54"/>
        <v>12688.45</v>
      </c>
      <c r="AT58" s="280"/>
      <c r="AU58" s="280">
        <f>TOTALS!F115/1000000*0.4</f>
        <v>69180.611516000004</v>
      </c>
      <c r="AV58" s="607">
        <f t="shared" si="72"/>
        <v>201967.51905980005</v>
      </c>
      <c r="AW58" s="607">
        <f t="shared" si="73"/>
        <v>10629.8694242</v>
      </c>
      <c r="AX58" s="270"/>
      <c r="AY58" s="270">
        <f>'C10-Adj by Source'!AE55</f>
        <v>229033</v>
      </c>
      <c r="AZ58" s="270">
        <f>'C10-Adj by Source'!AU55</f>
        <v>206071</v>
      </c>
      <c r="BA58" s="607">
        <f t="shared" si="16"/>
        <v>591042</v>
      </c>
      <c r="BB58" s="607"/>
      <c r="BC58" s="280">
        <f t="shared" si="55"/>
        <v>-58348</v>
      </c>
      <c r="BD58" s="280"/>
      <c r="BE58" s="280">
        <f t="shared" si="56"/>
        <v>124876</v>
      </c>
      <c r="BF58" s="280"/>
      <c r="BG58" s="280">
        <f t="shared" si="57"/>
        <v>-20630</v>
      </c>
      <c r="BH58" s="270"/>
      <c r="BI58" s="280">
        <f>TOTALS!AD115/1000000+CE58</f>
        <v>696428.28488546703</v>
      </c>
      <c r="BJ58" s="280">
        <f t="shared" si="74"/>
        <v>-512.28488546703011</v>
      </c>
      <c r="BK58" s="272"/>
      <c r="BL58" s="280">
        <f t="shared" si="75"/>
        <v>-1</v>
      </c>
      <c r="BM58" s="863"/>
      <c r="BN58" s="270">
        <v>12126078</v>
      </c>
      <c r="BO58" s="270">
        <f t="shared" si="76"/>
        <v>12126078.895</v>
      </c>
      <c r="BP58" s="860">
        <f t="shared" si="77"/>
        <v>0.89499999955296516</v>
      </c>
      <c r="BQ58" s="860"/>
      <c r="BR58" s="270">
        <v>270994</v>
      </c>
      <c r="BS58" s="270">
        <f>TOTALS!BP115/1000000</f>
        <v>29838.623882</v>
      </c>
      <c r="BT58" s="270">
        <f t="shared" si="58"/>
        <v>424922</v>
      </c>
      <c r="BU58" s="270">
        <f t="shared" si="78"/>
        <v>91637.943763506017</v>
      </c>
      <c r="BV58" s="270">
        <f t="shared" si="59"/>
        <v>311834.47199999995</v>
      </c>
      <c r="BW58" s="280">
        <f t="shared" si="79"/>
        <v>39696.296103000008</v>
      </c>
      <c r="BX58" s="607">
        <f t="shared" si="80"/>
        <v>45923.632725999996</v>
      </c>
      <c r="BY58" s="280">
        <f t="shared" si="81"/>
        <v>201967.51905980005</v>
      </c>
      <c r="BZ58" s="280">
        <f t="shared" si="82"/>
        <v>691059.86365230603</v>
      </c>
      <c r="CA58" s="280"/>
      <c r="CB58" s="270">
        <f>'C0-Ref Stats'!AJ55</f>
        <v>209379.32049233554</v>
      </c>
      <c r="CC58" s="270">
        <f t="shared" si="41"/>
        <v>125627.59229540132</v>
      </c>
      <c r="CD58" s="270">
        <f t="shared" si="42"/>
        <v>41875.864098467107</v>
      </c>
      <c r="CE58" s="270">
        <f t="shared" si="43"/>
        <v>41875.864098467107</v>
      </c>
      <c r="CF58" s="270"/>
      <c r="CG58" s="331">
        <f>ROUND('C12-CorpOwn'!R54,3)</f>
        <v>0.36599999999999999</v>
      </c>
      <c r="CH58" s="331">
        <f>ROUND('C12-CorpOwn'!S54,3)</f>
        <v>0.56399999999999995</v>
      </c>
      <c r="CI58" s="331">
        <f>ROUND('C12-CorpOwn'!T54,3)</f>
        <v>7.0999999999999994E-2</v>
      </c>
      <c r="CJ58" s="270"/>
      <c r="CK58" s="270">
        <v>6251396</v>
      </c>
      <c r="CL58" s="270">
        <v>1077473</v>
      </c>
      <c r="CM58" s="270">
        <v>458104</v>
      </c>
      <c r="CN58" s="270">
        <v>35462</v>
      </c>
      <c r="CO58" s="270">
        <v>937534</v>
      </c>
      <c r="CP58" s="270">
        <v>269444</v>
      </c>
      <c r="CQ58" s="270">
        <v>574630</v>
      </c>
      <c r="CR58" s="270">
        <v>552898</v>
      </c>
      <c r="CS58" s="270">
        <v>563393</v>
      </c>
      <c r="CT58" s="270">
        <v>1026146</v>
      </c>
      <c r="CU58" s="280">
        <v>-58348</v>
      </c>
      <c r="CV58" s="280">
        <v>124876</v>
      </c>
      <c r="CW58" s="280">
        <v>-20630</v>
      </c>
      <c r="CX58" s="280">
        <v>542374</v>
      </c>
      <c r="CY58" s="280">
        <v>450988</v>
      </c>
      <c r="CZ58" s="280">
        <f t="shared" si="60"/>
        <v>91386</v>
      </c>
      <c r="DA58" s="280">
        <v>445175</v>
      </c>
      <c r="DB58" s="280">
        <v>253769</v>
      </c>
      <c r="DC58" s="280">
        <v>119232</v>
      </c>
      <c r="DD58" s="270">
        <v>423902</v>
      </c>
      <c r="DE58" s="270">
        <v>435104</v>
      </c>
      <c r="DF58" s="270">
        <v>20375</v>
      </c>
      <c r="DG58" s="270">
        <v>36433</v>
      </c>
      <c r="DH58" s="270">
        <v>14784</v>
      </c>
      <c r="DI58" s="270">
        <v>13717</v>
      </c>
      <c r="DJ58" s="270">
        <f t="shared" si="61"/>
        <v>81831</v>
      </c>
      <c r="DK58" s="280">
        <v>467826</v>
      </c>
      <c r="DL58" s="270">
        <v>119232</v>
      </c>
      <c r="DM58" s="270">
        <v>69986</v>
      </c>
      <c r="DN58" s="270">
        <v>654679</v>
      </c>
      <c r="DO58" s="270">
        <v>86317</v>
      </c>
      <c r="DP58" s="270">
        <v>11109</v>
      </c>
      <c r="DQ58" s="270">
        <v>73080</v>
      </c>
      <c r="DR58" s="270"/>
      <c r="DS58" s="270">
        <v>109641</v>
      </c>
      <c r="DT58" s="277">
        <v>224060</v>
      </c>
      <c r="DU58" s="270">
        <v>7308</v>
      </c>
      <c r="DV58" s="277"/>
      <c r="DW58" s="270">
        <f>TOTALS!S115/1000000</f>
        <v>340181.80153499998</v>
      </c>
      <c r="DX58" s="280">
        <f>TOTALS!$BC115/1000000</f>
        <v>204567.030486</v>
      </c>
      <c r="DY58" s="280">
        <v>274176</v>
      </c>
      <c r="DZ58" s="270">
        <f t="shared" si="47"/>
        <v>274176</v>
      </c>
      <c r="EA58" s="270"/>
      <c r="EB58" s="272">
        <v>864492</v>
      </c>
      <c r="EC58" s="280">
        <v>47430</v>
      </c>
      <c r="ED58" s="277">
        <v>259505</v>
      </c>
      <c r="EE58" s="280">
        <v>206071</v>
      </c>
      <c r="EF58" s="280"/>
    </row>
    <row r="59" spans="1:136" ht="10.5" customHeight="1" x14ac:dyDescent="0.3">
      <c r="A59" s="268">
        <v>2010</v>
      </c>
      <c r="B59" s="603">
        <f>'C1-Incomes'!EX58</f>
        <v>12739542.267999999</v>
      </c>
      <c r="C59" s="280">
        <f>(TOTALS!E116)/1000000+CC59-BS59</f>
        <v>5862680.6738551529</v>
      </c>
      <c r="D59" s="601" t="s">
        <v>50</v>
      </c>
      <c r="E59" s="270">
        <f t="shared" si="62"/>
        <v>234327.32614484709</v>
      </c>
      <c r="F59" s="598"/>
      <c r="G59" s="270">
        <f t="shared" si="48"/>
        <v>660039</v>
      </c>
      <c r="H59" s="601" t="s">
        <v>50</v>
      </c>
      <c r="I59" s="270">
        <f t="shared" si="13"/>
        <v>469361</v>
      </c>
      <c r="J59" s="270"/>
      <c r="K59" s="270">
        <f>'T-T0'!G59</f>
        <v>33325.605180079066</v>
      </c>
      <c r="L59" s="270">
        <f t="shared" si="63"/>
        <v>12672.394819920934</v>
      </c>
      <c r="M59" s="270"/>
      <c r="N59" s="280">
        <f>'T-T0'!I59</f>
        <v>263612.87514800002</v>
      </c>
      <c r="O59" s="280">
        <f>'T-T0'!J59</f>
        <v>155439.06936699999</v>
      </c>
      <c r="P59" s="280">
        <f t="shared" si="64"/>
        <v>42877.640708384366</v>
      </c>
      <c r="Q59" s="280">
        <f t="shared" si="65"/>
        <v>524765.41477661568</v>
      </c>
      <c r="R59" s="270"/>
      <c r="S59" s="280">
        <f>TOTALS!U116/1000000</f>
        <v>68906.431771999996</v>
      </c>
      <c r="T59" s="270">
        <f t="shared" si="66"/>
        <v>57783.568228000004</v>
      </c>
      <c r="U59" s="270">
        <f t="shared" si="14"/>
        <v>268070</v>
      </c>
      <c r="V59" s="270">
        <f t="shared" si="45"/>
        <v>7995</v>
      </c>
      <c r="W59" s="270"/>
      <c r="X59" s="280">
        <f t="shared" si="49"/>
        <v>95647.592667494144</v>
      </c>
      <c r="Y59" s="280">
        <f>(CP59-AA59)*'C13-CapOwn'!N55</f>
        <v>177201.28663694568</v>
      </c>
      <c r="Z59" s="607">
        <f>(CP59-AA59)*'C13-CapOwn'!O55</f>
        <v>18454.120695560192</v>
      </c>
      <c r="AA59" s="607">
        <f t="shared" si="15"/>
        <v>79268</v>
      </c>
      <c r="AB59" s="270"/>
      <c r="AC59" s="280">
        <f>TOTALS!H116/1000000</f>
        <v>205879.28195999999</v>
      </c>
      <c r="AD59" s="601">
        <f t="shared" si="67"/>
        <v>42115.551562644003</v>
      </c>
      <c r="AE59" s="270">
        <f t="shared" si="50"/>
        <v>22453.166477356004</v>
      </c>
      <c r="AF59" s="270"/>
      <c r="AG59" s="280">
        <f t="shared" si="68"/>
        <v>233757.375333</v>
      </c>
      <c r="AH59" s="280">
        <f t="shared" si="69"/>
        <v>59745.624666999996</v>
      </c>
      <c r="AI59" s="270"/>
      <c r="AJ59" s="270">
        <f>'C10-Adj by Source'!X56</f>
        <v>311769.21599999996</v>
      </c>
      <c r="AK59" s="601">
        <f t="shared" si="51"/>
        <v>444920.65200000006</v>
      </c>
      <c r="AL59" s="607">
        <f t="shared" si="52"/>
        <v>55209.132000000005</v>
      </c>
      <c r="AM59" s="270"/>
      <c r="AN59" s="270">
        <f>TOTALS!BF55/1000000</f>
        <v>75161.664736000006</v>
      </c>
      <c r="AO59" s="601">
        <f t="shared" si="70"/>
        <v>40410.585263999994</v>
      </c>
      <c r="AP59" s="607">
        <f t="shared" si="53"/>
        <v>6082.75</v>
      </c>
      <c r="AQ59" s="280">
        <f>TOTALS!F116/1000000-AU59</f>
        <v>87034.446806399996</v>
      </c>
      <c r="AR59" s="607">
        <f t="shared" si="71"/>
        <v>85289.303193600004</v>
      </c>
      <c r="AS59" s="607">
        <f t="shared" si="54"/>
        <v>14064.25</v>
      </c>
      <c r="AT59" s="280"/>
      <c r="AU59" s="280">
        <f>TOTALS!F116/1000000*0.4</f>
        <v>58022.964537599997</v>
      </c>
      <c r="AV59" s="607">
        <f t="shared" si="72"/>
        <v>117165.43368927998</v>
      </c>
      <c r="AW59" s="607">
        <f t="shared" si="73"/>
        <v>6166.6017731200009</v>
      </c>
      <c r="AX59" s="270"/>
      <c r="AY59" s="270">
        <f>'C10-Adj by Source'!AE56</f>
        <v>228945</v>
      </c>
      <c r="AZ59" s="270">
        <f>'C10-Adj by Source'!AU56</f>
        <v>206097</v>
      </c>
      <c r="BA59" s="607">
        <f t="shared" si="16"/>
        <v>622068</v>
      </c>
      <c r="BB59" s="607"/>
      <c r="BC59" s="280">
        <f t="shared" si="55"/>
        <v>-55861</v>
      </c>
      <c r="BD59" s="280"/>
      <c r="BE59" s="280">
        <f t="shared" si="56"/>
        <v>128464</v>
      </c>
      <c r="BF59" s="280"/>
      <c r="BG59" s="280">
        <f t="shared" si="57"/>
        <v>-22886</v>
      </c>
      <c r="BH59" s="270"/>
      <c r="BI59" s="280">
        <f>TOTALS!AD116/1000000+CE59</f>
        <v>792033.03509638435</v>
      </c>
      <c r="BJ59" s="280">
        <f t="shared" si="74"/>
        <v>-56993.035096384352</v>
      </c>
      <c r="BK59" s="272"/>
      <c r="BL59" s="280">
        <f t="shared" si="75"/>
        <v>0</v>
      </c>
      <c r="BM59" s="863"/>
      <c r="BN59" s="270">
        <v>12739542</v>
      </c>
      <c r="BO59" s="270">
        <f t="shared" si="76"/>
        <v>12739542.267999999</v>
      </c>
      <c r="BP59" s="860">
        <f t="shared" si="77"/>
        <v>0.26799999922513962</v>
      </c>
      <c r="BQ59" s="860"/>
      <c r="BR59" s="270">
        <v>280517</v>
      </c>
      <c r="BS59" s="270">
        <f>TOTALS!BP116/1000000</f>
        <v>30127.24827</v>
      </c>
      <c r="BT59" s="270">
        <f t="shared" si="58"/>
        <v>454523</v>
      </c>
      <c r="BU59" s="270">
        <f t="shared" si="78"/>
        <v>42115.551562644003</v>
      </c>
      <c r="BV59" s="270">
        <f t="shared" si="59"/>
        <v>444920.65200000006</v>
      </c>
      <c r="BW59" s="280">
        <f t="shared" si="79"/>
        <v>40410.585263999994</v>
      </c>
      <c r="BX59" s="607">
        <f t="shared" si="80"/>
        <v>85289.303193600004</v>
      </c>
      <c r="BY59" s="280">
        <f t="shared" si="81"/>
        <v>117165.43368927998</v>
      </c>
      <c r="BZ59" s="280">
        <f t="shared" si="82"/>
        <v>729901.52570952405</v>
      </c>
      <c r="CA59" s="280"/>
      <c r="CB59" s="270">
        <f>'C0-Ref Stats'!AJ56</f>
        <v>214388.2035419218</v>
      </c>
      <c r="CC59" s="270">
        <f t="shared" si="41"/>
        <v>128632.92212515307</v>
      </c>
      <c r="CD59" s="270">
        <f t="shared" si="42"/>
        <v>42877.640708384366</v>
      </c>
      <c r="CE59" s="270">
        <f t="shared" si="43"/>
        <v>42877.640708384366</v>
      </c>
      <c r="CF59" s="270"/>
      <c r="CG59" s="331">
        <f>ROUND('C12-CorpOwn'!R55,3)</f>
        <v>0.38400000000000001</v>
      </c>
      <c r="CH59" s="331">
        <f>ROUND('C12-CorpOwn'!S55,3)</f>
        <v>0.54800000000000004</v>
      </c>
      <c r="CI59" s="331">
        <f>ROUND('C12-CorpOwn'!T55,3)</f>
        <v>6.8000000000000005E-2</v>
      </c>
      <c r="CJ59" s="270"/>
      <c r="CK59" s="270">
        <v>6377525</v>
      </c>
      <c r="CL59" s="270">
        <v>1114562</v>
      </c>
      <c r="CM59" s="270">
        <v>469361</v>
      </c>
      <c r="CN59" s="270">
        <v>45998</v>
      </c>
      <c r="CO59" s="270">
        <v>986695</v>
      </c>
      <c r="CP59" s="270">
        <v>370571</v>
      </c>
      <c r="CQ59" s="270">
        <v>563951</v>
      </c>
      <c r="CR59" s="270">
        <v>811899</v>
      </c>
      <c r="CS59" s="270">
        <v>489398</v>
      </c>
      <c r="CT59" s="270">
        <v>1057110</v>
      </c>
      <c r="CU59" s="280">
        <v>-55861</v>
      </c>
      <c r="CV59" s="280">
        <v>128464</v>
      </c>
      <c r="CW59" s="280">
        <v>-22886</v>
      </c>
      <c r="CX59" s="280">
        <v>572705</v>
      </c>
      <c r="CY59" s="280">
        <v>477808</v>
      </c>
      <c r="CZ59" s="280">
        <f t="shared" si="60"/>
        <v>94897</v>
      </c>
      <c r="DA59" s="280">
        <v>474060</v>
      </c>
      <c r="DB59" s="280">
        <v>281285</v>
      </c>
      <c r="DC59" s="280">
        <v>121655</v>
      </c>
      <c r="DD59" s="270">
        <v>445953</v>
      </c>
      <c r="DE59" s="270">
        <v>435042</v>
      </c>
      <c r="DF59" s="270">
        <v>19475</v>
      </c>
      <c r="DG59" s="270">
        <v>38269</v>
      </c>
      <c r="DH59" s="270">
        <v>14714</v>
      </c>
      <c r="DI59" s="270">
        <v>13953</v>
      </c>
      <c r="DJ59" s="270">
        <f t="shared" si="61"/>
        <v>89704</v>
      </c>
      <c r="DK59" s="280">
        <v>425006</v>
      </c>
      <c r="DL59" s="270">
        <v>121655</v>
      </c>
      <c r="DM59" s="270">
        <v>64267</v>
      </c>
      <c r="DN59" s="270">
        <v>665481</v>
      </c>
      <c r="DO59" s="270">
        <v>88079</v>
      </c>
      <c r="DP59" s="270">
        <v>10524</v>
      </c>
      <c r="DQ59" s="270">
        <v>72113</v>
      </c>
      <c r="DR59" s="270"/>
      <c r="DS59" s="270">
        <v>126690</v>
      </c>
      <c r="DT59" s="277">
        <v>276065</v>
      </c>
      <c r="DU59" s="270">
        <v>7995</v>
      </c>
      <c r="DV59" s="277"/>
      <c r="DW59" s="270">
        <f>TOTALS!S116/1000000</f>
        <v>389196.44469999999</v>
      </c>
      <c r="DX59" s="280">
        <f>TOTALS!$BC116/1000000</f>
        <v>233757.375333</v>
      </c>
      <c r="DY59" s="280">
        <v>293503</v>
      </c>
      <c r="DZ59" s="270">
        <f t="shared" si="47"/>
        <v>293503</v>
      </c>
      <c r="EA59" s="270"/>
      <c r="EB59" s="272">
        <v>941622</v>
      </c>
      <c r="EC59" s="280">
        <v>79268</v>
      </c>
      <c r="ED59" s="277">
        <v>267149</v>
      </c>
      <c r="EE59" s="280">
        <v>206097</v>
      </c>
      <c r="EF59" s="280"/>
    </row>
    <row r="60" spans="1:136" ht="10.5" customHeight="1" x14ac:dyDescent="0.3">
      <c r="A60" s="268">
        <f>A59+1</f>
        <v>2011</v>
      </c>
      <c r="B60" s="603">
        <f>'C1-Incomes'!EX59</f>
        <v>13352255.159</v>
      </c>
      <c r="C60" s="280">
        <f>(TOTALS!E117)/1000000+CC60-BS60</f>
        <v>6079980.5363855772</v>
      </c>
      <c r="D60" s="601" t="s">
        <v>50</v>
      </c>
      <c r="E60" s="270">
        <f t="shared" si="62"/>
        <v>258023.46361442283</v>
      </c>
      <c r="F60" s="598"/>
      <c r="G60" s="270">
        <f t="shared" si="48"/>
        <v>687210</v>
      </c>
      <c r="H60" s="601" t="s">
        <v>50</v>
      </c>
      <c r="I60" s="270">
        <f t="shared" si="13"/>
        <v>493886</v>
      </c>
      <c r="J60" s="270"/>
      <c r="K60" s="270">
        <f>'T-T0'!G60</f>
        <v>37660.347397370773</v>
      </c>
      <c r="L60" s="270">
        <f t="shared" si="63"/>
        <v>37881.652602629227</v>
      </c>
      <c r="M60" s="270"/>
      <c r="N60" s="280">
        <f>'T-T0'!I60</f>
        <v>279097.87580699997</v>
      </c>
      <c r="O60" s="280">
        <f>'T-T0'!J60</f>
        <v>168089.24573699996</v>
      </c>
      <c r="P60" s="280">
        <f t="shared" si="64"/>
        <v>44274.846362526063</v>
      </c>
      <c r="Q60" s="280">
        <f t="shared" si="65"/>
        <v>576663.03209347394</v>
      </c>
      <c r="R60" s="270"/>
      <c r="S60" s="280">
        <f>TOTALS!U117/1000000</f>
        <v>80013.975732000006</v>
      </c>
      <c r="T60" s="270">
        <f t="shared" si="66"/>
        <v>69074.024267999994</v>
      </c>
      <c r="U60" s="270">
        <f t="shared" si="14"/>
        <v>326959</v>
      </c>
      <c r="V60" s="270">
        <f t="shared" si="45"/>
        <v>9248</v>
      </c>
      <c r="W60" s="280"/>
      <c r="X60" s="280">
        <f t="shared" si="49"/>
        <v>93139.944326266617</v>
      </c>
      <c r="Y60" s="280">
        <f>(CP60-AA60)*'C13-CapOwn'!N56</f>
        <v>192195.18621603458</v>
      </c>
      <c r="Z60" s="607">
        <f>(CP60-AA60)*'C13-CapOwn'!O56</f>
        <v>18335.869457698809</v>
      </c>
      <c r="AA60" s="607">
        <f t="shared" si="15"/>
        <v>75424</v>
      </c>
      <c r="AB60" s="270"/>
      <c r="AC60" s="280">
        <f>TOTALS!H117/1000000</f>
        <v>218190.647922</v>
      </c>
      <c r="AD60" s="601">
        <f t="shared" si="67"/>
        <v>128696.24364594999</v>
      </c>
      <c r="AE60" s="270">
        <f t="shared" si="50"/>
        <v>31513.108432050001</v>
      </c>
      <c r="AF60" s="270"/>
      <c r="AG60" s="280">
        <f t="shared" si="68"/>
        <v>253486.73668500001</v>
      </c>
      <c r="AH60" s="280">
        <f t="shared" si="69"/>
        <v>71787.263314999989</v>
      </c>
      <c r="AI60" s="270"/>
      <c r="AJ60" s="270">
        <f>'C10-Adj by Source'!X57</f>
        <v>272995.92</v>
      </c>
      <c r="AK60" s="601">
        <f t="shared" si="51"/>
        <v>409493.88000000006</v>
      </c>
      <c r="AL60" s="607">
        <f t="shared" si="52"/>
        <v>51370.200000000004</v>
      </c>
      <c r="AM60" s="270"/>
      <c r="AN60" s="270">
        <f>TOTALS!BF56/1000000</f>
        <v>72995.369667000006</v>
      </c>
      <c r="AO60" s="601">
        <f t="shared" si="70"/>
        <v>44309.680332999997</v>
      </c>
      <c r="AP60" s="607">
        <f t="shared" si="53"/>
        <v>6173.9500000000007</v>
      </c>
      <c r="AQ60" s="280">
        <f>TOTALS!F117/1000000-AU60</f>
        <v>75589.060083000004</v>
      </c>
      <c r="AR60" s="607">
        <f t="shared" si="71"/>
        <v>134585.339917</v>
      </c>
      <c r="AS60" s="607">
        <f t="shared" si="54"/>
        <v>16326.6</v>
      </c>
      <c r="AT60" s="280"/>
      <c r="AU60" s="280">
        <f>TOTALS!F117/1000000*0.4</f>
        <v>50392.706722000003</v>
      </c>
      <c r="AV60" s="607">
        <f t="shared" si="72"/>
        <v>83303.878614099915</v>
      </c>
      <c r="AW60" s="607">
        <f t="shared" si="73"/>
        <v>4384.4146638999982</v>
      </c>
      <c r="AX60" s="270"/>
      <c r="AY60" s="270">
        <f>'C10-Adj by Source'!AE57</f>
        <v>231098</v>
      </c>
      <c r="AZ60" s="270">
        <f>'C10-Adj by Source'!AU57</f>
        <v>208080</v>
      </c>
      <c r="BA60" s="607">
        <f t="shared" si="16"/>
        <v>663448</v>
      </c>
      <c r="BB60" s="607"/>
      <c r="BC60" s="280">
        <f t="shared" si="55"/>
        <v>-60065</v>
      </c>
      <c r="BD60" s="280"/>
      <c r="BE60" s="280">
        <f t="shared" si="56"/>
        <v>131524</v>
      </c>
      <c r="BF60" s="280"/>
      <c r="BG60" s="280">
        <f t="shared" si="57"/>
        <v>-24512</v>
      </c>
      <c r="BH60" s="270"/>
      <c r="BI60" s="280">
        <f>TOTALS!AD117/1000000+CE60</f>
        <v>837723.23169952608</v>
      </c>
      <c r="BJ60" s="280">
        <f t="shared" si="74"/>
        <v>-87793.231699526077</v>
      </c>
      <c r="BK60" s="272"/>
      <c r="BL60" s="280">
        <f t="shared" si="75"/>
        <v>0</v>
      </c>
      <c r="BM60" s="863"/>
      <c r="BN60" s="270">
        <v>13352255</v>
      </c>
      <c r="BO60" s="270">
        <f t="shared" si="76"/>
        <v>13352255.159</v>
      </c>
      <c r="BP60" s="860">
        <f t="shared" si="77"/>
        <v>0.15899999998509884</v>
      </c>
      <c r="BQ60" s="860"/>
      <c r="BR60" s="270">
        <v>295155</v>
      </c>
      <c r="BS60" s="270">
        <f>TOTALS!BP117/1000000</f>
        <v>30275.802702000001</v>
      </c>
      <c r="BT60" s="270">
        <f t="shared" si="58"/>
        <v>454775</v>
      </c>
      <c r="BU60" s="270">
        <f t="shared" si="78"/>
        <v>128696.24364594999</v>
      </c>
      <c r="BV60" s="270">
        <f t="shared" si="59"/>
        <v>409493.88000000006</v>
      </c>
      <c r="BW60" s="280">
        <f t="shared" si="79"/>
        <v>44309.680332999997</v>
      </c>
      <c r="BX60" s="607">
        <f t="shared" si="80"/>
        <v>134585.339917</v>
      </c>
      <c r="BY60" s="280">
        <f t="shared" si="81"/>
        <v>83303.878614099915</v>
      </c>
      <c r="BZ60" s="280">
        <f t="shared" si="82"/>
        <v>800389.0225100501</v>
      </c>
      <c r="CA60" s="280"/>
      <c r="CB60" s="270">
        <f>'C0-Ref Stats'!AJ57</f>
        <v>221374.23181263031</v>
      </c>
      <c r="CC60" s="270">
        <f t="shared" si="41"/>
        <v>132824.53908757819</v>
      </c>
      <c r="CD60" s="270">
        <f t="shared" si="42"/>
        <v>44274.846362526063</v>
      </c>
      <c r="CE60" s="270">
        <f t="shared" si="43"/>
        <v>44274.846362526063</v>
      </c>
      <c r="CF60" s="270"/>
      <c r="CG60" s="331">
        <f>ROUND('C12-CorpOwn'!R56,3)</f>
        <v>0.371</v>
      </c>
      <c r="CH60" s="331">
        <f>ROUND('C12-CorpOwn'!S56,3)</f>
        <v>0.55800000000000005</v>
      </c>
      <c r="CI60" s="331">
        <f>ROUND('C12-CorpOwn'!T56,3)</f>
        <v>7.0000000000000007E-2</v>
      </c>
      <c r="CJ60" s="270"/>
      <c r="CK60" s="270">
        <v>6633159</v>
      </c>
      <c r="CL60" s="270">
        <v>1141985</v>
      </c>
      <c r="CM60" s="270">
        <v>493886</v>
      </c>
      <c r="CN60" s="270">
        <v>75542</v>
      </c>
      <c r="CO60" s="270">
        <v>1068125</v>
      </c>
      <c r="CP60" s="270">
        <v>379095</v>
      </c>
      <c r="CQ60" s="270">
        <v>703674</v>
      </c>
      <c r="CR60" s="270">
        <v>733860</v>
      </c>
      <c r="CS60" s="270">
        <v>488061</v>
      </c>
      <c r="CT60" s="270">
        <v>1102626</v>
      </c>
      <c r="CU60" s="280">
        <v>-60065</v>
      </c>
      <c r="CV60" s="280">
        <v>131524</v>
      </c>
      <c r="CW60" s="280">
        <v>-24512</v>
      </c>
      <c r="CX60" s="280">
        <v>616374</v>
      </c>
      <c r="CY60" s="280">
        <v>516343</v>
      </c>
      <c r="CZ60" s="280">
        <f t="shared" si="60"/>
        <v>100031</v>
      </c>
      <c r="DA60" s="280">
        <v>523855</v>
      </c>
      <c r="DB60" s="280">
        <v>326532</v>
      </c>
      <c r="DC60" s="280">
        <v>123479</v>
      </c>
      <c r="DD60" s="270">
        <v>466704</v>
      </c>
      <c r="DE60" s="270">
        <v>439178</v>
      </c>
      <c r="DF60" s="270">
        <v>18347</v>
      </c>
      <c r="DG60" s="270">
        <v>39857</v>
      </c>
      <c r="DH60" s="270">
        <v>14685</v>
      </c>
      <c r="DI60" s="270">
        <v>13976</v>
      </c>
      <c r="DJ60" s="270">
        <f t="shared" si="61"/>
        <v>109879</v>
      </c>
      <c r="DK60" s="280">
        <v>389636</v>
      </c>
      <c r="DL60" s="270">
        <v>123479</v>
      </c>
      <c r="DM60" s="270">
        <v>59568</v>
      </c>
      <c r="DN60" s="270">
        <v>692567</v>
      </c>
      <c r="DO60" s="270">
        <v>91732</v>
      </c>
      <c r="DP60" s="270">
        <v>11267</v>
      </c>
      <c r="DQ60" s="270">
        <v>75108</v>
      </c>
      <c r="DR60" s="270"/>
      <c r="DS60" s="270">
        <v>149088</v>
      </c>
      <c r="DT60" s="277">
        <v>336207</v>
      </c>
      <c r="DU60" s="280">
        <v>9248</v>
      </c>
      <c r="DV60" s="277"/>
      <c r="DW60" s="270">
        <f>TOTALS!S117/1000000</f>
        <v>421575.98242199997</v>
      </c>
      <c r="DX60" s="280">
        <f>TOTALS!$BC117/1000000</f>
        <v>253486.73668500001</v>
      </c>
      <c r="DY60" s="280">
        <v>325274</v>
      </c>
      <c r="DZ60" s="270">
        <f t="shared" si="47"/>
        <v>325274</v>
      </c>
      <c r="EA60" s="280"/>
      <c r="EB60" s="272">
        <v>1129098</v>
      </c>
      <c r="EC60" s="280">
        <v>75424</v>
      </c>
      <c r="ED60" s="277">
        <v>292874</v>
      </c>
      <c r="EE60" s="280">
        <v>208080</v>
      </c>
      <c r="EF60" s="280"/>
    </row>
    <row r="61" spans="1:136" ht="10.5" customHeight="1" x14ac:dyDescent="0.3">
      <c r="A61" s="268">
        <f>A60+1</f>
        <v>2012</v>
      </c>
      <c r="B61" s="603">
        <f>'C1-Incomes'!EX60</f>
        <v>14061877.435000001</v>
      </c>
      <c r="C61" s="280">
        <f>(TOTALS!E118)/1000000+CC61-BS61</f>
        <v>6340644.8716535345</v>
      </c>
      <c r="D61" s="601" t="s">
        <v>50</v>
      </c>
      <c r="E61" s="270">
        <f t="shared" si="62"/>
        <v>277695.12834646553</v>
      </c>
      <c r="F61" s="598"/>
      <c r="G61" s="270">
        <f t="shared" si="48"/>
        <v>705564</v>
      </c>
      <c r="H61" s="601" t="s">
        <v>50</v>
      </c>
      <c r="I61" s="270">
        <f t="shared" si="13"/>
        <v>514333</v>
      </c>
      <c r="J61" s="270"/>
      <c r="K61" s="270">
        <f>'T-T0'!G61</f>
        <v>37368.932896776962</v>
      </c>
      <c r="L61" s="280">
        <f t="shared" si="63"/>
        <v>24194.067103223038</v>
      </c>
      <c r="M61" s="270"/>
      <c r="N61" s="280">
        <f>'T-T0'!I61</f>
        <v>299858.50620499998</v>
      </c>
      <c r="O61" s="280">
        <f>'T-T0'!J61</f>
        <v>210384.72879200004</v>
      </c>
      <c r="P61" s="280">
        <f t="shared" si="64"/>
        <v>52122.871780844653</v>
      </c>
      <c r="Q61" s="280">
        <f t="shared" si="65"/>
        <v>617442.89322215528</v>
      </c>
      <c r="R61" s="270"/>
      <c r="S61" s="280">
        <f>TOTALS!U118/1000000</f>
        <v>104890.49926900001</v>
      </c>
      <c r="T61" s="280">
        <f t="shared" si="66"/>
        <v>55413.500730999993</v>
      </c>
      <c r="U61" s="270">
        <f t="shared" si="14"/>
        <v>355385</v>
      </c>
      <c r="V61" s="270">
        <f t="shared" si="45"/>
        <v>9635</v>
      </c>
      <c r="W61" s="280"/>
      <c r="X61" s="280">
        <f t="shared" si="49"/>
        <v>112458.46248891205</v>
      </c>
      <c r="Y61" s="280">
        <f>(CP61-AA61)*'C13-CapOwn'!N57</f>
        <v>225867.20671784377</v>
      </c>
      <c r="Z61" s="607">
        <f>(CP61-AA61)*'C13-CapOwn'!O57</f>
        <v>20879.330793244171</v>
      </c>
      <c r="AA61" s="607">
        <f t="shared" si="15"/>
        <v>88418</v>
      </c>
      <c r="AB61" s="270"/>
      <c r="AC61" s="280">
        <f>TOTALS!H118/1000000</f>
        <v>294188.29065699998</v>
      </c>
      <c r="AD61" s="601">
        <f t="shared" si="67"/>
        <v>150285.93104102396</v>
      </c>
      <c r="AE61" s="270">
        <f t="shared" si="50"/>
        <v>37209.778301976003</v>
      </c>
      <c r="AF61" s="270"/>
      <c r="AG61" s="280">
        <f t="shared" si="68"/>
        <v>320106.85069599998</v>
      </c>
      <c r="AH61" s="280">
        <f t="shared" si="69"/>
        <v>57588.14930400002</v>
      </c>
      <c r="AI61" s="270"/>
      <c r="AJ61" s="270">
        <f>'C10-Adj by Source'!X58</f>
        <v>270244.34199999995</v>
      </c>
      <c r="AK61" s="601">
        <f t="shared" si="51"/>
        <v>373227.48000000004</v>
      </c>
      <c r="AL61" s="607">
        <f t="shared" si="52"/>
        <v>47690.178000000007</v>
      </c>
      <c r="AM61" s="280"/>
      <c r="AN61" s="270">
        <f>TOTALS!BF57/1000000</f>
        <v>71065.280039999998</v>
      </c>
      <c r="AO61" s="601">
        <f t="shared" si="70"/>
        <v>43178.869960000004</v>
      </c>
      <c r="AP61" s="607">
        <f t="shared" si="53"/>
        <v>6012.85</v>
      </c>
      <c r="AQ61" s="280">
        <f>TOTALS!F118/1000000-AU61</f>
        <v>71099.878345200006</v>
      </c>
      <c r="AR61" s="607">
        <f t="shared" si="71"/>
        <v>132194.12165479999</v>
      </c>
      <c r="AS61" s="607">
        <f t="shared" si="54"/>
        <v>15895</v>
      </c>
      <c r="AT61" s="280"/>
      <c r="AU61" s="280">
        <f>TOTALS!F118/1000000*0.4</f>
        <v>47399.918896800002</v>
      </c>
      <c r="AV61" s="607">
        <f t="shared" si="72"/>
        <v>133839.8770480401</v>
      </c>
      <c r="AW61" s="607">
        <f t="shared" si="73"/>
        <v>7044.2040551599994</v>
      </c>
      <c r="AX61" s="270"/>
      <c r="AY61" s="270">
        <f>'C10-Adj by Source'!AE58</f>
        <v>232625</v>
      </c>
      <c r="AZ61" s="270">
        <f>'C10-Adj by Source'!AU58</f>
        <v>209573</v>
      </c>
      <c r="BA61" s="607">
        <f t="shared" si="16"/>
        <v>689856</v>
      </c>
      <c r="BB61" s="607"/>
      <c r="BC61" s="280">
        <f t="shared" si="55"/>
        <v>-58035</v>
      </c>
      <c r="BD61" s="280"/>
      <c r="BE61" s="280">
        <f t="shared" si="56"/>
        <v>104659</v>
      </c>
      <c r="BF61" s="280"/>
      <c r="BG61" s="280">
        <f t="shared" si="57"/>
        <v>-19288</v>
      </c>
      <c r="BH61" s="270"/>
      <c r="BI61" s="280">
        <f>TOTALS!AD118/1000000+CE61</f>
        <v>890210.26686784462</v>
      </c>
      <c r="BJ61" s="280">
        <f t="shared" si="74"/>
        <v>-118550.26686784462</v>
      </c>
      <c r="BK61" s="272"/>
      <c r="BL61" s="280">
        <f t="shared" si="75"/>
        <v>0.99999999813735485</v>
      </c>
      <c r="BM61" s="863"/>
      <c r="BN61" s="270">
        <v>14061878</v>
      </c>
      <c r="BO61" s="270">
        <f t="shared" si="76"/>
        <v>14061877.435000001</v>
      </c>
      <c r="BP61" s="860">
        <f t="shared" si="77"/>
        <v>-0.56499999947845936</v>
      </c>
      <c r="BQ61" s="860"/>
      <c r="BR61" s="270">
        <v>311925</v>
      </c>
      <c r="BS61" s="270">
        <f>TOTALS!BP118/1000000</f>
        <v>32396.743688999999</v>
      </c>
      <c r="BT61" s="270">
        <f t="shared" si="58"/>
        <v>459735</v>
      </c>
      <c r="BU61" s="270">
        <f t="shared" si="78"/>
        <v>150285.93104102396</v>
      </c>
      <c r="BV61" s="270">
        <f t="shared" si="59"/>
        <v>373227.48000000004</v>
      </c>
      <c r="BW61" s="280">
        <f t="shared" si="79"/>
        <v>43178.869960000004</v>
      </c>
      <c r="BX61" s="607">
        <f t="shared" si="80"/>
        <v>132194.12165479999</v>
      </c>
      <c r="BY61" s="280">
        <f t="shared" si="81"/>
        <v>133839.8770480401</v>
      </c>
      <c r="BZ61" s="280">
        <f t="shared" si="82"/>
        <v>832726.27970386413</v>
      </c>
      <c r="CA61" s="280"/>
      <c r="CB61" s="270">
        <f>'C0-Ref Stats'!AJ58</f>
        <v>260614.35890422325</v>
      </c>
      <c r="CC61" s="270">
        <f t="shared" si="41"/>
        <v>156368.61534253394</v>
      </c>
      <c r="CD61" s="270">
        <f t="shared" si="42"/>
        <v>52122.871780844653</v>
      </c>
      <c r="CE61" s="270">
        <f t="shared" si="43"/>
        <v>52122.871780844653</v>
      </c>
      <c r="CF61" s="270"/>
      <c r="CG61" s="331">
        <f>ROUND('C12-CorpOwn'!R57,3)</f>
        <v>0.39100000000000001</v>
      </c>
      <c r="CH61" s="331">
        <f>ROUND('C12-CorpOwn'!S57,3)</f>
        <v>0.54</v>
      </c>
      <c r="CI61" s="331">
        <f>ROUND('C12-CorpOwn'!T57,3)</f>
        <v>6.9000000000000006E-2</v>
      </c>
      <c r="CJ61" s="270"/>
      <c r="CK61" s="270">
        <v>6930265</v>
      </c>
      <c r="CL61" s="270">
        <v>1165299</v>
      </c>
      <c r="CM61" s="270">
        <v>514333</v>
      </c>
      <c r="CN61" s="270">
        <v>61563</v>
      </c>
      <c r="CO61" s="270">
        <v>1179809</v>
      </c>
      <c r="CP61" s="270">
        <v>447623</v>
      </c>
      <c r="CQ61" s="270">
        <v>859379</v>
      </c>
      <c r="CR61" s="270">
        <v>691162</v>
      </c>
      <c r="CS61" s="270">
        <v>527730</v>
      </c>
      <c r="CT61" s="270">
        <v>1132054</v>
      </c>
      <c r="CU61" s="280">
        <v>-58035</v>
      </c>
      <c r="CV61" s="280">
        <v>104659</v>
      </c>
      <c r="CW61" s="280">
        <v>-19288</v>
      </c>
      <c r="CX61" s="280">
        <v>624029</v>
      </c>
      <c r="CY61" s="280">
        <v>525318</v>
      </c>
      <c r="CZ61" s="280">
        <f t="shared" si="60"/>
        <v>98711</v>
      </c>
      <c r="DA61" s="280">
        <v>542966</v>
      </c>
      <c r="DB61" s="280">
        <v>317900</v>
      </c>
      <c r="DC61" s="280">
        <v>120257</v>
      </c>
      <c r="DD61" s="270">
        <v>482763</v>
      </c>
      <c r="DE61" s="270">
        <v>442198</v>
      </c>
      <c r="DF61" s="270">
        <v>24888</v>
      </c>
      <c r="DG61" s="270">
        <v>40242</v>
      </c>
      <c r="DH61" s="270">
        <v>14630</v>
      </c>
      <c r="DI61" s="270">
        <v>13882</v>
      </c>
      <c r="DJ61" s="270">
        <f t="shared" si="61"/>
        <v>113451</v>
      </c>
      <c r="DK61" s="280">
        <v>362745</v>
      </c>
      <c r="DL61" s="270">
        <v>120257</v>
      </c>
      <c r="DM61" s="270">
        <v>54551</v>
      </c>
      <c r="DN61" s="270">
        <v>709078</v>
      </c>
      <c r="DO61" s="270">
        <v>95790</v>
      </c>
      <c r="DP61" s="270">
        <v>12452</v>
      </c>
      <c r="DQ61" s="270">
        <v>79824</v>
      </c>
      <c r="DR61" s="270"/>
      <c r="DS61" s="270">
        <v>160304</v>
      </c>
      <c r="DT61" s="277">
        <v>365020</v>
      </c>
      <c r="DU61" s="280">
        <v>9635</v>
      </c>
      <c r="DV61" s="277"/>
      <c r="DW61" s="270">
        <f>TOTALS!S118/1000000</f>
        <v>530491.57948800002</v>
      </c>
      <c r="DX61" s="280">
        <f>TOTALS!$BC118/1000000</f>
        <v>320106.85069599998</v>
      </c>
      <c r="DY61" s="280">
        <v>377695</v>
      </c>
      <c r="DZ61" s="270">
        <f t="shared" si="47"/>
        <v>377695</v>
      </c>
      <c r="EA61" s="280"/>
      <c r="EB61" s="272">
        <v>1164736</v>
      </c>
      <c r="EC61" s="280">
        <v>88418</v>
      </c>
      <c r="ED61" s="277">
        <v>314281</v>
      </c>
      <c r="EE61" s="280">
        <v>209573</v>
      </c>
      <c r="EF61" s="280"/>
    </row>
    <row r="62" spans="1:136" s="610" customFormat="1" ht="10.5" customHeight="1" x14ac:dyDescent="0.25">
      <c r="A62" s="268">
        <f>A61+1</f>
        <v>2013</v>
      </c>
      <c r="B62" s="603">
        <f>'C1-Incomes'!EX61</f>
        <v>14444822.515000001</v>
      </c>
      <c r="C62" s="280">
        <f>(TOTALS!E119)/1000000+CC62-BS62</f>
        <v>6513938.157519375</v>
      </c>
      <c r="D62" s="607" t="s">
        <v>50</v>
      </c>
      <c r="E62" s="270">
        <f t="shared" si="62"/>
        <v>272389.84248062503</v>
      </c>
      <c r="F62" s="598"/>
      <c r="G62" s="270">
        <f t="shared" si="48"/>
        <v>731499</v>
      </c>
      <c r="H62" s="607" t="s">
        <v>50</v>
      </c>
      <c r="I62" s="270">
        <f t="shared" si="13"/>
        <v>526761</v>
      </c>
      <c r="J62" s="270"/>
      <c r="K62" s="270">
        <f>'T-T0'!G62</f>
        <v>28965.88642037403</v>
      </c>
      <c r="L62" s="280">
        <f t="shared" si="63"/>
        <v>58801.11357962597</v>
      </c>
      <c r="M62" s="280"/>
      <c r="N62" s="280">
        <f>'T-T0'!I62</f>
        <v>298097.577995</v>
      </c>
      <c r="O62" s="280">
        <f>'T-T0'!J62</f>
        <v>202500.58571000001</v>
      </c>
      <c r="P62" s="280">
        <f t="shared" si="64"/>
        <v>52668.187766124996</v>
      </c>
      <c r="Q62" s="280">
        <f t="shared" si="65"/>
        <v>643708.64852887508</v>
      </c>
      <c r="R62" s="280"/>
      <c r="S62" s="280">
        <f>TOTALS!U119/1000000</f>
        <v>111127.118646</v>
      </c>
      <c r="T62" s="280">
        <f t="shared" si="66"/>
        <v>53964.881353999997</v>
      </c>
      <c r="U62" s="270">
        <f t="shared" si="14"/>
        <v>392384</v>
      </c>
      <c r="V62" s="270">
        <f t="shared" si="45"/>
        <v>9574</v>
      </c>
      <c r="W62" s="280"/>
      <c r="X62" s="280">
        <f t="shared" si="49"/>
        <v>129271.7869128811</v>
      </c>
      <c r="Y62" s="280">
        <f>(CP62-AA62)*'C13-CapOwn'!N58</f>
        <v>236315.7037538958</v>
      </c>
      <c r="Z62" s="607">
        <f>(CP62-AA62)*'C13-CapOwn'!O58</f>
        <v>22470.509333223097</v>
      </c>
      <c r="AA62" s="607">
        <f t="shared" si="15"/>
        <v>79633</v>
      </c>
      <c r="AB62" s="280"/>
      <c r="AC62" s="280">
        <f>TOTALS!H119/1000000</f>
        <v>243970.70900199999</v>
      </c>
      <c r="AD62" s="601">
        <f t="shared" si="67"/>
        <v>275758.93779144</v>
      </c>
      <c r="AE62" s="280">
        <f t="shared" si="50"/>
        <v>41134.353206560001</v>
      </c>
      <c r="AF62" s="280"/>
      <c r="AG62" s="280">
        <f t="shared" si="68"/>
        <v>324440.04108</v>
      </c>
      <c r="AH62" s="280">
        <f t="shared" si="69"/>
        <v>44052.958920000005</v>
      </c>
      <c r="AI62" s="280"/>
      <c r="AJ62" s="270">
        <f>'C10-Adj by Source'!X59</f>
        <v>263224.51199999999</v>
      </c>
      <c r="AK62" s="601">
        <f t="shared" si="51"/>
        <v>329348.54399999999</v>
      </c>
      <c r="AL62" s="607">
        <f t="shared" si="52"/>
        <v>43234.944000000003</v>
      </c>
      <c r="AM62" s="280"/>
      <c r="AN62" s="270">
        <f>TOTALS!BF58/1000000</f>
        <v>68092.020711999998</v>
      </c>
      <c r="AO62" s="601">
        <f t="shared" si="70"/>
        <v>45549.829288000001</v>
      </c>
      <c r="AP62" s="607">
        <f t="shared" si="53"/>
        <v>5981.1500000000005</v>
      </c>
      <c r="AQ62" s="280">
        <f>TOTALS!F119/1000000-AU62</f>
        <v>64362.326995800002</v>
      </c>
      <c r="AR62" s="607">
        <f t="shared" si="71"/>
        <v>116532.37300419998</v>
      </c>
      <c r="AS62" s="607">
        <f t="shared" si="54"/>
        <v>14736.300000000001</v>
      </c>
      <c r="AT62" s="280"/>
      <c r="AU62" s="280">
        <f>TOTALS!F119/1000000*0.4</f>
        <v>42908.217997200001</v>
      </c>
      <c r="AV62" s="607">
        <f t="shared" si="72"/>
        <v>139152.94290265994</v>
      </c>
      <c r="AW62" s="607">
        <f t="shared" si="73"/>
        <v>7323.8391001400014</v>
      </c>
      <c r="AX62" s="280"/>
      <c r="AY62" s="270">
        <f>'C10-Adj by Source'!AE59</f>
        <v>236330</v>
      </c>
      <c r="AZ62" s="270">
        <f>'C10-Adj by Source'!AU59</f>
        <v>212436</v>
      </c>
      <c r="BA62" s="607">
        <f t="shared" si="16"/>
        <v>726145</v>
      </c>
      <c r="BB62" s="607"/>
      <c r="BC62" s="280">
        <f t="shared" si="55"/>
        <v>-59269</v>
      </c>
      <c r="BD62" s="280"/>
      <c r="BE62" s="280">
        <f t="shared" si="56"/>
        <v>118390</v>
      </c>
      <c r="BF62" s="280"/>
      <c r="BG62" s="280">
        <f t="shared" si="57"/>
        <v>-20944</v>
      </c>
      <c r="BH62" s="280"/>
      <c r="BI62" s="280">
        <f>TOTALS!AD119/1000000+CE62</f>
        <v>899957.159656125</v>
      </c>
      <c r="BJ62" s="280">
        <f t="shared" si="74"/>
        <v>-102098.159656125</v>
      </c>
      <c r="BK62" s="277"/>
      <c r="BL62" s="280">
        <f t="shared" si="75"/>
        <v>0.99999999813735485</v>
      </c>
      <c r="BM62" s="863"/>
      <c r="BN62" s="280">
        <v>14444823</v>
      </c>
      <c r="BO62" s="270">
        <f t="shared" si="76"/>
        <v>14444822.515000001</v>
      </c>
      <c r="BP62" s="860">
        <f t="shared" si="77"/>
        <v>-0.48499999940395355</v>
      </c>
      <c r="BQ62" s="860"/>
      <c r="BR62" s="280">
        <v>330356</v>
      </c>
      <c r="BS62" s="270">
        <f>TOTALS!BP119/1000000</f>
        <v>35180.905779000001</v>
      </c>
      <c r="BT62" s="270">
        <f t="shared" si="58"/>
        <v>467503</v>
      </c>
      <c r="BU62" s="270">
        <f t="shared" si="78"/>
        <v>275758.93779144</v>
      </c>
      <c r="BV62" s="280">
        <f t="shared" si="59"/>
        <v>329348.54399999999</v>
      </c>
      <c r="BW62" s="280">
        <f t="shared" si="79"/>
        <v>45549.829288000001</v>
      </c>
      <c r="BX62" s="607">
        <f t="shared" si="80"/>
        <v>116532.37300419998</v>
      </c>
      <c r="BY62" s="280">
        <f t="shared" si="81"/>
        <v>139152.94290265994</v>
      </c>
      <c r="BZ62" s="280">
        <f t="shared" si="82"/>
        <v>906342.62698629987</v>
      </c>
      <c r="CA62" s="280"/>
      <c r="CB62" s="280">
        <f>'C0-Ref Stats'!AJ59</f>
        <v>263340.93883062503</v>
      </c>
      <c r="CC62" s="270">
        <f t="shared" si="41"/>
        <v>158004.56329837503</v>
      </c>
      <c r="CD62" s="270">
        <f t="shared" si="42"/>
        <v>52668.187766124996</v>
      </c>
      <c r="CE62" s="270">
        <f t="shared" si="43"/>
        <v>52668.187766125011</v>
      </c>
      <c r="CF62" s="280"/>
      <c r="CG62" s="331">
        <f>ROUND('C12-CorpOwn'!R58,3)</f>
        <v>0.41399999999999998</v>
      </c>
      <c r="CH62" s="331">
        <f>ROUND('C12-CorpOwn'!S58,3)</f>
        <v>0.51800000000000002</v>
      </c>
      <c r="CI62" s="331">
        <f>ROUND('C12-CorpOwn'!T58,3)</f>
        <v>6.8000000000000005E-2</v>
      </c>
      <c r="CJ62" s="280"/>
      <c r="CK62" s="280">
        <v>7116684</v>
      </c>
      <c r="CL62" s="280">
        <v>1199002</v>
      </c>
      <c r="CM62" s="280">
        <v>526761</v>
      </c>
      <c r="CN62" s="280">
        <v>87767</v>
      </c>
      <c r="CO62" s="280">
        <v>1196975</v>
      </c>
      <c r="CP62" s="280">
        <v>467691</v>
      </c>
      <c r="CQ62" s="280">
        <v>929357</v>
      </c>
      <c r="CR62" s="280">
        <v>635808</v>
      </c>
      <c r="CS62" s="280">
        <v>504639</v>
      </c>
      <c r="CT62" s="280">
        <v>1174911</v>
      </c>
      <c r="CU62" s="280">
        <v>-59269</v>
      </c>
      <c r="CV62" s="280">
        <v>118390</v>
      </c>
      <c r="CW62" s="280">
        <v>-20944</v>
      </c>
      <c r="CX62" s="280">
        <v>616932</v>
      </c>
      <c r="CY62" s="280">
        <v>517837</v>
      </c>
      <c r="CZ62" s="280">
        <f t="shared" si="60"/>
        <v>99095</v>
      </c>
      <c r="DA62" s="280">
        <v>535225</v>
      </c>
      <c r="DB62" s="280">
        <v>294726</v>
      </c>
      <c r="DC62" s="280">
        <v>119623</v>
      </c>
      <c r="DD62" s="280">
        <v>505137</v>
      </c>
      <c r="DE62" s="280">
        <v>448766</v>
      </c>
      <c r="DF62" s="280">
        <v>24418</v>
      </c>
      <c r="DG62" s="280">
        <v>40738</v>
      </c>
      <c r="DH62" s="280">
        <v>14377</v>
      </c>
      <c r="DI62" s="280">
        <v>13854</v>
      </c>
      <c r="DJ62" s="270">
        <f t="shared" si="61"/>
        <v>127621</v>
      </c>
      <c r="DK62" s="280">
        <v>333755</v>
      </c>
      <c r="DL62" s="280">
        <v>119623</v>
      </c>
      <c r="DM62" s="280">
        <v>53974</v>
      </c>
      <c r="DN62" s="280">
        <v>735132</v>
      </c>
      <c r="DO62" s="280">
        <v>98140</v>
      </c>
      <c r="DP62" s="280">
        <v>11562</v>
      </c>
      <c r="DQ62" s="280">
        <v>82945</v>
      </c>
      <c r="DR62" s="280"/>
      <c r="DS62" s="280">
        <v>165092</v>
      </c>
      <c r="DT62" s="277">
        <v>401958</v>
      </c>
      <c r="DU62" s="280">
        <v>9574</v>
      </c>
      <c r="DV62" s="277"/>
      <c r="DW62" s="270">
        <f>TOTALS!S119/1000000</f>
        <v>526940.62679000001</v>
      </c>
      <c r="DX62" s="280">
        <f>TOTALS!$BC119/1000000</f>
        <v>324440.04108</v>
      </c>
      <c r="DY62" s="280">
        <v>368493</v>
      </c>
      <c r="DZ62" s="270">
        <f t="shared" si="47"/>
        <v>368493</v>
      </c>
      <c r="EA62" s="280"/>
      <c r="EB62" s="272">
        <v>1301977</v>
      </c>
      <c r="EC62" s="280">
        <v>79633</v>
      </c>
      <c r="ED62" s="277">
        <v>342832</v>
      </c>
      <c r="EE62" s="280">
        <v>212436</v>
      </c>
      <c r="EF62" s="280"/>
    </row>
    <row r="63" spans="1:136" s="596" customFormat="1" ht="10.5" customHeight="1" x14ac:dyDescent="0.25">
      <c r="A63" s="268">
        <f>A62+1</f>
        <v>2014</v>
      </c>
      <c r="B63" s="603">
        <f>'C1-Incomes'!EX62</f>
        <v>15144035.857000001</v>
      </c>
      <c r="C63" s="280">
        <f>(TOTALS!E120)/1000000+CC63-BS63</f>
        <v>6830662.7328739809</v>
      </c>
      <c r="D63" s="601" t="s">
        <v>50</v>
      </c>
      <c r="E63" s="270">
        <f t="shared" si="62"/>
        <v>292716.26712601911</v>
      </c>
      <c r="F63" s="598"/>
      <c r="G63" s="270">
        <f t="shared" si="48"/>
        <v>754366</v>
      </c>
      <c r="H63" s="601" t="s">
        <v>50</v>
      </c>
      <c r="I63" s="270">
        <f t="shared" si="13"/>
        <v>547972</v>
      </c>
      <c r="J63" s="270"/>
      <c r="K63" s="270">
        <f>'T-T0'!G63</f>
        <v>22103.405753363273</v>
      </c>
      <c r="L63" s="270">
        <f t="shared" si="63"/>
        <v>46045.594246636727</v>
      </c>
      <c r="M63" s="270"/>
      <c r="N63" s="280">
        <f>'T-T0'!I63</f>
        <v>312718.09710900002</v>
      </c>
      <c r="O63" s="280">
        <f>'T-T0'!J63</f>
        <v>225283.28842599998</v>
      </c>
      <c r="P63" s="280">
        <f t="shared" si="64"/>
        <v>56378.21129632723</v>
      </c>
      <c r="Q63" s="280">
        <f t="shared" si="65"/>
        <v>653273.40316867293</v>
      </c>
      <c r="R63" s="270"/>
      <c r="S63" s="280">
        <f>TOTALS!U120/1000000</f>
        <v>121632.695783</v>
      </c>
      <c r="T63" s="270">
        <f t="shared" si="66"/>
        <v>60209.304216999997</v>
      </c>
      <c r="U63" s="270">
        <f t="shared" si="14"/>
        <v>419711</v>
      </c>
      <c r="V63" s="270">
        <f t="shared" si="45"/>
        <v>10177</v>
      </c>
      <c r="W63" s="280"/>
      <c r="X63" s="280">
        <f t="shared" si="49"/>
        <v>137460.97467640886</v>
      </c>
      <c r="Y63" s="280">
        <f>(CP63-AA63)*'C13-CapOwn'!N59</f>
        <v>247844.2160341721</v>
      </c>
      <c r="Z63" s="607">
        <f>(CP63-AA63)*'C13-CapOwn'!O59</f>
        <v>23110.809289419045</v>
      </c>
      <c r="AA63" s="607">
        <f t="shared" si="15"/>
        <v>96902</v>
      </c>
      <c r="AB63" s="270"/>
      <c r="AC63" s="280">
        <f>TOTALS!H120/1000000</f>
        <v>284889.66132900002</v>
      </c>
      <c r="AD63" s="601">
        <f t="shared" si="67"/>
        <v>269452.39119849593</v>
      </c>
      <c r="AE63" s="270">
        <f t="shared" si="50"/>
        <v>43025.692220804005</v>
      </c>
      <c r="AF63" s="270"/>
      <c r="AG63" s="280">
        <f t="shared" si="68"/>
        <v>353630.23204700003</v>
      </c>
      <c r="AH63" s="280">
        <f t="shared" si="69"/>
        <v>35363.023204700032</v>
      </c>
      <c r="AI63" s="270"/>
      <c r="AJ63" s="270">
        <f>'C10-Adj by Source'!X60</f>
        <v>276428.41800000001</v>
      </c>
      <c r="AK63" s="601">
        <f t="shared" si="51"/>
        <v>328339.85800000001</v>
      </c>
      <c r="AL63" s="607">
        <f t="shared" si="52"/>
        <v>44124.724000000002</v>
      </c>
      <c r="AM63" s="270"/>
      <c r="AN63" s="270">
        <f>TOTALS!BF59/1000000</f>
        <v>62456.981712000001</v>
      </c>
      <c r="AO63" s="601">
        <f t="shared" si="70"/>
        <v>49895.718287999996</v>
      </c>
      <c r="AP63" s="607">
        <f t="shared" si="53"/>
        <v>5913.3</v>
      </c>
      <c r="AQ63" s="280">
        <f>TOTALS!F120/1000000-AU63</f>
        <v>60905.222598599998</v>
      </c>
      <c r="AR63" s="607">
        <f t="shared" si="71"/>
        <v>139747.62740140001</v>
      </c>
      <c r="AS63" s="607">
        <f t="shared" si="54"/>
        <v>15624.150000000001</v>
      </c>
      <c r="AT63" s="280"/>
      <c r="AU63" s="280">
        <f>TOTALS!F120/1000000*0.4</f>
        <v>40603.481732400003</v>
      </c>
      <c r="AV63" s="607">
        <f t="shared" si="72"/>
        <v>151819.04235422003</v>
      </c>
      <c r="AW63" s="607">
        <f t="shared" si="73"/>
        <v>7990.4759133799998</v>
      </c>
      <c r="AX63" s="270"/>
      <c r="AY63" s="270">
        <f>'C10-Adj by Source'!AE60</f>
        <v>233451</v>
      </c>
      <c r="AZ63" s="270">
        <f>'C10-Adj by Source'!AU60</f>
        <v>220102</v>
      </c>
      <c r="BA63" s="607">
        <f t="shared" si="16"/>
        <v>768089</v>
      </c>
      <c r="BB63" s="607"/>
      <c r="BC63" s="280">
        <f t="shared" si="55"/>
        <v>-58089</v>
      </c>
      <c r="BD63" s="280"/>
      <c r="BE63" s="280">
        <f t="shared" si="56"/>
        <v>138890</v>
      </c>
      <c r="BF63" s="280"/>
      <c r="BG63" s="280">
        <f t="shared" si="57"/>
        <v>-17931</v>
      </c>
      <c r="BH63" s="270"/>
      <c r="BI63" s="280">
        <f>TOTALS!AD120/1000000+CE63</f>
        <v>949575.47723932716</v>
      </c>
      <c r="BJ63" s="280">
        <f t="shared" si="74"/>
        <v>-118829.47723932716</v>
      </c>
      <c r="BK63" s="272"/>
      <c r="BL63" s="280">
        <f t="shared" si="75"/>
        <v>-1.9999999981373549</v>
      </c>
      <c r="BM63" s="863"/>
      <c r="BN63" s="270">
        <v>15144033</v>
      </c>
      <c r="BO63" s="270">
        <f t="shared" si="76"/>
        <v>15144035.857000001</v>
      </c>
      <c r="BP63" s="860">
        <f t="shared" si="77"/>
        <v>2.8570000007748604</v>
      </c>
      <c r="BQ63" s="860"/>
      <c r="BR63" s="270">
        <v>353419</v>
      </c>
      <c r="BS63" s="270">
        <f>TOTALS!BP120/1000000</f>
        <v>36191.201014999999</v>
      </c>
      <c r="BT63" s="270">
        <f t="shared" si="58"/>
        <v>477327</v>
      </c>
      <c r="BU63" s="270">
        <f t="shared" si="78"/>
        <v>269452.39119849593</v>
      </c>
      <c r="BV63" s="270">
        <f>CR63*CH63</f>
        <v>328339.85800000001</v>
      </c>
      <c r="BW63" s="280">
        <f t="shared" si="79"/>
        <v>49895.718287999996</v>
      </c>
      <c r="BX63" s="607">
        <f t="shared" si="80"/>
        <v>139747.62740140001</v>
      </c>
      <c r="BY63" s="280">
        <f t="shared" si="81"/>
        <v>151819.04235422003</v>
      </c>
      <c r="BZ63" s="280">
        <f>SUM(BU63:BY63)</f>
        <v>939254.63724211592</v>
      </c>
      <c r="CA63" s="280"/>
      <c r="CB63" s="280">
        <f>'C0-Ref Stats'!AJ60</f>
        <v>281891.05648163607</v>
      </c>
      <c r="CC63" s="270">
        <f t="shared" si="41"/>
        <v>169134.63388898163</v>
      </c>
      <c r="CD63" s="270">
        <f t="shared" si="42"/>
        <v>56378.21129632723</v>
      </c>
      <c r="CE63" s="270">
        <f t="shared" si="43"/>
        <v>56378.211296327216</v>
      </c>
      <c r="CF63" s="270"/>
      <c r="CG63" s="331">
        <f>ROUND('C12-CorpOwn'!R59,3)</f>
        <v>0.42599999999999999</v>
      </c>
      <c r="CH63" s="331">
        <f>ROUND('C12-CorpOwn'!S59,3)</f>
        <v>0.50600000000000001</v>
      </c>
      <c r="CI63" s="331">
        <f>ROUND('C12-CorpOwn'!T59,3)</f>
        <v>6.8000000000000005E-2</v>
      </c>
      <c r="CJ63" s="270"/>
      <c r="CK63" s="270">
        <v>7476798</v>
      </c>
      <c r="CL63" s="270">
        <v>1231693</v>
      </c>
      <c r="CM63" s="270">
        <v>547972</v>
      </c>
      <c r="CN63" s="270">
        <v>68149</v>
      </c>
      <c r="CO63" s="270">
        <v>1247653</v>
      </c>
      <c r="CP63" s="270">
        <v>505318</v>
      </c>
      <c r="CQ63" s="270">
        <v>986361</v>
      </c>
      <c r="CR63" s="270">
        <v>648893</v>
      </c>
      <c r="CS63" s="270">
        <v>534956</v>
      </c>
      <c r="CT63" s="270">
        <v>1221642</v>
      </c>
      <c r="CU63" s="280">
        <v>-58089</v>
      </c>
      <c r="CV63" s="280">
        <v>138890</v>
      </c>
      <c r="CW63" s="280">
        <v>-17931</v>
      </c>
      <c r="CX63" s="280">
        <v>623071</v>
      </c>
      <c r="CY63" s="280">
        <v>526865</v>
      </c>
      <c r="CZ63" s="280">
        <f t="shared" si="60"/>
        <v>96206</v>
      </c>
      <c r="DA63" s="280">
        <v>538149</v>
      </c>
      <c r="DB63" s="280">
        <v>312483</v>
      </c>
      <c r="DC63" s="280">
        <v>118266</v>
      </c>
      <c r="DD63" s="270">
        <v>523752</v>
      </c>
      <c r="DE63" s="270">
        <v>453553</v>
      </c>
      <c r="DF63" s="270">
        <v>25289</v>
      </c>
      <c r="DG63" s="270">
        <v>41777</v>
      </c>
      <c r="DH63" s="270">
        <v>13853</v>
      </c>
      <c r="DI63" s="270">
        <v>13924</v>
      </c>
      <c r="DJ63" s="270">
        <f t="shared" si="61"/>
        <v>149494</v>
      </c>
      <c r="DK63" s="280">
        <v>326351</v>
      </c>
      <c r="DL63" s="270">
        <v>118266</v>
      </c>
      <c r="DM63" s="270">
        <v>53110</v>
      </c>
      <c r="DN63" s="270">
        <v>759203</v>
      </c>
      <c r="DO63" s="270">
        <v>103269</v>
      </c>
      <c r="DP63" s="270">
        <v>11921</v>
      </c>
      <c r="DQ63" s="270">
        <v>86511</v>
      </c>
      <c r="DR63" s="270"/>
      <c r="DS63" s="270">
        <v>181842</v>
      </c>
      <c r="DT63" s="277">
        <v>429888</v>
      </c>
      <c r="DU63" s="280">
        <v>10177</v>
      </c>
      <c r="DV63" s="277"/>
      <c r="DW63" s="270">
        <f>TOTALS!S120/1000000</f>
        <v>578913.52047300001</v>
      </c>
      <c r="DX63" s="280">
        <f>TOTALS!$BC120/1000000</f>
        <v>353630.23204700003</v>
      </c>
      <c r="DY63" s="280"/>
      <c r="DZ63" s="270">
        <f>DX63*1.1</f>
        <v>388993.25525170006</v>
      </c>
      <c r="EA63" s="280"/>
      <c r="EB63" s="272">
        <v>1402994</v>
      </c>
      <c r="EC63" s="280">
        <v>96902</v>
      </c>
      <c r="ED63" s="277">
        <v>348493</v>
      </c>
      <c r="EE63" s="280">
        <v>220102</v>
      </c>
      <c r="EF63" s="280"/>
    </row>
    <row r="64" spans="1:136" s="596" customFormat="1" ht="10.5" customHeight="1" x14ac:dyDescent="0.25">
      <c r="A64" s="268">
        <f>A63+1</f>
        <v>2015</v>
      </c>
      <c r="B64" s="603">
        <f>'C1-Incomes'!EX63</f>
        <v>15739598.801000001</v>
      </c>
      <c r="C64" s="280">
        <f>(TOTALS!E121)/1000000+CC64-BS64</f>
        <v>7166752.6215356914</v>
      </c>
      <c r="D64" s="601" t="s">
        <v>50</v>
      </c>
      <c r="E64" s="270">
        <f t="shared" si="62"/>
        <v>323943.37846430857</v>
      </c>
      <c r="F64" s="598"/>
      <c r="G64" s="270">
        <f t="shared" si="48"/>
        <v>788790</v>
      </c>
      <c r="H64" s="601" t="s">
        <v>50</v>
      </c>
      <c r="I64" s="270">
        <f t="shared" si="13"/>
        <v>571399</v>
      </c>
      <c r="J64" s="270"/>
      <c r="K64" s="270">
        <f>'T-T0'!G64</f>
        <v>15990.321202512563</v>
      </c>
      <c r="L64" s="270">
        <f t="shared" si="63"/>
        <v>37686.678797487439</v>
      </c>
      <c r="M64" s="825"/>
      <c r="N64" s="280">
        <f>'T-T0'!I64</f>
        <v>327135.96589200001</v>
      </c>
      <c r="O64" s="280">
        <f>'T-T0'!J64</f>
        <v>230406.61607500003</v>
      </c>
      <c r="P64" s="280">
        <f t="shared" si="64"/>
        <v>60375.087349897301</v>
      </c>
      <c r="Q64" s="280">
        <f t="shared" si="65"/>
        <v>647211.33068310271</v>
      </c>
      <c r="R64" s="270"/>
      <c r="S64" s="280">
        <f>TOTALS!U121/1000000</f>
        <v>110130.92425900001</v>
      </c>
      <c r="T64" s="270">
        <f t="shared" si="66"/>
        <v>86668.075740999993</v>
      </c>
      <c r="U64" s="270">
        <f t="shared" si="14"/>
        <v>454457</v>
      </c>
      <c r="V64" s="270">
        <f t="shared" si="45"/>
        <v>11229</v>
      </c>
      <c r="W64" s="270"/>
      <c r="X64" s="280">
        <f t="shared" si="49"/>
        <v>134769.75544961027</v>
      </c>
      <c r="Y64" s="280">
        <f>(CP64-AA64)*'C13-CapOwn'!N60</f>
        <v>239436.53783299672</v>
      </c>
      <c r="Z64" s="607">
        <f>(CP64-AA64)*'C13-CapOwn'!O60</f>
        <v>22765.706717393052</v>
      </c>
      <c r="AA64" s="607">
        <f t="shared" si="15"/>
        <v>110443</v>
      </c>
      <c r="AB64" s="270"/>
      <c r="AC64" s="280">
        <f>TOTALS!H121/1000000</f>
        <v>289804.65391699999</v>
      </c>
      <c r="AD64" s="601">
        <f t="shared" si="67"/>
        <v>274102.004974576</v>
      </c>
      <c r="AE64" s="270">
        <f t="shared" si="50"/>
        <v>44008.944965724004</v>
      </c>
      <c r="AF64" s="270"/>
      <c r="AG64" s="280">
        <f t="shared" si="68"/>
        <v>392747.63285699999</v>
      </c>
      <c r="AH64" s="280">
        <f>DZ64-AG64</f>
        <v>39274.763285700057</v>
      </c>
      <c r="AI64" s="270"/>
      <c r="AJ64" s="270">
        <f>'C10-Adj by Source'!X61</f>
        <v>243436.54300000001</v>
      </c>
      <c r="AK64" s="601">
        <f t="shared" si="51"/>
        <v>287905.04499999998</v>
      </c>
      <c r="AL64" s="607">
        <f t="shared" si="52"/>
        <v>38767.412000000004</v>
      </c>
      <c r="AM64" s="270"/>
      <c r="AN64" s="270">
        <f>TOTALS!BF60/1000000</f>
        <v>61752.224605000003</v>
      </c>
      <c r="AO64" s="601">
        <f t="shared" si="70"/>
        <v>49732.175394999998</v>
      </c>
      <c r="AP64" s="607">
        <f t="shared" si="53"/>
        <v>5867.6</v>
      </c>
      <c r="AQ64" s="280">
        <f>TOTALS!F121/1000000-AU64</f>
        <v>61784.994494399994</v>
      </c>
      <c r="AR64" s="607">
        <f t="shared" si="71"/>
        <v>132464.75550560001</v>
      </c>
      <c r="AS64" s="607">
        <f t="shared" si="54"/>
        <v>15310.25</v>
      </c>
      <c r="AT64" s="280"/>
      <c r="AU64" s="280">
        <f>TOTALS!F121/1000000*0.4</f>
        <v>41189.996329599999</v>
      </c>
      <c r="AV64" s="607">
        <f t="shared" si="72"/>
        <v>204544.50348688001</v>
      </c>
      <c r="AW64" s="607">
        <f t="shared" si="73"/>
        <v>10765.500183520002</v>
      </c>
      <c r="AX64" s="270"/>
      <c r="AY64" s="270">
        <f>'C10-Adj by Source'!AE61</f>
        <v>229739</v>
      </c>
      <c r="AZ64" s="270">
        <f>'C10-Adj by Source'!AU61</f>
        <v>226815</v>
      </c>
      <c r="BA64" s="607">
        <f t="shared" si="16"/>
        <v>799220</v>
      </c>
      <c r="BB64" s="607"/>
      <c r="BC64" s="280">
        <f t="shared" si="55"/>
        <v>-57253</v>
      </c>
      <c r="BD64" s="280"/>
      <c r="BE64" s="280">
        <f t="shared" si="56"/>
        <v>164973</v>
      </c>
      <c r="BF64" s="280"/>
      <c r="BG64" s="280">
        <f t="shared" si="57"/>
        <v>-14322</v>
      </c>
      <c r="BH64" s="270"/>
      <c r="BI64" s="280">
        <f>TOTALS!AD121/1000000+CE64</f>
        <v>998152.09738289728</v>
      </c>
      <c r="BJ64" s="280">
        <f>BR64+BT64-$BI64</f>
        <v>-140775.09738289728</v>
      </c>
      <c r="BK64" s="272"/>
      <c r="BL64" s="280">
        <f t="shared" si="75"/>
        <v>-1</v>
      </c>
      <c r="BM64" s="863"/>
      <c r="BN64" s="270">
        <v>15739598</v>
      </c>
      <c r="BO64" s="270">
        <f t="shared" si="76"/>
        <v>15739598.801000001</v>
      </c>
      <c r="BP64" s="860">
        <f t="shared" si="77"/>
        <v>0.80100000090897083</v>
      </c>
      <c r="BQ64" s="860"/>
      <c r="BR64" s="270">
        <v>368191</v>
      </c>
      <c r="BS64" s="270">
        <f>TOTALS!BP121/1000000</f>
        <v>37159.640513999999</v>
      </c>
      <c r="BT64" s="270">
        <f t="shared" si="58"/>
        <v>489186</v>
      </c>
      <c r="BU64" s="270">
        <f t="shared" si="78"/>
        <v>274102.004974576</v>
      </c>
      <c r="BV64" s="270">
        <f t="shared" si="59"/>
        <v>287905.04499999998</v>
      </c>
      <c r="BW64" s="280">
        <f>DL64-AN64-AP64</f>
        <v>49732.175394999998</v>
      </c>
      <c r="BX64" s="607">
        <f t="shared" si="80"/>
        <v>132464.75550560001</v>
      </c>
      <c r="BY64" s="280">
        <f t="shared" si="81"/>
        <v>204544.50348688001</v>
      </c>
      <c r="BZ64" s="280">
        <f t="shared" si="82"/>
        <v>948748.48436205601</v>
      </c>
      <c r="CA64" s="280"/>
      <c r="CB64" s="280">
        <f>'C0-Ref Stats'!AJ61</f>
        <v>301875.43674948643</v>
      </c>
      <c r="CC64" s="270">
        <f t="shared" si="41"/>
        <v>181125.26204969184</v>
      </c>
      <c r="CD64" s="270">
        <f t="shared" si="42"/>
        <v>60375.087349897301</v>
      </c>
      <c r="CE64" s="270">
        <f t="shared" si="43"/>
        <v>60375.087349897287</v>
      </c>
      <c r="CF64" s="270"/>
      <c r="CG64" s="331">
        <f>ROUND('C12-CorpOwn'!R60,3)</f>
        <v>0.42699999999999999</v>
      </c>
      <c r="CH64" s="331">
        <f>ROUND('C12-CorpOwn'!S60,3)</f>
        <v>0.505</v>
      </c>
      <c r="CI64" s="331">
        <f>ROUND('C12-CorpOwn'!T60,3)</f>
        <v>6.8000000000000005E-2</v>
      </c>
      <c r="CJ64" s="270"/>
      <c r="CK64" s="270">
        <v>7858887</v>
      </c>
      <c r="CL64" s="270">
        <v>1277976</v>
      </c>
      <c r="CM64" s="270">
        <v>571399</v>
      </c>
      <c r="CN64" s="270">
        <v>53677</v>
      </c>
      <c r="CO64" s="270">
        <v>1265129</v>
      </c>
      <c r="CP64" s="270">
        <v>507415</v>
      </c>
      <c r="CQ64" s="270">
        <v>1039938</v>
      </c>
      <c r="CR64" s="270">
        <v>570109</v>
      </c>
      <c r="CS64" s="270">
        <v>583412</v>
      </c>
      <c r="CT64" s="270">
        <v>1255774</v>
      </c>
      <c r="CU64" s="280">
        <v>-57253</v>
      </c>
      <c r="CV64" s="280">
        <v>164973</v>
      </c>
      <c r="CW64" s="280">
        <v>-14322</v>
      </c>
      <c r="CX64" s="280">
        <v>623352</v>
      </c>
      <c r="CY64" s="280">
        <v>526707</v>
      </c>
      <c r="CZ64" s="280">
        <f t="shared" si="60"/>
        <v>96645</v>
      </c>
      <c r="DA64" s="280">
        <v>534413</v>
      </c>
      <c r="DB64" s="280">
        <v>306205</v>
      </c>
      <c r="DC64" s="280">
        <v>117352</v>
      </c>
      <c r="DD64" s="270">
        <v>542749</v>
      </c>
      <c r="DE64" s="270">
        <v>456554</v>
      </c>
      <c r="DF64" s="270">
        <v>26098</v>
      </c>
      <c r="DG64" s="270">
        <v>43302</v>
      </c>
      <c r="DH64" s="270">
        <v>13324</v>
      </c>
      <c r="DI64" s="270">
        <v>14060</v>
      </c>
      <c r="DJ64" s="270">
        <f t="shared" si="61"/>
        <v>159687</v>
      </c>
      <c r="DK64" s="280">
        <v>325325</v>
      </c>
      <c r="DL64" s="270">
        <v>117352</v>
      </c>
      <c r="DM64" s="270">
        <v>52437</v>
      </c>
      <c r="DN64" s="270">
        <v>793571</v>
      </c>
      <c r="DO64" s="270">
        <v>108831</v>
      </c>
      <c r="DP64" s="270">
        <v>13120</v>
      </c>
      <c r="DQ64" s="270">
        <v>90930</v>
      </c>
      <c r="DR64" s="270"/>
      <c r="DS64" s="270">
        <v>196799</v>
      </c>
      <c r="DT64" s="277">
        <v>465686</v>
      </c>
      <c r="DU64" s="270">
        <v>11229</v>
      </c>
      <c r="DV64" s="277"/>
      <c r="DW64" s="270">
        <f>TOTALS!S121/1000000</f>
        <v>623154.24893200002</v>
      </c>
      <c r="DX64" s="280">
        <f>TOTALS!$BC121/1000000</f>
        <v>392747.63285699999</v>
      </c>
      <c r="DY64" s="280"/>
      <c r="DZ64" s="270">
        <f>DX64*1.1</f>
        <v>432022.39614270005</v>
      </c>
      <c r="EA64" s="270"/>
      <c r="EB64" s="272">
        <v>1528512</v>
      </c>
      <c r="EC64" s="280">
        <v>110443</v>
      </c>
      <c r="ED64" s="277">
        <v>374064</v>
      </c>
      <c r="EE64" s="280">
        <v>226815</v>
      </c>
      <c r="EF64" s="280"/>
    </row>
    <row r="65" spans="1:157" ht="10.5" customHeight="1" x14ac:dyDescent="0.3">
      <c r="A65" s="268"/>
      <c r="B65" s="707"/>
      <c r="C65" s="8"/>
      <c r="D65" s="601"/>
      <c r="E65" s="270"/>
      <c r="F65" s="270"/>
      <c r="G65" s="270"/>
      <c r="H65" s="601"/>
      <c r="I65" s="270"/>
      <c r="J65" s="270"/>
      <c r="K65" s="270"/>
      <c r="L65" s="270"/>
      <c r="M65" s="270"/>
      <c r="N65" s="270"/>
      <c r="O65" s="280"/>
      <c r="P65" s="280"/>
      <c r="Q65" s="270"/>
      <c r="R65" s="270"/>
      <c r="S65" s="280"/>
      <c r="T65" s="270"/>
      <c r="U65" s="270"/>
      <c r="V65" s="270"/>
      <c r="W65" s="270"/>
      <c r="X65" s="270"/>
      <c r="Y65" s="270"/>
      <c r="Z65" s="601"/>
      <c r="AA65" s="270"/>
      <c r="AB65" s="270"/>
      <c r="AC65" s="270"/>
      <c r="AD65" s="270"/>
      <c r="AE65" s="270"/>
      <c r="AF65" s="270"/>
      <c r="AG65" s="280"/>
      <c r="AH65" s="270"/>
      <c r="AI65" s="270"/>
      <c r="AJ65" s="270"/>
      <c r="AK65" s="270"/>
      <c r="AL65" s="601"/>
      <c r="AM65" s="270"/>
      <c r="AN65" s="270"/>
      <c r="AO65" s="270"/>
      <c r="AP65" s="270"/>
      <c r="AQ65" s="270"/>
      <c r="AR65" s="270"/>
      <c r="AS65" s="270"/>
      <c r="AT65" s="270"/>
      <c r="AU65" s="270"/>
      <c r="AV65" s="270"/>
      <c r="AW65" s="270"/>
      <c r="AX65" s="270"/>
      <c r="AY65" s="270"/>
      <c r="AZ65" s="270"/>
      <c r="BA65" s="280"/>
      <c r="BB65" s="280"/>
      <c r="BC65" s="280">
        <f t="shared" si="55"/>
        <v>-61795</v>
      </c>
      <c r="BD65" s="270"/>
      <c r="BE65" s="280">
        <f t="shared" si="56"/>
        <v>163982</v>
      </c>
      <c r="BF65" s="280"/>
      <c r="BG65" s="280">
        <f t="shared" si="57"/>
        <v>-10102</v>
      </c>
      <c r="BH65" s="270"/>
      <c r="BI65" s="270"/>
      <c r="BJ65" s="270"/>
      <c r="BK65" s="272"/>
      <c r="BL65" s="280"/>
      <c r="BM65" s="280"/>
      <c r="BN65" s="270">
        <v>16051997</v>
      </c>
      <c r="BO65" s="270"/>
      <c r="BP65" s="280"/>
      <c r="BQ65" s="280"/>
      <c r="BR65" s="270">
        <v>386099</v>
      </c>
      <c r="BS65" s="270"/>
      <c r="BT65" s="270"/>
      <c r="BU65" s="270"/>
      <c r="BV65" s="270"/>
      <c r="BW65" s="270"/>
      <c r="BX65" s="270"/>
      <c r="BY65" s="270"/>
      <c r="CB65" s="270"/>
      <c r="CC65" s="270"/>
      <c r="CD65" s="270"/>
      <c r="CE65" s="270"/>
      <c r="CF65" s="270"/>
      <c r="CG65" s="331"/>
      <c r="CH65" s="331"/>
      <c r="CI65" s="331"/>
      <c r="CJ65" s="270"/>
      <c r="CK65" s="270">
        <v>8085242</v>
      </c>
      <c r="CL65" s="270">
        <v>1309793</v>
      </c>
      <c r="CM65" s="270">
        <v>583605</v>
      </c>
      <c r="CN65" s="270">
        <v>43190</v>
      </c>
      <c r="CO65" s="270">
        <v>1298743</v>
      </c>
      <c r="CP65" s="270">
        <v>471017</v>
      </c>
      <c r="CQ65" s="270">
        <v>981951</v>
      </c>
      <c r="CR65" s="270">
        <v>620588</v>
      </c>
      <c r="CS65" s="270">
        <v>570571</v>
      </c>
      <c r="CT65" s="270">
        <v>1287993</v>
      </c>
      <c r="CU65" s="270">
        <v>-61795</v>
      </c>
      <c r="CV65" s="270">
        <v>163982</v>
      </c>
      <c r="CW65" s="270">
        <v>-10102</v>
      </c>
      <c r="CX65" s="280">
        <v>666331</v>
      </c>
      <c r="CY65" s="280">
        <v>567636</v>
      </c>
      <c r="CZ65" s="280">
        <f t="shared" si="60"/>
        <v>98695</v>
      </c>
      <c r="DA65" s="280">
        <v>584458</v>
      </c>
      <c r="DB65" s="280">
        <v>345734</v>
      </c>
      <c r="DC65" s="280">
        <v>117186</v>
      </c>
      <c r="DD65" s="270">
        <v>556424</v>
      </c>
      <c r="DE65" s="270">
        <v>461720</v>
      </c>
      <c r="DF65" s="270">
        <v>26774</v>
      </c>
      <c r="DG65" s="270">
        <v>43845</v>
      </c>
      <c r="DH65" s="270">
        <v>13004</v>
      </c>
      <c r="DI65" s="270">
        <v>14163</v>
      </c>
      <c r="DJ65" s="270">
        <f t="shared" si="61"/>
        <v>172063</v>
      </c>
      <c r="DK65" s="270">
        <v>328631</v>
      </c>
      <c r="DL65" s="270">
        <v>117186</v>
      </c>
      <c r="DM65" s="270">
        <v>52591</v>
      </c>
      <c r="DN65" s="270">
        <v>815852</v>
      </c>
      <c r="DO65" s="270">
        <v>112311</v>
      </c>
      <c r="DP65" s="270">
        <v>13377</v>
      </c>
      <c r="DQ65" s="270">
        <v>91545</v>
      </c>
      <c r="DR65" s="270"/>
      <c r="DS65" s="270">
        <v>204469</v>
      </c>
      <c r="DT65" s="270">
        <v>502850</v>
      </c>
      <c r="DU65" s="270"/>
      <c r="DV65" s="270"/>
      <c r="DW65" s="270"/>
      <c r="DX65" s="270"/>
      <c r="DY65" s="280"/>
      <c r="DZ65" s="270"/>
      <c r="EA65" s="270"/>
      <c r="EB65" s="270">
        <v>1540541</v>
      </c>
      <c r="EC65" s="280">
        <v>91467</v>
      </c>
      <c r="ED65" s="270">
        <v>383216</v>
      </c>
      <c r="EE65" s="270">
        <v>236553</v>
      </c>
      <c r="EF65" s="270"/>
    </row>
    <row r="66" spans="1:157" ht="10.5" customHeight="1" x14ac:dyDescent="0.3">
      <c r="A66" s="148"/>
      <c r="B66" s="910"/>
      <c r="C66" s="11"/>
      <c r="D66" s="599"/>
      <c r="E66" s="1339"/>
      <c r="F66" s="599"/>
      <c r="G66" s="599"/>
      <c r="H66" s="599"/>
      <c r="I66" s="599"/>
      <c r="J66" s="599"/>
      <c r="K66" s="599"/>
      <c r="L66" s="599"/>
      <c r="M66" s="599"/>
      <c r="N66" s="599"/>
      <c r="O66" s="683"/>
      <c r="P66" s="683"/>
      <c r="Q66" s="599"/>
      <c r="R66" s="599"/>
      <c r="S66" s="599"/>
      <c r="T66" s="599"/>
      <c r="U66" s="599"/>
      <c r="V66" s="599"/>
      <c r="W66" s="599"/>
      <c r="X66" s="599"/>
      <c r="Y66" s="599"/>
      <c r="Z66" s="599"/>
      <c r="AA66" s="599"/>
      <c r="AB66" s="599"/>
      <c r="AC66" s="599"/>
      <c r="AD66" s="599"/>
      <c r="AE66" s="599"/>
      <c r="AF66" s="599"/>
      <c r="AG66" s="683"/>
      <c r="AH66" s="599"/>
      <c r="AI66" s="599"/>
      <c r="AJ66" s="599"/>
      <c r="AK66" s="599"/>
      <c r="AL66" s="599"/>
      <c r="AM66" s="599"/>
      <c r="AN66" s="599"/>
      <c r="AO66" s="599"/>
      <c r="AP66" s="599"/>
      <c r="AQ66" s="599"/>
      <c r="AR66" s="599"/>
      <c r="AS66" s="599"/>
      <c r="AT66" s="599"/>
      <c r="AU66" s="599"/>
      <c r="AV66" s="599"/>
      <c r="AW66" s="599"/>
      <c r="AX66" s="599"/>
      <c r="AY66" s="599"/>
      <c r="AZ66" s="599"/>
      <c r="BA66" s="599"/>
      <c r="BB66" s="683"/>
      <c r="BC66" s="599"/>
      <c r="BD66" s="599"/>
      <c r="BE66" s="599"/>
      <c r="BF66" s="599"/>
      <c r="BG66" s="599"/>
      <c r="BH66" s="599"/>
      <c r="BI66" s="599"/>
      <c r="BJ66" s="599"/>
      <c r="BK66" s="272"/>
      <c r="BL66" s="683"/>
      <c r="BM66" s="277"/>
      <c r="BN66" s="599"/>
      <c r="BO66" s="599"/>
      <c r="BP66" s="683"/>
      <c r="BQ66" s="683"/>
      <c r="BR66" s="599"/>
      <c r="BS66" s="599"/>
      <c r="BT66" s="599"/>
      <c r="BU66" s="599"/>
      <c r="BV66" s="599"/>
      <c r="BW66" s="599"/>
      <c r="BX66" s="599"/>
      <c r="BY66" s="599"/>
      <c r="BZ66" s="599"/>
      <c r="CA66" s="272"/>
      <c r="CB66" s="599"/>
      <c r="CC66" s="599"/>
      <c r="CD66" s="599"/>
      <c r="CE66" s="599"/>
      <c r="CF66" s="599"/>
      <c r="CG66" s="599"/>
      <c r="CH66" s="599"/>
      <c r="CI66" s="599"/>
      <c r="CJ66" s="599"/>
      <c r="CK66" s="599"/>
      <c r="CL66" s="599"/>
      <c r="CM66" s="599"/>
      <c r="CN66" s="599"/>
      <c r="CO66" s="599"/>
      <c r="CP66" s="599"/>
      <c r="CQ66" s="599"/>
      <c r="CR66" s="599"/>
      <c r="CS66" s="599"/>
      <c r="CT66" s="599"/>
      <c r="CU66" s="599"/>
      <c r="CV66" s="599"/>
      <c r="CW66" s="599"/>
      <c r="CX66" s="599"/>
      <c r="CY66" s="599"/>
      <c r="CZ66" s="683"/>
      <c r="DA66" s="599"/>
      <c r="DB66" s="599"/>
      <c r="DC66" s="599"/>
      <c r="DD66" s="599"/>
      <c r="DE66" s="599"/>
      <c r="DF66" s="599"/>
      <c r="DG66" s="599"/>
      <c r="DH66" s="599"/>
      <c r="DI66" s="599"/>
      <c r="DJ66" s="599"/>
      <c r="DK66" s="599"/>
      <c r="DL66" s="599"/>
      <c r="DM66" s="599"/>
      <c r="DN66" s="599"/>
      <c r="DO66" s="599"/>
      <c r="DP66" s="599"/>
      <c r="DQ66" s="599"/>
      <c r="DR66" s="599"/>
      <c r="DS66" s="599"/>
      <c r="DT66" s="599"/>
      <c r="DU66" s="599"/>
      <c r="DV66" s="599"/>
      <c r="DW66" s="599"/>
      <c r="DX66" s="599"/>
      <c r="DY66" s="599"/>
      <c r="DZ66" s="599"/>
      <c r="EA66" s="599"/>
      <c r="EB66" s="599"/>
      <c r="EC66" s="683"/>
      <c r="ED66" s="599"/>
      <c r="EE66" s="599"/>
    </row>
    <row r="67" spans="1:157" s="170" customFormat="1" x14ac:dyDescent="0.3">
      <c r="A67" s="474"/>
      <c r="B67" s="1291"/>
      <c r="C67" s="1138"/>
      <c r="D67" s="574"/>
      <c r="E67" s="1138"/>
      <c r="F67" s="574"/>
      <c r="G67" s="248"/>
      <c r="H67" s="574"/>
      <c r="I67" s="574"/>
      <c r="J67" s="574"/>
      <c r="K67" s="574"/>
      <c r="L67" s="574"/>
      <c r="M67" s="574"/>
      <c r="N67" s="574"/>
      <c r="O67" s="574"/>
      <c r="P67" s="574"/>
      <c r="Q67" s="574"/>
      <c r="R67" s="574"/>
      <c r="S67" s="574"/>
      <c r="T67" s="574"/>
      <c r="U67" s="574"/>
      <c r="V67" s="574"/>
      <c r="W67" s="574"/>
      <c r="X67" s="574"/>
      <c r="Y67" s="574"/>
      <c r="Z67" s="574"/>
      <c r="AA67" s="474"/>
      <c r="AB67" s="574"/>
      <c r="AC67" s="574"/>
      <c r="AD67" s="474"/>
      <c r="AE67" s="574"/>
      <c r="AF67" s="574"/>
      <c r="AG67" s="574"/>
      <c r="AH67" s="574"/>
      <c r="AI67" s="574"/>
      <c r="AJ67" s="574"/>
      <c r="AK67" s="574"/>
      <c r="AL67" s="574"/>
      <c r="AM67" s="574"/>
      <c r="AN67" s="574"/>
      <c r="AO67" s="474"/>
      <c r="AP67" s="574"/>
      <c r="AQ67" s="574"/>
      <c r="AR67" s="474"/>
      <c r="AS67" s="574"/>
      <c r="AT67" s="574"/>
      <c r="AU67" s="574"/>
      <c r="AV67" s="474"/>
      <c r="AW67" s="574"/>
      <c r="AX67" s="574"/>
      <c r="AY67" s="574"/>
      <c r="AZ67" s="574"/>
      <c r="BA67" s="574"/>
      <c r="BB67" s="574"/>
      <c r="BC67" s="474"/>
      <c r="BD67" s="474"/>
      <c r="BE67" s="574"/>
      <c r="BF67" s="474"/>
      <c r="BG67" s="574"/>
      <c r="BH67" s="574"/>
      <c r="BI67" s="574"/>
      <c r="BJ67" s="574"/>
      <c r="BK67" s="962"/>
      <c r="BL67" s="574"/>
      <c r="CR67" s="1279"/>
      <c r="CS67" s="1279"/>
      <c r="CT67" s="1279"/>
      <c r="CU67" s="1279"/>
      <c r="CV67" s="1279"/>
      <c r="CW67" s="1279"/>
      <c r="DF67" s="573"/>
      <c r="DT67" s="270"/>
      <c r="DU67" s="270"/>
      <c r="DV67" s="270"/>
      <c r="DW67" s="270"/>
      <c r="DX67" s="270"/>
      <c r="DY67" s="270"/>
      <c r="DZ67" s="270"/>
      <c r="EA67" s="270"/>
      <c r="EB67" s="270"/>
      <c r="EC67" s="280"/>
      <c r="ED67" s="270"/>
      <c r="EE67" s="270"/>
    </row>
    <row r="68" spans="1:157" x14ac:dyDescent="0.3">
      <c r="A68" s="655" t="s">
        <v>1249</v>
      </c>
      <c r="Q68" s="8"/>
      <c r="V68" s="34"/>
      <c r="AA68" s="8"/>
      <c r="AL68" s="8"/>
      <c r="AW68" s="8"/>
      <c r="BG68" s="34"/>
      <c r="BI68" s="8"/>
      <c r="BT68" s="616"/>
      <c r="CQ68" s="73"/>
      <c r="CR68" s="1280"/>
      <c r="CS68" s="1280"/>
      <c r="CT68" s="1280"/>
      <c r="CU68" s="1280"/>
      <c r="CV68" s="1280"/>
      <c r="CW68" s="1280"/>
      <c r="CX68" s="73"/>
      <c r="CY68" s="73"/>
    </row>
    <row r="69" spans="1:157" x14ac:dyDescent="0.3">
      <c r="A69" s="655" t="s">
        <v>1247</v>
      </c>
      <c r="V69" s="34"/>
      <c r="BE69" s="573"/>
      <c r="BF69" s="170"/>
      <c r="BG69" s="573"/>
      <c r="BT69" s="616"/>
      <c r="CQ69" s="73"/>
      <c r="CR69" s="1282"/>
      <c r="CS69" s="1282"/>
      <c r="CT69" s="1282"/>
      <c r="CU69" s="1282"/>
      <c r="CV69" s="1282"/>
      <c r="CW69" s="1282"/>
      <c r="CX69" s="73"/>
      <c r="CY69" s="73"/>
      <c r="DN69" s="586"/>
      <c r="DO69" s="586"/>
      <c r="DP69" s="586"/>
      <c r="DQ69" s="586"/>
      <c r="DR69" s="586"/>
      <c r="DS69" s="586"/>
      <c r="DT69" s="586"/>
      <c r="DU69" s="586"/>
      <c r="DV69" s="586"/>
      <c r="DW69" s="586"/>
      <c r="DX69" s="586"/>
      <c r="DY69" s="586"/>
      <c r="DZ69" s="586"/>
      <c r="EA69" s="586"/>
      <c r="EB69" s="586"/>
      <c r="EC69" s="896"/>
      <c r="ED69" s="586"/>
      <c r="EE69" s="586"/>
      <c r="EG69" s="586"/>
      <c r="EH69" s="586"/>
      <c r="EI69" s="586"/>
      <c r="EJ69" s="586"/>
      <c r="EK69" s="586"/>
      <c r="EL69" s="586"/>
      <c r="EM69" s="586"/>
      <c r="EN69" s="586"/>
      <c r="EO69" s="586"/>
      <c r="EP69" s="586"/>
      <c r="EQ69" s="586"/>
      <c r="ER69" s="586"/>
      <c r="ES69" s="586"/>
      <c r="ET69" s="586"/>
      <c r="EU69" s="586"/>
      <c r="EV69" s="586"/>
      <c r="EW69" s="586"/>
      <c r="EX69" s="586"/>
      <c r="EY69" s="586"/>
      <c r="EZ69" s="586"/>
      <c r="FA69" s="586"/>
    </row>
    <row r="70" spans="1:157" x14ac:dyDescent="0.3">
      <c r="A70" s="655" t="s">
        <v>1248</v>
      </c>
      <c r="V70" s="34"/>
      <c r="BT70" s="616"/>
      <c r="DG70" s="1281"/>
      <c r="DH70" s="1281"/>
      <c r="DI70" s="1281"/>
      <c r="DJ70" s="1281"/>
    </row>
    <row r="71" spans="1:157" x14ac:dyDescent="0.3">
      <c r="A71" s="655" t="s">
        <v>1250</v>
      </c>
      <c r="V71" s="34"/>
      <c r="BT71" s="616"/>
      <c r="CR71" s="1281"/>
      <c r="CS71" s="1281"/>
      <c r="CT71" s="1281"/>
      <c r="CU71" s="1281"/>
      <c r="CV71" s="1281"/>
      <c r="CW71" s="1281"/>
      <c r="CX71" s="170"/>
      <c r="CY71" s="170"/>
      <c r="DA71" s="1281"/>
      <c r="DB71" s="1281"/>
      <c r="DC71" s="1281"/>
      <c r="DD71" s="1281"/>
      <c r="DE71" s="1281"/>
      <c r="DF71" s="1281"/>
      <c r="DG71" s="72"/>
      <c r="DH71" s="72"/>
      <c r="DI71" s="72"/>
      <c r="DJ71" s="72"/>
      <c r="DL71" s="72"/>
    </row>
    <row r="72" spans="1:157" x14ac:dyDescent="0.3">
      <c r="A72" s="655" t="s">
        <v>1766</v>
      </c>
      <c r="V72" s="34"/>
      <c r="BT72" s="616"/>
      <c r="CP72" s="1281"/>
      <c r="CR72" s="1281"/>
      <c r="CS72" s="1281"/>
      <c r="CT72" s="1281"/>
      <c r="CU72" s="1281"/>
      <c r="CV72" s="1281"/>
      <c r="CW72" s="1281"/>
      <c r="CX72" s="73"/>
      <c r="CY72" s="73"/>
      <c r="DA72" s="1281"/>
      <c r="DB72" s="1281"/>
      <c r="DC72" s="1281"/>
      <c r="DD72" s="1281"/>
      <c r="DE72" s="1281"/>
      <c r="DF72" s="1281"/>
      <c r="DG72" s="72"/>
      <c r="DH72" s="72"/>
      <c r="DI72" s="72"/>
      <c r="DJ72" s="72"/>
      <c r="DK72" s="1281"/>
      <c r="DL72" s="73"/>
    </row>
    <row r="73" spans="1:157" x14ac:dyDescent="0.3">
      <c r="C73" s="879"/>
      <c r="E73" s="8"/>
      <c r="G73" s="879"/>
      <c r="H73" s="654"/>
      <c r="I73" s="654"/>
      <c r="J73" s="654"/>
      <c r="BT73" s="616"/>
      <c r="CP73" s="1281"/>
      <c r="CR73" s="1282"/>
      <c r="CS73" s="1282"/>
      <c r="CT73" s="1282"/>
      <c r="CU73" s="1282"/>
      <c r="CV73" s="1282"/>
      <c r="CW73" s="1282"/>
      <c r="CX73" s="73"/>
      <c r="CY73" s="73"/>
      <c r="DA73" s="1281"/>
      <c r="DB73" s="1281"/>
      <c r="DC73" s="1281"/>
      <c r="DD73" s="1281"/>
      <c r="DE73" s="1281"/>
      <c r="DF73" s="1281"/>
      <c r="DG73" s="72"/>
      <c r="DH73" s="72"/>
      <c r="DI73" s="72"/>
      <c r="DJ73" s="72"/>
      <c r="DL73" s="72"/>
    </row>
    <row r="74" spans="1:157" x14ac:dyDescent="0.3">
      <c r="B74" s="1139"/>
      <c r="C74" s="574"/>
      <c r="E74" s="8"/>
      <c r="I74" s="654"/>
      <c r="BT74" s="616"/>
      <c r="CP74" s="1281"/>
      <c r="CR74" s="1282"/>
      <c r="CS74" s="1282"/>
      <c r="CT74" s="1282"/>
      <c r="CU74" s="1282"/>
      <c r="CV74" s="1282"/>
      <c r="CW74" s="1282"/>
      <c r="CX74" s="73"/>
      <c r="CY74" s="73"/>
      <c r="DA74" s="1281"/>
      <c r="DB74" s="1281"/>
      <c r="DC74" s="1281"/>
      <c r="DD74" s="1281"/>
      <c r="DE74" s="1281"/>
      <c r="DF74" s="1281"/>
      <c r="DG74" s="72"/>
      <c r="DH74" s="72"/>
      <c r="DI74" s="72"/>
      <c r="DJ74" s="72"/>
      <c r="DL74" s="72"/>
    </row>
    <row r="75" spans="1:157" x14ac:dyDescent="0.3">
      <c r="C75" s="574"/>
      <c r="E75" s="8"/>
      <c r="BT75" s="616"/>
      <c r="CR75" s="1281"/>
      <c r="CS75" s="1281"/>
      <c r="CT75" s="1281"/>
      <c r="CU75" s="1281"/>
      <c r="CV75" s="1281"/>
      <c r="CW75" s="1281"/>
      <c r="CX75" s="73"/>
      <c r="CY75" s="73"/>
      <c r="DG75" s="72"/>
      <c r="DH75" s="72"/>
      <c r="DI75" s="72"/>
      <c r="DJ75" s="72"/>
      <c r="DL75" s="72"/>
    </row>
  </sheetData>
  <mergeCells count="145">
    <mergeCell ref="DX5:DX7"/>
    <mergeCell ref="BU5:BU7"/>
    <mergeCell ref="AY5:AY7"/>
    <mergeCell ref="AZ5:AZ7"/>
    <mergeCell ref="BP5:BP7"/>
    <mergeCell ref="P5:P7"/>
    <mergeCell ref="Q5:Q7"/>
    <mergeCell ref="S5:S7"/>
    <mergeCell ref="T5:T7"/>
    <mergeCell ref="CW4:CW7"/>
    <mergeCell ref="BR4:BZ4"/>
    <mergeCell ref="BY5:BY7"/>
    <mergeCell ref="CB5:CB7"/>
    <mergeCell ref="CC5:CC7"/>
    <mergeCell ref="CD5:CD7"/>
    <mergeCell ref="CE5:CE7"/>
    <mergeCell ref="DF4:DI4"/>
    <mergeCell ref="DL4:DL7"/>
    <mergeCell ref="DM4:DM7"/>
    <mergeCell ref="DN4:DQ4"/>
    <mergeCell ref="CH5:CH7"/>
    <mergeCell ref="DW5:DW7"/>
    <mergeCell ref="BN4:BP4"/>
    <mergeCell ref="BN5:BN7"/>
    <mergeCell ref="BO5:BO7"/>
    <mergeCell ref="C5:C7"/>
    <mergeCell ref="D5:D7"/>
    <mergeCell ref="E5:E7"/>
    <mergeCell ref="G5:H5"/>
    <mergeCell ref="I5:I7"/>
    <mergeCell ref="K5:K7"/>
    <mergeCell ref="L5:L7"/>
    <mergeCell ref="N5:N7"/>
    <mergeCell ref="CF5:CF7"/>
    <mergeCell ref="BS5:BS7"/>
    <mergeCell ref="BT5:BT7"/>
    <mergeCell ref="BX5:BX7"/>
    <mergeCell ref="DN5:DN7"/>
    <mergeCell ref="DO5:DO7"/>
    <mergeCell ref="DP5:DP7"/>
    <mergeCell ref="CC8:CE8"/>
    <mergeCell ref="CG8:CI8"/>
    <mergeCell ref="CO4:CO7"/>
    <mergeCell ref="CG5:CG7"/>
    <mergeCell ref="CI5:CI7"/>
    <mergeCell ref="CP4:CP7"/>
    <mergeCell ref="BR3:BZ3"/>
    <mergeCell ref="CX4:CX7"/>
    <mergeCell ref="CV4:CV7"/>
    <mergeCell ref="BI3:BJ4"/>
    <mergeCell ref="AC6:AE6"/>
    <mergeCell ref="AG6:AH6"/>
    <mergeCell ref="AJ6:AJ7"/>
    <mergeCell ref="AK6:AK7"/>
    <mergeCell ref="AL6:AL7"/>
    <mergeCell ref="AN6:AN7"/>
    <mergeCell ref="AW5:AW7"/>
    <mergeCell ref="AY3:BA3"/>
    <mergeCell ref="AY4:AZ4"/>
    <mergeCell ref="BA4:BA7"/>
    <mergeCell ref="BZ5:BZ7"/>
    <mergeCell ref="BE3:BE5"/>
    <mergeCell ref="BG3:BG5"/>
    <mergeCell ref="BC4:BC7"/>
    <mergeCell ref="CU4:CU7"/>
    <mergeCell ref="BI5:BI7"/>
    <mergeCell ref="BL5:BL7"/>
    <mergeCell ref="BR5:BR7"/>
    <mergeCell ref="CL4:CL7"/>
    <mergeCell ref="CN4:CN7"/>
    <mergeCell ref="X8:Z8"/>
    <mergeCell ref="AJ8:AL8"/>
    <mergeCell ref="X5:X7"/>
    <mergeCell ref="AN4:AP5"/>
    <mergeCell ref="AQ4:AS4"/>
    <mergeCell ref="AA5:AA7"/>
    <mergeCell ref="AC5:AH5"/>
    <mergeCell ref="AJ5:AL5"/>
    <mergeCell ref="AQ5:AQ7"/>
    <mergeCell ref="AO6:AO7"/>
    <mergeCell ref="AP6:AP7"/>
    <mergeCell ref="Z5:Z7"/>
    <mergeCell ref="DY5:DY7"/>
    <mergeCell ref="B3:B7"/>
    <mergeCell ref="C3:I3"/>
    <mergeCell ref="K3:Q3"/>
    <mergeCell ref="S3:V3"/>
    <mergeCell ref="X3:AL3"/>
    <mergeCell ref="AN3:AW3"/>
    <mergeCell ref="U4:U7"/>
    <mergeCell ref="V4:V7"/>
    <mergeCell ref="X4:AA4"/>
    <mergeCell ref="AC4:AL4"/>
    <mergeCell ref="AU4:AW4"/>
    <mergeCell ref="AR5:AR7"/>
    <mergeCell ref="AS5:AS7"/>
    <mergeCell ref="AU5:AU7"/>
    <mergeCell ref="AV5:AV7"/>
    <mergeCell ref="Y5:Y7"/>
    <mergeCell ref="G4:I4"/>
    <mergeCell ref="K4:L4"/>
    <mergeCell ref="N4:Q4"/>
    <mergeCell ref="S4:T4"/>
    <mergeCell ref="C4:E4"/>
    <mergeCell ref="G6:G7"/>
    <mergeCell ref="H6:H7"/>
    <mergeCell ref="DQ5:DQ7"/>
    <mergeCell ref="CQ4:CQ7"/>
    <mergeCell ref="DG5:DG7"/>
    <mergeCell ref="DH5:DH7"/>
    <mergeCell ref="DI5:DI7"/>
    <mergeCell ref="CR4:CR7"/>
    <mergeCell ref="CS4:CS7"/>
    <mergeCell ref="CT4:CT7"/>
    <mergeCell ref="CY4:CY7"/>
    <mergeCell ref="CZ4:CZ7"/>
    <mergeCell ref="DA4:DA7"/>
    <mergeCell ref="DB4:DB7"/>
    <mergeCell ref="DC4:DC7"/>
    <mergeCell ref="DD4:DD7"/>
    <mergeCell ref="DJ4:DJ7"/>
    <mergeCell ref="EF4:EF7"/>
    <mergeCell ref="DK4:DK7"/>
    <mergeCell ref="O5:O7"/>
    <mergeCell ref="ED4:ED7"/>
    <mergeCell ref="EB4:EB7"/>
    <mergeCell ref="EE4:EE7"/>
    <mergeCell ref="CM4:CM7"/>
    <mergeCell ref="DT4:DT7"/>
    <mergeCell ref="BL3:BL4"/>
    <mergeCell ref="EC4:EC7"/>
    <mergeCell ref="DZ5:DZ7"/>
    <mergeCell ref="BJ5:BJ7"/>
    <mergeCell ref="BV5:BV7"/>
    <mergeCell ref="BW5:BW7"/>
    <mergeCell ref="DW4:DZ4"/>
    <mergeCell ref="DU4:DU7"/>
    <mergeCell ref="DE4:DE7"/>
    <mergeCell ref="DS4:DS7"/>
    <mergeCell ref="DF5:DF7"/>
    <mergeCell ref="BN3:BP3"/>
    <mergeCell ref="CB3:DZ3"/>
    <mergeCell ref="CB4:CE4"/>
    <mergeCell ref="CG4:CI4"/>
    <mergeCell ref="CK4:CK7"/>
  </mergeCells>
  <hyperlinks>
    <hyperlink ref="G1" location="Index!A1" display="Index"/>
  </hyperlink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5" tint="0.59999389629810485"/>
  </sheetPr>
  <dimension ref="A1:AY76"/>
  <sheetViews>
    <sheetView workbookViewId="0">
      <pane ySplit="9" topLeftCell="A10" activePane="bottomLeft" state="frozen"/>
      <selection pane="bottomLeft" activeCell="T66" sqref="T66"/>
    </sheetView>
  </sheetViews>
  <sheetFormatPr defaultRowHeight="14.4" x14ac:dyDescent="0.3"/>
  <cols>
    <col min="1" max="1" width="9.5546875" style="641" customWidth="1"/>
    <col min="2" max="2" width="13" style="641" customWidth="1"/>
    <col min="3" max="5" width="11.44140625" style="641" customWidth="1"/>
    <col min="6" max="6" width="14.5546875" style="641" customWidth="1"/>
    <col min="7" max="7" width="4.77734375" style="641" customWidth="1"/>
    <col min="8" max="8" width="10.77734375" style="641" customWidth="1"/>
    <col min="9" max="9" width="3.77734375" style="641" customWidth="1"/>
    <col min="10" max="10" width="9" style="655" customWidth="1"/>
    <col min="11" max="11" width="7.109375" style="641" customWidth="1"/>
    <col min="12" max="12" width="1.77734375" style="655" customWidth="1"/>
    <col min="13" max="13" width="8" style="641" customWidth="1"/>
    <col min="14" max="14" width="8.5546875" style="641" customWidth="1"/>
    <col min="15" max="15" width="1.5546875" style="655" customWidth="1"/>
    <col min="16" max="16" width="7.21875" style="655" customWidth="1"/>
    <col min="17" max="17" width="8.44140625" style="641" customWidth="1"/>
    <col min="18" max="18" width="2.21875" style="641" customWidth="1"/>
    <col min="19" max="19" width="8.44140625" style="641" customWidth="1"/>
    <col min="20" max="20" width="8.21875" style="641" customWidth="1"/>
    <col min="21" max="21" width="11.109375" style="641" customWidth="1"/>
    <col min="22" max="22" width="8.5546875" style="641" customWidth="1"/>
    <col min="23" max="23" width="2.21875" style="641" customWidth="1"/>
    <col min="24" max="24" width="8.44140625" style="641" customWidth="1"/>
    <col min="25" max="25" width="10.44140625" style="641" customWidth="1"/>
    <col min="26" max="26" width="8.21875" style="641" customWidth="1"/>
    <col min="27" max="27" width="2.21875" style="641" customWidth="1"/>
    <col min="28" max="28" width="9.44140625" style="641" customWidth="1"/>
    <col min="29" max="29" width="9.88671875" style="641" customWidth="1"/>
    <col min="30" max="30" width="8.44140625" style="641" customWidth="1"/>
    <col min="31" max="31" width="2.88671875" style="641" customWidth="1"/>
    <col min="32" max="32" width="9.21875" style="641" customWidth="1"/>
    <col min="33" max="33" width="9.77734375" style="641" customWidth="1"/>
    <col min="34" max="34" width="7.88671875" style="641" customWidth="1"/>
    <col min="35" max="35" width="4.77734375" style="641" customWidth="1"/>
    <col min="36" max="37" width="10.5546875" style="641" customWidth="1"/>
    <col min="38" max="38" width="2.44140625" style="641" customWidth="1"/>
    <col min="39" max="42" width="10.5546875" style="641" customWidth="1"/>
    <col min="43" max="43" width="14" style="641" customWidth="1"/>
    <col min="44" max="44" width="13.21875" style="641" customWidth="1"/>
    <col min="45" max="45" width="4.21875" style="641" customWidth="1"/>
    <col min="46" max="46" width="9.44140625" style="641" customWidth="1"/>
    <col min="47" max="47" width="9.77734375" style="641" customWidth="1"/>
    <col min="48" max="48" width="2.77734375" style="641" customWidth="1"/>
    <col min="49" max="49" width="11.109375" style="641" customWidth="1"/>
    <col min="50" max="50" width="10" style="641" customWidth="1"/>
    <col min="51" max="51" width="8.77734375" style="641" customWidth="1"/>
    <col min="52" max="99" width="9.109375" style="641"/>
    <col min="100" max="100" width="9.5546875" style="641" customWidth="1"/>
    <col min="101" max="101" width="11" style="641" customWidth="1"/>
    <col min="102" max="103" width="11.21875" style="641" customWidth="1"/>
    <col min="104" max="104" width="11.5546875" style="641" customWidth="1"/>
    <col min="105" max="105" width="11.109375" style="641" customWidth="1"/>
    <col min="106" max="106" width="2" style="641" customWidth="1"/>
    <col min="107" max="107" width="13.5546875" style="641" customWidth="1"/>
    <col min="108" max="108" width="12.44140625" style="641" customWidth="1"/>
    <col min="109" max="109" width="13.5546875" style="641" customWidth="1"/>
    <col min="110" max="110" width="2.109375" style="641" customWidth="1"/>
    <col min="111" max="111" width="9.109375" style="641"/>
    <col min="112" max="112" width="10.21875" style="641" customWidth="1"/>
    <col min="113" max="113" width="1.88671875" style="641" customWidth="1"/>
    <col min="114" max="114" width="10.77734375" style="641" customWidth="1"/>
    <col min="115" max="115" width="9.109375" style="641"/>
    <col min="116" max="116" width="2.109375" style="641" customWidth="1"/>
    <col min="117" max="117" width="9.109375" style="641"/>
    <col min="118" max="118" width="11.21875" style="641" customWidth="1"/>
    <col min="119" max="119" width="12.77734375" style="641" customWidth="1"/>
    <col min="120" max="120" width="12.5546875" style="641" customWidth="1"/>
    <col min="121" max="121" width="2" style="641" customWidth="1"/>
    <col min="122" max="123" width="9.109375" style="641"/>
    <col min="124" max="124" width="11" style="641" customWidth="1"/>
    <col min="125" max="125" width="9.109375" style="641"/>
    <col min="126" max="126" width="2.21875" style="641" customWidth="1"/>
    <col min="127" max="127" width="11" style="641" customWidth="1"/>
    <col min="128" max="128" width="9.109375" style="641"/>
    <col min="129" max="129" width="11.5546875" style="641" customWidth="1"/>
    <col min="130" max="130" width="11.21875" style="641" customWidth="1"/>
    <col min="131" max="131" width="2.88671875" style="641" customWidth="1"/>
    <col min="132" max="133" width="9.109375" style="641"/>
    <col min="134" max="134" width="11.21875" style="641" customWidth="1"/>
    <col min="135" max="135" width="2.21875" style="641" customWidth="1"/>
    <col min="136" max="136" width="9.109375" style="641"/>
    <col min="137" max="137" width="10.44140625" style="641" customWidth="1"/>
    <col min="138" max="138" width="9.109375" style="641"/>
    <col min="139" max="139" width="11.109375" style="641" customWidth="1"/>
    <col min="140" max="141" width="9.109375" style="641"/>
    <col min="142" max="142" width="10.88671875" style="641" customWidth="1"/>
    <col min="143" max="144" width="9.109375" style="641"/>
    <col min="145" max="145" width="1.5546875" style="641" customWidth="1"/>
    <col min="146" max="146" width="9.77734375" style="641" customWidth="1"/>
    <col min="147" max="150" width="9.109375" style="641"/>
    <col min="151" max="151" width="1.88671875" style="641" customWidth="1"/>
    <col min="152" max="152" width="9.88671875" style="641" customWidth="1"/>
    <col min="153" max="153" width="1.5546875" style="641" customWidth="1"/>
    <col min="154" max="154" width="11.44140625" style="641" customWidth="1"/>
    <col min="155" max="155" width="2.21875" style="641" customWidth="1"/>
    <col min="156" max="156" width="12" style="641" customWidth="1"/>
    <col min="157" max="157" width="2" style="641" customWidth="1"/>
    <col min="158" max="158" width="9.109375" style="641"/>
    <col min="159" max="159" width="11.109375" style="641" customWidth="1"/>
    <col min="160" max="160" width="12" style="641" customWidth="1"/>
    <col min="161" max="161" width="9.109375" style="641"/>
    <col min="162" max="162" width="11.88671875" style="641" customWidth="1"/>
    <col min="163" max="163" width="14.21875" style="641" customWidth="1"/>
    <col min="164" max="167" width="9.109375" style="641"/>
    <col min="168" max="168" width="3.44140625" style="641" customWidth="1"/>
    <col min="169" max="170" width="9.109375" style="641"/>
    <col min="171" max="171" width="11.44140625" style="641" customWidth="1"/>
    <col min="172" max="172" width="2.77734375" style="641" customWidth="1"/>
    <col min="173" max="355" width="9.109375" style="641"/>
    <col min="356" max="356" width="9.5546875" style="641" customWidth="1"/>
    <col min="357" max="357" width="11" style="641" customWidth="1"/>
    <col min="358" max="359" width="11.21875" style="641" customWidth="1"/>
    <col min="360" max="360" width="11.5546875" style="641" customWidth="1"/>
    <col min="361" max="361" width="11.109375" style="641" customWidth="1"/>
    <col min="362" max="362" width="2" style="641" customWidth="1"/>
    <col min="363" max="363" width="13.5546875" style="641" customWidth="1"/>
    <col min="364" max="364" width="12.44140625" style="641" customWidth="1"/>
    <col min="365" max="365" width="13.5546875" style="641" customWidth="1"/>
    <col min="366" max="366" width="2.109375" style="641" customWidth="1"/>
    <col min="367" max="367" width="9.109375" style="641"/>
    <col min="368" max="368" width="10.21875" style="641" customWidth="1"/>
    <col min="369" max="369" width="1.88671875" style="641" customWidth="1"/>
    <col min="370" max="370" width="10.77734375" style="641" customWidth="1"/>
    <col min="371" max="371" width="9.109375" style="641"/>
    <col min="372" max="372" width="2.109375" style="641" customWidth="1"/>
    <col min="373" max="373" width="9.109375" style="641"/>
    <col min="374" max="374" width="11.21875" style="641" customWidth="1"/>
    <col min="375" max="375" width="12.77734375" style="641" customWidth="1"/>
    <col min="376" max="376" width="12.5546875" style="641" customWidth="1"/>
    <col min="377" max="377" width="2" style="641" customWidth="1"/>
    <col min="378" max="379" width="9.109375" style="641"/>
    <col min="380" max="380" width="11" style="641" customWidth="1"/>
    <col min="381" max="381" width="9.109375" style="641"/>
    <col min="382" max="382" width="2.21875" style="641" customWidth="1"/>
    <col min="383" max="383" width="11" style="641" customWidth="1"/>
    <col min="384" max="384" width="9.109375" style="641"/>
    <col min="385" max="385" width="11.5546875" style="641" customWidth="1"/>
    <col min="386" max="386" width="11.21875" style="641" customWidth="1"/>
    <col min="387" max="387" width="2.88671875" style="641" customWidth="1"/>
    <col min="388" max="389" width="9.109375" style="641"/>
    <col min="390" max="390" width="11.21875" style="641" customWidth="1"/>
    <col min="391" max="391" width="2.21875" style="641" customWidth="1"/>
    <col min="392" max="392" width="9.109375" style="641"/>
    <col min="393" max="393" width="10.44140625" style="641" customWidth="1"/>
    <col min="394" max="394" width="9.109375" style="641"/>
    <col min="395" max="395" width="11.109375" style="641" customWidth="1"/>
    <col min="396" max="397" width="9.109375" style="641"/>
    <col min="398" max="398" width="10.88671875" style="641" customWidth="1"/>
    <col min="399" max="400" width="9.109375" style="641"/>
    <col min="401" max="401" width="1.5546875" style="641" customWidth="1"/>
    <col min="402" max="402" width="9.77734375" style="641" customWidth="1"/>
    <col min="403" max="406" width="9.109375" style="641"/>
    <col min="407" max="407" width="1.88671875" style="641" customWidth="1"/>
    <col min="408" max="408" width="9.88671875" style="641" customWidth="1"/>
    <col min="409" max="409" width="1.5546875" style="641" customWidth="1"/>
    <col min="410" max="410" width="11.44140625" style="641" customWidth="1"/>
    <col min="411" max="411" width="2.21875" style="641" customWidth="1"/>
    <col min="412" max="412" width="12" style="641" customWidth="1"/>
    <col min="413" max="413" width="2" style="641" customWidth="1"/>
    <col min="414" max="414" width="9.109375" style="641"/>
    <col min="415" max="415" width="11.109375" style="641" customWidth="1"/>
    <col min="416" max="416" width="12" style="641" customWidth="1"/>
    <col min="417" max="417" width="9.109375" style="641"/>
    <col min="418" max="418" width="11.88671875" style="641" customWidth="1"/>
    <col min="419" max="419" width="14.21875" style="641" customWidth="1"/>
    <col min="420" max="423" width="9.109375" style="641"/>
    <col min="424" max="424" width="3.44140625" style="641" customWidth="1"/>
    <col min="425" max="426" width="9.109375" style="641"/>
    <col min="427" max="427" width="11.44140625" style="641" customWidth="1"/>
    <col min="428" max="428" width="2.77734375" style="641" customWidth="1"/>
    <col min="429" max="611" width="9.109375" style="641"/>
    <col min="612" max="612" width="9.5546875" style="641" customWidth="1"/>
    <col min="613" max="613" width="11" style="641" customWidth="1"/>
    <col min="614" max="615" width="11.21875" style="641" customWidth="1"/>
    <col min="616" max="616" width="11.5546875" style="641" customWidth="1"/>
    <col min="617" max="617" width="11.109375" style="641" customWidth="1"/>
    <col min="618" max="618" width="2" style="641" customWidth="1"/>
    <col min="619" max="619" width="13.5546875" style="641" customWidth="1"/>
    <col min="620" max="620" width="12.44140625" style="641" customWidth="1"/>
    <col min="621" max="621" width="13.5546875" style="641" customWidth="1"/>
    <col min="622" max="622" width="2.109375" style="641" customWidth="1"/>
    <col min="623" max="623" width="9.109375" style="641"/>
    <col min="624" max="624" width="10.21875" style="641" customWidth="1"/>
    <col min="625" max="625" width="1.88671875" style="641" customWidth="1"/>
    <col min="626" max="626" width="10.77734375" style="641" customWidth="1"/>
    <col min="627" max="627" width="9.109375" style="641"/>
    <col min="628" max="628" width="2.109375" style="641" customWidth="1"/>
    <col min="629" max="629" width="9.109375" style="641"/>
    <col min="630" max="630" width="11.21875" style="641" customWidth="1"/>
    <col min="631" max="631" width="12.77734375" style="641" customWidth="1"/>
    <col min="632" max="632" width="12.5546875" style="641" customWidth="1"/>
    <col min="633" max="633" width="2" style="641" customWidth="1"/>
    <col min="634" max="635" width="9.109375" style="641"/>
    <col min="636" max="636" width="11" style="641" customWidth="1"/>
    <col min="637" max="637" width="9.109375" style="641"/>
    <col min="638" max="638" width="2.21875" style="641" customWidth="1"/>
    <col min="639" max="639" width="11" style="641" customWidth="1"/>
    <col min="640" max="640" width="9.109375" style="641"/>
    <col min="641" max="641" width="11.5546875" style="641" customWidth="1"/>
    <col min="642" max="642" width="11.21875" style="641" customWidth="1"/>
    <col min="643" max="643" width="2.88671875" style="641" customWidth="1"/>
    <col min="644" max="645" width="9.109375" style="641"/>
    <col min="646" max="646" width="11.21875" style="641" customWidth="1"/>
    <col min="647" max="647" width="2.21875" style="641" customWidth="1"/>
    <col min="648" max="648" width="9.109375" style="641"/>
    <col min="649" max="649" width="10.44140625" style="641" customWidth="1"/>
    <col min="650" max="650" width="9.109375" style="641"/>
    <col min="651" max="651" width="11.109375" style="641" customWidth="1"/>
    <col min="652" max="653" width="9.109375" style="641"/>
    <col min="654" max="654" width="10.88671875" style="641" customWidth="1"/>
    <col min="655" max="656" width="9.109375" style="641"/>
    <col min="657" max="657" width="1.5546875" style="641" customWidth="1"/>
    <col min="658" max="658" width="9.77734375" style="641" customWidth="1"/>
    <col min="659" max="662" width="9.109375" style="641"/>
    <col min="663" max="663" width="1.88671875" style="641" customWidth="1"/>
    <col min="664" max="664" width="9.88671875" style="641" customWidth="1"/>
    <col min="665" max="665" width="1.5546875" style="641" customWidth="1"/>
    <col min="666" max="666" width="11.44140625" style="641" customWidth="1"/>
    <col min="667" max="667" width="2.21875" style="641" customWidth="1"/>
    <col min="668" max="668" width="12" style="641" customWidth="1"/>
    <col min="669" max="669" width="2" style="641" customWidth="1"/>
    <col min="670" max="670" width="9.109375" style="641"/>
    <col min="671" max="671" width="11.109375" style="641" customWidth="1"/>
    <col min="672" max="672" width="12" style="641" customWidth="1"/>
    <col min="673" max="673" width="9.109375" style="641"/>
    <col min="674" max="674" width="11.88671875" style="641" customWidth="1"/>
    <col min="675" max="675" width="14.21875" style="641" customWidth="1"/>
    <col min="676" max="679" width="9.109375" style="641"/>
    <col min="680" max="680" width="3.44140625" style="641" customWidth="1"/>
    <col min="681" max="682" width="9.109375" style="641"/>
    <col min="683" max="683" width="11.44140625" style="641" customWidth="1"/>
    <col min="684" max="684" width="2.77734375" style="641" customWidth="1"/>
    <col min="685" max="867" width="9.109375" style="641"/>
    <col min="868" max="868" width="9.5546875" style="641" customWidth="1"/>
    <col min="869" max="869" width="11" style="641" customWidth="1"/>
    <col min="870" max="871" width="11.21875" style="641" customWidth="1"/>
    <col min="872" max="872" width="11.5546875" style="641" customWidth="1"/>
    <col min="873" max="873" width="11.109375" style="641" customWidth="1"/>
    <col min="874" max="874" width="2" style="641" customWidth="1"/>
    <col min="875" max="875" width="13.5546875" style="641" customWidth="1"/>
    <col min="876" max="876" width="12.44140625" style="641" customWidth="1"/>
    <col min="877" max="877" width="13.5546875" style="641" customWidth="1"/>
    <col min="878" max="878" width="2.109375" style="641" customWidth="1"/>
    <col min="879" max="879" width="9.109375" style="641"/>
    <col min="880" max="880" width="10.21875" style="641" customWidth="1"/>
    <col min="881" max="881" width="1.88671875" style="641" customWidth="1"/>
    <col min="882" max="882" width="10.77734375" style="641" customWidth="1"/>
    <col min="883" max="883" width="9.109375" style="641"/>
    <col min="884" max="884" width="2.109375" style="641" customWidth="1"/>
    <col min="885" max="885" width="9.109375" style="641"/>
    <col min="886" max="886" width="11.21875" style="641" customWidth="1"/>
    <col min="887" max="887" width="12.77734375" style="641" customWidth="1"/>
    <col min="888" max="888" width="12.5546875" style="641" customWidth="1"/>
    <col min="889" max="889" width="2" style="641" customWidth="1"/>
    <col min="890" max="891" width="9.109375" style="641"/>
    <col min="892" max="892" width="11" style="641" customWidth="1"/>
    <col min="893" max="893" width="9.109375" style="641"/>
    <col min="894" max="894" width="2.21875" style="641" customWidth="1"/>
    <col min="895" max="895" width="11" style="641" customWidth="1"/>
    <col min="896" max="896" width="9.109375" style="641"/>
    <col min="897" max="897" width="11.5546875" style="641" customWidth="1"/>
    <col min="898" max="898" width="11.21875" style="641" customWidth="1"/>
    <col min="899" max="899" width="2.88671875" style="641" customWidth="1"/>
    <col min="900" max="901" width="9.109375" style="641"/>
    <col min="902" max="902" width="11.21875" style="641" customWidth="1"/>
    <col min="903" max="903" width="2.21875" style="641" customWidth="1"/>
    <col min="904" max="904" width="9.109375" style="641"/>
    <col min="905" max="905" width="10.44140625" style="641" customWidth="1"/>
    <col min="906" max="906" width="9.109375" style="641"/>
    <col min="907" max="907" width="11.109375" style="641" customWidth="1"/>
    <col min="908" max="909" width="9.109375" style="641"/>
    <col min="910" max="910" width="10.88671875" style="641" customWidth="1"/>
    <col min="911" max="912" width="9.109375" style="641"/>
    <col min="913" max="913" width="1.5546875" style="641" customWidth="1"/>
    <col min="914" max="914" width="9.77734375" style="641" customWidth="1"/>
    <col min="915" max="918" width="9.109375" style="641"/>
    <col min="919" max="919" width="1.88671875" style="641" customWidth="1"/>
    <col min="920" max="920" width="9.88671875" style="641" customWidth="1"/>
    <col min="921" max="921" width="1.5546875" style="641" customWidth="1"/>
    <col min="922" max="922" width="11.44140625" style="641" customWidth="1"/>
    <col min="923" max="923" width="2.21875" style="641" customWidth="1"/>
    <col min="924" max="924" width="12" style="641" customWidth="1"/>
    <col min="925" max="925" width="2" style="641" customWidth="1"/>
    <col min="926" max="926" width="9.109375" style="641"/>
    <col min="927" max="927" width="11.109375" style="641" customWidth="1"/>
    <col min="928" max="928" width="12" style="641" customWidth="1"/>
    <col min="929" max="929" width="9.109375" style="641"/>
    <col min="930" max="930" width="11.88671875" style="641" customWidth="1"/>
    <col min="931" max="931" width="14.21875" style="641" customWidth="1"/>
    <col min="932" max="935" width="9.109375" style="641"/>
    <col min="936" max="936" width="3.44140625" style="641" customWidth="1"/>
    <col min="937" max="938" width="9.109375" style="641"/>
    <col min="939" max="939" width="11.44140625" style="641" customWidth="1"/>
    <col min="940" max="940" width="2.77734375" style="641" customWidth="1"/>
    <col min="941" max="1123" width="9.109375" style="641"/>
    <col min="1124" max="1124" width="9.5546875" style="641" customWidth="1"/>
    <col min="1125" max="1125" width="11" style="641" customWidth="1"/>
    <col min="1126" max="1127" width="11.21875" style="641" customWidth="1"/>
    <col min="1128" max="1128" width="11.5546875" style="641" customWidth="1"/>
    <col min="1129" max="1129" width="11.109375" style="641" customWidth="1"/>
    <col min="1130" max="1130" width="2" style="641" customWidth="1"/>
    <col min="1131" max="1131" width="13.5546875" style="641" customWidth="1"/>
    <col min="1132" max="1132" width="12.44140625" style="641" customWidth="1"/>
    <col min="1133" max="1133" width="13.5546875" style="641" customWidth="1"/>
    <col min="1134" max="1134" width="2.109375" style="641" customWidth="1"/>
    <col min="1135" max="1135" width="9.109375" style="641"/>
    <col min="1136" max="1136" width="10.21875" style="641" customWidth="1"/>
    <col min="1137" max="1137" width="1.88671875" style="641" customWidth="1"/>
    <col min="1138" max="1138" width="10.77734375" style="641" customWidth="1"/>
    <col min="1139" max="1139" width="9.109375" style="641"/>
    <col min="1140" max="1140" width="2.109375" style="641" customWidth="1"/>
    <col min="1141" max="1141" width="9.109375" style="641"/>
    <col min="1142" max="1142" width="11.21875" style="641" customWidth="1"/>
    <col min="1143" max="1143" width="12.77734375" style="641" customWidth="1"/>
    <col min="1144" max="1144" width="12.5546875" style="641" customWidth="1"/>
    <col min="1145" max="1145" width="2" style="641" customWidth="1"/>
    <col min="1146" max="1147" width="9.109375" style="641"/>
    <col min="1148" max="1148" width="11" style="641" customWidth="1"/>
    <col min="1149" max="1149" width="9.109375" style="641"/>
    <col min="1150" max="1150" width="2.21875" style="641" customWidth="1"/>
    <col min="1151" max="1151" width="11" style="641" customWidth="1"/>
    <col min="1152" max="1152" width="9.109375" style="641"/>
    <col min="1153" max="1153" width="11.5546875" style="641" customWidth="1"/>
    <col min="1154" max="1154" width="11.21875" style="641" customWidth="1"/>
    <col min="1155" max="1155" width="2.88671875" style="641" customWidth="1"/>
    <col min="1156" max="1157" width="9.109375" style="641"/>
    <col min="1158" max="1158" width="11.21875" style="641" customWidth="1"/>
    <col min="1159" max="1159" width="2.21875" style="641" customWidth="1"/>
    <col min="1160" max="1160" width="9.109375" style="641"/>
    <col min="1161" max="1161" width="10.44140625" style="641" customWidth="1"/>
    <col min="1162" max="1162" width="9.109375" style="641"/>
    <col min="1163" max="1163" width="11.109375" style="641" customWidth="1"/>
    <col min="1164" max="1165" width="9.109375" style="641"/>
    <col min="1166" max="1166" width="10.88671875" style="641" customWidth="1"/>
    <col min="1167" max="1168" width="9.109375" style="641"/>
    <col min="1169" max="1169" width="1.5546875" style="641" customWidth="1"/>
    <col min="1170" max="1170" width="9.77734375" style="641" customWidth="1"/>
    <col min="1171" max="1174" width="9.109375" style="641"/>
    <col min="1175" max="1175" width="1.88671875" style="641" customWidth="1"/>
    <col min="1176" max="1176" width="9.88671875" style="641" customWidth="1"/>
    <col min="1177" max="1177" width="1.5546875" style="641" customWidth="1"/>
    <col min="1178" max="1178" width="11.44140625" style="641" customWidth="1"/>
    <col min="1179" max="1179" width="2.21875" style="641" customWidth="1"/>
    <col min="1180" max="1180" width="12" style="641" customWidth="1"/>
    <col min="1181" max="1181" width="2" style="641" customWidth="1"/>
    <col min="1182" max="1182" width="9.109375" style="641"/>
    <col min="1183" max="1183" width="11.109375" style="641" customWidth="1"/>
    <col min="1184" max="1184" width="12" style="641" customWidth="1"/>
    <col min="1185" max="1185" width="9.109375" style="641"/>
    <col min="1186" max="1186" width="11.88671875" style="641" customWidth="1"/>
    <col min="1187" max="1187" width="14.21875" style="641" customWidth="1"/>
    <col min="1188" max="1191" width="9.109375" style="641"/>
    <col min="1192" max="1192" width="3.44140625" style="641" customWidth="1"/>
    <col min="1193" max="1194" width="9.109375" style="641"/>
    <col min="1195" max="1195" width="11.44140625" style="641" customWidth="1"/>
    <col min="1196" max="1196" width="2.77734375" style="641" customWidth="1"/>
    <col min="1197" max="1379" width="9.109375" style="641"/>
    <col min="1380" max="1380" width="9.5546875" style="641" customWidth="1"/>
    <col min="1381" max="1381" width="11" style="641" customWidth="1"/>
    <col min="1382" max="1383" width="11.21875" style="641" customWidth="1"/>
    <col min="1384" max="1384" width="11.5546875" style="641" customWidth="1"/>
    <col min="1385" max="1385" width="11.109375" style="641" customWidth="1"/>
    <col min="1386" max="1386" width="2" style="641" customWidth="1"/>
    <col min="1387" max="1387" width="13.5546875" style="641" customWidth="1"/>
    <col min="1388" max="1388" width="12.44140625" style="641" customWidth="1"/>
    <col min="1389" max="1389" width="13.5546875" style="641" customWidth="1"/>
    <col min="1390" max="1390" width="2.109375" style="641" customWidth="1"/>
    <col min="1391" max="1391" width="9.109375" style="641"/>
    <col min="1392" max="1392" width="10.21875" style="641" customWidth="1"/>
    <col min="1393" max="1393" width="1.88671875" style="641" customWidth="1"/>
    <col min="1394" max="1394" width="10.77734375" style="641" customWidth="1"/>
    <col min="1395" max="1395" width="9.109375" style="641"/>
    <col min="1396" max="1396" width="2.109375" style="641" customWidth="1"/>
    <col min="1397" max="1397" width="9.109375" style="641"/>
    <col min="1398" max="1398" width="11.21875" style="641" customWidth="1"/>
    <col min="1399" max="1399" width="12.77734375" style="641" customWidth="1"/>
    <col min="1400" max="1400" width="12.5546875" style="641" customWidth="1"/>
    <col min="1401" max="1401" width="2" style="641" customWidth="1"/>
    <col min="1402" max="1403" width="9.109375" style="641"/>
    <col min="1404" max="1404" width="11" style="641" customWidth="1"/>
    <col min="1405" max="1405" width="9.109375" style="641"/>
    <col min="1406" max="1406" width="2.21875" style="641" customWidth="1"/>
    <col min="1407" max="1407" width="11" style="641" customWidth="1"/>
    <col min="1408" max="1408" width="9.109375" style="641"/>
    <col min="1409" max="1409" width="11.5546875" style="641" customWidth="1"/>
    <col min="1410" max="1410" width="11.21875" style="641" customWidth="1"/>
    <col min="1411" max="1411" width="2.88671875" style="641" customWidth="1"/>
    <col min="1412" max="1413" width="9.109375" style="641"/>
    <col min="1414" max="1414" width="11.21875" style="641" customWidth="1"/>
    <col min="1415" max="1415" width="2.21875" style="641" customWidth="1"/>
    <col min="1416" max="1416" width="9.109375" style="641"/>
    <col min="1417" max="1417" width="10.44140625" style="641" customWidth="1"/>
    <col min="1418" max="1418" width="9.109375" style="641"/>
    <col min="1419" max="1419" width="11.109375" style="641" customWidth="1"/>
    <col min="1420" max="1421" width="9.109375" style="641"/>
    <col min="1422" max="1422" width="10.88671875" style="641" customWidth="1"/>
    <col min="1423" max="1424" width="9.109375" style="641"/>
    <col min="1425" max="1425" width="1.5546875" style="641" customWidth="1"/>
    <col min="1426" max="1426" width="9.77734375" style="641" customWidth="1"/>
    <col min="1427" max="1430" width="9.109375" style="641"/>
    <col min="1431" max="1431" width="1.88671875" style="641" customWidth="1"/>
    <col min="1432" max="1432" width="9.88671875" style="641" customWidth="1"/>
    <col min="1433" max="1433" width="1.5546875" style="641" customWidth="1"/>
    <col min="1434" max="1434" width="11.44140625" style="641" customWidth="1"/>
    <col min="1435" max="1435" width="2.21875" style="641" customWidth="1"/>
    <col min="1436" max="1436" width="12" style="641" customWidth="1"/>
    <col min="1437" max="1437" width="2" style="641" customWidth="1"/>
    <col min="1438" max="1438" width="9.109375" style="641"/>
    <col min="1439" max="1439" width="11.109375" style="641" customWidth="1"/>
    <col min="1440" max="1440" width="12" style="641" customWidth="1"/>
    <col min="1441" max="1441" width="9.109375" style="641"/>
    <col min="1442" max="1442" width="11.88671875" style="641" customWidth="1"/>
    <col min="1443" max="1443" width="14.21875" style="641" customWidth="1"/>
    <col min="1444" max="1447" width="9.109375" style="641"/>
    <col min="1448" max="1448" width="3.44140625" style="641" customWidth="1"/>
    <col min="1449" max="1450" width="9.109375" style="641"/>
    <col min="1451" max="1451" width="11.44140625" style="641" customWidth="1"/>
    <col min="1452" max="1452" width="2.77734375" style="641" customWidth="1"/>
    <col min="1453" max="1635" width="9.109375" style="641"/>
    <col min="1636" max="1636" width="9.5546875" style="641" customWidth="1"/>
    <col min="1637" max="1637" width="11" style="641" customWidth="1"/>
    <col min="1638" max="1639" width="11.21875" style="641" customWidth="1"/>
    <col min="1640" max="1640" width="11.5546875" style="641" customWidth="1"/>
    <col min="1641" max="1641" width="11.109375" style="641" customWidth="1"/>
    <col min="1642" max="1642" width="2" style="641" customWidth="1"/>
    <col min="1643" max="1643" width="13.5546875" style="641" customWidth="1"/>
    <col min="1644" max="1644" width="12.44140625" style="641" customWidth="1"/>
    <col min="1645" max="1645" width="13.5546875" style="641" customWidth="1"/>
    <col min="1646" max="1646" width="2.109375" style="641" customWidth="1"/>
    <col min="1647" max="1647" width="9.109375" style="641"/>
    <col min="1648" max="1648" width="10.21875" style="641" customWidth="1"/>
    <col min="1649" max="1649" width="1.88671875" style="641" customWidth="1"/>
    <col min="1650" max="1650" width="10.77734375" style="641" customWidth="1"/>
    <col min="1651" max="1651" width="9.109375" style="641"/>
    <col min="1652" max="1652" width="2.109375" style="641" customWidth="1"/>
    <col min="1653" max="1653" width="9.109375" style="641"/>
    <col min="1654" max="1654" width="11.21875" style="641" customWidth="1"/>
    <col min="1655" max="1655" width="12.77734375" style="641" customWidth="1"/>
    <col min="1656" max="1656" width="12.5546875" style="641" customWidth="1"/>
    <col min="1657" max="1657" width="2" style="641" customWidth="1"/>
    <col min="1658" max="1659" width="9.109375" style="641"/>
    <col min="1660" max="1660" width="11" style="641" customWidth="1"/>
    <col min="1661" max="1661" width="9.109375" style="641"/>
    <col min="1662" max="1662" width="2.21875" style="641" customWidth="1"/>
    <col min="1663" max="1663" width="11" style="641" customWidth="1"/>
    <col min="1664" max="1664" width="9.109375" style="641"/>
    <col min="1665" max="1665" width="11.5546875" style="641" customWidth="1"/>
    <col min="1666" max="1666" width="11.21875" style="641" customWidth="1"/>
    <col min="1667" max="1667" width="2.88671875" style="641" customWidth="1"/>
    <col min="1668" max="1669" width="9.109375" style="641"/>
    <col min="1670" max="1670" width="11.21875" style="641" customWidth="1"/>
    <col min="1671" max="1671" width="2.21875" style="641" customWidth="1"/>
    <col min="1672" max="1672" width="9.109375" style="641"/>
    <col min="1673" max="1673" width="10.44140625" style="641" customWidth="1"/>
    <col min="1674" max="1674" width="9.109375" style="641"/>
    <col min="1675" max="1675" width="11.109375" style="641" customWidth="1"/>
    <col min="1676" max="1677" width="9.109375" style="641"/>
    <col min="1678" max="1678" width="10.88671875" style="641" customWidth="1"/>
    <col min="1679" max="1680" width="9.109375" style="641"/>
    <col min="1681" max="1681" width="1.5546875" style="641" customWidth="1"/>
    <col min="1682" max="1682" width="9.77734375" style="641" customWidth="1"/>
    <col min="1683" max="1686" width="9.109375" style="641"/>
    <col min="1687" max="1687" width="1.88671875" style="641" customWidth="1"/>
    <col min="1688" max="1688" width="9.88671875" style="641" customWidth="1"/>
    <col min="1689" max="1689" width="1.5546875" style="641" customWidth="1"/>
    <col min="1690" max="1690" width="11.44140625" style="641" customWidth="1"/>
    <col min="1691" max="1691" width="2.21875" style="641" customWidth="1"/>
    <col min="1692" max="1692" width="12" style="641" customWidth="1"/>
    <col min="1693" max="1693" width="2" style="641" customWidth="1"/>
    <col min="1694" max="1694" width="9.109375" style="641"/>
    <col min="1695" max="1695" width="11.109375" style="641" customWidth="1"/>
    <col min="1696" max="1696" width="12" style="641" customWidth="1"/>
    <col min="1697" max="1697" width="9.109375" style="641"/>
    <col min="1698" max="1698" width="11.88671875" style="641" customWidth="1"/>
    <col min="1699" max="1699" width="14.21875" style="641" customWidth="1"/>
    <col min="1700" max="1703" width="9.109375" style="641"/>
    <col min="1704" max="1704" width="3.44140625" style="641" customWidth="1"/>
    <col min="1705" max="1706" width="9.109375" style="641"/>
    <col min="1707" max="1707" width="11.44140625" style="641" customWidth="1"/>
    <col min="1708" max="1708" width="2.77734375" style="641" customWidth="1"/>
    <col min="1709" max="1891" width="9.109375" style="641"/>
    <col min="1892" max="1892" width="9.5546875" style="641" customWidth="1"/>
    <col min="1893" max="1893" width="11" style="641" customWidth="1"/>
    <col min="1894" max="1895" width="11.21875" style="641" customWidth="1"/>
    <col min="1896" max="1896" width="11.5546875" style="641" customWidth="1"/>
    <col min="1897" max="1897" width="11.109375" style="641" customWidth="1"/>
    <col min="1898" max="1898" width="2" style="641" customWidth="1"/>
    <col min="1899" max="1899" width="13.5546875" style="641" customWidth="1"/>
    <col min="1900" max="1900" width="12.44140625" style="641" customWidth="1"/>
    <col min="1901" max="1901" width="13.5546875" style="641" customWidth="1"/>
    <col min="1902" max="1902" width="2.109375" style="641" customWidth="1"/>
    <col min="1903" max="1903" width="9.109375" style="641"/>
    <col min="1904" max="1904" width="10.21875" style="641" customWidth="1"/>
    <col min="1905" max="1905" width="1.88671875" style="641" customWidth="1"/>
    <col min="1906" max="1906" width="10.77734375" style="641" customWidth="1"/>
    <col min="1907" max="1907" width="9.109375" style="641"/>
    <col min="1908" max="1908" width="2.109375" style="641" customWidth="1"/>
    <col min="1909" max="1909" width="9.109375" style="641"/>
    <col min="1910" max="1910" width="11.21875" style="641" customWidth="1"/>
    <col min="1911" max="1911" width="12.77734375" style="641" customWidth="1"/>
    <col min="1912" max="1912" width="12.5546875" style="641" customWidth="1"/>
    <col min="1913" max="1913" width="2" style="641" customWidth="1"/>
    <col min="1914" max="1915" width="9.109375" style="641"/>
    <col min="1916" max="1916" width="11" style="641" customWidth="1"/>
    <col min="1917" max="1917" width="9.109375" style="641"/>
    <col min="1918" max="1918" width="2.21875" style="641" customWidth="1"/>
    <col min="1919" max="1919" width="11" style="641" customWidth="1"/>
    <col min="1920" max="1920" width="9.109375" style="641"/>
    <col min="1921" max="1921" width="11.5546875" style="641" customWidth="1"/>
    <col min="1922" max="1922" width="11.21875" style="641" customWidth="1"/>
    <col min="1923" max="1923" width="2.88671875" style="641" customWidth="1"/>
    <col min="1924" max="1925" width="9.109375" style="641"/>
    <col min="1926" max="1926" width="11.21875" style="641" customWidth="1"/>
    <col min="1927" max="1927" width="2.21875" style="641" customWidth="1"/>
    <col min="1928" max="1928" width="9.109375" style="641"/>
    <col min="1929" max="1929" width="10.44140625" style="641" customWidth="1"/>
    <col min="1930" max="1930" width="9.109375" style="641"/>
    <col min="1931" max="1931" width="11.109375" style="641" customWidth="1"/>
    <col min="1932" max="1933" width="9.109375" style="641"/>
    <col min="1934" max="1934" width="10.88671875" style="641" customWidth="1"/>
    <col min="1935" max="1936" width="9.109375" style="641"/>
    <col min="1937" max="1937" width="1.5546875" style="641" customWidth="1"/>
    <col min="1938" max="1938" width="9.77734375" style="641" customWidth="1"/>
    <col min="1939" max="1942" width="9.109375" style="641"/>
    <col min="1943" max="1943" width="1.88671875" style="641" customWidth="1"/>
    <col min="1944" max="1944" width="9.88671875" style="641" customWidth="1"/>
    <col min="1945" max="1945" width="1.5546875" style="641" customWidth="1"/>
    <col min="1946" max="1946" width="11.44140625" style="641" customWidth="1"/>
    <col min="1947" max="1947" width="2.21875" style="641" customWidth="1"/>
    <col min="1948" max="1948" width="12" style="641" customWidth="1"/>
    <col min="1949" max="1949" width="2" style="641" customWidth="1"/>
    <col min="1950" max="1950" width="9.109375" style="641"/>
    <col min="1951" max="1951" width="11.109375" style="641" customWidth="1"/>
    <col min="1952" max="1952" width="12" style="641" customWidth="1"/>
    <col min="1953" max="1953" width="9.109375" style="641"/>
    <col min="1954" max="1954" width="11.88671875" style="641" customWidth="1"/>
    <col min="1955" max="1955" width="14.21875" style="641" customWidth="1"/>
    <col min="1956" max="1959" width="9.109375" style="641"/>
    <col min="1960" max="1960" width="3.44140625" style="641" customWidth="1"/>
    <col min="1961" max="1962" width="9.109375" style="641"/>
    <col min="1963" max="1963" width="11.44140625" style="641" customWidth="1"/>
    <col min="1964" max="1964" width="2.77734375" style="641" customWidth="1"/>
    <col min="1965" max="2147" width="9.109375" style="641"/>
    <col min="2148" max="2148" width="9.5546875" style="641" customWidth="1"/>
    <col min="2149" max="2149" width="11" style="641" customWidth="1"/>
    <col min="2150" max="2151" width="11.21875" style="641" customWidth="1"/>
    <col min="2152" max="2152" width="11.5546875" style="641" customWidth="1"/>
    <col min="2153" max="2153" width="11.109375" style="641" customWidth="1"/>
    <col min="2154" max="2154" width="2" style="641" customWidth="1"/>
    <col min="2155" max="2155" width="13.5546875" style="641" customWidth="1"/>
    <col min="2156" max="2156" width="12.44140625" style="641" customWidth="1"/>
    <col min="2157" max="2157" width="13.5546875" style="641" customWidth="1"/>
    <col min="2158" max="2158" width="2.109375" style="641" customWidth="1"/>
    <col min="2159" max="2159" width="9.109375" style="641"/>
    <col min="2160" max="2160" width="10.21875" style="641" customWidth="1"/>
    <col min="2161" max="2161" width="1.88671875" style="641" customWidth="1"/>
    <col min="2162" max="2162" width="10.77734375" style="641" customWidth="1"/>
    <col min="2163" max="2163" width="9.109375" style="641"/>
    <col min="2164" max="2164" width="2.109375" style="641" customWidth="1"/>
    <col min="2165" max="2165" width="9.109375" style="641"/>
    <col min="2166" max="2166" width="11.21875" style="641" customWidth="1"/>
    <col min="2167" max="2167" width="12.77734375" style="641" customWidth="1"/>
    <col min="2168" max="2168" width="12.5546875" style="641" customWidth="1"/>
    <col min="2169" max="2169" width="2" style="641" customWidth="1"/>
    <col min="2170" max="2171" width="9.109375" style="641"/>
    <col min="2172" max="2172" width="11" style="641" customWidth="1"/>
    <col min="2173" max="2173" width="9.109375" style="641"/>
    <col min="2174" max="2174" width="2.21875" style="641" customWidth="1"/>
    <col min="2175" max="2175" width="11" style="641" customWidth="1"/>
    <col min="2176" max="2176" width="9.109375" style="641"/>
    <col min="2177" max="2177" width="11.5546875" style="641" customWidth="1"/>
    <col min="2178" max="2178" width="11.21875" style="641" customWidth="1"/>
    <col min="2179" max="2179" width="2.88671875" style="641" customWidth="1"/>
    <col min="2180" max="2181" width="9.109375" style="641"/>
    <col min="2182" max="2182" width="11.21875" style="641" customWidth="1"/>
    <col min="2183" max="2183" width="2.21875" style="641" customWidth="1"/>
    <col min="2184" max="2184" width="9.109375" style="641"/>
    <col min="2185" max="2185" width="10.44140625" style="641" customWidth="1"/>
    <col min="2186" max="2186" width="9.109375" style="641"/>
    <col min="2187" max="2187" width="11.109375" style="641" customWidth="1"/>
    <col min="2188" max="2189" width="9.109375" style="641"/>
    <col min="2190" max="2190" width="10.88671875" style="641" customWidth="1"/>
    <col min="2191" max="2192" width="9.109375" style="641"/>
    <col min="2193" max="2193" width="1.5546875" style="641" customWidth="1"/>
    <col min="2194" max="2194" width="9.77734375" style="641" customWidth="1"/>
    <col min="2195" max="2198" width="9.109375" style="641"/>
    <col min="2199" max="2199" width="1.88671875" style="641" customWidth="1"/>
    <col min="2200" max="2200" width="9.88671875" style="641" customWidth="1"/>
    <col min="2201" max="2201" width="1.5546875" style="641" customWidth="1"/>
    <col min="2202" max="2202" width="11.44140625" style="641" customWidth="1"/>
    <col min="2203" max="2203" width="2.21875" style="641" customWidth="1"/>
    <col min="2204" max="2204" width="12" style="641" customWidth="1"/>
    <col min="2205" max="2205" width="2" style="641" customWidth="1"/>
    <col min="2206" max="2206" width="9.109375" style="641"/>
    <col min="2207" max="2207" width="11.109375" style="641" customWidth="1"/>
    <col min="2208" max="2208" width="12" style="641" customWidth="1"/>
    <col min="2209" max="2209" width="9.109375" style="641"/>
    <col min="2210" max="2210" width="11.88671875" style="641" customWidth="1"/>
    <col min="2211" max="2211" width="14.21875" style="641" customWidth="1"/>
    <col min="2212" max="2215" width="9.109375" style="641"/>
    <col min="2216" max="2216" width="3.44140625" style="641" customWidth="1"/>
    <col min="2217" max="2218" width="9.109375" style="641"/>
    <col min="2219" max="2219" width="11.44140625" style="641" customWidth="1"/>
    <col min="2220" max="2220" width="2.77734375" style="641" customWidth="1"/>
    <col min="2221" max="2403" width="9.109375" style="641"/>
    <col min="2404" max="2404" width="9.5546875" style="641" customWidth="1"/>
    <col min="2405" max="2405" width="11" style="641" customWidth="1"/>
    <col min="2406" max="2407" width="11.21875" style="641" customWidth="1"/>
    <col min="2408" max="2408" width="11.5546875" style="641" customWidth="1"/>
    <col min="2409" max="2409" width="11.109375" style="641" customWidth="1"/>
    <col min="2410" max="2410" width="2" style="641" customWidth="1"/>
    <col min="2411" max="2411" width="13.5546875" style="641" customWidth="1"/>
    <col min="2412" max="2412" width="12.44140625" style="641" customWidth="1"/>
    <col min="2413" max="2413" width="13.5546875" style="641" customWidth="1"/>
    <col min="2414" max="2414" width="2.109375" style="641" customWidth="1"/>
    <col min="2415" max="2415" width="9.109375" style="641"/>
    <col min="2416" max="2416" width="10.21875" style="641" customWidth="1"/>
    <col min="2417" max="2417" width="1.88671875" style="641" customWidth="1"/>
    <col min="2418" max="2418" width="10.77734375" style="641" customWidth="1"/>
    <col min="2419" max="2419" width="9.109375" style="641"/>
    <col min="2420" max="2420" width="2.109375" style="641" customWidth="1"/>
    <col min="2421" max="2421" width="9.109375" style="641"/>
    <col min="2422" max="2422" width="11.21875" style="641" customWidth="1"/>
    <col min="2423" max="2423" width="12.77734375" style="641" customWidth="1"/>
    <col min="2424" max="2424" width="12.5546875" style="641" customWidth="1"/>
    <col min="2425" max="2425" width="2" style="641" customWidth="1"/>
    <col min="2426" max="2427" width="9.109375" style="641"/>
    <col min="2428" max="2428" width="11" style="641" customWidth="1"/>
    <col min="2429" max="2429" width="9.109375" style="641"/>
    <col min="2430" max="2430" width="2.21875" style="641" customWidth="1"/>
    <col min="2431" max="2431" width="11" style="641" customWidth="1"/>
    <col min="2432" max="2432" width="9.109375" style="641"/>
    <col min="2433" max="2433" width="11.5546875" style="641" customWidth="1"/>
    <col min="2434" max="2434" width="11.21875" style="641" customWidth="1"/>
    <col min="2435" max="2435" width="2.88671875" style="641" customWidth="1"/>
    <col min="2436" max="2437" width="9.109375" style="641"/>
    <col min="2438" max="2438" width="11.21875" style="641" customWidth="1"/>
    <col min="2439" max="2439" width="2.21875" style="641" customWidth="1"/>
    <col min="2440" max="2440" width="9.109375" style="641"/>
    <col min="2441" max="2441" width="10.44140625" style="641" customWidth="1"/>
    <col min="2442" max="2442" width="9.109375" style="641"/>
    <col min="2443" max="2443" width="11.109375" style="641" customWidth="1"/>
    <col min="2444" max="2445" width="9.109375" style="641"/>
    <col min="2446" max="2446" width="10.88671875" style="641" customWidth="1"/>
    <col min="2447" max="2448" width="9.109375" style="641"/>
    <col min="2449" max="2449" width="1.5546875" style="641" customWidth="1"/>
    <col min="2450" max="2450" width="9.77734375" style="641" customWidth="1"/>
    <col min="2451" max="2454" width="9.109375" style="641"/>
    <col min="2455" max="2455" width="1.88671875" style="641" customWidth="1"/>
    <col min="2456" max="2456" width="9.88671875" style="641" customWidth="1"/>
    <col min="2457" max="2457" width="1.5546875" style="641" customWidth="1"/>
    <col min="2458" max="2458" width="11.44140625" style="641" customWidth="1"/>
    <col min="2459" max="2459" width="2.21875" style="641" customWidth="1"/>
    <col min="2460" max="2460" width="12" style="641" customWidth="1"/>
    <col min="2461" max="2461" width="2" style="641" customWidth="1"/>
    <col min="2462" max="2462" width="9.109375" style="641"/>
    <col min="2463" max="2463" width="11.109375" style="641" customWidth="1"/>
    <col min="2464" max="2464" width="12" style="641" customWidth="1"/>
    <col min="2465" max="2465" width="9.109375" style="641"/>
    <col min="2466" max="2466" width="11.88671875" style="641" customWidth="1"/>
    <col min="2467" max="2467" width="14.21875" style="641" customWidth="1"/>
    <col min="2468" max="2471" width="9.109375" style="641"/>
    <col min="2472" max="2472" width="3.44140625" style="641" customWidth="1"/>
    <col min="2473" max="2474" width="9.109375" style="641"/>
    <col min="2475" max="2475" width="11.44140625" style="641" customWidth="1"/>
    <col min="2476" max="2476" width="2.77734375" style="641" customWidth="1"/>
    <col min="2477" max="2659" width="9.109375" style="641"/>
    <col min="2660" max="2660" width="9.5546875" style="641" customWidth="1"/>
    <col min="2661" max="2661" width="11" style="641" customWidth="1"/>
    <col min="2662" max="2663" width="11.21875" style="641" customWidth="1"/>
    <col min="2664" max="2664" width="11.5546875" style="641" customWidth="1"/>
    <col min="2665" max="2665" width="11.109375" style="641" customWidth="1"/>
    <col min="2666" max="2666" width="2" style="641" customWidth="1"/>
    <col min="2667" max="2667" width="13.5546875" style="641" customWidth="1"/>
    <col min="2668" max="2668" width="12.44140625" style="641" customWidth="1"/>
    <col min="2669" max="2669" width="13.5546875" style="641" customWidth="1"/>
    <col min="2670" max="2670" width="2.109375" style="641" customWidth="1"/>
    <col min="2671" max="2671" width="9.109375" style="641"/>
    <col min="2672" max="2672" width="10.21875" style="641" customWidth="1"/>
    <col min="2673" max="2673" width="1.88671875" style="641" customWidth="1"/>
    <col min="2674" max="2674" width="10.77734375" style="641" customWidth="1"/>
    <col min="2675" max="2675" width="9.109375" style="641"/>
    <col min="2676" max="2676" width="2.109375" style="641" customWidth="1"/>
    <col min="2677" max="2677" width="9.109375" style="641"/>
    <col min="2678" max="2678" width="11.21875" style="641" customWidth="1"/>
    <col min="2679" max="2679" width="12.77734375" style="641" customWidth="1"/>
    <col min="2680" max="2680" width="12.5546875" style="641" customWidth="1"/>
    <col min="2681" max="2681" width="2" style="641" customWidth="1"/>
    <col min="2682" max="2683" width="9.109375" style="641"/>
    <col min="2684" max="2684" width="11" style="641" customWidth="1"/>
    <col min="2685" max="2685" width="9.109375" style="641"/>
    <col min="2686" max="2686" width="2.21875" style="641" customWidth="1"/>
    <col min="2687" max="2687" width="11" style="641" customWidth="1"/>
    <col min="2688" max="2688" width="9.109375" style="641"/>
    <col min="2689" max="2689" width="11.5546875" style="641" customWidth="1"/>
    <col min="2690" max="2690" width="11.21875" style="641" customWidth="1"/>
    <col min="2691" max="2691" width="2.88671875" style="641" customWidth="1"/>
    <col min="2692" max="2693" width="9.109375" style="641"/>
    <col min="2694" max="2694" width="11.21875" style="641" customWidth="1"/>
    <col min="2695" max="2695" width="2.21875" style="641" customWidth="1"/>
    <col min="2696" max="2696" width="9.109375" style="641"/>
    <col min="2697" max="2697" width="10.44140625" style="641" customWidth="1"/>
    <col min="2698" max="2698" width="9.109375" style="641"/>
    <col min="2699" max="2699" width="11.109375" style="641" customWidth="1"/>
    <col min="2700" max="2701" width="9.109375" style="641"/>
    <col min="2702" max="2702" width="10.88671875" style="641" customWidth="1"/>
    <col min="2703" max="2704" width="9.109375" style="641"/>
    <col min="2705" max="2705" width="1.5546875" style="641" customWidth="1"/>
    <col min="2706" max="2706" width="9.77734375" style="641" customWidth="1"/>
    <col min="2707" max="2710" width="9.109375" style="641"/>
    <col min="2711" max="2711" width="1.88671875" style="641" customWidth="1"/>
    <col min="2712" max="2712" width="9.88671875" style="641" customWidth="1"/>
    <col min="2713" max="2713" width="1.5546875" style="641" customWidth="1"/>
    <col min="2714" max="2714" width="11.44140625" style="641" customWidth="1"/>
    <col min="2715" max="2715" width="2.21875" style="641" customWidth="1"/>
    <col min="2716" max="2716" width="12" style="641" customWidth="1"/>
    <col min="2717" max="2717" width="2" style="641" customWidth="1"/>
    <col min="2718" max="2718" width="9.109375" style="641"/>
    <col min="2719" max="2719" width="11.109375" style="641" customWidth="1"/>
    <col min="2720" max="2720" width="12" style="641" customWidth="1"/>
    <col min="2721" max="2721" width="9.109375" style="641"/>
    <col min="2722" max="2722" width="11.88671875" style="641" customWidth="1"/>
    <col min="2723" max="2723" width="14.21875" style="641" customWidth="1"/>
    <col min="2724" max="2727" width="9.109375" style="641"/>
    <col min="2728" max="2728" width="3.44140625" style="641" customWidth="1"/>
    <col min="2729" max="2730" width="9.109375" style="641"/>
    <col min="2731" max="2731" width="11.44140625" style="641" customWidth="1"/>
    <col min="2732" max="2732" width="2.77734375" style="641" customWidth="1"/>
    <col min="2733" max="2915" width="9.109375" style="641"/>
    <col min="2916" max="2916" width="9.5546875" style="641" customWidth="1"/>
    <col min="2917" max="2917" width="11" style="641" customWidth="1"/>
    <col min="2918" max="2919" width="11.21875" style="641" customWidth="1"/>
    <col min="2920" max="2920" width="11.5546875" style="641" customWidth="1"/>
    <col min="2921" max="2921" width="11.109375" style="641" customWidth="1"/>
    <col min="2922" max="2922" width="2" style="641" customWidth="1"/>
    <col min="2923" max="2923" width="13.5546875" style="641" customWidth="1"/>
    <col min="2924" max="2924" width="12.44140625" style="641" customWidth="1"/>
    <col min="2925" max="2925" width="13.5546875" style="641" customWidth="1"/>
    <col min="2926" max="2926" width="2.109375" style="641" customWidth="1"/>
    <col min="2927" max="2927" width="9.109375" style="641"/>
    <col min="2928" max="2928" width="10.21875" style="641" customWidth="1"/>
    <col min="2929" max="2929" width="1.88671875" style="641" customWidth="1"/>
    <col min="2930" max="2930" width="10.77734375" style="641" customWidth="1"/>
    <col min="2931" max="2931" width="9.109375" style="641"/>
    <col min="2932" max="2932" width="2.109375" style="641" customWidth="1"/>
    <col min="2933" max="2933" width="9.109375" style="641"/>
    <col min="2934" max="2934" width="11.21875" style="641" customWidth="1"/>
    <col min="2935" max="2935" width="12.77734375" style="641" customWidth="1"/>
    <col min="2936" max="2936" width="12.5546875" style="641" customWidth="1"/>
    <col min="2937" max="2937" width="2" style="641" customWidth="1"/>
    <col min="2938" max="2939" width="9.109375" style="641"/>
    <col min="2940" max="2940" width="11" style="641" customWidth="1"/>
    <col min="2941" max="2941" width="9.109375" style="641"/>
    <col min="2942" max="2942" width="2.21875" style="641" customWidth="1"/>
    <col min="2943" max="2943" width="11" style="641" customWidth="1"/>
    <col min="2944" max="2944" width="9.109375" style="641"/>
    <col min="2945" max="2945" width="11.5546875" style="641" customWidth="1"/>
    <col min="2946" max="2946" width="11.21875" style="641" customWidth="1"/>
    <col min="2947" max="2947" width="2.88671875" style="641" customWidth="1"/>
    <col min="2948" max="2949" width="9.109375" style="641"/>
    <col min="2950" max="2950" width="11.21875" style="641" customWidth="1"/>
    <col min="2951" max="2951" width="2.21875" style="641" customWidth="1"/>
    <col min="2952" max="2952" width="9.109375" style="641"/>
    <col min="2953" max="2953" width="10.44140625" style="641" customWidth="1"/>
    <col min="2954" max="2954" width="9.109375" style="641"/>
    <col min="2955" max="2955" width="11.109375" style="641" customWidth="1"/>
    <col min="2956" max="2957" width="9.109375" style="641"/>
    <col min="2958" max="2958" width="10.88671875" style="641" customWidth="1"/>
    <col min="2959" max="2960" width="9.109375" style="641"/>
    <col min="2961" max="2961" width="1.5546875" style="641" customWidth="1"/>
    <col min="2962" max="2962" width="9.77734375" style="641" customWidth="1"/>
    <col min="2963" max="2966" width="9.109375" style="641"/>
    <col min="2967" max="2967" width="1.88671875" style="641" customWidth="1"/>
    <col min="2968" max="2968" width="9.88671875" style="641" customWidth="1"/>
    <col min="2969" max="2969" width="1.5546875" style="641" customWidth="1"/>
    <col min="2970" max="2970" width="11.44140625" style="641" customWidth="1"/>
    <col min="2971" max="2971" width="2.21875" style="641" customWidth="1"/>
    <col min="2972" max="2972" width="12" style="641" customWidth="1"/>
    <col min="2973" max="2973" width="2" style="641" customWidth="1"/>
    <col min="2974" max="2974" width="9.109375" style="641"/>
    <col min="2975" max="2975" width="11.109375" style="641" customWidth="1"/>
    <col min="2976" max="2976" width="12" style="641" customWidth="1"/>
    <col min="2977" max="2977" width="9.109375" style="641"/>
    <col min="2978" max="2978" width="11.88671875" style="641" customWidth="1"/>
    <col min="2979" max="2979" width="14.21875" style="641" customWidth="1"/>
    <col min="2980" max="2983" width="9.109375" style="641"/>
    <col min="2984" max="2984" width="3.44140625" style="641" customWidth="1"/>
    <col min="2985" max="2986" width="9.109375" style="641"/>
    <col min="2987" max="2987" width="11.44140625" style="641" customWidth="1"/>
    <col min="2988" max="2988" width="2.77734375" style="641" customWidth="1"/>
    <col min="2989" max="3171" width="9.109375" style="641"/>
    <col min="3172" max="3172" width="9.5546875" style="641" customWidth="1"/>
    <col min="3173" max="3173" width="11" style="641" customWidth="1"/>
    <col min="3174" max="3175" width="11.21875" style="641" customWidth="1"/>
    <col min="3176" max="3176" width="11.5546875" style="641" customWidth="1"/>
    <col min="3177" max="3177" width="11.109375" style="641" customWidth="1"/>
    <col min="3178" max="3178" width="2" style="641" customWidth="1"/>
    <col min="3179" max="3179" width="13.5546875" style="641" customWidth="1"/>
    <col min="3180" max="3180" width="12.44140625" style="641" customWidth="1"/>
    <col min="3181" max="3181" width="13.5546875" style="641" customWidth="1"/>
    <col min="3182" max="3182" width="2.109375" style="641" customWidth="1"/>
    <col min="3183" max="3183" width="9.109375" style="641"/>
    <col min="3184" max="3184" width="10.21875" style="641" customWidth="1"/>
    <col min="3185" max="3185" width="1.88671875" style="641" customWidth="1"/>
    <col min="3186" max="3186" width="10.77734375" style="641" customWidth="1"/>
    <col min="3187" max="3187" width="9.109375" style="641"/>
    <col min="3188" max="3188" width="2.109375" style="641" customWidth="1"/>
    <col min="3189" max="3189" width="9.109375" style="641"/>
    <col min="3190" max="3190" width="11.21875" style="641" customWidth="1"/>
    <col min="3191" max="3191" width="12.77734375" style="641" customWidth="1"/>
    <col min="3192" max="3192" width="12.5546875" style="641" customWidth="1"/>
    <col min="3193" max="3193" width="2" style="641" customWidth="1"/>
    <col min="3194" max="3195" width="9.109375" style="641"/>
    <col min="3196" max="3196" width="11" style="641" customWidth="1"/>
    <col min="3197" max="3197" width="9.109375" style="641"/>
    <col min="3198" max="3198" width="2.21875" style="641" customWidth="1"/>
    <col min="3199" max="3199" width="11" style="641" customWidth="1"/>
    <col min="3200" max="3200" width="9.109375" style="641"/>
    <col min="3201" max="3201" width="11.5546875" style="641" customWidth="1"/>
    <col min="3202" max="3202" width="11.21875" style="641" customWidth="1"/>
    <col min="3203" max="3203" width="2.88671875" style="641" customWidth="1"/>
    <col min="3204" max="3205" width="9.109375" style="641"/>
    <col min="3206" max="3206" width="11.21875" style="641" customWidth="1"/>
    <col min="3207" max="3207" width="2.21875" style="641" customWidth="1"/>
    <col min="3208" max="3208" width="9.109375" style="641"/>
    <col min="3209" max="3209" width="10.44140625" style="641" customWidth="1"/>
    <col min="3210" max="3210" width="9.109375" style="641"/>
    <col min="3211" max="3211" width="11.109375" style="641" customWidth="1"/>
    <col min="3212" max="3213" width="9.109375" style="641"/>
    <col min="3214" max="3214" width="10.88671875" style="641" customWidth="1"/>
    <col min="3215" max="3216" width="9.109375" style="641"/>
    <col min="3217" max="3217" width="1.5546875" style="641" customWidth="1"/>
    <col min="3218" max="3218" width="9.77734375" style="641" customWidth="1"/>
    <col min="3219" max="3222" width="9.109375" style="641"/>
    <col min="3223" max="3223" width="1.88671875" style="641" customWidth="1"/>
    <col min="3224" max="3224" width="9.88671875" style="641" customWidth="1"/>
    <col min="3225" max="3225" width="1.5546875" style="641" customWidth="1"/>
    <col min="3226" max="3226" width="11.44140625" style="641" customWidth="1"/>
    <col min="3227" max="3227" width="2.21875" style="641" customWidth="1"/>
    <col min="3228" max="3228" width="12" style="641" customWidth="1"/>
    <col min="3229" max="3229" width="2" style="641" customWidth="1"/>
    <col min="3230" max="3230" width="9.109375" style="641"/>
    <col min="3231" max="3231" width="11.109375" style="641" customWidth="1"/>
    <col min="3232" max="3232" width="12" style="641" customWidth="1"/>
    <col min="3233" max="3233" width="9.109375" style="641"/>
    <col min="3234" max="3234" width="11.88671875" style="641" customWidth="1"/>
    <col min="3235" max="3235" width="14.21875" style="641" customWidth="1"/>
    <col min="3236" max="3239" width="9.109375" style="641"/>
    <col min="3240" max="3240" width="3.44140625" style="641" customWidth="1"/>
    <col min="3241" max="3242" width="9.109375" style="641"/>
    <col min="3243" max="3243" width="11.44140625" style="641" customWidth="1"/>
    <col min="3244" max="3244" width="2.77734375" style="641" customWidth="1"/>
    <col min="3245" max="3427" width="9.109375" style="641"/>
    <col min="3428" max="3428" width="9.5546875" style="641" customWidth="1"/>
    <col min="3429" max="3429" width="11" style="641" customWidth="1"/>
    <col min="3430" max="3431" width="11.21875" style="641" customWidth="1"/>
    <col min="3432" max="3432" width="11.5546875" style="641" customWidth="1"/>
    <col min="3433" max="3433" width="11.109375" style="641" customWidth="1"/>
    <col min="3434" max="3434" width="2" style="641" customWidth="1"/>
    <col min="3435" max="3435" width="13.5546875" style="641" customWidth="1"/>
    <col min="3436" max="3436" width="12.44140625" style="641" customWidth="1"/>
    <col min="3437" max="3437" width="13.5546875" style="641" customWidth="1"/>
    <col min="3438" max="3438" width="2.109375" style="641" customWidth="1"/>
    <col min="3439" max="3439" width="9.109375" style="641"/>
    <col min="3440" max="3440" width="10.21875" style="641" customWidth="1"/>
    <col min="3441" max="3441" width="1.88671875" style="641" customWidth="1"/>
    <col min="3442" max="3442" width="10.77734375" style="641" customWidth="1"/>
    <col min="3443" max="3443" width="9.109375" style="641"/>
    <col min="3444" max="3444" width="2.109375" style="641" customWidth="1"/>
    <col min="3445" max="3445" width="9.109375" style="641"/>
    <col min="3446" max="3446" width="11.21875" style="641" customWidth="1"/>
    <col min="3447" max="3447" width="12.77734375" style="641" customWidth="1"/>
    <col min="3448" max="3448" width="12.5546875" style="641" customWidth="1"/>
    <col min="3449" max="3449" width="2" style="641" customWidth="1"/>
    <col min="3450" max="3451" width="9.109375" style="641"/>
    <col min="3452" max="3452" width="11" style="641" customWidth="1"/>
    <col min="3453" max="3453" width="9.109375" style="641"/>
    <col min="3454" max="3454" width="2.21875" style="641" customWidth="1"/>
    <col min="3455" max="3455" width="11" style="641" customWidth="1"/>
    <col min="3456" max="3456" width="9.109375" style="641"/>
    <col min="3457" max="3457" width="11.5546875" style="641" customWidth="1"/>
    <col min="3458" max="3458" width="11.21875" style="641" customWidth="1"/>
    <col min="3459" max="3459" width="2.88671875" style="641" customWidth="1"/>
    <col min="3460" max="3461" width="9.109375" style="641"/>
    <col min="3462" max="3462" width="11.21875" style="641" customWidth="1"/>
    <col min="3463" max="3463" width="2.21875" style="641" customWidth="1"/>
    <col min="3464" max="3464" width="9.109375" style="641"/>
    <col min="3465" max="3465" width="10.44140625" style="641" customWidth="1"/>
    <col min="3466" max="3466" width="9.109375" style="641"/>
    <col min="3467" max="3467" width="11.109375" style="641" customWidth="1"/>
    <col min="3468" max="3469" width="9.109375" style="641"/>
    <col min="3470" max="3470" width="10.88671875" style="641" customWidth="1"/>
    <col min="3471" max="3472" width="9.109375" style="641"/>
    <col min="3473" max="3473" width="1.5546875" style="641" customWidth="1"/>
    <col min="3474" max="3474" width="9.77734375" style="641" customWidth="1"/>
    <col min="3475" max="3478" width="9.109375" style="641"/>
    <col min="3479" max="3479" width="1.88671875" style="641" customWidth="1"/>
    <col min="3480" max="3480" width="9.88671875" style="641" customWidth="1"/>
    <col min="3481" max="3481" width="1.5546875" style="641" customWidth="1"/>
    <col min="3482" max="3482" width="11.44140625" style="641" customWidth="1"/>
    <col min="3483" max="3483" width="2.21875" style="641" customWidth="1"/>
    <col min="3484" max="3484" width="12" style="641" customWidth="1"/>
    <col min="3485" max="3485" width="2" style="641" customWidth="1"/>
    <col min="3486" max="3486" width="9.109375" style="641"/>
    <col min="3487" max="3487" width="11.109375" style="641" customWidth="1"/>
    <col min="3488" max="3488" width="12" style="641" customWidth="1"/>
    <col min="3489" max="3489" width="9.109375" style="641"/>
    <col min="3490" max="3490" width="11.88671875" style="641" customWidth="1"/>
    <col min="3491" max="3491" width="14.21875" style="641" customWidth="1"/>
    <col min="3492" max="3495" width="9.109375" style="641"/>
    <col min="3496" max="3496" width="3.44140625" style="641" customWidth="1"/>
    <col min="3497" max="3498" width="9.109375" style="641"/>
    <col min="3499" max="3499" width="11.44140625" style="641" customWidth="1"/>
    <col min="3500" max="3500" width="2.77734375" style="641" customWidth="1"/>
    <col min="3501" max="3683" width="9.109375" style="641"/>
    <col min="3684" max="3684" width="9.5546875" style="641" customWidth="1"/>
    <col min="3685" max="3685" width="11" style="641" customWidth="1"/>
    <col min="3686" max="3687" width="11.21875" style="641" customWidth="1"/>
    <col min="3688" max="3688" width="11.5546875" style="641" customWidth="1"/>
    <col min="3689" max="3689" width="11.109375" style="641" customWidth="1"/>
    <col min="3690" max="3690" width="2" style="641" customWidth="1"/>
    <col min="3691" max="3691" width="13.5546875" style="641" customWidth="1"/>
    <col min="3692" max="3692" width="12.44140625" style="641" customWidth="1"/>
    <col min="3693" max="3693" width="13.5546875" style="641" customWidth="1"/>
    <col min="3694" max="3694" width="2.109375" style="641" customWidth="1"/>
    <col min="3695" max="3695" width="9.109375" style="641"/>
    <col min="3696" max="3696" width="10.21875" style="641" customWidth="1"/>
    <col min="3697" max="3697" width="1.88671875" style="641" customWidth="1"/>
    <col min="3698" max="3698" width="10.77734375" style="641" customWidth="1"/>
    <col min="3699" max="3699" width="9.109375" style="641"/>
    <col min="3700" max="3700" width="2.109375" style="641" customWidth="1"/>
    <col min="3701" max="3701" width="9.109375" style="641"/>
    <col min="3702" max="3702" width="11.21875" style="641" customWidth="1"/>
    <col min="3703" max="3703" width="12.77734375" style="641" customWidth="1"/>
    <col min="3704" max="3704" width="12.5546875" style="641" customWidth="1"/>
    <col min="3705" max="3705" width="2" style="641" customWidth="1"/>
    <col min="3706" max="3707" width="9.109375" style="641"/>
    <col min="3708" max="3708" width="11" style="641" customWidth="1"/>
    <col min="3709" max="3709" width="9.109375" style="641"/>
    <col min="3710" max="3710" width="2.21875" style="641" customWidth="1"/>
    <col min="3711" max="3711" width="11" style="641" customWidth="1"/>
    <col min="3712" max="3712" width="9.109375" style="641"/>
    <col min="3713" max="3713" width="11.5546875" style="641" customWidth="1"/>
    <col min="3714" max="3714" width="11.21875" style="641" customWidth="1"/>
    <col min="3715" max="3715" width="2.88671875" style="641" customWidth="1"/>
    <col min="3716" max="3717" width="9.109375" style="641"/>
    <col min="3718" max="3718" width="11.21875" style="641" customWidth="1"/>
    <col min="3719" max="3719" width="2.21875" style="641" customWidth="1"/>
    <col min="3720" max="3720" width="9.109375" style="641"/>
    <col min="3721" max="3721" width="10.44140625" style="641" customWidth="1"/>
    <col min="3722" max="3722" width="9.109375" style="641"/>
    <col min="3723" max="3723" width="11.109375" style="641" customWidth="1"/>
    <col min="3724" max="3725" width="9.109375" style="641"/>
    <col min="3726" max="3726" width="10.88671875" style="641" customWidth="1"/>
    <col min="3727" max="3728" width="9.109375" style="641"/>
    <col min="3729" max="3729" width="1.5546875" style="641" customWidth="1"/>
    <col min="3730" max="3730" width="9.77734375" style="641" customWidth="1"/>
    <col min="3731" max="3734" width="9.109375" style="641"/>
    <col min="3735" max="3735" width="1.88671875" style="641" customWidth="1"/>
    <col min="3736" max="3736" width="9.88671875" style="641" customWidth="1"/>
    <col min="3737" max="3737" width="1.5546875" style="641" customWidth="1"/>
    <col min="3738" max="3738" width="11.44140625" style="641" customWidth="1"/>
    <col min="3739" max="3739" width="2.21875" style="641" customWidth="1"/>
    <col min="3740" max="3740" width="12" style="641" customWidth="1"/>
    <col min="3741" max="3741" width="2" style="641" customWidth="1"/>
    <col min="3742" max="3742" width="9.109375" style="641"/>
    <col min="3743" max="3743" width="11.109375" style="641" customWidth="1"/>
    <col min="3744" max="3744" width="12" style="641" customWidth="1"/>
    <col min="3745" max="3745" width="9.109375" style="641"/>
    <col min="3746" max="3746" width="11.88671875" style="641" customWidth="1"/>
    <col min="3747" max="3747" width="14.21875" style="641" customWidth="1"/>
    <col min="3748" max="3751" width="9.109375" style="641"/>
    <col min="3752" max="3752" width="3.44140625" style="641" customWidth="1"/>
    <col min="3753" max="3754" width="9.109375" style="641"/>
    <col min="3755" max="3755" width="11.44140625" style="641" customWidth="1"/>
    <col min="3756" max="3756" width="2.77734375" style="641" customWidth="1"/>
    <col min="3757" max="3939" width="9.109375" style="641"/>
    <col min="3940" max="3940" width="9.5546875" style="641" customWidth="1"/>
    <col min="3941" max="3941" width="11" style="641" customWidth="1"/>
    <col min="3942" max="3943" width="11.21875" style="641" customWidth="1"/>
    <col min="3944" max="3944" width="11.5546875" style="641" customWidth="1"/>
    <col min="3945" max="3945" width="11.109375" style="641" customWidth="1"/>
    <col min="3946" max="3946" width="2" style="641" customWidth="1"/>
    <col min="3947" max="3947" width="13.5546875" style="641" customWidth="1"/>
    <col min="3948" max="3948" width="12.44140625" style="641" customWidth="1"/>
    <col min="3949" max="3949" width="13.5546875" style="641" customWidth="1"/>
    <col min="3950" max="3950" width="2.109375" style="641" customWidth="1"/>
    <col min="3951" max="3951" width="9.109375" style="641"/>
    <col min="3952" max="3952" width="10.21875" style="641" customWidth="1"/>
    <col min="3953" max="3953" width="1.88671875" style="641" customWidth="1"/>
    <col min="3954" max="3954" width="10.77734375" style="641" customWidth="1"/>
    <col min="3955" max="3955" width="9.109375" style="641"/>
    <col min="3956" max="3956" width="2.109375" style="641" customWidth="1"/>
    <col min="3957" max="3957" width="9.109375" style="641"/>
    <col min="3958" max="3958" width="11.21875" style="641" customWidth="1"/>
    <col min="3959" max="3959" width="12.77734375" style="641" customWidth="1"/>
    <col min="3960" max="3960" width="12.5546875" style="641" customWidth="1"/>
    <col min="3961" max="3961" width="2" style="641" customWidth="1"/>
    <col min="3962" max="3963" width="9.109375" style="641"/>
    <col min="3964" max="3964" width="11" style="641" customWidth="1"/>
    <col min="3965" max="3965" width="9.109375" style="641"/>
    <col min="3966" max="3966" width="2.21875" style="641" customWidth="1"/>
    <col min="3967" max="3967" width="11" style="641" customWidth="1"/>
    <col min="3968" max="3968" width="9.109375" style="641"/>
    <col min="3969" max="3969" width="11.5546875" style="641" customWidth="1"/>
    <col min="3970" max="3970" width="11.21875" style="641" customWidth="1"/>
    <col min="3971" max="3971" width="2.88671875" style="641" customWidth="1"/>
    <col min="3972" max="3973" width="9.109375" style="641"/>
    <col min="3974" max="3974" width="11.21875" style="641" customWidth="1"/>
    <col min="3975" max="3975" width="2.21875" style="641" customWidth="1"/>
    <col min="3976" max="3976" width="9.109375" style="641"/>
    <col min="3977" max="3977" width="10.44140625" style="641" customWidth="1"/>
    <col min="3978" max="3978" width="9.109375" style="641"/>
    <col min="3979" max="3979" width="11.109375" style="641" customWidth="1"/>
    <col min="3980" max="3981" width="9.109375" style="641"/>
    <col min="3982" max="3982" width="10.88671875" style="641" customWidth="1"/>
    <col min="3983" max="3984" width="9.109375" style="641"/>
    <col min="3985" max="3985" width="1.5546875" style="641" customWidth="1"/>
    <col min="3986" max="3986" width="9.77734375" style="641" customWidth="1"/>
    <col min="3987" max="3990" width="9.109375" style="641"/>
    <col min="3991" max="3991" width="1.88671875" style="641" customWidth="1"/>
    <col min="3992" max="3992" width="9.88671875" style="641" customWidth="1"/>
    <col min="3993" max="3993" width="1.5546875" style="641" customWidth="1"/>
    <col min="3994" max="3994" width="11.44140625" style="641" customWidth="1"/>
    <col min="3995" max="3995" width="2.21875" style="641" customWidth="1"/>
    <col min="3996" max="3996" width="12" style="641" customWidth="1"/>
    <col min="3997" max="3997" width="2" style="641" customWidth="1"/>
    <col min="3998" max="3998" width="9.109375" style="641"/>
    <col min="3999" max="3999" width="11.109375" style="641" customWidth="1"/>
    <col min="4000" max="4000" width="12" style="641" customWidth="1"/>
    <col min="4001" max="4001" width="9.109375" style="641"/>
    <col min="4002" max="4002" width="11.88671875" style="641" customWidth="1"/>
    <col min="4003" max="4003" width="14.21875" style="641" customWidth="1"/>
    <col min="4004" max="4007" width="9.109375" style="641"/>
    <col min="4008" max="4008" width="3.44140625" style="641" customWidth="1"/>
    <col min="4009" max="4010" width="9.109375" style="641"/>
    <col min="4011" max="4011" width="11.44140625" style="641" customWidth="1"/>
    <col min="4012" max="4012" width="2.77734375" style="641" customWidth="1"/>
    <col min="4013" max="4195" width="9.109375" style="641"/>
    <col min="4196" max="4196" width="9.5546875" style="641" customWidth="1"/>
    <col min="4197" max="4197" width="11" style="641" customWidth="1"/>
    <col min="4198" max="4199" width="11.21875" style="641" customWidth="1"/>
    <col min="4200" max="4200" width="11.5546875" style="641" customWidth="1"/>
    <col min="4201" max="4201" width="11.109375" style="641" customWidth="1"/>
    <col min="4202" max="4202" width="2" style="641" customWidth="1"/>
    <col min="4203" max="4203" width="13.5546875" style="641" customWidth="1"/>
    <col min="4204" max="4204" width="12.44140625" style="641" customWidth="1"/>
    <col min="4205" max="4205" width="13.5546875" style="641" customWidth="1"/>
    <col min="4206" max="4206" width="2.109375" style="641" customWidth="1"/>
    <col min="4207" max="4207" width="9.109375" style="641"/>
    <col min="4208" max="4208" width="10.21875" style="641" customWidth="1"/>
    <col min="4209" max="4209" width="1.88671875" style="641" customWidth="1"/>
    <col min="4210" max="4210" width="10.77734375" style="641" customWidth="1"/>
    <col min="4211" max="4211" width="9.109375" style="641"/>
    <col min="4212" max="4212" width="2.109375" style="641" customWidth="1"/>
    <col min="4213" max="4213" width="9.109375" style="641"/>
    <col min="4214" max="4214" width="11.21875" style="641" customWidth="1"/>
    <col min="4215" max="4215" width="12.77734375" style="641" customWidth="1"/>
    <col min="4216" max="4216" width="12.5546875" style="641" customWidth="1"/>
    <col min="4217" max="4217" width="2" style="641" customWidth="1"/>
    <col min="4218" max="4219" width="9.109375" style="641"/>
    <col min="4220" max="4220" width="11" style="641" customWidth="1"/>
    <col min="4221" max="4221" width="9.109375" style="641"/>
    <col min="4222" max="4222" width="2.21875" style="641" customWidth="1"/>
    <col min="4223" max="4223" width="11" style="641" customWidth="1"/>
    <col min="4224" max="4224" width="9.109375" style="641"/>
    <col min="4225" max="4225" width="11.5546875" style="641" customWidth="1"/>
    <col min="4226" max="4226" width="11.21875" style="641" customWidth="1"/>
    <col min="4227" max="4227" width="2.88671875" style="641" customWidth="1"/>
    <col min="4228" max="4229" width="9.109375" style="641"/>
    <col min="4230" max="4230" width="11.21875" style="641" customWidth="1"/>
    <col min="4231" max="4231" width="2.21875" style="641" customWidth="1"/>
    <col min="4232" max="4232" width="9.109375" style="641"/>
    <col min="4233" max="4233" width="10.44140625" style="641" customWidth="1"/>
    <col min="4234" max="4234" width="9.109375" style="641"/>
    <col min="4235" max="4235" width="11.109375" style="641" customWidth="1"/>
    <col min="4236" max="4237" width="9.109375" style="641"/>
    <col min="4238" max="4238" width="10.88671875" style="641" customWidth="1"/>
    <col min="4239" max="4240" width="9.109375" style="641"/>
    <col min="4241" max="4241" width="1.5546875" style="641" customWidth="1"/>
    <col min="4242" max="4242" width="9.77734375" style="641" customWidth="1"/>
    <col min="4243" max="4246" width="9.109375" style="641"/>
    <col min="4247" max="4247" width="1.88671875" style="641" customWidth="1"/>
    <col min="4248" max="4248" width="9.88671875" style="641" customWidth="1"/>
    <col min="4249" max="4249" width="1.5546875" style="641" customWidth="1"/>
    <col min="4250" max="4250" width="11.44140625" style="641" customWidth="1"/>
    <col min="4251" max="4251" width="2.21875" style="641" customWidth="1"/>
    <col min="4252" max="4252" width="12" style="641" customWidth="1"/>
    <col min="4253" max="4253" width="2" style="641" customWidth="1"/>
    <col min="4254" max="4254" width="9.109375" style="641"/>
    <col min="4255" max="4255" width="11.109375" style="641" customWidth="1"/>
    <col min="4256" max="4256" width="12" style="641" customWidth="1"/>
    <col min="4257" max="4257" width="9.109375" style="641"/>
    <col min="4258" max="4258" width="11.88671875" style="641" customWidth="1"/>
    <col min="4259" max="4259" width="14.21875" style="641" customWidth="1"/>
    <col min="4260" max="4263" width="9.109375" style="641"/>
    <col min="4264" max="4264" width="3.44140625" style="641" customWidth="1"/>
    <col min="4265" max="4266" width="9.109375" style="641"/>
    <col min="4267" max="4267" width="11.44140625" style="641" customWidth="1"/>
    <col min="4268" max="4268" width="2.77734375" style="641" customWidth="1"/>
    <col min="4269" max="4451" width="9.109375" style="641"/>
    <col min="4452" max="4452" width="9.5546875" style="641" customWidth="1"/>
    <col min="4453" max="4453" width="11" style="641" customWidth="1"/>
    <col min="4454" max="4455" width="11.21875" style="641" customWidth="1"/>
    <col min="4456" max="4456" width="11.5546875" style="641" customWidth="1"/>
    <col min="4457" max="4457" width="11.109375" style="641" customWidth="1"/>
    <col min="4458" max="4458" width="2" style="641" customWidth="1"/>
    <col min="4459" max="4459" width="13.5546875" style="641" customWidth="1"/>
    <col min="4460" max="4460" width="12.44140625" style="641" customWidth="1"/>
    <col min="4461" max="4461" width="13.5546875" style="641" customWidth="1"/>
    <col min="4462" max="4462" width="2.109375" style="641" customWidth="1"/>
    <col min="4463" max="4463" width="9.109375" style="641"/>
    <col min="4464" max="4464" width="10.21875" style="641" customWidth="1"/>
    <col min="4465" max="4465" width="1.88671875" style="641" customWidth="1"/>
    <col min="4466" max="4466" width="10.77734375" style="641" customWidth="1"/>
    <col min="4467" max="4467" width="9.109375" style="641"/>
    <col min="4468" max="4468" width="2.109375" style="641" customWidth="1"/>
    <col min="4469" max="4469" width="9.109375" style="641"/>
    <col min="4470" max="4470" width="11.21875" style="641" customWidth="1"/>
    <col min="4471" max="4471" width="12.77734375" style="641" customWidth="1"/>
    <col min="4472" max="4472" width="12.5546875" style="641" customWidth="1"/>
    <col min="4473" max="4473" width="2" style="641" customWidth="1"/>
    <col min="4474" max="4475" width="9.109375" style="641"/>
    <col min="4476" max="4476" width="11" style="641" customWidth="1"/>
    <col min="4477" max="4477" width="9.109375" style="641"/>
    <col min="4478" max="4478" width="2.21875" style="641" customWidth="1"/>
    <col min="4479" max="4479" width="11" style="641" customWidth="1"/>
    <col min="4480" max="4480" width="9.109375" style="641"/>
    <col min="4481" max="4481" width="11.5546875" style="641" customWidth="1"/>
    <col min="4482" max="4482" width="11.21875" style="641" customWidth="1"/>
    <col min="4483" max="4483" width="2.88671875" style="641" customWidth="1"/>
    <col min="4484" max="4485" width="9.109375" style="641"/>
    <col min="4486" max="4486" width="11.21875" style="641" customWidth="1"/>
    <col min="4487" max="4487" width="2.21875" style="641" customWidth="1"/>
    <col min="4488" max="4488" width="9.109375" style="641"/>
    <col min="4489" max="4489" width="10.44140625" style="641" customWidth="1"/>
    <col min="4490" max="4490" width="9.109375" style="641"/>
    <col min="4491" max="4491" width="11.109375" style="641" customWidth="1"/>
    <col min="4492" max="4493" width="9.109375" style="641"/>
    <col min="4494" max="4494" width="10.88671875" style="641" customWidth="1"/>
    <col min="4495" max="4496" width="9.109375" style="641"/>
    <col min="4497" max="4497" width="1.5546875" style="641" customWidth="1"/>
    <col min="4498" max="4498" width="9.77734375" style="641" customWidth="1"/>
    <col min="4499" max="4502" width="9.109375" style="641"/>
    <col min="4503" max="4503" width="1.88671875" style="641" customWidth="1"/>
    <col min="4504" max="4504" width="9.88671875" style="641" customWidth="1"/>
    <col min="4505" max="4505" width="1.5546875" style="641" customWidth="1"/>
    <col min="4506" max="4506" width="11.44140625" style="641" customWidth="1"/>
    <col min="4507" max="4507" width="2.21875" style="641" customWidth="1"/>
    <col min="4508" max="4508" width="12" style="641" customWidth="1"/>
    <col min="4509" max="4509" width="2" style="641" customWidth="1"/>
    <col min="4510" max="4510" width="9.109375" style="641"/>
    <col min="4511" max="4511" width="11.109375" style="641" customWidth="1"/>
    <col min="4512" max="4512" width="12" style="641" customWidth="1"/>
    <col min="4513" max="4513" width="9.109375" style="641"/>
    <col min="4514" max="4514" width="11.88671875" style="641" customWidth="1"/>
    <col min="4515" max="4515" width="14.21875" style="641" customWidth="1"/>
    <col min="4516" max="4519" width="9.109375" style="641"/>
    <col min="4520" max="4520" width="3.44140625" style="641" customWidth="1"/>
    <col min="4521" max="4522" width="9.109375" style="641"/>
    <col min="4523" max="4523" width="11.44140625" style="641" customWidth="1"/>
    <col min="4524" max="4524" width="2.77734375" style="641" customWidth="1"/>
    <col min="4525" max="4707" width="9.109375" style="641"/>
    <col min="4708" max="4708" width="9.5546875" style="641" customWidth="1"/>
    <col min="4709" max="4709" width="11" style="641" customWidth="1"/>
    <col min="4710" max="4711" width="11.21875" style="641" customWidth="1"/>
    <col min="4712" max="4712" width="11.5546875" style="641" customWidth="1"/>
    <col min="4713" max="4713" width="11.109375" style="641" customWidth="1"/>
    <col min="4714" max="4714" width="2" style="641" customWidth="1"/>
    <col min="4715" max="4715" width="13.5546875" style="641" customWidth="1"/>
    <col min="4716" max="4716" width="12.44140625" style="641" customWidth="1"/>
    <col min="4717" max="4717" width="13.5546875" style="641" customWidth="1"/>
    <col min="4718" max="4718" width="2.109375" style="641" customWidth="1"/>
    <col min="4719" max="4719" width="9.109375" style="641"/>
    <col min="4720" max="4720" width="10.21875" style="641" customWidth="1"/>
    <col min="4721" max="4721" width="1.88671875" style="641" customWidth="1"/>
    <col min="4722" max="4722" width="10.77734375" style="641" customWidth="1"/>
    <col min="4723" max="4723" width="9.109375" style="641"/>
    <col min="4724" max="4724" width="2.109375" style="641" customWidth="1"/>
    <col min="4725" max="4725" width="9.109375" style="641"/>
    <col min="4726" max="4726" width="11.21875" style="641" customWidth="1"/>
    <col min="4727" max="4727" width="12.77734375" style="641" customWidth="1"/>
    <col min="4728" max="4728" width="12.5546875" style="641" customWidth="1"/>
    <col min="4729" max="4729" width="2" style="641" customWidth="1"/>
    <col min="4730" max="4731" width="9.109375" style="641"/>
    <col min="4732" max="4732" width="11" style="641" customWidth="1"/>
    <col min="4733" max="4733" width="9.109375" style="641"/>
    <col min="4734" max="4734" width="2.21875" style="641" customWidth="1"/>
    <col min="4735" max="4735" width="11" style="641" customWidth="1"/>
    <col min="4736" max="4736" width="9.109375" style="641"/>
    <col min="4737" max="4737" width="11.5546875" style="641" customWidth="1"/>
    <col min="4738" max="4738" width="11.21875" style="641" customWidth="1"/>
    <col min="4739" max="4739" width="2.88671875" style="641" customWidth="1"/>
    <col min="4740" max="4741" width="9.109375" style="641"/>
    <col min="4742" max="4742" width="11.21875" style="641" customWidth="1"/>
    <col min="4743" max="4743" width="2.21875" style="641" customWidth="1"/>
    <col min="4744" max="4744" width="9.109375" style="641"/>
    <col min="4745" max="4745" width="10.44140625" style="641" customWidth="1"/>
    <col min="4746" max="4746" width="9.109375" style="641"/>
    <col min="4747" max="4747" width="11.109375" style="641" customWidth="1"/>
    <col min="4748" max="4749" width="9.109375" style="641"/>
    <col min="4750" max="4750" width="10.88671875" style="641" customWidth="1"/>
    <col min="4751" max="4752" width="9.109375" style="641"/>
    <col min="4753" max="4753" width="1.5546875" style="641" customWidth="1"/>
    <col min="4754" max="4754" width="9.77734375" style="641" customWidth="1"/>
    <col min="4755" max="4758" width="9.109375" style="641"/>
    <col min="4759" max="4759" width="1.88671875" style="641" customWidth="1"/>
    <col min="4760" max="4760" width="9.88671875" style="641" customWidth="1"/>
    <col min="4761" max="4761" width="1.5546875" style="641" customWidth="1"/>
    <col min="4762" max="4762" width="11.44140625" style="641" customWidth="1"/>
    <col min="4763" max="4763" width="2.21875" style="641" customWidth="1"/>
    <col min="4764" max="4764" width="12" style="641" customWidth="1"/>
    <col min="4765" max="4765" width="2" style="641" customWidth="1"/>
    <col min="4766" max="4766" width="9.109375" style="641"/>
    <col min="4767" max="4767" width="11.109375" style="641" customWidth="1"/>
    <col min="4768" max="4768" width="12" style="641" customWidth="1"/>
    <col min="4769" max="4769" width="9.109375" style="641"/>
    <col min="4770" max="4770" width="11.88671875" style="641" customWidth="1"/>
    <col min="4771" max="4771" width="14.21875" style="641" customWidth="1"/>
    <col min="4772" max="4775" width="9.109375" style="641"/>
    <col min="4776" max="4776" width="3.44140625" style="641" customWidth="1"/>
    <col min="4777" max="4778" width="9.109375" style="641"/>
    <col min="4779" max="4779" width="11.44140625" style="641" customWidth="1"/>
    <col min="4780" max="4780" width="2.77734375" style="641" customWidth="1"/>
    <col min="4781" max="4963" width="9.109375" style="641"/>
    <col min="4964" max="4964" width="9.5546875" style="641" customWidth="1"/>
    <col min="4965" max="4965" width="11" style="641" customWidth="1"/>
    <col min="4966" max="4967" width="11.21875" style="641" customWidth="1"/>
    <col min="4968" max="4968" width="11.5546875" style="641" customWidth="1"/>
    <col min="4969" max="4969" width="11.109375" style="641" customWidth="1"/>
    <col min="4970" max="4970" width="2" style="641" customWidth="1"/>
    <col min="4971" max="4971" width="13.5546875" style="641" customWidth="1"/>
    <col min="4972" max="4972" width="12.44140625" style="641" customWidth="1"/>
    <col min="4973" max="4973" width="13.5546875" style="641" customWidth="1"/>
    <col min="4974" max="4974" width="2.109375" style="641" customWidth="1"/>
    <col min="4975" max="4975" width="9.109375" style="641"/>
    <col min="4976" max="4976" width="10.21875" style="641" customWidth="1"/>
    <col min="4977" max="4977" width="1.88671875" style="641" customWidth="1"/>
    <col min="4978" max="4978" width="10.77734375" style="641" customWidth="1"/>
    <col min="4979" max="4979" width="9.109375" style="641"/>
    <col min="4980" max="4980" width="2.109375" style="641" customWidth="1"/>
    <col min="4981" max="4981" width="9.109375" style="641"/>
    <col min="4982" max="4982" width="11.21875" style="641" customWidth="1"/>
    <col min="4983" max="4983" width="12.77734375" style="641" customWidth="1"/>
    <col min="4984" max="4984" width="12.5546875" style="641" customWidth="1"/>
    <col min="4985" max="4985" width="2" style="641" customWidth="1"/>
    <col min="4986" max="4987" width="9.109375" style="641"/>
    <col min="4988" max="4988" width="11" style="641" customWidth="1"/>
    <col min="4989" max="4989" width="9.109375" style="641"/>
    <col min="4990" max="4990" width="2.21875" style="641" customWidth="1"/>
    <col min="4991" max="4991" width="11" style="641" customWidth="1"/>
    <col min="4992" max="4992" width="9.109375" style="641"/>
    <col min="4993" max="4993" width="11.5546875" style="641" customWidth="1"/>
    <col min="4994" max="4994" width="11.21875" style="641" customWidth="1"/>
    <col min="4995" max="4995" width="2.88671875" style="641" customWidth="1"/>
    <col min="4996" max="4997" width="9.109375" style="641"/>
    <col min="4998" max="4998" width="11.21875" style="641" customWidth="1"/>
    <col min="4999" max="4999" width="2.21875" style="641" customWidth="1"/>
    <col min="5000" max="5000" width="9.109375" style="641"/>
    <col min="5001" max="5001" width="10.44140625" style="641" customWidth="1"/>
    <col min="5002" max="5002" width="9.109375" style="641"/>
    <col min="5003" max="5003" width="11.109375" style="641" customWidth="1"/>
    <col min="5004" max="5005" width="9.109375" style="641"/>
    <col min="5006" max="5006" width="10.88671875" style="641" customWidth="1"/>
    <col min="5007" max="5008" width="9.109375" style="641"/>
    <col min="5009" max="5009" width="1.5546875" style="641" customWidth="1"/>
    <col min="5010" max="5010" width="9.77734375" style="641" customWidth="1"/>
    <col min="5011" max="5014" width="9.109375" style="641"/>
    <col min="5015" max="5015" width="1.88671875" style="641" customWidth="1"/>
    <col min="5016" max="5016" width="9.88671875" style="641" customWidth="1"/>
    <col min="5017" max="5017" width="1.5546875" style="641" customWidth="1"/>
    <col min="5018" max="5018" width="11.44140625" style="641" customWidth="1"/>
    <col min="5019" max="5019" width="2.21875" style="641" customWidth="1"/>
    <col min="5020" max="5020" width="12" style="641" customWidth="1"/>
    <col min="5021" max="5021" width="2" style="641" customWidth="1"/>
    <col min="5022" max="5022" width="9.109375" style="641"/>
    <col min="5023" max="5023" width="11.109375" style="641" customWidth="1"/>
    <col min="5024" max="5024" width="12" style="641" customWidth="1"/>
    <col min="5025" max="5025" width="9.109375" style="641"/>
    <col min="5026" max="5026" width="11.88671875" style="641" customWidth="1"/>
    <col min="5027" max="5027" width="14.21875" style="641" customWidth="1"/>
    <col min="5028" max="5031" width="9.109375" style="641"/>
    <col min="5032" max="5032" width="3.44140625" style="641" customWidth="1"/>
    <col min="5033" max="5034" width="9.109375" style="641"/>
    <col min="5035" max="5035" width="11.44140625" style="641" customWidth="1"/>
    <col min="5036" max="5036" width="2.77734375" style="641" customWidth="1"/>
    <col min="5037" max="5219" width="9.109375" style="641"/>
    <col min="5220" max="5220" width="9.5546875" style="641" customWidth="1"/>
    <col min="5221" max="5221" width="11" style="641" customWidth="1"/>
    <col min="5222" max="5223" width="11.21875" style="641" customWidth="1"/>
    <col min="5224" max="5224" width="11.5546875" style="641" customWidth="1"/>
    <col min="5225" max="5225" width="11.109375" style="641" customWidth="1"/>
    <col min="5226" max="5226" width="2" style="641" customWidth="1"/>
    <col min="5227" max="5227" width="13.5546875" style="641" customWidth="1"/>
    <col min="5228" max="5228" width="12.44140625" style="641" customWidth="1"/>
    <col min="5229" max="5229" width="13.5546875" style="641" customWidth="1"/>
    <col min="5230" max="5230" width="2.109375" style="641" customWidth="1"/>
    <col min="5231" max="5231" width="9.109375" style="641"/>
    <col min="5232" max="5232" width="10.21875" style="641" customWidth="1"/>
    <col min="5233" max="5233" width="1.88671875" style="641" customWidth="1"/>
    <col min="5234" max="5234" width="10.77734375" style="641" customWidth="1"/>
    <col min="5235" max="5235" width="9.109375" style="641"/>
    <col min="5236" max="5236" width="2.109375" style="641" customWidth="1"/>
    <col min="5237" max="5237" width="9.109375" style="641"/>
    <col min="5238" max="5238" width="11.21875" style="641" customWidth="1"/>
    <col min="5239" max="5239" width="12.77734375" style="641" customWidth="1"/>
    <col min="5240" max="5240" width="12.5546875" style="641" customWidth="1"/>
    <col min="5241" max="5241" width="2" style="641" customWidth="1"/>
    <col min="5242" max="5243" width="9.109375" style="641"/>
    <col min="5244" max="5244" width="11" style="641" customWidth="1"/>
    <col min="5245" max="5245" width="9.109375" style="641"/>
    <col min="5246" max="5246" width="2.21875" style="641" customWidth="1"/>
    <col min="5247" max="5247" width="11" style="641" customWidth="1"/>
    <col min="5248" max="5248" width="9.109375" style="641"/>
    <col min="5249" max="5249" width="11.5546875" style="641" customWidth="1"/>
    <col min="5250" max="5250" width="11.21875" style="641" customWidth="1"/>
    <col min="5251" max="5251" width="2.88671875" style="641" customWidth="1"/>
    <col min="5252" max="5253" width="9.109375" style="641"/>
    <col min="5254" max="5254" width="11.21875" style="641" customWidth="1"/>
    <col min="5255" max="5255" width="2.21875" style="641" customWidth="1"/>
    <col min="5256" max="5256" width="9.109375" style="641"/>
    <col min="5257" max="5257" width="10.44140625" style="641" customWidth="1"/>
    <col min="5258" max="5258" width="9.109375" style="641"/>
    <col min="5259" max="5259" width="11.109375" style="641" customWidth="1"/>
    <col min="5260" max="5261" width="9.109375" style="641"/>
    <col min="5262" max="5262" width="10.88671875" style="641" customWidth="1"/>
    <col min="5263" max="5264" width="9.109375" style="641"/>
    <col min="5265" max="5265" width="1.5546875" style="641" customWidth="1"/>
    <col min="5266" max="5266" width="9.77734375" style="641" customWidth="1"/>
    <col min="5267" max="5270" width="9.109375" style="641"/>
    <col min="5271" max="5271" width="1.88671875" style="641" customWidth="1"/>
    <col min="5272" max="5272" width="9.88671875" style="641" customWidth="1"/>
    <col min="5273" max="5273" width="1.5546875" style="641" customWidth="1"/>
    <col min="5274" max="5274" width="11.44140625" style="641" customWidth="1"/>
    <col min="5275" max="5275" width="2.21875" style="641" customWidth="1"/>
    <col min="5276" max="5276" width="12" style="641" customWidth="1"/>
    <col min="5277" max="5277" width="2" style="641" customWidth="1"/>
    <col min="5278" max="5278" width="9.109375" style="641"/>
    <col min="5279" max="5279" width="11.109375" style="641" customWidth="1"/>
    <col min="5280" max="5280" width="12" style="641" customWidth="1"/>
    <col min="5281" max="5281" width="9.109375" style="641"/>
    <col min="5282" max="5282" width="11.88671875" style="641" customWidth="1"/>
    <col min="5283" max="5283" width="14.21875" style="641" customWidth="1"/>
    <col min="5284" max="5287" width="9.109375" style="641"/>
    <col min="5288" max="5288" width="3.44140625" style="641" customWidth="1"/>
    <col min="5289" max="5290" width="9.109375" style="641"/>
    <col min="5291" max="5291" width="11.44140625" style="641" customWidth="1"/>
    <col min="5292" max="5292" width="2.77734375" style="641" customWidth="1"/>
    <col min="5293" max="5475" width="9.109375" style="641"/>
    <col min="5476" max="5476" width="9.5546875" style="641" customWidth="1"/>
    <col min="5477" max="5477" width="11" style="641" customWidth="1"/>
    <col min="5478" max="5479" width="11.21875" style="641" customWidth="1"/>
    <col min="5480" max="5480" width="11.5546875" style="641" customWidth="1"/>
    <col min="5481" max="5481" width="11.109375" style="641" customWidth="1"/>
    <col min="5482" max="5482" width="2" style="641" customWidth="1"/>
    <col min="5483" max="5483" width="13.5546875" style="641" customWidth="1"/>
    <col min="5484" max="5484" width="12.44140625" style="641" customWidth="1"/>
    <col min="5485" max="5485" width="13.5546875" style="641" customWidth="1"/>
    <col min="5486" max="5486" width="2.109375" style="641" customWidth="1"/>
    <col min="5487" max="5487" width="9.109375" style="641"/>
    <col min="5488" max="5488" width="10.21875" style="641" customWidth="1"/>
    <col min="5489" max="5489" width="1.88671875" style="641" customWidth="1"/>
    <col min="5490" max="5490" width="10.77734375" style="641" customWidth="1"/>
    <col min="5491" max="5491" width="9.109375" style="641"/>
    <col min="5492" max="5492" width="2.109375" style="641" customWidth="1"/>
    <col min="5493" max="5493" width="9.109375" style="641"/>
    <col min="5494" max="5494" width="11.21875" style="641" customWidth="1"/>
    <col min="5495" max="5495" width="12.77734375" style="641" customWidth="1"/>
    <col min="5496" max="5496" width="12.5546875" style="641" customWidth="1"/>
    <col min="5497" max="5497" width="2" style="641" customWidth="1"/>
    <col min="5498" max="5499" width="9.109375" style="641"/>
    <col min="5500" max="5500" width="11" style="641" customWidth="1"/>
    <col min="5501" max="5501" width="9.109375" style="641"/>
    <col min="5502" max="5502" width="2.21875" style="641" customWidth="1"/>
    <col min="5503" max="5503" width="11" style="641" customWidth="1"/>
    <col min="5504" max="5504" width="9.109375" style="641"/>
    <col min="5505" max="5505" width="11.5546875" style="641" customWidth="1"/>
    <col min="5506" max="5506" width="11.21875" style="641" customWidth="1"/>
    <col min="5507" max="5507" width="2.88671875" style="641" customWidth="1"/>
    <col min="5508" max="5509" width="9.109375" style="641"/>
    <col min="5510" max="5510" width="11.21875" style="641" customWidth="1"/>
    <col min="5511" max="5511" width="2.21875" style="641" customWidth="1"/>
    <col min="5512" max="5512" width="9.109375" style="641"/>
    <col min="5513" max="5513" width="10.44140625" style="641" customWidth="1"/>
    <col min="5514" max="5514" width="9.109375" style="641"/>
    <col min="5515" max="5515" width="11.109375" style="641" customWidth="1"/>
    <col min="5516" max="5517" width="9.109375" style="641"/>
    <col min="5518" max="5518" width="10.88671875" style="641" customWidth="1"/>
    <col min="5519" max="5520" width="9.109375" style="641"/>
    <col min="5521" max="5521" width="1.5546875" style="641" customWidth="1"/>
    <col min="5522" max="5522" width="9.77734375" style="641" customWidth="1"/>
    <col min="5523" max="5526" width="9.109375" style="641"/>
    <col min="5527" max="5527" width="1.88671875" style="641" customWidth="1"/>
    <col min="5528" max="5528" width="9.88671875" style="641" customWidth="1"/>
    <col min="5529" max="5529" width="1.5546875" style="641" customWidth="1"/>
    <col min="5530" max="5530" width="11.44140625" style="641" customWidth="1"/>
    <col min="5531" max="5531" width="2.21875" style="641" customWidth="1"/>
    <col min="5532" max="5532" width="12" style="641" customWidth="1"/>
    <col min="5533" max="5533" width="2" style="641" customWidth="1"/>
    <col min="5534" max="5534" width="9.109375" style="641"/>
    <col min="5535" max="5535" width="11.109375" style="641" customWidth="1"/>
    <col min="5536" max="5536" width="12" style="641" customWidth="1"/>
    <col min="5537" max="5537" width="9.109375" style="641"/>
    <col min="5538" max="5538" width="11.88671875" style="641" customWidth="1"/>
    <col min="5539" max="5539" width="14.21875" style="641" customWidth="1"/>
    <col min="5540" max="5543" width="9.109375" style="641"/>
    <col min="5544" max="5544" width="3.44140625" style="641" customWidth="1"/>
    <col min="5545" max="5546" width="9.109375" style="641"/>
    <col min="5547" max="5547" width="11.44140625" style="641" customWidth="1"/>
    <col min="5548" max="5548" width="2.77734375" style="641" customWidth="1"/>
    <col min="5549" max="5731" width="9.109375" style="641"/>
    <col min="5732" max="5732" width="9.5546875" style="641" customWidth="1"/>
    <col min="5733" max="5733" width="11" style="641" customWidth="1"/>
    <col min="5734" max="5735" width="11.21875" style="641" customWidth="1"/>
    <col min="5736" max="5736" width="11.5546875" style="641" customWidth="1"/>
    <col min="5737" max="5737" width="11.109375" style="641" customWidth="1"/>
    <col min="5738" max="5738" width="2" style="641" customWidth="1"/>
    <col min="5739" max="5739" width="13.5546875" style="641" customWidth="1"/>
    <col min="5740" max="5740" width="12.44140625" style="641" customWidth="1"/>
    <col min="5741" max="5741" width="13.5546875" style="641" customWidth="1"/>
    <col min="5742" max="5742" width="2.109375" style="641" customWidth="1"/>
    <col min="5743" max="5743" width="9.109375" style="641"/>
    <col min="5744" max="5744" width="10.21875" style="641" customWidth="1"/>
    <col min="5745" max="5745" width="1.88671875" style="641" customWidth="1"/>
    <col min="5746" max="5746" width="10.77734375" style="641" customWidth="1"/>
    <col min="5747" max="5747" width="9.109375" style="641"/>
    <col min="5748" max="5748" width="2.109375" style="641" customWidth="1"/>
    <col min="5749" max="5749" width="9.109375" style="641"/>
    <col min="5750" max="5750" width="11.21875" style="641" customWidth="1"/>
    <col min="5751" max="5751" width="12.77734375" style="641" customWidth="1"/>
    <col min="5752" max="5752" width="12.5546875" style="641" customWidth="1"/>
    <col min="5753" max="5753" width="2" style="641" customWidth="1"/>
    <col min="5754" max="5755" width="9.109375" style="641"/>
    <col min="5756" max="5756" width="11" style="641" customWidth="1"/>
    <col min="5757" max="5757" width="9.109375" style="641"/>
    <col min="5758" max="5758" width="2.21875" style="641" customWidth="1"/>
    <col min="5759" max="5759" width="11" style="641" customWidth="1"/>
    <col min="5760" max="5760" width="9.109375" style="641"/>
    <col min="5761" max="5761" width="11.5546875" style="641" customWidth="1"/>
    <col min="5762" max="5762" width="11.21875" style="641" customWidth="1"/>
    <col min="5763" max="5763" width="2.88671875" style="641" customWidth="1"/>
    <col min="5764" max="5765" width="9.109375" style="641"/>
    <col min="5766" max="5766" width="11.21875" style="641" customWidth="1"/>
    <col min="5767" max="5767" width="2.21875" style="641" customWidth="1"/>
    <col min="5768" max="5768" width="9.109375" style="641"/>
    <col min="5769" max="5769" width="10.44140625" style="641" customWidth="1"/>
    <col min="5770" max="5770" width="9.109375" style="641"/>
    <col min="5771" max="5771" width="11.109375" style="641" customWidth="1"/>
    <col min="5772" max="5773" width="9.109375" style="641"/>
    <col min="5774" max="5774" width="10.88671875" style="641" customWidth="1"/>
    <col min="5775" max="5776" width="9.109375" style="641"/>
    <col min="5777" max="5777" width="1.5546875" style="641" customWidth="1"/>
    <col min="5778" max="5778" width="9.77734375" style="641" customWidth="1"/>
    <col min="5779" max="5782" width="9.109375" style="641"/>
    <col min="5783" max="5783" width="1.88671875" style="641" customWidth="1"/>
    <col min="5784" max="5784" width="9.88671875" style="641" customWidth="1"/>
    <col min="5785" max="5785" width="1.5546875" style="641" customWidth="1"/>
    <col min="5786" max="5786" width="11.44140625" style="641" customWidth="1"/>
    <col min="5787" max="5787" width="2.21875" style="641" customWidth="1"/>
    <col min="5788" max="5788" width="12" style="641" customWidth="1"/>
    <col min="5789" max="5789" width="2" style="641" customWidth="1"/>
    <col min="5790" max="5790" width="9.109375" style="641"/>
    <col min="5791" max="5791" width="11.109375" style="641" customWidth="1"/>
    <col min="5792" max="5792" width="12" style="641" customWidth="1"/>
    <col min="5793" max="5793" width="9.109375" style="641"/>
    <col min="5794" max="5794" width="11.88671875" style="641" customWidth="1"/>
    <col min="5795" max="5795" width="14.21875" style="641" customWidth="1"/>
    <col min="5796" max="5799" width="9.109375" style="641"/>
    <col min="5800" max="5800" width="3.44140625" style="641" customWidth="1"/>
    <col min="5801" max="5802" width="9.109375" style="641"/>
    <col min="5803" max="5803" width="11.44140625" style="641" customWidth="1"/>
    <col min="5804" max="5804" width="2.77734375" style="641" customWidth="1"/>
    <col min="5805" max="5987" width="9.109375" style="641"/>
    <col min="5988" max="5988" width="9.5546875" style="641" customWidth="1"/>
    <col min="5989" max="5989" width="11" style="641" customWidth="1"/>
    <col min="5990" max="5991" width="11.21875" style="641" customWidth="1"/>
    <col min="5992" max="5992" width="11.5546875" style="641" customWidth="1"/>
    <col min="5993" max="5993" width="11.109375" style="641" customWidth="1"/>
    <col min="5994" max="5994" width="2" style="641" customWidth="1"/>
    <col min="5995" max="5995" width="13.5546875" style="641" customWidth="1"/>
    <col min="5996" max="5996" width="12.44140625" style="641" customWidth="1"/>
    <col min="5997" max="5997" width="13.5546875" style="641" customWidth="1"/>
    <col min="5998" max="5998" width="2.109375" style="641" customWidth="1"/>
    <col min="5999" max="5999" width="9.109375" style="641"/>
    <col min="6000" max="6000" width="10.21875" style="641" customWidth="1"/>
    <col min="6001" max="6001" width="1.88671875" style="641" customWidth="1"/>
    <col min="6002" max="6002" width="10.77734375" style="641" customWidth="1"/>
    <col min="6003" max="6003" width="9.109375" style="641"/>
    <col min="6004" max="6004" width="2.109375" style="641" customWidth="1"/>
    <col min="6005" max="6005" width="9.109375" style="641"/>
    <col min="6006" max="6006" width="11.21875" style="641" customWidth="1"/>
    <col min="6007" max="6007" width="12.77734375" style="641" customWidth="1"/>
    <col min="6008" max="6008" width="12.5546875" style="641" customWidth="1"/>
    <col min="6009" max="6009" width="2" style="641" customWidth="1"/>
    <col min="6010" max="6011" width="9.109375" style="641"/>
    <col min="6012" max="6012" width="11" style="641" customWidth="1"/>
    <col min="6013" max="6013" width="9.109375" style="641"/>
    <col min="6014" max="6014" width="2.21875" style="641" customWidth="1"/>
    <col min="6015" max="6015" width="11" style="641" customWidth="1"/>
    <col min="6016" max="6016" width="9.109375" style="641"/>
    <col min="6017" max="6017" width="11.5546875" style="641" customWidth="1"/>
    <col min="6018" max="6018" width="11.21875" style="641" customWidth="1"/>
    <col min="6019" max="6019" width="2.88671875" style="641" customWidth="1"/>
    <col min="6020" max="6021" width="9.109375" style="641"/>
    <col min="6022" max="6022" width="11.21875" style="641" customWidth="1"/>
    <col min="6023" max="6023" width="2.21875" style="641" customWidth="1"/>
    <col min="6024" max="6024" width="9.109375" style="641"/>
    <col min="6025" max="6025" width="10.44140625" style="641" customWidth="1"/>
    <col min="6026" max="6026" width="9.109375" style="641"/>
    <col min="6027" max="6027" width="11.109375" style="641" customWidth="1"/>
    <col min="6028" max="6029" width="9.109375" style="641"/>
    <col min="6030" max="6030" width="10.88671875" style="641" customWidth="1"/>
    <col min="6031" max="6032" width="9.109375" style="641"/>
    <col min="6033" max="6033" width="1.5546875" style="641" customWidth="1"/>
    <col min="6034" max="6034" width="9.77734375" style="641" customWidth="1"/>
    <col min="6035" max="6038" width="9.109375" style="641"/>
    <col min="6039" max="6039" width="1.88671875" style="641" customWidth="1"/>
    <col min="6040" max="6040" width="9.88671875" style="641" customWidth="1"/>
    <col min="6041" max="6041" width="1.5546875" style="641" customWidth="1"/>
    <col min="6042" max="6042" width="11.44140625" style="641" customWidth="1"/>
    <col min="6043" max="6043" width="2.21875" style="641" customWidth="1"/>
    <col min="6044" max="6044" width="12" style="641" customWidth="1"/>
    <col min="6045" max="6045" width="2" style="641" customWidth="1"/>
    <col min="6046" max="6046" width="9.109375" style="641"/>
    <col min="6047" max="6047" width="11.109375" style="641" customWidth="1"/>
    <col min="6048" max="6048" width="12" style="641" customWidth="1"/>
    <col min="6049" max="6049" width="9.109375" style="641"/>
    <col min="6050" max="6050" width="11.88671875" style="641" customWidth="1"/>
    <col min="6051" max="6051" width="14.21875" style="641" customWidth="1"/>
    <col min="6052" max="6055" width="9.109375" style="641"/>
    <col min="6056" max="6056" width="3.44140625" style="641" customWidth="1"/>
    <col min="6057" max="6058" width="9.109375" style="641"/>
    <col min="6059" max="6059" width="11.44140625" style="641" customWidth="1"/>
    <col min="6060" max="6060" width="2.77734375" style="641" customWidth="1"/>
    <col min="6061" max="6243" width="9.109375" style="641"/>
    <col min="6244" max="6244" width="9.5546875" style="641" customWidth="1"/>
    <col min="6245" max="6245" width="11" style="641" customWidth="1"/>
    <col min="6246" max="6247" width="11.21875" style="641" customWidth="1"/>
    <col min="6248" max="6248" width="11.5546875" style="641" customWidth="1"/>
    <col min="6249" max="6249" width="11.109375" style="641" customWidth="1"/>
    <col min="6250" max="6250" width="2" style="641" customWidth="1"/>
    <col min="6251" max="6251" width="13.5546875" style="641" customWidth="1"/>
    <col min="6252" max="6252" width="12.44140625" style="641" customWidth="1"/>
    <col min="6253" max="6253" width="13.5546875" style="641" customWidth="1"/>
    <col min="6254" max="6254" width="2.109375" style="641" customWidth="1"/>
    <col min="6255" max="6255" width="9.109375" style="641"/>
    <col min="6256" max="6256" width="10.21875" style="641" customWidth="1"/>
    <col min="6257" max="6257" width="1.88671875" style="641" customWidth="1"/>
    <col min="6258" max="6258" width="10.77734375" style="641" customWidth="1"/>
    <col min="6259" max="6259" width="9.109375" style="641"/>
    <col min="6260" max="6260" width="2.109375" style="641" customWidth="1"/>
    <col min="6261" max="6261" width="9.109375" style="641"/>
    <col min="6262" max="6262" width="11.21875" style="641" customWidth="1"/>
    <col min="6263" max="6263" width="12.77734375" style="641" customWidth="1"/>
    <col min="6264" max="6264" width="12.5546875" style="641" customWidth="1"/>
    <col min="6265" max="6265" width="2" style="641" customWidth="1"/>
    <col min="6266" max="6267" width="9.109375" style="641"/>
    <col min="6268" max="6268" width="11" style="641" customWidth="1"/>
    <col min="6269" max="6269" width="9.109375" style="641"/>
    <col min="6270" max="6270" width="2.21875" style="641" customWidth="1"/>
    <col min="6271" max="6271" width="11" style="641" customWidth="1"/>
    <col min="6272" max="6272" width="9.109375" style="641"/>
    <col min="6273" max="6273" width="11.5546875" style="641" customWidth="1"/>
    <col min="6274" max="6274" width="11.21875" style="641" customWidth="1"/>
    <col min="6275" max="6275" width="2.88671875" style="641" customWidth="1"/>
    <col min="6276" max="6277" width="9.109375" style="641"/>
    <col min="6278" max="6278" width="11.21875" style="641" customWidth="1"/>
    <col min="6279" max="6279" width="2.21875" style="641" customWidth="1"/>
    <col min="6280" max="6280" width="9.109375" style="641"/>
    <col min="6281" max="6281" width="10.44140625" style="641" customWidth="1"/>
    <col min="6282" max="6282" width="9.109375" style="641"/>
    <col min="6283" max="6283" width="11.109375" style="641" customWidth="1"/>
    <col min="6284" max="6285" width="9.109375" style="641"/>
    <col min="6286" max="6286" width="10.88671875" style="641" customWidth="1"/>
    <col min="6287" max="6288" width="9.109375" style="641"/>
    <col min="6289" max="6289" width="1.5546875" style="641" customWidth="1"/>
    <col min="6290" max="6290" width="9.77734375" style="641" customWidth="1"/>
    <col min="6291" max="6294" width="9.109375" style="641"/>
    <col min="6295" max="6295" width="1.88671875" style="641" customWidth="1"/>
    <col min="6296" max="6296" width="9.88671875" style="641" customWidth="1"/>
    <col min="6297" max="6297" width="1.5546875" style="641" customWidth="1"/>
    <col min="6298" max="6298" width="11.44140625" style="641" customWidth="1"/>
    <col min="6299" max="6299" width="2.21875" style="641" customWidth="1"/>
    <col min="6300" max="6300" width="12" style="641" customWidth="1"/>
    <col min="6301" max="6301" width="2" style="641" customWidth="1"/>
    <col min="6302" max="6302" width="9.109375" style="641"/>
    <col min="6303" max="6303" width="11.109375" style="641" customWidth="1"/>
    <col min="6304" max="6304" width="12" style="641" customWidth="1"/>
    <col min="6305" max="6305" width="9.109375" style="641"/>
    <col min="6306" max="6306" width="11.88671875" style="641" customWidth="1"/>
    <col min="6307" max="6307" width="14.21875" style="641" customWidth="1"/>
    <col min="6308" max="6311" width="9.109375" style="641"/>
    <col min="6312" max="6312" width="3.44140625" style="641" customWidth="1"/>
    <col min="6313" max="6314" width="9.109375" style="641"/>
    <col min="6315" max="6315" width="11.44140625" style="641" customWidth="1"/>
    <col min="6316" max="6316" width="2.77734375" style="641" customWidth="1"/>
    <col min="6317" max="6499" width="9.109375" style="641"/>
    <col min="6500" max="6500" width="9.5546875" style="641" customWidth="1"/>
    <col min="6501" max="6501" width="11" style="641" customWidth="1"/>
    <col min="6502" max="6503" width="11.21875" style="641" customWidth="1"/>
    <col min="6504" max="6504" width="11.5546875" style="641" customWidth="1"/>
    <col min="6505" max="6505" width="11.109375" style="641" customWidth="1"/>
    <col min="6506" max="6506" width="2" style="641" customWidth="1"/>
    <col min="6507" max="6507" width="13.5546875" style="641" customWidth="1"/>
    <col min="6508" max="6508" width="12.44140625" style="641" customWidth="1"/>
    <col min="6509" max="6509" width="13.5546875" style="641" customWidth="1"/>
    <col min="6510" max="6510" width="2.109375" style="641" customWidth="1"/>
    <col min="6511" max="6511" width="9.109375" style="641"/>
    <col min="6512" max="6512" width="10.21875" style="641" customWidth="1"/>
    <col min="6513" max="6513" width="1.88671875" style="641" customWidth="1"/>
    <col min="6514" max="6514" width="10.77734375" style="641" customWidth="1"/>
    <col min="6515" max="6515" width="9.109375" style="641"/>
    <col min="6516" max="6516" width="2.109375" style="641" customWidth="1"/>
    <col min="6517" max="6517" width="9.109375" style="641"/>
    <col min="6518" max="6518" width="11.21875" style="641" customWidth="1"/>
    <col min="6519" max="6519" width="12.77734375" style="641" customWidth="1"/>
    <col min="6520" max="6520" width="12.5546875" style="641" customWidth="1"/>
    <col min="6521" max="6521" width="2" style="641" customWidth="1"/>
    <col min="6522" max="6523" width="9.109375" style="641"/>
    <col min="6524" max="6524" width="11" style="641" customWidth="1"/>
    <col min="6525" max="6525" width="9.109375" style="641"/>
    <col min="6526" max="6526" width="2.21875" style="641" customWidth="1"/>
    <col min="6527" max="6527" width="11" style="641" customWidth="1"/>
    <col min="6528" max="6528" width="9.109375" style="641"/>
    <col min="6529" max="6529" width="11.5546875" style="641" customWidth="1"/>
    <col min="6530" max="6530" width="11.21875" style="641" customWidth="1"/>
    <col min="6531" max="6531" width="2.88671875" style="641" customWidth="1"/>
    <col min="6532" max="6533" width="9.109375" style="641"/>
    <col min="6534" max="6534" width="11.21875" style="641" customWidth="1"/>
    <col min="6535" max="6535" width="2.21875" style="641" customWidth="1"/>
    <col min="6536" max="6536" width="9.109375" style="641"/>
    <col min="6537" max="6537" width="10.44140625" style="641" customWidth="1"/>
    <col min="6538" max="6538" width="9.109375" style="641"/>
    <col min="6539" max="6539" width="11.109375" style="641" customWidth="1"/>
    <col min="6540" max="6541" width="9.109375" style="641"/>
    <col min="6542" max="6542" width="10.88671875" style="641" customWidth="1"/>
    <col min="6543" max="6544" width="9.109375" style="641"/>
    <col min="6545" max="6545" width="1.5546875" style="641" customWidth="1"/>
    <col min="6546" max="6546" width="9.77734375" style="641" customWidth="1"/>
    <col min="6547" max="6550" width="9.109375" style="641"/>
    <col min="6551" max="6551" width="1.88671875" style="641" customWidth="1"/>
    <col min="6552" max="6552" width="9.88671875" style="641" customWidth="1"/>
    <col min="6553" max="6553" width="1.5546875" style="641" customWidth="1"/>
    <col min="6554" max="6554" width="11.44140625" style="641" customWidth="1"/>
    <col min="6555" max="6555" width="2.21875" style="641" customWidth="1"/>
    <col min="6556" max="6556" width="12" style="641" customWidth="1"/>
    <col min="6557" max="6557" width="2" style="641" customWidth="1"/>
    <col min="6558" max="6558" width="9.109375" style="641"/>
    <col min="6559" max="6559" width="11.109375" style="641" customWidth="1"/>
    <col min="6560" max="6560" width="12" style="641" customWidth="1"/>
    <col min="6561" max="6561" width="9.109375" style="641"/>
    <col min="6562" max="6562" width="11.88671875" style="641" customWidth="1"/>
    <col min="6563" max="6563" width="14.21875" style="641" customWidth="1"/>
    <col min="6564" max="6567" width="9.109375" style="641"/>
    <col min="6568" max="6568" width="3.44140625" style="641" customWidth="1"/>
    <col min="6569" max="6570" width="9.109375" style="641"/>
    <col min="6571" max="6571" width="11.44140625" style="641" customWidth="1"/>
    <col min="6572" max="6572" width="2.77734375" style="641" customWidth="1"/>
    <col min="6573" max="6755" width="9.109375" style="641"/>
    <col min="6756" max="6756" width="9.5546875" style="641" customWidth="1"/>
    <col min="6757" max="6757" width="11" style="641" customWidth="1"/>
    <col min="6758" max="6759" width="11.21875" style="641" customWidth="1"/>
    <col min="6760" max="6760" width="11.5546875" style="641" customWidth="1"/>
    <col min="6761" max="6761" width="11.109375" style="641" customWidth="1"/>
    <col min="6762" max="6762" width="2" style="641" customWidth="1"/>
    <col min="6763" max="6763" width="13.5546875" style="641" customWidth="1"/>
    <col min="6764" max="6764" width="12.44140625" style="641" customWidth="1"/>
    <col min="6765" max="6765" width="13.5546875" style="641" customWidth="1"/>
    <col min="6766" max="6766" width="2.109375" style="641" customWidth="1"/>
    <col min="6767" max="6767" width="9.109375" style="641"/>
    <col min="6768" max="6768" width="10.21875" style="641" customWidth="1"/>
    <col min="6769" max="6769" width="1.88671875" style="641" customWidth="1"/>
    <col min="6770" max="6770" width="10.77734375" style="641" customWidth="1"/>
    <col min="6771" max="6771" width="9.109375" style="641"/>
    <col min="6772" max="6772" width="2.109375" style="641" customWidth="1"/>
    <col min="6773" max="6773" width="9.109375" style="641"/>
    <col min="6774" max="6774" width="11.21875" style="641" customWidth="1"/>
    <col min="6775" max="6775" width="12.77734375" style="641" customWidth="1"/>
    <col min="6776" max="6776" width="12.5546875" style="641" customWidth="1"/>
    <col min="6777" max="6777" width="2" style="641" customWidth="1"/>
    <col min="6778" max="6779" width="9.109375" style="641"/>
    <col min="6780" max="6780" width="11" style="641" customWidth="1"/>
    <col min="6781" max="6781" width="9.109375" style="641"/>
    <col min="6782" max="6782" width="2.21875" style="641" customWidth="1"/>
    <col min="6783" max="6783" width="11" style="641" customWidth="1"/>
    <col min="6784" max="6784" width="9.109375" style="641"/>
    <col min="6785" max="6785" width="11.5546875" style="641" customWidth="1"/>
    <col min="6786" max="6786" width="11.21875" style="641" customWidth="1"/>
    <col min="6787" max="6787" width="2.88671875" style="641" customWidth="1"/>
    <col min="6788" max="6789" width="9.109375" style="641"/>
    <col min="6790" max="6790" width="11.21875" style="641" customWidth="1"/>
    <col min="6791" max="6791" width="2.21875" style="641" customWidth="1"/>
    <col min="6792" max="6792" width="9.109375" style="641"/>
    <col min="6793" max="6793" width="10.44140625" style="641" customWidth="1"/>
    <col min="6794" max="6794" width="9.109375" style="641"/>
    <col min="6795" max="6795" width="11.109375" style="641" customWidth="1"/>
    <col min="6796" max="6797" width="9.109375" style="641"/>
    <col min="6798" max="6798" width="10.88671875" style="641" customWidth="1"/>
    <col min="6799" max="6800" width="9.109375" style="641"/>
    <col min="6801" max="6801" width="1.5546875" style="641" customWidth="1"/>
    <col min="6802" max="6802" width="9.77734375" style="641" customWidth="1"/>
    <col min="6803" max="6806" width="9.109375" style="641"/>
    <col min="6807" max="6807" width="1.88671875" style="641" customWidth="1"/>
    <col min="6808" max="6808" width="9.88671875" style="641" customWidth="1"/>
    <col min="6809" max="6809" width="1.5546875" style="641" customWidth="1"/>
    <col min="6810" max="6810" width="11.44140625" style="641" customWidth="1"/>
    <col min="6811" max="6811" width="2.21875" style="641" customWidth="1"/>
    <col min="6812" max="6812" width="12" style="641" customWidth="1"/>
    <col min="6813" max="6813" width="2" style="641" customWidth="1"/>
    <col min="6814" max="6814" width="9.109375" style="641"/>
    <col min="6815" max="6815" width="11.109375" style="641" customWidth="1"/>
    <col min="6816" max="6816" width="12" style="641" customWidth="1"/>
    <col min="6817" max="6817" width="9.109375" style="641"/>
    <col min="6818" max="6818" width="11.88671875" style="641" customWidth="1"/>
    <col min="6819" max="6819" width="14.21875" style="641" customWidth="1"/>
    <col min="6820" max="6823" width="9.109375" style="641"/>
    <col min="6824" max="6824" width="3.44140625" style="641" customWidth="1"/>
    <col min="6825" max="6826" width="9.109375" style="641"/>
    <col min="6827" max="6827" width="11.44140625" style="641" customWidth="1"/>
    <col min="6828" max="6828" width="2.77734375" style="641" customWidth="1"/>
    <col min="6829" max="7011" width="9.109375" style="641"/>
    <col min="7012" max="7012" width="9.5546875" style="641" customWidth="1"/>
    <col min="7013" max="7013" width="11" style="641" customWidth="1"/>
    <col min="7014" max="7015" width="11.21875" style="641" customWidth="1"/>
    <col min="7016" max="7016" width="11.5546875" style="641" customWidth="1"/>
    <col min="7017" max="7017" width="11.109375" style="641" customWidth="1"/>
    <col min="7018" max="7018" width="2" style="641" customWidth="1"/>
    <col min="7019" max="7019" width="13.5546875" style="641" customWidth="1"/>
    <col min="7020" max="7020" width="12.44140625" style="641" customWidth="1"/>
    <col min="7021" max="7021" width="13.5546875" style="641" customWidth="1"/>
    <col min="7022" max="7022" width="2.109375" style="641" customWidth="1"/>
    <col min="7023" max="7023" width="9.109375" style="641"/>
    <col min="7024" max="7024" width="10.21875" style="641" customWidth="1"/>
    <col min="7025" max="7025" width="1.88671875" style="641" customWidth="1"/>
    <col min="7026" max="7026" width="10.77734375" style="641" customWidth="1"/>
    <col min="7027" max="7027" width="9.109375" style="641"/>
    <col min="7028" max="7028" width="2.109375" style="641" customWidth="1"/>
    <col min="7029" max="7029" width="9.109375" style="641"/>
    <col min="7030" max="7030" width="11.21875" style="641" customWidth="1"/>
    <col min="7031" max="7031" width="12.77734375" style="641" customWidth="1"/>
    <col min="7032" max="7032" width="12.5546875" style="641" customWidth="1"/>
    <col min="7033" max="7033" width="2" style="641" customWidth="1"/>
    <col min="7034" max="7035" width="9.109375" style="641"/>
    <col min="7036" max="7036" width="11" style="641" customWidth="1"/>
    <col min="7037" max="7037" width="9.109375" style="641"/>
    <col min="7038" max="7038" width="2.21875" style="641" customWidth="1"/>
    <col min="7039" max="7039" width="11" style="641" customWidth="1"/>
    <col min="7040" max="7040" width="9.109375" style="641"/>
    <col min="7041" max="7041" width="11.5546875" style="641" customWidth="1"/>
    <col min="7042" max="7042" width="11.21875" style="641" customWidth="1"/>
    <col min="7043" max="7043" width="2.88671875" style="641" customWidth="1"/>
    <col min="7044" max="7045" width="9.109375" style="641"/>
    <col min="7046" max="7046" width="11.21875" style="641" customWidth="1"/>
    <col min="7047" max="7047" width="2.21875" style="641" customWidth="1"/>
    <col min="7048" max="7048" width="9.109375" style="641"/>
    <col min="7049" max="7049" width="10.44140625" style="641" customWidth="1"/>
    <col min="7050" max="7050" width="9.109375" style="641"/>
    <col min="7051" max="7051" width="11.109375" style="641" customWidth="1"/>
    <col min="7052" max="7053" width="9.109375" style="641"/>
    <col min="7054" max="7054" width="10.88671875" style="641" customWidth="1"/>
    <col min="7055" max="7056" width="9.109375" style="641"/>
    <col min="7057" max="7057" width="1.5546875" style="641" customWidth="1"/>
    <col min="7058" max="7058" width="9.77734375" style="641" customWidth="1"/>
    <col min="7059" max="7062" width="9.109375" style="641"/>
    <col min="7063" max="7063" width="1.88671875" style="641" customWidth="1"/>
    <col min="7064" max="7064" width="9.88671875" style="641" customWidth="1"/>
    <col min="7065" max="7065" width="1.5546875" style="641" customWidth="1"/>
    <col min="7066" max="7066" width="11.44140625" style="641" customWidth="1"/>
    <col min="7067" max="7067" width="2.21875" style="641" customWidth="1"/>
    <col min="7068" max="7068" width="12" style="641" customWidth="1"/>
    <col min="7069" max="7069" width="2" style="641" customWidth="1"/>
    <col min="7070" max="7070" width="9.109375" style="641"/>
    <col min="7071" max="7071" width="11.109375" style="641" customWidth="1"/>
    <col min="7072" max="7072" width="12" style="641" customWidth="1"/>
    <col min="7073" max="7073" width="9.109375" style="641"/>
    <col min="7074" max="7074" width="11.88671875" style="641" customWidth="1"/>
    <col min="7075" max="7075" width="14.21875" style="641" customWidth="1"/>
    <col min="7076" max="7079" width="9.109375" style="641"/>
    <col min="7080" max="7080" width="3.44140625" style="641" customWidth="1"/>
    <col min="7081" max="7082" width="9.109375" style="641"/>
    <col min="7083" max="7083" width="11.44140625" style="641" customWidth="1"/>
    <col min="7084" max="7084" width="2.77734375" style="641" customWidth="1"/>
    <col min="7085" max="7267" width="9.109375" style="641"/>
    <col min="7268" max="7268" width="9.5546875" style="641" customWidth="1"/>
    <col min="7269" max="7269" width="11" style="641" customWidth="1"/>
    <col min="7270" max="7271" width="11.21875" style="641" customWidth="1"/>
    <col min="7272" max="7272" width="11.5546875" style="641" customWidth="1"/>
    <col min="7273" max="7273" width="11.109375" style="641" customWidth="1"/>
    <col min="7274" max="7274" width="2" style="641" customWidth="1"/>
    <col min="7275" max="7275" width="13.5546875" style="641" customWidth="1"/>
    <col min="7276" max="7276" width="12.44140625" style="641" customWidth="1"/>
    <col min="7277" max="7277" width="13.5546875" style="641" customWidth="1"/>
    <col min="7278" max="7278" width="2.109375" style="641" customWidth="1"/>
    <col min="7279" max="7279" width="9.109375" style="641"/>
    <col min="7280" max="7280" width="10.21875" style="641" customWidth="1"/>
    <col min="7281" max="7281" width="1.88671875" style="641" customWidth="1"/>
    <col min="7282" max="7282" width="10.77734375" style="641" customWidth="1"/>
    <col min="7283" max="7283" width="9.109375" style="641"/>
    <col min="7284" max="7284" width="2.109375" style="641" customWidth="1"/>
    <col min="7285" max="7285" width="9.109375" style="641"/>
    <col min="7286" max="7286" width="11.21875" style="641" customWidth="1"/>
    <col min="7287" max="7287" width="12.77734375" style="641" customWidth="1"/>
    <col min="7288" max="7288" width="12.5546875" style="641" customWidth="1"/>
    <col min="7289" max="7289" width="2" style="641" customWidth="1"/>
    <col min="7290" max="7291" width="9.109375" style="641"/>
    <col min="7292" max="7292" width="11" style="641" customWidth="1"/>
    <col min="7293" max="7293" width="9.109375" style="641"/>
    <col min="7294" max="7294" width="2.21875" style="641" customWidth="1"/>
    <col min="7295" max="7295" width="11" style="641" customWidth="1"/>
    <col min="7296" max="7296" width="9.109375" style="641"/>
    <col min="7297" max="7297" width="11.5546875" style="641" customWidth="1"/>
    <col min="7298" max="7298" width="11.21875" style="641" customWidth="1"/>
    <col min="7299" max="7299" width="2.88671875" style="641" customWidth="1"/>
    <col min="7300" max="7301" width="9.109375" style="641"/>
    <col min="7302" max="7302" width="11.21875" style="641" customWidth="1"/>
    <col min="7303" max="7303" width="2.21875" style="641" customWidth="1"/>
    <col min="7304" max="7304" width="9.109375" style="641"/>
    <col min="7305" max="7305" width="10.44140625" style="641" customWidth="1"/>
    <col min="7306" max="7306" width="9.109375" style="641"/>
    <col min="7307" max="7307" width="11.109375" style="641" customWidth="1"/>
    <col min="7308" max="7309" width="9.109375" style="641"/>
    <col min="7310" max="7310" width="10.88671875" style="641" customWidth="1"/>
    <col min="7311" max="7312" width="9.109375" style="641"/>
    <col min="7313" max="7313" width="1.5546875" style="641" customWidth="1"/>
    <col min="7314" max="7314" width="9.77734375" style="641" customWidth="1"/>
    <col min="7315" max="7318" width="9.109375" style="641"/>
    <col min="7319" max="7319" width="1.88671875" style="641" customWidth="1"/>
    <col min="7320" max="7320" width="9.88671875" style="641" customWidth="1"/>
    <col min="7321" max="7321" width="1.5546875" style="641" customWidth="1"/>
    <col min="7322" max="7322" width="11.44140625" style="641" customWidth="1"/>
    <col min="7323" max="7323" width="2.21875" style="641" customWidth="1"/>
    <col min="7324" max="7324" width="12" style="641" customWidth="1"/>
    <col min="7325" max="7325" width="2" style="641" customWidth="1"/>
    <col min="7326" max="7326" width="9.109375" style="641"/>
    <col min="7327" max="7327" width="11.109375" style="641" customWidth="1"/>
    <col min="7328" max="7328" width="12" style="641" customWidth="1"/>
    <col min="7329" max="7329" width="9.109375" style="641"/>
    <col min="7330" max="7330" width="11.88671875" style="641" customWidth="1"/>
    <col min="7331" max="7331" width="14.21875" style="641" customWidth="1"/>
    <col min="7332" max="7335" width="9.109375" style="641"/>
    <col min="7336" max="7336" width="3.44140625" style="641" customWidth="1"/>
    <col min="7337" max="7338" width="9.109375" style="641"/>
    <col min="7339" max="7339" width="11.44140625" style="641" customWidth="1"/>
    <col min="7340" max="7340" width="2.77734375" style="641" customWidth="1"/>
    <col min="7341" max="7523" width="9.109375" style="641"/>
    <col min="7524" max="7524" width="9.5546875" style="641" customWidth="1"/>
    <col min="7525" max="7525" width="11" style="641" customWidth="1"/>
    <col min="7526" max="7527" width="11.21875" style="641" customWidth="1"/>
    <col min="7528" max="7528" width="11.5546875" style="641" customWidth="1"/>
    <col min="7529" max="7529" width="11.109375" style="641" customWidth="1"/>
    <col min="7530" max="7530" width="2" style="641" customWidth="1"/>
    <col min="7531" max="7531" width="13.5546875" style="641" customWidth="1"/>
    <col min="7532" max="7532" width="12.44140625" style="641" customWidth="1"/>
    <col min="7533" max="7533" width="13.5546875" style="641" customWidth="1"/>
    <col min="7534" max="7534" width="2.109375" style="641" customWidth="1"/>
    <col min="7535" max="7535" width="9.109375" style="641"/>
    <col min="7536" max="7536" width="10.21875" style="641" customWidth="1"/>
    <col min="7537" max="7537" width="1.88671875" style="641" customWidth="1"/>
    <col min="7538" max="7538" width="10.77734375" style="641" customWidth="1"/>
    <col min="7539" max="7539" width="9.109375" style="641"/>
    <col min="7540" max="7540" width="2.109375" style="641" customWidth="1"/>
    <col min="7541" max="7541" width="9.109375" style="641"/>
    <col min="7542" max="7542" width="11.21875" style="641" customWidth="1"/>
    <col min="7543" max="7543" width="12.77734375" style="641" customWidth="1"/>
    <col min="7544" max="7544" width="12.5546875" style="641" customWidth="1"/>
    <col min="7545" max="7545" width="2" style="641" customWidth="1"/>
    <col min="7546" max="7547" width="9.109375" style="641"/>
    <col min="7548" max="7548" width="11" style="641" customWidth="1"/>
    <col min="7549" max="7549" width="9.109375" style="641"/>
    <col min="7550" max="7550" width="2.21875" style="641" customWidth="1"/>
    <col min="7551" max="7551" width="11" style="641" customWidth="1"/>
    <col min="7552" max="7552" width="9.109375" style="641"/>
    <col min="7553" max="7553" width="11.5546875" style="641" customWidth="1"/>
    <col min="7554" max="7554" width="11.21875" style="641" customWidth="1"/>
    <col min="7555" max="7555" width="2.88671875" style="641" customWidth="1"/>
    <col min="7556" max="7557" width="9.109375" style="641"/>
    <col min="7558" max="7558" width="11.21875" style="641" customWidth="1"/>
    <col min="7559" max="7559" width="2.21875" style="641" customWidth="1"/>
    <col min="7560" max="7560" width="9.109375" style="641"/>
    <col min="7561" max="7561" width="10.44140625" style="641" customWidth="1"/>
    <col min="7562" max="7562" width="9.109375" style="641"/>
    <col min="7563" max="7563" width="11.109375" style="641" customWidth="1"/>
    <col min="7564" max="7565" width="9.109375" style="641"/>
    <col min="7566" max="7566" width="10.88671875" style="641" customWidth="1"/>
    <col min="7567" max="7568" width="9.109375" style="641"/>
    <col min="7569" max="7569" width="1.5546875" style="641" customWidth="1"/>
    <col min="7570" max="7570" width="9.77734375" style="641" customWidth="1"/>
    <col min="7571" max="7574" width="9.109375" style="641"/>
    <col min="7575" max="7575" width="1.88671875" style="641" customWidth="1"/>
    <col min="7576" max="7576" width="9.88671875" style="641" customWidth="1"/>
    <col min="7577" max="7577" width="1.5546875" style="641" customWidth="1"/>
    <col min="7578" max="7578" width="11.44140625" style="641" customWidth="1"/>
    <col min="7579" max="7579" width="2.21875" style="641" customWidth="1"/>
    <col min="7580" max="7580" width="12" style="641" customWidth="1"/>
    <col min="7581" max="7581" width="2" style="641" customWidth="1"/>
    <col min="7582" max="7582" width="9.109375" style="641"/>
    <col min="7583" max="7583" width="11.109375" style="641" customWidth="1"/>
    <col min="7584" max="7584" width="12" style="641" customWidth="1"/>
    <col min="7585" max="7585" width="9.109375" style="641"/>
    <col min="7586" max="7586" width="11.88671875" style="641" customWidth="1"/>
    <col min="7587" max="7587" width="14.21875" style="641" customWidth="1"/>
    <col min="7588" max="7591" width="9.109375" style="641"/>
    <col min="7592" max="7592" width="3.44140625" style="641" customWidth="1"/>
    <col min="7593" max="7594" width="9.109375" style="641"/>
    <col min="7595" max="7595" width="11.44140625" style="641" customWidth="1"/>
    <col min="7596" max="7596" width="2.77734375" style="641" customWidth="1"/>
    <col min="7597" max="7779" width="9.109375" style="641"/>
    <col min="7780" max="7780" width="9.5546875" style="641" customWidth="1"/>
    <col min="7781" max="7781" width="11" style="641" customWidth="1"/>
    <col min="7782" max="7783" width="11.21875" style="641" customWidth="1"/>
    <col min="7784" max="7784" width="11.5546875" style="641" customWidth="1"/>
    <col min="7785" max="7785" width="11.109375" style="641" customWidth="1"/>
    <col min="7786" max="7786" width="2" style="641" customWidth="1"/>
    <col min="7787" max="7787" width="13.5546875" style="641" customWidth="1"/>
    <col min="7788" max="7788" width="12.44140625" style="641" customWidth="1"/>
    <col min="7789" max="7789" width="13.5546875" style="641" customWidth="1"/>
    <col min="7790" max="7790" width="2.109375" style="641" customWidth="1"/>
    <col min="7791" max="7791" width="9.109375" style="641"/>
    <col min="7792" max="7792" width="10.21875" style="641" customWidth="1"/>
    <col min="7793" max="7793" width="1.88671875" style="641" customWidth="1"/>
    <col min="7794" max="7794" width="10.77734375" style="641" customWidth="1"/>
    <col min="7795" max="7795" width="9.109375" style="641"/>
    <col min="7796" max="7796" width="2.109375" style="641" customWidth="1"/>
    <col min="7797" max="7797" width="9.109375" style="641"/>
    <col min="7798" max="7798" width="11.21875" style="641" customWidth="1"/>
    <col min="7799" max="7799" width="12.77734375" style="641" customWidth="1"/>
    <col min="7800" max="7800" width="12.5546875" style="641" customWidth="1"/>
    <col min="7801" max="7801" width="2" style="641" customWidth="1"/>
    <col min="7802" max="7803" width="9.109375" style="641"/>
    <col min="7804" max="7804" width="11" style="641" customWidth="1"/>
    <col min="7805" max="7805" width="9.109375" style="641"/>
    <col min="7806" max="7806" width="2.21875" style="641" customWidth="1"/>
    <col min="7807" max="7807" width="11" style="641" customWidth="1"/>
    <col min="7808" max="7808" width="9.109375" style="641"/>
    <col min="7809" max="7809" width="11.5546875" style="641" customWidth="1"/>
    <col min="7810" max="7810" width="11.21875" style="641" customWidth="1"/>
    <col min="7811" max="7811" width="2.88671875" style="641" customWidth="1"/>
    <col min="7812" max="7813" width="9.109375" style="641"/>
    <col min="7814" max="7814" width="11.21875" style="641" customWidth="1"/>
    <col min="7815" max="7815" width="2.21875" style="641" customWidth="1"/>
    <col min="7816" max="7816" width="9.109375" style="641"/>
    <col min="7817" max="7817" width="10.44140625" style="641" customWidth="1"/>
    <col min="7818" max="7818" width="9.109375" style="641"/>
    <col min="7819" max="7819" width="11.109375" style="641" customWidth="1"/>
    <col min="7820" max="7821" width="9.109375" style="641"/>
    <col min="7822" max="7822" width="10.88671875" style="641" customWidth="1"/>
    <col min="7823" max="7824" width="9.109375" style="641"/>
    <col min="7825" max="7825" width="1.5546875" style="641" customWidth="1"/>
    <col min="7826" max="7826" width="9.77734375" style="641" customWidth="1"/>
    <col min="7827" max="7830" width="9.109375" style="641"/>
    <col min="7831" max="7831" width="1.88671875" style="641" customWidth="1"/>
    <col min="7832" max="7832" width="9.88671875" style="641" customWidth="1"/>
    <col min="7833" max="7833" width="1.5546875" style="641" customWidth="1"/>
    <col min="7834" max="7834" width="11.44140625" style="641" customWidth="1"/>
    <col min="7835" max="7835" width="2.21875" style="641" customWidth="1"/>
    <col min="7836" max="7836" width="12" style="641" customWidth="1"/>
    <col min="7837" max="7837" width="2" style="641" customWidth="1"/>
    <col min="7838" max="7838" width="9.109375" style="641"/>
    <col min="7839" max="7839" width="11.109375" style="641" customWidth="1"/>
    <col min="7840" max="7840" width="12" style="641" customWidth="1"/>
    <col min="7841" max="7841" width="9.109375" style="641"/>
    <col min="7842" max="7842" width="11.88671875" style="641" customWidth="1"/>
    <col min="7843" max="7843" width="14.21875" style="641" customWidth="1"/>
    <col min="7844" max="7847" width="9.109375" style="641"/>
    <col min="7848" max="7848" width="3.44140625" style="641" customWidth="1"/>
    <col min="7849" max="7850" width="9.109375" style="641"/>
    <col min="7851" max="7851" width="11.44140625" style="641" customWidth="1"/>
    <col min="7852" max="7852" width="2.77734375" style="641" customWidth="1"/>
    <col min="7853" max="8035" width="9.109375" style="641"/>
    <col min="8036" max="8036" width="9.5546875" style="641" customWidth="1"/>
    <col min="8037" max="8037" width="11" style="641" customWidth="1"/>
    <col min="8038" max="8039" width="11.21875" style="641" customWidth="1"/>
    <col min="8040" max="8040" width="11.5546875" style="641" customWidth="1"/>
    <col min="8041" max="8041" width="11.109375" style="641" customWidth="1"/>
    <col min="8042" max="8042" width="2" style="641" customWidth="1"/>
    <col min="8043" max="8043" width="13.5546875" style="641" customWidth="1"/>
    <col min="8044" max="8044" width="12.44140625" style="641" customWidth="1"/>
    <col min="8045" max="8045" width="13.5546875" style="641" customWidth="1"/>
    <col min="8046" max="8046" width="2.109375" style="641" customWidth="1"/>
    <col min="8047" max="8047" width="9.109375" style="641"/>
    <col min="8048" max="8048" width="10.21875" style="641" customWidth="1"/>
    <col min="8049" max="8049" width="1.88671875" style="641" customWidth="1"/>
    <col min="8050" max="8050" width="10.77734375" style="641" customWidth="1"/>
    <col min="8051" max="8051" width="9.109375" style="641"/>
    <col min="8052" max="8052" width="2.109375" style="641" customWidth="1"/>
    <col min="8053" max="8053" width="9.109375" style="641"/>
    <col min="8054" max="8054" width="11.21875" style="641" customWidth="1"/>
    <col min="8055" max="8055" width="12.77734375" style="641" customWidth="1"/>
    <col min="8056" max="8056" width="12.5546875" style="641" customWidth="1"/>
    <col min="8057" max="8057" width="2" style="641" customWidth="1"/>
    <col min="8058" max="8059" width="9.109375" style="641"/>
    <col min="8060" max="8060" width="11" style="641" customWidth="1"/>
    <col min="8061" max="8061" width="9.109375" style="641"/>
    <col min="8062" max="8062" width="2.21875" style="641" customWidth="1"/>
    <col min="8063" max="8063" width="11" style="641" customWidth="1"/>
    <col min="8064" max="8064" width="9.109375" style="641"/>
    <col min="8065" max="8065" width="11.5546875" style="641" customWidth="1"/>
    <col min="8066" max="8066" width="11.21875" style="641" customWidth="1"/>
    <col min="8067" max="8067" width="2.88671875" style="641" customWidth="1"/>
    <col min="8068" max="8069" width="9.109375" style="641"/>
    <col min="8070" max="8070" width="11.21875" style="641" customWidth="1"/>
    <col min="8071" max="8071" width="2.21875" style="641" customWidth="1"/>
    <col min="8072" max="8072" width="9.109375" style="641"/>
    <col min="8073" max="8073" width="10.44140625" style="641" customWidth="1"/>
    <col min="8074" max="8074" width="9.109375" style="641"/>
    <col min="8075" max="8075" width="11.109375" style="641" customWidth="1"/>
    <col min="8076" max="8077" width="9.109375" style="641"/>
    <col min="8078" max="8078" width="10.88671875" style="641" customWidth="1"/>
    <col min="8079" max="8080" width="9.109375" style="641"/>
    <col min="8081" max="8081" width="1.5546875" style="641" customWidth="1"/>
    <col min="8082" max="8082" width="9.77734375" style="641" customWidth="1"/>
    <col min="8083" max="8086" width="9.109375" style="641"/>
    <col min="8087" max="8087" width="1.88671875" style="641" customWidth="1"/>
    <col min="8088" max="8088" width="9.88671875" style="641" customWidth="1"/>
    <col min="8089" max="8089" width="1.5546875" style="641" customWidth="1"/>
    <col min="8090" max="8090" width="11.44140625" style="641" customWidth="1"/>
    <col min="8091" max="8091" width="2.21875" style="641" customWidth="1"/>
    <col min="8092" max="8092" width="12" style="641" customWidth="1"/>
    <col min="8093" max="8093" width="2" style="641" customWidth="1"/>
    <col min="8094" max="8094" width="9.109375" style="641"/>
    <col min="8095" max="8095" width="11.109375" style="641" customWidth="1"/>
    <col min="8096" max="8096" width="12" style="641" customWidth="1"/>
    <col min="8097" max="8097" width="9.109375" style="641"/>
    <col min="8098" max="8098" width="11.88671875" style="641" customWidth="1"/>
    <col min="8099" max="8099" width="14.21875" style="641" customWidth="1"/>
    <col min="8100" max="8103" width="9.109375" style="641"/>
    <col min="8104" max="8104" width="3.44140625" style="641" customWidth="1"/>
    <col min="8105" max="8106" width="9.109375" style="641"/>
    <col min="8107" max="8107" width="11.44140625" style="641" customWidth="1"/>
    <col min="8108" max="8108" width="2.77734375" style="641" customWidth="1"/>
    <col min="8109" max="8291" width="9.109375" style="641"/>
    <col min="8292" max="8292" width="9.5546875" style="641" customWidth="1"/>
    <col min="8293" max="8293" width="11" style="641" customWidth="1"/>
    <col min="8294" max="8295" width="11.21875" style="641" customWidth="1"/>
    <col min="8296" max="8296" width="11.5546875" style="641" customWidth="1"/>
    <col min="8297" max="8297" width="11.109375" style="641" customWidth="1"/>
    <col min="8298" max="8298" width="2" style="641" customWidth="1"/>
    <col min="8299" max="8299" width="13.5546875" style="641" customWidth="1"/>
    <col min="8300" max="8300" width="12.44140625" style="641" customWidth="1"/>
    <col min="8301" max="8301" width="13.5546875" style="641" customWidth="1"/>
    <col min="8302" max="8302" width="2.109375" style="641" customWidth="1"/>
    <col min="8303" max="8303" width="9.109375" style="641"/>
    <col min="8304" max="8304" width="10.21875" style="641" customWidth="1"/>
    <col min="8305" max="8305" width="1.88671875" style="641" customWidth="1"/>
    <col min="8306" max="8306" width="10.77734375" style="641" customWidth="1"/>
    <col min="8307" max="8307" width="9.109375" style="641"/>
    <col min="8308" max="8308" width="2.109375" style="641" customWidth="1"/>
    <col min="8309" max="8309" width="9.109375" style="641"/>
    <col min="8310" max="8310" width="11.21875" style="641" customWidth="1"/>
    <col min="8311" max="8311" width="12.77734375" style="641" customWidth="1"/>
    <col min="8312" max="8312" width="12.5546875" style="641" customWidth="1"/>
    <col min="8313" max="8313" width="2" style="641" customWidth="1"/>
    <col min="8314" max="8315" width="9.109375" style="641"/>
    <col min="8316" max="8316" width="11" style="641" customWidth="1"/>
    <col min="8317" max="8317" width="9.109375" style="641"/>
    <col min="8318" max="8318" width="2.21875" style="641" customWidth="1"/>
    <col min="8319" max="8319" width="11" style="641" customWidth="1"/>
    <col min="8320" max="8320" width="9.109375" style="641"/>
    <col min="8321" max="8321" width="11.5546875" style="641" customWidth="1"/>
    <col min="8322" max="8322" width="11.21875" style="641" customWidth="1"/>
    <col min="8323" max="8323" width="2.88671875" style="641" customWidth="1"/>
    <col min="8324" max="8325" width="9.109375" style="641"/>
    <col min="8326" max="8326" width="11.21875" style="641" customWidth="1"/>
    <col min="8327" max="8327" width="2.21875" style="641" customWidth="1"/>
    <col min="8328" max="8328" width="9.109375" style="641"/>
    <col min="8329" max="8329" width="10.44140625" style="641" customWidth="1"/>
    <col min="8330" max="8330" width="9.109375" style="641"/>
    <col min="8331" max="8331" width="11.109375" style="641" customWidth="1"/>
    <col min="8332" max="8333" width="9.109375" style="641"/>
    <col min="8334" max="8334" width="10.88671875" style="641" customWidth="1"/>
    <col min="8335" max="8336" width="9.109375" style="641"/>
    <col min="8337" max="8337" width="1.5546875" style="641" customWidth="1"/>
    <col min="8338" max="8338" width="9.77734375" style="641" customWidth="1"/>
    <col min="8339" max="8342" width="9.109375" style="641"/>
    <col min="8343" max="8343" width="1.88671875" style="641" customWidth="1"/>
    <col min="8344" max="8344" width="9.88671875" style="641" customWidth="1"/>
    <col min="8345" max="8345" width="1.5546875" style="641" customWidth="1"/>
    <col min="8346" max="8346" width="11.44140625" style="641" customWidth="1"/>
    <col min="8347" max="8347" width="2.21875" style="641" customWidth="1"/>
    <col min="8348" max="8348" width="12" style="641" customWidth="1"/>
    <col min="8349" max="8349" width="2" style="641" customWidth="1"/>
    <col min="8350" max="8350" width="9.109375" style="641"/>
    <col min="8351" max="8351" width="11.109375" style="641" customWidth="1"/>
    <col min="8352" max="8352" width="12" style="641" customWidth="1"/>
    <col min="8353" max="8353" width="9.109375" style="641"/>
    <col min="8354" max="8354" width="11.88671875" style="641" customWidth="1"/>
    <col min="8355" max="8355" width="14.21875" style="641" customWidth="1"/>
    <col min="8356" max="8359" width="9.109375" style="641"/>
    <col min="8360" max="8360" width="3.44140625" style="641" customWidth="1"/>
    <col min="8361" max="8362" width="9.109375" style="641"/>
    <col min="8363" max="8363" width="11.44140625" style="641" customWidth="1"/>
    <col min="8364" max="8364" width="2.77734375" style="641" customWidth="1"/>
    <col min="8365" max="8547" width="9.109375" style="641"/>
    <col min="8548" max="8548" width="9.5546875" style="641" customWidth="1"/>
    <col min="8549" max="8549" width="11" style="641" customWidth="1"/>
    <col min="8550" max="8551" width="11.21875" style="641" customWidth="1"/>
    <col min="8552" max="8552" width="11.5546875" style="641" customWidth="1"/>
    <col min="8553" max="8553" width="11.109375" style="641" customWidth="1"/>
    <col min="8554" max="8554" width="2" style="641" customWidth="1"/>
    <col min="8555" max="8555" width="13.5546875" style="641" customWidth="1"/>
    <col min="8556" max="8556" width="12.44140625" style="641" customWidth="1"/>
    <col min="8557" max="8557" width="13.5546875" style="641" customWidth="1"/>
    <col min="8558" max="8558" width="2.109375" style="641" customWidth="1"/>
    <col min="8559" max="8559" width="9.109375" style="641"/>
    <col min="8560" max="8560" width="10.21875" style="641" customWidth="1"/>
    <col min="8561" max="8561" width="1.88671875" style="641" customWidth="1"/>
    <col min="8562" max="8562" width="10.77734375" style="641" customWidth="1"/>
    <col min="8563" max="8563" width="9.109375" style="641"/>
    <col min="8564" max="8564" width="2.109375" style="641" customWidth="1"/>
    <col min="8565" max="8565" width="9.109375" style="641"/>
    <col min="8566" max="8566" width="11.21875" style="641" customWidth="1"/>
    <col min="8567" max="8567" width="12.77734375" style="641" customWidth="1"/>
    <col min="8568" max="8568" width="12.5546875" style="641" customWidth="1"/>
    <col min="8569" max="8569" width="2" style="641" customWidth="1"/>
    <col min="8570" max="8571" width="9.109375" style="641"/>
    <col min="8572" max="8572" width="11" style="641" customWidth="1"/>
    <col min="8573" max="8573" width="9.109375" style="641"/>
    <col min="8574" max="8574" width="2.21875" style="641" customWidth="1"/>
    <col min="8575" max="8575" width="11" style="641" customWidth="1"/>
    <col min="8576" max="8576" width="9.109375" style="641"/>
    <col min="8577" max="8577" width="11.5546875" style="641" customWidth="1"/>
    <col min="8578" max="8578" width="11.21875" style="641" customWidth="1"/>
    <col min="8579" max="8579" width="2.88671875" style="641" customWidth="1"/>
    <col min="8580" max="8581" width="9.109375" style="641"/>
    <col min="8582" max="8582" width="11.21875" style="641" customWidth="1"/>
    <col min="8583" max="8583" width="2.21875" style="641" customWidth="1"/>
    <col min="8584" max="8584" width="9.109375" style="641"/>
    <col min="8585" max="8585" width="10.44140625" style="641" customWidth="1"/>
    <col min="8586" max="8586" width="9.109375" style="641"/>
    <col min="8587" max="8587" width="11.109375" style="641" customWidth="1"/>
    <col min="8588" max="8589" width="9.109375" style="641"/>
    <col min="8590" max="8590" width="10.88671875" style="641" customWidth="1"/>
    <col min="8591" max="8592" width="9.109375" style="641"/>
    <col min="8593" max="8593" width="1.5546875" style="641" customWidth="1"/>
    <col min="8594" max="8594" width="9.77734375" style="641" customWidth="1"/>
    <col min="8595" max="8598" width="9.109375" style="641"/>
    <col min="8599" max="8599" width="1.88671875" style="641" customWidth="1"/>
    <col min="8600" max="8600" width="9.88671875" style="641" customWidth="1"/>
    <col min="8601" max="8601" width="1.5546875" style="641" customWidth="1"/>
    <col min="8602" max="8602" width="11.44140625" style="641" customWidth="1"/>
    <col min="8603" max="8603" width="2.21875" style="641" customWidth="1"/>
    <col min="8604" max="8604" width="12" style="641" customWidth="1"/>
    <col min="8605" max="8605" width="2" style="641" customWidth="1"/>
    <col min="8606" max="8606" width="9.109375" style="641"/>
    <col min="8607" max="8607" width="11.109375" style="641" customWidth="1"/>
    <col min="8608" max="8608" width="12" style="641" customWidth="1"/>
    <col min="8609" max="8609" width="9.109375" style="641"/>
    <col min="8610" max="8610" width="11.88671875" style="641" customWidth="1"/>
    <col min="8611" max="8611" width="14.21875" style="641" customWidth="1"/>
    <col min="8612" max="8615" width="9.109375" style="641"/>
    <col min="8616" max="8616" width="3.44140625" style="641" customWidth="1"/>
    <col min="8617" max="8618" width="9.109375" style="641"/>
    <col min="8619" max="8619" width="11.44140625" style="641" customWidth="1"/>
    <col min="8620" max="8620" width="2.77734375" style="641" customWidth="1"/>
    <col min="8621" max="8803" width="9.109375" style="641"/>
    <col min="8804" max="8804" width="9.5546875" style="641" customWidth="1"/>
    <col min="8805" max="8805" width="11" style="641" customWidth="1"/>
    <col min="8806" max="8807" width="11.21875" style="641" customWidth="1"/>
    <col min="8808" max="8808" width="11.5546875" style="641" customWidth="1"/>
    <col min="8809" max="8809" width="11.109375" style="641" customWidth="1"/>
    <col min="8810" max="8810" width="2" style="641" customWidth="1"/>
    <col min="8811" max="8811" width="13.5546875" style="641" customWidth="1"/>
    <col min="8812" max="8812" width="12.44140625" style="641" customWidth="1"/>
    <col min="8813" max="8813" width="13.5546875" style="641" customWidth="1"/>
    <col min="8814" max="8814" width="2.109375" style="641" customWidth="1"/>
    <col min="8815" max="8815" width="9.109375" style="641"/>
    <col min="8816" max="8816" width="10.21875" style="641" customWidth="1"/>
    <col min="8817" max="8817" width="1.88671875" style="641" customWidth="1"/>
    <col min="8818" max="8818" width="10.77734375" style="641" customWidth="1"/>
    <col min="8819" max="8819" width="9.109375" style="641"/>
    <col min="8820" max="8820" width="2.109375" style="641" customWidth="1"/>
    <col min="8821" max="8821" width="9.109375" style="641"/>
    <col min="8822" max="8822" width="11.21875" style="641" customWidth="1"/>
    <col min="8823" max="8823" width="12.77734375" style="641" customWidth="1"/>
    <col min="8824" max="8824" width="12.5546875" style="641" customWidth="1"/>
    <col min="8825" max="8825" width="2" style="641" customWidth="1"/>
    <col min="8826" max="8827" width="9.109375" style="641"/>
    <col min="8828" max="8828" width="11" style="641" customWidth="1"/>
    <col min="8829" max="8829" width="9.109375" style="641"/>
    <col min="8830" max="8830" width="2.21875" style="641" customWidth="1"/>
    <col min="8831" max="8831" width="11" style="641" customWidth="1"/>
    <col min="8832" max="8832" width="9.109375" style="641"/>
    <col min="8833" max="8833" width="11.5546875" style="641" customWidth="1"/>
    <col min="8834" max="8834" width="11.21875" style="641" customWidth="1"/>
    <col min="8835" max="8835" width="2.88671875" style="641" customWidth="1"/>
    <col min="8836" max="8837" width="9.109375" style="641"/>
    <col min="8838" max="8838" width="11.21875" style="641" customWidth="1"/>
    <col min="8839" max="8839" width="2.21875" style="641" customWidth="1"/>
    <col min="8840" max="8840" width="9.109375" style="641"/>
    <col min="8841" max="8841" width="10.44140625" style="641" customWidth="1"/>
    <col min="8842" max="8842" width="9.109375" style="641"/>
    <col min="8843" max="8843" width="11.109375" style="641" customWidth="1"/>
    <col min="8844" max="8845" width="9.109375" style="641"/>
    <col min="8846" max="8846" width="10.88671875" style="641" customWidth="1"/>
    <col min="8847" max="8848" width="9.109375" style="641"/>
    <col min="8849" max="8849" width="1.5546875" style="641" customWidth="1"/>
    <col min="8850" max="8850" width="9.77734375" style="641" customWidth="1"/>
    <col min="8851" max="8854" width="9.109375" style="641"/>
    <col min="8855" max="8855" width="1.88671875" style="641" customWidth="1"/>
    <col min="8856" max="8856" width="9.88671875" style="641" customWidth="1"/>
    <col min="8857" max="8857" width="1.5546875" style="641" customWidth="1"/>
    <col min="8858" max="8858" width="11.44140625" style="641" customWidth="1"/>
    <col min="8859" max="8859" width="2.21875" style="641" customWidth="1"/>
    <col min="8860" max="8860" width="12" style="641" customWidth="1"/>
    <col min="8861" max="8861" width="2" style="641" customWidth="1"/>
    <col min="8862" max="8862" width="9.109375" style="641"/>
    <col min="8863" max="8863" width="11.109375" style="641" customWidth="1"/>
    <col min="8864" max="8864" width="12" style="641" customWidth="1"/>
    <col min="8865" max="8865" width="9.109375" style="641"/>
    <col min="8866" max="8866" width="11.88671875" style="641" customWidth="1"/>
    <col min="8867" max="8867" width="14.21875" style="641" customWidth="1"/>
    <col min="8868" max="8871" width="9.109375" style="641"/>
    <col min="8872" max="8872" width="3.44140625" style="641" customWidth="1"/>
    <col min="8873" max="8874" width="9.109375" style="641"/>
    <col min="8875" max="8875" width="11.44140625" style="641" customWidth="1"/>
    <col min="8876" max="8876" width="2.77734375" style="641" customWidth="1"/>
    <col min="8877" max="9059" width="9.109375" style="641"/>
    <col min="9060" max="9060" width="9.5546875" style="641" customWidth="1"/>
    <col min="9061" max="9061" width="11" style="641" customWidth="1"/>
    <col min="9062" max="9063" width="11.21875" style="641" customWidth="1"/>
    <col min="9064" max="9064" width="11.5546875" style="641" customWidth="1"/>
    <col min="9065" max="9065" width="11.109375" style="641" customWidth="1"/>
    <col min="9066" max="9066" width="2" style="641" customWidth="1"/>
    <col min="9067" max="9067" width="13.5546875" style="641" customWidth="1"/>
    <col min="9068" max="9068" width="12.44140625" style="641" customWidth="1"/>
    <col min="9069" max="9069" width="13.5546875" style="641" customWidth="1"/>
    <col min="9070" max="9070" width="2.109375" style="641" customWidth="1"/>
    <col min="9071" max="9071" width="9.109375" style="641"/>
    <col min="9072" max="9072" width="10.21875" style="641" customWidth="1"/>
    <col min="9073" max="9073" width="1.88671875" style="641" customWidth="1"/>
    <col min="9074" max="9074" width="10.77734375" style="641" customWidth="1"/>
    <col min="9075" max="9075" width="9.109375" style="641"/>
    <col min="9076" max="9076" width="2.109375" style="641" customWidth="1"/>
    <col min="9077" max="9077" width="9.109375" style="641"/>
    <col min="9078" max="9078" width="11.21875" style="641" customWidth="1"/>
    <col min="9079" max="9079" width="12.77734375" style="641" customWidth="1"/>
    <col min="9080" max="9080" width="12.5546875" style="641" customWidth="1"/>
    <col min="9081" max="9081" width="2" style="641" customWidth="1"/>
    <col min="9082" max="9083" width="9.109375" style="641"/>
    <col min="9084" max="9084" width="11" style="641" customWidth="1"/>
    <col min="9085" max="9085" width="9.109375" style="641"/>
    <col min="9086" max="9086" width="2.21875" style="641" customWidth="1"/>
    <col min="9087" max="9087" width="11" style="641" customWidth="1"/>
    <col min="9088" max="9088" width="9.109375" style="641"/>
    <col min="9089" max="9089" width="11.5546875" style="641" customWidth="1"/>
    <col min="9090" max="9090" width="11.21875" style="641" customWidth="1"/>
    <col min="9091" max="9091" width="2.88671875" style="641" customWidth="1"/>
    <col min="9092" max="9093" width="9.109375" style="641"/>
    <col min="9094" max="9094" width="11.21875" style="641" customWidth="1"/>
    <col min="9095" max="9095" width="2.21875" style="641" customWidth="1"/>
    <col min="9096" max="9096" width="9.109375" style="641"/>
    <col min="9097" max="9097" width="10.44140625" style="641" customWidth="1"/>
    <col min="9098" max="9098" width="9.109375" style="641"/>
    <col min="9099" max="9099" width="11.109375" style="641" customWidth="1"/>
    <col min="9100" max="9101" width="9.109375" style="641"/>
    <col min="9102" max="9102" width="10.88671875" style="641" customWidth="1"/>
    <col min="9103" max="9104" width="9.109375" style="641"/>
    <col min="9105" max="9105" width="1.5546875" style="641" customWidth="1"/>
    <col min="9106" max="9106" width="9.77734375" style="641" customWidth="1"/>
    <col min="9107" max="9110" width="9.109375" style="641"/>
    <col min="9111" max="9111" width="1.88671875" style="641" customWidth="1"/>
    <col min="9112" max="9112" width="9.88671875" style="641" customWidth="1"/>
    <col min="9113" max="9113" width="1.5546875" style="641" customWidth="1"/>
    <col min="9114" max="9114" width="11.44140625" style="641" customWidth="1"/>
    <col min="9115" max="9115" width="2.21875" style="641" customWidth="1"/>
    <col min="9116" max="9116" width="12" style="641" customWidth="1"/>
    <col min="9117" max="9117" width="2" style="641" customWidth="1"/>
    <col min="9118" max="9118" width="9.109375" style="641"/>
    <col min="9119" max="9119" width="11.109375" style="641" customWidth="1"/>
    <col min="9120" max="9120" width="12" style="641" customWidth="1"/>
    <col min="9121" max="9121" width="9.109375" style="641"/>
    <col min="9122" max="9122" width="11.88671875" style="641" customWidth="1"/>
    <col min="9123" max="9123" width="14.21875" style="641" customWidth="1"/>
    <col min="9124" max="9127" width="9.109375" style="641"/>
    <col min="9128" max="9128" width="3.44140625" style="641" customWidth="1"/>
    <col min="9129" max="9130" width="9.109375" style="641"/>
    <col min="9131" max="9131" width="11.44140625" style="641" customWidth="1"/>
    <col min="9132" max="9132" width="2.77734375" style="641" customWidth="1"/>
    <col min="9133" max="9315" width="9.109375" style="641"/>
    <col min="9316" max="9316" width="9.5546875" style="641" customWidth="1"/>
    <col min="9317" max="9317" width="11" style="641" customWidth="1"/>
    <col min="9318" max="9319" width="11.21875" style="641" customWidth="1"/>
    <col min="9320" max="9320" width="11.5546875" style="641" customWidth="1"/>
    <col min="9321" max="9321" width="11.109375" style="641" customWidth="1"/>
    <col min="9322" max="9322" width="2" style="641" customWidth="1"/>
    <col min="9323" max="9323" width="13.5546875" style="641" customWidth="1"/>
    <col min="9324" max="9324" width="12.44140625" style="641" customWidth="1"/>
    <col min="9325" max="9325" width="13.5546875" style="641" customWidth="1"/>
    <col min="9326" max="9326" width="2.109375" style="641" customWidth="1"/>
    <col min="9327" max="9327" width="9.109375" style="641"/>
    <col min="9328" max="9328" width="10.21875" style="641" customWidth="1"/>
    <col min="9329" max="9329" width="1.88671875" style="641" customWidth="1"/>
    <col min="9330" max="9330" width="10.77734375" style="641" customWidth="1"/>
    <col min="9331" max="9331" width="9.109375" style="641"/>
    <col min="9332" max="9332" width="2.109375" style="641" customWidth="1"/>
    <col min="9333" max="9333" width="9.109375" style="641"/>
    <col min="9334" max="9334" width="11.21875" style="641" customWidth="1"/>
    <col min="9335" max="9335" width="12.77734375" style="641" customWidth="1"/>
    <col min="9336" max="9336" width="12.5546875" style="641" customWidth="1"/>
    <col min="9337" max="9337" width="2" style="641" customWidth="1"/>
    <col min="9338" max="9339" width="9.109375" style="641"/>
    <col min="9340" max="9340" width="11" style="641" customWidth="1"/>
    <col min="9341" max="9341" width="9.109375" style="641"/>
    <col min="9342" max="9342" width="2.21875" style="641" customWidth="1"/>
    <col min="9343" max="9343" width="11" style="641" customWidth="1"/>
    <col min="9344" max="9344" width="9.109375" style="641"/>
    <col min="9345" max="9345" width="11.5546875" style="641" customWidth="1"/>
    <col min="9346" max="9346" width="11.21875" style="641" customWidth="1"/>
    <col min="9347" max="9347" width="2.88671875" style="641" customWidth="1"/>
    <col min="9348" max="9349" width="9.109375" style="641"/>
    <col min="9350" max="9350" width="11.21875" style="641" customWidth="1"/>
    <col min="9351" max="9351" width="2.21875" style="641" customWidth="1"/>
    <col min="9352" max="9352" width="9.109375" style="641"/>
    <col min="9353" max="9353" width="10.44140625" style="641" customWidth="1"/>
    <col min="9354" max="9354" width="9.109375" style="641"/>
    <col min="9355" max="9355" width="11.109375" style="641" customWidth="1"/>
    <col min="9356" max="9357" width="9.109375" style="641"/>
    <col min="9358" max="9358" width="10.88671875" style="641" customWidth="1"/>
    <col min="9359" max="9360" width="9.109375" style="641"/>
    <col min="9361" max="9361" width="1.5546875" style="641" customWidth="1"/>
    <col min="9362" max="9362" width="9.77734375" style="641" customWidth="1"/>
    <col min="9363" max="9366" width="9.109375" style="641"/>
    <col min="9367" max="9367" width="1.88671875" style="641" customWidth="1"/>
    <col min="9368" max="9368" width="9.88671875" style="641" customWidth="1"/>
    <col min="9369" max="9369" width="1.5546875" style="641" customWidth="1"/>
    <col min="9370" max="9370" width="11.44140625" style="641" customWidth="1"/>
    <col min="9371" max="9371" width="2.21875" style="641" customWidth="1"/>
    <col min="9372" max="9372" width="12" style="641" customWidth="1"/>
    <col min="9373" max="9373" width="2" style="641" customWidth="1"/>
    <col min="9374" max="9374" width="9.109375" style="641"/>
    <col min="9375" max="9375" width="11.109375" style="641" customWidth="1"/>
    <col min="9376" max="9376" width="12" style="641" customWidth="1"/>
    <col min="9377" max="9377" width="9.109375" style="641"/>
    <col min="9378" max="9378" width="11.88671875" style="641" customWidth="1"/>
    <col min="9379" max="9379" width="14.21875" style="641" customWidth="1"/>
    <col min="9380" max="9383" width="9.109375" style="641"/>
    <col min="9384" max="9384" width="3.44140625" style="641" customWidth="1"/>
    <col min="9385" max="9386" width="9.109375" style="641"/>
    <col min="9387" max="9387" width="11.44140625" style="641" customWidth="1"/>
    <col min="9388" max="9388" width="2.77734375" style="641" customWidth="1"/>
    <col min="9389" max="9571" width="9.109375" style="641"/>
    <col min="9572" max="9572" width="9.5546875" style="641" customWidth="1"/>
    <col min="9573" max="9573" width="11" style="641" customWidth="1"/>
    <col min="9574" max="9575" width="11.21875" style="641" customWidth="1"/>
    <col min="9576" max="9576" width="11.5546875" style="641" customWidth="1"/>
    <col min="9577" max="9577" width="11.109375" style="641" customWidth="1"/>
    <col min="9578" max="9578" width="2" style="641" customWidth="1"/>
    <col min="9579" max="9579" width="13.5546875" style="641" customWidth="1"/>
    <col min="9580" max="9580" width="12.44140625" style="641" customWidth="1"/>
    <col min="9581" max="9581" width="13.5546875" style="641" customWidth="1"/>
    <col min="9582" max="9582" width="2.109375" style="641" customWidth="1"/>
    <col min="9583" max="9583" width="9.109375" style="641"/>
    <col min="9584" max="9584" width="10.21875" style="641" customWidth="1"/>
    <col min="9585" max="9585" width="1.88671875" style="641" customWidth="1"/>
    <col min="9586" max="9586" width="10.77734375" style="641" customWidth="1"/>
    <col min="9587" max="9587" width="9.109375" style="641"/>
    <col min="9588" max="9588" width="2.109375" style="641" customWidth="1"/>
    <col min="9589" max="9589" width="9.109375" style="641"/>
    <col min="9590" max="9590" width="11.21875" style="641" customWidth="1"/>
    <col min="9591" max="9591" width="12.77734375" style="641" customWidth="1"/>
    <col min="9592" max="9592" width="12.5546875" style="641" customWidth="1"/>
    <col min="9593" max="9593" width="2" style="641" customWidth="1"/>
    <col min="9594" max="9595" width="9.109375" style="641"/>
    <col min="9596" max="9596" width="11" style="641" customWidth="1"/>
    <col min="9597" max="9597" width="9.109375" style="641"/>
    <col min="9598" max="9598" width="2.21875" style="641" customWidth="1"/>
    <col min="9599" max="9599" width="11" style="641" customWidth="1"/>
    <col min="9600" max="9600" width="9.109375" style="641"/>
    <col min="9601" max="9601" width="11.5546875" style="641" customWidth="1"/>
    <col min="9602" max="9602" width="11.21875" style="641" customWidth="1"/>
    <col min="9603" max="9603" width="2.88671875" style="641" customWidth="1"/>
    <col min="9604" max="9605" width="9.109375" style="641"/>
    <col min="9606" max="9606" width="11.21875" style="641" customWidth="1"/>
    <col min="9607" max="9607" width="2.21875" style="641" customWidth="1"/>
    <col min="9608" max="9608" width="9.109375" style="641"/>
    <col min="9609" max="9609" width="10.44140625" style="641" customWidth="1"/>
    <col min="9610" max="9610" width="9.109375" style="641"/>
    <col min="9611" max="9611" width="11.109375" style="641" customWidth="1"/>
    <col min="9612" max="9613" width="9.109375" style="641"/>
    <col min="9614" max="9614" width="10.88671875" style="641" customWidth="1"/>
    <col min="9615" max="9616" width="9.109375" style="641"/>
    <col min="9617" max="9617" width="1.5546875" style="641" customWidth="1"/>
    <col min="9618" max="9618" width="9.77734375" style="641" customWidth="1"/>
    <col min="9619" max="9622" width="9.109375" style="641"/>
    <col min="9623" max="9623" width="1.88671875" style="641" customWidth="1"/>
    <col min="9624" max="9624" width="9.88671875" style="641" customWidth="1"/>
    <col min="9625" max="9625" width="1.5546875" style="641" customWidth="1"/>
    <col min="9626" max="9626" width="11.44140625" style="641" customWidth="1"/>
    <col min="9627" max="9627" width="2.21875" style="641" customWidth="1"/>
    <col min="9628" max="9628" width="12" style="641" customWidth="1"/>
    <col min="9629" max="9629" width="2" style="641" customWidth="1"/>
    <col min="9630" max="9630" width="9.109375" style="641"/>
    <col min="9631" max="9631" width="11.109375" style="641" customWidth="1"/>
    <col min="9632" max="9632" width="12" style="641" customWidth="1"/>
    <col min="9633" max="9633" width="9.109375" style="641"/>
    <col min="9634" max="9634" width="11.88671875" style="641" customWidth="1"/>
    <col min="9635" max="9635" width="14.21875" style="641" customWidth="1"/>
    <col min="9636" max="9639" width="9.109375" style="641"/>
    <col min="9640" max="9640" width="3.44140625" style="641" customWidth="1"/>
    <col min="9641" max="9642" width="9.109375" style="641"/>
    <col min="9643" max="9643" width="11.44140625" style="641" customWidth="1"/>
    <col min="9644" max="9644" width="2.77734375" style="641" customWidth="1"/>
    <col min="9645" max="9827" width="9.109375" style="641"/>
    <col min="9828" max="9828" width="9.5546875" style="641" customWidth="1"/>
    <col min="9829" max="9829" width="11" style="641" customWidth="1"/>
    <col min="9830" max="9831" width="11.21875" style="641" customWidth="1"/>
    <col min="9832" max="9832" width="11.5546875" style="641" customWidth="1"/>
    <col min="9833" max="9833" width="11.109375" style="641" customWidth="1"/>
    <col min="9834" max="9834" width="2" style="641" customWidth="1"/>
    <col min="9835" max="9835" width="13.5546875" style="641" customWidth="1"/>
    <col min="9836" max="9836" width="12.44140625" style="641" customWidth="1"/>
    <col min="9837" max="9837" width="13.5546875" style="641" customWidth="1"/>
    <col min="9838" max="9838" width="2.109375" style="641" customWidth="1"/>
    <col min="9839" max="9839" width="9.109375" style="641"/>
    <col min="9840" max="9840" width="10.21875" style="641" customWidth="1"/>
    <col min="9841" max="9841" width="1.88671875" style="641" customWidth="1"/>
    <col min="9842" max="9842" width="10.77734375" style="641" customWidth="1"/>
    <col min="9843" max="9843" width="9.109375" style="641"/>
    <col min="9844" max="9844" width="2.109375" style="641" customWidth="1"/>
    <col min="9845" max="9845" width="9.109375" style="641"/>
    <col min="9846" max="9846" width="11.21875" style="641" customWidth="1"/>
    <col min="9847" max="9847" width="12.77734375" style="641" customWidth="1"/>
    <col min="9848" max="9848" width="12.5546875" style="641" customWidth="1"/>
    <col min="9849" max="9849" width="2" style="641" customWidth="1"/>
    <col min="9850" max="9851" width="9.109375" style="641"/>
    <col min="9852" max="9852" width="11" style="641" customWidth="1"/>
    <col min="9853" max="9853" width="9.109375" style="641"/>
    <col min="9854" max="9854" width="2.21875" style="641" customWidth="1"/>
    <col min="9855" max="9855" width="11" style="641" customWidth="1"/>
    <col min="9856" max="9856" width="9.109375" style="641"/>
    <col min="9857" max="9857" width="11.5546875" style="641" customWidth="1"/>
    <col min="9858" max="9858" width="11.21875" style="641" customWidth="1"/>
    <col min="9859" max="9859" width="2.88671875" style="641" customWidth="1"/>
    <col min="9860" max="9861" width="9.109375" style="641"/>
    <col min="9862" max="9862" width="11.21875" style="641" customWidth="1"/>
    <col min="9863" max="9863" width="2.21875" style="641" customWidth="1"/>
    <col min="9864" max="9864" width="9.109375" style="641"/>
    <col min="9865" max="9865" width="10.44140625" style="641" customWidth="1"/>
    <col min="9866" max="9866" width="9.109375" style="641"/>
    <col min="9867" max="9867" width="11.109375" style="641" customWidth="1"/>
    <col min="9868" max="9869" width="9.109375" style="641"/>
    <col min="9870" max="9870" width="10.88671875" style="641" customWidth="1"/>
    <col min="9871" max="9872" width="9.109375" style="641"/>
    <col min="9873" max="9873" width="1.5546875" style="641" customWidth="1"/>
    <col min="9874" max="9874" width="9.77734375" style="641" customWidth="1"/>
    <col min="9875" max="9878" width="9.109375" style="641"/>
    <col min="9879" max="9879" width="1.88671875" style="641" customWidth="1"/>
    <col min="9880" max="9880" width="9.88671875" style="641" customWidth="1"/>
    <col min="9881" max="9881" width="1.5546875" style="641" customWidth="1"/>
    <col min="9882" max="9882" width="11.44140625" style="641" customWidth="1"/>
    <col min="9883" max="9883" width="2.21875" style="641" customWidth="1"/>
    <col min="9884" max="9884" width="12" style="641" customWidth="1"/>
    <col min="9885" max="9885" width="2" style="641" customWidth="1"/>
    <col min="9886" max="9886" width="9.109375" style="641"/>
    <col min="9887" max="9887" width="11.109375" style="641" customWidth="1"/>
    <col min="9888" max="9888" width="12" style="641" customWidth="1"/>
    <col min="9889" max="9889" width="9.109375" style="641"/>
    <col min="9890" max="9890" width="11.88671875" style="641" customWidth="1"/>
    <col min="9891" max="9891" width="14.21875" style="641" customWidth="1"/>
    <col min="9892" max="9895" width="9.109375" style="641"/>
    <col min="9896" max="9896" width="3.44140625" style="641" customWidth="1"/>
    <col min="9897" max="9898" width="9.109375" style="641"/>
    <col min="9899" max="9899" width="11.44140625" style="641" customWidth="1"/>
    <col min="9900" max="9900" width="2.77734375" style="641" customWidth="1"/>
    <col min="9901" max="10083" width="9.109375" style="641"/>
    <col min="10084" max="10084" width="9.5546875" style="641" customWidth="1"/>
    <col min="10085" max="10085" width="11" style="641" customWidth="1"/>
    <col min="10086" max="10087" width="11.21875" style="641" customWidth="1"/>
    <col min="10088" max="10088" width="11.5546875" style="641" customWidth="1"/>
    <col min="10089" max="10089" width="11.109375" style="641" customWidth="1"/>
    <col min="10090" max="10090" width="2" style="641" customWidth="1"/>
    <col min="10091" max="10091" width="13.5546875" style="641" customWidth="1"/>
    <col min="10092" max="10092" width="12.44140625" style="641" customWidth="1"/>
    <col min="10093" max="10093" width="13.5546875" style="641" customWidth="1"/>
    <col min="10094" max="10094" width="2.109375" style="641" customWidth="1"/>
    <col min="10095" max="10095" width="9.109375" style="641"/>
    <col min="10096" max="10096" width="10.21875" style="641" customWidth="1"/>
    <col min="10097" max="10097" width="1.88671875" style="641" customWidth="1"/>
    <col min="10098" max="10098" width="10.77734375" style="641" customWidth="1"/>
    <col min="10099" max="10099" width="9.109375" style="641"/>
    <col min="10100" max="10100" width="2.109375" style="641" customWidth="1"/>
    <col min="10101" max="10101" width="9.109375" style="641"/>
    <col min="10102" max="10102" width="11.21875" style="641" customWidth="1"/>
    <col min="10103" max="10103" width="12.77734375" style="641" customWidth="1"/>
    <col min="10104" max="10104" width="12.5546875" style="641" customWidth="1"/>
    <col min="10105" max="10105" width="2" style="641" customWidth="1"/>
    <col min="10106" max="10107" width="9.109375" style="641"/>
    <col min="10108" max="10108" width="11" style="641" customWidth="1"/>
    <col min="10109" max="10109" width="9.109375" style="641"/>
    <col min="10110" max="10110" width="2.21875" style="641" customWidth="1"/>
    <col min="10111" max="10111" width="11" style="641" customWidth="1"/>
    <col min="10112" max="10112" width="9.109375" style="641"/>
    <col min="10113" max="10113" width="11.5546875" style="641" customWidth="1"/>
    <col min="10114" max="10114" width="11.21875" style="641" customWidth="1"/>
    <col min="10115" max="10115" width="2.88671875" style="641" customWidth="1"/>
    <col min="10116" max="10117" width="9.109375" style="641"/>
    <col min="10118" max="10118" width="11.21875" style="641" customWidth="1"/>
    <col min="10119" max="10119" width="2.21875" style="641" customWidth="1"/>
    <col min="10120" max="10120" width="9.109375" style="641"/>
    <col min="10121" max="10121" width="10.44140625" style="641" customWidth="1"/>
    <col min="10122" max="10122" width="9.109375" style="641"/>
    <col min="10123" max="10123" width="11.109375" style="641" customWidth="1"/>
    <col min="10124" max="10125" width="9.109375" style="641"/>
    <col min="10126" max="10126" width="10.88671875" style="641" customWidth="1"/>
    <col min="10127" max="10128" width="9.109375" style="641"/>
    <col min="10129" max="10129" width="1.5546875" style="641" customWidth="1"/>
    <col min="10130" max="10130" width="9.77734375" style="641" customWidth="1"/>
    <col min="10131" max="10134" width="9.109375" style="641"/>
    <col min="10135" max="10135" width="1.88671875" style="641" customWidth="1"/>
    <col min="10136" max="10136" width="9.88671875" style="641" customWidth="1"/>
    <col min="10137" max="10137" width="1.5546875" style="641" customWidth="1"/>
    <col min="10138" max="10138" width="11.44140625" style="641" customWidth="1"/>
    <col min="10139" max="10139" width="2.21875" style="641" customWidth="1"/>
    <col min="10140" max="10140" width="12" style="641" customWidth="1"/>
    <col min="10141" max="10141" width="2" style="641" customWidth="1"/>
    <col min="10142" max="10142" width="9.109375" style="641"/>
    <col min="10143" max="10143" width="11.109375" style="641" customWidth="1"/>
    <col min="10144" max="10144" width="12" style="641" customWidth="1"/>
    <col min="10145" max="10145" width="9.109375" style="641"/>
    <col min="10146" max="10146" width="11.88671875" style="641" customWidth="1"/>
    <col min="10147" max="10147" width="14.21875" style="641" customWidth="1"/>
    <col min="10148" max="10151" width="9.109375" style="641"/>
    <col min="10152" max="10152" width="3.44140625" style="641" customWidth="1"/>
    <col min="10153" max="10154" width="9.109375" style="641"/>
    <col min="10155" max="10155" width="11.44140625" style="641" customWidth="1"/>
    <col min="10156" max="10156" width="2.77734375" style="641" customWidth="1"/>
    <col min="10157" max="10339" width="9.109375" style="641"/>
    <col min="10340" max="10340" width="9.5546875" style="641" customWidth="1"/>
    <col min="10341" max="10341" width="11" style="641" customWidth="1"/>
    <col min="10342" max="10343" width="11.21875" style="641" customWidth="1"/>
    <col min="10344" max="10344" width="11.5546875" style="641" customWidth="1"/>
    <col min="10345" max="10345" width="11.109375" style="641" customWidth="1"/>
    <col min="10346" max="10346" width="2" style="641" customWidth="1"/>
    <col min="10347" max="10347" width="13.5546875" style="641" customWidth="1"/>
    <col min="10348" max="10348" width="12.44140625" style="641" customWidth="1"/>
    <col min="10349" max="10349" width="13.5546875" style="641" customWidth="1"/>
    <col min="10350" max="10350" width="2.109375" style="641" customWidth="1"/>
    <col min="10351" max="10351" width="9.109375" style="641"/>
    <col min="10352" max="10352" width="10.21875" style="641" customWidth="1"/>
    <col min="10353" max="10353" width="1.88671875" style="641" customWidth="1"/>
    <col min="10354" max="10354" width="10.77734375" style="641" customWidth="1"/>
    <col min="10355" max="10355" width="9.109375" style="641"/>
    <col min="10356" max="10356" width="2.109375" style="641" customWidth="1"/>
    <col min="10357" max="10357" width="9.109375" style="641"/>
    <col min="10358" max="10358" width="11.21875" style="641" customWidth="1"/>
    <col min="10359" max="10359" width="12.77734375" style="641" customWidth="1"/>
    <col min="10360" max="10360" width="12.5546875" style="641" customWidth="1"/>
    <col min="10361" max="10361" width="2" style="641" customWidth="1"/>
    <col min="10362" max="10363" width="9.109375" style="641"/>
    <col min="10364" max="10364" width="11" style="641" customWidth="1"/>
    <col min="10365" max="10365" width="9.109375" style="641"/>
    <col min="10366" max="10366" width="2.21875" style="641" customWidth="1"/>
    <col min="10367" max="10367" width="11" style="641" customWidth="1"/>
    <col min="10368" max="10368" width="9.109375" style="641"/>
    <col min="10369" max="10369" width="11.5546875" style="641" customWidth="1"/>
    <col min="10370" max="10370" width="11.21875" style="641" customWidth="1"/>
    <col min="10371" max="10371" width="2.88671875" style="641" customWidth="1"/>
    <col min="10372" max="10373" width="9.109375" style="641"/>
    <col min="10374" max="10374" width="11.21875" style="641" customWidth="1"/>
    <col min="10375" max="10375" width="2.21875" style="641" customWidth="1"/>
    <col min="10376" max="10376" width="9.109375" style="641"/>
    <col min="10377" max="10377" width="10.44140625" style="641" customWidth="1"/>
    <col min="10378" max="10378" width="9.109375" style="641"/>
    <col min="10379" max="10379" width="11.109375" style="641" customWidth="1"/>
    <col min="10380" max="10381" width="9.109375" style="641"/>
    <col min="10382" max="10382" width="10.88671875" style="641" customWidth="1"/>
    <col min="10383" max="10384" width="9.109375" style="641"/>
    <col min="10385" max="10385" width="1.5546875" style="641" customWidth="1"/>
    <col min="10386" max="10386" width="9.77734375" style="641" customWidth="1"/>
    <col min="10387" max="10390" width="9.109375" style="641"/>
    <col min="10391" max="10391" width="1.88671875" style="641" customWidth="1"/>
    <col min="10392" max="10392" width="9.88671875" style="641" customWidth="1"/>
    <col min="10393" max="10393" width="1.5546875" style="641" customWidth="1"/>
    <col min="10394" max="10394" width="11.44140625" style="641" customWidth="1"/>
    <col min="10395" max="10395" width="2.21875" style="641" customWidth="1"/>
    <col min="10396" max="10396" width="12" style="641" customWidth="1"/>
    <col min="10397" max="10397" width="2" style="641" customWidth="1"/>
    <col min="10398" max="10398" width="9.109375" style="641"/>
    <col min="10399" max="10399" width="11.109375" style="641" customWidth="1"/>
    <col min="10400" max="10400" width="12" style="641" customWidth="1"/>
    <col min="10401" max="10401" width="9.109375" style="641"/>
    <col min="10402" max="10402" width="11.88671875" style="641" customWidth="1"/>
    <col min="10403" max="10403" width="14.21875" style="641" customWidth="1"/>
    <col min="10404" max="10407" width="9.109375" style="641"/>
    <col min="10408" max="10408" width="3.44140625" style="641" customWidth="1"/>
    <col min="10409" max="10410" width="9.109375" style="641"/>
    <col min="10411" max="10411" width="11.44140625" style="641" customWidth="1"/>
    <col min="10412" max="10412" width="2.77734375" style="641" customWidth="1"/>
    <col min="10413" max="10595" width="9.109375" style="641"/>
    <col min="10596" max="10596" width="9.5546875" style="641" customWidth="1"/>
    <col min="10597" max="10597" width="11" style="641" customWidth="1"/>
    <col min="10598" max="10599" width="11.21875" style="641" customWidth="1"/>
    <col min="10600" max="10600" width="11.5546875" style="641" customWidth="1"/>
    <col min="10601" max="10601" width="11.109375" style="641" customWidth="1"/>
    <col min="10602" max="10602" width="2" style="641" customWidth="1"/>
    <col min="10603" max="10603" width="13.5546875" style="641" customWidth="1"/>
    <col min="10604" max="10604" width="12.44140625" style="641" customWidth="1"/>
    <col min="10605" max="10605" width="13.5546875" style="641" customWidth="1"/>
    <col min="10606" max="10606" width="2.109375" style="641" customWidth="1"/>
    <col min="10607" max="10607" width="9.109375" style="641"/>
    <col min="10608" max="10608" width="10.21875" style="641" customWidth="1"/>
    <col min="10609" max="10609" width="1.88671875" style="641" customWidth="1"/>
    <col min="10610" max="10610" width="10.77734375" style="641" customWidth="1"/>
    <col min="10611" max="10611" width="9.109375" style="641"/>
    <col min="10612" max="10612" width="2.109375" style="641" customWidth="1"/>
    <col min="10613" max="10613" width="9.109375" style="641"/>
    <col min="10614" max="10614" width="11.21875" style="641" customWidth="1"/>
    <col min="10615" max="10615" width="12.77734375" style="641" customWidth="1"/>
    <col min="10616" max="10616" width="12.5546875" style="641" customWidth="1"/>
    <col min="10617" max="10617" width="2" style="641" customWidth="1"/>
    <col min="10618" max="10619" width="9.109375" style="641"/>
    <col min="10620" max="10620" width="11" style="641" customWidth="1"/>
    <col min="10621" max="10621" width="9.109375" style="641"/>
    <col min="10622" max="10622" width="2.21875" style="641" customWidth="1"/>
    <col min="10623" max="10623" width="11" style="641" customWidth="1"/>
    <col min="10624" max="10624" width="9.109375" style="641"/>
    <col min="10625" max="10625" width="11.5546875" style="641" customWidth="1"/>
    <col min="10626" max="10626" width="11.21875" style="641" customWidth="1"/>
    <col min="10627" max="10627" width="2.88671875" style="641" customWidth="1"/>
    <col min="10628" max="10629" width="9.109375" style="641"/>
    <col min="10630" max="10630" width="11.21875" style="641" customWidth="1"/>
    <col min="10631" max="10631" width="2.21875" style="641" customWidth="1"/>
    <col min="10632" max="10632" width="9.109375" style="641"/>
    <col min="10633" max="10633" width="10.44140625" style="641" customWidth="1"/>
    <col min="10634" max="10634" width="9.109375" style="641"/>
    <col min="10635" max="10635" width="11.109375" style="641" customWidth="1"/>
    <col min="10636" max="10637" width="9.109375" style="641"/>
    <col min="10638" max="10638" width="10.88671875" style="641" customWidth="1"/>
    <col min="10639" max="10640" width="9.109375" style="641"/>
    <col min="10641" max="10641" width="1.5546875" style="641" customWidth="1"/>
    <col min="10642" max="10642" width="9.77734375" style="641" customWidth="1"/>
    <col min="10643" max="10646" width="9.109375" style="641"/>
    <col min="10647" max="10647" width="1.88671875" style="641" customWidth="1"/>
    <col min="10648" max="10648" width="9.88671875" style="641" customWidth="1"/>
    <col min="10649" max="10649" width="1.5546875" style="641" customWidth="1"/>
    <col min="10650" max="10650" width="11.44140625" style="641" customWidth="1"/>
    <col min="10651" max="10651" width="2.21875" style="641" customWidth="1"/>
    <col min="10652" max="10652" width="12" style="641" customWidth="1"/>
    <col min="10653" max="10653" width="2" style="641" customWidth="1"/>
    <col min="10654" max="10654" width="9.109375" style="641"/>
    <col min="10655" max="10655" width="11.109375" style="641" customWidth="1"/>
    <col min="10656" max="10656" width="12" style="641" customWidth="1"/>
    <col min="10657" max="10657" width="9.109375" style="641"/>
    <col min="10658" max="10658" width="11.88671875" style="641" customWidth="1"/>
    <col min="10659" max="10659" width="14.21875" style="641" customWidth="1"/>
    <col min="10660" max="10663" width="9.109375" style="641"/>
    <col min="10664" max="10664" width="3.44140625" style="641" customWidth="1"/>
    <col min="10665" max="10666" width="9.109375" style="641"/>
    <col min="10667" max="10667" width="11.44140625" style="641" customWidth="1"/>
    <col min="10668" max="10668" width="2.77734375" style="641" customWidth="1"/>
    <col min="10669" max="10851" width="9.109375" style="641"/>
    <col min="10852" max="10852" width="9.5546875" style="641" customWidth="1"/>
    <col min="10853" max="10853" width="11" style="641" customWidth="1"/>
    <col min="10854" max="10855" width="11.21875" style="641" customWidth="1"/>
    <col min="10856" max="10856" width="11.5546875" style="641" customWidth="1"/>
    <col min="10857" max="10857" width="11.109375" style="641" customWidth="1"/>
    <col min="10858" max="10858" width="2" style="641" customWidth="1"/>
    <col min="10859" max="10859" width="13.5546875" style="641" customWidth="1"/>
    <col min="10860" max="10860" width="12.44140625" style="641" customWidth="1"/>
    <col min="10861" max="10861" width="13.5546875" style="641" customWidth="1"/>
    <col min="10862" max="10862" width="2.109375" style="641" customWidth="1"/>
    <col min="10863" max="10863" width="9.109375" style="641"/>
    <col min="10864" max="10864" width="10.21875" style="641" customWidth="1"/>
    <col min="10865" max="10865" width="1.88671875" style="641" customWidth="1"/>
    <col min="10866" max="10866" width="10.77734375" style="641" customWidth="1"/>
    <col min="10867" max="10867" width="9.109375" style="641"/>
    <col min="10868" max="10868" width="2.109375" style="641" customWidth="1"/>
    <col min="10869" max="10869" width="9.109375" style="641"/>
    <col min="10870" max="10870" width="11.21875" style="641" customWidth="1"/>
    <col min="10871" max="10871" width="12.77734375" style="641" customWidth="1"/>
    <col min="10872" max="10872" width="12.5546875" style="641" customWidth="1"/>
    <col min="10873" max="10873" width="2" style="641" customWidth="1"/>
    <col min="10874" max="10875" width="9.109375" style="641"/>
    <col min="10876" max="10876" width="11" style="641" customWidth="1"/>
    <col min="10877" max="10877" width="9.109375" style="641"/>
    <col min="10878" max="10878" width="2.21875" style="641" customWidth="1"/>
    <col min="10879" max="10879" width="11" style="641" customWidth="1"/>
    <col min="10880" max="10880" width="9.109375" style="641"/>
    <col min="10881" max="10881" width="11.5546875" style="641" customWidth="1"/>
    <col min="10882" max="10882" width="11.21875" style="641" customWidth="1"/>
    <col min="10883" max="10883" width="2.88671875" style="641" customWidth="1"/>
    <col min="10884" max="10885" width="9.109375" style="641"/>
    <col min="10886" max="10886" width="11.21875" style="641" customWidth="1"/>
    <col min="10887" max="10887" width="2.21875" style="641" customWidth="1"/>
    <col min="10888" max="10888" width="9.109375" style="641"/>
    <col min="10889" max="10889" width="10.44140625" style="641" customWidth="1"/>
    <col min="10890" max="10890" width="9.109375" style="641"/>
    <col min="10891" max="10891" width="11.109375" style="641" customWidth="1"/>
    <col min="10892" max="10893" width="9.109375" style="641"/>
    <col min="10894" max="10894" width="10.88671875" style="641" customWidth="1"/>
    <col min="10895" max="10896" width="9.109375" style="641"/>
    <col min="10897" max="10897" width="1.5546875" style="641" customWidth="1"/>
    <col min="10898" max="10898" width="9.77734375" style="641" customWidth="1"/>
    <col min="10899" max="10902" width="9.109375" style="641"/>
    <col min="10903" max="10903" width="1.88671875" style="641" customWidth="1"/>
    <col min="10904" max="10904" width="9.88671875" style="641" customWidth="1"/>
    <col min="10905" max="10905" width="1.5546875" style="641" customWidth="1"/>
    <col min="10906" max="10906" width="11.44140625" style="641" customWidth="1"/>
    <col min="10907" max="10907" width="2.21875" style="641" customWidth="1"/>
    <col min="10908" max="10908" width="12" style="641" customWidth="1"/>
    <col min="10909" max="10909" width="2" style="641" customWidth="1"/>
    <col min="10910" max="10910" width="9.109375" style="641"/>
    <col min="10911" max="10911" width="11.109375" style="641" customWidth="1"/>
    <col min="10912" max="10912" width="12" style="641" customWidth="1"/>
    <col min="10913" max="10913" width="9.109375" style="641"/>
    <col min="10914" max="10914" width="11.88671875" style="641" customWidth="1"/>
    <col min="10915" max="10915" width="14.21875" style="641" customWidth="1"/>
    <col min="10916" max="10919" width="9.109375" style="641"/>
    <col min="10920" max="10920" width="3.44140625" style="641" customWidth="1"/>
    <col min="10921" max="10922" width="9.109375" style="641"/>
    <col min="10923" max="10923" width="11.44140625" style="641" customWidth="1"/>
    <col min="10924" max="10924" width="2.77734375" style="641" customWidth="1"/>
    <col min="10925" max="11107" width="9.109375" style="641"/>
    <col min="11108" max="11108" width="9.5546875" style="641" customWidth="1"/>
    <col min="11109" max="11109" width="11" style="641" customWidth="1"/>
    <col min="11110" max="11111" width="11.21875" style="641" customWidth="1"/>
    <col min="11112" max="11112" width="11.5546875" style="641" customWidth="1"/>
    <col min="11113" max="11113" width="11.109375" style="641" customWidth="1"/>
    <col min="11114" max="11114" width="2" style="641" customWidth="1"/>
    <col min="11115" max="11115" width="13.5546875" style="641" customWidth="1"/>
    <col min="11116" max="11116" width="12.44140625" style="641" customWidth="1"/>
    <col min="11117" max="11117" width="13.5546875" style="641" customWidth="1"/>
    <col min="11118" max="11118" width="2.109375" style="641" customWidth="1"/>
    <col min="11119" max="11119" width="9.109375" style="641"/>
    <col min="11120" max="11120" width="10.21875" style="641" customWidth="1"/>
    <col min="11121" max="11121" width="1.88671875" style="641" customWidth="1"/>
    <col min="11122" max="11122" width="10.77734375" style="641" customWidth="1"/>
    <col min="11123" max="11123" width="9.109375" style="641"/>
    <col min="11124" max="11124" width="2.109375" style="641" customWidth="1"/>
    <col min="11125" max="11125" width="9.109375" style="641"/>
    <col min="11126" max="11126" width="11.21875" style="641" customWidth="1"/>
    <col min="11127" max="11127" width="12.77734375" style="641" customWidth="1"/>
    <col min="11128" max="11128" width="12.5546875" style="641" customWidth="1"/>
    <col min="11129" max="11129" width="2" style="641" customWidth="1"/>
    <col min="11130" max="11131" width="9.109375" style="641"/>
    <col min="11132" max="11132" width="11" style="641" customWidth="1"/>
    <col min="11133" max="11133" width="9.109375" style="641"/>
    <col min="11134" max="11134" width="2.21875" style="641" customWidth="1"/>
    <col min="11135" max="11135" width="11" style="641" customWidth="1"/>
    <col min="11136" max="11136" width="9.109375" style="641"/>
    <col min="11137" max="11137" width="11.5546875" style="641" customWidth="1"/>
    <col min="11138" max="11138" width="11.21875" style="641" customWidth="1"/>
    <col min="11139" max="11139" width="2.88671875" style="641" customWidth="1"/>
    <col min="11140" max="11141" width="9.109375" style="641"/>
    <col min="11142" max="11142" width="11.21875" style="641" customWidth="1"/>
    <col min="11143" max="11143" width="2.21875" style="641" customWidth="1"/>
    <col min="11144" max="11144" width="9.109375" style="641"/>
    <col min="11145" max="11145" width="10.44140625" style="641" customWidth="1"/>
    <col min="11146" max="11146" width="9.109375" style="641"/>
    <col min="11147" max="11147" width="11.109375" style="641" customWidth="1"/>
    <col min="11148" max="11149" width="9.109375" style="641"/>
    <col min="11150" max="11150" width="10.88671875" style="641" customWidth="1"/>
    <col min="11151" max="11152" width="9.109375" style="641"/>
    <col min="11153" max="11153" width="1.5546875" style="641" customWidth="1"/>
    <col min="11154" max="11154" width="9.77734375" style="641" customWidth="1"/>
    <col min="11155" max="11158" width="9.109375" style="641"/>
    <col min="11159" max="11159" width="1.88671875" style="641" customWidth="1"/>
    <col min="11160" max="11160" width="9.88671875" style="641" customWidth="1"/>
    <col min="11161" max="11161" width="1.5546875" style="641" customWidth="1"/>
    <col min="11162" max="11162" width="11.44140625" style="641" customWidth="1"/>
    <col min="11163" max="11163" width="2.21875" style="641" customWidth="1"/>
    <col min="11164" max="11164" width="12" style="641" customWidth="1"/>
    <col min="11165" max="11165" width="2" style="641" customWidth="1"/>
    <col min="11166" max="11166" width="9.109375" style="641"/>
    <col min="11167" max="11167" width="11.109375" style="641" customWidth="1"/>
    <col min="11168" max="11168" width="12" style="641" customWidth="1"/>
    <col min="11169" max="11169" width="9.109375" style="641"/>
    <col min="11170" max="11170" width="11.88671875" style="641" customWidth="1"/>
    <col min="11171" max="11171" width="14.21875" style="641" customWidth="1"/>
    <col min="11172" max="11175" width="9.109375" style="641"/>
    <col min="11176" max="11176" width="3.44140625" style="641" customWidth="1"/>
    <col min="11177" max="11178" width="9.109375" style="641"/>
    <col min="11179" max="11179" width="11.44140625" style="641" customWidth="1"/>
    <col min="11180" max="11180" width="2.77734375" style="641" customWidth="1"/>
    <col min="11181" max="11363" width="9.109375" style="641"/>
    <col min="11364" max="11364" width="9.5546875" style="641" customWidth="1"/>
    <col min="11365" max="11365" width="11" style="641" customWidth="1"/>
    <col min="11366" max="11367" width="11.21875" style="641" customWidth="1"/>
    <col min="11368" max="11368" width="11.5546875" style="641" customWidth="1"/>
    <col min="11369" max="11369" width="11.109375" style="641" customWidth="1"/>
    <col min="11370" max="11370" width="2" style="641" customWidth="1"/>
    <col min="11371" max="11371" width="13.5546875" style="641" customWidth="1"/>
    <col min="11372" max="11372" width="12.44140625" style="641" customWidth="1"/>
    <col min="11373" max="11373" width="13.5546875" style="641" customWidth="1"/>
    <col min="11374" max="11374" width="2.109375" style="641" customWidth="1"/>
    <col min="11375" max="11375" width="9.109375" style="641"/>
    <col min="11376" max="11376" width="10.21875" style="641" customWidth="1"/>
    <col min="11377" max="11377" width="1.88671875" style="641" customWidth="1"/>
    <col min="11378" max="11378" width="10.77734375" style="641" customWidth="1"/>
    <col min="11379" max="11379" width="9.109375" style="641"/>
    <col min="11380" max="11380" width="2.109375" style="641" customWidth="1"/>
    <col min="11381" max="11381" width="9.109375" style="641"/>
    <col min="11382" max="11382" width="11.21875" style="641" customWidth="1"/>
    <col min="11383" max="11383" width="12.77734375" style="641" customWidth="1"/>
    <col min="11384" max="11384" width="12.5546875" style="641" customWidth="1"/>
    <col min="11385" max="11385" width="2" style="641" customWidth="1"/>
    <col min="11386" max="11387" width="9.109375" style="641"/>
    <col min="11388" max="11388" width="11" style="641" customWidth="1"/>
    <col min="11389" max="11389" width="9.109375" style="641"/>
    <col min="11390" max="11390" width="2.21875" style="641" customWidth="1"/>
    <col min="11391" max="11391" width="11" style="641" customWidth="1"/>
    <col min="11392" max="11392" width="9.109375" style="641"/>
    <col min="11393" max="11393" width="11.5546875" style="641" customWidth="1"/>
    <col min="11394" max="11394" width="11.21875" style="641" customWidth="1"/>
    <col min="11395" max="11395" width="2.88671875" style="641" customWidth="1"/>
    <col min="11396" max="11397" width="9.109375" style="641"/>
    <col min="11398" max="11398" width="11.21875" style="641" customWidth="1"/>
    <col min="11399" max="11399" width="2.21875" style="641" customWidth="1"/>
    <col min="11400" max="11400" width="9.109375" style="641"/>
    <col min="11401" max="11401" width="10.44140625" style="641" customWidth="1"/>
    <col min="11402" max="11402" width="9.109375" style="641"/>
    <col min="11403" max="11403" width="11.109375" style="641" customWidth="1"/>
    <col min="11404" max="11405" width="9.109375" style="641"/>
    <col min="11406" max="11406" width="10.88671875" style="641" customWidth="1"/>
    <col min="11407" max="11408" width="9.109375" style="641"/>
    <col min="11409" max="11409" width="1.5546875" style="641" customWidth="1"/>
    <col min="11410" max="11410" width="9.77734375" style="641" customWidth="1"/>
    <col min="11411" max="11414" width="9.109375" style="641"/>
    <col min="11415" max="11415" width="1.88671875" style="641" customWidth="1"/>
    <col min="11416" max="11416" width="9.88671875" style="641" customWidth="1"/>
    <col min="11417" max="11417" width="1.5546875" style="641" customWidth="1"/>
    <col min="11418" max="11418" width="11.44140625" style="641" customWidth="1"/>
    <col min="11419" max="11419" width="2.21875" style="641" customWidth="1"/>
    <col min="11420" max="11420" width="12" style="641" customWidth="1"/>
    <col min="11421" max="11421" width="2" style="641" customWidth="1"/>
    <col min="11422" max="11422" width="9.109375" style="641"/>
    <col min="11423" max="11423" width="11.109375" style="641" customWidth="1"/>
    <col min="11424" max="11424" width="12" style="641" customWidth="1"/>
    <col min="11425" max="11425" width="9.109375" style="641"/>
    <col min="11426" max="11426" width="11.88671875" style="641" customWidth="1"/>
    <col min="11427" max="11427" width="14.21875" style="641" customWidth="1"/>
    <col min="11428" max="11431" width="9.109375" style="641"/>
    <col min="11432" max="11432" width="3.44140625" style="641" customWidth="1"/>
    <col min="11433" max="11434" width="9.109375" style="641"/>
    <col min="11435" max="11435" width="11.44140625" style="641" customWidth="1"/>
    <col min="11436" max="11436" width="2.77734375" style="641" customWidth="1"/>
    <col min="11437" max="11619" width="9.109375" style="641"/>
    <col min="11620" max="11620" width="9.5546875" style="641" customWidth="1"/>
    <col min="11621" max="11621" width="11" style="641" customWidth="1"/>
    <col min="11622" max="11623" width="11.21875" style="641" customWidth="1"/>
    <col min="11624" max="11624" width="11.5546875" style="641" customWidth="1"/>
    <col min="11625" max="11625" width="11.109375" style="641" customWidth="1"/>
    <col min="11626" max="11626" width="2" style="641" customWidth="1"/>
    <col min="11627" max="11627" width="13.5546875" style="641" customWidth="1"/>
    <col min="11628" max="11628" width="12.44140625" style="641" customWidth="1"/>
    <col min="11629" max="11629" width="13.5546875" style="641" customWidth="1"/>
    <col min="11630" max="11630" width="2.109375" style="641" customWidth="1"/>
    <col min="11631" max="11631" width="9.109375" style="641"/>
    <col min="11632" max="11632" width="10.21875" style="641" customWidth="1"/>
    <col min="11633" max="11633" width="1.88671875" style="641" customWidth="1"/>
    <col min="11634" max="11634" width="10.77734375" style="641" customWidth="1"/>
    <col min="11635" max="11635" width="9.109375" style="641"/>
    <col min="11636" max="11636" width="2.109375" style="641" customWidth="1"/>
    <col min="11637" max="11637" width="9.109375" style="641"/>
    <col min="11638" max="11638" width="11.21875" style="641" customWidth="1"/>
    <col min="11639" max="11639" width="12.77734375" style="641" customWidth="1"/>
    <col min="11640" max="11640" width="12.5546875" style="641" customWidth="1"/>
    <col min="11641" max="11641" width="2" style="641" customWidth="1"/>
    <col min="11642" max="11643" width="9.109375" style="641"/>
    <col min="11644" max="11644" width="11" style="641" customWidth="1"/>
    <col min="11645" max="11645" width="9.109375" style="641"/>
    <col min="11646" max="11646" width="2.21875" style="641" customWidth="1"/>
    <col min="11647" max="11647" width="11" style="641" customWidth="1"/>
    <col min="11648" max="11648" width="9.109375" style="641"/>
    <col min="11649" max="11649" width="11.5546875" style="641" customWidth="1"/>
    <col min="11650" max="11650" width="11.21875" style="641" customWidth="1"/>
    <col min="11651" max="11651" width="2.88671875" style="641" customWidth="1"/>
    <col min="11652" max="11653" width="9.109375" style="641"/>
    <col min="11654" max="11654" width="11.21875" style="641" customWidth="1"/>
    <col min="11655" max="11655" width="2.21875" style="641" customWidth="1"/>
    <col min="11656" max="11656" width="9.109375" style="641"/>
    <col min="11657" max="11657" width="10.44140625" style="641" customWidth="1"/>
    <col min="11658" max="11658" width="9.109375" style="641"/>
    <col min="11659" max="11659" width="11.109375" style="641" customWidth="1"/>
    <col min="11660" max="11661" width="9.109375" style="641"/>
    <col min="11662" max="11662" width="10.88671875" style="641" customWidth="1"/>
    <col min="11663" max="11664" width="9.109375" style="641"/>
    <col min="11665" max="11665" width="1.5546875" style="641" customWidth="1"/>
    <col min="11666" max="11666" width="9.77734375" style="641" customWidth="1"/>
    <col min="11667" max="11670" width="9.109375" style="641"/>
    <col min="11671" max="11671" width="1.88671875" style="641" customWidth="1"/>
    <col min="11672" max="11672" width="9.88671875" style="641" customWidth="1"/>
    <col min="11673" max="11673" width="1.5546875" style="641" customWidth="1"/>
    <col min="11674" max="11674" width="11.44140625" style="641" customWidth="1"/>
    <col min="11675" max="11675" width="2.21875" style="641" customWidth="1"/>
    <col min="11676" max="11676" width="12" style="641" customWidth="1"/>
    <col min="11677" max="11677" width="2" style="641" customWidth="1"/>
    <col min="11678" max="11678" width="9.109375" style="641"/>
    <col min="11679" max="11679" width="11.109375" style="641" customWidth="1"/>
    <col min="11680" max="11680" width="12" style="641" customWidth="1"/>
    <col min="11681" max="11681" width="9.109375" style="641"/>
    <col min="11682" max="11682" width="11.88671875" style="641" customWidth="1"/>
    <col min="11683" max="11683" width="14.21875" style="641" customWidth="1"/>
    <col min="11684" max="11687" width="9.109375" style="641"/>
    <col min="11688" max="11688" width="3.44140625" style="641" customWidth="1"/>
    <col min="11689" max="11690" width="9.109375" style="641"/>
    <col min="11691" max="11691" width="11.44140625" style="641" customWidth="1"/>
    <col min="11692" max="11692" width="2.77734375" style="641" customWidth="1"/>
    <col min="11693" max="11875" width="9.109375" style="641"/>
    <col min="11876" max="11876" width="9.5546875" style="641" customWidth="1"/>
    <col min="11877" max="11877" width="11" style="641" customWidth="1"/>
    <col min="11878" max="11879" width="11.21875" style="641" customWidth="1"/>
    <col min="11880" max="11880" width="11.5546875" style="641" customWidth="1"/>
    <col min="11881" max="11881" width="11.109375" style="641" customWidth="1"/>
    <col min="11882" max="11882" width="2" style="641" customWidth="1"/>
    <col min="11883" max="11883" width="13.5546875" style="641" customWidth="1"/>
    <col min="11884" max="11884" width="12.44140625" style="641" customWidth="1"/>
    <col min="11885" max="11885" width="13.5546875" style="641" customWidth="1"/>
    <col min="11886" max="11886" width="2.109375" style="641" customWidth="1"/>
    <col min="11887" max="11887" width="9.109375" style="641"/>
    <col min="11888" max="11888" width="10.21875" style="641" customWidth="1"/>
    <col min="11889" max="11889" width="1.88671875" style="641" customWidth="1"/>
    <col min="11890" max="11890" width="10.77734375" style="641" customWidth="1"/>
    <col min="11891" max="11891" width="9.109375" style="641"/>
    <col min="11892" max="11892" width="2.109375" style="641" customWidth="1"/>
    <col min="11893" max="11893" width="9.109375" style="641"/>
    <col min="11894" max="11894" width="11.21875" style="641" customWidth="1"/>
    <col min="11895" max="11895" width="12.77734375" style="641" customWidth="1"/>
    <col min="11896" max="11896" width="12.5546875" style="641" customWidth="1"/>
    <col min="11897" max="11897" width="2" style="641" customWidth="1"/>
    <col min="11898" max="11899" width="9.109375" style="641"/>
    <col min="11900" max="11900" width="11" style="641" customWidth="1"/>
    <col min="11901" max="11901" width="9.109375" style="641"/>
    <col min="11902" max="11902" width="2.21875" style="641" customWidth="1"/>
    <col min="11903" max="11903" width="11" style="641" customWidth="1"/>
    <col min="11904" max="11904" width="9.109375" style="641"/>
    <col min="11905" max="11905" width="11.5546875" style="641" customWidth="1"/>
    <col min="11906" max="11906" width="11.21875" style="641" customWidth="1"/>
    <col min="11907" max="11907" width="2.88671875" style="641" customWidth="1"/>
    <col min="11908" max="11909" width="9.109375" style="641"/>
    <col min="11910" max="11910" width="11.21875" style="641" customWidth="1"/>
    <col min="11911" max="11911" width="2.21875" style="641" customWidth="1"/>
    <col min="11912" max="11912" width="9.109375" style="641"/>
    <col min="11913" max="11913" width="10.44140625" style="641" customWidth="1"/>
    <col min="11914" max="11914" width="9.109375" style="641"/>
    <col min="11915" max="11915" width="11.109375" style="641" customWidth="1"/>
    <col min="11916" max="11917" width="9.109375" style="641"/>
    <col min="11918" max="11918" width="10.88671875" style="641" customWidth="1"/>
    <col min="11919" max="11920" width="9.109375" style="641"/>
    <col min="11921" max="11921" width="1.5546875" style="641" customWidth="1"/>
    <col min="11922" max="11922" width="9.77734375" style="641" customWidth="1"/>
    <col min="11923" max="11926" width="9.109375" style="641"/>
    <col min="11927" max="11927" width="1.88671875" style="641" customWidth="1"/>
    <col min="11928" max="11928" width="9.88671875" style="641" customWidth="1"/>
    <col min="11929" max="11929" width="1.5546875" style="641" customWidth="1"/>
    <col min="11930" max="11930" width="11.44140625" style="641" customWidth="1"/>
    <col min="11931" max="11931" width="2.21875" style="641" customWidth="1"/>
    <col min="11932" max="11932" width="12" style="641" customWidth="1"/>
    <col min="11933" max="11933" width="2" style="641" customWidth="1"/>
    <col min="11934" max="11934" width="9.109375" style="641"/>
    <col min="11935" max="11935" width="11.109375" style="641" customWidth="1"/>
    <col min="11936" max="11936" width="12" style="641" customWidth="1"/>
    <col min="11937" max="11937" width="9.109375" style="641"/>
    <col min="11938" max="11938" width="11.88671875" style="641" customWidth="1"/>
    <col min="11939" max="11939" width="14.21875" style="641" customWidth="1"/>
    <col min="11940" max="11943" width="9.109375" style="641"/>
    <col min="11944" max="11944" width="3.44140625" style="641" customWidth="1"/>
    <col min="11945" max="11946" width="9.109375" style="641"/>
    <col min="11947" max="11947" width="11.44140625" style="641" customWidth="1"/>
    <col min="11948" max="11948" width="2.77734375" style="641" customWidth="1"/>
    <col min="11949" max="12131" width="9.109375" style="641"/>
    <col min="12132" max="12132" width="9.5546875" style="641" customWidth="1"/>
    <col min="12133" max="12133" width="11" style="641" customWidth="1"/>
    <col min="12134" max="12135" width="11.21875" style="641" customWidth="1"/>
    <col min="12136" max="12136" width="11.5546875" style="641" customWidth="1"/>
    <col min="12137" max="12137" width="11.109375" style="641" customWidth="1"/>
    <col min="12138" max="12138" width="2" style="641" customWidth="1"/>
    <col min="12139" max="12139" width="13.5546875" style="641" customWidth="1"/>
    <col min="12140" max="12140" width="12.44140625" style="641" customWidth="1"/>
    <col min="12141" max="12141" width="13.5546875" style="641" customWidth="1"/>
    <col min="12142" max="12142" width="2.109375" style="641" customWidth="1"/>
    <col min="12143" max="12143" width="9.109375" style="641"/>
    <col min="12144" max="12144" width="10.21875" style="641" customWidth="1"/>
    <col min="12145" max="12145" width="1.88671875" style="641" customWidth="1"/>
    <col min="12146" max="12146" width="10.77734375" style="641" customWidth="1"/>
    <col min="12147" max="12147" width="9.109375" style="641"/>
    <col min="12148" max="12148" width="2.109375" style="641" customWidth="1"/>
    <col min="12149" max="12149" width="9.109375" style="641"/>
    <col min="12150" max="12150" width="11.21875" style="641" customWidth="1"/>
    <col min="12151" max="12151" width="12.77734375" style="641" customWidth="1"/>
    <col min="12152" max="12152" width="12.5546875" style="641" customWidth="1"/>
    <col min="12153" max="12153" width="2" style="641" customWidth="1"/>
    <col min="12154" max="12155" width="9.109375" style="641"/>
    <col min="12156" max="12156" width="11" style="641" customWidth="1"/>
    <col min="12157" max="12157" width="9.109375" style="641"/>
    <col min="12158" max="12158" width="2.21875" style="641" customWidth="1"/>
    <col min="12159" max="12159" width="11" style="641" customWidth="1"/>
    <col min="12160" max="12160" width="9.109375" style="641"/>
    <col min="12161" max="12161" width="11.5546875" style="641" customWidth="1"/>
    <col min="12162" max="12162" width="11.21875" style="641" customWidth="1"/>
    <col min="12163" max="12163" width="2.88671875" style="641" customWidth="1"/>
    <col min="12164" max="12165" width="9.109375" style="641"/>
    <col min="12166" max="12166" width="11.21875" style="641" customWidth="1"/>
    <col min="12167" max="12167" width="2.21875" style="641" customWidth="1"/>
    <col min="12168" max="12168" width="9.109375" style="641"/>
    <col min="12169" max="12169" width="10.44140625" style="641" customWidth="1"/>
    <col min="12170" max="12170" width="9.109375" style="641"/>
    <col min="12171" max="12171" width="11.109375" style="641" customWidth="1"/>
    <col min="12172" max="12173" width="9.109375" style="641"/>
    <col min="12174" max="12174" width="10.88671875" style="641" customWidth="1"/>
    <col min="12175" max="12176" width="9.109375" style="641"/>
    <col min="12177" max="12177" width="1.5546875" style="641" customWidth="1"/>
    <col min="12178" max="12178" width="9.77734375" style="641" customWidth="1"/>
    <col min="12179" max="12182" width="9.109375" style="641"/>
    <col min="12183" max="12183" width="1.88671875" style="641" customWidth="1"/>
    <col min="12184" max="12184" width="9.88671875" style="641" customWidth="1"/>
    <col min="12185" max="12185" width="1.5546875" style="641" customWidth="1"/>
    <col min="12186" max="12186" width="11.44140625" style="641" customWidth="1"/>
    <col min="12187" max="12187" width="2.21875" style="641" customWidth="1"/>
    <col min="12188" max="12188" width="12" style="641" customWidth="1"/>
    <col min="12189" max="12189" width="2" style="641" customWidth="1"/>
    <col min="12190" max="12190" width="9.109375" style="641"/>
    <col min="12191" max="12191" width="11.109375" style="641" customWidth="1"/>
    <col min="12192" max="12192" width="12" style="641" customWidth="1"/>
    <col min="12193" max="12193" width="9.109375" style="641"/>
    <col min="12194" max="12194" width="11.88671875" style="641" customWidth="1"/>
    <col min="12195" max="12195" width="14.21875" style="641" customWidth="1"/>
    <col min="12196" max="12199" width="9.109375" style="641"/>
    <col min="12200" max="12200" width="3.44140625" style="641" customWidth="1"/>
    <col min="12201" max="12202" width="9.109375" style="641"/>
    <col min="12203" max="12203" width="11.44140625" style="641" customWidth="1"/>
    <col min="12204" max="12204" width="2.77734375" style="641" customWidth="1"/>
    <col min="12205" max="12387" width="9.109375" style="641"/>
    <col min="12388" max="12388" width="9.5546875" style="641" customWidth="1"/>
    <col min="12389" max="12389" width="11" style="641" customWidth="1"/>
    <col min="12390" max="12391" width="11.21875" style="641" customWidth="1"/>
    <col min="12392" max="12392" width="11.5546875" style="641" customWidth="1"/>
    <col min="12393" max="12393" width="11.109375" style="641" customWidth="1"/>
    <col min="12394" max="12394" width="2" style="641" customWidth="1"/>
    <col min="12395" max="12395" width="13.5546875" style="641" customWidth="1"/>
    <col min="12396" max="12396" width="12.44140625" style="641" customWidth="1"/>
    <col min="12397" max="12397" width="13.5546875" style="641" customWidth="1"/>
    <col min="12398" max="12398" width="2.109375" style="641" customWidth="1"/>
    <col min="12399" max="12399" width="9.109375" style="641"/>
    <col min="12400" max="12400" width="10.21875" style="641" customWidth="1"/>
    <col min="12401" max="12401" width="1.88671875" style="641" customWidth="1"/>
    <col min="12402" max="12402" width="10.77734375" style="641" customWidth="1"/>
    <col min="12403" max="12403" width="9.109375" style="641"/>
    <col min="12404" max="12404" width="2.109375" style="641" customWidth="1"/>
    <col min="12405" max="12405" width="9.109375" style="641"/>
    <col min="12406" max="12406" width="11.21875" style="641" customWidth="1"/>
    <col min="12407" max="12407" width="12.77734375" style="641" customWidth="1"/>
    <col min="12408" max="12408" width="12.5546875" style="641" customWidth="1"/>
    <col min="12409" max="12409" width="2" style="641" customWidth="1"/>
    <col min="12410" max="12411" width="9.109375" style="641"/>
    <col min="12412" max="12412" width="11" style="641" customWidth="1"/>
    <col min="12413" max="12413" width="9.109375" style="641"/>
    <col min="12414" max="12414" width="2.21875" style="641" customWidth="1"/>
    <col min="12415" max="12415" width="11" style="641" customWidth="1"/>
    <col min="12416" max="12416" width="9.109375" style="641"/>
    <col min="12417" max="12417" width="11.5546875" style="641" customWidth="1"/>
    <col min="12418" max="12418" width="11.21875" style="641" customWidth="1"/>
    <col min="12419" max="12419" width="2.88671875" style="641" customWidth="1"/>
    <col min="12420" max="12421" width="9.109375" style="641"/>
    <col min="12422" max="12422" width="11.21875" style="641" customWidth="1"/>
    <col min="12423" max="12423" width="2.21875" style="641" customWidth="1"/>
    <col min="12424" max="12424" width="9.109375" style="641"/>
    <col min="12425" max="12425" width="10.44140625" style="641" customWidth="1"/>
    <col min="12426" max="12426" width="9.109375" style="641"/>
    <col min="12427" max="12427" width="11.109375" style="641" customWidth="1"/>
    <col min="12428" max="12429" width="9.109375" style="641"/>
    <col min="12430" max="12430" width="10.88671875" style="641" customWidth="1"/>
    <col min="12431" max="12432" width="9.109375" style="641"/>
    <col min="12433" max="12433" width="1.5546875" style="641" customWidth="1"/>
    <col min="12434" max="12434" width="9.77734375" style="641" customWidth="1"/>
    <col min="12435" max="12438" width="9.109375" style="641"/>
    <col min="12439" max="12439" width="1.88671875" style="641" customWidth="1"/>
    <col min="12440" max="12440" width="9.88671875" style="641" customWidth="1"/>
    <col min="12441" max="12441" width="1.5546875" style="641" customWidth="1"/>
    <col min="12442" max="12442" width="11.44140625" style="641" customWidth="1"/>
    <col min="12443" max="12443" width="2.21875" style="641" customWidth="1"/>
    <col min="12444" max="12444" width="12" style="641" customWidth="1"/>
    <col min="12445" max="12445" width="2" style="641" customWidth="1"/>
    <col min="12446" max="12446" width="9.109375" style="641"/>
    <col min="12447" max="12447" width="11.109375" style="641" customWidth="1"/>
    <col min="12448" max="12448" width="12" style="641" customWidth="1"/>
    <col min="12449" max="12449" width="9.109375" style="641"/>
    <col min="12450" max="12450" width="11.88671875" style="641" customWidth="1"/>
    <col min="12451" max="12451" width="14.21875" style="641" customWidth="1"/>
    <col min="12452" max="12455" width="9.109375" style="641"/>
    <col min="12456" max="12456" width="3.44140625" style="641" customWidth="1"/>
    <col min="12457" max="12458" width="9.109375" style="641"/>
    <col min="12459" max="12459" width="11.44140625" style="641" customWidth="1"/>
    <col min="12460" max="12460" width="2.77734375" style="641" customWidth="1"/>
    <col min="12461" max="12643" width="9.109375" style="641"/>
    <col min="12644" max="12644" width="9.5546875" style="641" customWidth="1"/>
    <col min="12645" max="12645" width="11" style="641" customWidth="1"/>
    <col min="12646" max="12647" width="11.21875" style="641" customWidth="1"/>
    <col min="12648" max="12648" width="11.5546875" style="641" customWidth="1"/>
    <col min="12649" max="12649" width="11.109375" style="641" customWidth="1"/>
    <col min="12650" max="12650" width="2" style="641" customWidth="1"/>
    <col min="12651" max="12651" width="13.5546875" style="641" customWidth="1"/>
    <col min="12652" max="12652" width="12.44140625" style="641" customWidth="1"/>
    <col min="12653" max="12653" width="13.5546875" style="641" customWidth="1"/>
    <col min="12654" max="12654" width="2.109375" style="641" customWidth="1"/>
    <col min="12655" max="12655" width="9.109375" style="641"/>
    <col min="12656" max="12656" width="10.21875" style="641" customWidth="1"/>
    <col min="12657" max="12657" width="1.88671875" style="641" customWidth="1"/>
    <col min="12658" max="12658" width="10.77734375" style="641" customWidth="1"/>
    <col min="12659" max="12659" width="9.109375" style="641"/>
    <col min="12660" max="12660" width="2.109375" style="641" customWidth="1"/>
    <col min="12661" max="12661" width="9.109375" style="641"/>
    <col min="12662" max="12662" width="11.21875" style="641" customWidth="1"/>
    <col min="12663" max="12663" width="12.77734375" style="641" customWidth="1"/>
    <col min="12664" max="12664" width="12.5546875" style="641" customWidth="1"/>
    <col min="12665" max="12665" width="2" style="641" customWidth="1"/>
    <col min="12666" max="12667" width="9.109375" style="641"/>
    <col min="12668" max="12668" width="11" style="641" customWidth="1"/>
    <col min="12669" max="12669" width="9.109375" style="641"/>
    <col min="12670" max="12670" width="2.21875" style="641" customWidth="1"/>
    <col min="12671" max="12671" width="11" style="641" customWidth="1"/>
    <col min="12672" max="12672" width="9.109375" style="641"/>
    <col min="12673" max="12673" width="11.5546875" style="641" customWidth="1"/>
    <col min="12674" max="12674" width="11.21875" style="641" customWidth="1"/>
    <col min="12675" max="12675" width="2.88671875" style="641" customWidth="1"/>
    <col min="12676" max="12677" width="9.109375" style="641"/>
    <col min="12678" max="12678" width="11.21875" style="641" customWidth="1"/>
    <col min="12679" max="12679" width="2.21875" style="641" customWidth="1"/>
    <col min="12680" max="12680" width="9.109375" style="641"/>
    <col min="12681" max="12681" width="10.44140625" style="641" customWidth="1"/>
    <col min="12682" max="12682" width="9.109375" style="641"/>
    <col min="12683" max="12683" width="11.109375" style="641" customWidth="1"/>
    <col min="12684" max="12685" width="9.109375" style="641"/>
    <col min="12686" max="12686" width="10.88671875" style="641" customWidth="1"/>
    <col min="12687" max="12688" width="9.109375" style="641"/>
    <col min="12689" max="12689" width="1.5546875" style="641" customWidth="1"/>
    <col min="12690" max="12690" width="9.77734375" style="641" customWidth="1"/>
    <col min="12691" max="12694" width="9.109375" style="641"/>
    <col min="12695" max="12695" width="1.88671875" style="641" customWidth="1"/>
    <col min="12696" max="12696" width="9.88671875" style="641" customWidth="1"/>
    <col min="12697" max="12697" width="1.5546875" style="641" customWidth="1"/>
    <col min="12698" max="12698" width="11.44140625" style="641" customWidth="1"/>
    <col min="12699" max="12699" width="2.21875" style="641" customWidth="1"/>
    <col min="12700" max="12700" width="12" style="641" customWidth="1"/>
    <col min="12701" max="12701" width="2" style="641" customWidth="1"/>
    <col min="12702" max="12702" width="9.109375" style="641"/>
    <col min="12703" max="12703" width="11.109375" style="641" customWidth="1"/>
    <col min="12704" max="12704" width="12" style="641" customWidth="1"/>
    <col min="12705" max="12705" width="9.109375" style="641"/>
    <col min="12706" max="12706" width="11.88671875" style="641" customWidth="1"/>
    <col min="12707" max="12707" width="14.21875" style="641" customWidth="1"/>
    <col min="12708" max="12711" width="9.109375" style="641"/>
    <col min="12712" max="12712" width="3.44140625" style="641" customWidth="1"/>
    <col min="12713" max="12714" width="9.109375" style="641"/>
    <col min="12715" max="12715" width="11.44140625" style="641" customWidth="1"/>
    <col min="12716" max="12716" width="2.77734375" style="641" customWidth="1"/>
    <col min="12717" max="12899" width="9.109375" style="641"/>
    <col min="12900" max="12900" width="9.5546875" style="641" customWidth="1"/>
    <col min="12901" max="12901" width="11" style="641" customWidth="1"/>
    <col min="12902" max="12903" width="11.21875" style="641" customWidth="1"/>
    <col min="12904" max="12904" width="11.5546875" style="641" customWidth="1"/>
    <col min="12905" max="12905" width="11.109375" style="641" customWidth="1"/>
    <col min="12906" max="12906" width="2" style="641" customWidth="1"/>
    <col min="12907" max="12907" width="13.5546875" style="641" customWidth="1"/>
    <col min="12908" max="12908" width="12.44140625" style="641" customWidth="1"/>
    <col min="12909" max="12909" width="13.5546875" style="641" customWidth="1"/>
    <col min="12910" max="12910" width="2.109375" style="641" customWidth="1"/>
    <col min="12911" max="12911" width="9.109375" style="641"/>
    <col min="12912" max="12912" width="10.21875" style="641" customWidth="1"/>
    <col min="12913" max="12913" width="1.88671875" style="641" customWidth="1"/>
    <col min="12914" max="12914" width="10.77734375" style="641" customWidth="1"/>
    <col min="12915" max="12915" width="9.109375" style="641"/>
    <col min="12916" max="12916" width="2.109375" style="641" customWidth="1"/>
    <col min="12917" max="12917" width="9.109375" style="641"/>
    <col min="12918" max="12918" width="11.21875" style="641" customWidth="1"/>
    <col min="12919" max="12919" width="12.77734375" style="641" customWidth="1"/>
    <col min="12920" max="12920" width="12.5546875" style="641" customWidth="1"/>
    <col min="12921" max="12921" width="2" style="641" customWidth="1"/>
    <col min="12922" max="12923" width="9.109375" style="641"/>
    <col min="12924" max="12924" width="11" style="641" customWidth="1"/>
    <col min="12925" max="12925" width="9.109375" style="641"/>
    <col min="12926" max="12926" width="2.21875" style="641" customWidth="1"/>
    <col min="12927" max="12927" width="11" style="641" customWidth="1"/>
    <col min="12928" max="12928" width="9.109375" style="641"/>
    <col min="12929" max="12929" width="11.5546875" style="641" customWidth="1"/>
    <col min="12930" max="12930" width="11.21875" style="641" customWidth="1"/>
    <col min="12931" max="12931" width="2.88671875" style="641" customWidth="1"/>
    <col min="12932" max="12933" width="9.109375" style="641"/>
    <col min="12934" max="12934" width="11.21875" style="641" customWidth="1"/>
    <col min="12935" max="12935" width="2.21875" style="641" customWidth="1"/>
    <col min="12936" max="12936" width="9.109375" style="641"/>
    <col min="12937" max="12937" width="10.44140625" style="641" customWidth="1"/>
    <col min="12938" max="12938" width="9.109375" style="641"/>
    <col min="12939" max="12939" width="11.109375" style="641" customWidth="1"/>
    <col min="12940" max="12941" width="9.109375" style="641"/>
    <col min="12942" max="12942" width="10.88671875" style="641" customWidth="1"/>
    <col min="12943" max="12944" width="9.109375" style="641"/>
    <col min="12945" max="12945" width="1.5546875" style="641" customWidth="1"/>
    <col min="12946" max="12946" width="9.77734375" style="641" customWidth="1"/>
    <col min="12947" max="12950" width="9.109375" style="641"/>
    <col min="12951" max="12951" width="1.88671875" style="641" customWidth="1"/>
    <col min="12952" max="12952" width="9.88671875" style="641" customWidth="1"/>
    <col min="12953" max="12953" width="1.5546875" style="641" customWidth="1"/>
    <col min="12954" max="12954" width="11.44140625" style="641" customWidth="1"/>
    <col min="12955" max="12955" width="2.21875" style="641" customWidth="1"/>
    <col min="12956" max="12956" width="12" style="641" customWidth="1"/>
    <col min="12957" max="12957" width="2" style="641" customWidth="1"/>
    <col min="12958" max="12958" width="9.109375" style="641"/>
    <col min="12959" max="12959" width="11.109375" style="641" customWidth="1"/>
    <col min="12960" max="12960" width="12" style="641" customWidth="1"/>
    <col min="12961" max="12961" width="9.109375" style="641"/>
    <col min="12962" max="12962" width="11.88671875" style="641" customWidth="1"/>
    <col min="12963" max="12963" width="14.21875" style="641" customWidth="1"/>
    <col min="12964" max="12967" width="9.109375" style="641"/>
    <col min="12968" max="12968" width="3.44140625" style="641" customWidth="1"/>
    <col min="12969" max="12970" width="9.109375" style="641"/>
    <col min="12971" max="12971" width="11.44140625" style="641" customWidth="1"/>
    <col min="12972" max="12972" width="2.77734375" style="641" customWidth="1"/>
    <col min="12973" max="13155" width="9.109375" style="641"/>
    <col min="13156" max="13156" width="9.5546875" style="641" customWidth="1"/>
    <col min="13157" max="13157" width="11" style="641" customWidth="1"/>
    <col min="13158" max="13159" width="11.21875" style="641" customWidth="1"/>
    <col min="13160" max="13160" width="11.5546875" style="641" customWidth="1"/>
    <col min="13161" max="13161" width="11.109375" style="641" customWidth="1"/>
    <col min="13162" max="13162" width="2" style="641" customWidth="1"/>
    <col min="13163" max="13163" width="13.5546875" style="641" customWidth="1"/>
    <col min="13164" max="13164" width="12.44140625" style="641" customWidth="1"/>
    <col min="13165" max="13165" width="13.5546875" style="641" customWidth="1"/>
    <col min="13166" max="13166" width="2.109375" style="641" customWidth="1"/>
    <col min="13167" max="13167" width="9.109375" style="641"/>
    <col min="13168" max="13168" width="10.21875" style="641" customWidth="1"/>
    <col min="13169" max="13169" width="1.88671875" style="641" customWidth="1"/>
    <col min="13170" max="13170" width="10.77734375" style="641" customWidth="1"/>
    <col min="13171" max="13171" width="9.109375" style="641"/>
    <col min="13172" max="13172" width="2.109375" style="641" customWidth="1"/>
    <col min="13173" max="13173" width="9.109375" style="641"/>
    <col min="13174" max="13174" width="11.21875" style="641" customWidth="1"/>
    <col min="13175" max="13175" width="12.77734375" style="641" customWidth="1"/>
    <col min="13176" max="13176" width="12.5546875" style="641" customWidth="1"/>
    <col min="13177" max="13177" width="2" style="641" customWidth="1"/>
    <col min="13178" max="13179" width="9.109375" style="641"/>
    <col min="13180" max="13180" width="11" style="641" customWidth="1"/>
    <col min="13181" max="13181" width="9.109375" style="641"/>
    <col min="13182" max="13182" width="2.21875" style="641" customWidth="1"/>
    <col min="13183" max="13183" width="11" style="641" customWidth="1"/>
    <col min="13184" max="13184" width="9.109375" style="641"/>
    <col min="13185" max="13185" width="11.5546875" style="641" customWidth="1"/>
    <col min="13186" max="13186" width="11.21875" style="641" customWidth="1"/>
    <col min="13187" max="13187" width="2.88671875" style="641" customWidth="1"/>
    <col min="13188" max="13189" width="9.109375" style="641"/>
    <col min="13190" max="13190" width="11.21875" style="641" customWidth="1"/>
    <col min="13191" max="13191" width="2.21875" style="641" customWidth="1"/>
    <col min="13192" max="13192" width="9.109375" style="641"/>
    <col min="13193" max="13193" width="10.44140625" style="641" customWidth="1"/>
    <col min="13194" max="13194" width="9.109375" style="641"/>
    <col min="13195" max="13195" width="11.109375" style="641" customWidth="1"/>
    <col min="13196" max="13197" width="9.109375" style="641"/>
    <col min="13198" max="13198" width="10.88671875" style="641" customWidth="1"/>
    <col min="13199" max="13200" width="9.109375" style="641"/>
    <col min="13201" max="13201" width="1.5546875" style="641" customWidth="1"/>
    <col min="13202" max="13202" width="9.77734375" style="641" customWidth="1"/>
    <col min="13203" max="13206" width="9.109375" style="641"/>
    <col min="13207" max="13207" width="1.88671875" style="641" customWidth="1"/>
    <col min="13208" max="13208" width="9.88671875" style="641" customWidth="1"/>
    <col min="13209" max="13209" width="1.5546875" style="641" customWidth="1"/>
    <col min="13210" max="13210" width="11.44140625" style="641" customWidth="1"/>
    <col min="13211" max="13211" width="2.21875" style="641" customWidth="1"/>
    <col min="13212" max="13212" width="12" style="641" customWidth="1"/>
    <col min="13213" max="13213" width="2" style="641" customWidth="1"/>
    <col min="13214" max="13214" width="9.109375" style="641"/>
    <col min="13215" max="13215" width="11.109375" style="641" customWidth="1"/>
    <col min="13216" max="13216" width="12" style="641" customWidth="1"/>
    <col min="13217" max="13217" width="9.109375" style="641"/>
    <col min="13218" max="13218" width="11.88671875" style="641" customWidth="1"/>
    <col min="13219" max="13219" width="14.21875" style="641" customWidth="1"/>
    <col min="13220" max="13223" width="9.109375" style="641"/>
    <col min="13224" max="13224" width="3.44140625" style="641" customWidth="1"/>
    <col min="13225" max="13226" width="9.109375" style="641"/>
    <col min="13227" max="13227" width="11.44140625" style="641" customWidth="1"/>
    <col min="13228" max="13228" width="2.77734375" style="641" customWidth="1"/>
    <col min="13229" max="13411" width="9.109375" style="641"/>
    <col min="13412" max="13412" width="9.5546875" style="641" customWidth="1"/>
    <col min="13413" max="13413" width="11" style="641" customWidth="1"/>
    <col min="13414" max="13415" width="11.21875" style="641" customWidth="1"/>
    <col min="13416" max="13416" width="11.5546875" style="641" customWidth="1"/>
    <col min="13417" max="13417" width="11.109375" style="641" customWidth="1"/>
    <col min="13418" max="13418" width="2" style="641" customWidth="1"/>
    <col min="13419" max="13419" width="13.5546875" style="641" customWidth="1"/>
    <col min="13420" max="13420" width="12.44140625" style="641" customWidth="1"/>
    <col min="13421" max="13421" width="13.5546875" style="641" customWidth="1"/>
    <col min="13422" max="13422" width="2.109375" style="641" customWidth="1"/>
    <col min="13423" max="13423" width="9.109375" style="641"/>
    <col min="13424" max="13424" width="10.21875" style="641" customWidth="1"/>
    <col min="13425" max="13425" width="1.88671875" style="641" customWidth="1"/>
    <col min="13426" max="13426" width="10.77734375" style="641" customWidth="1"/>
    <col min="13427" max="13427" width="9.109375" style="641"/>
    <col min="13428" max="13428" width="2.109375" style="641" customWidth="1"/>
    <col min="13429" max="13429" width="9.109375" style="641"/>
    <col min="13430" max="13430" width="11.21875" style="641" customWidth="1"/>
    <col min="13431" max="13431" width="12.77734375" style="641" customWidth="1"/>
    <col min="13432" max="13432" width="12.5546875" style="641" customWidth="1"/>
    <col min="13433" max="13433" width="2" style="641" customWidth="1"/>
    <col min="13434" max="13435" width="9.109375" style="641"/>
    <col min="13436" max="13436" width="11" style="641" customWidth="1"/>
    <col min="13437" max="13437" width="9.109375" style="641"/>
    <col min="13438" max="13438" width="2.21875" style="641" customWidth="1"/>
    <col min="13439" max="13439" width="11" style="641" customWidth="1"/>
    <col min="13440" max="13440" width="9.109375" style="641"/>
    <col min="13441" max="13441" width="11.5546875" style="641" customWidth="1"/>
    <col min="13442" max="13442" width="11.21875" style="641" customWidth="1"/>
    <col min="13443" max="13443" width="2.88671875" style="641" customWidth="1"/>
    <col min="13444" max="13445" width="9.109375" style="641"/>
    <col min="13446" max="13446" width="11.21875" style="641" customWidth="1"/>
    <col min="13447" max="13447" width="2.21875" style="641" customWidth="1"/>
    <col min="13448" max="13448" width="9.109375" style="641"/>
    <col min="13449" max="13449" width="10.44140625" style="641" customWidth="1"/>
    <col min="13450" max="13450" width="9.109375" style="641"/>
    <col min="13451" max="13451" width="11.109375" style="641" customWidth="1"/>
    <col min="13452" max="13453" width="9.109375" style="641"/>
    <col min="13454" max="13454" width="10.88671875" style="641" customWidth="1"/>
    <col min="13455" max="13456" width="9.109375" style="641"/>
    <col min="13457" max="13457" width="1.5546875" style="641" customWidth="1"/>
    <col min="13458" max="13458" width="9.77734375" style="641" customWidth="1"/>
    <col min="13459" max="13462" width="9.109375" style="641"/>
    <col min="13463" max="13463" width="1.88671875" style="641" customWidth="1"/>
    <col min="13464" max="13464" width="9.88671875" style="641" customWidth="1"/>
    <col min="13465" max="13465" width="1.5546875" style="641" customWidth="1"/>
    <col min="13466" max="13466" width="11.44140625" style="641" customWidth="1"/>
    <col min="13467" max="13467" width="2.21875" style="641" customWidth="1"/>
    <col min="13468" max="13468" width="12" style="641" customWidth="1"/>
    <col min="13469" max="13469" width="2" style="641" customWidth="1"/>
    <col min="13470" max="13470" width="9.109375" style="641"/>
    <col min="13471" max="13471" width="11.109375" style="641" customWidth="1"/>
    <col min="13472" max="13472" width="12" style="641" customWidth="1"/>
    <col min="13473" max="13473" width="9.109375" style="641"/>
    <col min="13474" max="13474" width="11.88671875" style="641" customWidth="1"/>
    <col min="13475" max="13475" width="14.21875" style="641" customWidth="1"/>
    <col min="13476" max="13479" width="9.109375" style="641"/>
    <col min="13480" max="13480" width="3.44140625" style="641" customWidth="1"/>
    <col min="13481" max="13482" width="9.109375" style="641"/>
    <col min="13483" max="13483" width="11.44140625" style="641" customWidth="1"/>
    <col min="13484" max="13484" width="2.77734375" style="641" customWidth="1"/>
    <col min="13485" max="13667" width="9.109375" style="641"/>
    <col min="13668" max="13668" width="9.5546875" style="641" customWidth="1"/>
    <col min="13669" max="13669" width="11" style="641" customWidth="1"/>
    <col min="13670" max="13671" width="11.21875" style="641" customWidth="1"/>
    <col min="13672" max="13672" width="11.5546875" style="641" customWidth="1"/>
    <col min="13673" max="13673" width="11.109375" style="641" customWidth="1"/>
    <col min="13674" max="13674" width="2" style="641" customWidth="1"/>
    <col min="13675" max="13675" width="13.5546875" style="641" customWidth="1"/>
    <col min="13676" max="13676" width="12.44140625" style="641" customWidth="1"/>
    <col min="13677" max="13677" width="13.5546875" style="641" customWidth="1"/>
    <col min="13678" max="13678" width="2.109375" style="641" customWidth="1"/>
    <col min="13679" max="13679" width="9.109375" style="641"/>
    <col min="13680" max="13680" width="10.21875" style="641" customWidth="1"/>
    <col min="13681" max="13681" width="1.88671875" style="641" customWidth="1"/>
    <col min="13682" max="13682" width="10.77734375" style="641" customWidth="1"/>
    <col min="13683" max="13683" width="9.109375" style="641"/>
    <col min="13684" max="13684" width="2.109375" style="641" customWidth="1"/>
    <col min="13685" max="13685" width="9.109375" style="641"/>
    <col min="13686" max="13686" width="11.21875" style="641" customWidth="1"/>
    <col min="13687" max="13687" width="12.77734375" style="641" customWidth="1"/>
    <col min="13688" max="13688" width="12.5546875" style="641" customWidth="1"/>
    <col min="13689" max="13689" width="2" style="641" customWidth="1"/>
    <col min="13690" max="13691" width="9.109375" style="641"/>
    <col min="13692" max="13692" width="11" style="641" customWidth="1"/>
    <col min="13693" max="13693" width="9.109375" style="641"/>
    <col min="13694" max="13694" width="2.21875" style="641" customWidth="1"/>
    <col min="13695" max="13695" width="11" style="641" customWidth="1"/>
    <col min="13696" max="13696" width="9.109375" style="641"/>
    <col min="13697" max="13697" width="11.5546875" style="641" customWidth="1"/>
    <col min="13698" max="13698" width="11.21875" style="641" customWidth="1"/>
    <col min="13699" max="13699" width="2.88671875" style="641" customWidth="1"/>
    <col min="13700" max="13701" width="9.109375" style="641"/>
    <col min="13702" max="13702" width="11.21875" style="641" customWidth="1"/>
    <col min="13703" max="13703" width="2.21875" style="641" customWidth="1"/>
    <col min="13704" max="13704" width="9.109375" style="641"/>
    <col min="13705" max="13705" width="10.44140625" style="641" customWidth="1"/>
    <col min="13706" max="13706" width="9.109375" style="641"/>
    <col min="13707" max="13707" width="11.109375" style="641" customWidth="1"/>
    <col min="13708" max="13709" width="9.109375" style="641"/>
    <col min="13710" max="13710" width="10.88671875" style="641" customWidth="1"/>
    <col min="13711" max="13712" width="9.109375" style="641"/>
    <col min="13713" max="13713" width="1.5546875" style="641" customWidth="1"/>
    <col min="13714" max="13714" width="9.77734375" style="641" customWidth="1"/>
    <col min="13715" max="13718" width="9.109375" style="641"/>
    <col min="13719" max="13719" width="1.88671875" style="641" customWidth="1"/>
    <col min="13720" max="13720" width="9.88671875" style="641" customWidth="1"/>
    <col min="13721" max="13721" width="1.5546875" style="641" customWidth="1"/>
    <col min="13722" max="13722" width="11.44140625" style="641" customWidth="1"/>
    <col min="13723" max="13723" width="2.21875" style="641" customWidth="1"/>
    <col min="13724" max="13724" width="12" style="641" customWidth="1"/>
    <col min="13725" max="13725" width="2" style="641" customWidth="1"/>
    <col min="13726" max="13726" width="9.109375" style="641"/>
    <col min="13727" max="13727" width="11.109375" style="641" customWidth="1"/>
    <col min="13728" max="13728" width="12" style="641" customWidth="1"/>
    <col min="13729" max="13729" width="9.109375" style="641"/>
    <col min="13730" max="13730" width="11.88671875" style="641" customWidth="1"/>
    <col min="13731" max="13731" width="14.21875" style="641" customWidth="1"/>
    <col min="13732" max="13735" width="9.109375" style="641"/>
    <col min="13736" max="13736" width="3.44140625" style="641" customWidth="1"/>
    <col min="13737" max="13738" width="9.109375" style="641"/>
    <col min="13739" max="13739" width="11.44140625" style="641" customWidth="1"/>
    <col min="13740" max="13740" width="2.77734375" style="641" customWidth="1"/>
    <col min="13741" max="13923" width="9.109375" style="641"/>
    <col min="13924" max="13924" width="9.5546875" style="641" customWidth="1"/>
    <col min="13925" max="13925" width="11" style="641" customWidth="1"/>
    <col min="13926" max="13927" width="11.21875" style="641" customWidth="1"/>
    <col min="13928" max="13928" width="11.5546875" style="641" customWidth="1"/>
    <col min="13929" max="13929" width="11.109375" style="641" customWidth="1"/>
    <col min="13930" max="13930" width="2" style="641" customWidth="1"/>
    <col min="13931" max="13931" width="13.5546875" style="641" customWidth="1"/>
    <col min="13932" max="13932" width="12.44140625" style="641" customWidth="1"/>
    <col min="13933" max="13933" width="13.5546875" style="641" customWidth="1"/>
    <col min="13934" max="13934" width="2.109375" style="641" customWidth="1"/>
    <col min="13935" max="13935" width="9.109375" style="641"/>
    <col min="13936" max="13936" width="10.21875" style="641" customWidth="1"/>
    <col min="13937" max="13937" width="1.88671875" style="641" customWidth="1"/>
    <col min="13938" max="13938" width="10.77734375" style="641" customWidth="1"/>
    <col min="13939" max="13939" width="9.109375" style="641"/>
    <col min="13940" max="13940" width="2.109375" style="641" customWidth="1"/>
    <col min="13941" max="13941" width="9.109375" style="641"/>
    <col min="13942" max="13942" width="11.21875" style="641" customWidth="1"/>
    <col min="13943" max="13943" width="12.77734375" style="641" customWidth="1"/>
    <col min="13944" max="13944" width="12.5546875" style="641" customWidth="1"/>
    <col min="13945" max="13945" width="2" style="641" customWidth="1"/>
    <col min="13946" max="13947" width="9.109375" style="641"/>
    <col min="13948" max="13948" width="11" style="641" customWidth="1"/>
    <col min="13949" max="13949" width="9.109375" style="641"/>
    <col min="13950" max="13950" width="2.21875" style="641" customWidth="1"/>
    <col min="13951" max="13951" width="11" style="641" customWidth="1"/>
    <col min="13952" max="13952" width="9.109375" style="641"/>
    <col min="13953" max="13953" width="11.5546875" style="641" customWidth="1"/>
    <col min="13954" max="13954" width="11.21875" style="641" customWidth="1"/>
    <col min="13955" max="13955" width="2.88671875" style="641" customWidth="1"/>
    <col min="13956" max="13957" width="9.109375" style="641"/>
    <col min="13958" max="13958" width="11.21875" style="641" customWidth="1"/>
    <col min="13959" max="13959" width="2.21875" style="641" customWidth="1"/>
    <col min="13960" max="13960" width="9.109375" style="641"/>
    <col min="13961" max="13961" width="10.44140625" style="641" customWidth="1"/>
    <col min="13962" max="13962" width="9.109375" style="641"/>
    <col min="13963" max="13963" width="11.109375" style="641" customWidth="1"/>
    <col min="13964" max="13965" width="9.109375" style="641"/>
    <col min="13966" max="13966" width="10.88671875" style="641" customWidth="1"/>
    <col min="13967" max="13968" width="9.109375" style="641"/>
    <col min="13969" max="13969" width="1.5546875" style="641" customWidth="1"/>
    <col min="13970" max="13970" width="9.77734375" style="641" customWidth="1"/>
    <col min="13971" max="13974" width="9.109375" style="641"/>
    <col min="13975" max="13975" width="1.88671875" style="641" customWidth="1"/>
    <col min="13976" max="13976" width="9.88671875" style="641" customWidth="1"/>
    <col min="13977" max="13977" width="1.5546875" style="641" customWidth="1"/>
    <col min="13978" max="13978" width="11.44140625" style="641" customWidth="1"/>
    <col min="13979" max="13979" width="2.21875" style="641" customWidth="1"/>
    <col min="13980" max="13980" width="12" style="641" customWidth="1"/>
    <col min="13981" max="13981" width="2" style="641" customWidth="1"/>
    <col min="13982" max="13982" width="9.109375" style="641"/>
    <col min="13983" max="13983" width="11.109375" style="641" customWidth="1"/>
    <col min="13984" max="13984" width="12" style="641" customWidth="1"/>
    <col min="13985" max="13985" width="9.109375" style="641"/>
    <col min="13986" max="13986" width="11.88671875" style="641" customWidth="1"/>
    <col min="13987" max="13987" width="14.21875" style="641" customWidth="1"/>
    <col min="13988" max="13991" width="9.109375" style="641"/>
    <col min="13992" max="13992" width="3.44140625" style="641" customWidth="1"/>
    <col min="13993" max="13994" width="9.109375" style="641"/>
    <col min="13995" max="13995" width="11.44140625" style="641" customWidth="1"/>
    <col min="13996" max="13996" width="2.77734375" style="641" customWidth="1"/>
    <col min="13997" max="14179" width="9.109375" style="641"/>
    <col min="14180" max="14180" width="9.5546875" style="641" customWidth="1"/>
    <col min="14181" max="14181" width="11" style="641" customWidth="1"/>
    <col min="14182" max="14183" width="11.21875" style="641" customWidth="1"/>
    <col min="14184" max="14184" width="11.5546875" style="641" customWidth="1"/>
    <col min="14185" max="14185" width="11.109375" style="641" customWidth="1"/>
    <col min="14186" max="14186" width="2" style="641" customWidth="1"/>
    <col min="14187" max="14187" width="13.5546875" style="641" customWidth="1"/>
    <col min="14188" max="14188" width="12.44140625" style="641" customWidth="1"/>
    <col min="14189" max="14189" width="13.5546875" style="641" customWidth="1"/>
    <col min="14190" max="14190" width="2.109375" style="641" customWidth="1"/>
    <col min="14191" max="14191" width="9.109375" style="641"/>
    <col min="14192" max="14192" width="10.21875" style="641" customWidth="1"/>
    <col min="14193" max="14193" width="1.88671875" style="641" customWidth="1"/>
    <col min="14194" max="14194" width="10.77734375" style="641" customWidth="1"/>
    <col min="14195" max="14195" width="9.109375" style="641"/>
    <col min="14196" max="14196" width="2.109375" style="641" customWidth="1"/>
    <col min="14197" max="14197" width="9.109375" style="641"/>
    <col min="14198" max="14198" width="11.21875" style="641" customWidth="1"/>
    <col min="14199" max="14199" width="12.77734375" style="641" customWidth="1"/>
    <col min="14200" max="14200" width="12.5546875" style="641" customWidth="1"/>
    <col min="14201" max="14201" width="2" style="641" customWidth="1"/>
    <col min="14202" max="14203" width="9.109375" style="641"/>
    <col min="14204" max="14204" width="11" style="641" customWidth="1"/>
    <col min="14205" max="14205" width="9.109375" style="641"/>
    <col min="14206" max="14206" width="2.21875" style="641" customWidth="1"/>
    <col min="14207" max="14207" width="11" style="641" customWidth="1"/>
    <col min="14208" max="14208" width="9.109375" style="641"/>
    <col min="14209" max="14209" width="11.5546875" style="641" customWidth="1"/>
    <col min="14210" max="14210" width="11.21875" style="641" customWidth="1"/>
    <col min="14211" max="14211" width="2.88671875" style="641" customWidth="1"/>
    <col min="14212" max="14213" width="9.109375" style="641"/>
    <col min="14214" max="14214" width="11.21875" style="641" customWidth="1"/>
    <col min="14215" max="14215" width="2.21875" style="641" customWidth="1"/>
    <col min="14216" max="14216" width="9.109375" style="641"/>
    <col min="14217" max="14217" width="10.44140625" style="641" customWidth="1"/>
    <col min="14218" max="14218" width="9.109375" style="641"/>
    <col min="14219" max="14219" width="11.109375" style="641" customWidth="1"/>
    <col min="14220" max="14221" width="9.109375" style="641"/>
    <col min="14222" max="14222" width="10.88671875" style="641" customWidth="1"/>
    <col min="14223" max="14224" width="9.109375" style="641"/>
    <col min="14225" max="14225" width="1.5546875" style="641" customWidth="1"/>
    <col min="14226" max="14226" width="9.77734375" style="641" customWidth="1"/>
    <col min="14227" max="14230" width="9.109375" style="641"/>
    <col min="14231" max="14231" width="1.88671875" style="641" customWidth="1"/>
    <col min="14232" max="14232" width="9.88671875" style="641" customWidth="1"/>
    <col min="14233" max="14233" width="1.5546875" style="641" customWidth="1"/>
    <col min="14234" max="14234" width="11.44140625" style="641" customWidth="1"/>
    <col min="14235" max="14235" width="2.21875" style="641" customWidth="1"/>
    <col min="14236" max="14236" width="12" style="641" customWidth="1"/>
    <col min="14237" max="14237" width="2" style="641" customWidth="1"/>
    <col min="14238" max="14238" width="9.109375" style="641"/>
    <col min="14239" max="14239" width="11.109375" style="641" customWidth="1"/>
    <col min="14240" max="14240" width="12" style="641" customWidth="1"/>
    <col min="14241" max="14241" width="9.109375" style="641"/>
    <col min="14242" max="14242" width="11.88671875" style="641" customWidth="1"/>
    <col min="14243" max="14243" width="14.21875" style="641" customWidth="1"/>
    <col min="14244" max="14247" width="9.109375" style="641"/>
    <col min="14248" max="14248" width="3.44140625" style="641" customWidth="1"/>
    <col min="14249" max="14250" width="9.109375" style="641"/>
    <col min="14251" max="14251" width="11.44140625" style="641" customWidth="1"/>
    <col min="14252" max="14252" width="2.77734375" style="641" customWidth="1"/>
    <col min="14253" max="14435" width="9.109375" style="641"/>
    <col min="14436" max="14436" width="9.5546875" style="641" customWidth="1"/>
    <col min="14437" max="14437" width="11" style="641" customWidth="1"/>
    <col min="14438" max="14439" width="11.21875" style="641" customWidth="1"/>
    <col min="14440" max="14440" width="11.5546875" style="641" customWidth="1"/>
    <col min="14441" max="14441" width="11.109375" style="641" customWidth="1"/>
    <col min="14442" max="14442" width="2" style="641" customWidth="1"/>
    <col min="14443" max="14443" width="13.5546875" style="641" customWidth="1"/>
    <col min="14444" max="14444" width="12.44140625" style="641" customWidth="1"/>
    <col min="14445" max="14445" width="13.5546875" style="641" customWidth="1"/>
    <col min="14446" max="14446" width="2.109375" style="641" customWidth="1"/>
    <col min="14447" max="14447" width="9.109375" style="641"/>
    <col min="14448" max="14448" width="10.21875" style="641" customWidth="1"/>
    <col min="14449" max="14449" width="1.88671875" style="641" customWidth="1"/>
    <col min="14450" max="14450" width="10.77734375" style="641" customWidth="1"/>
    <col min="14451" max="14451" width="9.109375" style="641"/>
    <col min="14452" max="14452" width="2.109375" style="641" customWidth="1"/>
    <col min="14453" max="14453" width="9.109375" style="641"/>
    <col min="14454" max="14454" width="11.21875" style="641" customWidth="1"/>
    <col min="14455" max="14455" width="12.77734375" style="641" customWidth="1"/>
    <col min="14456" max="14456" width="12.5546875" style="641" customWidth="1"/>
    <col min="14457" max="14457" width="2" style="641" customWidth="1"/>
    <col min="14458" max="14459" width="9.109375" style="641"/>
    <col min="14460" max="14460" width="11" style="641" customWidth="1"/>
    <col min="14461" max="14461" width="9.109375" style="641"/>
    <col min="14462" max="14462" width="2.21875" style="641" customWidth="1"/>
    <col min="14463" max="14463" width="11" style="641" customWidth="1"/>
    <col min="14464" max="14464" width="9.109375" style="641"/>
    <col min="14465" max="14465" width="11.5546875" style="641" customWidth="1"/>
    <col min="14466" max="14466" width="11.21875" style="641" customWidth="1"/>
    <col min="14467" max="14467" width="2.88671875" style="641" customWidth="1"/>
    <col min="14468" max="14469" width="9.109375" style="641"/>
    <col min="14470" max="14470" width="11.21875" style="641" customWidth="1"/>
    <col min="14471" max="14471" width="2.21875" style="641" customWidth="1"/>
    <col min="14472" max="14472" width="9.109375" style="641"/>
    <col min="14473" max="14473" width="10.44140625" style="641" customWidth="1"/>
    <col min="14474" max="14474" width="9.109375" style="641"/>
    <col min="14475" max="14475" width="11.109375" style="641" customWidth="1"/>
    <col min="14476" max="14477" width="9.109375" style="641"/>
    <col min="14478" max="14478" width="10.88671875" style="641" customWidth="1"/>
    <col min="14479" max="14480" width="9.109375" style="641"/>
    <col min="14481" max="14481" width="1.5546875" style="641" customWidth="1"/>
    <col min="14482" max="14482" width="9.77734375" style="641" customWidth="1"/>
    <col min="14483" max="14486" width="9.109375" style="641"/>
    <col min="14487" max="14487" width="1.88671875" style="641" customWidth="1"/>
    <col min="14488" max="14488" width="9.88671875" style="641" customWidth="1"/>
    <col min="14489" max="14489" width="1.5546875" style="641" customWidth="1"/>
    <col min="14490" max="14490" width="11.44140625" style="641" customWidth="1"/>
    <col min="14491" max="14491" width="2.21875" style="641" customWidth="1"/>
    <col min="14492" max="14492" width="12" style="641" customWidth="1"/>
    <col min="14493" max="14493" width="2" style="641" customWidth="1"/>
    <col min="14494" max="14494" width="9.109375" style="641"/>
    <col min="14495" max="14495" width="11.109375" style="641" customWidth="1"/>
    <col min="14496" max="14496" width="12" style="641" customWidth="1"/>
    <col min="14497" max="14497" width="9.109375" style="641"/>
    <col min="14498" max="14498" width="11.88671875" style="641" customWidth="1"/>
    <col min="14499" max="14499" width="14.21875" style="641" customWidth="1"/>
    <col min="14500" max="14503" width="9.109375" style="641"/>
    <col min="14504" max="14504" width="3.44140625" style="641" customWidth="1"/>
    <col min="14505" max="14506" width="9.109375" style="641"/>
    <col min="14507" max="14507" width="11.44140625" style="641" customWidth="1"/>
    <col min="14508" max="14508" width="2.77734375" style="641" customWidth="1"/>
    <col min="14509" max="14691" width="9.109375" style="641"/>
    <col min="14692" max="14692" width="9.5546875" style="641" customWidth="1"/>
    <col min="14693" max="14693" width="11" style="641" customWidth="1"/>
    <col min="14694" max="14695" width="11.21875" style="641" customWidth="1"/>
    <col min="14696" max="14696" width="11.5546875" style="641" customWidth="1"/>
    <col min="14697" max="14697" width="11.109375" style="641" customWidth="1"/>
    <col min="14698" max="14698" width="2" style="641" customWidth="1"/>
    <col min="14699" max="14699" width="13.5546875" style="641" customWidth="1"/>
    <col min="14700" max="14700" width="12.44140625" style="641" customWidth="1"/>
    <col min="14701" max="14701" width="13.5546875" style="641" customWidth="1"/>
    <col min="14702" max="14702" width="2.109375" style="641" customWidth="1"/>
    <col min="14703" max="14703" width="9.109375" style="641"/>
    <col min="14704" max="14704" width="10.21875" style="641" customWidth="1"/>
    <col min="14705" max="14705" width="1.88671875" style="641" customWidth="1"/>
    <col min="14706" max="14706" width="10.77734375" style="641" customWidth="1"/>
    <col min="14707" max="14707" width="9.109375" style="641"/>
    <col min="14708" max="14708" width="2.109375" style="641" customWidth="1"/>
    <col min="14709" max="14709" width="9.109375" style="641"/>
    <col min="14710" max="14710" width="11.21875" style="641" customWidth="1"/>
    <col min="14711" max="14711" width="12.77734375" style="641" customWidth="1"/>
    <col min="14712" max="14712" width="12.5546875" style="641" customWidth="1"/>
    <col min="14713" max="14713" width="2" style="641" customWidth="1"/>
    <col min="14714" max="14715" width="9.109375" style="641"/>
    <col min="14716" max="14716" width="11" style="641" customWidth="1"/>
    <col min="14717" max="14717" width="9.109375" style="641"/>
    <col min="14718" max="14718" width="2.21875" style="641" customWidth="1"/>
    <col min="14719" max="14719" width="11" style="641" customWidth="1"/>
    <col min="14720" max="14720" width="9.109375" style="641"/>
    <col min="14721" max="14721" width="11.5546875" style="641" customWidth="1"/>
    <col min="14722" max="14722" width="11.21875" style="641" customWidth="1"/>
    <col min="14723" max="14723" width="2.88671875" style="641" customWidth="1"/>
    <col min="14724" max="14725" width="9.109375" style="641"/>
    <col min="14726" max="14726" width="11.21875" style="641" customWidth="1"/>
    <col min="14727" max="14727" width="2.21875" style="641" customWidth="1"/>
    <col min="14728" max="14728" width="9.109375" style="641"/>
    <col min="14729" max="14729" width="10.44140625" style="641" customWidth="1"/>
    <col min="14730" max="14730" width="9.109375" style="641"/>
    <col min="14731" max="14731" width="11.109375" style="641" customWidth="1"/>
    <col min="14732" max="14733" width="9.109375" style="641"/>
    <col min="14734" max="14734" width="10.88671875" style="641" customWidth="1"/>
    <col min="14735" max="14736" width="9.109375" style="641"/>
    <col min="14737" max="14737" width="1.5546875" style="641" customWidth="1"/>
    <col min="14738" max="14738" width="9.77734375" style="641" customWidth="1"/>
    <col min="14739" max="14742" width="9.109375" style="641"/>
    <col min="14743" max="14743" width="1.88671875" style="641" customWidth="1"/>
    <col min="14744" max="14744" width="9.88671875" style="641" customWidth="1"/>
    <col min="14745" max="14745" width="1.5546875" style="641" customWidth="1"/>
    <col min="14746" max="14746" width="11.44140625" style="641" customWidth="1"/>
    <col min="14747" max="14747" width="2.21875" style="641" customWidth="1"/>
    <col min="14748" max="14748" width="12" style="641" customWidth="1"/>
    <col min="14749" max="14749" width="2" style="641" customWidth="1"/>
    <col min="14750" max="14750" width="9.109375" style="641"/>
    <col min="14751" max="14751" width="11.109375" style="641" customWidth="1"/>
    <col min="14752" max="14752" width="12" style="641" customWidth="1"/>
    <col min="14753" max="14753" width="9.109375" style="641"/>
    <col min="14754" max="14754" width="11.88671875" style="641" customWidth="1"/>
    <col min="14755" max="14755" width="14.21875" style="641" customWidth="1"/>
    <col min="14756" max="14759" width="9.109375" style="641"/>
    <col min="14760" max="14760" width="3.44140625" style="641" customWidth="1"/>
    <col min="14761" max="14762" width="9.109375" style="641"/>
    <col min="14763" max="14763" width="11.44140625" style="641" customWidth="1"/>
    <col min="14764" max="14764" width="2.77734375" style="641" customWidth="1"/>
    <col min="14765" max="14947" width="9.109375" style="641"/>
    <col min="14948" max="14948" width="9.5546875" style="641" customWidth="1"/>
    <col min="14949" max="14949" width="11" style="641" customWidth="1"/>
    <col min="14950" max="14951" width="11.21875" style="641" customWidth="1"/>
    <col min="14952" max="14952" width="11.5546875" style="641" customWidth="1"/>
    <col min="14953" max="14953" width="11.109375" style="641" customWidth="1"/>
    <col min="14954" max="14954" width="2" style="641" customWidth="1"/>
    <col min="14955" max="14955" width="13.5546875" style="641" customWidth="1"/>
    <col min="14956" max="14956" width="12.44140625" style="641" customWidth="1"/>
    <col min="14957" max="14957" width="13.5546875" style="641" customWidth="1"/>
    <col min="14958" max="14958" width="2.109375" style="641" customWidth="1"/>
    <col min="14959" max="14959" width="9.109375" style="641"/>
    <col min="14960" max="14960" width="10.21875" style="641" customWidth="1"/>
    <col min="14961" max="14961" width="1.88671875" style="641" customWidth="1"/>
    <col min="14962" max="14962" width="10.77734375" style="641" customWidth="1"/>
    <col min="14963" max="14963" width="9.109375" style="641"/>
    <col min="14964" max="14964" width="2.109375" style="641" customWidth="1"/>
    <col min="14965" max="14965" width="9.109375" style="641"/>
    <col min="14966" max="14966" width="11.21875" style="641" customWidth="1"/>
    <col min="14967" max="14967" width="12.77734375" style="641" customWidth="1"/>
    <col min="14968" max="14968" width="12.5546875" style="641" customWidth="1"/>
    <col min="14969" max="14969" width="2" style="641" customWidth="1"/>
    <col min="14970" max="14971" width="9.109375" style="641"/>
    <col min="14972" max="14972" width="11" style="641" customWidth="1"/>
    <col min="14973" max="14973" width="9.109375" style="641"/>
    <col min="14974" max="14974" width="2.21875" style="641" customWidth="1"/>
    <col min="14975" max="14975" width="11" style="641" customWidth="1"/>
    <col min="14976" max="14976" width="9.109375" style="641"/>
    <col min="14977" max="14977" width="11.5546875" style="641" customWidth="1"/>
    <col min="14978" max="14978" width="11.21875" style="641" customWidth="1"/>
    <col min="14979" max="14979" width="2.88671875" style="641" customWidth="1"/>
    <col min="14980" max="14981" width="9.109375" style="641"/>
    <col min="14982" max="14982" width="11.21875" style="641" customWidth="1"/>
    <col min="14983" max="14983" width="2.21875" style="641" customWidth="1"/>
    <col min="14984" max="14984" width="9.109375" style="641"/>
    <col min="14985" max="14985" width="10.44140625" style="641" customWidth="1"/>
    <col min="14986" max="14986" width="9.109375" style="641"/>
    <col min="14987" max="14987" width="11.109375" style="641" customWidth="1"/>
    <col min="14988" max="14989" width="9.109375" style="641"/>
    <col min="14990" max="14990" width="10.88671875" style="641" customWidth="1"/>
    <col min="14991" max="14992" width="9.109375" style="641"/>
    <col min="14993" max="14993" width="1.5546875" style="641" customWidth="1"/>
    <col min="14994" max="14994" width="9.77734375" style="641" customWidth="1"/>
    <col min="14995" max="14998" width="9.109375" style="641"/>
    <col min="14999" max="14999" width="1.88671875" style="641" customWidth="1"/>
    <col min="15000" max="15000" width="9.88671875" style="641" customWidth="1"/>
    <col min="15001" max="15001" width="1.5546875" style="641" customWidth="1"/>
    <col min="15002" max="15002" width="11.44140625" style="641" customWidth="1"/>
    <col min="15003" max="15003" width="2.21875" style="641" customWidth="1"/>
    <col min="15004" max="15004" width="12" style="641" customWidth="1"/>
    <col min="15005" max="15005" width="2" style="641" customWidth="1"/>
    <col min="15006" max="15006" width="9.109375" style="641"/>
    <col min="15007" max="15007" width="11.109375" style="641" customWidth="1"/>
    <col min="15008" max="15008" width="12" style="641" customWidth="1"/>
    <col min="15009" max="15009" width="9.109375" style="641"/>
    <col min="15010" max="15010" width="11.88671875" style="641" customWidth="1"/>
    <col min="15011" max="15011" width="14.21875" style="641" customWidth="1"/>
    <col min="15012" max="15015" width="9.109375" style="641"/>
    <col min="15016" max="15016" width="3.44140625" style="641" customWidth="1"/>
    <col min="15017" max="15018" width="9.109375" style="641"/>
    <col min="15019" max="15019" width="11.44140625" style="641" customWidth="1"/>
    <col min="15020" max="15020" width="2.77734375" style="641" customWidth="1"/>
    <col min="15021" max="15203" width="9.109375" style="641"/>
    <col min="15204" max="15204" width="9.5546875" style="641" customWidth="1"/>
    <col min="15205" max="15205" width="11" style="641" customWidth="1"/>
    <col min="15206" max="15207" width="11.21875" style="641" customWidth="1"/>
    <col min="15208" max="15208" width="11.5546875" style="641" customWidth="1"/>
    <col min="15209" max="15209" width="11.109375" style="641" customWidth="1"/>
    <col min="15210" max="15210" width="2" style="641" customWidth="1"/>
    <col min="15211" max="15211" width="13.5546875" style="641" customWidth="1"/>
    <col min="15212" max="15212" width="12.44140625" style="641" customWidth="1"/>
    <col min="15213" max="15213" width="13.5546875" style="641" customWidth="1"/>
    <col min="15214" max="15214" width="2.109375" style="641" customWidth="1"/>
    <col min="15215" max="15215" width="9.109375" style="641"/>
    <col min="15216" max="15216" width="10.21875" style="641" customWidth="1"/>
    <col min="15217" max="15217" width="1.88671875" style="641" customWidth="1"/>
    <col min="15218" max="15218" width="10.77734375" style="641" customWidth="1"/>
    <col min="15219" max="15219" width="9.109375" style="641"/>
    <col min="15220" max="15220" width="2.109375" style="641" customWidth="1"/>
    <col min="15221" max="15221" width="9.109375" style="641"/>
    <col min="15222" max="15222" width="11.21875" style="641" customWidth="1"/>
    <col min="15223" max="15223" width="12.77734375" style="641" customWidth="1"/>
    <col min="15224" max="15224" width="12.5546875" style="641" customWidth="1"/>
    <col min="15225" max="15225" width="2" style="641" customWidth="1"/>
    <col min="15226" max="15227" width="9.109375" style="641"/>
    <col min="15228" max="15228" width="11" style="641" customWidth="1"/>
    <col min="15229" max="15229" width="9.109375" style="641"/>
    <col min="15230" max="15230" width="2.21875" style="641" customWidth="1"/>
    <col min="15231" max="15231" width="11" style="641" customWidth="1"/>
    <col min="15232" max="15232" width="9.109375" style="641"/>
    <col min="15233" max="15233" width="11.5546875" style="641" customWidth="1"/>
    <col min="15234" max="15234" width="11.21875" style="641" customWidth="1"/>
    <col min="15235" max="15235" width="2.88671875" style="641" customWidth="1"/>
    <col min="15236" max="15237" width="9.109375" style="641"/>
    <col min="15238" max="15238" width="11.21875" style="641" customWidth="1"/>
    <col min="15239" max="15239" width="2.21875" style="641" customWidth="1"/>
    <col min="15240" max="15240" width="9.109375" style="641"/>
    <col min="15241" max="15241" width="10.44140625" style="641" customWidth="1"/>
    <col min="15242" max="15242" width="9.109375" style="641"/>
    <col min="15243" max="15243" width="11.109375" style="641" customWidth="1"/>
    <col min="15244" max="15245" width="9.109375" style="641"/>
    <col min="15246" max="15246" width="10.88671875" style="641" customWidth="1"/>
    <col min="15247" max="15248" width="9.109375" style="641"/>
    <col min="15249" max="15249" width="1.5546875" style="641" customWidth="1"/>
    <col min="15250" max="15250" width="9.77734375" style="641" customWidth="1"/>
    <col min="15251" max="15254" width="9.109375" style="641"/>
    <col min="15255" max="15255" width="1.88671875" style="641" customWidth="1"/>
    <col min="15256" max="15256" width="9.88671875" style="641" customWidth="1"/>
    <col min="15257" max="15257" width="1.5546875" style="641" customWidth="1"/>
    <col min="15258" max="15258" width="11.44140625" style="641" customWidth="1"/>
    <col min="15259" max="15259" width="2.21875" style="641" customWidth="1"/>
    <col min="15260" max="15260" width="12" style="641" customWidth="1"/>
    <col min="15261" max="15261" width="2" style="641" customWidth="1"/>
    <col min="15262" max="15262" width="9.109375" style="641"/>
    <col min="15263" max="15263" width="11.109375" style="641" customWidth="1"/>
    <col min="15264" max="15264" width="12" style="641" customWidth="1"/>
    <col min="15265" max="15265" width="9.109375" style="641"/>
    <col min="15266" max="15266" width="11.88671875" style="641" customWidth="1"/>
    <col min="15267" max="15267" width="14.21875" style="641" customWidth="1"/>
    <col min="15268" max="15271" width="9.109375" style="641"/>
    <col min="15272" max="15272" width="3.44140625" style="641" customWidth="1"/>
    <col min="15273" max="15274" width="9.109375" style="641"/>
    <col min="15275" max="15275" width="11.44140625" style="641" customWidth="1"/>
    <col min="15276" max="15276" width="2.77734375" style="641" customWidth="1"/>
    <col min="15277" max="15459" width="9.109375" style="641"/>
    <col min="15460" max="15460" width="9.5546875" style="641" customWidth="1"/>
    <col min="15461" max="15461" width="11" style="641" customWidth="1"/>
    <col min="15462" max="15463" width="11.21875" style="641" customWidth="1"/>
    <col min="15464" max="15464" width="11.5546875" style="641" customWidth="1"/>
    <col min="15465" max="15465" width="11.109375" style="641" customWidth="1"/>
    <col min="15466" max="15466" width="2" style="641" customWidth="1"/>
    <col min="15467" max="15467" width="13.5546875" style="641" customWidth="1"/>
    <col min="15468" max="15468" width="12.44140625" style="641" customWidth="1"/>
    <col min="15469" max="15469" width="13.5546875" style="641" customWidth="1"/>
    <col min="15470" max="15470" width="2.109375" style="641" customWidth="1"/>
    <col min="15471" max="15471" width="9.109375" style="641"/>
    <col min="15472" max="15472" width="10.21875" style="641" customWidth="1"/>
    <col min="15473" max="15473" width="1.88671875" style="641" customWidth="1"/>
    <col min="15474" max="15474" width="10.77734375" style="641" customWidth="1"/>
    <col min="15475" max="15475" width="9.109375" style="641"/>
    <col min="15476" max="15476" width="2.109375" style="641" customWidth="1"/>
    <col min="15477" max="15477" width="9.109375" style="641"/>
    <col min="15478" max="15478" width="11.21875" style="641" customWidth="1"/>
    <col min="15479" max="15479" width="12.77734375" style="641" customWidth="1"/>
    <col min="15480" max="15480" width="12.5546875" style="641" customWidth="1"/>
    <col min="15481" max="15481" width="2" style="641" customWidth="1"/>
    <col min="15482" max="15483" width="9.109375" style="641"/>
    <col min="15484" max="15484" width="11" style="641" customWidth="1"/>
    <col min="15485" max="15485" width="9.109375" style="641"/>
    <col min="15486" max="15486" width="2.21875" style="641" customWidth="1"/>
    <col min="15487" max="15487" width="11" style="641" customWidth="1"/>
    <col min="15488" max="15488" width="9.109375" style="641"/>
    <col min="15489" max="15489" width="11.5546875" style="641" customWidth="1"/>
    <col min="15490" max="15490" width="11.21875" style="641" customWidth="1"/>
    <col min="15491" max="15491" width="2.88671875" style="641" customWidth="1"/>
    <col min="15492" max="15493" width="9.109375" style="641"/>
    <col min="15494" max="15494" width="11.21875" style="641" customWidth="1"/>
    <col min="15495" max="15495" width="2.21875" style="641" customWidth="1"/>
    <col min="15496" max="15496" width="9.109375" style="641"/>
    <col min="15497" max="15497" width="10.44140625" style="641" customWidth="1"/>
    <col min="15498" max="15498" width="9.109375" style="641"/>
    <col min="15499" max="15499" width="11.109375" style="641" customWidth="1"/>
    <col min="15500" max="15501" width="9.109375" style="641"/>
    <col min="15502" max="15502" width="10.88671875" style="641" customWidth="1"/>
    <col min="15503" max="15504" width="9.109375" style="641"/>
    <col min="15505" max="15505" width="1.5546875" style="641" customWidth="1"/>
    <col min="15506" max="15506" width="9.77734375" style="641" customWidth="1"/>
    <col min="15507" max="15510" width="9.109375" style="641"/>
    <col min="15511" max="15511" width="1.88671875" style="641" customWidth="1"/>
    <col min="15512" max="15512" width="9.88671875" style="641" customWidth="1"/>
    <col min="15513" max="15513" width="1.5546875" style="641" customWidth="1"/>
    <col min="15514" max="15514" width="11.44140625" style="641" customWidth="1"/>
    <col min="15515" max="15515" width="2.21875" style="641" customWidth="1"/>
    <col min="15516" max="15516" width="12" style="641" customWidth="1"/>
    <col min="15517" max="15517" width="2" style="641" customWidth="1"/>
    <col min="15518" max="15518" width="9.109375" style="641"/>
    <col min="15519" max="15519" width="11.109375" style="641" customWidth="1"/>
    <col min="15520" max="15520" width="12" style="641" customWidth="1"/>
    <col min="15521" max="15521" width="9.109375" style="641"/>
    <col min="15522" max="15522" width="11.88671875" style="641" customWidth="1"/>
    <col min="15523" max="15523" width="14.21875" style="641" customWidth="1"/>
    <col min="15524" max="15527" width="9.109375" style="641"/>
    <col min="15528" max="15528" width="3.44140625" style="641" customWidth="1"/>
    <col min="15529" max="15530" width="9.109375" style="641"/>
    <col min="15531" max="15531" width="11.44140625" style="641" customWidth="1"/>
    <col min="15532" max="15532" width="2.77734375" style="641" customWidth="1"/>
    <col min="15533" max="15715" width="9.109375" style="641"/>
    <col min="15716" max="15716" width="9.5546875" style="641" customWidth="1"/>
    <col min="15717" max="15717" width="11" style="641" customWidth="1"/>
    <col min="15718" max="15719" width="11.21875" style="641" customWidth="1"/>
    <col min="15720" max="15720" width="11.5546875" style="641" customWidth="1"/>
    <col min="15721" max="15721" width="11.109375" style="641" customWidth="1"/>
    <col min="15722" max="15722" width="2" style="641" customWidth="1"/>
    <col min="15723" max="15723" width="13.5546875" style="641" customWidth="1"/>
    <col min="15724" max="15724" width="12.44140625" style="641" customWidth="1"/>
    <col min="15725" max="15725" width="13.5546875" style="641" customWidth="1"/>
    <col min="15726" max="15726" width="2.109375" style="641" customWidth="1"/>
    <col min="15727" max="15727" width="9.109375" style="641"/>
    <col min="15728" max="15728" width="10.21875" style="641" customWidth="1"/>
    <col min="15729" max="15729" width="1.88671875" style="641" customWidth="1"/>
    <col min="15730" max="15730" width="10.77734375" style="641" customWidth="1"/>
    <col min="15731" max="15731" width="9.109375" style="641"/>
    <col min="15732" max="15732" width="2.109375" style="641" customWidth="1"/>
    <col min="15733" max="15733" width="9.109375" style="641"/>
    <col min="15734" max="15734" width="11.21875" style="641" customWidth="1"/>
    <col min="15735" max="15735" width="12.77734375" style="641" customWidth="1"/>
    <col min="15736" max="15736" width="12.5546875" style="641" customWidth="1"/>
    <col min="15737" max="15737" width="2" style="641" customWidth="1"/>
    <col min="15738" max="15739" width="9.109375" style="641"/>
    <col min="15740" max="15740" width="11" style="641" customWidth="1"/>
    <col min="15741" max="15741" width="9.109375" style="641"/>
    <col min="15742" max="15742" width="2.21875" style="641" customWidth="1"/>
    <col min="15743" max="15743" width="11" style="641" customWidth="1"/>
    <col min="15744" max="15744" width="9.109375" style="641"/>
    <col min="15745" max="15745" width="11.5546875" style="641" customWidth="1"/>
    <col min="15746" max="15746" width="11.21875" style="641" customWidth="1"/>
    <col min="15747" max="15747" width="2.88671875" style="641" customWidth="1"/>
    <col min="15748" max="15749" width="9.109375" style="641"/>
    <col min="15750" max="15750" width="11.21875" style="641" customWidth="1"/>
    <col min="15751" max="15751" width="2.21875" style="641" customWidth="1"/>
    <col min="15752" max="15752" width="9.109375" style="641"/>
    <col min="15753" max="15753" width="10.44140625" style="641" customWidth="1"/>
    <col min="15754" max="15754" width="9.109375" style="641"/>
    <col min="15755" max="15755" width="11.109375" style="641" customWidth="1"/>
    <col min="15756" max="15757" width="9.109375" style="641"/>
    <col min="15758" max="15758" width="10.88671875" style="641" customWidth="1"/>
    <col min="15759" max="15760" width="9.109375" style="641"/>
    <col min="15761" max="15761" width="1.5546875" style="641" customWidth="1"/>
    <col min="15762" max="15762" width="9.77734375" style="641" customWidth="1"/>
    <col min="15763" max="15766" width="9.109375" style="641"/>
    <col min="15767" max="15767" width="1.88671875" style="641" customWidth="1"/>
    <col min="15768" max="15768" width="9.88671875" style="641" customWidth="1"/>
    <col min="15769" max="15769" width="1.5546875" style="641" customWidth="1"/>
    <col min="15770" max="15770" width="11.44140625" style="641" customWidth="1"/>
    <col min="15771" max="15771" width="2.21875" style="641" customWidth="1"/>
    <col min="15772" max="15772" width="12" style="641" customWidth="1"/>
    <col min="15773" max="15773" width="2" style="641" customWidth="1"/>
    <col min="15774" max="15774" width="9.109375" style="641"/>
    <col min="15775" max="15775" width="11.109375" style="641" customWidth="1"/>
    <col min="15776" max="15776" width="12" style="641" customWidth="1"/>
    <col min="15777" max="15777" width="9.109375" style="641"/>
    <col min="15778" max="15778" width="11.88671875" style="641" customWidth="1"/>
    <col min="15779" max="15779" width="14.21875" style="641" customWidth="1"/>
    <col min="15780" max="15783" width="9.109375" style="641"/>
    <col min="15784" max="15784" width="3.44140625" style="641" customWidth="1"/>
    <col min="15785" max="15786" width="9.109375" style="641"/>
    <col min="15787" max="15787" width="11.44140625" style="641" customWidth="1"/>
    <col min="15788" max="15788" width="2.77734375" style="641" customWidth="1"/>
    <col min="15789" max="16384" width="9.109375" style="641"/>
  </cols>
  <sheetData>
    <row r="1" spans="1:51" ht="15.6" x14ac:dyDescent="0.3">
      <c r="A1" s="178" t="s">
        <v>2059</v>
      </c>
      <c r="H1" s="463" t="s">
        <v>504</v>
      </c>
    </row>
    <row r="2" spans="1:51" ht="13.5" customHeight="1" x14ac:dyDescent="0.3">
      <c r="A2" s="25"/>
      <c r="B2" s="25"/>
      <c r="C2" s="25"/>
      <c r="D2" s="25"/>
      <c r="E2" s="25"/>
      <c r="F2" s="25"/>
      <c r="G2" s="25"/>
      <c r="H2" s="25"/>
      <c r="I2" s="25"/>
      <c r="U2" s="765">
        <v>0.5</v>
      </c>
      <c r="AI2" s="12"/>
      <c r="AJ2" s="12"/>
      <c r="AK2" s="12"/>
      <c r="AL2" s="12"/>
      <c r="AM2" s="12"/>
      <c r="AN2" s="12"/>
      <c r="AO2" s="12"/>
      <c r="AP2" s="12"/>
      <c r="AQ2" s="12"/>
      <c r="AR2" s="12"/>
      <c r="AS2" s="12"/>
      <c r="AT2" s="12"/>
      <c r="AU2" s="12"/>
      <c r="AV2" s="12"/>
      <c r="AW2" s="12"/>
      <c r="AX2" s="12"/>
      <c r="AY2" s="12"/>
    </row>
    <row r="3" spans="1:51" x14ac:dyDescent="0.3">
      <c r="H3" s="12"/>
      <c r="I3" s="12"/>
      <c r="AI3" s="12"/>
      <c r="AJ3" s="11"/>
      <c r="AK3" s="11"/>
      <c r="AL3" s="11"/>
      <c r="AM3" s="11"/>
      <c r="AN3" s="11"/>
      <c r="AO3" s="11"/>
      <c r="AP3" s="11"/>
      <c r="AQ3" s="11"/>
      <c r="AR3" s="11"/>
      <c r="AS3" s="12"/>
      <c r="AT3" s="12"/>
      <c r="AU3" s="12"/>
      <c r="AV3" s="12"/>
      <c r="AW3" s="12"/>
      <c r="AX3" s="12"/>
      <c r="AY3" s="12"/>
    </row>
    <row r="4" spans="1:51" ht="15" customHeight="1" x14ac:dyDescent="0.3">
      <c r="A4" s="412"/>
      <c r="B4" s="1396" t="s">
        <v>1120</v>
      </c>
      <c r="C4" s="1398" t="s">
        <v>889</v>
      </c>
      <c r="D4" s="1398"/>
      <c r="E4" s="1398"/>
      <c r="F4" s="1398"/>
      <c r="G4" s="590"/>
      <c r="H4" s="1427" t="s">
        <v>921</v>
      </c>
      <c r="I4" s="608"/>
      <c r="J4" s="1398"/>
      <c r="K4" s="1398"/>
      <c r="L4" s="1398"/>
      <c r="M4" s="1398"/>
      <c r="N4" s="1398"/>
      <c r="O4" s="1398"/>
      <c r="P4" s="1398"/>
      <c r="Q4" s="1398"/>
      <c r="R4" s="1396"/>
      <c r="S4" s="1398" t="s">
        <v>903</v>
      </c>
      <c r="T4" s="1398"/>
      <c r="U4" s="1398"/>
      <c r="V4" s="1398"/>
      <c r="W4" s="1398"/>
      <c r="X4" s="1398"/>
      <c r="Y4" s="1398"/>
      <c r="Z4" s="1398"/>
      <c r="AA4" s="1398"/>
      <c r="AB4" s="1398"/>
      <c r="AC4" s="1398"/>
      <c r="AD4" s="1398"/>
      <c r="AE4" s="1398"/>
      <c r="AF4" s="1398"/>
      <c r="AG4" s="1398"/>
      <c r="AH4" s="1398"/>
      <c r="AI4" s="609"/>
      <c r="AJ4" s="1397" t="s">
        <v>935</v>
      </c>
      <c r="AK4" s="1397"/>
      <c r="AL4" s="1397"/>
      <c r="AM4" s="1397"/>
      <c r="AN4" s="1397"/>
      <c r="AO4" s="1397"/>
      <c r="AP4" s="1397"/>
      <c r="AQ4" s="1397"/>
      <c r="AR4" s="1397"/>
      <c r="AS4" s="609"/>
      <c r="AT4" s="1396" t="s">
        <v>911</v>
      </c>
      <c r="AU4" s="1396"/>
      <c r="AV4" s="1396"/>
      <c r="AW4" s="1396"/>
      <c r="AX4" s="1396"/>
      <c r="AY4" s="1396"/>
    </row>
    <row r="5" spans="1:51" ht="15" customHeight="1" x14ac:dyDescent="0.3">
      <c r="A5" s="591"/>
      <c r="B5" s="1397"/>
      <c r="C5" s="1407" t="s">
        <v>920</v>
      </c>
      <c r="D5" s="1407"/>
      <c r="E5" s="1407" t="s">
        <v>919</v>
      </c>
      <c r="F5" s="1407" t="s">
        <v>936</v>
      </c>
      <c r="G5" s="609"/>
      <c r="H5" s="1428"/>
      <c r="I5" s="592"/>
      <c r="J5" s="1403"/>
      <c r="K5" s="1403"/>
      <c r="L5" s="763"/>
      <c r="M5" s="1403" t="s">
        <v>879</v>
      </c>
      <c r="N5" s="1403"/>
      <c r="O5" s="763"/>
      <c r="P5" s="1419"/>
      <c r="Q5" s="1419"/>
      <c r="R5" s="1397"/>
      <c r="S5" s="1403" t="s">
        <v>887</v>
      </c>
      <c r="T5" s="1403"/>
      <c r="U5" s="1403"/>
      <c r="V5" s="1403"/>
      <c r="W5" s="1427"/>
      <c r="X5" s="1403" t="s">
        <v>897</v>
      </c>
      <c r="Y5" s="1403"/>
      <c r="Z5" s="1403"/>
      <c r="AA5" s="592"/>
      <c r="AB5" s="1403" t="s">
        <v>896</v>
      </c>
      <c r="AC5" s="1403"/>
      <c r="AD5" s="1403"/>
      <c r="AE5" s="1427"/>
      <c r="AF5" s="1403" t="s">
        <v>893</v>
      </c>
      <c r="AG5" s="1403"/>
      <c r="AH5" s="1403"/>
      <c r="AI5" s="609"/>
      <c r="AJ5" s="1404"/>
      <c r="AK5" s="1404"/>
      <c r="AL5" s="1404"/>
      <c r="AM5" s="1404"/>
      <c r="AN5" s="1404"/>
      <c r="AO5" s="1404"/>
      <c r="AP5" s="1404"/>
      <c r="AQ5" s="1404"/>
      <c r="AR5" s="1404"/>
      <c r="AS5" s="609"/>
      <c r="AT5" s="1404"/>
      <c r="AU5" s="1404"/>
      <c r="AV5" s="1404"/>
      <c r="AW5" s="1404"/>
      <c r="AX5" s="1404"/>
      <c r="AY5" s="1404"/>
    </row>
    <row r="6" spans="1:51" s="170" customFormat="1" ht="27" customHeight="1" x14ac:dyDescent="0.3">
      <c r="A6" s="591"/>
      <c r="B6" s="1397"/>
      <c r="C6" s="1422"/>
      <c r="D6" s="1422"/>
      <c r="E6" s="1408"/>
      <c r="F6" s="1408"/>
      <c r="G6" s="609"/>
      <c r="H6" s="1428"/>
      <c r="I6" s="592"/>
      <c r="J6" s="1400" t="s">
        <v>1271</v>
      </c>
      <c r="K6" s="1400" t="s">
        <v>877</v>
      </c>
      <c r="L6" s="762"/>
      <c r="M6" s="1400" t="s">
        <v>880</v>
      </c>
      <c r="N6" s="1400" t="s">
        <v>882</v>
      </c>
      <c r="O6" s="762"/>
      <c r="P6" s="1407" t="s">
        <v>1211</v>
      </c>
      <c r="Q6" s="1407" t="s">
        <v>883</v>
      </c>
      <c r="R6" s="1397"/>
      <c r="S6" s="1400" t="s">
        <v>888</v>
      </c>
      <c r="T6" s="1400" t="s">
        <v>878</v>
      </c>
      <c r="U6" s="1399" t="s">
        <v>902</v>
      </c>
      <c r="V6" s="1400" t="s">
        <v>892</v>
      </c>
      <c r="W6" s="1428"/>
      <c r="X6" s="1400" t="s">
        <v>888</v>
      </c>
      <c r="Y6" s="1400" t="s">
        <v>878</v>
      </c>
      <c r="Z6" s="1400" t="s">
        <v>890</v>
      </c>
      <c r="AA6" s="602"/>
      <c r="AB6" s="1400" t="s">
        <v>888</v>
      </c>
      <c r="AC6" s="1400" t="s">
        <v>878</v>
      </c>
      <c r="AD6" s="1400" t="s">
        <v>890</v>
      </c>
      <c r="AE6" s="1428"/>
      <c r="AF6" s="1400" t="s">
        <v>888</v>
      </c>
      <c r="AG6" s="1400" t="s">
        <v>878</v>
      </c>
      <c r="AH6" s="1400" t="s">
        <v>890</v>
      </c>
      <c r="AI6" s="609"/>
      <c r="AJ6" s="1426" t="s">
        <v>905</v>
      </c>
      <c r="AK6" s="1426"/>
      <c r="AL6" s="602"/>
      <c r="AM6" s="1426" t="s">
        <v>906</v>
      </c>
      <c r="AN6" s="1426"/>
      <c r="AO6" s="1400" t="s">
        <v>890</v>
      </c>
      <c r="AP6" s="1400" t="s">
        <v>909</v>
      </c>
      <c r="AQ6" s="1400" t="s">
        <v>1273</v>
      </c>
      <c r="AR6" s="1400" t="s">
        <v>1274</v>
      </c>
      <c r="AS6" s="609"/>
      <c r="AT6" s="1419" t="s">
        <v>915</v>
      </c>
      <c r="AU6" s="1419"/>
      <c r="AV6" s="592"/>
      <c r="AW6" s="1419" t="s">
        <v>916</v>
      </c>
      <c r="AX6" s="1419"/>
      <c r="AY6" s="1408" t="s">
        <v>1212</v>
      </c>
    </row>
    <row r="7" spans="1:51" s="170" customFormat="1" ht="15" customHeight="1" x14ac:dyDescent="0.3">
      <c r="A7" s="591"/>
      <c r="B7" s="1397"/>
      <c r="C7" s="1407" t="s">
        <v>938</v>
      </c>
      <c r="D7" s="1407" t="s">
        <v>939</v>
      </c>
      <c r="E7" s="1408"/>
      <c r="F7" s="1408"/>
      <c r="G7" s="609"/>
      <c r="H7" s="1428"/>
      <c r="I7" s="592"/>
      <c r="J7" s="1400"/>
      <c r="K7" s="1400"/>
      <c r="L7" s="762"/>
      <c r="M7" s="1400"/>
      <c r="N7" s="1400"/>
      <c r="O7" s="762"/>
      <c r="P7" s="1408"/>
      <c r="Q7" s="1408"/>
      <c r="R7" s="1397"/>
      <c r="S7" s="1400"/>
      <c r="T7" s="1400"/>
      <c r="U7" s="1400"/>
      <c r="V7" s="1400"/>
      <c r="W7" s="1428"/>
      <c r="X7" s="1400"/>
      <c r="Y7" s="1400"/>
      <c r="Z7" s="1400"/>
      <c r="AA7" s="602"/>
      <c r="AB7" s="1400"/>
      <c r="AC7" s="1400"/>
      <c r="AD7" s="1400"/>
      <c r="AE7" s="1428"/>
      <c r="AF7" s="1400"/>
      <c r="AG7" s="1400"/>
      <c r="AH7" s="1400"/>
      <c r="AI7" s="609"/>
      <c r="AJ7" s="1399" t="s">
        <v>888</v>
      </c>
      <c r="AK7" s="1399" t="s">
        <v>878</v>
      </c>
      <c r="AL7" s="645"/>
      <c r="AM7" s="1399" t="s">
        <v>888</v>
      </c>
      <c r="AN7" s="1399" t="s">
        <v>878</v>
      </c>
      <c r="AO7" s="1400"/>
      <c r="AP7" s="1400"/>
      <c r="AQ7" s="1400"/>
      <c r="AR7" s="1400"/>
      <c r="AS7" s="609"/>
      <c r="AT7" s="1407" t="s">
        <v>912</v>
      </c>
      <c r="AU7" s="1407" t="s">
        <v>914</v>
      </c>
      <c r="AV7" s="595"/>
      <c r="AW7" s="1407" t="s">
        <v>912</v>
      </c>
      <c r="AX7" s="1407" t="s">
        <v>914</v>
      </c>
      <c r="AY7" s="1408"/>
    </row>
    <row r="8" spans="1:51" s="170" customFormat="1" ht="39" customHeight="1" x14ac:dyDescent="0.3">
      <c r="A8" s="591"/>
      <c r="B8" s="1397"/>
      <c r="C8" s="1408"/>
      <c r="D8" s="1408"/>
      <c r="E8" s="1408"/>
      <c r="F8" s="1408"/>
      <c r="G8" s="609"/>
      <c r="H8" s="1428"/>
      <c r="I8" s="592"/>
      <c r="J8" s="1400"/>
      <c r="K8" s="1400"/>
      <c r="L8" s="762"/>
      <c r="M8" s="1400"/>
      <c r="N8" s="1400"/>
      <c r="O8" s="762"/>
      <c r="P8" s="1408"/>
      <c r="Q8" s="1408"/>
      <c r="R8" s="1397"/>
      <c r="S8" s="1400"/>
      <c r="T8" s="1400"/>
      <c r="U8" s="1400"/>
      <c r="V8" s="1400"/>
      <c r="W8" s="1428"/>
      <c r="X8" s="1400"/>
      <c r="Y8" s="1400"/>
      <c r="Z8" s="1400"/>
      <c r="AA8" s="602"/>
      <c r="AB8" s="1400"/>
      <c r="AC8" s="1400"/>
      <c r="AD8" s="1400"/>
      <c r="AE8" s="1428"/>
      <c r="AF8" s="1400"/>
      <c r="AG8" s="1400"/>
      <c r="AH8" s="1400"/>
      <c r="AI8" s="609"/>
      <c r="AJ8" s="1400"/>
      <c r="AK8" s="1400"/>
      <c r="AL8" s="602"/>
      <c r="AM8" s="1400"/>
      <c r="AN8" s="1400"/>
      <c r="AO8" s="1400"/>
      <c r="AP8" s="1400"/>
      <c r="AQ8" s="1400"/>
      <c r="AR8" s="1400"/>
      <c r="AS8" s="609"/>
      <c r="AT8" s="1408"/>
      <c r="AU8" s="1408"/>
      <c r="AV8" s="595"/>
      <c r="AW8" s="1408"/>
      <c r="AX8" s="1408"/>
      <c r="AY8" s="1408"/>
    </row>
    <row r="9" spans="1:51" ht="55.5" customHeight="1" x14ac:dyDescent="0.3">
      <c r="A9" s="411"/>
      <c r="B9" s="400" t="s">
        <v>457</v>
      </c>
      <c r="C9" s="400" t="s">
        <v>457</v>
      </c>
      <c r="D9" s="400"/>
      <c r="E9" s="400" t="s">
        <v>457</v>
      </c>
      <c r="F9" s="400" t="s">
        <v>457</v>
      </c>
      <c r="G9" s="400"/>
      <c r="H9" s="400" t="s">
        <v>457</v>
      </c>
      <c r="I9" s="400"/>
      <c r="J9" s="793" t="s">
        <v>881</v>
      </c>
      <c r="K9" s="400" t="s">
        <v>457</v>
      </c>
      <c r="L9" s="400"/>
      <c r="M9" s="400" t="s">
        <v>881</v>
      </c>
      <c r="N9" s="400" t="s">
        <v>881</v>
      </c>
      <c r="O9" s="400"/>
      <c r="P9" s="400" t="s">
        <v>457</v>
      </c>
      <c r="Q9" s="400" t="s">
        <v>457</v>
      </c>
      <c r="R9" s="1404"/>
      <c r="S9" s="400" t="s">
        <v>885</v>
      </c>
      <c r="T9" s="400" t="s">
        <v>886</v>
      </c>
      <c r="U9" s="400" t="s">
        <v>891</v>
      </c>
      <c r="V9" s="400" t="s">
        <v>457</v>
      </c>
      <c r="W9" s="400"/>
      <c r="X9" s="400" t="s">
        <v>898</v>
      </c>
      <c r="Y9" s="400" t="s">
        <v>899</v>
      </c>
      <c r="Z9" s="400" t="s">
        <v>457</v>
      </c>
      <c r="AA9" s="400"/>
      <c r="AB9" s="400" t="s">
        <v>900</v>
      </c>
      <c r="AC9" s="400" t="s">
        <v>901</v>
      </c>
      <c r="AD9" s="400" t="s">
        <v>457</v>
      </c>
      <c r="AE9" s="400"/>
      <c r="AF9" s="400" t="s">
        <v>894</v>
      </c>
      <c r="AG9" s="400" t="s">
        <v>895</v>
      </c>
      <c r="AH9" s="400" t="s">
        <v>457</v>
      </c>
      <c r="AI9" s="609"/>
      <c r="AJ9" s="400" t="s">
        <v>904</v>
      </c>
      <c r="AK9" s="400" t="s">
        <v>895</v>
      </c>
      <c r="AL9" s="400"/>
      <c r="AM9" s="400" t="s">
        <v>907</v>
      </c>
      <c r="AN9" s="400" t="s">
        <v>908</v>
      </c>
      <c r="AO9" s="400" t="s">
        <v>457</v>
      </c>
      <c r="AP9" s="400" t="s">
        <v>457</v>
      </c>
      <c r="AQ9" s="400" t="s">
        <v>457</v>
      </c>
      <c r="AR9" s="400" t="s">
        <v>457</v>
      </c>
      <c r="AS9" s="609"/>
      <c r="AT9" s="400" t="s">
        <v>910</v>
      </c>
      <c r="AU9" s="400" t="s">
        <v>913</v>
      </c>
      <c r="AV9" s="400"/>
      <c r="AW9" s="400" t="s">
        <v>917</v>
      </c>
      <c r="AX9" s="400" t="s">
        <v>918</v>
      </c>
      <c r="AY9" s="400" t="s">
        <v>457</v>
      </c>
    </row>
    <row r="10" spans="1:51" ht="10.5" customHeight="1" x14ac:dyDescent="0.3">
      <c r="A10" s="268">
        <v>1959</v>
      </c>
      <c r="B10" s="613"/>
      <c r="C10" s="613"/>
      <c r="D10" s="613"/>
      <c r="E10" s="613"/>
      <c r="F10" s="613"/>
      <c r="G10" s="613"/>
      <c r="J10" s="827">
        <v>17.262</v>
      </c>
      <c r="K10" s="643"/>
      <c r="L10" s="643"/>
      <c r="M10" s="643"/>
      <c r="N10" s="643"/>
      <c r="O10" s="643"/>
      <c r="P10" s="643"/>
      <c r="Q10" s="643"/>
      <c r="R10" s="613"/>
      <c r="S10" s="613"/>
      <c r="T10" s="613"/>
      <c r="U10" s="613"/>
      <c r="V10" s="613"/>
      <c r="W10" s="613"/>
      <c r="X10" s="613"/>
      <c r="Y10" s="613"/>
      <c r="Z10" s="613"/>
      <c r="AA10" s="613"/>
      <c r="AB10" s="613"/>
      <c r="AC10" s="613"/>
      <c r="AD10" s="613"/>
      <c r="AE10" s="613"/>
      <c r="AF10" s="613"/>
      <c r="AG10" s="613"/>
      <c r="AH10" s="613"/>
      <c r="AI10" s="613"/>
      <c r="AJ10" s="613"/>
      <c r="AK10" s="613"/>
      <c r="AL10" s="613"/>
      <c r="AM10" s="613"/>
      <c r="AN10" s="613"/>
      <c r="AO10" s="613"/>
      <c r="AP10" s="613"/>
      <c r="AQ10" s="613"/>
      <c r="AR10" s="613"/>
      <c r="AS10" s="613"/>
      <c r="AT10" s="613"/>
      <c r="AU10" s="613"/>
      <c r="AV10" s="613"/>
      <c r="AW10" s="613"/>
      <c r="AX10" s="613"/>
      <c r="AY10" s="613"/>
    </row>
    <row r="11" spans="1:51" ht="10.5" customHeight="1" x14ac:dyDescent="0.3">
      <c r="A11" s="268">
        <v>1960</v>
      </c>
      <c r="B11" s="603">
        <f>'C1-Incomes'!J8</f>
        <v>479858.94903999998</v>
      </c>
      <c r="C11" s="277">
        <f>-Q11*(V11)</f>
        <v>-2862.9895061691082</v>
      </c>
      <c r="D11" s="277">
        <f>-Q11*(U11*0.5)</f>
        <v>-1431.4947530845541</v>
      </c>
      <c r="E11" s="277">
        <f>(Z11+AD11+AH11-U11*0.5)*P11</f>
        <v>-398.34394345541716</v>
      </c>
      <c r="F11" s="277">
        <f>-(C11+D11+E11)</f>
        <v>4692.82820270908</v>
      </c>
      <c r="G11" s="603"/>
      <c r="H11" s="598">
        <f>(E11)/B11</f>
        <v>-8.3012715351529699E-4</v>
      </c>
      <c r="I11" s="277"/>
      <c r="J11" s="827">
        <v>17.545999999999999</v>
      </c>
      <c r="K11" s="643">
        <f>(J11-J10)/J10</f>
        <v>1.6452323021666024E-2</v>
      </c>
      <c r="L11" s="643"/>
      <c r="M11" s="643">
        <v>4.41E-2</v>
      </c>
      <c r="N11" s="643">
        <v>5.1900000000000002E-2</v>
      </c>
      <c r="O11" s="643"/>
      <c r="P11" s="332">
        <f t="shared" ref="P11:P42" si="0">MIN($K11/M11,1)</f>
        <v>0.37306854924412752</v>
      </c>
      <c r="Q11" s="332">
        <f t="shared" ref="Q11:Q42" si="1">MIN($K11/N11,1)</f>
        <v>0.31700044357738005</v>
      </c>
      <c r="R11" s="644"/>
      <c r="S11" s="277">
        <v>12948</v>
      </c>
      <c r="T11" s="277">
        <v>31011</v>
      </c>
      <c r="U11" s="277">
        <f>(T11-S11)*U$2</f>
        <v>9031.5</v>
      </c>
      <c r="V11" s="277">
        <f>T11-S11-U11</f>
        <v>9031.5</v>
      </c>
      <c r="W11" s="644"/>
      <c r="X11" s="277">
        <v>6212</v>
      </c>
      <c r="Y11" s="277">
        <v>3338</v>
      </c>
      <c r="Z11" s="277">
        <f>-(Y11-X11)</f>
        <v>2874</v>
      </c>
      <c r="AA11" s="277"/>
      <c r="AB11" s="277">
        <v>4774</v>
      </c>
      <c r="AC11" s="277">
        <v>648</v>
      </c>
      <c r="AD11" s="277">
        <f>-(AC11-AB11)</f>
        <v>4126</v>
      </c>
      <c r="AE11" s="644"/>
      <c r="AF11" s="277">
        <v>26085</v>
      </c>
      <c r="AG11" s="277">
        <v>29637</v>
      </c>
      <c r="AH11" s="277">
        <f>-(AG11-AF11)</f>
        <v>-3552</v>
      </c>
      <c r="AI11" s="644"/>
      <c r="AJ11" s="277">
        <v>13878</v>
      </c>
      <c r="AK11" s="277">
        <v>1328</v>
      </c>
      <c r="AL11" s="277"/>
      <c r="AM11" s="277">
        <v>2980</v>
      </c>
      <c r="AN11" s="277">
        <v>1047</v>
      </c>
      <c r="AO11" s="277">
        <f>AJ11-AK11+AM11-AN11+'C10-Adj by Source'!AB6</f>
        <v>15380</v>
      </c>
      <c r="AP11" s="277">
        <f t="shared" ref="AP11:AP42" si="2">AO11*AY11</f>
        <v>14864.28078972109</v>
      </c>
      <c r="AQ11" s="277">
        <f>AP11*AVERAGE(P11,Q11)*AY11</f>
        <v>4956.7153995169811</v>
      </c>
      <c r="AR11" s="332">
        <f>F11/AQ11</f>
        <v>0.94676168076270506</v>
      </c>
      <c r="AS11" s="644"/>
      <c r="AT11" s="277">
        <v>248.1</v>
      </c>
      <c r="AU11" s="277">
        <v>71</v>
      </c>
      <c r="AV11" s="277"/>
      <c r="AW11" s="277">
        <v>10.7</v>
      </c>
      <c r="AX11" s="277">
        <v>0</v>
      </c>
      <c r="AY11" s="332">
        <f t="shared" ref="AY11:AY42" si="3">1-(AW11+AX11)/(AT11+AU11)</f>
        <v>0.96646819178940768</v>
      </c>
    </row>
    <row r="12" spans="1:51" ht="10.5" customHeight="1" x14ac:dyDescent="0.3">
      <c r="A12" s="268">
        <v>1961</v>
      </c>
      <c r="B12" s="603"/>
      <c r="C12" s="603"/>
      <c r="D12" s="603"/>
      <c r="E12" s="603"/>
      <c r="F12" s="603"/>
      <c r="G12" s="603"/>
      <c r="H12" s="598"/>
      <c r="J12" s="827">
        <v>17.73</v>
      </c>
      <c r="K12" s="643">
        <f t="shared" ref="K12:K67" si="4">(J12-J11)/J11</f>
        <v>1.0486720620084411E-2</v>
      </c>
      <c r="L12" s="643"/>
      <c r="M12" s="643">
        <v>4.3499999999999997E-2</v>
      </c>
      <c r="N12" s="643">
        <v>5.0799999999999998E-2</v>
      </c>
      <c r="O12" s="643"/>
      <c r="P12" s="332">
        <f t="shared" si="0"/>
        <v>0.2410740372433198</v>
      </c>
      <c r="Q12" s="332">
        <f t="shared" si="1"/>
        <v>0.20643150826937817</v>
      </c>
      <c r="R12" s="644"/>
      <c r="S12" s="277">
        <v>13913</v>
      </c>
      <c r="T12" s="277">
        <v>33289</v>
      </c>
      <c r="U12" s="277">
        <f t="shared" ref="U12:U50" si="5">(T12-S12)*U$2</f>
        <v>9688</v>
      </c>
      <c r="V12" s="277">
        <f t="shared" ref="V12:V66" si="6">T12-S12-U12</f>
        <v>9688</v>
      </c>
      <c r="W12" s="644"/>
      <c r="X12" s="277">
        <v>6690</v>
      </c>
      <c r="Y12" s="277">
        <v>3413</v>
      </c>
      <c r="Z12" s="277">
        <f t="shared" ref="Z12:Z66" si="7">-(Y12-X12)</f>
        <v>3277</v>
      </c>
      <c r="AA12" s="277"/>
      <c r="AB12" s="277">
        <v>5287</v>
      </c>
      <c r="AC12" s="277">
        <v>651</v>
      </c>
      <c r="AD12" s="277">
        <f t="shared" ref="AD12:AD66" si="8">-(AC12-AB12)</f>
        <v>4636</v>
      </c>
      <c r="AE12" s="644"/>
      <c r="AF12" s="277">
        <v>28131</v>
      </c>
      <c r="AG12" s="277">
        <v>31712</v>
      </c>
      <c r="AH12" s="277">
        <f t="shared" ref="AH12:AH66" si="9">-(AG12-AF12)</f>
        <v>-3581</v>
      </c>
      <c r="AI12" s="644"/>
      <c r="AJ12" s="277">
        <v>13901</v>
      </c>
      <c r="AK12" s="277">
        <v>1413</v>
      </c>
      <c r="AL12" s="277"/>
      <c r="AM12" s="277">
        <v>3269</v>
      </c>
      <c r="AN12" s="277">
        <v>1061</v>
      </c>
      <c r="AO12" s="277">
        <f>AJ12-AK12+AM12-AN12+'C10-Adj by Source'!AB7</f>
        <v>15383</v>
      </c>
      <c r="AP12" s="277">
        <f t="shared" si="2"/>
        <v>14873.322289156627</v>
      </c>
      <c r="AQ12" s="277">
        <f t="shared" ref="AQ12:AQ66" si="10">AP12*AVERAGE(P12,Q12)*AY12</f>
        <v>3217.6837946913574</v>
      </c>
      <c r="AR12" s="332"/>
      <c r="AS12" s="644"/>
      <c r="AT12" s="277">
        <v>255.7</v>
      </c>
      <c r="AU12" s="277">
        <v>76.3</v>
      </c>
      <c r="AV12" s="277"/>
      <c r="AW12" s="277">
        <v>11</v>
      </c>
      <c r="AX12" s="277">
        <v>0</v>
      </c>
      <c r="AY12" s="332">
        <f t="shared" si="3"/>
        <v>0.9668674698795181</v>
      </c>
    </row>
    <row r="13" spans="1:51" ht="10.5" customHeight="1" x14ac:dyDescent="0.3">
      <c r="A13" s="268">
        <v>1962</v>
      </c>
      <c r="B13" s="603">
        <f>'C1-Incomes'!J10</f>
        <v>535187.89294000005</v>
      </c>
      <c r="C13" s="277">
        <f>-Q13*(V13)</f>
        <v>-2508.9270666909306</v>
      </c>
      <c r="D13" s="277">
        <f t="shared" ref="D13:D61" si="11">-Q13*(U13*0.5)</f>
        <v>-1254.4635333454653</v>
      </c>
      <c r="E13" s="277">
        <f>(Z13+AD13+AH13-U13*0.5)*P13</f>
        <v>-80.106199093666859</v>
      </c>
      <c r="F13" s="277">
        <f>-(C13+D13+E13)</f>
        <v>3843.4967991300628</v>
      </c>
      <c r="G13" s="603"/>
      <c r="H13" s="598">
        <f>(E13)/B13</f>
        <v>-1.4967864585577905E-4</v>
      </c>
      <c r="I13" s="277"/>
      <c r="J13" s="827">
        <v>17.939</v>
      </c>
      <c r="K13" s="643">
        <f t="shared" si="4"/>
        <v>1.1787930062041716E-2</v>
      </c>
      <c r="L13" s="643"/>
      <c r="M13" s="643">
        <v>4.3299999999999998E-2</v>
      </c>
      <c r="N13" s="643">
        <v>5.0199999999999995E-2</v>
      </c>
      <c r="O13" s="643"/>
      <c r="P13" s="332">
        <f t="shared" si="0"/>
        <v>0.27223856956216436</v>
      </c>
      <c r="Q13" s="332">
        <f t="shared" si="1"/>
        <v>0.23481932394505411</v>
      </c>
      <c r="R13" s="644"/>
      <c r="S13" s="277">
        <v>15263</v>
      </c>
      <c r="T13" s="277">
        <v>36632</v>
      </c>
      <c r="U13" s="277">
        <f t="shared" si="5"/>
        <v>10684.5</v>
      </c>
      <c r="V13" s="277">
        <f t="shared" si="6"/>
        <v>10684.5</v>
      </c>
      <c r="W13" s="644"/>
      <c r="X13" s="277">
        <v>7546</v>
      </c>
      <c r="Y13" s="277">
        <v>3708</v>
      </c>
      <c r="Z13" s="277">
        <f t="shared" si="7"/>
        <v>3838</v>
      </c>
      <c r="AA13" s="277"/>
      <c r="AB13" s="277">
        <v>5806</v>
      </c>
      <c r="AC13" s="277">
        <v>648</v>
      </c>
      <c r="AD13" s="277">
        <f t="shared" si="8"/>
        <v>5158</v>
      </c>
      <c r="AE13" s="644"/>
      <c r="AF13" s="277">
        <v>31192</v>
      </c>
      <c r="AG13" s="277">
        <v>35140</v>
      </c>
      <c r="AH13" s="277">
        <f t="shared" si="9"/>
        <v>-3948</v>
      </c>
      <c r="AI13" s="644"/>
      <c r="AJ13" s="277">
        <v>15107</v>
      </c>
      <c r="AK13" s="277">
        <v>1598</v>
      </c>
      <c r="AL13" s="277"/>
      <c r="AM13" s="277">
        <v>3505</v>
      </c>
      <c r="AN13" s="277">
        <v>1113</v>
      </c>
      <c r="AO13" s="277">
        <f>AJ13-AK13+AM13-AN13+'C10-Adj by Source'!AB8</f>
        <v>16700</v>
      </c>
      <c r="AP13" s="277">
        <f t="shared" si="2"/>
        <v>16099.071387115497</v>
      </c>
      <c r="AQ13" s="277">
        <f t="shared" si="10"/>
        <v>3934.7100390830965</v>
      </c>
      <c r="AR13" s="332">
        <f>F13/AQ13</f>
        <v>0.97681830705515238</v>
      </c>
      <c r="AS13" s="644"/>
      <c r="AT13" s="277">
        <v>262.8</v>
      </c>
      <c r="AU13" s="277">
        <v>81.8</v>
      </c>
      <c r="AV13" s="277"/>
      <c r="AW13" s="277">
        <v>12.4</v>
      </c>
      <c r="AX13" s="277">
        <v>0</v>
      </c>
      <c r="AY13" s="332">
        <f t="shared" si="3"/>
        <v>0.96401625072547881</v>
      </c>
    </row>
    <row r="14" spans="1:51" ht="10.5" customHeight="1" x14ac:dyDescent="0.3">
      <c r="A14" s="268">
        <v>1963</v>
      </c>
      <c r="B14" s="603"/>
      <c r="C14" s="603"/>
      <c r="D14" s="603"/>
      <c r="E14" s="603"/>
      <c r="F14" s="603"/>
      <c r="G14" s="603"/>
      <c r="H14" s="598"/>
      <c r="J14" s="827">
        <v>18.149000000000001</v>
      </c>
      <c r="K14" s="643">
        <f t="shared" si="4"/>
        <v>1.1706338145939063E-2</v>
      </c>
      <c r="L14" s="643"/>
      <c r="M14" s="643">
        <v>4.2599999999999999E-2</v>
      </c>
      <c r="N14" s="643">
        <v>4.8600000000000004E-2</v>
      </c>
      <c r="O14" s="643"/>
      <c r="P14" s="332">
        <f t="shared" si="0"/>
        <v>0.27479667009246628</v>
      </c>
      <c r="Q14" s="332">
        <f t="shared" si="1"/>
        <v>0.24087115526623584</v>
      </c>
      <c r="R14" s="644"/>
      <c r="S14" s="277">
        <v>16941</v>
      </c>
      <c r="T14" s="277">
        <v>39799</v>
      </c>
      <c r="U14" s="277">
        <f t="shared" si="5"/>
        <v>11429</v>
      </c>
      <c r="V14" s="277">
        <f t="shared" si="6"/>
        <v>11429</v>
      </c>
      <c r="W14" s="644"/>
      <c r="X14" s="277">
        <v>8375</v>
      </c>
      <c r="Y14" s="277">
        <v>4171</v>
      </c>
      <c r="Z14" s="277">
        <f t="shared" si="7"/>
        <v>4204</v>
      </c>
      <c r="AA14" s="277"/>
      <c r="AB14" s="277">
        <v>6261</v>
      </c>
      <c r="AC14" s="277">
        <v>656</v>
      </c>
      <c r="AD14" s="277">
        <f t="shared" si="8"/>
        <v>5605</v>
      </c>
      <c r="AE14" s="644"/>
      <c r="AF14" s="277">
        <v>34166</v>
      </c>
      <c r="AG14" s="277">
        <v>38720</v>
      </c>
      <c r="AH14" s="277">
        <f t="shared" si="9"/>
        <v>-4554</v>
      </c>
      <c r="AI14" s="644"/>
      <c r="AJ14" s="277">
        <v>16254</v>
      </c>
      <c r="AK14" s="277">
        <v>1685</v>
      </c>
      <c r="AL14" s="277"/>
      <c r="AM14" s="277">
        <v>3819</v>
      </c>
      <c r="AN14" s="277">
        <v>1245</v>
      </c>
      <c r="AO14" s="277">
        <f>AJ14-AK14+AM14-AN14+'C10-Adj by Source'!AB9</f>
        <v>18023</v>
      </c>
      <c r="AP14" s="277">
        <f t="shared" si="2"/>
        <v>17362.630777903043</v>
      </c>
      <c r="AQ14" s="277">
        <f t="shared" si="10"/>
        <v>4312.6480398174153</v>
      </c>
      <c r="AR14" s="332"/>
      <c r="AS14" s="644"/>
      <c r="AT14" s="277">
        <v>267.8</v>
      </c>
      <c r="AU14" s="277">
        <v>87</v>
      </c>
      <c r="AV14" s="277"/>
      <c r="AW14" s="277">
        <v>13</v>
      </c>
      <c r="AX14" s="277">
        <v>0</v>
      </c>
      <c r="AY14" s="332">
        <f t="shared" si="3"/>
        <v>0.96335963923337087</v>
      </c>
    </row>
    <row r="15" spans="1:51" ht="10.5" customHeight="1" x14ac:dyDescent="0.3">
      <c r="A15" s="268">
        <v>1964</v>
      </c>
      <c r="B15" s="603">
        <f>'C1-Incomes'!J12</f>
        <v>608340.22254999995</v>
      </c>
      <c r="C15" s="277">
        <f>-Q15*(V15)</f>
        <v>-3837.6171162862088</v>
      </c>
      <c r="D15" s="277">
        <f t="shared" si="11"/>
        <v>-1918.8085581431044</v>
      </c>
      <c r="E15" s="277">
        <f>(Z15+AD15+AH15-U15*0.5)*P15</f>
        <v>34.682357891822477</v>
      </c>
      <c r="F15" s="277">
        <f>-(C15+D15+E15)</f>
        <v>5721.7433165374905</v>
      </c>
      <c r="G15" s="603"/>
      <c r="H15" s="598">
        <f>(E15)/B15</f>
        <v>5.701144952481242E-5</v>
      </c>
      <c r="I15" s="277"/>
      <c r="J15" s="827">
        <v>18.414000000000001</v>
      </c>
      <c r="K15" s="643">
        <f t="shared" si="4"/>
        <v>1.4601355446581109E-2</v>
      </c>
      <c r="L15" s="643"/>
      <c r="M15" s="643">
        <v>4.41E-2</v>
      </c>
      <c r="N15" s="643">
        <v>4.8300000000000003E-2</v>
      </c>
      <c r="O15" s="643"/>
      <c r="P15" s="332">
        <f t="shared" si="0"/>
        <v>0.33109649538732672</v>
      </c>
      <c r="Q15" s="332">
        <f t="shared" si="1"/>
        <v>0.30230549578842875</v>
      </c>
      <c r="R15" s="644"/>
      <c r="S15" s="277">
        <v>18914</v>
      </c>
      <c r="T15" s="277">
        <v>44303</v>
      </c>
      <c r="U15" s="277">
        <f t="shared" si="5"/>
        <v>12694.5</v>
      </c>
      <c r="V15" s="277">
        <f t="shared" si="6"/>
        <v>12694.5</v>
      </c>
      <c r="W15" s="644"/>
      <c r="X15" s="277">
        <v>9175</v>
      </c>
      <c r="Y15" s="277">
        <v>4545</v>
      </c>
      <c r="Z15" s="277">
        <f t="shared" si="7"/>
        <v>4630</v>
      </c>
      <c r="AA15" s="277"/>
      <c r="AB15" s="277">
        <v>7141</v>
      </c>
      <c r="AC15" s="277">
        <v>716</v>
      </c>
      <c r="AD15" s="277">
        <f t="shared" si="8"/>
        <v>6425</v>
      </c>
      <c r="AE15" s="644"/>
      <c r="AF15" s="277">
        <v>38142</v>
      </c>
      <c r="AG15" s="277">
        <v>42745</v>
      </c>
      <c r="AH15" s="277">
        <f t="shared" si="9"/>
        <v>-4603</v>
      </c>
      <c r="AI15" s="644"/>
      <c r="AJ15" s="277">
        <v>17491</v>
      </c>
      <c r="AK15" s="277">
        <v>1723</v>
      </c>
      <c r="AL15" s="277"/>
      <c r="AM15" s="277">
        <v>4148</v>
      </c>
      <c r="AN15" s="277">
        <v>1485</v>
      </c>
      <c r="AO15" s="277">
        <f>AJ15-AK15+AM15-AN15+'C10-Adj by Source'!AB10</f>
        <v>20013</v>
      </c>
      <c r="AP15" s="277">
        <f t="shared" si="2"/>
        <v>19288.72</v>
      </c>
      <c r="AQ15" s="277">
        <f t="shared" si="10"/>
        <v>5887.6780090925704</v>
      </c>
      <c r="AR15" s="332">
        <f>F15/AQ15</f>
        <v>0.97181661559976262</v>
      </c>
      <c r="AS15" s="644"/>
      <c r="AT15" s="277">
        <v>274.3</v>
      </c>
      <c r="AU15" s="277">
        <v>93.2</v>
      </c>
      <c r="AV15" s="277"/>
      <c r="AW15" s="277">
        <v>13.3</v>
      </c>
      <c r="AX15" s="277">
        <v>0</v>
      </c>
      <c r="AY15" s="332">
        <f t="shared" si="3"/>
        <v>0.96380952380952378</v>
      </c>
    </row>
    <row r="16" spans="1:51" ht="10.5" customHeight="1" x14ac:dyDescent="0.3">
      <c r="A16" s="268">
        <v>1965</v>
      </c>
      <c r="B16" s="603"/>
      <c r="C16" s="603"/>
      <c r="D16" s="603"/>
      <c r="E16" s="603"/>
      <c r="F16" s="603"/>
      <c r="G16" s="603"/>
      <c r="H16" s="598"/>
      <c r="J16" s="827">
        <v>18.681000000000001</v>
      </c>
      <c r="K16" s="643">
        <f t="shared" si="4"/>
        <v>1.4499837080482211E-2</v>
      </c>
      <c r="L16" s="643"/>
      <c r="M16" s="643">
        <v>4.4900000000000002E-2</v>
      </c>
      <c r="N16" s="643">
        <v>4.87E-2</v>
      </c>
      <c r="O16" s="643"/>
      <c r="P16" s="332">
        <f t="shared" si="0"/>
        <v>0.32293623787265502</v>
      </c>
      <c r="Q16" s="332">
        <f t="shared" si="1"/>
        <v>0.29773792773064089</v>
      </c>
      <c r="R16" s="644"/>
      <c r="S16" s="277">
        <v>20879</v>
      </c>
      <c r="T16" s="277">
        <v>48573</v>
      </c>
      <c r="U16" s="277">
        <f t="shared" si="5"/>
        <v>13847</v>
      </c>
      <c r="V16" s="277">
        <f t="shared" si="6"/>
        <v>13847</v>
      </c>
      <c r="W16" s="644"/>
      <c r="X16" s="277">
        <v>10037</v>
      </c>
      <c r="Y16" s="277">
        <v>4753</v>
      </c>
      <c r="Z16" s="277">
        <f t="shared" si="7"/>
        <v>5284</v>
      </c>
      <c r="AA16" s="277"/>
      <c r="AB16" s="277">
        <v>7830</v>
      </c>
      <c r="AC16" s="277">
        <v>714</v>
      </c>
      <c r="AD16" s="277">
        <f t="shared" si="8"/>
        <v>7116</v>
      </c>
      <c r="AE16" s="644"/>
      <c r="AF16" s="277">
        <v>41915</v>
      </c>
      <c r="AG16" s="277">
        <v>46698</v>
      </c>
      <c r="AH16" s="277">
        <f t="shared" si="9"/>
        <v>-4783</v>
      </c>
      <c r="AI16" s="644"/>
      <c r="AJ16" s="277">
        <v>18592</v>
      </c>
      <c r="AK16" s="277">
        <v>1800</v>
      </c>
      <c r="AL16" s="277"/>
      <c r="AM16" s="277">
        <v>4467</v>
      </c>
      <c r="AN16" s="277">
        <v>1752</v>
      </c>
      <c r="AO16" s="277">
        <f>AJ16-AK16+AM16-AN16+'C10-Adj by Source'!AB11</f>
        <v>20804</v>
      </c>
      <c r="AP16" s="277">
        <f t="shared" si="2"/>
        <v>20081.294086449216</v>
      </c>
      <c r="AQ16" s="277">
        <f t="shared" si="10"/>
        <v>6015.4790828536479</v>
      </c>
      <c r="AR16" s="332"/>
      <c r="AS16" s="644"/>
      <c r="AT16" s="277">
        <v>276.7</v>
      </c>
      <c r="AU16" s="277">
        <v>100.4</v>
      </c>
      <c r="AV16" s="277"/>
      <c r="AW16" s="277">
        <v>13.1</v>
      </c>
      <c r="AX16" s="277">
        <v>0</v>
      </c>
      <c r="AY16" s="332">
        <f t="shared" si="3"/>
        <v>0.96526120392468839</v>
      </c>
    </row>
    <row r="17" spans="1:51" ht="10.5" customHeight="1" x14ac:dyDescent="0.3">
      <c r="A17" s="268">
        <v>1966</v>
      </c>
      <c r="B17" s="603">
        <f>'C1-Incomes'!J14</f>
        <v>719693.75590999995</v>
      </c>
      <c r="C17" s="277">
        <f>-Q17*(V17)</f>
        <v>-6945.6814481170804</v>
      </c>
      <c r="D17" s="277">
        <f t="shared" si="11"/>
        <v>-3472.8407240585402</v>
      </c>
      <c r="E17" s="277">
        <f>(Z17+AD17+AH17-U17*0.5)*P17</f>
        <v>837.12349946829715</v>
      </c>
      <c r="F17" s="277">
        <f>-(C17+D17+E17)</f>
        <v>9581.3986727073243</v>
      </c>
      <c r="G17" s="603"/>
      <c r="H17" s="598">
        <f t="shared" ref="H17:H64" si="12">(E17)/B17</f>
        <v>1.1631662670323101E-3</v>
      </c>
      <c r="I17" s="277"/>
      <c r="J17" s="827">
        <v>19.155000000000001</v>
      </c>
      <c r="K17" s="643">
        <f t="shared" si="4"/>
        <v>2.537337401638029E-2</v>
      </c>
      <c r="L17" s="643"/>
      <c r="M17" s="643">
        <v>5.1299999999999998E-2</v>
      </c>
      <c r="N17" s="643">
        <v>5.67E-2</v>
      </c>
      <c r="O17" s="643"/>
      <c r="P17" s="332">
        <f t="shared" si="0"/>
        <v>0.49460768063119476</v>
      </c>
      <c r="Q17" s="332">
        <f t="shared" si="1"/>
        <v>0.4475021872377476</v>
      </c>
      <c r="R17" s="644"/>
      <c r="S17" s="277">
        <v>22491</v>
      </c>
      <c r="T17" s="277">
        <v>53533</v>
      </c>
      <c r="U17" s="277">
        <f t="shared" si="5"/>
        <v>15521</v>
      </c>
      <c r="V17" s="277">
        <f t="shared" si="6"/>
        <v>15521</v>
      </c>
      <c r="W17" s="644"/>
      <c r="X17" s="277">
        <v>11839</v>
      </c>
      <c r="Y17" s="277">
        <v>5441</v>
      </c>
      <c r="Z17" s="277">
        <f t="shared" si="7"/>
        <v>6398</v>
      </c>
      <c r="AA17" s="277"/>
      <c r="AB17" s="277">
        <v>8593</v>
      </c>
      <c r="AC17" s="277">
        <v>756</v>
      </c>
      <c r="AD17" s="277">
        <f t="shared" si="8"/>
        <v>7837</v>
      </c>
      <c r="AE17" s="644"/>
      <c r="AF17" s="277">
        <v>47247</v>
      </c>
      <c r="AG17" s="277">
        <v>52029</v>
      </c>
      <c r="AH17" s="277">
        <f t="shared" si="9"/>
        <v>-4782</v>
      </c>
      <c r="AI17" s="644"/>
      <c r="AJ17" s="277">
        <v>20264</v>
      </c>
      <c r="AK17" s="277">
        <v>1991</v>
      </c>
      <c r="AL17" s="277"/>
      <c r="AM17" s="277">
        <v>4891</v>
      </c>
      <c r="AN17" s="277">
        <v>2093</v>
      </c>
      <c r="AO17" s="277">
        <f>AJ17-AK17+AM17-AN17+'C10-Adj by Source'!AB12</f>
        <v>22720</v>
      </c>
      <c r="AP17" s="277">
        <f t="shared" si="2"/>
        <v>22062.300336004137</v>
      </c>
      <c r="AQ17" s="277">
        <f t="shared" si="10"/>
        <v>10091.711227723279</v>
      </c>
      <c r="AR17" s="332">
        <f t="shared" ref="AR17:AR48" si="13">F17/AQ17</f>
        <v>0.9494325052014907</v>
      </c>
      <c r="AS17" s="644"/>
      <c r="AT17" s="277">
        <v>280.3</v>
      </c>
      <c r="AU17" s="277">
        <v>106.6</v>
      </c>
      <c r="AV17" s="277"/>
      <c r="AW17" s="277">
        <v>11.2</v>
      </c>
      <c r="AX17" s="277">
        <v>0</v>
      </c>
      <c r="AY17" s="332">
        <f t="shared" si="3"/>
        <v>0.97105195140863276</v>
      </c>
    </row>
    <row r="18" spans="1:51" ht="10.5" customHeight="1" x14ac:dyDescent="0.3">
      <c r="A18" s="268">
        <v>1967</v>
      </c>
      <c r="B18" s="603">
        <f>'C1-Incomes'!J15</f>
        <v>760197.31680999999</v>
      </c>
      <c r="C18" s="277">
        <f t="shared" ref="C18:C65" si="14">-Q18*(V18)</f>
        <v>-6994.5862782831355</v>
      </c>
      <c r="D18" s="277">
        <f t="shared" si="11"/>
        <v>-3497.2931391415677</v>
      </c>
      <c r="E18" s="277">
        <f t="shared" ref="E18:E66" si="15">(Z18+AD18+AH18-U18*0.5)*P18</f>
        <v>1334.537096122423</v>
      </c>
      <c r="F18" s="277">
        <f t="shared" ref="F18:F64" si="16">-(C18+D18+E18)</f>
        <v>9157.3423213022797</v>
      </c>
      <c r="G18" s="603"/>
      <c r="H18" s="598">
        <f>(E18)/B18</f>
        <v>1.7555140837940773E-3</v>
      </c>
      <c r="I18" s="277"/>
      <c r="J18" s="827">
        <v>19.637</v>
      </c>
      <c r="K18" s="643">
        <f t="shared" si="4"/>
        <v>2.5163142782563264E-2</v>
      </c>
      <c r="L18" s="643"/>
      <c r="M18" s="643">
        <v>5.5099999999999996E-2</v>
      </c>
      <c r="N18" s="643">
        <v>6.2300000000000001E-2</v>
      </c>
      <c r="O18" s="643"/>
      <c r="P18" s="332">
        <f t="shared" si="0"/>
        <v>0.45668135721530428</v>
      </c>
      <c r="Q18" s="332">
        <f t="shared" si="1"/>
        <v>0.40390277339587904</v>
      </c>
      <c r="R18" s="644"/>
      <c r="S18" s="277">
        <v>23738</v>
      </c>
      <c r="T18" s="277">
        <v>58373</v>
      </c>
      <c r="U18" s="277">
        <f t="shared" si="5"/>
        <v>17317.5</v>
      </c>
      <c r="V18" s="277">
        <f t="shared" si="6"/>
        <v>17317.5</v>
      </c>
      <c r="W18" s="644"/>
      <c r="X18" s="277">
        <v>13770</v>
      </c>
      <c r="Y18" s="277">
        <v>6129</v>
      </c>
      <c r="Z18" s="277">
        <f t="shared" si="7"/>
        <v>7641</v>
      </c>
      <c r="AA18" s="277"/>
      <c r="AB18" s="277">
        <v>9321</v>
      </c>
      <c r="AC18" s="277">
        <v>849</v>
      </c>
      <c r="AD18" s="277">
        <f t="shared" si="8"/>
        <v>8472</v>
      </c>
      <c r="AE18" s="644"/>
      <c r="AF18" s="277">
        <v>52590</v>
      </c>
      <c r="AG18" s="277">
        <v>57122</v>
      </c>
      <c r="AH18" s="277">
        <f t="shared" si="9"/>
        <v>-4532</v>
      </c>
      <c r="AI18" s="644"/>
      <c r="AJ18" s="277">
        <v>21931</v>
      </c>
      <c r="AK18" s="277">
        <v>2334</v>
      </c>
      <c r="AL18" s="277"/>
      <c r="AM18" s="277">
        <v>5235</v>
      </c>
      <c r="AN18" s="277">
        <v>2371</v>
      </c>
      <c r="AO18" s="277">
        <f>AJ18-AK18+AM18-AN18+'C10-Adj by Source'!AB13</f>
        <v>24368</v>
      </c>
      <c r="AP18" s="277">
        <f t="shared" si="2"/>
        <v>23572.408607469701</v>
      </c>
      <c r="AQ18" s="277">
        <f t="shared" si="10"/>
        <v>9811.8606781032704</v>
      </c>
      <c r="AR18" s="332">
        <f t="shared" si="13"/>
        <v>0.93329314609392566</v>
      </c>
      <c r="AS18" s="644"/>
      <c r="AT18" s="277">
        <v>290.5</v>
      </c>
      <c r="AU18" s="277">
        <v>113.8</v>
      </c>
      <c r="AV18" s="277"/>
      <c r="AW18" s="277">
        <v>13.2</v>
      </c>
      <c r="AX18" s="277">
        <v>0</v>
      </c>
      <c r="AY18" s="332">
        <f t="shared" si="3"/>
        <v>0.96735097699727923</v>
      </c>
    </row>
    <row r="19" spans="1:51" ht="10.5" customHeight="1" x14ac:dyDescent="0.3">
      <c r="A19" s="268">
        <v>1968</v>
      </c>
      <c r="B19" s="603">
        <f>'C1-Incomes'!J16</f>
        <v>832068.07926000003</v>
      </c>
      <c r="C19" s="277">
        <f t="shared" si="14"/>
        <v>-10662.112441681073</v>
      </c>
      <c r="D19" s="277">
        <f t="shared" si="11"/>
        <v>-5331.0562208405363</v>
      </c>
      <c r="E19" s="277">
        <f t="shared" si="15"/>
        <v>1871.5783707297169</v>
      </c>
      <c r="F19" s="277">
        <f t="shared" si="16"/>
        <v>14121.590291791894</v>
      </c>
      <c r="G19" s="603"/>
      <c r="H19" s="598">
        <f t="shared" si="12"/>
        <v>2.249309182001316E-3</v>
      </c>
      <c r="I19" s="277"/>
      <c r="J19" s="827">
        <v>20.402000000000001</v>
      </c>
      <c r="K19" s="643">
        <f t="shared" si="4"/>
        <v>3.8957070835667393E-2</v>
      </c>
      <c r="L19" s="643"/>
      <c r="M19" s="643">
        <v>6.1799999999999994E-2</v>
      </c>
      <c r="N19" s="643">
        <v>6.9400000000000003E-2</v>
      </c>
      <c r="O19" s="643"/>
      <c r="P19" s="332">
        <f t="shared" si="0"/>
        <v>0.63037331449299994</v>
      </c>
      <c r="Q19" s="332">
        <f t="shared" si="1"/>
        <v>0.56134107832373759</v>
      </c>
      <c r="R19" s="644"/>
      <c r="S19" s="277">
        <v>25828</v>
      </c>
      <c r="T19" s="277">
        <v>63816</v>
      </c>
      <c r="U19" s="277">
        <f t="shared" si="5"/>
        <v>18994</v>
      </c>
      <c r="V19" s="277">
        <f t="shared" si="6"/>
        <v>18994</v>
      </c>
      <c r="W19" s="644"/>
      <c r="X19" s="277">
        <v>16510</v>
      </c>
      <c r="Y19" s="277">
        <v>7451</v>
      </c>
      <c r="Z19" s="277">
        <f t="shared" si="7"/>
        <v>9059</v>
      </c>
      <c r="AA19" s="277"/>
      <c r="AB19" s="277">
        <v>10189</v>
      </c>
      <c r="AC19" s="277">
        <v>876</v>
      </c>
      <c r="AD19" s="277">
        <f t="shared" si="8"/>
        <v>9313</v>
      </c>
      <c r="AE19" s="644"/>
      <c r="AF19" s="277">
        <v>58888</v>
      </c>
      <c r="AG19" s="277">
        <v>64794</v>
      </c>
      <c r="AH19" s="277">
        <f t="shared" si="9"/>
        <v>-5906</v>
      </c>
      <c r="AI19" s="644"/>
      <c r="AJ19" s="277">
        <v>24552</v>
      </c>
      <c r="AK19" s="277">
        <v>2735</v>
      </c>
      <c r="AL19" s="277"/>
      <c r="AM19" s="277">
        <v>6027</v>
      </c>
      <c r="AN19" s="277">
        <v>2765</v>
      </c>
      <c r="AO19" s="277">
        <f>AJ19-AK19+AM19-AN19+'C10-Adj by Source'!AB14</f>
        <v>27543</v>
      </c>
      <c r="AP19" s="277">
        <f t="shared" si="2"/>
        <v>26723.151665485471</v>
      </c>
      <c r="AQ19" s="277">
        <f t="shared" si="10"/>
        <v>15449.210824720183</v>
      </c>
      <c r="AR19" s="332">
        <f t="shared" si="13"/>
        <v>0.91406547894317214</v>
      </c>
      <c r="AS19" s="644"/>
      <c r="AT19" s="277">
        <v>301.2</v>
      </c>
      <c r="AU19" s="277">
        <v>122.1</v>
      </c>
      <c r="AV19" s="277"/>
      <c r="AW19" s="277">
        <v>12.6</v>
      </c>
      <c r="AX19" s="277">
        <v>0</v>
      </c>
      <c r="AY19" s="332">
        <f t="shared" si="3"/>
        <v>0.97023387668320338</v>
      </c>
    </row>
    <row r="20" spans="1:51" ht="10.5" customHeight="1" x14ac:dyDescent="0.3">
      <c r="A20" s="268">
        <v>1969</v>
      </c>
      <c r="B20" s="603">
        <f>'C1-Incomes'!J17</f>
        <v>899520.59916999994</v>
      </c>
      <c r="C20" s="277">
        <f t="shared" si="14"/>
        <v>-13171.151343275462</v>
      </c>
      <c r="D20" s="277">
        <f t="shared" si="11"/>
        <v>-6585.5756716377309</v>
      </c>
      <c r="E20" s="277">
        <f t="shared" si="15"/>
        <v>4238.9742491706211</v>
      </c>
      <c r="F20" s="277">
        <f t="shared" si="16"/>
        <v>15517.752765742574</v>
      </c>
      <c r="G20" s="603"/>
      <c r="H20" s="598">
        <f t="shared" si="12"/>
        <v>4.7124815741651513E-3</v>
      </c>
      <c r="I20" s="277"/>
      <c r="J20" s="827">
        <v>21.327000000000002</v>
      </c>
      <c r="K20" s="643">
        <f t="shared" si="4"/>
        <v>4.5338692285070127E-2</v>
      </c>
      <c r="L20" s="643"/>
      <c r="M20" s="643">
        <v>7.0300000000000001E-2</v>
      </c>
      <c r="N20" s="643">
        <v>7.8100000000000003E-2</v>
      </c>
      <c r="O20" s="643"/>
      <c r="P20" s="332">
        <f t="shared" si="0"/>
        <v>0.64493161145192213</v>
      </c>
      <c r="Q20" s="332">
        <f t="shared" si="1"/>
        <v>0.58052102797785055</v>
      </c>
      <c r="R20" s="644"/>
      <c r="S20" s="277">
        <v>29130</v>
      </c>
      <c r="T20" s="277">
        <v>74507</v>
      </c>
      <c r="U20" s="277">
        <f t="shared" si="5"/>
        <v>22688.5</v>
      </c>
      <c r="V20" s="277">
        <f t="shared" si="6"/>
        <v>22688.5</v>
      </c>
      <c r="W20" s="644"/>
      <c r="X20" s="277">
        <v>22434</v>
      </c>
      <c r="Y20" s="277">
        <v>10026</v>
      </c>
      <c r="Z20" s="277">
        <f t="shared" si="7"/>
        <v>12408</v>
      </c>
      <c r="AA20" s="277"/>
      <c r="AB20" s="277">
        <v>11732</v>
      </c>
      <c r="AC20" s="277">
        <v>1124</v>
      </c>
      <c r="AD20" s="277">
        <f t="shared" si="8"/>
        <v>10608</v>
      </c>
      <c r="AE20" s="644"/>
      <c r="AF20" s="277">
        <v>71900</v>
      </c>
      <c r="AG20" s="277">
        <v>76999</v>
      </c>
      <c r="AH20" s="277">
        <f t="shared" si="9"/>
        <v>-5099</v>
      </c>
      <c r="AI20" s="644"/>
      <c r="AJ20" s="277">
        <v>27464</v>
      </c>
      <c r="AK20" s="277">
        <v>2490</v>
      </c>
      <c r="AL20" s="277"/>
      <c r="AM20" s="277">
        <v>6562</v>
      </c>
      <c r="AN20" s="277">
        <v>3570</v>
      </c>
      <c r="AO20" s="277">
        <f>AJ20-AK20+AM20-AN20+'C10-Adj by Source'!AB15</f>
        <v>30985</v>
      </c>
      <c r="AP20" s="277">
        <f t="shared" si="2"/>
        <v>30259.289322617682</v>
      </c>
      <c r="AQ20" s="277">
        <f t="shared" si="10"/>
        <v>18106.415538519479</v>
      </c>
      <c r="AR20" s="332">
        <f t="shared" si="13"/>
        <v>0.85703063274617775</v>
      </c>
      <c r="AS20" s="644"/>
      <c r="AT20" s="277">
        <v>302</v>
      </c>
      <c r="AU20" s="277">
        <v>133.5</v>
      </c>
      <c r="AV20" s="277"/>
      <c r="AW20" s="277">
        <v>10.199999999999999</v>
      </c>
      <c r="AX20" s="277">
        <v>0</v>
      </c>
      <c r="AY20" s="332">
        <f t="shared" si="3"/>
        <v>0.97657864523536164</v>
      </c>
    </row>
    <row r="21" spans="1:51" ht="10.5" customHeight="1" x14ac:dyDescent="0.3">
      <c r="A21" s="268">
        <v>1970</v>
      </c>
      <c r="B21" s="603">
        <f>'C1-Incomes'!J18</f>
        <v>940148.70322000002</v>
      </c>
      <c r="C21" s="277">
        <f t="shared" si="14"/>
        <v>-14512.401295863541</v>
      </c>
      <c r="D21" s="277">
        <f t="shared" si="11"/>
        <v>-7256.2006479317706</v>
      </c>
      <c r="E21" s="277">
        <f t="shared" si="15"/>
        <v>5371.4013628579442</v>
      </c>
      <c r="F21" s="277">
        <f t="shared" si="16"/>
        <v>16397.200580937366</v>
      </c>
      <c r="G21" s="603"/>
      <c r="H21" s="598">
        <f t="shared" si="12"/>
        <v>5.713352945614824E-3</v>
      </c>
      <c r="I21" s="277"/>
      <c r="J21" s="827">
        <v>22.324999999999999</v>
      </c>
      <c r="K21" s="643">
        <f t="shared" si="4"/>
        <v>4.6795142307872531E-2</v>
      </c>
      <c r="L21" s="643"/>
      <c r="M21" s="643">
        <v>8.0399999999999985E-2</v>
      </c>
      <c r="N21" s="643">
        <v>9.11E-2</v>
      </c>
      <c r="O21" s="643"/>
      <c r="P21" s="332">
        <f t="shared" si="0"/>
        <v>0.58202913318249427</v>
      </c>
      <c r="Q21" s="332">
        <f t="shared" si="1"/>
        <v>0.51366786287456123</v>
      </c>
      <c r="R21" s="644"/>
      <c r="S21" s="277">
        <v>31906</v>
      </c>
      <c r="T21" s="277">
        <v>88411</v>
      </c>
      <c r="U21" s="277">
        <f t="shared" si="5"/>
        <v>28252.5</v>
      </c>
      <c r="V21" s="277">
        <f t="shared" si="6"/>
        <v>28252.5</v>
      </c>
      <c r="W21" s="644"/>
      <c r="X21" s="277">
        <v>28653</v>
      </c>
      <c r="Y21" s="277">
        <v>12078</v>
      </c>
      <c r="Z21" s="277">
        <f t="shared" si="7"/>
        <v>16575</v>
      </c>
      <c r="AA21" s="277"/>
      <c r="AB21" s="277">
        <v>13604</v>
      </c>
      <c r="AC21" s="277">
        <v>1395</v>
      </c>
      <c r="AD21" s="277">
        <f t="shared" si="8"/>
        <v>12209</v>
      </c>
      <c r="AE21" s="644"/>
      <c r="AF21" s="277">
        <v>87573</v>
      </c>
      <c r="AG21" s="277">
        <v>93002</v>
      </c>
      <c r="AH21" s="277">
        <f t="shared" si="9"/>
        <v>-5429</v>
      </c>
      <c r="AI21" s="644"/>
      <c r="AJ21" s="277">
        <v>33330</v>
      </c>
      <c r="AK21" s="277">
        <v>2809</v>
      </c>
      <c r="AL21" s="277"/>
      <c r="AM21" s="277">
        <v>7693</v>
      </c>
      <c r="AN21" s="277">
        <v>4332</v>
      </c>
      <c r="AO21" s="277">
        <f>AJ21-AK21+AM21-AN21+'C10-Adj by Source'!AB16</f>
        <v>37376</v>
      </c>
      <c r="AP21" s="277">
        <f t="shared" si="2"/>
        <v>35785.703671706266</v>
      </c>
      <c r="AQ21" s="277">
        <f t="shared" si="10"/>
        <v>18770.972653342065</v>
      </c>
      <c r="AR21" s="332">
        <f t="shared" si="13"/>
        <v>0.8735402732589852</v>
      </c>
      <c r="AS21" s="644"/>
      <c r="AT21" s="277">
        <v>317.5</v>
      </c>
      <c r="AU21" s="277">
        <v>145.5</v>
      </c>
      <c r="AV21" s="277"/>
      <c r="AW21" s="277">
        <v>19.7</v>
      </c>
      <c r="AX21" s="277">
        <v>0</v>
      </c>
      <c r="AY21" s="332">
        <f t="shared" si="3"/>
        <v>0.95745140388768901</v>
      </c>
    </row>
    <row r="22" spans="1:51" ht="10.5" customHeight="1" x14ac:dyDescent="0.3">
      <c r="A22" s="268">
        <v>1971</v>
      </c>
      <c r="B22" s="603">
        <f>'C1-Incomes'!J19</f>
        <v>1017016.3473</v>
      </c>
      <c r="C22" s="277">
        <f t="shared" si="14"/>
        <v>-15347.965222760644</v>
      </c>
      <c r="D22" s="277">
        <f t="shared" si="11"/>
        <v>-7673.9826113803219</v>
      </c>
      <c r="E22" s="277">
        <f t="shared" si="15"/>
        <v>5572.5404476555841</v>
      </c>
      <c r="F22" s="277">
        <f t="shared" si="16"/>
        <v>17449.407386485382</v>
      </c>
      <c r="G22" s="603"/>
      <c r="H22" s="706">
        <f t="shared" si="12"/>
        <v>5.4793027294494341E-3</v>
      </c>
      <c r="I22" s="277"/>
      <c r="J22" s="827">
        <v>23.274000000000001</v>
      </c>
      <c r="K22" s="643">
        <f t="shared" si="4"/>
        <v>4.2508398656215078E-2</v>
      </c>
      <c r="L22" s="643"/>
      <c r="M22" s="643">
        <v>7.3899999999999993E-2</v>
      </c>
      <c r="N22" s="643">
        <v>8.5600000000000009E-2</v>
      </c>
      <c r="O22" s="643"/>
      <c r="P22" s="332">
        <f t="shared" si="0"/>
        <v>0.57521513743186847</v>
      </c>
      <c r="Q22" s="332">
        <f t="shared" si="1"/>
        <v>0.49659344224550317</v>
      </c>
      <c r="R22" s="644"/>
      <c r="S22" s="277">
        <v>35586</v>
      </c>
      <c r="T22" s="277">
        <v>97399</v>
      </c>
      <c r="U22" s="277">
        <f t="shared" si="5"/>
        <v>30906.5</v>
      </c>
      <c r="V22" s="277">
        <f t="shared" si="6"/>
        <v>30906.5</v>
      </c>
      <c r="W22" s="644"/>
      <c r="X22" s="277">
        <v>30267</v>
      </c>
      <c r="Y22" s="277">
        <v>12829</v>
      </c>
      <c r="Z22" s="277">
        <f t="shared" si="7"/>
        <v>17438</v>
      </c>
      <c r="AA22" s="277"/>
      <c r="AB22" s="277">
        <v>15678</v>
      </c>
      <c r="AC22" s="277">
        <v>1596</v>
      </c>
      <c r="AD22" s="277">
        <f t="shared" si="8"/>
        <v>14082</v>
      </c>
      <c r="AE22" s="644"/>
      <c r="AF22" s="277">
        <v>96226</v>
      </c>
      <c r="AG22" s="277">
        <v>102605</v>
      </c>
      <c r="AH22" s="277">
        <f t="shared" si="9"/>
        <v>-6379</v>
      </c>
      <c r="AI22" s="644"/>
      <c r="AJ22" s="277">
        <v>35235</v>
      </c>
      <c r="AK22" s="277">
        <v>3108</v>
      </c>
      <c r="AL22" s="277"/>
      <c r="AM22" s="277">
        <v>9409</v>
      </c>
      <c r="AN22" s="277">
        <v>4590</v>
      </c>
      <c r="AO22" s="277">
        <f>AJ22-AK22+AM22-AN22+'C10-Adj by Source'!AB17</f>
        <v>40303</v>
      </c>
      <c r="AP22" s="277">
        <f t="shared" si="2"/>
        <v>36628.991533766486</v>
      </c>
      <c r="AQ22" s="277">
        <f t="shared" si="10"/>
        <v>17840.202626110306</v>
      </c>
      <c r="AR22" s="332">
        <f t="shared" si="13"/>
        <v>0.97809468604056271</v>
      </c>
      <c r="AS22" s="644"/>
      <c r="AT22" s="277">
        <v>346.3</v>
      </c>
      <c r="AU22" s="277">
        <v>161.6</v>
      </c>
      <c r="AV22" s="277"/>
      <c r="AW22" s="277">
        <v>46.3</v>
      </c>
      <c r="AX22" s="277">
        <v>0</v>
      </c>
      <c r="AY22" s="332">
        <f t="shared" si="3"/>
        <v>0.90884032289820826</v>
      </c>
    </row>
    <row r="23" spans="1:51" ht="10.5" customHeight="1" x14ac:dyDescent="0.3">
      <c r="A23" s="268">
        <v>1972</v>
      </c>
      <c r="B23" s="603">
        <f>'C1-Incomes'!J20</f>
        <v>1122975.8569</v>
      </c>
      <c r="C23" s="277">
        <f t="shared" si="14"/>
        <v>-13936.382557663426</v>
      </c>
      <c r="D23" s="277">
        <f t="shared" si="11"/>
        <v>-6968.1912788317131</v>
      </c>
      <c r="E23" s="277">
        <f t="shared" si="15"/>
        <v>4891.4672304621135</v>
      </c>
      <c r="F23" s="277">
        <f t="shared" si="16"/>
        <v>16013.106606033027</v>
      </c>
      <c r="G23" s="603"/>
      <c r="H23" s="706">
        <f t="shared" si="12"/>
        <v>4.3558080081660157E-3</v>
      </c>
      <c r="I23" s="277"/>
      <c r="J23" s="827">
        <v>24.07</v>
      </c>
      <c r="K23" s="643">
        <f t="shared" si="4"/>
        <v>3.4201254618888004E-2</v>
      </c>
      <c r="L23" s="643"/>
      <c r="M23" s="643">
        <v>7.2099999999999997E-2</v>
      </c>
      <c r="N23" s="643">
        <v>8.1600000000000006E-2</v>
      </c>
      <c r="O23" s="643"/>
      <c r="P23" s="332">
        <f t="shared" si="0"/>
        <v>0.47435859388194179</v>
      </c>
      <c r="Q23" s="332">
        <f t="shared" si="1"/>
        <v>0.41913302229029414</v>
      </c>
      <c r="R23" s="644"/>
      <c r="S23" s="277">
        <v>40056</v>
      </c>
      <c r="T23" s="277">
        <v>106557</v>
      </c>
      <c r="U23" s="277">
        <f t="shared" si="5"/>
        <v>33250.5</v>
      </c>
      <c r="V23" s="277">
        <f t="shared" si="6"/>
        <v>33250.5</v>
      </c>
      <c r="W23" s="644"/>
      <c r="X23" s="277">
        <v>32665</v>
      </c>
      <c r="Y23" s="277">
        <v>14187</v>
      </c>
      <c r="Z23" s="277">
        <f t="shared" si="7"/>
        <v>18478</v>
      </c>
      <c r="AA23" s="277"/>
      <c r="AB23" s="277">
        <v>18083</v>
      </c>
      <c r="AC23" s="277">
        <v>1736</v>
      </c>
      <c r="AD23" s="277">
        <f t="shared" si="8"/>
        <v>16347</v>
      </c>
      <c r="AE23" s="644"/>
      <c r="AF23" s="277">
        <v>107302</v>
      </c>
      <c r="AG23" s="277">
        <v>115190</v>
      </c>
      <c r="AH23" s="277">
        <f t="shared" si="9"/>
        <v>-7888</v>
      </c>
      <c r="AI23" s="644"/>
      <c r="AJ23" s="277">
        <v>37630</v>
      </c>
      <c r="AK23" s="277">
        <v>3250</v>
      </c>
      <c r="AL23" s="277"/>
      <c r="AM23" s="277">
        <v>11091</v>
      </c>
      <c r="AN23" s="277">
        <v>4941</v>
      </c>
      <c r="AO23" s="277">
        <f>AJ23-AK23+AM23-AN23+'C10-Adj by Source'!AB18</f>
        <v>43761</v>
      </c>
      <c r="AP23" s="277">
        <f t="shared" si="2"/>
        <v>39333.722294412473</v>
      </c>
      <c r="AQ23" s="277">
        <f t="shared" si="10"/>
        <v>15794.407651778693</v>
      </c>
      <c r="AR23" s="332">
        <f t="shared" si="13"/>
        <v>1.013846606917842</v>
      </c>
      <c r="AS23" s="644"/>
      <c r="AT23" s="277">
        <v>363.5</v>
      </c>
      <c r="AU23" s="277">
        <v>175.2</v>
      </c>
      <c r="AV23" s="277"/>
      <c r="AW23" s="277">
        <v>54.5</v>
      </c>
      <c r="AX23" s="277">
        <v>0</v>
      </c>
      <c r="AY23" s="332">
        <f t="shared" si="3"/>
        <v>0.89883051791349544</v>
      </c>
    </row>
    <row r="24" spans="1:51" ht="10.5" customHeight="1" x14ac:dyDescent="0.3">
      <c r="A24" s="268">
        <v>1973</v>
      </c>
      <c r="B24" s="603">
        <f>'C1-Incomes'!J21</f>
        <v>1256980.1410999999</v>
      </c>
      <c r="C24" s="277">
        <f t="shared" si="14"/>
        <v>-24865.209582891293</v>
      </c>
      <c r="D24" s="277">
        <f t="shared" si="11"/>
        <v>-12432.604791445647</v>
      </c>
      <c r="E24" s="277">
        <f t="shared" si="15"/>
        <v>9979.0371162067477</v>
      </c>
      <c r="F24" s="277">
        <f t="shared" si="16"/>
        <v>27318.777258130198</v>
      </c>
      <c r="G24" s="603"/>
      <c r="H24" s="706">
        <f t="shared" si="12"/>
        <v>7.9388979904439546E-3</v>
      </c>
      <c r="I24" s="277"/>
      <c r="J24" s="827">
        <v>25.367999999999999</v>
      </c>
      <c r="K24" s="643">
        <f t="shared" si="4"/>
        <v>5.392604902368086E-2</v>
      </c>
      <c r="L24" s="643"/>
      <c r="M24" s="643">
        <v>7.4400000000000008E-2</v>
      </c>
      <c r="N24" s="643">
        <v>8.2400000000000001E-2</v>
      </c>
      <c r="O24" s="643"/>
      <c r="P24" s="332">
        <f t="shared" si="0"/>
        <v>0.72481248687743083</v>
      </c>
      <c r="Q24" s="332">
        <f t="shared" si="1"/>
        <v>0.65444234252039879</v>
      </c>
      <c r="R24" s="644"/>
      <c r="S24" s="277">
        <v>44871</v>
      </c>
      <c r="T24" s="277">
        <v>120860</v>
      </c>
      <c r="U24" s="277">
        <f t="shared" si="5"/>
        <v>37994.5</v>
      </c>
      <c r="V24" s="277">
        <f t="shared" si="6"/>
        <v>37994.5</v>
      </c>
      <c r="W24" s="644"/>
      <c r="X24" s="277">
        <v>40394</v>
      </c>
      <c r="Y24" s="277">
        <v>18441</v>
      </c>
      <c r="Z24" s="277">
        <f t="shared" si="7"/>
        <v>21953</v>
      </c>
      <c r="AA24" s="277"/>
      <c r="AB24" s="277">
        <v>21401</v>
      </c>
      <c r="AC24" s="277">
        <v>1463</v>
      </c>
      <c r="AD24" s="277">
        <f t="shared" si="8"/>
        <v>19938</v>
      </c>
      <c r="AE24" s="644"/>
      <c r="AF24" s="277">
        <v>130017</v>
      </c>
      <c r="AG24" s="277">
        <v>139143</v>
      </c>
      <c r="AH24" s="277">
        <f t="shared" si="9"/>
        <v>-9126</v>
      </c>
      <c r="AI24" s="644"/>
      <c r="AJ24" s="277">
        <v>43291</v>
      </c>
      <c r="AK24" s="277">
        <v>3365</v>
      </c>
      <c r="AL24" s="277"/>
      <c r="AM24" s="277">
        <v>12166</v>
      </c>
      <c r="AN24" s="277">
        <v>6599</v>
      </c>
      <c r="AO24" s="277">
        <f>AJ24-AK24+AM24-AN24+'C10-Adj by Source'!AB19</f>
        <v>49834</v>
      </c>
      <c r="AP24" s="277">
        <f t="shared" si="2"/>
        <v>45019.934531222199</v>
      </c>
      <c r="AQ24" s="277">
        <f t="shared" si="10"/>
        <v>28047.779723561456</v>
      </c>
      <c r="AR24" s="332">
        <f t="shared" si="13"/>
        <v>0.9740085499595228</v>
      </c>
      <c r="AS24" s="644"/>
      <c r="AT24" s="277">
        <v>372.2</v>
      </c>
      <c r="AU24" s="277">
        <v>189.9</v>
      </c>
      <c r="AV24" s="277"/>
      <c r="AW24" s="277">
        <v>54.3</v>
      </c>
      <c r="AX24" s="277">
        <v>0</v>
      </c>
      <c r="AY24" s="332">
        <f t="shared" si="3"/>
        <v>0.90339797189112259</v>
      </c>
    </row>
    <row r="25" spans="1:51" ht="10.5" customHeight="1" x14ac:dyDescent="0.3">
      <c r="A25" s="268">
        <v>1974</v>
      </c>
      <c r="B25" s="603">
        <f>'C1-Incomes'!J22</f>
        <v>1350769.412</v>
      </c>
      <c r="C25" s="277">
        <f t="shared" si="14"/>
        <v>-46208</v>
      </c>
      <c r="D25" s="277">
        <f t="shared" si="11"/>
        <v>-23104</v>
      </c>
      <c r="E25" s="277">
        <f t="shared" si="15"/>
        <v>21583</v>
      </c>
      <c r="F25" s="277">
        <f t="shared" si="16"/>
        <v>47729</v>
      </c>
      <c r="G25" s="603"/>
      <c r="H25" s="706">
        <f t="shared" si="12"/>
        <v>1.5978300817489934E-2</v>
      </c>
      <c r="I25" s="277"/>
      <c r="J25" s="827">
        <v>28.009</v>
      </c>
      <c r="K25" s="643">
        <f t="shared" si="4"/>
        <v>0.104107537054557</v>
      </c>
      <c r="L25" s="643"/>
      <c r="M25" s="643">
        <v>8.5699999999999998E-2</v>
      </c>
      <c r="N25" s="643">
        <v>9.5000000000000001E-2</v>
      </c>
      <c r="O25" s="643"/>
      <c r="P25" s="332">
        <f t="shared" si="0"/>
        <v>1</v>
      </c>
      <c r="Q25" s="332">
        <f t="shared" si="1"/>
        <v>1</v>
      </c>
      <c r="R25" s="644"/>
      <c r="S25" s="277">
        <v>49877</v>
      </c>
      <c r="T25" s="277">
        <v>142293</v>
      </c>
      <c r="U25" s="277">
        <f t="shared" si="5"/>
        <v>46208</v>
      </c>
      <c r="V25" s="277">
        <f t="shared" si="6"/>
        <v>46208</v>
      </c>
      <c r="W25" s="644"/>
      <c r="X25" s="277">
        <v>52197</v>
      </c>
      <c r="Y25" s="277">
        <v>24174</v>
      </c>
      <c r="Z25" s="277">
        <f t="shared" si="7"/>
        <v>28023</v>
      </c>
      <c r="AA25" s="277"/>
      <c r="AB25" s="277">
        <v>25555</v>
      </c>
      <c r="AC25" s="277">
        <v>1696</v>
      </c>
      <c r="AD25" s="277">
        <f t="shared" si="8"/>
        <v>23859</v>
      </c>
      <c r="AE25" s="644"/>
      <c r="AF25" s="277">
        <v>164036</v>
      </c>
      <c r="AG25" s="277">
        <v>171231</v>
      </c>
      <c r="AH25" s="277">
        <f t="shared" si="9"/>
        <v>-7195</v>
      </c>
      <c r="AI25" s="644"/>
      <c r="AJ25" s="277">
        <v>47984</v>
      </c>
      <c r="AK25" s="277">
        <v>3635</v>
      </c>
      <c r="AL25" s="277"/>
      <c r="AM25" s="277">
        <v>14212</v>
      </c>
      <c r="AN25" s="277">
        <v>8903</v>
      </c>
      <c r="AO25" s="277">
        <f>AJ25-AK25+AM25-AN25+'C10-Adj by Source'!AB20</f>
        <v>55208</v>
      </c>
      <c r="AP25" s="277">
        <f t="shared" si="2"/>
        <v>49749.925724944893</v>
      </c>
      <c r="AQ25" s="277">
        <f t="shared" si="10"/>
        <v>44831.457572046325</v>
      </c>
      <c r="AR25" s="332">
        <f t="shared" si="13"/>
        <v>1.0646319032410931</v>
      </c>
      <c r="AS25" s="644"/>
      <c r="AT25" s="277">
        <v>387.1</v>
      </c>
      <c r="AU25" s="277">
        <v>202.6</v>
      </c>
      <c r="AV25" s="277"/>
      <c r="AW25" s="277">
        <v>58.3</v>
      </c>
      <c r="AX25" s="277">
        <v>0</v>
      </c>
      <c r="AY25" s="332">
        <f t="shared" si="3"/>
        <v>0.90113617093437348</v>
      </c>
    </row>
    <row r="26" spans="1:51" ht="10.5" customHeight="1" x14ac:dyDescent="0.3">
      <c r="A26" s="268">
        <v>1975</v>
      </c>
      <c r="B26" s="603">
        <f>'C1-Incomes'!J23</f>
        <v>1451147.608</v>
      </c>
      <c r="C26" s="277">
        <f t="shared" si="14"/>
        <v>-41411.664030569926</v>
      </c>
      <c r="D26" s="277">
        <f t="shared" si="11"/>
        <v>-20705.832015284963</v>
      </c>
      <c r="E26" s="277">
        <f t="shared" si="15"/>
        <v>24030.079900300596</v>
      </c>
      <c r="F26" s="277">
        <f t="shared" si="16"/>
        <v>38087.416145554293</v>
      </c>
      <c r="G26" s="603"/>
      <c r="H26" s="706">
        <f t="shared" si="12"/>
        <v>1.6559362926159747E-2</v>
      </c>
      <c r="I26" s="277"/>
      <c r="J26" s="827">
        <v>30.347999999999999</v>
      </c>
      <c r="K26" s="643">
        <f t="shared" si="4"/>
        <v>8.3508872148238017E-2</v>
      </c>
      <c r="L26" s="643"/>
      <c r="M26" s="643">
        <v>8.8300000000000003E-2</v>
      </c>
      <c r="N26" s="643">
        <v>0.1061</v>
      </c>
      <c r="O26" s="643"/>
      <c r="P26" s="332">
        <f t="shared" si="0"/>
        <v>0.94574034142964913</v>
      </c>
      <c r="Q26" s="332">
        <f t="shared" si="1"/>
        <v>0.78707702307481642</v>
      </c>
      <c r="R26" s="644"/>
      <c r="S26" s="277">
        <v>57263</v>
      </c>
      <c r="T26" s="277">
        <v>162492</v>
      </c>
      <c r="U26" s="277">
        <f t="shared" si="5"/>
        <v>52614.5</v>
      </c>
      <c r="V26" s="277">
        <f t="shared" si="6"/>
        <v>52614.5</v>
      </c>
      <c r="W26" s="644"/>
      <c r="X26" s="277">
        <v>58195</v>
      </c>
      <c r="Y26" s="277">
        <v>28082</v>
      </c>
      <c r="Z26" s="277">
        <f t="shared" si="7"/>
        <v>30113</v>
      </c>
      <c r="AA26" s="277"/>
      <c r="AB26" s="277">
        <v>29864</v>
      </c>
      <c r="AC26" s="277">
        <v>2851</v>
      </c>
      <c r="AD26" s="277">
        <f t="shared" si="8"/>
        <v>27013</v>
      </c>
      <c r="AE26" s="644"/>
      <c r="AF26" s="277">
        <v>185403</v>
      </c>
      <c r="AG26" s="277">
        <v>190813</v>
      </c>
      <c r="AH26" s="277">
        <f t="shared" si="9"/>
        <v>-5410</v>
      </c>
      <c r="AI26" s="644"/>
      <c r="AJ26" s="277">
        <v>52467</v>
      </c>
      <c r="AK26" s="277">
        <v>4281</v>
      </c>
      <c r="AL26" s="277"/>
      <c r="AM26" s="277">
        <v>16727</v>
      </c>
      <c r="AN26" s="277">
        <v>9817</v>
      </c>
      <c r="AO26" s="277">
        <f>AJ26-AK26+AM26-AN26+'C10-Adj by Source'!AB21</f>
        <v>60478</v>
      </c>
      <c r="AP26" s="277">
        <f t="shared" si="2"/>
        <v>54741.960324355634</v>
      </c>
      <c r="AQ26" s="277">
        <f t="shared" si="10"/>
        <v>42930.511814076839</v>
      </c>
      <c r="AR26" s="332">
        <f t="shared" si="13"/>
        <v>0.88718756278758126</v>
      </c>
      <c r="AS26" s="644"/>
      <c r="AT26" s="277">
        <v>477</v>
      </c>
      <c r="AU26" s="277">
        <v>213.6</v>
      </c>
      <c r="AV26" s="277"/>
      <c r="AW26" s="277">
        <v>65.5</v>
      </c>
      <c r="AX26" s="277">
        <v>0</v>
      </c>
      <c r="AY26" s="332">
        <f t="shared" si="3"/>
        <v>0.90515493773530264</v>
      </c>
    </row>
    <row r="27" spans="1:51" ht="10.5" customHeight="1" x14ac:dyDescent="0.3">
      <c r="A27" s="268">
        <v>1976</v>
      </c>
      <c r="B27" s="603">
        <f>'C1-Incomes'!J24</f>
        <v>1614768.9053</v>
      </c>
      <c r="C27" s="277">
        <f t="shared" si="14"/>
        <v>-31576.383185813778</v>
      </c>
      <c r="D27" s="277">
        <f t="shared" si="11"/>
        <v>-15788.191592906889</v>
      </c>
      <c r="E27" s="277">
        <f t="shared" si="15"/>
        <v>14047.322412330132</v>
      </c>
      <c r="F27" s="277">
        <f t="shared" si="16"/>
        <v>33317.25236639053</v>
      </c>
      <c r="G27" s="603"/>
      <c r="H27" s="706">
        <f t="shared" si="12"/>
        <v>8.6992772564693076E-3</v>
      </c>
      <c r="I27" s="277"/>
      <c r="J27" s="827">
        <v>32.012999999999998</v>
      </c>
      <c r="K27" s="643">
        <f t="shared" si="4"/>
        <v>5.4863582443653594E-2</v>
      </c>
      <c r="L27" s="643"/>
      <c r="M27" s="643">
        <v>8.43E-2</v>
      </c>
      <c r="N27" s="643">
        <v>9.7500000000000003E-2</v>
      </c>
      <c r="O27" s="643"/>
      <c r="P27" s="332">
        <f t="shared" si="0"/>
        <v>0.65081355211925973</v>
      </c>
      <c r="Q27" s="332">
        <f t="shared" si="1"/>
        <v>0.56270340967849841</v>
      </c>
      <c r="R27" s="644"/>
      <c r="S27" s="277">
        <v>61556</v>
      </c>
      <c r="T27" s="277">
        <v>173787</v>
      </c>
      <c r="U27" s="277">
        <f t="shared" si="5"/>
        <v>56115.5</v>
      </c>
      <c r="V27" s="277">
        <f t="shared" si="6"/>
        <v>56115.5</v>
      </c>
      <c r="W27" s="644"/>
      <c r="X27" s="277">
        <v>56412</v>
      </c>
      <c r="Y27" s="277">
        <v>28738</v>
      </c>
      <c r="Z27" s="277">
        <f t="shared" si="7"/>
        <v>27674</v>
      </c>
      <c r="AA27" s="277"/>
      <c r="AB27" s="277">
        <v>31715</v>
      </c>
      <c r="AC27" s="277">
        <v>2205</v>
      </c>
      <c r="AD27" s="277">
        <f t="shared" si="8"/>
        <v>29510</v>
      </c>
      <c r="AE27" s="644"/>
      <c r="AF27" s="277">
        <v>188919</v>
      </c>
      <c r="AG27" s="277">
        <v>196461</v>
      </c>
      <c r="AH27" s="277">
        <f t="shared" si="9"/>
        <v>-7542</v>
      </c>
      <c r="AI27" s="644"/>
      <c r="AJ27" s="277">
        <v>58896</v>
      </c>
      <c r="AK27" s="277">
        <v>5155</v>
      </c>
      <c r="AL27" s="277"/>
      <c r="AM27" s="277">
        <v>17552</v>
      </c>
      <c r="AN27" s="277">
        <v>9044</v>
      </c>
      <c r="AO27" s="277">
        <f>AJ27-AK27+AM27-AN27+'C10-Adj by Source'!AB22</f>
        <v>68119</v>
      </c>
      <c r="AP27" s="277">
        <f t="shared" si="2"/>
        <v>61345.506406970788</v>
      </c>
      <c r="AQ27" s="277">
        <f t="shared" si="10"/>
        <v>33520.701860332061</v>
      </c>
      <c r="AR27" s="332">
        <f t="shared" si="13"/>
        <v>0.99393063144115457</v>
      </c>
      <c r="AS27" s="644"/>
      <c r="AT27" s="277">
        <v>550.4</v>
      </c>
      <c r="AU27" s="277">
        <v>230</v>
      </c>
      <c r="AV27" s="277"/>
      <c r="AW27" s="277">
        <v>77.599999999999994</v>
      </c>
      <c r="AX27" s="277">
        <v>0</v>
      </c>
      <c r="AY27" s="332">
        <f t="shared" si="3"/>
        <v>0.90056381342901082</v>
      </c>
    </row>
    <row r="28" spans="1:51" ht="10.5" customHeight="1" x14ac:dyDescent="0.3">
      <c r="A28" s="268">
        <v>1977</v>
      </c>
      <c r="B28" s="603">
        <f>'C1-Incomes'!J25</f>
        <v>1798653.4867</v>
      </c>
      <c r="C28" s="277">
        <f t="shared" si="14"/>
        <v>-46155.286831112891</v>
      </c>
      <c r="D28" s="277">
        <f t="shared" si="11"/>
        <v>-23077.643415556446</v>
      </c>
      <c r="E28" s="277">
        <f t="shared" si="15"/>
        <v>21129.503537878543</v>
      </c>
      <c r="F28" s="277">
        <f t="shared" si="16"/>
        <v>48103.426708790794</v>
      </c>
      <c r="G28" s="603"/>
      <c r="H28" s="706">
        <f t="shared" si="12"/>
        <v>1.1747400871884982E-2</v>
      </c>
      <c r="I28" s="277"/>
      <c r="J28" s="827">
        <v>34.091000000000001</v>
      </c>
      <c r="K28" s="643">
        <f t="shared" si="4"/>
        <v>6.4911129853497118E-2</v>
      </c>
      <c r="L28" s="643"/>
      <c r="M28" s="643">
        <v>8.0199999999999994E-2</v>
      </c>
      <c r="N28" s="643">
        <v>8.9700000000000002E-2</v>
      </c>
      <c r="O28" s="643"/>
      <c r="P28" s="332">
        <f t="shared" si="0"/>
        <v>0.80936570889647286</v>
      </c>
      <c r="Q28" s="332">
        <f t="shared" si="1"/>
        <v>0.72364693259194113</v>
      </c>
      <c r="R28" s="644"/>
      <c r="S28" s="277">
        <v>71312</v>
      </c>
      <c r="T28" s="277">
        <v>198875</v>
      </c>
      <c r="U28" s="277">
        <f t="shared" si="5"/>
        <v>63781.5</v>
      </c>
      <c r="V28" s="277">
        <f t="shared" si="6"/>
        <v>63781.5</v>
      </c>
      <c r="W28" s="644"/>
      <c r="X28" s="277">
        <v>63073</v>
      </c>
      <c r="Y28" s="277">
        <v>32454</v>
      </c>
      <c r="Z28" s="277">
        <f t="shared" si="7"/>
        <v>30619</v>
      </c>
      <c r="AA28" s="277"/>
      <c r="AB28" s="277">
        <v>35051</v>
      </c>
      <c r="AC28" s="277">
        <v>2253</v>
      </c>
      <c r="AD28" s="277">
        <f t="shared" si="8"/>
        <v>32798</v>
      </c>
      <c r="AE28" s="644"/>
      <c r="AF28" s="277">
        <v>210745</v>
      </c>
      <c r="AG28" s="277">
        <v>216165</v>
      </c>
      <c r="AH28" s="277">
        <f t="shared" si="9"/>
        <v>-5420</v>
      </c>
      <c r="AI28" s="644"/>
      <c r="AJ28" s="277">
        <v>65261</v>
      </c>
      <c r="AK28" s="277">
        <v>5779</v>
      </c>
      <c r="AL28" s="277"/>
      <c r="AM28" s="277">
        <v>19215</v>
      </c>
      <c r="AN28" s="277">
        <v>10369</v>
      </c>
      <c r="AO28" s="277">
        <f>AJ28-AK28+AM28-AN28+'C10-Adj by Source'!AB23</f>
        <v>74265</v>
      </c>
      <c r="AP28" s="277">
        <f t="shared" si="2"/>
        <v>64894.674127333878</v>
      </c>
      <c r="AQ28" s="277">
        <f t="shared" si="10"/>
        <v>43465.99912858873</v>
      </c>
      <c r="AR28" s="332">
        <f t="shared" si="13"/>
        <v>1.106690923323373</v>
      </c>
      <c r="AS28" s="644"/>
      <c r="AT28" s="277">
        <v>614.20000000000005</v>
      </c>
      <c r="AU28" s="277">
        <v>248.1</v>
      </c>
      <c r="AV28" s="277"/>
      <c r="AW28" s="277">
        <v>108.7</v>
      </c>
      <c r="AX28" s="277">
        <v>0.1</v>
      </c>
      <c r="AY28" s="332">
        <f t="shared" si="3"/>
        <v>0.87382581468166531</v>
      </c>
    </row>
    <row r="29" spans="1:51" ht="10.5" customHeight="1" x14ac:dyDescent="0.3">
      <c r="A29" s="268">
        <v>1978</v>
      </c>
      <c r="B29" s="603">
        <f>'C1-Incomes'!J26</f>
        <v>2029937.6701</v>
      </c>
      <c r="C29" s="277">
        <f t="shared" si="14"/>
        <v>-52837.751954965592</v>
      </c>
      <c r="D29" s="277">
        <f t="shared" si="11"/>
        <v>-26418.875977482796</v>
      </c>
      <c r="E29" s="277">
        <f t="shared" si="15"/>
        <v>23381.36628657419</v>
      </c>
      <c r="F29" s="277">
        <f t="shared" si="16"/>
        <v>55875.261645874198</v>
      </c>
      <c r="G29" s="603"/>
      <c r="H29" s="706">
        <f t="shared" si="12"/>
        <v>1.1518268088212956E-2</v>
      </c>
      <c r="I29" s="277"/>
      <c r="J29" s="827">
        <v>36.478999999999999</v>
      </c>
      <c r="K29" s="643">
        <f t="shared" si="4"/>
        <v>7.0047813205831394E-2</v>
      </c>
      <c r="L29" s="643"/>
      <c r="M29" s="643">
        <v>8.7300000000000003E-2</v>
      </c>
      <c r="N29" s="643">
        <v>9.4899999999999998E-2</v>
      </c>
      <c r="O29" s="643"/>
      <c r="P29" s="332">
        <f t="shared" si="0"/>
        <v>0.8023804490931431</v>
      </c>
      <c r="Q29" s="332">
        <f t="shared" si="1"/>
        <v>0.73812237308568385</v>
      </c>
      <c r="R29" s="644"/>
      <c r="S29" s="277">
        <v>84286</v>
      </c>
      <c r="T29" s="277">
        <v>227454</v>
      </c>
      <c r="U29" s="277">
        <f t="shared" si="5"/>
        <v>71584</v>
      </c>
      <c r="V29" s="277">
        <f t="shared" si="6"/>
        <v>71584</v>
      </c>
      <c r="W29" s="644"/>
      <c r="X29" s="277">
        <v>73551</v>
      </c>
      <c r="Y29" s="277">
        <v>39613</v>
      </c>
      <c r="Z29" s="277">
        <f t="shared" si="7"/>
        <v>33938</v>
      </c>
      <c r="AA29" s="277"/>
      <c r="AB29" s="277">
        <v>39754</v>
      </c>
      <c r="AC29" s="277">
        <v>2696</v>
      </c>
      <c r="AD29" s="277">
        <f t="shared" si="8"/>
        <v>37058</v>
      </c>
      <c r="AE29" s="644"/>
      <c r="AF29" s="277">
        <v>249698</v>
      </c>
      <c r="AG29" s="277">
        <v>255762</v>
      </c>
      <c r="AH29" s="277">
        <f t="shared" si="9"/>
        <v>-6064</v>
      </c>
      <c r="AI29" s="644"/>
      <c r="AJ29" s="277">
        <v>79112</v>
      </c>
      <c r="AK29" s="277">
        <v>7425</v>
      </c>
      <c r="AL29" s="277"/>
      <c r="AM29" s="277">
        <v>21007</v>
      </c>
      <c r="AN29" s="277">
        <v>13271</v>
      </c>
      <c r="AO29" s="277">
        <f>AJ29-AK29+AM29-AN29+'C10-Adj by Source'!AB24</f>
        <v>86429</v>
      </c>
      <c r="AP29" s="277">
        <f t="shared" si="2"/>
        <v>74498.17662310724</v>
      </c>
      <c r="AQ29" s="277">
        <f t="shared" si="10"/>
        <v>49461.160404780909</v>
      </c>
      <c r="AR29" s="332">
        <f t="shared" si="13"/>
        <v>1.129679554393821</v>
      </c>
      <c r="AS29" s="644"/>
      <c r="AT29" s="277">
        <v>675.1</v>
      </c>
      <c r="AU29" s="277">
        <v>289.10000000000002</v>
      </c>
      <c r="AV29" s="277"/>
      <c r="AW29" s="277">
        <v>132.9</v>
      </c>
      <c r="AX29" s="277">
        <v>0.2</v>
      </c>
      <c r="AY29" s="332">
        <f t="shared" si="3"/>
        <v>0.86195809997925743</v>
      </c>
    </row>
    <row r="30" spans="1:51" ht="10.5" customHeight="1" x14ac:dyDescent="0.3">
      <c r="A30" s="268">
        <v>1979</v>
      </c>
      <c r="B30" s="603">
        <f>'C1-Incomes'!J27</f>
        <v>2248152.8843</v>
      </c>
      <c r="C30" s="277">
        <f t="shared" si="14"/>
        <v>-67275.733894183271</v>
      </c>
      <c r="D30" s="277">
        <f t="shared" si="11"/>
        <v>-33637.866947091636</v>
      </c>
      <c r="E30" s="277">
        <f t="shared" si="15"/>
        <v>33699.300870894658</v>
      </c>
      <c r="F30" s="277">
        <f t="shared" si="16"/>
        <v>67214.299970380249</v>
      </c>
      <c r="G30" s="603"/>
      <c r="H30" s="706">
        <f t="shared" si="12"/>
        <v>1.4989772762446046E-2</v>
      </c>
      <c r="I30" s="277"/>
      <c r="J30" s="827">
        <v>39.713999999999999</v>
      </c>
      <c r="K30" s="643">
        <f t="shared" si="4"/>
        <v>8.8681159022999514E-2</v>
      </c>
      <c r="L30" s="643"/>
      <c r="M30" s="643">
        <v>9.6300000000000011E-2</v>
      </c>
      <c r="N30" s="643">
        <v>0.1069</v>
      </c>
      <c r="O30" s="643"/>
      <c r="P30" s="332">
        <f t="shared" si="0"/>
        <v>0.92088430968846835</v>
      </c>
      <c r="Q30" s="332">
        <f t="shared" si="1"/>
        <v>0.82957117888680565</v>
      </c>
      <c r="R30" s="644"/>
      <c r="S30" s="277">
        <v>98940</v>
      </c>
      <c r="T30" s="277">
        <v>261134</v>
      </c>
      <c r="U30" s="277">
        <f t="shared" si="5"/>
        <v>81097</v>
      </c>
      <c r="V30" s="277">
        <f t="shared" si="6"/>
        <v>81097</v>
      </c>
      <c r="W30" s="644"/>
      <c r="X30" s="277">
        <v>92016</v>
      </c>
      <c r="Y30" s="277">
        <v>52254</v>
      </c>
      <c r="Z30" s="277">
        <f t="shared" si="7"/>
        <v>39762</v>
      </c>
      <c r="AA30" s="277"/>
      <c r="AB30" s="277">
        <v>47924</v>
      </c>
      <c r="AC30" s="277">
        <v>2998</v>
      </c>
      <c r="AD30" s="277">
        <f t="shared" si="8"/>
        <v>44926</v>
      </c>
      <c r="AE30" s="644"/>
      <c r="AF30" s="277">
        <v>303039</v>
      </c>
      <c r="AG30" s="277">
        <v>310584</v>
      </c>
      <c r="AH30" s="277">
        <f t="shared" si="9"/>
        <v>-7545</v>
      </c>
      <c r="AI30" s="644"/>
      <c r="AJ30" s="277">
        <v>91456</v>
      </c>
      <c r="AK30" s="277">
        <v>9151</v>
      </c>
      <c r="AL30" s="277"/>
      <c r="AM30" s="277">
        <v>23482</v>
      </c>
      <c r="AN30" s="277">
        <v>18113</v>
      </c>
      <c r="AO30" s="277">
        <f>AJ30-AK30+AM30-AN30+'C10-Adj by Source'!AB25</f>
        <v>96953</v>
      </c>
      <c r="AP30" s="277">
        <f t="shared" si="2"/>
        <v>86068.132831354378</v>
      </c>
      <c r="AQ30" s="277">
        <f t="shared" si="10"/>
        <v>66872.042326181094</v>
      </c>
      <c r="AR30" s="332">
        <f t="shared" si="13"/>
        <v>1.0051180976727125</v>
      </c>
      <c r="AS30" s="644"/>
      <c r="AT30" s="277">
        <v>720.3</v>
      </c>
      <c r="AU30" s="277">
        <v>315.60000000000002</v>
      </c>
      <c r="AV30" s="277"/>
      <c r="AW30" s="277">
        <v>116</v>
      </c>
      <c r="AX30" s="277">
        <v>0.3</v>
      </c>
      <c r="AY30" s="332">
        <f t="shared" si="3"/>
        <v>0.88773047591466359</v>
      </c>
    </row>
    <row r="31" spans="1:51" ht="10.5" customHeight="1" x14ac:dyDescent="0.3">
      <c r="A31" s="268">
        <v>1980</v>
      </c>
      <c r="B31" s="603">
        <f>'C1-Incomes'!J28</f>
        <v>2426754.0954999998</v>
      </c>
      <c r="C31" s="277">
        <f t="shared" si="14"/>
        <v>-80236.32984618374</v>
      </c>
      <c r="D31" s="277">
        <f t="shared" si="11"/>
        <v>-40118.16492309187</v>
      </c>
      <c r="E31" s="277">
        <f t="shared" si="15"/>
        <v>50050.738407756195</v>
      </c>
      <c r="F31" s="277">
        <f t="shared" si="16"/>
        <v>70303.756361519423</v>
      </c>
      <c r="G31" s="603"/>
      <c r="H31" s="706">
        <f t="shared" si="12"/>
        <v>2.0624561219683001E-2</v>
      </c>
      <c r="I31" s="277"/>
      <c r="J31" s="827">
        <v>43.978000000000002</v>
      </c>
      <c r="K31" s="643">
        <f t="shared" si="4"/>
        <v>0.10736767890416485</v>
      </c>
      <c r="L31" s="643"/>
      <c r="M31" s="643">
        <v>0.11939999999999999</v>
      </c>
      <c r="N31" s="643">
        <v>0.13669999999999999</v>
      </c>
      <c r="O31" s="643"/>
      <c r="P31" s="332">
        <f t="shared" si="0"/>
        <v>0.899226791492168</v>
      </c>
      <c r="Q31" s="332">
        <f t="shared" si="1"/>
        <v>0.78542559549498803</v>
      </c>
      <c r="R31" s="644"/>
      <c r="S31" s="277">
        <v>117962</v>
      </c>
      <c r="T31" s="277">
        <v>322275</v>
      </c>
      <c r="U31" s="277">
        <f t="shared" si="5"/>
        <v>102156.5</v>
      </c>
      <c r="V31" s="277">
        <f t="shared" si="6"/>
        <v>102156.5</v>
      </c>
      <c r="W31" s="644"/>
      <c r="X31" s="277">
        <v>120468</v>
      </c>
      <c r="Y31" s="277">
        <v>68787</v>
      </c>
      <c r="Z31" s="277">
        <f t="shared" si="7"/>
        <v>51681</v>
      </c>
      <c r="AA31" s="277"/>
      <c r="AB31" s="277">
        <v>57784</v>
      </c>
      <c r="AC31" s="277">
        <v>3278</v>
      </c>
      <c r="AD31" s="277">
        <f t="shared" si="8"/>
        <v>54506</v>
      </c>
      <c r="AE31" s="644"/>
      <c r="AF31" s="277">
        <v>384763</v>
      </c>
      <c r="AG31" s="277">
        <v>384212</v>
      </c>
      <c r="AH31" s="277">
        <f t="shared" si="9"/>
        <v>551</v>
      </c>
      <c r="AI31" s="644"/>
      <c r="AJ31" s="277">
        <v>107529</v>
      </c>
      <c r="AK31" s="277">
        <v>11314</v>
      </c>
      <c r="AL31" s="277"/>
      <c r="AM31" s="277">
        <v>25606</v>
      </c>
      <c r="AN31" s="277">
        <v>23061</v>
      </c>
      <c r="AO31" s="277">
        <f>AJ31-AK31+AM31-AN31+'C10-Adj by Source'!AB26</f>
        <v>110466</v>
      </c>
      <c r="AP31" s="277">
        <f t="shared" si="2"/>
        <v>98115.823951048951</v>
      </c>
      <c r="AQ31" s="277">
        <f t="shared" si="10"/>
        <v>73405.700628659863</v>
      </c>
      <c r="AR31" s="332">
        <f t="shared" si="13"/>
        <v>0.95774246086373649</v>
      </c>
      <c r="AS31" s="644"/>
      <c r="AT31" s="277">
        <v>807.2</v>
      </c>
      <c r="AU31" s="277">
        <v>336.8</v>
      </c>
      <c r="AV31" s="277"/>
      <c r="AW31" s="277">
        <v>127.4</v>
      </c>
      <c r="AX31" s="277">
        <v>0.5</v>
      </c>
      <c r="AY31" s="332">
        <f t="shared" si="3"/>
        <v>0.88819930069930075</v>
      </c>
    </row>
    <row r="32" spans="1:51" ht="10.5" customHeight="1" x14ac:dyDescent="0.3">
      <c r="A32" s="268">
        <v>1981</v>
      </c>
      <c r="B32" s="603">
        <f>'C1-Incomes'!J29</f>
        <v>2722132.7376000001</v>
      </c>
      <c r="C32" s="277">
        <f t="shared" si="14"/>
        <v>-73269.190988602451</v>
      </c>
      <c r="D32" s="277">
        <f t="shared" si="11"/>
        <v>-36634.595494301226</v>
      </c>
      <c r="E32" s="277">
        <f t="shared" si="15"/>
        <v>46967.847014544677</v>
      </c>
      <c r="F32" s="277">
        <f t="shared" si="16"/>
        <v>62935.939468358993</v>
      </c>
      <c r="G32" s="603"/>
      <c r="H32" s="706">
        <f t="shared" si="12"/>
        <v>1.7254061995505193E-2</v>
      </c>
      <c r="I32" s="277"/>
      <c r="J32" s="827">
        <v>47.908000000000001</v>
      </c>
      <c r="K32" s="643">
        <f t="shared" si="4"/>
        <v>8.9362863249806718E-2</v>
      </c>
      <c r="L32" s="643"/>
      <c r="M32" s="643">
        <v>0.14169999999999999</v>
      </c>
      <c r="N32" s="643">
        <v>0.16039999999999999</v>
      </c>
      <c r="O32" s="643"/>
      <c r="P32" s="332">
        <f t="shared" si="0"/>
        <v>0.63064829392947586</v>
      </c>
      <c r="Q32" s="332">
        <f t="shared" si="1"/>
        <v>0.55712508260478011</v>
      </c>
      <c r="R32" s="644"/>
      <c r="S32" s="277">
        <v>136495</v>
      </c>
      <c r="T32" s="277">
        <v>399521</v>
      </c>
      <c r="U32" s="277">
        <f t="shared" si="5"/>
        <v>131513</v>
      </c>
      <c r="V32" s="277">
        <f t="shared" si="6"/>
        <v>131513</v>
      </c>
      <c r="W32" s="644"/>
      <c r="X32" s="277">
        <v>156114</v>
      </c>
      <c r="Y32" s="277">
        <v>91618</v>
      </c>
      <c r="Z32" s="277">
        <f t="shared" si="7"/>
        <v>64496</v>
      </c>
      <c r="AA32" s="277"/>
      <c r="AB32" s="277">
        <v>69072</v>
      </c>
      <c r="AC32" s="277">
        <v>3661</v>
      </c>
      <c r="AD32" s="277">
        <f t="shared" si="8"/>
        <v>65411</v>
      </c>
      <c r="AE32" s="644"/>
      <c r="AF32" s="277">
        <v>512200</v>
      </c>
      <c r="AG32" s="277">
        <v>501875</v>
      </c>
      <c r="AH32" s="277">
        <f t="shared" si="9"/>
        <v>10325</v>
      </c>
      <c r="AI32" s="644"/>
      <c r="AJ32" s="277">
        <v>133429</v>
      </c>
      <c r="AK32" s="277">
        <v>14819</v>
      </c>
      <c r="AL32" s="277"/>
      <c r="AM32" s="277">
        <v>29290</v>
      </c>
      <c r="AN32" s="277">
        <v>28502</v>
      </c>
      <c r="AO32" s="277">
        <f>AJ32-AK32+AM32-AN32+'C10-Adj by Source'!AB27</f>
        <v>133422</v>
      </c>
      <c r="AP32" s="277">
        <f t="shared" si="2"/>
        <v>119082.00615967781</v>
      </c>
      <c r="AQ32" s="277">
        <f t="shared" si="10"/>
        <v>63120.209183589868</v>
      </c>
      <c r="AR32" s="332">
        <f t="shared" si="13"/>
        <v>0.99708065423714121</v>
      </c>
      <c r="AS32" s="644"/>
      <c r="AT32" s="277">
        <v>903.1</v>
      </c>
      <c r="AU32" s="277">
        <v>363.2</v>
      </c>
      <c r="AV32" s="277"/>
      <c r="AW32" s="277">
        <v>135.5</v>
      </c>
      <c r="AX32" s="277">
        <v>0.6</v>
      </c>
      <c r="AY32" s="332">
        <f t="shared" si="3"/>
        <v>0.89252151938719104</v>
      </c>
    </row>
    <row r="33" spans="1:51" ht="10.5" customHeight="1" x14ac:dyDescent="0.3">
      <c r="A33" s="268">
        <v>1982</v>
      </c>
      <c r="B33" s="603">
        <f>'C1-Incomes'!J30</f>
        <v>2840413.7584000002</v>
      </c>
      <c r="C33" s="277">
        <f t="shared" si="14"/>
        <v>-51463.349121922882</v>
      </c>
      <c r="D33" s="277">
        <f t="shared" si="11"/>
        <v>-25731.674560961441</v>
      </c>
      <c r="E33" s="277">
        <f t="shared" si="15"/>
        <v>34307.160886320431</v>
      </c>
      <c r="F33" s="277">
        <f t="shared" si="16"/>
        <v>42887.862796563888</v>
      </c>
      <c r="G33" s="603"/>
      <c r="H33" s="706">
        <f t="shared" si="12"/>
        <v>1.2078226555854169E-2</v>
      </c>
      <c r="I33" s="277"/>
      <c r="J33" s="827">
        <v>50.552999999999997</v>
      </c>
      <c r="K33" s="643">
        <f t="shared" si="4"/>
        <v>5.5209985806128327E-2</v>
      </c>
      <c r="L33" s="643"/>
      <c r="M33" s="643">
        <v>0.13789999999999999</v>
      </c>
      <c r="N33" s="643">
        <v>0.16109999999999999</v>
      </c>
      <c r="O33" s="643"/>
      <c r="P33" s="332">
        <f t="shared" si="0"/>
        <v>0.4003624786521271</v>
      </c>
      <c r="Q33" s="332">
        <f t="shared" si="1"/>
        <v>0.34270630543841296</v>
      </c>
      <c r="R33" s="644"/>
      <c r="S33" s="277">
        <v>163710</v>
      </c>
      <c r="T33" s="277">
        <v>464045</v>
      </c>
      <c r="U33" s="277">
        <f t="shared" si="5"/>
        <v>150167.5</v>
      </c>
      <c r="V33" s="277">
        <f t="shared" si="6"/>
        <v>150167.5</v>
      </c>
      <c r="W33" s="644"/>
      <c r="X33" s="277">
        <v>173676</v>
      </c>
      <c r="Y33" s="277">
        <v>99417</v>
      </c>
      <c r="Z33" s="277">
        <f t="shared" si="7"/>
        <v>74259</v>
      </c>
      <c r="AA33" s="277"/>
      <c r="AB33" s="277">
        <v>81594</v>
      </c>
      <c r="AC33" s="277">
        <v>8065</v>
      </c>
      <c r="AD33" s="277">
        <f t="shared" si="8"/>
        <v>73529</v>
      </c>
      <c r="AE33" s="644"/>
      <c r="AF33" s="277">
        <v>595424</v>
      </c>
      <c r="AG33" s="277">
        <v>582438</v>
      </c>
      <c r="AH33" s="277">
        <f t="shared" si="9"/>
        <v>12986</v>
      </c>
      <c r="AI33" s="644"/>
      <c r="AJ33" s="277">
        <v>152681</v>
      </c>
      <c r="AK33" s="277">
        <v>18337</v>
      </c>
      <c r="AL33" s="277"/>
      <c r="AM33" s="277">
        <v>34180</v>
      </c>
      <c r="AN33" s="277">
        <v>33078</v>
      </c>
      <c r="AO33" s="277">
        <f>AJ33-AK33+AM33-AN33+'C10-Adj by Source'!AB28</f>
        <v>150651</v>
      </c>
      <c r="AP33" s="277">
        <f t="shared" si="2"/>
        <v>135254.37424058325</v>
      </c>
      <c r="AQ33" s="277">
        <f t="shared" si="10"/>
        <v>45115.901692701664</v>
      </c>
      <c r="AR33" s="332">
        <f t="shared" si="13"/>
        <v>0.95061521963334261</v>
      </c>
      <c r="AS33" s="644"/>
      <c r="AT33" s="277">
        <v>1077.4000000000001</v>
      </c>
      <c r="AU33" s="277">
        <v>404</v>
      </c>
      <c r="AV33" s="277"/>
      <c r="AW33" s="277">
        <v>150.69999999999999</v>
      </c>
      <c r="AX33" s="277">
        <v>0.7</v>
      </c>
      <c r="AY33" s="332">
        <f t="shared" si="3"/>
        <v>0.89779937896584316</v>
      </c>
    </row>
    <row r="34" spans="1:51" ht="10.5" customHeight="1" x14ac:dyDescent="0.3">
      <c r="A34" s="268">
        <v>1983</v>
      </c>
      <c r="B34" s="603">
        <f>'C1-Incomes'!J31</f>
        <v>3060514.7870999998</v>
      </c>
      <c r="C34" s="277">
        <f t="shared" si="14"/>
        <v>-49813.108934009091</v>
      </c>
      <c r="D34" s="277">
        <f t="shared" si="11"/>
        <v>-24906.554467004546</v>
      </c>
      <c r="E34" s="277">
        <f t="shared" si="15"/>
        <v>30001.157299930568</v>
      </c>
      <c r="F34" s="277">
        <f t="shared" si="16"/>
        <v>44718.506101083069</v>
      </c>
      <c r="G34" s="603"/>
      <c r="H34" s="706">
        <f t="shared" si="12"/>
        <v>9.8026506607270004E-3</v>
      </c>
      <c r="I34" s="277"/>
      <c r="J34" s="827">
        <v>52.728999999999999</v>
      </c>
      <c r="K34" s="643">
        <f t="shared" si="4"/>
        <v>4.3043934088975964E-2</v>
      </c>
      <c r="L34" s="643"/>
      <c r="M34" s="643">
        <v>0.12039999999999999</v>
      </c>
      <c r="N34" s="643">
        <v>0.13550000000000001</v>
      </c>
      <c r="O34" s="643"/>
      <c r="P34" s="332">
        <f t="shared" si="0"/>
        <v>0.35750775821408609</v>
      </c>
      <c r="Q34" s="332">
        <f t="shared" si="1"/>
        <v>0.31766741025074513</v>
      </c>
      <c r="R34" s="644"/>
      <c r="S34" s="277">
        <v>187731</v>
      </c>
      <c r="T34" s="277">
        <v>501349</v>
      </c>
      <c r="U34" s="277">
        <f t="shared" si="5"/>
        <v>156809</v>
      </c>
      <c r="V34" s="277">
        <f>T34-S34-U34</f>
        <v>156809</v>
      </c>
      <c r="W34" s="644"/>
      <c r="X34" s="277">
        <v>173791</v>
      </c>
      <c r="Y34" s="277">
        <v>100138</v>
      </c>
      <c r="Z34" s="277">
        <f t="shared" si="7"/>
        <v>73653</v>
      </c>
      <c r="AA34" s="277"/>
      <c r="AB34" s="277">
        <v>88505</v>
      </c>
      <c r="AC34" s="277">
        <v>9919</v>
      </c>
      <c r="AD34" s="277">
        <f t="shared" si="8"/>
        <v>78586</v>
      </c>
      <c r="AE34" s="644"/>
      <c r="AF34" s="277">
        <v>613316</v>
      </c>
      <c r="AG34" s="277">
        <v>603233</v>
      </c>
      <c r="AH34" s="277">
        <f t="shared" si="9"/>
        <v>10083</v>
      </c>
      <c r="AI34" s="644"/>
      <c r="AJ34" s="277">
        <v>166971</v>
      </c>
      <c r="AK34" s="277">
        <v>20365</v>
      </c>
      <c r="AL34" s="277"/>
      <c r="AM34" s="277">
        <v>39498</v>
      </c>
      <c r="AN34" s="277">
        <v>37007</v>
      </c>
      <c r="AO34" s="277">
        <f>AJ34-AK34+AM34-AN34+'C10-Adj by Source'!AB29</f>
        <v>163326</v>
      </c>
      <c r="AP34" s="277">
        <f t="shared" si="2"/>
        <v>147772.49357415771</v>
      </c>
      <c r="AQ34" s="277">
        <f t="shared" si="10"/>
        <v>45135.508910099008</v>
      </c>
      <c r="AR34" s="332">
        <f t="shared" si="13"/>
        <v>0.99076109211825825</v>
      </c>
      <c r="AS34" s="644"/>
      <c r="AT34" s="277">
        <v>1277.2</v>
      </c>
      <c r="AU34" s="277">
        <v>450.2</v>
      </c>
      <c r="AV34" s="277"/>
      <c r="AW34" s="277">
        <v>163.6</v>
      </c>
      <c r="AX34" s="277">
        <v>0.9</v>
      </c>
      <c r="AY34" s="332">
        <f t="shared" si="3"/>
        <v>0.90477017482922317</v>
      </c>
    </row>
    <row r="35" spans="1:51" ht="10.5" customHeight="1" x14ac:dyDescent="0.3">
      <c r="A35" s="268">
        <v>1984</v>
      </c>
      <c r="B35" s="603">
        <f>'C1-Incomes'!J32</f>
        <v>3443988.0337</v>
      </c>
      <c r="C35" s="277">
        <f t="shared" si="14"/>
        <v>-48607.801219984038</v>
      </c>
      <c r="D35" s="277">
        <f t="shared" si="11"/>
        <v>-24303.900609992019</v>
      </c>
      <c r="E35" s="277">
        <f t="shared" si="15"/>
        <v>30327.88182598789</v>
      </c>
      <c r="F35" s="277">
        <f t="shared" si="16"/>
        <v>42583.820003988163</v>
      </c>
      <c r="G35" s="603"/>
      <c r="H35" s="706">
        <f t="shared" si="12"/>
        <v>8.8060357728379085E-3</v>
      </c>
      <c r="I35" s="277"/>
      <c r="J35" s="827">
        <v>54.723999999999997</v>
      </c>
      <c r="K35" s="643">
        <f t="shared" si="4"/>
        <v>3.7834967475203353E-2</v>
      </c>
      <c r="L35" s="643"/>
      <c r="M35" s="643">
        <v>0.12710000000000002</v>
      </c>
      <c r="N35" s="643">
        <v>0.1419</v>
      </c>
      <c r="O35" s="643"/>
      <c r="P35" s="332">
        <f t="shared" si="0"/>
        <v>0.29767873701969588</v>
      </c>
      <c r="Q35" s="332">
        <f t="shared" si="1"/>
        <v>0.26663120137564028</v>
      </c>
      <c r="R35" s="644"/>
      <c r="S35" s="277">
        <v>210238</v>
      </c>
      <c r="T35" s="277">
        <v>574845</v>
      </c>
      <c r="U35" s="277">
        <f t="shared" si="5"/>
        <v>182303.5</v>
      </c>
      <c r="V35" s="277">
        <f t="shared" si="6"/>
        <v>182303.5</v>
      </c>
      <c r="W35" s="644"/>
      <c r="X35" s="277">
        <v>196824</v>
      </c>
      <c r="Y35" s="277">
        <v>113161</v>
      </c>
      <c r="Z35" s="277">
        <f t="shared" si="7"/>
        <v>83663</v>
      </c>
      <c r="AA35" s="277"/>
      <c r="AB35" s="277">
        <v>104209</v>
      </c>
      <c r="AC35" s="277">
        <v>8280</v>
      </c>
      <c r="AD35" s="277">
        <f t="shared" si="8"/>
        <v>95929</v>
      </c>
      <c r="AE35" s="644"/>
      <c r="AF35" s="277">
        <v>671544</v>
      </c>
      <c r="AG35" s="277">
        <v>658103</v>
      </c>
      <c r="AH35" s="277">
        <f t="shared" si="9"/>
        <v>13441</v>
      </c>
      <c r="AI35" s="644"/>
      <c r="AJ35" s="277">
        <v>193827</v>
      </c>
      <c r="AK35" s="277">
        <v>22786</v>
      </c>
      <c r="AL35" s="277"/>
      <c r="AM35" s="277">
        <v>43182</v>
      </c>
      <c r="AN35" s="277">
        <v>42585</v>
      </c>
      <c r="AO35" s="277">
        <f>AJ35-AK35+AM35-AN35+'C10-Adj by Source'!AB30</f>
        <v>187692</v>
      </c>
      <c r="AP35" s="277">
        <f t="shared" si="2"/>
        <v>168687.72476233589</v>
      </c>
      <c r="AQ35" s="277">
        <f t="shared" si="10"/>
        <v>42776.859996308813</v>
      </c>
      <c r="AR35" s="332">
        <f t="shared" si="13"/>
        <v>0.99548727998414777</v>
      </c>
      <c r="AS35" s="644"/>
      <c r="AT35" s="277">
        <v>1493.1</v>
      </c>
      <c r="AU35" s="277">
        <v>495</v>
      </c>
      <c r="AV35" s="277"/>
      <c r="AW35" s="277">
        <v>200.3</v>
      </c>
      <c r="AX35" s="277">
        <v>1</v>
      </c>
      <c r="AY35" s="332">
        <f t="shared" si="3"/>
        <v>0.89874754791006484</v>
      </c>
    </row>
    <row r="36" spans="1:51" ht="10.5" customHeight="1" x14ac:dyDescent="0.3">
      <c r="A36" s="268">
        <v>1985</v>
      </c>
      <c r="B36" s="603">
        <f>'C1-Incomes'!J33</f>
        <v>3684187.6332999999</v>
      </c>
      <c r="C36" s="277">
        <f t="shared" si="14"/>
        <v>-52408.33029349352</v>
      </c>
      <c r="D36" s="277">
        <f t="shared" si="11"/>
        <v>-26204.16514674676</v>
      </c>
      <c r="E36" s="277">
        <f t="shared" si="15"/>
        <v>34151.658997574996</v>
      </c>
      <c r="F36" s="277">
        <f t="shared" si="16"/>
        <v>44460.836442665284</v>
      </c>
      <c r="G36" s="603"/>
      <c r="H36" s="706">
        <f t="shared" si="12"/>
        <v>9.2697936144432135E-3</v>
      </c>
      <c r="I36" s="277"/>
      <c r="J36" s="827">
        <v>56.661000000000001</v>
      </c>
      <c r="K36" s="643">
        <f t="shared" si="4"/>
        <v>3.5395804400263228E-2</v>
      </c>
      <c r="L36" s="643"/>
      <c r="M36" s="643">
        <v>0.1137</v>
      </c>
      <c r="N36" s="643">
        <v>0.12720000000000001</v>
      </c>
      <c r="O36" s="643"/>
      <c r="P36" s="332">
        <f t="shared" si="0"/>
        <v>0.31130874582465462</v>
      </c>
      <c r="Q36" s="332">
        <f t="shared" si="1"/>
        <v>0.27826890251779268</v>
      </c>
      <c r="R36" s="644"/>
      <c r="S36" s="277">
        <v>239194</v>
      </c>
      <c r="T36" s="277">
        <v>615868</v>
      </c>
      <c r="U36" s="277">
        <f t="shared" si="5"/>
        <v>188337</v>
      </c>
      <c r="V36" s="277">
        <f t="shared" si="6"/>
        <v>188337</v>
      </c>
      <c r="W36" s="644"/>
      <c r="X36" s="277">
        <v>211109</v>
      </c>
      <c r="Y36" s="277">
        <v>123569</v>
      </c>
      <c r="Z36" s="277">
        <f t="shared" si="7"/>
        <v>87540</v>
      </c>
      <c r="AA36" s="277"/>
      <c r="AB36" s="277">
        <v>116548</v>
      </c>
      <c r="AC36" s="277">
        <v>8120</v>
      </c>
      <c r="AD36" s="277">
        <f t="shared" si="8"/>
        <v>108428</v>
      </c>
      <c r="AE36" s="644"/>
      <c r="AF36" s="277">
        <v>729408</v>
      </c>
      <c r="AG36" s="277">
        <v>721504</v>
      </c>
      <c r="AH36" s="277">
        <f t="shared" si="9"/>
        <v>7904</v>
      </c>
      <c r="AI36" s="644"/>
      <c r="AJ36" s="277">
        <v>213742</v>
      </c>
      <c r="AK36" s="277">
        <v>25577</v>
      </c>
      <c r="AL36" s="277"/>
      <c r="AM36" s="277">
        <v>47259</v>
      </c>
      <c r="AN36" s="277">
        <v>50099</v>
      </c>
      <c r="AO36" s="277">
        <f>AJ36-AK36+AM36-AN36+'C10-Adj by Source'!AB31</f>
        <v>203121</v>
      </c>
      <c r="AP36" s="277">
        <f t="shared" si="2"/>
        <v>183936.69441447424</v>
      </c>
      <c r="AQ36" s="277">
        <f t="shared" si="10"/>
        <v>49101.294685529399</v>
      </c>
      <c r="AR36" s="332">
        <f t="shared" si="13"/>
        <v>0.90549214083693597</v>
      </c>
      <c r="AS36" s="644"/>
      <c r="AT36" s="277">
        <v>1758.7</v>
      </c>
      <c r="AU36" s="277">
        <v>651.1</v>
      </c>
      <c r="AV36" s="277"/>
      <c r="AW36" s="277">
        <v>226.4</v>
      </c>
      <c r="AX36" s="277">
        <v>1.2</v>
      </c>
      <c r="AY36" s="332">
        <f t="shared" si="3"/>
        <v>0.90555232799402441</v>
      </c>
    </row>
    <row r="37" spans="1:51" ht="10.5" customHeight="1" x14ac:dyDescent="0.3">
      <c r="A37" s="268">
        <v>1986</v>
      </c>
      <c r="B37" s="603">
        <f>'C1-Incomes'!J34</f>
        <v>3848203.7167000002</v>
      </c>
      <c r="C37" s="277">
        <f t="shared" si="14"/>
        <v>-40233.801220805966</v>
      </c>
      <c r="D37" s="277">
        <f t="shared" si="11"/>
        <v>-20116.900610402983</v>
      </c>
      <c r="E37" s="277">
        <f t="shared" si="15"/>
        <v>27805.932477948438</v>
      </c>
      <c r="F37" s="277">
        <f t="shared" si="16"/>
        <v>32544.769353260512</v>
      </c>
      <c r="G37" s="603"/>
      <c r="H37" s="706">
        <f t="shared" si="12"/>
        <v>7.2256913939559358E-3</v>
      </c>
      <c r="I37" s="277"/>
      <c r="J37" s="827">
        <v>57.887</v>
      </c>
      <c r="K37" s="643">
        <f t="shared" si="4"/>
        <v>2.1637457863433386E-2</v>
      </c>
      <c r="L37" s="643"/>
      <c r="M37" s="643">
        <v>9.0200000000000002E-2</v>
      </c>
      <c r="N37" s="643">
        <v>0.10390000000000001</v>
      </c>
      <c r="O37" s="643"/>
      <c r="P37" s="332">
        <f t="shared" si="0"/>
        <v>0.23988312487176702</v>
      </c>
      <c r="Q37" s="332">
        <f t="shared" si="1"/>
        <v>0.20825272245845414</v>
      </c>
      <c r="R37" s="644"/>
      <c r="S37" s="277">
        <v>263438</v>
      </c>
      <c r="T37" s="277">
        <v>649832</v>
      </c>
      <c r="U37" s="277">
        <f t="shared" si="5"/>
        <v>193197</v>
      </c>
      <c r="V37" s="277">
        <f t="shared" si="6"/>
        <v>193197</v>
      </c>
      <c r="W37" s="644"/>
      <c r="X37" s="277">
        <v>230517</v>
      </c>
      <c r="Y37" s="277">
        <v>132431</v>
      </c>
      <c r="Z37" s="277">
        <f t="shared" si="7"/>
        <v>98086</v>
      </c>
      <c r="AA37" s="277"/>
      <c r="AB37" s="277">
        <v>126161</v>
      </c>
      <c r="AC37" s="277">
        <v>8635</v>
      </c>
      <c r="AD37" s="277">
        <f t="shared" si="8"/>
        <v>117526</v>
      </c>
      <c r="AE37" s="644"/>
      <c r="AF37" s="277">
        <v>753549</v>
      </c>
      <c r="AG37" s="277">
        <v>756648</v>
      </c>
      <c r="AH37" s="277">
        <f t="shared" si="9"/>
        <v>-3099</v>
      </c>
      <c r="AI37" s="644"/>
      <c r="AJ37" s="277">
        <v>224204</v>
      </c>
      <c r="AK37" s="277">
        <v>28842</v>
      </c>
      <c r="AL37" s="277"/>
      <c r="AM37" s="277">
        <v>51823</v>
      </c>
      <c r="AN37" s="277">
        <v>52571</v>
      </c>
      <c r="AO37" s="277">
        <f>AJ37-AK37+AM37-AN37+'C10-Adj by Source'!AB32</f>
        <v>212418</v>
      </c>
      <c r="AP37" s="277">
        <f t="shared" si="2"/>
        <v>191338.1134564644</v>
      </c>
      <c r="AQ37" s="277">
        <f t="shared" si="10"/>
        <v>38618.139724738117</v>
      </c>
      <c r="AR37" s="332">
        <f t="shared" si="13"/>
        <v>0.84273270502496245</v>
      </c>
      <c r="AS37" s="644"/>
      <c r="AT37" s="277">
        <v>2003.9</v>
      </c>
      <c r="AU37" s="277">
        <v>724.9</v>
      </c>
      <c r="AV37" s="277"/>
      <c r="AW37" s="277">
        <v>269.39999999999998</v>
      </c>
      <c r="AX37" s="277">
        <v>1.4</v>
      </c>
      <c r="AY37" s="332">
        <f t="shared" si="3"/>
        <v>0.9007622398123718</v>
      </c>
    </row>
    <row r="38" spans="1:51" ht="10.5" customHeight="1" x14ac:dyDescent="0.3">
      <c r="A38" s="268">
        <v>1987</v>
      </c>
      <c r="B38" s="603">
        <f>'C1-Incomes'!J35</f>
        <v>4119197.5964000002</v>
      </c>
      <c r="C38" s="277">
        <f t="shared" si="14"/>
        <v>-56605.348344566562</v>
      </c>
      <c r="D38" s="277">
        <f t="shared" si="11"/>
        <v>-28302.674172283281</v>
      </c>
      <c r="E38" s="277">
        <f t="shared" si="15"/>
        <v>37811.407291825737</v>
      </c>
      <c r="F38" s="277">
        <f t="shared" si="16"/>
        <v>47096.615225024107</v>
      </c>
      <c r="G38" s="603"/>
      <c r="H38" s="706">
        <f t="shared" si="12"/>
        <v>9.1793137879258978E-3</v>
      </c>
      <c r="I38" s="277"/>
      <c r="J38" s="827">
        <v>59.65</v>
      </c>
      <c r="K38" s="643">
        <f t="shared" si="4"/>
        <v>3.0455888195967975E-2</v>
      </c>
      <c r="L38" s="643"/>
      <c r="M38" s="643">
        <v>9.3800000000000008E-2</v>
      </c>
      <c r="N38" s="643">
        <v>0.10580000000000001</v>
      </c>
      <c r="O38" s="643"/>
      <c r="P38" s="332">
        <f t="shared" si="0"/>
        <v>0.32468963961586322</v>
      </c>
      <c r="Q38" s="332">
        <f t="shared" si="1"/>
        <v>0.28786283739100166</v>
      </c>
      <c r="R38" s="644"/>
      <c r="S38" s="277">
        <v>275010</v>
      </c>
      <c r="T38" s="277">
        <v>668290</v>
      </c>
      <c r="U38" s="277">
        <f t="shared" si="5"/>
        <v>196640</v>
      </c>
      <c r="V38" s="277">
        <f t="shared" si="6"/>
        <v>196640</v>
      </c>
      <c r="W38" s="644"/>
      <c r="X38" s="277">
        <v>242643</v>
      </c>
      <c r="Y38" s="277">
        <v>134583</v>
      </c>
      <c r="Z38" s="277">
        <f t="shared" si="7"/>
        <v>108060</v>
      </c>
      <c r="AA38" s="277"/>
      <c r="AB38" s="277">
        <v>124249</v>
      </c>
      <c r="AC38" s="277">
        <v>8383</v>
      </c>
      <c r="AD38" s="277">
        <f t="shared" si="8"/>
        <v>115866</v>
      </c>
      <c r="AE38" s="644"/>
      <c r="AF38" s="277">
        <v>811579</v>
      </c>
      <c r="AG38" s="277">
        <v>820731</v>
      </c>
      <c r="AH38" s="277">
        <f t="shared" si="9"/>
        <v>-9152</v>
      </c>
      <c r="AI38" s="644"/>
      <c r="AJ38" s="277">
        <v>232315</v>
      </c>
      <c r="AK38" s="277">
        <v>25130</v>
      </c>
      <c r="AL38" s="277"/>
      <c r="AM38" s="277">
        <v>53527</v>
      </c>
      <c r="AN38" s="277">
        <v>53038</v>
      </c>
      <c r="AO38" s="277">
        <f>AJ38-AK38+AM38-AN38+'C10-Adj by Source'!AB33</f>
        <v>225413</v>
      </c>
      <c r="AP38" s="277">
        <f t="shared" si="2"/>
        <v>202986.13048560551</v>
      </c>
      <c r="AQ38" s="277">
        <f t="shared" si="10"/>
        <v>55984.406058695182</v>
      </c>
      <c r="AR38" s="332">
        <f t="shared" si="13"/>
        <v>0.84124524203484563</v>
      </c>
      <c r="AS38" s="644"/>
      <c r="AT38" s="277">
        <v>2176.5</v>
      </c>
      <c r="AU38" s="277">
        <v>817.7</v>
      </c>
      <c r="AV38" s="277"/>
      <c r="AW38" s="277">
        <v>296.3</v>
      </c>
      <c r="AX38" s="277">
        <v>1.6</v>
      </c>
      <c r="AY38" s="332">
        <f t="shared" si="3"/>
        <v>0.90050764811969808</v>
      </c>
    </row>
    <row r="39" spans="1:51" ht="10.5" customHeight="1" x14ac:dyDescent="0.3">
      <c r="A39" s="268">
        <v>1988</v>
      </c>
      <c r="B39" s="603">
        <f>'C1-Incomes'!J36</f>
        <v>4493372.5432000002</v>
      </c>
      <c r="C39" s="277">
        <f t="shared" si="14"/>
        <v>-75299.91029543677</v>
      </c>
      <c r="D39" s="277">
        <f t="shared" si="11"/>
        <v>-37649.955147718385</v>
      </c>
      <c r="E39" s="277">
        <f t="shared" si="15"/>
        <v>51527.604987210798</v>
      </c>
      <c r="F39" s="277">
        <f t="shared" si="16"/>
        <v>61422.260455944357</v>
      </c>
      <c r="G39" s="603"/>
      <c r="H39" s="706">
        <f t="shared" si="12"/>
        <v>1.1467467807713735E-2</v>
      </c>
      <c r="I39" s="277"/>
      <c r="J39" s="827">
        <v>61.973999999999997</v>
      </c>
      <c r="K39" s="643">
        <f t="shared" si="4"/>
        <v>3.896060352053643E-2</v>
      </c>
      <c r="L39" s="643"/>
      <c r="M39" s="643">
        <v>9.7100000000000006E-2</v>
      </c>
      <c r="N39" s="643">
        <v>0.10830000000000001</v>
      </c>
      <c r="O39" s="643"/>
      <c r="P39" s="332">
        <f t="shared" si="0"/>
        <v>0.40124205479440195</v>
      </c>
      <c r="Q39" s="332">
        <f t="shared" si="1"/>
        <v>0.35974703158390053</v>
      </c>
      <c r="R39" s="644"/>
      <c r="S39" s="277">
        <v>291622</v>
      </c>
      <c r="T39" s="277">
        <v>710249</v>
      </c>
      <c r="U39" s="277">
        <f t="shared" si="5"/>
        <v>209313.5</v>
      </c>
      <c r="V39" s="277">
        <f t="shared" si="6"/>
        <v>209313.5</v>
      </c>
      <c r="W39" s="644"/>
      <c r="X39" s="277">
        <v>280413</v>
      </c>
      <c r="Y39" s="277">
        <v>151495</v>
      </c>
      <c r="Z39" s="277">
        <f t="shared" si="7"/>
        <v>128918</v>
      </c>
      <c r="AA39" s="277"/>
      <c r="AB39" s="277">
        <v>136597</v>
      </c>
      <c r="AC39" s="277">
        <v>8385</v>
      </c>
      <c r="AD39" s="277">
        <f t="shared" si="8"/>
        <v>128212</v>
      </c>
      <c r="AE39" s="644"/>
      <c r="AF39" s="277">
        <v>901258</v>
      </c>
      <c r="AG39" s="277">
        <v>925311</v>
      </c>
      <c r="AH39" s="277">
        <f t="shared" si="9"/>
        <v>-24053</v>
      </c>
      <c r="AI39" s="644"/>
      <c r="AJ39" s="277">
        <v>247915</v>
      </c>
      <c r="AK39" s="277">
        <v>27394</v>
      </c>
      <c r="AL39" s="277"/>
      <c r="AM39" s="277">
        <v>55075</v>
      </c>
      <c r="AN39" s="277">
        <v>56587</v>
      </c>
      <c r="AO39" s="277">
        <f>AJ39-AK39+AM39-AN39+'C10-Adj by Source'!AB34</f>
        <v>236373</v>
      </c>
      <c r="AP39" s="277">
        <f t="shared" si="2"/>
        <v>210358.07000928506</v>
      </c>
      <c r="AQ39" s="277">
        <f t="shared" si="10"/>
        <v>71230.980217521865</v>
      </c>
      <c r="AR39" s="332">
        <f t="shared" si="13"/>
        <v>0.86229699869882326</v>
      </c>
      <c r="AS39" s="644"/>
      <c r="AT39" s="277">
        <v>2347</v>
      </c>
      <c r="AU39" s="277">
        <v>884</v>
      </c>
      <c r="AV39" s="277"/>
      <c r="AW39" s="277">
        <v>353.8</v>
      </c>
      <c r="AX39" s="277">
        <v>1.8</v>
      </c>
      <c r="AY39" s="332">
        <f t="shared" si="3"/>
        <v>0.88994119467657073</v>
      </c>
    </row>
    <row r="40" spans="1:51" ht="10.5" customHeight="1" x14ac:dyDescent="0.3">
      <c r="A40" s="268">
        <v>1989</v>
      </c>
      <c r="B40" s="603">
        <f>'C1-Incomes'!J37</f>
        <v>4782196.0384999998</v>
      </c>
      <c r="C40" s="277">
        <f t="shared" si="14"/>
        <v>-100677.98886192436</v>
      </c>
      <c r="D40" s="277">
        <f t="shared" si="11"/>
        <v>-50338.994430962179</v>
      </c>
      <c r="E40" s="277">
        <f>(Z40+AD40+AH40-U40*0.5)*P40</f>
        <v>71790.392522301612</v>
      </c>
      <c r="F40" s="277">
        <f t="shared" si="16"/>
        <v>79226.590770584909</v>
      </c>
      <c r="G40" s="603"/>
      <c r="H40" s="706">
        <f t="shared" si="12"/>
        <v>1.501201371594537E-2</v>
      </c>
      <c r="I40" s="277"/>
      <c r="J40" s="827">
        <v>64.641000000000005</v>
      </c>
      <c r="K40" s="643">
        <f t="shared" si="4"/>
        <v>4.3034175622035188E-2</v>
      </c>
      <c r="L40" s="643"/>
      <c r="M40" s="643">
        <v>9.2600000000000002E-2</v>
      </c>
      <c r="N40" s="643">
        <v>0.1018</v>
      </c>
      <c r="O40" s="643"/>
      <c r="P40" s="332">
        <f t="shared" si="0"/>
        <v>0.46473191816452686</v>
      </c>
      <c r="Q40" s="332">
        <f t="shared" si="1"/>
        <v>0.42273256996105291</v>
      </c>
      <c r="R40" s="644"/>
      <c r="S40" s="277">
        <v>318482</v>
      </c>
      <c r="T40" s="277">
        <v>794802</v>
      </c>
      <c r="U40" s="277">
        <f t="shared" si="5"/>
        <v>238160</v>
      </c>
      <c r="V40" s="277">
        <f t="shared" si="6"/>
        <v>238160</v>
      </c>
      <c r="W40" s="644"/>
      <c r="X40" s="277">
        <v>332083</v>
      </c>
      <c r="Y40" s="277">
        <v>179036</v>
      </c>
      <c r="Z40" s="277">
        <f t="shared" si="7"/>
        <v>153047</v>
      </c>
      <c r="AA40" s="277"/>
      <c r="AB40" s="277">
        <v>150475</v>
      </c>
      <c r="AC40" s="277">
        <v>8766</v>
      </c>
      <c r="AD40" s="277">
        <f t="shared" si="8"/>
        <v>141709</v>
      </c>
      <c r="AE40" s="644"/>
      <c r="AF40" s="277">
        <v>1056371</v>
      </c>
      <c r="AG40" s="277">
        <v>1077570</v>
      </c>
      <c r="AH40" s="277">
        <f t="shared" si="9"/>
        <v>-21199</v>
      </c>
      <c r="AI40" s="644"/>
      <c r="AJ40" s="277">
        <v>269660</v>
      </c>
      <c r="AK40" s="277">
        <v>25880</v>
      </c>
      <c r="AL40" s="277"/>
      <c r="AM40" s="277">
        <v>62309</v>
      </c>
      <c r="AN40" s="277">
        <v>62275</v>
      </c>
      <c r="AO40" s="277">
        <f>AJ40-AK40+AM40-AN40+'C10-Adj by Source'!AB35</f>
        <v>265460</v>
      </c>
      <c r="AP40" s="277">
        <f t="shared" si="2"/>
        <v>232779.37823534515</v>
      </c>
      <c r="AQ40" s="277">
        <f t="shared" si="10"/>
        <v>90575.534537995976</v>
      </c>
      <c r="AR40" s="332">
        <f t="shared" si="13"/>
        <v>0.87470188472748955</v>
      </c>
      <c r="AS40" s="644"/>
      <c r="AT40" s="277">
        <v>2526.3000000000002</v>
      </c>
      <c r="AU40" s="277">
        <v>931.6</v>
      </c>
      <c r="AV40" s="277"/>
      <c r="AW40" s="277">
        <v>423.7</v>
      </c>
      <c r="AX40" s="277">
        <v>2</v>
      </c>
      <c r="AY40" s="332">
        <f t="shared" si="3"/>
        <v>0.87689059834003302</v>
      </c>
    </row>
    <row r="41" spans="1:51" ht="10.5" customHeight="1" x14ac:dyDescent="0.3">
      <c r="A41" s="268">
        <v>1990</v>
      </c>
      <c r="B41" s="603">
        <f>'C1-Incomes'!J38</f>
        <v>5036094.3466999996</v>
      </c>
      <c r="C41" s="277">
        <f t="shared" si="14"/>
        <v>-101448.37929941397</v>
      </c>
      <c r="D41" s="277">
        <f t="shared" si="11"/>
        <v>-50724.189649706983</v>
      </c>
      <c r="E41" s="277">
        <f t="shared" si="15"/>
        <v>66590.958038431025</v>
      </c>
      <c r="F41" s="277">
        <f t="shared" si="16"/>
        <v>85581.610910689909</v>
      </c>
      <c r="G41" s="603"/>
      <c r="H41" s="706">
        <f t="shared" si="12"/>
        <v>1.3222738386953784E-2</v>
      </c>
      <c r="I41" s="277"/>
      <c r="J41" s="827">
        <v>67.44</v>
      </c>
      <c r="K41" s="643">
        <f t="shared" si="4"/>
        <v>4.3300691511579219E-2</v>
      </c>
      <c r="L41" s="643"/>
      <c r="M41" s="643">
        <v>9.3200000000000005E-2</v>
      </c>
      <c r="N41" s="643">
        <v>0.1036</v>
      </c>
      <c r="O41" s="643"/>
      <c r="P41" s="332">
        <f t="shared" si="0"/>
        <v>0.46459969433024911</v>
      </c>
      <c r="Q41" s="332">
        <f t="shared" si="1"/>
        <v>0.41796034277586119</v>
      </c>
      <c r="R41" s="644"/>
      <c r="S41" s="277">
        <v>337614</v>
      </c>
      <c r="T41" s="277">
        <v>823059</v>
      </c>
      <c r="U41" s="277">
        <f t="shared" si="5"/>
        <v>242722.5</v>
      </c>
      <c r="V41" s="277">
        <f t="shared" si="6"/>
        <v>242722.5</v>
      </c>
      <c r="W41" s="644"/>
      <c r="X41" s="277">
        <v>345584</v>
      </c>
      <c r="Y41" s="277">
        <v>183005</v>
      </c>
      <c r="Z41" s="277">
        <f t="shared" si="7"/>
        <v>162579</v>
      </c>
      <c r="AA41" s="277"/>
      <c r="AB41" s="277">
        <v>152206</v>
      </c>
      <c r="AC41" s="277">
        <v>8003</v>
      </c>
      <c r="AD41" s="277">
        <f t="shared" si="8"/>
        <v>144203</v>
      </c>
      <c r="AE41" s="644"/>
      <c r="AF41" s="277">
        <v>1051173</v>
      </c>
      <c r="AG41" s="277">
        <v>1093264</v>
      </c>
      <c r="AH41" s="277">
        <f t="shared" si="9"/>
        <v>-42091</v>
      </c>
      <c r="AI41" s="644"/>
      <c r="AJ41" s="277">
        <v>289046</v>
      </c>
      <c r="AK41" s="277">
        <v>26943</v>
      </c>
      <c r="AL41" s="277"/>
      <c r="AM41" s="277">
        <v>61822</v>
      </c>
      <c r="AN41" s="277">
        <v>64080</v>
      </c>
      <c r="AO41" s="277">
        <f>AJ41-AK41+AM41-AN41+'C10-Adj by Source'!AB36</f>
        <v>283453</v>
      </c>
      <c r="AP41" s="277">
        <f t="shared" si="2"/>
        <v>250380.23060219269</v>
      </c>
      <c r="AQ41" s="277">
        <f t="shared" si="10"/>
        <v>97596.282421977594</v>
      </c>
      <c r="AR41" s="332">
        <f t="shared" si="13"/>
        <v>0.87689416837272771</v>
      </c>
      <c r="AS41" s="644"/>
      <c r="AT41" s="277">
        <v>2798.4</v>
      </c>
      <c r="AU41" s="277">
        <v>977.8</v>
      </c>
      <c r="AV41" s="277"/>
      <c r="AW41" s="277">
        <v>438.4</v>
      </c>
      <c r="AX41" s="277">
        <v>2.2000000000000002</v>
      </c>
      <c r="AY41" s="332">
        <f t="shared" si="3"/>
        <v>0.883321857952439</v>
      </c>
    </row>
    <row r="42" spans="1:51" ht="10.5" customHeight="1" x14ac:dyDescent="0.3">
      <c r="A42" s="268">
        <v>1991</v>
      </c>
      <c r="B42" s="603">
        <f>'C1-Incomes'!J39</f>
        <v>5186123.0979000004</v>
      </c>
      <c r="C42" s="277">
        <f t="shared" si="14"/>
        <v>-77071.856465006043</v>
      </c>
      <c r="D42" s="277">
        <f t="shared" si="11"/>
        <v>-38535.928232503022</v>
      </c>
      <c r="E42" s="277">
        <f t="shared" si="15"/>
        <v>38993.100670759733</v>
      </c>
      <c r="F42" s="277">
        <f t="shared" si="16"/>
        <v>76614.684026749339</v>
      </c>
      <c r="G42" s="603"/>
      <c r="H42" s="706">
        <f t="shared" si="12"/>
        <v>7.5187379733714921E-3</v>
      </c>
      <c r="I42" s="277"/>
      <c r="J42" s="827">
        <v>69.652000000000001</v>
      </c>
      <c r="K42" s="643">
        <f t="shared" si="4"/>
        <v>3.279952550415189E-2</v>
      </c>
      <c r="L42" s="643"/>
      <c r="M42" s="643">
        <v>8.77E-2</v>
      </c>
      <c r="N42" s="643">
        <v>9.8000000000000004E-2</v>
      </c>
      <c r="O42" s="643"/>
      <c r="P42" s="332">
        <f t="shared" si="0"/>
        <v>0.37399687005874449</v>
      </c>
      <c r="Q42" s="332">
        <f t="shared" si="1"/>
        <v>0.33468903575665193</v>
      </c>
      <c r="R42" s="644"/>
      <c r="S42" s="277">
        <v>345479</v>
      </c>
      <c r="T42" s="277">
        <v>806037</v>
      </c>
      <c r="U42" s="277">
        <f t="shared" si="5"/>
        <v>230279</v>
      </c>
      <c r="V42" s="277">
        <f t="shared" si="6"/>
        <v>230279</v>
      </c>
      <c r="W42" s="644"/>
      <c r="X42" s="277">
        <v>329487</v>
      </c>
      <c r="Y42" s="277">
        <v>180535</v>
      </c>
      <c r="Z42" s="277">
        <f t="shared" si="7"/>
        <v>148952</v>
      </c>
      <c r="AA42" s="277"/>
      <c r="AB42" s="277">
        <v>146012</v>
      </c>
      <c r="AC42" s="277">
        <v>7322</v>
      </c>
      <c r="AD42" s="277">
        <f t="shared" si="8"/>
        <v>138690</v>
      </c>
      <c r="AE42" s="644"/>
      <c r="AF42" s="277">
        <v>969666</v>
      </c>
      <c r="AG42" s="277">
        <v>1037908</v>
      </c>
      <c r="AH42" s="277">
        <f t="shared" si="9"/>
        <v>-68242</v>
      </c>
      <c r="AI42" s="644"/>
      <c r="AJ42" s="277">
        <v>304358</v>
      </c>
      <c r="AK42" s="277">
        <v>26249</v>
      </c>
      <c r="AL42" s="277"/>
      <c r="AM42" s="277">
        <v>67550</v>
      </c>
      <c r="AN42" s="277">
        <v>62367</v>
      </c>
      <c r="AO42" s="277">
        <f>AJ42-AK42+AM42-AN42+'C10-Adj by Source'!AB37</f>
        <v>304070</v>
      </c>
      <c r="AP42" s="277">
        <f t="shared" si="2"/>
        <v>269391.79229999526</v>
      </c>
      <c r="AQ42" s="277">
        <f t="shared" si="10"/>
        <v>84570.509170971636</v>
      </c>
      <c r="AR42" s="332">
        <f t="shared" si="13"/>
        <v>0.90592672052927536</v>
      </c>
      <c r="AS42" s="644"/>
      <c r="AT42" s="277">
        <v>3128.8</v>
      </c>
      <c r="AU42" s="277">
        <v>1068.5999999999999</v>
      </c>
      <c r="AV42" s="277"/>
      <c r="AW42" s="277">
        <v>476.3</v>
      </c>
      <c r="AX42" s="277">
        <v>2.4</v>
      </c>
      <c r="AY42" s="332">
        <f t="shared" si="3"/>
        <v>0.88595320912946107</v>
      </c>
    </row>
    <row r="43" spans="1:51" ht="10.5" customHeight="1" x14ac:dyDescent="0.3">
      <c r="A43" s="268">
        <v>1992</v>
      </c>
      <c r="B43" s="603">
        <f>'C1-Incomes'!J40</f>
        <v>5499747.9360999996</v>
      </c>
      <c r="C43" s="277">
        <f t="shared" si="14"/>
        <v>-66176.830484149148</v>
      </c>
      <c r="D43" s="277">
        <f t="shared" si="11"/>
        <v>-33088.415242074574</v>
      </c>
      <c r="E43" s="277">
        <f t="shared" si="15"/>
        <v>24889.22782281191</v>
      </c>
      <c r="F43" s="277">
        <f t="shared" si="16"/>
        <v>74376.017903411805</v>
      </c>
      <c r="G43" s="603"/>
      <c r="H43" s="706">
        <f t="shared" si="12"/>
        <v>4.5255215533498514E-3</v>
      </c>
      <c r="I43" s="277"/>
      <c r="J43" s="827">
        <v>71.494</v>
      </c>
      <c r="K43" s="643">
        <f t="shared" si="4"/>
        <v>2.6445758915752581E-2</v>
      </c>
      <c r="L43" s="643"/>
      <c r="M43" s="643">
        <v>8.14E-2</v>
      </c>
      <c r="N43" s="643">
        <v>8.9800000000000005E-2</v>
      </c>
      <c r="O43" s="643"/>
      <c r="P43" s="332">
        <f t="shared" ref="P43:P67" si="17">MIN($K43/M43,1)</f>
        <v>0.32488647316649361</v>
      </c>
      <c r="Q43" s="332">
        <f t="shared" ref="Q43:Q67" si="18">MIN($K43/N43,1)</f>
        <v>0.29449620173443852</v>
      </c>
      <c r="R43" s="644"/>
      <c r="S43" s="277">
        <v>344469</v>
      </c>
      <c r="T43" s="277">
        <v>793893</v>
      </c>
      <c r="U43" s="277">
        <f t="shared" si="5"/>
        <v>224712</v>
      </c>
      <c r="V43" s="277">
        <f t="shared" si="6"/>
        <v>224712</v>
      </c>
      <c r="W43" s="644"/>
      <c r="X43" s="277">
        <v>288989</v>
      </c>
      <c r="Y43" s="277">
        <v>165239</v>
      </c>
      <c r="Z43" s="277">
        <f t="shared" si="7"/>
        <v>123750</v>
      </c>
      <c r="AA43" s="277"/>
      <c r="AB43" s="277">
        <v>131379</v>
      </c>
      <c r="AC43" s="277">
        <v>7648</v>
      </c>
      <c r="AD43" s="277">
        <f t="shared" si="8"/>
        <v>123731</v>
      </c>
      <c r="AE43" s="644"/>
      <c r="AF43" s="277">
        <v>890248</v>
      </c>
      <c r="AG43" s="277">
        <v>948764</v>
      </c>
      <c r="AH43" s="277">
        <f t="shared" si="9"/>
        <v>-58516</v>
      </c>
      <c r="AI43" s="644"/>
      <c r="AJ43" s="277">
        <v>306887</v>
      </c>
      <c r="AK43" s="277">
        <v>22193</v>
      </c>
      <c r="AL43" s="277"/>
      <c r="AM43" s="277">
        <v>73640</v>
      </c>
      <c r="AN43" s="277">
        <v>58825</v>
      </c>
      <c r="AO43" s="277">
        <f>AJ43-AK43+AM43-AN43+'C10-Adj by Source'!AB38</f>
        <v>316283</v>
      </c>
      <c r="AP43" s="277">
        <f t="shared" ref="AP43:AP65" si="19">AO43*AY43</f>
        <v>279994.60050466267</v>
      </c>
      <c r="AQ43" s="277">
        <f t="shared" si="10"/>
        <v>76763.102810025215</v>
      </c>
      <c r="AR43" s="332">
        <f t="shared" si="13"/>
        <v>0.96890322538784013</v>
      </c>
      <c r="AS43" s="644"/>
      <c r="AT43" s="277">
        <v>3472.3</v>
      </c>
      <c r="AU43" s="277">
        <v>1085.2</v>
      </c>
      <c r="AV43" s="277"/>
      <c r="AW43" s="277">
        <v>520.29999999999995</v>
      </c>
      <c r="AX43" s="277">
        <v>2.6</v>
      </c>
      <c r="AY43" s="332">
        <f t="shared" ref="AY43:AY66" si="20">1-(AW43+AX43)/(AT43+AU43)</f>
        <v>0.88526604498080086</v>
      </c>
    </row>
    <row r="44" spans="1:51" ht="10.5" customHeight="1" x14ac:dyDescent="0.3">
      <c r="A44" s="268">
        <v>1993</v>
      </c>
      <c r="B44" s="603">
        <f>'C1-Incomes'!J41</f>
        <v>5754784.1842999998</v>
      </c>
      <c r="C44" s="277">
        <f t="shared" si="14"/>
        <v>-69842.791594324444</v>
      </c>
      <c r="D44" s="277">
        <f t="shared" si="11"/>
        <v>-34921.395797162222</v>
      </c>
      <c r="E44" s="277">
        <f t="shared" si="15"/>
        <v>24040.19946814586</v>
      </c>
      <c r="F44" s="277">
        <f t="shared" si="16"/>
        <v>80723.987923340799</v>
      </c>
      <c r="G44" s="603"/>
      <c r="H44" s="598">
        <f t="shared" si="12"/>
        <v>4.1774285009212831E-3</v>
      </c>
      <c r="I44" s="277"/>
      <c r="J44" s="827">
        <v>73.278999999999996</v>
      </c>
      <c r="K44" s="643">
        <f t="shared" si="4"/>
        <v>2.4967130108820273E-2</v>
      </c>
      <c r="L44" s="643"/>
      <c r="M44" s="643">
        <v>7.22E-2</v>
      </c>
      <c r="N44" s="643">
        <v>7.9299999999999995E-2</v>
      </c>
      <c r="O44" s="643"/>
      <c r="P44" s="332">
        <f t="shared" si="17"/>
        <v>0.34580512616094561</v>
      </c>
      <c r="Q44" s="332">
        <f t="shared" si="18"/>
        <v>0.31484401146053309</v>
      </c>
      <c r="R44" s="644"/>
      <c r="S44" s="277">
        <v>341092</v>
      </c>
      <c r="T44" s="277">
        <v>784758</v>
      </c>
      <c r="U44" s="277">
        <f t="shared" si="5"/>
        <v>221833</v>
      </c>
      <c r="V44" s="277">
        <f t="shared" si="6"/>
        <v>221833</v>
      </c>
      <c r="W44" s="644"/>
      <c r="X44" s="277">
        <v>265680</v>
      </c>
      <c r="Y44" s="277">
        <v>156100</v>
      </c>
      <c r="Z44" s="277">
        <f t="shared" si="7"/>
        <v>109580</v>
      </c>
      <c r="AA44" s="277"/>
      <c r="AB44" s="277">
        <v>121541</v>
      </c>
      <c r="AC44" s="277">
        <v>8696</v>
      </c>
      <c r="AD44" s="277">
        <f t="shared" si="8"/>
        <v>112845</v>
      </c>
      <c r="AE44" s="644"/>
      <c r="AF44" s="277">
        <v>884938</v>
      </c>
      <c r="AG44" s="277">
        <v>926927</v>
      </c>
      <c r="AH44" s="277">
        <f t="shared" si="9"/>
        <v>-41989</v>
      </c>
      <c r="AI44" s="644"/>
      <c r="AJ44" s="277">
        <v>311439</v>
      </c>
      <c r="AK44" s="277">
        <v>22837</v>
      </c>
      <c r="AL44" s="277"/>
      <c r="AM44" s="277">
        <v>72235</v>
      </c>
      <c r="AN44" s="277">
        <v>55991</v>
      </c>
      <c r="AO44" s="277">
        <f>AJ44-AK44+AM44-AN44+'C10-Adj by Source'!AB39</f>
        <v>320833</v>
      </c>
      <c r="AP44" s="277">
        <f t="shared" si="19"/>
        <v>281730.33266688429</v>
      </c>
      <c r="AQ44" s="277">
        <f t="shared" si="10"/>
        <v>81720.132227614537</v>
      </c>
      <c r="AR44" s="332">
        <f t="shared" si="13"/>
        <v>0.98781029500173612</v>
      </c>
      <c r="AS44" s="644"/>
      <c r="AT44" s="277">
        <v>3757.7</v>
      </c>
      <c r="AU44" s="277">
        <v>1143.9000000000001</v>
      </c>
      <c r="AV44" s="277"/>
      <c r="AW44" s="277">
        <v>594.6</v>
      </c>
      <c r="AX44" s="277">
        <v>2.8</v>
      </c>
      <c r="AY44" s="332">
        <f t="shared" si="20"/>
        <v>0.87812142973722862</v>
      </c>
    </row>
    <row r="45" spans="1:51" ht="10.5" customHeight="1" x14ac:dyDescent="0.3">
      <c r="A45" s="268">
        <v>1994</v>
      </c>
      <c r="B45" s="603">
        <f>'C1-Incomes'!J42</f>
        <v>6140229.0157000003</v>
      </c>
      <c r="C45" s="277">
        <f t="shared" si="14"/>
        <v>-53794.368020845512</v>
      </c>
      <c r="D45" s="277">
        <f t="shared" si="11"/>
        <v>-26897.184010422756</v>
      </c>
      <c r="E45" s="277">
        <f t="shared" si="15"/>
        <v>18331.344765421571</v>
      </c>
      <c r="F45" s="277">
        <f t="shared" si="16"/>
        <v>62360.207265846693</v>
      </c>
      <c r="G45" s="603"/>
      <c r="H45" s="598">
        <f t="shared" si="12"/>
        <v>2.9854496825036997E-3</v>
      </c>
      <c r="I45" s="277"/>
      <c r="J45" s="827">
        <v>74.802999999999997</v>
      </c>
      <c r="K45" s="643">
        <f t="shared" si="4"/>
        <v>2.0797227036395159E-2</v>
      </c>
      <c r="L45" s="643"/>
      <c r="M45" s="643">
        <v>7.9600000000000004E-2</v>
      </c>
      <c r="N45" s="643">
        <v>8.6199999999999999E-2</v>
      </c>
      <c r="O45" s="643"/>
      <c r="P45" s="332">
        <f t="shared" si="17"/>
        <v>0.26127169643712511</v>
      </c>
      <c r="Q45" s="332">
        <f t="shared" si="18"/>
        <v>0.2412671349929833</v>
      </c>
      <c r="R45" s="644"/>
      <c r="S45" s="277">
        <v>349216</v>
      </c>
      <c r="T45" s="277">
        <v>795148</v>
      </c>
      <c r="U45" s="277">
        <f t="shared" si="5"/>
        <v>222966</v>
      </c>
      <c r="V45" s="277">
        <f t="shared" si="6"/>
        <v>222966</v>
      </c>
      <c r="W45" s="644"/>
      <c r="X45" s="277">
        <v>279495</v>
      </c>
      <c r="Y45" s="277">
        <v>170658</v>
      </c>
      <c r="Z45" s="277">
        <f t="shared" si="7"/>
        <v>108837</v>
      </c>
      <c r="AA45" s="277"/>
      <c r="AB45" s="277">
        <v>119437</v>
      </c>
      <c r="AC45" s="277">
        <v>9550</v>
      </c>
      <c r="AD45" s="277">
        <f t="shared" si="8"/>
        <v>109887</v>
      </c>
      <c r="AE45" s="644"/>
      <c r="AF45" s="277">
        <v>964678</v>
      </c>
      <c r="AG45" s="277">
        <v>1001757</v>
      </c>
      <c r="AH45" s="277">
        <f t="shared" si="9"/>
        <v>-37079</v>
      </c>
      <c r="AI45" s="644"/>
      <c r="AJ45" s="277">
        <v>320840</v>
      </c>
      <c r="AK45" s="277">
        <v>20021</v>
      </c>
      <c r="AL45" s="277"/>
      <c r="AM45" s="277">
        <v>71764</v>
      </c>
      <c r="AN45" s="277">
        <v>58215</v>
      </c>
      <c r="AO45" s="277">
        <f>AJ45-AK45+AM45-AN45+'C10-Adj by Source'!AB40</f>
        <v>334838</v>
      </c>
      <c r="AP45" s="277">
        <f t="shared" si="19"/>
        <v>292686.47835214896</v>
      </c>
      <c r="AQ45" s="277">
        <f t="shared" si="10"/>
        <v>64285.083011223083</v>
      </c>
      <c r="AR45" s="332">
        <f t="shared" si="13"/>
        <v>0.97005719437213234</v>
      </c>
      <c r="AS45" s="644"/>
      <c r="AT45" s="277">
        <v>3951.1</v>
      </c>
      <c r="AU45" s="277">
        <v>1097.9000000000001</v>
      </c>
      <c r="AV45" s="277"/>
      <c r="AW45" s="277">
        <v>632.6</v>
      </c>
      <c r="AX45" s="277">
        <v>3</v>
      </c>
      <c r="AY45" s="332">
        <f t="shared" si="20"/>
        <v>0.87411368587839178</v>
      </c>
    </row>
    <row r="46" spans="1:51" ht="10.5" customHeight="1" x14ac:dyDescent="0.3">
      <c r="A46" s="268">
        <v>1995</v>
      </c>
      <c r="B46" s="603">
        <f>'C1-Incomes'!J43</f>
        <v>6479476.4874999998</v>
      </c>
      <c r="C46" s="277">
        <f t="shared" si="14"/>
        <v>-59131.820313062861</v>
      </c>
      <c r="D46" s="277">
        <f t="shared" si="11"/>
        <v>-29565.91015653143</v>
      </c>
      <c r="E46" s="277">
        <f t="shared" si="15"/>
        <v>18040.702722761769</v>
      </c>
      <c r="F46" s="277">
        <f t="shared" si="16"/>
        <v>70657.027746832522</v>
      </c>
      <c r="G46" s="603"/>
      <c r="H46" s="598">
        <f t="shared" si="12"/>
        <v>2.7842840015802695E-3</v>
      </c>
      <c r="I46" s="277"/>
      <c r="J46" s="827">
        <v>76.355999999999995</v>
      </c>
      <c r="K46" s="643">
        <f t="shared" si="4"/>
        <v>2.076119941713564E-2</v>
      </c>
      <c r="L46" s="643"/>
      <c r="M46" s="643">
        <v>7.5899999999999995E-2</v>
      </c>
      <c r="N46" s="643">
        <v>8.199999999999999E-2</v>
      </c>
      <c r="O46" s="643"/>
      <c r="P46" s="332">
        <f t="shared" si="17"/>
        <v>0.27353358915857234</v>
      </c>
      <c r="Q46" s="332">
        <f t="shared" si="18"/>
        <v>0.25318535874555659</v>
      </c>
      <c r="R46" s="644"/>
      <c r="S46" s="277">
        <v>389903</v>
      </c>
      <c r="T46" s="277">
        <v>857006</v>
      </c>
      <c r="U46" s="277">
        <f t="shared" si="5"/>
        <v>233551.5</v>
      </c>
      <c r="V46" s="277">
        <f t="shared" si="6"/>
        <v>233551.5</v>
      </c>
      <c r="W46" s="644"/>
      <c r="X46" s="277">
        <v>313345</v>
      </c>
      <c r="Y46" s="277">
        <v>194493</v>
      </c>
      <c r="Z46" s="277">
        <f t="shared" si="7"/>
        <v>118852</v>
      </c>
      <c r="AA46" s="277"/>
      <c r="AB46" s="277">
        <v>124253</v>
      </c>
      <c r="AC46" s="277">
        <v>10405</v>
      </c>
      <c r="AD46" s="277">
        <f t="shared" si="8"/>
        <v>113848</v>
      </c>
      <c r="AE46" s="644"/>
      <c r="AF46" s="277">
        <v>1121346</v>
      </c>
      <c r="AG46" s="277">
        <v>1171316</v>
      </c>
      <c r="AH46" s="277">
        <f t="shared" si="9"/>
        <v>-49970</v>
      </c>
      <c r="AI46" s="644"/>
      <c r="AJ46" s="277">
        <v>352326</v>
      </c>
      <c r="AK46" s="277">
        <v>20843</v>
      </c>
      <c r="AL46" s="277"/>
      <c r="AM46" s="277">
        <v>76620</v>
      </c>
      <c r="AN46" s="277">
        <v>63626</v>
      </c>
      <c r="AO46" s="277">
        <f>AJ46-AK46+AM46-AN46+'C10-Adj by Source'!AB41</f>
        <v>367866</v>
      </c>
      <c r="AP46" s="277">
        <f t="shared" si="19"/>
        <v>309250.49903918942</v>
      </c>
      <c r="AQ46" s="277">
        <f t="shared" si="10"/>
        <v>68466.81323794082</v>
      </c>
      <c r="AR46" s="332">
        <f t="shared" si="13"/>
        <v>1.0319894326216135</v>
      </c>
      <c r="AS46" s="644"/>
      <c r="AT46" s="277">
        <v>4114.8999999999996</v>
      </c>
      <c r="AU46" s="277">
        <v>1037</v>
      </c>
      <c r="AV46" s="277"/>
      <c r="AW46" s="277">
        <v>816.9</v>
      </c>
      <c r="AX46" s="277">
        <v>4</v>
      </c>
      <c r="AY46" s="332">
        <f t="shared" si="20"/>
        <v>0.84066072711038642</v>
      </c>
    </row>
    <row r="47" spans="1:51" ht="10.5" customHeight="1" x14ac:dyDescent="0.3">
      <c r="A47" s="268">
        <v>1996</v>
      </c>
      <c r="B47" s="603">
        <f>'C1-Incomes'!J44</f>
        <v>6899394.8994000005</v>
      </c>
      <c r="C47" s="277">
        <f t="shared" si="14"/>
        <v>-60928.465110634104</v>
      </c>
      <c r="D47" s="277">
        <f t="shared" si="11"/>
        <v>-30464.232555317052</v>
      </c>
      <c r="E47" s="277">
        <f t="shared" si="15"/>
        <v>20119.399333323527</v>
      </c>
      <c r="F47" s="277">
        <f t="shared" si="16"/>
        <v>71273.29833262763</v>
      </c>
      <c r="G47" s="603"/>
      <c r="H47" s="598">
        <f t="shared" si="12"/>
        <v>2.9161107063277666E-3</v>
      </c>
      <c r="I47" s="277"/>
      <c r="J47" s="827">
        <v>77.980999999999995</v>
      </c>
      <c r="K47" s="643">
        <f t="shared" si="4"/>
        <v>2.1281890093771284E-2</v>
      </c>
      <c r="L47" s="643"/>
      <c r="M47" s="643">
        <v>7.3700000000000002E-2</v>
      </c>
      <c r="N47" s="643">
        <v>8.0500000000000002E-2</v>
      </c>
      <c r="O47" s="643"/>
      <c r="P47" s="332">
        <f t="shared" si="17"/>
        <v>0.2887637733211843</v>
      </c>
      <c r="Q47" s="332">
        <f t="shared" si="18"/>
        <v>0.26437130551268673</v>
      </c>
      <c r="R47" s="644"/>
      <c r="S47" s="277">
        <v>414378</v>
      </c>
      <c r="T47" s="277">
        <v>875309</v>
      </c>
      <c r="U47" s="277">
        <f t="shared" si="5"/>
        <v>230465.5</v>
      </c>
      <c r="V47" s="277">
        <f t="shared" si="6"/>
        <v>230465.5</v>
      </c>
      <c r="W47" s="644"/>
      <c r="X47" s="277">
        <v>328328</v>
      </c>
      <c r="Y47" s="277">
        <v>217318</v>
      </c>
      <c r="Z47" s="277">
        <f t="shared" si="7"/>
        <v>111010</v>
      </c>
      <c r="AA47" s="277"/>
      <c r="AB47" s="277">
        <v>124679</v>
      </c>
      <c r="AC47" s="277">
        <v>11203</v>
      </c>
      <c r="AD47" s="277">
        <f t="shared" si="8"/>
        <v>113476</v>
      </c>
      <c r="AE47" s="644"/>
      <c r="AF47" s="277">
        <v>1150954</v>
      </c>
      <c r="AG47" s="277">
        <v>1190533</v>
      </c>
      <c r="AH47" s="277">
        <f t="shared" si="9"/>
        <v>-39579</v>
      </c>
      <c r="AI47" s="644"/>
      <c r="AJ47" s="277">
        <v>359988</v>
      </c>
      <c r="AK47" s="277">
        <v>22534</v>
      </c>
      <c r="AL47" s="277"/>
      <c r="AM47" s="277">
        <v>72351</v>
      </c>
      <c r="AN47" s="277">
        <v>67714</v>
      </c>
      <c r="AO47" s="277">
        <f>AJ47-AK47+AM47-AN47+'C10-Adj by Source'!AB42</f>
        <v>362174</v>
      </c>
      <c r="AP47" s="277">
        <f t="shared" si="19"/>
        <v>291256.34388699464</v>
      </c>
      <c r="AQ47" s="277">
        <f t="shared" si="10"/>
        <v>64779.072166695863</v>
      </c>
      <c r="AR47" s="332">
        <f t="shared" si="13"/>
        <v>1.1002519169959735</v>
      </c>
      <c r="AS47" s="644"/>
      <c r="AT47" s="277">
        <v>4316.5</v>
      </c>
      <c r="AU47" s="277">
        <v>1021.3</v>
      </c>
      <c r="AV47" s="277"/>
      <c r="AW47" s="277">
        <v>1040.3</v>
      </c>
      <c r="AX47" s="277">
        <v>4.9000000000000004</v>
      </c>
      <c r="AY47" s="332">
        <f t="shared" si="20"/>
        <v>0.80418899171943492</v>
      </c>
    </row>
    <row r="48" spans="1:51" ht="10.5" customHeight="1" x14ac:dyDescent="0.3">
      <c r="A48" s="268">
        <v>1997</v>
      </c>
      <c r="B48" s="603">
        <f>'C1-Incomes'!J45</f>
        <v>7380370.9369000001</v>
      </c>
      <c r="C48" s="277">
        <f t="shared" si="14"/>
        <v>-52715.696258366464</v>
      </c>
      <c r="D48" s="277">
        <f t="shared" si="11"/>
        <v>-26357.848129183232</v>
      </c>
      <c r="E48" s="277">
        <f t="shared" si="15"/>
        <v>22838.87219048879</v>
      </c>
      <c r="F48" s="277">
        <f t="shared" si="16"/>
        <v>56234.672197060907</v>
      </c>
      <c r="G48" s="603"/>
      <c r="H48" s="598">
        <f t="shared" si="12"/>
        <v>3.0945425894923747E-3</v>
      </c>
      <c r="I48" s="277"/>
      <c r="J48" s="827">
        <v>79.326999999999998</v>
      </c>
      <c r="K48" s="643">
        <f t="shared" si="4"/>
        <v>1.7260614765135143E-2</v>
      </c>
      <c r="L48" s="643"/>
      <c r="M48" s="643">
        <v>7.2599999999999998E-2</v>
      </c>
      <c r="N48" s="643">
        <v>7.8600000000000003E-2</v>
      </c>
      <c r="O48" s="643"/>
      <c r="P48" s="332">
        <f t="shared" si="17"/>
        <v>0.23774951467128297</v>
      </c>
      <c r="Q48" s="332">
        <f t="shared" si="18"/>
        <v>0.21960069675744456</v>
      </c>
      <c r="R48" s="644"/>
      <c r="S48" s="277">
        <v>441461</v>
      </c>
      <c r="T48" s="277">
        <v>921566</v>
      </c>
      <c r="U48" s="277">
        <f t="shared" si="5"/>
        <v>240052.5</v>
      </c>
      <c r="V48" s="277">
        <f t="shared" si="6"/>
        <v>240052.5</v>
      </c>
      <c r="W48" s="644"/>
      <c r="X48" s="277">
        <v>355485</v>
      </c>
      <c r="Y48" s="277">
        <v>237782</v>
      </c>
      <c r="Z48" s="277">
        <f t="shared" si="7"/>
        <v>117703</v>
      </c>
      <c r="AA48" s="277"/>
      <c r="AB48" s="277">
        <v>130077</v>
      </c>
      <c r="AC48" s="277">
        <v>11997</v>
      </c>
      <c r="AD48" s="277">
        <f t="shared" si="8"/>
        <v>118080</v>
      </c>
      <c r="AE48" s="644"/>
      <c r="AF48" s="277">
        <v>1267247</v>
      </c>
      <c r="AG48" s="277">
        <v>1286941</v>
      </c>
      <c r="AH48" s="277">
        <f t="shared" si="9"/>
        <v>-19694</v>
      </c>
      <c r="AI48" s="644"/>
      <c r="AJ48" s="277">
        <v>365600</v>
      </c>
      <c r="AK48" s="277">
        <v>20973</v>
      </c>
      <c r="AL48" s="277"/>
      <c r="AM48" s="277">
        <v>70222</v>
      </c>
      <c r="AN48" s="277">
        <v>71785</v>
      </c>
      <c r="AO48" s="277">
        <f>AJ48-AK48+AM48-AN48+'C10-Adj by Source'!AB43</f>
        <v>363723</v>
      </c>
      <c r="AP48" s="277">
        <f t="shared" si="19"/>
        <v>286324.18793831463</v>
      </c>
      <c r="AQ48" s="277">
        <f t="shared" si="10"/>
        <v>51542.348058815282</v>
      </c>
      <c r="AR48" s="332">
        <f t="shared" si="13"/>
        <v>1.0910382300179879</v>
      </c>
      <c r="AS48" s="644"/>
      <c r="AT48" s="277">
        <v>4380</v>
      </c>
      <c r="AU48" s="277">
        <v>1067</v>
      </c>
      <c r="AV48" s="277"/>
      <c r="AW48" s="277">
        <v>1153.2</v>
      </c>
      <c r="AX48" s="277">
        <v>5.9</v>
      </c>
      <c r="AY48" s="332">
        <f t="shared" si="20"/>
        <v>0.78720396548558835</v>
      </c>
    </row>
    <row r="49" spans="1:51" ht="10.5" customHeight="1" x14ac:dyDescent="0.3">
      <c r="A49" s="268">
        <v>1998</v>
      </c>
      <c r="B49" s="603">
        <f>'C1-Incomes'!J46</f>
        <v>7857277.2644999996</v>
      </c>
      <c r="C49" s="277">
        <f t="shared" si="14"/>
        <v>-27905.613574612344</v>
      </c>
      <c r="D49" s="277">
        <f t="shared" si="11"/>
        <v>-13952.806787306172</v>
      </c>
      <c r="E49" s="277">
        <f t="shared" si="15"/>
        <v>16331.172792418138</v>
      </c>
      <c r="F49" s="277">
        <f t="shared" si="16"/>
        <v>25527.247569500374</v>
      </c>
      <c r="G49" s="603"/>
      <c r="H49" s="598">
        <f t="shared" si="12"/>
        <v>2.0784773456072481E-3</v>
      </c>
      <c r="I49" s="277"/>
      <c r="J49" s="827">
        <v>79.936000000000007</v>
      </c>
      <c r="K49" s="643">
        <f t="shared" si="4"/>
        <v>7.6770834646464493E-3</v>
      </c>
      <c r="L49" s="643"/>
      <c r="M49" s="643">
        <v>6.5299999999999997E-2</v>
      </c>
      <c r="N49" s="643">
        <v>7.22E-2</v>
      </c>
      <c r="O49" s="643"/>
      <c r="P49" s="332">
        <f t="shared" si="17"/>
        <v>0.11756636239887365</v>
      </c>
      <c r="Q49" s="332">
        <f t="shared" si="18"/>
        <v>0.1063307959092306</v>
      </c>
      <c r="R49" s="644"/>
      <c r="S49" s="277">
        <v>463310</v>
      </c>
      <c r="T49" s="277">
        <v>988193</v>
      </c>
      <c r="U49" s="277">
        <f t="shared" si="5"/>
        <v>262441.5</v>
      </c>
      <c r="V49" s="277">
        <f t="shared" si="6"/>
        <v>262441.5</v>
      </c>
      <c r="W49" s="644"/>
      <c r="X49" s="277">
        <v>366356</v>
      </c>
      <c r="Y49" s="277">
        <v>228436</v>
      </c>
      <c r="Z49" s="277">
        <f t="shared" si="7"/>
        <v>137920</v>
      </c>
      <c r="AA49" s="277"/>
      <c r="AB49" s="277">
        <v>140604</v>
      </c>
      <c r="AC49" s="277">
        <v>12937</v>
      </c>
      <c r="AD49" s="277">
        <f t="shared" si="8"/>
        <v>127667</v>
      </c>
      <c r="AE49" s="644"/>
      <c r="AF49" s="277">
        <v>1386536</v>
      </c>
      <c r="AG49" s="277">
        <v>1381992</v>
      </c>
      <c r="AH49" s="277">
        <f t="shared" si="9"/>
        <v>4544</v>
      </c>
      <c r="AI49" s="644"/>
      <c r="AJ49" s="277">
        <v>365569</v>
      </c>
      <c r="AK49" s="277">
        <v>17303</v>
      </c>
      <c r="AL49" s="277"/>
      <c r="AM49" s="277">
        <v>61433</v>
      </c>
      <c r="AN49" s="277">
        <v>74982</v>
      </c>
      <c r="AO49" s="277">
        <f>AJ49-AK49+AM49-AN49+'C10-Adj by Source'!AB44</f>
        <v>361278</v>
      </c>
      <c r="AP49" s="277">
        <f t="shared" si="19"/>
        <v>284230.05737973168</v>
      </c>
      <c r="AQ49" s="277">
        <f t="shared" si="10"/>
        <v>25033.240707317033</v>
      </c>
      <c r="AR49" s="332">
        <f t="shared" ref="AR49:AR65" si="21">F49/AQ49</f>
        <v>1.0197340355553306</v>
      </c>
      <c r="AS49" s="644"/>
      <c r="AT49" s="277">
        <v>4366.6000000000004</v>
      </c>
      <c r="AU49" s="277">
        <v>1133.5999999999999</v>
      </c>
      <c r="AV49" s="277"/>
      <c r="AW49" s="277">
        <v>1166.2</v>
      </c>
      <c r="AX49" s="277">
        <v>6.8</v>
      </c>
      <c r="AY49" s="332">
        <f t="shared" si="20"/>
        <v>0.78673502781717031</v>
      </c>
    </row>
    <row r="50" spans="1:51" ht="10.5" customHeight="1" x14ac:dyDescent="0.3">
      <c r="A50" s="268">
        <v>1999</v>
      </c>
      <c r="B50" s="603">
        <f>'C1-Incomes'!J47</f>
        <v>8324398.7141000004</v>
      </c>
      <c r="C50" s="277">
        <f t="shared" si="14"/>
        <v>-46455.102773450984</v>
      </c>
      <c r="D50" s="277">
        <f t="shared" si="11"/>
        <v>-23227.551386725492</v>
      </c>
      <c r="E50" s="277">
        <f t="shared" si="15"/>
        <v>30624.897467689854</v>
      </c>
      <c r="F50" s="277">
        <f t="shared" si="16"/>
        <v>39057.756692486626</v>
      </c>
      <c r="G50" s="603"/>
      <c r="H50" s="598">
        <f t="shared" si="12"/>
        <v>3.6789320790001218E-3</v>
      </c>
      <c r="I50" s="277"/>
      <c r="J50" s="827">
        <v>81.11</v>
      </c>
      <c r="K50" s="643">
        <f t="shared" si="4"/>
        <v>1.4686749399519519E-2</v>
      </c>
      <c r="L50" s="643"/>
      <c r="M50" s="643">
        <v>7.0400000000000004E-2</v>
      </c>
      <c r="N50" s="643">
        <v>7.8700000000000006E-2</v>
      </c>
      <c r="O50" s="643"/>
      <c r="P50" s="332">
        <f t="shared" si="17"/>
        <v>0.20861859942499314</v>
      </c>
      <c r="Q50" s="332">
        <f t="shared" si="18"/>
        <v>0.18661689198881218</v>
      </c>
      <c r="R50" s="644"/>
      <c r="S50" s="277">
        <v>486514</v>
      </c>
      <c r="T50" s="277">
        <v>984380</v>
      </c>
      <c r="U50" s="277">
        <f t="shared" si="5"/>
        <v>248933</v>
      </c>
      <c r="V50" s="277">
        <f t="shared" si="6"/>
        <v>248933</v>
      </c>
      <c r="W50" s="644"/>
      <c r="X50" s="277">
        <v>393118</v>
      </c>
      <c r="Y50" s="277">
        <v>242398</v>
      </c>
      <c r="Z50" s="277">
        <f t="shared" si="7"/>
        <v>150720</v>
      </c>
      <c r="AA50" s="277"/>
      <c r="AB50" s="277">
        <v>149304</v>
      </c>
      <c r="AC50" s="277">
        <v>13401</v>
      </c>
      <c r="AD50" s="277">
        <f t="shared" si="8"/>
        <v>135903</v>
      </c>
      <c r="AE50" s="644"/>
      <c r="AF50" s="277">
        <v>1445709</v>
      </c>
      <c r="AG50" s="277">
        <v>1461067</v>
      </c>
      <c r="AH50" s="277">
        <f t="shared" si="9"/>
        <v>-15358</v>
      </c>
      <c r="AI50" s="644"/>
      <c r="AJ50" s="277">
        <v>352184</v>
      </c>
      <c r="AK50" s="277">
        <v>17068</v>
      </c>
      <c r="AL50" s="277"/>
      <c r="AM50" s="277">
        <v>57783</v>
      </c>
      <c r="AN50" s="277">
        <v>78597</v>
      </c>
      <c r="AO50" s="277">
        <f>AJ50-AK50+AM50-AN50+'C10-Adj by Source'!AB45</f>
        <v>339712</v>
      </c>
      <c r="AP50" s="277">
        <f t="shared" si="19"/>
        <v>273967.25767806574</v>
      </c>
      <c r="AQ50" s="277">
        <f t="shared" si="10"/>
        <v>43662.879952311705</v>
      </c>
      <c r="AR50" s="332">
        <f t="shared" si="21"/>
        <v>0.89453001577415958</v>
      </c>
      <c r="AS50" s="644"/>
      <c r="AT50" s="277">
        <v>4336.7</v>
      </c>
      <c r="AU50" s="277">
        <v>1172.5</v>
      </c>
      <c r="AV50" s="277"/>
      <c r="AW50" s="277">
        <v>1058.4000000000001</v>
      </c>
      <c r="AX50" s="277">
        <v>7.8</v>
      </c>
      <c r="AY50" s="332">
        <f t="shared" si="20"/>
        <v>0.80646917882814195</v>
      </c>
    </row>
    <row r="51" spans="1:51" ht="10.5" customHeight="1" x14ac:dyDescent="0.3">
      <c r="A51" s="268">
        <v>2000</v>
      </c>
      <c r="B51" s="603">
        <f>'C1-Incomes'!J48</f>
        <v>8907019.0170000009</v>
      </c>
      <c r="C51" s="277">
        <f t="shared" si="14"/>
        <v>-79073.966610999691</v>
      </c>
      <c r="D51" s="277">
        <f t="shared" si="11"/>
        <v>-39536.983305499845</v>
      </c>
      <c r="E51" s="277">
        <f t="shared" si="15"/>
        <v>65519.277108531227</v>
      </c>
      <c r="F51" s="277">
        <f t="shared" si="16"/>
        <v>53091.672807968309</v>
      </c>
      <c r="G51" s="603"/>
      <c r="H51" s="598">
        <f t="shared" si="12"/>
        <v>7.3559152600303941E-3</v>
      </c>
      <c r="I51" s="277"/>
      <c r="J51" s="827">
        <v>83.131</v>
      </c>
      <c r="K51" s="643">
        <f t="shared" si="4"/>
        <v>2.491677968191346E-2</v>
      </c>
      <c r="L51" s="643"/>
      <c r="M51" s="643">
        <v>7.6200000000000004E-2</v>
      </c>
      <c r="N51" s="643">
        <v>8.3599999999999994E-2</v>
      </c>
      <c r="O51" s="643"/>
      <c r="P51" s="332">
        <f t="shared" si="17"/>
        <v>0.32699185934269631</v>
      </c>
      <c r="Q51" s="332">
        <f t="shared" si="18"/>
        <v>0.2980476038506395</v>
      </c>
      <c r="R51" s="644"/>
      <c r="S51" s="277">
        <v>540710</v>
      </c>
      <c r="T51" s="277">
        <v>1071323</v>
      </c>
      <c r="U51" s="277">
        <f>(T51-S51)*U$2</f>
        <v>265306.5</v>
      </c>
      <c r="V51" s="277">
        <f t="shared" si="6"/>
        <v>265306.5</v>
      </c>
      <c r="W51" s="644"/>
      <c r="X51" s="277">
        <v>472323</v>
      </c>
      <c r="Y51" s="277">
        <v>286478</v>
      </c>
      <c r="Z51" s="277">
        <f t="shared" si="7"/>
        <v>185845</v>
      </c>
      <c r="AA51" s="277"/>
      <c r="AB51" s="277">
        <v>169752</v>
      </c>
      <c r="AC51" s="277">
        <v>14636</v>
      </c>
      <c r="AD51" s="277">
        <f t="shared" si="8"/>
        <v>155116</v>
      </c>
      <c r="AE51" s="644"/>
      <c r="AF51" s="277">
        <v>1712590</v>
      </c>
      <c r="AG51" s="277">
        <v>1720528</v>
      </c>
      <c r="AH51" s="277">
        <f t="shared" si="9"/>
        <v>-7938</v>
      </c>
      <c r="AI51" s="644"/>
      <c r="AJ51" s="277">
        <v>353728</v>
      </c>
      <c r="AK51" s="277">
        <v>19314</v>
      </c>
      <c r="AL51" s="277"/>
      <c r="AM51" s="277">
        <v>52101</v>
      </c>
      <c r="AN51" s="277">
        <v>86317</v>
      </c>
      <c r="AO51" s="277">
        <f>AJ51-AK51+AM51-AN51+'C10-Adj by Source'!AB46</f>
        <v>325542</v>
      </c>
      <c r="AP51" s="277">
        <f t="shared" si="19"/>
        <v>261731.62720642838</v>
      </c>
      <c r="AQ51" s="277">
        <f t="shared" si="10"/>
        <v>65763.183075854395</v>
      </c>
      <c r="AR51" s="332">
        <f t="shared" si="21"/>
        <v>0.80731604409612956</v>
      </c>
      <c r="AS51" s="644"/>
      <c r="AT51" s="277">
        <v>4062.7</v>
      </c>
      <c r="AU51" s="277">
        <v>1189</v>
      </c>
      <c r="AV51" s="277"/>
      <c r="AW51" s="277">
        <v>1021.4</v>
      </c>
      <c r="AX51" s="277">
        <v>8</v>
      </c>
      <c r="AY51" s="332">
        <f t="shared" si="20"/>
        <v>0.80398728030923317</v>
      </c>
    </row>
    <row r="52" spans="1:51" ht="10.5" customHeight="1" x14ac:dyDescent="0.3">
      <c r="A52" s="268">
        <v>2001</v>
      </c>
      <c r="B52" s="603">
        <f>'C1-Incomes'!J49</f>
        <v>9184632.3684999999</v>
      </c>
      <c r="C52" s="277">
        <f t="shared" si="14"/>
        <v>-62568.367316599571</v>
      </c>
      <c r="D52" s="277">
        <f t="shared" si="11"/>
        <v>-30229.105324331325</v>
      </c>
      <c r="E52" s="277">
        <f t="shared" si="15"/>
        <v>53482.640172372543</v>
      </c>
      <c r="F52" s="277">
        <f t="shared" si="16"/>
        <v>39314.83246855835</v>
      </c>
      <c r="G52" s="603"/>
      <c r="H52" s="598">
        <f t="shared" si="12"/>
        <v>5.8230572576643182E-3</v>
      </c>
      <c r="I52" s="277"/>
      <c r="J52" s="827">
        <v>84.736000000000004</v>
      </c>
      <c r="K52" s="643">
        <f t="shared" si="4"/>
        <v>1.9306877097593003E-2</v>
      </c>
      <c r="L52" s="643"/>
      <c r="M52" s="643">
        <v>7.0800000000000002E-2</v>
      </c>
      <c r="N52" s="643">
        <v>7.9500000000000001E-2</v>
      </c>
      <c r="O52" s="643"/>
      <c r="P52" s="332">
        <f t="shared" si="17"/>
        <v>0.27269600420329099</v>
      </c>
      <c r="Q52" s="332">
        <f t="shared" si="18"/>
        <v>0.24285379996972331</v>
      </c>
      <c r="R52" s="644"/>
      <c r="S52" s="277">
        <v>566754</v>
      </c>
      <c r="T52" s="277">
        <v>1073341</v>
      </c>
      <c r="U52" s="277">
        <v>248949</v>
      </c>
      <c r="V52" s="277">
        <f t="shared" si="6"/>
        <v>257638</v>
      </c>
      <c r="W52" s="644"/>
      <c r="X52" s="277">
        <v>474640</v>
      </c>
      <c r="Y52" s="277">
        <v>270420</v>
      </c>
      <c r="Z52" s="277">
        <f t="shared" si="7"/>
        <v>204220</v>
      </c>
      <c r="AA52" s="277"/>
      <c r="AB52" s="277">
        <v>173910</v>
      </c>
      <c r="AC52" s="277">
        <v>15025</v>
      </c>
      <c r="AD52" s="277">
        <f t="shared" si="8"/>
        <v>158885</v>
      </c>
      <c r="AE52" s="644"/>
      <c r="AF52" s="277">
        <v>1625248</v>
      </c>
      <c r="AG52" s="277">
        <v>1667753</v>
      </c>
      <c r="AH52" s="277">
        <f t="shared" si="9"/>
        <v>-42505</v>
      </c>
      <c r="AI52" s="644"/>
      <c r="AJ52" s="277">
        <v>331225</v>
      </c>
      <c r="AK52" s="277">
        <v>18019</v>
      </c>
      <c r="AL52" s="277"/>
      <c r="AM52" s="277">
        <v>65447</v>
      </c>
      <c r="AN52" s="277">
        <v>81274</v>
      </c>
      <c r="AO52" s="277">
        <f>AJ52-AK52+AM52-AN52+'C10-Adj by Source'!AB47</f>
        <v>324468</v>
      </c>
      <c r="AP52" s="277">
        <f t="shared" si="19"/>
        <v>258338.36568198193</v>
      </c>
      <c r="AQ52" s="277">
        <f t="shared" si="10"/>
        <v>53020.836386450152</v>
      </c>
      <c r="AR52" s="332">
        <f t="shared" si="21"/>
        <v>0.74149777989178478</v>
      </c>
      <c r="AS52" s="644"/>
      <c r="AT52" s="277">
        <v>4118.5</v>
      </c>
      <c r="AU52" s="277">
        <v>1294.4000000000001</v>
      </c>
      <c r="AV52" s="277"/>
      <c r="AW52" s="277">
        <v>1095.2</v>
      </c>
      <c r="AX52" s="277">
        <v>8</v>
      </c>
      <c r="AY52" s="332">
        <f t="shared" si="20"/>
        <v>0.79619058175839197</v>
      </c>
    </row>
    <row r="53" spans="1:51" ht="10.5" customHeight="1" x14ac:dyDescent="0.3">
      <c r="A53" s="268">
        <v>2002</v>
      </c>
      <c r="B53" s="603">
        <f>'C1-Incomes'!J50</f>
        <v>9436822.1164999995</v>
      </c>
      <c r="C53" s="277">
        <f t="shared" si="14"/>
        <v>-28129.594360039519</v>
      </c>
      <c r="D53" s="277">
        <f t="shared" si="11"/>
        <v>-23248.915863569029</v>
      </c>
      <c r="E53" s="277">
        <f t="shared" si="15"/>
        <v>20616.081608964996</v>
      </c>
      <c r="F53" s="277">
        <f t="shared" si="16"/>
        <v>30762.428614643555</v>
      </c>
      <c r="G53" s="603"/>
      <c r="H53" s="598">
        <f t="shared" si="12"/>
        <v>2.1846423885556131E-3</v>
      </c>
      <c r="I53" s="277"/>
      <c r="J53" s="827">
        <v>85.873000000000005</v>
      </c>
      <c r="K53" s="643">
        <f t="shared" si="4"/>
        <v>1.3418145770392754E-2</v>
      </c>
      <c r="L53" s="643"/>
      <c r="M53" s="643">
        <v>6.4899999999999999E-2</v>
      </c>
      <c r="N53" s="643">
        <v>7.8E-2</v>
      </c>
      <c r="O53" s="643"/>
      <c r="P53" s="332">
        <f t="shared" si="17"/>
        <v>0.20675109045289297</v>
      </c>
      <c r="Q53" s="332">
        <f t="shared" si="18"/>
        <v>0.17202750987683019</v>
      </c>
      <c r="R53" s="644"/>
      <c r="S53" s="277">
        <v>559211</v>
      </c>
      <c r="T53" s="277">
        <v>993022</v>
      </c>
      <c r="U53" s="277">
        <v>270293</v>
      </c>
      <c r="V53" s="277">
        <f t="shared" si="6"/>
        <v>163518</v>
      </c>
      <c r="W53" s="644"/>
      <c r="X53" s="277">
        <v>431647</v>
      </c>
      <c r="Y53" s="277">
        <v>246100</v>
      </c>
      <c r="Z53" s="277">
        <f t="shared" si="7"/>
        <v>185547</v>
      </c>
      <c r="AA53" s="277"/>
      <c r="AB53" s="277">
        <v>166519</v>
      </c>
      <c r="AC53" s="277">
        <v>15462</v>
      </c>
      <c r="AD53" s="277">
        <f t="shared" si="8"/>
        <v>151057</v>
      </c>
      <c r="AE53" s="644"/>
      <c r="AF53" s="277">
        <v>1316215</v>
      </c>
      <c r="AG53" s="277">
        <v>1417958</v>
      </c>
      <c r="AH53" s="277">
        <f t="shared" si="9"/>
        <v>-101743</v>
      </c>
      <c r="AI53" s="644"/>
      <c r="AJ53" s="277">
        <v>302670</v>
      </c>
      <c r="AK53" s="277">
        <v>15275</v>
      </c>
      <c r="AL53" s="277"/>
      <c r="AM53" s="277">
        <v>84370</v>
      </c>
      <c r="AN53" s="277">
        <v>70455</v>
      </c>
      <c r="AO53" s="277">
        <f>AJ53-AK53+AM53-AN53+'C10-Adj by Source'!AB48</f>
        <v>325805</v>
      </c>
      <c r="AP53" s="277">
        <f t="shared" si="19"/>
        <v>253427.45050013703</v>
      </c>
      <c r="AQ53" s="277">
        <f t="shared" si="10"/>
        <v>37334.04128592398</v>
      </c>
      <c r="AR53" s="332">
        <f t="shared" si="21"/>
        <v>0.82397799849870224</v>
      </c>
      <c r="AS53" s="644"/>
      <c r="AT53" s="277">
        <v>4400.1000000000004</v>
      </c>
      <c r="AU53" s="277">
        <v>1438.3</v>
      </c>
      <c r="AV53" s="277"/>
      <c r="AW53" s="277">
        <v>1285.5</v>
      </c>
      <c r="AX53" s="277">
        <v>11.5</v>
      </c>
      <c r="AY53" s="332">
        <f t="shared" si="20"/>
        <v>0.77785009591668952</v>
      </c>
    </row>
    <row r="54" spans="1:51" ht="10.5" customHeight="1" x14ac:dyDescent="0.3">
      <c r="A54" s="268">
        <f>A53+1</f>
        <v>2003</v>
      </c>
      <c r="B54" s="603">
        <f>'C1-Incomes'!J51</f>
        <v>9864187.9810000006</v>
      </c>
      <c r="C54" s="277">
        <f t="shared" si="14"/>
        <v>-47397.570604290187</v>
      </c>
      <c r="D54" s="277">
        <f t="shared" si="11"/>
        <v>-41039.32783772728</v>
      </c>
      <c r="E54" s="277">
        <f t="shared" si="15"/>
        <v>23382.801508424978</v>
      </c>
      <c r="F54" s="277">
        <f t="shared" si="16"/>
        <v>65054.096933592489</v>
      </c>
      <c r="G54" s="603"/>
      <c r="H54" s="598">
        <f t="shared" si="12"/>
        <v>2.3704740373423523E-3</v>
      </c>
      <c r="I54" s="277"/>
      <c r="J54" s="827">
        <v>87.572000000000003</v>
      </c>
      <c r="K54" s="643">
        <f t="shared" si="4"/>
        <v>1.9785031383554762E-2</v>
      </c>
      <c r="L54" s="643"/>
      <c r="M54" s="643">
        <v>5.67E-2</v>
      </c>
      <c r="N54" s="643">
        <v>6.7699999999999996E-2</v>
      </c>
      <c r="O54" s="643"/>
      <c r="P54" s="332">
        <f t="shared" si="17"/>
        <v>0.34894235244364658</v>
      </c>
      <c r="Q54" s="332">
        <f t="shared" si="18"/>
        <v>0.29224566297717525</v>
      </c>
      <c r="R54" s="644"/>
      <c r="S54" s="277">
        <v>546485</v>
      </c>
      <c r="T54" s="277">
        <v>989524</v>
      </c>
      <c r="U54" s="277">
        <v>280855</v>
      </c>
      <c r="V54" s="277">
        <f t="shared" si="6"/>
        <v>162184</v>
      </c>
      <c r="W54" s="644"/>
      <c r="X54" s="277">
        <v>391571</v>
      </c>
      <c r="Y54" s="277">
        <v>236439</v>
      </c>
      <c r="Z54" s="277">
        <f t="shared" si="7"/>
        <v>155132</v>
      </c>
      <c r="AA54" s="277"/>
      <c r="AB54" s="277">
        <v>163512</v>
      </c>
      <c r="AC54" s="277">
        <v>16678</v>
      </c>
      <c r="AD54" s="277">
        <f t="shared" si="8"/>
        <v>146834</v>
      </c>
      <c r="AE54" s="644"/>
      <c r="AF54" s="277">
        <v>1243476</v>
      </c>
      <c r="AG54" s="277">
        <v>1338004</v>
      </c>
      <c r="AH54" s="277">
        <f t="shared" si="9"/>
        <v>-94528</v>
      </c>
      <c r="AI54" s="644"/>
      <c r="AJ54" s="277">
        <v>292603</v>
      </c>
      <c r="AK54" s="277">
        <v>16484</v>
      </c>
      <c r="AL54" s="277"/>
      <c r="AM54" s="277">
        <v>115223</v>
      </c>
      <c r="AN54" s="277">
        <v>64476</v>
      </c>
      <c r="AO54" s="277">
        <f>AJ54-AK54+AM54-AN54+'C10-Adj by Source'!AB49</f>
        <v>348888</v>
      </c>
      <c r="AP54" s="277">
        <f t="shared" si="19"/>
        <v>265082.71889689751</v>
      </c>
      <c r="AQ54" s="277">
        <f t="shared" si="10"/>
        <v>64570.210359531186</v>
      </c>
      <c r="AR54" s="332">
        <f t="shared" si="21"/>
        <v>1.007493960006743</v>
      </c>
      <c r="AS54" s="644"/>
      <c r="AT54" s="277">
        <v>4823.2</v>
      </c>
      <c r="AU54" s="277">
        <v>1558.8</v>
      </c>
      <c r="AV54" s="277"/>
      <c r="AW54" s="277">
        <v>1513.5</v>
      </c>
      <c r="AX54" s="277">
        <v>19.5</v>
      </c>
      <c r="AY54" s="332">
        <f t="shared" si="20"/>
        <v>0.75979316828580379</v>
      </c>
    </row>
    <row r="55" spans="1:51" ht="10.5" customHeight="1" x14ac:dyDescent="0.3">
      <c r="A55" s="268">
        <f>A54+1</f>
        <v>2004</v>
      </c>
      <c r="B55" s="603">
        <f>'C1-Incomes'!J52</f>
        <v>10540945.784</v>
      </c>
      <c r="C55" s="277">
        <f t="shared" si="14"/>
        <v>-39478.246453604523</v>
      </c>
      <c r="D55" s="277">
        <f t="shared" si="11"/>
        <v>-53274.516361301132</v>
      </c>
      <c r="E55" s="277">
        <f t="shared" si="15"/>
        <v>7205.6213739048453</v>
      </c>
      <c r="F55" s="277">
        <f t="shared" si="16"/>
        <v>85547.141441000815</v>
      </c>
      <c r="G55" s="603"/>
      <c r="H55" s="598">
        <f t="shared" si="12"/>
        <v>6.835839517211243E-4</v>
      </c>
      <c r="I55" s="277"/>
      <c r="J55" s="827">
        <v>89.703000000000003</v>
      </c>
      <c r="K55" s="643">
        <f t="shared" si="4"/>
        <v>2.4334262092906411E-2</v>
      </c>
      <c r="L55" s="643"/>
      <c r="M55" s="643">
        <v>5.6299999999999996E-2</v>
      </c>
      <c r="N55" s="643">
        <v>6.3899999999999998E-2</v>
      </c>
      <c r="O55" s="643"/>
      <c r="P55" s="332">
        <f t="shared" si="17"/>
        <v>0.43222490395926133</v>
      </c>
      <c r="Q55" s="332">
        <f t="shared" si="18"/>
        <v>0.38081787312842585</v>
      </c>
      <c r="R55" s="644"/>
      <c r="S55" s="277">
        <v>559491</v>
      </c>
      <c r="T55" s="277">
        <v>942948</v>
      </c>
      <c r="U55" s="277">
        <v>279790</v>
      </c>
      <c r="V55" s="277">
        <f t="shared" si="6"/>
        <v>103667</v>
      </c>
      <c r="W55" s="644"/>
      <c r="X55" s="277">
        <v>394609</v>
      </c>
      <c r="Y55" s="277">
        <v>251863</v>
      </c>
      <c r="Z55" s="277">
        <f t="shared" si="7"/>
        <v>142746</v>
      </c>
      <c r="AA55" s="277"/>
      <c r="AB55" s="277">
        <v>170334</v>
      </c>
      <c r="AC55" s="277">
        <v>17289</v>
      </c>
      <c r="AD55" s="277">
        <f t="shared" si="8"/>
        <v>153045</v>
      </c>
      <c r="AE55" s="644"/>
      <c r="AF55" s="277">
        <v>1393992</v>
      </c>
      <c r="AG55" s="277">
        <v>1533217</v>
      </c>
      <c r="AH55" s="277">
        <f t="shared" si="9"/>
        <v>-139225</v>
      </c>
      <c r="AI55" s="644"/>
      <c r="AJ55" s="277">
        <v>306074</v>
      </c>
      <c r="AK55" s="277">
        <v>16626</v>
      </c>
      <c r="AL55" s="277"/>
      <c r="AM55" s="277">
        <v>110487</v>
      </c>
      <c r="AN55" s="277">
        <v>66389</v>
      </c>
      <c r="AO55" s="277">
        <f>AJ55-AK55+AM55-AN55+'C10-Adj by Source'!AB50</f>
        <v>351624</v>
      </c>
      <c r="AP55" s="277">
        <f t="shared" si="19"/>
        <v>267590.5462292952</v>
      </c>
      <c r="AQ55" s="277">
        <f t="shared" si="10"/>
        <v>82784.002928113594</v>
      </c>
      <c r="AR55" s="332">
        <f t="shared" si="21"/>
        <v>1.0333776866925199</v>
      </c>
      <c r="AS55" s="644"/>
      <c r="AT55" s="277">
        <v>5226.6000000000004</v>
      </c>
      <c r="AU55" s="277">
        <v>2470.9</v>
      </c>
      <c r="AV55" s="277"/>
      <c r="AW55" s="277">
        <v>1813.6</v>
      </c>
      <c r="AX55" s="277">
        <v>26</v>
      </c>
      <c r="AY55" s="332">
        <f t="shared" si="20"/>
        <v>0.76101331601169209</v>
      </c>
    </row>
    <row r="56" spans="1:51" ht="10.5" customHeight="1" x14ac:dyDescent="0.3">
      <c r="A56" s="268">
        <v>2005</v>
      </c>
      <c r="B56" s="603">
        <f>'C1-Incomes'!J53</f>
        <v>11239819.791999999</v>
      </c>
      <c r="C56" s="277">
        <f t="shared" si="14"/>
        <v>-85251.580306687669</v>
      </c>
      <c r="D56" s="277">
        <f t="shared" si="11"/>
        <v>-65638.135918203523</v>
      </c>
      <c r="E56" s="277">
        <f t="shared" si="15"/>
        <v>51160.411418750424</v>
      </c>
      <c r="F56" s="277">
        <f t="shared" si="16"/>
        <v>99729.304806140775</v>
      </c>
      <c r="G56" s="603"/>
      <c r="H56" s="598">
        <f t="shared" si="12"/>
        <v>4.5517110029792574E-3</v>
      </c>
      <c r="I56" s="277"/>
      <c r="J56" s="827">
        <v>92.260999999999996</v>
      </c>
      <c r="K56" s="643">
        <f t="shared" si="4"/>
        <v>2.8516326098346683E-2</v>
      </c>
      <c r="L56" s="643"/>
      <c r="M56" s="643">
        <v>5.2400000000000002E-2</v>
      </c>
      <c r="N56" s="643">
        <v>6.0599999999999994E-2</v>
      </c>
      <c r="O56" s="643"/>
      <c r="P56" s="332">
        <f t="shared" si="17"/>
        <v>0.54420469653333359</v>
      </c>
      <c r="Q56" s="332">
        <f t="shared" si="18"/>
        <v>0.47056643726644698</v>
      </c>
      <c r="R56" s="644"/>
      <c r="S56" s="277">
        <v>629299</v>
      </c>
      <c r="T56" s="277">
        <v>1089442</v>
      </c>
      <c r="U56" s="277">
        <v>278975</v>
      </c>
      <c r="V56" s="277">
        <f t="shared" si="6"/>
        <v>181168</v>
      </c>
      <c r="W56" s="644"/>
      <c r="X56" s="277">
        <v>451046</v>
      </c>
      <c r="Y56" s="277">
        <v>296883</v>
      </c>
      <c r="Z56" s="277">
        <f t="shared" si="7"/>
        <v>154163</v>
      </c>
      <c r="AA56" s="277"/>
      <c r="AB56" s="277">
        <v>198828</v>
      </c>
      <c r="AC56" s="277">
        <v>18118</v>
      </c>
      <c r="AD56" s="277">
        <f t="shared" si="8"/>
        <v>180710</v>
      </c>
      <c r="AE56" s="644"/>
      <c r="AF56" s="277">
        <v>1820883</v>
      </c>
      <c r="AG56" s="277">
        <v>1922259</v>
      </c>
      <c r="AH56" s="277">
        <f t="shared" si="9"/>
        <v>-101376</v>
      </c>
      <c r="AI56" s="644"/>
      <c r="AJ56" s="277">
        <v>344429</v>
      </c>
      <c r="AK56" s="277">
        <v>17341</v>
      </c>
      <c r="AL56" s="277"/>
      <c r="AM56" s="277">
        <v>111793</v>
      </c>
      <c r="AN56" s="277">
        <v>76844</v>
      </c>
      <c r="AO56" s="277">
        <f>AJ56-AK56+AM56-AN56+'C10-Adj by Source'!AB51</f>
        <v>383505</v>
      </c>
      <c r="AP56" s="277">
        <f t="shared" si="19"/>
        <v>289322.11468091334</v>
      </c>
      <c r="AQ56" s="277">
        <f t="shared" si="10"/>
        <v>110746.58422393406</v>
      </c>
      <c r="AR56" s="332">
        <f t="shared" si="21"/>
        <v>0.90051811082935163</v>
      </c>
      <c r="AS56" s="644"/>
      <c r="AT56" s="277">
        <v>5560.9</v>
      </c>
      <c r="AU56" s="277">
        <v>2637.5</v>
      </c>
      <c r="AV56" s="277"/>
      <c r="AW56" s="277">
        <v>1984.4</v>
      </c>
      <c r="AX56" s="277">
        <v>29</v>
      </c>
      <c r="AY56" s="332">
        <f t="shared" si="20"/>
        <v>0.75441549570647926</v>
      </c>
    </row>
    <row r="57" spans="1:51" ht="10.5" customHeight="1" x14ac:dyDescent="0.3">
      <c r="A57" s="268">
        <v>2006</v>
      </c>
      <c r="B57" s="603">
        <f>'C1-Incomes'!J54</f>
        <v>12004750.65</v>
      </c>
      <c r="C57" s="277">
        <f t="shared" si="14"/>
        <v>-92146.588027711623</v>
      </c>
      <c r="D57" s="277">
        <f t="shared" si="11"/>
        <v>-58813.901343491387</v>
      </c>
      <c r="E57" s="277">
        <f t="shared" si="15"/>
        <v>78445.792512216431</v>
      </c>
      <c r="F57" s="277">
        <f t="shared" si="16"/>
        <v>72514.696858986572</v>
      </c>
      <c r="G57" s="603"/>
      <c r="H57" s="598">
        <f t="shared" si="12"/>
        <v>6.5345624244362317E-3</v>
      </c>
      <c r="I57" s="277"/>
      <c r="J57" s="827">
        <v>94.728999999999999</v>
      </c>
      <c r="K57" s="643">
        <f t="shared" si="4"/>
        <v>2.6750197808391451E-2</v>
      </c>
      <c r="L57" s="643"/>
      <c r="M57" s="643">
        <v>5.5899999999999998E-2</v>
      </c>
      <c r="N57" s="643">
        <v>6.480000000000001E-2</v>
      </c>
      <c r="O57" s="643"/>
      <c r="P57" s="332">
        <f t="shared" si="17"/>
        <v>0.47853663342381847</v>
      </c>
      <c r="Q57" s="332">
        <f t="shared" si="18"/>
        <v>0.41281169457394207</v>
      </c>
      <c r="R57" s="644"/>
      <c r="S57" s="277">
        <v>707944</v>
      </c>
      <c r="T57" s="277">
        <v>1216104</v>
      </c>
      <c r="U57" s="277">
        <v>284943</v>
      </c>
      <c r="V57" s="277">
        <f t="shared" si="6"/>
        <v>223217</v>
      </c>
      <c r="W57" s="644"/>
      <c r="X57" s="277">
        <v>521124</v>
      </c>
      <c r="Y57" s="277">
        <v>357558</v>
      </c>
      <c r="Z57" s="277">
        <f t="shared" si="7"/>
        <v>163566</v>
      </c>
      <c r="AA57" s="277"/>
      <c r="AB57" s="277">
        <v>227561</v>
      </c>
      <c r="AC57" s="277">
        <v>19092</v>
      </c>
      <c r="AD57" s="277">
        <f t="shared" si="8"/>
        <v>208469</v>
      </c>
      <c r="AE57" s="644"/>
      <c r="AF57" s="277">
        <v>2378986</v>
      </c>
      <c r="AG57" s="277">
        <v>2444621</v>
      </c>
      <c r="AH57" s="277">
        <f t="shared" si="9"/>
        <v>-65635</v>
      </c>
      <c r="AI57" s="644"/>
      <c r="AJ57" s="277">
        <v>372346</v>
      </c>
      <c r="AK57" s="277">
        <v>18761</v>
      </c>
      <c r="AL57" s="277"/>
      <c r="AM57" s="277">
        <v>120099</v>
      </c>
      <c r="AN57" s="277">
        <v>94725</v>
      </c>
      <c r="AO57" s="277">
        <f>AJ57-AK57+AM57-AN57+'C10-Adj by Source'!AB52</f>
        <v>408011</v>
      </c>
      <c r="AP57" s="277">
        <f t="shared" si="19"/>
        <v>304713.80795865995</v>
      </c>
      <c r="AQ57" s="277">
        <f t="shared" si="10"/>
        <v>101421.45943634943</v>
      </c>
      <c r="AR57" s="332">
        <f t="shared" si="21"/>
        <v>0.71498376440240141</v>
      </c>
      <c r="AS57" s="644"/>
      <c r="AT57" s="277">
        <v>5780.4</v>
      </c>
      <c r="AU57" s="277">
        <v>2753.7</v>
      </c>
      <c r="AV57" s="277"/>
      <c r="AW57" s="277">
        <v>2126.1999999999998</v>
      </c>
      <c r="AX57" s="277">
        <v>34.4</v>
      </c>
      <c r="AY57" s="332">
        <f t="shared" si="20"/>
        <v>0.74682743347277392</v>
      </c>
    </row>
    <row r="58" spans="1:51" ht="10.5" customHeight="1" x14ac:dyDescent="0.3">
      <c r="A58" s="268">
        <v>2007</v>
      </c>
      <c r="B58" s="603">
        <f>'C1-Incomes'!J55</f>
        <v>12321374.707</v>
      </c>
      <c r="C58" s="277">
        <f t="shared" si="14"/>
        <v>-106362.56134947136</v>
      </c>
      <c r="D58" s="277">
        <f t="shared" si="11"/>
        <v>-57198.283237862801</v>
      </c>
      <c r="E58" s="277">
        <f t="shared" si="15"/>
        <v>106790.45890165592</v>
      </c>
      <c r="F58" s="277">
        <f t="shared" si="16"/>
        <v>56770.385685678251</v>
      </c>
      <c r="G58" s="603"/>
      <c r="H58" s="598">
        <f t="shared" si="12"/>
        <v>8.667089626045241E-3</v>
      </c>
      <c r="I58" s="277"/>
      <c r="J58" s="827">
        <v>97.100999999999999</v>
      </c>
      <c r="K58" s="643">
        <f t="shared" si="4"/>
        <v>2.5039850520959788E-2</v>
      </c>
      <c r="L58" s="643"/>
      <c r="M58" s="643">
        <v>5.5599999999999997E-2</v>
      </c>
      <c r="N58" s="643">
        <v>6.480000000000001E-2</v>
      </c>
      <c r="O58" s="643"/>
      <c r="P58" s="332">
        <f t="shared" si="17"/>
        <v>0.45035702375826958</v>
      </c>
      <c r="Q58" s="332">
        <f t="shared" si="18"/>
        <v>0.3864174463111078</v>
      </c>
      <c r="R58" s="644"/>
      <c r="S58" s="277">
        <v>780196</v>
      </c>
      <c r="T58" s="277">
        <v>1351493</v>
      </c>
      <c r="U58" s="277">
        <v>296044</v>
      </c>
      <c r="V58" s="277">
        <f t="shared" si="6"/>
        <v>275253</v>
      </c>
      <c r="W58" s="644"/>
      <c r="X58" s="277">
        <v>605670</v>
      </c>
      <c r="Y58" s="277">
        <v>379359</v>
      </c>
      <c r="Z58" s="277">
        <f t="shared" si="7"/>
        <v>226311</v>
      </c>
      <c r="AA58" s="277"/>
      <c r="AB58" s="277">
        <v>254232</v>
      </c>
      <c r="AC58" s="277">
        <v>17659</v>
      </c>
      <c r="AD58" s="277">
        <f t="shared" si="8"/>
        <v>236573</v>
      </c>
      <c r="AE58" s="644"/>
      <c r="AF58" s="277">
        <v>2754184</v>
      </c>
      <c r="AG58" s="277">
        <v>2831922</v>
      </c>
      <c r="AH58" s="277">
        <f t="shared" si="9"/>
        <v>-77738</v>
      </c>
      <c r="AI58" s="644"/>
      <c r="AJ58" s="277">
        <v>408216</v>
      </c>
      <c r="AK58" s="277">
        <v>22075</v>
      </c>
      <c r="AL58" s="277"/>
      <c r="AM58" s="277">
        <v>121541</v>
      </c>
      <c r="AN58" s="277">
        <v>104235</v>
      </c>
      <c r="AO58" s="277">
        <f>AJ58-AK58+AM58-AN58+'C10-Adj by Source'!AB53</f>
        <v>438045</v>
      </c>
      <c r="AP58" s="277">
        <f t="shared" si="19"/>
        <v>319852.99506384687</v>
      </c>
      <c r="AQ58" s="277">
        <f t="shared" si="10"/>
        <v>97714.843717595199</v>
      </c>
      <c r="AR58" s="332">
        <f t="shared" si="21"/>
        <v>0.58098016151721876</v>
      </c>
      <c r="AS58" s="644"/>
      <c r="AT58" s="277">
        <v>6051.2</v>
      </c>
      <c r="AU58" s="277">
        <v>2923.4</v>
      </c>
      <c r="AV58" s="277"/>
      <c r="AW58" s="277">
        <v>2376.4</v>
      </c>
      <c r="AX58" s="277">
        <v>45.1</v>
      </c>
      <c r="AY58" s="332">
        <f t="shared" si="20"/>
        <v>0.7301829608004814</v>
      </c>
    </row>
    <row r="59" spans="1:51" ht="10.5" customHeight="1" x14ac:dyDescent="0.3">
      <c r="A59" s="268">
        <v>2008</v>
      </c>
      <c r="B59" s="603">
        <f>'C1-Incomes'!J56</f>
        <v>12427821.880999999</v>
      </c>
      <c r="C59" s="277">
        <f t="shared" si="14"/>
        <v>-104115.78119482449</v>
      </c>
      <c r="D59" s="277">
        <f t="shared" si="11"/>
        <v>-68712.408424936875</v>
      </c>
      <c r="E59" s="277">
        <f t="shared" si="15"/>
        <v>130309.67938146765</v>
      </c>
      <c r="F59" s="277">
        <f t="shared" si="16"/>
        <v>42518.510238293718</v>
      </c>
      <c r="G59" s="603"/>
      <c r="H59" s="598">
        <f t="shared" si="12"/>
        <v>1.0485319199874334E-2</v>
      </c>
      <c r="I59" s="277"/>
      <c r="J59" s="827">
        <v>100.065</v>
      </c>
      <c r="K59" s="643">
        <f t="shared" si="4"/>
        <v>3.0524917354095207E-2</v>
      </c>
      <c r="L59" s="643"/>
      <c r="M59" s="643">
        <v>5.6299999999999996E-2</v>
      </c>
      <c r="N59" s="643">
        <v>7.4499999999999997E-2</v>
      </c>
      <c r="O59" s="643"/>
      <c r="P59" s="332">
        <f t="shared" si="17"/>
        <v>0.54218325673348511</v>
      </c>
      <c r="Q59" s="332">
        <f t="shared" si="18"/>
        <v>0.40973043428315714</v>
      </c>
      <c r="R59" s="644"/>
      <c r="S59" s="277">
        <v>773504</v>
      </c>
      <c r="T59" s="277">
        <v>1363015</v>
      </c>
      <c r="U59" s="277">
        <v>335403</v>
      </c>
      <c r="V59" s="277">
        <f t="shared" si="6"/>
        <v>254108</v>
      </c>
      <c r="W59" s="644"/>
      <c r="X59" s="277">
        <v>584458</v>
      </c>
      <c r="Y59" s="277">
        <v>302787</v>
      </c>
      <c r="Z59" s="277">
        <f t="shared" si="7"/>
        <v>281671</v>
      </c>
      <c r="AA59" s="277"/>
      <c r="AB59" s="277">
        <v>263109</v>
      </c>
      <c r="AC59" s="277">
        <v>13618</v>
      </c>
      <c r="AD59" s="277">
        <f t="shared" si="8"/>
        <v>249491</v>
      </c>
      <c r="AE59" s="644"/>
      <c r="AF59" s="277">
        <v>2321646</v>
      </c>
      <c r="AG59" s="277">
        <v>2444764</v>
      </c>
      <c r="AH59" s="277">
        <f t="shared" si="9"/>
        <v>-123118</v>
      </c>
      <c r="AI59" s="644"/>
      <c r="AJ59" s="277">
        <v>387964</v>
      </c>
      <c r="AK59" s="277">
        <v>19537</v>
      </c>
      <c r="AL59" s="277"/>
      <c r="AM59" s="277">
        <v>127032</v>
      </c>
      <c r="AN59" s="277">
        <v>91009</v>
      </c>
      <c r="AO59" s="277">
        <f>AJ59-AK59+AM59-AN59+'C10-Adj by Source'!AB54</f>
        <v>436139</v>
      </c>
      <c r="AP59" s="277">
        <f t="shared" si="19"/>
        <v>296420.25426621159</v>
      </c>
      <c r="AQ59" s="277">
        <f t="shared" si="10"/>
        <v>95886.707197218318</v>
      </c>
      <c r="AR59" s="332">
        <f t="shared" si="21"/>
        <v>0.44342444830066274</v>
      </c>
      <c r="AS59" s="644"/>
      <c r="AT59" s="277">
        <v>7353.5</v>
      </c>
      <c r="AU59" s="277">
        <v>2960.1</v>
      </c>
      <c r="AV59" s="277"/>
      <c r="AW59" s="277">
        <v>3253</v>
      </c>
      <c r="AX59" s="277">
        <v>51</v>
      </c>
      <c r="AY59" s="332">
        <f t="shared" si="20"/>
        <v>0.67964629227427864</v>
      </c>
    </row>
    <row r="60" spans="1:51" ht="10.5" customHeight="1" x14ac:dyDescent="0.3">
      <c r="A60" s="268">
        <v>2009</v>
      </c>
      <c r="B60" s="603">
        <f>'C1-Incomes'!J57</f>
        <v>12126078.895</v>
      </c>
      <c r="C60" s="277">
        <f t="shared" si="14"/>
        <v>1578.3850086484331</v>
      </c>
      <c r="D60" s="277">
        <f t="shared" si="11"/>
        <v>1652.0542469312179</v>
      </c>
      <c r="E60" s="277">
        <f t="shared" si="15"/>
        <v>-1410.7581484463985</v>
      </c>
      <c r="F60" s="277">
        <f t="shared" si="16"/>
        <v>-1819.6811071332527</v>
      </c>
      <c r="G60" s="603"/>
      <c r="H60" s="598">
        <f t="shared" si="12"/>
        <v>-1.1634083537326339E-4</v>
      </c>
      <c r="I60" s="277"/>
      <c r="J60" s="827">
        <v>100</v>
      </c>
      <c r="K60" s="643">
        <f t="shared" si="4"/>
        <v>-6.4957777444658697E-4</v>
      </c>
      <c r="L60" s="643"/>
      <c r="M60" s="643">
        <v>5.3099999999999994E-2</v>
      </c>
      <c r="N60" s="643">
        <v>7.2999999999999995E-2</v>
      </c>
      <c r="O60" s="643"/>
      <c r="P60" s="332">
        <f t="shared" si="17"/>
        <v>-1.2233103096922543E-2</v>
      </c>
      <c r="Q60" s="332">
        <f t="shared" si="18"/>
        <v>-8.8983256773505076E-3</v>
      </c>
      <c r="R60" s="644"/>
      <c r="S60" s="277">
        <v>716783</v>
      </c>
      <c r="T60" s="277">
        <v>1265481</v>
      </c>
      <c r="U60" s="277">
        <v>371318</v>
      </c>
      <c r="V60" s="277">
        <f t="shared" si="6"/>
        <v>177380</v>
      </c>
      <c r="W60" s="644"/>
      <c r="X60" s="277">
        <v>480018</v>
      </c>
      <c r="Y60" s="277">
        <v>214588</v>
      </c>
      <c r="Z60" s="277">
        <f t="shared" si="7"/>
        <v>265430</v>
      </c>
      <c r="AA60" s="277"/>
      <c r="AB60" s="277">
        <v>242664</v>
      </c>
      <c r="AC60" s="277">
        <v>9404</v>
      </c>
      <c r="AD60" s="277">
        <f t="shared" si="8"/>
        <v>233260</v>
      </c>
      <c r="AE60" s="644"/>
      <c r="AF60" s="277">
        <v>1679711</v>
      </c>
      <c r="AG60" s="277">
        <v>1877419</v>
      </c>
      <c r="AH60" s="277">
        <f t="shared" si="9"/>
        <v>-197708</v>
      </c>
      <c r="AI60" s="644"/>
      <c r="AJ60" s="277">
        <v>353616</v>
      </c>
      <c r="AK60" s="277">
        <v>22768</v>
      </c>
      <c r="AL60" s="277"/>
      <c r="AM60" s="277">
        <v>188758</v>
      </c>
      <c r="AN60" s="277">
        <v>74429</v>
      </c>
      <c r="AO60" s="277">
        <f>AJ60-AK60+AM60-AN60+'C10-Adj by Source'!AB55</f>
        <v>492607</v>
      </c>
      <c r="AP60" s="277">
        <f t="shared" si="19"/>
        <v>338897.09629673016</v>
      </c>
      <c r="AQ60" s="277">
        <f t="shared" si="10"/>
        <v>-2463.3945897939625</v>
      </c>
      <c r="AR60" s="332">
        <f t="shared" si="21"/>
        <v>0.73868844020049995</v>
      </c>
      <c r="AS60" s="644"/>
      <c r="AT60" s="277">
        <v>8859.2000000000007</v>
      </c>
      <c r="AU60" s="277">
        <v>3092.4</v>
      </c>
      <c r="AV60" s="277"/>
      <c r="AW60" s="277">
        <v>3670.6</v>
      </c>
      <c r="AX60" s="277">
        <v>58.7</v>
      </c>
      <c r="AY60" s="332">
        <f t="shared" si="20"/>
        <v>0.68796646474112255</v>
      </c>
    </row>
    <row r="61" spans="1:51" ht="10.5" customHeight="1" x14ac:dyDescent="0.3">
      <c r="A61" s="268">
        <v>2010</v>
      </c>
      <c r="B61" s="603">
        <f>'C1-Incomes'!J58</f>
        <v>12739542.267999999</v>
      </c>
      <c r="C61" s="277">
        <f t="shared" si="14"/>
        <v>-50392.690231788256</v>
      </c>
      <c r="D61" s="277">
        <f t="shared" si="11"/>
        <v>-49382.006622516732</v>
      </c>
      <c r="E61" s="277">
        <f t="shared" si="15"/>
        <v>23988.91153846162</v>
      </c>
      <c r="F61" s="277">
        <f t="shared" si="16"/>
        <v>75785.785315843372</v>
      </c>
      <c r="G61" s="603"/>
      <c r="H61" s="598">
        <f t="shared" si="12"/>
        <v>1.8830277441536114E-3</v>
      </c>
      <c r="I61" s="277"/>
      <c r="J61" s="827">
        <v>101.65300000000001</v>
      </c>
      <c r="K61" s="643">
        <f t="shared" si="4"/>
        <v>1.6530000000000059E-2</v>
      </c>
      <c r="L61" s="643"/>
      <c r="M61" s="643">
        <v>4.9400000000000006E-2</v>
      </c>
      <c r="N61" s="643">
        <v>6.0400000000000002E-2</v>
      </c>
      <c r="O61" s="643"/>
      <c r="P61" s="332">
        <f t="shared" si="17"/>
        <v>0.33461538461538576</v>
      </c>
      <c r="Q61" s="332">
        <f t="shared" si="18"/>
        <v>0.27367549668874269</v>
      </c>
      <c r="R61" s="644"/>
      <c r="S61" s="277">
        <v>651217</v>
      </c>
      <c r="T61" s="277">
        <v>1196230</v>
      </c>
      <c r="U61" s="277">
        <v>360880</v>
      </c>
      <c r="V61" s="277">
        <f t="shared" si="6"/>
        <v>184133</v>
      </c>
      <c r="W61" s="644"/>
      <c r="X61" s="277">
        <v>444488</v>
      </c>
      <c r="Y61" s="277">
        <v>177507</v>
      </c>
      <c r="Z61" s="277">
        <f t="shared" si="7"/>
        <v>266981</v>
      </c>
      <c r="AA61" s="277"/>
      <c r="AB61" s="277">
        <v>237915</v>
      </c>
      <c r="AC61" s="277">
        <v>8449</v>
      </c>
      <c r="AD61" s="277">
        <f t="shared" si="8"/>
        <v>229466</v>
      </c>
      <c r="AE61" s="644"/>
      <c r="AF61" s="277">
        <v>1505216</v>
      </c>
      <c r="AG61" s="277">
        <v>1749532</v>
      </c>
      <c r="AH61" s="277">
        <f t="shared" si="9"/>
        <v>-244316</v>
      </c>
      <c r="AI61" s="644"/>
      <c r="AJ61" s="277">
        <v>380575</v>
      </c>
      <c r="AK61" s="277">
        <v>29542</v>
      </c>
      <c r="AL61" s="277"/>
      <c r="AM61" s="277">
        <v>192130</v>
      </c>
      <c r="AN61" s="277">
        <v>69104</v>
      </c>
      <c r="AO61" s="277">
        <f>AJ61-AK61+AM61-AN61+'C10-Adj by Source'!AB56</f>
        <v>553327</v>
      </c>
      <c r="AP61" s="277">
        <f t="shared" si="19"/>
        <v>369962.60619248945</v>
      </c>
      <c r="AQ61" s="277">
        <f t="shared" si="10"/>
        <v>75234.165538762085</v>
      </c>
      <c r="AR61" s="332">
        <f>F61/AQ61</f>
        <v>1.0073320382186879</v>
      </c>
      <c r="AS61" s="644"/>
      <c r="AT61" s="277">
        <v>10504.4</v>
      </c>
      <c r="AU61" s="277">
        <v>3167</v>
      </c>
      <c r="AV61" s="277"/>
      <c r="AW61" s="277">
        <v>4458.8</v>
      </c>
      <c r="AX61" s="277">
        <v>71.7</v>
      </c>
      <c r="AY61" s="332">
        <f t="shared" si="20"/>
        <v>0.66861477244466549</v>
      </c>
    </row>
    <row r="62" spans="1:51" ht="10.5" customHeight="1" x14ac:dyDescent="0.3">
      <c r="A62" s="268">
        <f t="shared" ref="A62:A67" si="22">A61+1</f>
        <v>2011</v>
      </c>
      <c r="B62" s="603">
        <f>'C1-Incomes'!J59</f>
        <v>13352255.159</v>
      </c>
      <c r="C62" s="277">
        <f t="shared" si="14"/>
        <v>-112160.70579469751</v>
      </c>
      <c r="D62" s="277">
        <f>-Q62*(U62*0.5)</f>
        <v>-79436.266917743516</v>
      </c>
      <c r="E62" s="277">
        <f t="shared" si="15"/>
        <v>44973.464493983331</v>
      </c>
      <c r="F62" s="277">
        <f t="shared" si="16"/>
        <v>146623.50821845769</v>
      </c>
      <c r="G62" s="603"/>
      <c r="H62" s="598">
        <f t="shared" si="12"/>
        <v>3.3682298576858203E-3</v>
      </c>
      <c r="I62" s="277"/>
      <c r="J62" s="827">
        <v>104.149</v>
      </c>
      <c r="K62" s="643">
        <f t="shared" si="4"/>
        <v>2.4554120389954009E-2</v>
      </c>
      <c r="L62" s="643"/>
      <c r="M62" s="643">
        <v>4.6399999999999997E-2</v>
      </c>
      <c r="N62" s="643">
        <v>5.6600000000000004E-2</v>
      </c>
      <c r="O62" s="643"/>
      <c r="P62" s="332">
        <f t="shared" si="17"/>
        <v>0.52918362909383643</v>
      </c>
      <c r="Q62" s="332">
        <f t="shared" si="18"/>
        <v>0.43381838144795065</v>
      </c>
      <c r="R62" s="644"/>
      <c r="S62" s="277">
        <v>608154</v>
      </c>
      <c r="T62" s="277">
        <v>1232916</v>
      </c>
      <c r="U62" s="277">
        <v>366219</v>
      </c>
      <c r="V62" s="277">
        <f t="shared" si="6"/>
        <v>258543</v>
      </c>
      <c r="W62" s="644"/>
      <c r="X62" s="277">
        <v>444294</v>
      </c>
      <c r="Y62" s="277">
        <v>176266</v>
      </c>
      <c r="Z62" s="277">
        <f t="shared" si="7"/>
        <v>268028</v>
      </c>
      <c r="AA62" s="277"/>
      <c r="AB62" s="277">
        <v>226936</v>
      </c>
      <c r="AC62" s="277">
        <v>9074</v>
      </c>
      <c r="AD62" s="277">
        <f t="shared" si="8"/>
        <v>217862</v>
      </c>
      <c r="AE62" s="644"/>
      <c r="AF62" s="277">
        <v>1504609</v>
      </c>
      <c r="AG62" s="277">
        <v>1722403</v>
      </c>
      <c r="AH62" s="277">
        <f t="shared" si="9"/>
        <v>-217794</v>
      </c>
      <c r="AI62" s="644"/>
      <c r="AJ62" s="277">
        <v>425671</v>
      </c>
      <c r="AK62" s="277">
        <v>27689</v>
      </c>
      <c r="AL62" s="277"/>
      <c r="AM62" s="277">
        <v>190703</v>
      </c>
      <c r="AN62" s="277">
        <v>64831</v>
      </c>
      <c r="AO62" s="277">
        <f>AJ62-AK62+AM62-AN62+'C10-Adj by Source'!AB57</f>
        <v>599278</v>
      </c>
      <c r="AP62" s="277">
        <f t="shared" si="19"/>
        <v>393188.65595491312</v>
      </c>
      <c r="AQ62" s="277">
        <f t="shared" si="10"/>
        <v>124214.07859678735</v>
      </c>
      <c r="AR62" s="332">
        <f t="shared" si="21"/>
        <v>1.1804097399813578</v>
      </c>
      <c r="AS62" s="644"/>
      <c r="AT62" s="277">
        <v>11642</v>
      </c>
      <c r="AU62" s="277">
        <v>3120.6</v>
      </c>
      <c r="AV62" s="277"/>
      <c r="AW62" s="277">
        <v>5004.3999999999996</v>
      </c>
      <c r="AX62" s="277">
        <v>72.400000000000006</v>
      </c>
      <c r="AY62" s="332">
        <f t="shared" si="20"/>
        <v>0.6561039383306464</v>
      </c>
    </row>
    <row r="63" spans="1:51" ht="10.5" customHeight="1" x14ac:dyDescent="0.3">
      <c r="A63" s="268">
        <f t="shared" si="22"/>
        <v>2012</v>
      </c>
      <c r="B63" s="603">
        <f>'C1-Incomes'!J60</f>
        <v>14061877.435000001</v>
      </c>
      <c r="C63" s="277">
        <f t="shared" si="14"/>
        <v>-129310.91367346875</v>
      </c>
      <c r="D63" s="277">
        <f>-Q63*(U63*0.5)</f>
        <v>-71947.888191796621</v>
      </c>
      <c r="E63" s="277">
        <f t="shared" si="15"/>
        <v>75446.921923298578</v>
      </c>
      <c r="F63" s="277">
        <f t="shared" si="16"/>
        <v>125811.87994196678</v>
      </c>
      <c r="G63" s="603"/>
      <c r="H63" s="598">
        <f t="shared" si="12"/>
        <v>5.3653519789264598E-3</v>
      </c>
      <c r="I63" s="277"/>
      <c r="J63" s="827">
        <v>106.121</v>
      </c>
      <c r="K63" s="643">
        <f t="shared" si="4"/>
        <v>1.893441127615238E-2</v>
      </c>
      <c r="L63" s="643"/>
      <c r="M63" s="643">
        <v>3.6699999999999997E-2</v>
      </c>
      <c r="N63" s="643">
        <v>4.9400000000000006E-2</v>
      </c>
      <c r="O63" s="643"/>
      <c r="P63" s="332">
        <f t="shared" si="17"/>
        <v>0.51592401297417934</v>
      </c>
      <c r="Q63" s="332">
        <f t="shared" si="18"/>
        <v>0.38328767765490646</v>
      </c>
      <c r="R63" s="644"/>
      <c r="S63" s="277">
        <v>577339</v>
      </c>
      <c r="T63" s="277">
        <v>1290137</v>
      </c>
      <c r="U63" s="277">
        <v>375425</v>
      </c>
      <c r="V63" s="277">
        <f t="shared" si="6"/>
        <v>337373</v>
      </c>
      <c r="W63" s="644"/>
      <c r="X63" s="277">
        <v>438167</v>
      </c>
      <c r="Y63" s="277">
        <v>162230</v>
      </c>
      <c r="Z63" s="277">
        <f t="shared" si="7"/>
        <v>275937</v>
      </c>
      <c r="AA63" s="277"/>
      <c r="AB63" s="277">
        <v>226113</v>
      </c>
      <c r="AC63" s="277">
        <v>10637</v>
      </c>
      <c r="AD63" s="277">
        <f t="shared" si="8"/>
        <v>215476</v>
      </c>
      <c r="AE63" s="644"/>
      <c r="AF63" s="277">
        <v>1478252</v>
      </c>
      <c r="AG63" s="277">
        <v>1635716</v>
      </c>
      <c r="AH63" s="277">
        <f t="shared" si="9"/>
        <v>-157464</v>
      </c>
      <c r="AI63" s="644"/>
      <c r="AJ63" s="277">
        <v>422879</v>
      </c>
      <c r="AK63" s="277">
        <v>21307</v>
      </c>
      <c r="AL63" s="277"/>
      <c r="AM63" s="277">
        <v>201151</v>
      </c>
      <c r="AN63" s="277">
        <v>59757</v>
      </c>
      <c r="AO63" s="277">
        <f>AJ63-AK63+AM63-AN63+'C10-Adj by Source'!AB58</f>
        <v>631384</v>
      </c>
      <c r="AP63" s="277">
        <f t="shared" si="19"/>
        <v>407821.81907164096</v>
      </c>
      <c r="AQ63" s="277">
        <f t="shared" si="10"/>
        <v>118434.78925694041</v>
      </c>
      <c r="AR63" s="332">
        <f t="shared" si="21"/>
        <v>1.0622882071333113</v>
      </c>
      <c r="AS63" s="644"/>
      <c r="AT63" s="277">
        <v>12822.9</v>
      </c>
      <c r="AU63" s="277">
        <v>3114.9</v>
      </c>
      <c r="AV63" s="277"/>
      <c r="AW63" s="277">
        <v>5571.5</v>
      </c>
      <c r="AX63" s="277">
        <v>71.8</v>
      </c>
      <c r="AY63" s="332">
        <f t="shared" si="20"/>
        <v>0.64591725332229033</v>
      </c>
    </row>
    <row r="64" spans="1:51" s="610" customFormat="1" ht="12" x14ac:dyDescent="0.25">
      <c r="A64" s="268">
        <f t="shared" si="22"/>
        <v>2013</v>
      </c>
      <c r="B64" s="603">
        <f>'C1-Incomes'!J61</f>
        <v>14444822.515000001</v>
      </c>
      <c r="C64" s="277">
        <f t="shared" si="14"/>
        <v>-87407.541077323782</v>
      </c>
      <c r="D64" s="277">
        <f>-Q64*(U64*0.5)</f>
        <v>-49317.610714813018</v>
      </c>
      <c r="E64" s="277">
        <f t="shared" si="15"/>
        <v>46212.407299215098</v>
      </c>
      <c r="F64" s="277">
        <f t="shared" si="16"/>
        <v>90512.744492921716</v>
      </c>
      <c r="G64" s="603"/>
      <c r="H64" s="598">
        <f t="shared" si="12"/>
        <v>3.1992367681379641E-3</v>
      </c>
      <c r="I64" s="277"/>
      <c r="J64" s="827">
        <v>107.532</v>
      </c>
      <c r="K64" s="643">
        <f t="shared" si="4"/>
        <v>1.3296143081953633E-2</v>
      </c>
      <c r="L64" s="643"/>
      <c r="M64" s="643">
        <v>4.24E-2</v>
      </c>
      <c r="N64" s="643">
        <v>5.0999999999999997E-2</v>
      </c>
      <c r="O64" s="643"/>
      <c r="P64" s="332">
        <f t="shared" si="17"/>
        <v>0.31358828023475549</v>
      </c>
      <c r="Q64" s="332">
        <f t="shared" si="18"/>
        <v>0.2607086878814438</v>
      </c>
      <c r="R64" s="644"/>
      <c r="S64" s="277">
        <v>549356</v>
      </c>
      <c r="T64" s="277">
        <v>1262960</v>
      </c>
      <c r="U64" s="277">
        <v>378335</v>
      </c>
      <c r="V64" s="277">
        <f t="shared" si="6"/>
        <v>335269</v>
      </c>
      <c r="W64" s="644"/>
      <c r="X64" s="277">
        <v>410281</v>
      </c>
      <c r="Y64" s="277">
        <v>150869</v>
      </c>
      <c r="Z64" s="277">
        <f t="shared" si="7"/>
        <v>259412</v>
      </c>
      <c r="AA64" s="277"/>
      <c r="AB64" s="277">
        <v>216787</v>
      </c>
      <c r="AC64" s="277">
        <v>9714</v>
      </c>
      <c r="AD64" s="277">
        <f t="shared" si="8"/>
        <v>207073</v>
      </c>
      <c r="AE64" s="644"/>
      <c r="AF64" s="277">
        <v>1406334</v>
      </c>
      <c r="AG64" s="277">
        <v>1536285</v>
      </c>
      <c r="AH64" s="277">
        <f t="shared" si="9"/>
        <v>-129951</v>
      </c>
      <c r="AI64" s="644"/>
      <c r="AJ64" s="277">
        <v>416198</v>
      </c>
      <c r="AK64" s="277">
        <v>22795</v>
      </c>
      <c r="AL64" s="277"/>
      <c r="AM64" s="277">
        <v>200735</v>
      </c>
      <c r="AN64" s="277">
        <v>58913</v>
      </c>
      <c r="AO64" s="277">
        <f>AJ64-AK64+AM64-AN64+'C10-Adj by Source'!AB59</f>
        <v>614858</v>
      </c>
      <c r="AP64" s="277">
        <f t="shared" si="19"/>
        <v>399295.17186585261</v>
      </c>
      <c r="AQ64" s="277">
        <f t="shared" si="10"/>
        <v>74459.448906090911</v>
      </c>
      <c r="AR64" s="332">
        <f t="shared" si="21"/>
        <v>1.215597829727123</v>
      </c>
      <c r="AS64" s="644"/>
      <c r="AT64" s="277">
        <v>13680.6</v>
      </c>
      <c r="AU64" s="277">
        <v>3059.2</v>
      </c>
      <c r="AV64" s="277"/>
      <c r="AW64" s="277">
        <v>5792.6</v>
      </c>
      <c r="AX64" s="277">
        <v>76.2</v>
      </c>
      <c r="AY64" s="332">
        <f t="shared" si="20"/>
        <v>0.64941038722087474</v>
      </c>
    </row>
    <row r="65" spans="1:51" s="596" customFormat="1" ht="12" x14ac:dyDescent="0.25">
      <c r="A65" s="268">
        <f t="shared" si="22"/>
        <v>2014</v>
      </c>
      <c r="B65" s="603">
        <f>'C1-Incomes'!J62</f>
        <v>15144035.857000001</v>
      </c>
      <c r="C65" s="277">
        <f t="shared" si="14"/>
        <v>-118383.82034252284</v>
      </c>
      <c r="D65" s="277">
        <f>-Q65*(U65*0.5)</f>
        <v>-58051.048625755524</v>
      </c>
      <c r="E65" s="277">
        <f t="shared" si="15"/>
        <v>64971.575321764692</v>
      </c>
      <c r="F65" s="277">
        <f>-(C65+D65+E65)</f>
        <v>111463.29364651369</v>
      </c>
      <c r="G65" s="603"/>
      <c r="H65" s="598">
        <f>(E65)/B65</f>
        <v>4.290241778035212E-3</v>
      </c>
      <c r="I65" s="277"/>
      <c r="J65" s="827">
        <v>109.157</v>
      </c>
      <c r="K65" s="643">
        <f t="shared" si="4"/>
        <v>1.5111780679239668E-2</v>
      </c>
      <c r="L65" s="643"/>
      <c r="M65" s="643">
        <v>4.1599999999999998E-2</v>
      </c>
      <c r="N65" s="643">
        <v>4.8499999999999995E-2</v>
      </c>
      <c r="O65" s="643"/>
      <c r="P65" s="332">
        <f t="shared" si="17"/>
        <v>0.36326395863556898</v>
      </c>
      <c r="Q65" s="332">
        <f t="shared" si="18"/>
        <v>0.31158310678844681</v>
      </c>
      <c r="R65" s="644"/>
      <c r="S65" s="277">
        <v>549709</v>
      </c>
      <c r="T65" s="277">
        <v>1302272</v>
      </c>
      <c r="U65" s="277">
        <v>372620</v>
      </c>
      <c r="V65" s="277">
        <f t="shared" si="6"/>
        <v>379943</v>
      </c>
      <c r="W65" s="644"/>
      <c r="X65" s="277">
        <v>421543</v>
      </c>
      <c r="Y65" s="277">
        <v>150424</v>
      </c>
      <c r="Z65" s="277">
        <f t="shared" si="7"/>
        <v>271119</v>
      </c>
      <c r="AA65" s="277"/>
      <c r="AB65" s="277">
        <v>221800</v>
      </c>
      <c r="AC65" s="277">
        <v>12335</v>
      </c>
      <c r="AD65" s="277">
        <f t="shared" si="8"/>
        <v>209465</v>
      </c>
      <c r="AE65" s="644"/>
      <c r="AF65" s="277">
        <v>1421332</v>
      </c>
      <c r="AG65" s="277">
        <v>1536751</v>
      </c>
      <c r="AH65" s="277">
        <f t="shared" si="9"/>
        <v>-115419</v>
      </c>
      <c r="AI65" s="644"/>
      <c r="AJ65" s="277">
        <v>440503</v>
      </c>
      <c r="AK65" s="277">
        <v>23469</v>
      </c>
      <c r="AL65" s="277"/>
      <c r="AM65" s="277">
        <v>182568</v>
      </c>
      <c r="AN65" s="277">
        <v>59562</v>
      </c>
      <c r="AO65" s="277">
        <f>AJ65-AK65+AM65-AN65+'C10-Adj by Source'!AB60</f>
        <v>636942</v>
      </c>
      <c r="AP65" s="277">
        <f t="shared" si="19"/>
        <v>409169.49557339447</v>
      </c>
      <c r="AQ65" s="277">
        <f t="shared" si="10"/>
        <v>88691.495548714505</v>
      </c>
      <c r="AR65" s="332">
        <f t="shared" si="21"/>
        <v>1.2567528933514442</v>
      </c>
      <c r="AS65" s="644"/>
      <c r="AT65" s="277">
        <v>14416.7</v>
      </c>
      <c r="AU65" s="277">
        <v>3023.3</v>
      </c>
      <c r="AV65" s="277"/>
      <c r="AW65" s="277">
        <v>6156</v>
      </c>
      <c r="AX65" s="277">
        <v>80.599999999999994</v>
      </c>
      <c r="AY65" s="332">
        <f t="shared" si="20"/>
        <v>0.64239678899082564</v>
      </c>
    </row>
    <row r="66" spans="1:51" s="596" customFormat="1" ht="12" x14ac:dyDescent="0.25">
      <c r="A66" s="268">
        <f t="shared" si="22"/>
        <v>2015</v>
      </c>
      <c r="B66" s="603">
        <f>'C1-Incomes'!J63</f>
        <v>15739598.801000001</v>
      </c>
      <c r="C66" s="277">
        <f>-Q66*(V66)</f>
        <v>-20698.458184083353</v>
      </c>
      <c r="D66" s="277">
        <f>-Q66*(U66*0.5)</f>
        <v>-11705.934754527812</v>
      </c>
      <c r="E66" s="277">
        <f t="shared" si="15"/>
        <v>13672.727659810591</v>
      </c>
      <c r="F66" s="277">
        <f>-(C66+D66+E66)</f>
        <v>18731.665278800574</v>
      </c>
      <c r="G66" s="603"/>
      <c r="H66" s="598">
        <f>(E66)/B66</f>
        <v>8.6868336561043134E-4</v>
      </c>
      <c r="I66" s="277"/>
      <c r="J66" s="827">
        <v>109.48099999999999</v>
      </c>
      <c r="K66" s="643">
        <f t="shared" si="4"/>
        <v>2.9682017644310312E-3</v>
      </c>
      <c r="L66" s="643"/>
      <c r="M66" s="643">
        <v>3.8900000000000004E-2</v>
      </c>
      <c r="N66" s="643">
        <v>0.05</v>
      </c>
      <c r="O66" s="643"/>
      <c r="P66" s="332">
        <f t="shared" si="17"/>
        <v>7.6303387260437811E-2</v>
      </c>
      <c r="Q66" s="332">
        <f t="shared" si="18"/>
        <v>5.9364035288620623E-2</v>
      </c>
      <c r="R66" s="644"/>
      <c r="S66" s="277">
        <v>561075</v>
      </c>
      <c r="T66" s="277">
        <v>1304123</v>
      </c>
      <c r="U66" s="277">
        <v>394378</v>
      </c>
      <c r="V66" s="277">
        <f t="shared" si="6"/>
        <v>348670</v>
      </c>
      <c r="W66" s="644"/>
      <c r="X66" s="277">
        <v>453047</v>
      </c>
      <c r="Y66" s="277">
        <v>163062</v>
      </c>
      <c r="Z66" s="277">
        <f t="shared" si="7"/>
        <v>289985</v>
      </c>
      <c r="AA66" s="277"/>
      <c r="AB66" s="277">
        <v>244014</v>
      </c>
      <c r="AC66" s="277">
        <v>18178</v>
      </c>
      <c r="AD66" s="277">
        <f t="shared" si="8"/>
        <v>225836</v>
      </c>
      <c r="AE66" s="644"/>
      <c r="AF66" s="277">
        <v>1447137</v>
      </c>
      <c r="AG66" s="277">
        <v>1586580</v>
      </c>
      <c r="AH66" s="277">
        <f t="shared" si="9"/>
        <v>-139443</v>
      </c>
      <c r="AI66" s="644"/>
      <c r="AJ66" s="277">
        <v>438188</v>
      </c>
      <c r="AK66" s="277">
        <v>26896</v>
      </c>
      <c r="AL66" s="277"/>
      <c r="AM66" s="277">
        <v>185165</v>
      </c>
      <c r="AN66" s="277">
        <v>60722</v>
      </c>
      <c r="AO66" s="277">
        <f>AJ66-AK66+AM66-AN66+'C10-Adj by Source'!AB61</f>
        <v>646178</v>
      </c>
      <c r="AP66" s="277">
        <f>AO66*AY66</f>
        <v>424465.87159396039</v>
      </c>
      <c r="AQ66" s="277">
        <f t="shared" si="10"/>
        <v>18913.807536295408</v>
      </c>
      <c r="AR66" s="332">
        <f>F66/AQ66</f>
        <v>0.99036987887577344</v>
      </c>
      <c r="AS66" s="644"/>
      <c r="AT66" s="277">
        <v>15141.1</v>
      </c>
      <c r="AU66" s="277">
        <v>3032.5</v>
      </c>
      <c r="AV66" s="277"/>
      <c r="AW66" s="277">
        <v>6148.1</v>
      </c>
      <c r="AX66" s="277">
        <v>87.5</v>
      </c>
      <c r="AY66" s="332">
        <f t="shared" si="20"/>
        <v>0.65688691288462375</v>
      </c>
    </row>
    <row r="67" spans="1:51" ht="12" customHeight="1" x14ac:dyDescent="0.3">
      <c r="A67" s="268">
        <f t="shared" si="22"/>
        <v>2016</v>
      </c>
      <c r="B67" s="273"/>
      <c r="C67" s="273"/>
      <c r="D67" s="273"/>
      <c r="E67" s="273"/>
      <c r="F67" s="273"/>
      <c r="G67" s="273"/>
      <c r="J67" s="827">
        <v>110.789</v>
      </c>
      <c r="K67" s="643">
        <f t="shared" si="4"/>
        <v>1.1947278523214137E-2</v>
      </c>
      <c r="L67" s="643"/>
      <c r="M67" s="643">
        <v>3.6699999999999997E-2</v>
      </c>
      <c r="N67" s="643">
        <v>4.7199999999999999E-2</v>
      </c>
      <c r="O67" s="643"/>
      <c r="P67" s="332">
        <f t="shared" si="17"/>
        <v>0.32553892433825993</v>
      </c>
      <c r="Q67" s="332">
        <f t="shared" si="18"/>
        <v>0.25312030769521476</v>
      </c>
      <c r="R67" s="644"/>
      <c r="S67" s="277"/>
      <c r="T67" s="277"/>
      <c r="U67" s="277"/>
      <c r="V67" s="277"/>
      <c r="W67" s="644"/>
      <c r="X67" s="644"/>
      <c r="Y67" s="644"/>
      <c r="Z67" s="644"/>
      <c r="AA67" s="644"/>
      <c r="AB67" s="644"/>
      <c r="AC67" s="644"/>
      <c r="AD67" s="644"/>
      <c r="AE67" s="644"/>
      <c r="AF67" s="644"/>
      <c r="AG67" s="644"/>
      <c r="AH67" s="644"/>
      <c r="AI67" s="644"/>
      <c r="AJ67" s="277">
        <v>474074</v>
      </c>
      <c r="AK67" s="277">
        <v>28467</v>
      </c>
      <c r="AL67" s="277"/>
      <c r="AM67" s="277">
        <v>192257</v>
      </c>
      <c r="AN67" s="277">
        <v>62076</v>
      </c>
      <c r="AO67" s="277"/>
      <c r="AP67" s="277"/>
      <c r="AQ67" s="277"/>
      <c r="AR67" s="277"/>
      <c r="AS67" s="644"/>
      <c r="AT67" s="277" t="s">
        <v>884</v>
      </c>
      <c r="AU67" s="277"/>
      <c r="AV67" s="277"/>
      <c r="AW67" s="277"/>
      <c r="AX67" s="277"/>
      <c r="AY67" s="277"/>
    </row>
    <row r="68" spans="1:51" ht="6.75" customHeight="1" x14ac:dyDescent="0.3">
      <c r="A68" s="148"/>
      <c r="B68" s="148"/>
      <c r="C68" s="148"/>
      <c r="D68" s="148"/>
      <c r="E68" s="148"/>
      <c r="F68" s="148"/>
      <c r="G68" s="148"/>
      <c r="H68" s="11"/>
      <c r="I68" s="11"/>
      <c r="J68" s="148"/>
      <c r="K68" s="148"/>
      <c r="L68" s="148"/>
      <c r="M68" s="148"/>
      <c r="N68" s="148"/>
      <c r="O68" s="148"/>
      <c r="P68" s="148"/>
      <c r="Q68" s="148"/>
      <c r="R68" s="148"/>
      <c r="S68" s="148"/>
      <c r="T68" s="148"/>
      <c r="U68" s="148"/>
      <c r="V68" s="148"/>
      <c r="W68" s="148"/>
      <c r="X68" s="148"/>
      <c r="Y68" s="148"/>
      <c r="Z68" s="148"/>
      <c r="AA68" s="148"/>
      <c r="AB68" s="148"/>
      <c r="AC68" s="148"/>
      <c r="AD68" s="148"/>
      <c r="AE68" s="148"/>
      <c r="AF68" s="148"/>
      <c r="AG68" s="148"/>
      <c r="AH68" s="148"/>
      <c r="AI68" s="600"/>
      <c r="AJ68" s="148"/>
      <c r="AK68" s="148"/>
      <c r="AL68" s="148"/>
      <c r="AM68" s="148"/>
      <c r="AN68" s="148"/>
      <c r="AO68" s="148"/>
      <c r="AP68" s="148"/>
      <c r="AQ68" s="148"/>
      <c r="AR68" s="148"/>
      <c r="AS68" s="600"/>
      <c r="AT68" s="148"/>
      <c r="AU68" s="148"/>
      <c r="AV68" s="148"/>
      <c r="AW68" s="148"/>
      <c r="AX68" s="148"/>
      <c r="AY68" s="148"/>
    </row>
    <row r="69" spans="1:51" ht="17.25" customHeight="1" x14ac:dyDescent="0.3">
      <c r="A69" s="600"/>
      <c r="B69" s="600"/>
      <c r="C69" s="600"/>
      <c r="D69" s="600"/>
      <c r="E69" s="600"/>
      <c r="F69" s="600"/>
      <c r="G69" s="600"/>
      <c r="J69" s="600"/>
      <c r="K69" s="600"/>
      <c r="L69" s="600"/>
      <c r="M69" s="600"/>
      <c r="N69" s="600"/>
      <c r="O69" s="600"/>
      <c r="P69" s="600"/>
      <c r="Q69" s="600"/>
      <c r="R69" s="600"/>
      <c r="S69" s="600"/>
      <c r="T69" s="600"/>
      <c r="U69" s="600"/>
      <c r="V69" s="600"/>
      <c r="W69" s="600"/>
      <c r="X69" s="600"/>
      <c r="Y69" s="600"/>
      <c r="Z69" s="600"/>
      <c r="AA69" s="600"/>
      <c r="AB69" s="600"/>
      <c r="AC69" s="600"/>
      <c r="AD69" s="600"/>
      <c r="AE69" s="600"/>
      <c r="AF69" s="600"/>
      <c r="AG69" s="600"/>
      <c r="AH69" s="600"/>
      <c r="AI69" s="600"/>
      <c r="AJ69" s="600"/>
      <c r="AK69" s="600"/>
      <c r="AL69" s="600"/>
      <c r="AM69" s="600"/>
      <c r="AN69" s="600"/>
      <c r="AO69" s="600"/>
      <c r="AP69" s="600"/>
      <c r="AQ69" s="600"/>
      <c r="AR69" s="600"/>
      <c r="AS69" s="600"/>
      <c r="AT69" s="600"/>
      <c r="AU69" s="600"/>
      <c r="AV69" s="600"/>
      <c r="AW69" s="600"/>
      <c r="AX69" s="600"/>
      <c r="AY69" s="600"/>
    </row>
    <row r="70" spans="1:51" x14ac:dyDescent="0.3">
      <c r="A70" s="700"/>
      <c r="AR70" s="32"/>
    </row>
    <row r="71" spans="1:51" ht="12" customHeight="1" x14ac:dyDescent="0.3">
      <c r="A71" s="700"/>
    </row>
    <row r="72" spans="1:51" ht="12" customHeight="1" x14ac:dyDescent="0.3">
      <c r="A72" s="700"/>
    </row>
    <row r="73" spans="1:51" ht="12" customHeight="1" x14ac:dyDescent="0.3">
      <c r="A73" s="700"/>
    </row>
    <row r="74" spans="1:51" ht="12" customHeight="1" x14ac:dyDescent="0.3">
      <c r="A74" s="700"/>
    </row>
    <row r="75" spans="1:51" ht="12" customHeight="1" x14ac:dyDescent="0.3">
      <c r="A75" s="264"/>
    </row>
    <row r="76" spans="1:51" ht="12" customHeight="1" x14ac:dyDescent="0.3"/>
  </sheetData>
  <mergeCells count="58">
    <mergeCell ref="X5:Z5"/>
    <mergeCell ref="AB5:AD5"/>
    <mergeCell ref="J5:K5"/>
    <mergeCell ref="B4:B8"/>
    <mergeCell ref="C4:F4"/>
    <mergeCell ref="C7:C8"/>
    <mergeCell ref="D7:D8"/>
    <mergeCell ref="C5:D6"/>
    <mergeCell ref="E5:E8"/>
    <mergeCell ref="F5:F8"/>
    <mergeCell ref="AG6:AG8"/>
    <mergeCell ref="AH6:AH8"/>
    <mergeCell ref="AB6:AB8"/>
    <mergeCell ref="H4:H8"/>
    <mergeCell ref="T6:T8"/>
    <mergeCell ref="U6:U8"/>
    <mergeCell ref="K6:K8"/>
    <mergeCell ref="M6:M8"/>
    <mergeCell ref="P5:Q5"/>
    <mergeCell ref="Q6:Q8"/>
    <mergeCell ref="P6:P8"/>
    <mergeCell ref="J6:J8"/>
    <mergeCell ref="J4:Q4"/>
    <mergeCell ref="R4:R9"/>
    <mergeCell ref="S4:AH4"/>
    <mergeCell ref="W5:W8"/>
    <mergeCell ref="AN7:AN8"/>
    <mergeCell ref="AO6:AO8"/>
    <mergeCell ref="AP6:AP8"/>
    <mergeCell ref="M5:N5"/>
    <mergeCell ref="AE5:AE8"/>
    <mergeCell ref="AF5:AH5"/>
    <mergeCell ref="N6:N8"/>
    <mergeCell ref="S6:S8"/>
    <mergeCell ref="S5:V5"/>
    <mergeCell ref="V6:V8"/>
    <mergeCell ref="X6:X8"/>
    <mergeCell ref="Y6:Y8"/>
    <mergeCell ref="Z6:Z8"/>
    <mergeCell ref="AC6:AC8"/>
    <mergeCell ref="AD6:AD8"/>
    <mergeCell ref="AF6:AF8"/>
    <mergeCell ref="AT4:AY5"/>
    <mergeCell ref="AK7:AK8"/>
    <mergeCell ref="AM6:AN6"/>
    <mergeCell ref="AY6:AY8"/>
    <mergeCell ref="AT6:AU6"/>
    <mergeCell ref="AT7:AT8"/>
    <mergeCell ref="AU7:AU8"/>
    <mergeCell ref="AW6:AX6"/>
    <mergeCell ref="AW7:AW8"/>
    <mergeCell ref="AJ6:AK6"/>
    <mergeCell ref="AX7:AX8"/>
    <mergeCell ref="AJ7:AJ8"/>
    <mergeCell ref="AJ4:AR5"/>
    <mergeCell ref="AR6:AR8"/>
    <mergeCell ref="AQ6:AQ8"/>
    <mergeCell ref="AM7:AM8"/>
  </mergeCells>
  <conditionalFormatting sqref="AY6">
    <cfRule type="duplicateValues" dxfId="2" priority="3"/>
  </conditionalFormatting>
  <conditionalFormatting sqref="AU7:AV7">
    <cfRule type="duplicateValues" dxfId="1" priority="2"/>
  </conditionalFormatting>
  <conditionalFormatting sqref="AX7">
    <cfRule type="duplicateValues" dxfId="0" priority="1"/>
  </conditionalFormatting>
  <hyperlinks>
    <hyperlink ref="H1" location="Index!A1" display="Index"/>
  </hyperlink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theme="5" tint="0.59999389629810485"/>
  </sheetPr>
  <dimension ref="A1:CC75"/>
  <sheetViews>
    <sheetView zoomScale="85" zoomScaleNormal="85" workbookViewId="0">
      <pane ySplit="8" topLeftCell="A9" activePane="bottomLeft" state="frozen"/>
      <selection pane="bottomLeft"/>
    </sheetView>
  </sheetViews>
  <sheetFormatPr defaultRowHeight="14.4" x14ac:dyDescent="0.3"/>
  <cols>
    <col min="1" max="1" width="9.5546875" style="655" customWidth="1"/>
    <col min="2" max="2" width="12.21875" style="655" customWidth="1"/>
    <col min="3" max="3" width="1.88671875" style="655" customWidth="1"/>
    <col min="4" max="6" width="11" style="655" customWidth="1"/>
    <col min="7" max="7" width="17.77734375" style="655" customWidth="1"/>
    <col min="8" max="8" width="5.88671875" style="655" customWidth="1"/>
    <col min="9" max="9" width="10.5546875" style="655" customWidth="1"/>
    <col min="10" max="14" width="9.109375" style="655" customWidth="1"/>
    <col min="15" max="15" width="11.5546875" style="655" customWidth="1"/>
    <col min="16" max="16" width="10" style="655" customWidth="1"/>
    <col min="17" max="17" width="11.5546875" style="655" customWidth="1"/>
    <col min="18" max="18" width="9.109375" style="655" customWidth="1"/>
    <col min="19" max="19" width="11.21875" style="655" customWidth="1"/>
    <col min="20" max="20" width="12.88671875" style="655" customWidth="1"/>
    <col min="21" max="21" width="8.21875" style="655" customWidth="1"/>
    <col min="22" max="22" width="3.5546875" style="655" customWidth="1"/>
    <col min="23" max="23" width="10.44140625" style="655" customWidth="1"/>
    <col min="24" max="25" width="9.21875" style="655" customWidth="1"/>
    <col min="26" max="26" width="14.44140625" style="655" customWidth="1"/>
    <col min="27" max="27" width="10.109375" style="655" customWidth="1"/>
    <col min="28" max="28" width="5.44140625" style="655" customWidth="1"/>
    <col min="29" max="29" width="13.88671875" style="655" customWidth="1"/>
    <col min="30" max="31" width="13.88671875" style="1011" customWidth="1"/>
    <col min="32" max="32" width="10.21875" style="655" customWidth="1"/>
    <col min="33" max="33" width="10.88671875" style="655" customWidth="1"/>
    <col min="34" max="34" width="7.5546875" style="1011" customWidth="1"/>
    <col min="35" max="186" width="9.109375" style="655"/>
    <col min="187" max="187" width="9.5546875" style="655" customWidth="1"/>
    <col min="188" max="188" width="11" style="655" customWidth="1"/>
    <col min="189" max="190" width="11.21875" style="655" customWidth="1"/>
    <col min="191" max="191" width="11.5546875" style="655" customWidth="1"/>
    <col min="192" max="192" width="11.109375" style="655" customWidth="1"/>
    <col min="193" max="193" width="2" style="655" customWidth="1"/>
    <col min="194" max="194" width="13.5546875" style="655" customWidth="1"/>
    <col min="195" max="195" width="12.44140625" style="655" customWidth="1"/>
    <col min="196" max="196" width="13.5546875" style="655" customWidth="1"/>
    <col min="197" max="197" width="2.109375" style="655" customWidth="1"/>
    <col min="198" max="198" width="9.109375" style="655"/>
    <col min="199" max="199" width="10.21875" style="655" customWidth="1"/>
    <col min="200" max="200" width="1.88671875" style="655" customWidth="1"/>
    <col min="201" max="201" width="10.77734375" style="655" customWidth="1"/>
    <col min="202" max="202" width="9.109375" style="655"/>
    <col min="203" max="203" width="2.109375" style="655" customWidth="1"/>
    <col min="204" max="204" width="9.109375" style="655"/>
    <col min="205" max="205" width="11.21875" style="655" customWidth="1"/>
    <col min="206" max="206" width="12.77734375" style="655" customWidth="1"/>
    <col min="207" max="207" width="12.5546875" style="655" customWidth="1"/>
    <col min="208" max="208" width="2" style="655" customWidth="1"/>
    <col min="209" max="210" width="9.109375" style="655"/>
    <col min="211" max="211" width="11" style="655" customWidth="1"/>
    <col min="212" max="212" width="9.109375" style="655"/>
    <col min="213" max="213" width="2.21875" style="655" customWidth="1"/>
    <col min="214" max="214" width="11" style="655" customWidth="1"/>
    <col min="215" max="215" width="9.109375" style="655"/>
    <col min="216" max="216" width="11.5546875" style="655" customWidth="1"/>
    <col min="217" max="217" width="11.21875" style="655" customWidth="1"/>
    <col min="218" max="218" width="2.88671875" style="655" customWidth="1"/>
    <col min="219" max="220" width="9.109375" style="655"/>
    <col min="221" max="221" width="11.21875" style="655" customWidth="1"/>
    <col min="222" max="222" width="2.21875" style="655" customWidth="1"/>
    <col min="223" max="223" width="9.109375" style="655"/>
    <col min="224" max="224" width="10.44140625" style="655" customWidth="1"/>
    <col min="225" max="225" width="9.109375" style="655"/>
    <col min="226" max="226" width="11.109375" style="655" customWidth="1"/>
    <col min="227" max="228" width="9.109375" style="655"/>
    <col min="229" max="229" width="10.88671875" style="655" customWidth="1"/>
    <col min="230" max="231" width="9.109375" style="655"/>
    <col min="232" max="232" width="1.5546875" style="655" customWidth="1"/>
    <col min="233" max="233" width="9.77734375" style="655" customWidth="1"/>
    <col min="234" max="237" width="9.109375" style="655"/>
    <col min="238" max="238" width="1.88671875" style="655" customWidth="1"/>
    <col min="239" max="239" width="9.88671875" style="655" customWidth="1"/>
    <col min="240" max="240" width="1.5546875" style="655" customWidth="1"/>
    <col min="241" max="241" width="11.44140625" style="655" customWidth="1"/>
    <col min="242" max="242" width="2.21875" style="655" customWidth="1"/>
    <col min="243" max="243" width="12" style="655" customWidth="1"/>
    <col min="244" max="244" width="2" style="655" customWidth="1"/>
    <col min="245" max="245" width="9.109375" style="655"/>
    <col min="246" max="246" width="11.109375" style="655" customWidth="1"/>
    <col min="247" max="247" width="12" style="655" customWidth="1"/>
    <col min="248" max="248" width="9.109375" style="655"/>
    <col min="249" max="249" width="11.88671875" style="655" customWidth="1"/>
    <col min="250" max="250" width="14.21875" style="655" customWidth="1"/>
    <col min="251" max="254" width="9.109375" style="655"/>
    <col min="255" max="255" width="3.44140625" style="655" customWidth="1"/>
    <col min="256" max="257" width="9.109375" style="655"/>
    <col min="258" max="258" width="11.44140625" style="655" customWidth="1"/>
    <col min="259" max="259" width="2.77734375" style="655" customWidth="1"/>
    <col min="260" max="442" width="9.109375" style="655"/>
    <col min="443" max="443" width="9.5546875" style="655" customWidth="1"/>
    <col min="444" max="444" width="11" style="655" customWidth="1"/>
    <col min="445" max="446" width="11.21875" style="655" customWidth="1"/>
    <col min="447" max="447" width="11.5546875" style="655" customWidth="1"/>
    <col min="448" max="448" width="11.109375" style="655" customWidth="1"/>
    <col min="449" max="449" width="2" style="655" customWidth="1"/>
    <col min="450" max="450" width="13.5546875" style="655" customWidth="1"/>
    <col min="451" max="451" width="12.44140625" style="655" customWidth="1"/>
    <col min="452" max="452" width="13.5546875" style="655" customWidth="1"/>
    <col min="453" max="453" width="2.109375" style="655" customWidth="1"/>
    <col min="454" max="454" width="9.109375" style="655"/>
    <col min="455" max="455" width="10.21875" style="655" customWidth="1"/>
    <col min="456" max="456" width="1.88671875" style="655" customWidth="1"/>
    <col min="457" max="457" width="10.77734375" style="655" customWidth="1"/>
    <col min="458" max="458" width="9.109375" style="655"/>
    <col min="459" max="459" width="2.109375" style="655" customWidth="1"/>
    <col min="460" max="460" width="9.109375" style="655"/>
    <col min="461" max="461" width="11.21875" style="655" customWidth="1"/>
    <col min="462" max="462" width="12.77734375" style="655" customWidth="1"/>
    <col min="463" max="463" width="12.5546875" style="655" customWidth="1"/>
    <col min="464" max="464" width="2" style="655" customWidth="1"/>
    <col min="465" max="466" width="9.109375" style="655"/>
    <col min="467" max="467" width="11" style="655" customWidth="1"/>
    <col min="468" max="468" width="9.109375" style="655"/>
    <col min="469" max="469" width="2.21875" style="655" customWidth="1"/>
    <col min="470" max="470" width="11" style="655" customWidth="1"/>
    <col min="471" max="471" width="9.109375" style="655"/>
    <col min="472" max="472" width="11.5546875" style="655" customWidth="1"/>
    <col min="473" max="473" width="11.21875" style="655" customWidth="1"/>
    <col min="474" max="474" width="2.88671875" style="655" customWidth="1"/>
    <col min="475" max="476" width="9.109375" style="655"/>
    <col min="477" max="477" width="11.21875" style="655" customWidth="1"/>
    <col min="478" max="478" width="2.21875" style="655" customWidth="1"/>
    <col min="479" max="479" width="9.109375" style="655"/>
    <col min="480" max="480" width="10.44140625" style="655" customWidth="1"/>
    <col min="481" max="481" width="9.109375" style="655"/>
    <col min="482" max="482" width="11.109375" style="655" customWidth="1"/>
    <col min="483" max="484" width="9.109375" style="655"/>
    <col min="485" max="485" width="10.88671875" style="655" customWidth="1"/>
    <col min="486" max="487" width="9.109375" style="655"/>
    <col min="488" max="488" width="1.5546875" style="655" customWidth="1"/>
    <col min="489" max="489" width="9.77734375" style="655" customWidth="1"/>
    <col min="490" max="493" width="9.109375" style="655"/>
    <col min="494" max="494" width="1.88671875" style="655" customWidth="1"/>
    <col min="495" max="495" width="9.88671875" style="655" customWidth="1"/>
    <col min="496" max="496" width="1.5546875" style="655" customWidth="1"/>
    <col min="497" max="497" width="11.44140625" style="655" customWidth="1"/>
    <col min="498" max="498" width="2.21875" style="655" customWidth="1"/>
    <col min="499" max="499" width="12" style="655" customWidth="1"/>
    <col min="500" max="500" width="2" style="655" customWidth="1"/>
    <col min="501" max="501" width="9.109375" style="655"/>
    <col min="502" max="502" width="11.109375" style="655" customWidth="1"/>
    <col min="503" max="503" width="12" style="655" customWidth="1"/>
    <col min="504" max="504" width="9.109375" style="655"/>
    <col min="505" max="505" width="11.88671875" style="655" customWidth="1"/>
    <col min="506" max="506" width="14.21875" style="655" customWidth="1"/>
    <col min="507" max="510" width="9.109375" style="655"/>
    <col min="511" max="511" width="3.44140625" style="655" customWidth="1"/>
    <col min="512" max="513" width="9.109375" style="655"/>
    <col min="514" max="514" width="11.44140625" style="655" customWidth="1"/>
    <col min="515" max="515" width="2.77734375" style="655" customWidth="1"/>
    <col min="516" max="698" width="9.109375" style="655"/>
    <col min="699" max="699" width="9.5546875" style="655" customWidth="1"/>
    <col min="700" max="700" width="11" style="655" customWidth="1"/>
    <col min="701" max="702" width="11.21875" style="655" customWidth="1"/>
    <col min="703" max="703" width="11.5546875" style="655" customWidth="1"/>
    <col min="704" max="704" width="11.109375" style="655" customWidth="1"/>
    <col min="705" max="705" width="2" style="655" customWidth="1"/>
    <col min="706" max="706" width="13.5546875" style="655" customWidth="1"/>
    <col min="707" max="707" width="12.44140625" style="655" customWidth="1"/>
    <col min="708" max="708" width="13.5546875" style="655" customWidth="1"/>
    <col min="709" max="709" width="2.109375" style="655" customWidth="1"/>
    <col min="710" max="710" width="9.109375" style="655"/>
    <col min="711" max="711" width="10.21875" style="655" customWidth="1"/>
    <col min="712" max="712" width="1.88671875" style="655" customWidth="1"/>
    <col min="713" max="713" width="10.77734375" style="655" customWidth="1"/>
    <col min="714" max="714" width="9.109375" style="655"/>
    <col min="715" max="715" width="2.109375" style="655" customWidth="1"/>
    <col min="716" max="716" width="9.109375" style="655"/>
    <col min="717" max="717" width="11.21875" style="655" customWidth="1"/>
    <col min="718" max="718" width="12.77734375" style="655" customWidth="1"/>
    <col min="719" max="719" width="12.5546875" style="655" customWidth="1"/>
    <col min="720" max="720" width="2" style="655" customWidth="1"/>
    <col min="721" max="722" width="9.109375" style="655"/>
    <col min="723" max="723" width="11" style="655" customWidth="1"/>
    <col min="724" max="724" width="9.109375" style="655"/>
    <col min="725" max="725" width="2.21875" style="655" customWidth="1"/>
    <col min="726" max="726" width="11" style="655" customWidth="1"/>
    <col min="727" max="727" width="9.109375" style="655"/>
    <col min="728" max="728" width="11.5546875" style="655" customWidth="1"/>
    <col min="729" max="729" width="11.21875" style="655" customWidth="1"/>
    <col min="730" max="730" width="2.88671875" style="655" customWidth="1"/>
    <col min="731" max="732" width="9.109375" style="655"/>
    <col min="733" max="733" width="11.21875" style="655" customWidth="1"/>
    <col min="734" max="734" width="2.21875" style="655" customWidth="1"/>
    <col min="735" max="735" width="9.109375" style="655"/>
    <col min="736" max="736" width="10.44140625" style="655" customWidth="1"/>
    <col min="737" max="737" width="9.109375" style="655"/>
    <col min="738" max="738" width="11.109375" style="655" customWidth="1"/>
    <col min="739" max="740" width="9.109375" style="655"/>
    <col min="741" max="741" width="10.88671875" style="655" customWidth="1"/>
    <col min="742" max="743" width="9.109375" style="655"/>
    <col min="744" max="744" width="1.5546875" style="655" customWidth="1"/>
    <col min="745" max="745" width="9.77734375" style="655" customWidth="1"/>
    <col min="746" max="749" width="9.109375" style="655"/>
    <col min="750" max="750" width="1.88671875" style="655" customWidth="1"/>
    <col min="751" max="751" width="9.88671875" style="655" customWidth="1"/>
    <col min="752" max="752" width="1.5546875" style="655" customWidth="1"/>
    <col min="753" max="753" width="11.44140625" style="655" customWidth="1"/>
    <col min="754" max="754" width="2.21875" style="655" customWidth="1"/>
    <col min="755" max="755" width="12" style="655" customWidth="1"/>
    <col min="756" max="756" width="2" style="655" customWidth="1"/>
    <col min="757" max="757" width="9.109375" style="655"/>
    <col min="758" max="758" width="11.109375" style="655" customWidth="1"/>
    <col min="759" max="759" width="12" style="655" customWidth="1"/>
    <col min="760" max="760" width="9.109375" style="655"/>
    <col min="761" max="761" width="11.88671875" style="655" customWidth="1"/>
    <col min="762" max="762" width="14.21875" style="655" customWidth="1"/>
    <col min="763" max="766" width="9.109375" style="655"/>
    <col min="767" max="767" width="3.44140625" style="655" customWidth="1"/>
    <col min="768" max="769" width="9.109375" style="655"/>
    <col min="770" max="770" width="11.44140625" style="655" customWidth="1"/>
    <col min="771" max="771" width="2.77734375" style="655" customWidth="1"/>
    <col min="772" max="954" width="9.109375" style="655"/>
    <col min="955" max="955" width="9.5546875" style="655" customWidth="1"/>
    <col min="956" max="956" width="11" style="655" customWidth="1"/>
    <col min="957" max="958" width="11.21875" style="655" customWidth="1"/>
    <col min="959" max="959" width="11.5546875" style="655" customWidth="1"/>
    <col min="960" max="960" width="11.109375" style="655" customWidth="1"/>
    <col min="961" max="961" width="2" style="655" customWidth="1"/>
    <col min="962" max="962" width="13.5546875" style="655" customWidth="1"/>
    <col min="963" max="963" width="12.44140625" style="655" customWidth="1"/>
    <col min="964" max="964" width="13.5546875" style="655" customWidth="1"/>
    <col min="965" max="965" width="2.109375" style="655" customWidth="1"/>
    <col min="966" max="966" width="9.109375" style="655"/>
    <col min="967" max="967" width="10.21875" style="655" customWidth="1"/>
    <col min="968" max="968" width="1.88671875" style="655" customWidth="1"/>
    <col min="969" max="969" width="10.77734375" style="655" customWidth="1"/>
    <col min="970" max="970" width="9.109375" style="655"/>
    <col min="971" max="971" width="2.109375" style="655" customWidth="1"/>
    <col min="972" max="972" width="9.109375" style="655"/>
    <col min="973" max="973" width="11.21875" style="655" customWidth="1"/>
    <col min="974" max="974" width="12.77734375" style="655" customWidth="1"/>
    <col min="975" max="975" width="12.5546875" style="655" customWidth="1"/>
    <col min="976" max="976" width="2" style="655" customWidth="1"/>
    <col min="977" max="978" width="9.109375" style="655"/>
    <col min="979" max="979" width="11" style="655" customWidth="1"/>
    <col min="980" max="980" width="9.109375" style="655"/>
    <col min="981" max="981" width="2.21875" style="655" customWidth="1"/>
    <col min="982" max="982" width="11" style="655" customWidth="1"/>
    <col min="983" max="983" width="9.109375" style="655"/>
    <col min="984" max="984" width="11.5546875" style="655" customWidth="1"/>
    <col min="985" max="985" width="11.21875" style="655" customWidth="1"/>
    <col min="986" max="986" width="2.88671875" style="655" customWidth="1"/>
    <col min="987" max="988" width="9.109375" style="655"/>
    <col min="989" max="989" width="11.21875" style="655" customWidth="1"/>
    <col min="990" max="990" width="2.21875" style="655" customWidth="1"/>
    <col min="991" max="991" width="9.109375" style="655"/>
    <col min="992" max="992" width="10.44140625" style="655" customWidth="1"/>
    <col min="993" max="993" width="9.109375" style="655"/>
    <col min="994" max="994" width="11.109375" style="655" customWidth="1"/>
    <col min="995" max="996" width="9.109375" style="655"/>
    <col min="997" max="997" width="10.88671875" style="655" customWidth="1"/>
    <col min="998" max="999" width="9.109375" style="655"/>
    <col min="1000" max="1000" width="1.5546875" style="655" customWidth="1"/>
    <col min="1001" max="1001" width="9.77734375" style="655" customWidth="1"/>
    <col min="1002" max="1005" width="9.109375" style="655"/>
    <col min="1006" max="1006" width="1.88671875" style="655" customWidth="1"/>
    <col min="1007" max="1007" width="9.88671875" style="655" customWidth="1"/>
    <col min="1008" max="1008" width="1.5546875" style="655" customWidth="1"/>
    <col min="1009" max="1009" width="11.44140625" style="655" customWidth="1"/>
    <col min="1010" max="1010" width="2.21875" style="655" customWidth="1"/>
    <col min="1011" max="1011" width="12" style="655" customWidth="1"/>
    <col min="1012" max="1012" width="2" style="655" customWidth="1"/>
    <col min="1013" max="1013" width="9.109375" style="655"/>
    <col min="1014" max="1014" width="11.109375" style="655" customWidth="1"/>
    <col min="1015" max="1015" width="12" style="655" customWidth="1"/>
    <col min="1016" max="1016" width="9.109375" style="655"/>
    <col min="1017" max="1017" width="11.88671875" style="655" customWidth="1"/>
    <col min="1018" max="1018" width="14.21875" style="655" customWidth="1"/>
    <col min="1019" max="1022" width="9.109375" style="655"/>
    <col min="1023" max="1023" width="3.44140625" style="655" customWidth="1"/>
    <col min="1024" max="1025" width="9.109375" style="655"/>
    <col min="1026" max="1026" width="11.44140625" style="655" customWidth="1"/>
    <col min="1027" max="1027" width="2.77734375" style="655" customWidth="1"/>
    <col min="1028" max="1210" width="9.109375" style="655"/>
    <col min="1211" max="1211" width="9.5546875" style="655" customWidth="1"/>
    <col min="1212" max="1212" width="11" style="655" customWidth="1"/>
    <col min="1213" max="1214" width="11.21875" style="655" customWidth="1"/>
    <col min="1215" max="1215" width="11.5546875" style="655" customWidth="1"/>
    <col min="1216" max="1216" width="11.109375" style="655" customWidth="1"/>
    <col min="1217" max="1217" width="2" style="655" customWidth="1"/>
    <col min="1218" max="1218" width="13.5546875" style="655" customWidth="1"/>
    <col min="1219" max="1219" width="12.44140625" style="655" customWidth="1"/>
    <col min="1220" max="1220" width="13.5546875" style="655" customWidth="1"/>
    <col min="1221" max="1221" width="2.109375" style="655" customWidth="1"/>
    <col min="1222" max="1222" width="9.109375" style="655"/>
    <col min="1223" max="1223" width="10.21875" style="655" customWidth="1"/>
    <col min="1224" max="1224" width="1.88671875" style="655" customWidth="1"/>
    <col min="1225" max="1225" width="10.77734375" style="655" customWidth="1"/>
    <col min="1226" max="1226" width="9.109375" style="655"/>
    <col min="1227" max="1227" width="2.109375" style="655" customWidth="1"/>
    <col min="1228" max="1228" width="9.109375" style="655"/>
    <col min="1229" max="1229" width="11.21875" style="655" customWidth="1"/>
    <col min="1230" max="1230" width="12.77734375" style="655" customWidth="1"/>
    <col min="1231" max="1231" width="12.5546875" style="655" customWidth="1"/>
    <col min="1232" max="1232" width="2" style="655" customWidth="1"/>
    <col min="1233" max="1234" width="9.109375" style="655"/>
    <col min="1235" max="1235" width="11" style="655" customWidth="1"/>
    <col min="1236" max="1236" width="9.109375" style="655"/>
    <col min="1237" max="1237" width="2.21875" style="655" customWidth="1"/>
    <col min="1238" max="1238" width="11" style="655" customWidth="1"/>
    <col min="1239" max="1239" width="9.109375" style="655"/>
    <col min="1240" max="1240" width="11.5546875" style="655" customWidth="1"/>
    <col min="1241" max="1241" width="11.21875" style="655" customWidth="1"/>
    <col min="1242" max="1242" width="2.88671875" style="655" customWidth="1"/>
    <col min="1243" max="1244" width="9.109375" style="655"/>
    <col min="1245" max="1245" width="11.21875" style="655" customWidth="1"/>
    <col min="1246" max="1246" width="2.21875" style="655" customWidth="1"/>
    <col min="1247" max="1247" width="9.109375" style="655"/>
    <col min="1248" max="1248" width="10.44140625" style="655" customWidth="1"/>
    <col min="1249" max="1249" width="9.109375" style="655"/>
    <col min="1250" max="1250" width="11.109375" style="655" customWidth="1"/>
    <col min="1251" max="1252" width="9.109375" style="655"/>
    <col min="1253" max="1253" width="10.88671875" style="655" customWidth="1"/>
    <col min="1254" max="1255" width="9.109375" style="655"/>
    <col min="1256" max="1256" width="1.5546875" style="655" customWidth="1"/>
    <col min="1257" max="1257" width="9.77734375" style="655" customWidth="1"/>
    <col min="1258" max="1261" width="9.109375" style="655"/>
    <col min="1262" max="1262" width="1.88671875" style="655" customWidth="1"/>
    <col min="1263" max="1263" width="9.88671875" style="655" customWidth="1"/>
    <col min="1264" max="1264" width="1.5546875" style="655" customWidth="1"/>
    <col min="1265" max="1265" width="11.44140625" style="655" customWidth="1"/>
    <col min="1266" max="1266" width="2.21875" style="655" customWidth="1"/>
    <col min="1267" max="1267" width="12" style="655" customWidth="1"/>
    <col min="1268" max="1268" width="2" style="655" customWidth="1"/>
    <col min="1269" max="1269" width="9.109375" style="655"/>
    <col min="1270" max="1270" width="11.109375" style="655" customWidth="1"/>
    <col min="1271" max="1271" width="12" style="655" customWidth="1"/>
    <col min="1272" max="1272" width="9.109375" style="655"/>
    <col min="1273" max="1273" width="11.88671875" style="655" customWidth="1"/>
    <col min="1274" max="1274" width="14.21875" style="655" customWidth="1"/>
    <col min="1275" max="1278" width="9.109375" style="655"/>
    <col min="1279" max="1279" width="3.44140625" style="655" customWidth="1"/>
    <col min="1280" max="1281" width="9.109375" style="655"/>
    <col min="1282" max="1282" width="11.44140625" style="655" customWidth="1"/>
    <col min="1283" max="1283" width="2.77734375" style="655" customWidth="1"/>
    <col min="1284" max="1466" width="9.109375" style="655"/>
    <col min="1467" max="1467" width="9.5546875" style="655" customWidth="1"/>
    <col min="1468" max="1468" width="11" style="655" customWidth="1"/>
    <col min="1469" max="1470" width="11.21875" style="655" customWidth="1"/>
    <col min="1471" max="1471" width="11.5546875" style="655" customWidth="1"/>
    <col min="1472" max="1472" width="11.109375" style="655" customWidth="1"/>
    <col min="1473" max="1473" width="2" style="655" customWidth="1"/>
    <col min="1474" max="1474" width="13.5546875" style="655" customWidth="1"/>
    <col min="1475" max="1475" width="12.44140625" style="655" customWidth="1"/>
    <col min="1476" max="1476" width="13.5546875" style="655" customWidth="1"/>
    <col min="1477" max="1477" width="2.109375" style="655" customWidth="1"/>
    <col min="1478" max="1478" width="9.109375" style="655"/>
    <col min="1479" max="1479" width="10.21875" style="655" customWidth="1"/>
    <col min="1480" max="1480" width="1.88671875" style="655" customWidth="1"/>
    <col min="1481" max="1481" width="10.77734375" style="655" customWidth="1"/>
    <col min="1482" max="1482" width="9.109375" style="655"/>
    <col min="1483" max="1483" width="2.109375" style="655" customWidth="1"/>
    <col min="1484" max="1484" width="9.109375" style="655"/>
    <col min="1485" max="1485" width="11.21875" style="655" customWidth="1"/>
    <col min="1486" max="1486" width="12.77734375" style="655" customWidth="1"/>
    <col min="1487" max="1487" width="12.5546875" style="655" customWidth="1"/>
    <col min="1488" max="1488" width="2" style="655" customWidth="1"/>
    <col min="1489" max="1490" width="9.109375" style="655"/>
    <col min="1491" max="1491" width="11" style="655" customWidth="1"/>
    <col min="1492" max="1492" width="9.109375" style="655"/>
    <col min="1493" max="1493" width="2.21875" style="655" customWidth="1"/>
    <col min="1494" max="1494" width="11" style="655" customWidth="1"/>
    <col min="1495" max="1495" width="9.109375" style="655"/>
    <col min="1496" max="1496" width="11.5546875" style="655" customWidth="1"/>
    <col min="1497" max="1497" width="11.21875" style="655" customWidth="1"/>
    <col min="1498" max="1498" width="2.88671875" style="655" customWidth="1"/>
    <col min="1499" max="1500" width="9.109375" style="655"/>
    <col min="1501" max="1501" width="11.21875" style="655" customWidth="1"/>
    <col min="1502" max="1502" width="2.21875" style="655" customWidth="1"/>
    <col min="1503" max="1503" width="9.109375" style="655"/>
    <col min="1504" max="1504" width="10.44140625" style="655" customWidth="1"/>
    <col min="1505" max="1505" width="9.109375" style="655"/>
    <col min="1506" max="1506" width="11.109375" style="655" customWidth="1"/>
    <col min="1507" max="1508" width="9.109375" style="655"/>
    <col min="1509" max="1509" width="10.88671875" style="655" customWidth="1"/>
    <col min="1510" max="1511" width="9.109375" style="655"/>
    <col min="1512" max="1512" width="1.5546875" style="655" customWidth="1"/>
    <col min="1513" max="1513" width="9.77734375" style="655" customWidth="1"/>
    <col min="1514" max="1517" width="9.109375" style="655"/>
    <col min="1518" max="1518" width="1.88671875" style="655" customWidth="1"/>
    <col min="1519" max="1519" width="9.88671875" style="655" customWidth="1"/>
    <col min="1520" max="1520" width="1.5546875" style="655" customWidth="1"/>
    <col min="1521" max="1521" width="11.44140625" style="655" customWidth="1"/>
    <col min="1522" max="1522" width="2.21875" style="655" customWidth="1"/>
    <col min="1523" max="1523" width="12" style="655" customWidth="1"/>
    <col min="1524" max="1524" width="2" style="655" customWidth="1"/>
    <col min="1525" max="1525" width="9.109375" style="655"/>
    <col min="1526" max="1526" width="11.109375" style="655" customWidth="1"/>
    <col min="1527" max="1527" width="12" style="655" customWidth="1"/>
    <col min="1528" max="1528" width="9.109375" style="655"/>
    <col min="1529" max="1529" width="11.88671875" style="655" customWidth="1"/>
    <col min="1530" max="1530" width="14.21875" style="655" customWidth="1"/>
    <col min="1531" max="1534" width="9.109375" style="655"/>
    <col min="1535" max="1535" width="3.44140625" style="655" customWidth="1"/>
    <col min="1536" max="1537" width="9.109375" style="655"/>
    <col min="1538" max="1538" width="11.44140625" style="655" customWidth="1"/>
    <col min="1539" max="1539" width="2.77734375" style="655" customWidth="1"/>
    <col min="1540" max="1722" width="9.109375" style="655"/>
    <col min="1723" max="1723" width="9.5546875" style="655" customWidth="1"/>
    <col min="1724" max="1724" width="11" style="655" customWidth="1"/>
    <col min="1725" max="1726" width="11.21875" style="655" customWidth="1"/>
    <col min="1727" max="1727" width="11.5546875" style="655" customWidth="1"/>
    <col min="1728" max="1728" width="11.109375" style="655" customWidth="1"/>
    <col min="1729" max="1729" width="2" style="655" customWidth="1"/>
    <col min="1730" max="1730" width="13.5546875" style="655" customWidth="1"/>
    <col min="1731" max="1731" width="12.44140625" style="655" customWidth="1"/>
    <col min="1732" max="1732" width="13.5546875" style="655" customWidth="1"/>
    <col min="1733" max="1733" width="2.109375" style="655" customWidth="1"/>
    <col min="1734" max="1734" width="9.109375" style="655"/>
    <col min="1735" max="1735" width="10.21875" style="655" customWidth="1"/>
    <col min="1736" max="1736" width="1.88671875" style="655" customWidth="1"/>
    <col min="1737" max="1737" width="10.77734375" style="655" customWidth="1"/>
    <col min="1738" max="1738" width="9.109375" style="655"/>
    <col min="1739" max="1739" width="2.109375" style="655" customWidth="1"/>
    <col min="1740" max="1740" width="9.109375" style="655"/>
    <col min="1741" max="1741" width="11.21875" style="655" customWidth="1"/>
    <col min="1742" max="1742" width="12.77734375" style="655" customWidth="1"/>
    <col min="1743" max="1743" width="12.5546875" style="655" customWidth="1"/>
    <col min="1744" max="1744" width="2" style="655" customWidth="1"/>
    <col min="1745" max="1746" width="9.109375" style="655"/>
    <col min="1747" max="1747" width="11" style="655" customWidth="1"/>
    <col min="1748" max="1748" width="9.109375" style="655"/>
    <col min="1749" max="1749" width="2.21875" style="655" customWidth="1"/>
    <col min="1750" max="1750" width="11" style="655" customWidth="1"/>
    <col min="1751" max="1751" width="9.109375" style="655"/>
    <col min="1752" max="1752" width="11.5546875" style="655" customWidth="1"/>
    <col min="1753" max="1753" width="11.21875" style="655" customWidth="1"/>
    <col min="1754" max="1754" width="2.88671875" style="655" customWidth="1"/>
    <col min="1755" max="1756" width="9.109375" style="655"/>
    <col min="1757" max="1757" width="11.21875" style="655" customWidth="1"/>
    <col min="1758" max="1758" width="2.21875" style="655" customWidth="1"/>
    <col min="1759" max="1759" width="9.109375" style="655"/>
    <col min="1760" max="1760" width="10.44140625" style="655" customWidth="1"/>
    <col min="1761" max="1761" width="9.109375" style="655"/>
    <col min="1762" max="1762" width="11.109375" style="655" customWidth="1"/>
    <col min="1763" max="1764" width="9.109375" style="655"/>
    <col min="1765" max="1765" width="10.88671875" style="655" customWidth="1"/>
    <col min="1766" max="1767" width="9.109375" style="655"/>
    <col min="1768" max="1768" width="1.5546875" style="655" customWidth="1"/>
    <col min="1769" max="1769" width="9.77734375" style="655" customWidth="1"/>
    <col min="1770" max="1773" width="9.109375" style="655"/>
    <col min="1774" max="1774" width="1.88671875" style="655" customWidth="1"/>
    <col min="1775" max="1775" width="9.88671875" style="655" customWidth="1"/>
    <col min="1776" max="1776" width="1.5546875" style="655" customWidth="1"/>
    <col min="1777" max="1777" width="11.44140625" style="655" customWidth="1"/>
    <col min="1778" max="1778" width="2.21875" style="655" customWidth="1"/>
    <col min="1779" max="1779" width="12" style="655" customWidth="1"/>
    <col min="1780" max="1780" width="2" style="655" customWidth="1"/>
    <col min="1781" max="1781" width="9.109375" style="655"/>
    <col min="1782" max="1782" width="11.109375" style="655" customWidth="1"/>
    <col min="1783" max="1783" width="12" style="655" customWidth="1"/>
    <col min="1784" max="1784" width="9.109375" style="655"/>
    <col min="1785" max="1785" width="11.88671875" style="655" customWidth="1"/>
    <col min="1786" max="1786" width="14.21875" style="655" customWidth="1"/>
    <col min="1787" max="1790" width="9.109375" style="655"/>
    <col min="1791" max="1791" width="3.44140625" style="655" customWidth="1"/>
    <col min="1792" max="1793" width="9.109375" style="655"/>
    <col min="1794" max="1794" width="11.44140625" style="655" customWidth="1"/>
    <col min="1795" max="1795" width="2.77734375" style="655" customWidth="1"/>
    <col min="1796" max="1978" width="9.109375" style="655"/>
    <col min="1979" max="1979" width="9.5546875" style="655" customWidth="1"/>
    <col min="1980" max="1980" width="11" style="655" customWidth="1"/>
    <col min="1981" max="1982" width="11.21875" style="655" customWidth="1"/>
    <col min="1983" max="1983" width="11.5546875" style="655" customWidth="1"/>
    <col min="1984" max="1984" width="11.109375" style="655" customWidth="1"/>
    <col min="1985" max="1985" width="2" style="655" customWidth="1"/>
    <col min="1986" max="1986" width="13.5546875" style="655" customWidth="1"/>
    <col min="1987" max="1987" width="12.44140625" style="655" customWidth="1"/>
    <col min="1988" max="1988" width="13.5546875" style="655" customWidth="1"/>
    <col min="1989" max="1989" width="2.109375" style="655" customWidth="1"/>
    <col min="1990" max="1990" width="9.109375" style="655"/>
    <col min="1991" max="1991" width="10.21875" style="655" customWidth="1"/>
    <col min="1992" max="1992" width="1.88671875" style="655" customWidth="1"/>
    <col min="1993" max="1993" width="10.77734375" style="655" customWidth="1"/>
    <col min="1994" max="1994" width="9.109375" style="655"/>
    <col min="1995" max="1995" width="2.109375" style="655" customWidth="1"/>
    <col min="1996" max="1996" width="9.109375" style="655"/>
    <col min="1997" max="1997" width="11.21875" style="655" customWidth="1"/>
    <col min="1998" max="1998" width="12.77734375" style="655" customWidth="1"/>
    <col min="1999" max="1999" width="12.5546875" style="655" customWidth="1"/>
    <col min="2000" max="2000" width="2" style="655" customWidth="1"/>
    <col min="2001" max="2002" width="9.109375" style="655"/>
    <col min="2003" max="2003" width="11" style="655" customWidth="1"/>
    <col min="2004" max="2004" width="9.109375" style="655"/>
    <col min="2005" max="2005" width="2.21875" style="655" customWidth="1"/>
    <col min="2006" max="2006" width="11" style="655" customWidth="1"/>
    <col min="2007" max="2007" width="9.109375" style="655"/>
    <col min="2008" max="2008" width="11.5546875" style="655" customWidth="1"/>
    <col min="2009" max="2009" width="11.21875" style="655" customWidth="1"/>
    <col min="2010" max="2010" width="2.88671875" style="655" customWidth="1"/>
    <col min="2011" max="2012" width="9.109375" style="655"/>
    <col min="2013" max="2013" width="11.21875" style="655" customWidth="1"/>
    <col min="2014" max="2014" width="2.21875" style="655" customWidth="1"/>
    <col min="2015" max="2015" width="9.109375" style="655"/>
    <col min="2016" max="2016" width="10.44140625" style="655" customWidth="1"/>
    <col min="2017" max="2017" width="9.109375" style="655"/>
    <col min="2018" max="2018" width="11.109375" style="655" customWidth="1"/>
    <col min="2019" max="2020" width="9.109375" style="655"/>
    <col min="2021" max="2021" width="10.88671875" style="655" customWidth="1"/>
    <col min="2022" max="2023" width="9.109375" style="655"/>
    <col min="2024" max="2024" width="1.5546875" style="655" customWidth="1"/>
    <col min="2025" max="2025" width="9.77734375" style="655" customWidth="1"/>
    <col min="2026" max="2029" width="9.109375" style="655"/>
    <col min="2030" max="2030" width="1.88671875" style="655" customWidth="1"/>
    <col min="2031" max="2031" width="9.88671875" style="655" customWidth="1"/>
    <col min="2032" max="2032" width="1.5546875" style="655" customWidth="1"/>
    <col min="2033" max="2033" width="11.44140625" style="655" customWidth="1"/>
    <col min="2034" max="2034" width="2.21875" style="655" customWidth="1"/>
    <col min="2035" max="2035" width="12" style="655" customWidth="1"/>
    <col min="2036" max="2036" width="2" style="655" customWidth="1"/>
    <col min="2037" max="2037" width="9.109375" style="655"/>
    <col min="2038" max="2038" width="11.109375" style="655" customWidth="1"/>
    <col min="2039" max="2039" width="12" style="655" customWidth="1"/>
    <col min="2040" max="2040" width="9.109375" style="655"/>
    <col min="2041" max="2041" width="11.88671875" style="655" customWidth="1"/>
    <col min="2042" max="2042" width="14.21875" style="655" customWidth="1"/>
    <col min="2043" max="2046" width="9.109375" style="655"/>
    <col min="2047" max="2047" width="3.44140625" style="655" customWidth="1"/>
    <col min="2048" max="2049" width="9.109375" style="655"/>
    <col min="2050" max="2050" width="11.44140625" style="655" customWidth="1"/>
    <col min="2051" max="2051" width="2.77734375" style="655" customWidth="1"/>
    <col min="2052" max="2234" width="9.109375" style="655"/>
    <col min="2235" max="2235" width="9.5546875" style="655" customWidth="1"/>
    <col min="2236" max="2236" width="11" style="655" customWidth="1"/>
    <col min="2237" max="2238" width="11.21875" style="655" customWidth="1"/>
    <col min="2239" max="2239" width="11.5546875" style="655" customWidth="1"/>
    <col min="2240" max="2240" width="11.109375" style="655" customWidth="1"/>
    <col min="2241" max="2241" width="2" style="655" customWidth="1"/>
    <col min="2242" max="2242" width="13.5546875" style="655" customWidth="1"/>
    <col min="2243" max="2243" width="12.44140625" style="655" customWidth="1"/>
    <col min="2244" max="2244" width="13.5546875" style="655" customWidth="1"/>
    <col min="2245" max="2245" width="2.109375" style="655" customWidth="1"/>
    <col min="2246" max="2246" width="9.109375" style="655"/>
    <col min="2247" max="2247" width="10.21875" style="655" customWidth="1"/>
    <col min="2248" max="2248" width="1.88671875" style="655" customWidth="1"/>
    <col min="2249" max="2249" width="10.77734375" style="655" customWidth="1"/>
    <col min="2250" max="2250" width="9.109375" style="655"/>
    <col min="2251" max="2251" width="2.109375" style="655" customWidth="1"/>
    <col min="2252" max="2252" width="9.109375" style="655"/>
    <col min="2253" max="2253" width="11.21875" style="655" customWidth="1"/>
    <col min="2254" max="2254" width="12.77734375" style="655" customWidth="1"/>
    <col min="2255" max="2255" width="12.5546875" style="655" customWidth="1"/>
    <col min="2256" max="2256" width="2" style="655" customWidth="1"/>
    <col min="2257" max="2258" width="9.109375" style="655"/>
    <col min="2259" max="2259" width="11" style="655" customWidth="1"/>
    <col min="2260" max="2260" width="9.109375" style="655"/>
    <col min="2261" max="2261" width="2.21875" style="655" customWidth="1"/>
    <col min="2262" max="2262" width="11" style="655" customWidth="1"/>
    <col min="2263" max="2263" width="9.109375" style="655"/>
    <col min="2264" max="2264" width="11.5546875" style="655" customWidth="1"/>
    <col min="2265" max="2265" width="11.21875" style="655" customWidth="1"/>
    <col min="2266" max="2266" width="2.88671875" style="655" customWidth="1"/>
    <col min="2267" max="2268" width="9.109375" style="655"/>
    <col min="2269" max="2269" width="11.21875" style="655" customWidth="1"/>
    <col min="2270" max="2270" width="2.21875" style="655" customWidth="1"/>
    <col min="2271" max="2271" width="9.109375" style="655"/>
    <col min="2272" max="2272" width="10.44140625" style="655" customWidth="1"/>
    <col min="2273" max="2273" width="9.109375" style="655"/>
    <col min="2274" max="2274" width="11.109375" style="655" customWidth="1"/>
    <col min="2275" max="2276" width="9.109375" style="655"/>
    <col min="2277" max="2277" width="10.88671875" style="655" customWidth="1"/>
    <col min="2278" max="2279" width="9.109375" style="655"/>
    <col min="2280" max="2280" width="1.5546875" style="655" customWidth="1"/>
    <col min="2281" max="2281" width="9.77734375" style="655" customWidth="1"/>
    <col min="2282" max="2285" width="9.109375" style="655"/>
    <col min="2286" max="2286" width="1.88671875" style="655" customWidth="1"/>
    <col min="2287" max="2287" width="9.88671875" style="655" customWidth="1"/>
    <col min="2288" max="2288" width="1.5546875" style="655" customWidth="1"/>
    <col min="2289" max="2289" width="11.44140625" style="655" customWidth="1"/>
    <col min="2290" max="2290" width="2.21875" style="655" customWidth="1"/>
    <col min="2291" max="2291" width="12" style="655" customWidth="1"/>
    <col min="2292" max="2292" width="2" style="655" customWidth="1"/>
    <col min="2293" max="2293" width="9.109375" style="655"/>
    <col min="2294" max="2294" width="11.109375" style="655" customWidth="1"/>
    <col min="2295" max="2295" width="12" style="655" customWidth="1"/>
    <col min="2296" max="2296" width="9.109375" style="655"/>
    <col min="2297" max="2297" width="11.88671875" style="655" customWidth="1"/>
    <col min="2298" max="2298" width="14.21875" style="655" customWidth="1"/>
    <col min="2299" max="2302" width="9.109375" style="655"/>
    <col min="2303" max="2303" width="3.44140625" style="655" customWidth="1"/>
    <col min="2304" max="2305" width="9.109375" style="655"/>
    <col min="2306" max="2306" width="11.44140625" style="655" customWidth="1"/>
    <col min="2307" max="2307" width="2.77734375" style="655" customWidth="1"/>
    <col min="2308" max="2490" width="9.109375" style="655"/>
    <col min="2491" max="2491" width="9.5546875" style="655" customWidth="1"/>
    <col min="2492" max="2492" width="11" style="655" customWidth="1"/>
    <col min="2493" max="2494" width="11.21875" style="655" customWidth="1"/>
    <col min="2495" max="2495" width="11.5546875" style="655" customWidth="1"/>
    <col min="2496" max="2496" width="11.109375" style="655" customWidth="1"/>
    <col min="2497" max="2497" width="2" style="655" customWidth="1"/>
    <col min="2498" max="2498" width="13.5546875" style="655" customWidth="1"/>
    <col min="2499" max="2499" width="12.44140625" style="655" customWidth="1"/>
    <col min="2500" max="2500" width="13.5546875" style="655" customWidth="1"/>
    <col min="2501" max="2501" width="2.109375" style="655" customWidth="1"/>
    <col min="2502" max="2502" width="9.109375" style="655"/>
    <col min="2503" max="2503" width="10.21875" style="655" customWidth="1"/>
    <col min="2504" max="2504" width="1.88671875" style="655" customWidth="1"/>
    <col min="2505" max="2505" width="10.77734375" style="655" customWidth="1"/>
    <col min="2506" max="2506" width="9.109375" style="655"/>
    <col min="2507" max="2507" width="2.109375" style="655" customWidth="1"/>
    <col min="2508" max="2508" width="9.109375" style="655"/>
    <col min="2509" max="2509" width="11.21875" style="655" customWidth="1"/>
    <col min="2510" max="2510" width="12.77734375" style="655" customWidth="1"/>
    <col min="2511" max="2511" width="12.5546875" style="655" customWidth="1"/>
    <col min="2512" max="2512" width="2" style="655" customWidth="1"/>
    <col min="2513" max="2514" width="9.109375" style="655"/>
    <col min="2515" max="2515" width="11" style="655" customWidth="1"/>
    <col min="2516" max="2516" width="9.109375" style="655"/>
    <col min="2517" max="2517" width="2.21875" style="655" customWidth="1"/>
    <col min="2518" max="2518" width="11" style="655" customWidth="1"/>
    <col min="2519" max="2519" width="9.109375" style="655"/>
    <col min="2520" max="2520" width="11.5546875" style="655" customWidth="1"/>
    <col min="2521" max="2521" width="11.21875" style="655" customWidth="1"/>
    <col min="2522" max="2522" width="2.88671875" style="655" customWidth="1"/>
    <col min="2523" max="2524" width="9.109375" style="655"/>
    <col min="2525" max="2525" width="11.21875" style="655" customWidth="1"/>
    <col min="2526" max="2526" width="2.21875" style="655" customWidth="1"/>
    <col min="2527" max="2527" width="9.109375" style="655"/>
    <col min="2528" max="2528" width="10.44140625" style="655" customWidth="1"/>
    <col min="2529" max="2529" width="9.109375" style="655"/>
    <col min="2530" max="2530" width="11.109375" style="655" customWidth="1"/>
    <col min="2531" max="2532" width="9.109375" style="655"/>
    <col min="2533" max="2533" width="10.88671875" style="655" customWidth="1"/>
    <col min="2534" max="2535" width="9.109375" style="655"/>
    <col min="2536" max="2536" width="1.5546875" style="655" customWidth="1"/>
    <col min="2537" max="2537" width="9.77734375" style="655" customWidth="1"/>
    <col min="2538" max="2541" width="9.109375" style="655"/>
    <col min="2542" max="2542" width="1.88671875" style="655" customWidth="1"/>
    <col min="2543" max="2543" width="9.88671875" style="655" customWidth="1"/>
    <col min="2544" max="2544" width="1.5546875" style="655" customWidth="1"/>
    <col min="2545" max="2545" width="11.44140625" style="655" customWidth="1"/>
    <col min="2546" max="2546" width="2.21875" style="655" customWidth="1"/>
    <col min="2547" max="2547" width="12" style="655" customWidth="1"/>
    <col min="2548" max="2548" width="2" style="655" customWidth="1"/>
    <col min="2549" max="2549" width="9.109375" style="655"/>
    <col min="2550" max="2550" width="11.109375" style="655" customWidth="1"/>
    <col min="2551" max="2551" width="12" style="655" customWidth="1"/>
    <col min="2552" max="2552" width="9.109375" style="655"/>
    <col min="2553" max="2553" width="11.88671875" style="655" customWidth="1"/>
    <col min="2554" max="2554" width="14.21875" style="655" customWidth="1"/>
    <col min="2555" max="2558" width="9.109375" style="655"/>
    <col min="2559" max="2559" width="3.44140625" style="655" customWidth="1"/>
    <col min="2560" max="2561" width="9.109375" style="655"/>
    <col min="2562" max="2562" width="11.44140625" style="655" customWidth="1"/>
    <col min="2563" max="2563" width="2.77734375" style="655" customWidth="1"/>
    <col min="2564" max="2746" width="9.109375" style="655"/>
    <col min="2747" max="2747" width="9.5546875" style="655" customWidth="1"/>
    <col min="2748" max="2748" width="11" style="655" customWidth="1"/>
    <col min="2749" max="2750" width="11.21875" style="655" customWidth="1"/>
    <col min="2751" max="2751" width="11.5546875" style="655" customWidth="1"/>
    <col min="2752" max="2752" width="11.109375" style="655" customWidth="1"/>
    <col min="2753" max="2753" width="2" style="655" customWidth="1"/>
    <col min="2754" max="2754" width="13.5546875" style="655" customWidth="1"/>
    <col min="2755" max="2755" width="12.44140625" style="655" customWidth="1"/>
    <col min="2756" max="2756" width="13.5546875" style="655" customWidth="1"/>
    <col min="2757" max="2757" width="2.109375" style="655" customWidth="1"/>
    <col min="2758" max="2758" width="9.109375" style="655"/>
    <col min="2759" max="2759" width="10.21875" style="655" customWidth="1"/>
    <col min="2760" max="2760" width="1.88671875" style="655" customWidth="1"/>
    <col min="2761" max="2761" width="10.77734375" style="655" customWidth="1"/>
    <col min="2762" max="2762" width="9.109375" style="655"/>
    <col min="2763" max="2763" width="2.109375" style="655" customWidth="1"/>
    <col min="2764" max="2764" width="9.109375" style="655"/>
    <col min="2765" max="2765" width="11.21875" style="655" customWidth="1"/>
    <col min="2766" max="2766" width="12.77734375" style="655" customWidth="1"/>
    <col min="2767" max="2767" width="12.5546875" style="655" customWidth="1"/>
    <col min="2768" max="2768" width="2" style="655" customWidth="1"/>
    <col min="2769" max="2770" width="9.109375" style="655"/>
    <col min="2771" max="2771" width="11" style="655" customWidth="1"/>
    <col min="2772" max="2772" width="9.109375" style="655"/>
    <col min="2773" max="2773" width="2.21875" style="655" customWidth="1"/>
    <col min="2774" max="2774" width="11" style="655" customWidth="1"/>
    <col min="2775" max="2775" width="9.109375" style="655"/>
    <col min="2776" max="2776" width="11.5546875" style="655" customWidth="1"/>
    <col min="2777" max="2777" width="11.21875" style="655" customWidth="1"/>
    <col min="2778" max="2778" width="2.88671875" style="655" customWidth="1"/>
    <col min="2779" max="2780" width="9.109375" style="655"/>
    <col min="2781" max="2781" width="11.21875" style="655" customWidth="1"/>
    <col min="2782" max="2782" width="2.21875" style="655" customWidth="1"/>
    <col min="2783" max="2783" width="9.109375" style="655"/>
    <col min="2784" max="2784" width="10.44140625" style="655" customWidth="1"/>
    <col min="2785" max="2785" width="9.109375" style="655"/>
    <col min="2786" max="2786" width="11.109375" style="655" customWidth="1"/>
    <col min="2787" max="2788" width="9.109375" style="655"/>
    <col min="2789" max="2789" width="10.88671875" style="655" customWidth="1"/>
    <col min="2790" max="2791" width="9.109375" style="655"/>
    <col min="2792" max="2792" width="1.5546875" style="655" customWidth="1"/>
    <col min="2793" max="2793" width="9.77734375" style="655" customWidth="1"/>
    <col min="2794" max="2797" width="9.109375" style="655"/>
    <col min="2798" max="2798" width="1.88671875" style="655" customWidth="1"/>
    <col min="2799" max="2799" width="9.88671875" style="655" customWidth="1"/>
    <col min="2800" max="2800" width="1.5546875" style="655" customWidth="1"/>
    <col min="2801" max="2801" width="11.44140625" style="655" customWidth="1"/>
    <col min="2802" max="2802" width="2.21875" style="655" customWidth="1"/>
    <col min="2803" max="2803" width="12" style="655" customWidth="1"/>
    <col min="2804" max="2804" width="2" style="655" customWidth="1"/>
    <col min="2805" max="2805" width="9.109375" style="655"/>
    <col min="2806" max="2806" width="11.109375" style="655" customWidth="1"/>
    <col min="2807" max="2807" width="12" style="655" customWidth="1"/>
    <col min="2808" max="2808" width="9.109375" style="655"/>
    <col min="2809" max="2809" width="11.88671875" style="655" customWidth="1"/>
    <col min="2810" max="2810" width="14.21875" style="655" customWidth="1"/>
    <col min="2811" max="2814" width="9.109375" style="655"/>
    <col min="2815" max="2815" width="3.44140625" style="655" customWidth="1"/>
    <col min="2816" max="2817" width="9.109375" style="655"/>
    <col min="2818" max="2818" width="11.44140625" style="655" customWidth="1"/>
    <col min="2819" max="2819" width="2.77734375" style="655" customWidth="1"/>
    <col min="2820" max="3002" width="9.109375" style="655"/>
    <col min="3003" max="3003" width="9.5546875" style="655" customWidth="1"/>
    <col min="3004" max="3004" width="11" style="655" customWidth="1"/>
    <col min="3005" max="3006" width="11.21875" style="655" customWidth="1"/>
    <col min="3007" max="3007" width="11.5546875" style="655" customWidth="1"/>
    <col min="3008" max="3008" width="11.109375" style="655" customWidth="1"/>
    <col min="3009" max="3009" width="2" style="655" customWidth="1"/>
    <col min="3010" max="3010" width="13.5546875" style="655" customWidth="1"/>
    <col min="3011" max="3011" width="12.44140625" style="655" customWidth="1"/>
    <col min="3012" max="3012" width="13.5546875" style="655" customWidth="1"/>
    <col min="3013" max="3013" width="2.109375" style="655" customWidth="1"/>
    <col min="3014" max="3014" width="9.109375" style="655"/>
    <col min="3015" max="3015" width="10.21875" style="655" customWidth="1"/>
    <col min="3016" max="3016" width="1.88671875" style="655" customWidth="1"/>
    <col min="3017" max="3017" width="10.77734375" style="655" customWidth="1"/>
    <col min="3018" max="3018" width="9.109375" style="655"/>
    <col min="3019" max="3019" width="2.109375" style="655" customWidth="1"/>
    <col min="3020" max="3020" width="9.109375" style="655"/>
    <col min="3021" max="3021" width="11.21875" style="655" customWidth="1"/>
    <col min="3022" max="3022" width="12.77734375" style="655" customWidth="1"/>
    <col min="3023" max="3023" width="12.5546875" style="655" customWidth="1"/>
    <col min="3024" max="3024" width="2" style="655" customWidth="1"/>
    <col min="3025" max="3026" width="9.109375" style="655"/>
    <col min="3027" max="3027" width="11" style="655" customWidth="1"/>
    <col min="3028" max="3028" width="9.109375" style="655"/>
    <col min="3029" max="3029" width="2.21875" style="655" customWidth="1"/>
    <col min="3030" max="3030" width="11" style="655" customWidth="1"/>
    <col min="3031" max="3031" width="9.109375" style="655"/>
    <col min="3032" max="3032" width="11.5546875" style="655" customWidth="1"/>
    <col min="3033" max="3033" width="11.21875" style="655" customWidth="1"/>
    <col min="3034" max="3034" width="2.88671875" style="655" customWidth="1"/>
    <col min="3035" max="3036" width="9.109375" style="655"/>
    <col min="3037" max="3037" width="11.21875" style="655" customWidth="1"/>
    <col min="3038" max="3038" width="2.21875" style="655" customWidth="1"/>
    <col min="3039" max="3039" width="9.109375" style="655"/>
    <col min="3040" max="3040" width="10.44140625" style="655" customWidth="1"/>
    <col min="3041" max="3041" width="9.109375" style="655"/>
    <col min="3042" max="3042" width="11.109375" style="655" customWidth="1"/>
    <col min="3043" max="3044" width="9.109375" style="655"/>
    <col min="3045" max="3045" width="10.88671875" style="655" customWidth="1"/>
    <col min="3046" max="3047" width="9.109375" style="655"/>
    <col min="3048" max="3048" width="1.5546875" style="655" customWidth="1"/>
    <col min="3049" max="3049" width="9.77734375" style="655" customWidth="1"/>
    <col min="3050" max="3053" width="9.109375" style="655"/>
    <col min="3054" max="3054" width="1.88671875" style="655" customWidth="1"/>
    <col min="3055" max="3055" width="9.88671875" style="655" customWidth="1"/>
    <col min="3056" max="3056" width="1.5546875" style="655" customWidth="1"/>
    <col min="3057" max="3057" width="11.44140625" style="655" customWidth="1"/>
    <col min="3058" max="3058" width="2.21875" style="655" customWidth="1"/>
    <col min="3059" max="3059" width="12" style="655" customWidth="1"/>
    <col min="3060" max="3060" width="2" style="655" customWidth="1"/>
    <col min="3061" max="3061" width="9.109375" style="655"/>
    <col min="3062" max="3062" width="11.109375" style="655" customWidth="1"/>
    <col min="3063" max="3063" width="12" style="655" customWidth="1"/>
    <col min="3064" max="3064" width="9.109375" style="655"/>
    <col min="3065" max="3065" width="11.88671875" style="655" customWidth="1"/>
    <col min="3066" max="3066" width="14.21875" style="655" customWidth="1"/>
    <col min="3067" max="3070" width="9.109375" style="655"/>
    <col min="3071" max="3071" width="3.44140625" style="655" customWidth="1"/>
    <col min="3072" max="3073" width="9.109375" style="655"/>
    <col min="3074" max="3074" width="11.44140625" style="655" customWidth="1"/>
    <col min="3075" max="3075" width="2.77734375" style="655" customWidth="1"/>
    <col min="3076" max="3258" width="9.109375" style="655"/>
    <col min="3259" max="3259" width="9.5546875" style="655" customWidth="1"/>
    <col min="3260" max="3260" width="11" style="655" customWidth="1"/>
    <col min="3261" max="3262" width="11.21875" style="655" customWidth="1"/>
    <col min="3263" max="3263" width="11.5546875" style="655" customWidth="1"/>
    <col min="3264" max="3264" width="11.109375" style="655" customWidth="1"/>
    <col min="3265" max="3265" width="2" style="655" customWidth="1"/>
    <col min="3266" max="3266" width="13.5546875" style="655" customWidth="1"/>
    <col min="3267" max="3267" width="12.44140625" style="655" customWidth="1"/>
    <col min="3268" max="3268" width="13.5546875" style="655" customWidth="1"/>
    <col min="3269" max="3269" width="2.109375" style="655" customWidth="1"/>
    <col min="3270" max="3270" width="9.109375" style="655"/>
    <col min="3271" max="3271" width="10.21875" style="655" customWidth="1"/>
    <col min="3272" max="3272" width="1.88671875" style="655" customWidth="1"/>
    <col min="3273" max="3273" width="10.77734375" style="655" customWidth="1"/>
    <col min="3274" max="3274" width="9.109375" style="655"/>
    <col min="3275" max="3275" width="2.109375" style="655" customWidth="1"/>
    <col min="3276" max="3276" width="9.109375" style="655"/>
    <col min="3277" max="3277" width="11.21875" style="655" customWidth="1"/>
    <col min="3278" max="3278" width="12.77734375" style="655" customWidth="1"/>
    <col min="3279" max="3279" width="12.5546875" style="655" customWidth="1"/>
    <col min="3280" max="3280" width="2" style="655" customWidth="1"/>
    <col min="3281" max="3282" width="9.109375" style="655"/>
    <col min="3283" max="3283" width="11" style="655" customWidth="1"/>
    <col min="3284" max="3284" width="9.109375" style="655"/>
    <col min="3285" max="3285" width="2.21875" style="655" customWidth="1"/>
    <col min="3286" max="3286" width="11" style="655" customWidth="1"/>
    <col min="3287" max="3287" width="9.109375" style="655"/>
    <col min="3288" max="3288" width="11.5546875" style="655" customWidth="1"/>
    <col min="3289" max="3289" width="11.21875" style="655" customWidth="1"/>
    <col min="3290" max="3290" width="2.88671875" style="655" customWidth="1"/>
    <col min="3291" max="3292" width="9.109375" style="655"/>
    <col min="3293" max="3293" width="11.21875" style="655" customWidth="1"/>
    <col min="3294" max="3294" width="2.21875" style="655" customWidth="1"/>
    <col min="3295" max="3295" width="9.109375" style="655"/>
    <col min="3296" max="3296" width="10.44140625" style="655" customWidth="1"/>
    <col min="3297" max="3297" width="9.109375" style="655"/>
    <col min="3298" max="3298" width="11.109375" style="655" customWidth="1"/>
    <col min="3299" max="3300" width="9.109375" style="655"/>
    <col min="3301" max="3301" width="10.88671875" style="655" customWidth="1"/>
    <col min="3302" max="3303" width="9.109375" style="655"/>
    <col min="3304" max="3304" width="1.5546875" style="655" customWidth="1"/>
    <col min="3305" max="3305" width="9.77734375" style="655" customWidth="1"/>
    <col min="3306" max="3309" width="9.109375" style="655"/>
    <col min="3310" max="3310" width="1.88671875" style="655" customWidth="1"/>
    <col min="3311" max="3311" width="9.88671875" style="655" customWidth="1"/>
    <col min="3312" max="3312" width="1.5546875" style="655" customWidth="1"/>
    <col min="3313" max="3313" width="11.44140625" style="655" customWidth="1"/>
    <col min="3314" max="3314" width="2.21875" style="655" customWidth="1"/>
    <col min="3315" max="3315" width="12" style="655" customWidth="1"/>
    <col min="3316" max="3316" width="2" style="655" customWidth="1"/>
    <col min="3317" max="3317" width="9.109375" style="655"/>
    <col min="3318" max="3318" width="11.109375" style="655" customWidth="1"/>
    <col min="3319" max="3319" width="12" style="655" customWidth="1"/>
    <col min="3320" max="3320" width="9.109375" style="655"/>
    <col min="3321" max="3321" width="11.88671875" style="655" customWidth="1"/>
    <col min="3322" max="3322" width="14.21875" style="655" customWidth="1"/>
    <col min="3323" max="3326" width="9.109375" style="655"/>
    <col min="3327" max="3327" width="3.44140625" style="655" customWidth="1"/>
    <col min="3328" max="3329" width="9.109375" style="655"/>
    <col min="3330" max="3330" width="11.44140625" style="655" customWidth="1"/>
    <col min="3331" max="3331" width="2.77734375" style="655" customWidth="1"/>
    <col min="3332" max="3514" width="9.109375" style="655"/>
    <col min="3515" max="3515" width="9.5546875" style="655" customWidth="1"/>
    <col min="3516" max="3516" width="11" style="655" customWidth="1"/>
    <col min="3517" max="3518" width="11.21875" style="655" customWidth="1"/>
    <col min="3519" max="3519" width="11.5546875" style="655" customWidth="1"/>
    <col min="3520" max="3520" width="11.109375" style="655" customWidth="1"/>
    <col min="3521" max="3521" width="2" style="655" customWidth="1"/>
    <col min="3522" max="3522" width="13.5546875" style="655" customWidth="1"/>
    <col min="3523" max="3523" width="12.44140625" style="655" customWidth="1"/>
    <col min="3524" max="3524" width="13.5546875" style="655" customWidth="1"/>
    <col min="3525" max="3525" width="2.109375" style="655" customWidth="1"/>
    <col min="3526" max="3526" width="9.109375" style="655"/>
    <col min="3527" max="3527" width="10.21875" style="655" customWidth="1"/>
    <col min="3528" max="3528" width="1.88671875" style="655" customWidth="1"/>
    <col min="3529" max="3529" width="10.77734375" style="655" customWidth="1"/>
    <col min="3530" max="3530" width="9.109375" style="655"/>
    <col min="3531" max="3531" width="2.109375" style="655" customWidth="1"/>
    <col min="3532" max="3532" width="9.109375" style="655"/>
    <col min="3533" max="3533" width="11.21875" style="655" customWidth="1"/>
    <col min="3534" max="3534" width="12.77734375" style="655" customWidth="1"/>
    <col min="3535" max="3535" width="12.5546875" style="655" customWidth="1"/>
    <col min="3536" max="3536" width="2" style="655" customWidth="1"/>
    <col min="3537" max="3538" width="9.109375" style="655"/>
    <col min="3539" max="3539" width="11" style="655" customWidth="1"/>
    <col min="3540" max="3540" width="9.109375" style="655"/>
    <col min="3541" max="3541" width="2.21875" style="655" customWidth="1"/>
    <col min="3542" max="3542" width="11" style="655" customWidth="1"/>
    <col min="3543" max="3543" width="9.109375" style="655"/>
    <col min="3544" max="3544" width="11.5546875" style="655" customWidth="1"/>
    <col min="3545" max="3545" width="11.21875" style="655" customWidth="1"/>
    <col min="3546" max="3546" width="2.88671875" style="655" customWidth="1"/>
    <col min="3547" max="3548" width="9.109375" style="655"/>
    <col min="3549" max="3549" width="11.21875" style="655" customWidth="1"/>
    <col min="3550" max="3550" width="2.21875" style="655" customWidth="1"/>
    <col min="3551" max="3551" width="9.109375" style="655"/>
    <col min="3552" max="3552" width="10.44140625" style="655" customWidth="1"/>
    <col min="3553" max="3553" width="9.109375" style="655"/>
    <col min="3554" max="3554" width="11.109375" style="655" customWidth="1"/>
    <col min="3555" max="3556" width="9.109375" style="655"/>
    <col min="3557" max="3557" width="10.88671875" style="655" customWidth="1"/>
    <col min="3558" max="3559" width="9.109375" style="655"/>
    <col min="3560" max="3560" width="1.5546875" style="655" customWidth="1"/>
    <col min="3561" max="3561" width="9.77734375" style="655" customWidth="1"/>
    <col min="3562" max="3565" width="9.109375" style="655"/>
    <col min="3566" max="3566" width="1.88671875" style="655" customWidth="1"/>
    <col min="3567" max="3567" width="9.88671875" style="655" customWidth="1"/>
    <col min="3568" max="3568" width="1.5546875" style="655" customWidth="1"/>
    <col min="3569" max="3569" width="11.44140625" style="655" customWidth="1"/>
    <col min="3570" max="3570" width="2.21875" style="655" customWidth="1"/>
    <col min="3571" max="3571" width="12" style="655" customWidth="1"/>
    <col min="3572" max="3572" width="2" style="655" customWidth="1"/>
    <col min="3573" max="3573" width="9.109375" style="655"/>
    <col min="3574" max="3574" width="11.109375" style="655" customWidth="1"/>
    <col min="3575" max="3575" width="12" style="655" customWidth="1"/>
    <col min="3576" max="3576" width="9.109375" style="655"/>
    <col min="3577" max="3577" width="11.88671875" style="655" customWidth="1"/>
    <col min="3578" max="3578" width="14.21875" style="655" customWidth="1"/>
    <col min="3579" max="3582" width="9.109375" style="655"/>
    <col min="3583" max="3583" width="3.44140625" style="655" customWidth="1"/>
    <col min="3584" max="3585" width="9.109375" style="655"/>
    <col min="3586" max="3586" width="11.44140625" style="655" customWidth="1"/>
    <col min="3587" max="3587" width="2.77734375" style="655" customWidth="1"/>
    <col min="3588" max="3770" width="9.109375" style="655"/>
    <col min="3771" max="3771" width="9.5546875" style="655" customWidth="1"/>
    <col min="3772" max="3772" width="11" style="655" customWidth="1"/>
    <col min="3773" max="3774" width="11.21875" style="655" customWidth="1"/>
    <col min="3775" max="3775" width="11.5546875" style="655" customWidth="1"/>
    <col min="3776" max="3776" width="11.109375" style="655" customWidth="1"/>
    <col min="3777" max="3777" width="2" style="655" customWidth="1"/>
    <col min="3778" max="3778" width="13.5546875" style="655" customWidth="1"/>
    <col min="3779" max="3779" width="12.44140625" style="655" customWidth="1"/>
    <col min="3780" max="3780" width="13.5546875" style="655" customWidth="1"/>
    <col min="3781" max="3781" width="2.109375" style="655" customWidth="1"/>
    <col min="3782" max="3782" width="9.109375" style="655"/>
    <col min="3783" max="3783" width="10.21875" style="655" customWidth="1"/>
    <col min="3784" max="3784" width="1.88671875" style="655" customWidth="1"/>
    <col min="3785" max="3785" width="10.77734375" style="655" customWidth="1"/>
    <col min="3786" max="3786" width="9.109375" style="655"/>
    <col min="3787" max="3787" width="2.109375" style="655" customWidth="1"/>
    <col min="3788" max="3788" width="9.109375" style="655"/>
    <col min="3789" max="3789" width="11.21875" style="655" customWidth="1"/>
    <col min="3790" max="3790" width="12.77734375" style="655" customWidth="1"/>
    <col min="3791" max="3791" width="12.5546875" style="655" customWidth="1"/>
    <col min="3792" max="3792" width="2" style="655" customWidth="1"/>
    <col min="3793" max="3794" width="9.109375" style="655"/>
    <col min="3795" max="3795" width="11" style="655" customWidth="1"/>
    <col min="3796" max="3796" width="9.109375" style="655"/>
    <col min="3797" max="3797" width="2.21875" style="655" customWidth="1"/>
    <col min="3798" max="3798" width="11" style="655" customWidth="1"/>
    <col min="3799" max="3799" width="9.109375" style="655"/>
    <col min="3800" max="3800" width="11.5546875" style="655" customWidth="1"/>
    <col min="3801" max="3801" width="11.21875" style="655" customWidth="1"/>
    <col min="3802" max="3802" width="2.88671875" style="655" customWidth="1"/>
    <col min="3803" max="3804" width="9.109375" style="655"/>
    <col min="3805" max="3805" width="11.21875" style="655" customWidth="1"/>
    <col min="3806" max="3806" width="2.21875" style="655" customWidth="1"/>
    <col min="3807" max="3807" width="9.109375" style="655"/>
    <col min="3808" max="3808" width="10.44140625" style="655" customWidth="1"/>
    <col min="3809" max="3809" width="9.109375" style="655"/>
    <col min="3810" max="3810" width="11.109375" style="655" customWidth="1"/>
    <col min="3811" max="3812" width="9.109375" style="655"/>
    <col min="3813" max="3813" width="10.88671875" style="655" customWidth="1"/>
    <col min="3814" max="3815" width="9.109375" style="655"/>
    <col min="3816" max="3816" width="1.5546875" style="655" customWidth="1"/>
    <col min="3817" max="3817" width="9.77734375" style="655" customWidth="1"/>
    <col min="3818" max="3821" width="9.109375" style="655"/>
    <col min="3822" max="3822" width="1.88671875" style="655" customWidth="1"/>
    <col min="3823" max="3823" width="9.88671875" style="655" customWidth="1"/>
    <col min="3824" max="3824" width="1.5546875" style="655" customWidth="1"/>
    <col min="3825" max="3825" width="11.44140625" style="655" customWidth="1"/>
    <col min="3826" max="3826" width="2.21875" style="655" customWidth="1"/>
    <col min="3827" max="3827" width="12" style="655" customWidth="1"/>
    <col min="3828" max="3828" width="2" style="655" customWidth="1"/>
    <col min="3829" max="3829" width="9.109375" style="655"/>
    <col min="3830" max="3830" width="11.109375" style="655" customWidth="1"/>
    <col min="3831" max="3831" width="12" style="655" customWidth="1"/>
    <col min="3832" max="3832" width="9.109375" style="655"/>
    <col min="3833" max="3833" width="11.88671875" style="655" customWidth="1"/>
    <col min="3834" max="3834" width="14.21875" style="655" customWidth="1"/>
    <col min="3835" max="3838" width="9.109375" style="655"/>
    <col min="3839" max="3839" width="3.44140625" style="655" customWidth="1"/>
    <col min="3840" max="3841" width="9.109375" style="655"/>
    <col min="3842" max="3842" width="11.44140625" style="655" customWidth="1"/>
    <col min="3843" max="3843" width="2.77734375" style="655" customWidth="1"/>
    <col min="3844" max="4026" width="9.109375" style="655"/>
    <col min="4027" max="4027" width="9.5546875" style="655" customWidth="1"/>
    <col min="4028" max="4028" width="11" style="655" customWidth="1"/>
    <col min="4029" max="4030" width="11.21875" style="655" customWidth="1"/>
    <col min="4031" max="4031" width="11.5546875" style="655" customWidth="1"/>
    <col min="4032" max="4032" width="11.109375" style="655" customWidth="1"/>
    <col min="4033" max="4033" width="2" style="655" customWidth="1"/>
    <col min="4034" max="4034" width="13.5546875" style="655" customWidth="1"/>
    <col min="4035" max="4035" width="12.44140625" style="655" customWidth="1"/>
    <col min="4036" max="4036" width="13.5546875" style="655" customWidth="1"/>
    <col min="4037" max="4037" width="2.109375" style="655" customWidth="1"/>
    <col min="4038" max="4038" width="9.109375" style="655"/>
    <col min="4039" max="4039" width="10.21875" style="655" customWidth="1"/>
    <col min="4040" max="4040" width="1.88671875" style="655" customWidth="1"/>
    <col min="4041" max="4041" width="10.77734375" style="655" customWidth="1"/>
    <col min="4042" max="4042" width="9.109375" style="655"/>
    <col min="4043" max="4043" width="2.109375" style="655" customWidth="1"/>
    <col min="4044" max="4044" width="9.109375" style="655"/>
    <col min="4045" max="4045" width="11.21875" style="655" customWidth="1"/>
    <col min="4046" max="4046" width="12.77734375" style="655" customWidth="1"/>
    <col min="4047" max="4047" width="12.5546875" style="655" customWidth="1"/>
    <col min="4048" max="4048" width="2" style="655" customWidth="1"/>
    <col min="4049" max="4050" width="9.109375" style="655"/>
    <col min="4051" max="4051" width="11" style="655" customWidth="1"/>
    <col min="4052" max="4052" width="9.109375" style="655"/>
    <col min="4053" max="4053" width="2.21875" style="655" customWidth="1"/>
    <col min="4054" max="4054" width="11" style="655" customWidth="1"/>
    <col min="4055" max="4055" width="9.109375" style="655"/>
    <col min="4056" max="4056" width="11.5546875" style="655" customWidth="1"/>
    <col min="4057" max="4057" width="11.21875" style="655" customWidth="1"/>
    <col min="4058" max="4058" width="2.88671875" style="655" customWidth="1"/>
    <col min="4059" max="4060" width="9.109375" style="655"/>
    <col min="4061" max="4061" width="11.21875" style="655" customWidth="1"/>
    <col min="4062" max="4062" width="2.21875" style="655" customWidth="1"/>
    <col min="4063" max="4063" width="9.109375" style="655"/>
    <col min="4064" max="4064" width="10.44140625" style="655" customWidth="1"/>
    <col min="4065" max="4065" width="9.109375" style="655"/>
    <col min="4066" max="4066" width="11.109375" style="655" customWidth="1"/>
    <col min="4067" max="4068" width="9.109375" style="655"/>
    <col min="4069" max="4069" width="10.88671875" style="655" customWidth="1"/>
    <col min="4070" max="4071" width="9.109375" style="655"/>
    <col min="4072" max="4072" width="1.5546875" style="655" customWidth="1"/>
    <col min="4073" max="4073" width="9.77734375" style="655" customWidth="1"/>
    <col min="4074" max="4077" width="9.109375" style="655"/>
    <col min="4078" max="4078" width="1.88671875" style="655" customWidth="1"/>
    <col min="4079" max="4079" width="9.88671875" style="655" customWidth="1"/>
    <col min="4080" max="4080" width="1.5546875" style="655" customWidth="1"/>
    <col min="4081" max="4081" width="11.44140625" style="655" customWidth="1"/>
    <col min="4082" max="4082" width="2.21875" style="655" customWidth="1"/>
    <col min="4083" max="4083" width="12" style="655" customWidth="1"/>
    <col min="4084" max="4084" width="2" style="655" customWidth="1"/>
    <col min="4085" max="4085" width="9.109375" style="655"/>
    <col min="4086" max="4086" width="11.109375" style="655" customWidth="1"/>
    <col min="4087" max="4087" width="12" style="655" customWidth="1"/>
    <col min="4088" max="4088" width="9.109375" style="655"/>
    <col min="4089" max="4089" width="11.88671875" style="655" customWidth="1"/>
    <col min="4090" max="4090" width="14.21875" style="655" customWidth="1"/>
    <col min="4091" max="4094" width="9.109375" style="655"/>
    <col min="4095" max="4095" width="3.44140625" style="655" customWidth="1"/>
    <col min="4096" max="4097" width="9.109375" style="655"/>
    <col min="4098" max="4098" width="11.44140625" style="655" customWidth="1"/>
    <col min="4099" max="4099" width="2.77734375" style="655" customWidth="1"/>
    <col min="4100" max="4282" width="9.109375" style="655"/>
    <col min="4283" max="4283" width="9.5546875" style="655" customWidth="1"/>
    <col min="4284" max="4284" width="11" style="655" customWidth="1"/>
    <col min="4285" max="4286" width="11.21875" style="655" customWidth="1"/>
    <col min="4287" max="4287" width="11.5546875" style="655" customWidth="1"/>
    <col min="4288" max="4288" width="11.109375" style="655" customWidth="1"/>
    <col min="4289" max="4289" width="2" style="655" customWidth="1"/>
    <col min="4290" max="4290" width="13.5546875" style="655" customWidth="1"/>
    <col min="4291" max="4291" width="12.44140625" style="655" customWidth="1"/>
    <col min="4292" max="4292" width="13.5546875" style="655" customWidth="1"/>
    <col min="4293" max="4293" width="2.109375" style="655" customWidth="1"/>
    <col min="4294" max="4294" width="9.109375" style="655"/>
    <col min="4295" max="4295" width="10.21875" style="655" customWidth="1"/>
    <col min="4296" max="4296" width="1.88671875" style="655" customWidth="1"/>
    <col min="4297" max="4297" width="10.77734375" style="655" customWidth="1"/>
    <col min="4298" max="4298" width="9.109375" style="655"/>
    <col min="4299" max="4299" width="2.109375" style="655" customWidth="1"/>
    <col min="4300" max="4300" width="9.109375" style="655"/>
    <col min="4301" max="4301" width="11.21875" style="655" customWidth="1"/>
    <col min="4302" max="4302" width="12.77734375" style="655" customWidth="1"/>
    <col min="4303" max="4303" width="12.5546875" style="655" customWidth="1"/>
    <col min="4304" max="4304" width="2" style="655" customWidth="1"/>
    <col min="4305" max="4306" width="9.109375" style="655"/>
    <col min="4307" max="4307" width="11" style="655" customWidth="1"/>
    <col min="4308" max="4308" width="9.109375" style="655"/>
    <col min="4309" max="4309" width="2.21875" style="655" customWidth="1"/>
    <col min="4310" max="4310" width="11" style="655" customWidth="1"/>
    <col min="4311" max="4311" width="9.109375" style="655"/>
    <col min="4312" max="4312" width="11.5546875" style="655" customWidth="1"/>
    <col min="4313" max="4313" width="11.21875" style="655" customWidth="1"/>
    <col min="4314" max="4314" width="2.88671875" style="655" customWidth="1"/>
    <col min="4315" max="4316" width="9.109375" style="655"/>
    <col min="4317" max="4317" width="11.21875" style="655" customWidth="1"/>
    <col min="4318" max="4318" width="2.21875" style="655" customWidth="1"/>
    <col min="4319" max="4319" width="9.109375" style="655"/>
    <col min="4320" max="4320" width="10.44140625" style="655" customWidth="1"/>
    <col min="4321" max="4321" width="9.109375" style="655"/>
    <col min="4322" max="4322" width="11.109375" style="655" customWidth="1"/>
    <col min="4323" max="4324" width="9.109375" style="655"/>
    <col min="4325" max="4325" width="10.88671875" style="655" customWidth="1"/>
    <col min="4326" max="4327" width="9.109375" style="655"/>
    <col min="4328" max="4328" width="1.5546875" style="655" customWidth="1"/>
    <col min="4329" max="4329" width="9.77734375" style="655" customWidth="1"/>
    <col min="4330" max="4333" width="9.109375" style="655"/>
    <col min="4334" max="4334" width="1.88671875" style="655" customWidth="1"/>
    <col min="4335" max="4335" width="9.88671875" style="655" customWidth="1"/>
    <col min="4336" max="4336" width="1.5546875" style="655" customWidth="1"/>
    <col min="4337" max="4337" width="11.44140625" style="655" customWidth="1"/>
    <col min="4338" max="4338" width="2.21875" style="655" customWidth="1"/>
    <col min="4339" max="4339" width="12" style="655" customWidth="1"/>
    <col min="4340" max="4340" width="2" style="655" customWidth="1"/>
    <col min="4341" max="4341" width="9.109375" style="655"/>
    <col min="4342" max="4342" width="11.109375" style="655" customWidth="1"/>
    <col min="4343" max="4343" width="12" style="655" customWidth="1"/>
    <col min="4344" max="4344" width="9.109375" style="655"/>
    <col min="4345" max="4345" width="11.88671875" style="655" customWidth="1"/>
    <col min="4346" max="4346" width="14.21875" style="655" customWidth="1"/>
    <col min="4347" max="4350" width="9.109375" style="655"/>
    <col min="4351" max="4351" width="3.44140625" style="655" customWidth="1"/>
    <col min="4352" max="4353" width="9.109375" style="655"/>
    <col min="4354" max="4354" width="11.44140625" style="655" customWidth="1"/>
    <col min="4355" max="4355" width="2.77734375" style="655" customWidth="1"/>
    <col min="4356" max="4538" width="9.109375" style="655"/>
    <col min="4539" max="4539" width="9.5546875" style="655" customWidth="1"/>
    <col min="4540" max="4540" width="11" style="655" customWidth="1"/>
    <col min="4541" max="4542" width="11.21875" style="655" customWidth="1"/>
    <col min="4543" max="4543" width="11.5546875" style="655" customWidth="1"/>
    <col min="4544" max="4544" width="11.109375" style="655" customWidth="1"/>
    <col min="4545" max="4545" width="2" style="655" customWidth="1"/>
    <col min="4546" max="4546" width="13.5546875" style="655" customWidth="1"/>
    <col min="4547" max="4547" width="12.44140625" style="655" customWidth="1"/>
    <col min="4548" max="4548" width="13.5546875" style="655" customWidth="1"/>
    <col min="4549" max="4549" width="2.109375" style="655" customWidth="1"/>
    <col min="4550" max="4550" width="9.109375" style="655"/>
    <col min="4551" max="4551" width="10.21875" style="655" customWidth="1"/>
    <col min="4552" max="4552" width="1.88671875" style="655" customWidth="1"/>
    <col min="4553" max="4553" width="10.77734375" style="655" customWidth="1"/>
    <col min="4554" max="4554" width="9.109375" style="655"/>
    <col min="4555" max="4555" width="2.109375" style="655" customWidth="1"/>
    <col min="4556" max="4556" width="9.109375" style="655"/>
    <col min="4557" max="4557" width="11.21875" style="655" customWidth="1"/>
    <col min="4558" max="4558" width="12.77734375" style="655" customWidth="1"/>
    <col min="4559" max="4559" width="12.5546875" style="655" customWidth="1"/>
    <col min="4560" max="4560" width="2" style="655" customWidth="1"/>
    <col min="4561" max="4562" width="9.109375" style="655"/>
    <col min="4563" max="4563" width="11" style="655" customWidth="1"/>
    <col min="4564" max="4564" width="9.109375" style="655"/>
    <col min="4565" max="4565" width="2.21875" style="655" customWidth="1"/>
    <col min="4566" max="4566" width="11" style="655" customWidth="1"/>
    <col min="4567" max="4567" width="9.109375" style="655"/>
    <col min="4568" max="4568" width="11.5546875" style="655" customWidth="1"/>
    <col min="4569" max="4569" width="11.21875" style="655" customWidth="1"/>
    <col min="4570" max="4570" width="2.88671875" style="655" customWidth="1"/>
    <col min="4571" max="4572" width="9.109375" style="655"/>
    <col min="4573" max="4573" width="11.21875" style="655" customWidth="1"/>
    <col min="4574" max="4574" width="2.21875" style="655" customWidth="1"/>
    <col min="4575" max="4575" width="9.109375" style="655"/>
    <col min="4576" max="4576" width="10.44140625" style="655" customWidth="1"/>
    <col min="4577" max="4577" width="9.109375" style="655"/>
    <col min="4578" max="4578" width="11.109375" style="655" customWidth="1"/>
    <col min="4579" max="4580" width="9.109375" style="655"/>
    <col min="4581" max="4581" width="10.88671875" style="655" customWidth="1"/>
    <col min="4582" max="4583" width="9.109375" style="655"/>
    <col min="4584" max="4584" width="1.5546875" style="655" customWidth="1"/>
    <col min="4585" max="4585" width="9.77734375" style="655" customWidth="1"/>
    <col min="4586" max="4589" width="9.109375" style="655"/>
    <col min="4590" max="4590" width="1.88671875" style="655" customWidth="1"/>
    <col min="4591" max="4591" width="9.88671875" style="655" customWidth="1"/>
    <col min="4592" max="4592" width="1.5546875" style="655" customWidth="1"/>
    <col min="4593" max="4593" width="11.44140625" style="655" customWidth="1"/>
    <col min="4594" max="4594" width="2.21875" style="655" customWidth="1"/>
    <col min="4595" max="4595" width="12" style="655" customWidth="1"/>
    <col min="4596" max="4596" width="2" style="655" customWidth="1"/>
    <col min="4597" max="4597" width="9.109375" style="655"/>
    <col min="4598" max="4598" width="11.109375" style="655" customWidth="1"/>
    <col min="4599" max="4599" width="12" style="655" customWidth="1"/>
    <col min="4600" max="4600" width="9.109375" style="655"/>
    <col min="4601" max="4601" width="11.88671875" style="655" customWidth="1"/>
    <col min="4602" max="4602" width="14.21875" style="655" customWidth="1"/>
    <col min="4603" max="4606" width="9.109375" style="655"/>
    <col min="4607" max="4607" width="3.44140625" style="655" customWidth="1"/>
    <col min="4608" max="4609" width="9.109375" style="655"/>
    <col min="4610" max="4610" width="11.44140625" style="655" customWidth="1"/>
    <col min="4611" max="4611" width="2.77734375" style="655" customWidth="1"/>
    <col min="4612" max="4794" width="9.109375" style="655"/>
    <col min="4795" max="4795" width="9.5546875" style="655" customWidth="1"/>
    <col min="4796" max="4796" width="11" style="655" customWidth="1"/>
    <col min="4797" max="4798" width="11.21875" style="655" customWidth="1"/>
    <col min="4799" max="4799" width="11.5546875" style="655" customWidth="1"/>
    <col min="4800" max="4800" width="11.109375" style="655" customWidth="1"/>
    <col min="4801" max="4801" width="2" style="655" customWidth="1"/>
    <col min="4802" max="4802" width="13.5546875" style="655" customWidth="1"/>
    <col min="4803" max="4803" width="12.44140625" style="655" customWidth="1"/>
    <col min="4804" max="4804" width="13.5546875" style="655" customWidth="1"/>
    <col min="4805" max="4805" width="2.109375" style="655" customWidth="1"/>
    <col min="4806" max="4806" width="9.109375" style="655"/>
    <col min="4807" max="4807" width="10.21875" style="655" customWidth="1"/>
    <col min="4808" max="4808" width="1.88671875" style="655" customWidth="1"/>
    <col min="4809" max="4809" width="10.77734375" style="655" customWidth="1"/>
    <col min="4810" max="4810" width="9.109375" style="655"/>
    <col min="4811" max="4811" width="2.109375" style="655" customWidth="1"/>
    <col min="4812" max="4812" width="9.109375" style="655"/>
    <col min="4813" max="4813" width="11.21875" style="655" customWidth="1"/>
    <col min="4814" max="4814" width="12.77734375" style="655" customWidth="1"/>
    <col min="4815" max="4815" width="12.5546875" style="655" customWidth="1"/>
    <col min="4816" max="4816" width="2" style="655" customWidth="1"/>
    <col min="4817" max="4818" width="9.109375" style="655"/>
    <col min="4819" max="4819" width="11" style="655" customWidth="1"/>
    <col min="4820" max="4820" width="9.109375" style="655"/>
    <col min="4821" max="4821" width="2.21875" style="655" customWidth="1"/>
    <col min="4822" max="4822" width="11" style="655" customWidth="1"/>
    <col min="4823" max="4823" width="9.109375" style="655"/>
    <col min="4824" max="4824" width="11.5546875" style="655" customWidth="1"/>
    <col min="4825" max="4825" width="11.21875" style="655" customWidth="1"/>
    <col min="4826" max="4826" width="2.88671875" style="655" customWidth="1"/>
    <col min="4827" max="4828" width="9.109375" style="655"/>
    <col min="4829" max="4829" width="11.21875" style="655" customWidth="1"/>
    <col min="4830" max="4830" width="2.21875" style="655" customWidth="1"/>
    <col min="4831" max="4831" width="9.109375" style="655"/>
    <col min="4832" max="4832" width="10.44140625" style="655" customWidth="1"/>
    <col min="4833" max="4833" width="9.109375" style="655"/>
    <col min="4834" max="4834" width="11.109375" style="655" customWidth="1"/>
    <col min="4835" max="4836" width="9.109375" style="655"/>
    <col min="4837" max="4837" width="10.88671875" style="655" customWidth="1"/>
    <col min="4838" max="4839" width="9.109375" style="655"/>
    <col min="4840" max="4840" width="1.5546875" style="655" customWidth="1"/>
    <col min="4841" max="4841" width="9.77734375" style="655" customWidth="1"/>
    <col min="4842" max="4845" width="9.109375" style="655"/>
    <col min="4846" max="4846" width="1.88671875" style="655" customWidth="1"/>
    <col min="4847" max="4847" width="9.88671875" style="655" customWidth="1"/>
    <col min="4848" max="4848" width="1.5546875" style="655" customWidth="1"/>
    <col min="4849" max="4849" width="11.44140625" style="655" customWidth="1"/>
    <col min="4850" max="4850" width="2.21875" style="655" customWidth="1"/>
    <col min="4851" max="4851" width="12" style="655" customWidth="1"/>
    <col min="4852" max="4852" width="2" style="655" customWidth="1"/>
    <col min="4853" max="4853" width="9.109375" style="655"/>
    <col min="4854" max="4854" width="11.109375" style="655" customWidth="1"/>
    <col min="4855" max="4855" width="12" style="655" customWidth="1"/>
    <col min="4856" max="4856" width="9.109375" style="655"/>
    <col min="4857" max="4857" width="11.88671875" style="655" customWidth="1"/>
    <col min="4858" max="4858" width="14.21875" style="655" customWidth="1"/>
    <col min="4859" max="4862" width="9.109375" style="655"/>
    <col min="4863" max="4863" width="3.44140625" style="655" customWidth="1"/>
    <col min="4864" max="4865" width="9.109375" style="655"/>
    <col min="4866" max="4866" width="11.44140625" style="655" customWidth="1"/>
    <col min="4867" max="4867" width="2.77734375" style="655" customWidth="1"/>
    <col min="4868" max="5050" width="9.109375" style="655"/>
    <col min="5051" max="5051" width="9.5546875" style="655" customWidth="1"/>
    <col min="5052" max="5052" width="11" style="655" customWidth="1"/>
    <col min="5053" max="5054" width="11.21875" style="655" customWidth="1"/>
    <col min="5055" max="5055" width="11.5546875" style="655" customWidth="1"/>
    <col min="5056" max="5056" width="11.109375" style="655" customWidth="1"/>
    <col min="5057" max="5057" width="2" style="655" customWidth="1"/>
    <col min="5058" max="5058" width="13.5546875" style="655" customWidth="1"/>
    <col min="5059" max="5059" width="12.44140625" style="655" customWidth="1"/>
    <col min="5060" max="5060" width="13.5546875" style="655" customWidth="1"/>
    <col min="5061" max="5061" width="2.109375" style="655" customWidth="1"/>
    <col min="5062" max="5062" width="9.109375" style="655"/>
    <col min="5063" max="5063" width="10.21875" style="655" customWidth="1"/>
    <col min="5064" max="5064" width="1.88671875" style="655" customWidth="1"/>
    <col min="5065" max="5065" width="10.77734375" style="655" customWidth="1"/>
    <col min="5066" max="5066" width="9.109375" style="655"/>
    <col min="5067" max="5067" width="2.109375" style="655" customWidth="1"/>
    <col min="5068" max="5068" width="9.109375" style="655"/>
    <col min="5069" max="5069" width="11.21875" style="655" customWidth="1"/>
    <col min="5070" max="5070" width="12.77734375" style="655" customWidth="1"/>
    <col min="5071" max="5071" width="12.5546875" style="655" customWidth="1"/>
    <col min="5072" max="5072" width="2" style="655" customWidth="1"/>
    <col min="5073" max="5074" width="9.109375" style="655"/>
    <col min="5075" max="5075" width="11" style="655" customWidth="1"/>
    <col min="5076" max="5076" width="9.109375" style="655"/>
    <col min="5077" max="5077" width="2.21875" style="655" customWidth="1"/>
    <col min="5078" max="5078" width="11" style="655" customWidth="1"/>
    <col min="5079" max="5079" width="9.109375" style="655"/>
    <col min="5080" max="5080" width="11.5546875" style="655" customWidth="1"/>
    <col min="5081" max="5081" width="11.21875" style="655" customWidth="1"/>
    <col min="5082" max="5082" width="2.88671875" style="655" customWidth="1"/>
    <col min="5083" max="5084" width="9.109375" style="655"/>
    <col min="5085" max="5085" width="11.21875" style="655" customWidth="1"/>
    <col min="5086" max="5086" width="2.21875" style="655" customWidth="1"/>
    <col min="5087" max="5087" width="9.109375" style="655"/>
    <col min="5088" max="5088" width="10.44140625" style="655" customWidth="1"/>
    <col min="5089" max="5089" width="9.109375" style="655"/>
    <col min="5090" max="5090" width="11.109375" style="655" customWidth="1"/>
    <col min="5091" max="5092" width="9.109375" style="655"/>
    <col min="5093" max="5093" width="10.88671875" style="655" customWidth="1"/>
    <col min="5094" max="5095" width="9.109375" style="655"/>
    <col min="5096" max="5096" width="1.5546875" style="655" customWidth="1"/>
    <col min="5097" max="5097" width="9.77734375" style="655" customWidth="1"/>
    <col min="5098" max="5101" width="9.109375" style="655"/>
    <col min="5102" max="5102" width="1.88671875" style="655" customWidth="1"/>
    <col min="5103" max="5103" width="9.88671875" style="655" customWidth="1"/>
    <col min="5104" max="5104" width="1.5546875" style="655" customWidth="1"/>
    <col min="5105" max="5105" width="11.44140625" style="655" customWidth="1"/>
    <col min="5106" max="5106" width="2.21875" style="655" customWidth="1"/>
    <col min="5107" max="5107" width="12" style="655" customWidth="1"/>
    <col min="5108" max="5108" width="2" style="655" customWidth="1"/>
    <col min="5109" max="5109" width="9.109375" style="655"/>
    <col min="5110" max="5110" width="11.109375" style="655" customWidth="1"/>
    <col min="5111" max="5111" width="12" style="655" customWidth="1"/>
    <col min="5112" max="5112" width="9.109375" style="655"/>
    <col min="5113" max="5113" width="11.88671875" style="655" customWidth="1"/>
    <col min="5114" max="5114" width="14.21875" style="655" customWidth="1"/>
    <col min="5115" max="5118" width="9.109375" style="655"/>
    <col min="5119" max="5119" width="3.44140625" style="655" customWidth="1"/>
    <col min="5120" max="5121" width="9.109375" style="655"/>
    <col min="5122" max="5122" width="11.44140625" style="655" customWidth="1"/>
    <col min="5123" max="5123" width="2.77734375" style="655" customWidth="1"/>
    <col min="5124" max="5306" width="9.109375" style="655"/>
    <col min="5307" max="5307" width="9.5546875" style="655" customWidth="1"/>
    <col min="5308" max="5308" width="11" style="655" customWidth="1"/>
    <col min="5309" max="5310" width="11.21875" style="655" customWidth="1"/>
    <col min="5311" max="5311" width="11.5546875" style="655" customWidth="1"/>
    <col min="5312" max="5312" width="11.109375" style="655" customWidth="1"/>
    <col min="5313" max="5313" width="2" style="655" customWidth="1"/>
    <col min="5314" max="5314" width="13.5546875" style="655" customWidth="1"/>
    <col min="5315" max="5315" width="12.44140625" style="655" customWidth="1"/>
    <col min="5316" max="5316" width="13.5546875" style="655" customWidth="1"/>
    <col min="5317" max="5317" width="2.109375" style="655" customWidth="1"/>
    <col min="5318" max="5318" width="9.109375" style="655"/>
    <col min="5319" max="5319" width="10.21875" style="655" customWidth="1"/>
    <col min="5320" max="5320" width="1.88671875" style="655" customWidth="1"/>
    <col min="5321" max="5321" width="10.77734375" style="655" customWidth="1"/>
    <col min="5322" max="5322" width="9.109375" style="655"/>
    <col min="5323" max="5323" width="2.109375" style="655" customWidth="1"/>
    <col min="5324" max="5324" width="9.109375" style="655"/>
    <col min="5325" max="5325" width="11.21875" style="655" customWidth="1"/>
    <col min="5326" max="5326" width="12.77734375" style="655" customWidth="1"/>
    <col min="5327" max="5327" width="12.5546875" style="655" customWidth="1"/>
    <col min="5328" max="5328" width="2" style="655" customWidth="1"/>
    <col min="5329" max="5330" width="9.109375" style="655"/>
    <col min="5331" max="5331" width="11" style="655" customWidth="1"/>
    <col min="5332" max="5332" width="9.109375" style="655"/>
    <col min="5333" max="5333" width="2.21875" style="655" customWidth="1"/>
    <col min="5334" max="5334" width="11" style="655" customWidth="1"/>
    <col min="5335" max="5335" width="9.109375" style="655"/>
    <col min="5336" max="5336" width="11.5546875" style="655" customWidth="1"/>
    <col min="5337" max="5337" width="11.21875" style="655" customWidth="1"/>
    <col min="5338" max="5338" width="2.88671875" style="655" customWidth="1"/>
    <col min="5339" max="5340" width="9.109375" style="655"/>
    <col min="5341" max="5341" width="11.21875" style="655" customWidth="1"/>
    <col min="5342" max="5342" width="2.21875" style="655" customWidth="1"/>
    <col min="5343" max="5343" width="9.109375" style="655"/>
    <col min="5344" max="5344" width="10.44140625" style="655" customWidth="1"/>
    <col min="5345" max="5345" width="9.109375" style="655"/>
    <col min="5346" max="5346" width="11.109375" style="655" customWidth="1"/>
    <col min="5347" max="5348" width="9.109375" style="655"/>
    <col min="5349" max="5349" width="10.88671875" style="655" customWidth="1"/>
    <col min="5350" max="5351" width="9.109375" style="655"/>
    <col min="5352" max="5352" width="1.5546875" style="655" customWidth="1"/>
    <col min="5353" max="5353" width="9.77734375" style="655" customWidth="1"/>
    <col min="5354" max="5357" width="9.109375" style="655"/>
    <col min="5358" max="5358" width="1.88671875" style="655" customWidth="1"/>
    <col min="5359" max="5359" width="9.88671875" style="655" customWidth="1"/>
    <col min="5360" max="5360" width="1.5546875" style="655" customWidth="1"/>
    <col min="5361" max="5361" width="11.44140625" style="655" customWidth="1"/>
    <col min="5362" max="5362" width="2.21875" style="655" customWidth="1"/>
    <col min="5363" max="5363" width="12" style="655" customWidth="1"/>
    <col min="5364" max="5364" width="2" style="655" customWidth="1"/>
    <col min="5365" max="5365" width="9.109375" style="655"/>
    <col min="5366" max="5366" width="11.109375" style="655" customWidth="1"/>
    <col min="5367" max="5367" width="12" style="655" customWidth="1"/>
    <col min="5368" max="5368" width="9.109375" style="655"/>
    <col min="5369" max="5369" width="11.88671875" style="655" customWidth="1"/>
    <col min="5370" max="5370" width="14.21875" style="655" customWidth="1"/>
    <col min="5371" max="5374" width="9.109375" style="655"/>
    <col min="5375" max="5375" width="3.44140625" style="655" customWidth="1"/>
    <col min="5376" max="5377" width="9.109375" style="655"/>
    <col min="5378" max="5378" width="11.44140625" style="655" customWidth="1"/>
    <col min="5379" max="5379" width="2.77734375" style="655" customWidth="1"/>
    <col min="5380" max="5562" width="9.109375" style="655"/>
    <col min="5563" max="5563" width="9.5546875" style="655" customWidth="1"/>
    <col min="5564" max="5564" width="11" style="655" customWidth="1"/>
    <col min="5565" max="5566" width="11.21875" style="655" customWidth="1"/>
    <col min="5567" max="5567" width="11.5546875" style="655" customWidth="1"/>
    <col min="5568" max="5568" width="11.109375" style="655" customWidth="1"/>
    <col min="5569" max="5569" width="2" style="655" customWidth="1"/>
    <col min="5570" max="5570" width="13.5546875" style="655" customWidth="1"/>
    <col min="5571" max="5571" width="12.44140625" style="655" customWidth="1"/>
    <col min="5572" max="5572" width="13.5546875" style="655" customWidth="1"/>
    <col min="5573" max="5573" width="2.109375" style="655" customWidth="1"/>
    <col min="5574" max="5574" width="9.109375" style="655"/>
    <col min="5575" max="5575" width="10.21875" style="655" customWidth="1"/>
    <col min="5576" max="5576" width="1.88671875" style="655" customWidth="1"/>
    <col min="5577" max="5577" width="10.77734375" style="655" customWidth="1"/>
    <col min="5578" max="5578" width="9.109375" style="655"/>
    <col min="5579" max="5579" width="2.109375" style="655" customWidth="1"/>
    <col min="5580" max="5580" width="9.109375" style="655"/>
    <col min="5581" max="5581" width="11.21875" style="655" customWidth="1"/>
    <col min="5582" max="5582" width="12.77734375" style="655" customWidth="1"/>
    <col min="5583" max="5583" width="12.5546875" style="655" customWidth="1"/>
    <col min="5584" max="5584" width="2" style="655" customWidth="1"/>
    <col min="5585" max="5586" width="9.109375" style="655"/>
    <col min="5587" max="5587" width="11" style="655" customWidth="1"/>
    <col min="5588" max="5588" width="9.109375" style="655"/>
    <col min="5589" max="5589" width="2.21875" style="655" customWidth="1"/>
    <col min="5590" max="5590" width="11" style="655" customWidth="1"/>
    <col min="5591" max="5591" width="9.109375" style="655"/>
    <col min="5592" max="5592" width="11.5546875" style="655" customWidth="1"/>
    <col min="5593" max="5593" width="11.21875" style="655" customWidth="1"/>
    <col min="5594" max="5594" width="2.88671875" style="655" customWidth="1"/>
    <col min="5595" max="5596" width="9.109375" style="655"/>
    <col min="5597" max="5597" width="11.21875" style="655" customWidth="1"/>
    <col min="5598" max="5598" width="2.21875" style="655" customWidth="1"/>
    <col min="5599" max="5599" width="9.109375" style="655"/>
    <col min="5600" max="5600" width="10.44140625" style="655" customWidth="1"/>
    <col min="5601" max="5601" width="9.109375" style="655"/>
    <col min="5602" max="5602" width="11.109375" style="655" customWidth="1"/>
    <col min="5603" max="5604" width="9.109375" style="655"/>
    <col min="5605" max="5605" width="10.88671875" style="655" customWidth="1"/>
    <col min="5606" max="5607" width="9.109375" style="655"/>
    <col min="5608" max="5608" width="1.5546875" style="655" customWidth="1"/>
    <col min="5609" max="5609" width="9.77734375" style="655" customWidth="1"/>
    <col min="5610" max="5613" width="9.109375" style="655"/>
    <col min="5614" max="5614" width="1.88671875" style="655" customWidth="1"/>
    <col min="5615" max="5615" width="9.88671875" style="655" customWidth="1"/>
    <col min="5616" max="5616" width="1.5546875" style="655" customWidth="1"/>
    <col min="5617" max="5617" width="11.44140625" style="655" customWidth="1"/>
    <col min="5618" max="5618" width="2.21875" style="655" customWidth="1"/>
    <col min="5619" max="5619" width="12" style="655" customWidth="1"/>
    <col min="5620" max="5620" width="2" style="655" customWidth="1"/>
    <col min="5621" max="5621" width="9.109375" style="655"/>
    <col min="5622" max="5622" width="11.109375" style="655" customWidth="1"/>
    <col min="5623" max="5623" width="12" style="655" customWidth="1"/>
    <col min="5624" max="5624" width="9.109375" style="655"/>
    <col min="5625" max="5625" width="11.88671875" style="655" customWidth="1"/>
    <col min="5626" max="5626" width="14.21875" style="655" customWidth="1"/>
    <col min="5627" max="5630" width="9.109375" style="655"/>
    <col min="5631" max="5631" width="3.44140625" style="655" customWidth="1"/>
    <col min="5632" max="5633" width="9.109375" style="655"/>
    <col min="5634" max="5634" width="11.44140625" style="655" customWidth="1"/>
    <col min="5635" max="5635" width="2.77734375" style="655" customWidth="1"/>
    <col min="5636" max="5818" width="9.109375" style="655"/>
    <col min="5819" max="5819" width="9.5546875" style="655" customWidth="1"/>
    <col min="5820" max="5820" width="11" style="655" customWidth="1"/>
    <col min="5821" max="5822" width="11.21875" style="655" customWidth="1"/>
    <col min="5823" max="5823" width="11.5546875" style="655" customWidth="1"/>
    <col min="5824" max="5824" width="11.109375" style="655" customWidth="1"/>
    <col min="5825" max="5825" width="2" style="655" customWidth="1"/>
    <col min="5826" max="5826" width="13.5546875" style="655" customWidth="1"/>
    <col min="5827" max="5827" width="12.44140625" style="655" customWidth="1"/>
    <col min="5828" max="5828" width="13.5546875" style="655" customWidth="1"/>
    <col min="5829" max="5829" width="2.109375" style="655" customWidth="1"/>
    <col min="5830" max="5830" width="9.109375" style="655"/>
    <col min="5831" max="5831" width="10.21875" style="655" customWidth="1"/>
    <col min="5832" max="5832" width="1.88671875" style="655" customWidth="1"/>
    <col min="5833" max="5833" width="10.77734375" style="655" customWidth="1"/>
    <col min="5834" max="5834" width="9.109375" style="655"/>
    <col min="5835" max="5835" width="2.109375" style="655" customWidth="1"/>
    <col min="5836" max="5836" width="9.109375" style="655"/>
    <col min="5837" max="5837" width="11.21875" style="655" customWidth="1"/>
    <col min="5838" max="5838" width="12.77734375" style="655" customWidth="1"/>
    <col min="5839" max="5839" width="12.5546875" style="655" customWidth="1"/>
    <col min="5840" max="5840" width="2" style="655" customWidth="1"/>
    <col min="5841" max="5842" width="9.109375" style="655"/>
    <col min="5843" max="5843" width="11" style="655" customWidth="1"/>
    <col min="5844" max="5844" width="9.109375" style="655"/>
    <col min="5845" max="5845" width="2.21875" style="655" customWidth="1"/>
    <col min="5846" max="5846" width="11" style="655" customWidth="1"/>
    <col min="5847" max="5847" width="9.109375" style="655"/>
    <col min="5848" max="5848" width="11.5546875" style="655" customWidth="1"/>
    <col min="5849" max="5849" width="11.21875" style="655" customWidth="1"/>
    <col min="5850" max="5850" width="2.88671875" style="655" customWidth="1"/>
    <col min="5851" max="5852" width="9.109375" style="655"/>
    <col min="5853" max="5853" width="11.21875" style="655" customWidth="1"/>
    <col min="5854" max="5854" width="2.21875" style="655" customWidth="1"/>
    <col min="5855" max="5855" width="9.109375" style="655"/>
    <col min="5856" max="5856" width="10.44140625" style="655" customWidth="1"/>
    <col min="5857" max="5857" width="9.109375" style="655"/>
    <col min="5858" max="5858" width="11.109375" style="655" customWidth="1"/>
    <col min="5859" max="5860" width="9.109375" style="655"/>
    <col min="5861" max="5861" width="10.88671875" style="655" customWidth="1"/>
    <col min="5862" max="5863" width="9.109375" style="655"/>
    <col min="5864" max="5864" width="1.5546875" style="655" customWidth="1"/>
    <col min="5865" max="5865" width="9.77734375" style="655" customWidth="1"/>
    <col min="5866" max="5869" width="9.109375" style="655"/>
    <col min="5870" max="5870" width="1.88671875" style="655" customWidth="1"/>
    <col min="5871" max="5871" width="9.88671875" style="655" customWidth="1"/>
    <col min="5872" max="5872" width="1.5546875" style="655" customWidth="1"/>
    <col min="5873" max="5873" width="11.44140625" style="655" customWidth="1"/>
    <col min="5874" max="5874" width="2.21875" style="655" customWidth="1"/>
    <col min="5875" max="5875" width="12" style="655" customWidth="1"/>
    <col min="5876" max="5876" width="2" style="655" customWidth="1"/>
    <col min="5877" max="5877" width="9.109375" style="655"/>
    <col min="5878" max="5878" width="11.109375" style="655" customWidth="1"/>
    <col min="5879" max="5879" width="12" style="655" customWidth="1"/>
    <col min="5880" max="5880" width="9.109375" style="655"/>
    <col min="5881" max="5881" width="11.88671875" style="655" customWidth="1"/>
    <col min="5882" max="5882" width="14.21875" style="655" customWidth="1"/>
    <col min="5883" max="5886" width="9.109375" style="655"/>
    <col min="5887" max="5887" width="3.44140625" style="655" customWidth="1"/>
    <col min="5888" max="5889" width="9.109375" style="655"/>
    <col min="5890" max="5890" width="11.44140625" style="655" customWidth="1"/>
    <col min="5891" max="5891" width="2.77734375" style="655" customWidth="1"/>
    <col min="5892" max="6074" width="9.109375" style="655"/>
    <col min="6075" max="6075" width="9.5546875" style="655" customWidth="1"/>
    <col min="6076" max="6076" width="11" style="655" customWidth="1"/>
    <col min="6077" max="6078" width="11.21875" style="655" customWidth="1"/>
    <col min="6079" max="6079" width="11.5546875" style="655" customWidth="1"/>
    <col min="6080" max="6080" width="11.109375" style="655" customWidth="1"/>
    <col min="6081" max="6081" width="2" style="655" customWidth="1"/>
    <col min="6082" max="6082" width="13.5546875" style="655" customWidth="1"/>
    <col min="6083" max="6083" width="12.44140625" style="655" customWidth="1"/>
    <col min="6084" max="6084" width="13.5546875" style="655" customWidth="1"/>
    <col min="6085" max="6085" width="2.109375" style="655" customWidth="1"/>
    <col min="6086" max="6086" width="9.109375" style="655"/>
    <col min="6087" max="6087" width="10.21875" style="655" customWidth="1"/>
    <col min="6088" max="6088" width="1.88671875" style="655" customWidth="1"/>
    <col min="6089" max="6089" width="10.77734375" style="655" customWidth="1"/>
    <col min="6090" max="6090" width="9.109375" style="655"/>
    <col min="6091" max="6091" width="2.109375" style="655" customWidth="1"/>
    <col min="6092" max="6092" width="9.109375" style="655"/>
    <col min="6093" max="6093" width="11.21875" style="655" customWidth="1"/>
    <col min="6094" max="6094" width="12.77734375" style="655" customWidth="1"/>
    <col min="6095" max="6095" width="12.5546875" style="655" customWidth="1"/>
    <col min="6096" max="6096" width="2" style="655" customWidth="1"/>
    <col min="6097" max="6098" width="9.109375" style="655"/>
    <col min="6099" max="6099" width="11" style="655" customWidth="1"/>
    <col min="6100" max="6100" width="9.109375" style="655"/>
    <col min="6101" max="6101" width="2.21875" style="655" customWidth="1"/>
    <col min="6102" max="6102" width="11" style="655" customWidth="1"/>
    <col min="6103" max="6103" width="9.109375" style="655"/>
    <col min="6104" max="6104" width="11.5546875" style="655" customWidth="1"/>
    <col min="6105" max="6105" width="11.21875" style="655" customWidth="1"/>
    <col min="6106" max="6106" width="2.88671875" style="655" customWidth="1"/>
    <col min="6107" max="6108" width="9.109375" style="655"/>
    <col min="6109" max="6109" width="11.21875" style="655" customWidth="1"/>
    <col min="6110" max="6110" width="2.21875" style="655" customWidth="1"/>
    <col min="6111" max="6111" width="9.109375" style="655"/>
    <col min="6112" max="6112" width="10.44140625" style="655" customWidth="1"/>
    <col min="6113" max="6113" width="9.109375" style="655"/>
    <col min="6114" max="6114" width="11.109375" style="655" customWidth="1"/>
    <col min="6115" max="6116" width="9.109375" style="655"/>
    <col min="6117" max="6117" width="10.88671875" style="655" customWidth="1"/>
    <col min="6118" max="6119" width="9.109375" style="655"/>
    <col min="6120" max="6120" width="1.5546875" style="655" customWidth="1"/>
    <col min="6121" max="6121" width="9.77734375" style="655" customWidth="1"/>
    <col min="6122" max="6125" width="9.109375" style="655"/>
    <col min="6126" max="6126" width="1.88671875" style="655" customWidth="1"/>
    <col min="6127" max="6127" width="9.88671875" style="655" customWidth="1"/>
    <col min="6128" max="6128" width="1.5546875" style="655" customWidth="1"/>
    <col min="6129" max="6129" width="11.44140625" style="655" customWidth="1"/>
    <col min="6130" max="6130" width="2.21875" style="655" customWidth="1"/>
    <col min="6131" max="6131" width="12" style="655" customWidth="1"/>
    <col min="6132" max="6132" width="2" style="655" customWidth="1"/>
    <col min="6133" max="6133" width="9.109375" style="655"/>
    <col min="6134" max="6134" width="11.109375" style="655" customWidth="1"/>
    <col min="6135" max="6135" width="12" style="655" customWidth="1"/>
    <col min="6136" max="6136" width="9.109375" style="655"/>
    <col min="6137" max="6137" width="11.88671875" style="655" customWidth="1"/>
    <col min="6138" max="6138" width="14.21875" style="655" customWidth="1"/>
    <col min="6139" max="6142" width="9.109375" style="655"/>
    <col min="6143" max="6143" width="3.44140625" style="655" customWidth="1"/>
    <col min="6144" max="6145" width="9.109375" style="655"/>
    <col min="6146" max="6146" width="11.44140625" style="655" customWidth="1"/>
    <col min="6147" max="6147" width="2.77734375" style="655" customWidth="1"/>
    <col min="6148" max="6330" width="9.109375" style="655"/>
    <col min="6331" max="6331" width="9.5546875" style="655" customWidth="1"/>
    <col min="6332" max="6332" width="11" style="655" customWidth="1"/>
    <col min="6333" max="6334" width="11.21875" style="655" customWidth="1"/>
    <col min="6335" max="6335" width="11.5546875" style="655" customWidth="1"/>
    <col min="6336" max="6336" width="11.109375" style="655" customWidth="1"/>
    <col min="6337" max="6337" width="2" style="655" customWidth="1"/>
    <col min="6338" max="6338" width="13.5546875" style="655" customWidth="1"/>
    <col min="6339" max="6339" width="12.44140625" style="655" customWidth="1"/>
    <col min="6340" max="6340" width="13.5546875" style="655" customWidth="1"/>
    <col min="6341" max="6341" width="2.109375" style="655" customWidth="1"/>
    <col min="6342" max="6342" width="9.109375" style="655"/>
    <col min="6343" max="6343" width="10.21875" style="655" customWidth="1"/>
    <col min="6344" max="6344" width="1.88671875" style="655" customWidth="1"/>
    <col min="6345" max="6345" width="10.77734375" style="655" customWidth="1"/>
    <col min="6346" max="6346" width="9.109375" style="655"/>
    <col min="6347" max="6347" width="2.109375" style="655" customWidth="1"/>
    <col min="6348" max="6348" width="9.109375" style="655"/>
    <col min="6349" max="6349" width="11.21875" style="655" customWidth="1"/>
    <col min="6350" max="6350" width="12.77734375" style="655" customWidth="1"/>
    <col min="6351" max="6351" width="12.5546875" style="655" customWidth="1"/>
    <col min="6352" max="6352" width="2" style="655" customWidth="1"/>
    <col min="6353" max="6354" width="9.109375" style="655"/>
    <col min="6355" max="6355" width="11" style="655" customWidth="1"/>
    <col min="6356" max="6356" width="9.109375" style="655"/>
    <col min="6357" max="6357" width="2.21875" style="655" customWidth="1"/>
    <col min="6358" max="6358" width="11" style="655" customWidth="1"/>
    <col min="6359" max="6359" width="9.109375" style="655"/>
    <col min="6360" max="6360" width="11.5546875" style="655" customWidth="1"/>
    <col min="6361" max="6361" width="11.21875" style="655" customWidth="1"/>
    <col min="6362" max="6362" width="2.88671875" style="655" customWidth="1"/>
    <col min="6363" max="6364" width="9.109375" style="655"/>
    <col min="6365" max="6365" width="11.21875" style="655" customWidth="1"/>
    <col min="6366" max="6366" width="2.21875" style="655" customWidth="1"/>
    <col min="6367" max="6367" width="9.109375" style="655"/>
    <col min="6368" max="6368" width="10.44140625" style="655" customWidth="1"/>
    <col min="6369" max="6369" width="9.109375" style="655"/>
    <col min="6370" max="6370" width="11.109375" style="655" customWidth="1"/>
    <col min="6371" max="6372" width="9.109375" style="655"/>
    <col min="6373" max="6373" width="10.88671875" style="655" customWidth="1"/>
    <col min="6374" max="6375" width="9.109375" style="655"/>
    <col min="6376" max="6376" width="1.5546875" style="655" customWidth="1"/>
    <col min="6377" max="6377" width="9.77734375" style="655" customWidth="1"/>
    <col min="6378" max="6381" width="9.109375" style="655"/>
    <col min="6382" max="6382" width="1.88671875" style="655" customWidth="1"/>
    <col min="6383" max="6383" width="9.88671875" style="655" customWidth="1"/>
    <col min="6384" max="6384" width="1.5546875" style="655" customWidth="1"/>
    <col min="6385" max="6385" width="11.44140625" style="655" customWidth="1"/>
    <col min="6386" max="6386" width="2.21875" style="655" customWidth="1"/>
    <col min="6387" max="6387" width="12" style="655" customWidth="1"/>
    <col min="6388" max="6388" width="2" style="655" customWidth="1"/>
    <col min="6389" max="6389" width="9.109375" style="655"/>
    <col min="6390" max="6390" width="11.109375" style="655" customWidth="1"/>
    <col min="6391" max="6391" width="12" style="655" customWidth="1"/>
    <col min="6392" max="6392" width="9.109375" style="655"/>
    <col min="6393" max="6393" width="11.88671875" style="655" customWidth="1"/>
    <col min="6394" max="6394" width="14.21875" style="655" customWidth="1"/>
    <col min="6395" max="6398" width="9.109375" style="655"/>
    <col min="6399" max="6399" width="3.44140625" style="655" customWidth="1"/>
    <col min="6400" max="6401" width="9.109375" style="655"/>
    <col min="6402" max="6402" width="11.44140625" style="655" customWidth="1"/>
    <col min="6403" max="6403" width="2.77734375" style="655" customWidth="1"/>
    <col min="6404" max="6586" width="9.109375" style="655"/>
    <col min="6587" max="6587" width="9.5546875" style="655" customWidth="1"/>
    <col min="6588" max="6588" width="11" style="655" customWidth="1"/>
    <col min="6589" max="6590" width="11.21875" style="655" customWidth="1"/>
    <col min="6591" max="6591" width="11.5546875" style="655" customWidth="1"/>
    <col min="6592" max="6592" width="11.109375" style="655" customWidth="1"/>
    <col min="6593" max="6593" width="2" style="655" customWidth="1"/>
    <col min="6594" max="6594" width="13.5546875" style="655" customWidth="1"/>
    <col min="6595" max="6595" width="12.44140625" style="655" customWidth="1"/>
    <col min="6596" max="6596" width="13.5546875" style="655" customWidth="1"/>
    <col min="6597" max="6597" width="2.109375" style="655" customWidth="1"/>
    <col min="6598" max="6598" width="9.109375" style="655"/>
    <col min="6599" max="6599" width="10.21875" style="655" customWidth="1"/>
    <col min="6600" max="6600" width="1.88671875" style="655" customWidth="1"/>
    <col min="6601" max="6601" width="10.77734375" style="655" customWidth="1"/>
    <col min="6602" max="6602" width="9.109375" style="655"/>
    <col min="6603" max="6603" width="2.109375" style="655" customWidth="1"/>
    <col min="6604" max="6604" width="9.109375" style="655"/>
    <col min="6605" max="6605" width="11.21875" style="655" customWidth="1"/>
    <col min="6606" max="6606" width="12.77734375" style="655" customWidth="1"/>
    <col min="6607" max="6607" width="12.5546875" style="655" customWidth="1"/>
    <col min="6608" max="6608" width="2" style="655" customWidth="1"/>
    <col min="6609" max="6610" width="9.109375" style="655"/>
    <col min="6611" max="6611" width="11" style="655" customWidth="1"/>
    <col min="6612" max="6612" width="9.109375" style="655"/>
    <col min="6613" max="6613" width="2.21875" style="655" customWidth="1"/>
    <col min="6614" max="6614" width="11" style="655" customWidth="1"/>
    <col min="6615" max="6615" width="9.109375" style="655"/>
    <col min="6616" max="6616" width="11.5546875" style="655" customWidth="1"/>
    <col min="6617" max="6617" width="11.21875" style="655" customWidth="1"/>
    <col min="6618" max="6618" width="2.88671875" style="655" customWidth="1"/>
    <col min="6619" max="6620" width="9.109375" style="655"/>
    <col min="6621" max="6621" width="11.21875" style="655" customWidth="1"/>
    <col min="6622" max="6622" width="2.21875" style="655" customWidth="1"/>
    <col min="6623" max="6623" width="9.109375" style="655"/>
    <col min="6624" max="6624" width="10.44140625" style="655" customWidth="1"/>
    <col min="6625" max="6625" width="9.109375" style="655"/>
    <col min="6626" max="6626" width="11.109375" style="655" customWidth="1"/>
    <col min="6627" max="6628" width="9.109375" style="655"/>
    <col min="6629" max="6629" width="10.88671875" style="655" customWidth="1"/>
    <col min="6630" max="6631" width="9.109375" style="655"/>
    <col min="6632" max="6632" width="1.5546875" style="655" customWidth="1"/>
    <col min="6633" max="6633" width="9.77734375" style="655" customWidth="1"/>
    <col min="6634" max="6637" width="9.109375" style="655"/>
    <col min="6638" max="6638" width="1.88671875" style="655" customWidth="1"/>
    <col min="6639" max="6639" width="9.88671875" style="655" customWidth="1"/>
    <col min="6640" max="6640" width="1.5546875" style="655" customWidth="1"/>
    <col min="6641" max="6641" width="11.44140625" style="655" customWidth="1"/>
    <col min="6642" max="6642" width="2.21875" style="655" customWidth="1"/>
    <col min="6643" max="6643" width="12" style="655" customWidth="1"/>
    <col min="6644" max="6644" width="2" style="655" customWidth="1"/>
    <col min="6645" max="6645" width="9.109375" style="655"/>
    <col min="6646" max="6646" width="11.109375" style="655" customWidth="1"/>
    <col min="6647" max="6647" width="12" style="655" customWidth="1"/>
    <col min="6648" max="6648" width="9.109375" style="655"/>
    <col min="6649" max="6649" width="11.88671875" style="655" customWidth="1"/>
    <col min="6650" max="6650" width="14.21875" style="655" customWidth="1"/>
    <col min="6651" max="6654" width="9.109375" style="655"/>
    <col min="6655" max="6655" width="3.44140625" style="655" customWidth="1"/>
    <col min="6656" max="6657" width="9.109375" style="655"/>
    <col min="6658" max="6658" width="11.44140625" style="655" customWidth="1"/>
    <col min="6659" max="6659" width="2.77734375" style="655" customWidth="1"/>
    <col min="6660" max="6842" width="9.109375" style="655"/>
    <col min="6843" max="6843" width="9.5546875" style="655" customWidth="1"/>
    <col min="6844" max="6844" width="11" style="655" customWidth="1"/>
    <col min="6845" max="6846" width="11.21875" style="655" customWidth="1"/>
    <col min="6847" max="6847" width="11.5546875" style="655" customWidth="1"/>
    <col min="6848" max="6848" width="11.109375" style="655" customWidth="1"/>
    <col min="6849" max="6849" width="2" style="655" customWidth="1"/>
    <col min="6850" max="6850" width="13.5546875" style="655" customWidth="1"/>
    <col min="6851" max="6851" width="12.44140625" style="655" customWidth="1"/>
    <col min="6852" max="6852" width="13.5546875" style="655" customWidth="1"/>
    <col min="6853" max="6853" width="2.109375" style="655" customWidth="1"/>
    <col min="6854" max="6854" width="9.109375" style="655"/>
    <col min="6855" max="6855" width="10.21875" style="655" customWidth="1"/>
    <col min="6856" max="6856" width="1.88671875" style="655" customWidth="1"/>
    <col min="6857" max="6857" width="10.77734375" style="655" customWidth="1"/>
    <col min="6858" max="6858" width="9.109375" style="655"/>
    <col min="6859" max="6859" width="2.109375" style="655" customWidth="1"/>
    <col min="6860" max="6860" width="9.109375" style="655"/>
    <col min="6861" max="6861" width="11.21875" style="655" customWidth="1"/>
    <col min="6862" max="6862" width="12.77734375" style="655" customWidth="1"/>
    <col min="6863" max="6863" width="12.5546875" style="655" customWidth="1"/>
    <col min="6864" max="6864" width="2" style="655" customWidth="1"/>
    <col min="6865" max="6866" width="9.109375" style="655"/>
    <col min="6867" max="6867" width="11" style="655" customWidth="1"/>
    <col min="6868" max="6868" width="9.109375" style="655"/>
    <col min="6869" max="6869" width="2.21875" style="655" customWidth="1"/>
    <col min="6870" max="6870" width="11" style="655" customWidth="1"/>
    <col min="6871" max="6871" width="9.109375" style="655"/>
    <col min="6872" max="6872" width="11.5546875" style="655" customWidth="1"/>
    <col min="6873" max="6873" width="11.21875" style="655" customWidth="1"/>
    <col min="6874" max="6874" width="2.88671875" style="655" customWidth="1"/>
    <col min="6875" max="6876" width="9.109375" style="655"/>
    <col min="6877" max="6877" width="11.21875" style="655" customWidth="1"/>
    <col min="6878" max="6878" width="2.21875" style="655" customWidth="1"/>
    <col min="6879" max="6879" width="9.109375" style="655"/>
    <col min="6880" max="6880" width="10.44140625" style="655" customWidth="1"/>
    <col min="6881" max="6881" width="9.109375" style="655"/>
    <col min="6882" max="6882" width="11.109375" style="655" customWidth="1"/>
    <col min="6883" max="6884" width="9.109375" style="655"/>
    <col min="6885" max="6885" width="10.88671875" style="655" customWidth="1"/>
    <col min="6886" max="6887" width="9.109375" style="655"/>
    <col min="6888" max="6888" width="1.5546875" style="655" customWidth="1"/>
    <col min="6889" max="6889" width="9.77734375" style="655" customWidth="1"/>
    <col min="6890" max="6893" width="9.109375" style="655"/>
    <col min="6894" max="6894" width="1.88671875" style="655" customWidth="1"/>
    <col min="6895" max="6895" width="9.88671875" style="655" customWidth="1"/>
    <col min="6896" max="6896" width="1.5546875" style="655" customWidth="1"/>
    <col min="6897" max="6897" width="11.44140625" style="655" customWidth="1"/>
    <col min="6898" max="6898" width="2.21875" style="655" customWidth="1"/>
    <col min="6899" max="6899" width="12" style="655" customWidth="1"/>
    <col min="6900" max="6900" width="2" style="655" customWidth="1"/>
    <col min="6901" max="6901" width="9.109375" style="655"/>
    <col min="6902" max="6902" width="11.109375" style="655" customWidth="1"/>
    <col min="6903" max="6903" width="12" style="655" customWidth="1"/>
    <col min="6904" max="6904" width="9.109375" style="655"/>
    <col min="6905" max="6905" width="11.88671875" style="655" customWidth="1"/>
    <col min="6906" max="6906" width="14.21875" style="655" customWidth="1"/>
    <col min="6907" max="6910" width="9.109375" style="655"/>
    <col min="6911" max="6911" width="3.44140625" style="655" customWidth="1"/>
    <col min="6912" max="6913" width="9.109375" style="655"/>
    <col min="6914" max="6914" width="11.44140625" style="655" customWidth="1"/>
    <col min="6915" max="6915" width="2.77734375" style="655" customWidth="1"/>
    <col min="6916" max="7098" width="9.109375" style="655"/>
    <col min="7099" max="7099" width="9.5546875" style="655" customWidth="1"/>
    <col min="7100" max="7100" width="11" style="655" customWidth="1"/>
    <col min="7101" max="7102" width="11.21875" style="655" customWidth="1"/>
    <col min="7103" max="7103" width="11.5546875" style="655" customWidth="1"/>
    <col min="7104" max="7104" width="11.109375" style="655" customWidth="1"/>
    <col min="7105" max="7105" width="2" style="655" customWidth="1"/>
    <col min="7106" max="7106" width="13.5546875" style="655" customWidth="1"/>
    <col min="7107" max="7107" width="12.44140625" style="655" customWidth="1"/>
    <col min="7108" max="7108" width="13.5546875" style="655" customWidth="1"/>
    <col min="7109" max="7109" width="2.109375" style="655" customWidth="1"/>
    <col min="7110" max="7110" width="9.109375" style="655"/>
    <col min="7111" max="7111" width="10.21875" style="655" customWidth="1"/>
    <col min="7112" max="7112" width="1.88671875" style="655" customWidth="1"/>
    <col min="7113" max="7113" width="10.77734375" style="655" customWidth="1"/>
    <col min="7114" max="7114" width="9.109375" style="655"/>
    <col min="7115" max="7115" width="2.109375" style="655" customWidth="1"/>
    <col min="7116" max="7116" width="9.109375" style="655"/>
    <col min="7117" max="7117" width="11.21875" style="655" customWidth="1"/>
    <col min="7118" max="7118" width="12.77734375" style="655" customWidth="1"/>
    <col min="7119" max="7119" width="12.5546875" style="655" customWidth="1"/>
    <col min="7120" max="7120" width="2" style="655" customWidth="1"/>
    <col min="7121" max="7122" width="9.109375" style="655"/>
    <col min="7123" max="7123" width="11" style="655" customWidth="1"/>
    <col min="7124" max="7124" width="9.109375" style="655"/>
    <col min="7125" max="7125" width="2.21875" style="655" customWidth="1"/>
    <col min="7126" max="7126" width="11" style="655" customWidth="1"/>
    <col min="7127" max="7127" width="9.109375" style="655"/>
    <col min="7128" max="7128" width="11.5546875" style="655" customWidth="1"/>
    <col min="7129" max="7129" width="11.21875" style="655" customWidth="1"/>
    <col min="7130" max="7130" width="2.88671875" style="655" customWidth="1"/>
    <col min="7131" max="7132" width="9.109375" style="655"/>
    <col min="7133" max="7133" width="11.21875" style="655" customWidth="1"/>
    <col min="7134" max="7134" width="2.21875" style="655" customWidth="1"/>
    <col min="7135" max="7135" width="9.109375" style="655"/>
    <col min="7136" max="7136" width="10.44140625" style="655" customWidth="1"/>
    <col min="7137" max="7137" width="9.109375" style="655"/>
    <col min="7138" max="7138" width="11.109375" style="655" customWidth="1"/>
    <col min="7139" max="7140" width="9.109375" style="655"/>
    <col min="7141" max="7141" width="10.88671875" style="655" customWidth="1"/>
    <col min="7142" max="7143" width="9.109375" style="655"/>
    <col min="7144" max="7144" width="1.5546875" style="655" customWidth="1"/>
    <col min="7145" max="7145" width="9.77734375" style="655" customWidth="1"/>
    <col min="7146" max="7149" width="9.109375" style="655"/>
    <col min="7150" max="7150" width="1.88671875" style="655" customWidth="1"/>
    <col min="7151" max="7151" width="9.88671875" style="655" customWidth="1"/>
    <col min="7152" max="7152" width="1.5546875" style="655" customWidth="1"/>
    <col min="7153" max="7153" width="11.44140625" style="655" customWidth="1"/>
    <col min="7154" max="7154" width="2.21875" style="655" customWidth="1"/>
    <col min="7155" max="7155" width="12" style="655" customWidth="1"/>
    <col min="7156" max="7156" width="2" style="655" customWidth="1"/>
    <col min="7157" max="7157" width="9.109375" style="655"/>
    <col min="7158" max="7158" width="11.109375" style="655" customWidth="1"/>
    <col min="7159" max="7159" width="12" style="655" customWidth="1"/>
    <col min="7160" max="7160" width="9.109375" style="655"/>
    <col min="7161" max="7161" width="11.88671875" style="655" customWidth="1"/>
    <col min="7162" max="7162" width="14.21875" style="655" customWidth="1"/>
    <col min="7163" max="7166" width="9.109375" style="655"/>
    <col min="7167" max="7167" width="3.44140625" style="655" customWidth="1"/>
    <col min="7168" max="7169" width="9.109375" style="655"/>
    <col min="7170" max="7170" width="11.44140625" style="655" customWidth="1"/>
    <col min="7171" max="7171" width="2.77734375" style="655" customWidth="1"/>
    <col min="7172" max="7354" width="9.109375" style="655"/>
    <col min="7355" max="7355" width="9.5546875" style="655" customWidth="1"/>
    <col min="7356" max="7356" width="11" style="655" customWidth="1"/>
    <col min="7357" max="7358" width="11.21875" style="655" customWidth="1"/>
    <col min="7359" max="7359" width="11.5546875" style="655" customWidth="1"/>
    <col min="7360" max="7360" width="11.109375" style="655" customWidth="1"/>
    <col min="7361" max="7361" width="2" style="655" customWidth="1"/>
    <col min="7362" max="7362" width="13.5546875" style="655" customWidth="1"/>
    <col min="7363" max="7363" width="12.44140625" style="655" customWidth="1"/>
    <col min="7364" max="7364" width="13.5546875" style="655" customWidth="1"/>
    <col min="7365" max="7365" width="2.109375" style="655" customWidth="1"/>
    <col min="7366" max="7366" width="9.109375" style="655"/>
    <col min="7367" max="7367" width="10.21875" style="655" customWidth="1"/>
    <col min="7368" max="7368" width="1.88671875" style="655" customWidth="1"/>
    <col min="7369" max="7369" width="10.77734375" style="655" customWidth="1"/>
    <col min="7370" max="7370" width="9.109375" style="655"/>
    <col min="7371" max="7371" width="2.109375" style="655" customWidth="1"/>
    <col min="7372" max="7372" width="9.109375" style="655"/>
    <col min="7373" max="7373" width="11.21875" style="655" customWidth="1"/>
    <col min="7374" max="7374" width="12.77734375" style="655" customWidth="1"/>
    <col min="7375" max="7375" width="12.5546875" style="655" customWidth="1"/>
    <col min="7376" max="7376" width="2" style="655" customWidth="1"/>
    <col min="7377" max="7378" width="9.109375" style="655"/>
    <col min="7379" max="7379" width="11" style="655" customWidth="1"/>
    <col min="7380" max="7380" width="9.109375" style="655"/>
    <col min="7381" max="7381" width="2.21875" style="655" customWidth="1"/>
    <col min="7382" max="7382" width="11" style="655" customWidth="1"/>
    <col min="7383" max="7383" width="9.109375" style="655"/>
    <col min="7384" max="7384" width="11.5546875" style="655" customWidth="1"/>
    <col min="7385" max="7385" width="11.21875" style="655" customWidth="1"/>
    <col min="7386" max="7386" width="2.88671875" style="655" customWidth="1"/>
    <col min="7387" max="7388" width="9.109375" style="655"/>
    <col min="7389" max="7389" width="11.21875" style="655" customWidth="1"/>
    <col min="7390" max="7390" width="2.21875" style="655" customWidth="1"/>
    <col min="7391" max="7391" width="9.109375" style="655"/>
    <col min="7392" max="7392" width="10.44140625" style="655" customWidth="1"/>
    <col min="7393" max="7393" width="9.109375" style="655"/>
    <col min="7394" max="7394" width="11.109375" style="655" customWidth="1"/>
    <col min="7395" max="7396" width="9.109375" style="655"/>
    <col min="7397" max="7397" width="10.88671875" style="655" customWidth="1"/>
    <col min="7398" max="7399" width="9.109375" style="655"/>
    <col min="7400" max="7400" width="1.5546875" style="655" customWidth="1"/>
    <col min="7401" max="7401" width="9.77734375" style="655" customWidth="1"/>
    <col min="7402" max="7405" width="9.109375" style="655"/>
    <col min="7406" max="7406" width="1.88671875" style="655" customWidth="1"/>
    <col min="7407" max="7407" width="9.88671875" style="655" customWidth="1"/>
    <col min="7408" max="7408" width="1.5546875" style="655" customWidth="1"/>
    <col min="7409" max="7409" width="11.44140625" style="655" customWidth="1"/>
    <col min="7410" max="7410" width="2.21875" style="655" customWidth="1"/>
    <col min="7411" max="7411" width="12" style="655" customWidth="1"/>
    <col min="7412" max="7412" width="2" style="655" customWidth="1"/>
    <col min="7413" max="7413" width="9.109375" style="655"/>
    <col min="7414" max="7414" width="11.109375" style="655" customWidth="1"/>
    <col min="7415" max="7415" width="12" style="655" customWidth="1"/>
    <col min="7416" max="7416" width="9.109375" style="655"/>
    <col min="7417" max="7417" width="11.88671875" style="655" customWidth="1"/>
    <col min="7418" max="7418" width="14.21875" style="655" customWidth="1"/>
    <col min="7419" max="7422" width="9.109375" style="655"/>
    <col min="7423" max="7423" width="3.44140625" style="655" customWidth="1"/>
    <col min="7424" max="7425" width="9.109375" style="655"/>
    <col min="7426" max="7426" width="11.44140625" style="655" customWidth="1"/>
    <col min="7427" max="7427" width="2.77734375" style="655" customWidth="1"/>
    <col min="7428" max="7610" width="9.109375" style="655"/>
    <col min="7611" max="7611" width="9.5546875" style="655" customWidth="1"/>
    <col min="7612" max="7612" width="11" style="655" customWidth="1"/>
    <col min="7613" max="7614" width="11.21875" style="655" customWidth="1"/>
    <col min="7615" max="7615" width="11.5546875" style="655" customWidth="1"/>
    <col min="7616" max="7616" width="11.109375" style="655" customWidth="1"/>
    <col min="7617" max="7617" width="2" style="655" customWidth="1"/>
    <col min="7618" max="7618" width="13.5546875" style="655" customWidth="1"/>
    <col min="7619" max="7619" width="12.44140625" style="655" customWidth="1"/>
    <col min="7620" max="7620" width="13.5546875" style="655" customWidth="1"/>
    <col min="7621" max="7621" width="2.109375" style="655" customWidth="1"/>
    <col min="7622" max="7622" width="9.109375" style="655"/>
    <col min="7623" max="7623" width="10.21875" style="655" customWidth="1"/>
    <col min="7624" max="7624" width="1.88671875" style="655" customWidth="1"/>
    <col min="7625" max="7625" width="10.77734375" style="655" customWidth="1"/>
    <col min="7626" max="7626" width="9.109375" style="655"/>
    <col min="7627" max="7627" width="2.109375" style="655" customWidth="1"/>
    <col min="7628" max="7628" width="9.109375" style="655"/>
    <col min="7629" max="7629" width="11.21875" style="655" customWidth="1"/>
    <col min="7630" max="7630" width="12.77734375" style="655" customWidth="1"/>
    <col min="7631" max="7631" width="12.5546875" style="655" customWidth="1"/>
    <col min="7632" max="7632" width="2" style="655" customWidth="1"/>
    <col min="7633" max="7634" width="9.109375" style="655"/>
    <col min="7635" max="7635" width="11" style="655" customWidth="1"/>
    <col min="7636" max="7636" width="9.109375" style="655"/>
    <col min="7637" max="7637" width="2.21875" style="655" customWidth="1"/>
    <col min="7638" max="7638" width="11" style="655" customWidth="1"/>
    <col min="7639" max="7639" width="9.109375" style="655"/>
    <col min="7640" max="7640" width="11.5546875" style="655" customWidth="1"/>
    <col min="7641" max="7641" width="11.21875" style="655" customWidth="1"/>
    <col min="7642" max="7642" width="2.88671875" style="655" customWidth="1"/>
    <col min="7643" max="7644" width="9.109375" style="655"/>
    <col min="7645" max="7645" width="11.21875" style="655" customWidth="1"/>
    <col min="7646" max="7646" width="2.21875" style="655" customWidth="1"/>
    <col min="7647" max="7647" width="9.109375" style="655"/>
    <col min="7648" max="7648" width="10.44140625" style="655" customWidth="1"/>
    <col min="7649" max="7649" width="9.109375" style="655"/>
    <col min="7650" max="7650" width="11.109375" style="655" customWidth="1"/>
    <col min="7651" max="7652" width="9.109375" style="655"/>
    <col min="7653" max="7653" width="10.88671875" style="655" customWidth="1"/>
    <col min="7654" max="7655" width="9.109375" style="655"/>
    <col min="7656" max="7656" width="1.5546875" style="655" customWidth="1"/>
    <col min="7657" max="7657" width="9.77734375" style="655" customWidth="1"/>
    <col min="7658" max="7661" width="9.109375" style="655"/>
    <col min="7662" max="7662" width="1.88671875" style="655" customWidth="1"/>
    <col min="7663" max="7663" width="9.88671875" style="655" customWidth="1"/>
    <col min="7664" max="7664" width="1.5546875" style="655" customWidth="1"/>
    <col min="7665" max="7665" width="11.44140625" style="655" customWidth="1"/>
    <col min="7666" max="7666" width="2.21875" style="655" customWidth="1"/>
    <col min="7667" max="7667" width="12" style="655" customWidth="1"/>
    <col min="7668" max="7668" width="2" style="655" customWidth="1"/>
    <col min="7669" max="7669" width="9.109375" style="655"/>
    <col min="7670" max="7670" width="11.109375" style="655" customWidth="1"/>
    <col min="7671" max="7671" width="12" style="655" customWidth="1"/>
    <col min="7672" max="7672" width="9.109375" style="655"/>
    <col min="7673" max="7673" width="11.88671875" style="655" customWidth="1"/>
    <col min="7674" max="7674" width="14.21875" style="655" customWidth="1"/>
    <col min="7675" max="7678" width="9.109375" style="655"/>
    <col min="7679" max="7679" width="3.44140625" style="655" customWidth="1"/>
    <col min="7680" max="7681" width="9.109375" style="655"/>
    <col min="7682" max="7682" width="11.44140625" style="655" customWidth="1"/>
    <col min="7683" max="7683" width="2.77734375" style="655" customWidth="1"/>
    <col min="7684" max="7866" width="9.109375" style="655"/>
    <col min="7867" max="7867" width="9.5546875" style="655" customWidth="1"/>
    <col min="7868" max="7868" width="11" style="655" customWidth="1"/>
    <col min="7869" max="7870" width="11.21875" style="655" customWidth="1"/>
    <col min="7871" max="7871" width="11.5546875" style="655" customWidth="1"/>
    <col min="7872" max="7872" width="11.109375" style="655" customWidth="1"/>
    <col min="7873" max="7873" width="2" style="655" customWidth="1"/>
    <col min="7874" max="7874" width="13.5546875" style="655" customWidth="1"/>
    <col min="7875" max="7875" width="12.44140625" style="655" customWidth="1"/>
    <col min="7876" max="7876" width="13.5546875" style="655" customWidth="1"/>
    <col min="7877" max="7877" width="2.109375" style="655" customWidth="1"/>
    <col min="7878" max="7878" width="9.109375" style="655"/>
    <col min="7879" max="7879" width="10.21875" style="655" customWidth="1"/>
    <col min="7880" max="7880" width="1.88671875" style="655" customWidth="1"/>
    <col min="7881" max="7881" width="10.77734375" style="655" customWidth="1"/>
    <col min="7882" max="7882" width="9.109375" style="655"/>
    <col min="7883" max="7883" width="2.109375" style="655" customWidth="1"/>
    <col min="7884" max="7884" width="9.109375" style="655"/>
    <col min="7885" max="7885" width="11.21875" style="655" customWidth="1"/>
    <col min="7886" max="7886" width="12.77734375" style="655" customWidth="1"/>
    <col min="7887" max="7887" width="12.5546875" style="655" customWidth="1"/>
    <col min="7888" max="7888" width="2" style="655" customWidth="1"/>
    <col min="7889" max="7890" width="9.109375" style="655"/>
    <col min="7891" max="7891" width="11" style="655" customWidth="1"/>
    <col min="7892" max="7892" width="9.109375" style="655"/>
    <col min="7893" max="7893" width="2.21875" style="655" customWidth="1"/>
    <col min="7894" max="7894" width="11" style="655" customWidth="1"/>
    <col min="7895" max="7895" width="9.109375" style="655"/>
    <col min="7896" max="7896" width="11.5546875" style="655" customWidth="1"/>
    <col min="7897" max="7897" width="11.21875" style="655" customWidth="1"/>
    <col min="7898" max="7898" width="2.88671875" style="655" customWidth="1"/>
    <col min="7899" max="7900" width="9.109375" style="655"/>
    <col min="7901" max="7901" width="11.21875" style="655" customWidth="1"/>
    <col min="7902" max="7902" width="2.21875" style="655" customWidth="1"/>
    <col min="7903" max="7903" width="9.109375" style="655"/>
    <col min="7904" max="7904" width="10.44140625" style="655" customWidth="1"/>
    <col min="7905" max="7905" width="9.109375" style="655"/>
    <col min="7906" max="7906" width="11.109375" style="655" customWidth="1"/>
    <col min="7907" max="7908" width="9.109375" style="655"/>
    <col min="7909" max="7909" width="10.88671875" style="655" customWidth="1"/>
    <col min="7910" max="7911" width="9.109375" style="655"/>
    <col min="7912" max="7912" width="1.5546875" style="655" customWidth="1"/>
    <col min="7913" max="7913" width="9.77734375" style="655" customWidth="1"/>
    <col min="7914" max="7917" width="9.109375" style="655"/>
    <col min="7918" max="7918" width="1.88671875" style="655" customWidth="1"/>
    <col min="7919" max="7919" width="9.88671875" style="655" customWidth="1"/>
    <col min="7920" max="7920" width="1.5546875" style="655" customWidth="1"/>
    <col min="7921" max="7921" width="11.44140625" style="655" customWidth="1"/>
    <col min="7922" max="7922" width="2.21875" style="655" customWidth="1"/>
    <col min="7923" max="7923" width="12" style="655" customWidth="1"/>
    <col min="7924" max="7924" width="2" style="655" customWidth="1"/>
    <col min="7925" max="7925" width="9.109375" style="655"/>
    <col min="7926" max="7926" width="11.109375" style="655" customWidth="1"/>
    <col min="7927" max="7927" width="12" style="655" customWidth="1"/>
    <col min="7928" max="7928" width="9.109375" style="655"/>
    <col min="7929" max="7929" width="11.88671875" style="655" customWidth="1"/>
    <col min="7930" max="7930" width="14.21875" style="655" customWidth="1"/>
    <col min="7931" max="7934" width="9.109375" style="655"/>
    <col min="7935" max="7935" width="3.44140625" style="655" customWidth="1"/>
    <col min="7936" max="7937" width="9.109375" style="655"/>
    <col min="7938" max="7938" width="11.44140625" style="655" customWidth="1"/>
    <col min="7939" max="7939" width="2.77734375" style="655" customWidth="1"/>
    <col min="7940" max="8122" width="9.109375" style="655"/>
    <col min="8123" max="8123" width="9.5546875" style="655" customWidth="1"/>
    <col min="8124" max="8124" width="11" style="655" customWidth="1"/>
    <col min="8125" max="8126" width="11.21875" style="655" customWidth="1"/>
    <col min="8127" max="8127" width="11.5546875" style="655" customWidth="1"/>
    <col min="8128" max="8128" width="11.109375" style="655" customWidth="1"/>
    <col min="8129" max="8129" width="2" style="655" customWidth="1"/>
    <col min="8130" max="8130" width="13.5546875" style="655" customWidth="1"/>
    <col min="8131" max="8131" width="12.44140625" style="655" customWidth="1"/>
    <col min="8132" max="8132" width="13.5546875" style="655" customWidth="1"/>
    <col min="8133" max="8133" width="2.109375" style="655" customWidth="1"/>
    <col min="8134" max="8134" width="9.109375" style="655"/>
    <col min="8135" max="8135" width="10.21875" style="655" customWidth="1"/>
    <col min="8136" max="8136" width="1.88671875" style="655" customWidth="1"/>
    <col min="8137" max="8137" width="10.77734375" style="655" customWidth="1"/>
    <col min="8138" max="8138" width="9.109375" style="655"/>
    <col min="8139" max="8139" width="2.109375" style="655" customWidth="1"/>
    <col min="8140" max="8140" width="9.109375" style="655"/>
    <col min="8141" max="8141" width="11.21875" style="655" customWidth="1"/>
    <col min="8142" max="8142" width="12.77734375" style="655" customWidth="1"/>
    <col min="8143" max="8143" width="12.5546875" style="655" customWidth="1"/>
    <col min="8144" max="8144" width="2" style="655" customWidth="1"/>
    <col min="8145" max="8146" width="9.109375" style="655"/>
    <col min="8147" max="8147" width="11" style="655" customWidth="1"/>
    <col min="8148" max="8148" width="9.109375" style="655"/>
    <col min="8149" max="8149" width="2.21875" style="655" customWidth="1"/>
    <col min="8150" max="8150" width="11" style="655" customWidth="1"/>
    <col min="8151" max="8151" width="9.109375" style="655"/>
    <col min="8152" max="8152" width="11.5546875" style="655" customWidth="1"/>
    <col min="8153" max="8153" width="11.21875" style="655" customWidth="1"/>
    <col min="8154" max="8154" width="2.88671875" style="655" customWidth="1"/>
    <col min="8155" max="8156" width="9.109375" style="655"/>
    <col min="8157" max="8157" width="11.21875" style="655" customWidth="1"/>
    <col min="8158" max="8158" width="2.21875" style="655" customWidth="1"/>
    <col min="8159" max="8159" width="9.109375" style="655"/>
    <col min="8160" max="8160" width="10.44140625" style="655" customWidth="1"/>
    <col min="8161" max="8161" width="9.109375" style="655"/>
    <col min="8162" max="8162" width="11.109375" style="655" customWidth="1"/>
    <col min="8163" max="8164" width="9.109375" style="655"/>
    <col min="8165" max="8165" width="10.88671875" style="655" customWidth="1"/>
    <col min="8166" max="8167" width="9.109375" style="655"/>
    <col min="8168" max="8168" width="1.5546875" style="655" customWidth="1"/>
    <col min="8169" max="8169" width="9.77734375" style="655" customWidth="1"/>
    <col min="8170" max="8173" width="9.109375" style="655"/>
    <col min="8174" max="8174" width="1.88671875" style="655" customWidth="1"/>
    <col min="8175" max="8175" width="9.88671875" style="655" customWidth="1"/>
    <col min="8176" max="8176" width="1.5546875" style="655" customWidth="1"/>
    <col min="8177" max="8177" width="11.44140625" style="655" customWidth="1"/>
    <col min="8178" max="8178" width="2.21875" style="655" customWidth="1"/>
    <col min="8179" max="8179" width="12" style="655" customWidth="1"/>
    <col min="8180" max="8180" width="2" style="655" customWidth="1"/>
    <col min="8181" max="8181" width="9.109375" style="655"/>
    <col min="8182" max="8182" width="11.109375" style="655" customWidth="1"/>
    <col min="8183" max="8183" width="12" style="655" customWidth="1"/>
    <col min="8184" max="8184" width="9.109375" style="655"/>
    <col min="8185" max="8185" width="11.88671875" style="655" customWidth="1"/>
    <col min="8186" max="8186" width="14.21875" style="655" customWidth="1"/>
    <col min="8187" max="8190" width="9.109375" style="655"/>
    <col min="8191" max="8191" width="3.44140625" style="655" customWidth="1"/>
    <col min="8192" max="8193" width="9.109375" style="655"/>
    <col min="8194" max="8194" width="11.44140625" style="655" customWidth="1"/>
    <col min="8195" max="8195" width="2.77734375" style="655" customWidth="1"/>
    <col min="8196" max="8378" width="9.109375" style="655"/>
    <col min="8379" max="8379" width="9.5546875" style="655" customWidth="1"/>
    <col min="8380" max="8380" width="11" style="655" customWidth="1"/>
    <col min="8381" max="8382" width="11.21875" style="655" customWidth="1"/>
    <col min="8383" max="8383" width="11.5546875" style="655" customWidth="1"/>
    <col min="8384" max="8384" width="11.109375" style="655" customWidth="1"/>
    <col min="8385" max="8385" width="2" style="655" customWidth="1"/>
    <col min="8386" max="8386" width="13.5546875" style="655" customWidth="1"/>
    <col min="8387" max="8387" width="12.44140625" style="655" customWidth="1"/>
    <col min="8388" max="8388" width="13.5546875" style="655" customWidth="1"/>
    <col min="8389" max="8389" width="2.109375" style="655" customWidth="1"/>
    <col min="8390" max="8390" width="9.109375" style="655"/>
    <col min="8391" max="8391" width="10.21875" style="655" customWidth="1"/>
    <col min="8392" max="8392" width="1.88671875" style="655" customWidth="1"/>
    <col min="8393" max="8393" width="10.77734375" style="655" customWidth="1"/>
    <col min="8394" max="8394" width="9.109375" style="655"/>
    <col min="8395" max="8395" width="2.109375" style="655" customWidth="1"/>
    <col min="8396" max="8396" width="9.109375" style="655"/>
    <col min="8397" max="8397" width="11.21875" style="655" customWidth="1"/>
    <col min="8398" max="8398" width="12.77734375" style="655" customWidth="1"/>
    <col min="8399" max="8399" width="12.5546875" style="655" customWidth="1"/>
    <col min="8400" max="8400" width="2" style="655" customWidth="1"/>
    <col min="8401" max="8402" width="9.109375" style="655"/>
    <col min="8403" max="8403" width="11" style="655" customWidth="1"/>
    <col min="8404" max="8404" width="9.109375" style="655"/>
    <col min="8405" max="8405" width="2.21875" style="655" customWidth="1"/>
    <col min="8406" max="8406" width="11" style="655" customWidth="1"/>
    <col min="8407" max="8407" width="9.109375" style="655"/>
    <col min="8408" max="8408" width="11.5546875" style="655" customWidth="1"/>
    <col min="8409" max="8409" width="11.21875" style="655" customWidth="1"/>
    <col min="8410" max="8410" width="2.88671875" style="655" customWidth="1"/>
    <col min="8411" max="8412" width="9.109375" style="655"/>
    <col min="8413" max="8413" width="11.21875" style="655" customWidth="1"/>
    <col min="8414" max="8414" width="2.21875" style="655" customWidth="1"/>
    <col min="8415" max="8415" width="9.109375" style="655"/>
    <col min="8416" max="8416" width="10.44140625" style="655" customWidth="1"/>
    <col min="8417" max="8417" width="9.109375" style="655"/>
    <col min="8418" max="8418" width="11.109375" style="655" customWidth="1"/>
    <col min="8419" max="8420" width="9.109375" style="655"/>
    <col min="8421" max="8421" width="10.88671875" style="655" customWidth="1"/>
    <col min="8422" max="8423" width="9.109375" style="655"/>
    <col min="8424" max="8424" width="1.5546875" style="655" customWidth="1"/>
    <col min="8425" max="8425" width="9.77734375" style="655" customWidth="1"/>
    <col min="8426" max="8429" width="9.109375" style="655"/>
    <col min="8430" max="8430" width="1.88671875" style="655" customWidth="1"/>
    <col min="8431" max="8431" width="9.88671875" style="655" customWidth="1"/>
    <col min="8432" max="8432" width="1.5546875" style="655" customWidth="1"/>
    <col min="8433" max="8433" width="11.44140625" style="655" customWidth="1"/>
    <col min="8434" max="8434" width="2.21875" style="655" customWidth="1"/>
    <col min="8435" max="8435" width="12" style="655" customWidth="1"/>
    <col min="8436" max="8436" width="2" style="655" customWidth="1"/>
    <col min="8437" max="8437" width="9.109375" style="655"/>
    <col min="8438" max="8438" width="11.109375" style="655" customWidth="1"/>
    <col min="8439" max="8439" width="12" style="655" customWidth="1"/>
    <col min="8440" max="8440" width="9.109375" style="655"/>
    <col min="8441" max="8441" width="11.88671875" style="655" customWidth="1"/>
    <col min="8442" max="8442" width="14.21875" style="655" customWidth="1"/>
    <col min="8443" max="8446" width="9.109375" style="655"/>
    <col min="8447" max="8447" width="3.44140625" style="655" customWidth="1"/>
    <col min="8448" max="8449" width="9.109375" style="655"/>
    <col min="8450" max="8450" width="11.44140625" style="655" customWidth="1"/>
    <col min="8451" max="8451" width="2.77734375" style="655" customWidth="1"/>
    <col min="8452" max="8634" width="9.109375" style="655"/>
    <col min="8635" max="8635" width="9.5546875" style="655" customWidth="1"/>
    <col min="8636" max="8636" width="11" style="655" customWidth="1"/>
    <col min="8637" max="8638" width="11.21875" style="655" customWidth="1"/>
    <col min="8639" max="8639" width="11.5546875" style="655" customWidth="1"/>
    <col min="8640" max="8640" width="11.109375" style="655" customWidth="1"/>
    <col min="8641" max="8641" width="2" style="655" customWidth="1"/>
    <col min="8642" max="8642" width="13.5546875" style="655" customWidth="1"/>
    <col min="8643" max="8643" width="12.44140625" style="655" customWidth="1"/>
    <col min="8644" max="8644" width="13.5546875" style="655" customWidth="1"/>
    <col min="8645" max="8645" width="2.109375" style="655" customWidth="1"/>
    <col min="8646" max="8646" width="9.109375" style="655"/>
    <col min="8647" max="8647" width="10.21875" style="655" customWidth="1"/>
    <col min="8648" max="8648" width="1.88671875" style="655" customWidth="1"/>
    <col min="8649" max="8649" width="10.77734375" style="655" customWidth="1"/>
    <col min="8650" max="8650" width="9.109375" style="655"/>
    <col min="8651" max="8651" width="2.109375" style="655" customWidth="1"/>
    <col min="8652" max="8652" width="9.109375" style="655"/>
    <col min="8653" max="8653" width="11.21875" style="655" customWidth="1"/>
    <col min="8654" max="8654" width="12.77734375" style="655" customWidth="1"/>
    <col min="8655" max="8655" width="12.5546875" style="655" customWidth="1"/>
    <col min="8656" max="8656" width="2" style="655" customWidth="1"/>
    <col min="8657" max="8658" width="9.109375" style="655"/>
    <col min="8659" max="8659" width="11" style="655" customWidth="1"/>
    <col min="8660" max="8660" width="9.109375" style="655"/>
    <col min="8661" max="8661" width="2.21875" style="655" customWidth="1"/>
    <col min="8662" max="8662" width="11" style="655" customWidth="1"/>
    <col min="8663" max="8663" width="9.109375" style="655"/>
    <col min="8664" max="8664" width="11.5546875" style="655" customWidth="1"/>
    <col min="8665" max="8665" width="11.21875" style="655" customWidth="1"/>
    <col min="8666" max="8666" width="2.88671875" style="655" customWidth="1"/>
    <col min="8667" max="8668" width="9.109375" style="655"/>
    <col min="8669" max="8669" width="11.21875" style="655" customWidth="1"/>
    <col min="8670" max="8670" width="2.21875" style="655" customWidth="1"/>
    <col min="8671" max="8671" width="9.109375" style="655"/>
    <col min="8672" max="8672" width="10.44140625" style="655" customWidth="1"/>
    <col min="8673" max="8673" width="9.109375" style="655"/>
    <col min="8674" max="8674" width="11.109375" style="655" customWidth="1"/>
    <col min="8675" max="8676" width="9.109375" style="655"/>
    <col min="8677" max="8677" width="10.88671875" style="655" customWidth="1"/>
    <col min="8678" max="8679" width="9.109375" style="655"/>
    <col min="8680" max="8680" width="1.5546875" style="655" customWidth="1"/>
    <col min="8681" max="8681" width="9.77734375" style="655" customWidth="1"/>
    <col min="8682" max="8685" width="9.109375" style="655"/>
    <col min="8686" max="8686" width="1.88671875" style="655" customWidth="1"/>
    <col min="8687" max="8687" width="9.88671875" style="655" customWidth="1"/>
    <col min="8688" max="8688" width="1.5546875" style="655" customWidth="1"/>
    <col min="8689" max="8689" width="11.44140625" style="655" customWidth="1"/>
    <col min="8690" max="8690" width="2.21875" style="655" customWidth="1"/>
    <col min="8691" max="8691" width="12" style="655" customWidth="1"/>
    <col min="8692" max="8692" width="2" style="655" customWidth="1"/>
    <col min="8693" max="8693" width="9.109375" style="655"/>
    <col min="8694" max="8694" width="11.109375" style="655" customWidth="1"/>
    <col min="8695" max="8695" width="12" style="655" customWidth="1"/>
    <col min="8696" max="8696" width="9.109375" style="655"/>
    <col min="8697" max="8697" width="11.88671875" style="655" customWidth="1"/>
    <col min="8698" max="8698" width="14.21875" style="655" customWidth="1"/>
    <col min="8699" max="8702" width="9.109375" style="655"/>
    <col min="8703" max="8703" width="3.44140625" style="655" customWidth="1"/>
    <col min="8704" max="8705" width="9.109375" style="655"/>
    <col min="8706" max="8706" width="11.44140625" style="655" customWidth="1"/>
    <col min="8707" max="8707" width="2.77734375" style="655" customWidth="1"/>
    <col min="8708" max="8890" width="9.109375" style="655"/>
    <col min="8891" max="8891" width="9.5546875" style="655" customWidth="1"/>
    <col min="8892" max="8892" width="11" style="655" customWidth="1"/>
    <col min="8893" max="8894" width="11.21875" style="655" customWidth="1"/>
    <col min="8895" max="8895" width="11.5546875" style="655" customWidth="1"/>
    <col min="8896" max="8896" width="11.109375" style="655" customWidth="1"/>
    <col min="8897" max="8897" width="2" style="655" customWidth="1"/>
    <col min="8898" max="8898" width="13.5546875" style="655" customWidth="1"/>
    <col min="8899" max="8899" width="12.44140625" style="655" customWidth="1"/>
    <col min="8900" max="8900" width="13.5546875" style="655" customWidth="1"/>
    <col min="8901" max="8901" width="2.109375" style="655" customWidth="1"/>
    <col min="8902" max="8902" width="9.109375" style="655"/>
    <col min="8903" max="8903" width="10.21875" style="655" customWidth="1"/>
    <col min="8904" max="8904" width="1.88671875" style="655" customWidth="1"/>
    <col min="8905" max="8905" width="10.77734375" style="655" customWidth="1"/>
    <col min="8906" max="8906" width="9.109375" style="655"/>
    <col min="8907" max="8907" width="2.109375" style="655" customWidth="1"/>
    <col min="8908" max="8908" width="9.109375" style="655"/>
    <col min="8909" max="8909" width="11.21875" style="655" customWidth="1"/>
    <col min="8910" max="8910" width="12.77734375" style="655" customWidth="1"/>
    <col min="8911" max="8911" width="12.5546875" style="655" customWidth="1"/>
    <col min="8912" max="8912" width="2" style="655" customWidth="1"/>
    <col min="8913" max="8914" width="9.109375" style="655"/>
    <col min="8915" max="8915" width="11" style="655" customWidth="1"/>
    <col min="8916" max="8916" width="9.109375" style="655"/>
    <col min="8917" max="8917" width="2.21875" style="655" customWidth="1"/>
    <col min="8918" max="8918" width="11" style="655" customWidth="1"/>
    <col min="8919" max="8919" width="9.109375" style="655"/>
    <col min="8920" max="8920" width="11.5546875" style="655" customWidth="1"/>
    <col min="8921" max="8921" width="11.21875" style="655" customWidth="1"/>
    <col min="8922" max="8922" width="2.88671875" style="655" customWidth="1"/>
    <col min="8923" max="8924" width="9.109375" style="655"/>
    <col min="8925" max="8925" width="11.21875" style="655" customWidth="1"/>
    <col min="8926" max="8926" width="2.21875" style="655" customWidth="1"/>
    <col min="8927" max="8927" width="9.109375" style="655"/>
    <col min="8928" max="8928" width="10.44140625" style="655" customWidth="1"/>
    <col min="8929" max="8929" width="9.109375" style="655"/>
    <col min="8930" max="8930" width="11.109375" style="655" customWidth="1"/>
    <col min="8931" max="8932" width="9.109375" style="655"/>
    <col min="8933" max="8933" width="10.88671875" style="655" customWidth="1"/>
    <col min="8934" max="8935" width="9.109375" style="655"/>
    <col min="8936" max="8936" width="1.5546875" style="655" customWidth="1"/>
    <col min="8937" max="8937" width="9.77734375" style="655" customWidth="1"/>
    <col min="8938" max="8941" width="9.109375" style="655"/>
    <col min="8942" max="8942" width="1.88671875" style="655" customWidth="1"/>
    <col min="8943" max="8943" width="9.88671875" style="655" customWidth="1"/>
    <col min="8944" max="8944" width="1.5546875" style="655" customWidth="1"/>
    <col min="8945" max="8945" width="11.44140625" style="655" customWidth="1"/>
    <col min="8946" max="8946" width="2.21875" style="655" customWidth="1"/>
    <col min="8947" max="8947" width="12" style="655" customWidth="1"/>
    <col min="8948" max="8948" width="2" style="655" customWidth="1"/>
    <col min="8949" max="8949" width="9.109375" style="655"/>
    <col min="8950" max="8950" width="11.109375" style="655" customWidth="1"/>
    <col min="8951" max="8951" width="12" style="655" customWidth="1"/>
    <col min="8952" max="8952" width="9.109375" style="655"/>
    <col min="8953" max="8953" width="11.88671875" style="655" customWidth="1"/>
    <col min="8954" max="8954" width="14.21875" style="655" customWidth="1"/>
    <col min="8955" max="8958" width="9.109375" style="655"/>
    <col min="8959" max="8959" width="3.44140625" style="655" customWidth="1"/>
    <col min="8960" max="8961" width="9.109375" style="655"/>
    <col min="8962" max="8962" width="11.44140625" style="655" customWidth="1"/>
    <col min="8963" max="8963" width="2.77734375" style="655" customWidth="1"/>
    <col min="8964" max="9146" width="9.109375" style="655"/>
    <col min="9147" max="9147" width="9.5546875" style="655" customWidth="1"/>
    <col min="9148" max="9148" width="11" style="655" customWidth="1"/>
    <col min="9149" max="9150" width="11.21875" style="655" customWidth="1"/>
    <col min="9151" max="9151" width="11.5546875" style="655" customWidth="1"/>
    <col min="9152" max="9152" width="11.109375" style="655" customWidth="1"/>
    <col min="9153" max="9153" width="2" style="655" customWidth="1"/>
    <col min="9154" max="9154" width="13.5546875" style="655" customWidth="1"/>
    <col min="9155" max="9155" width="12.44140625" style="655" customWidth="1"/>
    <col min="9156" max="9156" width="13.5546875" style="655" customWidth="1"/>
    <col min="9157" max="9157" width="2.109375" style="655" customWidth="1"/>
    <col min="9158" max="9158" width="9.109375" style="655"/>
    <col min="9159" max="9159" width="10.21875" style="655" customWidth="1"/>
    <col min="9160" max="9160" width="1.88671875" style="655" customWidth="1"/>
    <col min="9161" max="9161" width="10.77734375" style="655" customWidth="1"/>
    <col min="9162" max="9162" width="9.109375" style="655"/>
    <col min="9163" max="9163" width="2.109375" style="655" customWidth="1"/>
    <col min="9164" max="9164" width="9.109375" style="655"/>
    <col min="9165" max="9165" width="11.21875" style="655" customWidth="1"/>
    <col min="9166" max="9166" width="12.77734375" style="655" customWidth="1"/>
    <col min="9167" max="9167" width="12.5546875" style="655" customWidth="1"/>
    <col min="9168" max="9168" width="2" style="655" customWidth="1"/>
    <col min="9169" max="9170" width="9.109375" style="655"/>
    <col min="9171" max="9171" width="11" style="655" customWidth="1"/>
    <col min="9172" max="9172" width="9.109375" style="655"/>
    <col min="9173" max="9173" width="2.21875" style="655" customWidth="1"/>
    <col min="9174" max="9174" width="11" style="655" customWidth="1"/>
    <col min="9175" max="9175" width="9.109375" style="655"/>
    <col min="9176" max="9176" width="11.5546875" style="655" customWidth="1"/>
    <col min="9177" max="9177" width="11.21875" style="655" customWidth="1"/>
    <col min="9178" max="9178" width="2.88671875" style="655" customWidth="1"/>
    <col min="9179" max="9180" width="9.109375" style="655"/>
    <col min="9181" max="9181" width="11.21875" style="655" customWidth="1"/>
    <col min="9182" max="9182" width="2.21875" style="655" customWidth="1"/>
    <col min="9183" max="9183" width="9.109375" style="655"/>
    <col min="9184" max="9184" width="10.44140625" style="655" customWidth="1"/>
    <col min="9185" max="9185" width="9.109375" style="655"/>
    <col min="9186" max="9186" width="11.109375" style="655" customWidth="1"/>
    <col min="9187" max="9188" width="9.109375" style="655"/>
    <col min="9189" max="9189" width="10.88671875" style="655" customWidth="1"/>
    <col min="9190" max="9191" width="9.109375" style="655"/>
    <col min="9192" max="9192" width="1.5546875" style="655" customWidth="1"/>
    <col min="9193" max="9193" width="9.77734375" style="655" customWidth="1"/>
    <col min="9194" max="9197" width="9.109375" style="655"/>
    <col min="9198" max="9198" width="1.88671875" style="655" customWidth="1"/>
    <col min="9199" max="9199" width="9.88671875" style="655" customWidth="1"/>
    <col min="9200" max="9200" width="1.5546875" style="655" customWidth="1"/>
    <col min="9201" max="9201" width="11.44140625" style="655" customWidth="1"/>
    <col min="9202" max="9202" width="2.21875" style="655" customWidth="1"/>
    <col min="9203" max="9203" width="12" style="655" customWidth="1"/>
    <col min="9204" max="9204" width="2" style="655" customWidth="1"/>
    <col min="9205" max="9205" width="9.109375" style="655"/>
    <col min="9206" max="9206" width="11.109375" style="655" customWidth="1"/>
    <col min="9207" max="9207" width="12" style="655" customWidth="1"/>
    <col min="9208" max="9208" width="9.109375" style="655"/>
    <col min="9209" max="9209" width="11.88671875" style="655" customWidth="1"/>
    <col min="9210" max="9210" width="14.21875" style="655" customWidth="1"/>
    <col min="9211" max="9214" width="9.109375" style="655"/>
    <col min="9215" max="9215" width="3.44140625" style="655" customWidth="1"/>
    <col min="9216" max="9217" width="9.109375" style="655"/>
    <col min="9218" max="9218" width="11.44140625" style="655" customWidth="1"/>
    <col min="9219" max="9219" width="2.77734375" style="655" customWidth="1"/>
    <col min="9220" max="9402" width="9.109375" style="655"/>
    <col min="9403" max="9403" width="9.5546875" style="655" customWidth="1"/>
    <col min="9404" max="9404" width="11" style="655" customWidth="1"/>
    <col min="9405" max="9406" width="11.21875" style="655" customWidth="1"/>
    <col min="9407" max="9407" width="11.5546875" style="655" customWidth="1"/>
    <col min="9408" max="9408" width="11.109375" style="655" customWidth="1"/>
    <col min="9409" max="9409" width="2" style="655" customWidth="1"/>
    <col min="9410" max="9410" width="13.5546875" style="655" customWidth="1"/>
    <col min="9411" max="9411" width="12.44140625" style="655" customWidth="1"/>
    <col min="9412" max="9412" width="13.5546875" style="655" customWidth="1"/>
    <col min="9413" max="9413" width="2.109375" style="655" customWidth="1"/>
    <col min="9414" max="9414" width="9.109375" style="655"/>
    <col min="9415" max="9415" width="10.21875" style="655" customWidth="1"/>
    <col min="9416" max="9416" width="1.88671875" style="655" customWidth="1"/>
    <col min="9417" max="9417" width="10.77734375" style="655" customWidth="1"/>
    <col min="9418" max="9418" width="9.109375" style="655"/>
    <col min="9419" max="9419" width="2.109375" style="655" customWidth="1"/>
    <col min="9420" max="9420" width="9.109375" style="655"/>
    <col min="9421" max="9421" width="11.21875" style="655" customWidth="1"/>
    <col min="9422" max="9422" width="12.77734375" style="655" customWidth="1"/>
    <col min="9423" max="9423" width="12.5546875" style="655" customWidth="1"/>
    <col min="9424" max="9424" width="2" style="655" customWidth="1"/>
    <col min="9425" max="9426" width="9.109375" style="655"/>
    <col min="9427" max="9427" width="11" style="655" customWidth="1"/>
    <col min="9428" max="9428" width="9.109375" style="655"/>
    <col min="9429" max="9429" width="2.21875" style="655" customWidth="1"/>
    <col min="9430" max="9430" width="11" style="655" customWidth="1"/>
    <col min="9431" max="9431" width="9.109375" style="655"/>
    <col min="9432" max="9432" width="11.5546875" style="655" customWidth="1"/>
    <col min="9433" max="9433" width="11.21875" style="655" customWidth="1"/>
    <col min="9434" max="9434" width="2.88671875" style="655" customWidth="1"/>
    <col min="9435" max="9436" width="9.109375" style="655"/>
    <col min="9437" max="9437" width="11.21875" style="655" customWidth="1"/>
    <col min="9438" max="9438" width="2.21875" style="655" customWidth="1"/>
    <col min="9439" max="9439" width="9.109375" style="655"/>
    <col min="9440" max="9440" width="10.44140625" style="655" customWidth="1"/>
    <col min="9441" max="9441" width="9.109375" style="655"/>
    <col min="9442" max="9442" width="11.109375" style="655" customWidth="1"/>
    <col min="9443" max="9444" width="9.109375" style="655"/>
    <col min="9445" max="9445" width="10.88671875" style="655" customWidth="1"/>
    <col min="9446" max="9447" width="9.109375" style="655"/>
    <col min="9448" max="9448" width="1.5546875" style="655" customWidth="1"/>
    <col min="9449" max="9449" width="9.77734375" style="655" customWidth="1"/>
    <col min="9450" max="9453" width="9.109375" style="655"/>
    <col min="9454" max="9454" width="1.88671875" style="655" customWidth="1"/>
    <col min="9455" max="9455" width="9.88671875" style="655" customWidth="1"/>
    <col min="9456" max="9456" width="1.5546875" style="655" customWidth="1"/>
    <col min="9457" max="9457" width="11.44140625" style="655" customWidth="1"/>
    <col min="9458" max="9458" width="2.21875" style="655" customWidth="1"/>
    <col min="9459" max="9459" width="12" style="655" customWidth="1"/>
    <col min="9460" max="9460" width="2" style="655" customWidth="1"/>
    <col min="9461" max="9461" width="9.109375" style="655"/>
    <col min="9462" max="9462" width="11.109375" style="655" customWidth="1"/>
    <col min="9463" max="9463" width="12" style="655" customWidth="1"/>
    <col min="9464" max="9464" width="9.109375" style="655"/>
    <col min="9465" max="9465" width="11.88671875" style="655" customWidth="1"/>
    <col min="9466" max="9466" width="14.21875" style="655" customWidth="1"/>
    <col min="9467" max="9470" width="9.109375" style="655"/>
    <col min="9471" max="9471" width="3.44140625" style="655" customWidth="1"/>
    <col min="9472" max="9473" width="9.109375" style="655"/>
    <col min="9474" max="9474" width="11.44140625" style="655" customWidth="1"/>
    <col min="9475" max="9475" width="2.77734375" style="655" customWidth="1"/>
    <col min="9476" max="9658" width="9.109375" style="655"/>
    <col min="9659" max="9659" width="9.5546875" style="655" customWidth="1"/>
    <col min="9660" max="9660" width="11" style="655" customWidth="1"/>
    <col min="9661" max="9662" width="11.21875" style="655" customWidth="1"/>
    <col min="9663" max="9663" width="11.5546875" style="655" customWidth="1"/>
    <col min="9664" max="9664" width="11.109375" style="655" customWidth="1"/>
    <col min="9665" max="9665" width="2" style="655" customWidth="1"/>
    <col min="9666" max="9666" width="13.5546875" style="655" customWidth="1"/>
    <col min="9667" max="9667" width="12.44140625" style="655" customWidth="1"/>
    <col min="9668" max="9668" width="13.5546875" style="655" customWidth="1"/>
    <col min="9669" max="9669" width="2.109375" style="655" customWidth="1"/>
    <col min="9670" max="9670" width="9.109375" style="655"/>
    <col min="9671" max="9671" width="10.21875" style="655" customWidth="1"/>
    <col min="9672" max="9672" width="1.88671875" style="655" customWidth="1"/>
    <col min="9673" max="9673" width="10.77734375" style="655" customWidth="1"/>
    <col min="9674" max="9674" width="9.109375" style="655"/>
    <col min="9675" max="9675" width="2.109375" style="655" customWidth="1"/>
    <col min="9676" max="9676" width="9.109375" style="655"/>
    <col min="9677" max="9677" width="11.21875" style="655" customWidth="1"/>
    <col min="9678" max="9678" width="12.77734375" style="655" customWidth="1"/>
    <col min="9679" max="9679" width="12.5546875" style="655" customWidth="1"/>
    <col min="9680" max="9680" width="2" style="655" customWidth="1"/>
    <col min="9681" max="9682" width="9.109375" style="655"/>
    <col min="9683" max="9683" width="11" style="655" customWidth="1"/>
    <col min="9684" max="9684" width="9.109375" style="655"/>
    <col min="9685" max="9685" width="2.21875" style="655" customWidth="1"/>
    <col min="9686" max="9686" width="11" style="655" customWidth="1"/>
    <col min="9687" max="9687" width="9.109375" style="655"/>
    <col min="9688" max="9688" width="11.5546875" style="655" customWidth="1"/>
    <col min="9689" max="9689" width="11.21875" style="655" customWidth="1"/>
    <col min="9690" max="9690" width="2.88671875" style="655" customWidth="1"/>
    <col min="9691" max="9692" width="9.109375" style="655"/>
    <col min="9693" max="9693" width="11.21875" style="655" customWidth="1"/>
    <col min="9694" max="9694" width="2.21875" style="655" customWidth="1"/>
    <col min="9695" max="9695" width="9.109375" style="655"/>
    <col min="9696" max="9696" width="10.44140625" style="655" customWidth="1"/>
    <col min="9697" max="9697" width="9.109375" style="655"/>
    <col min="9698" max="9698" width="11.109375" style="655" customWidth="1"/>
    <col min="9699" max="9700" width="9.109375" style="655"/>
    <col min="9701" max="9701" width="10.88671875" style="655" customWidth="1"/>
    <col min="9702" max="9703" width="9.109375" style="655"/>
    <col min="9704" max="9704" width="1.5546875" style="655" customWidth="1"/>
    <col min="9705" max="9705" width="9.77734375" style="655" customWidth="1"/>
    <col min="9706" max="9709" width="9.109375" style="655"/>
    <col min="9710" max="9710" width="1.88671875" style="655" customWidth="1"/>
    <col min="9711" max="9711" width="9.88671875" style="655" customWidth="1"/>
    <col min="9712" max="9712" width="1.5546875" style="655" customWidth="1"/>
    <col min="9713" max="9713" width="11.44140625" style="655" customWidth="1"/>
    <col min="9714" max="9714" width="2.21875" style="655" customWidth="1"/>
    <col min="9715" max="9715" width="12" style="655" customWidth="1"/>
    <col min="9716" max="9716" width="2" style="655" customWidth="1"/>
    <col min="9717" max="9717" width="9.109375" style="655"/>
    <col min="9718" max="9718" width="11.109375" style="655" customWidth="1"/>
    <col min="9719" max="9719" width="12" style="655" customWidth="1"/>
    <col min="9720" max="9720" width="9.109375" style="655"/>
    <col min="9721" max="9721" width="11.88671875" style="655" customWidth="1"/>
    <col min="9722" max="9722" width="14.21875" style="655" customWidth="1"/>
    <col min="9723" max="9726" width="9.109375" style="655"/>
    <col min="9727" max="9727" width="3.44140625" style="655" customWidth="1"/>
    <col min="9728" max="9729" width="9.109375" style="655"/>
    <col min="9730" max="9730" width="11.44140625" style="655" customWidth="1"/>
    <col min="9731" max="9731" width="2.77734375" style="655" customWidth="1"/>
    <col min="9732" max="9914" width="9.109375" style="655"/>
    <col min="9915" max="9915" width="9.5546875" style="655" customWidth="1"/>
    <col min="9916" max="9916" width="11" style="655" customWidth="1"/>
    <col min="9917" max="9918" width="11.21875" style="655" customWidth="1"/>
    <col min="9919" max="9919" width="11.5546875" style="655" customWidth="1"/>
    <col min="9920" max="9920" width="11.109375" style="655" customWidth="1"/>
    <col min="9921" max="9921" width="2" style="655" customWidth="1"/>
    <col min="9922" max="9922" width="13.5546875" style="655" customWidth="1"/>
    <col min="9923" max="9923" width="12.44140625" style="655" customWidth="1"/>
    <col min="9924" max="9924" width="13.5546875" style="655" customWidth="1"/>
    <col min="9925" max="9925" width="2.109375" style="655" customWidth="1"/>
    <col min="9926" max="9926" width="9.109375" style="655"/>
    <col min="9927" max="9927" width="10.21875" style="655" customWidth="1"/>
    <col min="9928" max="9928" width="1.88671875" style="655" customWidth="1"/>
    <col min="9929" max="9929" width="10.77734375" style="655" customWidth="1"/>
    <col min="9930" max="9930" width="9.109375" style="655"/>
    <col min="9931" max="9931" width="2.109375" style="655" customWidth="1"/>
    <col min="9932" max="9932" width="9.109375" style="655"/>
    <col min="9933" max="9933" width="11.21875" style="655" customWidth="1"/>
    <col min="9934" max="9934" width="12.77734375" style="655" customWidth="1"/>
    <col min="9935" max="9935" width="12.5546875" style="655" customWidth="1"/>
    <col min="9936" max="9936" width="2" style="655" customWidth="1"/>
    <col min="9937" max="9938" width="9.109375" style="655"/>
    <col min="9939" max="9939" width="11" style="655" customWidth="1"/>
    <col min="9940" max="9940" width="9.109375" style="655"/>
    <col min="9941" max="9941" width="2.21875" style="655" customWidth="1"/>
    <col min="9942" max="9942" width="11" style="655" customWidth="1"/>
    <col min="9943" max="9943" width="9.109375" style="655"/>
    <col min="9944" max="9944" width="11.5546875" style="655" customWidth="1"/>
    <col min="9945" max="9945" width="11.21875" style="655" customWidth="1"/>
    <col min="9946" max="9946" width="2.88671875" style="655" customWidth="1"/>
    <col min="9947" max="9948" width="9.109375" style="655"/>
    <col min="9949" max="9949" width="11.21875" style="655" customWidth="1"/>
    <col min="9950" max="9950" width="2.21875" style="655" customWidth="1"/>
    <col min="9951" max="9951" width="9.109375" style="655"/>
    <col min="9952" max="9952" width="10.44140625" style="655" customWidth="1"/>
    <col min="9953" max="9953" width="9.109375" style="655"/>
    <col min="9954" max="9954" width="11.109375" style="655" customWidth="1"/>
    <col min="9955" max="9956" width="9.109375" style="655"/>
    <col min="9957" max="9957" width="10.88671875" style="655" customWidth="1"/>
    <col min="9958" max="9959" width="9.109375" style="655"/>
    <col min="9960" max="9960" width="1.5546875" style="655" customWidth="1"/>
    <col min="9961" max="9961" width="9.77734375" style="655" customWidth="1"/>
    <col min="9962" max="9965" width="9.109375" style="655"/>
    <col min="9966" max="9966" width="1.88671875" style="655" customWidth="1"/>
    <col min="9967" max="9967" width="9.88671875" style="655" customWidth="1"/>
    <col min="9968" max="9968" width="1.5546875" style="655" customWidth="1"/>
    <col min="9969" max="9969" width="11.44140625" style="655" customWidth="1"/>
    <col min="9970" max="9970" width="2.21875" style="655" customWidth="1"/>
    <col min="9971" max="9971" width="12" style="655" customWidth="1"/>
    <col min="9972" max="9972" width="2" style="655" customWidth="1"/>
    <col min="9973" max="9973" width="9.109375" style="655"/>
    <col min="9974" max="9974" width="11.109375" style="655" customWidth="1"/>
    <col min="9975" max="9975" width="12" style="655" customWidth="1"/>
    <col min="9976" max="9976" width="9.109375" style="655"/>
    <col min="9977" max="9977" width="11.88671875" style="655" customWidth="1"/>
    <col min="9978" max="9978" width="14.21875" style="655" customWidth="1"/>
    <col min="9979" max="9982" width="9.109375" style="655"/>
    <col min="9983" max="9983" width="3.44140625" style="655" customWidth="1"/>
    <col min="9984" max="9985" width="9.109375" style="655"/>
    <col min="9986" max="9986" width="11.44140625" style="655" customWidth="1"/>
    <col min="9987" max="9987" width="2.77734375" style="655" customWidth="1"/>
    <col min="9988" max="10170" width="9.109375" style="655"/>
    <col min="10171" max="10171" width="9.5546875" style="655" customWidth="1"/>
    <col min="10172" max="10172" width="11" style="655" customWidth="1"/>
    <col min="10173" max="10174" width="11.21875" style="655" customWidth="1"/>
    <col min="10175" max="10175" width="11.5546875" style="655" customWidth="1"/>
    <col min="10176" max="10176" width="11.109375" style="655" customWidth="1"/>
    <col min="10177" max="10177" width="2" style="655" customWidth="1"/>
    <col min="10178" max="10178" width="13.5546875" style="655" customWidth="1"/>
    <col min="10179" max="10179" width="12.44140625" style="655" customWidth="1"/>
    <col min="10180" max="10180" width="13.5546875" style="655" customWidth="1"/>
    <col min="10181" max="10181" width="2.109375" style="655" customWidth="1"/>
    <col min="10182" max="10182" width="9.109375" style="655"/>
    <col min="10183" max="10183" width="10.21875" style="655" customWidth="1"/>
    <col min="10184" max="10184" width="1.88671875" style="655" customWidth="1"/>
    <col min="10185" max="10185" width="10.77734375" style="655" customWidth="1"/>
    <col min="10186" max="10186" width="9.109375" style="655"/>
    <col min="10187" max="10187" width="2.109375" style="655" customWidth="1"/>
    <col min="10188" max="10188" width="9.109375" style="655"/>
    <col min="10189" max="10189" width="11.21875" style="655" customWidth="1"/>
    <col min="10190" max="10190" width="12.77734375" style="655" customWidth="1"/>
    <col min="10191" max="10191" width="12.5546875" style="655" customWidth="1"/>
    <col min="10192" max="10192" width="2" style="655" customWidth="1"/>
    <col min="10193" max="10194" width="9.109375" style="655"/>
    <col min="10195" max="10195" width="11" style="655" customWidth="1"/>
    <col min="10196" max="10196" width="9.109375" style="655"/>
    <col min="10197" max="10197" width="2.21875" style="655" customWidth="1"/>
    <col min="10198" max="10198" width="11" style="655" customWidth="1"/>
    <col min="10199" max="10199" width="9.109375" style="655"/>
    <col min="10200" max="10200" width="11.5546875" style="655" customWidth="1"/>
    <col min="10201" max="10201" width="11.21875" style="655" customWidth="1"/>
    <col min="10202" max="10202" width="2.88671875" style="655" customWidth="1"/>
    <col min="10203" max="10204" width="9.109375" style="655"/>
    <col min="10205" max="10205" width="11.21875" style="655" customWidth="1"/>
    <col min="10206" max="10206" width="2.21875" style="655" customWidth="1"/>
    <col min="10207" max="10207" width="9.109375" style="655"/>
    <col min="10208" max="10208" width="10.44140625" style="655" customWidth="1"/>
    <col min="10209" max="10209" width="9.109375" style="655"/>
    <col min="10210" max="10210" width="11.109375" style="655" customWidth="1"/>
    <col min="10211" max="10212" width="9.109375" style="655"/>
    <col min="10213" max="10213" width="10.88671875" style="655" customWidth="1"/>
    <col min="10214" max="10215" width="9.109375" style="655"/>
    <col min="10216" max="10216" width="1.5546875" style="655" customWidth="1"/>
    <col min="10217" max="10217" width="9.77734375" style="655" customWidth="1"/>
    <col min="10218" max="10221" width="9.109375" style="655"/>
    <col min="10222" max="10222" width="1.88671875" style="655" customWidth="1"/>
    <col min="10223" max="10223" width="9.88671875" style="655" customWidth="1"/>
    <col min="10224" max="10224" width="1.5546875" style="655" customWidth="1"/>
    <col min="10225" max="10225" width="11.44140625" style="655" customWidth="1"/>
    <col min="10226" max="10226" width="2.21875" style="655" customWidth="1"/>
    <col min="10227" max="10227" width="12" style="655" customWidth="1"/>
    <col min="10228" max="10228" width="2" style="655" customWidth="1"/>
    <col min="10229" max="10229" width="9.109375" style="655"/>
    <col min="10230" max="10230" width="11.109375" style="655" customWidth="1"/>
    <col min="10231" max="10231" width="12" style="655" customWidth="1"/>
    <col min="10232" max="10232" width="9.109375" style="655"/>
    <col min="10233" max="10233" width="11.88671875" style="655" customWidth="1"/>
    <col min="10234" max="10234" width="14.21875" style="655" customWidth="1"/>
    <col min="10235" max="10238" width="9.109375" style="655"/>
    <col min="10239" max="10239" width="3.44140625" style="655" customWidth="1"/>
    <col min="10240" max="10241" width="9.109375" style="655"/>
    <col min="10242" max="10242" width="11.44140625" style="655" customWidth="1"/>
    <col min="10243" max="10243" width="2.77734375" style="655" customWidth="1"/>
    <col min="10244" max="10426" width="9.109375" style="655"/>
    <col min="10427" max="10427" width="9.5546875" style="655" customWidth="1"/>
    <col min="10428" max="10428" width="11" style="655" customWidth="1"/>
    <col min="10429" max="10430" width="11.21875" style="655" customWidth="1"/>
    <col min="10431" max="10431" width="11.5546875" style="655" customWidth="1"/>
    <col min="10432" max="10432" width="11.109375" style="655" customWidth="1"/>
    <col min="10433" max="10433" width="2" style="655" customWidth="1"/>
    <col min="10434" max="10434" width="13.5546875" style="655" customWidth="1"/>
    <col min="10435" max="10435" width="12.44140625" style="655" customWidth="1"/>
    <col min="10436" max="10436" width="13.5546875" style="655" customWidth="1"/>
    <col min="10437" max="10437" width="2.109375" style="655" customWidth="1"/>
    <col min="10438" max="10438" width="9.109375" style="655"/>
    <col min="10439" max="10439" width="10.21875" style="655" customWidth="1"/>
    <col min="10440" max="10440" width="1.88671875" style="655" customWidth="1"/>
    <col min="10441" max="10441" width="10.77734375" style="655" customWidth="1"/>
    <col min="10442" max="10442" width="9.109375" style="655"/>
    <col min="10443" max="10443" width="2.109375" style="655" customWidth="1"/>
    <col min="10444" max="10444" width="9.109375" style="655"/>
    <col min="10445" max="10445" width="11.21875" style="655" customWidth="1"/>
    <col min="10446" max="10446" width="12.77734375" style="655" customWidth="1"/>
    <col min="10447" max="10447" width="12.5546875" style="655" customWidth="1"/>
    <col min="10448" max="10448" width="2" style="655" customWidth="1"/>
    <col min="10449" max="10450" width="9.109375" style="655"/>
    <col min="10451" max="10451" width="11" style="655" customWidth="1"/>
    <col min="10452" max="10452" width="9.109375" style="655"/>
    <col min="10453" max="10453" width="2.21875" style="655" customWidth="1"/>
    <col min="10454" max="10454" width="11" style="655" customWidth="1"/>
    <col min="10455" max="10455" width="9.109375" style="655"/>
    <col min="10456" max="10456" width="11.5546875" style="655" customWidth="1"/>
    <col min="10457" max="10457" width="11.21875" style="655" customWidth="1"/>
    <col min="10458" max="10458" width="2.88671875" style="655" customWidth="1"/>
    <col min="10459" max="10460" width="9.109375" style="655"/>
    <col min="10461" max="10461" width="11.21875" style="655" customWidth="1"/>
    <col min="10462" max="10462" width="2.21875" style="655" customWidth="1"/>
    <col min="10463" max="10463" width="9.109375" style="655"/>
    <col min="10464" max="10464" width="10.44140625" style="655" customWidth="1"/>
    <col min="10465" max="10465" width="9.109375" style="655"/>
    <col min="10466" max="10466" width="11.109375" style="655" customWidth="1"/>
    <col min="10467" max="10468" width="9.109375" style="655"/>
    <col min="10469" max="10469" width="10.88671875" style="655" customWidth="1"/>
    <col min="10470" max="10471" width="9.109375" style="655"/>
    <col min="10472" max="10472" width="1.5546875" style="655" customWidth="1"/>
    <col min="10473" max="10473" width="9.77734375" style="655" customWidth="1"/>
    <col min="10474" max="10477" width="9.109375" style="655"/>
    <col min="10478" max="10478" width="1.88671875" style="655" customWidth="1"/>
    <col min="10479" max="10479" width="9.88671875" style="655" customWidth="1"/>
    <col min="10480" max="10480" width="1.5546875" style="655" customWidth="1"/>
    <col min="10481" max="10481" width="11.44140625" style="655" customWidth="1"/>
    <col min="10482" max="10482" width="2.21875" style="655" customWidth="1"/>
    <col min="10483" max="10483" width="12" style="655" customWidth="1"/>
    <col min="10484" max="10484" width="2" style="655" customWidth="1"/>
    <col min="10485" max="10485" width="9.109375" style="655"/>
    <col min="10486" max="10486" width="11.109375" style="655" customWidth="1"/>
    <col min="10487" max="10487" width="12" style="655" customWidth="1"/>
    <col min="10488" max="10488" width="9.109375" style="655"/>
    <col min="10489" max="10489" width="11.88671875" style="655" customWidth="1"/>
    <col min="10490" max="10490" width="14.21875" style="655" customWidth="1"/>
    <col min="10491" max="10494" width="9.109375" style="655"/>
    <col min="10495" max="10495" width="3.44140625" style="655" customWidth="1"/>
    <col min="10496" max="10497" width="9.109375" style="655"/>
    <col min="10498" max="10498" width="11.44140625" style="655" customWidth="1"/>
    <col min="10499" max="10499" width="2.77734375" style="655" customWidth="1"/>
    <col min="10500" max="10682" width="9.109375" style="655"/>
    <col min="10683" max="10683" width="9.5546875" style="655" customWidth="1"/>
    <col min="10684" max="10684" width="11" style="655" customWidth="1"/>
    <col min="10685" max="10686" width="11.21875" style="655" customWidth="1"/>
    <col min="10687" max="10687" width="11.5546875" style="655" customWidth="1"/>
    <col min="10688" max="10688" width="11.109375" style="655" customWidth="1"/>
    <col min="10689" max="10689" width="2" style="655" customWidth="1"/>
    <col min="10690" max="10690" width="13.5546875" style="655" customWidth="1"/>
    <col min="10691" max="10691" width="12.44140625" style="655" customWidth="1"/>
    <col min="10692" max="10692" width="13.5546875" style="655" customWidth="1"/>
    <col min="10693" max="10693" width="2.109375" style="655" customWidth="1"/>
    <col min="10694" max="10694" width="9.109375" style="655"/>
    <col min="10695" max="10695" width="10.21875" style="655" customWidth="1"/>
    <col min="10696" max="10696" width="1.88671875" style="655" customWidth="1"/>
    <col min="10697" max="10697" width="10.77734375" style="655" customWidth="1"/>
    <col min="10698" max="10698" width="9.109375" style="655"/>
    <col min="10699" max="10699" width="2.109375" style="655" customWidth="1"/>
    <col min="10700" max="10700" width="9.109375" style="655"/>
    <col min="10701" max="10701" width="11.21875" style="655" customWidth="1"/>
    <col min="10702" max="10702" width="12.77734375" style="655" customWidth="1"/>
    <col min="10703" max="10703" width="12.5546875" style="655" customWidth="1"/>
    <col min="10704" max="10704" width="2" style="655" customWidth="1"/>
    <col min="10705" max="10706" width="9.109375" style="655"/>
    <col min="10707" max="10707" width="11" style="655" customWidth="1"/>
    <col min="10708" max="10708" width="9.109375" style="655"/>
    <col min="10709" max="10709" width="2.21875" style="655" customWidth="1"/>
    <col min="10710" max="10710" width="11" style="655" customWidth="1"/>
    <col min="10711" max="10711" width="9.109375" style="655"/>
    <col min="10712" max="10712" width="11.5546875" style="655" customWidth="1"/>
    <col min="10713" max="10713" width="11.21875" style="655" customWidth="1"/>
    <col min="10714" max="10714" width="2.88671875" style="655" customWidth="1"/>
    <col min="10715" max="10716" width="9.109375" style="655"/>
    <col min="10717" max="10717" width="11.21875" style="655" customWidth="1"/>
    <col min="10718" max="10718" width="2.21875" style="655" customWidth="1"/>
    <col min="10719" max="10719" width="9.109375" style="655"/>
    <col min="10720" max="10720" width="10.44140625" style="655" customWidth="1"/>
    <col min="10721" max="10721" width="9.109375" style="655"/>
    <col min="10722" max="10722" width="11.109375" style="655" customWidth="1"/>
    <col min="10723" max="10724" width="9.109375" style="655"/>
    <col min="10725" max="10725" width="10.88671875" style="655" customWidth="1"/>
    <col min="10726" max="10727" width="9.109375" style="655"/>
    <col min="10728" max="10728" width="1.5546875" style="655" customWidth="1"/>
    <col min="10729" max="10729" width="9.77734375" style="655" customWidth="1"/>
    <col min="10730" max="10733" width="9.109375" style="655"/>
    <col min="10734" max="10734" width="1.88671875" style="655" customWidth="1"/>
    <col min="10735" max="10735" width="9.88671875" style="655" customWidth="1"/>
    <col min="10736" max="10736" width="1.5546875" style="655" customWidth="1"/>
    <col min="10737" max="10737" width="11.44140625" style="655" customWidth="1"/>
    <col min="10738" max="10738" width="2.21875" style="655" customWidth="1"/>
    <col min="10739" max="10739" width="12" style="655" customWidth="1"/>
    <col min="10740" max="10740" width="2" style="655" customWidth="1"/>
    <col min="10741" max="10741" width="9.109375" style="655"/>
    <col min="10742" max="10742" width="11.109375" style="655" customWidth="1"/>
    <col min="10743" max="10743" width="12" style="655" customWidth="1"/>
    <col min="10744" max="10744" width="9.109375" style="655"/>
    <col min="10745" max="10745" width="11.88671875" style="655" customWidth="1"/>
    <col min="10746" max="10746" width="14.21875" style="655" customWidth="1"/>
    <col min="10747" max="10750" width="9.109375" style="655"/>
    <col min="10751" max="10751" width="3.44140625" style="655" customWidth="1"/>
    <col min="10752" max="10753" width="9.109375" style="655"/>
    <col min="10754" max="10754" width="11.44140625" style="655" customWidth="1"/>
    <col min="10755" max="10755" width="2.77734375" style="655" customWidth="1"/>
    <col min="10756" max="10938" width="9.109375" style="655"/>
    <col min="10939" max="10939" width="9.5546875" style="655" customWidth="1"/>
    <col min="10940" max="10940" width="11" style="655" customWidth="1"/>
    <col min="10941" max="10942" width="11.21875" style="655" customWidth="1"/>
    <col min="10943" max="10943" width="11.5546875" style="655" customWidth="1"/>
    <col min="10944" max="10944" width="11.109375" style="655" customWidth="1"/>
    <col min="10945" max="10945" width="2" style="655" customWidth="1"/>
    <col min="10946" max="10946" width="13.5546875" style="655" customWidth="1"/>
    <col min="10947" max="10947" width="12.44140625" style="655" customWidth="1"/>
    <col min="10948" max="10948" width="13.5546875" style="655" customWidth="1"/>
    <col min="10949" max="10949" width="2.109375" style="655" customWidth="1"/>
    <col min="10950" max="10950" width="9.109375" style="655"/>
    <col min="10951" max="10951" width="10.21875" style="655" customWidth="1"/>
    <col min="10952" max="10952" width="1.88671875" style="655" customWidth="1"/>
    <col min="10953" max="10953" width="10.77734375" style="655" customWidth="1"/>
    <col min="10954" max="10954" width="9.109375" style="655"/>
    <col min="10955" max="10955" width="2.109375" style="655" customWidth="1"/>
    <col min="10956" max="10956" width="9.109375" style="655"/>
    <col min="10957" max="10957" width="11.21875" style="655" customWidth="1"/>
    <col min="10958" max="10958" width="12.77734375" style="655" customWidth="1"/>
    <col min="10959" max="10959" width="12.5546875" style="655" customWidth="1"/>
    <col min="10960" max="10960" width="2" style="655" customWidth="1"/>
    <col min="10961" max="10962" width="9.109375" style="655"/>
    <col min="10963" max="10963" width="11" style="655" customWidth="1"/>
    <col min="10964" max="10964" width="9.109375" style="655"/>
    <col min="10965" max="10965" width="2.21875" style="655" customWidth="1"/>
    <col min="10966" max="10966" width="11" style="655" customWidth="1"/>
    <col min="10967" max="10967" width="9.109375" style="655"/>
    <col min="10968" max="10968" width="11.5546875" style="655" customWidth="1"/>
    <col min="10969" max="10969" width="11.21875" style="655" customWidth="1"/>
    <col min="10970" max="10970" width="2.88671875" style="655" customWidth="1"/>
    <col min="10971" max="10972" width="9.109375" style="655"/>
    <col min="10973" max="10973" width="11.21875" style="655" customWidth="1"/>
    <col min="10974" max="10974" width="2.21875" style="655" customWidth="1"/>
    <col min="10975" max="10975" width="9.109375" style="655"/>
    <col min="10976" max="10976" width="10.44140625" style="655" customWidth="1"/>
    <col min="10977" max="10977" width="9.109375" style="655"/>
    <col min="10978" max="10978" width="11.109375" style="655" customWidth="1"/>
    <col min="10979" max="10980" width="9.109375" style="655"/>
    <col min="10981" max="10981" width="10.88671875" style="655" customWidth="1"/>
    <col min="10982" max="10983" width="9.109375" style="655"/>
    <col min="10984" max="10984" width="1.5546875" style="655" customWidth="1"/>
    <col min="10985" max="10985" width="9.77734375" style="655" customWidth="1"/>
    <col min="10986" max="10989" width="9.109375" style="655"/>
    <col min="10990" max="10990" width="1.88671875" style="655" customWidth="1"/>
    <col min="10991" max="10991" width="9.88671875" style="655" customWidth="1"/>
    <col min="10992" max="10992" width="1.5546875" style="655" customWidth="1"/>
    <col min="10993" max="10993" width="11.44140625" style="655" customWidth="1"/>
    <col min="10994" max="10994" width="2.21875" style="655" customWidth="1"/>
    <col min="10995" max="10995" width="12" style="655" customWidth="1"/>
    <col min="10996" max="10996" width="2" style="655" customWidth="1"/>
    <col min="10997" max="10997" width="9.109375" style="655"/>
    <col min="10998" max="10998" width="11.109375" style="655" customWidth="1"/>
    <col min="10999" max="10999" width="12" style="655" customWidth="1"/>
    <col min="11000" max="11000" width="9.109375" style="655"/>
    <col min="11001" max="11001" width="11.88671875" style="655" customWidth="1"/>
    <col min="11002" max="11002" width="14.21875" style="655" customWidth="1"/>
    <col min="11003" max="11006" width="9.109375" style="655"/>
    <col min="11007" max="11007" width="3.44140625" style="655" customWidth="1"/>
    <col min="11008" max="11009" width="9.109375" style="655"/>
    <col min="11010" max="11010" width="11.44140625" style="655" customWidth="1"/>
    <col min="11011" max="11011" width="2.77734375" style="655" customWidth="1"/>
    <col min="11012" max="11194" width="9.109375" style="655"/>
    <col min="11195" max="11195" width="9.5546875" style="655" customWidth="1"/>
    <col min="11196" max="11196" width="11" style="655" customWidth="1"/>
    <col min="11197" max="11198" width="11.21875" style="655" customWidth="1"/>
    <col min="11199" max="11199" width="11.5546875" style="655" customWidth="1"/>
    <col min="11200" max="11200" width="11.109375" style="655" customWidth="1"/>
    <col min="11201" max="11201" width="2" style="655" customWidth="1"/>
    <col min="11202" max="11202" width="13.5546875" style="655" customWidth="1"/>
    <col min="11203" max="11203" width="12.44140625" style="655" customWidth="1"/>
    <col min="11204" max="11204" width="13.5546875" style="655" customWidth="1"/>
    <col min="11205" max="11205" width="2.109375" style="655" customWidth="1"/>
    <col min="11206" max="11206" width="9.109375" style="655"/>
    <col min="11207" max="11207" width="10.21875" style="655" customWidth="1"/>
    <col min="11208" max="11208" width="1.88671875" style="655" customWidth="1"/>
    <col min="11209" max="11209" width="10.77734375" style="655" customWidth="1"/>
    <col min="11210" max="11210" width="9.109375" style="655"/>
    <col min="11211" max="11211" width="2.109375" style="655" customWidth="1"/>
    <col min="11212" max="11212" width="9.109375" style="655"/>
    <col min="11213" max="11213" width="11.21875" style="655" customWidth="1"/>
    <col min="11214" max="11214" width="12.77734375" style="655" customWidth="1"/>
    <col min="11215" max="11215" width="12.5546875" style="655" customWidth="1"/>
    <col min="11216" max="11216" width="2" style="655" customWidth="1"/>
    <col min="11217" max="11218" width="9.109375" style="655"/>
    <col min="11219" max="11219" width="11" style="655" customWidth="1"/>
    <col min="11220" max="11220" width="9.109375" style="655"/>
    <col min="11221" max="11221" width="2.21875" style="655" customWidth="1"/>
    <col min="11222" max="11222" width="11" style="655" customWidth="1"/>
    <col min="11223" max="11223" width="9.109375" style="655"/>
    <col min="11224" max="11224" width="11.5546875" style="655" customWidth="1"/>
    <col min="11225" max="11225" width="11.21875" style="655" customWidth="1"/>
    <col min="11226" max="11226" width="2.88671875" style="655" customWidth="1"/>
    <col min="11227" max="11228" width="9.109375" style="655"/>
    <col min="11229" max="11229" width="11.21875" style="655" customWidth="1"/>
    <col min="11230" max="11230" width="2.21875" style="655" customWidth="1"/>
    <col min="11231" max="11231" width="9.109375" style="655"/>
    <col min="11232" max="11232" width="10.44140625" style="655" customWidth="1"/>
    <col min="11233" max="11233" width="9.109375" style="655"/>
    <col min="11234" max="11234" width="11.109375" style="655" customWidth="1"/>
    <col min="11235" max="11236" width="9.109375" style="655"/>
    <col min="11237" max="11237" width="10.88671875" style="655" customWidth="1"/>
    <col min="11238" max="11239" width="9.109375" style="655"/>
    <col min="11240" max="11240" width="1.5546875" style="655" customWidth="1"/>
    <col min="11241" max="11241" width="9.77734375" style="655" customWidth="1"/>
    <col min="11242" max="11245" width="9.109375" style="655"/>
    <col min="11246" max="11246" width="1.88671875" style="655" customWidth="1"/>
    <col min="11247" max="11247" width="9.88671875" style="655" customWidth="1"/>
    <col min="11248" max="11248" width="1.5546875" style="655" customWidth="1"/>
    <col min="11249" max="11249" width="11.44140625" style="655" customWidth="1"/>
    <col min="11250" max="11250" width="2.21875" style="655" customWidth="1"/>
    <col min="11251" max="11251" width="12" style="655" customWidth="1"/>
    <col min="11252" max="11252" width="2" style="655" customWidth="1"/>
    <col min="11253" max="11253" width="9.109375" style="655"/>
    <col min="11254" max="11254" width="11.109375" style="655" customWidth="1"/>
    <col min="11255" max="11255" width="12" style="655" customWidth="1"/>
    <col min="11256" max="11256" width="9.109375" style="655"/>
    <col min="11257" max="11257" width="11.88671875" style="655" customWidth="1"/>
    <col min="11258" max="11258" width="14.21875" style="655" customWidth="1"/>
    <col min="11259" max="11262" width="9.109375" style="655"/>
    <col min="11263" max="11263" width="3.44140625" style="655" customWidth="1"/>
    <col min="11264" max="11265" width="9.109375" style="655"/>
    <col min="11266" max="11266" width="11.44140625" style="655" customWidth="1"/>
    <col min="11267" max="11267" width="2.77734375" style="655" customWidth="1"/>
    <col min="11268" max="11450" width="9.109375" style="655"/>
    <col min="11451" max="11451" width="9.5546875" style="655" customWidth="1"/>
    <col min="11452" max="11452" width="11" style="655" customWidth="1"/>
    <col min="11453" max="11454" width="11.21875" style="655" customWidth="1"/>
    <col min="11455" max="11455" width="11.5546875" style="655" customWidth="1"/>
    <col min="11456" max="11456" width="11.109375" style="655" customWidth="1"/>
    <col min="11457" max="11457" width="2" style="655" customWidth="1"/>
    <col min="11458" max="11458" width="13.5546875" style="655" customWidth="1"/>
    <col min="11459" max="11459" width="12.44140625" style="655" customWidth="1"/>
    <col min="11460" max="11460" width="13.5546875" style="655" customWidth="1"/>
    <col min="11461" max="11461" width="2.109375" style="655" customWidth="1"/>
    <col min="11462" max="11462" width="9.109375" style="655"/>
    <col min="11463" max="11463" width="10.21875" style="655" customWidth="1"/>
    <col min="11464" max="11464" width="1.88671875" style="655" customWidth="1"/>
    <col min="11465" max="11465" width="10.77734375" style="655" customWidth="1"/>
    <col min="11466" max="11466" width="9.109375" style="655"/>
    <col min="11467" max="11467" width="2.109375" style="655" customWidth="1"/>
    <col min="11468" max="11468" width="9.109375" style="655"/>
    <col min="11469" max="11469" width="11.21875" style="655" customWidth="1"/>
    <col min="11470" max="11470" width="12.77734375" style="655" customWidth="1"/>
    <col min="11471" max="11471" width="12.5546875" style="655" customWidth="1"/>
    <col min="11472" max="11472" width="2" style="655" customWidth="1"/>
    <col min="11473" max="11474" width="9.109375" style="655"/>
    <col min="11475" max="11475" width="11" style="655" customWidth="1"/>
    <col min="11476" max="11476" width="9.109375" style="655"/>
    <col min="11477" max="11477" width="2.21875" style="655" customWidth="1"/>
    <col min="11478" max="11478" width="11" style="655" customWidth="1"/>
    <col min="11479" max="11479" width="9.109375" style="655"/>
    <col min="11480" max="11480" width="11.5546875" style="655" customWidth="1"/>
    <col min="11481" max="11481" width="11.21875" style="655" customWidth="1"/>
    <col min="11482" max="11482" width="2.88671875" style="655" customWidth="1"/>
    <col min="11483" max="11484" width="9.109375" style="655"/>
    <col min="11485" max="11485" width="11.21875" style="655" customWidth="1"/>
    <col min="11486" max="11486" width="2.21875" style="655" customWidth="1"/>
    <col min="11487" max="11487" width="9.109375" style="655"/>
    <col min="11488" max="11488" width="10.44140625" style="655" customWidth="1"/>
    <col min="11489" max="11489" width="9.109375" style="655"/>
    <col min="11490" max="11490" width="11.109375" style="655" customWidth="1"/>
    <col min="11491" max="11492" width="9.109375" style="655"/>
    <col min="11493" max="11493" width="10.88671875" style="655" customWidth="1"/>
    <col min="11494" max="11495" width="9.109375" style="655"/>
    <col min="11496" max="11496" width="1.5546875" style="655" customWidth="1"/>
    <col min="11497" max="11497" width="9.77734375" style="655" customWidth="1"/>
    <col min="11498" max="11501" width="9.109375" style="655"/>
    <col min="11502" max="11502" width="1.88671875" style="655" customWidth="1"/>
    <col min="11503" max="11503" width="9.88671875" style="655" customWidth="1"/>
    <col min="11504" max="11504" width="1.5546875" style="655" customWidth="1"/>
    <col min="11505" max="11505" width="11.44140625" style="655" customWidth="1"/>
    <col min="11506" max="11506" width="2.21875" style="655" customWidth="1"/>
    <col min="11507" max="11507" width="12" style="655" customWidth="1"/>
    <col min="11508" max="11508" width="2" style="655" customWidth="1"/>
    <col min="11509" max="11509" width="9.109375" style="655"/>
    <col min="11510" max="11510" width="11.109375" style="655" customWidth="1"/>
    <col min="11511" max="11511" width="12" style="655" customWidth="1"/>
    <col min="11512" max="11512" width="9.109375" style="655"/>
    <col min="11513" max="11513" width="11.88671875" style="655" customWidth="1"/>
    <col min="11514" max="11514" width="14.21875" style="655" customWidth="1"/>
    <col min="11515" max="11518" width="9.109375" style="655"/>
    <col min="11519" max="11519" width="3.44140625" style="655" customWidth="1"/>
    <col min="11520" max="11521" width="9.109375" style="655"/>
    <col min="11522" max="11522" width="11.44140625" style="655" customWidth="1"/>
    <col min="11523" max="11523" width="2.77734375" style="655" customWidth="1"/>
    <col min="11524" max="11706" width="9.109375" style="655"/>
    <col min="11707" max="11707" width="9.5546875" style="655" customWidth="1"/>
    <col min="11708" max="11708" width="11" style="655" customWidth="1"/>
    <col min="11709" max="11710" width="11.21875" style="655" customWidth="1"/>
    <col min="11711" max="11711" width="11.5546875" style="655" customWidth="1"/>
    <col min="11712" max="11712" width="11.109375" style="655" customWidth="1"/>
    <col min="11713" max="11713" width="2" style="655" customWidth="1"/>
    <col min="11714" max="11714" width="13.5546875" style="655" customWidth="1"/>
    <col min="11715" max="11715" width="12.44140625" style="655" customWidth="1"/>
    <col min="11716" max="11716" width="13.5546875" style="655" customWidth="1"/>
    <col min="11717" max="11717" width="2.109375" style="655" customWidth="1"/>
    <col min="11718" max="11718" width="9.109375" style="655"/>
    <col min="11719" max="11719" width="10.21875" style="655" customWidth="1"/>
    <col min="11720" max="11720" width="1.88671875" style="655" customWidth="1"/>
    <col min="11721" max="11721" width="10.77734375" style="655" customWidth="1"/>
    <col min="11722" max="11722" width="9.109375" style="655"/>
    <col min="11723" max="11723" width="2.109375" style="655" customWidth="1"/>
    <col min="11724" max="11724" width="9.109375" style="655"/>
    <col min="11725" max="11725" width="11.21875" style="655" customWidth="1"/>
    <col min="11726" max="11726" width="12.77734375" style="655" customWidth="1"/>
    <col min="11727" max="11727" width="12.5546875" style="655" customWidth="1"/>
    <col min="11728" max="11728" width="2" style="655" customWidth="1"/>
    <col min="11729" max="11730" width="9.109375" style="655"/>
    <col min="11731" max="11731" width="11" style="655" customWidth="1"/>
    <col min="11732" max="11732" width="9.109375" style="655"/>
    <col min="11733" max="11733" width="2.21875" style="655" customWidth="1"/>
    <col min="11734" max="11734" width="11" style="655" customWidth="1"/>
    <col min="11735" max="11735" width="9.109375" style="655"/>
    <col min="11736" max="11736" width="11.5546875" style="655" customWidth="1"/>
    <col min="11737" max="11737" width="11.21875" style="655" customWidth="1"/>
    <col min="11738" max="11738" width="2.88671875" style="655" customWidth="1"/>
    <col min="11739" max="11740" width="9.109375" style="655"/>
    <col min="11741" max="11741" width="11.21875" style="655" customWidth="1"/>
    <col min="11742" max="11742" width="2.21875" style="655" customWidth="1"/>
    <col min="11743" max="11743" width="9.109375" style="655"/>
    <col min="11744" max="11744" width="10.44140625" style="655" customWidth="1"/>
    <col min="11745" max="11745" width="9.109375" style="655"/>
    <col min="11746" max="11746" width="11.109375" style="655" customWidth="1"/>
    <col min="11747" max="11748" width="9.109375" style="655"/>
    <col min="11749" max="11749" width="10.88671875" style="655" customWidth="1"/>
    <col min="11750" max="11751" width="9.109375" style="655"/>
    <col min="11752" max="11752" width="1.5546875" style="655" customWidth="1"/>
    <col min="11753" max="11753" width="9.77734375" style="655" customWidth="1"/>
    <col min="11754" max="11757" width="9.109375" style="655"/>
    <col min="11758" max="11758" width="1.88671875" style="655" customWidth="1"/>
    <col min="11759" max="11759" width="9.88671875" style="655" customWidth="1"/>
    <col min="11760" max="11760" width="1.5546875" style="655" customWidth="1"/>
    <col min="11761" max="11761" width="11.44140625" style="655" customWidth="1"/>
    <col min="11762" max="11762" width="2.21875" style="655" customWidth="1"/>
    <col min="11763" max="11763" width="12" style="655" customWidth="1"/>
    <col min="11764" max="11764" width="2" style="655" customWidth="1"/>
    <col min="11765" max="11765" width="9.109375" style="655"/>
    <col min="11766" max="11766" width="11.109375" style="655" customWidth="1"/>
    <col min="11767" max="11767" width="12" style="655" customWidth="1"/>
    <col min="11768" max="11768" width="9.109375" style="655"/>
    <col min="11769" max="11769" width="11.88671875" style="655" customWidth="1"/>
    <col min="11770" max="11770" width="14.21875" style="655" customWidth="1"/>
    <col min="11771" max="11774" width="9.109375" style="655"/>
    <col min="11775" max="11775" width="3.44140625" style="655" customWidth="1"/>
    <col min="11776" max="11777" width="9.109375" style="655"/>
    <col min="11778" max="11778" width="11.44140625" style="655" customWidth="1"/>
    <col min="11779" max="11779" width="2.77734375" style="655" customWidth="1"/>
    <col min="11780" max="11962" width="9.109375" style="655"/>
    <col min="11963" max="11963" width="9.5546875" style="655" customWidth="1"/>
    <col min="11964" max="11964" width="11" style="655" customWidth="1"/>
    <col min="11965" max="11966" width="11.21875" style="655" customWidth="1"/>
    <col min="11967" max="11967" width="11.5546875" style="655" customWidth="1"/>
    <col min="11968" max="11968" width="11.109375" style="655" customWidth="1"/>
    <col min="11969" max="11969" width="2" style="655" customWidth="1"/>
    <col min="11970" max="11970" width="13.5546875" style="655" customWidth="1"/>
    <col min="11971" max="11971" width="12.44140625" style="655" customWidth="1"/>
    <col min="11972" max="11972" width="13.5546875" style="655" customWidth="1"/>
    <col min="11973" max="11973" width="2.109375" style="655" customWidth="1"/>
    <col min="11974" max="11974" width="9.109375" style="655"/>
    <col min="11975" max="11975" width="10.21875" style="655" customWidth="1"/>
    <col min="11976" max="11976" width="1.88671875" style="655" customWidth="1"/>
    <col min="11977" max="11977" width="10.77734375" style="655" customWidth="1"/>
    <col min="11978" max="11978" width="9.109375" style="655"/>
    <col min="11979" max="11979" width="2.109375" style="655" customWidth="1"/>
    <col min="11980" max="11980" width="9.109375" style="655"/>
    <col min="11981" max="11981" width="11.21875" style="655" customWidth="1"/>
    <col min="11982" max="11982" width="12.77734375" style="655" customWidth="1"/>
    <col min="11983" max="11983" width="12.5546875" style="655" customWidth="1"/>
    <col min="11984" max="11984" width="2" style="655" customWidth="1"/>
    <col min="11985" max="11986" width="9.109375" style="655"/>
    <col min="11987" max="11987" width="11" style="655" customWidth="1"/>
    <col min="11988" max="11988" width="9.109375" style="655"/>
    <col min="11989" max="11989" width="2.21875" style="655" customWidth="1"/>
    <col min="11990" max="11990" width="11" style="655" customWidth="1"/>
    <col min="11991" max="11991" width="9.109375" style="655"/>
    <col min="11992" max="11992" width="11.5546875" style="655" customWidth="1"/>
    <col min="11993" max="11993" width="11.21875" style="655" customWidth="1"/>
    <col min="11994" max="11994" width="2.88671875" style="655" customWidth="1"/>
    <col min="11995" max="11996" width="9.109375" style="655"/>
    <col min="11997" max="11997" width="11.21875" style="655" customWidth="1"/>
    <col min="11998" max="11998" width="2.21875" style="655" customWidth="1"/>
    <col min="11999" max="11999" width="9.109375" style="655"/>
    <col min="12000" max="12000" width="10.44140625" style="655" customWidth="1"/>
    <col min="12001" max="12001" width="9.109375" style="655"/>
    <col min="12002" max="12002" width="11.109375" style="655" customWidth="1"/>
    <col min="12003" max="12004" width="9.109375" style="655"/>
    <col min="12005" max="12005" width="10.88671875" style="655" customWidth="1"/>
    <col min="12006" max="12007" width="9.109375" style="655"/>
    <col min="12008" max="12008" width="1.5546875" style="655" customWidth="1"/>
    <col min="12009" max="12009" width="9.77734375" style="655" customWidth="1"/>
    <col min="12010" max="12013" width="9.109375" style="655"/>
    <col min="12014" max="12014" width="1.88671875" style="655" customWidth="1"/>
    <col min="12015" max="12015" width="9.88671875" style="655" customWidth="1"/>
    <col min="12016" max="12016" width="1.5546875" style="655" customWidth="1"/>
    <col min="12017" max="12017" width="11.44140625" style="655" customWidth="1"/>
    <col min="12018" max="12018" width="2.21875" style="655" customWidth="1"/>
    <col min="12019" max="12019" width="12" style="655" customWidth="1"/>
    <col min="12020" max="12020" width="2" style="655" customWidth="1"/>
    <col min="12021" max="12021" width="9.109375" style="655"/>
    <col min="12022" max="12022" width="11.109375" style="655" customWidth="1"/>
    <col min="12023" max="12023" width="12" style="655" customWidth="1"/>
    <col min="12024" max="12024" width="9.109375" style="655"/>
    <col min="12025" max="12025" width="11.88671875" style="655" customWidth="1"/>
    <col min="12026" max="12026" width="14.21875" style="655" customWidth="1"/>
    <col min="12027" max="12030" width="9.109375" style="655"/>
    <col min="12031" max="12031" width="3.44140625" style="655" customWidth="1"/>
    <col min="12032" max="12033" width="9.109375" style="655"/>
    <col min="12034" max="12034" width="11.44140625" style="655" customWidth="1"/>
    <col min="12035" max="12035" width="2.77734375" style="655" customWidth="1"/>
    <col min="12036" max="12218" width="9.109375" style="655"/>
    <col min="12219" max="12219" width="9.5546875" style="655" customWidth="1"/>
    <col min="12220" max="12220" width="11" style="655" customWidth="1"/>
    <col min="12221" max="12222" width="11.21875" style="655" customWidth="1"/>
    <col min="12223" max="12223" width="11.5546875" style="655" customWidth="1"/>
    <col min="12224" max="12224" width="11.109375" style="655" customWidth="1"/>
    <col min="12225" max="12225" width="2" style="655" customWidth="1"/>
    <col min="12226" max="12226" width="13.5546875" style="655" customWidth="1"/>
    <col min="12227" max="12227" width="12.44140625" style="655" customWidth="1"/>
    <col min="12228" max="12228" width="13.5546875" style="655" customWidth="1"/>
    <col min="12229" max="12229" width="2.109375" style="655" customWidth="1"/>
    <col min="12230" max="12230" width="9.109375" style="655"/>
    <col min="12231" max="12231" width="10.21875" style="655" customWidth="1"/>
    <col min="12232" max="12232" width="1.88671875" style="655" customWidth="1"/>
    <col min="12233" max="12233" width="10.77734375" style="655" customWidth="1"/>
    <col min="12234" max="12234" width="9.109375" style="655"/>
    <col min="12235" max="12235" width="2.109375" style="655" customWidth="1"/>
    <col min="12236" max="12236" width="9.109375" style="655"/>
    <col min="12237" max="12237" width="11.21875" style="655" customWidth="1"/>
    <col min="12238" max="12238" width="12.77734375" style="655" customWidth="1"/>
    <col min="12239" max="12239" width="12.5546875" style="655" customWidth="1"/>
    <col min="12240" max="12240" width="2" style="655" customWidth="1"/>
    <col min="12241" max="12242" width="9.109375" style="655"/>
    <col min="12243" max="12243" width="11" style="655" customWidth="1"/>
    <col min="12244" max="12244" width="9.109375" style="655"/>
    <col min="12245" max="12245" width="2.21875" style="655" customWidth="1"/>
    <col min="12246" max="12246" width="11" style="655" customWidth="1"/>
    <col min="12247" max="12247" width="9.109375" style="655"/>
    <col min="12248" max="12248" width="11.5546875" style="655" customWidth="1"/>
    <col min="12249" max="12249" width="11.21875" style="655" customWidth="1"/>
    <col min="12250" max="12250" width="2.88671875" style="655" customWidth="1"/>
    <col min="12251" max="12252" width="9.109375" style="655"/>
    <col min="12253" max="12253" width="11.21875" style="655" customWidth="1"/>
    <col min="12254" max="12254" width="2.21875" style="655" customWidth="1"/>
    <col min="12255" max="12255" width="9.109375" style="655"/>
    <col min="12256" max="12256" width="10.44140625" style="655" customWidth="1"/>
    <col min="12257" max="12257" width="9.109375" style="655"/>
    <col min="12258" max="12258" width="11.109375" style="655" customWidth="1"/>
    <col min="12259" max="12260" width="9.109375" style="655"/>
    <col min="12261" max="12261" width="10.88671875" style="655" customWidth="1"/>
    <col min="12262" max="12263" width="9.109375" style="655"/>
    <col min="12264" max="12264" width="1.5546875" style="655" customWidth="1"/>
    <col min="12265" max="12265" width="9.77734375" style="655" customWidth="1"/>
    <col min="12266" max="12269" width="9.109375" style="655"/>
    <col min="12270" max="12270" width="1.88671875" style="655" customWidth="1"/>
    <col min="12271" max="12271" width="9.88671875" style="655" customWidth="1"/>
    <col min="12272" max="12272" width="1.5546875" style="655" customWidth="1"/>
    <col min="12273" max="12273" width="11.44140625" style="655" customWidth="1"/>
    <col min="12274" max="12274" width="2.21875" style="655" customWidth="1"/>
    <col min="12275" max="12275" width="12" style="655" customWidth="1"/>
    <col min="12276" max="12276" width="2" style="655" customWidth="1"/>
    <col min="12277" max="12277" width="9.109375" style="655"/>
    <col min="12278" max="12278" width="11.109375" style="655" customWidth="1"/>
    <col min="12279" max="12279" width="12" style="655" customWidth="1"/>
    <col min="12280" max="12280" width="9.109375" style="655"/>
    <col min="12281" max="12281" width="11.88671875" style="655" customWidth="1"/>
    <col min="12282" max="12282" width="14.21875" style="655" customWidth="1"/>
    <col min="12283" max="12286" width="9.109375" style="655"/>
    <col min="12287" max="12287" width="3.44140625" style="655" customWidth="1"/>
    <col min="12288" max="12289" width="9.109375" style="655"/>
    <col min="12290" max="12290" width="11.44140625" style="655" customWidth="1"/>
    <col min="12291" max="12291" width="2.77734375" style="655" customWidth="1"/>
    <col min="12292" max="12474" width="9.109375" style="655"/>
    <col min="12475" max="12475" width="9.5546875" style="655" customWidth="1"/>
    <col min="12476" max="12476" width="11" style="655" customWidth="1"/>
    <col min="12477" max="12478" width="11.21875" style="655" customWidth="1"/>
    <col min="12479" max="12479" width="11.5546875" style="655" customWidth="1"/>
    <col min="12480" max="12480" width="11.109375" style="655" customWidth="1"/>
    <col min="12481" max="12481" width="2" style="655" customWidth="1"/>
    <col min="12482" max="12482" width="13.5546875" style="655" customWidth="1"/>
    <col min="12483" max="12483" width="12.44140625" style="655" customWidth="1"/>
    <col min="12484" max="12484" width="13.5546875" style="655" customWidth="1"/>
    <col min="12485" max="12485" width="2.109375" style="655" customWidth="1"/>
    <col min="12486" max="12486" width="9.109375" style="655"/>
    <col min="12487" max="12487" width="10.21875" style="655" customWidth="1"/>
    <col min="12488" max="12488" width="1.88671875" style="655" customWidth="1"/>
    <col min="12489" max="12489" width="10.77734375" style="655" customWidth="1"/>
    <col min="12490" max="12490" width="9.109375" style="655"/>
    <col min="12491" max="12491" width="2.109375" style="655" customWidth="1"/>
    <col min="12492" max="12492" width="9.109375" style="655"/>
    <col min="12493" max="12493" width="11.21875" style="655" customWidth="1"/>
    <col min="12494" max="12494" width="12.77734375" style="655" customWidth="1"/>
    <col min="12495" max="12495" width="12.5546875" style="655" customWidth="1"/>
    <col min="12496" max="12496" width="2" style="655" customWidth="1"/>
    <col min="12497" max="12498" width="9.109375" style="655"/>
    <col min="12499" max="12499" width="11" style="655" customWidth="1"/>
    <col min="12500" max="12500" width="9.109375" style="655"/>
    <col min="12501" max="12501" width="2.21875" style="655" customWidth="1"/>
    <col min="12502" max="12502" width="11" style="655" customWidth="1"/>
    <col min="12503" max="12503" width="9.109375" style="655"/>
    <col min="12504" max="12504" width="11.5546875" style="655" customWidth="1"/>
    <col min="12505" max="12505" width="11.21875" style="655" customWidth="1"/>
    <col min="12506" max="12506" width="2.88671875" style="655" customWidth="1"/>
    <col min="12507" max="12508" width="9.109375" style="655"/>
    <col min="12509" max="12509" width="11.21875" style="655" customWidth="1"/>
    <col min="12510" max="12510" width="2.21875" style="655" customWidth="1"/>
    <col min="12511" max="12511" width="9.109375" style="655"/>
    <col min="12512" max="12512" width="10.44140625" style="655" customWidth="1"/>
    <col min="12513" max="12513" width="9.109375" style="655"/>
    <col min="12514" max="12514" width="11.109375" style="655" customWidth="1"/>
    <col min="12515" max="12516" width="9.109375" style="655"/>
    <col min="12517" max="12517" width="10.88671875" style="655" customWidth="1"/>
    <col min="12518" max="12519" width="9.109375" style="655"/>
    <col min="12520" max="12520" width="1.5546875" style="655" customWidth="1"/>
    <col min="12521" max="12521" width="9.77734375" style="655" customWidth="1"/>
    <col min="12522" max="12525" width="9.109375" style="655"/>
    <col min="12526" max="12526" width="1.88671875" style="655" customWidth="1"/>
    <col min="12527" max="12527" width="9.88671875" style="655" customWidth="1"/>
    <col min="12528" max="12528" width="1.5546875" style="655" customWidth="1"/>
    <col min="12529" max="12529" width="11.44140625" style="655" customWidth="1"/>
    <col min="12530" max="12530" width="2.21875" style="655" customWidth="1"/>
    <col min="12531" max="12531" width="12" style="655" customWidth="1"/>
    <col min="12532" max="12532" width="2" style="655" customWidth="1"/>
    <col min="12533" max="12533" width="9.109375" style="655"/>
    <col min="12534" max="12534" width="11.109375" style="655" customWidth="1"/>
    <col min="12535" max="12535" width="12" style="655" customWidth="1"/>
    <col min="12536" max="12536" width="9.109375" style="655"/>
    <col min="12537" max="12537" width="11.88671875" style="655" customWidth="1"/>
    <col min="12538" max="12538" width="14.21875" style="655" customWidth="1"/>
    <col min="12539" max="12542" width="9.109375" style="655"/>
    <col min="12543" max="12543" width="3.44140625" style="655" customWidth="1"/>
    <col min="12544" max="12545" width="9.109375" style="655"/>
    <col min="12546" max="12546" width="11.44140625" style="655" customWidth="1"/>
    <col min="12547" max="12547" width="2.77734375" style="655" customWidth="1"/>
    <col min="12548" max="12730" width="9.109375" style="655"/>
    <col min="12731" max="12731" width="9.5546875" style="655" customWidth="1"/>
    <col min="12732" max="12732" width="11" style="655" customWidth="1"/>
    <col min="12733" max="12734" width="11.21875" style="655" customWidth="1"/>
    <col min="12735" max="12735" width="11.5546875" style="655" customWidth="1"/>
    <col min="12736" max="12736" width="11.109375" style="655" customWidth="1"/>
    <col min="12737" max="12737" width="2" style="655" customWidth="1"/>
    <col min="12738" max="12738" width="13.5546875" style="655" customWidth="1"/>
    <col min="12739" max="12739" width="12.44140625" style="655" customWidth="1"/>
    <col min="12740" max="12740" width="13.5546875" style="655" customWidth="1"/>
    <col min="12741" max="12741" width="2.109375" style="655" customWidth="1"/>
    <col min="12742" max="12742" width="9.109375" style="655"/>
    <col min="12743" max="12743" width="10.21875" style="655" customWidth="1"/>
    <col min="12744" max="12744" width="1.88671875" style="655" customWidth="1"/>
    <col min="12745" max="12745" width="10.77734375" style="655" customWidth="1"/>
    <col min="12746" max="12746" width="9.109375" style="655"/>
    <col min="12747" max="12747" width="2.109375" style="655" customWidth="1"/>
    <col min="12748" max="12748" width="9.109375" style="655"/>
    <col min="12749" max="12749" width="11.21875" style="655" customWidth="1"/>
    <col min="12750" max="12750" width="12.77734375" style="655" customWidth="1"/>
    <col min="12751" max="12751" width="12.5546875" style="655" customWidth="1"/>
    <col min="12752" max="12752" width="2" style="655" customWidth="1"/>
    <col min="12753" max="12754" width="9.109375" style="655"/>
    <col min="12755" max="12755" width="11" style="655" customWidth="1"/>
    <col min="12756" max="12756" width="9.109375" style="655"/>
    <col min="12757" max="12757" width="2.21875" style="655" customWidth="1"/>
    <col min="12758" max="12758" width="11" style="655" customWidth="1"/>
    <col min="12759" max="12759" width="9.109375" style="655"/>
    <col min="12760" max="12760" width="11.5546875" style="655" customWidth="1"/>
    <col min="12761" max="12761" width="11.21875" style="655" customWidth="1"/>
    <col min="12762" max="12762" width="2.88671875" style="655" customWidth="1"/>
    <col min="12763" max="12764" width="9.109375" style="655"/>
    <col min="12765" max="12765" width="11.21875" style="655" customWidth="1"/>
    <col min="12766" max="12766" width="2.21875" style="655" customWidth="1"/>
    <col min="12767" max="12767" width="9.109375" style="655"/>
    <col min="12768" max="12768" width="10.44140625" style="655" customWidth="1"/>
    <col min="12769" max="12769" width="9.109375" style="655"/>
    <col min="12770" max="12770" width="11.109375" style="655" customWidth="1"/>
    <col min="12771" max="12772" width="9.109375" style="655"/>
    <col min="12773" max="12773" width="10.88671875" style="655" customWidth="1"/>
    <col min="12774" max="12775" width="9.109375" style="655"/>
    <col min="12776" max="12776" width="1.5546875" style="655" customWidth="1"/>
    <col min="12777" max="12777" width="9.77734375" style="655" customWidth="1"/>
    <col min="12778" max="12781" width="9.109375" style="655"/>
    <col min="12782" max="12782" width="1.88671875" style="655" customWidth="1"/>
    <col min="12783" max="12783" width="9.88671875" style="655" customWidth="1"/>
    <col min="12784" max="12784" width="1.5546875" style="655" customWidth="1"/>
    <col min="12785" max="12785" width="11.44140625" style="655" customWidth="1"/>
    <col min="12786" max="12786" width="2.21875" style="655" customWidth="1"/>
    <col min="12787" max="12787" width="12" style="655" customWidth="1"/>
    <col min="12788" max="12788" width="2" style="655" customWidth="1"/>
    <col min="12789" max="12789" width="9.109375" style="655"/>
    <col min="12790" max="12790" width="11.109375" style="655" customWidth="1"/>
    <col min="12791" max="12791" width="12" style="655" customWidth="1"/>
    <col min="12792" max="12792" width="9.109375" style="655"/>
    <col min="12793" max="12793" width="11.88671875" style="655" customWidth="1"/>
    <col min="12794" max="12794" width="14.21875" style="655" customWidth="1"/>
    <col min="12795" max="12798" width="9.109375" style="655"/>
    <col min="12799" max="12799" width="3.44140625" style="655" customWidth="1"/>
    <col min="12800" max="12801" width="9.109375" style="655"/>
    <col min="12802" max="12802" width="11.44140625" style="655" customWidth="1"/>
    <col min="12803" max="12803" width="2.77734375" style="655" customWidth="1"/>
    <col min="12804" max="12986" width="9.109375" style="655"/>
    <col min="12987" max="12987" width="9.5546875" style="655" customWidth="1"/>
    <col min="12988" max="12988" width="11" style="655" customWidth="1"/>
    <col min="12989" max="12990" width="11.21875" style="655" customWidth="1"/>
    <col min="12991" max="12991" width="11.5546875" style="655" customWidth="1"/>
    <col min="12992" max="12992" width="11.109375" style="655" customWidth="1"/>
    <col min="12993" max="12993" width="2" style="655" customWidth="1"/>
    <col min="12994" max="12994" width="13.5546875" style="655" customWidth="1"/>
    <col min="12995" max="12995" width="12.44140625" style="655" customWidth="1"/>
    <col min="12996" max="12996" width="13.5546875" style="655" customWidth="1"/>
    <col min="12997" max="12997" width="2.109375" style="655" customWidth="1"/>
    <col min="12998" max="12998" width="9.109375" style="655"/>
    <col min="12999" max="12999" width="10.21875" style="655" customWidth="1"/>
    <col min="13000" max="13000" width="1.88671875" style="655" customWidth="1"/>
    <col min="13001" max="13001" width="10.77734375" style="655" customWidth="1"/>
    <col min="13002" max="13002" width="9.109375" style="655"/>
    <col min="13003" max="13003" width="2.109375" style="655" customWidth="1"/>
    <col min="13004" max="13004" width="9.109375" style="655"/>
    <col min="13005" max="13005" width="11.21875" style="655" customWidth="1"/>
    <col min="13006" max="13006" width="12.77734375" style="655" customWidth="1"/>
    <col min="13007" max="13007" width="12.5546875" style="655" customWidth="1"/>
    <col min="13008" max="13008" width="2" style="655" customWidth="1"/>
    <col min="13009" max="13010" width="9.109375" style="655"/>
    <col min="13011" max="13011" width="11" style="655" customWidth="1"/>
    <col min="13012" max="13012" width="9.109375" style="655"/>
    <col min="13013" max="13013" width="2.21875" style="655" customWidth="1"/>
    <col min="13014" max="13014" width="11" style="655" customWidth="1"/>
    <col min="13015" max="13015" width="9.109375" style="655"/>
    <col min="13016" max="13016" width="11.5546875" style="655" customWidth="1"/>
    <col min="13017" max="13017" width="11.21875" style="655" customWidth="1"/>
    <col min="13018" max="13018" width="2.88671875" style="655" customWidth="1"/>
    <col min="13019" max="13020" width="9.109375" style="655"/>
    <col min="13021" max="13021" width="11.21875" style="655" customWidth="1"/>
    <col min="13022" max="13022" width="2.21875" style="655" customWidth="1"/>
    <col min="13023" max="13023" width="9.109375" style="655"/>
    <col min="13024" max="13024" width="10.44140625" style="655" customWidth="1"/>
    <col min="13025" max="13025" width="9.109375" style="655"/>
    <col min="13026" max="13026" width="11.109375" style="655" customWidth="1"/>
    <col min="13027" max="13028" width="9.109375" style="655"/>
    <col min="13029" max="13029" width="10.88671875" style="655" customWidth="1"/>
    <col min="13030" max="13031" width="9.109375" style="655"/>
    <col min="13032" max="13032" width="1.5546875" style="655" customWidth="1"/>
    <col min="13033" max="13033" width="9.77734375" style="655" customWidth="1"/>
    <col min="13034" max="13037" width="9.109375" style="655"/>
    <col min="13038" max="13038" width="1.88671875" style="655" customWidth="1"/>
    <col min="13039" max="13039" width="9.88671875" style="655" customWidth="1"/>
    <col min="13040" max="13040" width="1.5546875" style="655" customWidth="1"/>
    <col min="13041" max="13041" width="11.44140625" style="655" customWidth="1"/>
    <col min="13042" max="13042" width="2.21875" style="655" customWidth="1"/>
    <col min="13043" max="13043" width="12" style="655" customWidth="1"/>
    <col min="13044" max="13044" width="2" style="655" customWidth="1"/>
    <col min="13045" max="13045" width="9.109375" style="655"/>
    <col min="13046" max="13046" width="11.109375" style="655" customWidth="1"/>
    <col min="13047" max="13047" width="12" style="655" customWidth="1"/>
    <col min="13048" max="13048" width="9.109375" style="655"/>
    <col min="13049" max="13049" width="11.88671875" style="655" customWidth="1"/>
    <col min="13050" max="13050" width="14.21875" style="655" customWidth="1"/>
    <col min="13051" max="13054" width="9.109375" style="655"/>
    <col min="13055" max="13055" width="3.44140625" style="655" customWidth="1"/>
    <col min="13056" max="13057" width="9.109375" style="655"/>
    <col min="13058" max="13058" width="11.44140625" style="655" customWidth="1"/>
    <col min="13059" max="13059" width="2.77734375" style="655" customWidth="1"/>
    <col min="13060" max="13242" width="9.109375" style="655"/>
    <col min="13243" max="13243" width="9.5546875" style="655" customWidth="1"/>
    <col min="13244" max="13244" width="11" style="655" customWidth="1"/>
    <col min="13245" max="13246" width="11.21875" style="655" customWidth="1"/>
    <col min="13247" max="13247" width="11.5546875" style="655" customWidth="1"/>
    <col min="13248" max="13248" width="11.109375" style="655" customWidth="1"/>
    <col min="13249" max="13249" width="2" style="655" customWidth="1"/>
    <col min="13250" max="13250" width="13.5546875" style="655" customWidth="1"/>
    <col min="13251" max="13251" width="12.44140625" style="655" customWidth="1"/>
    <col min="13252" max="13252" width="13.5546875" style="655" customWidth="1"/>
    <col min="13253" max="13253" width="2.109375" style="655" customWidth="1"/>
    <col min="13254" max="13254" width="9.109375" style="655"/>
    <col min="13255" max="13255" width="10.21875" style="655" customWidth="1"/>
    <col min="13256" max="13256" width="1.88671875" style="655" customWidth="1"/>
    <col min="13257" max="13257" width="10.77734375" style="655" customWidth="1"/>
    <col min="13258" max="13258" width="9.109375" style="655"/>
    <col min="13259" max="13259" width="2.109375" style="655" customWidth="1"/>
    <col min="13260" max="13260" width="9.109375" style="655"/>
    <col min="13261" max="13261" width="11.21875" style="655" customWidth="1"/>
    <col min="13262" max="13262" width="12.77734375" style="655" customWidth="1"/>
    <col min="13263" max="13263" width="12.5546875" style="655" customWidth="1"/>
    <col min="13264" max="13264" width="2" style="655" customWidth="1"/>
    <col min="13265" max="13266" width="9.109375" style="655"/>
    <col min="13267" max="13267" width="11" style="655" customWidth="1"/>
    <col min="13268" max="13268" width="9.109375" style="655"/>
    <col min="13269" max="13269" width="2.21875" style="655" customWidth="1"/>
    <col min="13270" max="13270" width="11" style="655" customWidth="1"/>
    <col min="13271" max="13271" width="9.109375" style="655"/>
    <col min="13272" max="13272" width="11.5546875" style="655" customWidth="1"/>
    <col min="13273" max="13273" width="11.21875" style="655" customWidth="1"/>
    <col min="13274" max="13274" width="2.88671875" style="655" customWidth="1"/>
    <col min="13275" max="13276" width="9.109375" style="655"/>
    <col min="13277" max="13277" width="11.21875" style="655" customWidth="1"/>
    <col min="13278" max="13278" width="2.21875" style="655" customWidth="1"/>
    <col min="13279" max="13279" width="9.109375" style="655"/>
    <col min="13280" max="13280" width="10.44140625" style="655" customWidth="1"/>
    <col min="13281" max="13281" width="9.109375" style="655"/>
    <col min="13282" max="13282" width="11.109375" style="655" customWidth="1"/>
    <col min="13283" max="13284" width="9.109375" style="655"/>
    <col min="13285" max="13285" width="10.88671875" style="655" customWidth="1"/>
    <col min="13286" max="13287" width="9.109375" style="655"/>
    <col min="13288" max="13288" width="1.5546875" style="655" customWidth="1"/>
    <col min="13289" max="13289" width="9.77734375" style="655" customWidth="1"/>
    <col min="13290" max="13293" width="9.109375" style="655"/>
    <col min="13294" max="13294" width="1.88671875" style="655" customWidth="1"/>
    <col min="13295" max="13295" width="9.88671875" style="655" customWidth="1"/>
    <col min="13296" max="13296" width="1.5546875" style="655" customWidth="1"/>
    <col min="13297" max="13297" width="11.44140625" style="655" customWidth="1"/>
    <col min="13298" max="13298" width="2.21875" style="655" customWidth="1"/>
    <col min="13299" max="13299" width="12" style="655" customWidth="1"/>
    <col min="13300" max="13300" width="2" style="655" customWidth="1"/>
    <col min="13301" max="13301" width="9.109375" style="655"/>
    <col min="13302" max="13302" width="11.109375" style="655" customWidth="1"/>
    <col min="13303" max="13303" width="12" style="655" customWidth="1"/>
    <col min="13304" max="13304" width="9.109375" style="655"/>
    <col min="13305" max="13305" width="11.88671875" style="655" customWidth="1"/>
    <col min="13306" max="13306" width="14.21875" style="655" customWidth="1"/>
    <col min="13307" max="13310" width="9.109375" style="655"/>
    <col min="13311" max="13311" width="3.44140625" style="655" customWidth="1"/>
    <col min="13312" max="13313" width="9.109375" style="655"/>
    <col min="13314" max="13314" width="11.44140625" style="655" customWidth="1"/>
    <col min="13315" max="13315" width="2.77734375" style="655" customWidth="1"/>
    <col min="13316" max="13498" width="9.109375" style="655"/>
    <col min="13499" max="13499" width="9.5546875" style="655" customWidth="1"/>
    <col min="13500" max="13500" width="11" style="655" customWidth="1"/>
    <col min="13501" max="13502" width="11.21875" style="655" customWidth="1"/>
    <col min="13503" max="13503" width="11.5546875" style="655" customWidth="1"/>
    <col min="13504" max="13504" width="11.109375" style="655" customWidth="1"/>
    <col min="13505" max="13505" width="2" style="655" customWidth="1"/>
    <col min="13506" max="13506" width="13.5546875" style="655" customWidth="1"/>
    <col min="13507" max="13507" width="12.44140625" style="655" customWidth="1"/>
    <col min="13508" max="13508" width="13.5546875" style="655" customWidth="1"/>
    <col min="13509" max="13509" width="2.109375" style="655" customWidth="1"/>
    <col min="13510" max="13510" width="9.109375" style="655"/>
    <col min="13511" max="13511" width="10.21875" style="655" customWidth="1"/>
    <col min="13512" max="13512" width="1.88671875" style="655" customWidth="1"/>
    <col min="13513" max="13513" width="10.77734375" style="655" customWidth="1"/>
    <col min="13514" max="13514" width="9.109375" style="655"/>
    <col min="13515" max="13515" width="2.109375" style="655" customWidth="1"/>
    <col min="13516" max="13516" width="9.109375" style="655"/>
    <col min="13517" max="13517" width="11.21875" style="655" customWidth="1"/>
    <col min="13518" max="13518" width="12.77734375" style="655" customWidth="1"/>
    <col min="13519" max="13519" width="12.5546875" style="655" customWidth="1"/>
    <col min="13520" max="13520" width="2" style="655" customWidth="1"/>
    <col min="13521" max="13522" width="9.109375" style="655"/>
    <col min="13523" max="13523" width="11" style="655" customWidth="1"/>
    <col min="13524" max="13524" width="9.109375" style="655"/>
    <col min="13525" max="13525" width="2.21875" style="655" customWidth="1"/>
    <col min="13526" max="13526" width="11" style="655" customWidth="1"/>
    <col min="13527" max="13527" width="9.109375" style="655"/>
    <col min="13528" max="13528" width="11.5546875" style="655" customWidth="1"/>
    <col min="13529" max="13529" width="11.21875" style="655" customWidth="1"/>
    <col min="13530" max="13530" width="2.88671875" style="655" customWidth="1"/>
    <col min="13531" max="13532" width="9.109375" style="655"/>
    <col min="13533" max="13533" width="11.21875" style="655" customWidth="1"/>
    <col min="13534" max="13534" width="2.21875" style="655" customWidth="1"/>
    <col min="13535" max="13535" width="9.109375" style="655"/>
    <col min="13536" max="13536" width="10.44140625" style="655" customWidth="1"/>
    <col min="13537" max="13537" width="9.109375" style="655"/>
    <col min="13538" max="13538" width="11.109375" style="655" customWidth="1"/>
    <col min="13539" max="13540" width="9.109375" style="655"/>
    <col min="13541" max="13541" width="10.88671875" style="655" customWidth="1"/>
    <col min="13542" max="13543" width="9.109375" style="655"/>
    <col min="13544" max="13544" width="1.5546875" style="655" customWidth="1"/>
    <col min="13545" max="13545" width="9.77734375" style="655" customWidth="1"/>
    <col min="13546" max="13549" width="9.109375" style="655"/>
    <col min="13550" max="13550" width="1.88671875" style="655" customWidth="1"/>
    <col min="13551" max="13551" width="9.88671875" style="655" customWidth="1"/>
    <col min="13552" max="13552" width="1.5546875" style="655" customWidth="1"/>
    <col min="13553" max="13553" width="11.44140625" style="655" customWidth="1"/>
    <col min="13554" max="13554" width="2.21875" style="655" customWidth="1"/>
    <col min="13555" max="13555" width="12" style="655" customWidth="1"/>
    <col min="13556" max="13556" width="2" style="655" customWidth="1"/>
    <col min="13557" max="13557" width="9.109375" style="655"/>
    <col min="13558" max="13558" width="11.109375" style="655" customWidth="1"/>
    <col min="13559" max="13559" width="12" style="655" customWidth="1"/>
    <col min="13560" max="13560" width="9.109375" style="655"/>
    <col min="13561" max="13561" width="11.88671875" style="655" customWidth="1"/>
    <col min="13562" max="13562" width="14.21875" style="655" customWidth="1"/>
    <col min="13563" max="13566" width="9.109375" style="655"/>
    <col min="13567" max="13567" width="3.44140625" style="655" customWidth="1"/>
    <col min="13568" max="13569" width="9.109375" style="655"/>
    <col min="13570" max="13570" width="11.44140625" style="655" customWidth="1"/>
    <col min="13571" max="13571" width="2.77734375" style="655" customWidth="1"/>
    <col min="13572" max="13754" width="9.109375" style="655"/>
    <col min="13755" max="13755" width="9.5546875" style="655" customWidth="1"/>
    <col min="13756" max="13756" width="11" style="655" customWidth="1"/>
    <col min="13757" max="13758" width="11.21875" style="655" customWidth="1"/>
    <col min="13759" max="13759" width="11.5546875" style="655" customWidth="1"/>
    <col min="13760" max="13760" width="11.109375" style="655" customWidth="1"/>
    <col min="13761" max="13761" width="2" style="655" customWidth="1"/>
    <col min="13762" max="13762" width="13.5546875" style="655" customWidth="1"/>
    <col min="13763" max="13763" width="12.44140625" style="655" customWidth="1"/>
    <col min="13764" max="13764" width="13.5546875" style="655" customWidth="1"/>
    <col min="13765" max="13765" width="2.109375" style="655" customWidth="1"/>
    <col min="13766" max="13766" width="9.109375" style="655"/>
    <col min="13767" max="13767" width="10.21875" style="655" customWidth="1"/>
    <col min="13768" max="13768" width="1.88671875" style="655" customWidth="1"/>
    <col min="13769" max="13769" width="10.77734375" style="655" customWidth="1"/>
    <col min="13770" max="13770" width="9.109375" style="655"/>
    <col min="13771" max="13771" width="2.109375" style="655" customWidth="1"/>
    <col min="13772" max="13772" width="9.109375" style="655"/>
    <col min="13773" max="13773" width="11.21875" style="655" customWidth="1"/>
    <col min="13774" max="13774" width="12.77734375" style="655" customWidth="1"/>
    <col min="13775" max="13775" width="12.5546875" style="655" customWidth="1"/>
    <col min="13776" max="13776" width="2" style="655" customWidth="1"/>
    <col min="13777" max="13778" width="9.109375" style="655"/>
    <col min="13779" max="13779" width="11" style="655" customWidth="1"/>
    <col min="13780" max="13780" width="9.109375" style="655"/>
    <col min="13781" max="13781" width="2.21875" style="655" customWidth="1"/>
    <col min="13782" max="13782" width="11" style="655" customWidth="1"/>
    <col min="13783" max="13783" width="9.109375" style="655"/>
    <col min="13784" max="13784" width="11.5546875" style="655" customWidth="1"/>
    <col min="13785" max="13785" width="11.21875" style="655" customWidth="1"/>
    <col min="13786" max="13786" width="2.88671875" style="655" customWidth="1"/>
    <col min="13787" max="13788" width="9.109375" style="655"/>
    <col min="13789" max="13789" width="11.21875" style="655" customWidth="1"/>
    <col min="13790" max="13790" width="2.21875" style="655" customWidth="1"/>
    <col min="13791" max="13791" width="9.109375" style="655"/>
    <col min="13792" max="13792" width="10.44140625" style="655" customWidth="1"/>
    <col min="13793" max="13793" width="9.109375" style="655"/>
    <col min="13794" max="13794" width="11.109375" style="655" customWidth="1"/>
    <col min="13795" max="13796" width="9.109375" style="655"/>
    <col min="13797" max="13797" width="10.88671875" style="655" customWidth="1"/>
    <col min="13798" max="13799" width="9.109375" style="655"/>
    <col min="13800" max="13800" width="1.5546875" style="655" customWidth="1"/>
    <col min="13801" max="13801" width="9.77734375" style="655" customWidth="1"/>
    <col min="13802" max="13805" width="9.109375" style="655"/>
    <col min="13806" max="13806" width="1.88671875" style="655" customWidth="1"/>
    <col min="13807" max="13807" width="9.88671875" style="655" customWidth="1"/>
    <col min="13808" max="13808" width="1.5546875" style="655" customWidth="1"/>
    <col min="13809" max="13809" width="11.44140625" style="655" customWidth="1"/>
    <col min="13810" max="13810" width="2.21875" style="655" customWidth="1"/>
    <col min="13811" max="13811" width="12" style="655" customWidth="1"/>
    <col min="13812" max="13812" width="2" style="655" customWidth="1"/>
    <col min="13813" max="13813" width="9.109375" style="655"/>
    <col min="13814" max="13814" width="11.109375" style="655" customWidth="1"/>
    <col min="13815" max="13815" width="12" style="655" customWidth="1"/>
    <col min="13816" max="13816" width="9.109375" style="655"/>
    <col min="13817" max="13817" width="11.88671875" style="655" customWidth="1"/>
    <col min="13818" max="13818" width="14.21875" style="655" customWidth="1"/>
    <col min="13819" max="13822" width="9.109375" style="655"/>
    <col min="13823" max="13823" width="3.44140625" style="655" customWidth="1"/>
    <col min="13824" max="13825" width="9.109375" style="655"/>
    <col min="13826" max="13826" width="11.44140625" style="655" customWidth="1"/>
    <col min="13827" max="13827" width="2.77734375" style="655" customWidth="1"/>
    <col min="13828" max="14010" width="9.109375" style="655"/>
    <col min="14011" max="14011" width="9.5546875" style="655" customWidth="1"/>
    <col min="14012" max="14012" width="11" style="655" customWidth="1"/>
    <col min="14013" max="14014" width="11.21875" style="655" customWidth="1"/>
    <col min="14015" max="14015" width="11.5546875" style="655" customWidth="1"/>
    <col min="14016" max="14016" width="11.109375" style="655" customWidth="1"/>
    <col min="14017" max="14017" width="2" style="655" customWidth="1"/>
    <col min="14018" max="14018" width="13.5546875" style="655" customWidth="1"/>
    <col min="14019" max="14019" width="12.44140625" style="655" customWidth="1"/>
    <col min="14020" max="14020" width="13.5546875" style="655" customWidth="1"/>
    <col min="14021" max="14021" width="2.109375" style="655" customWidth="1"/>
    <col min="14022" max="14022" width="9.109375" style="655"/>
    <col min="14023" max="14023" width="10.21875" style="655" customWidth="1"/>
    <col min="14024" max="14024" width="1.88671875" style="655" customWidth="1"/>
    <col min="14025" max="14025" width="10.77734375" style="655" customWidth="1"/>
    <col min="14026" max="14026" width="9.109375" style="655"/>
    <col min="14027" max="14027" width="2.109375" style="655" customWidth="1"/>
    <col min="14028" max="14028" width="9.109375" style="655"/>
    <col min="14029" max="14029" width="11.21875" style="655" customWidth="1"/>
    <col min="14030" max="14030" width="12.77734375" style="655" customWidth="1"/>
    <col min="14031" max="14031" width="12.5546875" style="655" customWidth="1"/>
    <col min="14032" max="14032" width="2" style="655" customWidth="1"/>
    <col min="14033" max="14034" width="9.109375" style="655"/>
    <col min="14035" max="14035" width="11" style="655" customWidth="1"/>
    <col min="14036" max="14036" width="9.109375" style="655"/>
    <col min="14037" max="14037" width="2.21875" style="655" customWidth="1"/>
    <col min="14038" max="14038" width="11" style="655" customWidth="1"/>
    <col min="14039" max="14039" width="9.109375" style="655"/>
    <col min="14040" max="14040" width="11.5546875" style="655" customWidth="1"/>
    <col min="14041" max="14041" width="11.21875" style="655" customWidth="1"/>
    <col min="14042" max="14042" width="2.88671875" style="655" customWidth="1"/>
    <col min="14043" max="14044" width="9.109375" style="655"/>
    <col min="14045" max="14045" width="11.21875" style="655" customWidth="1"/>
    <col min="14046" max="14046" width="2.21875" style="655" customWidth="1"/>
    <col min="14047" max="14047" width="9.109375" style="655"/>
    <col min="14048" max="14048" width="10.44140625" style="655" customWidth="1"/>
    <col min="14049" max="14049" width="9.109375" style="655"/>
    <col min="14050" max="14050" width="11.109375" style="655" customWidth="1"/>
    <col min="14051" max="14052" width="9.109375" style="655"/>
    <col min="14053" max="14053" width="10.88671875" style="655" customWidth="1"/>
    <col min="14054" max="14055" width="9.109375" style="655"/>
    <col min="14056" max="14056" width="1.5546875" style="655" customWidth="1"/>
    <col min="14057" max="14057" width="9.77734375" style="655" customWidth="1"/>
    <col min="14058" max="14061" width="9.109375" style="655"/>
    <col min="14062" max="14062" width="1.88671875" style="655" customWidth="1"/>
    <col min="14063" max="14063" width="9.88671875" style="655" customWidth="1"/>
    <col min="14064" max="14064" width="1.5546875" style="655" customWidth="1"/>
    <col min="14065" max="14065" width="11.44140625" style="655" customWidth="1"/>
    <col min="14066" max="14066" width="2.21875" style="655" customWidth="1"/>
    <col min="14067" max="14067" width="12" style="655" customWidth="1"/>
    <col min="14068" max="14068" width="2" style="655" customWidth="1"/>
    <col min="14069" max="14069" width="9.109375" style="655"/>
    <col min="14070" max="14070" width="11.109375" style="655" customWidth="1"/>
    <col min="14071" max="14071" width="12" style="655" customWidth="1"/>
    <col min="14072" max="14072" width="9.109375" style="655"/>
    <col min="14073" max="14073" width="11.88671875" style="655" customWidth="1"/>
    <col min="14074" max="14074" width="14.21875" style="655" customWidth="1"/>
    <col min="14075" max="14078" width="9.109375" style="655"/>
    <col min="14079" max="14079" width="3.44140625" style="655" customWidth="1"/>
    <col min="14080" max="14081" width="9.109375" style="655"/>
    <col min="14082" max="14082" width="11.44140625" style="655" customWidth="1"/>
    <col min="14083" max="14083" width="2.77734375" style="655" customWidth="1"/>
    <col min="14084" max="14266" width="9.109375" style="655"/>
    <col min="14267" max="14267" width="9.5546875" style="655" customWidth="1"/>
    <col min="14268" max="14268" width="11" style="655" customWidth="1"/>
    <col min="14269" max="14270" width="11.21875" style="655" customWidth="1"/>
    <col min="14271" max="14271" width="11.5546875" style="655" customWidth="1"/>
    <col min="14272" max="14272" width="11.109375" style="655" customWidth="1"/>
    <col min="14273" max="14273" width="2" style="655" customWidth="1"/>
    <col min="14274" max="14274" width="13.5546875" style="655" customWidth="1"/>
    <col min="14275" max="14275" width="12.44140625" style="655" customWidth="1"/>
    <col min="14276" max="14276" width="13.5546875" style="655" customWidth="1"/>
    <col min="14277" max="14277" width="2.109375" style="655" customWidth="1"/>
    <col min="14278" max="14278" width="9.109375" style="655"/>
    <col min="14279" max="14279" width="10.21875" style="655" customWidth="1"/>
    <col min="14280" max="14280" width="1.88671875" style="655" customWidth="1"/>
    <col min="14281" max="14281" width="10.77734375" style="655" customWidth="1"/>
    <col min="14282" max="14282" width="9.109375" style="655"/>
    <col min="14283" max="14283" width="2.109375" style="655" customWidth="1"/>
    <col min="14284" max="14284" width="9.109375" style="655"/>
    <col min="14285" max="14285" width="11.21875" style="655" customWidth="1"/>
    <col min="14286" max="14286" width="12.77734375" style="655" customWidth="1"/>
    <col min="14287" max="14287" width="12.5546875" style="655" customWidth="1"/>
    <col min="14288" max="14288" width="2" style="655" customWidth="1"/>
    <col min="14289" max="14290" width="9.109375" style="655"/>
    <col min="14291" max="14291" width="11" style="655" customWidth="1"/>
    <col min="14292" max="14292" width="9.109375" style="655"/>
    <col min="14293" max="14293" width="2.21875" style="655" customWidth="1"/>
    <col min="14294" max="14294" width="11" style="655" customWidth="1"/>
    <col min="14295" max="14295" width="9.109375" style="655"/>
    <col min="14296" max="14296" width="11.5546875" style="655" customWidth="1"/>
    <col min="14297" max="14297" width="11.21875" style="655" customWidth="1"/>
    <col min="14298" max="14298" width="2.88671875" style="655" customWidth="1"/>
    <col min="14299" max="14300" width="9.109375" style="655"/>
    <col min="14301" max="14301" width="11.21875" style="655" customWidth="1"/>
    <col min="14302" max="14302" width="2.21875" style="655" customWidth="1"/>
    <col min="14303" max="14303" width="9.109375" style="655"/>
    <col min="14304" max="14304" width="10.44140625" style="655" customWidth="1"/>
    <col min="14305" max="14305" width="9.109375" style="655"/>
    <col min="14306" max="14306" width="11.109375" style="655" customWidth="1"/>
    <col min="14307" max="14308" width="9.109375" style="655"/>
    <col min="14309" max="14309" width="10.88671875" style="655" customWidth="1"/>
    <col min="14310" max="14311" width="9.109375" style="655"/>
    <col min="14312" max="14312" width="1.5546875" style="655" customWidth="1"/>
    <col min="14313" max="14313" width="9.77734375" style="655" customWidth="1"/>
    <col min="14314" max="14317" width="9.109375" style="655"/>
    <col min="14318" max="14318" width="1.88671875" style="655" customWidth="1"/>
    <col min="14319" max="14319" width="9.88671875" style="655" customWidth="1"/>
    <col min="14320" max="14320" width="1.5546875" style="655" customWidth="1"/>
    <col min="14321" max="14321" width="11.44140625" style="655" customWidth="1"/>
    <col min="14322" max="14322" width="2.21875" style="655" customWidth="1"/>
    <col min="14323" max="14323" width="12" style="655" customWidth="1"/>
    <col min="14324" max="14324" width="2" style="655" customWidth="1"/>
    <col min="14325" max="14325" width="9.109375" style="655"/>
    <col min="14326" max="14326" width="11.109375" style="655" customWidth="1"/>
    <col min="14327" max="14327" width="12" style="655" customWidth="1"/>
    <col min="14328" max="14328" width="9.109375" style="655"/>
    <col min="14329" max="14329" width="11.88671875" style="655" customWidth="1"/>
    <col min="14330" max="14330" width="14.21875" style="655" customWidth="1"/>
    <col min="14331" max="14334" width="9.109375" style="655"/>
    <col min="14335" max="14335" width="3.44140625" style="655" customWidth="1"/>
    <col min="14336" max="14337" width="9.109375" style="655"/>
    <col min="14338" max="14338" width="11.44140625" style="655" customWidth="1"/>
    <col min="14339" max="14339" width="2.77734375" style="655" customWidth="1"/>
    <col min="14340" max="14522" width="9.109375" style="655"/>
    <col min="14523" max="14523" width="9.5546875" style="655" customWidth="1"/>
    <col min="14524" max="14524" width="11" style="655" customWidth="1"/>
    <col min="14525" max="14526" width="11.21875" style="655" customWidth="1"/>
    <col min="14527" max="14527" width="11.5546875" style="655" customWidth="1"/>
    <col min="14528" max="14528" width="11.109375" style="655" customWidth="1"/>
    <col min="14529" max="14529" width="2" style="655" customWidth="1"/>
    <col min="14530" max="14530" width="13.5546875" style="655" customWidth="1"/>
    <col min="14531" max="14531" width="12.44140625" style="655" customWidth="1"/>
    <col min="14532" max="14532" width="13.5546875" style="655" customWidth="1"/>
    <col min="14533" max="14533" width="2.109375" style="655" customWidth="1"/>
    <col min="14534" max="14534" width="9.109375" style="655"/>
    <col min="14535" max="14535" width="10.21875" style="655" customWidth="1"/>
    <col min="14536" max="14536" width="1.88671875" style="655" customWidth="1"/>
    <col min="14537" max="14537" width="10.77734375" style="655" customWidth="1"/>
    <col min="14538" max="14538" width="9.109375" style="655"/>
    <col min="14539" max="14539" width="2.109375" style="655" customWidth="1"/>
    <col min="14540" max="14540" width="9.109375" style="655"/>
    <col min="14541" max="14541" width="11.21875" style="655" customWidth="1"/>
    <col min="14542" max="14542" width="12.77734375" style="655" customWidth="1"/>
    <col min="14543" max="14543" width="12.5546875" style="655" customWidth="1"/>
    <col min="14544" max="14544" width="2" style="655" customWidth="1"/>
    <col min="14545" max="14546" width="9.109375" style="655"/>
    <col min="14547" max="14547" width="11" style="655" customWidth="1"/>
    <col min="14548" max="14548" width="9.109375" style="655"/>
    <col min="14549" max="14549" width="2.21875" style="655" customWidth="1"/>
    <col min="14550" max="14550" width="11" style="655" customWidth="1"/>
    <col min="14551" max="14551" width="9.109375" style="655"/>
    <col min="14552" max="14552" width="11.5546875" style="655" customWidth="1"/>
    <col min="14553" max="14553" width="11.21875" style="655" customWidth="1"/>
    <col min="14554" max="14554" width="2.88671875" style="655" customWidth="1"/>
    <col min="14555" max="14556" width="9.109375" style="655"/>
    <col min="14557" max="14557" width="11.21875" style="655" customWidth="1"/>
    <col min="14558" max="14558" width="2.21875" style="655" customWidth="1"/>
    <col min="14559" max="14559" width="9.109375" style="655"/>
    <col min="14560" max="14560" width="10.44140625" style="655" customWidth="1"/>
    <col min="14561" max="14561" width="9.109375" style="655"/>
    <col min="14562" max="14562" width="11.109375" style="655" customWidth="1"/>
    <col min="14563" max="14564" width="9.109375" style="655"/>
    <col min="14565" max="14565" width="10.88671875" style="655" customWidth="1"/>
    <col min="14566" max="14567" width="9.109375" style="655"/>
    <col min="14568" max="14568" width="1.5546875" style="655" customWidth="1"/>
    <col min="14569" max="14569" width="9.77734375" style="655" customWidth="1"/>
    <col min="14570" max="14573" width="9.109375" style="655"/>
    <col min="14574" max="14574" width="1.88671875" style="655" customWidth="1"/>
    <col min="14575" max="14575" width="9.88671875" style="655" customWidth="1"/>
    <col min="14576" max="14576" width="1.5546875" style="655" customWidth="1"/>
    <col min="14577" max="14577" width="11.44140625" style="655" customWidth="1"/>
    <col min="14578" max="14578" width="2.21875" style="655" customWidth="1"/>
    <col min="14579" max="14579" width="12" style="655" customWidth="1"/>
    <col min="14580" max="14580" width="2" style="655" customWidth="1"/>
    <col min="14581" max="14581" width="9.109375" style="655"/>
    <col min="14582" max="14582" width="11.109375" style="655" customWidth="1"/>
    <col min="14583" max="14583" width="12" style="655" customWidth="1"/>
    <col min="14584" max="14584" width="9.109375" style="655"/>
    <col min="14585" max="14585" width="11.88671875" style="655" customWidth="1"/>
    <col min="14586" max="14586" width="14.21875" style="655" customWidth="1"/>
    <col min="14587" max="14590" width="9.109375" style="655"/>
    <col min="14591" max="14591" width="3.44140625" style="655" customWidth="1"/>
    <col min="14592" max="14593" width="9.109375" style="655"/>
    <col min="14594" max="14594" width="11.44140625" style="655" customWidth="1"/>
    <col min="14595" max="14595" width="2.77734375" style="655" customWidth="1"/>
    <col min="14596" max="14778" width="9.109375" style="655"/>
    <col min="14779" max="14779" width="9.5546875" style="655" customWidth="1"/>
    <col min="14780" max="14780" width="11" style="655" customWidth="1"/>
    <col min="14781" max="14782" width="11.21875" style="655" customWidth="1"/>
    <col min="14783" max="14783" width="11.5546875" style="655" customWidth="1"/>
    <col min="14784" max="14784" width="11.109375" style="655" customWidth="1"/>
    <col min="14785" max="14785" width="2" style="655" customWidth="1"/>
    <col min="14786" max="14786" width="13.5546875" style="655" customWidth="1"/>
    <col min="14787" max="14787" width="12.44140625" style="655" customWidth="1"/>
    <col min="14788" max="14788" width="13.5546875" style="655" customWidth="1"/>
    <col min="14789" max="14789" width="2.109375" style="655" customWidth="1"/>
    <col min="14790" max="14790" width="9.109375" style="655"/>
    <col min="14791" max="14791" width="10.21875" style="655" customWidth="1"/>
    <col min="14792" max="14792" width="1.88671875" style="655" customWidth="1"/>
    <col min="14793" max="14793" width="10.77734375" style="655" customWidth="1"/>
    <col min="14794" max="14794" width="9.109375" style="655"/>
    <col min="14795" max="14795" width="2.109375" style="655" customWidth="1"/>
    <col min="14796" max="14796" width="9.109375" style="655"/>
    <col min="14797" max="14797" width="11.21875" style="655" customWidth="1"/>
    <col min="14798" max="14798" width="12.77734375" style="655" customWidth="1"/>
    <col min="14799" max="14799" width="12.5546875" style="655" customWidth="1"/>
    <col min="14800" max="14800" width="2" style="655" customWidth="1"/>
    <col min="14801" max="14802" width="9.109375" style="655"/>
    <col min="14803" max="14803" width="11" style="655" customWidth="1"/>
    <col min="14804" max="14804" width="9.109375" style="655"/>
    <col min="14805" max="14805" width="2.21875" style="655" customWidth="1"/>
    <col min="14806" max="14806" width="11" style="655" customWidth="1"/>
    <col min="14807" max="14807" width="9.109375" style="655"/>
    <col min="14808" max="14808" width="11.5546875" style="655" customWidth="1"/>
    <col min="14809" max="14809" width="11.21875" style="655" customWidth="1"/>
    <col min="14810" max="14810" width="2.88671875" style="655" customWidth="1"/>
    <col min="14811" max="14812" width="9.109375" style="655"/>
    <col min="14813" max="14813" width="11.21875" style="655" customWidth="1"/>
    <col min="14814" max="14814" width="2.21875" style="655" customWidth="1"/>
    <col min="14815" max="14815" width="9.109375" style="655"/>
    <col min="14816" max="14816" width="10.44140625" style="655" customWidth="1"/>
    <col min="14817" max="14817" width="9.109375" style="655"/>
    <col min="14818" max="14818" width="11.109375" style="655" customWidth="1"/>
    <col min="14819" max="14820" width="9.109375" style="655"/>
    <col min="14821" max="14821" width="10.88671875" style="655" customWidth="1"/>
    <col min="14822" max="14823" width="9.109375" style="655"/>
    <col min="14824" max="14824" width="1.5546875" style="655" customWidth="1"/>
    <col min="14825" max="14825" width="9.77734375" style="655" customWidth="1"/>
    <col min="14826" max="14829" width="9.109375" style="655"/>
    <col min="14830" max="14830" width="1.88671875" style="655" customWidth="1"/>
    <col min="14831" max="14831" width="9.88671875" style="655" customWidth="1"/>
    <col min="14832" max="14832" width="1.5546875" style="655" customWidth="1"/>
    <col min="14833" max="14833" width="11.44140625" style="655" customWidth="1"/>
    <col min="14834" max="14834" width="2.21875" style="655" customWidth="1"/>
    <col min="14835" max="14835" width="12" style="655" customWidth="1"/>
    <col min="14836" max="14836" width="2" style="655" customWidth="1"/>
    <col min="14837" max="14837" width="9.109375" style="655"/>
    <col min="14838" max="14838" width="11.109375" style="655" customWidth="1"/>
    <col min="14839" max="14839" width="12" style="655" customWidth="1"/>
    <col min="14840" max="14840" width="9.109375" style="655"/>
    <col min="14841" max="14841" width="11.88671875" style="655" customWidth="1"/>
    <col min="14842" max="14842" width="14.21875" style="655" customWidth="1"/>
    <col min="14843" max="14846" width="9.109375" style="655"/>
    <col min="14847" max="14847" width="3.44140625" style="655" customWidth="1"/>
    <col min="14848" max="14849" width="9.109375" style="655"/>
    <col min="14850" max="14850" width="11.44140625" style="655" customWidth="1"/>
    <col min="14851" max="14851" width="2.77734375" style="655" customWidth="1"/>
    <col min="14852" max="15034" width="9.109375" style="655"/>
    <col min="15035" max="15035" width="9.5546875" style="655" customWidth="1"/>
    <col min="15036" max="15036" width="11" style="655" customWidth="1"/>
    <col min="15037" max="15038" width="11.21875" style="655" customWidth="1"/>
    <col min="15039" max="15039" width="11.5546875" style="655" customWidth="1"/>
    <col min="15040" max="15040" width="11.109375" style="655" customWidth="1"/>
    <col min="15041" max="15041" width="2" style="655" customWidth="1"/>
    <col min="15042" max="15042" width="13.5546875" style="655" customWidth="1"/>
    <col min="15043" max="15043" width="12.44140625" style="655" customWidth="1"/>
    <col min="15044" max="15044" width="13.5546875" style="655" customWidth="1"/>
    <col min="15045" max="15045" width="2.109375" style="655" customWidth="1"/>
    <col min="15046" max="15046" width="9.109375" style="655"/>
    <col min="15047" max="15047" width="10.21875" style="655" customWidth="1"/>
    <col min="15048" max="15048" width="1.88671875" style="655" customWidth="1"/>
    <col min="15049" max="15049" width="10.77734375" style="655" customWidth="1"/>
    <col min="15050" max="15050" width="9.109375" style="655"/>
    <col min="15051" max="15051" width="2.109375" style="655" customWidth="1"/>
    <col min="15052" max="15052" width="9.109375" style="655"/>
    <col min="15053" max="15053" width="11.21875" style="655" customWidth="1"/>
    <col min="15054" max="15054" width="12.77734375" style="655" customWidth="1"/>
    <col min="15055" max="15055" width="12.5546875" style="655" customWidth="1"/>
    <col min="15056" max="15056" width="2" style="655" customWidth="1"/>
    <col min="15057" max="15058" width="9.109375" style="655"/>
    <col min="15059" max="15059" width="11" style="655" customWidth="1"/>
    <col min="15060" max="15060" width="9.109375" style="655"/>
    <col min="15061" max="15061" width="2.21875" style="655" customWidth="1"/>
    <col min="15062" max="15062" width="11" style="655" customWidth="1"/>
    <col min="15063" max="15063" width="9.109375" style="655"/>
    <col min="15064" max="15064" width="11.5546875" style="655" customWidth="1"/>
    <col min="15065" max="15065" width="11.21875" style="655" customWidth="1"/>
    <col min="15066" max="15066" width="2.88671875" style="655" customWidth="1"/>
    <col min="15067" max="15068" width="9.109375" style="655"/>
    <col min="15069" max="15069" width="11.21875" style="655" customWidth="1"/>
    <col min="15070" max="15070" width="2.21875" style="655" customWidth="1"/>
    <col min="15071" max="15071" width="9.109375" style="655"/>
    <col min="15072" max="15072" width="10.44140625" style="655" customWidth="1"/>
    <col min="15073" max="15073" width="9.109375" style="655"/>
    <col min="15074" max="15074" width="11.109375" style="655" customWidth="1"/>
    <col min="15075" max="15076" width="9.109375" style="655"/>
    <col min="15077" max="15077" width="10.88671875" style="655" customWidth="1"/>
    <col min="15078" max="15079" width="9.109375" style="655"/>
    <col min="15080" max="15080" width="1.5546875" style="655" customWidth="1"/>
    <col min="15081" max="15081" width="9.77734375" style="655" customWidth="1"/>
    <col min="15082" max="15085" width="9.109375" style="655"/>
    <col min="15086" max="15086" width="1.88671875" style="655" customWidth="1"/>
    <col min="15087" max="15087" width="9.88671875" style="655" customWidth="1"/>
    <col min="15088" max="15088" width="1.5546875" style="655" customWidth="1"/>
    <col min="15089" max="15089" width="11.44140625" style="655" customWidth="1"/>
    <col min="15090" max="15090" width="2.21875" style="655" customWidth="1"/>
    <col min="15091" max="15091" width="12" style="655" customWidth="1"/>
    <col min="15092" max="15092" width="2" style="655" customWidth="1"/>
    <col min="15093" max="15093" width="9.109375" style="655"/>
    <col min="15094" max="15094" width="11.109375" style="655" customWidth="1"/>
    <col min="15095" max="15095" width="12" style="655" customWidth="1"/>
    <col min="15096" max="15096" width="9.109375" style="655"/>
    <col min="15097" max="15097" width="11.88671875" style="655" customWidth="1"/>
    <col min="15098" max="15098" width="14.21875" style="655" customWidth="1"/>
    <col min="15099" max="15102" width="9.109375" style="655"/>
    <col min="15103" max="15103" width="3.44140625" style="655" customWidth="1"/>
    <col min="15104" max="15105" width="9.109375" style="655"/>
    <col min="15106" max="15106" width="11.44140625" style="655" customWidth="1"/>
    <col min="15107" max="15107" width="2.77734375" style="655" customWidth="1"/>
    <col min="15108" max="15290" width="9.109375" style="655"/>
    <col min="15291" max="15291" width="9.5546875" style="655" customWidth="1"/>
    <col min="15292" max="15292" width="11" style="655" customWidth="1"/>
    <col min="15293" max="15294" width="11.21875" style="655" customWidth="1"/>
    <col min="15295" max="15295" width="11.5546875" style="655" customWidth="1"/>
    <col min="15296" max="15296" width="11.109375" style="655" customWidth="1"/>
    <col min="15297" max="15297" width="2" style="655" customWidth="1"/>
    <col min="15298" max="15298" width="13.5546875" style="655" customWidth="1"/>
    <col min="15299" max="15299" width="12.44140625" style="655" customWidth="1"/>
    <col min="15300" max="15300" width="13.5546875" style="655" customWidth="1"/>
    <col min="15301" max="15301" width="2.109375" style="655" customWidth="1"/>
    <col min="15302" max="15302" width="9.109375" style="655"/>
    <col min="15303" max="15303" width="10.21875" style="655" customWidth="1"/>
    <col min="15304" max="15304" width="1.88671875" style="655" customWidth="1"/>
    <col min="15305" max="15305" width="10.77734375" style="655" customWidth="1"/>
    <col min="15306" max="15306" width="9.109375" style="655"/>
    <col min="15307" max="15307" width="2.109375" style="655" customWidth="1"/>
    <col min="15308" max="15308" width="9.109375" style="655"/>
    <col min="15309" max="15309" width="11.21875" style="655" customWidth="1"/>
    <col min="15310" max="15310" width="12.77734375" style="655" customWidth="1"/>
    <col min="15311" max="15311" width="12.5546875" style="655" customWidth="1"/>
    <col min="15312" max="15312" width="2" style="655" customWidth="1"/>
    <col min="15313" max="15314" width="9.109375" style="655"/>
    <col min="15315" max="15315" width="11" style="655" customWidth="1"/>
    <col min="15316" max="15316" width="9.109375" style="655"/>
    <col min="15317" max="15317" width="2.21875" style="655" customWidth="1"/>
    <col min="15318" max="15318" width="11" style="655" customWidth="1"/>
    <col min="15319" max="15319" width="9.109375" style="655"/>
    <col min="15320" max="15320" width="11.5546875" style="655" customWidth="1"/>
    <col min="15321" max="15321" width="11.21875" style="655" customWidth="1"/>
    <col min="15322" max="15322" width="2.88671875" style="655" customWidth="1"/>
    <col min="15323" max="15324" width="9.109375" style="655"/>
    <col min="15325" max="15325" width="11.21875" style="655" customWidth="1"/>
    <col min="15326" max="15326" width="2.21875" style="655" customWidth="1"/>
    <col min="15327" max="15327" width="9.109375" style="655"/>
    <col min="15328" max="15328" width="10.44140625" style="655" customWidth="1"/>
    <col min="15329" max="15329" width="9.109375" style="655"/>
    <col min="15330" max="15330" width="11.109375" style="655" customWidth="1"/>
    <col min="15331" max="15332" width="9.109375" style="655"/>
    <col min="15333" max="15333" width="10.88671875" style="655" customWidth="1"/>
    <col min="15334" max="15335" width="9.109375" style="655"/>
    <col min="15336" max="15336" width="1.5546875" style="655" customWidth="1"/>
    <col min="15337" max="15337" width="9.77734375" style="655" customWidth="1"/>
    <col min="15338" max="15341" width="9.109375" style="655"/>
    <col min="15342" max="15342" width="1.88671875" style="655" customWidth="1"/>
    <col min="15343" max="15343" width="9.88671875" style="655" customWidth="1"/>
    <col min="15344" max="15344" width="1.5546875" style="655" customWidth="1"/>
    <col min="15345" max="15345" width="11.44140625" style="655" customWidth="1"/>
    <col min="15346" max="15346" width="2.21875" style="655" customWidth="1"/>
    <col min="15347" max="15347" width="12" style="655" customWidth="1"/>
    <col min="15348" max="15348" width="2" style="655" customWidth="1"/>
    <col min="15349" max="15349" width="9.109375" style="655"/>
    <col min="15350" max="15350" width="11.109375" style="655" customWidth="1"/>
    <col min="15351" max="15351" width="12" style="655" customWidth="1"/>
    <col min="15352" max="15352" width="9.109375" style="655"/>
    <col min="15353" max="15353" width="11.88671875" style="655" customWidth="1"/>
    <col min="15354" max="15354" width="14.21875" style="655" customWidth="1"/>
    <col min="15355" max="15358" width="9.109375" style="655"/>
    <col min="15359" max="15359" width="3.44140625" style="655" customWidth="1"/>
    <col min="15360" max="15361" width="9.109375" style="655"/>
    <col min="15362" max="15362" width="11.44140625" style="655" customWidth="1"/>
    <col min="15363" max="15363" width="2.77734375" style="655" customWidth="1"/>
    <col min="15364" max="15546" width="9.109375" style="655"/>
    <col min="15547" max="15547" width="9.5546875" style="655" customWidth="1"/>
    <col min="15548" max="15548" width="11" style="655" customWidth="1"/>
    <col min="15549" max="15550" width="11.21875" style="655" customWidth="1"/>
    <col min="15551" max="15551" width="11.5546875" style="655" customWidth="1"/>
    <col min="15552" max="15552" width="11.109375" style="655" customWidth="1"/>
    <col min="15553" max="15553" width="2" style="655" customWidth="1"/>
    <col min="15554" max="15554" width="13.5546875" style="655" customWidth="1"/>
    <col min="15555" max="15555" width="12.44140625" style="655" customWidth="1"/>
    <col min="15556" max="15556" width="13.5546875" style="655" customWidth="1"/>
    <col min="15557" max="15557" width="2.109375" style="655" customWidth="1"/>
    <col min="15558" max="15558" width="9.109375" style="655"/>
    <col min="15559" max="15559" width="10.21875" style="655" customWidth="1"/>
    <col min="15560" max="15560" width="1.88671875" style="655" customWidth="1"/>
    <col min="15561" max="15561" width="10.77734375" style="655" customWidth="1"/>
    <col min="15562" max="15562" width="9.109375" style="655"/>
    <col min="15563" max="15563" width="2.109375" style="655" customWidth="1"/>
    <col min="15564" max="15564" width="9.109375" style="655"/>
    <col min="15565" max="15565" width="11.21875" style="655" customWidth="1"/>
    <col min="15566" max="15566" width="12.77734375" style="655" customWidth="1"/>
    <col min="15567" max="15567" width="12.5546875" style="655" customWidth="1"/>
    <col min="15568" max="15568" width="2" style="655" customWidth="1"/>
    <col min="15569" max="15570" width="9.109375" style="655"/>
    <col min="15571" max="15571" width="11" style="655" customWidth="1"/>
    <col min="15572" max="15572" width="9.109375" style="655"/>
    <col min="15573" max="15573" width="2.21875" style="655" customWidth="1"/>
    <col min="15574" max="15574" width="11" style="655" customWidth="1"/>
    <col min="15575" max="15575" width="9.109375" style="655"/>
    <col min="15576" max="15576" width="11.5546875" style="655" customWidth="1"/>
    <col min="15577" max="15577" width="11.21875" style="655" customWidth="1"/>
    <col min="15578" max="15578" width="2.88671875" style="655" customWidth="1"/>
    <col min="15579" max="15580" width="9.109375" style="655"/>
    <col min="15581" max="15581" width="11.21875" style="655" customWidth="1"/>
    <col min="15582" max="15582" width="2.21875" style="655" customWidth="1"/>
    <col min="15583" max="15583" width="9.109375" style="655"/>
    <col min="15584" max="15584" width="10.44140625" style="655" customWidth="1"/>
    <col min="15585" max="15585" width="9.109375" style="655"/>
    <col min="15586" max="15586" width="11.109375" style="655" customWidth="1"/>
    <col min="15587" max="15588" width="9.109375" style="655"/>
    <col min="15589" max="15589" width="10.88671875" style="655" customWidth="1"/>
    <col min="15590" max="15591" width="9.109375" style="655"/>
    <col min="15592" max="15592" width="1.5546875" style="655" customWidth="1"/>
    <col min="15593" max="15593" width="9.77734375" style="655" customWidth="1"/>
    <col min="15594" max="15597" width="9.109375" style="655"/>
    <col min="15598" max="15598" width="1.88671875" style="655" customWidth="1"/>
    <col min="15599" max="15599" width="9.88671875" style="655" customWidth="1"/>
    <col min="15600" max="15600" width="1.5546875" style="655" customWidth="1"/>
    <col min="15601" max="15601" width="11.44140625" style="655" customWidth="1"/>
    <col min="15602" max="15602" width="2.21875" style="655" customWidth="1"/>
    <col min="15603" max="15603" width="12" style="655" customWidth="1"/>
    <col min="15604" max="15604" width="2" style="655" customWidth="1"/>
    <col min="15605" max="15605" width="9.109375" style="655"/>
    <col min="15606" max="15606" width="11.109375" style="655" customWidth="1"/>
    <col min="15607" max="15607" width="12" style="655" customWidth="1"/>
    <col min="15608" max="15608" width="9.109375" style="655"/>
    <col min="15609" max="15609" width="11.88671875" style="655" customWidth="1"/>
    <col min="15610" max="15610" width="14.21875" style="655" customWidth="1"/>
    <col min="15611" max="15614" width="9.109375" style="655"/>
    <col min="15615" max="15615" width="3.44140625" style="655" customWidth="1"/>
    <col min="15616" max="15617" width="9.109375" style="655"/>
    <col min="15618" max="15618" width="11.44140625" style="655" customWidth="1"/>
    <col min="15619" max="15619" width="2.77734375" style="655" customWidth="1"/>
    <col min="15620" max="15802" width="9.109375" style="655"/>
    <col min="15803" max="15803" width="9.5546875" style="655" customWidth="1"/>
    <col min="15804" max="15804" width="11" style="655" customWidth="1"/>
    <col min="15805" max="15806" width="11.21875" style="655" customWidth="1"/>
    <col min="15807" max="15807" width="11.5546875" style="655" customWidth="1"/>
    <col min="15808" max="15808" width="11.109375" style="655" customWidth="1"/>
    <col min="15809" max="15809" width="2" style="655" customWidth="1"/>
    <col min="15810" max="15810" width="13.5546875" style="655" customWidth="1"/>
    <col min="15811" max="15811" width="12.44140625" style="655" customWidth="1"/>
    <col min="15812" max="15812" width="13.5546875" style="655" customWidth="1"/>
    <col min="15813" max="15813" width="2.109375" style="655" customWidth="1"/>
    <col min="15814" max="15814" width="9.109375" style="655"/>
    <col min="15815" max="15815" width="10.21875" style="655" customWidth="1"/>
    <col min="15816" max="15816" width="1.88671875" style="655" customWidth="1"/>
    <col min="15817" max="15817" width="10.77734375" style="655" customWidth="1"/>
    <col min="15818" max="15818" width="9.109375" style="655"/>
    <col min="15819" max="15819" width="2.109375" style="655" customWidth="1"/>
    <col min="15820" max="15820" width="9.109375" style="655"/>
    <col min="15821" max="15821" width="11.21875" style="655" customWidth="1"/>
    <col min="15822" max="15822" width="12.77734375" style="655" customWidth="1"/>
    <col min="15823" max="15823" width="12.5546875" style="655" customWidth="1"/>
    <col min="15824" max="15824" width="2" style="655" customWidth="1"/>
    <col min="15825" max="15826" width="9.109375" style="655"/>
    <col min="15827" max="15827" width="11" style="655" customWidth="1"/>
    <col min="15828" max="15828" width="9.109375" style="655"/>
    <col min="15829" max="15829" width="2.21875" style="655" customWidth="1"/>
    <col min="15830" max="15830" width="11" style="655" customWidth="1"/>
    <col min="15831" max="15831" width="9.109375" style="655"/>
    <col min="15832" max="15832" width="11.5546875" style="655" customWidth="1"/>
    <col min="15833" max="15833" width="11.21875" style="655" customWidth="1"/>
    <col min="15834" max="15834" width="2.88671875" style="655" customWidth="1"/>
    <col min="15835" max="15836" width="9.109375" style="655"/>
    <col min="15837" max="15837" width="11.21875" style="655" customWidth="1"/>
    <col min="15838" max="15838" width="2.21875" style="655" customWidth="1"/>
    <col min="15839" max="15839" width="9.109375" style="655"/>
    <col min="15840" max="15840" width="10.44140625" style="655" customWidth="1"/>
    <col min="15841" max="15841" width="9.109375" style="655"/>
    <col min="15842" max="15842" width="11.109375" style="655" customWidth="1"/>
    <col min="15843" max="15844" width="9.109375" style="655"/>
    <col min="15845" max="15845" width="10.88671875" style="655" customWidth="1"/>
    <col min="15846" max="15847" width="9.109375" style="655"/>
    <col min="15848" max="15848" width="1.5546875" style="655" customWidth="1"/>
    <col min="15849" max="15849" width="9.77734375" style="655" customWidth="1"/>
    <col min="15850" max="15853" width="9.109375" style="655"/>
    <col min="15854" max="15854" width="1.88671875" style="655" customWidth="1"/>
    <col min="15855" max="15855" width="9.88671875" style="655" customWidth="1"/>
    <col min="15856" max="15856" width="1.5546875" style="655" customWidth="1"/>
    <col min="15857" max="15857" width="11.44140625" style="655" customWidth="1"/>
    <col min="15858" max="15858" width="2.21875" style="655" customWidth="1"/>
    <col min="15859" max="15859" width="12" style="655" customWidth="1"/>
    <col min="15860" max="15860" width="2" style="655" customWidth="1"/>
    <col min="15861" max="15861" width="9.109375" style="655"/>
    <col min="15862" max="15862" width="11.109375" style="655" customWidth="1"/>
    <col min="15863" max="15863" width="12" style="655" customWidth="1"/>
    <col min="15864" max="15864" width="9.109375" style="655"/>
    <col min="15865" max="15865" width="11.88671875" style="655" customWidth="1"/>
    <col min="15866" max="15866" width="14.21875" style="655" customWidth="1"/>
    <col min="15867" max="15870" width="9.109375" style="655"/>
    <col min="15871" max="15871" width="3.44140625" style="655" customWidth="1"/>
    <col min="15872" max="15873" width="9.109375" style="655"/>
    <col min="15874" max="15874" width="11.44140625" style="655" customWidth="1"/>
    <col min="15875" max="15875" width="2.77734375" style="655" customWidth="1"/>
    <col min="15876" max="16058" width="9.109375" style="655"/>
    <col min="16059" max="16059" width="9.5546875" style="655" customWidth="1"/>
    <col min="16060" max="16060" width="11" style="655" customWidth="1"/>
    <col min="16061" max="16062" width="11.21875" style="655" customWidth="1"/>
    <col min="16063" max="16063" width="11.5546875" style="655" customWidth="1"/>
    <col min="16064" max="16064" width="11.109375" style="655" customWidth="1"/>
    <col min="16065" max="16065" width="2" style="655" customWidth="1"/>
    <col min="16066" max="16066" width="13.5546875" style="655" customWidth="1"/>
    <col min="16067" max="16067" width="12.44140625" style="655" customWidth="1"/>
    <col min="16068" max="16068" width="13.5546875" style="655" customWidth="1"/>
    <col min="16069" max="16069" width="2.109375" style="655" customWidth="1"/>
    <col min="16070" max="16070" width="9.109375" style="655"/>
    <col min="16071" max="16071" width="10.21875" style="655" customWidth="1"/>
    <col min="16072" max="16072" width="1.88671875" style="655" customWidth="1"/>
    <col min="16073" max="16073" width="10.77734375" style="655" customWidth="1"/>
    <col min="16074" max="16074" width="9.109375" style="655"/>
    <col min="16075" max="16075" width="2.109375" style="655" customWidth="1"/>
    <col min="16076" max="16076" width="9.109375" style="655"/>
    <col min="16077" max="16077" width="11.21875" style="655" customWidth="1"/>
    <col min="16078" max="16078" width="12.77734375" style="655" customWidth="1"/>
    <col min="16079" max="16079" width="12.5546875" style="655" customWidth="1"/>
    <col min="16080" max="16080" width="2" style="655" customWidth="1"/>
    <col min="16081" max="16082" width="9.109375" style="655"/>
    <col min="16083" max="16083" width="11" style="655" customWidth="1"/>
    <col min="16084" max="16084" width="9.109375" style="655"/>
    <col min="16085" max="16085" width="2.21875" style="655" customWidth="1"/>
    <col min="16086" max="16086" width="11" style="655" customWidth="1"/>
    <col min="16087" max="16087" width="9.109375" style="655"/>
    <col min="16088" max="16088" width="11.5546875" style="655" customWidth="1"/>
    <col min="16089" max="16089" width="11.21875" style="655" customWidth="1"/>
    <col min="16090" max="16090" width="2.88671875" style="655" customWidth="1"/>
    <col min="16091" max="16092" width="9.109375" style="655"/>
    <col min="16093" max="16093" width="11.21875" style="655" customWidth="1"/>
    <col min="16094" max="16094" width="2.21875" style="655" customWidth="1"/>
    <col min="16095" max="16095" width="9.109375" style="655"/>
    <col min="16096" max="16096" width="10.44140625" style="655" customWidth="1"/>
    <col min="16097" max="16097" width="9.109375" style="655"/>
    <col min="16098" max="16098" width="11.109375" style="655" customWidth="1"/>
    <col min="16099" max="16100" width="9.109375" style="655"/>
    <col min="16101" max="16101" width="10.88671875" style="655" customWidth="1"/>
    <col min="16102" max="16103" width="9.109375" style="655"/>
    <col min="16104" max="16104" width="1.5546875" style="655" customWidth="1"/>
    <col min="16105" max="16105" width="9.77734375" style="655" customWidth="1"/>
    <col min="16106" max="16109" width="9.109375" style="655"/>
    <col min="16110" max="16110" width="1.88671875" style="655" customWidth="1"/>
    <col min="16111" max="16111" width="9.88671875" style="655" customWidth="1"/>
    <col min="16112" max="16112" width="1.5546875" style="655" customWidth="1"/>
    <col min="16113" max="16113" width="11.44140625" style="655" customWidth="1"/>
    <col min="16114" max="16114" width="2.21875" style="655" customWidth="1"/>
    <col min="16115" max="16115" width="12" style="655" customWidth="1"/>
    <col min="16116" max="16116" width="2" style="655" customWidth="1"/>
    <col min="16117" max="16117" width="9.109375" style="655"/>
    <col min="16118" max="16118" width="11.109375" style="655" customWidth="1"/>
    <col min="16119" max="16119" width="12" style="655" customWidth="1"/>
    <col min="16120" max="16120" width="9.109375" style="655"/>
    <col min="16121" max="16121" width="11.88671875" style="655" customWidth="1"/>
    <col min="16122" max="16122" width="14.21875" style="655" customWidth="1"/>
    <col min="16123" max="16126" width="9.109375" style="655"/>
    <col min="16127" max="16127" width="3.44140625" style="655" customWidth="1"/>
    <col min="16128" max="16129" width="9.109375" style="655"/>
    <col min="16130" max="16130" width="11.44140625" style="655" customWidth="1"/>
    <col min="16131" max="16131" width="2.77734375" style="655" customWidth="1"/>
    <col min="16132" max="16384" width="9.109375" style="655"/>
  </cols>
  <sheetData>
    <row r="1" spans="1:35" ht="15.6" x14ac:dyDescent="0.3">
      <c r="A1" s="178" t="s">
        <v>2060</v>
      </c>
      <c r="I1" s="463" t="s">
        <v>504</v>
      </c>
      <c r="J1" s="8"/>
      <c r="M1" s="8"/>
      <c r="O1" s="8"/>
    </row>
    <row r="2" spans="1:35" x14ac:dyDescent="0.3">
      <c r="J2" s="560"/>
      <c r="K2" s="585"/>
      <c r="L2" s="8"/>
      <c r="M2" s="560"/>
      <c r="N2" s="585"/>
      <c r="O2" s="560"/>
      <c r="P2" s="585"/>
      <c r="Q2" s="585"/>
      <c r="R2" s="585"/>
      <c r="S2" s="585"/>
      <c r="T2" s="585"/>
      <c r="U2" s="585"/>
      <c r="AC2" s="8"/>
    </row>
    <row r="3" spans="1:35" x14ac:dyDescent="0.3">
      <c r="A3" s="11"/>
      <c r="B3" s="11"/>
      <c r="C3" s="11"/>
      <c r="D3" s="11"/>
      <c r="E3" s="11"/>
      <c r="F3" s="11"/>
      <c r="G3" s="11"/>
      <c r="H3" s="11"/>
      <c r="I3" s="11"/>
      <c r="J3" s="11"/>
      <c r="K3" s="11"/>
      <c r="L3" s="11"/>
      <c r="M3" s="11"/>
      <c r="N3" s="11"/>
      <c r="O3" s="11"/>
      <c r="P3" s="11"/>
      <c r="Q3" s="11"/>
      <c r="R3" s="11"/>
      <c r="S3" s="11"/>
      <c r="T3" s="11"/>
      <c r="U3" s="11"/>
      <c r="V3" s="11"/>
      <c r="W3" s="11"/>
      <c r="X3" s="11"/>
      <c r="Y3" s="11"/>
      <c r="Z3" s="11"/>
      <c r="AA3" s="11"/>
      <c r="AC3" s="11"/>
      <c r="AD3" s="11"/>
      <c r="AE3" s="11"/>
      <c r="AF3" s="11"/>
      <c r="AG3" s="11"/>
    </row>
    <row r="4" spans="1:35" ht="15" customHeight="1" x14ac:dyDescent="0.3">
      <c r="A4" s="591"/>
      <c r="B4" s="1397" t="s">
        <v>1458</v>
      </c>
      <c r="C4" s="670"/>
      <c r="D4" s="1396" t="s">
        <v>1502</v>
      </c>
      <c r="E4" s="1396" t="s">
        <v>868</v>
      </c>
      <c r="F4" s="1396" t="s">
        <v>869</v>
      </c>
      <c r="G4" s="1396" t="s">
        <v>843</v>
      </c>
      <c r="H4" s="670"/>
      <c r="I4" s="1398" t="s">
        <v>870</v>
      </c>
      <c r="J4" s="1398"/>
      <c r="K4" s="1398"/>
      <c r="L4" s="1398"/>
      <c r="M4" s="1398"/>
      <c r="N4" s="1398"/>
      <c r="O4" s="1398"/>
      <c r="P4" s="1398"/>
      <c r="Q4" s="1398"/>
      <c r="R4" s="1398"/>
      <c r="S4" s="1398"/>
      <c r="T4" s="1398"/>
      <c r="U4" s="1398"/>
      <c r="V4" s="673"/>
      <c r="W4" s="1398" t="s">
        <v>871</v>
      </c>
      <c r="X4" s="1398"/>
      <c r="Y4" s="1398"/>
      <c r="Z4" s="1398"/>
      <c r="AA4" s="1398"/>
      <c r="AC4" s="1404" t="s">
        <v>705</v>
      </c>
      <c r="AD4" s="1404"/>
      <c r="AE4" s="1404"/>
      <c r="AF4" s="1404"/>
      <c r="AG4" s="1404"/>
    </row>
    <row r="5" spans="1:35" s="170" customFormat="1" ht="12.75" customHeight="1" x14ac:dyDescent="0.3">
      <c r="A5" s="591"/>
      <c r="B5" s="1397"/>
      <c r="C5" s="670"/>
      <c r="D5" s="1397"/>
      <c r="E5" s="1397"/>
      <c r="F5" s="1397"/>
      <c r="G5" s="1397"/>
      <c r="H5" s="670"/>
      <c r="I5" s="1430" t="s">
        <v>246</v>
      </c>
      <c r="J5" s="1408" t="s">
        <v>792</v>
      </c>
      <c r="K5" s="1408" t="s">
        <v>793</v>
      </c>
      <c r="L5" s="1408" t="s">
        <v>794</v>
      </c>
      <c r="M5" s="1408" t="s">
        <v>817</v>
      </c>
      <c r="N5" s="1408" t="s">
        <v>816</v>
      </c>
      <c r="O5" s="1408" t="s">
        <v>818</v>
      </c>
      <c r="P5" s="1408" t="s">
        <v>820</v>
      </c>
      <c r="Q5" s="1408" t="s">
        <v>819</v>
      </c>
      <c r="R5" s="1408"/>
      <c r="S5" s="1408" t="s">
        <v>1283</v>
      </c>
      <c r="T5" s="1408" t="s">
        <v>799</v>
      </c>
      <c r="U5" s="1408" t="s">
        <v>1121</v>
      </c>
      <c r="V5" s="669"/>
      <c r="W5" s="1429" t="s">
        <v>246</v>
      </c>
      <c r="X5" s="1408" t="s">
        <v>1781</v>
      </c>
      <c r="Y5" s="1408" t="s">
        <v>815</v>
      </c>
      <c r="Z5" s="1431" t="s">
        <v>809</v>
      </c>
      <c r="AA5" s="1408" t="s">
        <v>810</v>
      </c>
      <c r="AC5" s="1408" t="s">
        <v>814</v>
      </c>
      <c r="AD5" s="1408" t="s">
        <v>823</v>
      </c>
      <c r="AE5" s="1408" t="s">
        <v>1782</v>
      </c>
      <c r="AF5" s="1408" t="s">
        <v>1775</v>
      </c>
      <c r="AG5" s="1408" t="s">
        <v>1776</v>
      </c>
      <c r="AH5" s="1123"/>
    </row>
    <row r="6" spans="1:35" s="170" customFormat="1" ht="15" customHeight="1" x14ac:dyDescent="0.3">
      <c r="A6" s="591"/>
      <c r="B6" s="1397"/>
      <c r="C6" s="670"/>
      <c r="D6" s="1397"/>
      <c r="E6" s="1397"/>
      <c r="F6" s="1397"/>
      <c r="G6" s="1397"/>
      <c r="H6" s="670"/>
      <c r="I6" s="1430"/>
      <c r="J6" s="1408"/>
      <c r="K6" s="1408"/>
      <c r="L6" s="1408"/>
      <c r="M6" s="1408"/>
      <c r="N6" s="1408"/>
      <c r="O6" s="1408"/>
      <c r="P6" s="1408"/>
      <c r="Q6" s="1422"/>
      <c r="R6" s="1422"/>
      <c r="S6" s="1408"/>
      <c r="T6" s="1408"/>
      <c r="U6" s="1408"/>
      <c r="V6" s="669"/>
      <c r="W6" s="1430"/>
      <c r="X6" s="1408"/>
      <c r="Y6" s="1408"/>
      <c r="Z6" s="1431"/>
      <c r="AA6" s="1408"/>
      <c r="AC6" s="1408"/>
      <c r="AD6" s="1408"/>
      <c r="AE6" s="1408"/>
      <c r="AF6" s="1408"/>
      <c r="AG6" s="1408"/>
      <c r="AH6" s="1123"/>
    </row>
    <row r="7" spans="1:35" s="170" customFormat="1" ht="27.75" customHeight="1" x14ac:dyDescent="0.3">
      <c r="A7" s="591"/>
      <c r="B7" s="1397"/>
      <c r="C7" s="670"/>
      <c r="D7" s="1397"/>
      <c r="E7" s="1397"/>
      <c r="F7" s="1397"/>
      <c r="G7" s="1397"/>
      <c r="H7" s="670"/>
      <c r="I7" s="1430"/>
      <c r="J7" s="1408"/>
      <c r="K7" s="1408"/>
      <c r="L7" s="1408"/>
      <c r="M7" s="1408"/>
      <c r="N7" s="1408"/>
      <c r="O7" s="1408"/>
      <c r="P7" s="1408"/>
      <c r="Q7" s="669" t="s">
        <v>821</v>
      </c>
      <c r="R7" s="669" t="s">
        <v>822</v>
      </c>
      <c r="S7" s="1408"/>
      <c r="T7" s="1408"/>
      <c r="U7" s="1408"/>
      <c r="V7" s="669"/>
      <c r="W7" s="1430"/>
      <c r="X7" s="1408"/>
      <c r="Y7" s="1408"/>
      <c r="Z7" s="1431"/>
      <c r="AA7" s="1408"/>
      <c r="AC7" s="1408"/>
      <c r="AD7" s="1408"/>
      <c r="AE7" s="1408"/>
      <c r="AF7" s="1408"/>
      <c r="AG7" s="1408"/>
      <c r="AH7" s="1123"/>
    </row>
    <row r="8" spans="1:35" ht="55.5" customHeight="1" x14ac:dyDescent="0.3">
      <c r="A8" s="411"/>
      <c r="B8" s="400" t="s">
        <v>457</v>
      </c>
      <c r="C8" s="400"/>
      <c r="D8" s="400" t="s">
        <v>791</v>
      </c>
      <c r="E8" s="672" t="s">
        <v>457</v>
      </c>
      <c r="F8" s="672" t="s">
        <v>457</v>
      </c>
      <c r="G8" s="671" t="s">
        <v>1846</v>
      </c>
      <c r="H8" s="400"/>
      <c r="I8" s="672" t="s">
        <v>457</v>
      </c>
      <c r="J8" s="671" t="s">
        <v>796</v>
      </c>
      <c r="K8" s="671" t="s">
        <v>795</v>
      </c>
      <c r="L8" s="671" t="s">
        <v>797</v>
      </c>
      <c r="M8" s="671" t="s">
        <v>806</v>
      </c>
      <c r="N8" s="671" t="s">
        <v>808</v>
      </c>
      <c r="O8" s="671" t="s">
        <v>805</v>
      </c>
      <c r="P8" s="671" t="s">
        <v>804</v>
      </c>
      <c r="Q8" s="671" t="s">
        <v>803</v>
      </c>
      <c r="R8" s="671" t="s">
        <v>802</v>
      </c>
      <c r="S8" s="671" t="s">
        <v>1284</v>
      </c>
      <c r="T8" s="671" t="s">
        <v>800</v>
      </c>
      <c r="U8" s="671" t="s">
        <v>732</v>
      </c>
      <c r="V8" s="672"/>
      <c r="W8" s="672" t="s">
        <v>457</v>
      </c>
      <c r="X8" s="671" t="s">
        <v>1780</v>
      </c>
      <c r="Y8" s="671" t="s">
        <v>807</v>
      </c>
      <c r="Z8" s="671" t="s">
        <v>812</v>
      </c>
      <c r="AA8" s="671" t="s">
        <v>811</v>
      </c>
      <c r="AC8" s="671" t="s">
        <v>813</v>
      </c>
      <c r="AD8" s="671" t="s">
        <v>801</v>
      </c>
      <c r="AE8" s="1125" t="s">
        <v>798</v>
      </c>
      <c r="AF8" s="1125" t="s">
        <v>1778</v>
      </c>
      <c r="AG8" s="1125" t="s">
        <v>1779</v>
      </c>
      <c r="AH8" s="593"/>
      <c r="AI8" s="604" t="s">
        <v>1096</v>
      </c>
    </row>
    <row r="9" spans="1:35" ht="10.5" customHeight="1" x14ac:dyDescent="0.3">
      <c r="A9" s="268">
        <v>1960</v>
      </c>
      <c r="B9" s="603">
        <f>D9+E9+F9+G9</f>
        <v>504286.94903999998</v>
      </c>
      <c r="C9" s="603"/>
      <c r="D9" s="277">
        <f>'T-T1'!B9</f>
        <v>479858.94903999998</v>
      </c>
      <c r="E9" s="277">
        <f>I9</f>
        <v>22993</v>
      </c>
      <c r="F9" s="277">
        <f t="shared" ref="F9:F61" si="0">W9</f>
        <v>529</v>
      </c>
      <c r="G9" s="280">
        <f t="shared" ref="G9:G27" si="1">AC9-E9-F9+SUM(U9)-AF9-AG9</f>
        <v>906</v>
      </c>
      <c r="H9" s="1286"/>
      <c r="I9" s="603">
        <f>SUM(J9:U9)</f>
        <v>22993</v>
      </c>
      <c r="J9" s="270">
        <v>11130</v>
      </c>
      <c r="K9" s="601">
        <v>949</v>
      </c>
      <c r="L9" s="601">
        <v>3079</v>
      </c>
      <c r="M9" s="601">
        <v>3745</v>
      </c>
      <c r="N9" s="601">
        <v>660</v>
      </c>
      <c r="O9" s="601">
        <v>60</v>
      </c>
      <c r="P9" s="601">
        <v>432</v>
      </c>
      <c r="Q9" s="601" t="s">
        <v>50</v>
      </c>
      <c r="R9" s="601">
        <v>1947</v>
      </c>
      <c r="S9" s="601" t="s">
        <v>50</v>
      </c>
      <c r="T9" s="280">
        <v>991</v>
      </c>
      <c r="U9" s="601" t="s">
        <v>50</v>
      </c>
      <c r="V9" s="280"/>
      <c r="W9" s="617">
        <f t="shared" ref="W9:W40" si="2">SUM(X9:AA9)</f>
        <v>529</v>
      </c>
      <c r="X9" s="280" t="s">
        <v>50</v>
      </c>
      <c r="Y9" s="601" t="s">
        <v>50</v>
      </c>
      <c r="Z9" s="607" t="s">
        <v>50</v>
      </c>
      <c r="AA9" s="280">
        <v>529</v>
      </c>
      <c r="AC9" s="272">
        <v>24428</v>
      </c>
      <c r="AD9" s="601" t="s">
        <v>50</v>
      </c>
      <c r="AE9" s="280">
        <v>0</v>
      </c>
      <c r="AF9" s="277">
        <v>0</v>
      </c>
      <c r="AG9" s="277">
        <v>0</v>
      </c>
      <c r="AH9" s="277"/>
      <c r="AI9" s="280">
        <f>'C1-Incomes'!R8-B9</f>
        <v>0</v>
      </c>
    </row>
    <row r="10" spans="1:35" ht="10.5" customHeight="1" x14ac:dyDescent="0.3">
      <c r="A10" s="268">
        <v>1961</v>
      </c>
      <c r="B10" s="603"/>
      <c r="C10" s="603"/>
      <c r="D10" s="277"/>
      <c r="E10" s="277">
        <f t="shared" ref="E10:E62" si="3">I10</f>
        <v>26335</v>
      </c>
      <c r="F10" s="277">
        <f t="shared" si="0"/>
        <v>696</v>
      </c>
      <c r="G10" s="280">
        <f t="shared" si="1"/>
        <v>1058</v>
      </c>
      <c r="H10" s="603"/>
      <c r="I10" s="603">
        <f t="shared" ref="I10:I65" si="4">SUM(J10:U10)</f>
        <v>26335</v>
      </c>
      <c r="J10" s="270">
        <v>12614</v>
      </c>
      <c r="K10" s="601">
        <v>994</v>
      </c>
      <c r="L10" s="601">
        <v>4401</v>
      </c>
      <c r="M10" s="601">
        <v>3827</v>
      </c>
      <c r="N10" s="601">
        <v>905</v>
      </c>
      <c r="O10" s="601">
        <v>62</v>
      </c>
      <c r="P10" s="601">
        <v>480</v>
      </c>
      <c r="Q10" s="601" t="s">
        <v>50</v>
      </c>
      <c r="R10" s="601">
        <v>1906</v>
      </c>
      <c r="S10" s="601" t="s">
        <v>50</v>
      </c>
      <c r="T10" s="280">
        <v>1146</v>
      </c>
      <c r="U10" s="601" t="s">
        <v>50</v>
      </c>
      <c r="V10" s="280"/>
      <c r="W10" s="617">
        <f t="shared" si="2"/>
        <v>696</v>
      </c>
      <c r="X10" s="280" t="s">
        <v>50</v>
      </c>
      <c r="Y10" s="601" t="s">
        <v>50</v>
      </c>
      <c r="Z10" s="607">
        <v>7</v>
      </c>
      <c r="AA10" s="280">
        <v>689</v>
      </c>
      <c r="AC10" s="272">
        <v>28089</v>
      </c>
      <c r="AD10" s="601" t="s">
        <v>50</v>
      </c>
      <c r="AE10" s="280">
        <v>0</v>
      </c>
      <c r="AF10" s="277">
        <v>0</v>
      </c>
      <c r="AG10" s="277">
        <v>0</v>
      </c>
      <c r="AH10" s="277"/>
      <c r="AI10" s="280"/>
    </row>
    <row r="11" spans="1:35" ht="10.5" customHeight="1" x14ac:dyDescent="0.3">
      <c r="A11" s="268">
        <v>1962</v>
      </c>
      <c r="B11" s="603">
        <f>D11+E11+F11+G11</f>
        <v>564030.89294000005</v>
      </c>
      <c r="C11" s="603"/>
      <c r="D11" s="277">
        <f>'T-T1'!B11</f>
        <v>535187.89294000005</v>
      </c>
      <c r="E11" s="277">
        <f t="shared" si="3"/>
        <v>26866</v>
      </c>
      <c r="F11" s="277">
        <f t="shared" si="0"/>
        <v>944</v>
      </c>
      <c r="G11" s="280">
        <f t="shared" si="1"/>
        <v>1033</v>
      </c>
      <c r="H11" s="603"/>
      <c r="I11" s="603">
        <f t="shared" si="4"/>
        <v>26866</v>
      </c>
      <c r="J11" s="270">
        <v>14298</v>
      </c>
      <c r="K11" s="601">
        <v>1040</v>
      </c>
      <c r="L11" s="601">
        <v>3182</v>
      </c>
      <c r="M11" s="601">
        <v>3841</v>
      </c>
      <c r="N11" s="601">
        <v>687</v>
      </c>
      <c r="O11" s="601">
        <v>66</v>
      </c>
      <c r="P11" s="601">
        <v>533</v>
      </c>
      <c r="Q11" s="601" t="s">
        <v>50</v>
      </c>
      <c r="R11" s="601">
        <v>1931</v>
      </c>
      <c r="S11" s="601" t="s">
        <v>50</v>
      </c>
      <c r="T11" s="280">
        <v>1288</v>
      </c>
      <c r="U11" s="601" t="s">
        <v>50</v>
      </c>
      <c r="V11" s="280"/>
      <c r="W11" s="617">
        <f t="shared" si="2"/>
        <v>944</v>
      </c>
      <c r="X11" s="280" t="s">
        <v>50</v>
      </c>
      <c r="Y11" s="601" t="s">
        <v>50</v>
      </c>
      <c r="Z11" s="607">
        <v>14</v>
      </c>
      <c r="AA11" s="280">
        <v>930</v>
      </c>
      <c r="AC11" s="277">
        <v>28843</v>
      </c>
      <c r="AD11" s="601" t="s">
        <v>50</v>
      </c>
      <c r="AE11" s="280">
        <v>0</v>
      </c>
      <c r="AF11" s="277">
        <v>0</v>
      </c>
      <c r="AG11" s="277">
        <v>0</v>
      </c>
      <c r="AH11" s="277"/>
      <c r="AI11" s="280">
        <f>'C1-Incomes'!R10-B11</f>
        <v>0</v>
      </c>
    </row>
    <row r="12" spans="1:35" ht="10.5" customHeight="1" x14ac:dyDescent="0.3">
      <c r="A12" s="268">
        <v>1963</v>
      </c>
      <c r="B12" s="603"/>
      <c r="C12" s="603"/>
      <c r="D12" s="277"/>
      <c r="E12" s="277">
        <f t="shared" si="3"/>
        <v>28142</v>
      </c>
      <c r="F12" s="277">
        <f t="shared" si="0"/>
        <v>1096</v>
      </c>
      <c r="G12" s="280">
        <f t="shared" si="1"/>
        <v>1103</v>
      </c>
      <c r="H12" s="603"/>
      <c r="I12" s="603">
        <f t="shared" si="4"/>
        <v>28142</v>
      </c>
      <c r="J12" s="270">
        <v>15245</v>
      </c>
      <c r="K12" s="601">
        <v>1070</v>
      </c>
      <c r="L12" s="601">
        <v>3061</v>
      </c>
      <c r="M12" s="601">
        <v>3926</v>
      </c>
      <c r="N12" s="601">
        <v>806</v>
      </c>
      <c r="O12" s="601">
        <v>69</v>
      </c>
      <c r="P12" s="601">
        <v>596</v>
      </c>
      <c r="Q12" s="601" t="s">
        <v>50</v>
      </c>
      <c r="R12" s="601">
        <v>2013</v>
      </c>
      <c r="S12" s="601" t="s">
        <v>50</v>
      </c>
      <c r="T12" s="280">
        <v>1356</v>
      </c>
      <c r="U12" s="601" t="s">
        <v>50</v>
      </c>
      <c r="V12" s="280"/>
      <c r="W12" s="617">
        <f t="shared" si="2"/>
        <v>1096</v>
      </c>
      <c r="X12" s="280" t="s">
        <v>50</v>
      </c>
      <c r="Y12" s="601" t="s">
        <v>50</v>
      </c>
      <c r="Z12" s="607">
        <v>26</v>
      </c>
      <c r="AA12" s="280">
        <v>1070</v>
      </c>
      <c r="AC12" s="277">
        <v>30341</v>
      </c>
      <c r="AD12" s="601" t="s">
        <v>50</v>
      </c>
      <c r="AE12" s="280">
        <v>0</v>
      </c>
      <c r="AF12" s="277">
        <v>0</v>
      </c>
      <c r="AG12" s="277">
        <v>0</v>
      </c>
      <c r="AH12" s="277"/>
      <c r="AI12" s="280"/>
    </row>
    <row r="13" spans="1:35" ht="10.5" customHeight="1" x14ac:dyDescent="0.3">
      <c r="A13" s="268">
        <v>1964</v>
      </c>
      <c r="B13" s="603">
        <f>D13+E13+F13+G13</f>
        <v>639657.22254999995</v>
      </c>
      <c r="C13" s="603"/>
      <c r="D13" s="277">
        <f>'T-T1'!B13</f>
        <v>608340.22254999995</v>
      </c>
      <c r="E13" s="277">
        <f t="shared" si="3"/>
        <v>28755</v>
      </c>
      <c r="F13" s="277">
        <f t="shared" si="0"/>
        <v>1283</v>
      </c>
      <c r="G13" s="280">
        <f t="shared" si="1"/>
        <v>1279</v>
      </c>
      <c r="H13" s="603"/>
      <c r="I13" s="603">
        <f t="shared" si="4"/>
        <v>28755</v>
      </c>
      <c r="J13" s="270">
        <v>16018</v>
      </c>
      <c r="K13" s="601">
        <v>1097</v>
      </c>
      <c r="L13" s="601">
        <v>2776</v>
      </c>
      <c r="M13" s="601">
        <v>3987</v>
      </c>
      <c r="N13" s="601">
        <v>621</v>
      </c>
      <c r="O13" s="601">
        <v>72</v>
      </c>
      <c r="P13" s="601">
        <v>633</v>
      </c>
      <c r="Q13" s="601" t="s">
        <v>50</v>
      </c>
      <c r="R13" s="601">
        <v>2051</v>
      </c>
      <c r="S13" s="601" t="s">
        <v>50</v>
      </c>
      <c r="T13" s="280">
        <v>1500</v>
      </c>
      <c r="U13" s="601" t="s">
        <v>50</v>
      </c>
      <c r="V13" s="280"/>
      <c r="W13" s="617">
        <f t="shared" si="2"/>
        <v>1283</v>
      </c>
      <c r="X13" s="280" t="s">
        <v>50</v>
      </c>
      <c r="Y13" s="601" t="s">
        <v>50</v>
      </c>
      <c r="Z13" s="607">
        <v>28</v>
      </c>
      <c r="AA13" s="280">
        <v>1255</v>
      </c>
      <c r="AC13" s="277">
        <v>31317</v>
      </c>
      <c r="AD13" s="601" t="s">
        <v>50</v>
      </c>
      <c r="AE13" s="280">
        <v>0</v>
      </c>
      <c r="AF13" s="277">
        <v>0</v>
      </c>
      <c r="AG13" s="277">
        <v>0</v>
      </c>
      <c r="AH13" s="277"/>
      <c r="AI13" s="280">
        <f>'C1-Incomes'!R12-B13</f>
        <v>0</v>
      </c>
    </row>
    <row r="14" spans="1:35" ht="10.5" customHeight="1" x14ac:dyDescent="0.3">
      <c r="A14" s="268">
        <v>1965</v>
      </c>
      <c r="B14" s="603"/>
      <c r="C14" s="603"/>
      <c r="D14" s="277"/>
      <c r="E14" s="277">
        <f t="shared" si="3"/>
        <v>30882</v>
      </c>
      <c r="F14" s="277">
        <f t="shared" si="0"/>
        <v>1521</v>
      </c>
      <c r="G14" s="280">
        <f t="shared" si="1"/>
        <v>1510</v>
      </c>
      <c r="H14" s="603"/>
      <c r="I14" s="603">
        <f t="shared" si="4"/>
        <v>30882</v>
      </c>
      <c r="J14" s="270">
        <v>18067</v>
      </c>
      <c r="K14" s="601">
        <v>1140</v>
      </c>
      <c r="L14" s="601">
        <v>2365</v>
      </c>
      <c r="M14" s="601">
        <v>4193</v>
      </c>
      <c r="N14" s="601">
        <v>632</v>
      </c>
      <c r="O14" s="601">
        <v>74</v>
      </c>
      <c r="P14" s="601">
        <v>663</v>
      </c>
      <c r="Q14" s="601" t="s">
        <v>50</v>
      </c>
      <c r="R14" s="601">
        <v>2098</v>
      </c>
      <c r="S14" s="601" t="s">
        <v>50</v>
      </c>
      <c r="T14" s="280">
        <v>1650</v>
      </c>
      <c r="U14" s="601" t="s">
        <v>50</v>
      </c>
      <c r="V14" s="280"/>
      <c r="W14" s="617">
        <f t="shared" si="2"/>
        <v>1521</v>
      </c>
      <c r="X14" s="280" t="s">
        <v>50</v>
      </c>
      <c r="Y14" s="601" t="s">
        <v>50</v>
      </c>
      <c r="Z14" s="607">
        <v>45</v>
      </c>
      <c r="AA14" s="280">
        <v>1476</v>
      </c>
      <c r="AC14" s="277">
        <v>33913</v>
      </c>
      <c r="AD14" s="601" t="s">
        <v>50</v>
      </c>
      <c r="AE14" s="280">
        <v>0</v>
      </c>
      <c r="AF14" s="277">
        <v>0</v>
      </c>
      <c r="AG14" s="277">
        <v>0</v>
      </c>
      <c r="AH14" s="277"/>
      <c r="AI14" s="280"/>
    </row>
    <row r="15" spans="1:35" ht="10.5" customHeight="1" x14ac:dyDescent="0.3">
      <c r="A15" s="268">
        <v>1966</v>
      </c>
      <c r="B15" s="603">
        <f>D15+E15+F15+G15</f>
        <v>756875.75590999995</v>
      </c>
      <c r="C15" s="603"/>
      <c r="D15" s="277">
        <f>'T-T1'!B15</f>
        <v>719693.75590999995</v>
      </c>
      <c r="E15" s="277">
        <f>I15</f>
        <v>32536</v>
      </c>
      <c r="F15" s="277">
        <f>W15</f>
        <v>2760</v>
      </c>
      <c r="G15" s="280">
        <f>AC15-E15-F15+SUM(U15)-AF15-AG15</f>
        <v>1886</v>
      </c>
      <c r="H15" s="603"/>
      <c r="I15" s="603">
        <f t="shared" si="4"/>
        <v>32536</v>
      </c>
      <c r="J15" s="270">
        <v>19786</v>
      </c>
      <c r="K15" s="601">
        <v>1202</v>
      </c>
      <c r="L15" s="601">
        <v>1913</v>
      </c>
      <c r="M15" s="601">
        <v>4121</v>
      </c>
      <c r="N15" s="601">
        <v>677</v>
      </c>
      <c r="O15" s="601">
        <v>82</v>
      </c>
      <c r="P15" s="601">
        <v>700</v>
      </c>
      <c r="Q15" s="601" t="s">
        <v>50</v>
      </c>
      <c r="R15" s="601">
        <v>2201</v>
      </c>
      <c r="S15" s="601" t="s">
        <v>50</v>
      </c>
      <c r="T15" s="280">
        <v>1854</v>
      </c>
      <c r="U15" s="601" t="s">
        <v>50</v>
      </c>
      <c r="V15" s="280"/>
      <c r="W15" s="617">
        <f t="shared" si="2"/>
        <v>2760</v>
      </c>
      <c r="X15" s="272">
        <f>AE15-AF15-AG15</f>
        <v>686</v>
      </c>
      <c r="Y15" s="601" t="s">
        <v>50</v>
      </c>
      <c r="Z15" s="607">
        <v>84</v>
      </c>
      <c r="AA15" s="280">
        <v>1990</v>
      </c>
      <c r="AC15" s="277">
        <v>37504</v>
      </c>
      <c r="AD15" s="601" t="s">
        <v>50</v>
      </c>
      <c r="AE15" s="272">
        <v>1008</v>
      </c>
      <c r="AF15" s="1193">
        <v>322</v>
      </c>
      <c r="AG15" s="277">
        <v>0</v>
      </c>
      <c r="AH15" s="277"/>
      <c r="AI15" s="280">
        <f>'C1-Incomes'!R14-B15</f>
        <v>0</v>
      </c>
    </row>
    <row r="16" spans="1:35" ht="10.5" customHeight="1" x14ac:dyDescent="0.3">
      <c r="A16" s="268">
        <v>1967</v>
      </c>
      <c r="B16" s="603">
        <f t="shared" ref="B16:B63" si="5">D16+E16+F16+G16</f>
        <v>805309.31680999999</v>
      </c>
      <c r="C16" s="603"/>
      <c r="D16" s="277">
        <f>'T-T1'!B16</f>
        <v>760197.31680999999</v>
      </c>
      <c r="E16" s="277">
        <f t="shared" si="3"/>
        <v>35642</v>
      </c>
      <c r="F16" s="277">
        <f t="shared" si="0"/>
        <v>7090</v>
      </c>
      <c r="G16" s="280">
        <f t="shared" si="1"/>
        <v>2380</v>
      </c>
      <c r="H16" s="603"/>
      <c r="I16" s="603">
        <f t="shared" si="4"/>
        <v>35642</v>
      </c>
      <c r="J16" s="270">
        <v>21122</v>
      </c>
      <c r="K16" s="601">
        <v>1308</v>
      </c>
      <c r="L16" s="601">
        <v>2237</v>
      </c>
      <c r="M16" s="601">
        <v>4753</v>
      </c>
      <c r="N16" s="601">
        <v>759</v>
      </c>
      <c r="O16" s="601">
        <v>93</v>
      </c>
      <c r="P16" s="601">
        <v>754</v>
      </c>
      <c r="Q16" s="601" t="s">
        <v>50</v>
      </c>
      <c r="R16" s="601">
        <v>2360</v>
      </c>
      <c r="S16" s="601" t="s">
        <v>50</v>
      </c>
      <c r="T16" s="280">
        <v>2256</v>
      </c>
      <c r="U16" s="601" t="s">
        <v>50</v>
      </c>
      <c r="V16" s="280"/>
      <c r="W16" s="617">
        <f t="shared" si="2"/>
        <v>7090</v>
      </c>
      <c r="X16" s="272">
        <f t="shared" ref="X16:X65" si="6">AE16-AF16-AG16</f>
        <v>4059</v>
      </c>
      <c r="Y16" s="601">
        <v>112</v>
      </c>
      <c r="Z16" s="607">
        <v>139</v>
      </c>
      <c r="AA16" s="280">
        <v>2780</v>
      </c>
      <c r="AC16" s="277">
        <v>45752</v>
      </c>
      <c r="AD16" s="601" t="s">
        <v>50</v>
      </c>
      <c r="AE16" s="272">
        <v>4699</v>
      </c>
      <c r="AF16" s="1193">
        <v>640</v>
      </c>
      <c r="AG16" s="277">
        <v>0</v>
      </c>
      <c r="AH16" s="277"/>
      <c r="AI16" s="280">
        <f>'C1-Incomes'!R15-B16</f>
        <v>0</v>
      </c>
    </row>
    <row r="17" spans="1:35" ht="10.5" customHeight="1" x14ac:dyDescent="0.3">
      <c r="A17" s="268">
        <v>1968</v>
      </c>
      <c r="B17" s="603">
        <f t="shared" si="5"/>
        <v>884542.07926000003</v>
      </c>
      <c r="C17" s="603"/>
      <c r="D17" s="277">
        <f>'T-T1'!B17</f>
        <v>832068.07926000003</v>
      </c>
      <c r="E17" s="277">
        <f t="shared" si="3"/>
        <v>40238</v>
      </c>
      <c r="F17" s="277">
        <f t="shared" si="0"/>
        <v>9459</v>
      </c>
      <c r="G17" s="280">
        <f t="shared" si="1"/>
        <v>2777</v>
      </c>
      <c r="H17" s="603"/>
      <c r="I17" s="603">
        <f t="shared" si="4"/>
        <v>40238</v>
      </c>
      <c r="J17" s="270">
        <v>24598</v>
      </c>
      <c r="K17" s="601">
        <v>1471</v>
      </c>
      <c r="L17" s="601">
        <v>2207</v>
      </c>
      <c r="M17" s="601">
        <v>5091</v>
      </c>
      <c r="N17" s="601">
        <v>713</v>
      </c>
      <c r="O17" s="601">
        <v>104</v>
      </c>
      <c r="P17" s="601">
        <v>811</v>
      </c>
      <c r="Q17" s="601" t="s">
        <v>50</v>
      </c>
      <c r="R17" s="601">
        <v>2419</v>
      </c>
      <c r="S17" s="601" t="s">
        <v>50</v>
      </c>
      <c r="T17" s="280">
        <v>2824</v>
      </c>
      <c r="U17" s="601" t="s">
        <v>50</v>
      </c>
      <c r="V17" s="280"/>
      <c r="W17" s="617">
        <f t="shared" si="2"/>
        <v>9459</v>
      </c>
      <c r="X17" s="272">
        <f t="shared" si="6"/>
        <v>5058</v>
      </c>
      <c r="Y17" s="601">
        <v>148</v>
      </c>
      <c r="Z17" s="607">
        <v>198</v>
      </c>
      <c r="AA17" s="280">
        <v>4055</v>
      </c>
      <c r="AC17" s="277">
        <v>53306</v>
      </c>
      <c r="AD17" s="601" t="s">
        <v>50</v>
      </c>
      <c r="AE17" s="272">
        <v>5890</v>
      </c>
      <c r="AF17" s="1193">
        <v>832</v>
      </c>
      <c r="AG17" s="277">
        <v>0</v>
      </c>
      <c r="AH17" s="277"/>
      <c r="AI17" s="280">
        <f>'C1-Incomes'!R16-B17</f>
        <v>0</v>
      </c>
    </row>
    <row r="18" spans="1:35" ht="10.5" customHeight="1" x14ac:dyDescent="0.3">
      <c r="A18" s="268">
        <v>1969</v>
      </c>
      <c r="B18" s="603">
        <f t="shared" si="5"/>
        <v>957579.59916999994</v>
      </c>
      <c r="C18" s="603"/>
      <c r="D18" s="277">
        <f>'T-T1'!B18</f>
        <v>899520.59916999994</v>
      </c>
      <c r="E18" s="277">
        <f t="shared" si="3"/>
        <v>43966</v>
      </c>
      <c r="F18" s="277">
        <f t="shared" si="0"/>
        <v>10839</v>
      </c>
      <c r="G18" s="280">
        <f t="shared" si="1"/>
        <v>3254</v>
      </c>
      <c r="H18" s="603"/>
      <c r="I18" s="603">
        <f t="shared" si="4"/>
        <v>43966</v>
      </c>
      <c r="J18" s="270">
        <v>26382</v>
      </c>
      <c r="K18" s="601">
        <v>1541</v>
      </c>
      <c r="L18" s="601">
        <v>2327</v>
      </c>
      <c r="M18" s="601">
        <v>5798</v>
      </c>
      <c r="N18" s="601">
        <v>739</v>
      </c>
      <c r="O18" s="601">
        <v>121</v>
      </c>
      <c r="P18" s="601">
        <v>886</v>
      </c>
      <c r="Q18" s="601" t="s">
        <v>50</v>
      </c>
      <c r="R18" s="601">
        <v>2627</v>
      </c>
      <c r="S18" s="601" t="s">
        <v>50</v>
      </c>
      <c r="T18" s="280">
        <v>3545</v>
      </c>
      <c r="U18" s="601" t="s">
        <v>50</v>
      </c>
      <c r="V18" s="280"/>
      <c r="W18" s="617">
        <f t="shared" si="2"/>
        <v>10839</v>
      </c>
      <c r="X18" s="272">
        <f t="shared" si="6"/>
        <v>5781</v>
      </c>
      <c r="Y18" s="601">
        <v>178</v>
      </c>
      <c r="Z18" s="607">
        <v>264</v>
      </c>
      <c r="AA18" s="280">
        <v>4616</v>
      </c>
      <c r="AC18" s="277">
        <v>58973</v>
      </c>
      <c r="AD18" s="601" t="s">
        <v>50</v>
      </c>
      <c r="AE18" s="272">
        <v>6695</v>
      </c>
      <c r="AF18" s="1193">
        <v>914</v>
      </c>
      <c r="AG18" s="277">
        <v>0</v>
      </c>
      <c r="AH18" s="277"/>
      <c r="AI18" s="280">
        <f>'C1-Incomes'!R17-B18</f>
        <v>0</v>
      </c>
    </row>
    <row r="19" spans="1:35" ht="10.5" customHeight="1" x14ac:dyDescent="0.3">
      <c r="A19" s="268">
        <v>1970</v>
      </c>
      <c r="B19" s="603">
        <f t="shared" si="5"/>
        <v>1010789.70322</v>
      </c>
      <c r="C19" s="603"/>
      <c r="D19" s="277">
        <f>'T-T1'!B19</f>
        <v>940148.70322000002</v>
      </c>
      <c r="E19" s="277">
        <f t="shared" si="3"/>
        <v>53560</v>
      </c>
      <c r="F19" s="277">
        <f t="shared" si="0"/>
        <v>13002</v>
      </c>
      <c r="G19" s="280">
        <f t="shared" si="1"/>
        <v>4079</v>
      </c>
      <c r="H19" s="603"/>
      <c r="I19" s="603">
        <f t="shared" si="4"/>
        <v>53560</v>
      </c>
      <c r="J19" s="270">
        <v>31380</v>
      </c>
      <c r="K19" s="601">
        <v>1745</v>
      </c>
      <c r="L19" s="601">
        <v>4186</v>
      </c>
      <c r="M19" s="601">
        <v>6587</v>
      </c>
      <c r="N19" s="601">
        <v>788</v>
      </c>
      <c r="O19" s="601">
        <v>147</v>
      </c>
      <c r="P19" s="601">
        <v>938</v>
      </c>
      <c r="Q19" s="601" t="s">
        <v>50</v>
      </c>
      <c r="R19" s="601">
        <v>2953</v>
      </c>
      <c r="S19" s="601" t="s">
        <v>50</v>
      </c>
      <c r="T19" s="280">
        <v>4836</v>
      </c>
      <c r="U19" s="601" t="s">
        <v>50</v>
      </c>
      <c r="V19" s="280"/>
      <c r="W19" s="617">
        <f t="shared" si="2"/>
        <v>13002</v>
      </c>
      <c r="X19" s="272">
        <f t="shared" si="6"/>
        <v>6158</v>
      </c>
      <c r="Y19" s="601">
        <v>211</v>
      </c>
      <c r="Z19" s="607">
        <v>1103</v>
      </c>
      <c r="AA19" s="280">
        <v>5530</v>
      </c>
      <c r="AC19" s="277">
        <v>71737</v>
      </c>
      <c r="AD19" s="601" t="s">
        <v>50</v>
      </c>
      <c r="AE19" s="272">
        <v>7254</v>
      </c>
      <c r="AF19" s="1193">
        <v>1096</v>
      </c>
      <c r="AG19" s="277">
        <v>0</v>
      </c>
      <c r="AH19" s="277"/>
      <c r="AI19" s="280">
        <f>'C1-Incomes'!R18-B19</f>
        <v>-2.0000035874545574E-5</v>
      </c>
    </row>
    <row r="20" spans="1:35" ht="10.5" customHeight="1" x14ac:dyDescent="0.3">
      <c r="A20" s="268">
        <v>1971</v>
      </c>
      <c r="B20" s="603">
        <f t="shared" si="5"/>
        <v>1101126.3473</v>
      </c>
      <c r="C20" s="603"/>
      <c r="D20" s="277">
        <f>'T-T1'!B20</f>
        <v>1017016.3473</v>
      </c>
      <c r="E20" s="277">
        <f t="shared" si="3"/>
        <v>63637</v>
      </c>
      <c r="F20" s="277">
        <f t="shared" si="0"/>
        <v>15511</v>
      </c>
      <c r="G20" s="280">
        <f t="shared" si="1"/>
        <v>4962</v>
      </c>
      <c r="H20" s="603"/>
      <c r="I20" s="603">
        <f t="shared" si="4"/>
        <v>63637</v>
      </c>
      <c r="J20" s="270">
        <v>36617</v>
      </c>
      <c r="K20" s="601">
        <v>1995</v>
      </c>
      <c r="L20" s="601">
        <v>6160</v>
      </c>
      <c r="M20" s="601">
        <v>7540</v>
      </c>
      <c r="N20" s="601">
        <v>797</v>
      </c>
      <c r="O20" s="601">
        <v>176</v>
      </c>
      <c r="P20" s="601">
        <v>985</v>
      </c>
      <c r="Q20" s="601" t="s">
        <v>50</v>
      </c>
      <c r="R20" s="601">
        <v>3172</v>
      </c>
      <c r="S20" s="601" t="s">
        <v>50</v>
      </c>
      <c r="T20" s="280">
        <v>6195</v>
      </c>
      <c r="U20" s="601" t="s">
        <v>50</v>
      </c>
      <c r="V20" s="280"/>
      <c r="W20" s="617">
        <f t="shared" si="2"/>
        <v>15511</v>
      </c>
      <c r="X20" s="272">
        <f t="shared" si="6"/>
        <v>6747</v>
      </c>
      <c r="Y20" s="601">
        <v>237</v>
      </c>
      <c r="Z20" s="607">
        <v>1698</v>
      </c>
      <c r="AA20" s="280">
        <v>6829</v>
      </c>
      <c r="AC20" s="277">
        <v>85412</v>
      </c>
      <c r="AD20" s="601" t="s">
        <v>50</v>
      </c>
      <c r="AE20" s="272">
        <v>8049</v>
      </c>
      <c r="AF20" s="1193">
        <v>1302</v>
      </c>
      <c r="AG20" s="277">
        <v>0</v>
      </c>
      <c r="AH20" s="277"/>
      <c r="AI20" s="280">
        <f>'C1-Incomes'!R19-B20</f>
        <v>0</v>
      </c>
    </row>
    <row r="21" spans="1:35" ht="10.5" customHeight="1" x14ac:dyDescent="0.3">
      <c r="A21" s="268">
        <v>1972</v>
      </c>
      <c r="B21" s="603">
        <f t="shared" si="5"/>
        <v>1216401.8569</v>
      </c>
      <c r="C21" s="603"/>
      <c r="D21" s="277">
        <f>'T-T1'!B21</f>
        <v>1122975.8569</v>
      </c>
      <c r="E21" s="277">
        <f t="shared" si="3"/>
        <v>70037</v>
      </c>
      <c r="F21" s="277">
        <f t="shared" si="0"/>
        <v>18001</v>
      </c>
      <c r="G21" s="280">
        <f t="shared" si="1"/>
        <v>5388</v>
      </c>
      <c r="H21" s="603"/>
      <c r="I21" s="603">
        <f t="shared" si="4"/>
        <v>70037</v>
      </c>
      <c r="J21" s="270">
        <v>40948</v>
      </c>
      <c r="K21" s="601">
        <v>2154</v>
      </c>
      <c r="L21" s="601">
        <v>6033</v>
      </c>
      <c r="M21" s="601">
        <v>8504</v>
      </c>
      <c r="N21" s="601">
        <v>800</v>
      </c>
      <c r="O21" s="601">
        <v>203</v>
      </c>
      <c r="P21" s="601">
        <v>1107</v>
      </c>
      <c r="Q21" s="601" t="s">
        <v>50</v>
      </c>
      <c r="R21" s="601">
        <v>3365</v>
      </c>
      <c r="S21" s="601" t="s">
        <v>50</v>
      </c>
      <c r="T21" s="280">
        <v>6923</v>
      </c>
      <c r="U21" s="601" t="s">
        <v>50</v>
      </c>
      <c r="V21" s="280"/>
      <c r="W21" s="617">
        <f t="shared" si="2"/>
        <v>18001</v>
      </c>
      <c r="X21" s="272">
        <f t="shared" si="6"/>
        <v>7454</v>
      </c>
      <c r="Y21" s="601">
        <v>263</v>
      </c>
      <c r="Z21" s="607">
        <v>1980</v>
      </c>
      <c r="AA21" s="280">
        <v>8304</v>
      </c>
      <c r="AC21" s="277">
        <v>94808</v>
      </c>
      <c r="AD21" s="601" t="s">
        <v>50</v>
      </c>
      <c r="AE21" s="272">
        <v>8836</v>
      </c>
      <c r="AF21" s="1193">
        <v>1382</v>
      </c>
      <c r="AG21" s="277">
        <v>0</v>
      </c>
      <c r="AH21" s="277"/>
      <c r="AI21" s="280">
        <f>'C1-Incomes'!R20-B21</f>
        <v>0</v>
      </c>
    </row>
    <row r="22" spans="1:35" ht="10.5" customHeight="1" x14ac:dyDescent="0.3">
      <c r="A22" s="268">
        <v>1973</v>
      </c>
      <c r="B22" s="603">
        <f t="shared" si="5"/>
        <v>1364058.1410999999</v>
      </c>
      <c r="C22" s="603"/>
      <c r="D22" s="277">
        <f>'T-T1'!B22</f>
        <v>1256980.1410999999</v>
      </c>
      <c r="E22" s="277">
        <f t="shared" si="3"/>
        <v>80052</v>
      </c>
      <c r="F22" s="277">
        <f t="shared" si="0"/>
        <v>20908</v>
      </c>
      <c r="G22" s="280">
        <f t="shared" si="1"/>
        <v>6118</v>
      </c>
      <c r="H22" s="603"/>
      <c r="I22" s="603">
        <f t="shared" si="4"/>
        <v>80052</v>
      </c>
      <c r="J22" s="270">
        <v>50665</v>
      </c>
      <c r="K22" s="601">
        <v>2566</v>
      </c>
      <c r="L22" s="601">
        <v>4570</v>
      </c>
      <c r="M22" s="601">
        <v>9284</v>
      </c>
      <c r="N22" s="601">
        <v>817</v>
      </c>
      <c r="O22" s="601">
        <v>237</v>
      </c>
      <c r="P22" s="601">
        <v>1246</v>
      </c>
      <c r="Q22" s="601" t="s">
        <v>50</v>
      </c>
      <c r="R22" s="601">
        <v>3449</v>
      </c>
      <c r="S22" s="601" t="s">
        <v>50</v>
      </c>
      <c r="T22" s="280">
        <v>7218</v>
      </c>
      <c r="U22" s="601" t="s">
        <v>50</v>
      </c>
      <c r="V22" s="280"/>
      <c r="W22" s="617">
        <f t="shared" si="2"/>
        <v>20908</v>
      </c>
      <c r="X22" s="272">
        <f t="shared" si="6"/>
        <v>8694</v>
      </c>
      <c r="Y22" s="601">
        <v>286</v>
      </c>
      <c r="Z22" s="607">
        <v>2209</v>
      </c>
      <c r="AA22" s="280">
        <v>9719</v>
      </c>
      <c r="AC22" s="277">
        <v>108628</v>
      </c>
      <c r="AD22" s="601" t="s">
        <v>50</v>
      </c>
      <c r="AE22" s="272">
        <v>10244</v>
      </c>
      <c r="AF22" s="1193">
        <v>1550</v>
      </c>
      <c r="AG22" s="277">
        <v>0</v>
      </c>
      <c r="AH22" s="277"/>
      <c r="AI22" s="280">
        <f>'C1-Incomes'!R21-B22</f>
        <v>0</v>
      </c>
    </row>
    <row r="23" spans="1:35" ht="10.5" customHeight="1" x14ac:dyDescent="0.3">
      <c r="A23" s="268">
        <v>1974</v>
      </c>
      <c r="B23" s="603">
        <f t="shared" si="5"/>
        <v>1477521.412</v>
      </c>
      <c r="C23" s="603"/>
      <c r="D23" s="277">
        <f>'T-T1'!B23</f>
        <v>1350769.412</v>
      </c>
      <c r="E23" s="277">
        <f t="shared" si="3"/>
        <v>93657</v>
      </c>
      <c r="F23" s="277">
        <f t="shared" si="0"/>
        <v>26117</v>
      </c>
      <c r="G23" s="280">
        <f t="shared" si="1"/>
        <v>6978</v>
      </c>
      <c r="H23" s="603"/>
      <c r="I23" s="603">
        <f t="shared" si="4"/>
        <v>93657</v>
      </c>
      <c r="J23" s="270">
        <v>57607</v>
      </c>
      <c r="K23" s="601">
        <v>2797</v>
      </c>
      <c r="L23" s="601">
        <v>7021</v>
      </c>
      <c r="M23" s="601">
        <v>10462</v>
      </c>
      <c r="N23" s="601">
        <v>854</v>
      </c>
      <c r="O23" s="601">
        <v>309</v>
      </c>
      <c r="P23" s="601">
        <v>1371</v>
      </c>
      <c r="Q23" s="601">
        <v>3959</v>
      </c>
      <c r="R23" s="601">
        <v>1322</v>
      </c>
      <c r="S23" s="601" t="s">
        <v>50</v>
      </c>
      <c r="T23" s="280">
        <v>7955</v>
      </c>
      <c r="U23" s="601" t="s">
        <v>50</v>
      </c>
      <c r="V23" s="280"/>
      <c r="W23" s="617">
        <f t="shared" si="2"/>
        <v>26117</v>
      </c>
      <c r="X23" s="272">
        <f t="shared" si="6"/>
        <v>10922</v>
      </c>
      <c r="Y23" s="601">
        <v>280</v>
      </c>
      <c r="Z23" s="607">
        <v>3433</v>
      </c>
      <c r="AA23" s="280">
        <v>11482</v>
      </c>
      <c r="AC23" s="277">
        <v>128556</v>
      </c>
      <c r="AD23" s="601" t="s">
        <v>50</v>
      </c>
      <c r="AE23" s="272">
        <v>12726</v>
      </c>
      <c r="AF23" s="1193">
        <v>1804</v>
      </c>
      <c r="AG23" s="277">
        <v>0</v>
      </c>
      <c r="AH23" s="277"/>
      <c r="AI23" s="280">
        <f>'C1-Incomes'!R22-B23</f>
        <v>0</v>
      </c>
    </row>
    <row r="24" spans="1:35" ht="10.5" customHeight="1" x14ac:dyDescent="0.3">
      <c r="A24" s="268">
        <v>1975</v>
      </c>
      <c r="B24" s="603">
        <f t="shared" si="5"/>
        <v>1612363.608</v>
      </c>
      <c r="C24" s="603"/>
      <c r="D24" s="277">
        <f>'T-T1'!B24</f>
        <v>1451147.608</v>
      </c>
      <c r="E24" s="277">
        <f t="shared" si="3"/>
        <v>118197</v>
      </c>
      <c r="F24" s="277">
        <f t="shared" si="0"/>
        <v>32813</v>
      </c>
      <c r="G24" s="280">
        <f t="shared" si="1"/>
        <v>10206</v>
      </c>
      <c r="H24" s="603"/>
      <c r="I24" s="603">
        <f t="shared" si="4"/>
        <v>118197</v>
      </c>
      <c r="J24" s="270">
        <v>65895</v>
      </c>
      <c r="K24" s="601">
        <v>3265</v>
      </c>
      <c r="L24" s="601">
        <v>18140</v>
      </c>
      <c r="M24" s="601">
        <v>12895</v>
      </c>
      <c r="N24" s="601">
        <v>886</v>
      </c>
      <c r="O24" s="601">
        <v>415</v>
      </c>
      <c r="P24" s="601">
        <v>1483</v>
      </c>
      <c r="Q24" s="601">
        <v>4437</v>
      </c>
      <c r="R24" s="601">
        <v>1476</v>
      </c>
      <c r="S24" s="601" t="s">
        <v>50</v>
      </c>
      <c r="T24" s="280">
        <v>9305</v>
      </c>
      <c r="U24" s="601" t="s">
        <v>50</v>
      </c>
      <c r="V24" s="280"/>
      <c r="W24" s="617">
        <f t="shared" si="2"/>
        <v>32813</v>
      </c>
      <c r="X24" s="272">
        <f t="shared" si="6"/>
        <v>13715</v>
      </c>
      <c r="Y24" s="601">
        <v>261</v>
      </c>
      <c r="Z24" s="607">
        <v>4597</v>
      </c>
      <c r="AA24" s="280">
        <v>14240</v>
      </c>
      <c r="AC24" s="277">
        <v>163134</v>
      </c>
      <c r="AD24" s="601" t="s">
        <v>50</v>
      </c>
      <c r="AE24" s="272">
        <v>15633</v>
      </c>
      <c r="AF24" s="1193">
        <v>1918</v>
      </c>
      <c r="AG24" s="277">
        <v>0</v>
      </c>
      <c r="AH24" s="277"/>
      <c r="AI24" s="280">
        <f>'C1-Incomes'!R23-B24</f>
        <v>0</v>
      </c>
    </row>
    <row r="25" spans="1:35" ht="10.5" customHeight="1" x14ac:dyDescent="0.3">
      <c r="A25" s="268">
        <v>1976</v>
      </c>
      <c r="B25" s="603">
        <f t="shared" si="5"/>
        <v>1790351.9053</v>
      </c>
      <c r="C25" s="603"/>
      <c r="D25" s="277">
        <f>'T-T1'!B25</f>
        <v>1614768.9053</v>
      </c>
      <c r="E25" s="277">
        <f>I25</f>
        <v>127911</v>
      </c>
      <c r="F25" s="277">
        <f t="shared" si="0"/>
        <v>37438</v>
      </c>
      <c r="G25" s="280">
        <f t="shared" si="1"/>
        <v>10234</v>
      </c>
      <c r="H25" s="603"/>
      <c r="I25" s="603">
        <f t="shared" si="4"/>
        <v>127911</v>
      </c>
      <c r="J25" s="270">
        <v>74501</v>
      </c>
      <c r="K25" s="601">
        <v>3550</v>
      </c>
      <c r="L25" s="601">
        <v>16386</v>
      </c>
      <c r="M25" s="601">
        <v>12797</v>
      </c>
      <c r="N25" s="601">
        <v>936</v>
      </c>
      <c r="O25" s="601">
        <v>517</v>
      </c>
      <c r="P25" s="601">
        <v>1711</v>
      </c>
      <c r="Q25" s="601">
        <v>4631</v>
      </c>
      <c r="R25" s="601">
        <v>1506</v>
      </c>
      <c r="S25" s="601">
        <f t="shared" ref="S25:S56" si="7">AD25--SUM(U25)</f>
        <v>1271</v>
      </c>
      <c r="T25" s="280">
        <v>10105</v>
      </c>
      <c r="U25" s="601" t="s">
        <v>50</v>
      </c>
      <c r="V25" s="280"/>
      <c r="W25" s="617">
        <f t="shared" si="2"/>
        <v>37438</v>
      </c>
      <c r="X25" s="272">
        <f t="shared" si="6"/>
        <v>16735</v>
      </c>
      <c r="Y25" s="601">
        <v>251</v>
      </c>
      <c r="Z25" s="607">
        <v>4598</v>
      </c>
      <c r="AA25" s="280">
        <v>15854</v>
      </c>
      <c r="AC25" s="277">
        <v>177643</v>
      </c>
      <c r="AD25" s="601">
        <v>1271</v>
      </c>
      <c r="AE25" s="272">
        <v>18795</v>
      </c>
      <c r="AF25" s="1193">
        <v>2060</v>
      </c>
      <c r="AG25" s="277">
        <v>0</v>
      </c>
      <c r="AH25" s="277"/>
      <c r="AI25" s="280">
        <f>'C1-Incomes'!R24-B25</f>
        <v>0</v>
      </c>
    </row>
    <row r="26" spans="1:35" ht="10.5" customHeight="1" x14ac:dyDescent="0.3">
      <c r="A26" s="268">
        <v>1977</v>
      </c>
      <c r="B26" s="603">
        <f t="shared" si="5"/>
        <v>1985888.4867</v>
      </c>
      <c r="C26" s="603"/>
      <c r="D26" s="277">
        <f>'T-T1'!B26</f>
        <v>1798653.4867</v>
      </c>
      <c r="E26" s="277">
        <f t="shared" si="3"/>
        <v>134188</v>
      </c>
      <c r="F26" s="277">
        <f t="shared" si="0"/>
        <v>41848</v>
      </c>
      <c r="G26" s="280">
        <f t="shared" si="1"/>
        <v>11199</v>
      </c>
      <c r="H26" s="603"/>
      <c r="I26" s="603">
        <f t="shared" si="4"/>
        <v>134188</v>
      </c>
      <c r="J26" s="270">
        <v>83239</v>
      </c>
      <c r="K26" s="601">
        <v>3783</v>
      </c>
      <c r="L26" s="601">
        <v>13129</v>
      </c>
      <c r="M26" s="601">
        <v>12334</v>
      </c>
      <c r="N26" s="601">
        <v>980</v>
      </c>
      <c r="O26" s="601">
        <v>571</v>
      </c>
      <c r="P26" s="601">
        <v>1945</v>
      </c>
      <c r="Q26" s="601">
        <v>4743</v>
      </c>
      <c r="R26" s="601">
        <v>1563</v>
      </c>
      <c r="S26" s="601">
        <f t="shared" si="7"/>
        <v>1262</v>
      </c>
      <c r="T26" s="280">
        <v>10639</v>
      </c>
      <c r="U26" s="601" t="s">
        <v>50</v>
      </c>
      <c r="V26" s="280"/>
      <c r="W26" s="617">
        <f t="shared" si="2"/>
        <v>41848</v>
      </c>
      <c r="X26" s="272">
        <f t="shared" si="6"/>
        <v>19854</v>
      </c>
      <c r="Y26" s="601">
        <v>265</v>
      </c>
      <c r="Z26" s="607">
        <v>4394</v>
      </c>
      <c r="AA26" s="280">
        <v>17335</v>
      </c>
      <c r="AC26" s="277">
        <v>189482</v>
      </c>
      <c r="AD26" s="601">
        <v>1262</v>
      </c>
      <c r="AE26" s="272">
        <v>22101</v>
      </c>
      <c r="AF26" s="1193">
        <v>2247</v>
      </c>
      <c r="AG26" s="277">
        <v>0</v>
      </c>
      <c r="AH26" s="277"/>
      <c r="AI26" s="280">
        <f>'C1-Incomes'!R25-B26</f>
        <v>0</v>
      </c>
    </row>
    <row r="27" spans="1:35" ht="10.5" customHeight="1" x14ac:dyDescent="0.3">
      <c r="A27" s="268">
        <v>1978</v>
      </c>
      <c r="B27" s="603">
        <f t="shared" si="5"/>
        <v>2230894.6700999998</v>
      </c>
      <c r="C27" s="603"/>
      <c r="D27" s="277">
        <f>'T-T1'!B27</f>
        <v>2029937.6701</v>
      </c>
      <c r="E27" s="277">
        <f t="shared" si="3"/>
        <v>139633</v>
      </c>
      <c r="F27" s="277">
        <f t="shared" si="0"/>
        <v>47266</v>
      </c>
      <c r="G27" s="280">
        <f t="shared" si="1"/>
        <v>14058</v>
      </c>
      <c r="H27" s="603"/>
      <c r="I27" s="603">
        <f t="shared" si="4"/>
        <v>139633</v>
      </c>
      <c r="J27" s="270">
        <v>91380</v>
      </c>
      <c r="K27" s="601">
        <v>3985</v>
      </c>
      <c r="L27" s="601">
        <v>9417</v>
      </c>
      <c r="M27" s="601">
        <v>12536</v>
      </c>
      <c r="N27" s="601">
        <v>1031</v>
      </c>
      <c r="O27" s="601">
        <v>636</v>
      </c>
      <c r="P27" s="601">
        <v>2184</v>
      </c>
      <c r="Q27" s="601">
        <v>4920</v>
      </c>
      <c r="R27" s="601">
        <v>1636</v>
      </c>
      <c r="S27" s="601">
        <f t="shared" si="7"/>
        <v>1132</v>
      </c>
      <c r="T27" s="280">
        <v>10776</v>
      </c>
      <c r="U27" s="601" t="s">
        <v>50</v>
      </c>
      <c r="V27" s="280"/>
      <c r="W27" s="617">
        <f t="shared" si="2"/>
        <v>47266</v>
      </c>
      <c r="X27" s="272">
        <f t="shared" si="6"/>
        <v>23073</v>
      </c>
      <c r="Y27" s="601">
        <v>300</v>
      </c>
      <c r="Z27" s="607">
        <v>4585</v>
      </c>
      <c r="AA27" s="280">
        <v>19308</v>
      </c>
      <c r="AC27" s="277">
        <v>203427</v>
      </c>
      <c r="AD27" s="601">
        <v>1132</v>
      </c>
      <c r="AE27" s="272">
        <v>25543</v>
      </c>
      <c r="AF27" s="1193">
        <v>2470</v>
      </c>
      <c r="AG27" s="277">
        <v>0</v>
      </c>
      <c r="AH27" s="277"/>
      <c r="AI27" s="280">
        <f>'C1-Incomes'!R26-B27</f>
        <v>0</v>
      </c>
    </row>
    <row r="28" spans="1:35" ht="10.5" customHeight="1" x14ac:dyDescent="0.3">
      <c r="A28" s="268">
        <v>1979</v>
      </c>
      <c r="B28" s="603">
        <f>D28+E28+F28+G28</f>
        <v>2472767.8843</v>
      </c>
      <c r="C28" s="603"/>
      <c r="D28" s="277">
        <f>'T-T1'!B28</f>
        <v>2248152.8843</v>
      </c>
      <c r="E28" s="277">
        <f t="shared" si="3"/>
        <v>153192</v>
      </c>
      <c r="F28" s="277">
        <f>W28</f>
        <v>55660</v>
      </c>
      <c r="G28" s="280">
        <f>AC28-E28-F28+SUM(U28)-AF28-AG28</f>
        <v>15763</v>
      </c>
      <c r="H28" s="603"/>
      <c r="I28" s="603">
        <f t="shared" si="4"/>
        <v>153192</v>
      </c>
      <c r="J28" s="270">
        <v>102581</v>
      </c>
      <c r="K28" s="601">
        <v>4313</v>
      </c>
      <c r="L28" s="601">
        <v>9692</v>
      </c>
      <c r="M28" s="601">
        <v>13047</v>
      </c>
      <c r="N28" s="601">
        <v>1080</v>
      </c>
      <c r="O28" s="601">
        <v>717</v>
      </c>
      <c r="P28" s="601">
        <v>2534</v>
      </c>
      <c r="Q28" s="601">
        <v>5321</v>
      </c>
      <c r="R28" s="601">
        <v>1760</v>
      </c>
      <c r="S28" s="601">
        <f t="shared" si="7"/>
        <v>1069</v>
      </c>
      <c r="T28" s="280">
        <v>11078</v>
      </c>
      <c r="U28" s="601" t="s">
        <v>50</v>
      </c>
      <c r="V28" s="280"/>
      <c r="W28" s="617">
        <f>SUM(X28:AA28)</f>
        <v>55660</v>
      </c>
      <c r="X28" s="272">
        <f t="shared" si="6"/>
        <v>27217</v>
      </c>
      <c r="Y28" s="601">
        <v>347</v>
      </c>
      <c r="Z28" s="607">
        <v>6332</v>
      </c>
      <c r="AA28" s="280">
        <v>21764</v>
      </c>
      <c r="AC28" s="277">
        <v>227334</v>
      </c>
      <c r="AD28" s="601">
        <v>1069</v>
      </c>
      <c r="AE28" s="272">
        <v>29936</v>
      </c>
      <c r="AF28" s="1193">
        <v>2719</v>
      </c>
      <c r="AG28" s="277">
        <v>0</v>
      </c>
      <c r="AH28" s="277"/>
      <c r="AI28" s="280">
        <f>'C1-Incomes'!R27-B28</f>
        <v>0</v>
      </c>
    </row>
    <row r="29" spans="1:35" ht="10.5" customHeight="1" x14ac:dyDescent="0.3">
      <c r="A29" s="268">
        <v>1980</v>
      </c>
      <c r="B29" s="603">
        <f t="shared" si="5"/>
        <v>2695241.0954999998</v>
      </c>
      <c r="C29" s="603"/>
      <c r="D29" s="277">
        <f>'T-T1'!B29</f>
        <v>2426754.0954999998</v>
      </c>
      <c r="E29" s="277">
        <f t="shared" si="3"/>
        <v>180199</v>
      </c>
      <c r="F29" s="277">
        <f t="shared" si="0"/>
        <v>66675</v>
      </c>
      <c r="G29" s="280">
        <f t="shared" ref="G29:G64" si="8">AC29-E29-F29+SUM(U29)-AF29-AG29</f>
        <v>21613</v>
      </c>
      <c r="H29" s="603"/>
      <c r="I29" s="603">
        <f t="shared" si="4"/>
        <v>180199</v>
      </c>
      <c r="J29" s="270">
        <v>118586</v>
      </c>
      <c r="K29" s="601">
        <v>4812</v>
      </c>
      <c r="L29" s="601">
        <v>16097</v>
      </c>
      <c r="M29" s="601">
        <v>13414</v>
      </c>
      <c r="N29" s="601">
        <v>1222</v>
      </c>
      <c r="O29" s="601">
        <v>838</v>
      </c>
      <c r="P29" s="601">
        <v>2790</v>
      </c>
      <c r="Q29" s="601">
        <v>5905</v>
      </c>
      <c r="R29" s="601">
        <v>2036</v>
      </c>
      <c r="S29" s="601">
        <f t="shared" si="7"/>
        <v>1983</v>
      </c>
      <c r="T29" s="280">
        <v>12516</v>
      </c>
      <c r="U29" s="601" t="s">
        <v>50</v>
      </c>
      <c r="V29" s="280"/>
      <c r="W29" s="617">
        <f t="shared" si="2"/>
        <v>66675</v>
      </c>
      <c r="X29" s="272">
        <f t="shared" si="6"/>
        <v>33190</v>
      </c>
      <c r="Y29" s="601">
        <v>358</v>
      </c>
      <c r="Z29" s="607">
        <v>8214</v>
      </c>
      <c r="AA29" s="280">
        <v>24913</v>
      </c>
      <c r="AC29" s="277">
        <v>271498</v>
      </c>
      <c r="AD29" s="601">
        <v>1983</v>
      </c>
      <c r="AE29" s="272">
        <v>36201</v>
      </c>
      <c r="AF29" s="1193">
        <v>3011</v>
      </c>
      <c r="AG29" s="277">
        <v>0</v>
      </c>
      <c r="AH29" s="277"/>
      <c r="AI29" s="280">
        <f>'C1-Incomes'!R28-B29</f>
        <v>0</v>
      </c>
    </row>
    <row r="30" spans="1:35" ht="10.5" customHeight="1" x14ac:dyDescent="0.3">
      <c r="A30" s="268">
        <v>1981</v>
      </c>
      <c r="B30" s="603">
        <f t="shared" si="5"/>
        <v>3026219.7376000001</v>
      </c>
      <c r="C30" s="603"/>
      <c r="D30" s="277">
        <f>'T-T1'!B30</f>
        <v>2722132.7376000001</v>
      </c>
      <c r="E30" s="277">
        <f t="shared" si="3"/>
        <v>203323</v>
      </c>
      <c r="F30" s="277">
        <f t="shared" si="0"/>
        <v>79475</v>
      </c>
      <c r="G30" s="280">
        <f t="shared" si="8"/>
        <v>21289</v>
      </c>
      <c r="H30" s="603"/>
      <c r="I30" s="603">
        <f t="shared" si="4"/>
        <v>203323</v>
      </c>
      <c r="J30" s="270">
        <v>138644</v>
      </c>
      <c r="K30" s="601">
        <v>5314</v>
      </c>
      <c r="L30" s="601">
        <v>15885</v>
      </c>
      <c r="M30" s="601">
        <v>14444</v>
      </c>
      <c r="N30" s="601">
        <v>1316</v>
      </c>
      <c r="O30" s="601">
        <v>870</v>
      </c>
      <c r="P30" s="601">
        <v>3178</v>
      </c>
      <c r="Q30" s="601">
        <v>6551</v>
      </c>
      <c r="R30" s="601">
        <v>2044</v>
      </c>
      <c r="S30" s="601">
        <f t="shared" si="7"/>
        <v>1933</v>
      </c>
      <c r="T30" s="280">
        <v>13144</v>
      </c>
      <c r="U30" s="601" t="s">
        <v>50</v>
      </c>
      <c r="V30" s="280"/>
      <c r="W30" s="617">
        <f t="shared" si="2"/>
        <v>79475</v>
      </c>
      <c r="X30" s="272">
        <f t="shared" si="6"/>
        <v>39777</v>
      </c>
      <c r="Y30" s="601">
        <v>431</v>
      </c>
      <c r="Z30" s="607">
        <v>10065</v>
      </c>
      <c r="AA30" s="280">
        <v>29202</v>
      </c>
      <c r="AC30" s="277">
        <v>307809</v>
      </c>
      <c r="AD30" s="601">
        <v>1933</v>
      </c>
      <c r="AE30" s="272">
        <v>43499</v>
      </c>
      <c r="AF30" s="1193">
        <v>3722</v>
      </c>
      <c r="AG30" s="277">
        <v>0</v>
      </c>
      <c r="AH30" s="277"/>
      <c r="AI30" s="280">
        <f>'C1-Incomes'!R29-B30</f>
        <v>2.9999995604157448E-4</v>
      </c>
    </row>
    <row r="31" spans="1:35" ht="10.5" customHeight="1" x14ac:dyDescent="0.3">
      <c r="A31" s="268">
        <v>1982</v>
      </c>
      <c r="B31" s="603">
        <f t="shared" si="5"/>
        <v>3179795.7584000002</v>
      </c>
      <c r="C31" s="603"/>
      <c r="D31" s="277">
        <f>'T-T1'!B31</f>
        <v>2840413.7584000002</v>
      </c>
      <c r="E31" s="277">
        <f t="shared" si="3"/>
        <v>229253</v>
      </c>
      <c r="F31" s="277">
        <f t="shared" si="0"/>
        <v>89726</v>
      </c>
      <c r="G31" s="280">
        <f t="shared" si="8"/>
        <v>20403</v>
      </c>
      <c r="H31" s="603"/>
      <c r="I31" s="603">
        <f t="shared" si="4"/>
        <v>229253</v>
      </c>
      <c r="J31" s="270">
        <v>153708</v>
      </c>
      <c r="K31" s="601">
        <v>5771</v>
      </c>
      <c r="L31" s="601">
        <v>25227</v>
      </c>
      <c r="M31" s="601">
        <v>14902</v>
      </c>
      <c r="N31" s="601">
        <v>1368</v>
      </c>
      <c r="O31" s="601">
        <v>917</v>
      </c>
      <c r="P31" s="601">
        <v>3658</v>
      </c>
      <c r="Q31" s="601">
        <v>6923</v>
      </c>
      <c r="R31" s="601">
        <v>2056</v>
      </c>
      <c r="S31" s="601">
        <f t="shared" si="7"/>
        <v>1834</v>
      </c>
      <c r="T31" s="280">
        <v>12889</v>
      </c>
      <c r="U31" s="601" t="s">
        <v>50</v>
      </c>
      <c r="V31" s="280"/>
      <c r="W31" s="617">
        <f t="shared" si="2"/>
        <v>89726</v>
      </c>
      <c r="X31" s="272">
        <f t="shared" si="6"/>
        <v>47230</v>
      </c>
      <c r="Y31" s="601">
        <v>545</v>
      </c>
      <c r="Z31" s="607">
        <v>9896</v>
      </c>
      <c r="AA31" s="280">
        <v>32055</v>
      </c>
      <c r="AC31" s="277">
        <v>343079</v>
      </c>
      <c r="AD31" s="601">
        <v>1834</v>
      </c>
      <c r="AE31" s="272">
        <v>50927</v>
      </c>
      <c r="AF31" s="1193">
        <v>3697</v>
      </c>
      <c r="AG31" s="277">
        <v>0</v>
      </c>
      <c r="AH31" s="277"/>
      <c r="AI31" s="280">
        <f>'C1-Incomes'!R30-B31</f>
        <v>-5.0000008195638657E-4</v>
      </c>
    </row>
    <row r="32" spans="1:35" ht="10.5" customHeight="1" x14ac:dyDescent="0.3">
      <c r="A32" s="268">
        <v>1983</v>
      </c>
      <c r="B32" s="603">
        <f t="shared" si="5"/>
        <v>3426777.7870999998</v>
      </c>
      <c r="C32" s="603"/>
      <c r="D32" s="277">
        <f>'T-T1'!B32</f>
        <v>3060514.7870999998</v>
      </c>
      <c r="E32" s="277">
        <f t="shared" si="3"/>
        <v>243204</v>
      </c>
      <c r="F32" s="277">
        <f t="shared" si="0"/>
        <v>101195</v>
      </c>
      <c r="G32" s="280">
        <f t="shared" si="8"/>
        <v>21864</v>
      </c>
      <c r="H32" s="603"/>
      <c r="I32" s="603">
        <f t="shared" si="4"/>
        <v>243204</v>
      </c>
      <c r="J32" s="270">
        <v>164426</v>
      </c>
      <c r="K32" s="601">
        <v>6011</v>
      </c>
      <c r="L32" s="601">
        <v>26411</v>
      </c>
      <c r="M32" s="601">
        <v>15033</v>
      </c>
      <c r="N32" s="601">
        <v>1392</v>
      </c>
      <c r="O32" s="601">
        <v>933</v>
      </c>
      <c r="P32" s="601">
        <v>3977</v>
      </c>
      <c r="Q32" s="601">
        <v>7433</v>
      </c>
      <c r="R32" s="601">
        <v>1972</v>
      </c>
      <c r="S32" s="601">
        <f t="shared" si="7"/>
        <v>1769</v>
      </c>
      <c r="T32" s="280">
        <v>13847</v>
      </c>
      <c r="U32" s="601" t="s">
        <v>50</v>
      </c>
      <c r="V32" s="280"/>
      <c r="W32" s="617">
        <f t="shared" si="2"/>
        <v>101195</v>
      </c>
      <c r="X32" s="272">
        <f t="shared" si="6"/>
        <v>53561</v>
      </c>
      <c r="Y32" s="601">
        <v>633</v>
      </c>
      <c r="Z32" s="607">
        <v>11066</v>
      </c>
      <c r="AA32" s="280">
        <v>35935</v>
      </c>
      <c r="AC32" s="277">
        <v>370499</v>
      </c>
      <c r="AD32" s="601">
        <v>1769</v>
      </c>
      <c r="AE32" s="272">
        <v>57797</v>
      </c>
      <c r="AF32" s="1193">
        <v>4236</v>
      </c>
      <c r="AG32" s="277">
        <v>0</v>
      </c>
      <c r="AH32" s="277"/>
      <c r="AI32" s="280">
        <f>'C1-Incomes'!R31-B32</f>
        <v>2.9999995604157448E-4</v>
      </c>
    </row>
    <row r="33" spans="1:35" ht="10.5" customHeight="1" x14ac:dyDescent="0.3">
      <c r="A33" s="268">
        <v>1984</v>
      </c>
      <c r="B33" s="603">
        <f t="shared" si="5"/>
        <v>3819730.0337</v>
      </c>
      <c r="C33" s="603"/>
      <c r="D33" s="277">
        <f>'T-T1'!B33</f>
        <v>3443988.0337</v>
      </c>
      <c r="E33" s="277">
        <f t="shared" si="3"/>
        <v>243307</v>
      </c>
      <c r="F33" s="277">
        <f t="shared" si="0"/>
        <v>109743</v>
      </c>
      <c r="G33" s="280">
        <f t="shared" si="8"/>
        <v>22692</v>
      </c>
      <c r="H33" s="603"/>
      <c r="I33" s="603">
        <f t="shared" si="4"/>
        <v>243307</v>
      </c>
      <c r="J33" s="270">
        <v>173027</v>
      </c>
      <c r="K33" s="601">
        <v>6065</v>
      </c>
      <c r="L33" s="601">
        <v>15991</v>
      </c>
      <c r="M33" s="601">
        <v>14826</v>
      </c>
      <c r="N33" s="601">
        <v>1439</v>
      </c>
      <c r="O33" s="601">
        <v>989</v>
      </c>
      <c r="P33" s="601">
        <v>4424</v>
      </c>
      <c r="Q33" s="601">
        <v>8284</v>
      </c>
      <c r="R33" s="601">
        <v>2088</v>
      </c>
      <c r="S33" s="601">
        <f t="shared" si="7"/>
        <v>1694</v>
      </c>
      <c r="T33" s="280">
        <v>14480</v>
      </c>
      <c r="U33" s="601" t="s">
        <v>50</v>
      </c>
      <c r="V33" s="280"/>
      <c r="W33" s="617">
        <f t="shared" si="2"/>
        <v>109743</v>
      </c>
      <c r="X33" s="272">
        <f t="shared" si="6"/>
        <v>59581</v>
      </c>
      <c r="Y33" s="601">
        <v>689</v>
      </c>
      <c r="Z33" s="607">
        <v>10669</v>
      </c>
      <c r="AA33" s="280">
        <v>38804</v>
      </c>
      <c r="AC33" s="277">
        <v>380909</v>
      </c>
      <c r="AD33" s="601">
        <v>1694</v>
      </c>
      <c r="AE33" s="272">
        <v>64748</v>
      </c>
      <c r="AF33" s="1193">
        <v>5167</v>
      </c>
      <c r="AG33" s="277">
        <v>0</v>
      </c>
      <c r="AH33" s="277"/>
      <c r="AI33" s="280">
        <f>'C1-Incomes'!R32-B33</f>
        <v>-2.0000012591481209E-4</v>
      </c>
    </row>
    <row r="34" spans="1:35" ht="10.5" customHeight="1" x14ac:dyDescent="0.3">
      <c r="A34" s="268">
        <v>1985</v>
      </c>
      <c r="B34" s="603">
        <f t="shared" si="5"/>
        <v>4081686.6332999999</v>
      </c>
      <c r="C34" s="603"/>
      <c r="D34" s="277">
        <f>'T-T1'!B34</f>
        <v>3684187.6332999999</v>
      </c>
      <c r="E34" s="277">
        <f t="shared" si="3"/>
        <v>255697</v>
      </c>
      <c r="F34" s="277">
        <f t="shared" si="0"/>
        <v>118013</v>
      </c>
      <c r="G34" s="280">
        <f t="shared" si="8"/>
        <v>23789</v>
      </c>
      <c r="H34" s="603"/>
      <c r="I34" s="603">
        <f t="shared" si="4"/>
        <v>255697</v>
      </c>
      <c r="J34" s="270">
        <v>183275</v>
      </c>
      <c r="K34" s="601">
        <v>6211</v>
      </c>
      <c r="L34" s="601">
        <v>15861</v>
      </c>
      <c r="M34" s="601">
        <v>14952</v>
      </c>
      <c r="N34" s="601">
        <v>1587</v>
      </c>
      <c r="O34" s="601">
        <v>1089</v>
      </c>
      <c r="P34" s="601">
        <v>4902</v>
      </c>
      <c r="Q34" s="601">
        <v>8775</v>
      </c>
      <c r="R34" s="601">
        <v>2283</v>
      </c>
      <c r="S34" s="601">
        <f t="shared" si="7"/>
        <v>1577</v>
      </c>
      <c r="T34" s="280">
        <v>15185</v>
      </c>
      <c r="U34" s="601" t="s">
        <v>50</v>
      </c>
      <c r="V34" s="280"/>
      <c r="W34" s="617">
        <f t="shared" si="2"/>
        <v>118013</v>
      </c>
      <c r="X34" s="272">
        <f t="shared" si="6"/>
        <v>64107</v>
      </c>
      <c r="Y34" s="601">
        <v>791</v>
      </c>
      <c r="Z34" s="607">
        <v>10690</v>
      </c>
      <c r="AA34" s="280">
        <v>42425</v>
      </c>
      <c r="AC34" s="277">
        <v>403112</v>
      </c>
      <c r="AD34" s="601">
        <v>1577</v>
      </c>
      <c r="AE34" s="272">
        <v>69720</v>
      </c>
      <c r="AF34" s="1193">
        <v>5613</v>
      </c>
      <c r="AG34" s="277">
        <v>0</v>
      </c>
      <c r="AH34" s="277"/>
      <c r="AI34" s="280">
        <f>'C1-Incomes'!R33-B34</f>
        <v>2.0000012591481209E-4</v>
      </c>
    </row>
    <row r="35" spans="1:35" ht="10.5" customHeight="1" x14ac:dyDescent="0.3">
      <c r="A35" s="268">
        <v>1986</v>
      </c>
      <c r="B35" s="603">
        <f t="shared" si="5"/>
        <v>4271088.7167000007</v>
      </c>
      <c r="C35" s="603"/>
      <c r="D35" s="277">
        <f>'T-T1'!B35</f>
        <v>3848203.7167000002</v>
      </c>
      <c r="E35" s="277">
        <f t="shared" si="3"/>
        <v>269828</v>
      </c>
      <c r="F35" s="277">
        <f t="shared" si="0"/>
        <v>127877</v>
      </c>
      <c r="G35" s="280">
        <f t="shared" si="8"/>
        <v>25180</v>
      </c>
      <c r="H35" s="603"/>
      <c r="I35" s="603">
        <f t="shared" si="4"/>
        <v>269828</v>
      </c>
      <c r="J35" s="270">
        <v>193631</v>
      </c>
      <c r="K35" s="601">
        <v>6351</v>
      </c>
      <c r="L35" s="601">
        <v>16467</v>
      </c>
      <c r="M35" s="601">
        <v>14882</v>
      </c>
      <c r="N35" s="601">
        <v>1695</v>
      </c>
      <c r="O35" s="601">
        <v>1124</v>
      </c>
      <c r="P35" s="601">
        <v>5452</v>
      </c>
      <c r="Q35" s="601">
        <v>9496</v>
      </c>
      <c r="R35" s="601">
        <v>2583</v>
      </c>
      <c r="S35" s="601">
        <f t="shared" si="7"/>
        <v>2009</v>
      </c>
      <c r="T35" s="280">
        <v>16138</v>
      </c>
      <c r="U35" s="601" t="s">
        <v>50</v>
      </c>
      <c r="V35" s="280"/>
      <c r="W35" s="617">
        <f t="shared" si="2"/>
        <v>127877</v>
      </c>
      <c r="X35" s="272">
        <f t="shared" si="6"/>
        <v>69547</v>
      </c>
      <c r="Y35" s="601">
        <v>921</v>
      </c>
      <c r="Z35" s="607">
        <v>10553</v>
      </c>
      <c r="AA35" s="280">
        <v>46856</v>
      </c>
      <c r="AC35" s="277">
        <v>428607</v>
      </c>
      <c r="AD35" s="601">
        <v>2009</v>
      </c>
      <c r="AE35" s="272">
        <v>75269</v>
      </c>
      <c r="AF35" s="1193">
        <v>5722</v>
      </c>
      <c r="AG35" s="277">
        <v>0</v>
      </c>
      <c r="AH35" s="277"/>
      <c r="AI35" s="280">
        <f>'C1-Incomes'!R34-B35</f>
        <v>2.9999949038028717E-4</v>
      </c>
    </row>
    <row r="36" spans="1:35" ht="10.5" customHeight="1" x14ac:dyDescent="0.3">
      <c r="A36" s="268">
        <v>1987</v>
      </c>
      <c r="B36" s="603">
        <f t="shared" si="5"/>
        <v>4559701.5964000002</v>
      </c>
      <c r="C36" s="603"/>
      <c r="D36" s="277">
        <f>'T-T1'!B36</f>
        <v>4119197.5964000002</v>
      </c>
      <c r="E36" s="277">
        <f t="shared" si="3"/>
        <v>277405</v>
      </c>
      <c r="F36" s="277">
        <f t="shared" si="0"/>
        <v>137223</v>
      </c>
      <c r="G36" s="280">
        <f t="shared" si="8"/>
        <v>25876</v>
      </c>
      <c r="H36" s="603"/>
      <c r="I36" s="603">
        <f t="shared" si="4"/>
        <v>277405</v>
      </c>
      <c r="J36" s="270">
        <v>200995</v>
      </c>
      <c r="K36" s="601">
        <v>6478</v>
      </c>
      <c r="L36" s="601">
        <v>14625</v>
      </c>
      <c r="M36" s="601">
        <v>14763</v>
      </c>
      <c r="N36" s="601">
        <v>1688</v>
      </c>
      <c r="O36" s="601">
        <v>1173</v>
      </c>
      <c r="P36" s="601">
        <v>6384</v>
      </c>
      <c r="Q36" s="601">
        <v>10027</v>
      </c>
      <c r="R36" s="601">
        <v>2921</v>
      </c>
      <c r="S36" s="601">
        <f t="shared" si="7"/>
        <v>1936</v>
      </c>
      <c r="T36" s="280">
        <v>16415</v>
      </c>
      <c r="U36" s="601" t="s">
        <v>50</v>
      </c>
      <c r="V36" s="280"/>
      <c r="W36" s="617">
        <f t="shared" si="2"/>
        <v>137223</v>
      </c>
      <c r="X36" s="272">
        <f t="shared" si="6"/>
        <v>74176</v>
      </c>
      <c r="Y36" s="601">
        <v>1052</v>
      </c>
      <c r="Z36" s="607">
        <v>10607</v>
      </c>
      <c r="AA36" s="280">
        <v>51388</v>
      </c>
      <c r="AC36" s="277">
        <v>447913</v>
      </c>
      <c r="AD36" s="601">
        <v>1936</v>
      </c>
      <c r="AE36" s="272">
        <v>81585</v>
      </c>
      <c r="AF36" s="1193">
        <v>7409</v>
      </c>
      <c r="AG36" s="277">
        <v>0</v>
      </c>
      <c r="AH36" s="277"/>
      <c r="AI36" s="280">
        <f>'C1-Incomes'!R35-B36</f>
        <v>1.9999966025352478E-4</v>
      </c>
    </row>
    <row r="37" spans="1:35" ht="10.5" customHeight="1" x14ac:dyDescent="0.3">
      <c r="A37" s="268">
        <v>1988</v>
      </c>
      <c r="B37" s="603">
        <f t="shared" si="5"/>
        <v>4961475.5432000002</v>
      </c>
      <c r="C37" s="603"/>
      <c r="D37" s="277">
        <f>'T-T1'!B37</f>
        <v>4493372.5432000002</v>
      </c>
      <c r="E37" s="277">
        <f t="shared" si="3"/>
        <v>293524</v>
      </c>
      <c r="F37" s="277">
        <f t="shared" si="0"/>
        <v>146774</v>
      </c>
      <c r="G37" s="280">
        <f t="shared" si="8"/>
        <v>27805</v>
      </c>
      <c r="H37" s="603"/>
      <c r="I37" s="603">
        <f t="shared" si="4"/>
        <v>293524</v>
      </c>
      <c r="J37" s="270">
        <v>213916</v>
      </c>
      <c r="K37" s="601">
        <v>6708</v>
      </c>
      <c r="L37" s="601">
        <v>13328</v>
      </c>
      <c r="M37" s="601">
        <v>15011</v>
      </c>
      <c r="N37" s="601">
        <v>1712</v>
      </c>
      <c r="O37" s="601">
        <v>1253</v>
      </c>
      <c r="P37" s="601">
        <v>7210</v>
      </c>
      <c r="Q37" s="601">
        <v>10733</v>
      </c>
      <c r="R37" s="601">
        <v>3052</v>
      </c>
      <c r="S37" s="601">
        <f t="shared" si="7"/>
        <v>3711</v>
      </c>
      <c r="T37" s="280">
        <v>16890</v>
      </c>
      <c r="U37" s="601" t="s">
        <v>50</v>
      </c>
      <c r="V37" s="280"/>
      <c r="W37" s="617">
        <f t="shared" si="2"/>
        <v>146774</v>
      </c>
      <c r="X37" s="272">
        <f t="shared" si="6"/>
        <v>77528</v>
      </c>
      <c r="Y37" s="601">
        <v>1264</v>
      </c>
      <c r="Z37" s="607">
        <v>11213</v>
      </c>
      <c r="AA37" s="280">
        <v>56769</v>
      </c>
      <c r="AC37" s="277">
        <v>476864</v>
      </c>
      <c r="AD37" s="601">
        <v>3711</v>
      </c>
      <c r="AE37" s="272">
        <v>86289</v>
      </c>
      <c r="AF37" s="1193">
        <v>8761</v>
      </c>
      <c r="AG37" s="277">
        <v>0</v>
      </c>
      <c r="AH37" s="277"/>
      <c r="AI37" s="280">
        <f>'C1-Incomes'!R36-B37</f>
        <v>-9.999983012676239E-5</v>
      </c>
    </row>
    <row r="38" spans="1:35" ht="10.5" customHeight="1" x14ac:dyDescent="0.3">
      <c r="A38" s="268">
        <v>1989</v>
      </c>
      <c r="B38" s="603">
        <f t="shared" si="5"/>
        <v>5291003.0384999998</v>
      </c>
      <c r="C38" s="603"/>
      <c r="D38" s="277">
        <f>'T-T1'!B38</f>
        <v>4782196.0384999998</v>
      </c>
      <c r="E38" s="277">
        <f t="shared" si="3"/>
        <v>313352</v>
      </c>
      <c r="F38" s="277">
        <f t="shared" si="0"/>
        <v>164558</v>
      </c>
      <c r="G38" s="280">
        <f t="shared" si="8"/>
        <v>30897</v>
      </c>
      <c r="H38" s="603"/>
      <c r="I38" s="603">
        <f t="shared" si="4"/>
        <v>313352</v>
      </c>
      <c r="J38" s="270">
        <v>227380</v>
      </c>
      <c r="K38" s="601">
        <v>6958</v>
      </c>
      <c r="L38" s="601">
        <v>14410</v>
      </c>
      <c r="M38" s="601">
        <v>15357</v>
      </c>
      <c r="N38" s="601">
        <v>1845</v>
      </c>
      <c r="O38" s="601">
        <v>1379</v>
      </c>
      <c r="P38" s="601">
        <v>7912</v>
      </c>
      <c r="Q38" s="601">
        <v>11605</v>
      </c>
      <c r="R38" s="601">
        <v>3375</v>
      </c>
      <c r="S38" s="601">
        <f t="shared" si="7"/>
        <v>5646</v>
      </c>
      <c r="T38" s="280">
        <v>17485</v>
      </c>
      <c r="U38" s="601" t="s">
        <v>50</v>
      </c>
      <c r="V38" s="280"/>
      <c r="W38" s="617">
        <f t="shared" si="2"/>
        <v>164558</v>
      </c>
      <c r="X38" s="272">
        <f t="shared" si="6"/>
        <v>85912</v>
      </c>
      <c r="Y38" s="601">
        <v>1345</v>
      </c>
      <c r="Z38" s="607">
        <v>12325</v>
      </c>
      <c r="AA38" s="280">
        <v>64976</v>
      </c>
      <c r="AC38" s="277">
        <v>521070</v>
      </c>
      <c r="AD38" s="601">
        <v>5646</v>
      </c>
      <c r="AE38" s="272">
        <v>98175</v>
      </c>
      <c r="AF38" s="1193">
        <v>12263</v>
      </c>
      <c r="AG38" s="277">
        <v>0</v>
      </c>
      <c r="AH38" s="277"/>
      <c r="AI38" s="280">
        <f>'C1-Incomes'!R37-B38</f>
        <v>8.0000050365924835E-4</v>
      </c>
    </row>
    <row r="39" spans="1:35" ht="10.5" customHeight="1" x14ac:dyDescent="0.3">
      <c r="A39" s="268">
        <v>1990</v>
      </c>
      <c r="B39" s="603">
        <f t="shared" si="5"/>
        <v>5599448.3466999996</v>
      </c>
      <c r="C39" s="603"/>
      <c r="D39" s="277">
        <f>'T-T1'!B39</f>
        <v>5036094.3466999996</v>
      </c>
      <c r="E39" s="277">
        <f t="shared" si="3"/>
        <v>340103</v>
      </c>
      <c r="F39" s="277">
        <f t="shared" si="0"/>
        <v>190769</v>
      </c>
      <c r="G39" s="280">
        <f t="shared" si="8"/>
        <v>32482</v>
      </c>
      <c r="H39" s="603"/>
      <c r="I39" s="603">
        <f t="shared" si="4"/>
        <v>340103</v>
      </c>
      <c r="J39" s="270">
        <v>244135</v>
      </c>
      <c r="K39" s="601">
        <v>7221</v>
      </c>
      <c r="L39" s="601">
        <v>18162</v>
      </c>
      <c r="M39" s="601">
        <v>15807</v>
      </c>
      <c r="N39" s="601">
        <v>1868</v>
      </c>
      <c r="O39" s="601">
        <v>1492</v>
      </c>
      <c r="P39" s="601">
        <v>9248</v>
      </c>
      <c r="Q39" s="601">
        <v>12892</v>
      </c>
      <c r="R39" s="601">
        <v>3778</v>
      </c>
      <c r="S39" s="601">
        <f t="shared" si="7"/>
        <v>6313</v>
      </c>
      <c r="T39" s="280">
        <v>19187</v>
      </c>
      <c r="U39" s="601" t="s">
        <v>50</v>
      </c>
      <c r="V39" s="280"/>
      <c r="W39" s="617">
        <f t="shared" si="2"/>
        <v>190769</v>
      </c>
      <c r="X39" s="272">
        <f t="shared" si="6"/>
        <v>96318</v>
      </c>
      <c r="Y39" s="601">
        <v>1534</v>
      </c>
      <c r="Z39" s="607">
        <v>14741</v>
      </c>
      <c r="AA39" s="280">
        <v>78176</v>
      </c>
      <c r="AC39" s="277">
        <v>574674</v>
      </c>
      <c r="AD39" s="601">
        <v>6313</v>
      </c>
      <c r="AE39" s="272">
        <v>107638</v>
      </c>
      <c r="AF39" s="1193">
        <v>11320</v>
      </c>
      <c r="AG39" s="277">
        <v>0</v>
      </c>
      <c r="AH39" s="277"/>
      <c r="AI39" s="280">
        <f>'C1-Incomes'!R38-B39</f>
        <v>-5.9999991208314896E-4</v>
      </c>
    </row>
    <row r="40" spans="1:35" ht="10.5" customHeight="1" x14ac:dyDescent="0.3">
      <c r="A40" s="268">
        <v>1991</v>
      </c>
      <c r="B40" s="603">
        <f t="shared" si="5"/>
        <v>5824696.0979000004</v>
      </c>
      <c r="C40" s="603"/>
      <c r="D40" s="277">
        <f>'T-T1'!B40</f>
        <v>5186123.0979000004</v>
      </c>
      <c r="E40" s="277">
        <f t="shared" si="3"/>
        <v>375716</v>
      </c>
      <c r="F40" s="277">
        <f t="shared" si="0"/>
        <v>227586</v>
      </c>
      <c r="G40" s="280">
        <f t="shared" si="8"/>
        <v>35271</v>
      </c>
      <c r="H40" s="603"/>
      <c r="I40" s="603">
        <f t="shared" si="4"/>
        <v>375716</v>
      </c>
      <c r="J40" s="270">
        <v>264204</v>
      </c>
      <c r="K40" s="601">
        <v>7513</v>
      </c>
      <c r="L40" s="601">
        <v>26787</v>
      </c>
      <c r="M40" s="601">
        <v>16245</v>
      </c>
      <c r="N40" s="601">
        <v>1873</v>
      </c>
      <c r="O40" s="601">
        <v>1645</v>
      </c>
      <c r="P40" s="601">
        <v>10530</v>
      </c>
      <c r="Q40" s="601">
        <v>14764</v>
      </c>
      <c r="R40" s="601">
        <v>3848</v>
      </c>
      <c r="S40" s="601">
        <f t="shared" si="7"/>
        <v>7175</v>
      </c>
      <c r="T40" s="280">
        <v>21132</v>
      </c>
      <c r="U40" s="601" t="s">
        <v>50</v>
      </c>
      <c r="V40" s="280"/>
      <c r="W40" s="617">
        <f t="shared" si="2"/>
        <v>227586</v>
      </c>
      <c r="X40" s="272">
        <f t="shared" si="6"/>
        <v>105553</v>
      </c>
      <c r="Y40" s="601">
        <v>1653</v>
      </c>
      <c r="Z40" s="607">
        <v>18264</v>
      </c>
      <c r="AA40" s="280">
        <v>102116</v>
      </c>
      <c r="AC40" s="277">
        <v>650507</v>
      </c>
      <c r="AD40" s="601">
        <v>7175</v>
      </c>
      <c r="AE40" s="272">
        <v>117487</v>
      </c>
      <c r="AF40" s="1193">
        <v>11934</v>
      </c>
      <c r="AG40" s="277">
        <v>0</v>
      </c>
      <c r="AH40" s="277"/>
      <c r="AI40" s="280">
        <f>'C1-Incomes'!R39-B40</f>
        <v>0</v>
      </c>
    </row>
    <row r="41" spans="1:35" ht="10.5" customHeight="1" x14ac:dyDescent="0.3">
      <c r="A41" s="268">
        <v>1992</v>
      </c>
      <c r="B41" s="603">
        <f t="shared" si="5"/>
        <v>6217420.9360999996</v>
      </c>
      <c r="C41" s="603"/>
      <c r="D41" s="277">
        <f>'T-T1'!B41</f>
        <v>5499747.9360999996</v>
      </c>
      <c r="E41" s="277">
        <f t="shared" si="3"/>
        <v>416130</v>
      </c>
      <c r="F41" s="277">
        <f t="shared" si="0"/>
        <v>263298</v>
      </c>
      <c r="G41" s="280">
        <f t="shared" si="8"/>
        <v>38245</v>
      </c>
      <c r="H41" s="603"/>
      <c r="I41" s="603">
        <f t="shared" si="4"/>
        <v>416130</v>
      </c>
      <c r="J41" s="270">
        <v>281776</v>
      </c>
      <c r="K41" s="601">
        <v>7744</v>
      </c>
      <c r="L41" s="601">
        <v>39617</v>
      </c>
      <c r="M41" s="601">
        <v>16695</v>
      </c>
      <c r="N41" s="601">
        <v>1911</v>
      </c>
      <c r="O41" s="601">
        <v>1788</v>
      </c>
      <c r="P41" s="601">
        <v>11480</v>
      </c>
      <c r="Q41" s="601">
        <v>18245</v>
      </c>
      <c r="R41" s="601">
        <v>4083</v>
      </c>
      <c r="S41" s="601">
        <f t="shared" si="7"/>
        <v>10549</v>
      </c>
      <c r="T41" s="280">
        <v>22242</v>
      </c>
      <c r="U41" s="601" t="s">
        <v>50</v>
      </c>
      <c r="V41" s="280"/>
      <c r="W41" s="617">
        <f t="shared" ref="W41:W65" si="9">SUM(X41:AA41)</f>
        <v>263298</v>
      </c>
      <c r="X41" s="272">
        <f t="shared" si="6"/>
        <v>118519</v>
      </c>
      <c r="Y41" s="601">
        <v>1698</v>
      </c>
      <c r="Z41" s="607">
        <v>21295</v>
      </c>
      <c r="AA41" s="280">
        <v>121786</v>
      </c>
      <c r="AC41" s="277">
        <v>731750</v>
      </c>
      <c r="AD41" s="601">
        <v>10549</v>
      </c>
      <c r="AE41" s="272">
        <v>132596</v>
      </c>
      <c r="AF41" s="1193">
        <v>14077</v>
      </c>
      <c r="AG41" s="277">
        <v>0</v>
      </c>
      <c r="AH41" s="277"/>
      <c r="AI41" s="280">
        <f>'C1-Incomes'!R40-B41</f>
        <v>0</v>
      </c>
    </row>
    <row r="42" spans="1:35" ht="10.5" customHeight="1" x14ac:dyDescent="0.3">
      <c r="A42" s="268">
        <v>1993</v>
      </c>
      <c r="B42" s="603">
        <f t="shared" si="5"/>
        <v>6519526.1842999998</v>
      </c>
      <c r="C42" s="603"/>
      <c r="D42" s="277">
        <f>'T-T1'!B42</f>
        <v>5754784.1842999998</v>
      </c>
      <c r="E42" s="277">
        <f t="shared" si="3"/>
        <v>432236</v>
      </c>
      <c r="F42" s="277">
        <f t="shared" si="0"/>
        <v>291570</v>
      </c>
      <c r="G42" s="280">
        <f t="shared" si="8"/>
        <v>40936</v>
      </c>
      <c r="H42" s="603"/>
      <c r="I42" s="603">
        <f t="shared" si="4"/>
        <v>432236</v>
      </c>
      <c r="J42" s="270">
        <v>297935</v>
      </c>
      <c r="K42" s="601">
        <v>7825</v>
      </c>
      <c r="L42" s="601">
        <v>34848</v>
      </c>
      <c r="M42" s="601">
        <v>17409</v>
      </c>
      <c r="N42" s="601">
        <v>1885</v>
      </c>
      <c r="O42" s="601">
        <v>1836</v>
      </c>
      <c r="P42" s="601">
        <v>11370</v>
      </c>
      <c r="Q42" s="601">
        <v>20719</v>
      </c>
      <c r="R42" s="601">
        <v>3934</v>
      </c>
      <c r="S42" s="601">
        <f t="shared" si="7"/>
        <v>11649</v>
      </c>
      <c r="T42" s="280">
        <v>22826</v>
      </c>
      <c r="U42" s="601" t="s">
        <v>50</v>
      </c>
      <c r="V42" s="280"/>
      <c r="W42" s="617">
        <f t="shared" si="9"/>
        <v>291570</v>
      </c>
      <c r="X42" s="272">
        <f t="shared" si="6"/>
        <v>132592</v>
      </c>
      <c r="Y42" s="601">
        <v>1622</v>
      </c>
      <c r="Z42" s="607">
        <v>22211</v>
      </c>
      <c r="AA42" s="280">
        <v>135145</v>
      </c>
      <c r="AC42" s="277">
        <v>778935</v>
      </c>
      <c r="AD42" s="601">
        <v>11649</v>
      </c>
      <c r="AE42" s="272">
        <v>146785</v>
      </c>
      <c r="AF42" s="1193">
        <v>14193</v>
      </c>
      <c r="AG42" s="277">
        <v>0</v>
      </c>
      <c r="AH42" s="277"/>
      <c r="AI42" s="280">
        <f>'C1-Incomes'!R41-B42</f>
        <v>-2.9999949038028717E-4</v>
      </c>
    </row>
    <row r="43" spans="1:35" ht="10.5" customHeight="1" x14ac:dyDescent="0.3">
      <c r="A43" s="268">
        <v>1994</v>
      </c>
      <c r="B43" s="603">
        <f t="shared" si="5"/>
        <v>6938551.0157000003</v>
      </c>
      <c r="C43" s="603"/>
      <c r="D43" s="277">
        <f>'T-T1'!B43</f>
        <v>6140229.0157000003</v>
      </c>
      <c r="E43" s="277">
        <f t="shared" si="3"/>
        <v>440017</v>
      </c>
      <c r="F43" s="277">
        <f t="shared" si="0"/>
        <v>316127</v>
      </c>
      <c r="G43" s="280">
        <f t="shared" si="8"/>
        <v>42178</v>
      </c>
      <c r="H43" s="603"/>
      <c r="I43" s="603">
        <f t="shared" si="4"/>
        <v>440017</v>
      </c>
      <c r="J43" s="270">
        <v>312161</v>
      </c>
      <c r="K43" s="601">
        <v>7961</v>
      </c>
      <c r="L43" s="601">
        <v>23942</v>
      </c>
      <c r="M43" s="601">
        <v>17787</v>
      </c>
      <c r="N43" s="601">
        <v>1904</v>
      </c>
      <c r="O43" s="601">
        <v>1871</v>
      </c>
      <c r="P43" s="601">
        <v>10974</v>
      </c>
      <c r="Q43" s="601">
        <v>22469</v>
      </c>
      <c r="R43" s="601">
        <v>3800</v>
      </c>
      <c r="S43" s="601">
        <f t="shared" si="7"/>
        <v>13985</v>
      </c>
      <c r="T43" s="280">
        <v>23163</v>
      </c>
      <c r="U43" s="601" t="s">
        <v>50</v>
      </c>
      <c r="V43" s="280"/>
      <c r="W43" s="617">
        <f t="shared" si="9"/>
        <v>316127</v>
      </c>
      <c r="X43" s="272">
        <f t="shared" si="6"/>
        <v>147037</v>
      </c>
      <c r="Y43" s="601">
        <v>1362</v>
      </c>
      <c r="Z43" s="607">
        <v>22842</v>
      </c>
      <c r="AA43" s="280">
        <v>144886</v>
      </c>
      <c r="AC43" s="277">
        <v>815708</v>
      </c>
      <c r="AD43" s="601">
        <v>13985</v>
      </c>
      <c r="AE43" s="272">
        <v>164423</v>
      </c>
      <c r="AF43" s="1193">
        <v>17386</v>
      </c>
      <c r="AG43" s="277">
        <v>0</v>
      </c>
      <c r="AH43" s="277"/>
      <c r="AI43" s="280">
        <f>'C1-Incomes'!R42-B43</f>
        <v>-5.0000008195638657E-4</v>
      </c>
    </row>
    <row r="44" spans="1:35" ht="10.5" customHeight="1" x14ac:dyDescent="0.3">
      <c r="A44" s="268">
        <v>1995</v>
      </c>
      <c r="B44" s="603">
        <f t="shared" si="5"/>
        <v>7324486.4874999998</v>
      </c>
      <c r="C44" s="603"/>
      <c r="D44" s="277">
        <f>'T-T1'!B44</f>
        <v>6479476.4874999998</v>
      </c>
      <c r="E44" s="277">
        <f t="shared" si="3"/>
        <v>460887</v>
      </c>
      <c r="F44" s="277">
        <f t="shared" si="0"/>
        <v>340004</v>
      </c>
      <c r="G44" s="280">
        <f t="shared" si="8"/>
        <v>44119</v>
      </c>
      <c r="H44" s="603"/>
      <c r="I44" s="603">
        <f t="shared" si="4"/>
        <v>460887</v>
      </c>
      <c r="J44" s="270">
        <v>327675</v>
      </c>
      <c r="K44" s="601">
        <v>8025</v>
      </c>
      <c r="L44" s="601">
        <v>21734</v>
      </c>
      <c r="M44" s="601">
        <v>18634</v>
      </c>
      <c r="N44" s="601">
        <v>1898</v>
      </c>
      <c r="O44" s="601">
        <v>1919</v>
      </c>
      <c r="P44" s="601">
        <v>10736</v>
      </c>
      <c r="Q44" s="601">
        <v>23917</v>
      </c>
      <c r="R44" s="601">
        <v>3809</v>
      </c>
      <c r="S44" s="601">
        <f t="shared" si="7"/>
        <v>19903</v>
      </c>
      <c r="T44" s="280">
        <v>22637</v>
      </c>
      <c r="U44" s="601" t="s">
        <v>50</v>
      </c>
      <c r="V44" s="280"/>
      <c r="W44" s="617">
        <f t="shared" si="9"/>
        <v>340004</v>
      </c>
      <c r="X44" s="272">
        <f t="shared" si="6"/>
        <v>161503</v>
      </c>
      <c r="Y44" s="601">
        <v>1047</v>
      </c>
      <c r="Z44" s="607">
        <v>22447</v>
      </c>
      <c r="AA44" s="280">
        <v>155007</v>
      </c>
      <c r="AC44" s="277">
        <v>864727</v>
      </c>
      <c r="AD44" s="601">
        <v>19903</v>
      </c>
      <c r="AE44" s="272">
        <v>181220</v>
      </c>
      <c r="AF44" s="1193">
        <v>19717</v>
      </c>
      <c r="AG44" s="277">
        <v>0</v>
      </c>
      <c r="AH44" s="277"/>
      <c r="AI44" s="280">
        <f>'C1-Incomes'!R43-B44</f>
        <v>-9.999983012676239E-5</v>
      </c>
    </row>
    <row r="45" spans="1:35" ht="10.5" customHeight="1" x14ac:dyDescent="0.3">
      <c r="A45" s="268">
        <v>1996</v>
      </c>
      <c r="B45" s="603">
        <f t="shared" si="5"/>
        <v>7786956.8994000005</v>
      </c>
      <c r="C45" s="603"/>
      <c r="D45" s="277">
        <f>'T-T1'!B45</f>
        <v>6899394.8994000005</v>
      </c>
      <c r="E45" s="277">
        <f t="shared" si="3"/>
        <v>480275</v>
      </c>
      <c r="F45" s="277">
        <f t="shared" si="0"/>
        <v>362619</v>
      </c>
      <c r="G45" s="280">
        <f t="shared" si="8"/>
        <v>44668</v>
      </c>
      <c r="H45" s="603"/>
      <c r="I45" s="603">
        <f t="shared" si="4"/>
        <v>480275</v>
      </c>
      <c r="J45" s="270">
        <v>342005</v>
      </c>
      <c r="K45" s="601">
        <v>8087</v>
      </c>
      <c r="L45" s="601">
        <v>22274</v>
      </c>
      <c r="M45" s="601">
        <v>19413</v>
      </c>
      <c r="N45" s="601">
        <v>2002</v>
      </c>
      <c r="O45" s="601">
        <v>1976</v>
      </c>
      <c r="P45" s="601">
        <v>10954</v>
      </c>
      <c r="Q45" s="601">
        <v>25262</v>
      </c>
      <c r="R45" s="601">
        <v>3641</v>
      </c>
      <c r="S45" s="601">
        <f t="shared" si="7"/>
        <v>24336</v>
      </c>
      <c r="T45" s="280">
        <v>20325</v>
      </c>
      <c r="U45" s="601" t="s">
        <v>50</v>
      </c>
      <c r="V45" s="280"/>
      <c r="W45" s="617">
        <f t="shared" si="9"/>
        <v>362619</v>
      </c>
      <c r="X45" s="272">
        <f t="shared" si="6"/>
        <v>176105</v>
      </c>
      <c r="Y45" s="601">
        <v>959</v>
      </c>
      <c r="Z45" s="607">
        <v>21953</v>
      </c>
      <c r="AA45" s="280">
        <v>163602</v>
      </c>
      <c r="AC45" s="277">
        <v>906325</v>
      </c>
      <c r="AD45" s="601">
        <v>24336</v>
      </c>
      <c r="AE45" s="272">
        <v>194868</v>
      </c>
      <c r="AF45" s="1193">
        <v>18763</v>
      </c>
      <c r="AG45" s="277">
        <v>0</v>
      </c>
      <c r="AH45" s="277"/>
      <c r="AI45" s="280">
        <f>'C1-Incomes'!R44-B45</f>
        <v>-1.0000076144933701E-4</v>
      </c>
    </row>
    <row r="46" spans="1:35" ht="10.5" customHeight="1" x14ac:dyDescent="0.3">
      <c r="A46" s="268">
        <v>1997</v>
      </c>
      <c r="B46" s="603">
        <f t="shared" si="5"/>
        <v>8296499.9369000001</v>
      </c>
      <c r="C46" s="603"/>
      <c r="D46" s="277">
        <f>'T-T1'!B46</f>
        <v>7380370.9369000001</v>
      </c>
      <c r="E46" s="277">
        <f t="shared" si="3"/>
        <v>494281</v>
      </c>
      <c r="F46" s="277">
        <f t="shared" si="0"/>
        <v>375593</v>
      </c>
      <c r="G46" s="280">
        <f t="shared" si="8"/>
        <v>46255</v>
      </c>
      <c r="H46" s="603"/>
      <c r="I46" s="603">
        <f t="shared" si="4"/>
        <v>494281</v>
      </c>
      <c r="J46" s="270">
        <v>356592</v>
      </c>
      <c r="K46" s="601">
        <v>8198</v>
      </c>
      <c r="L46" s="601">
        <v>20103</v>
      </c>
      <c r="M46" s="601">
        <v>20367</v>
      </c>
      <c r="N46" s="601">
        <v>1930</v>
      </c>
      <c r="O46" s="601">
        <v>1918</v>
      </c>
      <c r="P46" s="601">
        <v>10729</v>
      </c>
      <c r="Q46" s="601">
        <v>25455</v>
      </c>
      <c r="R46" s="601">
        <v>3699</v>
      </c>
      <c r="S46" s="601">
        <f t="shared" si="7"/>
        <v>27413</v>
      </c>
      <c r="T46" s="280">
        <v>17877</v>
      </c>
      <c r="U46" s="601" t="s">
        <v>50</v>
      </c>
      <c r="V46" s="280"/>
      <c r="W46" s="617">
        <f t="shared" si="9"/>
        <v>375593</v>
      </c>
      <c r="X46" s="272">
        <f t="shared" si="6"/>
        <v>187628</v>
      </c>
      <c r="Y46" s="601">
        <v>942</v>
      </c>
      <c r="Z46" s="607">
        <v>18732</v>
      </c>
      <c r="AA46" s="280">
        <v>168291</v>
      </c>
      <c r="AC46" s="277">
        <v>935418</v>
      </c>
      <c r="AD46" s="601">
        <v>27413</v>
      </c>
      <c r="AE46" s="272">
        <v>206917</v>
      </c>
      <c r="AF46" s="1193">
        <v>19289</v>
      </c>
      <c r="AG46" s="277">
        <v>0</v>
      </c>
      <c r="AH46" s="277"/>
      <c r="AI46" s="280">
        <f>'C1-Incomes'!R45-B46</f>
        <v>0</v>
      </c>
    </row>
    <row r="47" spans="1:35" ht="10.5" customHeight="1" x14ac:dyDescent="0.3">
      <c r="A47" s="268">
        <v>1998</v>
      </c>
      <c r="B47" s="603">
        <f t="shared" si="5"/>
        <v>8794259.2644999996</v>
      </c>
      <c r="C47" s="603"/>
      <c r="D47" s="277">
        <f>'T-T1'!B47</f>
        <v>7857277.2644999996</v>
      </c>
      <c r="E47" s="277">
        <f t="shared" si="3"/>
        <v>509662</v>
      </c>
      <c r="F47" s="277">
        <f t="shared" si="0"/>
        <v>377343</v>
      </c>
      <c r="G47" s="280">
        <f t="shared" si="8"/>
        <v>49977</v>
      </c>
      <c r="H47" s="603"/>
      <c r="I47" s="603">
        <f t="shared" si="4"/>
        <v>509662</v>
      </c>
      <c r="J47" s="270">
        <v>369182</v>
      </c>
      <c r="K47" s="601">
        <v>8229</v>
      </c>
      <c r="L47" s="601">
        <v>19693</v>
      </c>
      <c r="M47" s="601">
        <v>21367</v>
      </c>
      <c r="N47" s="601">
        <v>1891</v>
      </c>
      <c r="O47" s="601">
        <v>1973</v>
      </c>
      <c r="P47" s="601">
        <v>10384</v>
      </c>
      <c r="Q47" s="601">
        <v>26402</v>
      </c>
      <c r="R47" s="601">
        <v>3920</v>
      </c>
      <c r="S47" s="601">
        <f t="shared" si="7"/>
        <v>29192</v>
      </c>
      <c r="T47" s="280">
        <v>17429</v>
      </c>
      <c r="U47" s="601" t="s">
        <v>50</v>
      </c>
      <c r="V47" s="280"/>
      <c r="W47" s="617">
        <f t="shared" si="9"/>
        <v>377343</v>
      </c>
      <c r="X47" s="272">
        <f t="shared" si="6"/>
        <v>184625</v>
      </c>
      <c r="Y47" s="601">
        <v>975</v>
      </c>
      <c r="Z47" s="607">
        <v>16465</v>
      </c>
      <c r="AA47" s="280">
        <v>175278</v>
      </c>
      <c r="AC47" s="277">
        <v>957915</v>
      </c>
      <c r="AD47" s="601">
        <v>29192</v>
      </c>
      <c r="AE47" s="272">
        <v>205558</v>
      </c>
      <c r="AF47" s="1193">
        <v>20933</v>
      </c>
      <c r="AG47" s="277">
        <v>0</v>
      </c>
      <c r="AH47" s="277"/>
      <c r="AI47" s="280">
        <f>'C1-Incomes'!R46-B47</f>
        <v>6.0000084340572357E-4</v>
      </c>
    </row>
    <row r="48" spans="1:35" ht="10.5" customHeight="1" x14ac:dyDescent="0.3">
      <c r="A48" s="268">
        <v>1999</v>
      </c>
      <c r="B48" s="603">
        <f t="shared" si="5"/>
        <v>9297633.7140999995</v>
      </c>
      <c r="C48" s="603"/>
      <c r="D48" s="277">
        <f>'T-T1'!B48</f>
        <v>8324398.7141000004</v>
      </c>
      <c r="E48" s="277">
        <f t="shared" si="3"/>
        <v>525054</v>
      </c>
      <c r="F48" s="277">
        <f t="shared" si="0"/>
        <v>395525</v>
      </c>
      <c r="G48" s="280">
        <f t="shared" si="8"/>
        <v>52656</v>
      </c>
      <c r="H48" s="603"/>
      <c r="I48" s="603">
        <f t="shared" si="4"/>
        <v>525054</v>
      </c>
      <c r="J48" s="270">
        <v>379864</v>
      </c>
      <c r="K48" s="601">
        <v>8206</v>
      </c>
      <c r="L48" s="601">
        <v>20509</v>
      </c>
      <c r="M48" s="601">
        <v>22314</v>
      </c>
      <c r="N48" s="601">
        <v>1816</v>
      </c>
      <c r="O48" s="601">
        <v>2035</v>
      </c>
      <c r="P48" s="601">
        <v>10626</v>
      </c>
      <c r="Q48" s="601">
        <v>26802</v>
      </c>
      <c r="R48" s="601">
        <v>4221</v>
      </c>
      <c r="S48" s="601">
        <f t="shared" si="7"/>
        <v>30741</v>
      </c>
      <c r="T48" s="280">
        <v>17920</v>
      </c>
      <c r="U48" s="601" t="s">
        <v>50</v>
      </c>
      <c r="V48" s="280"/>
      <c r="W48" s="617">
        <f t="shared" si="9"/>
        <v>395525</v>
      </c>
      <c r="X48" s="272">
        <f t="shared" si="6"/>
        <v>189769</v>
      </c>
      <c r="Y48" s="601">
        <v>1031</v>
      </c>
      <c r="Z48" s="607">
        <v>15473</v>
      </c>
      <c r="AA48" s="280">
        <v>189252</v>
      </c>
      <c r="AC48" s="277">
        <v>992202</v>
      </c>
      <c r="AD48" s="601">
        <v>30741</v>
      </c>
      <c r="AE48" s="272">
        <v>208736</v>
      </c>
      <c r="AF48" s="1193">
        <v>18967</v>
      </c>
      <c r="AG48" s="277">
        <v>0</v>
      </c>
      <c r="AH48" s="277"/>
      <c r="AI48" s="280">
        <f>'C1-Incomes'!R47-B48</f>
        <v>7.0000067353248596E-4</v>
      </c>
    </row>
    <row r="49" spans="1:35" ht="10.5" customHeight="1" x14ac:dyDescent="0.3">
      <c r="A49" s="268">
        <v>2000</v>
      </c>
      <c r="B49" s="603">
        <f t="shared" si="5"/>
        <v>9931340.0170000009</v>
      </c>
      <c r="C49" s="603"/>
      <c r="D49" s="277">
        <f>'T-T1'!B49</f>
        <v>8907019.0170000009</v>
      </c>
      <c r="E49" s="277">
        <f t="shared" si="3"/>
        <v>550333</v>
      </c>
      <c r="F49" s="277">
        <f t="shared" si="0"/>
        <v>419307</v>
      </c>
      <c r="G49" s="280">
        <f t="shared" si="8"/>
        <v>54681</v>
      </c>
      <c r="H49" s="603"/>
      <c r="I49" s="603">
        <f t="shared" si="4"/>
        <v>550333</v>
      </c>
      <c r="J49" s="270">
        <v>401393</v>
      </c>
      <c r="K49" s="601">
        <v>8267</v>
      </c>
      <c r="L49" s="601">
        <v>20741</v>
      </c>
      <c r="M49" s="601">
        <v>23288</v>
      </c>
      <c r="N49" s="601">
        <v>1706</v>
      </c>
      <c r="O49" s="601">
        <v>2161</v>
      </c>
      <c r="P49" s="601">
        <v>11384</v>
      </c>
      <c r="Q49" s="601">
        <v>27287</v>
      </c>
      <c r="R49" s="601">
        <v>4388</v>
      </c>
      <c r="S49" s="601">
        <f t="shared" si="7"/>
        <v>31278</v>
      </c>
      <c r="T49" s="280">
        <v>18440</v>
      </c>
      <c r="U49" s="601" t="s">
        <v>50</v>
      </c>
      <c r="V49" s="280"/>
      <c r="W49" s="617">
        <f t="shared" si="9"/>
        <v>419307</v>
      </c>
      <c r="X49" s="272">
        <f t="shared" si="6"/>
        <v>198562</v>
      </c>
      <c r="Y49" s="601">
        <v>1159</v>
      </c>
      <c r="Z49" s="607">
        <v>14565</v>
      </c>
      <c r="AA49" s="280">
        <v>205021</v>
      </c>
      <c r="AC49" s="277">
        <v>1044876</v>
      </c>
      <c r="AD49" s="601">
        <v>31278</v>
      </c>
      <c r="AE49" s="272">
        <v>219117</v>
      </c>
      <c r="AF49" s="1193">
        <v>20555</v>
      </c>
      <c r="AG49" s="277">
        <v>0</v>
      </c>
      <c r="AH49" s="277"/>
      <c r="AI49" s="280">
        <f>'C1-Incomes'!R48-B49</f>
        <v>9.999983012676239E-5</v>
      </c>
    </row>
    <row r="50" spans="1:35" ht="10.5" customHeight="1" x14ac:dyDescent="0.3">
      <c r="A50" s="268">
        <v>2001</v>
      </c>
      <c r="B50" s="603">
        <f t="shared" si="5"/>
        <v>10307698.3685</v>
      </c>
      <c r="C50" s="603"/>
      <c r="D50" s="277">
        <f>'T-T1'!B50</f>
        <v>9184632.3684999999</v>
      </c>
      <c r="E50" s="277">
        <f t="shared" si="3"/>
        <v>589471</v>
      </c>
      <c r="F50" s="277">
        <f t="shared" si="0"/>
        <v>471743</v>
      </c>
      <c r="G50" s="280">
        <f t="shared" si="8"/>
        <v>61852</v>
      </c>
      <c r="H50" s="603"/>
      <c r="I50" s="603">
        <f t="shared" si="4"/>
        <v>589471</v>
      </c>
      <c r="J50" s="270">
        <v>425084</v>
      </c>
      <c r="K50" s="601">
        <v>8412</v>
      </c>
      <c r="L50" s="601">
        <v>31899</v>
      </c>
      <c r="M50" s="601">
        <v>24895</v>
      </c>
      <c r="N50" s="601">
        <v>1692</v>
      </c>
      <c r="O50" s="601">
        <v>2334</v>
      </c>
      <c r="P50" s="601">
        <v>12698</v>
      </c>
      <c r="Q50" s="601">
        <v>28702</v>
      </c>
      <c r="R50" s="601">
        <v>4460</v>
      </c>
      <c r="S50" s="601">
        <f t="shared" si="7"/>
        <v>31189</v>
      </c>
      <c r="T50" s="280">
        <v>18106</v>
      </c>
      <c r="U50" s="601" t="s">
        <v>50</v>
      </c>
      <c r="V50" s="280"/>
      <c r="W50" s="617">
        <f t="shared" si="9"/>
        <v>471743</v>
      </c>
      <c r="X50" s="272">
        <f t="shared" si="6"/>
        <v>219816</v>
      </c>
      <c r="Y50" s="601">
        <v>1317</v>
      </c>
      <c r="Z50" s="607">
        <v>15967</v>
      </c>
      <c r="AA50" s="280">
        <v>234643</v>
      </c>
      <c r="AC50" s="277">
        <v>1145830</v>
      </c>
      <c r="AD50" s="601">
        <v>31189</v>
      </c>
      <c r="AE50" s="272">
        <v>242580</v>
      </c>
      <c r="AF50" s="1193">
        <v>22764</v>
      </c>
      <c r="AG50" s="277">
        <v>0</v>
      </c>
      <c r="AH50" s="277"/>
      <c r="AI50" s="280">
        <f>'C1-Incomes'!R49-B50</f>
        <v>-4.9999915063381195E-4</v>
      </c>
    </row>
    <row r="51" spans="1:35" ht="10.5" customHeight="1" x14ac:dyDescent="0.3">
      <c r="A51" s="268">
        <v>2002</v>
      </c>
      <c r="B51" s="603">
        <f t="shared" si="5"/>
        <v>10662241.1165</v>
      </c>
      <c r="C51" s="603"/>
      <c r="D51" s="277">
        <f>'T-T1'!B51</f>
        <v>9436822.1164999995</v>
      </c>
      <c r="E51" s="277">
        <f t="shared" si="3"/>
        <v>644766</v>
      </c>
      <c r="F51" s="277">
        <f t="shared" si="0"/>
        <v>512758</v>
      </c>
      <c r="G51" s="280">
        <f t="shared" si="8"/>
        <v>67895</v>
      </c>
      <c r="H51" s="603"/>
      <c r="I51" s="603">
        <f t="shared" si="4"/>
        <v>644766</v>
      </c>
      <c r="J51" s="270">
        <v>446909</v>
      </c>
      <c r="K51" s="601">
        <v>8700</v>
      </c>
      <c r="L51" s="601">
        <v>53481</v>
      </c>
      <c r="M51" s="601">
        <v>27806</v>
      </c>
      <c r="N51" s="601">
        <v>1724</v>
      </c>
      <c r="O51" s="601">
        <v>2342</v>
      </c>
      <c r="P51" s="601">
        <v>14190</v>
      </c>
      <c r="Q51" s="601">
        <v>29895</v>
      </c>
      <c r="R51" s="601">
        <v>4769</v>
      </c>
      <c r="S51" s="601">
        <f t="shared" si="7"/>
        <v>37266</v>
      </c>
      <c r="T51" s="280">
        <v>17684</v>
      </c>
      <c r="U51" s="601" t="s">
        <v>50</v>
      </c>
      <c r="V51" s="280"/>
      <c r="W51" s="617">
        <f t="shared" si="9"/>
        <v>512758</v>
      </c>
      <c r="X51" s="272">
        <f t="shared" si="6"/>
        <v>234123</v>
      </c>
      <c r="Y51" s="601">
        <v>1480</v>
      </c>
      <c r="Z51" s="607">
        <v>18612</v>
      </c>
      <c r="AA51" s="280">
        <v>258543</v>
      </c>
      <c r="AC51" s="277">
        <v>1250485</v>
      </c>
      <c r="AD51" s="601">
        <v>37266</v>
      </c>
      <c r="AE51" s="272">
        <v>259189</v>
      </c>
      <c r="AF51" s="1193">
        <v>25066</v>
      </c>
      <c r="AG51" s="277">
        <v>0</v>
      </c>
      <c r="AH51" s="277"/>
      <c r="AI51" s="280">
        <f>'C1-Incomes'!R50-B51</f>
        <v>5.0000101327896118E-4</v>
      </c>
    </row>
    <row r="52" spans="1:35" ht="10.5" customHeight="1" x14ac:dyDescent="0.3">
      <c r="A52" s="268">
        <f>A51+1</f>
        <v>2003</v>
      </c>
      <c r="B52" s="603">
        <f t="shared" si="5"/>
        <v>11157848.981000001</v>
      </c>
      <c r="C52" s="603"/>
      <c r="D52" s="277">
        <f>'T-T1'!B52</f>
        <v>9864187.9810000006</v>
      </c>
      <c r="E52" s="277">
        <f t="shared" si="3"/>
        <v>672461</v>
      </c>
      <c r="F52" s="277">
        <f t="shared" si="0"/>
        <v>547597</v>
      </c>
      <c r="G52" s="280">
        <f t="shared" si="8"/>
        <v>73603</v>
      </c>
      <c r="H52" s="603"/>
      <c r="I52" s="603">
        <f t="shared" si="4"/>
        <v>672461</v>
      </c>
      <c r="J52" s="270">
        <v>463531</v>
      </c>
      <c r="K52" s="601">
        <v>8854</v>
      </c>
      <c r="L52" s="601">
        <v>53174</v>
      </c>
      <c r="M52" s="601">
        <v>30110</v>
      </c>
      <c r="N52" s="601">
        <v>1708</v>
      </c>
      <c r="O52" s="601">
        <v>2371</v>
      </c>
      <c r="P52" s="601">
        <v>15685</v>
      </c>
      <c r="Q52" s="601">
        <v>30684</v>
      </c>
      <c r="R52" s="601">
        <v>5035</v>
      </c>
      <c r="S52" s="601">
        <f t="shared" si="7"/>
        <v>42942</v>
      </c>
      <c r="T52" s="280">
        <v>18367</v>
      </c>
      <c r="U52" s="601" t="s">
        <v>50</v>
      </c>
      <c r="V52" s="280"/>
      <c r="W52" s="617">
        <f t="shared" si="9"/>
        <v>547597</v>
      </c>
      <c r="X52" s="272">
        <f t="shared" si="6"/>
        <v>249333</v>
      </c>
      <c r="Y52" s="601">
        <v>2122</v>
      </c>
      <c r="Z52" s="607">
        <v>22125</v>
      </c>
      <c r="AA52" s="280">
        <v>274017</v>
      </c>
      <c r="AC52" s="277">
        <v>1321063</v>
      </c>
      <c r="AD52" s="601">
        <v>42942</v>
      </c>
      <c r="AE52" s="272">
        <v>276735</v>
      </c>
      <c r="AF52" s="1193">
        <v>27402</v>
      </c>
      <c r="AG52" s="277">
        <v>0</v>
      </c>
      <c r="AH52" s="277"/>
      <c r="AI52" s="280">
        <f>'C1-Incomes'!R51-B52</f>
        <v>-1.0000001639127731E-3</v>
      </c>
    </row>
    <row r="53" spans="1:35" ht="10.5" customHeight="1" x14ac:dyDescent="0.3">
      <c r="A53" s="268">
        <f>A52+1</f>
        <v>2004</v>
      </c>
      <c r="B53" s="603">
        <f t="shared" si="5"/>
        <v>11914068.784</v>
      </c>
      <c r="C53" s="603"/>
      <c r="D53" s="277">
        <f>'T-T1'!B53</f>
        <v>10540945.784</v>
      </c>
      <c r="E53" s="277">
        <f t="shared" si="3"/>
        <v>686450</v>
      </c>
      <c r="F53" s="277">
        <f t="shared" si="0"/>
        <v>601668</v>
      </c>
      <c r="G53" s="280">
        <f t="shared" si="8"/>
        <v>85005</v>
      </c>
      <c r="H53" s="603"/>
      <c r="I53" s="603">
        <f t="shared" si="4"/>
        <v>686450</v>
      </c>
      <c r="J53" s="270">
        <v>485512</v>
      </c>
      <c r="K53" s="601">
        <v>9009</v>
      </c>
      <c r="L53" s="601">
        <v>36424</v>
      </c>
      <c r="M53" s="601">
        <v>32355</v>
      </c>
      <c r="N53" s="601">
        <v>1681</v>
      </c>
      <c r="O53" s="601">
        <v>2448</v>
      </c>
      <c r="P53" s="601">
        <v>16830</v>
      </c>
      <c r="Q53" s="601">
        <v>31883</v>
      </c>
      <c r="R53" s="601">
        <v>5212</v>
      </c>
      <c r="S53" s="601">
        <f t="shared" si="7"/>
        <v>46678</v>
      </c>
      <c r="T53" s="280">
        <v>18418</v>
      </c>
      <c r="U53" s="601" t="s">
        <v>50</v>
      </c>
      <c r="V53" s="280"/>
      <c r="W53" s="617">
        <f t="shared" si="9"/>
        <v>601668</v>
      </c>
      <c r="X53" s="272">
        <f t="shared" si="6"/>
        <v>272962</v>
      </c>
      <c r="Y53" s="601">
        <v>2612</v>
      </c>
      <c r="Z53" s="607">
        <v>25946</v>
      </c>
      <c r="AA53" s="280">
        <v>300148</v>
      </c>
      <c r="AC53" s="277">
        <v>1404558</v>
      </c>
      <c r="AD53" s="601">
        <v>46678</v>
      </c>
      <c r="AE53" s="272">
        <v>304397</v>
      </c>
      <c r="AF53" s="1193">
        <v>31435</v>
      </c>
      <c r="AG53" s="277">
        <v>0</v>
      </c>
      <c r="AH53" s="277"/>
      <c r="AI53" s="280">
        <f>'C1-Incomes'!R52-B53</f>
        <v>1.0000001639127731E-3</v>
      </c>
    </row>
    <row r="54" spans="1:35" ht="10.5" customHeight="1" x14ac:dyDescent="0.3">
      <c r="A54" s="268">
        <v>2005</v>
      </c>
      <c r="B54" s="603">
        <f t="shared" si="5"/>
        <v>12693303.791999999</v>
      </c>
      <c r="C54" s="603"/>
      <c r="D54" s="277">
        <f>'T-T1'!B54</f>
        <v>11239819.791999999</v>
      </c>
      <c r="E54" s="277">
        <f t="shared" si="3"/>
        <v>720169</v>
      </c>
      <c r="F54" s="277">
        <f t="shared" si="0"/>
        <v>642391</v>
      </c>
      <c r="G54" s="280">
        <f t="shared" si="8"/>
        <v>90924</v>
      </c>
      <c r="H54" s="603"/>
      <c r="I54" s="603">
        <f t="shared" si="4"/>
        <v>720169</v>
      </c>
      <c r="J54" s="270">
        <v>512728</v>
      </c>
      <c r="K54" s="601">
        <v>9194</v>
      </c>
      <c r="L54" s="601">
        <v>31774</v>
      </c>
      <c r="M54" s="601">
        <v>34761</v>
      </c>
      <c r="N54" s="601">
        <v>1595</v>
      </c>
      <c r="O54" s="601">
        <v>2462</v>
      </c>
      <c r="P54" s="601">
        <v>16987</v>
      </c>
      <c r="Q54" s="601">
        <v>33054</v>
      </c>
      <c r="R54" s="601">
        <v>5207</v>
      </c>
      <c r="S54" s="601">
        <f t="shared" si="7"/>
        <v>54052</v>
      </c>
      <c r="T54" s="280">
        <v>18355</v>
      </c>
      <c r="U54" s="601" t="s">
        <v>50</v>
      </c>
      <c r="V54" s="280"/>
      <c r="W54" s="617">
        <f t="shared" si="9"/>
        <v>642391</v>
      </c>
      <c r="X54" s="272">
        <f t="shared" si="6"/>
        <v>294626</v>
      </c>
      <c r="Y54" s="601">
        <v>3076</v>
      </c>
      <c r="Z54" s="607">
        <v>29492</v>
      </c>
      <c r="AA54" s="280">
        <v>315197</v>
      </c>
      <c r="AC54" s="277">
        <v>1491019</v>
      </c>
      <c r="AD54" s="601">
        <v>54052</v>
      </c>
      <c r="AE54" s="272">
        <v>332161</v>
      </c>
      <c r="AF54" s="1193">
        <v>37535</v>
      </c>
      <c r="AG54" s="277">
        <v>0</v>
      </c>
      <c r="AH54" s="277"/>
      <c r="AI54" s="280">
        <f>'C1-Incomes'!R53-B54</f>
        <v>0</v>
      </c>
    </row>
    <row r="55" spans="1:35" ht="10.5" customHeight="1" x14ac:dyDescent="0.3">
      <c r="A55" s="268">
        <v>2006</v>
      </c>
      <c r="B55" s="603">
        <f t="shared" si="5"/>
        <v>13551527.65</v>
      </c>
      <c r="C55" s="603"/>
      <c r="D55" s="277">
        <f>'T-T1'!B55</f>
        <v>12004750.65</v>
      </c>
      <c r="E55" s="277">
        <f t="shared" si="3"/>
        <v>756956</v>
      </c>
      <c r="F55" s="277">
        <f t="shared" si="0"/>
        <v>697204</v>
      </c>
      <c r="G55" s="280">
        <f t="shared" si="8"/>
        <v>92617</v>
      </c>
      <c r="H55" s="603"/>
      <c r="I55" s="603">
        <f t="shared" si="4"/>
        <v>756956</v>
      </c>
      <c r="J55" s="270">
        <v>544096</v>
      </c>
      <c r="K55" s="601">
        <v>9519</v>
      </c>
      <c r="L55" s="601">
        <v>30367</v>
      </c>
      <c r="M55" s="601">
        <v>37282</v>
      </c>
      <c r="N55" s="601">
        <v>1553</v>
      </c>
      <c r="O55" s="601">
        <v>2436</v>
      </c>
      <c r="P55" s="601">
        <v>16906</v>
      </c>
      <c r="Q55" s="601">
        <v>34732</v>
      </c>
      <c r="R55" s="601">
        <v>5171</v>
      </c>
      <c r="S55" s="601">
        <f t="shared" si="7"/>
        <v>56668</v>
      </c>
      <c r="T55" s="280">
        <v>18226</v>
      </c>
      <c r="U55" s="601" t="s">
        <v>50</v>
      </c>
      <c r="V55" s="280"/>
      <c r="W55" s="617">
        <f t="shared" si="9"/>
        <v>697204</v>
      </c>
      <c r="X55" s="272">
        <f t="shared" si="6"/>
        <v>352846</v>
      </c>
      <c r="Y55" s="601">
        <v>3798</v>
      </c>
      <c r="Z55" s="607">
        <v>29390</v>
      </c>
      <c r="AA55" s="280">
        <v>311170</v>
      </c>
      <c r="AC55" s="277">
        <v>1593114</v>
      </c>
      <c r="AD55" s="601">
        <v>56668</v>
      </c>
      <c r="AE55" s="272">
        <v>399183</v>
      </c>
      <c r="AF55" s="1193">
        <v>42853</v>
      </c>
      <c r="AG55" s="1193">
        <v>3484</v>
      </c>
      <c r="AH55" s="1143"/>
      <c r="AI55" s="280">
        <f>'C1-Incomes'!R54-B55</f>
        <v>0</v>
      </c>
    </row>
    <row r="56" spans="1:35" ht="10.5" customHeight="1" x14ac:dyDescent="0.3">
      <c r="A56" s="268">
        <v>2007</v>
      </c>
      <c r="B56" s="603">
        <f t="shared" si="5"/>
        <v>13968011.707</v>
      </c>
      <c r="C56" s="603"/>
      <c r="D56" s="277">
        <f>'T-T1'!B56</f>
        <v>12321374.707</v>
      </c>
      <c r="E56" s="277">
        <f t="shared" si="3"/>
        <v>799784</v>
      </c>
      <c r="F56" s="277">
        <f t="shared" si="0"/>
        <v>749978</v>
      </c>
      <c r="G56" s="280">
        <f t="shared" si="8"/>
        <v>96875</v>
      </c>
      <c r="H56" s="603"/>
      <c r="I56" s="603">
        <f t="shared" si="4"/>
        <v>799784</v>
      </c>
      <c r="J56" s="270">
        <v>575653</v>
      </c>
      <c r="K56" s="601">
        <v>9813</v>
      </c>
      <c r="L56" s="601">
        <v>32739</v>
      </c>
      <c r="M56" s="601">
        <v>40138</v>
      </c>
      <c r="N56" s="601">
        <v>1516</v>
      </c>
      <c r="O56" s="601">
        <v>2496</v>
      </c>
      <c r="P56" s="601">
        <v>16699</v>
      </c>
      <c r="Q56" s="601">
        <v>36879</v>
      </c>
      <c r="R56" s="601">
        <v>5322</v>
      </c>
      <c r="S56" s="601">
        <f t="shared" si="7"/>
        <v>60123</v>
      </c>
      <c r="T56" s="280">
        <v>18406</v>
      </c>
      <c r="U56" s="601" t="s">
        <v>50</v>
      </c>
      <c r="V56" s="280"/>
      <c r="W56" s="617">
        <f t="shared" si="9"/>
        <v>749978</v>
      </c>
      <c r="X56" s="272">
        <f t="shared" si="6"/>
        <v>378200</v>
      </c>
      <c r="Y56" s="601">
        <v>4016</v>
      </c>
      <c r="Z56" s="607">
        <v>30921</v>
      </c>
      <c r="AA56" s="280">
        <v>336841</v>
      </c>
      <c r="AC56" s="277">
        <v>1697481</v>
      </c>
      <c r="AD56" s="601">
        <v>60123</v>
      </c>
      <c r="AE56" s="272">
        <v>429044</v>
      </c>
      <c r="AF56" s="1193">
        <v>46773</v>
      </c>
      <c r="AG56" s="1193">
        <v>4071</v>
      </c>
      <c r="AH56" s="1143"/>
      <c r="AI56" s="280">
        <f>'C1-Incomes'!R55-B56</f>
        <v>1.0000001639127731E-3</v>
      </c>
    </row>
    <row r="57" spans="1:35" ht="10.5" customHeight="1" x14ac:dyDescent="0.3">
      <c r="A57" s="268">
        <v>2008</v>
      </c>
      <c r="B57" s="603">
        <f>D57+E57+F57+G57</f>
        <v>14375522.286254998</v>
      </c>
      <c r="C57" s="603"/>
      <c r="D57" s="277">
        <f>'T-T1'!B57</f>
        <v>12427821.880999999</v>
      </c>
      <c r="E57" s="277">
        <f>I57</f>
        <v>954364</v>
      </c>
      <c r="F57" s="277">
        <f t="shared" si="0"/>
        <v>800799</v>
      </c>
      <c r="G57" s="280">
        <f t="shared" si="8"/>
        <v>192537.40525499999</v>
      </c>
      <c r="H57" s="603"/>
      <c r="I57" s="603">
        <f>SUM(J57:U57)</f>
        <v>954364</v>
      </c>
      <c r="J57" s="270">
        <v>605542</v>
      </c>
      <c r="K57" s="601">
        <v>10068</v>
      </c>
      <c r="L57" s="601">
        <v>51147</v>
      </c>
      <c r="M57" s="601">
        <v>43464</v>
      </c>
      <c r="N57" s="601">
        <v>1522</v>
      </c>
      <c r="O57" s="601">
        <v>2567</v>
      </c>
      <c r="P57" s="601">
        <v>17003</v>
      </c>
      <c r="Q57" s="601">
        <v>38650</v>
      </c>
      <c r="R57" s="601">
        <v>5367</v>
      </c>
      <c r="S57" s="601">
        <f>AD57-SUM(U57)</f>
        <v>76898.594744999995</v>
      </c>
      <c r="T57" s="280">
        <v>19126</v>
      </c>
      <c r="U57" s="601">
        <f>TOTALS!AS114/1000000</f>
        <v>83009.405255000005</v>
      </c>
      <c r="V57" s="280"/>
      <c r="W57" s="617">
        <f t="shared" si="9"/>
        <v>800799</v>
      </c>
      <c r="X57" s="272">
        <f t="shared" si="6"/>
        <v>407667</v>
      </c>
      <c r="Y57" s="601">
        <v>4379</v>
      </c>
      <c r="Z57" s="607">
        <v>37034</v>
      </c>
      <c r="AA57" s="280">
        <v>351719</v>
      </c>
      <c r="AC57" s="277">
        <v>1919953</v>
      </c>
      <c r="AD57" s="601">
        <v>159908</v>
      </c>
      <c r="AE57" s="272">
        <v>462929</v>
      </c>
      <c r="AF57" s="1193">
        <v>50232</v>
      </c>
      <c r="AG57" s="1193">
        <v>5030</v>
      </c>
      <c r="AH57" s="1143"/>
      <c r="AI57" s="280">
        <f>'C1-Incomes'!R56-B57</f>
        <v>-2.5499798357486725E-4</v>
      </c>
    </row>
    <row r="58" spans="1:35" ht="10.5" customHeight="1" x14ac:dyDescent="0.3">
      <c r="A58" s="268">
        <v>2009</v>
      </c>
      <c r="B58" s="603">
        <f t="shared" si="5"/>
        <v>14172548.895</v>
      </c>
      <c r="C58" s="603"/>
      <c r="D58" s="277">
        <f>'T-T1'!B58</f>
        <v>12126078.895</v>
      </c>
      <c r="E58" s="277">
        <f t="shared" si="3"/>
        <v>1023314</v>
      </c>
      <c r="F58" s="277">
        <f t="shared" si="0"/>
        <v>875368</v>
      </c>
      <c r="G58" s="280">
        <f t="shared" si="8"/>
        <v>147788</v>
      </c>
      <c r="H58" s="603"/>
      <c r="I58" s="603">
        <f>SUM(J58:U58)</f>
        <v>1023314</v>
      </c>
      <c r="J58" s="270">
        <v>664470</v>
      </c>
      <c r="K58" s="601">
        <v>10630</v>
      </c>
      <c r="L58" s="601">
        <v>131210</v>
      </c>
      <c r="M58" s="601">
        <v>49980</v>
      </c>
      <c r="N58" s="601">
        <v>1493</v>
      </c>
      <c r="O58" s="601">
        <v>2711</v>
      </c>
      <c r="P58" s="601">
        <v>17165</v>
      </c>
      <c r="Q58" s="601">
        <v>42623</v>
      </c>
      <c r="R58" s="601">
        <v>4958</v>
      </c>
      <c r="S58" s="601">
        <f t="shared" ref="S58:S65" si="10">AD58--SUM(U58)</f>
        <v>76810</v>
      </c>
      <c r="T58" s="280">
        <v>21264</v>
      </c>
      <c r="U58" s="601" t="s">
        <v>50</v>
      </c>
      <c r="V58" s="280"/>
      <c r="W58" s="617">
        <f t="shared" si="9"/>
        <v>875368</v>
      </c>
      <c r="X58" s="272">
        <f t="shared" si="6"/>
        <v>432244</v>
      </c>
      <c r="Y58" s="601">
        <v>4907</v>
      </c>
      <c r="Z58" s="607">
        <v>54762</v>
      </c>
      <c r="AA58" s="280">
        <v>383455</v>
      </c>
      <c r="AC58" s="277">
        <v>2108840</v>
      </c>
      <c r="AD58" s="601">
        <v>76810</v>
      </c>
      <c r="AE58" s="272">
        <v>494614</v>
      </c>
      <c r="AF58" s="1193">
        <v>56040</v>
      </c>
      <c r="AG58" s="1193">
        <v>6330</v>
      </c>
      <c r="AH58" s="1143"/>
      <c r="AI58" s="280">
        <f>'C1-Incomes'!R57-B58</f>
        <v>0</v>
      </c>
    </row>
    <row r="59" spans="1:35" ht="10.5" customHeight="1" x14ac:dyDescent="0.3">
      <c r="A59" s="268">
        <v>2010</v>
      </c>
      <c r="B59" s="603">
        <f t="shared" si="5"/>
        <v>14962769.267999999</v>
      </c>
      <c r="C59" s="603"/>
      <c r="D59" s="277">
        <f>'T-T1'!B59</f>
        <v>12739542.267999999</v>
      </c>
      <c r="E59" s="277">
        <f t="shared" si="3"/>
        <v>1133554</v>
      </c>
      <c r="F59" s="277">
        <f t="shared" si="0"/>
        <v>937666</v>
      </c>
      <c r="G59" s="280">
        <f t="shared" si="8"/>
        <v>152007</v>
      </c>
      <c r="H59" s="603"/>
      <c r="I59" s="603">
        <f t="shared" si="4"/>
        <v>1133554</v>
      </c>
      <c r="J59" s="270">
        <v>690174</v>
      </c>
      <c r="K59" s="601">
        <v>10779</v>
      </c>
      <c r="L59" s="601">
        <v>138854</v>
      </c>
      <c r="M59" s="601">
        <v>56431</v>
      </c>
      <c r="N59" s="601">
        <v>1442</v>
      </c>
      <c r="O59" s="601">
        <v>2728</v>
      </c>
      <c r="P59" s="601">
        <v>17225</v>
      </c>
      <c r="Q59" s="601">
        <v>44600</v>
      </c>
      <c r="R59" s="601">
        <v>4559</v>
      </c>
      <c r="S59" s="601">
        <f t="shared" si="10"/>
        <v>144341</v>
      </c>
      <c r="T59" s="280">
        <v>22421</v>
      </c>
      <c r="U59" s="601" t="s">
        <v>50</v>
      </c>
      <c r="V59" s="280"/>
      <c r="W59" s="617">
        <f t="shared" si="9"/>
        <v>937666</v>
      </c>
      <c r="X59" s="272">
        <f t="shared" si="6"/>
        <v>455307</v>
      </c>
      <c r="Y59" s="601">
        <v>5010</v>
      </c>
      <c r="Z59" s="607">
        <v>66515</v>
      </c>
      <c r="AA59" s="280">
        <v>410834</v>
      </c>
      <c r="AC59" s="277">
        <v>2281740</v>
      </c>
      <c r="AD59" s="601">
        <v>144341</v>
      </c>
      <c r="AE59" s="272">
        <v>513820</v>
      </c>
      <c r="AF59" s="1193">
        <v>51986</v>
      </c>
      <c r="AG59" s="1193">
        <v>6527</v>
      </c>
      <c r="AH59" s="1143"/>
      <c r="AI59" s="280">
        <f>'C1-Incomes'!R58-B59</f>
        <v>0</v>
      </c>
    </row>
    <row r="60" spans="1:35" ht="10.5" customHeight="1" x14ac:dyDescent="0.3">
      <c r="A60" s="268">
        <f>A59+1</f>
        <v>2011</v>
      </c>
      <c r="B60" s="603">
        <f t="shared" si="5"/>
        <v>15597246.159</v>
      </c>
      <c r="C60" s="603"/>
      <c r="D60" s="277">
        <f>'T-T1'!B60</f>
        <v>13352255.159</v>
      </c>
      <c r="E60" s="277">
        <f t="shared" si="3"/>
        <v>1136804</v>
      </c>
      <c r="F60" s="277">
        <f t="shared" si="0"/>
        <v>968287</v>
      </c>
      <c r="G60" s="280">
        <f t="shared" si="8"/>
        <v>139900</v>
      </c>
      <c r="H60" s="603"/>
      <c r="I60" s="603">
        <f t="shared" si="4"/>
        <v>1136804</v>
      </c>
      <c r="J60" s="270">
        <v>713261</v>
      </c>
      <c r="K60" s="601">
        <v>10961</v>
      </c>
      <c r="L60" s="601">
        <v>107161</v>
      </c>
      <c r="M60" s="601">
        <v>61753</v>
      </c>
      <c r="N60" s="601">
        <v>1411</v>
      </c>
      <c r="O60" s="601">
        <v>2995</v>
      </c>
      <c r="P60" s="601">
        <v>16563</v>
      </c>
      <c r="Q60" s="601">
        <v>45993</v>
      </c>
      <c r="R60" s="601">
        <v>4491</v>
      </c>
      <c r="S60" s="601">
        <f t="shared" si="10"/>
        <v>151420</v>
      </c>
      <c r="T60" s="280">
        <v>20795</v>
      </c>
      <c r="U60" s="601" t="s">
        <v>50</v>
      </c>
      <c r="V60" s="280"/>
      <c r="W60" s="617">
        <f t="shared" si="9"/>
        <v>968287</v>
      </c>
      <c r="X60" s="272">
        <f t="shared" si="6"/>
        <v>470779</v>
      </c>
      <c r="Y60" s="601">
        <v>5237</v>
      </c>
      <c r="Z60" s="607">
        <v>72730</v>
      </c>
      <c r="AA60" s="280">
        <v>419541</v>
      </c>
      <c r="AC60" s="277">
        <v>2310219</v>
      </c>
      <c r="AD60" s="601">
        <v>151420</v>
      </c>
      <c r="AE60" s="272">
        <v>536007</v>
      </c>
      <c r="AF60" s="1193">
        <v>57514</v>
      </c>
      <c r="AG60" s="1193">
        <v>7714</v>
      </c>
      <c r="AH60" s="1143"/>
      <c r="AI60" s="280">
        <f>'C1-Incomes'!R59-B60</f>
        <v>0</v>
      </c>
    </row>
    <row r="61" spans="1:35" ht="10.5" customHeight="1" x14ac:dyDescent="0.3">
      <c r="A61" s="268">
        <f>A60+1</f>
        <v>2012</v>
      </c>
      <c r="B61" s="603">
        <f t="shared" si="5"/>
        <v>16319117.435000001</v>
      </c>
      <c r="C61" s="603"/>
      <c r="D61" s="277">
        <f>'T-T1'!B61</f>
        <v>14061877.435000001</v>
      </c>
      <c r="E61" s="277">
        <f t="shared" si="3"/>
        <v>1118144</v>
      </c>
      <c r="F61" s="277">
        <f t="shared" si="0"/>
        <v>1001654</v>
      </c>
      <c r="G61" s="280">
        <f t="shared" si="8"/>
        <v>137442</v>
      </c>
      <c r="H61" s="603"/>
      <c r="I61" s="603">
        <f t="shared" si="4"/>
        <v>1118144</v>
      </c>
      <c r="J61" s="270">
        <v>762139</v>
      </c>
      <c r="K61" s="601">
        <v>11410</v>
      </c>
      <c r="L61" s="601">
        <v>83795</v>
      </c>
      <c r="M61" s="601">
        <v>68679</v>
      </c>
      <c r="N61" s="601">
        <v>1340</v>
      </c>
      <c r="O61" s="601">
        <v>3010</v>
      </c>
      <c r="P61" s="601">
        <v>16218</v>
      </c>
      <c r="Q61" s="601">
        <v>48762</v>
      </c>
      <c r="R61" s="601">
        <v>4276</v>
      </c>
      <c r="S61" s="601">
        <f t="shared" si="10"/>
        <v>98683</v>
      </c>
      <c r="T61" s="280">
        <v>19832</v>
      </c>
      <c r="U61" s="601" t="s">
        <v>50</v>
      </c>
      <c r="V61" s="280"/>
      <c r="W61" s="617">
        <f t="shared" si="9"/>
        <v>1001654</v>
      </c>
      <c r="X61" s="272">
        <f t="shared" si="6"/>
        <v>489970</v>
      </c>
      <c r="Y61" s="601">
        <v>5520</v>
      </c>
      <c r="Z61" s="607">
        <v>74851</v>
      </c>
      <c r="AA61" s="280">
        <v>431313</v>
      </c>
      <c r="AC61" s="277">
        <v>2323598</v>
      </c>
      <c r="AD61" s="601">
        <v>98683</v>
      </c>
      <c r="AE61" s="272">
        <v>556328</v>
      </c>
      <c r="AF61" s="1193">
        <v>58024</v>
      </c>
      <c r="AG61" s="1193">
        <v>8334</v>
      </c>
      <c r="AH61" s="1143"/>
      <c r="AI61" s="280">
        <f>'C1-Incomes'!R60-B61</f>
        <v>0</v>
      </c>
    </row>
    <row r="62" spans="1:35" s="610" customFormat="1" ht="11.25" customHeight="1" x14ac:dyDescent="0.25">
      <c r="A62" s="268">
        <f>A61+1</f>
        <v>2013</v>
      </c>
      <c r="B62" s="603">
        <f t="shared" si="5"/>
        <v>16758697.515000001</v>
      </c>
      <c r="C62" s="603"/>
      <c r="D62" s="277">
        <f>'T-T1'!B62</f>
        <v>14444822.515000001</v>
      </c>
      <c r="E62" s="277">
        <f t="shared" si="3"/>
        <v>1143463</v>
      </c>
      <c r="F62" s="277">
        <f>W62</f>
        <v>1035223</v>
      </c>
      <c r="G62" s="280">
        <f t="shared" si="8"/>
        <v>135189</v>
      </c>
      <c r="H62" s="603"/>
      <c r="I62" s="603">
        <f t="shared" si="4"/>
        <v>1143463</v>
      </c>
      <c r="J62" s="280">
        <v>799044</v>
      </c>
      <c r="K62" s="607">
        <v>11676</v>
      </c>
      <c r="L62" s="607">
        <v>62330</v>
      </c>
      <c r="M62" s="607">
        <v>77683</v>
      </c>
      <c r="N62" s="607">
        <v>1280</v>
      </c>
      <c r="O62" s="607">
        <v>3068</v>
      </c>
      <c r="P62" s="607">
        <v>16177</v>
      </c>
      <c r="Q62" s="607">
        <v>50617</v>
      </c>
      <c r="R62" s="607">
        <v>4234</v>
      </c>
      <c r="S62" s="601">
        <f t="shared" si="10"/>
        <v>97626</v>
      </c>
      <c r="T62" s="280">
        <v>19728</v>
      </c>
      <c r="U62" s="601" t="s">
        <v>50</v>
      </c>
      <c r="V62" s="280"/>
      <c r="W62" s="617">
        <f t="shared" si="9"/>
        <v>1035223</v>
      </c>
      <c r="X62" s="272">
        <f t="shared" si="6"/>
        <v>502003</v>
      </c>
      <c r="Y62" s="607">
        <v>5098</v>
      </c>
      <c r="Z62" s="607">
        <v>74657</v>
      </c>
      <c r="AA62" s="280">
        <v>453465</v>
      </c>
      <c r="AC62" s="277">
        <v>2386885</v>
      </c>
      <c r="AD62" s="607">
        <v>97626</v>
      </c>
      <c r="AE62" s="272">
        <v>575013</v>
      </c>
      <c r="AF62" s="1193">
        <v>63085</v>
      </c>
      <c r="AG62" s="1193">
        <v>9925</v>
      </c>
      <c r="AH62" s="1143"/>
      <c r="AI62" s="280">
        <f>'C1-Incomes'!R61-B62</f>
        <v>0</v>
      </c>
    </row>
    <row r="63" spans="1:35" s="596" customFormat="1" ht="11.25" customHeight="1" x14ac:dyDescent="0.25">
      <c r="A63" s="268">
        <f>A62+1</f>
        <v>2014</v>
      </c>
      <c r="B63" s="603">
        <f t="shared" si="5"/>
        <v>17565794.857000001</v>
      </c>
      <c r="C63" s="603"/>
      <c r="D63" s="277">
        <f>'T-T1'!B63</f>
        <v>15144035.857000001</v>
      </c>
      <c r="E63" s="277">
        <f>I63</f>
        <v>1176241</v>
      </c>
      <c r="F63" s="277">
        <f>W63</f>
        <v>1102125</v>
      </c>
      <c r="G63" s="280">
        <f t="shared" si="8"/>
        <v>143393</v>
      </c>
      <c r="H63" s="603"/>
      <c r="I63" s="603">
        <f t="shared" si="4"/>
        <v>1176241</v>
      </c>
      <c r="J63" s="270">
        <v>834640</v>
      </c>
      <c r="K63" s="601">
        <v>11955</v>
      </c>
      <c r="L63" s="601">
        <v>35449</v>
      </c>
      <c r="M63" s="601">
        <v>82387</v>
      </c>
      <c r="N63" s="601">
        <v>1228</v>
      </c>
      <c r="O63" s="601">
        <v>3399</v>
      </c>
      <c r="P63" s="601">
        <v>16627</v>
      </c>
      <c r="Q63" s="601">
        <v>51567</v>
      </c>
      <c r="R63" s="601">
        <v>4227</v>
      </c>
      <c r="S63" s="601">
        <f t="shared" si="10"/>
        <v>115004</v>
      </c>
      <c r="T63" s="280">
        <v>19758</v>
      </c>
      <c r="U63" s="601" t="s">
        <v>50</v>
      </c>
      <c r="V63" s="280"/>
      <c r="W63" s="617">
        <f t="shared" si="9"/>
        <v>1102125</v>
      </c>
      <c r="X63" s="272">
        <f t="shared" si="6"/>
        <v>523886</v>
      </c>
      <c r="Y63" s="601">
        <v>5372</v>
      </c>
      <c r="Z63" s="607">
        <v>69411</v>
      </c>
      <c r="AA63" s="280">
        <v>503456</v>
      </c>
      <c r="AC63" s="277">
        <v>2498780</v>
      </c>
      <c r="AD63" s="601">
        <v>115004</v>
      </c>
      <c r="AE63" s="272">
        <v>600907</v>
      </c>
      <c r="AF63" s="1193">
        <v>65644</v>
      </c>
      <c r="AG63" s="1193">
        <v>11377</v>
      </c>
      <c r="AH63" s="1143"/>
      <c r="AI63" s="280">
        <f>'C1-Incomes'!R62-B63</f>
        <v>9.999983012676239E-4</v>
      </c>
    </row>
    <row r="64" spans="1:35" s="270" customFormat="1" ht="11.25" customHeight="1" x14ac:dyDescent="0.25">
      <c r="A64" s="708">
        <f>A63+1</f>
        <v>2015</v>
      </c>
      <c r="B64" s="603">
        <f>D64+E64+F64+G64</f>
        <v>18288640.800999999</v>
      </c>
      <c r="C64" s="603"/>
      <c r="D64" s="277">
        <f>'T-T1'!B64</f>
        <v>15739598.801000001</v>
      </c>
      <c r="E64" s="277">
        <f>I64</f>
        <v>1228537</v>
      </c>
      <c r="F64" s="277">
        <f>W64</f>
        <v>1173666</v>
      </c>
      <c r="G64" s="280">
        <f t="shared" si="8"/>
        <v>146839</v>
      </c>
      <c r="H64" s="603"/>
      <c r="I64" s="603">
        <f t="shared" si="4"/>
        <v>1228537</v>
      </c>
      <c r="J64" s="270">
        <v>871793</v>
      </c>
      <c r="K64" s="601">
        <v>12228</v>
      </c>
      <c r="L64" s="601">
        <v>32150</v>
      </c>
      <c r="M64" s="601">
        <v>88547</v>
      </c>
      <c r="N64" s="601">
        <v>1185</v>
      </c>
      <c r="O64" s="601">
        <v>3391</v>
      </c>
      <c r="P64" s="601">
        <v>16493</v>
      </c>
      <c r="Q64" s="601">
        <v>52306</v>
      </c>
      <c r="R64" s="601">
        <v>4355</v>
      </c>
      <c r="S64" s="601">
        <f t="shared" si="10"/>
        <v>126421</v>
      </c>
      <c r="T64" s="280">
        <v>19668</v>
      </c>
      <c r="U64" s="601" t="s">
        <v>50</v>
      </c>
      <c r="V64" s="280"/>
      <c r="W64" s="617">
        <f t="shared" si="9"/>
        <v>1173666</v>
      </c>
      <c r="X64" s="272">
        <f t="shared" si="6"/>
        <v>551452</v>
      </c>
      <c r="Y64" s="601">
        <v>5587</v>
      </c>
      <c r="Z64" s="607">
        <v>68723</v>
      </c>
      <c r="AA64" s="280">
        <v>547904</v>
      </c>
      <c r="AC64" s="277">
        <v>2631246</v>
      </c>
      <c r="AD64" s="601">
        <v>126421</v>
      </c>
      <c r="AE64" s="272">
        <v>633656</v>
      </c>
      <c r="AF64" s="1193">
        <v>69446</v>
      </c>
      <c r="AG64" s="1193">
        <v>12758</v>
      </c>
      <c r="AH64" s="1143"/>
      <c r="AI64" s="280">
        <f>'C1-Incomes'!R63-B64</f>
        <v>0</v>
      </c>
    </row>
    <row r="65" spans="1:81" s="270" customFormat="1" ht="11.25" customHeight="1" x14ac:dyDescent="0.25">
      <c r="A65" s="576"/>
      <c r="B65" s="272"/>
      <c r="C65" s="272"/>
      <c r="D65" s="272"/>
      <c r="E65" s="272"/>
      <c r="F65" s="272"/>
      <c r="G65" s="272"/>
      <c r="H65" s="272"/>
      <c r="I65" s="603">
        <f t="shared" si="4"/>
        <v>1261181</v>
      </c>
      <c r="J65" s="270">
        <v>896470</v>
      </c>
      <c r="K65" s="601">
        <v>12352</v>
      </c>
      <c r="L65" s="601">
        <v>31679</v>
      </c>
      <c r="M65" s="601">
        <v>91611</v>
      </c>
      <c r="N65" s="601">
        <v>1096</v>
      </c>
      <c r="O65" s="601">
        <v>3316</v>
      </c>
      <c r="P65" s="601">
        <v>16924</v>
      </c>
      <c r="Q65" s="601">
        <v>52147</v>
      </c>
      <c r="R65" s="601">
        <v>4302</v>
      </c>
      <c r="S65" s="601">
        <f t="shared" si="10"/>
        <v>131663</v>
      </c>
      <c r="T65" s="280">
        <v>19621</v>
      </c>
      <c r="U65" s="601" t="s">
        <v>50</v>
      </c>
      <c r="V65" s="280"/>
      <c r="W65" s="617">
        <f t="shared" si="9"/>
        <v>1215186</v>
      </c>
      <c r="X65" s="272">
        <f t="shared" si="6"/>
        <v>570001</v>
      </c>
      <c r="Y65" s="601">
        <v>5268</v>
      </c>
      <c r="Z65" s="607">
        <v>65421</v>
      </c>
      <c r="AA65" s="280">
        <v>574496</v>
      </c>
      <c r="AC65" s="272">
        <v>2710979</v>
      </c>
      <c r="AD65" s="601">
        <v>131663</v>
      </c>
      <c r="AE65" s="272">
        <v>655855</v>
      </c>
      <c r="AF65" s="1193">
        <v>72055</v>
      </c>
      <c r="AG65" s="1193">
        <v>13799</v>
      </c>
      <c r="AH65" s="1143"/>
      <c r="AI65" s="280"/>
    </row>
    <row r="66" spans="1:81" s="270" customFormat="1" ht="11.25" customHeight="1" x14ac:dyDescent="0.25">
      <c r="A66" s="576"/>
      <c r="B66" s="272"/>
      <c r="C66" s="272"/>
      <c r="D66" s="272"/>
      <c r="E66" s="272"/>
      <c r="F66" s="272"/>
      <c r="G66" s="272"/>
      <c r="H66" s="272"/>
      <c r="I66" s="603"/>
      <c r="K66" s="601"/>
      <c r="L66" s="601"/>
      <c r="M66" s="601"/>
      <c r="N66" s="601"/>
      <c r="O66" s="601"/>
      <c r="P66" s="601"/>
      <c r="Q66" s="601"/>
      <c r="R66" s="601"/>
      <c r="S66" s="601"/>
      <c r="T66" s="280"/>
      <c r="U66" s="601"/>
      <c r="V66" s="280"/>
      <c r="W66" s="617"/>
      <c r="X66" s="272"/>
      <c r="Y66" s="601"/>
      <c r="Z66" s="607"/>
      <c r="AA66" s="280"/>
      <c r="AC66" s="272"/>
      <c r="AD66" s="601"/>
      <c r="AE66" s="601"/>
      <c r="AF66" s="1193">
        <v>81522</v>
      </c>
      <c r="AG66" s="1193">
        <v>15494</v>
      </c>
      <c r="AH66" s="1143"/>
      <c r="AI66" s="280"/>
    </row>
    <row r="67" spans="1:81" ht="6.75" customHeight="1" x14ac:dyDescent="0.3">
      <c r="A67" s="148"/>
      <c r="B67" s="148"/>
      <c r="C67" s="148"/>
      <c r="D67" s="148"/>
      <c r="E67" s="148"/>
      <c r="F67" s="148"/>
      <c r="G67" s="148"/>
      <c r="H67" s="148"/>
      <c r="I67" s="148"/>
      <c r="J67" s="11"/>
      <c r="K67" s="599"/>
      <c r="L67" s="599"/>
      <c r="M67" s="599"/>
      <c r="N67" s="599"/>
      <c r="O67" s="599"/>
      <c r="P67" s="599"/>
      <c r="Q67" s="599"/>
      <c r="R67" s="599"/>
      <c r="S67" s="599"/>
      <c r="T67" s="599"/>
      <c r="U67" s="599"/>
      <c r="V67" s="599"/>
      <c r="W67" s="599"/>
      <c r="X67" s="599"/>
      <c r="Y67" s="599"/>
      <c r="Z67" s="599"/>
      <c r="AA67" s="599"/>
      <c r="AC67" s="599"/>
      <c r="AD67" s="599"/>
      <c r="AE67" s="599"/>
      <c r="AF67" s="11"/>
      <c r="AG67" s="11"/>
      <c r="AH67" s="1143"/>
    </row>
    <row r="68" spans="1:81" ht="17.25" customHeight="1" x14ac:dyDescent="0.3">
      <c r="A68" s="600"/>
      <c r="B68" s="600"/>
      <c r="C68" s="600"/>
      <c r="D68" s="600"/>
      <c r="E68" s="600"/>
      <c r="F68" s="600"/>
      <c r="G68" s="600"/>
      <c r="H68" s="600"/>
      <c r="I68" s="600"/>
      <c r="K68" s="270"/>
      <c r="L68" s="270"/>
      <c r="M68" s="270"/>
      <c r="N68" s="270"/>
      <c r="O68" s="270"/>
      <c r="P68" s="270"/>
      <c r="Q68" s="270"/>
      <c r="R68" s="270"/>
      <c r="S68" s="270"/>
      <c r="T68" s="270"/>
      <c r="U68" s="270"/>
      <c r="V68" s="270"/>
      <c r="W68" s="270"/>
      <c r="X68" s="270"/>
      <c r="Y68" s="270"/>
      <c r="Z68" s="270"/>
      <c r="AA68" s="270"/>
      <c r="AF68" s="270"/>
    </row>
    <row r="69" spans="1:81" x14ac:dyDescent="0.3">
      <c r="A69" s="252"/>
      <c r="D69" s="8"/>
      <c r="E69" s="8"/>
      <c r="F69" s="8"/>
      <c r="G69" s="8"/>
      <c r="J69" s="8"/>
      <c r="K69" s="270"/>
      <c r="L69" s="270"/>
      <c r="M69" s="270"/>
      <c r="N69" s="270"/>
      <c r="O69" s="270"/>
      <c r="P69" s="270"/>
      <c r="Q69" s="270"/>
      <c r="R69" s="270"/>
      <c r="S69" s="270"/>
      <c r="T69" s="270"/>
      <c r="U69" s="270"/>
      <c r="V69" s="270"/>
      <c r="W69" s="270"/>
      <c r="X69" s="270"/>
      <c r="Y69" s="270"/>
      <c r="Z69" s="270"/>
      <c r="AA69" s="270"/>
      <c r="AB69" s="586"/>
      <c r="AC69" s="586"/>
      <c r="AD69" s="586"/>
      <c r="AE69" s="586"/>
      <c r="AH69" s="586"/>
      <c r="AI69" s="586"/>
      <c r="AJ69" s="586"/>
      <c r="AK69" s="586"/>
      <c r="AL69" s="586"/>
      <c r="AM69" s="586"/>
      <c r="AN69" s="586"/>
      <c r="AO69" s="586"/>
      <c r="AP69" s="586"/>
      <c r="AQ69" s="586"/>
      <c r="AR69" s="586"/>
      <c r="AS69" s="586"/>
      <c r="AT69" s="586"/>
      <c r="AU69" s="586"/>
      <c r="AV69" s="586"/>
      <c r="AW69" s="586"/>
      <c r="AX69" s="586"/>
      <c r="AY69" s="586"/>
      <c r="AZ69" s="586"/>
      <c r="BA69" s="586"/>
      <c r="BB69" s="586"/>
      <c r="BC69" s="586"/>
      <c r="BD69" s="586"/>
      <c r="BE69" s="586"/>
      <c r="BF69" s="586"/>
      <c r="BG69" s="586"/>
      <c r="BH69" s="586"/>
      <c r="BI69" s="586"/>
      <c r="BJ69" s="586"/>
      <c r="BK69" s="586"/>
      <c r="BL69" s="586"/>
      <c r="BM69" s="586"/>
      <c r="BN69" s="586"/>
      <c r="BO69" s="586"/>
      <c r="BP69" s="586"/>
      <c r="BQ69" s="586"/>
      <c r="BR69" s="586"/>
      <c r="BS69" s="586"/>
      <c r="BT69" s="586"/>
      <c r="BU69" s="586"/>
      <c r="BV69" s="586"/>
      <c r="BW69" s="586"/>
      <c r="BX69" s="586"/>
      <c r="BY69" s="586"/>
      <c r="BZ69" s="586"/>
      <c r="CA69" s="586"/>
      <c r="CB69" s="586"/>
      <c r="CC69" s="586"/>
    </row>
    <row r="70" spans="1:81" x14ac:dyDescent="0.3">
      <c r="J70" s="8"/>
      <c r="AB70" s="586"/>
      <c r="AC70" s="586"/>
      <c r="AD70" s="586"/>
      <c r="AE70" s="586"/>
      <c r="AF70" s="543"/>
      <c r="AG70" s="543"/>
      <c r="AH70" s="543"/>
      <c r="AI70" s="543"/>
      <c r="AJ70" s="543"/>
      <c r="AK70" s="586"/>
      <c r="AL70" s="586"/>
      <c r="AM70" s="586"/>
      <c r="AN70" s="586"/>
      <c r="AO70" s="586"/>
      <c r="AP70" s="586"/>
      <c r="AQ70" s="586"/>
      <c r="AR70" s="586"/>
      <c r="AS70" s="586"/>
      <c r="AT70" s="586"/>
      <c r="AU70" s="586"/>
      <c r="AV70" s="586"/>
      <c r="AW70" s="586"/>
      <c r="AX70" s="586"/>
      <c r="AY70" s="586"/>
      <c r="AZ70" s="586"/>
      <c r="BA70" s="586"/>
      <c r="BB70" s="586"/>
      <c r="BC70" s="586"/>
      <c r="BD70" s="586"/>
      <c r="BE70" s="586"/>
      <c r="BF70" s="586"/>
      <c r="BG70" s="586"/>
      <c r="BH70" s="586"/>
      <c r="BI70" s="586"/>
      <c r="BJ70" s="586"/>
      <c r="BK70" s="586"/>
      <c r="BL70" s="586"/>
      <c r="BM70" s="586"/>
      <c r="BN70" s="586"/>
      <c r="BO70" s="586"/>
      <c r="BP70" s="586"/>
      <c r="BQ70" s="586"/>
      <c r="BR70" s="586"/>
      <c r="BS70" s="586"/>
      <c r="BT70" s="586"/>
      <c r="BU70" s="586"/>
      <c r="BV70" s="586"/>
    </row>
    <row r="71" spans="1:81" ht="15" customHeight="1" x14ac:dyDescent="0.3">
      <c r="A71" s="597"/>
      <c r="B71" s="597"/>
      <c r="C71" s="597"/>
      <c r="D71" s="597"/>
      <c r="E71" s="597"/>
      <c r="F71" s="597"/>
      <c r="G71" s="597"/>
      <c r="H71" s="597"/>
      <c r="I71" s="597"/>
      <c r="J71" s="597"/>
      <c r="K71" s="597"/>
      <c r="L71" s="597"/>
      <c r="M71" s="597"/>
      <c r="N71" s="597"/>
      <c r="O71" s="597"/>
      <c r="P71" s="597"/>
      <c r="Q71" s="597"/>
      <c r="R71" s="597"/>
      <c r="S71" s="597"/>
      <c r="T71" s="597"/>
      <c r="U71" s="597"/>
      <c r="X71" s="8"/>
      <c r="AB71" s="586"/>
      <c r="AC71" s="586"/>
      <c r="AD71" s="586"/>
      <c r="AE71" s="586"/>
      <c r="AF71" s="586"/>
      <c r="AG71" s="586"/>
      <c r="AH71" s="586"/>
      <c r="AI71" s="586"/>
      <c r="AJ71" s="586"/>
      <c r="AK71" s="586"/>
      <c r="AL71" s="586"/>
      <c r="AM71" s="586"/>
      <c r="AN71" s="586"/>
      <c r="AO71" s="586"/>
      <c r="AP71" s="586"/>
      <c r="AQ71" s="586"/>
      <c r="AR71" s="586"/>
      <c r="AS71" s="586"/>
      <c r="AT71" s="586"/>
      <c r="AU71" s="586"/>
      <c r="AV71" s="586"/>
      <c r="AW71" s="586"/>
      <c r="AX71" s="586"/>
      <c r="AY71" s="586"/>
      <c r="AZ71" s="586"/>
      <c r="BA71" s="586"/>
      <c r="BB71" s="586"/>
      <c r="BC71" s="586"/>
      <c r="BD71" s="586"/>
      <c r="BE71" s="586"/>
      <c r="BF71" s="586"/>
      <c r="BG71" s="586"/>
      <c r="BH71" s="586"/>
      <c r="BI71" s="586"/>
      <c r="BJ71" s="586"/>
      <c r="BK71" s="586"/>
      <c r="BL71" s="586"/>
      <c r="BM71" s="586"/>
      <c r="BN71" s="586"/>
    </row>
    <row r="72" spans="1:81" ht="15" customHeight="1" x14ac:dyDescent="0.3">
      <c r="A72" s="597"/>
      <c r="B72" s="597"/>
      <c r="C72" s="597"/>
      <c r="D72" s="597"/>
      <c r="E72" s="597"/>
      <c r="F72" s="597"/>
      <c r="G72" s="597"/>
      <c r="H72" s="597"/>
      <c r="I72" s="597"/>
      <c r="J72" s="597"/>
      <c r="K72" s="597"/>
      <c r="L72" s="597"/>
      <c r="M72" s="597"/>
      <c r="N72" s="597"/>
      <c r="O72" s="597"/>
      <c r="P72" s="597"/>
      <c r="Q72" s="597"/>
      <c r="R72" s="597"/>
      <c r="S72" s="597"/>
      <c r="T72" s="597"/>
      <c r="U72" s="597"/>
      <c r="AB72" s="586"/>
      <c r="AC72" s="586"/>
      <c r="AD72" s="586"/>
      <c r="AE72" s="586"/>
      <c r="AF72" s="586"/>
      <c r="AG72" s="586"/>
      <c r="AH72" s="586"/>
      <c r="AI72" s="586"/>
      <c r="AJ72" s="586"/>
      <c r="AK72" s="586"/>
      <c r="AL72" s="586"/>
      <c r="AM72" s="586"/>
      <c r="AN72" s="586"/>
      <c r="AO72" s="586"/>
      <c r="AP72" s="586"/>
      <c r="AQ72" s="586"/>
      <c r="AR72" s="586"/>
      <c r="AS72" s="586"/>
      <c r="AT72" s="586"/>
      <c r="AU72" s="586"/>
      <c r="AV72" s="586"/>
      <c r="AW72" s="586"/>
      <c r="AX72" s="586"/>
      <c r="AY72" s="586"/>
      <c r="AZ72" s="586"/>
      <c r="BA72" s="586"/>
      <c r="BB72" s="586"/>
      <c r="BC72" s="586"/>
      <c r="BD72" s="586"/>
      <c r="BE72" s="586"/>
      <c r="BF72" s="586"/>
      <c r="BG72" s="586"/>
      <c r="BH72" s="586"/>
      <c r="BI72" s="586"/>
      <c r="BJ72" s="586"/>
      <c r="BK72" s="586"/>
      <c r="BL72" s="586"/>
      <c r="BM72" s="586"/>
      <c r="BN72" s="586"/>
      <c r="BO72" s="586"/>
      <c r="BP72" s="586"/>
      <c r="BQ72" s="586"/>
      <c r="BR72" s="586"/>
    </row>
    <row r="73" spans="1:81" x14ac:dyDescent="0.3">
      <c r="AB73" s="543"/>
      <c r="AC73" s="543"/>
      <c r="AD73" s="543"/>
      <c r="AE73" s="543"/>
      <c r="AF73" s="543"/>
      <c r="AG73" s="543"/>
      <c r="AH73" s="543"/>
      <c r="AI73" s="543"/>
      <c r="AJ73" s="543"/>
      <c r="AK73" s="543"/>
      <c r="AL73" s="543"/>
      <c r="AM73" s="543"/>
      <c r="AN73" s="543"/>
      <c r="AO73" s="543"/>
      <c r="AP73" s="543"/>
      <c r="AQ73" s="543"/>
      <c r="AR73" s="543"/>
      <c r="AS73" s="543"/>
      <c r="AT73" s="543"/>
      <c r="AU73" s="543"/>
      <c r="AV73" s="543"/>
      <c r="AW73" s="543"/>
      <c r="AX73" s="543"/>
      <c r="AY73" s="543"/>
      <c r="AZ73" s="543"/>
      <c r="BA73" s="586"/>
      <c r="BB73" s="586"/>
      <c r="BC73" s="586"/>
      <c r="BD73" s="586"/>
      <c r="BE73" s="586"/>
      <c r="BF73" s="586"/>
      <c r="BG73" s="586"/>
      <c r="BH73" s="586"/>
      <c r="BI73" s="586"/>
      <c r="BJ73" s="586"/>
      <c r="BK73" s="586"/>
      <c r="BL73" s="586"/>
      <c r="BM73" s="586"/>
      <c r="BN73" s="586"/>
    </row>
    <row r="74" spans="1:81" x14ac:dyDescent="0.3">
      <c r="B74" s="586"/>
      <c r="C74" s="586"/>
      <c r="D74" s="586"/>
      <c r="E74" s="586"/>
      <c r="F74" s="586"/>
      <c r="G74" s="586"/>
      <c r="H74" s="586"/>
      <c r="I74" s="586"/>
      <c r="J74" s="586"/>
      <c r="K74" s="586"/>
      <c r="L74" s="586"/>
      <c r="M74" s="586"/>
      <c r="N74" s="586"/>
      <c r="O74" s="586"/>
      <c r="P74" s="586"/>
      <c r="Q74" s="586"/>
      <c r="R74" s="586"/>
      <c r="S74" s="586"/>
      <c r="T74" s="586"/>
      <c r="U74" s="586"/>
      <c r="V74" s="586"/>
      <c r="W74" s="586"/>
      <c r="X74" s="586"/>
      <c r="Y74" s="586"/>
      <c r="Z74" s="586"/>
      <c r="AA74" s="586"/>
      <c r="AB74" s="586"/>
      <c r="AC74" s="586"/>
      <c r="AD74" s="586"/>
      <c r="AE74" s="586"/>
      <c r="AF74" s="586"/>
      <c r="AG74" s="586"/>
      <c r="AH74" s="586"/>
      <c r="AI74" s="586"/>
      <c r="AJ74" s="586"/>
      <c r="AK74" s="586"/>
      <c r="AL74" s="586"/>
      <c r="AM74" s="586"/>
      <c r="AN74" s="586"/>
      <c r="AO74" s="586"/>
      <c r="AP74" s="586"/>
      <c r="AQ74" s="586"/>
      <c r="AR74" s="586"/>
      <c r="AS74" s="586"/>
      <c r="AT74" s="586"/>
      <c r="AU74" s="586"/>
      <c r="AV74" s="586"/>
      <c r="AW74" s="586"/>
      <c r="AX74" s="586"/>
      <c r="AY74" s="586"/>
      <c r="AZ74" s="586"/>
      <c r="BA74" s="586"/>
      <c r="BB74" s="586"/>
      <c r="BC74" s="586"/>
      <c r="BD74" s="586"/>
      <c r="BE74" s="586"/>
      <c r="BF74" s="586"/>
      <c r="BG74" s="586"/>
      <c r="BH74" s="586"/>
      <c r="BI74" s="586"/>
      <c r="BJ74" s="586"/>
      <c r="BK74" s="586"/>
      <c r="BL74" s="586"/>
      <c r="BM74" s="586"/>
      <c r="BN74" s="586"/>
    </row>
    <row r="75" spans="1:81" x14ac:dyDescent="0.3">
      <c r="X75" s="586"/>
      <c r="Y75" s="586"/>
      <c r="Z75" s="586"/>
      <c r="AA75" s="586"/>
      <c r="AB75" s="586"/>
      <c r="AC75" s="586"/>
      <c r="AD75" s="586"/>
      <c r="AE75" s="586"/>
      <c r="AF75" s="586"/>
      <c r="AG75" s="586"/>
      <c r="AH75" s="586"/>
      <c r="AI75" s="586"/>
      <c r="AJ75" s="586"/>
      <c r="AK75" s="586"/>
      <c r="AL75" s="586"/>
      <c r="AM75" s="586"/>
      <c r="AN75" s="586"/>
      <c r="AO75" s="586"/>
      <c r="AP75" s="586"/>
      <c r="AQ75" s="586"/>
      <c r="AR75" s="586"/>
      <c r="AS75" s="586"/>
      <c r="AT75" s="586"/>
      <c r="AU75" s="586"/>
      <c r="AV75" s="586"/>
      <c r="AW75" s="586"/>
      <c r="AX75" s="586"/>
      <c r="AY75" s="586"/>
      <c r="AZ75" s="586"/>
      <c r="BA75" s="586"/>
      <c r="BB75" s="586"/>
      <c r="BC75" s="586"/>
      <c r="BD75" s="586"/>
      <c r="BE75" s="586"/>
      <c r="BF75" s="586"/>
      <c r="BG75" s="586"/>
      <c r="BH75" s="586"/>
      <c r="BI75" s="586"/>
      <c r="BJ75" s="586"/>
      <c r="BK75" s="586"/>
      <c r="BL75" s="586"/>
      <c r="BM75" s="586"/>
      <c r="BN75" s="586"/>
    </row>
  </sheetData>
  <mergeCells count="30">
    <mergeCell ref="AG5:AG7"/>
    <mergeCell ref="AC4:AG4"/>
    <mergeCell ref="AE5:AE7"/>
    <mergeCell ref="B4:B7"/>
    <mergeCell ref="G4:G7"/>
    <mergeCell ref="S5:S7"/>
    <mergeCell ref="T5:T7"/>
    <mergeCell ref="D4:D7"/>
    <mergeCell ref="E4:E7"/>
    <mergeCell ref="K5:K7"/>
    <mergeCell ref="L5:L7"/>
    <mergeCell ref="M5:M7"/>
    <mergeCell ref="O5:O7"/>
    <mergeCell ref="P5:P7"/>
    <mergeCell ref="F4:F7"/>
    <mergeCell ref="AD5:AD7"/>
    <mergeCell ref="AF5:AF7"/>
    <mergeCell ref="AC5:AC7"/>
    <mergeCell ref="I4:U4"/>
    <mergeCell ref="U5:U7"/>
    <mergeCell ref="W5:W7"/>
    <mergeCell ref="X5:X7"/>
    <mergeCell ref="N5:N7"/>
    <mergeCell ref="Y5:Y7"/>
    <mergeCell ref="Z5:Z7"/>
    <mergeCell ref="AA5:AA7"/>
    <mergeCell ref="W4:AA4"/>
    <mergeCell ref="I5:I7"/>
    <mergeCell ref="J5:J7"/>
    <mergeCell ref="Q5:R6"/>
  </mergeCells>
  <hyperlinks>
    <hyperlink ref="I1" location="Index!A1" display="Index"/>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theme="5" tint="0.59999389629810485"/>
  </sheetPr>
  <dimension ref="A1:AG72"/>
  <sheetViews>
    <sheetView zoomScaleNormal="100" workbookViewId="0">
      <pane ySplit="9" topLeftCell="A10" activePane="bottomLeft" state="frozen"/>
      <selection pane="bottomLeft" activeCell="W72" sqref="W72"/>
    </sheetView>
  </sheetViews>
  <sheetFormatPr defaultRowHeight="14.4" x14ac:dyDescent="0.3"/>
  <cols>
    <col min="1" max="1" width="9.5546875" style="571" customWidth="1"/>
    <col min="2" max="2" width="12.88671875" style="571" customWidth="1"/>
    <col min="3" max="3" width="2.21875" style="879" customWidth="1"/>
    <col min="4" max="4" width="11.77734375" style="571" customWidth="1"/>
    <col min="5" max="5" width="11" style="571" customWidth="1"/>
    <col min="6" max="6" width="13.21875" style="571" customWidth="1"/>
    <col min="7" max="7" width="14.5546875" style="571" customWidth="1"/>
    <col min="8" max="8" width="12.77734375" style="571" customWidth="1"/>
    <col min="9" max="9" width="3" style="655" customWidth="1"/>
    <col min="10" max="10" width="13.109375" style="571" customWidth="1"/>
    <col min="11" max="11" width="10" style="655" customWidth="1"/>
    <col min="12" max="12" width="10.77734375" style="571" customWidth="1"/>
    <col min="13" max="13" width="12.109375" style="571" customWidth="1"/>
    <col min="14" max="14" width="10.88671875" style="571" customWidth="1"/>
    <col min="15" max="15" width="11.109375" style="571" customWidth="1"/>
    <col min="16" max="16" width="1.77734375" style="655" customWidth="1"/>
    <col min="17" max="17" width="8" style="571" customWidth="1"/>
    <col min="18" max="18" width="1.77734375" style="571" customWidth="1"/>
    <col min="19" max="20" width="9.5546875" style="571" customWidth="1"/>
    <col min="21" max="21" width="11.44140625" style="571" customWidth="1"/>
    <col min="22" max="22" width="2" style="571" customWidth="1"/>
    <col min="23" max="23" width="12.88671875" style="24" customWidth="1"/>
    <col min="24" max="24" width="10.44140625" style="24" customWidth="1"/>
    <col min="25" max="25" width="3.77734375" style="571" customWidth="1"/>
    <col min="26" max="27" width="9.109375" style="571"/>
    <col min="28" max="28" width="11.44140625" style="571" customWidth="1"/>
    <col min="29" max="29" width="13.77734375" style="571" customWidth="1"/>
    <col min="30" max="30" width="5.44140625" style="571" customWidth="1"/>
    <col min="31" max="31" width="9.109375" style="571"/>
    <col min="32" max="32" width="4.21875" style="571" customWidth="1"/>
    <col min="33" max="33" width="16" style="571" customWidth="1"/>
    <col min="34" max="155" width="9.109375" style="571"/>
    <col min="156" max="156" width="9.5546875" style="571" customWidth="1"/>
    <col min="157" max="157" width="11" style="571" customWidth="1"/>
    <col min="158" max="159" width="11.21875" style="571" customWidth="1"/>
    <col min="160" max="160" width="11.5546875" style="571" customWidth="1"/>
    <col min="161" max="161" width="11.109375" style="571" customWidth="1"/>
    <col min="162" max="162" width="2" style="571" customWidth="1"/>
    <col min="163" max="163" width="13.5546875" style="571" customWidth="1"/>
    <col min="164" max="164" width="12.44140625" style="571" customWidth="1"/>
    <col min="165" max="165" width="13.5546875" style="571" customWidth="1"/>
    <col min="166" max="166" width="2.109375" style="571" customWidth="1"/>
    <col min="167" max="167" width="9.109375" style="571"/>
    <col min="168" max="168" width="10.21875" style="571" customWidth="1"/>
    <col min="169" max="169" width="1.88671875" style="571" customWidth="1"/>
    <col min="170" max="170" width="10.77734375" style="571" customWidth="1"/>
    <col min="171" max="171" width="9.109375" style="571"/>
    <col min="172" max="172" width="2.109375" style="571" customWidth="1"/>
    <col min="173" max="173" width="9.109375" style="571"/>
    <col min="174" max="174" width="11.21875" style="571" customWidth="1"/>
    <col min="175" max="175" width="12.77734375" style="571" customWidth="1"/>
    <col min="176" max="176" width="12.5546875" style="571" customWidth="1"/>
    <col min="177" max="177" width="2" style="571" customWidth="1"/>
    <col min="178" max="179" width="9.109375" style="571"/>
    <col min="180" max="180" width="11" style="571" customWidth="1"/>
    <col min="181" max="181" width="9.109375" style="571"/>
    <col min="182" max="182" width="2.21875" style="571" customWidth="1"/>
    <col min="183" max="183" width="11" style="571" customWidth="1"/>
    <col min="184" max="184" width="9.109375" style="571"/>
    <col min="185" max="185" width="11.5546875" style="571" customWidth="1"/>
    <col min="186" max="186" width="11.21875" style="571" customWidth="1"/>
    <col min="187" max="187" width="2.88671875" style="571" customWidth="1"/>
    <col min="188" max="189" width="9.109375" style="571"/>
    <col min="190" max="190" width="11.21875" style="571" customWidth="1"/>
    <col min="191" max="191" width="2.21875" style="571" customWidth="1"/>
    <col min="192" max="192" width="9.109375" style="571"/>
    <col min="193" max="193" width="10.44140625" style="571" customWidth="1"/>
    <col min="194" max="194" width="9.109375" style="571"/>
    <col min="195" max="195" width="11.109375" style="571" customWidth="1"/>
    <col min="196" max="197" width="9.109375" style="571"/>
    <col min="198" max="198" width="10.88671875" style="571" customWidth="1"/>
    <col min="199" max="200" width="9.109375" style="571"/>
    <col min="201" max="201" width="1.5546875" style="571" customWidth="1"/>
    <col min="202" max="202" width="9.77734375" style="571" customWidth="1"/>
    <col min="203" max="206" width="9.109375" style="571"/>
    <col min="207" max="207" width="1.88671875" style="571" customWidth="1"/>
    <col min="208" max="208" width="9.88671875" style="571" customWidth="1"/>
    <col min="209" max="209" width="1.5546875" style="571" customWidth="1"/>
    <col min="210" max="210" width="11.44140625" style="571" customWidth="1"/>
    <col min="211" max="211" width="2.21875" style="571" customWidth="1"/>
    <col min="212" max="212" width="12" style="571" customWidth="1"/>
    <col min="213" max="213" width="2" style="571" customWidth="1"/>
    <col min="214" max="214" width="9.109375" style="571"/>
    <col min="215" max="215" width="11.109375" style="571" customWidth="1"/>
    <col min="216" max="216" width="12" style="571" customWidth="1"/>
    <col min="217" max="217" width="9.109375" style="571"/>
    <col min="218" max="218" width="11.88671875" style="571" customWidth="1"/>
    <col min="219" max="219" width="14.21875" style="571" customWidth="1"/>
    <col min="220" max="223" width="9.109375" style="571"/>
    <col min="224" max="224" width="3.44140625" style="571" customWidth="1"/>
    <col min="225" max="226" width="9.109375" style="571"/>
    <col min="227" max="227" width="11.44140625" style="571" customWidth="1"/>
    <col min="228" max="228" width="2.77734375" style="571" customWidth="1"/>
    <col min="229" max="411" width="9.109375" style="571"/>
    <col min="412" max="412" width="9.5546875" style="571" customWidth="1"/>
    <col min="413" max="413" width="11" style="571" customWidth="1"/>
    <col min="414" max="415" width="11.21875" style="571" customWidth="1"/>
    <col min="416" max="416" width="11.5546875" style="571" customWidth="1"/>
    <col min="417" max="417" width="11.109375" style="571" customWidth="1"/>
    <col min="418" max="418" width="2" style="571" customWidth="1"/>
    <col min="419" max="419" width="13.5546875" style="571" customWidth="1"/>
    <col min="420" max="420" width="12.44140625" style="571" customWidth="1"/>
    <col min="421" max="421" width="13.5546875" style="571" customWidth="1"/>
    <col min="422" max="422" width="2.109375" style="571" customWidth="1"/>
    <col min="423" max="423" width="9.109375" style="571"/>
    <col min="424" max="424" width="10.21875" style="571" customWidth="1"/>
    <col min="425" max="425" width="1.88671875" style="571" customWidth="1"/>
    <col min="426" max="426" width="10.77734375" style="571" customWidth="1"/>
    <col min="427" max="427" width="9.109375" style="571"/>
    <col min="428" max="428" width="2.109375" style="571" customWidth="1"/>
    <col min="429" max="429" width="9.109375" style="571"/>
    <col min="430" max="430" width="11.21875" style="571" customWidth="1"/>
    <col min="431" max="431" width="12.77734375" style="571" customWidth="1"/>
    <col min="432" max="432" width="12.5546875" style="571" customWidth="1"/>
    <col min="433" max="433" width="2" style="571" customWidth="1"/>
    <col min="434" max="435" width="9.109375" style="571"/>
    <col min="436" max="436" width="11" style="571" customWidth="1"/>
    <col min="437" max="437" width="9.109375" style="571"/>
    <col min="438" max="438" width="2.21875" style="571" customWidth="1"/>
    <col min="439" max="439" width="11" style="571" customWidth="1"/>
    <col min="440" max="440" width="9.109375" style="571"/>
    <col min="441" max="441" width="11.5546875" style="571" customWidth="1"/>
    <col min="442" max="442" width="11.21875" style="571" customWidth="1"/>
    <col min="443" max="443" width="2.88671875" style="571" customWidth="1"/>
    <col min="444" max="445" width="9.109375" style="571"/>
    <col min="446" max="446" width="11.21875" style="571" customWidth="1"/>
    <col min="447" max="447" width="2.21875" style="571" customWidth="1"/>
    <col min="448" max="448" width="9.109375" style="571"/>
    <col min="449" max="449" width="10.44140625" style="571" customWidth="1"/>
    <col min="450" max="450" width="9.109375" style="571"/>
    <col min="451" max="451" width="11.109375" style="571" customWidth="1"/>
    <col min="452" max="453" width="9.109375" style="571"/>
    <col min="454" max="454" width="10.88671875" style="571" customWidth="1"/>
    <col min="455" max="456" width="9.109375" style="571"/>
    <col min="457" max="457" width="1.5546875" style="571" customWidth="1"/>
    <col min="458" max="458" width="9.77734375" style="571" customWidth="1"/>
    <col min="459" max="462" width="9.109375" style="571"/>
    <col min="463" max="463" width="1.88671875" style="571" customWidth="1"/>
    <col min="464" max="464" width="9.88671875" style="571" customWidth="1"/>
    <col min="465" max="465" width="1.5546875" style="571" customWidth="1"/>
    <col min="466" max="466" width="11.44140625" style="571" customWidth="1"/>
    <col min="467" max="467" width="2.21875" style="571" customWidth="1"/>
    <col min="468" max="468" width="12" style="571" customWidth="1"/>
    <col min="469" max="469" width="2" style="571" customWidth="1"/>
    <col min="470" max="470" width="9.109375" style="571"/>
    <col min="471" max="471" width="11.109375" style="571" customWidth="1"/>
    <col min="472" max="472" width="12" style="571" customWidth="1"/>
    <col min="473" max="473" width="9.109375" style="571"/>
    <col min="474" max="474" width="11.88671875" style="571" customWidth="1"/>
    <col min="475" max="475" width="14.21875" style="571" customWidth="1"/>
    <col min="476" max="479" width="9.109375" style="571"/>
    <col min="480" max="480" width="3.44140625" style="571" customWidth="1"/>
    <col min="481" max="482" width="9.109375" style="571"/>
    <col min="483" max="483" width="11.44140625" style="571" customWidth="1"/>
    <col min="484" max="484" width="2.77734375" style="571" customWidth="1"/>
    <col min="485" max="667" width="9.109375" style="571"/>
    <col min="668" max="668" width="9.5546875" style="571" customWidth="1"/>
    <col min="669" max="669" width="11" style="571" customWidth="1"/>
    <col min="670" max="671" width="11.21875" style="571" customWidth="1"/>
    <col min="672" max="672" width="11.5546875" style="571" customWidth="1"/>
    <col min="673" max="673" width="11.109375" style="571" customWidth="1"/>
    <col min="674" max="674" width="2" style="571" customWidth="1"/>
    <col min="675" max="675" width="13.5546875" style="571" customWidth="1"/>
    <col min="676" max="676" width="12.44140625" style="571" customWidth="1"/>
    <col min="677" max="677" width="13.5546875" style="571" customWidth="1"/>
    <col min="678" max="678" width="2.109375" style="571" customWidth="1"/>
    <col min="679" max="679" width="9.109375" style="571"/>
    <col min="680" max="680" width="10.21875" style="571" customWidth="1"/>
    <col min="681" max="681" width="1.88671875" style="571" customWidth="1"/>
    <col min="682" max="682" width="10.77734375" style="571" customWidth="1"/>
    <col min="683" max="683" width="9.109375" style="571"/>
    <col min="684" max="684" width="2.109375" style="571" customWidth="1"/>
    <col min="685" max="685" width="9.109375" style="571"/>
    <col min="686" max="686" width="11.21875" style="571" customWidth="1"/>
    <col min="687" max="687" width="12.77734375" style="571" customWidth="1"/>
    <col min="688" max="688" width="12.5546875" style="571" customWidth="1"/>
    <col min="689" max="689" width="2" style="571" customWidth="1"/>
    <col min="690" max="691" width="9.109375" style="571"/>
    <col min="692" max="692" width="11" style="571" customWidth="1"/>
    <col min="693" max="693" width="9.109375" style="571"/>
    <col min="694" max="694" width="2.21875" style="571" customWidth="1"/>
    <col min="695" max="695" width="11" style="571" customWidth="1"/>
    <col min="696" max="696" width="9.109375" style="571"/>
    <col min="697" max="697" width="11.5546875" style="571" customWidth="1"/>
    <col min="698" max="698" width="11.21875" style="571" customWidth="1"/>
    <col min="699" max="699" width="2.88671875" style="571" customWidth="1"/>
    <col min="700" max="701" width="9.109375" style="571"/>
    <col min="702" max="702" width="11.21875" style="571" customWidth="1"/>
    <col min="703" max="703" width="2.21875" style="571" customWidth="1"/>
    <col min="704" max="704" width="9.109375" style="571"/>
    <col min="705" max="705" width="10.44140625" style="571" customWidth="1"/>
    <col min="706" max="706" width="9.109375" style="571"/>
    <col min="707" max="707" width="11.109375" style="571" customWidth="1"/>
    <col min="708" max="709" width="9.109375" style="571"/>
    <col min="710" max="710" width="10.88671875" style="571" customWidth="1"/>
    <col min="711" max="712" width="9.109375" style="571"/>
    <col min="713" max="713" width="1.5546875" style="571" customWidth="1"/>
    <col min="714" max="714" width="9.77734375" style="571" customWidth="1"/>
    <col min="715" max="718" width="9.109375" style="571"/>
    <col min="719" max="719" width="1.88671875" style="571" customWidth="1"/>
    <col min="720" max="720" width="9.88671875" style="571" customWidth="1"/>
    <col min="721" max="721" width="1.5546875" style="571" customWidth="1"/>
    <col min="722" max="722" width="11.44140625" style="571" customWidth="1"/>
    <col min="723" max="723" width="2.21875" style="571" customWidth="1"/>
    <col min="724" max="724" width="12" style="571" customWidth="1"/>
    <col min="725" max="725" width="2" style="571" customWidth="1"/>
    <col min="726" max="726" width="9.109375" style="571"/>
    <col min="727" max="727" width="11.109375" style="571" customWidth="1"/>
    <col min="728" max="728" width="12" style="571" customWidth="1"/>
    <col min="729" max="729" width="9.109375" style="571"/>
    <col min="730" max="730" width="11.88671875" style="571" customWidth="1"/>
    <col min="731" max="731" width="14.21875" style="571" customWidth="1"/>
    <col min="732" max="735" width="9.109375" style="571"/>
    <col min="736" max="736" width="3.44140625" style="571" customWidth="1"/>
    <col min="737" max="738" width="9.109375" style="571"/>
    <col min="739" max="739" width="11.44140625" style="571" customWidth="1"/>
    <col min="740" max="740" width="2.77734375" style="571" customWidth="1"/>
    <col min="741" max="923" width="9.109375" style="571"/>
    <col min="924" max="924" width="9.5546875" style="571" customWidth="1"/>
    <col min="925" max="925" width="11" style="571" customWidth="1"/>
    <col min="926" max="927" width="11.21875" style="571" customWidth="1"/>
    <col min="928" max="928" width="11.5546875" style="571" customWidth="1"/>
    <col min="929" max="929" width="11.109375" style="571" customWidth="1"/>
    <col min="930" max="930" width="2" style="571" customWidth="1"/>
    <col min="931" max="931" width="13.5546875" style="571" customWidth="1"/>
    <col min="932" max="932" width="12.44140625" style="571" customWidth="1"/>
    <col min="933" max="933" width="13.5546875" style="571" customWidth="1"/>
    <col min="934" max="934" width="2.109375" style="571" customWidth="1"/>
    <col min="935" max="935" width="9.109375" style="571"/>
    <col min="936" max="936" width="10.21875" style="571" customWidth="1"/>
    <col min="937" max="937" width="1.88671875" style="571" customWidth="1"/>
    <col min="938" max="938" width="10.77734375" style="571" customWidth="1"/>
    <col min="939" max="939" width="9.109375" style="571"/>
    <col min="940" max="940" width="2.109375" style="571" customWidth="1"/>
    <col min="941" max="941" width="9.109375" style="571"/>
    <col min="942" max="942" width="11.21875" style="571" customWidth="1"/>
    <col min="943" max="943" width="12.77734375" style="571" customWidth="1"/>
    <col min="944" max="944" width="12.5546875" style="571" customWidth="1"/>
    <col min="945" max="945" width="2" style="571" customWidth="1"/>
    <col min="946" max="947" width="9.109375" style="571"/>
    <col min="948" max="948" width="11" style="571" customWidth="1"/>
    <col min="949" max="949" width="9.109375" style="571"/>
    <col min="950" max="950" width="2.21875" style="571" customWidth="1"/>
    <col min="951" max="951" width="11" style="571" customWidth="1"/>
    <col min="952" max="952" width="9.109375" style="571"/>
    <col min="953" max="953" width="11.5546875" style="571" customWidth="1"/>
    <col min="954" max="954" width="11.21875" style="571" customWidth="1"/>
    <col min="955" max="955" width="2.88671875" style="571" customWidth="1"/>
    <col min="956" max="957" width="9.109375" style="571"/>
    <col min="958" max="958" width="11.21875" style="571" customWidth="1"/>
    <col min="959" max="959" width="2.21875" style="571" customWidth="1"/>
    <col min="960" max="960" width="9.109375" style="571"/>
    <col min="961" max="961" width="10.44140625" style="571" customWidth="1"/>
    <col min="962" max="962" width="9.109375" style="571"/>
    <col min="963" max="963" width="11.109375" style="571" customWidth="1"/>
    <col min="964" max="965" width="9.109375" style="571"/>
    <col min="966" max="966" width="10.88671875" style="571" customWidth="1"/>
    <col min="967" max="968" width="9.109375" style="571"/>
    <col min="969" max="969" width="1.5546875" style="571" customWidth="1"/>
    <col min="970" max="970" width="9.77734375" style="571" customWidth="1"/>
    <col min="971" max="974" width="9.109375" style="571"/>
    <col min="975" max="975" width="1.88671875" style="571" customWidth="1"/>
    <col min="976" max="976" width="9.88671875" style="571" customWidth="1"/>
    <col min="977" max="977" width="1.5546875" style="571" customWidth="1"/>
    <col min="978" max="978" width="11.44140625" style="571" customWidth="1"/>
    <col min="979" max="979" width="2.21875" style="571" customWidth="1"/>
    <col min="980" max="980" width="12" style="571" customWidth="1"/>
    <col min="981" max="981" width="2" style="571" customWidth="1"/>
    <col min="982" max="982" width="9.109375" style="571"/>
    <col min="983" max="983" width="11.109375" style="571" customWidth="1"/>
    <col min="984" max="984" width="12" style="571" customWidth="1"/>
    <col min="985" max="985" width="9.109375" style="571"/>
    <col min="986" max="986" width="11.88671875" style="571" customWidth="1"/>
    <col min="987" max="987" width="14.21875" style="571" customWidth="1"/>
    <col min="988" max="991" width="9.109375" style="571"/>
    <col min="992" max="992" width="3.44140625" style="571" customWidth="1"/>
    <col min="993" max="994" width="9.109375" style="571"/>
    <col min="995" max="995" width="11.44140625" style="571" customWidth="1"/>
    <col min="996" max="996" width="2.77734375" style="571" customWidth="1"/>
    <col min="997" max="1179" width="9.109375" style="571"/>
    <col min="1180" max="1180" width="9.5546875" style="571" customWidth="1"/>
    <col min="1181" max="1181" width="11" style="571" customWidth="1"/>
    <col min="1182" max="1183" width="11.21875" style="571" customWidth="1"/>
    <col min="1184" max="1184" width="11.5546875" style="571" customWidth="1"/>
    <col min="1185" max="1185" width="11.109375" style="571" customWidth="1"/>
    <col min="1186" max="1186" width="2" style="571" customWidth="1"/>
    <col min="1187" max="1187" width="13.5546875" style="571" customWidth="1"/>
    <col min="1188" max="1188" width="12.44140625" style="571" customWidth="1"/>
    <col min="1189" max="1189" width="13.5546875" style="571" customWidth="1"/>
    <col min="1190" max="1190" width="2.109375" style="571" customWidth="1"/>
    <col min="1191" max="1191" width="9.109375" style="571"/>
    <col min="1192" max="1192" width="10.21875" style="571" customWidth="1"/>
    <col min="1193" max="1193" width="1.88671875" style="571" customWidth="1"/>
    <col min="1194" max="1194" width="10.77734375" style="571" customWidth="1"/>
    <col min="1195" max="1195" width="9.109375" style="571"/>
    <col min="1196" max="1196" width="2.109375" style="571" customWidth="1"/>
    <col min="1197" max="1197" width="9.109375" style="571"/>
    <col min="1198" max="1198" width="11.21875" style="571" customWidth="1"/>
    <col min="1199" max="1199" width="12.77734375" style="571" customWidth="1"/>
    <col min="1200" max="1200" width="12.5546875" style="571" customWidth="1"/>
    <col min="1201" max="1201" width="2" style="571" customWidth="1"/>
    <col min="1202" max="1203" width="9.109375" style="571"/>
    <col min="1204" max="1204" width="11" style="571" customWidth="1"/>
    <col min="1205" max="1205" width="9.109375" style="571"/>
    <col min="1206" max="1206" width="2.21875" style="571" customWidth="1"/>
    <col min="1207" max="1207" width="11" style="571" customWidth="1"/>
    <col min="1208" max="1208" width="9.109375" style="571"/>
    <col min="1209" max="1209" width="11.5546875" style="571" customWidth="1"/>
    <col min="1210" max="1210" width="11.21875" style="571" customWidth="1"/>
    <col min="1211" max="1211" width="2.88671875" style="571" customWidth="1"/>
    <col min="1212" max="1213" width="9.109375" style="571"/>
    <col min="1214" max="1214" width="11.21875" style="571" customWidth="1"/>
    <col min="1215" max="1215" width="2.21875" style="571" customWidth="1"/>
    <col min="1216" max="1216" width="9.109375" style="571"/>
    <col min="1217" max="1217" width="10.44140625" style="571" customWidth="1"/>
    <col min="1218" max="1218" width="9.109375" style="571"/>
    <col min="1219" max="1219" width="11.109375" style="571" customWidth="1"/>
    <col min="1220" max="1221" width="9.109375" style="571"/>
    <col min="1222" max="1222" width="10.88671875" style="571" customWidth="1"/>
    <col min="1223" max="1224" width="9.109375" style="571"/>
    <col min="1225" max="1225" width="1.5546875" style="571" customWidth="1"/>
    <col min="1226" max="1226" width="9.77734375" style="571" customWidth="1"/>
    <col min="1227" max="1230" width="9.109375" style="571"/>
    <col min="1231" max="1231" width="1.88671875" style="571" customWidth="1"/>
    <col min="1232" max="1232" width="9.88671875" style="571" customWidth="1"/>
    <col min="1233" max="1233" width="1.5546875" style="571" customWidth="1"/>
    <col min="1234" max="1234" width="11.44140625" style="571" customWidth="1"/>
    <col min="1235" max="1235" width="2.21875" style="571" customWidth="1"/>
    <col min="1236" max="1236" width="12" style="571" customWidth="1"/>
    <col min="1237" max="1237" width="2" style="571" customWidth="1"/>
    <col min="1238" max="1238" width="9.109375" style="571"/>
    <col min="1239" max="1239" width="11.109375" style="571" customWidth="1"/>
    <col min="1240" max="1240" width="12" style="571" customWidth="1"/>
    <col min="1241" max="1241" width="9.109375" style="571"/>
    <col min="1242" max="1242" width="11.88671875" style="571" customWidth="1"/>
    <col min="1243" max="1243" width="14.21875" style="571" customWidth="1"/>
    <col min="1244" max="1247" width="9.109375" style="571"/>
    <col min="1248" max="1248" width="3.44140625" style="571" customWidth="1"/>
    <col min="1249" max="1250" width="9.109375" style="571"/>
    <col min="1251" max="1251" width="11.44140625" style="571" customWidth="1"/>
    <col min="1252" max="1252" width="2.77734375" style="571" customWidth="1"/>
    <col min="1253" max="1435" width="9.109375" style="571"/>
    <col min="1436" max="1436" width="9.5546875" style="571" customWidth="1"/>
    <col min="1437" max="1437" width="11" style="571" customWidth="1"/>
    <col min="1438" max="1439" width="11.21875" style="571" customWidth="1"/>
    <col min="1440" max="1440" width="11.5546875" style="571" customWidth="1"/>
    <col min="1441" max="1441" width="11.109375" style="571" customWidth="1"/>
    <col min="1442" max="1442" width="2" style="571" customWidth="1"/>
    <col min="1443" max="1443" width="13.5546875" style="571" customWidth="1"/>
    <col min="1444" max="1444" width="12.44140625" style="571" customWidth="1"/>
    <col min="1445" max="1445" width="13.5546875" style="571" customWidth="1"/>
    <col min="1446" max="1446" width="2.109375" style="571" customWidth="1"/>
    <col min="1447" max="1447" width="9.109375" style="571"/>
    <col min="1448" max="1448" width="10.21875" style="571" customWidth="1"/>
    <col min="1449" max="1449" width="1.88671875" style="571" customWidth="1"/>
    <col min="1450" max="1450" width="10.77734375" style="571" customWidth="1"/>
    <col min="1451" max="1451" width="9.109375" style="571"/>
    <col min="1452" max="1452" width="2.109375" style="571" customWidth="1"/>
    <col min="1453" max="1453" width="9.109375" style="571"/>
    <col min="1454" max="1454" width="11.21875" style="571" customWidth="1"/>
    <col min="1455" max="1455" width="12.77734375" style="571" customWidth="1"/>
    <col min="1456" max="1456" width="12.5546875" style="571" customWidth="1"/>
    <col min="1457" max="1457" width="2" style="571" customWidth="1"/>
    <col min="1458" max="1459" width="9.109375" style="571"/>
    <col min="1460" max="1460" width="11" style="571" customWidth="1"/>
    <col min="1461" max="1461" width="9.109375" style="571"/>
    <col min="1462" max="1462" width="2.21875" style="571" customWidth="1"/>
    <col min="1463" max="1463" width="11" style="571" customWidth="1"/>
    <col min="1464" max="1464" width="9.109375" style="571"/>
    <col min="1465" max="1465" width="11.5546875" style="571" customWidth="1"/>
    <col min="1466" max="1466" width="11.21875" style="571" customWidth="1"/>
    <col min="1467" max="1467" width="2.88671875" style="571" customWidth="1"/>
    <col min="1468" max="1469" width="9.109375" style="571"/>
    <col min="1470" max="1470" width="11.21875" style="571" customWidth="1"/>
    <col min="1471" max="1471" width="2.21875" style="571" customWidth="1"/>
    <col min="1472" max="1472" width="9.109375" style="571"/>
    <col min="1473" max="1473" width="10.44140625" style="571" customWidth="1"/>
    <col min="1474" max="1474" width="9.109375" style="571"/>
    <col min="1475" max="1475" width="11.109375" style="571" customWidth="1"/>
    <col min="1476" max="1477" width="9.109375" style="571"/>
    <col min="1478" max="1478" width="10.88671875" style="571" customWidth="1"/>
    <col min="1479" max="1480" width="9.109375" style="571"/>
    <col min="1481" max="1481" width="1.5546875" style="571" customWidth="1"/>
    <col min="1482" max="1482" width="9.77734375" style="571" customWidth="1"/>
    <col min="1483" max="1486" width="9.109375" style="571"/>
    <col min="1487" max="1487" width="1.88671875" style="571" customWidth="1"/>
    <col min="1488" max="1488" width="9.88671875" style="571" customWidth="1"/>
    <col min="1489" max="1489" width="1.5546875" style="571" customWidth="1"/>
    <col min="1490" max="1490" width="11.44140625" style="571" customWidth="1"/>
    <col min="1491" max="1491" width="2.21875" style="571" customWidth="1"/>
    <col min="1492" max="1492" width="12" style="571" customWidth="1"/>
    <col min="1493" max="1493" width="2" style="571" customWidth="1"/>
    <col min="1494" max="1494" width="9.109375" style="571"/>
    <col min="1495" max="1495" width="11.109375" style="571" customWidth="1"/>
    <col min="1496" max="1496" width="12" style="571" customWidth="1"/>
    <col min="1497" max="1497" width="9.109375" style="571"/>
    <col min="1498" max="1498" width="11.88671875" style="571" customWidth="1"/>
    <col min="1499" max="1499" width="14.21875" style="571" customWidth="1"/>
    <col min="1500" max="1503" width="9.109375" style="571"/>
    <col min="1504" max="1504" width="3.44140625" style="571" customWidth="1"/>
    <col min="1505" max="1506" width="9.109375" style="571"/>
    <col min="1507" max="1507" width="11.44140625" style="571" customWidth="1"/>
    <col min="1508" max="1508" width="2.77734375" style="571" customWidth="1"/>
    <col min="1509" max="1691" width="9.109375" style="571"/>
    <col min="1692" max="1692" width="9.5546875" style="571" customWidth="1"/>
    <col min="1693" max="1693" width="11" style="571" customWidth="1"/>
    <col min="1694" max="1695" width="11.21875" style="571" customWidth="1"/>
    <col min="1696" max="1696" width="11.5546875" style="571" customWidth="1"/>
    <col min="1697" max="1697" width="11.109375" style="571" customWidth="1"/>
    <col min="1698" max="1698" width="2" style="571" customWidth="1"/>
    <col min="1699" max="1699" width="13.5546875" style="571" customWidth="1"/>
    <col min="1700" max="1700" width="12.44140625" style="571" customWidth="1"/>
    <col min="1701" max="1701" width="13.5546875" style="571" customWidth="1"/>
    <col min="1702" max="1702" width="2.109375" style="571" customWidth="1"/>
    <col min="1703" max="1703" width="9.109375" style="571"/>
    <col min="1704" max="1704" width="10.21875" style="571" customWidth="1"/>
    <col min="1705" max="1705" width="1.88671875" style="571" customWidth="1"/>
    <col min="1706" max="1706" width="10.77734375" style="571" customWidth="1"/>
    <col min="1707" max="1707" width="9.109375" style="571"/>
    <col min="1708" max="1708" width="2.109375" style="571" customWidth="1"/>
    <col min="1709" max="1709" width="9.109375" style="571"/>
    <col min="1710" max="1710" width="11.21875" style="571" customWidth="1"/>
    <col min="1711" max="1711" width="12.77734375" style="571" customWidth="1"/>
    <col min="1712" max="1712" width="12.5546875" style="571" customWidth="1"/>
    <col min="1713" max="1713" width="2" style="571" customWidth="1"/>
    <col min="1714" max="1715" width="9.109375" style="571"/>
    <col min="1716" max="1716" width="11" style="571" customWidth="1"/>
    <col min="1717" max="1717" width="9.109375" style="571"/>
    <col min="1718" max="1718" width="2.21875" style="571" customWidth="1"/>
    <col min="1719" max="1719" width="11" style="571" customWidth="1"/>
    <col min="1720" max="1720" width="9.109375" style="571"/>
    <col min="1721" max="1721" width="11.5546875" style="571" customWidth="1"/>
    <col min="1722" max="1722" width="11.21875" style="571" customWidth="1"/>
    <col min="1723" max="1723" width="2.88671875" style="571" customWidth="1"/>
    <col min="1724" max="1725" width="9.109375" style="571"/>
    <col min="1726" max="1726" width="11.21875" style="571" customWidth="1"/>
    <col min="1727" max="1727" width="2.21875" style="571" customWidth="1"/>
    <col min="1728" max="1728" width="9.109375" style="571"/>
    <col min="1729" max="1729" width="10.44140625" style="571" customWidth="1"/>
    <col min="1730" max="1730" width="9.109375" style="571"/>
    <col min="1731" max="1731" width="11.109375" style="571" customWidth="1"/>
    <col min="1732" max="1733" width="9.109375" style="571"/>
    <col min="1734" max="1734" width="10.88671875" style="571" customWidth="1"/>
    <col min="1735" max="1736" width="9.109375" style="571"/>
    <col min="1737" max="1737" width="1.5546875" style="571" customWidth="1"/>
    <col min="1738" max="1738" width="9.77734375" style="571" customWidth="1"/>
    <col min="1739" max="1742" width="9.109375" style="571"/>
    <col min="1743" max="1743" width="1.88671875" style="571" customWidth="1"/>
    <col min="1744" max="1744" width="9.88671875" style="571" customWidth="1"/>
    <col min="1745" max="1745" width="1.5546875" style="571" customWidth="1"/>
    <col min="1746" max="1746" width="11.44140625" style="571" customWidth="1"/>
    <col min="1747" max="1747" width="2.21875" style="571" customWidth="1"/>
    <col min="1748" max="1748" width="12" style="571" customWidth="1"/>
    <col min="1749" max="1749" width="2" style="571" customWidth="1"/>
    <col min="1750" max="1750" width="9.109375" style="571"/>
    <col min="1751" max="1751" width="11.109375" style="571" customWidth="1"/>
    <col min="1752" max="1752" width="12" style="571" customWidth="1"/>
    <col min="1753" max="1753" width="9.109375" style="571"/>
    <col min="1754" max="1754" width="11.88671875" style="571" customWidth="1"/>
    <col min="1755" max="1755" width="14.21875" style="571" customWidth="1"/>
    <col min="1756" max="1759" width="9.109375" style="571"/>
    <col min="1760" max="1760" width="3.44140625" style="571" customWidth="1"/>
    <col min="1761" max="1762" width="9.109375" style="571"/>
    <col min="1763" max="1763" width="11.44140625" style="571" customWidth="1"/>
    <col min="1764" max="1764" width="2.77734375" style="571" customWidth="1"/>
    <col min="1765" max="1947" width="9.109375" style="571"/>
    <col min="1948" max="1948" width="9.5546875" style="571" customWidth="1"/>
    <col min="1949" max="1949" width="11" style="571" customWidth="1"/>
    <col min="1950" max="1951" width="11.21875" style="571" customWidth="1"/>
    <col min="1952" max="1952" width="11.5546875" style="571" customWidth="1"/>
    <col min="1953" max="1953" width="11.109375" style="571" customWidth="1"/>
    <col min="1954" max="1954" width="2" style="571" customWidth="1"/>
    <col min="1955" max="1955" width="13.5546875" style="571" customWidth="1"/>
    <col min="1956" max="1956" width="12.44140625" style="571" customWidth="1"/>
    <col min="1957" max="1957" width="13.5546875" style="571" customWidth="1"/>
    <col min="1958" max="1958" width="2.109375" style="571" customWidth="1"/>
    <col min="1959" max="1959" width="9.109375" style="571"/>
    <col min="1960" max="1960" width="10.21875" style="571" customWidth="1"/>
    <col min="1961" max="1961" width="1.88671875" style="571" customWidth="1"/>
    <col min="1962" max="1962" width="10.77734375" style="571" customWidth="1"/>
    <col min="1963" max="1963" width="9.109375" style="571"/>
    <col min="1964" max="1964" width="2.109375" style="571" customWidth="1"/>
    <col min="1965" max="1965" width="9.109375" style="571"/>
    <col min="1966" max="1966" width="11.21875" style="571" customWidth="1"/>
    <col min="1967" max="1967" width="12.77734375" style="571" customWidth="1"/>
    <col min="1968" max="1968" width="12.5546875" style="571" customWidth="1"/>
    <col min="1969" max="1969" width="2" style="571" customWidth="1"/>
    <col min="1970" max="1971" width="9.109375" style="571"/>
    <col min="1972" max="1972" width="11" style="571" customWidth="1"/>
    <col min="1973" max="1973" width="9.109375" style="571"/>
    <col min="1974" max="1974" width="2.21875" style="571" customWidth="1"/>
    <col min="1975" max="1975" width="11" style="571" customWidth="1"/>
    <col min="1976" max="1976" width="9.109375" style="571"/>
    <col min="1977" max="1977" width="11.5546875" style="571" customWidth="1"/>
    <col min="1978" max="1978" width="11.21875" style="571" customWidth="1"/>
    <col min="1979" max="1979" width="2.88671875" style="571" customWidth="1"/>
    <col min="1980" max="1981" width="9.109375" style="571"/>
    <col min="1982" max="1982" width="11.21875" style="571" customWidth="1"/>
    <col min="1983" max="1983" width="2.21875" style="571" customWidth="1"/>
    <col min="1984" max="1984" width="9.109375" style="571"/>
    <col min="1985" max="1985" width="10.44140625" style="571" customWidth="1"/>
    <col min="1986" max="1986" width="9.109375" style="571"/>
    <col min="1987" max="1987" width="11.109375" style="571" customWidth="1"/>
    <col min="1988" max="1989" width="9.109375" style="571"/>
    <col min="1990" max="1990" width="10.88671875" style="571" customWidth="1"/>
    <col min="1991" max="1992" width="9.109375" style="571"/>
    <col min="1993" max="1993" width="1.5546875" style="571" customWidth="1"/>
    <col min="1994" max="1994" width="9.77734375" style="571" customWidth="1"/>
    <col min="1995" max="1998" width="9.109375" style="571"/>
    <col min="1999" max="1999" width="1.88671875" style="571" customWidth="1"/>
    <col min="2000" max="2000" width="9.88671875" style="571" customWidth="1"/>
    <col min="2001" max="2001" width="1.5546875" style="571" customWidth="1"/>
    <col min="2002" max="2002" width="11.44140625" style="571" customWidth="1"/>
    <col min="2003" max="2003" width="2.21875" style="571" customWidth="1"/>
    <col min="2004" max="2004" width="12" style="571" customWidth="1"/>
    <col min="2005" max="2005" width="2" style="571" customWidth="1"/>
    <col min="2006" max="2006" width="9.109375" style="571"/>
    <col min="2007" max="2007" width="11.109375" style="571" customWidth="1"/>
    <col min="2008" max="2008" width="12" style="571" customWidth="1"/>
    <col min="2009" max="2009" width="9.109375" style="571"/>
    <col min="2010" max="2010" width="11.88671875" style="571" customWidth="1"/>
    <col min="2011" max="2011" width="14.21875" style="571" customWidth="1"/>
    <col min="2012" max="2015" width="9.109375" style="571"/>
    <col min="2016" max="2016" width="3.44140625" style="571" customWidth="1"/>
    <col min="2017" max="2018" width="9.109375" style="571"/>
    <col min="2019" max="2019" width="11.44140625" style="571" customWidth="1"/>
    <col min="2020" max="2020" width="2.77734375" style="571" customWidth="1"/>
    <col min="2021" max="2203" width="9.109375" style="571"/>
    <col min="2204" max="2204" width="9.5546875" style="571" customWidth="1"/>
    <col min="2205" max="2205" width="11" style="571" customWidth="1"/>
    <col min="2206" max="2207" width="11.21875" style="571" customWidth="1"/>
    <col min="2208" max="2208" width="11.5546875" style="571" customWidth="1"/>
    <col min="2209" max="2209" width="11.109375" style="571" customWidth="1"/>
    <col min="2210" max="2210" width="2" style="571" customWidth="1"/>
    <col min="2211" max="2211" width="13.5546875" style="571" customWidth="1"/>
    <col min="2212" max="2212" width="12.44140625" style="571" customWidth="1"/>
    <col min="2213" max="2213" width="13.5546875" style="571" customWidth="1"/>
    <col min="2214" max="2214" width="2.109375" style="571" customWidth="1"/>
    <col min="2215" max="2215" width="9.109375" style="571"/>
    <col min="2216" max="2216" width="10.21875" style="571" customWidth="1"/>
    <col min="2217" max="2217" width="1.88671875" style="571" customWidth="1"/>
    <col min="2218" max="2218" width="10.77734375" style="571" customWidth="1"/>
    <col min="2219" max="2219" width="9.109375" style="571"/>
    <col min="2220" max="2220" width="2.109375" style="571" customWidth="1"/>
    <col min="2221" max="2221" width="9.109375" style="571"/>
    <col min="2222" max="2222" width="11.21875" style="571" customWidth="1"/>
    <col min="2223" max="2223" width="12.77734375" style="571" customWidth="1"/>
    <col min="2224" max="2224" width="12.5546875" style="571" customWidth="1"/>
    <col min="2225" max="2225" width="2" style="571" customWidth="1"/>
    <col min="2226" max="2227" width="9.109375" style="571"/>
    <col min="2228" max="2228" width="11" style="571" customWidth="1"/>
    <col min="2229" max="2229" width="9.109375" style="571"/>
    <col min="2230" max="2230" width="2.21875" style="571" customWidth="1"/>
    <col min="2231" max="2231" width="11" style="571" customWidth="1"/>
    <col min="2232" max="2232" width="9.109375" style="571"/>
    <col min="2233" max="2233" width="11.5546875" style="571" customWidth="1"/>
    <col min="2234" max="2234" width="11.21875" style="571" customWidth="1"/>
    <col min="2235" max="2235" width="2.88671875" style="571" customWidth="1"/>
    <col min="2236" max="2237" width="9.109375" style="571"/>
    <col min="2238" max="2238" width="11.21875" style="571" customWidth="1"/>
    <col min="2239" max="2239" width="2.21875" style="571" customWidth="1"/>
    <col min="2240" max="2240" width="9.109375" style="571"/>
    <col min="2241" max="2241" width="10.44140625" style="571" customWidth="1"/>
    <col min="2242" max="2242" width="9.109375" style="571"/>
    <col min="2243" max="2243" width="11.109375" style="571" customWidth="1"/>
    <col min="2244" max="2245" width="9.109375" style="571"/>
    <col min="2246" max="2246" width="10.88671875" style="571" customWidth="1"/>
    <col min="2247" max="2248" width="9.109375" style="571"/>
    <col min="2249" max="2249" width="1.5546875" style="571" customWidth="1"/>
    <col min="2250" max="2250" width="9.77734375" style="571" customWidth="1"/>
    <col min="2251" max="2254" width="9.109375" style="571"/>
    <col min="2255" max="2255" width="1.88671875" style="571" customWidth="1"/>
    <col min="2256" max="2256" width="9.88671875" style="571" customWidth="1"/>
    <col min="2257" max="2257" width="1.5546875" style="571" customWidth="1"/>
    <col min="2258" max="2258" width="11.44140625" style="571" customWidth="1"/>
    <col min="2259" max="2259" width="2.21875" style="571" customWidth="1"/>
    <col min="2260" max="2260" width="12" style="571" customWidth="1"/>
    <col min="2261" max="2261" width="2" style="571" customWidth="1"/>
    <col min="2262" max="2262" width="9.109375" style="571"/>
    <col min="2263" max="2263" width="11.109375" style="571" customWidth="1"/>
    <col min="2264" max="2264" width="12" style="571" customWidth="1"/>
    <col min="2265" max="2265" width="9.109375" style="571"/>
    <col min="2266" max="2266" width="11.88671875" style="571" customWidth="1"/>
    <col min="2267" max="2267" width="14.21875" style="571" customWidth="1"/>
    <col min="2268" max="2271" width="9.109375" style="571"/>
    <col min="2272" max="2272" width="3.44140625" style="571" customWidth="1"/>
    <col min="2273" max="2274" width="9.109375" style="571"/>
    <col min="2275" max="2275" width="11.44140625" style="571" customWidth="1"/>
    <col min="2276" max="2276" width="2.77734375" style="571" customWidth="1"/>
    <col min="2277" max="2459" width="9.109375" style="571"/>
    <col min="2460" max="2460" width="9.5546875" style="571" customWidth="1"/>
    <col min="2461" max="2461" width="11" style="571" customWidth="1"/>
    <col min="2462" max="2463" width="11.21875" style="571" customWidth="1"/>
    <col min="2464" max="2464" width="11.5546875" style="571" customWidth="1"/>
    <col min="2465" max="2465" width="11.109375" style="571" customWidth="1"/>
    <col min="2466" max="2466" width="2" style="571" customWidth="1"/>
    <col min="2467" max="2467" width="13.5546875" style="571" customWidth="1"/>
    <col min="2468" max="2468" width="12.44140625" style="571" customWidth="1"/>
    <col min="2469" max="2469" width="13.5546875" style="571" customWidth="1"/>
    <col min="2470" max="2470" width="2.109375" style="571" customWidth="1"/>
    <col min="2471" max="2471" width="9.109375" style="571"/>
    <col min="2472" max="2472" width="10.21875" style="571" customWidth="1"/>
    <col min="2473" max="2473" width="1.88671875" style="571" customWidth="1"/>
    <col min="2474" max="2474" width="10.77734375" style="571" customWidth="1"/>
    <col min="2475" max="2475" width="9.109375" style="571"/>
    <col min="2476" max="2476" width="2.109375" style="571" customWidth="1"/>
    <col min="2477" max="2477" width="9.109375" style="571"/>
    <col min="2478" max="2478" width="11.21875" style="571" customWidth="1"/>
    <col min="2479" max="2479" width="12.77734375" style="571" customWidth="1"/>
    <col min="2480" max="2480" width="12.5546875" style="571" customWidth="1"/>
    <col min="2481" max="2481" width="2" style="571" customWidth="1"/>
    <col min="2482" max="2483" width="9.109375" style="571"/>
    <col min="2484" max="2484" width="11" style="571" customWidth="1"/>
    <col min="2485" max="2485" width="9.109375" style="571"/>
    <col min="2486" max="2486" width="2.21875" style="571" customWidth="1"/>
    <col min="2487" max="2487" width="11" style="571" customWidth="1"/>
    <col min="2488" max="2488" width="9.109375" style="571"/>
    <col min="2489" max="2489" width="11.5546875" style="571" customWidth="1"/>
    <col min="2490" max="2490" width="11.21875" style="571" customWidth="1"/>
    <col min="2491" max="2491" width="2.88671875" style="571" customWidth="1"/>
    <col min="2492" max="2493" width="9.109375" style="571"/>
    <col min="2494" max="2494" width="11.21875" style="571" customWidth="1"/>
    <col min="2495" max="2495" width="2.21875" style="571" customWidth="1"/>
    <col min="2496" max="2496" width="9.109375" style="571"/>
    <col min="2497" max="2497" width="10.44140625" style="571" customWidth="1"/>
    <col min="2498" max="2498" width="9.109375" style="571"/>
    <col min="2499" max="2499" width="11.109375" style="571" customWidth="1"/>
    <col min="2500" max="2501" width="9.109375" style="571"/>
    <col min="2502" max="2502" width="10.88671875" style="571" customWidth="1"/>
    <col min="2503" max="2504" width="9.109375" style="571"/>
    <col min="2505" max="2505" width="1.5546875" style="571" customWidth="1"/>
    <col min="2506" max="2506" width="9.77734375" style="571" customWidth="1"/>
    <col min="2507" max="2510" width="9.109375" style="571"/>
    <col min="2511" max="2511" width="1.88671875" style="571" customWidth="1"/>
    <col min="2512" max="2512" width="9.88671875" style="571" customWidth="1"/>
    <col min="2513" max="2513" width="1.5546875" style="571" customWidth="1"/>
    <col min="2514" max="2514" width="11.44140625" style="571" customWidth="1"/>
    <col min="2515" max="2515" width="2.21875" style="571" customWidth="1"/>
    <col min="2516" max="2516" width="12" style="571" customWidth="1"/>
    <col min="2517" max="2517" width="2" style="571" customWidth="1"/>
    <col min="2518" max="2518" width="9.109375" style="571"/>
    <col min="2519" max="2519" width="11.109375" style="571" customWidth="1"/>
    <col min="2520" max="2520" width="12" style="571" customWidth="1"/>
    <col min="2521" max="2521" width="9.109375" style="571"/>
    <col min="2522" max="2522" width="11.88671875" style="571" customWidth="1"/>
    <col min="2523" max="2523" width="14.21875" style="571" customWidth="1"/>
    <col min="2524" max="2527" width="9.109375" style="571"/>
    <col min="2528" max="2528" width="3.44140625" style="571" customWidth="1"/>
    <col min="2529" max="2530" width="9.109375" style="571"/>
    <col min="2531" max="2531" width="11.44140625" style="571" customWidth="1"/>
    <col min="2532" max="2532" width="2.77734375" style="571" customWidth="1"/>
    <col min="2533" max="2715" width="9.109375" style="571"/>
    <col min="2716" max="2716" width="9.5546875" style="571" customWidth="1"/>
    <col min="2717" max="2717" width="11" style="571" customWidth="1"/>
    <col min="2718" max="2719" width="11.21875" style="571" customWidth="1"/>
    <col min="2720" max="2720" width="11.5546875" style="571" customWidth="1"/>
    <col min="2721" max="2721" width="11.109375" style="571" customWidth="1"/>
    <col min="2722" max="2722" width="2" style="571" customWidth="1"/>
    <col min="2723" max="2723" width="13.5546875" style="571" customWidth="1"/>
    <col min="2724" max="2724" width="12.44140625" style="571" customWidth="1"/>
    <col min="2725" max="2725" width="13.5546875" style="571" customWidth="1"/>
    <col min="2726" max="2726" width="2.109375" style="571" customWidth="1"/>
    <col min="2727" max="2727" width="9.109375" style="571"/>
    <col min="2728" max="2728" width="10.21875" style="571" customWidth="1"/>
    <col min="2729" max="2729" width="1.88671875" style="571" customWidth="1"/>
    <col min="2730" max="2730" width="10.77734375" style="571" customWidth="1"/>
    <col min="2731" max="2731" width="9.109375" style="571"/>
    <col min="2732" max="2732" width="2.109375" style="571" customWidth="1"/>
    <col min="2733" max="2733" width="9.109375" style="571"/>
    <col min="2734" max="2734" width="11.21875" style="571" customWidth="1"/>
    <col min="2735" max="2735" width="12.77734375" style="571" customWidth="1"/>
    <col min="2736" max="2736" width="12.5546875" style="571" customWidth="1"/>
    <col min="2737" max="2737" width="2" style="571" customWidth="1"/>
    <col min="2738" max="2739" width="9.109375" style="571"/>
    <col min="2740" max="2740" width="11" style="571" customWidth="1"/>
    <col min="2741" max="2741" width="9.109375" style="571"/>
    <col min="2742" max="2742" width="2.21875" style="571" customWidth="1"/>
    <col min="2743" max="2743" width="11" style="571" customWidth="1"/>
    <col min="2744" max="2744" width="9.109375" style="571"/>
    <col min="2745" max="2745" width="11.5546875" style="571" customWidth="1"/>
    <col min="2746" max="2746" width="11.21875" style="571" customWidth="1"/>
    <col min="2747" max="2747" width="2.88671875" style="571" customWidth="1"/>
    <col min="2748" max="2749" width="9.109375" style="571"/>
    <col min="2750" max="2750" width="11.21875" style="571" customWidth="1"/>
    <col min="2751" max="2751" width="2.21875" style="571" customWidth="1"/>
    <col min="2752" max="2752" width="9.109375" style="571"/>
    <col min="2753" max="2753" width="10.44140625" style="571" customWidth="1"/>
    <col min="2754" max="2754" width="9.109375" style="571"/>
    <col min="2755" max="2755" width="11.109375" style="571" customWidth="1"/>
    <col min="2756" max="2757" width="9.109375" style="571"/>
    <col min="2758" max="2758" width="10.88671875" style="571" customWidth="1"/>
    <col min="2759" max="2760" width="9.109375" style="571"/>
    <col min="2761" max="2761" width="1.5546875" style="571" customWidth="1"/>
    <col min="2762" max="2762" width="9.77734375" style="571" customWidth="1"/>
    <col min="2763" max="2766" width="9.109375" style="571"/>
    <col min="2767" max="2767" width="1.88671875" style="571" customWidth="1"/>
    <col min="2768" max="2768" width="9.88671875" style="571" customWidth="1"/>
    <col min="2769" max="2769" width="1.5546875" style="571" customWidth="1"/>
    <col min="2770" max="2770" width="11.44140625" style="571" customWidth="1"/>
    <col min="2771" max="2771" width="2.21875" style="571" customWidth="1"/>
    <col min="2772" max="2772" width="12" style="571" customWidth="1"/>
    <col min="2773" max="2773" width="2" style="571" customWidth="1"/>
    <col min="2774" max="2774" width="9.109375" style="571"/>
    <col min="2775" max="2775" width="11.109375" style="571" customWidth="1"/>
    <col min="2776" max="2776" width="12" style="571" customWidth="1"/>
    <col min="2777" max="2777" width="9.109375" style="571"/>
    <col min="2778" max="2778" width="11.88671875" style="571" customWidth="1"/>
    <col min="2779" max="2779" width="14.21875" style="571" customWidth="1"/>
    <col min="2780" max="2783" width="9.109375" style="571"/>
    <col min="2784" max="2784" width="3.44140625" style="571" customWidth="1"/>
    <col min="2785" max="2786" width="9.109375" style="571"/>
    <col min="2787" max="2787" width="11.44140625" style="571" customWidth="1"/>
    <col min="2788" max="2788" width="2.77734375" style="571" customWidth="1"/>
    <col min="2789" max="2971" width="9.109375" style="571"/>
    <col min="2972" max="2972" width="9.5546875" style="571" customWidth="1"/>
    <col min="2973" max="2973" width="11" style="571" customWidth="1"/>
    <col min="2974" max="2975" width="11.21875" style="571" customWidth="1"/>
    <col min="2976" max="2976" width="11.5546875" style="571" customWidth="1"/>
    <col min="2977" max="2977" width="11.109375" style="571" customWidth="1"/>
    <col min="2978" max="2978" width="2" style="571" customWidth="1"/>
    <col min="2979" max="2979" width="13.5546875" style="571" customWidth="1"/>
    <col min="2980" max="2980" width="12.44140625" style="571" customWidth="1"/>
    <col min="2981" max="2981" width="13.5546875" style="571" customWidth="1"/>
    <col min="2982" max="2982" width="2.109375" style="571" customWidth="1"/>
    <col min="2983" max="2983" width="9.109375" style="571"/>
    <col min="2984" max="2984" width="10.21875" style="571" customWidth="1"/>
    <col min="2985" max="2985" width="1.88671875" style="571" customWidth="1"/>
    <col min="2986" max="2986" width="10.77734375" style="571" customWidth="1"/>
    <col min="2987" max="2987" width="9.109375" style="571"/>
    <col min="2988" max="2988" width="2.109375" style="571" customWidth="1"/>
    <col min="2989" max="2989" width="9.109375" style="571"/>
    <col min="2990" max="2990" width="11.21875" style="571" customWidth="1"/>
    <col min="2991" max="2991" width="12.77734375" style="571" customWidth="1"/>
    <col min="2992" max="2992" width="12.5546875" style="571" customWidth="1"/>
    <col min="2993" max="2993" width="2" style="571" customWidth="1"/>
    <col min="2994" max="2995" width="9.109375" style="571"/>
    <col min="2996" max="2996" width="11" style="571" customWidth="1"/>
    <col min="2997" max="2997" width="9.109375" style="571"/>
    <col min="2998" max="2998" width="2.21875" style="571" customWidth="1"/>
    <col min="2999" max="2999" width="11" style="571" customWidth="1"/>
    <col min="3000" max="3000" width="9.109375" style="571"/>
    <col min="3001" max="3001" width="11.5546875" style="571" customWidth="1"/>
    <col min="3002" max="3002" width="11.21875" style="571" customWidth="1"/>
    <col min="3003" max="3003" width="2.88671875" style="571" customWidth="1"/>
    <col min="3004" max="3005" width="9.109375" style="571"/>
    <col min="3006" max="3006" width="11.21875" style="571" customWidth="1"/>
    <col min="3007" max="3007" width="2.21875" style="571" customWidth="1"/>
    <col min="3008" max="3008" width="9.109375" style="571"/>
    <col min="3009" max="3009" width="10.44140625" style="571" customWidth="1"/>
    <col min="3010" max="3010" width="9.109375" style="571"/>
    <col min="3011" max="3011" width="11.109375" style="571" customWidth="1"/>
    <col min="3012" max="3013" width="9.109375" style="571"/>
    <col min="3014" max="3014" width="10.88671875" style="571" customWidth="1"/>
    <col min="3015" max="3016" width="9.109375" style="571"/>
    <col min="3017" max="3017" width="1.5546875" style="571" customWidth="1"/>
    <col min="3018" max="3018" width="9.77734375" style="571" customWidth="1"/>
    <col min="3019" max="3022" width="9.109375" style="571"/>
    <col min="3023" max="3023" width="1.88671875" style="571" customWidth="1"/>
    <col min="3024" max="3024" width="9.88671875" style="571" customWidth="1"/>
    <col min="3025" max="3025" width="1.5546875" style="571" customWidth="1"/>
    <col min="3026" max="3026" width="11.44140625" style="571" customWidth="1"/>
    <col min="3027" max="3027" width="2.21875" style="571" customWidth="1"/>
    <col min="3028" max="3028" width="12" style="571" customWidth="1"/>
    <col min="3029" max="3029" width="2" style="571" customWidth="1"/>
    <col min="3030" max="3030" width="9.109375" style="571"/>
    <col min="3031" max="3031" width="11.109375" style="571" customWidth="1"/>
    <col min="3032" max="3032" width="12" style="571" customWidth="1"/>
    <col min="3033" max="3033" width="9.109375" style="571"/>
    <col min="3034" max="3034" width="11.88671875" style="571" customWidth="1"/>
    <col min="3035" max="3035" width="14.21875" style="571" customWidth="1"/>
    <col min="3036" max="3039" width="9.109375" style="571"/>
    <col min="3040" max="3040" width="3.44140625" style="571" customWidth="1"/>
    <col min="3041" max="3042" width="9.109375" style="571"/>
    <col min="3043" max="3043" width="11.44140625" style="571" customWidth="1"/>
    <col min="3044" max="3044" width="2.77734375" style="571" customWidth="1"/>
    <col min="3045" max="3227" width="9.109375" style="571"/>
    <col min="3228" max="3228" width="9.5546875" style="571" customWidth="1"/>
    <col min="3229" max="3229" width="11" style="571" customWidth="1"/>
    <col min="3230" max="3231" width="11.21875" style="571" customWidth="1"/>
    <col min="3232" max="3232" width="11.5546875" style="571" customWidth="1"/>
    <col min="3233" max="3233" width="11.109375" style="571" customWidth="1"/>
    <col min="3234" max="3234" width="2" style="571" customWidth="1"/>
    <col min="3235" max="3235" width="13.5546875" style="571" customWidth="1"/>
    <col min="3236" max="3236" width="12.44140625" style="571" customWidth="1"/>
    <col min="3237" max="3237" width="13.5546875" style="571" customWidth="1"/>
    <col min="3238" max="3238" width="2.109375" style="571" customWidth="1"/>
    <col min="3239" max="3239" width="9.109375" style="571"/>
    <col min="3240" max="3240" width="10.21875" style="571" customWidth="1"/>
    <col min="3241" max="3241" width="1.88671875" style="571" customWidth="1"/>
    <col min="3242" max="3242" width="10.77734375" style="571" customWidth="1"/>
    <col min="3243" max="3243" width="9.109375" style="571"/>
    <col min="3244" max="3244" width="2.109375" style="571" customWidth="1"/>
    <col min="3245" max="3245" width="9.109375" style="571"/>
    <col min="3246" max="3246" width="11.21875" style="571" customWidth="1"/>
    <col min="3247" max="3247" width="12.77734375" style="571" customWidth="1"/>
    <col min="3248" max="3248" width="12.5546875" style="571" customWidth="1"/>
    <col min="3249" max="3249" width="2" style="571" customWidth="1"/>
    <col min="3250" max="3251" width="9.109375" style="571"/>
    <col min="3252" max="3252" width="11" style="571" customWidth="1"/>
    <col min="3253" max="3253" width="9.109375" style="571"/>
    <col min="3254" max="3254" width="2.21875" style="571" customWidth="1"/>
    <col min="3255" max="3255" width="11" style="571" customWidth="1"/>
    <col min="3256" max="3256" width="9.109375" style="571"/>
    <col min="3257" max="3257" width="11.5546875" style="571" customWidth="1"/>
    <col min="3258" max="3258" width="11.21875" style="571" customWidth="1"/>
    <col min="3259" max="3259" width="2.88671875" style="571" customWidth="1"/>
    <col min="3260" max="3261" width="9.109375" style="571"/>
    <col min="3262" max="3262" width="11.21875" style="571" customWidth="1"/>
    <col min="3263" max="3263" width="2.21875" style="571" customWidth="1"/>
    <col min="3264" max="3264" width="9.109375" style="571"/>
    <col min="3265" max="3265" width="10.44140625" style="571" customWidth="1"/>
    <col min="3266" max="3266" width="9.109375" style="571"/>
    <col min="3267" max="3267" width="11.109375" style="571" customWidth="1"/>
    <col min="3268" max="3269" width="9.109375" style="571"/>
    <col min="3270" max="3270" width="10.88671875" style="571" customWidth="1"/>
    <col min="3271" max="3272" width="9.109375" style="571"/>
    <col min="3273" max="3273" width="1.5546875" style="571" customWidth="1"/>
    <col min="3274" max="3274" width="9.77734375" style="571" customWidth="1"/>
    <col min="3275" max="3278" width="9.109375" style="571"/>
    <col min="3279" max="3279" width="1.88671875" style="571" customWidth="1"/>
    <col min="3280" max="3280" width="9.88671875" style="571" customWidth="1"/>
    <col min="3281" max="3281" width="1.5546875" style="571" customWidth="1"/>
    <col min="3282" max="3282" width="11.44140625" style="571" customWidth="1"/>
    <col min="3283" max="3283" width="2.21875" style="571" customWidth="1"/>
    <col min="3284" max="3284" width="12" style="571" customWidth="1"/>
    <col min="3285" max="3285" width="2" style="571" customWidth="1"/>
    <col min="3286" max="3286" width="9.109375" style="571"/>
    <col min="3287" max="3287" width="11.109375" style="571" customWidth="1"/>
    <col min="3288" max="3288" width="12" style="571" customWidth="1"/>
    <col min="3289" max="3289" width="9.109375" style="571"/>
    <col min="3290" max="3290" width="11.88671875" style="571" customWidth="1"/>
    <col min="3291" max="3291" width="14.21875" style="571" customWidth="1"/>
    <col min="3292" max="3295" width="9.109375" style="571"/>
    <col min="3296" max="3296" width="3.44140625" style="571" customWidth="1"/>
    <col min="3297" max="3298" width="9.109375" style="571"/>
    <col min="3299" max="3299" width="11.44140625" style="571" customWidth="1"/>
    <col min="3300" max="3300" width="2.77734375" style="571" customWidth="1"/>
    <col min="3301" max="3483" width="9.109375" style="571"/>
    <col min="3484" max="3484" width="9.5546875" style="571" customWidth="1"/>
    <col min="3485" max="3485" width="11" style="571" customWidth="1"/>
    <col min="3486" max="3487" width="11.21875" style="571" customWidth="1"/>
    <col min="3488" max="3488" width="11.5546875" style="571" customWidth="1"/>
    <col min="3489" max="3489" width="11.109375" style="571" customWidth="1"/>
    <col min="3490" max="3490" width="2" style="571" customWidth="1"/>
    <col min="3491" max="3491" width="13.5546875" style="571" customWidth="1"/>
    <col min="3492" max="3492" width="12.44140625" style="571" customWidth="1"/>
    <col min="3493" max="3493" width="13.5546875" style="571" customWidth="1"/>
    <col min="3494" max="3494" width="2.109375" style="571" customWidth="1"/>
    <col min="3495" max="3495" width="9.109375" style="571"/>
    <col min="3496" max="3496" width="10.21875" style="571" customWidth="1"/>
    <col min="3497" max="3497" width="1.88671875" style="571" customWidth="1"/>
    <col min="3498" max="3498" width="10.77734375" style="571" customWidth="1"/>
    <col min="3499" max="3499" width="9.109375" style="571"/>
    <col min="3500" max="3500" width="2.109375" style="571" customWidth="1"/>
    <col min="3501" max="3501" width="9.109375" style="571"/>
    <col min="3502" max="3502" width="11.21875" style="571" customWidth="1"/>
    <col min="3503" max="3503" width="12.77734375" style="571" customWidth="1"/>
    <col min="3504" max="3504" width="12.5546875" style="571" customWidth="1"/>
    <col min="3505" max="3505" width="2" style="571" customWidth="1"/>
    <col min="3506" max="3507" width="9.109375" style="571"/>
    <col min="3508" max="3508" width="11" style="571" customWidth="1"/>
    <col min="3509" max="3509" width="9.109375" style="571"/>
    <col min="3510" max="3510" width="2.21875" style="571" customWidth="1"/>
    <col min="3511" max="3511" width="11" style="571" customWidth="1"/>
    <col min="3512" max="3512" width="9.109375" style="571"/>
    <col min="3513" max="3513" width="11.5546875" style="571" customWidth="1"/>
    <col min="3514" max="3514" width="11.21875" style="571" customWidth="1"/>
    <col min="3515" max="3515" width="2.88671875" style="571" customWidth="1"/>
    <col min="3516" max="3517" width="9.109375" style="571"/>
    <col min="3518" max="3518" width="11.21875" style="571" customWidth="1"/>
    <col min="3519" max="3519" width="2.21875" style="571" customWidth="1"/>
    <col min="3520" max="3520" width="9.109375" style="571"/>
    <col min="3521" max="3521" width="10.44140625" style="571" customWidth="1"/>
    <col min="3522" max="3522" width="9.109375" style="571"/>
    <col min="3523" max="3523" width="11.109375" style="571" customWidth="1"/>
    <col min="3524" max="3525" width="9.109375" style="571"/>
    <col min="3526" max="3526" width="10.88671875" style="571" customWidth="1"/>
    <col min="3527" max="3528" width="9.109375" style="571"/>
    <col min="3529" max="3529" width="1.5546875" style="571" customWidth="1"/>
    <col min="3530" max="3530" width="9.77734375" style="571" customWidth="1"/>
    <col min="3531" max="3534" width="9.109375" style="571"/>
    <col min="3535" max="3535" width="1.88671875" style="571" customWidth="1"/>
    <col min="3536" max="3536" width="9.88671875" style="571" customWidth="1"/>
    <col min="3537" max="3537" width="1.5546875" style="571" customWidth="1"/>
    <col min="3538" max="3538" width="11.44140625" style="571" customWidth="1"/>
    <col min="3539" max="3539" width="2.21875" style="571" customWidth="1"/>
    <col min="3540" max="3540" width="12" style="571" customWidth="1"/>
    <col min="3541" max="3541" width="2" style="571" customWidth="1"/>
    <col min="3542" max="3542" width="9.109375" style="571"/>
    <col min="3543" max="3543" width="11.109375" style="571" customWidth="1"/>
    <col min="3544" max="3544" width="12" style="571" customWidth="1"/>
    <col min="3545" max="3545" width="9.109375" style="571"/>
    <col min="3546" max="3546" width="11.88671875" style="571" customWidth="1"/>
    <col min="3547" max="3547" width="14.21875" style="571" customWidth="1"/>
    <col min="3548" max="3551" width="9.109375" style="571"/>
    <col min="3552" max="3552" width="3.44140625" style="571" customWidth="1"/>
    <col min="3553" max="3554" width="9.109375" style="571"/>
    <col min="3555" max="3555" width="11.44140625" style="571" customWidth="1"/>
    <col min="3556" max="3556" width="2.77734375" style="571" customWidth="1"/>
    <col min="3557" max="3739" width="9.109375" style="571"/>
    <col min="3740" max="3740" width="9.5546875" style="571" customWidth="1"/>
    <col min="3741" max="3741" width="11" style="571" customWidth="1"/>
    <col min="3742" max="3743" width="11.21875" style="571" customWidth="1"/>
    <col min="3744" max="3744" width="11.5546875" style="571" customWidth="1"/>
    <col min="3745" max="3745" width="11.109375" style="571" customWidth="1"/>
    <col min="3746" max="3746" width="2" style="571" customWidth="1"/>
    <col min="3747" max="3747" width="13.5546875" style="571" customWidth="1"/>
    <col min="3748" max="3748" width="12.44140625" style="571" customWidth="1"/>
    <col min="3749" max="3749" width="13.5546875" style="571" customWidth="1"/>
    <col min="3750" max="3750" width="2.109375" style="571" customWidth="1"/>
    <col min="3751" max="3751" width="9.109375" style="571"/>
    <col min="3752" max="3752" width="10.21875" style="571" customWidth="1"/>
    <col min="3753" max="3753" width="1.88671875" style="571" customWidth="1"/>
    <col min="3754" max="3754" width="10.77734375" style="571" customWidth="1"/>
    <col min="3755" max="3755" width="9.109375" style="571"/>
    <col min="3756" max="3756" width="2.109375" style="571" customWidth="1"/>
    <col min="3757" max="3757" width="9.109375" style="571"/>
    <col min="3758" max="3758" width="11.21875" style="571" customWidth="1"/>
    <col min="3759" max="3759" width="12.77734375" style="571" customWidth="1"/>
    <col min="3760" max="3760" width="12.5546875" style="571" customWidth="1"/>
    <col min="3761" max="3761" width="2" style="571" customWidth="1"/>
    <col min="3762" max="3763" width="9.109375" style="571"/>
    <col min="3764" max="3764" width="11" style="571" customWidth="1"/>
    <col min="3765" max="3765" width="9.109375" style="571"/>
    <col min="3766" max="3766" width="2.21875" style="571" customWidth="1"/>
    <col min="3767" max="3767" width="11" style="571" customWidth="1"/>
    <col min="3768" max="3768" width="9.109375" style="571"/>
    <col min="3769" max="3769" width="11.5546875" style="571" customWidth="1"/>
    <col min="3770" max="3770" width="11.21875" style="571" customWidth="1"/>
    <col min="3771" max="3771" width="2.88671875" style="571" customWidth="1"/>
    <col min="3772" max="3773" width="9.109375" style="571"/>
    <col min="3774" max="3774" width="11.21875" style="571" customWidth="1"/>
    <col min="3775" max="3775" width="2.21875" style="571" customWidth="1"/>
    <col min="3776" max="3776" width="9.109375" style="571"/>
    <col min="3777" max="3777" width="10.44140625" style="571" customWidth="1"/>
    <col min="3778" max="3778" width="9.109375" style="571"/>
    <col min="3779" max="3779" width="11.109375" style="571" customWidth="1"/>
    <col min="3780" max="3781" width="9.109375" style="571"/>
    <col min="3782" max="3782" width="10.88671875" style="571" customWidth="1"/>
    <col min="3783" max="3784" width="9.109375" style="571"/>
    <col min="3785" max="3785" width="1.5546875" style="571" customWidth="1"/>
    <col min="3786" max="3786" width="9.77734375" style="571" customWidth="1"/>
    <col min="3787" max="3790" width="9.109375" style="571"/>
    <col min="3791" max="3791" width="1.88671875" style="571" customWidth="1"/>
    <col min="3792" max="3792" width="9.88671875" style="571" customWidth="1"/>
    <col min="3793" max="3793" width="1.5546875" style="571" customWidth="1"/>
    <col min="3794" max="3794" width="11.44140625" style="571" customWidth="1"/>
    <col min="3795" max="3795" width="2.21875" style="571" customWidth="1"/>
    <col min="3796" max="3796" width="12" style="571" customWidth="1"/>
    <col min="3797" max="3797" width="2" style="571" customWidth="1"/>
    <col min="3798" max="3798" width="9.109375" style="571"/>
    <col min="3799" max="3799" width="11.109375" style="571" customWidth="1"/>
    <col min="3800" max="3800" width="12" style="571" customWidth="1"/>
    <col min="3801" max="3801" width="9.109375" style="571"/>
    <col min="3802" max="3802" width="11.88671875" style="571" customWidth="1"/>
    <col min="3803" max="3803" width="14.21875" style="571" customWidth="1"/>
    <col min="3804" max="3807" width="9.109375" style="571"/>
    <col min="3808" max="3808" width="3.44140625" style="571" customWidth="1"/>
    <col min="3809" max="3810" width="9.109375" style="571"/>
    <col min="3811" max="3811" width="11.44140625" style="571" customWidth="1"/>
    <col min="3812" max="3812" width="2.77734375" style="571" customWidth="1"/>
    <col min="3813" max="3995" width="9.109375" style="571"/>
    <col min="3996" max="3996" width="9.5546875" style="571" customWidth="1"/>
    <col min="3997" max="3997" width="11" style="571" customWidth="1"/>
    <col min="3998" max="3999" width="11.21875" style="571" customWidth="1"/>
    <col min="4000" max="4000" width="11.5546875" style="571" customWidth="1"/>
    <col min="4001" max="4001" width="11.109375" style="571" customWidth="1"/>
    <col min="4002" max="4002" width="2" style="571" customWidth="1"/>
    <col min="4003" max="4003" width="13.5546875" style="571" customWidth="1"/>
    <col min="4004" max="4004" width="12.44140625" style="571" customWidth="1"/>
    <col min="4005" max="4005" width="13.5546875" style="571" customWidth="1"/>
    <col min="4006" max="4006" width="2.109375" style="571" customWidth="1"/>
    <col min="4007" max="4007" width="9.109375" style="571"/>
    <col min="4008" max="4008" width="10.21875" style="571" customWidth="1"/>
    <col min="4009" max="4009" width="1.88671875" style="571" customWidth="1"/>
    <col min="4010" max="4010" width="10.77734375" style="571" customWidth="1"/>
    <col min="4011" max="4011" width="9.109375" style="571"/>
    <col min="4012" max="4012" width="2.109375" style="571" customWidth="1"/>
    <col min="4013" max="4013" width="9.109375" style="571"/>
    <col min="4014" max="4014" width="11.21875" style="571" customWidth="1"/>
    <col min="4015" max="4015" width="12.77734375" style="571" customWidth="1"/>
    <col min="4016" max="4016" width="12.5546875" style="571" customWidth="1"/>
    <col min="4017" max="4017" width="2" style="571" customWidth="1"/>
    <col min="4018" max="4019" width="9.109375" style="571"/>
    <col min="4020" max="4020" width="11" style="571" customWidth="1"/>
    <col min="4021" max="4021" width="9.109375" style="571"/>
    <col min="4022" max="4022" width="2.21875" style="571" customWidth="1"/>
    <col min="4023" max="4023" width="11" style="571" customWidth="1"/>
    <col min="4024" max="4024" width="9.109375" style="571"/>
    <col min="4025" max="4025" width="11.5546875" style="571" customWidth="1"/>
    <col min="4026" max="4026" width="11.21875" style="571" customWidth="1"/>
    <col min="4027" max="4027" width="2.88671875" style="571" customWidth="1"/>
    <col min="4028" max="4029" width="9.109375" style="571"/>
    <col min="4030" max="4030" width="11.21875" style="571" customWidth="1"/>
    <col min="4031" max="4031" width="2.21875" style="571" customWidth="1"/>
    <col min="4032" max="4032" width="9.109375" style="571"/>
    <col min="4033" max="4033" width="10.44140625" style="571" customWidth="1"/>
    <col min="4034" max="4034" width="9.109375" style="571"/>
    <col min="4035" max="4035" width="11.109375" style="571" customWidth="1"/>
    <col min="4036" max="4037" width="9.109375" style="571"/>
    <col min="4038" max="4038" width="10.88671875" style="571" customWidth="1"/>
    <col min="4039" max="4040" width="9.109375" style="571"/>
    <col min="4041" max="4041" width="1.5546875" style="571" customWidth="1"/>
    <col min="4042" max="4042" width="9.77734375" style="571" customWidth="1"/>
    <col min="4043" max="4046" width="9.109375" style="571"/>
    <col min="4047" max="4047" width="1.88671875" style="571" customWidth="1"/>
    <col min="4048" max="4048" width="9.88671875" style="571" customWidth="1"/>
    <col min="4049" max="4049" width="1.5546875" style="571" customWidth="1"/>
    <col min="4050" max="4050" width="11.44140625" style="571" customWidth="1"/>
    <col min="4051" max="4051" width="2.21875" style="571" customWidth="1"/>
    <col min="4052" max="4052" width="12" style="571" customWidth="1"/>
    <col min="4053" max="4053" width="2" style="571" customWidth="1"/>
    <col min="4054" max="4054" width="9.109375" style="571"/>
    <col min="4055" max="4055" width="11.109375" style="571" customWidth="1"/>
    <col min="4056" max="4056" width="12" style="571" customWidth="1"/>
    <col min="4057" max="4057" width="9.109375" style="571"/>
    <col min="4058" max="4058" width="11.88671875" style="571" customWidth="1"/>
    <col min="4059" max="4059" width="14.21875" style="571" customWidth="1"/>
    <col min="4060" max="4063" width="9.109375" style="571"/>
    <col min="4064" max="4064" width="3.44140625" style="571" customWidth="1"/>
    <col min="4065" max="4066" width="9.109375" style="571"/>
    <col min="4067" max="4067" width="11.44140625" style="571" customWidth="1"/>
    <col min="4068" max="4068" width="2.77734375" style="571" customWidth="1"/>
    <col min="4069" max="4251" width="9.109375" style="571"/>
    <col min="4252" max="4252" width="9.5546875" style="571" customWidth="1"/>
    <col min="4253" max="4253" width="11" style="571" customWidth="1"/>
    <col min="4254" max="4255" width="11.21875" style="571" customWidth="1"/>
    <col min="4256" max="4256" width="11.5546875" style="571" customWidth="1"/>
    <col min="4257" max="4257" width="11.109375" style="571" customWidth="1"/>
    <col min="4258" max="4258" width="2" style="571" customWidth="1"/>
    <col min="4259" max="4259" width="13.5546875" style="571" customWidth="1"/>
    <col min="4260" max="4260" width="12.44140625" style="571" customWidth="1"/>
    <col min="4261" max="4261" width="13.5546875" style="571" customWidth="1"/>
    <col min="4262" max="4262" width="2.109375" style="571" customWidth="1"/>
    <col min="4263" max="4263" width="9.109375" style="571"/>
    <col min="4264" max="4264" width="10.21875" style="571" customWidth="1"/>
    <col min="4265" max="4265" width="1.88671875" style="571" customWidth="1"/>
    <col min="4266" max="4266" width="10.77734375" style="571" customWidth="1"/>
    <col min="4267" max="4267" width="9.109375" style="571"/>
    <col min="4268" max="4268" width="2.109375" style="571" customWidth="1"/>
    <col min="4269" max="4269" width="9.109375" style="571"/>
    <col min="4270" max="4270" width="11.21875" style="571" customWidth="1"/>
    <col min="4271" max="4271" width="12.77734375" style="571" customWidth="1"/>
    <col min="4272" max="4272" width="12.5546875" style="571" customWidth="1"/>
    <col min="4273" max="4273" width="2" style="571" customWidth="1"/>
    <col min="4274" max="4275" width="9.109375" style="571"/>
    <col min="4276" max="4276" width="11" style="571" customWidth="1"/>
    <col min="4277" max="4277" width="9.109375" style="571"/>
    <col min="4278" max="4278" width="2.21875" style="571" customWidth="1"/>
    <col min="4279" max="4279" width="11" style="571" customWidth="1"/>
    <col min="4280" max="4280" width="9.109375" style="571"/>
    <col min="4281" max="4281" width="11.5546875" style="571" customWidth="1"/>
    <col min="4282" max="4282" width="11.21875" style="571" customWidth="1"/>
    <col min="4283" max="4283" width="2.88671875" style="571" customWidth="1"/>
    <col min="4284" max="4285" width="9.109375" style="571"/>
    <col min="4286" max="4286" width="11.21875" style="571" customWidth="1"/>
    <col min="4287" max="4287" width="2.21875" style="571" customWidth="1"/>
    <col min="4288" max="4288" width="9.109375" style="571"/>
    <col min="4289" max="4289" width="10.44140625" style="571" customWidth="1"/>
    <col min="4290" max="4290" width="9.109375" style="571"/>
    <col min="4291" max="4291" width="11.109375" style="571" customWidth="1"/>
    <col min="4292" max="4293" width="9.109375" style="571"/>
    <col min="4294" max="4294" width="10.88671875" style="571" customWidth="1"/>
    <col min="4295" max="4296" width="9.109375" style="571"/>
    <col min="4297" max="4297" width="1.5546875" style="571" customWidth="1"/>
    <col min="4298" max="4298" width="9.77734375" style="571" customWidth="1"/>
    <col min="4299" max="4302" width="9.109375" style="571"/>
    <col min="4303" max="4303" width="1.88671875" style="571" customWidth="1"/>
    <col min="4304" max="4304" width="9.88671875" style="571" customWidth="1"/>
    <col min="4305" max="4305" width="1.5546875" style="571" customWidth="1"/>
    <col min="4306" max="4306" width="11.44140625" style="571" customWidth="1"/>
    <col min="4307" max="4307" width="2.21875" style="571" customWidth="1"/>
    <col min="4308" max="4308" width="12" style="571" customWidth="1"/>
    <col min="4309" max="4309" width="2" style="571" customWidth="1"/>
    <col min="4310" max="4310" width="9.109375" style="571"/>
    <col min="4311" max="4311" width="11.109375" style="571" customWidth="1"/>
    <col min="4312" max="4312" width="12" style="571" customWidth="1"/>
    <col min="4313" max="4313" width="9.109375" style="571"/>
    <col min="4314" max="4314" width="11.88671875" style="571" customWidth="1"/>
    <col min="4315" max="4315" width="14.21875" style="571" customWidth="1"/>
    <col min="4316" max="4319" width="9.109375" style="571"/>
    <col min="4320" max="4320" width="3.44140625" style="571" customWidth="1"/>
    <col min="4321" max="4322" width="9.109375" style="571"/>
    <col min="4323" max="4323" width="11.44140625" style="571" customWidth="1"/>
    <col min="4324" max="4324" width="2.77734375" style="571" customWidth="1"/>
    <col min="4325" max="4507" width="9.109375" style="571"/>
    <col min="4508" max="4508" width="9.5546875" style="571" customWidth="1"/>
    <col min="4509" max="4509" width="11" style="571" customWidth="1"/>
    <col min="4510" max="4511" width="11.21875" style="571" customWidth="1"/>
    <col min="4512" max="4512" width="11.5546875" style="571" customWidth="1"/>
    <col min="4513" max="4513" width="11.109375" style="571" customWidth="1"/>
    <col min="4514" max="4514" width="2" style="571" customWidth="1"/>
    <col min="4515" max="4515" width="13.5546875" style="571" customWidth="1"/>
    <col min="4516" max="4516" width="12.44140625" style="571" customWidth="1"/>
    <col min="4517" max="4517" width="13.5546875" style="571" customWidth="1"/>
    <col min="4518" max="4518" width="2.109375" style="571" customWidth="1"/>
    <col min="4519" max="4519" width="9.109375" style="571"/>
    <col min="4520" max="4520" width="10.21875" style="571" customWidth="1"/>
    <col min="4521" max="4521" width="1.88671875" style="571" customWidth="1"/>
    <col min="4522" max="4522" width="10.77734375" style="571" customWidth="1"/>
    <col min="4523" max="4523" width="9.109375" style="571"/>
    <col min="4524" max="4524" width="2.109375" style="571" customWidth="1"/>
    <col min="4525" max="4525" width="9.109375" style="571"/>
    <col min="4526" max="4526" width="11.21875" style="571" customWidth="1"/>
    <col min="4527" max="4527" width="12.77734375" style="571" customWidth="1"/>
    <col min="4528" max="4528" width="12.5546875" style="571" customWidth="1"/>
    <col min="4529" max="4529" width="2" style="571" customWidth="1"/>
    <col min="4530" max="4531" width="9.109375" style="571"/>
    <col min="4532" max="4532" width="11" style="571" customWidth="1"/>
    <col min="4533" max="4533" width="9.109375" style="571"/>
    <col min="4534" max="4534" width="2.21875" style="571" customWidth="1"/>
    <col min="4535" max="4535" width="11" style="571" customWidth="1"/>
    <col min="4536" max="4536" width="9.109375" style="571"/>
    <col min="4537" max="4537" width="11.5546875" style="571" customWidth="1"/>
    <col min="4538" max="4538" width="11.21875" style="571" customWidth="1"/>
    <col min="4539" max="4539" width="2.88671875" style="571" customWidth="1"/>
    <col min="4540" max="4541" width="9.109375" style="571"/>
    <col min="4542" max="4542" width="11.21875" style="571" customWidth="1"/>
    <col min="4543" max="4543" width="2.21875" style="571" customWidth="1"/>
    <col min="4544" max="4544" width="9.109375" style="571"/>
    <col min="4545" max="4545" width="10.44140625" style="571" customWidth="1"/>
    <col min="4546" max="4546" width="9.109375" style="571"/>
    <col min="4547" max="4547" width="11.109375" style="571" customWidth="1"/>
    <col min="4548" max="4549" width="9.109375" style="571"/>
    <col min="4550" max="4550" width="10.88671875" style="571" customWidth="1"/>
    <col min="4551" max="4552" width="9.109375" style="571"/>
    <col min="4553" max="4553" width="1.5546875" style="571" customWidth="1"/>
    <col min="4554" max="4554" width="9.77734375" style="571" customWidth="1"/>
    <col min="4555" max="4558" width="9.109375" style="571"/>
    <col min="4559" max="4559" width="1.88671875" style="571" customWidth="1"/>
    <col min="4560" max="4560" width="9.88671875" style="571" customWidth="1"/>
    <col min="4561" max="4561" width="1.5546875" style="571" customWidth="1"/>
    <col min="4562" max="4562" width="11.44140625" style="571" customWidth="1"/>
    <col min="4563" max="4563" width="2.21875" style="571" customWidth="1"/>
    <col min="4564" max="4564" width="12" style="571" customWidth="1"/>
    <col min="4565" max="4565" width="2" style="571" customWidth="1"/>
    <col min="4566" max="4566" width="9.109375" style="571"/>
    <col min="4567" max="4567" width="11.109375" style="571" customWidth="1"/>
    <col min="4568" max="4568" width="12" style="571" customWidth="1"/>
    <col min="4569" max="4569" width="9.109375" style="571"/>
    <col min="4570" max="4570" width="11.88671875" style="571" customWidth="1"/>
    <col min="4571" max="4571" width="14.21875" style="571" customWidth="1"/>
    <col min="4572" max="4575" width="9.109375" style="571"/>
    <col min="4576" max="4576" width="3.44140625" style="571" customWidth="1"/>
    <col min="4577" max="4578" width="9.109375" style="571"/>
    <col min="4579" max="4579" width="11.44140625" style="571" customWidth="1"/>
    <col min="4580" max="4580" width="2.77734375" style="571" customWidth="1"/>
    <col min="4581" max="4763" width="9.109375" style="571"/>
    <col min="4764" max="4764" width="9.5546875" style="571" customWidth="1"/>
    <col min="4765" max="4765" width="11" style="571" customWidth="1"/>
    <col min="4766" max="4767" width="11.21875" style="571" customWidth="1"/>
    <col min="4768" max="4768" width="11.5546875" style="571" customWidth="1"/>
    <col min="4769" max="4769" width="11.109375" style="571" customWidth="1"/>
    <col min="4770" max="4770" width="2" style="571" customWidth="1"/>
    <col min="4771" max="4771" width="13.5546875" style="571" customWidth="1"/>
    <col min="4772" max="4772" width="12.44140625" style="571" customWidth="1"/>
    <col min="4773" max="4773" width="13.5546875" style="571" customWidth="1"/>
    <col min="4774" max="4774" width="2.109375" style="571" customWidth="1"/>
    <col min="4775" max="4775" width="9.109375" style="571"/>
    <col min="4776" max="4776" width="10.21875" style="571" customWidth="1"/>
    <col min="4777" max="4777" width="1.88671875" style="571" customWidth="1"/>
    <col min="4778" max="4778" width="10.77734375" style="571" customWidth="1"/>
    <col min="4779" max="4779" width="9.109375" style="571"/>
    <col min="4780" max="4780" width="2.109375" style="571" customWidth="1"/>
    <col min="4781" max="4781" width="9.109375" style="571"/>
    <col min="4782" max="4782" width="11.21875" style="571" customWidth="1"/>
    <col min="4783" max="4783" width="12.77734375" style="571" customWidth="1"/>
    <col min="4784" max="4784" width="12.5546875" style="571" customWidth="1"/>
    <col min="4785" max="4785" width="2" style="571" customWidth="1"/>
    <col min="4786" max="4787" width="9.109375" style="571"/>
    <col min="4788" max="4788" width="11" style="571" customWidth="1"/>
    <col min="4789" max="4789" width="9.109375" style="571"/>
    <col min="4790" max="4790" width="2.21875" style="571" customWidth="1"/>
    <col min="4791" max="4791" width="11" style="571" customWidth="1"/>
    <col min="4792" max="4792" width="9.109375" style="571"/>
    <col min="4793" max="4793" width="11.5546875" style="571" customWidth="1"/>
    <col min="4794" max="4794" width="11.21875" style="571" customWidth="1"/>
    <col min="4795" max="4795" width="2.88671875" style="571" customWidth="1"/>
    <col min="4796" max="4797" width="9.109375" style="571"/>
    <col min="4798" max="4798" width="11.21875" style="571" customWidth="1"/>
    <col min="4799" max="4799" width="2.21875" style="571" customWidth="1"/>
    <col min="4800" max="4800" width="9.109375" style="571"/>
    <col min="4801" max="4801" width="10.44140625" style="571" customWidth="1"/>
    <col min="4802" max="4802" width="9.109375" style="571"/>
    <col min="4803" max="4803" width="11.109375" style="571" customWidth="1"/>
    <col min="4804" max="4805" width="9.109375" style="571"/>
    <col min="4806" max="4806" width="10.88671875" style="571" customWidth="1"/>
    <col min="4807" max="4808" width="9.109375" style="571"/>
    <col min="4809" max="4809" width="1.5546875" style="571" customWidth="1"/>
    <col min="4810" max="4810" width="9.77734375" style="571" customWidth="1"/>
    <col min="4811" max="4814" width="9.109375" style="571"/>
    <col min="4815" max="4815" width="1.88671875" style="571" customWidth="1"/>
    <col min="4816" max="4816" width="9.88671875" style="571" customWidth="1"/>
    <col min="4817" max="4817" width="1.5546875" style="571" customWidth="1"/>
    <col min="4818" max="4818" width="11.44140625" style="571" customWidth="1"/>
    <col min="4819" max="4819" width="2.21875" style="571" customWidth="1"/>
    <col min="4820" max="4820" width="12" style="571" customWidth="1"/>
    <col min="4821" max="4821" width="2" style="571" customWidth="1"/>
    <col min="4822" max="4822" width="9.109375" style="571"/>
    <col min="4823" max="4823" width="11.109375" style="571" customWidth="1"/>
    <col min="4824" max="4824" width="12" style="571" customWidth="1"/>
    <col min="4825" max="4825" width="9.109375" style="571"/>
    <col min="4826" max="4826" width="11.88671875" style="571" customWidth="1"/>
    <col min="4827" max="4827" width="14.21875" style="571" customWidth="1"/>
    <col min="4828" max="4831" width="9.109375" style="571"/>
    <col min="4832" max="4832" width="3.44140625" style="571" customWidth="1"/>
    <col min="4833" max="4834" width="9.109375" style="571"/>
    <col min="4835" max="4835" width="11.44140625" style="571" customWidth="1"/>
    <col min="4836" max="4836" width="2.77734375" style="571" customWidth="1"/>
    <col min="4837" max="5019" width="9.109375" style="571"/>
    <col min="5020" max="5020" width="9.5546875" style="571" customWidth="1"/>
    <col min="5021" max="5021" width="11" style="571" customWidth="1"/>
    <col min="5022" max="5023" width="11.21875" style="571" customWidth="1"/>
    <col min="5024" max="5024" width="11.5546875" style="571" customWidth="1"/>
    <col min="5025" max="5025" width="11.109375" style="571" customWidth="1"/>
    <col min="5026" max="5026" width="2" style="571" customWidth="1"/>
    <col min="5027" max="5027" width="13.5546875" style="571" customWidth="1"/>
    <col min="5028" max="5028" width="12.44140625" style="571" customWidth="1"/>
    <col min="5029" max="5029" width="13.5546875" style="571" customWidth="1"/>
    <col min="5030" max="5030" width="2.109375" style="571" customWidth="1"/>
    <col min="5031" max="5031" width="9.109375" style="571"/>
    <col min="5032" max="5032" width="10.21875" style="571" customWidth="1"/>
    <col min="5033" max="5033" width="1.88671875" style="571" customWidth="1"/>
    <col min="5034" max="5034" width="10.77734375" style="571" customWidth="1"/>
    <col min="5035" max="5035" width="9.109375" style="571"/>
    <col min="5036" max="5036" width="2.109375" style="571" customWidth="1"/>
    <col min="5037" max="5037" width="9.109375" style="571"/>
    <col min="5038" max="5038" width="11.21875" style="571" customWidth="1"/>
    <col min="5039" max="5039" width="12.77734375" style="571" customWidth="1"/>
    <col min="5040" max="5040" width="12.5546875" style="571" customWidth="1"/>
    <col min="5041" max="5041" width="2" style="571" customWidth="1"/>
    <col min="5042" max="5043" width="9.109375" style="571"/>
    <col min="5044" max="5044" width="11" style="571" customWidth="1"/>
    <col min="5045" max="5045" width="9.109375" style="571"/>
    <col min="5046" max="5046" width="2.21875" style="571" customWidth="1"/>
    <col min="5047" max="5047" width="11" style="571" customWidth="1"/>
    <col min="5048" max="5048" width="9.109375" style="571"/>
    <col min="5049" max="5049" width="11.5546875" style="571" customWidth="1"/>
    <col min="5050" max="5050" width="11.21875" style="571" customWidth="1"/>
    <col min="5051" max="5051" width="2.88671875" style="571" customWidth="1"/>
    <col min="5052" max="5053" width="9.109375" style="571"/>
    <col min="5054" max="5054" width="11.21875" style="571" customWidth="1"/>
    <col min="5055" max="5055" width="2.21875" style="571" customWidth="1"/>
    <col min="5056" max="5056" width="9.109375" style="571"/>
    <col min="5057" max="5057" width="10.44140625" style="571" customWidth="1"/>
    <col min="5058" max="5058" width="9.109375" style="571"/>
    <col min="5059" max="5059" width="11.109375" style="571" customWidth="1"/>
    <col min="5060" max="5061" width="9.109375" style="571"/>
    <col min="5062" max="5062" width="10.88671875" style="571" customWidth="1"/>
    <col min="5063" max="5064" width="9.109375" style="571"/>
    <col min="5065" max="5065" width="1.5546875" style="571" customWidth="1"/>
    <col min="5066" max="5066" width="9.77734375" style="571" customWidth="1"/>
    <col min="5067" max="5070" width="9.109375" style="571"/>
    <col min="5071" max="5071" width="1.88671875" style="571" customWidth="1"/>
    <col min="5072" max="5072" width="9.88671875" style="571" customWidth="1"/>
    <col min="5073" max="5073" width="1.5546875" style="571" customWidth="1"/>
    <col min="5074" max="5074" width="11.44140625" style="571" customWidth="1"/>
    <col min="5075" max="5075" width="2.21875" style="571" customWidth="1"/>
    <col min="5076" max="5076" width="12" style="571" customWidth="1"/>
    <col min="5077" max="5077" width="2" style="571" customWidth="1"/>
    <col min="5078" max="5078" width="9.109375" style="571"/>
    <col min="5079" max="5079" width="11.109375" style="571" customWidth="1"/>
    <col min="5080" max="5080" width="12" style="571" customWidth="1"/>
    <col min="5081" max="5081" width="9.109375" style="571"/>
    <col min="5082" max="5082" width="11.88671875" style="571" customWidth="1"/>
    <col min="5083" max="5083" width="14.21875" style="571" customWidth="1"/>
    <col min="5084" max="5087" width="9.109375" style="571"/>
    <col min="5088" max="5088" width="3.44140625" style="571" customWidth="1"/>
    <col min="5089" max="5090" width="9.109375" style="571"/>
    <col min="5091" max="5091" width="11.44140625" style="571" customWidth="1"/>
    <col min="5092" max="5092" width="2.77734375" style="571" customWidth="1"/>
    <col min="5093" max="5275" width="9.109375" style="571"/>
    <col min="5276" max="5276" width="9.5546875" style="571" customWidth="1"/>
    <col min="5277" max="5277" width="11" style="571" customWidth="1"/>
    <col min="5278" max="5279" width="11.21875" style="571" customWidth="1"/>
    <col min="5280" max="5280" width="11.5546875" style="571" customWidth="1"/>
    <col min="5281" max="5281" width="11.109375" style="571" customWidth="1"/>
    <col min="5282" max="5282" width="2" style="571" customWidth="1"/>
    <col min="5283" max="5283" width="13.5546875" style="571" customWidth="1"/>
    <col min="5284" max="5284" width="12.44140625" style="571" customWidth="1"/>
    <col min="5285" max="5285" width="13.5546875" style="571" customWidth="1"/>
    <col min="5286" max="5286" width="2.109375" style="571" customWidth="1"/>
    <col min="5287" max="5287" width="9.109375" style="571"/>
    <col min="5288" max="5288" width="10.21875" style="571" customWidth="1"/>
    <col min="5289" max="5289" width="1.88671875" style="571" customWidth="1"/>
    <col min="5290" max="5290" width="10.77734375" style="571" customWidth="1"/>
    <col min="5291" max="5291" width="9.109375" style="571"/>
    <col min="5292" max="5292" width="2.109375" style="571" customWidth="1"/>
    <col min="5293" max="5293" width="9.109375" style="571"/>
    <col min="5294" max="5294" width="11.21875" style="571" customWidth="1"/>
    <col min="5295" max="5295" width="12.77734375" style="571" customWidth="1"/>
    <col min="5296" max="5296" width="12.5546875" style="571" customWidth="1"/>
    <col min="5297" max="5297" width="2" style="571" customWidth="1"/>
    <col min="5298" max="5299" width="9.109375" style="571"/>
    <col min="5300" max="5300" width="11" style="571" customWidth="1"/>
    <col min="5301" max="5301" width="9.109375" style="571"/>
    <col min="5302" max="5302" width="2.21875" style="571" customWidth="1"/>
    <col min="5303" max="5303" width="11" style="571" customWidth="1"/>
    <col min="5304" max="5304" width="9.109375" style="571"/>
    <col min="5305" max="5305" width="11.5546875" style="571" customWidth="1"/>
    <col min="5306" max="5306" width="11.21875" style="571" customWidth="1"/>
    <col min="5307" max="5307" width="2.88671875" style="571" customWidth="1"/>
    <col min="5308" max="5309" width="9.109375" style="571"/>
    <col min="5310" max="5310" width="11.21875" style="571" customWidth="1"/>
    <col min="5311" max="5311" width="2.21875" style="571" customWidth="1"/>
    <col min="5312" max="5312" width="9.109375" style="571"/>
    <col min="5313" max="5313" width="10.44140625" style="571" customWidth="1"/>
    <col min="5314" max="5314" width="9.109375" style="571"/>
    <col min="5315" max="5315" width="11.109375" style="571" customWidth="1"/>
    <col min="5316" max="5317" width="9.109375" style="571"/>
    <col min="5318" max="5318" width="10.88671875" style="571" customWidth="1"/>
    <col min="5319" max="5320" width="9.109375" style="571"/>
    <col min="5321" max="5321" width="1.5546875" style="571" customWidth="1"/>
    <col min="5322" max="5322" width="9.77734375" style="571" customWidth="1"/>
    <col min="5323" max="5326" width="9.109375" style="571"/>
    <col min="5327" max="5327" width="1.88671875" style="571" customWidth="1"/>
    <col min="5328" max="5328" width="9.88671875" style="571" customWidth="1"/>
    <col min="5329" max="5329" width="1.5546875" style="571" customWidth="1"/>
    <col min="5330" max="5330" width="11.44140625" style="571" customWidth="1"/>
    <col min="5331" max="5331" width="2.21875" style="571" customWidth="1"/>
    <col min="5332" max="5332" width="12" style="571" customWidth="1"/>
    <col min="5333" max="5333" width="2" style="571" customWidth="1"/>
    <col min="5334" max="5334" width="9.109375" style="571"/>
    <col min="5335" max="5335" width="11.109375" style="571" customWidth="1"/>
    <col min="5336" max="5336" width="12" style="571" customWidth="1"/>
    <col min="5337" max="5337" width="9.109375" style="571"/>
    <col min="5338" max="5338" width="11.88671875" style="571" customWidth="1"/>
    <col min="5339" max="5339" width="14.21875" style="571" customWidth="1"/>
    <col min="5340" max="5343" width="9.109375" style="571"/>
    <col min="5344" max="5344" width="3.44140625" style="571" customWidth="1"/>
    <col min="5345" max="5346" width="9.109375" style="571"/>
    <col min="5347" max="5347" width="11.44140625" style="571" customWidth="1"/>
    <col min="5348" max="5348" width="2.77734375" style="571" customWidth="1"/>
    <col min="5349" max="5531" width="9.109375" style="571"/>
    <col min="5532" max="5532" width="9.5546875" style="571" customWidth="1"/>
    <col min="5533" max="5533" width="11" style="571" customWidth="1"/>
    <col min="5534" max="5535" width="11.21875" style="571" customWidth="1"/>
    <col min="5536" max="5536" width="11.5546875" style="571" customWidth="1"/>
    <col min="5537" max="5537" width="11.109375" style="571" customWidth="1"/>
    <col min="5538" max="5538" width="2" style="571" customWidth="1"/>
    <col min="5539" max="5539" width="13.5546875" style="571" customWidth="1"/>
    <col min="5540" max="5540" width="12.44140625" style="571" customWidth="1"/>
    <col min="5541" max="5541" width="13.5546875" style="571" customWidth="1"/>
    <col min="5542" max="5542" width="2.109375" style="571" customWidth="1"/>
    <col min="5543" max="5543" width="9.109375" style="571"/>
    <col min="5544" max="5544" width="10.21875" style="571" customWidth="1"/>
    <col min="5545" max="5545" width="1.88671875" style="571" customWidth="1"/>
    <col min="5546" max="5546" width="10.77734375" style="571" customWidth="1"/>
    <col min="5547" max="5547" width="9.109375" style="571"/>
    <col min="5548" max="5548" width="2.109375" style="571" customWidth="1"/>
    <col min="5549" max="5549" width="9.109375" style="571"/>
    <col min="5550" max="5550" width="11.21875" style="571" customWidth="1"/>
    <col min="5551" max="5551" width="12.77734375" style="571" customWidth="1"/>
    <col min="5552" max="5552" width="12.5546875" style="571" customWidth="1"/>
    <col min="5553" max="5553" width="2" style="571" customWidth="1"/>
    <col min="5554" max="5555" width="9.109375" style="571"/>
    <col min="5556" max="5556" width="11" style="571" customWidth="1"/>
    <col min="5557" max="5557" width="9.109375" style="571"/>
    <col min="5558" max="5558" width="2.21875" style="571" customWidth="1"/>
    <col min="5559" max="5559" width="11" style="571" customWidth="1"/>
    <col min="5560" max="5560" width="9.109375" style="571"/>
    <col min="5561" max="5561" width="11.5546875" style="571" customWidth="1"/>
    <col min="5562" max="5562" width="11.21875" style="571" customWidth="1"/>
    <col min="5563" max="5563" width="2.88671875" style="571" customWidth="1"/>
    <col min="5564" max="5565" width="9.109375" style="571"/>
    <col min="5566" max="5566" width="11.21875" style="571" customWidth="1"/>
    <col min="5567" max="5567" width="2.21875" style="571" customWidth="1"/>
    <col min="5568" max="5568" width="9.109375" style="571"/>
    <col min="5569" max="5569" width="10.44140625" style="571" customWidth="1"/>
    <col min="5570" max="5570" width="9.109375" style="571"/>
    <col min="5571" max="5571" width="11.109375" style="571" customWidth="1"/>
    <col min="5572" max="5573" width="9.109375" style="571"/>
    <col min="5574" max="5574" width="10.88671875" style="571" customWidth="1"/>
    <col min="5575" max="5576" width="9.109375" style="571"/>
    <col min="5577" max="5577" width="1.5546875" style="571" customWidth="1"/>
    <col min="5578" max="5578" width="9.77734375" style="571" customWidth="1"/>
    <col min="5579" max="5582" width="9.109375" style="571"/>
    <col min="5583" max="5583" width="1.88671875" style="571" customWidth="1"/>
    <col min="5584" max="5584" width="9.88671875" style="571" customWidth="1"/>
    <col min="5585" max="5585" width="1.5546875" style="571" customWidth="1"/>
    <col min="5586" max="5586" width="11.44140625" style="571" customWidth="1"/>
    <col min="5587" max="5587" width="2.21875" style="571" customWidth="1"/>
    <col min="5588" max="5588" width="12" style="571" customWidth="1"/>
    <col min="5589" max="5589" width="2" style="571" customWidth="1"/>
    <col min="5590" max="5590" width="9.109375" style="571"/>
    <col min="5591" max="5591" width="11.109375" style="571" customWidth="1"/>
    <col min="5592" max="5592" width="12" style="571" customWidth="1"/>
    <col min="5593" max="5593" width="9.109375" style="571"/>
    <col min="5594" max="5594" width="11.88671875" style="571" customWidth="1"/>
    <col min="5595" max="5595" width="14.21875" style="571" customWidth="1"/>
    <col min="5596" max="5599" width="9.109375" style="571"/>
    <col min="5600" max="5600" width="3.44140625" style="571" customWidth="1"/>
    <col min="5601" max="5602" width="9.109375" style="571"/>
    <col min="5603" max="5603" width="11.44140625" style="571" customWidth="1"/>
    <col min="5604" max="5604" width="2.77734375" style="571" customWidth="1"/>
    <col min="5605" max="5787" width="9.109375" style="571"/>
    <col min="5788" max="5788" width="9.5546875" style="571" customWidth="1"/>
    <col min="5789" max="5789" width="11" style="571" customWidth="1"/>
    <col min="5790" max="5791" width="11.21875" style="571" customWidth="1"/>
    <col min="5792" max="5792" width="11.5546875" style="571" customWidth="1"/>
    <col min="5793" max="5793" width="11.109375" style="571" customWidth="1"/>
    <col min="5794" max="5794" width="2" style="571" customWidth="1"/>
    <col min="5795" max="5795" width="13.5546875" style="571" customWidth="1"/>
    <col min="5796" max="5796" width="12.44140625" style="571" customWidth="1"/>
    <col min="5797" max="5797" width="13.5546875" style="571" customWidth="1"/>
    <col min="5798" max="5798" width="2.109375" style="571" customWidth="1"/>
    <col min="5799" max="5799" width="9.109375" style="571"/>
    <col min="5800" max="5800" width="10.21875" style="571" customWidth="1"/>
    <col min="5801" max="5801" width="1.88671875" style="571" customWidth="1"/>
    <col min="5802" max="5802" width="10.77734375" style="571" customWidth="1"/>
    <col min="5803" max="5803" width="9.109375" style="571"/>
    <col min="5804" max="5804" width="2.109375" style="571" customWidth="1"/>
    <col min="5805" max="5805" width="9.109375" style="571"/>
    <col min="5806" max="5806" width="11.21875" style="571" customWidth="1"/>
    <col min="5807" max="5807" width="12.77734375" style="571" customWidth="1"/>
    <col min="5808" max="5808" width="12.5546875" style="571" customWidth="1"/>
    <col min="5809" max="5809" width="2" style="571" customWidth="1"/>
    <col min="5810" max="5811" width="9.109375" style="571"/>
    <col min="5812" max="5812" width="11" style="571" customWidth="1"/>
    <col min="5813" max="5813" width="9.109375" style="571"/>
    <col min="5814" max="5814" width="2.21875" style="571" customWidth="1"/>
    <col min="5815" max="5815" width="11" style="571" customWidth="1"/>
    <col min="5816" max="5816" width="9.109375" style="571"/>
    <col min="5817" max="5817" width="11.5546875" style="571" customWidth="1"/>
    <col min="5818" max="5818" width="11.21875" style="571" customWidth="1"/>
    <col min="5819" max="5819" width="2.88671875" style="571" customWidth="1"/>
    <col min="5820" max="5821" width="9.109375" style="571"/>
    <col min="5822" max="5822" width="11.21875" style="571" customWidth="1"/>
    <col min="5823" max="5823" width="2.21875" style="571" customWidth="1"/>
    <col min="5824" max="5824" width="9.109375" style="571"/>
    <col min="5825" max="5825" width="10.44140625" style="571" customWidth="1"/>
    <col min="5826" max="5826" width="9.109375" style="571"/>
    <col min="5827" max="5827" width="11.109375" style="571" customWidth="1"/>
    <col min="5828" max="5829" width="9.109375" style="571"/>
    <col min="5830" max="5830" width="10.88671875" style="571" customWidth="1"/>
    <col min="5831" max="5832" width="9.109375" style="571"/>
    <col min="5833" max="5833" width="1.5546875" style="571" customWidth="1"/>
    <col min="5834" max="5834" width="9.77734375" style="571" customWidth="1"/>
    <col min="5835" max="5838" width="9.109375" style="571"/>
    <col min="5839" max="5839" width="1.88671875" style="571" customWidth="1"/>
    <col min="5840" max="5840" width="9.88671875" style="571" customWidth="1"/>
    <col min="5841" max="5841" width="1.5546875" style="571" customWidth="1"/>
    <col min="5842" max="5842" width="11.44140625" style="571" customWidth="1"/>
    <col min="5843" max="5843" width="2.21875" style="571" customWidth="1"/>
    <col min="5844" max="5844" width="12" style="571" customWidth="1"/>
    <col min="5845" max="5845" width="2" style="571" customWidth="1"/>
    <col min="5846" max="5846" width="9.109375" style="571"/>
    <col min="5847" max="5847" width="11.109375" style="571" customWidth="1"/>
    <col min="5848" max="5848" width="12" style="571" customWidth="1"/>
    <col min="5849" max="5849" width="9.109375" style="571"/>
    <col min="5850" max="5850" width="11.88671875" style="571" customWidth="1"/>
    <col min="5851" max="5851" width="14.21875" style="571" customWidth="1"/>
    <col min="5852" max="5855" width="9.109375" style="571"/>
    <col min="5856" max="5856" width="3.44140625" style="571" customWidth="1"/>
    <col min="5857" max="5858" width="9.109375" style="571"/>
    <col min="5859" max="5859" width="11.44140625" style="571" customWidth="1"/>
    <col min="5860" max="5860" width="2.77734375" style="571" customWidth="1"/>
    <col min="5861" max="6043" width="9.109375" style="571"/>
    <col min="6044" max="6044" width="9.5546875" style="571" customWidth="1"/>
    <col min="6045" max="6045" width="11" style="571" customWidth="1"/>
    <col min="6046" max="6047" width="11.21875" style="571" customWidth="1"/>
    <col min="6048" max="6048" width="11.5546875" style="571" customWidth="1"/>
    <col min="6049" max="6049" width="11.109375" style="571" customWidth="1"/>
    <col min="6050" max="6050" width="2" style="571" customWidth="1"/>
    <col min="6051" max="6051" width="13.5546875" style="571" customWidth="1"/>
    <col min="6052" max="6052" width="12.44140625" style="571" customWidth="1"/>
    <col min="6053" max="6053" width="13.5546875" style="571" customWidth="1"/>
    <col min="6054" max="6054" width="2.109375" style="571" customWidth="1"/>
    <col min="6055" max="6055" width="9.109375" style="571"/>
    <col min="6056" max="6056" width="10.21875" style="571" customWidth="1"/>
    <col min="6057" max="6057" width="1.88671875" style="571" customWidth="1"/>
    <col min="6058" max="6058" width="10.77734375" style="571" customWidth="1"/>
    <col min="6059" max="6059" width="9.109375" style="571"/>
    <col min="6060" max="6060" width="2.109375" style="571" customWidth="1"/>
    <col min="6061" max="6061" width="9.109375" style="571"/>
    <col min="6062" max="6062" width="11.21875" style="571" customWidth="1"/>
    <col min="6063" max="6063" width="12.77734375" style="571" customWidth="1"/>
    <col min="6064" max="6064" width="12.5546875" style="571" customWidth="1"/>
    <col min="6065" max="6065" width="2" style="571" customWidth="1"/>
    <col min="6066" max="6067" width="9.109375" style="571"/>
    <col min="6068" max="6068" width="11" style="571" customWidth="1"/>
    <col min="6069" max="6069" width="9.109375" style="571"/>
    <col min="6070" max="6070" width="2.21875" style="571" customWidth="1"/>
    <col min="6071" max="6071" width="11" style="571" customWidth="1"/>
    <col min="6072" max="6072" width="9.109375" style="571"/>
    <col min="6073" max="6073" width="11.5546875" style="571" customWidth="1"/>
    <col min="6074" max="6074" width="11.21875" style="571" customWidth="1"/>
    <col min="6075" max="6075" width="2.88671875" style="571" customWidth="1"/>
    <col min="6076" max="6077" width="9.109375" style="571"/>
    <col min="6078" max="6078" width="11.21875" style="571" customWidth="1"/>
    <col min="6079" max="6079" width="2.21875" style="571" customWidth="1"/>
    <col min="6080" max="6080" width="9.109375" style="571"/>
    <col min="6081" max="6081" width="10.44140625" style="571" customWidth="1"/>
    <col min="6082" max="6082" width="9.109375" style="571"/>
    <col min="6083" max="6083" width="11.109375" style="571" customWidth="1"/>
    <col min="6084" max="6085" width="9.109375" style="571"/>
    <col min="6086" max="6086" width="10.88671875" style="571" customWidth="1"/>
    <col min="6087" max="6088" width="9.109375" style="571"/>
    <col min="6089" max="6089" width="1.5546875" style="571" customWidth="1"/>
    <col min="6090" max="6090" width="9.77734375" style="571" customWidth="1"/>
    <col min="6091" max="6094" width="9.109375" style="571"/>
    <col min="6095" max="6095" width="1.88671875" style="571" customWidth="1"/>
    <col min="6096" max="6096" width="9.88671875" style="571" customWidth="1"/>
    <col min="6097" max="6097" width="1.5546875" style="571" customWidth="1"/>
    <col min="6098" max="6098" width="11.44140625" style="571" customWidth="1"/>
    <col min="6099" max="6099" width="2.21875" style="571" customWidth="1"/>
    <col min="6100" max="6100" width="12" style="571" customWidth="1"/>
    <col min="6101" max="6101" width="2" style="571" customWidth="1"/>
    <col min="6102" max="6102" width="9.109375" style="571"/>
    <col min="6103" max="6103" width="11.109375" style="571" customWidth="1"/>
    <col min="6104" max="6104" width="12" style="571" customWidth="1"/>
    <col min="6105" max="6105" width="9.109375" style="571"/>
    <col min="6106" max="6106" width="11.88671875" style="571" customWidth="1"/>
    <col min="6107" max="6107" width="14.21875" style="571" customWidth="1"/>
    <col min="6108" max="6111" width="9.109375" style="571"/>
    <col min="6112" max="6112" width="3.44140625" style="571" customWidth="1"/>
    <col min="6113" max="6114" width="9.109375" style="571"/>
    <col min="6115" max="6115" width="11.44140625" style="571" customWidth="1"/>
    <col min="6116" max="6116" width="2.77734375" style="571" customWidth="1"/>
    <col min="6117" max="6299" width="9.109375" style="571"/>
    <col min="6300" max="6300" width="9.5546875" style="571" customWidth="1"/>
    <col min="6301" max="6301" width="11" style="571" customWidth="1"/>
    <col min="6302" max="6303" width="11.21875" style="571" customWidth="1"/>
    <col min="6304" max="6304" width="11.5546875" style="571" customWidth="1"/>
    <col min="6305" max="6305" width="11.109375" style="571" customWidth="1"/>
    <col min="6306" max="6306" width="2" style="571" customWidth="1"/>
    <col min="6307" max="6307" width="13.5546875" style="571" customWidth="1"/>
    <col min="6308" max="6308" width="12.44140625" style="571" customWidth="1"/>
    <col min="6309" max="6309" width="13.5546875" style="571" customWidth="1"/>
    <col min="6310" max="6310" width="2.109375" style="571" customWidth="1"/>
    <col min="6311" max="6311" width="9.109375" style="571"/>
    <col min="6312" max="6312" width="10.21875" style="571" customWidth="1"/>
    <col min="6313" max="6313" width="1.88671875" style="571" customWidth="1"/>
    <col min="6314" max="6314" width="10.77734375" style="571" customWidth="1"/>
    <col min="6315" max="6315" width="9.109375" style="571"/>
    <col min="6316" max="6316" width="2.109375" style="571" customWidth="1"/>
    <col min="6317" max="6317" width="9.109375" style="571"/>
    <col min="6318" max="6318" width="11.21875" style="571" customWidth="1"/>
    <col min="6319" max="6319" width="12.77734375" style="571" customWidth="1"/>
    <col min="6320" max="6320" width="12.5546875" style="571" customWidth="1"/>
    <col min="6321" max="6321" width="2" style="571" customWidth="1"/>
    <col min="6322" max="6323" width="9.109375" style="571"/>
    <col min="6324" max="6324" width="11" style="571" customWidth="1"/>
    <col min="6325" max="6325" width="9.109375" style="571"/>
    <col min="6326" max="6326" width="2.21875" style="571" customWidth="1"/>
    <col min="6327" max="6327" width="11" style="571" customWidth="1"/>
    <col min="6328" max="6328" width="9.109375" style="571"/>
    <col min="6329" max="6329" width="11.5546875" style="571" customWidth="1"/>
    <col min="6330" max="6330" width="11.21875" style="571" customWidth="1"/>
    <col min="6331" max="6331" width="2.88671875" style="571" customWidth="1"/>
    <col min="6332" max="6333" width="9.109375" style="571"/>
    <col min="6334" max="6334" width="11.21875" style="571" customWidth="1"/>
    <col min="6335" max="6335" width="2.21875" style="571" customWidth="1"/>
    <col min="6336" max="6336" width="9.109375" style="571"/>
    <col min="6337" max="6337" width="10.44140625" style="571" customWidth="1"/>
    <col min="6338" max="6338" width="9.109375" style="571"/>
    <col min="6339" max="6339" width="11.109375" style="571" customWidth="1"/>
    <col min="6340" max="6341" width="9.109375" style="571"/>
    <col min="6342" max="6342" width="10.88671875" style="571" customWidth="1"/>
    <col min="6343" max="6344" width="9.109375" style="571"/>
    <col min="6345" max="6345" width="1.5546875" style="571" customWidth="1"/>
    <col min="6346" max="6346" width="9.77734375" style="571" customWidth="1"/>
    <col min="6347" max="6350" width="9.109375" style="571"/>
    <col min="6351" max="6351" width="1.88671875" style="571" customWidth="1"/>
    <col min="6352" max="6352" width="9.88671875" style="571" customWidth="1"/>
    <col min="6353" max="6353" width="1.5546875" style="571" customWidth="1"/>
    <col min="6354" max="6354" width="11.44140625" style="571" customWidth="1"/>
    <col min="6355" max="6355" width="2.21875" style="571" customWidth="1"/>
    <col min="6356" max="6356" width="12" style="571" customWidth="1"/>
    <col min="6357" max="6357" width="2" style="571" customWidth="1"/>
    <col min="6358" max="6358" width="9.109375" style="571"/>
    <col min="6359" max="6359" width="11.109375" style="571" customWidth="1"/>
    <col min="6360" max="6360" width="12" style="571" customWidth="1"/>
    <col min="6361" max="6361" width="9.109375" style="571"/>
    <col min="6362" max="6362" width="11.88671875" style="571" customWidth="1"/>
    <col min="6363" max="6363" width="14.21875" style="571" customWidth="1"/>
    <col min="6364" max="6367" width="9.109375" style="571"/>
    <col min="6368" max="6368" width="3.44140625" style="571" customWidth="1"/>
    <col min="6369" max="6370" width="9.109375" style="571"/>
    <col min="6371" max="6371" width="11.44140625" style="571" customWidth="1"/>
    <col min="6372" max="6372" width="2.77734375" style="571" customWidth="1"/>
    <col min="6373" max="6555" width="9.109375" style="571"/>
    <col min="6556" max="6556" width="9.5546875" style="571" customWidth="1"/>
    <col min="6557" max="6557" width="11" style="571" customWidth="1"/>
    <col min="6558" max="6559" width="11.21875" style="571" customWidth="1"/>
    <col min="6560" max="6560" width="11.5546875" style="571" customWidth="1"/>
    <col min="6561" max="6561" width="11.109375" style="571" customWidth="1"/>
    <col min="6562" max="6562" width="2" style="571" customWidth="1"/>
    <col min="6563" max="6563" width="13.5546875" style="571" customWidth="1"/>
    <col min="6564" max="6564" width="12.44140625" style="571" customWidth="1"/>
    <col min="6565" max="6565" width="13.5546875" style="571" customWidth="1"/>
    <col min="6566" max="6566" width="2.109375" style="571" customWidth="1"/>
    <col min="6567" max="6567" width="9.109375" style="571"/>
    <col min="6568" max="6568" width="10.21875" style="571" customWidth="1"/>
    <col min="6569" max="6569" width="1.88671875" style="571" customWidth="1"/>
    <col min="6570" max="6570" width="10.77734375" style="571" customWidth="1"/>
    <col min="6571" max="6571" width="9.109375" style="571"/>
    <col min="6572" max="6572" width="2.109375" style="571" customWidth="1"/>
    <col min="6573" max="6573" width="9.109375" style="571"/>
    <col min="6574" max="6574" width="11.21875" style="571" customWidth="1"/>
    <col min="6575" max="6575" width="12.77734375" style="571" customWidth="1"/>
    <col min="6576" max="6576" width="12.5546875" style="571" customWidth="1"/>
    <col min="6577" max="6577" width="2" style="571" customWidth="1"/>
    <col min="6578" max="6579" width="9.109375" style="571"/>
    <col min="6580" max="6580" width="11" style="571" customWidth="1"/>
    <col min="6581" max="6581" width="9.109375" style="571"/>
    <col min="6582" max="6582" width="2.21875" style="571" customWidth="1"/>
    <col min="6583" max="6583" width="11" style="571" customWidth="1"/>
    <col min="6584" max="6584" width="9.109375" style="571"/>
    <col min="6585" max="6585" width="11.5546875" style="571" customWidth="1"/>
    <col min="6586" max="6586" width="11.21875" style="571" customWidth="1"/>
    <col min="6587" max="6587" width="2.88671875" style="571" customWidth="1"/>
    <col min="6588" max="6589" width="9.109375" style="571"/>
    <col min="6590" max="6590" width="11.21875" style="571" customWidth="1"/>
    <col min="6591" max="6591" width="2.21875" style="571" customWidth="1"/>
    <col min="6592" max="6592" width="9.109375" style="571"/>
    <col min="6593" max="6593" width="10.44140625" style="571" customWidth="1"/>
    <col min="6594" max="6594" width="9.109375" style="571"/>
    <col min="6595" max="6595" width="11.109375" style="571" customWidth="1"/>
    <col min="6596" max="6597" width="9.109375" style="571"/>
    <col min="6598" max="6598" width="10.88671875" style="571" customWidth="1"/>
    <col min="6599" max="6600" width="9.109375" style="571"/>
    <col min="6601" max="6601" width="1.5546875" style="571" customWidth="1"/>
    <col min="6602" max="6602" width="9.77734375" style="571" customWidth="1"/>
    <col min="6603" max="6606" width="9.109375" style="571"/>
    <col min="6607" max="6607" width="1.88671875" style="571" customWidth="1"/>
    <col min="6608" max="6608" width="9.88671875" style="571" customWidth="1"/>
    <col min="6609" max="6609" width="1.5546875" style="571" customWidth="1"/>
    <col min="6610" max="6610" width="11.44140625" style="571" customWidth="1"/>
    <col min="6611" max="6611" width="2.21875" style="571" customWidth="1"/>
    <col min="6612" max="6612" width="12" style="571" customWidth="1"/>
    <col min="6613" max="6613" width="2" style="571" customWidth="1"/>
    <col min="6614" max="6614" width="9.109375" style="571"/>
    <col min="6615" max="6615" width="11.109375" style="571" customWidth="1"/>
    <col min="6616" max="6616" width="12" style="571" customWidth="1"/>
    <col min="6617" max="6617" width="9.109375" style="571"/>
    <col min="6618" max="6618" width="11.88671875" style="571" customWidth="1"/>
    <col min="6619" max="6619" width="14.21875" style="571" customWidth="1"/>
    <col min="6620" max="6623" width="9.109375" style="571"/>
    <col min="6624" max="6624" width="3.44140625" style="571" customWidth="1"/>
    <col min="6625" max="6626" width="9.109375" style="571"/>
    <col min="6627" max="6627" width="11.44140625" style="571" customWidth="1"/>
    <col min="6628" max="6628" width="2.77734375" style="571" customWidth="1"/>
    <col min="6629" max="6811" width="9.109375" style="571"/>
    <col min="6812" max="6812" width="9.5546875" style="571" customWidth="1"/>
    <col min="6813" max="6813" width="11" style="571" customWidth="1"/>
    <col min="6814" max="6815" width="11.21875" style="571" customWidth="1"/>
    <col min="6816" max="6816" width="11.5546875" style="571" customWidth="1"/>
    <col min="6817" max="6817" width="11.109375" style="571" customWidth="1"/>
    <col min="6818" max="6818" width="2" style="571" customWidth="1"/>
    <col min="6819" max="6819" width="13.5546875" style="571" customWidth="1"/>
    <col min="6820" max="6820" width="12.44140625" style="571" customWidth="1"/>
    <col min="6821" max="6821" width="13.5546875" style="571" customWidth="1"/>
    <col min="6822" max="6822" width="2.109375" style="571" customWidth="1"/>
    <col min="6823" max="6823" width="9.109375" style="571"/>
    <col min="6824" max="6824" width="10.21875" style="571" customWidth="1"/>
    <col min="6825" max="6825" width="1.88671875" style="571" customWidth="1"/>
    <col min="6826" max="6826" width="10.77734375" style="571" customWidth="1"/>
    <col min="6827" max="6827" width="9.109375" style="571"/>
    <col min="6828" max="6828" width="2.109375" style="571" customWidth="1"/>
    <col min="6829" max="6829" width="9.109375" style="571"/>
    <col min="6830" max="6830" width="11.21875" style="571" customWidth="1"/>
    <col min="6831" max="6831" width="12.77734375" style="571" customWidth="1"/>
    <col min="6832" max="6832" width="12.5546875" style="571" customWidth="1"/>
    <col min="6833" max="6833" width="2" style="571" customWidth="1"/>
    <col min="6834" max="6835" width="9.109375" style="571"/>
    <col min="6836" max="6836" width="11" style="571" customWidth="1"/>
    <col min="6837" max="6837" width="9.109375" style="571"/>
    <col min="6838" max="6838" width="2.21875" style="571" customWidth="1"/>
    <col min="6839" max="6839" width="11" style="571" customWidth="1"/>
    <col min="6840" max="6840" width="9.109375" style="571"/>
    <col min="6841" max="6841" width="11.5546875" style="571" customWidth="1"/>
    <col min="6842" max="6842" width="11.21875" style="571" customWidth="1"/>
    <col min="6843" max="6843" width="2.88671875" style="571" customWidth="1"/>
    <col min="6844" max="6845" width="9.109375" style="571"/>
    <col min="6846" max="6846" width="11.21875" style="571" customWidth="1"/>
    <col min="6847" max="6847" width="2.21875" style="571" customWidth="1"/>
    <col min="6848" max="6848" width="9.109375" style="571"/>
    <col min="6849" max="6849" width="10.44140625" style="571" customWidth="1"/>
    <col min="6850" max="6850" width="9.109375" style="571"/>
    <col min="6851" max="6851" width="11.109375" style="571" customWidth="1"/>
    <col min="6852" max="6853" width="9.109375" style="571"/>
    <col min="6854" max="6854" width="10.88671875" style="571" customWidth="1"/>
    <col min="6855" max="6856" width="9.109375" style="571"/>
    <col min="6857" max="6857" width="1.5546875" style="571" customWidth="1"/>
    <col min="6858" max="6858" width="9.77734375" style="571" customWidth="1"/>
    <col min="6859" max="6862" width="9.109375" style="571"/>
    <col min="6863" max="6863" width="1.88671875" style="571" customWidth="1"/>
    <col min="6864" max="6864" width="9.88671875" style="571" customWidth="1"/>
    <col min="6865" max="6865" width="1.5546875" style="571" customWidth="1"/>
    <col min="6866" max="6866" width="11.44140625" style="571" customWidth="1"/>
    <col min="6867" max="6867" width="2.21875" style="571" customWidth="1"/>
    <col min="6868" max="6868" width="12" style="571" customWidth="1"/>
    <col min="6869" max="6869" width="2" style="571" customWidth="1"/>
    <col min="6870" max="6870" width="9.109375" style="571"/>
    <col min="6871" max="6871" width="11.109375" style="571" customWidth="1"/>
    <col min="6872" max="6872" width="12" style="571" customWidth="1"/>
    <col min="6873" max="6873" width="9.109375" style="571"/>
    <col min="6874" max="6874" width="11.88671875" style="571" customWidth="1"/>
    <col min="6875" max="6875" width="14.21875" style="571" customWidth="1"/>
    <col min="6876" max="6879" width="9.109375" style="571"/>
    <col min="6880" max="6880" width="3.44140625" style="571" customWidth="1"/>
    <col min="6881" max="6882" width="9.109375" style="571"/>
    <col min="6883" max="6883" width="11.44140625" style="571" customWidth="1"/>
    <col min="6884" max="6884" width="2.77734375" style="571" customWidth="1"/>
    <col min="6885" max="7067" width="9.109375" style="571"/>
    <col min="7068" max="7068" width="9.5546875" style="571" customWidth="1"/>
    <col min="7069" max="7069" width="11" style="571" customWidth="1"/>
    <col min="7070" max="7071" width="11.21875" style="571" customWidth="1"/>
    <col min="7072" max="7072" width="11.5546875" style="571" customWidth="1"/>
    <col min="7073" max="7073" width="11.109375" style="571" customWidth="1"/>
    <col min="7074" max="7074" width="2" style="571" customWidth="1"/>
    <col min="7075" max="7075" width="13.5546875" style="571" customWidth="1"/>
    <col min="7076" max="7076" width="12.44140625" style="571" customWidth="1"/>
    <col min="7077" max="7077" width="13.5546875" style="571" customWidth="1"/>
    <col min="7078" max="7078" width="2.109375" style="571" customWidth="1"/>
    <col min="7079" max="7079" width="9.109375" style="571"/>
    <col min="7080" max="7080" width="10.21875" style="571" customWidth="1"/>
    <col min="7081" max="7081" width="1.88671875" style="571" customWidth="1"/>
    <col min="7082" max="7082" width="10.77734375" style="571" customWidth="1"/>
    <col min="7083" max="7083" width="9.109375" style="571"/>
    <col min="7084" max="7084" width="2.109375" style="571" customWidth="1"/>
    <col min="7085" max="7085" width="9.109375" style="571"/>
    <col min="7086" max="7086" width="11.21875" style="571" customWidth="1"/>
    <col min="7087" max="7087" width="12.77734375" style="571" customWidth="1"/>
    <col min="7088" max="7088" width="12.5546875" style="571" customWidth="1"/>
    <col min="7089" max="7089" width="2" style="571" customWidth="1"/>
    <col min="7090" max="7091" width="9.109375" style="571"/>
    <col min="7092" max="7092" width="11" style="571" customWidth="1"/>
    <col min="7093" max="7093" width="9.109375" style="571"/>
    <col min="7094" max="7094" width="2.21875" style="571" customWidth="1"/>
    <col min="7095" max="7095" width="11" style="571" customWidth="1"/>
    <col min="7096" max="7096" width="9.109375" style="571"/>
    <col min="7097" max="7097" width="11.5546875" style="571" customWidth="1"/>
    <col min="7098" max="7098" width="11.21875" style="571" customWidth="1"/>
    <col min="7099" max="7099" width="2.88671875" style="571" customWidth="1"/>
    <col min="7100" max="7101" width="9.109375" style="571"/>
    <col min="7102" max="7102" width="11.21875" style="571" customWidth="1"/>
    <col min="7103" max="7103" width="2.21875" style="571" customWidth="1"/>
    <col min="7104" max="7104" width="9.109375" style="571"/>
    <col min="7105" max="7105" width="10.44140625" style="571" customWidth="1"/>
    <col min="7106" max="7106" width="9.109375" style="571"/>
    <col min="7107" max="7107" width="11.109375" style="571" customWidth="1"/>
    <col min="7108" max="7109" width="9.109375" style="571"/>
    <col min="7110" max="7110" width="10.88671875" style="571" customWidth="1"/>
    <col min="7111" max="7112" width="9.109375" style="571"/>
    <col min="7113" max="7113" width="1.5546875" style="571" customWidth="1"/>
    <col min="7114" max="7114" width="9.77734375" style="571" customWidth="1"/>
    <col min="7115" max="7118" width="9.109375" style="571"/>
    <col min="7119" max="7119" width="1.88671875" style="571" customWidth="1"/>
    <col min="7120" max="7120" width="9.88671875" style="571" customWidth="1"/>
    <col min="7121" max="7121" width="1.5546875" style="571" customWidth="1"/>
    <col min="7122" max="7122" width="11.44140625" style="571" customWidth="1"/>
    <col min="7123" max="7123" width="2.21875" style="571" customWidth="1"/>
    <col min="7124" max="7124" width="12" style="571" customWidth="1"/>
    <col min="7125" max="7125" width="2" style="571" customWidth="1"/>
    <col min="7126" max="7126" width="9.109375" style="571"/>
    <col min="7127" max="7127" width="11.109375" style="571" customWidth="1"/>
    <col min="7128" max="7128" width="12" style="571" customWidth="1"/>
    <col min="7129" max="7129" width="9.109375" style="571"/>
    <col min="7130" max="7130" width="11.88671875" style="571" customWidth="1"/>
    <col min="7131" max="7131" width="14.21875" style="571" customWidth="1"/>
    <col min="7132" max="7135" width="9.109375" style="571"/>
    <col min="7136" max="7136" width="3.44140625" style="571" customWidth="1"/>
    <col min="7137" max="7138" width="9.109375" style="571"/>
    <col min="7139" max="7139" width="11.44140625" style="571" customWidth="1"/>
    <col min="7140" max="7140" width="2.77734375" style="571" customWidth="1"/>
    <col min="7141" max="7323" width="9.109375" style="571"/>
    <col min="7324" max="7324" width="9.5546875" style="571" customWidth="1"/>
    <col min="7325" max="7325" width="11" style="571" customWidth="1"/>
    <col min="7326" max="7327" width="11.21875" style="571" customWidth="1"/>
    <col min="7328" max="7328" width="11.5546875" style="571" customWidth="1"/>
    <col min="7329" max="7329" width="11.109375" style="571" customWidth="1"/>
    <col min="7330" max="7330" width="2" style="571" customWidth="1"/>
    <col min="7331" max="7331" width="13.5546875" style="571" customWidth="1"/>
    <col min="7332" max="7332" width="12.44140625" style="571" customWidth="1"/>
    <col min="7333" max="7333" width="13.5546875" style="571" customWidth="1"/>
    <col min="7334" max="7334" width="2.109375" style="571" customWidth="1"/>
    <col min="7335" max="7335" width="9.109375" style="571"/>
    <col min="7336" max="7336" width="10.21875" style="571" customWidth="1"/>
    <col min="7337" max="7337" width="1.88671875" style="571" customWidth="1"/>
    <col min="7338" max="7338" width="10.77734375" style="571" customWidth="1"/>
    <col min="7339" max="7339" width="9.109375" style="571"/>
    <col min="7340" max="7340" width="2.109375" style="571" customWidth="1"/>
    <col min="7341" max="7341" width="9.109375" style="571"/>
    <col min="7342" max="7342" width="11.21875" style="571" customWidth="1"/>
    <col min="7343" max="7343" width="12.77734375" style="571" customWidth="1"/>
    <col min="7344" max="7344" width="12.5546875" style="571" customWidth="1"/>
    <col min="7345" max="7345" width="2" style="571" customWidth="1"/>
    <col min="7346" max="7347" width="9.109375" style="571"/>
    <col min="7348" max="7348" width="11" style="571" customWidth="1"/>
    <col min="7349" max="7349" width="9.109375" style="571"/>
    <col min="7350" max="7350" width="2.21875" style="571" customWidth="1"/>
    <col min="7351" max="7351" width="11" style="571" customWidth="1"/>
    <col min="7352" max="7352" width="9.109375" style="571"/>
    <col min="7353" max="7353" width="11.5546875" style="571" customWidth="1"/>
    <col min="7354" max="7354" width="11.21875" style="571" customWidth="1"/>
    <col min="7355" max="7355" width="2.88671875" style="571" customWidth="1"/>
    <col min="7356" max="7357" width="9.109375" style="571"/>
    <col min="7358" max="7358" width="11.21875" style="571" customWidth="1"/>
    <col min="7359" max="7359" width="2.21875" style="571" customWidth="1"/>
    <col min="7360" max="7360" width="9.109375" style="571"/>
    <col min="7361" max="7361" width="10.44140625" style="571" customWidth="1"/>
    <col min="7362" max="7362" width="9.109375" style="571"/>
    <col min="7363" max="7363" width="11.109375" style="571" customWidth="1"/>
    <col min="7364" max="7365" width="9.109375" style="571"/>
    <col min="7366" max="7366" width="10.88671875" style="571" customWidth="1"/>
    <col min="7367" max="7368" width="9.109375" style="571"/>
    <col min="7369" max="7369" width="1.5546875" style="571" customWidth="1"/>
    <col min="7370" max="7370" width="9.77734375" style="571" customWidth="1"/>
    <col min="7371" max="7374" width="9.109375" style="571"/>
    <col min="7375" max="7375" width="1.88671875" style="571" customWidth="1"/>
    <col min="7376" max="7376" width="9.88671875" style="571" customWidth="1"/>
    <col min="7377" max="7377" width="1.5546875" style="571" customWidth="1"/>
    <col min="7378" max="7378" width="11.44140625" style="571" customWidth="1"/>
    <col min="7379" max="7379" width="2.21875" style="571" customWidth="1"/>
    <col min="7380" max="7380" width="12" style="571" customWidth="1"/>
    <col min="7381" max="7381" width="2" style="571" customWidth="1"/>
    <col min="7382" max="7382" width="9.109375" style="571"/>
    <col min="7383" max="7383" width="11.109375" style="571" customWidth="1"/>
    <col min="7384" max="7384" width="12" style="571" customWidth="1"/>
    <col min="7385" max="7385" width="9.109375" style="571"/>
    <col min="7386" max="7386" width="11.88671875" style="571" customWidth="1"/>
    <col min="7387" max="7387" width="14.21875" style="571" customWidth="1"/>
    <col min="7388" max="7391" width="9.109375" style="571"/>
    <col min="7392" max="7392" width="3.44140625" style="571" customWidth="1"/>
    <col min="7393" max="7394" width="9.109375" style="571"/>
    <col min="7395" max="7395" width="11.44140625" style="571" customWidth="1"/>
    <col min="7396" max="7396" width="2.77734375" style="571" customWidth="1"/>
    <col min="7397" max="7579" width="9.109375" style="571"/>
    <col min="7580" max="7580" width="9.5546875" style="571" customWidth="1"/>
    <col min="7581" max="7581" width="11" style="571" customWidth="1"/>
    <col min="7582" max="7583" width="11.21875" style="571" customWidth="1"/>
    <col min="7584" max="7584" width="11.5546875" style="571" customWidth="1"/>
    <col min="7585" max="7585" width="11.109375" style="571" customWidth="1"/>
    <col min="7586" max="7586" width="2" style="571" customWidth="1"/>
    <col min="7587" max="7587" width="13.5546875" style="571" customWidth="1"/>
    <col min="7588" max="7588" width="12.44140625" style="571" customWidth="1"/>
    <col min="7589" max="7589" width="13.5546875" style="571" customWidth="1"/>
    <col min="7590" max="7590" width="2.109375" style="571" customWidth="1"/>
    <col min="7591" max="7591" width="9.109375" style="571"/>
    <col min="7592" max="7592" width="10.21875" style="571" customWidth="1"/>
    <col min="7593" max="7593" width="1.88671875" style="571" customWidth="1"/>
    <col min="7594" max="7594" width="10.77734375" style="571" customWidth="1"/>
    <col min="7595" max="7595" width="9.109375" style="571"/>
    <col min="7596" max="7596" width="2.109375" style="571" customWidth="1"/>
    <col min="7597" max="7597" width="9.109375" style="571"/>
    <col min="7598" max="7598" width="11.21875" style="571" customWidth="1"/>
    <col min="7599" max="7599" width="12.77734375" style="571" customWidth="1"/>
    <col min="7600" max="7600" width="12.5546875" style="571" customWidth="1"/>
    <col min="7601" max="7601" width="2" style="571" customWidth="1"/>
    <col min="7602" max="7603" width="9.109375" style="571"/>
    <col min="7604" max="7604" width="11" style="571" customWidth="1"/>
    <col min="7605" max="7605" width="9.109375" style="571"/>
    <col min="7606" max="7606" width="2.21875" style="571" customWidth="1"/>
    <col min="7607" max="7607" width="11" style="571" customWidth="1"/>
    <col min="7608" max="7608" width="9.109375" style="571"/>
    <col min="7609" max="7609" width="11.5546875" style="571" customWidth="1"/>
    <col min="7610" max="7610" width="11.21875" style="571" customWidth="1"/>
    <col min="7611" max="7611" width="2.88671875" style="571" customWidth="1"/>
    <col min="7612" max="7613" width="9.109375" style="571"/>
    <col min="7614" max="7614" width="11.21875" style="571" customWidth="1"/>
    <col min="7615" max="7615" width="2.21875" style="571" customWidth="1"/>
    <col min="7616" max="7616" width="9.109375" style="571"/>
    <col min="7617" max="7617" width="10.44140625" style="571" customWidth="1"/>
    <col min="7618" max="7618" width="9.109375" style="571"/>
    <col min="7619" max="7619" width="11.109375" style="571" customWidth="1"/>
    <col min="7620" max="7621" width="9.109375" style="571"/>
    <col min="7622" max="7622" width="10.88671875" style="571" customWidth="1"/>
    <col min="7623" max="7624" width="9.109375" style="571"/>
    <col min="7625" max="7625" width="1.5546875" style="571" customWidth="1"/>
    <col min="7626" max="7626" width="9.77734375" style="571" customWidth="1"/>
    <col min="7627" max="7630" width="9.109375" style="571"/>
    <col min="7631" max="7631" width="1.88671875" style="571" customWidth="1"/>
    <col min="7632" max="7632" width="9.88671875" style="571" customWidth="1"/>
    <col min="7633" max="7633" width="1.5546875" style="571" customWidth="1"/>
    <col min="7634" max="7634" width="11.44140625" style="571" customWidth="1"/>
    <col min="7635" max="7635" width="2.21875" style="571" customWidth="1"/>
    <col min="7636" max="7636" width="12" style="571" customWidth="1"/>
    <col min="7637" max="7637" width="2" style="571" customWidth="1"/>
    <col min="7638" max="7638" width="9.109375" style="571"/>
    <col min="7639" max="7639" width="11.109375" style="571" customWidth="1"/>
    <col min="7640" max="7640" width="12" style="571" customWidth="1"/>
    <col min="7641" max="7641" width="9.109375" style="571"/>
    <col min="7642" max="7642" width="11.88671875" style="571" customWidth="1"/>
    <col min="7643" max="7643" width="14.21875" style="571" customWidth="1"/>
    <col min="7644" max="7647" width="9.109375" style="571"/>
    <col min="7648" max="7648" width="3.44140625" style="571" customWidth="1"/>
    <col min="7649" max="7650" width="9.109375" style="571"/>
    <col min="7651" max="7651" width="11.44140625" style="571" customWidth="1"/>
    <col min="7652" max="7652" width="2.77734375" style="571" customWidth="1"/>
    <col min="7653" max="7835" width="9.109375" style="571"/>
    <col min="7836" max="7836" width="9.5546875" style="571" customWidth="1"/>
    <col min="7837" max="7837" width="11" style="571" customWidth="1"/>
    <col min="7838" max="7839" width="11.21875" style="571" customWidth="1"/>
    <col min="7840" max="7840" width="11.5546875" style="571" customWidth="1"/>
    <col min="7841" max="7841" width="11.109375" style="571" customWidth="1"/>
    <col min="7842" max="7842" width="2" style="571" customWidth="1"/>
    <col min="7843" max="7843" width="13.5546875" style="571" customWidth="1"/>
    <col min="7844" max="7844" width="12.44140625" style="571" customWidth="1"/>
    <col min="7845" max="7845" width="13.5546875" style="571" customWidth="1"/>
    <col min="7846" max="7846" width="2.109375" style="571" customWidth="1"/>
    <col min="7847" max="7847" width="9.109375" style="571"/>
    <col min="7848" max="7848" width="10.21875" style="571" customWidth="1"/>
    <col min="7849" max="7849" width="1.88671875" style="571" customWidth="1"/>
    <col min="7850" max="7850" width="10.77734375" style="571" customWidth="1"/>
    <col min="7851" max="7851" width="9.109375" style="571"/>
    <col min="7852" max="7852" width="2.109375" style="571" customWidth="1"/>
    <col min="7853" max="7853" width="9.109375" style="571"/>
    <col min="7854" max="7854" width="11.21875" style="571" customWidth="1"/>
    <col min="7855" max="7855" width="12.77734375" style="571" customWidth="1"/>
    <col min="7856" max="7856" width="12.5546875" style="571" customWidth="1"/>
    <col min="7857" max="7857" width="2" style="571" customWidth="1"/>
    <col min="7858" max="7859" width="9.109375" style="571"/>
    <col min="7860" max="7860" width="11" style="571" customWidth="1"/>
    <col min="7861" max="7861" width="9.109375" style="571"/>
    <col min="7862" max="7862" width="2.21875" style="571" customWidth="1"/>
    <col min="7863" max="7863" width="11" style="571" customWidth="1"/>
    <col min="7864" max="7864" width="9.109375" style="571"/>
    <col min="7865" max="7865" width="11.5546875" style="571" customWidth="1"/>
    <col min="7866" max="7866" width="11.21875" style="571" customWidth="1"/>
    <col min="7867" max="7867" width="2.88671875" style="571" customWidth="1"/>
    <col min="7868" max="7869" width="9.109375" style="571"/>
    <col min="7870" max="7870" width="11.21875" style="571" customWidth="1"/>
    <col min="7871" max="7871" width="2.21875" style="571" customWidth="1"/>
    <col min="7872" max="7872" width="9.109375" style="571"/>
    <col min="7873" max="7873" width="10.44140625" style="571" customWidth="1"/>
    <col min="7874" max="7874" width="9.109375" style="571"/>
    <col min="7875" max="7875" width="11.109375" style="571" customWidth="1"/>
    <col min="7876" max="7877" width="9.109375" style="571"/>
    <col min="7878" max="7878" width="10.88671875" style="571" customWidth="1"/>
    <col min="7879" max="7880" width="9.109375" style="571"/>
    <col min="7881" max="7881" width="1.5546875" style="571" customWidth="1"/>
    <col min="7882" max="7882" width="9.77734375" style="571" customWidth="1"/>
    <col min="7883" max="7886" width="9.109375" style="571"/>
    <col min="7887" max="7887" width="1.88671875" style="571" customWidth="1"/>
    <col min="7888" max="7888" width="9.88671875" style="571" customWidth="1"/>
    <col min="7889" max="7889" width="1.5546875" style="571" customWidth="1"/>
    <col min="7890" max="7890" width="11.44140625" style="571" customWidth="1"/>
    <col min="7891" max="7891" width="2.21875" style="571" customWidth="1"/>
    <col min="7892" max="7892" width="12" style="571" customWidth="1"/>
    <col min="7893" max="7893" width="2" style="571" customWidth="1"/>
    <col min="7894" max="7894" width="9.109375" style="571"/>
    <col min="7895" max="7895" width="11.109375" style="571" customWidth="1"/>
    <col min="7896" max="7896" width="12" style="571" customWidth="1"/>
    <col min="7897" max="7897" width="9.109375" style="571"/>
    <col min="7898" max="7898" width="11.88671875" style="571" customWidth="1"/>
    <col min="7899" max="7899" width="14.21875" style="571" customWidth="1"/>
    <col min="7900" max="7903" width="9.109375" style="571"/>
    <col min="7904" max="7904" width="3.44140625" style="571" customWidth="1"/>
    <col min="7905" max="7906" width="9.109375" style="571"/>
    <col min="7907" max="7907" width="11.44140625" style="571" customWidth="1"/>
    <col min="7908" max="7908" width="2.77734375" style="571" customWidth="1"/>
    <col min="7909" max="8091" width="9.109375" style="571"/>
    <col min="8092" max="8092" width="9.5546875" style="571" customWidth="1"/>
    <col min="8093" max="8093" width="11" style="571" customWidth="1"/>
    <col min="8094" max="8095" width="11.21875" style="571" customWidth="1"/>
    <col min="8096" max="8096" width="11.5546875" style="571" customWidth="1"/>
    <col min="8097" max="8097" width="11.109375" style="571" customWidth="1"/>
    <col min="8098" max="8098" width="2" style="571" customWidth="1"/>
    <col min="8099" max="8099" width="13.5546875" style="571" customWidth="1"/>
    <col min="8100" max="8100" width="12.44140625" style="571" customWidth="1"/>
    <col min="8101" max="8101" width="13.5546875" style="571" customWidth="1"/>
    <col min="8102" max="8102" width="2.109375" style="571" customWidth="1"/>
    <col min="8103" max="8103" width="9.109375" style="571"/>
    <col min="8104" max="8104" width="10.21875" style="571" customWidth="1"/>
    <col min="8105" max="8105" width="1.88671875" style="571" customWidth="1"/>
    <col min="8106" max="8106" width="10.77734375" style="571" customWidth="1"/>
    <col min="8107" max="8107" width="9.109375" style="571"/>
    <col min="8108" max="8108" width="2.109375" style="571" customWidth="1"/>
    <col min="8109" max="8109" width="9.109375" style="571"/>
    <col min="8110" max="8110" width="11.21875" style="571" customWidth="1"/>
    <col min="8111" max="8111" width="12.77734375" style="571" customWidth="1"/>
    <col min="8112" max="8112" width="12.5546875" style="571" customWidth="1"/>
    <col min="8113" max="8113" width="2" style="571" customWidth="1"/>
    <col min="8114" max="8115" width="9.109375" style="571"/>
    <col min="8116" max="8116" width="11" style="571" customWidth="1"/>
    <col min="8117" max="8117" width="9.109375" style="571"/>
    <col min="8118" max="8118" width="2.21875" style="571" customWidth="1"/>
    <col min="8119" max="8119" width="11" style="571" customWidth="1"/>
    <col min="8120" max="8120" width="9.109375" style="571"/>
    <col min="8121" max="8121" width="11.5546875" style="571" customWidth="1"/>
    <col min="8122" max="8122" width="11.21875" style="571" customWidth="1"/>
    <col min="8123" max="8123" width="2.88671875" style="571" customWidth="1"/>
    <col min="8124" max="8125" width="9.109375" style="571"/>
    <col min="8126" max="8126" width="11.21875" style="571" customWidth="1"/>
    <col min="8127" max="8127" width="2.21875" style="571" customWidth="1"/>
    <col min="8128" max="8128" width="9.109375" style="571"/>
    <col min="8129" max="8129" width="10.44140625" style="571" customWidth="1"/>
    <col min="8130" max="8130" width="9.109375" style="571"/>
    <col min="8131" max="8131" width="11.109375" style="571" customWidth="1"/>
    <col min="8132" max="8133" width="9.109375" style="571"/>
    <col min="8134" max="8134" width="10.88671875" style="571" customWidth="1"/>
    <col min="8135" max="8136" width="9.109375" style="571"/>
    <col min="8137" max="8137" width="1.5546875" style="571" customWidth="1"/>
    <col min="8138" max="8138" width="9.77734375" style="571" customWidth="1"/>
    <col min="8139" max="8142" width="9.109375" style="571"/>
    <col min="8143" max="8143" width="1.88671875" style="571" customWidth="1"/>
    <col min="8144" max="8144" width="9.88671875" style="571" customWidth="1"/>
    <col min="8145" max="8145" width="1.5546875" style="571" customWidth="1"/>
    <col min="8146" max="8146" width="11.44140625" style="571" customWidth="1"/>
    <col min="8147" max="8147" width="2.21875" style="571" customWidth="1"/>
    <col min="8148" max="8148" width="12" style="571" customWidth="1"/>
    <col min="8149" max="8149" width="2" style="571" customWidth="1"/>
    <col min="8150" max="8150" width="9.109375" style="571"/>
    <col min="8151" max="8151" width="11.109375" style="571" customWidth="1"/>
    <col min="8152" max="8152" width="12" style="571" customWidth="1"/>
    <col min="8153" max="8153" width="9.109375" style="571"/>
    <col min="8154" max="8154" width="11.88671875" style="571" customWidth="1"/>
    <col min="8155" max="8155" width="14.21875" style="571" customWidth="1"/>
    <col min="8156" max="8159" width="9.109375" style="571"/>
    <col min="8160" max="8160" width="3.44140625" style="571" customWidth="1"/>
    <col min="8161" max="8162" width="9.109375" style="571"/>
    <col min="8163" max="8163" width="11.44140625" style="571" customWidth="1"/>
    <col min="8164" max="8164" width="2.77734375" style="571" customWidth="1"/>
    <col min="8165" max="8347" width="9.109375" style="571"/>
    <col min="8348" max="8348" width="9.5546875" style="571" customWidth="1"/>
    <col min="8349" max="8349" width="11" style="571" customWidth="1"/>
    <col min="8350" max="8351" width="11.21875" style="571" customWidth="1"/>
    <col min="8352" max="8352" width="11.5546875" style="571" customWidth="1"/>
    <col min="8353" max="8353" width="11.109375" style="571" customWidth="1"/>
    <col min="8354" max="8354" width="2" style="571" customWidth="1"/>
    <col min="8355" max="8355" width="13.5546875" style="571" customWidth="1"/>
    <col min="8356" max="8356" width="12.44140625" style="571" customWidth="1"/>
    <col min="8357" max="8357" width="13.5546875" style="571" customWidth="1"/>
    <col min="8358" max="8358" width="2.109375" style="571" customWidth="1"/>
    <col min="8359" max="8359" width="9.109375" style="571"/>
    <col min="8360" max="8360" width="10.21875" style="571" customWidth="1"/>
    <col min="8361" max="8361" width="1.88671875" style="571" customWidth="1"/>
    <col min="8362" max="8362" width="10.77734375" style="571" customWidth="1"/>
    <col min="8363" max="8363" width="9.109375" style="571"/>
    <col min="8364" max="8364" width="2.109375" style="571" customWidth="1"/>
    <col min="8365" max="8365" width="9.109375" style="571"/>
    <col min="8366" max="8366" width="11.21875" style="571" customWidth="1"/>
    <col min="8367" max="8367" width="12.77734375" style="571" customWidth="1"/>
    <col min="8368" max="8368" width="12.5546875" style="571" customWidth="1"/>
    <col min="8369" max="8369" width="2" style="571" customWidth="1"/>
    <col min="8370" max="8371" width="9.109375" style="571"/>
    <col min="8372" max="8372" width="11" style="571" customWidth="1"/>
    <col min="8373" max="8373" width="9.109375" style="571"/>
    <col min="8374" max="8374" width="2.21875" style="571" customWidth="1"/>
    <col min="8375" max="8375" width="11" style="571" customWidth="1"/>
    <col min="8376" max="8376" width="9.109375" style="571"/>
    <col min="8377" max="8377" width="11.5546875" style="571" customWidth="1"/>
    <col min="8378" max="8378" width="11.21875" style="571" customWidth="1"/>
    <col min="8379" max="8379" width="2.88671875" style="571" customWidth="1"/>
    <col min="8380" max="8381" width="9.109375" style="571"/>
    <col min="8382" max="8382" width="11.21875" style="571" customWidth="1"/>
    <col min="8383" max="8383" width="2.21875" style="571" customWidth="1"/>
    <col min="8384" max="8384" width="9.109375" style="571"/>
    <col min="8385" max="8385" width="10.44140625" style="571" customWidth="1"/>
    <col min="8386" max="8386" width="9.109375" style="571"/>
    <col min="8387" max="8387" width="11.109375" style="571" customWidth="1"/>
    <col min="8388" max="8389" width="9.109375" style="571"/>
    <col min="8390" max="8390" width="10.88671875" style="571" customWidth="1"/>
    <col min="8391" max="8392" width="9.109375" style="571"/>
    <col min="8393" max="8393" width="1.5546875" style="571" customWidth="1"/>
    <col min="8394" max="8394" width="9.77734375" style="571" customWidth="1"/>
    <col min="8395" max="8398" width="9.109375" style="571"/>
    <col min="8399" max="8399" width="1.88671875" style="571" customWidth="1"/>
    <col min="8400" max="8400" width="9.88671875" style="571" customWidth="1"/>
    <col min="8401" max="8401" width="1.5546875" style="571" customWidth="1"/>
    <col min="8402" max="8402" width="11.44140625" style="571" customWidth="1"/>
    <col min="8403" max="8403" width="2.21875" style="571" customWidth="1"/>
    <col min="8404" max="8404" width="12" style="571" customWidth="1"/>
    <col min="8405" max="8405" width="2" style="571" customWidth="1"/>
    <col min="8406" max="8406" width="9.109375" style="571"/>
    <col min="8407" max="8407" width="11.109375" style="571" customWidth="1"/>
    <col min="8408" max="8408" width="12" style="571" customWidth="1"/>
    <col min="8409" max="8409" width="9.109375" style="571"/>
    <col min="8410" max="8410" width="11.88671875" style="571" customWidth="1"/>
    <col min="8411" max="8411" width="14.21875" style="571" customWidth="1"/>
    <col min="8412" max="8415" width="9.109375" style="571"/>
    <col min="8416" max="8416" width="3.44140625" style="571" customWidth="1"/>
    <col min="8417" max="8418" width="9.109375" style="571"/>
    <col min="8419" max="8419" width="11.44140625" style="571" customWidth="1"/>
    <col min="8420" max="8420" width="2.77734375" style="571" customWidth="1"/>
    <col min="8421" max="8603" width="9.109375" style="571"/>
    <col min="8604" max="8604" width="9.5546875" style="571" customWidth="1"/>
    <col min="8605" max="8605" width="11" style="571" customWidth="1"/>
    <col min="8606" max="8607" width="11.21875" style="571" customWidth="1"/>
    <col min="8608" max="8608" width="11.5546875" style="571" customWidth="1"/>
    <col min="8609" max="8609" width="11.109375" style="571" customWidth="1"/>
    <col min="8610" max="8610" width="2" style="571" customWidth="1"/>
    <col min="8611" max="8611" width="13.5546875" style="571" customWidth="1"/>
    <col min="8612" max="8612" width="12.44140625" style="571" customWidth="1"/>
    <col min="8613" max="8613" width="13.5546875" style="571" customWidth="1"/>
    <col min="8614" max="8614" width="2.109375" style="571" customWidth="1"/>
    <col min="8615" max="8615" width="9.109375" style="571"/>
    <col min="8616" max="8616" width="10.21875" style="571" customWidth="1"/>
    <col min="8617" max="8617" width="1.88671875" style="571" customWidth="1"/>
    <col min="8618" max="8618" width="10.77734375" style="571" customWidth="1"/>
    <col min="8619" max="8619" width="9.109375" style="571"/>
    <col min="8620" max="8620" width="2.109375" style="571" customWidth="1"/>
    <col min="8621" max="8621" width="9.109375" style="571"/>
    <col min="8622" max="8622" width="11.21875" style="571" customWidth="1"/>
    <col min="8623" max="8623" width="12.77734375" style="571" customWidth="1"/>
    <col min="8624" max="8624" width="12.5546875" style="571" customWidth="1"/>
    <col min="8625" max="8625" width="2" style="571" customWidth="1"/>
    <col min="8626" max="8627" width="9.109375" style="571"/>
    <col min="8628" max="8628" width="11" style="571" customWidth="1"/>
    <col min="8629" max="8629" width="9.109375" style="571"/>
    <col min="8630" max="8630" width="2.21875" style="571" customWidth="1"/>
    <col min="8631" max="8631" width="11" style="571" customWidth="1"/>
    <col min="8632" max="8632" width="9.109375" style="571"/>
    <col min="8633" max="8633" width="11.5546875" style="571" customWidth="1"/>
    <col min="8634" max="8634" width="11.21875" style="571" customWidth="1"/>
    <col min="8635" max="8635" width="2.88671875" style="571" customWidth="1"/>
    <col min="8636" max="8637" width="9.109375" style="571"/>
    <col min="8638" max="8638" width="11.21875" style="571" customWidth="1"/>
    <col min="8639" max="8639" width="2.21875" style="571" customWidth="1"/>
    <col min="8640" max="8640" width="9.109375" style="571"/>
    <col min="8641" max="8641" width="10.44140625" style="571" customWidth="1"/>
    <col min="8642" max="8642" width="9.109375" style="571"/>
    <col min="8643" max="8643" width="11.109375" style="571" customWidth="1"/>
    <col min="8644" max="8645" width="9.109375" style="571"/>
    <col min="8646" max="8646" width="10.88671875" style="571" customWidth="1"/>
    <col min="8647" max="8648" width="9.109375" style="571"/>
    <col min="8649" max="8649" width="1.5546875" style="571" customWidth="1"/>
    <col min="8650" max="8650" width="9.77734375" style="571" customWidth="1"/>
    <col min="8651" max="8654" width="9.109375" style="571"/>
    <col min="8655" max="8655" width="1.88671875" style="571" customWidth="1"/>
    <col min="8656" max="8656" width="9.88671875" style="571" customWidth="1"/>
    <col min="8657" max="8657" width="1.5546875" style="571" customWidth="1"/>
    <col min="8658" max="8658" width="11.44140625" style="571" customWidth="1"/>
    <col min="8659" max="8659" width="2.21875" style="571" customWidth="1"/>
    <col min="8660" max="8660" width="12" style="571" customWidth="1"/>
    <col min="8661" max="8661" width="2" style="571" customWidth="1"/>
    <col min="8662" max="8662" width="9.109375" style="571"/>
    <col min="8663" max="8663" width="11.109375" style="571" customWidth="1"/>
    <col min="8664" max="8664" width="12" style="571" customWidth="1"/>
    <col min="8665" max="8665" width="9.109375" style="571"/>
    <col min="8666" max="8666" width="11.88671875" style="571" customWidth="1"/>
    <col min="8667" max="8667" width="14.21875" style="571" customWidth="1"/>
    <col min="8668" max="8671" width="9.109375" style="571"/>
    <col min="8672" max="8672" width="3.44140625" style="571" customWidth="1"/>
    <col min="8673" max="8674" width="9.109375" style="571"/>
    <col min="8675" max="8675" width="11.44140625" style="571" customWidth="1"/>
    <col min="8676" max="8676" width="2.77734375" style="571" customWidth="1"/>
    <col min="8677" max="8859" width="9.109375" style="571"/>
    <col min="8860" max="8860" width="9.5546875" style="571" customWidth="1"/>
    <col min="8861" max="8861" width="11" style="571" customWidth="1"/>
    <col min="8862" max="8863" width="11.21875" style="571" customWidth="1"/>
    <col min="8864" max="8864" width="11.5546875" style="571" customWidth="1"/>
    <col min="8865" max="8865" width="11.109375" style="571" customWidth="1"/>
    <col min="8866" max="8866" width="2" style="571" customWidth="1"/>
    <col min="8867" max="8867" width="13.5546875" style="571" customWidth="1"/>
    <col min="8868" max="8868" width="12.44140625" style="571" customWidth="1"/>
    <col min="8869" max="8869" width="13.5546875" style="571" customWidth="1"/>
    <col min="8870" max="8870" width="2.109375" style="571" customWidth="1"/>
    <col min="8871" max="8871" width="9.109375" style="571"/>
    <col min="8872" max="8872" width="10.21875" style="571" customWidth="1"/>
    <col min="8873" max="8873" width="1.88671875" style="571" customWidth="1"/>
    <col min="8874" max="8874" width="10.77734375" style="571" customWidth="1"/>
    <col min="8875" max="8875" width="9.109375" style="571"/>
    <col min="8876" max="8876" width="2.109375" style="571" customWidth="1"/>
    <col min="8877" max="8877" width="9.109375" style="571"/>
    <col min="8878" max="8878" width="11.21875" style="571" customWidth="1"/>
    <col min="8879" max="8879" width="12.77734375" style="571" customWidth="1"/>
    <col min="8880" max="8880" width="12.5546875" style="571" customWidth="1"/>
    <col min="8881" max="8881" width="2" style="571" customWidth="1"/>
    <col min="8882" max="8883" width="9.109375" style="571"/>
    <col min="8884" max="8884" width="11" style="571" customWidth="1"/>
    <col min="8885" max="8885" width="9.109375" style="571"/>
    <col min="8886" max="8886" width="2.21875" style="571" customWidth="1"/>
    <col min="8887" max="8887" width="11" style="571" customWidth="1"/>
    <col min="8888" max="8888" width="9.109375" style="571"/>
    <col min="8889" max="8889" width="11.5546875" style="571" customWidth="1"/>
    <col min="8890" max="8890" width="11.21875" style="571" customWidth="1"/>
    <col min="8891" max="8891" width="2.88671875" style="571" customWidth="1"/>
    <col min="8892" max="8893" width="9.109375" style="571"/>
    <col min="8894" max="8894" width="11.21875" style="571" customWidth="1"/>
    <col min="8895" max="8895" width="2.21875" style="571" customWidth="1"/>
    <col min="8896" max="8896" width="9.109375" style="571"/>
    <col min="8897" max="8897" width="10.44140625" style="571" customWidth="1"/>
    <col min="8898" max="8898" width="9.109375" style="571"/>
    <col min="8899" max="8899" width="11.109375" style="571" customWidth="1"/>
    <col min="8900" max="8901" width="9.109375" style="571"/>
    <col min="8902" max="8902" width="10.88671875" style="571" customWidth="1"/>
    <col min="8903" max="8904" width="9.109375" style="571"/>
    <col min="8905" max="8905" width="1.5546875" style="571" customWidth="1"/>
    <col min="8906" max="8906" width="9.77734375" style="571" customWidth="1"/>
    <col min="8907" max="8910" width="9.109375" style="571"/>
    <col min="8911" max="8911" width="1.88671875" style="571" customWidth="1"/>
    <col min="8912" max="8912" width="9.88671875" style="571" customWidth="1"/>
    <col min="8913" max="8913" width="1.5546875" style="571" customWidth="1"/>
    <col min="8914" max="8914" width="11.44140625" style="571" customWidth="1"/>
    <col min="8915" max="8915" width="2.21875" style="571" customWidth="1"/>
    <col min="8916" max="8916" width="12" style="571" customWidth="1"/>
    <col min="8917" max="8917" width="2" style="571" customWidth="1"/>
    <col min="8918" max="8918" width="9.109375" style="571"/>
    <col min="8919" max="8919" width="11.109375" style="571" customWidth="1"/>
    <col min="8920" max="8920" width="12" style="571" customWidth="1"/>
    <col min="8921" max="8921" width="9.109375" style="571"/>
    <col min="8922" max="8922" width="11.88671875" style="571" customWidth="1"/>
    <col min="8923" max="8923" width="14.21875" style="571" customWidth="1"/>
    <col min="8924" max="8927" width="9.109375" style="571"/>
    <col min="8928" max="8928" width="3.44140625" style="571" customWidth="1"/>
    <col min="8929" max="8930" width="9.109375" style="571"/>
    <col min="8931" max="8931" width="11.44140625" style="571" customWidth="1"/>
    <col min="8932" max="8932" width="2.77734375" style="571" customWidth="1"/>
    <col min="8933" max="9115" width="9.109375" style="571"/>
    <col min="9116" max="9116" width="9.5546875" style="571" customWidth="1"/>
    <col min="9117" max="9117" width="11" style="571" customWidth="1"/>
    <col min="9118" max="9119" width="11.21875" style="571" customWidth="1"/>
    <col min="9120" max="9120" width="11.5546875" style="571" customWidth="1"/>
    <col min="9121" max="9121" width="11.109375" style="571" customWidth="1"/>
    <col min="9122" max="9122" width="2" style="571" customWidth="1"/>
    <col min="9123" max="9123" width="13.5546875" style="571" customWidth="1"/>
    <col min="9124" max="9124" width="12.44140625" style="571" customWidth="1"/>
    <col min="9125" max="9125" width="13.5546875" style="571" customWidth="1"/>
    <col min="9126" max="9126" width="2.109375" style="571" customWidth="1"/>
    <col min="9127" max="9127" width="9.109375" style="571"/>
    <col min="9128" max="9128" width="10.21875" style="571" customWidth="1"/>
    <col min="9129" max="9129" width="1.88671875" style="571" customWidth="1"/>
    <col min="9130" max="9130" width="10.77734375" style="571" customWidth="1"/>
    <col min="9131" max="9131" width="9.109375" style="571"/>
    <col min="9132" max="9132" width="2.109375" style="571" customWidth="1"/>
    <col min="9133" max="9133" width="9.109375" style="571"/>
    <col min="9134" max="9134" width="11.21875" style="571" customWidth="1"/>
    <col min="9135" max="9135" width="12.77734375" style="571" customWidth="1"/>
    <col min="9136" max="9136" width="12.5546875" style="571" customWidth="1"/>
    <col min="9137" max="9137" width="2" style="571" customWidth="1"/>
    <col min="9138" max="9139" width="9.109375" style="571"/>
    <col min="9140" max="9140" width="11" style="571" customWidth="1"/>
    <col min="9141" max="9141" width="9.109375" style="571"/>
    <col min="9142" max="9142" width="2.21875" style="571" customWidth="1"/>
    <col min="9143" max="9143" width="11" style="571" customWidth="1"/>
    <col min="9144" max="9144" width="9.109375" style="571"/>
    <col min="9145" max="9145" width="11.5546875" style="571" customWidth="1"/>
    <col min="9146" max="9146" width="11.21875" style="571" customWidth="1"/>
    <col min="9147" max="9147" width="2.88671875" style="571" customWidth="1"/>
    <col min="9148" max="9149" width="9.109375" style="571"/>
    <col min="9150" max="9150" width="11.21875" style="571" customWidth="1"/>
    <col min="9151" max="9151" width="2.21875" style="571" customWidth="1"/>
    <col min="9152" max="9152" width="9.109375" style="571"/>
    <col min="9153" max="9153" width="10.44140625" style="571" customWidth="1"/>
    <col min="9154" max="9154" width="9.109375" style="571"/>
    <col min="9155" max="9155" width="11.109375" style="571" customWidth="1"/>
    <col min="9156" max="9157" width="9.109375" style="571"/>
    <col min="9158" max="9158" width="10.88671875" style="571" customWidth="1"/>
    <col min="9159" max="9160" width="9.109375" style="571"/>
    <col min="9161" max="9161" width="1.5546875" style="571" customWidth="1"/>
    <col min="9162" max="9162" width="9.77734375" style="571" customWidth="1"/>
    <col min="9163" max="9166" width="9.109375" style="571"/>
    <col min="9167" max="9167" width="1.88671875" style="571" customWidth="1"/>
    <col min="9168" max="9168" width="9.88671875" style="571" customWidth="1"/>
    <col min="9169" max="9169" width="1.5546875" style="571" customWidth="1"/>
    <col min="9170" max="9170" width="11.44140625" style="571" customWidth="1"/>
    <col min="9171" max="9171" width="2.21875" style="571" customWidth="1"/>
    <col min="9172" max="9172" width="12" style="571" customWidth="1"/>
    <col min="9173" max="9173" width="2" style="571" customWidth="1"/>
    <col min="9174" max="9174" width="9.109375" style="571"/>
    <col min="9175" max="9175" width="11.109375" style="571" customWidth="1"/>
    <col min="9176" max="9176" width="12" style="571" customWidth="1"/>
    <col min="9177" max="9177" width="9.109375" style="571"/>
    <col min="9178" max="9178" width="11.88671875" style="571" customWidth="1"/>
    <col min="9179" max="9179" width="14.21875" style="571" customWidth="1"/>
    <col min="9180" max="9183" width="9.109375" style="571"/>
    <col min="9184" max="9184" width="3.44140625" style="571" customWidth="1"/>
    <col min="9185" max="9186" width="9.109375" style="571"/>
    <col min="9187" max="9187" width="11.44140625" style="571" customWidth="1"/>
    <col min="9188" max="9188" width="2.77734375" style="571" customWidth="1"/>
    <col min="9189" max="9371" width="9.109375" style="571"/>
    <col min="9372" max="9372" width="9.5546875" style="571" customWidth="1"/>
    <col min="9373" max="9373" width="11" style="571" customWidth="1"/>
    <col min="9374" max="9375" width="11.21875" style="571" customWidth="1"/>
    <col min="9376" max="9376" width="11.5546875" style="571" customWidth="1"/>
    <col min="9377" max="9377" width="11.109375" style="571" customWidth="1"/>
    <col min="9378" max="9378" width="2" style="571" customWidth="1"/>
    <col min="9379" max="9379" width="13.5546875" style="571" customWidth="1"/>
    <col min="9380" max="9380" width="12.44140625" style="571" customWidth="1"/>
    <col min="9381" max="9381" width="13.5546875" style="571" customWidth="1"/>
    <col min="9382" max="9382" width="2.109375" style="571" customWidth="1"/>
    <col min="9383" max="9383" width="9.109375" style="571"/>
    <col min="9384" max="9384" width="10.21875" style="571" customWidth="1"/>
    <col min="9385" max="9385" width="1.88671875" style="571" customWidth="1"/>
    <col min="9386" max="9386" width="10.77734375" style="571" customWidth="1"/>
    <col min="9387" max="9387" width="9.109375" style="571"/>
    <col min="9388" max="9388" width="2.109375" style="571" customWidth="1"/>
    <col min="9389" max="9389" width="9.109375" style="571"/>
    <col min="9390" max="9390" width="11.21875" style="571" customWidth="1"/>
    <col min="9391" max="9391" width="12.77734375" style="571" customWidth="1"/>
    <col min="9392" max="9392" width="12.5546875" style="571" customWidth="1"/>
    <col min="9393" max="9393" width="2" style="571" customWidth="1"/>
    <col min="9394" max="9395" width="9.109375" style="571"/>
    <col min="9396" max="9396" width="11" style="571" customWidth="1"/>
    <col min="9397" max="9397" width="9.109375" style="571"/>
    <col min="9398" max="9398" width="2.21875" style="571" customWidth="1"/>
    <col min="9399" max="9399" width="11" style="571" customWidth="1"/>
    <col min="9400" max="9400" width="9.109375" style="571"/>
    <col min="9401" max="9401" width="11.5546875" style="571" customWidth="1"/>
    <col min="9402" max="9402" width="11.21875" style="571" customWidth="1"/>
    <col min="9403" max="9403" width="2.88671875" style="571" customWidth="1"/>
    <col min="9404" max="9405" width="9.109375" style="571"/>
    <col min="9406" max="9406" width="11.21875" style="571" customWidth="1"/>
    <col min="9407" max="9407" width="2.21875" style="571" customWidth="1"/>
    <col min="9408" max="9408" width="9.109375" style="571"/>
    <col min="9409" max="9409" width="10.44140625" style="571" customWidth="1"/>
    <col min="9410" max="9410" width="9.109375" style="571"/>
    <col min="9411" max="9411" width="11.109375" style="571" customWidth="1"/>
    <col min="9412" max="9413" width="9.109375" style="571"/>
    <col min="9414" max="9414" width="10.88671875" style="571" customWidth="1"/>
    <col min="9415" max="9416" width="9.109375" style="571"/>
    <col min="9417" max="9417" width="1.5546875" style="571" customWidth="1"/>
    <col min="9418" max="9418" width="9.77734375" style="571" customWidth="1"/>
    <col min="9419" max="9422" width="9.109375" style="571"/>
    <col min="9423" max="9423" width="1.88671875" style="571" customWidth="1"/>
    <col min="9424" max="9424" width="9.88671875" style="571" customWidth="1"/>
    <col min="9425" max="9425" width="1.5546875" style="571" customWidth="1"/>
    <col min="9426" max="9426" width="11.44140625" style="571" customWidth="1"/>
    <col min="9427" max="9427" width="2.21875" style="571" customWidth="1"/>
    <col min="9428" max="9428" width="12" style="571" customWidth="1"/>
    <col min="9429" max="9429" width="2" style="571" customWidth="1"/>
    <col min="9430" max="9430" width="9.109375" style="571"/>
    <col min="9431" max="9431" width="11.109375" style="571" customWidth="1"/>
    <col min="9432" max="9432" width="12" style="571" customWidth="1"/>
    <col min="9433" max="9433" width="9.109375" style="571"/>
    <col min="9434" max="9434" width="11.88671875" style="571" customWidth="1"/>
    <col min="9435" max="9435" width="14.21875" style="571" customWidth="1"/>
    <col min="9436" max="9439" width="9.109375" style="571"/>
    <col min="9440" max="9440" width="3.44140625" style="571" customWidth="1"/>
    <col min="9441" max="9442" width="9.109375" style="571"/>
    <col min="9443" max="9443" width="11.44140625" style="571" customWidth="1"/>
    <col min="9444" max="9444" width="2.77734375" style="571" customWidth="1"/>
    <col min="9445" max="9627" width="9.109375" style="571"/>
    <col min="9628" max="9628" width="9.5546875" style="571" customWidth="1"/>
    <col min="9629" max="9629" width="11" style="571" customWidth="1"/>
    <col min="9630" max="9631" width="11.21875" style="571" customWidth="1"/>
    <col min="9632" max="9632" width="11.5546875" style="571" customWidth="1"/>
    <col min="9633" max="9633" width="11.109375" style="571" customWidth="1"/>
    <col min="9634" max="9634" width="2" style="571" customWidth="1"/>
    <col min="9635" max="9635" width="13.5546875" style="571" customWidth="1"/>
    <col min="9636" max="9636" width="12.44140625" style="571" customWidth="1"/>
    <col min="9637" max="9637" width="13.5546875" style="571" customWidth="1"/>
    <col min="9638" max="9638" width="2.109375" style="571" customWidth="1"/>
    <col min="9639" max="9639" width="9.109375" style="571"/>
    <col min="9640" max="9640" width="10.21875" style="571" customWidth="1"/>
    <col min="9641" max="9641" width="1.88671875" style="571" customWidth="1"/>
    <col min="9642" max="9642" width="10.77734375" style="571" customWidth="1"/>
    <col min="9643" max="9643" width="9.109375" style="571"/>
    <col min="9644" max="9644" width="2.109375" style="571" customWidth="1"/>
    <col min="9645" max="9645" width="9.109375" style="571"/>
    <col min="9646" max="9646" width="11.21875" style="571" customWidth="1"/>
    <col min="9647" max="9647" width="12.77734375" style="571" customWidth="1"/>
    <col min="9648" max="9648" width="12.5546875" style="571" customWidth="1"/>
    <col min="9649" max="9649" width="2" style="571" customWidth="1"/>
    <col min="9650" max="9651" width="9.109375" style="571"/>
    <col min="9652" max="9652" width="11" style="571" customWidth="1"/>
    <col min="9653" max="9653" width="9.109375" style="571"/>
    <col min="9654" max="9654" width="2.21875" style="571" customWidth="1"/>
    <col min="9655" max="9655" width="11" style="571" customWidth="1"/>
    <col min="9656" max="9656" width="9.109375" style="571"/>
    <col min="9657" max="9657" width="11.5546875" style="571" customWidth="1"/>
    <col min="9658" max="9658" width="11.21875" style="571" customWidth="1"/>
    <col min="9659" max="9659" width="2.88671875" style="571" customWidth="1"/>
    <col min="9660" max="9661" width="9.109375" style="571"/>
    <col min="9662" max="9662" width="11.21875" style="571" customWidth="1"/>
    <col min="9663" max="9663" width="2.21875" style="571" customWidth="1"/>
    <col min="9664" max="9664" width="9.109375" style="571"/>
    <col min="9665" max="9665" width="10.44140625" style="571" customWidth="1"/>
    <col min="9666" max="9666" width="9.109375" style="571"/>
    <col min="9667" max="9667" width="11.109375" style="571" customWidth="1"/>
    <col min="9668" max="9669" width="9.109375" style="571"/>
    <col min="9670" max="9670" width="10.88671875" style="571" customWidth="1"/>
    <col min="9671" max="9672" width="9.109375" style="571"/>
    <col min="9673" max="9673" width="1.5546875" style="571" customWidth="1"/>
    <col min="9674" max="9674" width="9.77734375" style="571" customWidth="1"/>
    <col min="9675" max="9678" width="9.109375" style="571"/>
    <col min="9679" max="9679" width="1.88671875" style="571" customWidth="1"/>
    <col min="9680" max="9680" width="9.88671875" style="571" customWidth="1"/>
    <col min="9681" max="9681" width="1.5546875" style="571" customWidth="1"/>
    <col min="9682" max="9682" width="11.44140625" style="571" customWidth="1"/>
    <col min="9683" max="9683" width="2.21875" style="571" customWidth="1"/>
    <col min="9684" max="9684" width="12" style="571" customWidth="1"/>
    <col min="9685" max="9685" width="2" style="571" customWidth="1"/>
    <col min="9686" max="9686" width="9.109375" style="571"/>
    <col min="9687" max="9687" width="11.109375" style="571" customWidth="1"/>
    <col min="9688" max="9688" width="12" style="571" customWidth="1"/>
    <col min="9689" max="9689" width="9.109375" style="571"/>
    <col min="9690" max="9690" width="11.88671875" style="571" customWidth="1"/>
    <col min="9691" max="9691" width="14.21875" style="571" customWidth="1"/>
    <col min="9692" max="9695" width="9.109375" style="571"/>
    <col min="9696" max="9696" width="3.44140625" style="571" customWidth="1"/>
    <col min="9697" max="9698" width="9.109375" style="571"/>
    <col min="9699" max="9699" width="11.44140625" style="571" customWidth="1"/>
    <col min="9700" max="9700" width="2.77734375" style="571" customWidth="1"/>
    <col min="9701" max="9883" width="9.109375" style="571"/>
    <col min="9884" max="9884" width="9.5546875" style="571" customWidth="1"/>
    <col min="9885" max="9885" width="11" style="571" customWidth="1"/>
    <col min="9886" max="9887" width="11.21875" style="571" customWidth="1"/>
    <col min="9888" max="9888" width="11.5546875" style="571" customWidth="1"/>
    <col min="9889" max="9889" width="11.109375" style="571" customWidth="1"/>
    <col min="9890" max="9890" width="2" style="571" customWidth="1"/>
    <col min="9891" max="9891" width="13.5546875" style="571" customWidth="1"/>
    <col min="9892" max="9892" width="12.44140625" style="571" customWidth="1"/>
    <col min="9893" max="9893" width="13.5546875" style="571" customWidth="1"/>
    <col min="9894" max="9894" width="2.109375" style="571" customWidth="1"/>
    <col min="9895" max="9895" width="9.109375" style="571"/>
    <col min="9896" max="9896" width="10.21875" style="571" customWidth="1"/>
    <col min="9897" max="9897" width="1.88671875" style="571" customWidth="1"/>
    <col min="9898" max="9898" width="10.77734375" style="571" customWidth="1"/>
    <col min="9899" max="9899" width="9.109375" style="571"/>
    <col min="9900" max="9900" width="2.109375" style="571" customWidth="1"/>
    <col min="9901" max="9901" width="9.109375" style="571"/>
    <col min="9902" max="9902" width="11.21875" style="571" customWidth="1"/>
    <col min="9903" max="9903" width="12.77734375" style="571" customWidth="1"/>
    <col min="9904" max="9904" width="12.5546875" style="571" customWidth="1"/>
    <col min="9905" max="9905" width="2" style="571" customWidth="1"/>
    <col min="9906" max="9907" width="9.109375" style="571"/>
    <col min="9908" max="9908" width="11" style="571" customWidth="1"/>
    <col min="9909" max="9909" width="9.109375" style="571"/>
    <col min="9910" max="9910" width="2.21875" style="571" customWidth="1"/>
    <col min="9911" max="9911" width="11" style="571" customWidth="1"/>
    <col min="9912" max="9912" width="9.109375" style="571"/>
    <col min="9913" max="9913" width="11.5546875" style="571" customWidth="1"/>
    <col min="9914" max="9914" width="11.21875" style="571" customWidth="1"/>
    <col min="9915" max="9915" width="2.88671875" style="571" customWidth="1"/>
    <col min="9916" max="9917" width="9.109375" style="571"/>
    <col min="9918" max="9918" width="11.21875" style="571" customWidth="1"/>
    <col min="9919" max="9919" width="2.21875" style="571" customWidth="1"/>
    <col min="9920" max="9920" width="9.109375" style="571"/>
    <col min="9921" max="9921" width="10.44140625" style="571" customWidth="1"/>
    <col min="9922" max="9922" width="9.109375" style="571"/>
    <col min="9923" max="9923" width="11.109375" style="571" customWidth="1"/>
    <col min="9924" max="9925" width="9.109375" style="571"/>
    <col min="9926" max="9926" width="10.88671875" style="571" customWidth="1"/>
    <col min="9927" max="9928" width="9.109375" style="571"/>
    <col min="9929" max="9929" width="1.5546875" style="571" customWidth="1"/>
    <col min="9930" max="9930" width="9.77734375" style="571" customWidth="1"/>
    <col min="9931" max="9934" width="9.109375" style="571"/>
    <col min="9935" max="9935" width="1.88671875" style="571" customWidth="1"/>
    <col min="9936" max="9936" width="9.88671875" style="571" customWidth="1"/>
    <col min="9937" max="9937" width="1.5546875" style="571" customWidth="1"/>
    <col min="9938" max="9938" width="11.44140625" style="571" customWidth="1"/>
    <col min="9939" max="9939" width="2.21875" style="571" customWidth="1"/>
    <col min="9940" max="9940" width="12" style="571" customWidth="1"/>
    <col min="9941" max="9941" width="2" style="571" customWidth="1"/>
    <col min="9942" max="9942" width="9.109375" style="571"/>
    <col min="9943" max="9943" width="11.109375" style="571" customWidth="1"/>
    <col min="9944" max="9944" width="12" style="571" customWidth="1"/>
    <col min="9945" max="9945" width="9.109375" style="571"/>
    <col min="9946" max="9946" width="11.88671875" style="571" customWidth="1"/>
    <col min="9947" max="9947" width="14.21875" style="571" customWidth="1"/>
    <col min="9948" max="9951" width="9.109375" style="571"/>
    <col min="9952" max="9952" width="3.44140625" style="571" customWidth="1"/>
    <col min="9953" max="9954" width="9.109375" style="571"/>
    <col min="9955" max="9955" width="11.44140625" style="571" customWidth="1"/>
    <col min="9956" max="9956" width="2.77734375" style="571" customWidth="1"/>
    <col min="9957" max="10139" width="9.109375" style="571"/>
    <col min="10140" max="10140" width="9.5546875" style="571" customWidth="1"/>
    <col min="10141" max="10141" width="11" style="571" customWidth="1"/>
    <col min="10142" max="10143" width="11.21875" style="571" customWidth="1"/>
    <col min="10144" max="10144" width="11.5546875" style="571" customWidth="1"/>
    <col min="10145" max="10145" width="11.109375" style="571" customWidth="1"/>
    <col min="10146" max="10146" width="2" style="571" customWidth="1"/>
    <col min="10147" max="10147" width="13.5546875" style="571" customWidth="1"/>
    <col min="10148" max="10148" width="12.44140625" style="571" customWidth="1"/>
    <col min="10149" max="10149" width="13.5546875" style="571" customWidth="1"/>
    <col min="10150" max="10150" width="2.109375" style="571" customWidth="1"/>
    <col min="10151" max="10151" width="9.109375" style="571"/>
    <col min="10152" max="10152" width="10.21875" style="571" customWidth="1"/>
    <col min="10153" max="10153" width="1.88671875" style="571" customWidth="1"/>
    <col min="10154" max="10154" width="10.77734375" style="571" customWidth="1"/>
    <col min="10155" max="10155" width="9.109375" style="571"/>
    <col min="10156" max="10156" width="2.109375" style="571" customWidth="1"/>
    <col min="10157" max="10157" width="9.109375" style="571"/>
    <col min="10158" max="10158" width="11.21875" style="571" customWidth="1"/>
    <col min="10159" max="10159" width="12.77734375" style="571" customWidth="1"/>
    <col min="10160" max="10160" width="12.5546875" style="571" customWidth="1"/>
    <col min="10161" max="10161" width="2" style="571" customWidth="1"/>
    <col min="10162" max="10163" width="9.109375" style="571"/>
    <col min="10164" max="10164" width="11" style="571" customWidth="1"/>
    <col min="10165" max="10165" width="9.109375" style="571"/>
    <col min="10166" max="10166" width="2.21875" style="571" customWidth="1"/>
    <col min="10167" max="10167" width="11" style="571" customWidth="1"/>
    <col min="10168" max="10168" width="9.109375" style="571"/>
    <col min="10169" max="10169" width="11.5546875" style="571" customWidth="1"/>
    <col min="10170" max="10170" width="11.21875" style="571" customWidth="1"/>
    <col min="10171" max="10171" width="2.88671875" style="571" customWidth="1"/>
    <col min="10172" max="10173" width="9.109375" style="571"/>
    <col min="10174" max="10174" width="11.21875" style="571" customWidth="1"/>
    <col min="10175" max="10175" width="2.21875" style="571" customWidth="1"/>
    <col min="10176" max="10176" width="9.109375" style="571"/>
    <col min="10177" max="10177" width="10.44140625" style="571" customWidth="1"/>
    <col min="10178" max="10178" width="9.109375" style="571"/>
    <col min="10179" max="10179" width="11.109375" style="571" customWidth="1"/>
    <col min="10180" max="10181" width="9.109375" style="571"/>
    <col min="10182" max="10182" width="10.88671875" style="571" customWidth="1"/>
    <col min="10183" max="10184" width="9.109375" style="571"/>
    <col min="10185" max="10185" width="1.5546875" style="571" customWidth="1"/>
    <col min="10186" max="10186" width="9.77734375" style="571" customWidth="1"/>
    <col min="10187" max="10190" width="9.109375" style="571"/>
    <col min="10191" max="10191" width="1.88671875" style="571" customWidth="1"/>
    <col min="10192" max="10192" width="9.88671875" style="571" customWidth="1"/>
    <col min="10193" max="10193" width="1.5546875" style="571" customWidth="1"/>
    <col min="10194" max="10194" width="11.44140625" style="571" customWidth="1"/>
    <col min="10195" max="10195" width="2.21875" style="571" customWidth="1"/>
    <col min="10196" max="10196" width="12" style="571" customWidth="1"/>
    <col min="10197" max="10197" width="2" style="571" customWidth="1"/>
    <col min="10198" max="10198" width="9.109375" style="571"/>
    <col min="10199" max="10199" width="11.109375" style="571" customWidth="1"/>
    <col min="10200" max="10200" width="12" style="571" customWidth="1"/>
    <col min="10201" max="10201" width="9.109375" style="571"/>
    <col min="10202" max="10202" width="11.88671875" style="571" customWidth="1"/>
    <col min="10203" max="10203" width="14.21875" style="571" customWidth="1"/>
    <col min="10204" max="10207" width="9.109375" style="571"/>
    <col min="10208" max="10208" width="3.44140625" style="571" customWidth="1"/>
    <col min="10209" max="10210" width="9.109375" style="571"/>
    <col min="10211" max="10211" width="11.44140625" style="571" customWidth="1"/>
    <col min="10212" max="10212" width="2.77734375" style="571" customWidth="1"/>
    <col min="10213" max="10395" width="9.109375" style="571"/>
    <col min="10396" max="10396" width="9.5546875" style="571" customWidth="1"/>
    <col min="10397" max="10397" width="11" style="571" customWidth="1"/>
    <col min="10398" max="10399" width="11.21875" style="571" customWidth="1"/>
    <col min="10400" max="10400" width="11.5546875" style="571" customWidth="1"/>
    <col min="10401" max="10401" width="11.109375" style="571" customWidth="1"/>
    <col min="10402" max="10402" width="2" style="571" customWidth="1"/>
    <col min="10403" max="10403" width="13.5546875" style="571" customWidth="1"/>
    <col min="10404" max="10404" width="12.44140625" style="571" customWidth="1"/>
    <col min="10405" max="10405" width="13.5546875" style="571" customWidth="1"/>
    <col min="10406" max="10406" width="2.109375" style="571" customWidth="1"/>
    <col min="10407" max="10407" width="9.109375" style="571"/>
    <col min="10408" max="10408" width="10.21875" style="571" customWidth="1"/>
    <col min="10409" max="10409" width="1.88671875" style="571" customWidth="1"/>
    <col min="10410" max="10410" width="10.77734375" style="571" customWidth="1"/>
    <col min="10411" max="10411" width="9.109375" style="571"/>
    <col min="10412" max="10412" width="2.109375" style="571" customWidth="1"/>
    <col min="10413" max="10413" width="9.109375" style="571"/>
    <col min="10414" max="10414" width="11.21875" style="571" customWidth="1"/>
    <col min="10415" max="10415" width="12.77734375" style="571" customWidth="1"/>
    <col min="10416" max="10416" width="12.5546875" style="571" customWidth="1"/>
    <col min="10417" max="10417" width="2" style="571" customWidth="1"/>
    <col min="10418" max="10419" width="9.109375" style="571"/>
    <col min="10420" max="10420" width="11" style="571" customWidth="1"/>
    <col min="10421" max="10421" width="9.109375" style="571"/>
    <col min="10422" max="10422" width="2.21875" style="571" customWidth="1"/>
    <col min="10423" max="10423" width="11" style="571" customWidth="1"/>
    <col min="10424" max="10424" width="9.109375" style="571"/>
    <col min="10425" max="10425" width="11.5546875" style="571" customWidth="1"/>
    <col min="10426" max="10426" width="11.21875" style="571" customWidth="1"/>
    <col min="10427" max="10427" width="2.88671875" style="571" customWidth="1"/>
    <col min="10428" max="10429" width="9.109375" style="571"/>
    <col min="10430" max="10430" width="11.21875" style="571" customWidth="1"/>
    <col min="10431" max="10431" width="2.21875" style="571" customWidth="1"/>
    <col min="10432" max="10432" width="9.109375" style="571"/>
    <col min="10433" max="10433" width="10.44140625" style="571" customWidth="1"/>
    <col min="10434" max="10434" width="9.109375" style="571"/>
    <col min="10435" max="10435" width="11.109375" style="571" customWidth="1"/>
    <col min="10436" max="10437" width="9.109375" style="571"/>
    <col min="10438" max="10438" width="10.88671875" style="571" customWidth="1"/>
    <col min="10439" max="10440" width="9.109375" style="571"/>
    <col min="10441" max="10441" width="1.5546875" style="571" customWidth="1"/>
    <col min="10442" max="10442" width="9.77734375" style="571" customWidth="1"/>
    <col min="10443" max="10446" width="9.109375" style="571"/>
    <col min="10447" max="10447" width="1.88671875" style="571" customWidth="1"/>
    <col min="10448" max="10448" width="9.88671875" style="571" customWidth="1"/>
    <col min="10449" max="10449" width="1.5546875" style="571" customWidth="1"/>
    <col min="10450" max="10450" width="11.44140625" style="571" customWidth="1"/>
    <col min="10451" max="10451" width="2.21875" style="571" customWidth="1"/>
    <col min="10452" max="10452" width="12" style="571" customWidth="1"/>
    <col min="10453" max="10453" width="2" style="571" customWidth="1"/>
    <col min="10454" max="10454" width="9.109375" style="571"/>
    <col min="10455" max="10455" width="11.109375" style="571" customWidth="1"/>
    <col min="10456" max="10456" width="12" style="571" customWidth="1"/>
    <col min="10457" max="10457" width="9.109375" style="571"/>
    <col min="10458" max="10458" width="11.88671875" style="571" customWidth="1"/>
    <col min="10459" max="10459" width="14.21875" style="571" customWidth="1"/>
    <col min="10460" max="10463" width="9.109375" style="571"/>
    <col min="10464" max="10464" width="3.44140625" style="571" customWidth="1"/>
    <col min="10465" max="10466" width="9.109375" style="571"/>
    <col min="10467" max="10467" width="11.44140625" style="571" customWidth="1"/>
    <col min="10468" max="10468" width="2.77734375" style="571" customWidth="1"/>
    <col min="10469" max="10651" width="9.109375" style="571"/>
    <col min="10652" max="10652" width="9.5546875" style="571" customWidth="1"/>
    <col min="10653" max="10653" width="11" style="571" customWidth="1"/>
    <col min="10654" max="10655" width="11.21875" style="571" customWidth="1"/>
    <col min="10656" max="10656" width="11.5546875" style="571" customWidth="1"/>
    <col min="10657" max="10657" width="11.109375" style="571" customWidth="1"/>
    <col min="10658" max="10658" width="2" style="571" customWidth="1"/>
    <col min="10659" max="10659" width="13.5546875" style="571" customWidth="1"/>
    <col min="10660" max="10660" width="12.44140625" style="571" customWidth="1"/>
    <col min="10661" max="10661" width="13.5546875" style="571" customWidth="1"/>
    <col min="10662" max="10662" width="2.109375" style="571" customWidth="1"/>
    <col min="10663" max="10663" width="9.109375" style="571"/>
    <col min="10664" max="10664" width="10.21875" style="571" customWidth="1"/>
    <col min="10665" max="10665" width="1.88671875" style="571" customWidth="1"/>
    <col min="10666" max="10666" width="10.77734375" style="571" customWidth="1"/>
    <col min="10667" max="10667" width="9.109375" style="571"/>
    <col min="10668" max="10668" width="2.109375" style="571" customWidth="1"/>
    <col min="10669" max="10669" width="9.109375" style="571"/>
    <col min="10670" max="10670" width="11.21875" style="571" customWidth="1"/>
    <col min="10671" max="10671" width="12.77734375" style="571" customWidth="1"/>
    <col min="10672" max="10672" width="12.5546875" style="571" customWidth="1"/>
    <col min="10673" max="10673" width="2" style="571" customWidth="1"/>
    <col min="10674" max="10675" width="9.109375" style="571"/>
    <col min="10676" max="10676" width="11" style="571" customWidth="1"/>
    <col min="10677" max="10677" width="9.109375" style="571"/>
    <col min="10678" max="10678" width="2.21875" style="571" customWidth="1"/>
    <col min="10679" max="10679" width="11" style="571" customWidth="1"/>
    <col min="10680" max="10680" width="9.109375" style="571"/>
    <col min="10681" max="10681" width="11.5546875" style="571" customWidth="1"/>
    <col min="10682" max="10682" width="11.21875" style="571" customWidth="1"/>
    <col min="10683" max="10683" width="2.88671875" style="571" customWidth="1"/>
    <col min="10684" max="10685" width="9.109375" style="571"/>
    <col min="10686" max="10686" width="11.21875" style="571" customWidth="1"/>
    <col min="10687" max="10687" width="2.21875" style="571" customWidth="1"/>
    <col min="10688" max="10688" width="9.109375" style="571"/>
    <col min="10689" max="10689" width="10.44140625" style="571" customWidth="1"/>
    <col min="10690" max="10690" width="9.109375" style="571"/>
    <col min="10691" max="10691" width="11.109375" style="571" customWidth="1"/>
    <col min="10692" max="10693" width="9.109375" style="571"/>
    <col min="10694" max="10694" width="10.88671875" style="571" customWidth="1"/>
    <col min="10695" max="10696" width="9.109375" style="571"/>
    <col min="10697" max="10697" width="1.5546875" style="571" customWidth="1"/>
    <col min="10698" max="10698" width="9.77734375" style="571" customWidth="1"/>
    <col min="10699" max="10702" width="9.109375" style="571"/>
    <col min="10703" max="10703" width="1.88671875" style="571" customWidth="1"/>
    <col min="10704" max="10704" width="9.88671875" style="571" customWidth="1"/>
    <col min="10705" max="10705" width="1.5546875" style="571" customWidth="1"/>
    <col min="10706" max="10706" width="11.44140625" style="571" customWidth="1"/>
    <col min="10707" max="10707" width="2.21875" style="571" customWidth="1"/>
    <col min="10708" max="10708" width="12" style="571" customWidth="1"/>
    <col min="10709" max="10709" width="2" style="571" customWidth="1"/>
    <col min="10710" max="10710" width="9.109375" style="571"/>
    <col min="10711" max="10711" width="11.109375" style="571" customWidth="1"/>
    <col min="10712" max="10712" width="12" style="571" customWidth="1"/>
    <col min="10713" max="10713" width="9.109375" style="571"/>
    <col min="10714" max="10714" width="11.88671875" style="571" customWidth="1"/>
    <col min="10715" max="10715" width="14.21875" style="571" customWidth="1"/>
    <col min="10716" max="10719" width="9.109375" style="571"/>
    <col min="10720" max="10720" width="3.44140625" style="571" customWidth="1"/>
    <col min="10721" max="10722" width="9.109375" style="571"/>
    <col min="10723" max="10723" width="11.44140625" style="571" customWidth="1"/>
    <col min="10724" max="10724" width="2.77734375" style="571" customWidth="1"/>
    <col min="10725" max="10907" width="9.109375" style="571"/>
    <col min="10908" max="10908" width="9.5546875" style="571" customWidth="1"/>
    <col min="10909" max="10909" width="11" style="571" customWidth="1"/>
    <col min="10910" max="10911" width="11.21875" style="571" customWidth="1"/>
    <col min="10912" max="10912" width="11.5546875" style="571" customWidth="1"/>
    <col min="10913" max="10913" width="11.109375" style="571" customWidth="1"/>
    <col min="10914" max="10914" width="2" style="571" customWidth="1"/>
    <col min="10915" max="10915" width="13.5546875" style="571" customWidth="1"/>
    <col min="10916" max="10916" width="12.44140625" style="571" customWidth="1"/>
    <col min="10917" max="10917" width="13.5546875" style="571" customWidth="1"/>
    <col min="10918" max="10918" width="2.109375" style="571" customWidth="1"/>
    <col min="10919" max="10919" width="9.109375" style="571"/>
    <col min="10920" max="10920" width="10.21875" style="571" customWidth="1"/>
    <col min="10921" max="10921" width="1.88671875" style="571" customWidth="1"/>
    <col min="10922" max="10922" width="10.77734375" style="571" customWidth="1"/>
    <col min="10923" max="10923" width="9.109375" style="571"/>
    <col min="10924" max="10924" width="2.109375" style="571" customWidth="1"/>
    <col min="10925" max="10925" width="9.109375" style="571"/>
    <col min="10926" max="10926" width="11.21875" style="571" customWidth="1"/>
    <col min="10927" max="10927" width="12.77734375" style="571" customWidth="1"/>
    <col min="10928" max="10928" width="12.5546875" style="571" customWidth="1"/>
    <col min="10929" max="10929" width="2" style="571" customWidth="1"/>
    <col min="10930" max="10931" width="9.109375" style="571"/>
    <col min="10932" max="10932" width="11" style="571" customWidth="1"/>
    <col min="10933" max="10933" width="9.109375" style="571"/>
    <col min="10934" max="10934" width="2.21875" style="571" customWidth="1"/>
    <col min="10935" max="10935" width="11" style="571" customWidth="1"/>
    <col min="10936" max="10936" width="9.109375" style="571"/>
    <col min="10937" max="10937" width="11.5546875" style="571" customWidth="1"/>
    <col min="10938" max="10938" width="11.21875" style="571" customWidth="1"/>
    <col min="10939" max="10939" width="2.88671875" style="571" customWidth="1"/>
    <col min="10940" max="10941" width="9.109375" style="571"/>
    <col min="10942" max="10942" width="11.21875" style="571" customWidth="1"/>
    <col min="10943" max="10943" width="2.21875" style="571" customWidth="1"/>
    <col min="10944" max="10944" width="9.109375" style="571"/>
    <col min="10945" max="10945" width="10.44140625" style="571" customWidth="1"/>
    <col min="10946" max="10946" width="9.109375" style="571"/>
    <col min="10947" max="10947" width="11.109375" style="571" customWidth="1"/>
    <col min="10948" max="10949" width="9.109375" style="571"/>
    <col min="10950" max="10950" width="10.88671875" style="571" customWidth="1"/>
    <col min="10951" max="10952" width="9.109375" style="571"/>
    <col min="10953" max="10953" width="1.5546875" style="571" customWidth="1"/>
    <col min="10954" max="10954" width="9.77734375" style="571" customWidth="1"/>
    <col min="10955" max="10958" width="9.109375" style="571"/>
    <col min="10959" max="10959" width="1.88671875" style="571" customWidth="1"/>
    <col min="10960" max="10960" width="9.88671875" style="571" customWidth="1"/>
    <col min="10961" max="10961" width="1.5546875" style="571" customWidth="1"/>
    <col min="10962" max="10962" width="11.44140625" style="571" customWidth="1"/>
    <col min="10963" max="10963" width="2.21875" style="571" customWidth="1"/>
    <col min="10964" max="10964" width="12" style="571" customWidth="1"/>
    <col min="10965" max="10965" width="2" style="571" customWidth="1"/>
    <col min="10966" max="10966" width="9.109375" style="571"/>
    <col min="10967" max="10967" width="11.109375" style="571" customWidth="1"/>
    <col min="10968" max="10968" width="12" style="571" customWidth="1"/>
    <col min="10969" max="10969" width="9.109375" style="571"/>
    <col min="10970" max="10970" width="11.88671875" style="571" customWidth="1"/>
    <col min="10971" max="10971" width="14.21875" style="571" customWidth="1"/>
    <col min="10972" max="10975" width="9.109375" style="571"/>
    <col min="10976" max="10976" width="3.44140625" style="571" customWidth="1"/>
    <col min="10977" max="10978" width="9.109375" style="571"/>
    <col min="10979" max="10979" width="11.44140625" style="571" customWidth="1"/>
    <col min="10980" max="10980" width="2.77734375" style="571" customWidth="1"/>
    <col min="10981" max="11163" width="9.109375" style="571"/>
    <col min="11164" max="11164" width="9.5546875" style="571" customWidth="1"/>
    <col min="11165" max="11165" width="11" style="571" customWidth="1"/>
    <col min="11166" max="11167" width="11.21875" style="571" customWidth="1"/>
    <col min="11168" max="11168" width="11.5546875" style="571" customWidth="1"/>
    <col min="11169" max="11169" width="11.109375" style="571" customWidth="1"/>
    <col min="11170" max="11170" width="2" style="571" customWidth="1"/>
    <col min="11171" max="11171" width="13.5546875" style="571" customWidth="1"/>
    <col min="11172" max="11172" width="12.44140625" style="571" customWidth="1"/>
    <col min="11173" max="11173" width="13.5546875" style="571" customWidth="1"/>
    <col min="11174" max="11174" width="2.109375" style="571" customWidth="1"/>
    <col min="11175" max="11175" width="9.109375" style="571"/>
    <col min="11176" max="11176" width="10.21875" style="571" customWidth="1"/>
    <col min="11177" max="11177" width="1.88671875" style="571" customWidth="1"/>
    <col min="11178" max="11178" width="10.77734375" style="571" customWidth="1"/>
    <col min="11179" max="11179" width="9.109375" style="571"/>
    <col min="11180" max="11180" width="2.109375" style="571" customWidth="1"/>
    <col min="11181" max="11181" width="9.109375" style="571"/>
    <col min="11182" max="11182" width="11.21875" style="571" customWidth="1"/>
    <col min="11183" max="11183" width="12.77734375" style="571" customWidth="1"/>
    <col min="11184" max="11184" width="12.5546875" style="571" customWidth="1"/>
    <col min="11185" max="11185" width="2" style="571" customWidth="1"/>
    <col min="11186" max="11187" width="9.109375" style="571"/>
    <col min="11188" max="11188" width="11" style="571" customWidth="1"/>
    <col min="11189" max="11189" width="9.109375" style="571"/>
    <col min="11190" max="11190" width="2.21875" style="571" customWidth="1"/>
    <col min="11191" max="11191" width="11" style="571" customWidth="1"/>
    <col min="11192" max="11192" width="9.109375" style="571"/>
    <col min="11193" max="11193" width="11.5546875" style="571" customWidth="1"/>
    <col min="11194" max="11194" width="11.21875" style="571" customWidth="1"/>
    <col min="11195" max="11195" width="2.88671875" style="571" customWidth="1"/>
    <col min="11196" max="11197" width="9.109375" style="571"/>
    <col min="11198" max="11198" width="11.21875" style="571" customWidth="1"/>
    <col min="11199" max="11199" width="2.21875" style="571" customWidth="1"/>
    <col min="11200" max="11200" width="9.109375" style="571"/>
    <col min="11201" max="11201" width="10.44140625" style="571" customWidth="1"/>
    <col min="11202" max="11202" width="9.109375" style="571"/>
    <col min="11203" max="11203" width="11.109375" style="571" customWidth="1"/>
    <col min="11204" max="11205" width="9.109375" style="571"/>
    <col min="11206" max="11206" width="10.88671875" style="571" customWidth="1"/>
    <col min="11207" max="11208" width="9.109375" style="571"/>
    <col min="11209" max="11209" width="1.5546875" style="571" customWidth="1"/>
    <col min="11210" max="11210" width="9.77734375" style="571" customWidth="1"/>
    <col min="11211" max="11214" width="9.109375" style="571"/>
    <col min="11215" max="11215" width="1.88671875" style="571" customWidth="1"/>
    <col min="11216" max="11216" width="9.88671875" style="571" customWidth="1"/>
    <col min="11217" max="11217" width="1.5546875" style="571" customWidth="1"/>
    <col min="11218" max="11218" width="11.44140625" style="571" customWidth="1"/>
    <col min="11219" max="11219" width="2.21875" style="571" customWidth="1"/>
    <col min="11220" max="11220" width="12" style="571" customWidth="1"/>
    <col min="11221" max="11221" width="2" style="571" customWidth="1"/>
    <col min="11222" max="11222" width="9.109375" style="571"/>
    <col min="11223" max="11223" width="11.109375" style="571" customWidth="1"/>
    <col min="11224" max="11224" width="12" style="571" customWidth="1"/>
    <col min="11225" max="11225" width="9.109375" style="571"/>
    <col min="11226" max="11226" width="11.88671875" style="571" customWidth="1"/>
    <col min="11227" max="11227" width="14.21875" style="571" customWidth="1"/>
    <col min="11228" max="11231" width="9.109375" style="571"/>
    <col min="11232" max="11232" width="3.44140625" style="571" customWidth="1"/>
    <col min="11233" max="11234" width="9.109375" style="571"/>
    <col min="11235" max="11235" width="11.44140625" style="571" customWidth="1"/>
    <col min="11236" max="11236" width="2.77734375" style="571" customWidth="1"/>
    <col min="11237" max="11419" width="9.109375" style="571"/>
    <col min="11420" max="11420" width="9.5546875" style="571" customWidth="1"/>
    <col min="11421" max="11421" width="11" style="571" customWidth="1"/>
    <col min="11422" max="11423" width="11.21875" style="571" customWidth="1"/>
    <col min="11424" max="11424" width="11.5546875" style="571" customWidth="1"/>
    <col min="11425" max="11425" width="11.109375" style="571" customWidth="1"/>
    <col min="11426" max="11426" width="2" style="571" customWidth="1"/>
    <col min="11427" max="11427" width="13.5546875" style="571" customWidth="1"/>
    <col min="11428" max="11428" width="12.44140625" style="571" customWidth="1"/>
    <col min="11429" max="11429" width="13.5546875" style="571" customWidth="1"/>
    <col min="11430" max="11430" width="2.109375" style="571" customWidth="1"/>
    <col min="11431" max="11431" width="9.109375" style="571"/>
    <col min="11432" max="11432" width="10.21875" style="571" customWidth="1"/>
    <col min="11433" max="11433" width="1.88671875" style="571" customWidth="1"/>
    <col min="11434" max="11434" width="10.77734375" style="571" customWidth="1"/>
    <col min="11435" max="11435" width="9.109375" style="571"/>
    <col min="11436" max="11436" width="2.109375" style="571" customWidth="1"/>
    <col min="11437" max="11437" width="9.109375" style="571"/>
    <col min="11438" max="11438" width="11.21875" style="571" customWidth="1"/>
    <col min="11439" max="11439" width="12.77734375" style="571" customWidth="1"/>
    <col min="11440" max="11440" width="12.5546875" style="571" customWidth="1"/>
    <col min="11441" max="11441" width="2" style="571" customWidth="1"/>
    <col min="11442" max="11443" width="9.109375" style="571"/>
    <col min="11444" max="11444" width="11" style="571" customWidth="1"/>
    <col min="11445" max="11445" width="9.109375" style="571"/>
    <col min="11446" max="11446" width="2.21875" style="571" customWidth="1"/>
    <col min="11447" max="11447" width="11" style="571" customWidth="1"/>
    <col min="11448" max="11448" width="9.109375" style="571"/>
    <col min="11449" max="11449" width="11.5546875" style="571" customWidth="1"/>
    <col min="11450" max="11450" width="11.21875" style="571" customWidth="1"/>
    <col min="11451" max="11451" width="2.88671875" style="571" customWidth="1"/>
    <col min="11452" max="11453" width="9.109375" style="571"/>
    <col min="11454" max="11454" width="11.21875" style="571" customWidth="1"/>
    <col min="11455" max="11455" width="2.21875" style="571" customWidth="1"/>
    <col min="11456" max="11456" width="9.109375" style="571"/>
    <col min="11457" max="11457" width="10.44140625" style="571" customWidth="1"/>
    <col min="11458" max="11458" width="9.109375" style="571"/>
    <col min="11459" max="11459" width="11.109375" style="571" customWidth="1"/>
    <col min="11460" max="11461" width="9.109375" style="571"/>
    <col min="11462" max="11462" width="10.88671875" style="571" customWidth="1"/>
    <col min="11463" max="11464" width="9.109375" style="571"/>
    <col min="11465" max="11465" width="1.5546875" style="571" customWidth="1"/>
    <col min="11466" max="11466" width="9.77734375" style="571" customWidth="1"/>
    <col min="11467" max="11470" width="9.109375" style="571"/>
    <col min="11471" max="11471" width="1.88671875" style="571" customWidth="1"/>
    <col min="11472" max="11472" width="9.88671875" style="571" customWidth="1"/>
    <col min="11473" max="11473" width="1.5546875" style="571" customWidth="1"/>
    <col min="11474" max="11474" width="11.44140625" style="571" customWidth="1"/>
    <col min="11475" max="11475" width="2.21875" style="571" customWidth="1"/>
    <col min="11476" max="11476" width="12" style="571" customWidth="1"/>
    <col min="11477" max="11477" width="2" style="571" customWidth="1"/>
    <col min="11478" max="11478" width="9.109375" style="571"/>
    <col min="11479" max="11479" width="11.109375" style="571" customWidth="1"/>
    <col min="11480" max="11480" width="12" style="571" customWidth="1"/>
    <col min="11481" max="11481" width="9.109375" style="571"/>
    <col min="11482" max="11482" width="11.88671875" style="571" customWidth="1"/>
    <col min="11483" max="11483" width="14.21875" style="571" customWidth="1"/>
    <col min="11484" max="11487" width="9.109375" style="571"/>
    <col min="11488" max="11488" width="3.44140625" style="571" customWidth="1"/>
    <col min="11489" max="11490" width="9.109375" style="571"/>
    <col min="11491" max="11491" width="11.44140625" style="571" customWidth="1"/>
    <col min="11492" max="11492" width="2.77734375" style="571" customWidth="1"/>
    <col min="11493" max="11675" width="9.109375" style="571"/>
    <col min="11676" max="11676" width="9.5546875" style="571" customWidth="1"/>
    <col min="11677" max="11677" width="11" style="571" customWidth="1"/>
    <col min="11678" max="11679" width="11.21875" style="571" customWidth="1"/>
    <col min="11680" max="11680" width="11.5546875" style="571" customWidth="1"/>
    <col min="11681" max="11681" width="11.109375" style="571" customWidth="1"/>
    <col min="11682" max="11682" width="2" style="571" customWidth="1"/>
    <col min="11683" max="11683" width="13.5546875" style="571" customWidth="1"/>
    <col min="11684" max="11684" width="12.44140625" style="571" customWidth="1"/>
    <col min="11685" max="11685" width="13.5546875" style="571" customWidth="1"/>
    <col min="11686" max="11686" width="2.109375" style="571" customWidth="1"/>
    <col min="11687" max="11687" width="9.109375" style="571"/>
    <col min="11688" max="11688" width="10.21875" style="571" customWidth="1"/>
    <col min="11689" max="11689" width="1.88671875" style="571" customWidth="1"/>
    <col min="11690" max="11690" width="10.77734375" style="571" customWidth="1"/>
    <col min="11691" max="11691" width="9.109375" style="571"/>
    <col min="11692" max="11692" width="2.109375" style="571" customWidth="1"/>
    <col min="11693" max="11693" width="9.109375" style="571"/>
    <col min="11694" max="11694" width="11.21875" style="571" customWidth="1"/>
    <col min="11695" max="11695" width="12.77734375" style="571" customWidth="1"/>
    <col min="11696" max="11696" width="12.5546875" style="571" customWidth="1"/>
    <col min="11697" max="11697" width="2" style="571" customWidth="1"/>
    <col min="11698" max="11699" width="9.109375" style="571"/>
    <col min="11700" max="11700" width="11" style="571" customWidth="1"/>
    <col min="11701" max="11701" width="9.109375" style="571"/>
    <col min="11702" max="11702" width="2.21875" style="571" customWidth="1"/>
    <col min="11703" max="11703" width="11" style="571" customWidth="1"/>
    <col min="11704" max="11704" width="9.109375" style="571"/>
    <col min="11705" max="11705" width="11.5546875" style="571" customWidth="1"/>
    <col min="11706" max="11706" width="11.21875" style="571" customWidth="1"/>
    <col min="11707" max="11707" width="2.88671875" style="571" customWidth="1"/>
    <col min="11708" max="11709" width="9.109375" style="571"/>
    <col min="11710" max="11710" width="11.21875" style="571" customWidth="1"/>
    <col min="11711" max="11711" width="2.21875" style="571" customWidth="1"/>
    <col min="11712" max="11712" width="9.109375" style="571"/>
    <col min="11713" max="11713" width="10.44140625" style="571" customWidth="1"/>
    <col min="11714" max="11714" width="9.109375" style="571"/>
    <col min="11715" max="11715" width="11.109375" style="571" customWidth="1"/>
    <col min="11716" max="11717" width="9.109375" style="571"/>
    <col min="11718" max="11718" width="10.88671875" style="571" customWidth="1"/>
    <col min="11719" max="11720" width="9.109375" style="571"/>
    <col min="11721" max="11721" width="1.5546875" style="571" customWidth="1"/>
    <col min="11722" max="11722" width="9.77734375" style="571" customWidth="1"/>
    <col min="11723" max="11726" width="9.109375" style="571"/>
    <col min="11727" max="11727" width="1.88671875" style="571" customWidth="1"/>
    <col min="11728" max="11728" width="9.88671875" style="571" customWidth="1"/>
    <col min="11729" max="11729" width="1.5546875" style="571" customWidth="1"/>
    <col min="11730" max="11730" width="11.44140625" style="571" customWidth="1"/>
    <col min="11731" max="11731" width="2.21875" style="571" customWidth="1"/>
    <col min="11732" max="11732" width="12" style="571" customWidth="1"/>
    <col min="11733" max="11733" width="2" style="571" customWidth="1"/>
    <col min="11734" max="11734" width="9.109375" style="571"/>
    <col min="11735" max="11735" width="11.109375" style="571" customWidth="1"/>
    <col min="11736" max="11736" width="12" style="571" customWidth="1"/>
    <col min="11737" max="11737" width="9.109375" style="571"/>
    <col min="11738" max="11738" width="11.88671875" style="571" customWidth="1"/>
    <col min="11739" max="11739" width="14.21875" style="571" customWidth="1"/>
    <col min="11740" max="11743" width="9.109375" style="571"/>
    <col min="11744" max="11744" width="3.44140625" style="571" customWidth="1"/>
    <col min="11745" max="11746" width="9.109375" style="571"/>
    <col min="11747" max="11747" width="11.44140625" style="571" customWidth="1"/>
    <col min="11748" max="11748" width="2.77734375" style="571" customWidth="1"/>
    <col min="11749" max="11931" width="9.109375" style="571"/>
    <col min="11932" max="11932" width="9.5546875" style="571" customWidth="1"/>
    <col min="11933" max="11933" width="11" style="571" customWidth="1"/>
    <col min="11934" max="11935" width="11.21875" style="571" customWidth="1"/>
    <col min="11936" max="11936" width="11.5546875" style="571" customWidth="1"/>
    <col min="11937" max="11937" width="11.109375" style="571" customWidth="1"/>
    <col min="11938" max="11938" width="2" style="571" customWidth="1"/>
    <col min="11939" max="11939" width="13.5546875" style="571" customWidth="1"/>
    <col min="11940" max="11940" width="12.44140625" style="571" customWidth="1"/>
    <col min="11941" max="11941" width="13.5546875" style="571" customWidth="1"/>
    <col min="11942" max="11942" width="2.109375" style="571" customWidth="1"/>
    <col min="11943" max="11943" width="9.109375" style="571"/>
    <col min="11944" max="11944" width="10.21875" style="571" customWidth="1"/>
    <col min="11945" max="11945" width="1.88671875" style="571" customWidth="1"/>
    <col min="11946" max="11946" width="10.77734375" style="571" customWidth="1"/>
    <col min="11947" max="11947" width="9.109375" style="571"/>
    <col min="11948" max="11948" width="2.109375" style="571" customWidth="1"/>
    <col min="11949" max="11949" width="9.109375" style="571"/>
    <col min="11950" max="11950" width="11.21875" style="571" customWidth="1"/>
    <col min="11951" max="11951" width="12.77734375" style="571" customWidth="1"/>
    <col min="11952" max="11952" width="12.5546875" style="571" customWidth="1"/>
    <col min="11953" max="11953" width="2" style="571" customWidth="1"/>
    <col min="11954" max="11955" width="9.109375" style="571"/>
    <col min="11956" max="11956" width="11" style="571" customWidth="1"/>
    <col min="11957" max="11957" width="9.109375" style="571"/>
    <col min="11958" max="11958" width="2.21875" style="571" customWidth="1"/>
    <col min="11959" max="11959" width="11" style="571" customWidth="1"/>
    <col min="11960" max="11960" width="9.109375" style="571"/>
    <col min="11961" max="11961" width="11.5546875" style="571" customWidth="1"/>
    <col min="11962" max="11962" width="11.21875" style="571" customWidth="1"/>
    <col min="11963" max="11963" width="2.88671875" style="571" customWidth="1"/>
    <col min="11964" max="11965" width="9.109375" style="571"/>
    <col min="11966" max="11966" width="11.21875" style="571" customWidth="1"/>
    <col min="11967" max="11967" width="2.21875" style="571" customWidth="1"/>
    <col min="11968" max="11968" width="9.109375" style="571"/>
    <col min="11969" max="11969" width="10.44140625" style="571" customWidth="1"/>
    <col min="11970" max="11970" width="9.109375" style="571"/>
    <col min="11971" max="11971" width="11.109375" style="571" customWidth="1"/>
    <col min="11972" max="11973" width="9.109375" style="571"/>
    <col min="11974" max="11974" width="10.88671875" style="571" customWidth="1"/>
    <col min="11975" max="11976" width="9.109375" style="571"/>
    <col min="11977" max="11977" width="1.5546875" style="571" customWidth="1"/>
    <col min="11978" max="11978" width="9.77734375" style="571" customWidth="1"/>
    <col min="11979" max="11982" width="9.109375" style="571"/>
    <col min="11983" max="11983" width="1.88671875" style="571" customWidth="1"/>
    <col min="11984" max="11984" width="9.88671875" style="571" customWidth="1"/>
    <col min="11985" max="11985" width="1.5546875" style="571" customWidth="1"/>
    <col min="11986" max="11986" width="11.44140625" style="571" customWidth="1"/>
    <col min="11987" max="11987" width="2.21875" style="571" customWidth="1"/>
    <col min="11988" max="11988" width="12" style="571" customWidth="1"/>
    <col min="11989" max="11989" width="2" style="571" customWidth="1"/>
    <col min="11990" max="11990" width="9.109375" style="571"/>
    <col min="11991" max="11991" width="11.109375" style="571" customWidth="1"/>
    <col min="11992" max="11992" width="12" style="571" customWidth="1"/>
    <col min="11993" max="11993" width="9.109375" style="571"/>
    <col min="11994" max="11994" width="11.88671875" style="571" customWidth="1"/>
    <col min="11995" max="11995" width="14.21875" style="571" customWidth="1"/>
    <col min="11996" max="11999" width="9.109375" style="571"/>
    <col min="12000" max="12000" width="3.44140625" style="571" customWidth="1"/>
    <col min="12001" max="12002" width="9.109375" style="571"/>
    <col min="12003" max="12003" width="11.44140625" style="571" customWidth="1"/>
    <col min="12004" max="12004" width="2.77734375" style="571" customWidth="1"/>
    <col min="12005" max="12187" width="9.109375" style="571"/>
    <col min="12188" max="12188" width="9.5546875" style="571" customWidth="1"/>
    <col min="12189" max="12189" width="11" style="571" customWidth="1"/>
    <col min="12190" max="12191" width="11.21875" style="571" customWidth="1"/>
    <col min="12192" max="12192" width="11.5546875" style="571" customWidth="1"/>
    <col min="12193" max="12193" width="11.109375" style="571" customWidth="1"/>
    <col min="12194" max="12194" width="2" style="571" customWidth="1"/>
    <col min="12195" max="12195" width="13.5546875" style="571" customWidth="1"/>
    <col min="12196" max="12196" width="12.44140625" style="571" customWidth="1"/>
    <col min="12197" max="12197" width="13.5546875" style="571" customWidth="1"/>
    <col min="12198" max="12198" width="2.109375" style="571" customWidth="1"/>
    <col min="12199" max="12199" width="9.109375" style="571"/>
    <col min="12200" max="12200" width="10.21875" style="571" customWidth="1"/>
    <col min="12201" max="12201" width="1.88671875" style="571" customWidth="1"/>
    <col min="12202" max="12202" width="10.77734375" style="571" customWidth="1"/>
    <col min="12203" max="12203" width="9.109375" style="571"/>
    <col min="12204" max="12204" width="2.109375" style="571" customWidth="1"/>
    <col min="12205" max="12205" width="9.109375" style="571"/>
    <col min="12206" max="12206" width="11.21875" style="571" customWidth="1"/>
    <col min="12207" max="12207" width="12.77734375" style="571" customWidth="1"/>
    <col min="12208" max="12208" width="12.5546875" style="571" customWidth="1"/>
    <col min="12209" max="12209" width="2" style="571" customWidth="1"/>
    <col min="12210" max="12211" width="9.109375" style="571"/>
    <col min="12212" max="12212" width="11" style="571" customWidth="1"/>
    <col min="12213" max="12213" width="9.109375" style="571"/>
    <col min="12214" max="12214" width="2.21875" style="571" customWidth="1"/>
    <col min="12215" max="12215" width="11" style="571" customWidth="1"/>
    <col min="12216" max="12216" width="9.109375" style="571"/>
    <col min="12217" max="12217" width="11.5546875" style="571" customWidth="1"/>
    <col min="12218" max="12218" width="11.21875" style="571" customWidth="1"/>
    <col min="12219" max="12219" width="2.88671875" style="571" customWidth="1"/>
    <col min="12220" max="12221" width="9.109375" style="571"/>
    <col min="12222" max="12222" width="11.21875" style="571" customWidth="1"/>
    <col min="12223" max="12223" width="2.21875" style="571" customWidth="1"/>
    <col min="12224" max="12224" width="9.109375" style="571"/>
    <col min="12225" max="12225" width="10.44140625" style="571" customWidth="1"/>
    <col min="12226" max="12226" width="9.109375" style="571"/>
    <col min="12227" max="12227" width="11.109375" style="571" customWidth="1"/>
    <col min="12228" max="12229" width="9.109375" style="571"/>
    <col min="12230" max="12230" width="10.88671875" style="571" customWidth="1"/>
    <col min="12231" max="12232" width="9.109375" style="571"/>
    <col min="12233" max="12233" width="1.5546875" style="571" customWidth="1"/>
    <col min="12234" max="12234" width="9.77734375" style="571" customWidth="1"/>
    <col min="12235" max="12238" width="9.109375" style="571"/>
    <col min="12239" max="12239" width="1.88671875" style="571" customWidth="1"/>
    <col min="12240" max="12240" width="9.88671875" style="571" customWidth="1"/>
    <col min="12241" max="12241" width="1.5546875" style="571" customWidth="1"/>
    <col min="12242" max="12242" width="11.44140625" style="571" customWidth="1"/>
    <col min="12243" max="12243" width="2.21875" style="571" customWidth="1"/>
    <col min="12244" max="12244" width="12" style="571" customWidth="1"/>
    <col min="12245" max="12245" width="2" style="571" customWidth="1"/>
    <col min="12246" max="12246" width="9.109375" style="571"/>
    <col min="12247" max="12247" width="11.109375" style="571" customWidth="1"/>
    <col min="12248" max="12248" width="12" style="571" customWidth="1"/>
    <col min="12249" max="12249" width="9.109375" style="571"/>
    <col min="12250" max="12250" width="11.88671875" style="571" customWidth="1"/>
    <col min="12251" max="12251" width="14.21875" style="571" customWidth="1"/>
    <col min="12252" max="12255" width="9.109375" style="571"/>
    <col min="12256" max="12256" width="3.44140625" style="571" customWidth="1"/>
    <col min="12257" max="12258" width="9.109375" style="571"/>
    <col min="12259" max="12259" width="11.44140625" style="571" customWidth="1"/>
    <col min="12260" max="12260" width="2.77734375" style="571" customWidth="1"/>
    <col min="12261" max="12443" width="9.109375" style="571"/>
    <col min="12444" max="12444" width="9.5546875" style="571" customWidth="1"/>
    <col min="12445" max="12445" width="11" style="571" customWidth="1"/>
    <col min="12446" max="12447" width="11.21875" style="571" customWidth="1"/>
    <col min="12448" max="12448" width="11.5546875" style="571" customWidth="1"/>
    <col min="12449" max="12449" width="11.109375" style="571" customWidth="1"/>
    <col min="12450" max="12450" width="2" style="571" customWidth="1"/>
    <col min="12451" max="12451" width="13.5546875" style="571" customWidth="1"/>
    <col min="12452" max="12452" width="12.44140625" style="571" customWidth="1"/>
    <col min="12453" max="12453" width="13.5546875" style="571" customWidth="1"/>
    <col min="12454" max="12454" width="2.109375" style="571" customWidth="1"/>
    <col min="12455" max="12455" width="9.109375" style="571"/>
    <col min="12456" max="12456" width="10.21875" style="571" customWidth="1"/>
    <col min="12457" max="12457" width="1.88671875" style="571" customWidth="1"/>
    <col min="12458" max="12458" width="10.77734375" style="571" customWidth="1"/>
    <col min="12459" max="12459" width="9.109375" style="571"/>
    <col min="12460" max="12460" width="2.109375" style="571" customWidth="1"/>
    <col min="12461" max="12461" width="9.109375" style="571"/>
    <col min="12462" max="12462" width="11.21875" style="571" customWidth="1"/>
    <col min="12463" max="12463" width="12.77734375" style="571" customWidth="1"/>
    <col min="12464" max="12464" width="12.5546875" style="571" customWidth="1"/>
    <col min="12465" max="12465" width="2" style="571" customWidth="1"/>
    <col min="12466" max="12467" width="9.109375" style="571"/>
    <col min="12468" max="12468" width="11" style="571" customWidth="1"/>
    <col min="12469" max="12469" width="9.109375" style="571"/>
    <col min="12470" max="12470" width="2.21875" style="571" customWidth="1"/>
    <col min="12471" max="12471" width="11" style="571" customWidth="1"/>
    <col min="12472" max="12472" width="9.109375" style="571"/>
    <col min="12473" max="12473" width="11.5546875" style="571" customWidth="1"/>
    <col min="12474" max="12474" width="11.21875" style="571" customWidth="1"/>
    <col min="12475" max="12475" width="2.88671875" style="571" customWidth="1"/>
    <col min="12476" max="12477" width="9.109375" style="571"/>
    <col min="12478" max="12478" width="11.21875" style="571" customWidth="1"/>
    <col min="12479" max="12479" width="2.21875" style="571" customWidth="1"/>
    <col min="12480" max="12480" width="9.109375" style="571"/>
    <col min="12481" max="12481" width="10.44140625" style="571" customWidth="1"/>
    <col min="12482" max="12482" width="9.109375" style="571"/>
    <col min="12483" max="12483" width="11.109375" style="571" customWidth="1"/>
    <col min="12484" max="12485" width="9.109375" style="571"/>
    <col min="12486" max="12486" width="10.88671875" style="571" customWidth="1"/>
    <col min="12487" max="12488" width="9.109375" style="571"/>
    <col min="12489" max="12489" width="1.5546875" style="571" customWidth="1"/>
    <col min="12490" max="12490" width="9.77734375" style="571" customWidth="1"/>
    <col min="12491" max="12494" width="9.109375" style="571"/>
    <col min="12495" max="12495" width="1.88671875" style="571" customWidth="1"/>
    <col min="12496" max="12496" width="9.88671875" style="571" customWidth="1"/>
    <col min="12497" max="12497" width="1.5546875" style="571" customWidth="1"/>
    <col min="12498" max="12498" width="11.44140625" style="571" customWidth="1"/>
    <col min="12499" max="12499" width="2.21875" style="571" customWidth="1"/>
    <col min="12500" max="12500" width="12" style="571" customWidth="1"/>
    <col min="12501" max="12501" width="2" style="571" customWidth="1"/>
    <col min="12502" max="12502" width="9.109375" style="571"/>
    <col min="12503" max="12503" width="11.109375" style="571" customWidth="1"/>
    <col min="12504" max="12504" width="12" style="571" customWidth="1"/>
    <col min="12505" max="12505" width="9.109375" style="571"/>
    <col min="12506" max="12506" width="11.88671875" style="571" customWidth="1"/>
    <col min="12507" max="12507" width="14.21875" style="571" customWidth="1"/>
    <col min="12508" max="12511" width="9.109375" style="571"/>
    <col min="12512" max="12512" width="3.44140625" style="571" customWidth="1"/>
    <col min="12513" max="12514" width="9.109375" style="571"/>
    <col min="12515" max="12515" width="11.44140625" style="571" customWidth="1"/>
    <col min="12516" max="12516" width="2.77734375" style="571" customWidth="1"/>
    <col min="12517" max="12699" width="9.109375" style="571"/>
    <col min="12700" max="12700" width="9.5546875" style="571" customWidth="1"/>
    <col min="12701" max="12701" width="11" style="571" customWidth="1"/>
    <col min="12702" max="12703" width="11.21875" style="571" customWidth="1"/>
    <col min="12704" max="12704" width="11.5546875" style="571" customWidth="1"/>
    <col min="12705" max="12705" width="11.109375" style="571" customWidth="1"/>
    <col min="12706" max="12706" width="2" style="571" customWidth="1"/>
    <col min="12707" max="12707" width="13.5546875" style="571" customWidth="1"/>
    <col min="12708" max="12708" width="12.44140625" style="571" customWidth="1"/>
    <col min="12709" max="12709" width="13.5546875" style="571" customWidth="1"/>
    <col min="12710" max="12710" width="2.109375" style="571" customWidth="1"/>
    <col min="12711" max="12711" width="9.109375" style="571"/>
    <col min="12712" max="12712" width="10.21875" style="571" customWidth="1"/>
    <col min="12713" max="12713" width="1.88671875" style="571" customWidth="1"/>
    <col min="12714" max="12714" width="10.77734375" style="571" customWidth="1"/>
    <col min="12715" max="12715" width="9.109375" style="571"/>
    <col min="12716" max="12716" width="2.109375" style="571" customWidth="1"/>
    <col min="12717" max="12717" width="9.109375" style="571"/>
    <col min="12718" max="12718" width="11.21875" style="571" customWidth="1"/>
    <col min="12719" max="12719" width="12.77734375" style="571" customWidth="1"/>
    <col min="12720" max="12720" width="12.5546875" style="571" customWidth="1"/>
    <col min="12721" max="12721" width="2" style="571" customWidth="1"/>
    <col min="12722" max="12723" width="9.109375" style="571"/>
    <col min="12724" max="12724" width="11" style="571" customWidth="1"/>
    <col min="12725" max="12725" width="9.109375" style="571"/>
    <col min="12726" max="12726" width="2.21875" style="571" customWidth="1"/>
    <col min="12727" max="12727" width="11" style="571" customWidth="1"/>
    <col min="12728" max="12728" width="9.109375" style="571"/>
    <col min="12729" max="12729" width="11.5546875" style="571" customWidth="1"/>
    <col min="12730" max="12730" width="11.21875" style="571" customWidth="1"/>
    <col min="12731" max="12731" width="2.88671875" style="571" customWidth="1"/>
    <col min="12732" max="12733" width="9.109375" style="571"/>
    <col min="12734" max="12734" width="11.21875" style="571" customWidth="1"/>
    <col min="12735" max="12735" width="2.21875" style="571" customWidth="1"/>
    <col min="12736" max="12736" width="9.109375" style="571"/>
    <col min="12737" max="12737" width="10.44140625" style="571" customWidth="1"/>
    <col min="12738" max="12738" width="9.109375" style="571"/>
    <col min="12739" max="12739" width="11.109375" style="571" customWidth="1"/>
    <col min="12740" max="12741" width="9.109375" style="571"/>
    <col min="12742" max="12742" width="10.88671875" style="571" customWidth="1"/>
    <col min="12743" max="12744" width="9.109375" style="571"/>
    <col min="12745" max="12745" width="1.5546875" style="571" customWidth="1"/>
    <col min="12746" max="12746" width="9.77734375" style="571" customWidth="1"/>
    <col min="12747" max="12750" width="9.109375" style="571"/>
    <col min="12751" max="12751" width="1.88671875" style="571" customWidth="1"/>
    <col min="12752" max="12752" width="9.88671875" style="571" customWidth="1"/>
    <col min="12753" max="12753" width="1.5546875" style="571" customWidth="1"/>
    <col min="12754" max="12754" width="11.44140625" style="571" customWidth="1"/>
    <col min="12755" max="12755" width="2.21875" style="571" customWidth="1"/>
    <col min="12756" max="12756" width="12" style="571" customWidth="1"/>
    <col min="12757" max="12757" width="2" style="571" customWidth="1"/>
    <col min="12758" max="12758" width="9.109375" style="571"/>
    <col min="12759" max="12759" width="11.109375" style="571" customWidth="1"/>
    <col min="12760" max="12760" width="12" style="571" customWidth="1"/>
    <col min="12761" max="12761" width="9.109375" style="571"/>
    <col min="12762" max="12762" width="11.88671875" style="571" customWidth="1"/>
    <col min="12763" max="12763" width="14.21875" style="571" customWidth="1"/>
    <col min="12764" max="12767" width="9.109375" style="571"/>
    <col min="12768" max="12768" width="3.44140625" style="571" customWidth="1"/>
    <col min="12769" max="12770" width="9.109375" style="571"/>
    <col min="12771" max="12771" width="11.44140625" style="571" customWidth="1"/>
    <col min="12772" max="12772" width="2.77734375" style="571" customWidth="1"/>
    <col min="12773" max="12955" width="9.109375" style="571"/>
    <col min="12956" max="12956" width="9.5546875" style="571" customWidth="1"/>
    <col min="12957" max="12957" width="11" style="571" customWidth="1"/>
    <col min="12958" max="12959" width="11.21875" style="571" customWidth="1"/>
    <col min="12960" max="12960" width="11.5546875" style="571" customWidth="1"/>
    <col min="12961" max="12961" width="11.109375" style="571" customWidth="1"/>
    <col min="12962" max="12962" width="2" style="571" customWidth="1"/>
    <col min="12963" max="12963" width="13.5546875" style="571" customWidth="1"/>
    <col min="12964" max="12964" width="12.44140625" style="571" customWidth="1"/>
    <col min="12965" max="12965" width="13.5546875" style="571" customWidth="1"/>
    <col min="12966" max="12966" width="2.109375" style="571" customWidth="1"/>
    <col min="12967" max="12967" width="9.109375" style="571"/>
    <col min="12968" max="12968" width="10.21875" style="571" customWidth="1"/>
    <col min="12969" max="12969" width="1.88671875" style="571" customWidth="1"/>
    <col min="12970" max="12970" width="10.77734375" style="571" customWidth="1"/>
    <col min="12971" max="12971" width="9.109375" style="571"/>
    <col min="12972" max="12972" width="2.109375" style="571" customWidth="1"/>
    <col min="12973" max="12973" width="9.109375" style="571"/>
    <col min="12974" max="12974" width="11.21875" style="571" customWidth="1"/>
    <col min="12975" max="12975" width="12.77734375" style="571" customWidth="1"/>
    <col min="12976" max="12976" width="12.5546875" style="571" customWidth="1"/>
    <col min="12977" max="12977" width="2" style="571" customWidth="1"/>
    <col min="12978" max="12979" width="9.109375" style="571"/>
    <col min="12980" max="12980" width="11" style="571" customWidth="1"/>
    <col min="12981" max="12981" width="9.109375" style="571"/>
    <col min="12982" max="12982" width="2.21875" style="571" customWidth="1"/>
    <col min="12983" max="12983" width="11" style="571" customWidth="1"/>
    <col min="12984" max="12984" width="9.109375" style="571"/>
    <col min="12985" max="12985" width="11.5546875" style="571" customWidth="1"/>
    <col min="12986" max="12986" width="11.21875" style="571" customWidth="1"/>
    <col min="12987" max="12987" width="2.88671875" style="571" customWidth="1"/>
    <col min="12988" max="12989" width="9.109375" style="571"/>
    <col min="12990" max="12990" width="11.21875" style="571" customWidth="1"/>
    <col min="12991" max="12991" width="2.21875" style="571" customWidth="1"/>
    <col min="12992" max="12992" width="9.109375" style="571"/>
    <col min="12993" max="12993" width="10.44140625" style="571" customWidth="1"/>
    <col min="12994" max="12994" width="9.109375" style="571"/>
    <col min="12995" max="12995" width="11.109375" style="571" customWidth="1"/>
    <col min="12996" max="12997" width="9.109375" style="571"/>
    <col min="12998" max="12998" width="10.88671875" style="571" customWidth="1"/>
    <col min="12999" max="13000" width="9.109375" style="571"/>
    <col min="13001" max="13001" width="1.5546875" style="571" customWidth="1"/>
    <col min="13002" max="13002" width="9.77734375" style="571" customWidth="1"/>
    <col min="13003" max="13006" width="9.109375" style="571"/>
    <col min="13007" max="13007" width="1.88671875" style="571" customWidth="1"/>
    <col min="13008" max="13008" width="9.88671875" style="571" customWidth="1"/>
    <col min="13009" max="13009" width="1.5546875" style="571" customWidth="1"/>
    <col min="13010" max="13010" width="11.44140625" style="571" customWidth="1"/>
    <col min="13011" max="13011" width="2.21875" style="571" customWidth="1"/>
    <col min="13012" max="13012" width="12" style="571" customWidth="1"/>
    <col min="13013" max="13013" width="2" style="571" customWidth="1"/>
    <col min="13014" max="13014" width="9.109375" style="571"/>
    <col min="13015" max="13015" width="11.109375" style="571" customWidth="1"/>
    <col min="13016" max="13016" width="12" style="571" customWidth="1"/>
    <col min="13017" max="13017" width="9.109375" style="571"/>
    <col min="13018" max="13018" width="11.88671875" style="571" customWidth="1"/>
    <col min="13019" max="13019" width="14.21875" style="571" customWidth="1"/>
    <col min="13020" max="13023" width="9.109375" style="571"/>
    <col min="13024" max="13024" width="3.44140625" style="571" customWidth="1"/>
    <col min="13025" max="13026" width="9.109375" style="571"/>
    <col min="13027" max="13027" width="11.44140625" style="571" customWidth="1"/>
    <col min="13028" max="13028" width="2.77734375" style="571" customWidth="1"/>
    <col min="13029" max="13211" width="9.109375" style="571"/>
    <col min="13212" max="13212" width="9.5546875" style="571" customWidth="1"/>
    <col min="13213" max="13213" width="11" style="571" customWidth="1"/>
    <col min="13214" max="13215" width="11.21875" style="571" customWidth="1"/>
    <col min="13216" max="13216" width="11.5546875" style="571" customWidth="1"/>
    <col min="13217" max="13217" width="11.109375" style="571" customWidth="1"/>
    <col min="13218" max="13218" width="2" style="571" customWidth="1"/>
    <col min="13219" max="13219" width="13.5546875" style="571" customWidth="1"/>
    <col min="13220" max="13220" width="12.44140625" style="571" customWidth="1"/>
    <col min="13221" max="13221" width="13.5546875" style="571" customWidth="1"/>
    <col min="13222" max="13222" width="2.109375" style="571" customWidth="1"/>
    <col min="13223" max="13223" width="9.109375" style="571"/>
    <col min="13224" max="13224" width="10.21875" style="571" customWidth="1"/>
    <col min="13225" max="13225" width="1.88671875" style="571" customWidth="1"/>
    <col min="13226" max="13226" width="10.77734375" style="571" customWidth="1"/>
    <col min="13227" max="13227" width="9.109375" style="571"/>
    <col min="13228" max="13228" width="2.109375" style="571" customWidth="1"/>
    <col min="13229" max="13229" width="9.109375" style="571"/>
    <col min="13230" max="13230" width="11.21875" style="571" customWidth="1"/>
    <col min="13231" max="13231" width="12.77734375" style="571" customWidth="1"/>
    <col min="13232" max="13232" width="12.5546875" style="571" customWidth="1"/>
    <col min="13233" max="13233" width="2" style="571" customWidth="1"/>
    <col min="13234" max="13235" width="9.109375" style="571"/>
    <col min="13236" max="13236" width="11" style="571" customWidth="1"/>
    <col min="13237" max="13237" width="9.109375" style="571"/>
    <col min="13238" max="13238" width="2.21875" style="571" customWidth="1"/>
    <col min="13239" max="13239" width="11" style="571" customWidth="1"/>
    <col min="13240" max="13240" width="9.109375" style="571"/>
    <col min="13241" max="13241" width="11.5546875" style="571" customWidth="1"/>
    <col min="13242" max="13242" width="11.21875" style="571" customWidth="1"/>
    <col min="13243" max="13243" width="2.88671875" style="571" customWidth="1"/>
    <col min="13244" max="13245" width="9.109375" style="571"/>
    <col min="13246" max="13246" width="11.21875" style="571" customWidth="1"/>
    <col min="13247" max="13247" width="2.21875" style="571" customWidth="1"/>
    <col min="13248" max="13248" width="9.109375" style="571"/>
    <col min="13249" max="13249" width="10.44140625" style="571" customWidth="1"/>
    <col min="13250" max="13250" width="9.109375" style="571"/>
    <col min="13251" max="13251" width="11.109375" style="571" customWidth="1"/>
    <col min="13252" max="13253" width="9.109375" style="571"/>
    <col min="13254" max="13254" width="10.88671875" style="571" customWidth="1"/>
    <col min="13255" max="13256" width="9.109375" style="571"/>
    <col min="13257" max="13257" width="1.5546875" style="571" customWidth="1"/>
    <col min="13258" max="13258" width="9.77734375" style="571" customWidth="1"/>
    <col min="13259" max="13262" width="9.109375" style="571"/>
    <col min="13263" max="13263" width="1.88671875" style="571" customWidth="1"/>
    <col min="13264" max="13264" width="9.88671875" style="571" customWidth="1"/>
    <col min="13265" max="13265" width="1.5546875" style="571" customWidth="1"/>
    <col min="13266" max="13266" width="11.44140625" style="571" customWidth="1"/>
    <col min="13267" max="13267" width="2.21875" style="571" customWidth="1"/>
    <col min="13268" max="13268" width="12" style="571" customWidth="1"/>
    <col min="13269" max="13269" width="2" style="571" customWidth="1"/>
    <col min="13270" max="13270" width="9.109375" style="571"/>
    <col min="13271" max="13271" width="11.109375" style="571" customWidth="1"/>
    <col min="13272" max="13272" width="12" style="571" customWidth="1"/>
    <col min="13273" max="13273" width="9.109375" style="571"/>
    <col min="13274" max="13274" width="11.88671875" style="571" customWidth="1"/>
    <col min="13275" max="13275" width="14.21875" style="571" customWidth="1"/>
    <col min="13276" max="13279" width="9.109375" style="571"/>
    <col min="13280" max="13280" width="3.44140625" style="571" customWidth="1"/>
    <col min="13281" max="13282" width="9.109375" style="571"/>
    <col min="13283" max="13283" width="11.44140625" style="571" customWidth="1"/>
    <col min="13284" max="13284" width="2.77734375" style="571" customWidth="1"/>
    <col min="13285" max="13467" width="9.109375" style="571"/>
    <col min="13468" max="13468" width="9.5546875" style="571" customWidth="1"/>
    <col min="13469" max="13469" width="11" style="571" customWidth="1"/>
    <col min="13470" max="13471" width="11.21875" style="571" customWidth="1"/>
    <col min="13472" max="13472" width="11.5546875" style="571" customWidth="1"/>
    <col min="13473" max="13473" width="11.109375" style="571" customWidth="1"/>
    <col min="13474" max="13474" width="2" style="571" customWidth="1"/>
    <col min="13475" max="13475" width="13.5546875" style="571" customWidth="1"/>
    <col min="13476" max="13476" width="12.44140625" style="571" customWidth="1"/>
    <col min="13477" max="13477" width="13.5546875" style="571" customWidth="1"/>
    <col min="13478" max="13478" width="2.109375" style="571" customWidth="1"/>
    <col min="13479" max="13479" width="9.109375" style="571"/>
    <col min="13480" max="13480" width="10.21875" style="571" customWidth="1"/>
    <col min="13481" max="13481" width="1.88671875" style="571" customWidth="1"/>
    <col min="13482" max="13482" width="10.77734375" style="571" customWidth="1"/>
    <col min="13483" max="13483" width="9.109375" style="571"/>
    <col min="13484" max="13484" width="2.109375" style="571" customWidth="1"/>
    <col min="13485" max="13485" width="9.109375" style="571"/>
    <col min="13486" max="13486" width="11.21875" style="571" customWidth="1"/>
    <col min="13487" max="13487" width="12.77734375" style="571" customWidth="1"/>
    <col min="13488" max="13488" width="12.5546875" style="571" customWidth="1"/>
    <col min="13489" max="13489" width="2" style="571" customWidth="1"/>
    <col min="13490" max="13491" width="9.109375" style="571"/>
    <col min="13492" max="13492" width="11" style="571" customWidth="1"/>
    <col min="13493" max="13493" width="9.109375" style="571"/>
    <col min="13494" max="13494" width="2.21875" style="571" customWidth="1"/>
    <col min="13495" max="13495" width="11" style="571" customWidth="1"/>
    <col min="13496" max="13496" width="9.109375" style="571"/>
    <col min="13497" max="13497" width="11.5546875" style="571" customWidth="1"/>
    <col min="13498" max="13498" width="11.21875" style="571" customWidth="1"/>
    <col min="13499" max="13499" width="2.88671875" style="571" customWidth="1"/>
    <col min="13500" max="13501" width="9.109375" style="571"/>
    <col min="13502" max="13502" width="11.21875" style="571" customWidth="1"/>
    <col min="13503" max="13503" width="2.21875" style="571" customWidth="1"/>
    <col min="13504" max="13504" width="9.109375" style="571"/>
    <col min="13505" max="13505" width="10.44140625" style="571" customWidth="1"/>
    <col min="13506" max="13506" width="9.109375" style="571"/>
    <col min="13507" max="13507" width="11.109375" style="571" customWidth="1"/>
    <col min="13508" max="13509" width="9.109375" style="571"/>
    <col min="13510" max="13510" width="10.88671875" style="571" customWidth="1"/>
    <col min="13511" max="13512" width="9.109375" style="571"/>
    <col min="13513" max="13513" width="1.5546875" style="571" customWidth="1"/>
    <col min="13514" max="13514" width="9.77734375" style="571" customWidth="1"/>
    <col min="13515" max="13518" width="9.109375" style="571"/>
    <col min="13519" max="13519" width="1.88671875" style="571" customWidth="1"/>
    <col min="13520" max="13520" width="9.88671875" style="571" customWidth="1"/>
    <col min="13521" max="13521" width="1.5546875" style="571" customWidth="1"/>
    <col min="13522" max="13522" width="11.44140625" style="571" customWidth="1"/>
    <col min="13523" max="13523" width="2.21875" style="571" customWidth="1"/>
    <col min="13524" max="13524" width="12" style="571" customWidth="1"/>
    <col min="13525" max="13525" width="2" style="571" customWidth="1"/>
    <col min="13526" max="13526" width="9.109375" style="571"/>
    <col min="13527" max="13527" width="11.109375" style="571" customWidth="1"/>
    <col min="13528" max="13528" width="12" style="571" customWidth="1"/>
    <col min="13529" max="13529" width="9.109375" style="571"/>
    <col min="13530" max="13530" width="11.88671875" style="571" customWidth="1"/>
    <col min="13531" max="13531" width="14.21875" style="571" customWidth="1"/>
    <col min="13532" max="13535" width="9.109375" style="571"/>
    <col min="13536" max="13536" width="3.44140625" style="571" customWidth="1"/>
    <col min="13537" max="13538" width="9.109375" style="571"/>
    <col min="13539" max="13539" width="11.44140625" style="571" customWidth="1"/>
    <col min="13540" max="13540" width="2.77734375" style="571" customWidth="1"/>
    <col min="13541" max="13723" width="9.109375" style="571"/>
    <col min="13724" max="13724" width="9.5546875" style="571" customWidth="1"/>
    <col min="13725" max="13725" width="11" style="571" customWidth="1"/>
    <col min="13726" max="13727" width="11.21875" style="571" customWidth="1"/>
    <col min="13728" max="13728" width="11.5546875" style="571" customWidth="1"/>
    <col min="13729" max="13729" width="11.109375" style="571" customWidth="1"/>
    <col min="13730" max="13730" width="2" style="571" customWidth="1"/>
    <col min="13731" max="13731" width="13.5546875" style="571" customWidth="1"/>
    <col min="13732" max="13732" width="12.44140625" style="571" customWidth="1"/>
    <col min="13733" max="13733" width="13.5546875" style="571" customWidth="1"/>
    <col min="13734" max="13734" width="2.109375" style="571" customWidth="1"/>
    <col min="13735" max="13735" width="9.109375" style="571"/>
    <col min="13736" max="13736" width="10.21875" style="571" customWidth="1"/>
    <col min="13737" max="13737" width="1.88671875" style="571" customWidth="1"/>
    <col min="13738" max="13738" width="10.77734375" style="571" customWidth="1"/>
    <col min="13739" max="13739" width="9.109375" style="571"/>
    <col min="13740" max="13740" width="2.109375" style="571" customWidth="1"/>
    <col min="13741" max="13741" width="9.109375" style="571"/>
    <col min="13742" max="13742" width="11.21875" style="571" customWidth="1"/>
    <col min="13743" max="13743" width="12.77734375" style="571" customWidth="1"/>
    <col min="13744" max="13744" width="12.5546875" style="571" customWidth="1"/>
    <col min="13745" max="13745" width="2" style="571" customWidth="1"/>
    <col min="13746" max="13747" width="9.109375" style="571"/>
    <col min="13748" max="13748" width="11" style="571" customWidth="1"/>
    <col min="13749" max="13749" width="9.109375" style="571"/>
    <col min="13750" max="13750" width="2.21875" style="571" customWidth="1"/>
    <col min="13751" max="13751" width="11" style="571" customWidth="1"/>
    <col min="13752" max="13752" width="9.109375" style="571"/>
    <col min="13753" max="13753" width="11.5546875" style="571" customWidth="1"/>
    <col min="13754" max="13754" width="11.21875" style="571" customWidth="1"/>
    <col min="13755" max="13755" width="2.88671875" style="571" customWidth="1"/>
    <col min="13756" max="13757" width="9.109375" style="571"/>
    <col min="13758" max="13758" width="11.21875" style="571" customWidth="1"/>
    <col min="13759" max="13759" width="2.21875" style="571" customWidth="1"/>
    <col min="13760" max="13760" width="9.109375" style="571"/>
    <col min="13761" max="13761" width="10.44140625" style="571" customWidth="1"/>
    <col min="13762" max="13762" width="9.109375" style="571"/>
    <col min="13763" max="13763" width="11.109375" style="571" customWidth="1"/>
    <col min="13764" max="13765" width="9.109375" style="571"/>
    <col min="13766" max="13766" width="10.88671875" style="571" customWidth="1"/>
    <col min="13767" max="13768" width="9.109375" style="571"/>
    <col min="13769" max="13769" width="1.5546875" style="571" customWidth="1"/>
    <col min="13770" max="13770" width="9.77734375" style="571" customWidth="1"/>
    <col min="13771" max="13774" width="9.109375" style="571"/>
    <col min="13775" max="13775" width="1.88671875" style="571" customWidth="1"/>
    <col min="13776" max="13776" width="9.88671875" style="571" customWidth="1"/>
    <col min="13777" max="13777" width="1.5546875" style="571" customWidth="1"/>
    <col min="13778" max="13778" width="11.44140625" style="571" customWidth="1"/>
    <col min="13779" max="13779" width="2.21875" style="571" customWidth="1"/>
    <col min="13780" max="13780" width="12" style="571" customWidth="1"/>
    <col min="13781" max="13781" width="2" style="571" customWidth="1"/>
    <col min="13782" max="13782" width="9.109375" style="571"/>
    <col min="13783" max="13783" width="11.109375" style="571" customWidth="1"/>
    <col min="13784" max="13784" width="12" style="571" customWidth="1"/>
    <col min="13785" max="13785" width="9.109375" style="571"/>
    <col min="13786" max="13786" width="11.88671875" style="571" customWidth="1"/>
    <col min="13787" max="13787" width="14.21875" style="571" customWidth="1"/>
    <col min="13788" max="13791" width="9.109375" style="571"/>
    <col min="13792" max="13792" width="3.44140625" style="571" customWidth="1"/>
    <col min="13793" max="13794" width="9.109375" style="571"/>
    <col min="13795" max="13795" width="11.44140625" style="571" customWidth="1"/>
    <col min="13796" max="13796" width="2.77734375" style="571" customWidth="1"/>
    <col min="13797" max="13979" width="9.109375" style="571"/>
    <col min="13980" max="13980" width="9.5546875" style="571" customWidth="1"/>
    <col min="13981" max="13981" width="11" style="571" customWidth="1"/>
    <col min="13982" max="13983" width="11.21875" style="571" customWidth="1"/>
    <col min="13984" max="13984" width="11.5546875" style="571" customWidth="1"/>
    <col min="13985" max="13985" width="11.109375" style="571" customWidth="1"/>
    <col min="13986" max="13986" width="2" style="571" customWidth="1"/>
    <col min="13987" max="13987" width="13.5546875" style="571" customWidth="1"/>
    <col min="13988" max="13988" width="12.44140625" style="571" customWidth="1"/>
    <col min="13989" max="13989" width="13.5546875" style="571" customWidth="1"/>
    <col min="13990" max="13990" width="2.109375" style="571" customWidth="1"/>
    <col min="13991" max="13991" width="9.109375" style="571"/>
    <col min="13992" max="13992" width="10.21875" style="571" customWidth="1"/>
    <col min="13993" max="13993" width="1.88671875" style="571" customWidth="1"/>
    <col min="13994" max="13994" width="10.77734375" style="571" customWidth="1"/>
    <col min="13995" max="13995" width="9.109375" style="571"/>
    <col min="13996" max="13996" width="2.109375" style="571" customWidth="1"/>
    <col min="13997" max="13997" width="9.109375" style="571"/>
    <col min="13998" max="13998" width="11.21875" style="571" customWidth="1"/>
    <col min="13999" max="13999" width="12.77734375" style="571" customWidth="1"/>
    <col min="14000" max="14000" width="12.5546875" style="571" customWidth="1"/>
    <col min="14001" max="14001" width="2" style="571" customWidth="1"/>
    <col min="14002" max="14003" width="9.109375" style="571"/>
    <col min="14004" max="14004" width="11" style="571" customWidth="1"/>
    <col min="14005" max="14005" width="9.109375" style="571"/>
    <col min="14006" max="14006" width="2.21875" style="571" customWidth="1"/>
    <col min="14007" max="14007" width="11" style="571" customWidth="1"/>
    <col min="14008" max="14008" width="9.109375" style="571"/>
    <col min="14009" max="14009" width="11.5546875" style="571" customWidth="1"/>
    <col min="14010" max="14010" width="11.21875" style="571" customWidth="1"/>
    <col min="14011" max="14011" width="2.88671875" style="571" customWidth="1"/>
    <col min="14012" max="14013" width="9.109375" style="571"/>
    <col min="14014" max="14014" width="11.21875" style="571" customWidth="1"/>
    <col min="14015" max="14015" width="2.21875" style="571" customWidth="1"/>
    <col min="14016" max="14016" width="9.109375" style="571"/>
    <col min="14017" max="14017" width="10.44140625" style="571" customWidth="1"/>
    <col min="14018" max="14018" width="9.109375" style="571"/>
    <col min="14019" max="14019" width="11.109375" style="571" customWidth="1"/>
    <col min="14020" max="14021" width="9.109375" style="571"/>
    <col min="14022" max="14022" width="10.88671875" style="571" customWidth="1"/>
    <col min="14023" max="14024" width="9.109375" style="571"/>
    <col min="14025" max="14025" width="1.5546875" style="571" customWidth="1"/>
    <col min="14026" max="14026" width="9.77734375" style="571" customWidth="1"/>
    <col min="14027" max="14030" width="9.109375" style="571"/>
    <col min="14031" max="14031" width="1.88671875" style="571" customWidth="1"/>
    <col min="14032" max="14032" width="9.88671875" style="571" customWidth="1"/>
    <col min="14033" max="14033" width="1.5546875" style="571" customWidth="1"/>
    <col min="14034" max="14034" width="11.44140625" style="571" customWidth="1"/>
    <col min="14035" max="14035" width="2.21875" style="571" customWidth="1"/>
    <col min="14036" max="14036" width="12" style="571" customWidth="1"/>
    <col min="14037" max="14037" width="2" style="571" customWidth="1"/>
    <col min="14038" max="14038" width="9.109375" style="571"/>
    <col min="14039" max="14039" width="11.109375" style="571" customWidth="1"/>
    <col min="14040" max="14040" width="12" style="571" customWidth="1"/>
    <col min="14041" max="14041" width="9.109375" style="571"/>
    <col min="14042" max="14042" width="11.88671875" style="571" customWidth="1"/>
    <col min="14043" max="14043" width="14.21875" style="571" customWidth="1"/>
    <col min="14044" max="14047" width="9.109375" style="571"/>
    <col min="14048" max="14048" width="3.44140625" style="571" customWidth="1"/>
    <col min="14049" max="14050" width="9.109375" style="571"/>
    <col min="14051" max="14051" width="11.44140625" style="571" customWidth="1"/>
    <col min="14052" max="14052" width="2.77734375" style="571" customWidth="1"/>
    <col min="14053" max="14235" width="9.109375" style="571"/>
    <col min="14236" max="14236" width="9.5546875" style="571" customWidth="1"/>
    <col min="14237" max="14237" width="11" style="571" customWidth="1"/>
    <col min="14238" max="14239" width="11.21875" style="571" customWidth="1"/>
    <col min="14240" max="14240" width="11.5546875" style="571" customWidth="1"/>
    <col min="14241" max="14241" width="11.109375" style="571" customWidth="1"/>
    <col min="14242" max="14242" width="2" style="571" customWidth="1"/>
    <col min="14243" max="14243" width="13.5546875" style="571" customWidth="1"/>
    <col min="14244" max="14244" width="12.44140625" style="571" customWidth="1"/>
    <col min="14245" max="14245" width="13.5546875" style="571" customWidth="1"/>
    <col min="14246" max="14246" width="2.109375" style="571" customWidth="1"/>
    <col min="14247" max="14247" width="9.109375" style="571"/>
    <col min="14248" max="14248" width="10.21875" style="571" customWidth="1"/>
    <col min="14249" max="14249" width="1.88671875" style="571" customWidth="1"/>
    <col min="14250" max="14250" width="10.77734375" style="571" customWidth="1"/>
    <col min="14251" max="14251" width="9.109375" style="571"/>
    <col min="14252" max="14252" width="2.109375" style="571" customWidth="1"/>
    <col min="14253" max="14253" width="9.109375" style="571"/>
    <col min="14254" max="14254" width="11.21875" style="571" customWidth="1"/>
    <col min="14255" max="14255" width="12.77734375" style="571" customWidth="1"/>
    <col min="14256" max="14256" width="12.5546875" style="571" customWidth="1"/>
    <col min="14257" max="14257" width="2" style="571" customWidth="1"/>
    <col min="14258" max="14259" width="9.109375" style="571"/>
    <col min="14260" max="14260" width="11" style="571" customWidth="1"/>
    <col min="14261" max="14261" width="9.109375" style="571"/>
    <col min="14262" max="14262" width="2.21875" style="571" customWidth="1"/>
    <col min="14263" max="14263" width="11" style="571" customWidth="1"/>
    <col min="14264" max="14264" width="9.109375" style="571"/>
    <col min="14265" max="14265" width="11.5546875" style="571" customWidth="1"/>
    <col min="14266" max="14266" width="11.21875" style="571" customWidth="1"/>
    <col min="14267" max="14267" width="2.88671875" style="571" customWidth="1"/>
    <col min="14268" max="14269" width="9.109375" style="571"/>
    <col min="14270" max="14270" width="11.21875" style="571" customWidth="1"/>
    <col min="14271" max="14271" width="2.21875" style="571" customWidth="1"/>
    <col min="14272" max="14272" width="9.109375" style="571"/>
    <col min="14273" max="14273" width="10.44140625" style="571" customWidth="1"/>
    <col min="14274" max="14274" width="9.109375" style="571"/>
    <col min="14275" max="14275" width="11.109375" style="571" customWidth="1"/>
    <col min="14276" max="14277" width="9.109375" style="571"/>
    <col min="14278" max="14278" width="10.88671875" style="571" customWidth="1"/>
    <col min="14279" max="14280" width="9.109375" style="571"/>
    <col min="14281" max="14281" width="1.5546875" style="571" customWidth="1"/>
    <col min="14282" max="14282" width="9.77734375" style="571" customWidth="1"/>
    <col min="14283" max="14286" width="9.109375" style="571"/>
    <col min="14287" max="14287" width="1.88671875" style="571" customWidth="1"/>
    <col min="14288" max="14288" width="9.88671875" style="571" customWidth="1"/>
    <col min="14289" max="14289" width="1.5546875" style="571" customWidth="1"/>
    <col min="14290" max="14290" width="11.44140625" style="571" customWidth="1"/>
    <col min="14291" max="14291" width="2.21875" style="571" customWidth="1"/>
    <col min="14292" max="14292" width="12" style="571" customWidth="1"/>
    <col min="14293" max="14293" width="2" style="571" customWidth="1"/>
    <col min="14294" max="14294" width="9.109375" style="571"/>
    <col min="14295" max="14295" width="11.109375" style="571" customWidth="1"/>
    <col min="14296" max="14296" width="12" style="571" customWidth="1"/>
    <col min="14297" max="14297" width="9.109375" style="571"/>
    <col min="14298" max="14298" width="11.88671875" style="571" customWidth="1"/>
    <col min="14299" max="14299" width="14.21875" style="571" customWidth="1"/>
    <col min="14300" max="14303" width="9.109375" style="571"/>
    <col min="14304" max="14304" width="3.44140625" style="571" customWidth="1"/>
    <col min="14305" max="14306" width="9.109375" style="571"/>
    <col min="14307" max="14307" width="11.44140625" style="571" customWidth="1"/>
    <col min="14308" max="14308" width="2.77734375" style="571" customWidth="1"/>
    <col min="14309" max="14491" width="9.109375" style="571"/>
    <col min="14492" max="14492" width="9.5546875" style="571" customWidth="1"/>
    <col min="14493" max="14493" width="11" style="571" customWidth="1"/>
    <col min="14494" max="14495" width="11.21875" style="571" customWidth="1"/>
    <col min="14496" max="14496" width="11.5546875" style="571" customWidth="1"/>
    <col min="14497" max="14497" width="11.109375" style="571" customWidth="1"/>
    <col min="14498" max="14498" width="2" style="571" customWidth="1"/>
    <col min="14499" max="14499" width="13.5546875" style="571" customWidth="1"/>
    <col min="14500" max="14500" width="12.44140625" style="571" customWidth="1"/>
    <col min="14501" max="14501" width="13.5546875" style="571" customWidth="1"/>
    <col min="14502" max="14502" width="2.109375" style="571" customWidth="1"/>
    <col min="14503" max="14503" width="9.109375" style="571"/>
    <col min="14504" max="14504" width="10.21875" style="571" customWidth="1"/>
    <col min="14505" max="14505" width="1.88671875" style="571" customWidth="1"/>
    <col min="14506" max="14506" width="10.77734375" style="571" customWidth="1"/>
    <col min="14507" max="14507" width="9.109375" style="571"/>
    <col min="14508" max="14508" width="2.109375" style="571" customWidth="1"/>
    <col min="14509" max="14509" width="9.109375" style="571"/>
    <col min="14510" max="14510" width="11.21875" style="571" customWidth="1"/>
    <col min="14511" max="14511" width="12.77734375" style="571" customWidth="1"/>
    <col min="14512" max="14512" width="12.5546875" style="571" customWidth="1"/>
    <col min="14513" max="14513" width="2" style="571" customWidth="1"/>
    <col min="14514" max="14515" width="9.109375" style="571"/>
    <col min="14516" max="14516" width="11" style="571" customWidth="1"/>
    <col min="14517" max="14517" width="9.109375" style="571"/>
    <col min="14518" max="14518" width="2.21875" style="571" customWidth="1"/>
    <col min="14519" max="14519" width="11" style="571" customWidth="1"/>
    <col min="14520" max="14520" width="9.109375" style="571"/>
    <col min="14521" max="14521" width="11.5546875" style="571" customWidth="1"/>
    <col min="14522" max="14522" width="11.21875" style="571" customWidth="1"/>
    <col min="14523" max="14523" width="2.88671875" style="571" customWidth="1"/>
    <col min="14524" max="14525" width="9.109375" style="571"/>
    <col min="14526" max="14526" width="11.21875" style="571" customWidth="1"/>
    <col min="14527" max="14527" width="2.21875" style="571" customWidth="1"/>
    <col min="14528" max="14528" width="9.109375" style="571"/>
    <col min="14529" max="14529" width="10.44140625" style="571" customWidth="1"/>
    <col min="14530" max="14530" width="9.109375" style="571"/>
    <col min="14531" max="14531" width="11.109375" style="571" customWidth="1"/>
    <col min="14532" max="14533" width="9.109375" style="571"/>
    <col min="14534" max="14534" width="10.88671875" style="571" customWidth="1"/>
    <col min="14535" max="14536" width="9.109375" style="571"/>
    <col min="14537" max="14537" width="1.5546875" style="571" customWidth="1"/>
    <col min="14538" max="14538" width="9.77734375" style="571" customWidth="1"/>
    <col min="14539" max="14542" width="9.109375" style="571"/>
    <col min="14543" max="14543" width="1.88671875" style="571" customWidth="1"/>
    <col min="14544" max="14544" width="9.88671875" style="571" customWidth="1"/>
    <col min="14545" max="14545" width="1.5546875" style="571" customWidth="1"/>
    <col min="14546" max="14546" width="11.44140625" style="571" customWidth="1"/>
    <col min="14547" max="14547" width="2.21875" style="571" customWidth="1"/>
    <col min="14548" max="14548" width="12" style="571" customWidth="1"/>
    <col min="14549" max="14549" width="2" style="571" customWidth="1"/>
    <col min="14550" max="14550" width="9.109375" style="571"/>
    <col min="14551" max="14551" width="11.109375" style="571" customWidth="1"/>
    <col min="14552" max="14552" width="12" style="571" customWidth="1"/>
    <col min="14553" max="14553" width="9.109375" style="571"/>
    <col min="14554" max="14554" width="11.88671875" style="571" customWidth="1"/>
    <col min="14555" max="14555" width="14.21875" style="571" customWidth="1"/>
    <col min="14556" max="14559" width="9.109375" style="571"/>
    <col min="14560" max="14560" width="3.44140625" style="571" customWidth="1"/>
    <col min="14561" max="14562" width="9.109375" style="571"/>
    <col min="14563" max="14563" width="11.44140625" style="571" customWidth="1"/>
    <col min="14564" max="14564" width="2.77734375" style="571" customWidth="1"/>
    <col min="14565" max="14747" width="9.109375" style="571"/>
    <col min="14748" max="14748" width="9.5546875" style="571" customWidth="1"/>
    <col min="14749" max="14749" width="11" style="571" customWidth="1"/>
    <col min="14750" max="14751" width="11.21875" style="571" customWidth="1"/>
    <col min="14752" max="14752" width="11.5546875" style="571" customWidth="1"/>
    <col min="14753" max="14753" width="11.109375" style="571" customWidth="1"/>
    <col min="14754" max="14754" width="2" style="571" customWidth="1"/>
    <col min="14755" max="14755" width="13.5546875" style="571" customWidth="1"/>
    <col min="14756" max="14756" width="12.44140625" style="571" customWidth="1"/>
    <col min="14757" max="14757" width="13.5546875" style="571" customWidth="1"/>
    <col min="14758" max="14758" width="2.109375" style="571" customWidth="1"/>
    <col min="14759" max="14759" width="9.109375" style="571"/>
    <col min="14760" max="14760" width="10.21875" style="571" customWidth="1"/>
    <col min="14761" max="14761" width="1.88671875" style="571" customWidth="1"/>
    <col min="14762" max="14762" width="10.77734375" style="571" customWidth="1"/>
    <col min="14763" max="14763" width="9.109375" style="571"/>
    <col min="14764" max="14764" width="2.109375" style="571" customWidth="1"/>
    <col min="14765" max="14765" width="9.109375" style="571"/>
    <col min="14766" max="14766" width="11.21875" style="571" customWidth="1"/>
    <col min="14767" max="14767" width="12.77734375" style="571" customWidth="1"/>
    <col min="14768" max="14768" width="12.5546875" style="571" customWidth="1"/>
    <col min="14769" max="14769" width="2" style="571" customWidth="1"/>
    <col min="14770" max="14771" width="9.109375" style="571"/>
    <col min="14772" max="14772" width="11" style="571" customWidth="1"/>
    <col min="14773" max="14773" width="9.109375" style="571"/>
    <col min="14774" max="14774" width="2.21875" style="571" customWidth="1"/>
    <col min="14775" max="14775" width="11" style="571" customWidth="1"/>
    <col min="14776" max="14776" width="9.109375" style="571"/>
    <col min="14777" max="14777" width="11.5546875" style="571" customWidth="1"/>
    <col min="14778" max="14778" width="11.21875" style="571" customWidth="1"/>
    <col min="14779" max="14779" width="2.88671875" style="571" customWidth="1"/>
    <col min="14780" max="14781" width="9.109375" style="571"/>
    <col min="14782" max="14782" width="11.21875" style="571" customWidth="1"/>
    <col min="14783" max="14783" width="2.21875" style="571" customWidth="1"/>
    <col min="14784" max="14784" width="9.109375" style="571"/>
    <col min="14785" max="14785" width="10.44140625" style="571" customWidth="1"/>
    <col min="14786" max="14786" width="9.109375" style="571"/>
    <col min="14787" max="14787" width="11.109375" style="571" customWidth="1"/>
    <col min="14788" max="14789" width="9.109375" style="571"/>
    <col min="14790" max="14790" width="10.88671875" style="571" customWidth="1"/>
    <col min="14791" max="14792" width="9.109375" style="571"/>
    <col min="14793" max="14793" width="1.5546875" style="571" customWidth="1"/>
    <col min="14794" max="14794" width="9.77734375" style="571" customWidth="1"/>
    <col min="14795" max="14798" width="9.109375" style="571"/>
    <col min="14799" max="14799" width="1.88671875" style="571" customWidth="1"/>
    <col min="14800" max="14800" width="9.88671875" style="571" customWidth="1"/>
    <col min="14801" max="14801" width="1.5546875" style="571" customWidth="1"/>
    <col min="14802" max="14802" width="11.44140625" style="571" customWidth="1"/>
    <col min="14803" max="14803" width="2.21875" style="571" customWidth="1"/>
    <col min="14804" max="14804" width="12" style="571" customWidth="1"/>
    <col min="14805" max="14805" width="2" style="571" customWidth="1"/>
    <col min="14806" max="14806" width="9.109375" style="571"/>
    <col min="14807" max="14807" width="11.109375" style="571" customWidth="1"/>
    <col min="14808" max="14808" width="12" style="571" customWidth="1"/>
    <col min="14809" max="14809" width="9.109375" style="571"/>
    <col min="14810" max="14810" width="11.88671875" style="571" customWidth="1"/>
    <col min="14811" max="14811" width="14.21875" style="571" customWidth="1"/>
    <col min="14812" max="14815" width="9.109375" style="571"/>
    <col min="14816" max="14816" width="3.44140625" style="571" customWidth="1"/>
    <col min="14817" max="14818" width="9.109375" style="571"/>
    <col min="14819" max="14819" width="11.44140625" style="571" customWidth="1"/>
    <col min="14820" max="14820" width="2.77734375" style="571" customWidth="1"/>
    <col min="14821" max="15003" width="9.109375" style="571"/>
    <col min="15004" max="15004" width="9.5546875" style="571" customWidth="1"/>
    <col min="15005" max="15005" width="11" style="571" customWidth="1"/>
    <col min="15006" max="15007" width="11.21875" style="571" customWidth="1"/>
    <col min="15008" max="15008" width="11.5546875" style="571" customWidth="1"/>
    <col min="15009" max="15009" width="11.109375" style="571" customWidth="1"/>
    <col min="15010" max="15010" width="2" style="571" customWidth="1"/>
    <col min="15011" max="15011" width="13.5546875" style="571" customWidth="1"/>
    <col min="15012" max="15012" width="12.44140625" style="571" customWidth="1"/>
    <col min="15013" max="15013" width="13.5546875" style="571" customWidth="1"/>
    <col min="15014" max="15014" width="2.109375" style="571" customWidth="1"/>
    <col min="15015" max="15015" width="9.109375" style="571"/>
    <col min="15016" max="15016" width="10.21875" style="571" customWidth="1"/>
    <col min="15017" max="15017" width="1.88671875" style="571" customWidth="1"/>
    <col min="15018" max="15018" width="10.77734375" style="571" customWidth="1"/>
    <col min="15019" max="15019" width="9.109375" style="571"/>
    <col min="15020" max="15020" width="2.109375" style="571" customWidth="1"/>
    <col min="15021" max="15021" width="9.109375" style="571"/>
    <col min="15022" max="15022" width="11.21875" style="571" customWidth="1"/>
    <col min="15023" max="15023" width="12.77734375" style="571" customWidth="1"/>
    <col min="15024" max="15024" width="12.5546875" style="571" customWidth="1"/>
    <col min="15025" max="15025" width="2" style="571" customWidth="1"/>
    <col min="15026" max="15027" width="9.109375" style="571"/>
    <col min="15028" max="15028" width="11" style="571" customWidth="1"/>
    <col min="15029" max="15029" width="9.109375" style="571"/>
    <col min="15030" max="15030" width="2.21875" style="571" customWidth="1"/>
    <col min="15031" max="15031" width="11" style="571" customWidth="1"/>
    <col min="15032" max="15032" width="9.109375" style="571"/>
    <col min="15033" max="15033" width="11.5546875" style="571" customWidth="1"/>
    <col min="15034" max="15034" width="11.21875" style="571" customWidth="1"/>
    <col min="15035" max="15035" width="2.88671875" style="571" customWidth="1"/>
    <col min="15036" max="15037" width="9.109375" style="571"/>
    <col min="15038" max="15038" width="11.21875" style="571" customWidth="1"/>
    <col min="15039" max="15039" width="2.21875" style="571" customWidth="1"/>
    <col min="15040" max="15040" width="9.109375" style="571"/>
    <col min="15041" max="15041" width="10.44140625" style="571" customWidth="1"/>
    <col min="15042" max="15042" width="9.109375" style="571"/>
    <col min="15043" max="15043" width="11.109375" style="571" customWidth="1"/>
    <col min="15044" max="15045" width="9.109375" style="571"/>
    <col min="15046" max="15046" width="10.88671875" style="571" customWidth="1"/>
    <col min="15047" max="15048" width="9.109375" style="571"/>
    <col min="15049" max="15049" width="1.5546875" style="571" customWidth="1"/>
    <col min="15050" max="15050" width="9.77734375" style="571" customWidth="1"/>
    <col min="15051" max="15054" width="9.109375" style="571"/>
    <col min="15055" max="15055" width="1.88671875" style="571" customWidth="1"/>
    <col min="15056" max="15056" width="9.88671875" style="571" customWidth="1"/>
    <col min="15057" max="15057" width="1.5546875" style="571" customWidth="1"/>
    <col min="15058" max="15058" width="11.44140625" style="571" customWidth="1"/>
    <col min="15059" max="15059" width="2.21875" style="571" customWidth="1"/>
    <col min="15060" max="15060" width="12" style="571" customWidth="1"/>
    <col min="15061" max="15061" width="2" style="571" customWidth="1"/>
    <col min="15062" max="15062" width="9.109375" style="571"/>
    <col min="15063" max="15063" width="11.109375" style="571" customWidth="1"/>
    <col min="15064" max="15064" width="12" style="571" customWidth="1"/>
    <col min="15065" max="15065" width="9.109375" style="571"/>
    <col min="15066" max="15066" width="11.88671875" style="571" customWidth="1"/>
    <col min="15067" max="15067" width="14.21875" style="571" customWidth="1"/>
    <col min="15068" max="15071" width="9.109375" style="571"/>
    <col min="15072" max="15072" width="3.44140625" style="571" customWidth="1"/>
    <col min="15073" max="15074" width="9.109375" style="571"/>
    <col min="15075" max="15075" width="11.44140625" style="571" customWidth="1"/>
    <col min="15076" max="15076" width="2.77734375" style="571" customWidth="1"/>
    <col min="15077" max="15259" width="9.109375" style="571"/>
    <col min="15260" max="15260" width="9.5546875" style="571" customWidth="1"/>
    <col min="15261" max="15261" width="11" style="571" customWidth="1"/>
    <col min="15262" max="15263" width="11.21875" style="571" customWidth="1"/>
    <col min="15264" max="15264" width="11.5546875" style="571" customWidth="1"/>
    <col min="15265" max="15265" width="11.109375" style="571" customWidth="1"/>
    <col min="15266" max="15266" width="2" style="571" customWidth="1"/>
    <col min="15267" max="15267" width="13.5546875" style="571" customWidth="1"/>
    <col min="15268" max="15268" width="12.44140625" style="571" customWidth="1"/>
    <col min="15269" max="15269" width="13.5546875" style="571" customWidth="1"/>
    <col min="15270" max="15270" width="2.109375" style="571" customWidth="1"/>
    <col min="15271" max="15271" width="9.109375" style="571"/>
    <col min="15272" max="15272" width="10.21875" style="571" customWidth="1"/>
    <col min="15273" max="15273" width="1.88671875" style="571" customWidth="1"/>
    <col min="15274" max="15274" width="10.77734375" style="571" customWidth="1"/>
    <col min="15275" max="15275" width="9.109375" style="571"/>
    <col min="15276" max="15276" width="2.109375" style="571" customWidth="1"/>
    <col min="15277" max="15277" width="9.109375" style="571"/>
    <col min="15278" max="15278" width="11.21875" style="571" customWidth="1"/>
    <col min="15279" max="15279" width="12.77734375" style="571" customWidth="1"/>
    <col min="15280" max="15280" width="12.5546875" style="571" customWidth="1"/>
    <col min="15281" max="15281" width="2" style="571" customWidth="1"/>
    <col min="15282" max="15283" width="9.109375" style="571"/>
    <col min="15284" max="15284" width="11" style="571" customWidth="1"/>
    <col min="15285" max="15285" width="9.109375" style="571"/>
    <col min="15286" max="15286" width="2.21875" style="571" customWidth="1"/>
    <col min="15287" max="15287" width="11" style="571" customWidth="1"/>
    <col min="15288" max="15288" width="9.109375" style="571"/>
    <col min="15289" max="15289" width="11.5546875" style="571" customWidth="1"/>
    <col min="15290" max="15290" width="11.21875" style="571" customWidth="1"/>
    <col min="15291" max="15291" width="2.88671875" style="571" customWidth="1"/>
    <col min="15292" max="15293" width="9.109375" style="571"/>
    <col min="15294" max="15294" width="11.21875" style="571" customWidth="1"/>
    <col min="15295" max="15295" width="2.21875" style="571" customWidth="1"/>
    <col min="15296" max="15296" width="9.109375" style="571"/>
    <col min="15297" max="15297" width="10.44140625" style="571" customWidth="1"/>
    <col min="15298" max="15298" width="9.109375" style="571"/>
    <col min="15299" max="15299" width="11.109375" style="571" customWidth="1"/>
    <col min="15300" max="15301" width="9.109375" style="571"/>
    <col min="15302" max="15302" width="10.88671875" style="571" customWidth="1"/>
    <col min="15303" max="15304" width="9.109375" style="571"/>
    <col min="15305" max="15305" width="1.5546875" style="571" customWidth="1"/>
    <col min="15306" max="15306" width="9.77734375" style="571" customWidth="1"/>
    <col min="15307" max="15310" width="9.109375" style="571"/>
    <col min="15311" max="15311" width="1.88671875" style="571" customWidth="1"/>
    <col min="15312" max="15312" width="9.88671875" style="571" customWidth="1"/>
    <col min="15313" max="15313" width="1.5546875" style="571" customWidth="1"/>
    <col min="15314" max="15314" width="11.44140625" style="571" customWidth="1"/>
    <col min="15315" max="15315" width="2.21875" style="571" customWidth="1"/>
    <col min="15316" max="15316" width="12" style="571" customWidth="1"/>
    <col min="15317" max="15317" width="2" style="571" customWidth="1"/>
    <col min="15318" max="15318" width="9.109375" style="571"/>
    <col min="15319" max="15319" width="11.109375" style="571" customWidth="1"/>
    <col min="15320" max="15320" width="12" style="571" customWidth="1"/>
    <col min="15321" max="15321" width="9.109375" style="571"/>
    <col min="15322" max="15322" width="11.88671875" style="571" customWidth="1"/>
    <col min="15323" max="15323" width="14.21875" style="571" customWidth="1"/>
    <col min="15324" max="15327" width="9.109375" style="571"/>
    <col min="15328" max="15328" width="3.44140625" style="571" customWidth="1"/>
    <col min="15329" max="15330" width="9.109375" style="571"/>
    <col min="15331" max="15331" width="11.44140625" style="571" customWidth="1"/>
    <col min="15332" max="15332" width="2.77734375" style="571" customWidth="1"/>
    <col min="15333" max="15515" width="9.109375" style="571"/>
    <col min="15516" max="15516" width="9.5546875" style="571" customWidth="1"/>
    <col min="15517" max="15517" width="11" style="571" customWidth="1"/>
    <col min="15518" max="15519" width="11.21875" style="571" customWidth="1"/>
    <col min="15520" max="15520" width="11.5546875" style="571" customWidth="1"/>
    <col min="15521" max="15521" width="11.109375" style="571" customWidth="1"/>
    <col min="15522" max="15522" width="2" style="571" customWidth="1"/>
    <col min="15523" max="15523" width="13.5546875" style="571" customWidth="1"/>
    <col min="15524" max="15524" width="12.44140625" style="571" customWidth="1"/>
    <col min="15525" max="15525" width="13.5546875" style="571" customWidth="1"/>
    <col min="15526" max="15526" width="2.109375" style="571" customWidth="1"/>
    <col min="15527" max="15527" width="9.109375" style="571"/>
    <col min="15528" max="15528" width="10.21875" style="571" customWidth="1"/>
    <col min="15529" max="15529" width="1.88671875" style="571" customWidth="1"/>
    <col min="15530" max="15530" width="10.77734375" style="571" customWidth="1"/>
    <col min="15531" max="15531" width="9.109375" style="571"/>
    <col min="15532" max="15532" width="2.109375" style="571" customWidth="1"/>
    <col min="15533" max="15533" width="9.109375" style="571"/>
    <col min="15534" max="15534" width="11.21875" style="571" customWidth="1"/>
    <col min="15535" max="15535" width="12.77734375" style="571" customWidth="1"/>
    <col min="15536" max="15536" width="12.5546875" style="571" customWidth="1"/>
    <col min="15537" max="15537" width="2" style="571" customWidth="1"/>
    <col min="15538" max="15539" width="9.109375" style="571"/>
    <col min="15540" max="15540" width="11" style="571" customWidth="1"/>
    <col min="15541" max="15541" width="9.109375" style="571"/>
    <col min="15542" max="15542" width="2.21875" style="571" customWidth="1"/>
    <col min="15543" max="15543" width="11" style="571" customWidth="1"/>
    <col min="15544" max="15544" width="9.109375" style="571"/>
    <col min="15545" max="15545" width="11.5546875" style="571" customWidth="1"/>
    <col min="15546" max="15546" width="11.21875" style="571" customWidth="1"/>
    <col min="15547" max="15547" width="2.88671875" style="571" customWidth="1"/>
    <col min="15548" max="15549" width="9.109375" style="571"/>
    <col min="15550" max="15550" width="11.21875" style="571" customWidth="1"/>
    <col min="15551" max="15551" width="2.21875" style="571" customWidth="1"/>
    <col min="15552" max="15552" width="9.109375" style="571"/>
    <col min="15553" max="15553" width="10.44140625" style="571" customWidth="1"/>
    <col min="15554" max="15554" width="9.109375" style="571"/>
    <col min="15555" max="15555" width="11.109375" style="571" customWidth="1"/>
    <col min="15556" max="15557" width="9.109375" style="571"/>
    <col min="15558" max="15558" width="10.88671875" style="571" customWidth="1"/>
    <col min="15559" max="15560" width="9.109375" style="571"/>
    <col min="15561" max="15561" width="1.5546875" style="571" customWidth="1"/>
    <col min="15562" max="15562" width="9.77734375" style="571" customWidth="1"/>
    <col min="15563" max="15566" width="9.109375" style="571"/>
    <col min="15567" max="15567" width="1.88671875" style="571" customWidth="1"/>
    <col min="15568" max="15568" width="9.88671875" style="571" customWidth="1"/>
    <col min="15569" max="15569" width="1.5546875" style="571" customWidth="1"/>
    <col min="15570" max="15570" width="11.44140625" style="571" customWidth="1"/>
    <col min="15571" max="15571" width="2.21875" style="571" customWidth="1"/>
    <col min="15572" max="15572" width="12" style="571" customWidth="1"/>
    <col min="15573" max="15573" width="2" style="571" customWidth="1"/>
    <col min="15574" max="15574" width="9.109375" style="571"/>
    <col min="15575" max="15575" width="11.109375" style="571" customWidth="1"/>
    <col min="15576" max="15576" width="12" style="571" customWidth="1"/>
    <col min="15577" max="15577" width="9.109375" style="571"/>
    <col min="15578" max="15578" width="11.88671875" style="571" customWidth="1"/>
    <col min="15579" max="15579" width="14.21875" style="571" customWidth="1"/>
    <col min="15580" max="15583" width="9.109375" style="571"/>
    <col min="15584" max="15584" width="3.44140625" style="571" customWidth="1"/>
    <col min="15585" max="15586" width="9.109375" style="571"/>
    <col min="15587" max="15587" width="11.44140625" style="571" customWidth="1"/>
    <col min="15588" max="15588" width="2.77734375" style="571" customWidth="1"/>
    <col min="15589" max="15771" width="9.109375" style="571"/>
    <col min="15772" max="15772" width="9.5546875" style="571" customWidth="1"/>
    <col min="15773" max="15773" width="11" style="571" customWidth="1"/>
    <col min="15774" max="15775" width="11.21875" style="571" customWidth="1"/>
    <col min="15776" max="15776" width="11.5546875" style="571" customWidth="1"/>
    <col min="15777" max="15777" width="11.109375" style="571" customWidth="1"/>
    <col min="15778" max="15778" width="2" style="571" customWidth="1"/>
    <col min="15779" max="15779" width="13.5546875" style="571" customWidth="1"/>
    <col min="15780" max="15780" width="12.44140625" style="571" customWidth="1"/>
    <col min="15781" max="15781" width="13.5546875" style="571" customWidth="1"/>
    <col min="15782" max="15782" width="2.109375" style="571" customWidth="1"/>
    <col min="15783" max="15783" width="9.109375" style="571"/>
    <col min="15784" max="15784" width="10.21875" style="571" customWidth="1"/>
    <col min="15785" max="15785" width="1.88671875" style="571" customWidth="1"/>
    <col min="15786" max="15786" width="10.77734375" style="571" customWidth="1"/>
    <col min="15787" max="15787" width="9.109375" style="571"/>
    <col min="15788" max="15788" width="2.109375" style="571" customWidth="1"/>
    <col min="15789" max="15789" width="9.109375" style="571"/>
    <col min="15790" max="15790" width="11.21875" style="571" customWidth="1"/>
    <col min="15791" max="15791" width="12.77734375" style="571" customWidth="1"/>
    <col min="15792" max="15792" width="12.5546875" style="571" customWidth="1"/>
    <col min="15793" max="15793" width="2" style="571" customWidth="1"/>
    <col min="15794" max="15795" width="9.109375" style="571"/>
    <col min="15796" max="15796" width="11" style="571" customWidth="1"/>
    <col min="15797" max="15797" width="9.109375" style="571"/>
    <col min="15798" max="15798" width="2.21875" style="571" customWidth="1"/>
    <col min="15799" max="15799" width="11" style="571" customWidth="1"/>
    <col min="15800" max="15800" width="9.109375" style="571"/>
    <col min="15801" max="15801" width="11.5546875" style="571" customWidth="1"/>
    <col min="15802" max="15802" width="11.21875" style="571" customWidth="1"/>
    <col min="15803" max="15803" width="2.88671875" style="571" customWidth="1"/>
    <col min="15804" max="15805" width="9.109375" style="571"/>
    <col min="15806" max="15806" width="11.21875" style="571" customWidth="1"/>
    <col min="15807" max="15807" width="2.21875" style="571" customWidth="1"/>
    <col min="15808" max="15808" width="9.109375" style="571"/>
    <col min="15809" max="15809" width="10.44140625" style="571" customWidth="1"/>
    <col min="15810" max="15810" width="9.109375" style="571"/>
    <col min="15811" max="15811" width="11.109375" style="571" customWidth="1"/>
    <col min="15812" max="15813" width="9.109375" style="571"/>
    <col min="15814" max="15814" width="10.88671875" style="571" customWidth="1"/>
    <col min="15815" max="15816" width="9.109375" style="571"/>
    <col min="15817" max="15817" width="1.5546875" style="571" customWidth="1"/>
    <col min="15818" max="15818" width="9.77734375" style="571" customWidth="1"/>
    <col min="15819" max="15822" width="9.109375" style="571"/>
    <col min="15823" max="15823" width="1.88671875" style="571" customWidth="1"/>
    <col min="15824" max="15824" width="9.88671875" style="571" customWidth="1"/>
    <col min="15825" max="15825" width="1.5546875" style="571" customWidth="1"/>
    <col min="15826" max="15826" width="11.44140625" style="571" customWidth="1"/>
    <col min="15827" max="15827" width="2.21875" style="571" customWidth="1"/>
    <col min="15828" max="15828" width="12" style="571" customWidth="1"/>
    <col min="15829" max="15829" width="2" style="571" customWidth="1"/>
    <col min="15830" max="15830" width="9.109375" style="571"/>
    <col min="15831" max="15831" width="11.109375" style="571" customWidth="1"/>
    <col min="15832" max="15832" width="12" style="571" customWidth="1"/>
    <col min="15833" max="15833" width="9.109375" style="571"/>
    <col min="15834" max="15834" width="11.88671875" style="571" customWidth="1"/>
    <col min="15835" max="15835" width="14.21875" style="571" customWidth="1"/>
    <col min="15836" max="15839" width="9.109375" style="571"/>
    <col min="15840" max="15840" width="3.44140625" style="571" customWidth="1"/>
    <col min="15841" max="15842" width="9.109375" style="571"/>
    <col min="15843" max="15843" width="11.44140625" style="571" customWidth="1"/>
    <col min="15844" max="15844" width="2.77734375" style="571" customWidth="1"/>
    <col min="15845" max="16027" width="9.109375" style="571"/>
    <col min="16028" max="16028" width="9.5546875" style="571" customWidth="1"/>
    <col min="16029" max="16029" width="11" style="571" customWidth="1"/>
    <col min="16030" max="16031" width="11.21875" style="571" customWidth="1"/>
    <col min="16032" max="16032" width="11.5546875" style="571" customWidth="1"/>
    <col min="16033" max="16033" width="11.109375" style="571" customWidth="1"/>
    <col min="16034" max="16034" width="2" style="571" customWidth="1"/>
    <col min="16035" max="16035" width="13.5546875" style="571" customWidth="1"/>
    <col min="16036" max="16036" width="12.44140625" style="571" customWidth="1"/>
    <col min="16037" max="16037" width="13.5546875" style="571" customWidth="1"/>
    <col min="16038" max="16038" width="2.109375" style="571" customWidth="1"/>
    <col min="16039" max="16039" width="9.109375" style="571"/>
    <col min="16040" max="16040" width="10.21875" style="571" customWidth="1"/>
    <col min="16041" max="16041" width="1.88671875" style="571" customWidth="1"/>
    <col min="16042" max="16042" width="10.77734375" style="571" customWidth="1"/>
    <col min="16043" max="16043" width="9.109375" style="571"/>
    <col min="16044" max="16044" width="2.109375" style="571" customWidth="1"/>
    <col min="16045" max="16045" width="9.109375" style="571"/>
    <col min="16046" max="16046" width="11.21875" style="571" customWidth="1"/>
    <col min="16047" max="16047" width="12.77734375" style="571" customWidth="1"/>
    <col min="16048" max="16048" width="12.5546875" style="571" customWidth="1"/>
    <col min="16049" max="16049" width="2" style="571" customWidth="1"/>
    <col min="16050" max="16051" width="9.109375" style="571"/>
    <col min="16052" max="16052" width="11" style="571" customWidth="1"/>
    <col min="16053" max="16053" width="9.109375" style="571"/>
    <col min="16054" max="16054" width="2.21875" style="571" customWidth="1"/>
    <col min="16055" max="16055" width="11" style="571" customWidth="1"/>
    <col min="16056" max="16056" width="9.109375" style="571"/>
    <col min="16057" max="16057" width="11.5546875" style="571" customWidth="1"/>
    <col min="16058" max="16058" width="11.21875" style="571" customWidth="1"/>
    <col min="16059" max="16059" width="2.88671875" style="571" customWidth="1"/>
    <col min="16060" max="16061" width="9.109375" style="571"/>
    <col min="16062" max="16062" width="11.21875" style="571" customWidth="1"/>
    <col min="16063" max="16063" width="2.21875" style="571" customWidth="1"/>
    <col min="16064" max="16064" width="9.109375" style="571"/>
    <col min="16065" max="16065" width="10.44140625" style="571" customWidth="1"/>
    <col min="16066" max="16066" width="9.109375" style="571"/>
    <col min="16067" max="16067" width="11.109375" style="571" customWidth="1"/>
    <col min="16068" max="16069" width="9.109375" style="571"/>
    <col min="16070" max="16070" width="10.88671875" style="571" customWidth="1"/>
    <col min="16071" max="16072" width="9.109375" style="571"/>
    <col min="16073" max="16073" width="1.5546875" style="571" customWidth="1"/>
    <col min="16074" max="16074" width="9.77734375" style="571" customWidth="1"/>
    <col min="16075" max="16078" width="9.109375" style="571"/>
    <col min="16079" max="16079" width="1.88671875" style="571" customWidth="1"/>
    <col min="16080" max="16080" width="9.88671875" style="571" customWidth="1"/>
    <col min="16081" max="16081" width="1.5546875" style="571" customWidth="1"/>
    <col min="16082" max="16082" width="11.44140625" style="571" customWidth="1"/>
    <col min="16083" max="16083" width="2.21875" style="571" customWidth="1"/>
    <col min="16084" max="16084" width="12" style="571" customWidth="1"/>
    <col min="16085" max="16085" width="2" style="571" customWidth="1"/>
    <col min="16086" max="16086" width="9.109375" style="571"/>
    <col min="16087" max="16087" width="11.109375" style="571" customWidth="1"/>
    <col min="16088" max="16088" width="12" style="571" customWidth="1"/>
    <col min="16089" max="16089" width="9.109375" style="571"/>
    <col min="16090" max="16090" width="11.88671875" style="571" customWidth="1"/>
    <col min="16091" max="16091" width="14.21875" style="571" customWidth="1"/>
    <col min="16092" max="16095" width="9.109375" style="571"/>
    <col min="16096" max="16096" width="3.44140625" style="571" customWidth="1"/>
    <col min="16097" max="16098" width="9.109375" style="571"/>
    <col min="16099" max="16099" width="11.44140625" style="571" customWidth="1"/>
    <col min="16100" max="16100" width="2.77734375" style="571" customWidth="1"/>
    <col min="16101" max="16384" width="9.109375" style="571"/>
  </cols>
  <sheetData>
    <row r="1" spans="1:33" ht="15.6" x14ac:dyDescent="0.3">
      <c r="A1" s="178" t="s">
        <v>2061</v>
      </c>
      <c r="H1" s="463" t="s">
        <v>504</v>
      </c>
      <c r="J1" s="24"/>
      <c r="K1" s="24"/>
      <c r="L1" s="24"/>
      <c r="M1" s="24"/>
      <c r="N1" s="24"/>
      <c r="O1" s="24"/>
      <c r="P1" s="24"/>
      <c r="Q1" s="24"/>
    </row>
    <row r="2" spans="1:33" x14ac:dyDescent="0.3">
      <c r="J2" s="125"/>
      <c r="K2" s="125"/>
      <c r="L2" s="125"/>
      <c r="M2" s="125"/>
      <c r="N2" s="125"/>
      <c r="O2" s="125"/>
      <c r="P2" s="125"/>
      <c r="Q2" s="125"/>
      <c r="R2" s="11"/>
      <c r="S2" s="482"/>
      <c r="T2" s="11"/>
      <c r="U2" s="11"/>
      <c r="W2" s="125"/>
      <c r="X2" s="125"/>
      <c r="Y2" s="11"/>
      <c r="Z2" s="11"/>
      <c r="AA2" s="11"/>
      <c r="AB2" s="11"/>
      <c r="AC2" s="11"/>
    </row>
    <row r="3" spans="1:33" ht="15.6" x14ac:dyDescent="0.3">
      <c r="J3" s="1432" t="s">
        <v>705</v>
      </c>
      <c r="K3" s="1432"/>
      <c r="L3" s="1432"/>
      <c r="M3" s="1432"/>
      <c r="N3" s="1432"/>
      <c r="O3" s="1432"/>
      <c r="P3" s="1432"/>
      <c r="Q3" s="1432"/>
      <c r="R3" s="1432"/>
      <c r="S3" s="1432"/>
      <c r="T3" s="1432"/>
      <c r="U3" s="1432"/>
      <c r="W3" s="1432" t="s">
        <v>1138</v>
      </c>
      <c r="X3" s="1432"/>
      <c r="Y3" s="1432"/>
      <c r="Z3" s="1432"/>
      <c r="AA3" s="1432"/>
      <c r="AB3" s="1432"/>
      <c r="AC3" s="1432"/>
      <c r="AG3" s="11"/>
    </row>
    <row r="4" spans="1:33" ht="15.75" customHeight="1" x14ac:dyDescent="0.3">
      <c r="A4" s="412"/>
      <c r="B4" s="1396" t="s">
        <v>566</v>
      </c>
      <c r="C4" s="898"/>
      <c r="D4" s="1396" t="s">
        <v>1405</v>
      </c>
      <c r="E4" s="1396" t="s">
        <v>833</v>
      </c>
      <c r="F4" s="1396" t="s">
        <v>867</v>
      </c>
      <c r="G4" s="1396" t="s">
        <v>1129</v>
      </c>
      <c r="H4" s="1396" t="s">
        <v>861</v>
      </c>
      <c r="I4" s="847"/>
      <c r="J4" s="1433" t="s">
        <v>866</v>
      </c>
      <c r="K4" s="1433"/>
      <c r="L4" s="1433"/>
      <c r="M4" s="1433"/>
      <c r="N4" s="1433"/>
      <c r="O4" s="1433"/>
      <c r="P4" s="709"/>
      <c r="Q4" s="1399" t="s">
        <v>1635</v>
      </c>
      <c r="R4" s="589"/>
      <c r="S4" s="1396" t="s">
        <v>1135</v>
      </c>
      <c r="T4" s="1396"/>
      <c r="U4" s="1396"/>
      <c r="W4" s="1400" t="s">
        <v>1130</v>
      </c>
      <c r="X4" s="1400" t="s">
        <v>1136</v>
      </c>
      <c r="Y4" s="670"/>
      <c r="Z4" s="1408" t="s">
        <v>765</v>
      </c>
      <c r="AA4" s="1408" t="s">
        <v>1137</v>
      </c>
      <c r="AB4" s="1408" t="s">
        <v>1285</v>
      </c>
      <c r="AC4" s="1408" t="s">
        <v>1454</v>
      </c>
      <c r="AG4" s="1413" t="s">
        <v>599</v>
      </c>
    </row>
    <row r="5" spans="1:33" ht="14.25" customHeight="1" x14ac:dyDescent="0.3">
      <c r="A5" s="591"/>
      <c r="B5" s="1397"/>
      <c r="C5" s="899"/>
      <c r="D5" s="1397"/>
      <c r="E5" s="1397"/>
      <c r="F5" s="1397"/>
      <c r="G5" s="1397"/>
      <c r="H5" s="1397"/>
      <c r="I5" s="847"/>
      <c r="J5" s="1429" t="s">
        <v>1133</v>
      </c>
      <c r="K5" s="1399" t="s">
        <v>1128</v>
      </c>
      <c r="L5" s="1399" t="s">
        <v>862</v>
      </c>
      <c r="M5" s="1415" t="s">
        <v>864</v>
      </c>
      <c r="N5" s="1399" t="s">
        <v>873</v>
      </c>
      <c r="O5" s="1399" t="s">
        <v>875</v>
      </c>
      <c r="P5" s="668"/>
      <c r="Q5" s="1400"/>
      <c r="R5" s="604"/>
      <c r="S5" s="1404"/>
      <c r="T5" s="1404"/>
      <c r="U5" s="1404"/>
      <c r="W5" s="1400"/>
      <c r="X5" s="1400"/>
      <c r="Y5" s="670"/>
      <c r="Z5" s="1408"/>
      <c r="AA5" s="1408"/>
      <c r="AB5" s="1408"/>
      <c r="AC5" s="1408"/>
      <c r="AG5" s="1413"/>
    </row>
    <row r="6" spans="1:33" s="170" customFormat="1" ht="12.75" customHeight="1" x14ac:dyDescent="0.3">
      <c r="A6" s="591"/>
      <c r="B6" s="1397"/>
      <c r="C6" s="899"/>
      <c r="D6" s="1397"/>
      <c r="E6" s="1397"/>
      <c r="F6" s="1397"/>
      <c r="G6" s="1397"/>
      <c r="H6" s="1397"/>
      <c r="I6" s="847"/>
      <c r="J6" s="1430"/>
      <c r="K6" s="1400"/>
      <c r="L6" s="1400"/>
      <c r="M6" s="1416"/>
      <c r="N6" s="1400"/>
      <c r="O6" s="1400"/>
      <c r="P6" s="668"/>
      <c r="Q6" s="1400"/>
      <c r="R6" s="604"/>
      <c r="S6" s="1399" t="s">
        <v>834</v>
      </c>
      <c r="T6" s="1399" t="s">
        <v>835</v>
      </c>
      <c r="U6" s="1399" t="s">
        <v>822</v>
      </c>
      <c r="W6" s="1400"/>
      <c r="X6" s="1400"/>
      <c r="Y6" s="670"/>
      <c r="Z6" s="1408"/>
      <c r="AA6" s="1408"/>
      <c r="AB6" s="1408"/>
      <c r="AC6" s="1408"/>
      <c r="AG6" s="1413"/>
    </row>
    <row r="7" spans="1:33" s="170" customFormat="1" ht="15" customHeight="1" x14ac:dyDescent="0.3">
      <c r="A7" s="591"/>
      <c r="B7" s="1397"/>
      <c r="C7" s="899"/>
      <c r="D7" s="1397"/>
      <c r="E7" s="1397"/>
      <c r="F7" s="1397"/>
      <c r="G7" s="1397"/>
      <c r="H7" s="1397"/>
      <c r="I7" s="847"/>
      <c r="J7" s="1430"/>
      <c r="K7" s="1400"/>
      <c r="L7" s="1400"/>
      <c r="M7" s="1416"/>
      <c r="N7" s="1400"/>
      <c r="O7" s="1400"/>
      <c r="P7" s="668"/>
      <c r="Q7" s="1400"/>
      <c r="R7" s="604"/>
      <c r="S7" s="1400"/>
      <c r="T7" s="1400"/>
      <c r="U7" s="1400"/>
      <c r="W7" s="1400"/>
      <c r="X7" s="1400"/>
      <c r="Y7" s="611"/>
      <c r="Z7" s="1408"/>
      <c r="AA7" s="1408"/>
      <c r="AB7" s="1408"/>
      <c r="AC7" s="1408"/>
      <c r="AG7" s="1413"/>
    </row>
    <row r="8" spans="1:33" s="170" customFormat="1" ht="11.25" customHeight="1" x14ac:dyDescent="0.3">
      <c r="A8" s="591"/>
      <c r="B8" s="1397"/>
      <c r="C8" s="899"/>
      <c r="D8" s="1397"/>
      <c r="E8" s="1397"/>
      <c r="F8" s="1397"/>
      <c r="G8" s="1397"/>
      <c r="H8" s="1397"/>
      <c r="I8" s="847"/>
      <c r="J8" s="1430"/>
      <c r="K8" s="1400"/>
      <c r="L8" s="1400"/>
      <c r="M8" s="1416"/>
      <c r="N8" s="1400"/>
      <c r="O8" s="1400"/>
      <c r="P8" s="668"/>
      <c r="Q8" s="1400"/>
      <c r="R8" s="604"/>
      <c r="S8" s="1400"/>
      <c r="T8" s="1400"/>
      <c r="U8" s="1400"/>
      <c r="W8" s="1400"/>
      <c r="X8" s="1400"/>
      <c r="Y8" s="611"/>
      <c r="Z8" s="1408"/>
      <c r="AA8" s="1408"/>
      <c r="AB8" s="1408"/>
      <c r="AC8" s="1408"/>
      <c r="AG8" s="1413"/>
    </row>
    <row r="9" spans="1:33" ht="39.75" customHeight="1" x14ac:dyDescent="0.3">
      <c r="A9" s="411"/>
      <c r="B9" s="400" t="s">
        <v>457</v>
      </c>
      <c r="C9" s="400"/>
      <c r="D9" s="400" t="s">
        <v>791</v>
      </c>
      <c r="E9" s="400" t="s">
        <v>1466</v>
      </c>
      <c r="F9" s="400" t="s">
        <v>832</v>
      </c>
      <c r="G9" s="400" t="s">
        <v>457</v>
      </c>
      <c r="H9" s="400" t="s">
        <v>1124</v>
      </c>
      <c r="I9" s="400"/>
      <c r="J9" s="566" t="s">
        <v>457</v>
      </c>
      <c r="K9" s="672" t="s">
        <v>1127</v>
      </c>
      <c r="L9" s="566" t="s">
        <v>863</v>
      </c>
      <c r="M9" s="566" t="s">
        <v>865</v>
      </c>
      <c r="N9" s="566" t="s">
        <v>874</v>
      </c>
      <c r="O9" s="566" t="s">
        <v>876</v>
      </c>
      <c r="P9" s="672"/>
      <c r="Q9" s="566" t="s">
        <v>845</v>
      </c>
      <c r="R9" s="566"/>
      <c r="S9" s="566" t="s">
        <v>836</v>
      </c>
      <c r="T9" s="566" t="s">
        <v>1845</v>
      </c>
      <c r="U9" s="566" t="s">
        <v>837</v>
      </c>
      <c r="W9" s="403" t="s">
        <v>457</v>
      </c>
      <c r="X9" s="403" t="s">
        <v>457</v>
      </c>
      <c r="Y9" s="400"/>
      <c r="Z9" s="671" t="s">
        <v>761</v>
      </c>
      <c r="AA9" s="400"/>
      <c r="AB9" s="710"/>
      <c r="AE9" s="604" t="s">
        <v>1096</v>
      </c>
      <c r="AG9" s="400" t="s">
        <v>591</v>
      </c>
    </row>
    <row r="10" spans="1:33" ht="10.5" customHeight="1" x14ac:dyDescent="0.3">
      <c r="A10" s="268">
        <v>1960</v>
      </c>
      <c r="B10" s="603">
        <f>D10-E10+SUM(F10:H10)</f>
        <v>479859</v>
      </c>
      <c r="C10" s="603"/>
      <c r="D10" s="277">
        <f>'T-T1'!B9</f>
        <v>479858.94903999998</v>
      </c>
      <c r="E10" s="277">
        <f>'T-T3a'!E10</f>
        <v>123072.424238893</v>
      </c>
      <c r="F10" s="277">
        <f>'T-T2'!E9+'T-T2'!F9+'T-T2'!G9</f>
        <v>24428</v>
      </c>
      <c r="G10" s="277">
        <f>SUM(S10:U10)-SUM('T-T1'!DF9:DI9)</f>
        <v>78618</v>
      </c>
      <c r="H10" s="277">
        <v>20026.475198892993</v>
      </c>
      <c r="I10" s="277"/>
      <c r="J10" s="277">
        <f>-K10-O10+SUM(L10:N10)</f>
        <v>-148.42423889299999</v>
      </c>
      <c r="K10" s="614">
        <f>'C10-Adj by Source'!CE6</f>
        <v>31.424238892999998</v>
      </c>
      <c r="L10" s="614">
        <v>95</v>
      </c>
      <c r="M10" s="614">
        <v>34</v>
      </c>
      <c r="N10" s="614" t="s">
        <v>50</v>
      </c>
      <c r="O10" s="614">
        <v>246</v>
      </c>
      <c r="P10" s="277"/>
      <c r="Q10" s="280">
        <v>2242</v>
      </c>
      <c r="R10" s="280"/>
      <c r="S10" s="280">
        <v>42627</v>
      </c>
      <c r="T10" s="280">
        <v>8322</v>
      </c>
      <c r="U10" s="280">
        <v>34076</v>
      </c>
      <c r="W10" s="277">
        <f t="shared" ref="W10:W64" si="0">E10-F10-G10+J10</f>
        <v>19878</v>
      </c>
      <c r="X10" s="277">
        <f>W10-H10</f>
        <v>-148.47519889299292</v>
      </c>
      <c r="Y10" s="277"/>
      <c r="Z10" s="270">
        <f>'T-T1'!BN9</f>
        <v>479859</v>
      </c>
      <c r="AA10" s="270">
        <f>Z10-B10+AB10</f>
        <v>0</v>
      </c>
      <c r="AB10" s="705">
        <f>Z10-B10</f>
        <v>0</v>
      </c>
      <c r="AC10" s="270">
        <f>H10+AB10</f>
        <v>20026.475198892993</v>
      </c>
      <c r="AE10" s="270">
        <f>'C1-Incomes'!Z8-Z10</f>
        <v>-0.30011000001104549</v>
      </c>
      <c r="AG10" s="272">
        <v>16400</v>
      </c>
    </row>
    <row r="11" spans="1:33" ht="10.5" customHeight="1" x14ac:dyDescent="0.3">
      <c r="A11" s="268">
        <v>1961</v>
      </c>
      <c r="B11" s="603"/>
      <c r="C11" s="603"/>
      <c r="D11" s="277"/>
      <c r="E11" s="277"/>
      <c r="F11" s="277"/>
      <c r="G11" s="277"/>
      <c r="H11" s="277"/>
      <c r="I11" s="277"/>
      <c r="J11" s="277">
        <f t="shared" ref="J11:J64" si="1">-K11-O11+SUM(L11:N11)</f>
        <v>-112</v>
      </c>
      <c r="K11" s="277"/>
      <c r="L11" s="277">
        <v>112</v>
      </c>
      <c r="M11" s="277">
        <v>52</v>
      </c>
      <c r="N11" s="277" t="s">
        <v>50</v>
      </c>
      <c r="O11" s="277">
        <v>276</v>
      </c>
      <c r="P11" s="277"/>
      <c r="Q11" s="270">
        <v>2509</v>
      </c>
      <c r="R11" s="280"/>
      <c r="S11" s="280">
        <v>44177</v>
      </c>
      <c r="T11" s="280">
        <v>8530</v>
      </c>
      <c r="U11" s="280">
        <v>37238</v>
      </c>
      <c r="W11" s="277"/>
      <c r="X11" s="277"/>
      <c r="Y11" s="277"/>
      <c r="Z11" s="270">
        <f>'T-T1'!BN10</f>
        <v>497193</v>
      </c>
      <c r="AA11" s="270"/>
      <c r="AB11" s="705"/>
      <c r="AC11" s="270"/>
      <c r="AE11" s="270"/>
      <c r="AG11" s="272">
        <v>17000</v>
      </c>
    </row>
    <row r="12" spans="1:33" ht="10.5" customHeight="1" x14ac:dyDescent="0.3">
      <c r="A12" s="268">
        <v>1962</v>
      </c>
      <c r="B12" s="603">
        <f>D12-E12+SUM(F12:H12)</f>
        <v>535189</v>
      </c>
      <c r="C12" s="603"/>
      <c r="D12" s="277">
        <f>'T-T1'!B11</f>
        <v>535187.89294000005</v>
      </c>
      <c r="E12" s="277">
        <f>'T-T3a'!E12</f>
        <v>138164.16908823501</v>
      </c>
      <c r="F12" s="277">
        <f>'T-T2'!E11+'T-T2'!F11+'T-T2'!G11</f>
        <v>28843</v>
      </c>
      <c r="G12" s="277">
        <f>SUM(S12:U12)-SUM('T-T1'!DF11:DI11)</f>
        <v>91330</v>
      </c>
      <c r="H12" s="277">
        <v>17992.276148234901</v>
      </c>
      <c r="I12" s="277"/>
      <c r="J12" s="277">
        <f t="shared" si="1"/>
        <v>-138.169088235</v>
      </c>
      <c r="K12" s="277">
        <f>'C10-Adj by Source'!CE8</f>
        <v>41.169088234999997</v>
      </c>
      <c r="L12" s="277">
        <v>145</v>
      </c>
      <c r="M12" s="277">
        <v>57</v>
      </c>
      <c r="N12" s="277" t="s">
        <v>50</v>
      </c>
      <c r="O12" s="277">
        <v>299</v>
      </c>
      <c r="P12" s="277"/>
      <c r="Q12" s="270">
        <v>2638</v>
      </c>
      <c r="R12" s="280"/>
      <c r="S12" s="280">
        <v>48559</v>
      </c>
      <c r="T12" s="280">
        <v>10431</v>
      </c>
      <c r="U12" s="280">
        <v>39342</v>
      </c>
      <c r="W12" s="277">
        <f t="shared" si="0"/>
        <v>17853.000000000007</v>
      </c>
      <c r="X12" s="277">
        <f>W12-H12</f>
        <v>-139.27614823489421</v>
      </c>
      <c r="Y12" s="277"/>
      <c r="Z12" s="270">
        <f>'T-T1'!BN11</f>
        <v>535189</v>
      </c>
      <c r="AA12" s="270">
        <f>Z12-B12+AB12</f>
        <v>0</v>
      </c>
      <c r="AB12" s="705">
        <f>Z12-B12</f>
        <v>0</v>
      </c>
      <c r="AC12" s="270">
        <f>H12+AB12</f>
        <v>17992.276148234901</v>
      </c>
      <c r="AE12" s="270">
        <f>'C1-Incomes'!Z10-Z12</f>
        <v>-3.1999999191612005E-4</v>
      </c>
      <c r="AG12" s="272">
        <v>19100</v>
      </c>
    </row>
    <row r="13" spans="1:33" ht="10.5" customHeight="1" x14ac:dyDescent="0.3">
      <c r="A13" s="268">
        <v>1963</v>
      </c>
      <c r="B13" s="603"/>
      <c r="C13" s="603"/>
      <c r="D13" s="277"/>
      <c r="E13" s="277"/>
      <c r="F13" s="277"/>
      <c r="G13" s="277"/>
      <c r="H13" s="277"/>
      <c r="I13" s="277"/>
      <c r="J13" s="277">
        <f t="shared" si="1"/>
        <v>-70</v>
      </c>
      <c r="K13" s="277"/>
      <c r="L13" s="277">
        <v>188</v>
      </c>
      <c r="M13" s="277">
        <v>66</v>
      </c>
      <c r="N13" s="277" t="s">
        <v>50</v>
      </c>
      <c r="O13" s="277">
        <v>324</v>
      </c>
      <c r="P13" s="277"/>
      <c r="Q13" s="270">
        <v>2885</v>
      </c>
      <c r="R13" s="280"/>
      <c r="S13" s="280">
        <v>50502</v>
      </c>
      <c r="T13" s="280">
        <v>10662</v>
      </c>
      <c r="U13" s="280">
        <v>42276</v>
      </c>
      <c r="W13" s="277"/>
      <c r="X13" s="277"/>
      <c r="Y13" s="277"/>
      <c r="Z13" s="270">
        <f>'T-T1'!BN12</f>
        <v>566574</v>
      </c>
      <c r="AA13" s="270"/>
      <c r="AB13" s="705"/>
      <c r="AC13" s="270"/>
      <c r="AE13" s="270"/>
      <c r="AG13" s="272">
        <v>21700</v>
      </c>
    </row>
    <row r="14" spans="1:33" ht="10.5" customHeight="1" x14ac:dyDescent="0.3">
      <c r="A14" s="268">
        <v>1964</v>
      </c>
      <c r="B14" s="603">
        <f>D14-E14+SUM(F14:H14)</f>
        <v>608340</v>
      </c>
      <c r="C14" s="603"/>
      <c r="D14" s="277">
        <f>'T-T1'!B13</f>
        <v>608340.22254999995</v>
      </c>
      <c r="E14" s="277">
        <f>'T-T3a'!E14</f>
        <v>151880.392662</v>
      </c>
      <c r="F14" s="277">
        <f>'T-T2'!E13+'T-T2'!F13+'T-T2'!G13</f>
        <v>31317</v>
      </c>
      <c r="G14" s="277">
        <f>SUM(S14:U14)-SUM('T-T1'!DF13:DI13)</f>
        <v>101417</v>
      </c>
      <c r="H14" s="277">
        <v>19146.17011200008</v>
      </c>
      <c r="I14" s="277"/>
      <c r="J14" s="277">
        <f t="shared" si="1"/>
        <v>-136.39266199999997</v>
      </c>
      <c r="K14" s="277">
        <f>'C10-Adj by Source'!CE10</f>
        <v>50.392662000000001</v>
      </c>
      <c r="L14" s="277">
        <v>183</v>
      </c>
      <c r="M14" s="277">
        <v>77</v>
      </c>
      <c r="N14" s="277" t="s">
        <v>50</v>
      </c>
      <c r="O14" s="277">
        <v>346</v>
      </c>
      <c r="P14" s="277"/>
      <c r="Q14" s="270">
        <v>3305</v>
      </c>
      <c r="R14" s="280"/>
      <c r="S14" s="280">
        <v>51389</v>
      </c>
      <c r="T14" s="280">
        <v>11719</v>
      </c>
      <c r="U14" s="280">
        <v>46029</v>
      </c>
      <c r="W14" s="277">
        <f t="shared" si="0"/>
        <v>19010</v>
      </c>
      <c r="X14" s="277">
        <f>W14-H14</f>
        <v>-136.17011200007983</v>
      </c>
      <c r="Y14" s="277"/>
      <c r="Z14" s="270">
        <f>'T-T1'!BN13</f>
        <v>608340</v>
      </c>
      <c r="AA14" s="270">
        <f>Z14-B14+AB14</f>
        <v>0</v>
      </c>
      <c r="AB14" s="705">
        <f>Z14-B14</f>
        <v>0</v>
      </c>
      <c r="AC14" s="270">
        <f>H14+AB14</f>
        <v>19146.17011200008</v>
      </c>
      <c r="AE14" s="270">
        <f>'C1-Incomes'!Z12-Z14</f>
        <v>-4.3000001460313797E-4</v>
      </c>
      <c r="AG14" s="272">
        <v>22400</v>
      </c>
    </row>
    <row r="15" spans="1:33" ht="10.5" customHeight="1" x14ac:dyDescent="0.3">
      <c r="A15" s="268">
        <v>1965</v>
      </c>
      <c r="B15" s="603"/>
      <c r="C15" s="603"/>
      <c r="D15" s="277"/>
      <c r="E15" s="277"/>
      <c r="F15" s="277"/>
      <c r="G15" s="277"/>
      <c r="H15" s="277"/>
      <c r="I15" s="277"/>
      <c r="J15" s="277">
        <f t="shared" si="1"/>
        <v>-163</v>
      </c>
      <c r="K15" s="277"/>
      <c r="L15" s="277">
        <v>206</v>
      </c>
      <c r="M15" s="277">
        <v>84</v>
      </c>
      <c r="N15" s="277" t="s">
        <v>50</v>
      </c>
      <c r="O15" s="277">
        <v>453</v>
      </c>
      <c r="P15" s="277"/>
      <c r="Q15" s="270">
        <v>3608</v>
      </c>
      <c r="R15" s="280"/>
      <c r="S15" s="280">
        <v>53908</v>
      </c>
      <c r="T15" s="280">
        <v>12543</v>
      </c>
      <c r="U15" s="280">
        <v>50571</v>
      </c>
      <c r="W15" s="277"/>
      <c r="X15" s="277"/>
      <c r="Y15" s="277"/>
      <c r="Z15" s="270">
        <f>'T-T1'!BN14</f>
        <v>660255</v>
      </c>
      <c r="AA15" s="270"/>
      <c r="AB15" s="705"/>
      <c r="AC15" s="270"/>
      <c r="AE15" s="270"/>
      <c r="AG15" s="272">
        <v>23400</v>
      </c>
    </row>
    <row r="16" spans="1:33" ht="10.5" customHeight="1" x14ac:dyDescent="0.3">
      <c r="A16" s="268">
        <v>1966</v>
      </c>
      <c r="B16" s="603">
        <f>D16-E16+SUM(F16:H16)</f>
        <v>719692</v>
      </c>
      <c r="C16" s="603"/>
      <c r="D16" s="277">
        <f>'T-T1'!B15</f>
        <v>719693.75590999995</v>
      </c>
      <c r="E16" s="277">
        <f>'T-T3a'!E16</f>
        <v>185802.39198349998</v>
      </c>
      <c r="F16" s="277">
        <f>'T-T2'!E15+'T-T2'!F15+'T-T2'!G15</f>
        <v>37182</v>
      </c>
      <c r="G16" s="277">
        <f>SUM(S16:U16)-SUM('T-T1'!DF15:DI15)</f>
        <v>124215</v>
      </c>
      <c r="H16" s="277">
        <v>24403.636073500034</v>
      </c>
      <c r="I16" s="277"/>
      <c r="J16" s="277">
        <f t="shared" si="1"/>
        <v>-212.39198350000004</v>
      </c>
      <c r="K16" s="277">
        <f>'C10-Adj by Source'!CE12</f>
        <v>81.391983499999995</v>
      </c>
      <c r="L16" s="277">
        <v>228</v>
      </c>
      <c r="M16" s="277">
        <v>105</v>
      </c>
      <c r="N16" s="277" t="s">
        <v>50</v>
      </c>
      <c r="O16" s="277">
        <v>464</v>
      </c>
      <c r="P16" s="277"/>
      <c r="Q16" s="270">
        <v>3886</v>
      </c>
      <c r="R16" s="280"/>
      <c r="S16" s="280">
        <v>63761</v>
      </c>
      <c r="T16" s="280">
        <v>12694</v>
      </c>
      <c r="U16" s="280">
        <v>56370</v>
      </c>
      <c r="W16" s="277">
        <f t="shared" si="0"/>
        <v>24192.999999999982</v>
      </c>
      <c r="X16" s="277">
        <f t="shared" ref="X16:X47" si="2">W16-H16</f>
        <v>-210.63607350005259</v>
      </c>
      <c r="Y16" s="277"/>
      <c r="Z16" s="270">
        <f>'T-T1'!BN15</f>
        <v>719692</v>
      </c>
      <c r="AA16" s="270">
        <f t="shared" ref="AA16:AA47" si="3">Z16-B16+AB16</f>
        <v>0</v>
      </c>
      <c r="AB16" s="705">
        <f>Z16-B16</f>
        <v>0</v>
      </c>
      <c r="AC16" s="270">
        <f>H16+AB16</f>
        <v>24403.636073500034</v>
      </c>
      <c r="AE16" s="270">
        <f>'C1-Incomes'!Z14-Z16</f>
        <v>-6.399999838322401E-4</v>
      </c>
      <c r="AG16" s="272">
        <v>31300</v>
      </c>
    </row>
    <row r="17" spans="1:33" ht="10.5" customHeight="1" x14ac:dyDescent="0.3">
      <c r="A17" s="268">
        <v>1967</v>
      </c>
      <c r="B17" s="603">
        <f t="shared" ref="B17:B47" si="4">D17-E17+SUM(F17:H17)</f>
        <v>760197</v>
      </c>
      <c r="C17" s="603"/>
      <c r="D17" s="277">
        <f>'T-T1'!B16</f>
        <v>760197.31680999999</v>
      </c>
      <c r="E17" s="277">
        <f>'T-T3a'!E17</f>
        <v>198746.51705918001</v>
      </c>
      <c r="F17" s="277">
        <f>'T-T2'!E16+'T-T2'!F16+'T-T2'!G16</f>
        <v>45112</v>
      </c>
      <c r="G17" s="277">
        <f>SUM(S17:U17)-SUM('T-T1'!DF16:DI16)</f>
        <v>141393</v>
      </c>
      <c r="H17" s="277">
        <v>12241.200249179965</v>
      </c>
      <c r="I17" s="277"/>
      <c r="J17" s="277">
        <f t="shared" si="1"/>
        <v>-288.51705918000005</v>
      </c>
      <c r="K17" s="277">
        <f>'C10-Adj by Source'!CE13</f>
        <v>93.517059180000004</v>
      </c>
      <c r="L17" s="277">
        <v>248</v>
      </c>
      <c r="M17" s="277">
        <v>112</v>
      </c>
      <c r="N17" s="277" t="s">
        <v>50</v>
      </c>
      <c r="O17" s="277">
        <v>555</v>
      </c>
      <c r="P17" s="277"/>
      <c r="Q17" s="270">
        <v>3978</v>
      </c>
      <c r="R17" s="280"/>
      <c r="S17" s="280">
        <v>73726</v>
      </c>
      <c r="T17" s="280">
        <v>14294</v>
      </c>
      <c r="U17" s="280">
        <v>62385</v>
      </c>
      <c r="W17" s="277">
        <f t="shared" si="0"/>
        <v>11953.000000000013</v>
      </c>
      <c r="X17" s="277">
        <f t="shared" si="2"/>
        <v>-288.20024917995215</v>
      </c>
      <c r="Y17" s="277"/>
      <c r="Z17" s="270">
        <f>'T-T1'!BN16</f>
        <v>760197</v>
      </c>
      <c r="AA17" s="270">
        <f t="shared" si="3"/>
        <v>0</v>
      </c>
      <c r="AB17" s="705">
        <f>Z17-B17</f>
        <v>0</v>
      </c>
      <c r="AC17" s="270">
        <f>H17+AB17</f>
        <v>12241.200249179965</v>
      </c>
      <c r="AE17" s="270">
        <f>'C1-Incomes'!Z15-Z17</f>
        <v>-7.8999996185302734E-4</v>
      </c>
      <c r="AG17" s="272">
        <v>34900</v>
      </c>
    </row>
    <row r="18" spans="1:33" ht="10.5" customHeight="1" x14ac:dyDescent="0.3">
      <c r="A18" s="268">
        <v>1968</v>
      </c>
      <c r="B18" s="603">
        <f t="shared" si="4"/>
        <v>832068</v>
      </c>
      <c r="C18" s="603"/>
      <c r="D18" s="277">
        <f>'T-T1'!B17</f>
        <v>832068.07926000003</v>
      </c>
      <c r="E18" s="277">
        <f>'T-T3a'!E18</f>
        <v>230126.92353999999</v>
      </c>
      <c r="F18" s="277">
        <f>'T-T2'!E17+'T-T2'!F17+'T-T2'!G17</f>
        <v>52474</v>
      </c>
      <c r="G18" s="277">
        <f>SUM(S18:U18)-SUM('T-T1'!DF17:DI17)</f>
        <v>157736</v>
      </c>
      <c r="H18" s="277">
        <v>19916.844279999961</v>
      </c>
      <c r="I18" s="277"/>
      <c r="J18" s="277">
        <f t="shared" si="1"/>
        <v>-205.92354</v>
      </c>
      <c r="K18" s="277">
        <f>'C10-Adj by Source'!CE14</f>
        <v>111.92354</v>
      </c>
      <c r="L18" s="277">
        <v>319</v>
      </c>
      <c r="M18" s="277">
        <v>144</v>
      </c>
      <c r="N18" s="277" t="s">
        <v>50</v>
      </c>
      <c r="O18" s="277">
        <v>557</v>
      </c>
      <c r="P18" s="277"/>
      <c r="Q18" s="270">
        <v>4088</v>
      </c>
      <c r="R18" s="280"/>
      <c r="S18" s="280">
        <v>81437</v>
      </c>
      <c r="T18" s="280">
        <v>15374</v>
      </c>
      <c r="U18" s="280">
        <v>70713</v>
      </c>
      <c r="W18" s="277">
        <f t="shared" si="0"/>
        <v>19710.999999999989</v>
      </c>
      <c r="X18" s="277">
        <f t="shared" si="2"/>
        <v>-205.84427999997206</v>
      </c>
      <c r="Y18" s="277"/>
      <c r="Z18" s="270">
        <f>'T-T1'!BN17</f>
        <v>832068</v>
      </c>
      <c r="AA18" s="270">
        <f t="shared" si="3"/>
        <v>0</v>
      </c>
      <c r="AB18" s="705">
        <f t="shared" ref="AB18:AB47" si="5">Z18-B18</f>
        <v>0</v>
      </c>
      <c r="AC18" s="270">
        <f t="shared" ref="AC18:AC47" si="6">H18+AB18</f>
        <v>19916.844279999961</v>
      </c>
      <c r="AE18" s="270">
        <f>'C1-Incomes'!Z16-Z18</f>
        <v>-6.399999838322401E-4</v>
      </c>
      <c r="AG18" s="272">
        <v>38700</v>
      </c>
    </row>
    <row r="19" spans="1:33" ht="10.5" customHeight="1" x14ac:dyDescent="0.3">
      <c r="A19" s="268">
        <v>1969</v>
      </c>
      <c r="B19" s="603">
        <f t="shared" si="4"/>
        <v>899520</v>
      </c>
      <c r="C19" s="603"/>
      <c r="D19" s="277">
        <f>'T-T1'!B18</f>
        <v>899520.59916999994</v>
      </c>
      <c r="E19" s="277">
        <f>'T-T3a'!E19</f>
        <v>259482.97447000002</v>
      </c>
      <c r="F19" s="277">
        <f>'T-T2'!E18+'T-T2'!F18+'T-T2'!G18</f>
        <v>58059</v>
      </c>
      <c r="G19" s="277">
        <f>SUM(S19:U19)-SUM('T-T1'!DF18:DI18)</f>
        <v>170097</v>
      </c>
      <c r="H19" s="277">
        <v>31326.375300000072</v>
      </c>
      <c r="I19" s="277"/>
      <c r="J19" s="277">
        <f t="shared" si="1"/>
        <v>-130.97447</v>
      </c>
      <c r="K19" s="277">
        <f>'C10-Adj by Source'!CE15</f>
        <v>152.97447</v>
      </c>
      <c r="L19" s="277">
        <v>394</v>
      </c>
      <c r="M19" s="277">
        <v>213</v>
      </c>
      <c r="N19" s="277" t="s">
        <v>50</v>
      </c>
      <c r="O19" s="277">
        <v>585</v>
      </c>
      <c r="P19" s="277"/>
      <c r="Q19" s="270">
        <v>4625</v>
      </c>
      <c r="R19" s="280"/>
      <c r="S19" s="280">
        <v>82620</v>
      </c>
      <c r="T19" s="280">
        <v>17803</v>
      </c>
      <c r="U19" s="280">
        <v>80438</v>
      </c>
      <c r="W19" s="277">
        <f t="shared" si="0"/>
        <v>31196.000000000015</v>
      </c>
      <c r="X19" s="277">
        <f t="shared" si="2"/>
        <v>-130.3753000000579</v>
      </c>
      <c r="Y19" s="277"/>
      <c r="Z19" s="270">
        <f>'T-T1'!BN18</f>
        <v>899520</v>
      </c>
      <c r="AA19" s="270">
        <f t="shared" si="3"/>
        <v>0</v>
      </c>
      <c r="AB19" s="705">
        <f>Z19-B19</f>
        <v>0</v>
      </c>
      <c r="AC19" s="270">
        <f>H19+AB19</f>
        <v>31326.375300000072</v>
      </c>
      <c r="AE19" s="270">
        <f>'C1-Incomes'!Z17-Z19</f>
        <v>-2.2000004537403584E-4</v>
      </c>
      <c r="AG19" s="272">
        <v>44100</v>
      </c>
    </row>
    <row r="20" spans="1:33" ht="10.5" customHeight="1" x14ac:dyDescent="0.3">
      <c r="A20" s="268">
        <v>1970</v>
      </c>
      <c r="B20" s="603">
        <f t="shared" si="4"/>
        <v>940149</v>
      </c>
      <c r="C20" s="603"/>
      <c r="D20" s="277">
        <f>'T-T1'!B19</f>
        <v>940148.70322000002</v>
      </c>
      <c r="E20" s="277">
        <f>'T-T3a'!E20</f>
        <v>261010.68611399998</v>
      </c>
      <c r="F20" s="277">
        <f>'T-T2'!E19+'T-T2'!F19+'T-T2'!G19</f>
        <v>70641</v>
      </c>
      <c r="G20" s="277">
        <f>SUM(S20:U20)-SUM('T-T1'!DF19:DI19)</f>
        <v>182778</v>
      </c>
      <c r="H20" s="277">
        <v>7591.9828939998988</v>
      </c>
      <c r="I20" s="277"/>
      <c r="J20" s="277">
        <f t="shared" si="1"/>
        <v>-248.68611399999998</v>
      </c>
      <c r="K20" s="277">
        <f>'C10-Adj by Source'!CE16</f>
        <v>135.686114</v>
      </c>
      <c r="L20" s="277">
        <v>374</v>
      </c>
      <c r="M20" s="277">
        <v>234</v>
      </c>
      <c r="N20" s="277" t="s">
        <v>50</v>
      </c>
      <c r="O20" s="277">
        <v>721</v>
      </c>
      <c r="P20" s="277"/>
      <c r="Q20" s="270">
        <v>4764</v>
      </c>
      <c r="R20" s="280"/>
      <c r="S20" s="280">
        <v>81789</v>
      </c>
      <c r="T20" s="280">
        <v>20503</v>
      </c>
      <c r="U20" s="280">
        <v>92111</v>
      </c>
      <c r="W20" s="277">
        <f t="shared" si="0"/>
        <v>7342.9999999999818</v>
      </c>
      <c r="X20" s="277">
        <f t="shared" si="2"/>
        <v>-248.982893999917</v>
      </c>
      <c r="Y20" s="277"/>
      <c r="Z20" s="270">
        <f>'T-T1'!BN19</f>
        <v>940149</v>
      </c>
      <c r="AA20" s="270">
        <f t="shared" si="3"/>
        <v>0</v>
      </c>
      <c r="AB20" s="705">
        <f t="shared" si="5"/>
        <v>0</v>
      </c>
      <c r="AC20" s="270">
        <f t="shared" si="6"/>
        <v>7591.9828939998988</v>
      </c>
      <c r="AE20" s="270">
        <f>'C1-Incomes'!Z18-Z20</f>
        <v>-4.3999997433274984E-4</v>
      </c>
      <c r="AG20" s="272">
        <v>46400</v>
      </c>
    </row>
    <row r="21" spans="1:33" ht="10.5" customHeight="1" x14ac:dyDescent="0.3">
      <c r="A21" s="268">
        <v>1971</v>
      </c>
      <c r="B21" s="603">
        <f t="shared" si="4"/>
        <v>1017016</v>
      </c>
      <c r="C21" s="603"/>
      <c r="D21" s="277">
        <f>'T-T1'!B20</f>
        <v>1017016.3473</v>
      </c>
      <c r="E21" s="277">
        <f>'T-T3a'!E21</f>
        <v>276870.19029300002</v>
      </c>
      <c r="F21" s="277">
        <f>'T-T2'!E20+'T-T2'!F20+'T-T2'!G20</f>
        <v>84110</v>
      </c>
      <c r="G21" s="277">
        <f>SUM(S21:U21)-SUM('T-T1'!DF20:DI20)</f>
        <v>198254</v>
      </c>
      <c r="H21" s="277">
        <v>-5494.1570069999434</v>
      </c>
      <c r="I21" s="277"/>
      <c r="J21" s="277">
        <f t="shared" si="1"/>
        <v>-315.190293</v>
      </c>
      <c r="K21" s="277">
        <f>'C10-Adj by Source'!CE17</f>
        <v>199.190293</v>
      </c>
      <c r="L21" s="277">
        <v>367</v>
      </c>
      <c r="M21" s="277">
        <v>328</v>
      </c>
      <c r="N21" s="277" t="s">
        <v>50</v>
      </c>
      <c r="O21" s="277">
        <v>811</v>
      </c>
      <c r="P21" s="277"/>
      <c r="Q21" s="270">
        <v>5797</v>
      </c>
      <c r="R21" s="280"/>
      <c r="S21" s="280">
        <v>82338</v>
      </c>
      <c r="T21" s="280">
        <v>24273</v>
      </c>
      <c r="U21" s="280">
        <v>104211</v>
      </c>
      <c r="W21" s="277">
        <f t="shared" si="0"/>
        <v>-5808.9999999999782</v>
      </c>
      <c r="X21" s="277">
        <f t="shared" si="2"/>
        <v>-314.84299300003477</v>
      </c>
      <c r="Y21" s="277"/>
      <c r="Z21" s="270">
        <f>'T-T1'!BN20</f>
        <v>1017016</v>
      </c>
      <c r="AA21" s="270">
        <f t="shared" si="3"/>
        <v>0</v>
      </c>
      <c r="AB21" s="705">
        <f t="shared" si="5"/>
        <v>0</v>
      </c>
      <c r="AC21" s="270">
        <f t="shared" si="6"/>
        <v>-5494.1570069999434</v>
      </c>
      <c r="AE21" s="270">
        <f>'C1-Incomes'!Z19-Z21</f>
        <v>-6.99999975040555E-4</v>
      </c>
      <c r="AG21" s="272">
        <v>51200</v>
      </c>
    </row>
    <row r="22" spans="1:33" ht="10.5" customHeight="1" x14ac:dyDescent="0.3">
      <c r="A22" s="268">
        <v>1972</v>
      </c>
      <c r="B22" s="603">
        <f t="shared" si="4"/>
        <v>1122976</v>
      </c>
      <c r="C22" s="603"/>
      <c r="D22" s="277">
        <f>'T-T1'!B21</f>
        <v>1122975.8569</v>
      </c>
      <c r="E22" s="277">
        <f>'T-T3a'!E22</f>
        <v>318009.624878</v>
      </c>
      <c r="F22" s="277">
        <f>'T-T2'!E21+'T-T2'!F21+'T-T2'!G21</f>
        <v>93426</v>
      </c>
      <c r="G22" s="277">
        <f>SUM(S22:U22)-SUM('T-T1'!DF21:DI21)</f>
        <v>213727</v>
      </c>
      <c r="H22" s="277">
        <v>10856.767977999989</v>
      </c>
      <c r="I22" s="277"/>
      <c r="J22" s="277">
        <f t="shared" si="1"/>
        <v>-410.62487800000008</v>
      </c>
      <c r="K22" s="277">
        <f>'C10-Adj by Source'!CE18</f>
        <v>222.624878</v>
      </c>
      <c r="L22" s="277">
        <v>403</v>
      </c>
      <c r="M22" s="277">
        <v>374</v>
      </c>
      <c r="N22" s="277" t="s">
        <v>50</v>
      </c>
      <c r="O22" s="277">
        <v>965</v>
      </c>
      <c r="P22" s="277"/>
      <c r="Q22" s="270">
        <v>6804</v>
      </c>
      <c r="R22" s="280"/>
      <c r="S22" s="280">
        <v>84362</v>
      </c>
      <c r="T22" s="280">
        <v>27810</v>
      </c>
      <c r="U22" s="280">
        <v>115382</v>
      </c>
      <c r="W22" s="277">
        <f t="shared" si="0"/>
        <v>10446.000000000002</v>
      </c>
      <c r="X22" s="277">
        <f t="shared" si="2"/>
        <v>-410.76797799998712</v>
      </c>
      <c r="Y22" s="277"/>
      <c r="Z22" s="270">
        <f>'T-T1'!BN21</f>
        <v>1122976</v>
      </c>
      <c r="AA22" s="270">
        <f t="shared" si="3"/>
        <v>0</v>
      </c>
      <c r="AB22" s="705">
        <f t="shared" si="5"/>
        <v>0</v>
      </c>
      <c r="AC22" s="270">
        <f t="shared" si="6"/>
        <v>10856.767977999989</v>
      </c>
      <c r="AE22" s="270">
        <f>'C1-Incomes'!Z20-Z22</f>
        <v>-1.9999989308416843E-4</v>
      </c>
      <c r="AG22" s="272">
        <v>59200</v>
      </c>
    </row>
    <row r="23" spans="1:33" ht="10.5" customHeight="1" x14ac:dyDescent="0.3">
      <c r="A23" s="268">
        <v>1973</v>
      </c>
      <c r="B23" s="603">
        <f t="shared" si="4"/>
        <v>1256980</v>
      </c>
      <c r="C23" s="603"/>
      <c r="D23" s="277">
        <f>'T-T1'!B22</f>
        <v>1256980.1410999999</v>
      </c>
      <c r="E23" s="277">
        <f>'T-T3a'!E23</f>
        <v>357187.27994599997</v>
      </c>
      <c r="F23" s="277">
        <f>'T-T2'!E22+'T-T2'!F22+'T-T2'!G22</f>
        <v>107078</v>
      </c>
      <c r="G23" s="277">
        <f>SUM(S23:U23)-SUM('T-T1'!DF22:DI22)</f>
        <v>225821</v>
      </c>
      <c r="H23" s="277">
        <v>24288.138845999958</v>
      </c>
      <c r="I23" s="277"/>
      <c r="J23" s="277">
        <f t="shared" si="1"/>
        <v>-480.27994600000011</v>
      </c>
      <c r="K23" s="277">
        <f>'C10-Adj by Source'!CE19</f>
        <v>242.279946</v>
      </c>
      <c r="L23" s="277">
        <v>378</v>
      </c>
      <c r="M23" s="277">
        <v>542</v>
      </c>
      <c r="N23" s="277" t="s">
        <v>50</v>
      </c>
      <c r="O23" s="277">
        <v>1158</v>
      </c>
      <c r="P23" s="277"/>
      <c r="Q23" s="270">
        <v>6601</v>
      </c>
      <c r="R23" s="280"/>
      <c r="S23" s="280">
        <v>84277</v>
      </c>
      <c r="T23" s="280">
        <v>29636</v>
      </c>
      <c r="U23" s="280">
        <v>126811</v>
      </c>
      <c r="W23" s="277">
        <f t="shared" si="0"/>
        <v>23807.999999999967</v>
      </c>
      <c r="X23" s="277">
        <f t="shared" si="2"/>
        <v>-480.13884599999074</v>
      </c>
      <c r="Y23" s="277"/>
      <c r="Z23" s="270">
        <f>'T-T1'!BN22</f>
        <v>1256980</v>
      </c>
      <c r="AA23" s="270">
        <f t="shared" si="3"/>
        <v>0</v>
      </c>
      <c r="AB23" s="705">
        <f t="shared" si="5"/>
        <v>0</v>
      </c>
      <c r="AC23" s="270">
        <f t="shared" si="6"/>
        <v>24288.138845999958</v>
      </c>
      <c r="AE23" s="270">
        <f>'C1-Incomes'!Z21-Z23</f>
        <v>-1.0000006295740604E-4</v>
      </c>
      <c r="AG23" s="272">
        <v>75500</v>
      </c>
    </row>
    <row r="24" spans="1:33" ht="10.5" customHeight="1" x14ac:dyDescent="0.3">
      <c r="A24" s="268">
        <v>1974</v>
      </c>
      <c r="B24" s="603">
        <f t="shared" si="4"/>
        <v>1350769</v>
      </c>
      <c r="C24" s="603"/>
      <c r="D24" s="277">
        <f>'T-T1'!B23</f>
        <v>1350769.412</v>
      </c>
      <c r="E24" s="277">
        <f>'T-T3a'!E24</f>
        <v>393906.90443599998</v>
      </c>
      <c r="F24" s="277">
        <f>'T-T2'!E23+'T-T2'!F23+'T-T2'!G23</f>
        <v>126752</v>
      </c>
      <c r="G24" s="277">
        <f>SUM(S24:U24)-SUM('T-T1'!DF23:DI23)</f>
        <v>252011</v>
      </c>
      <c r="H24" s="277">
        <v>15143.492435999913</v>
      </c>
      <c r="I24" s="277"/>
      <c r="J24" s="277">
        <f t="shared" si="1"/>
        <v>-525.90443600000003</v>
      </c>
      <c r="K24" s="277">
        <f>'C10-Adj by Source'!CE20</f>
        <v>139.904436</v>
      </c>
      <c r="L24" s="277">
        <v>367</v>
      </c>
      <c r="M24" s="277">
        <v>569</v>
      </c>
      <c r="N24" s="277" t="s">
        <v>50</v>
      </c>
      <c r="O24" s="277">
        <v>1322</v>
      </c>
      <c r="P24" s="277"/>
      <c r="Q24" s="270">
        <v>6298</v>
      </c>
      <c r="R24" s="280"/>
      <c r="S24" s="280">
        <v>88835</v>
      </c>
      <c r="T24" s="280">
        <v>33631</v>
      </c>
      <c r="U24" s="280">
        <v>144485</v>
      </c>
      <c r="W24" s="277">
        <f t="shared" si="0"/>
        <v>14617.999999999982</v>
      </c>
      <c r="X24" s="277">
        <f t="shared" si="2"/>
        <v>-525.49243599993133</v>
      </c>
      <c r="Y24" s="277"/>
      <c r="Z24" s="270">
        <f>'T-T1'!BN23</f>
        <v>1350769</v>
      </c>
      <c r="AA24" s="270">
        <f t="shared" si="3"/>
        <v>0</v>
      </c>
      <c r="AB24" s="705">
        <f t="shared" si="5"/>
        <v>0</v>
      </c>
      <c r="AC24" s="270">
        <f t="shared" si="6"/>
        <v>15143.492435999913</v>
      </c>
      <c r="AE24" s="270">
        <f>'C1-Incomes'!Z22-Z24</f>
        <v>0</v>
      </c>
      <c r="AG24" s="272">
        <v>85200</v>
      </c>
    </row>
    <row r="25" spans="1:33" ht="10.5" customHeight="1" x14ac:dyDescent="0.3">
      <c r="A25" s="268">
        <v>1975</v>
      </c>
      <c r="B25" s="603">
        <f t="shared" si="4"/>
        <v>1451148</v>
      </c>
      <c r="C25" s="603"/>
      <c r="D25" s="277">
        <f>'T-T1'!B24</f>
        <v>1451147.608</v>
      </c>
      <c r="E25" s="277">
        <f>'T-T3a'!E25</f>
        <v>403078.84969900001</v>
      </c>
      <c r="F25" s="277">
        <f>'T-T2'!E24+'T-T2'!F24+'T-T2'!G24</f>
        <v>161216</v>
      </c>
      <c r="G25" s="277">
        <f>SUM(S25:U25)-SUM('T-T1'!DF24:DI24)</f>
        <v>282679</v>
      </c>
      <c r="H25" s="277">
        <v>-40815.758301000111</v>
      </c>
      <c r="I25" s="277"/>
      <c r="J25" s="277">
        <f t="shared" si="1"/>
        <v>-1299.8496989999999</v>
      </c>
      <c r="K25" s="277">
        <f>'C10-Adj by Source'!CE21</f>
        <v>370.84969899999999</v>
      </c>
      <c r="L25" s="277">
        <v>471</v>
      </c>
      <c r="M25" s="277">
        <v>587</v>
      </c>
      <c r="N25" s="277" t="s">
        <v>50</v>
      </c>
      <c r="O25" s="277">
        <v>1987</v>
      </c>
      <c r="P25" s="277"/>
      <c r="Q25" s="270">
        <v>6448</v>
      </c>
      <c r="R25" s="280"/>
      <c r="S25" s="280">
        <v>94334</v>
      </c>
      <c r="T25" s="280">
        <v>38591</v>
      </c>
      <c r="U25" s="280">
        <v>165615</v>
      </c>
      <c r="W25" s="277">
        <f t="shared" si="0"/>
        <v>-42115.999999999985</v>
      </c>
      <c r="X25" s="277">
        <f t="shared" si="2"/>
        <v>-1300.2416989998746</v>
      </c>
      <c r="Y25" s="277"/>
      <c r="Z25" s="270">
        <f>'T-T1'!BN24</f>
        <v>1451148</v>
      </c>
      <c r="AA25" s="270">
        <f t="shared" si="3"/>
        <v>0</v>
      </c>
      <c r="AB25" s="705">
        <f t="shared" si="5"/>
        <v>0</v>
      </c>
      <c r="AC25" s="270">
        <f t="shared" si="6"/>
        <v>-40815.758301000111</v>
      </c>
      <c r="AE25" s="270">
        <f>'C1-Incomes'!Z23-Z25</f>
        <v>5.0000008195638657E-4</v>
      </c>
      <c r="AG25" s="272">
        <v>89300</v>
      </c>
    </row>
    <row r="26" spans="1:33" ht="10.5" customHeight="1" x14ac:dyDescent="0.3">
      <c r="A26" s="268">
        <v>1976</v>
      </c>
      <c r="B26" s="603">
        <f t="shared" si="4"/>
        <v>1614767</v>
      </c>
      <c r="C26" s="603"/>
      <c r="D26" s="277">
        <f>'T-T1'!B25</f>
        <v>1614768.9053</v>
      </c>
      <c r="E26" s="277">
        <f>'T-T3a'!E26</f>
        <v>463216.51117295999</v>
      </c>
      <c r="F26" s="277">
        <f>'T-T2'!E25+'T-T2'!F25+'T-T2'!G25</f>
        <v>175583</v>
      </c>
      <c r="G26" s="277">
        <f>SUM(S26:U26)-SUM('T-T1'!DF25:DI25)</f>
        <v>299077</v>
      </c>
      <c r="H26" s="277">
        <v>-11445.394127039937</v>
      </c>
      <c r="I26" s="277"/>
      <c r="J26" s="277">
        <f t="shared" si="1"/>
        <v>-1322.5111729599998</v>
      </c>
      <c r="K26" s="277">
        <f>'C10-Adj by Source'!CE22</f>
        <v>185.51117296000001</v>
      </c>
      <c r="L26" s="277">
        <v>714</v>
      </c>
      <c r="M26" s="277">
        <v>639</v>
      </c>
      <c r="N26" s="277" t="s">
        <v>50</v>
      </c>
      <c r="O26" s="277">
        <v>2490</v>
      </c>
      <c r="P26" s="277"/>
      <c r="Q26" s="270">
        <v>7236</v>
      </c>
      <c r="R26" s="280"/>
      <c r="S26" s="280">
        <v>98172</v>
      </c>
      <c r="T26" s="280">
        <v>40832</v>
      </c>
      <c r="U26" s="280">
        <v>177180</v>
      </c>
      <c r="W26" s="277">
        <f t="shared" si="0"/>
        <v>-12766.000000000011</v>
      </c>
      <c r="X26" s="277">
        <f t="shared" si="2"/>
        <v>-1320.6058729600736</v>
      </c>
      <c r="Y26" s="277"/>
      <c r="Z26" s="270">
        <f>'T-T1'!BN25</f>
        <v>1614767</v>
      </c>
      <c r="AA26" s="270">
        <f t="shared" si="3"/>
        <v>0</v>
      </c>
      <c r="AB26" s="705">
        <f t="shared" si="5"/>
        <v>0</v>
      </c>
      <c r="AC26" s="270">
        <f t="shared" si="6"/>
        <v>-11445.394127039937</v>
      </c>
      <c r="AE26" s="270">
        <f>'C1-Incomes'!Z24-Z26</f>
        <v>4.0000001899898052E-4</v>
      </c>
      <c r="AG26" s="272">
        <v>101300</v>
      </c>
    </row>
    <row r="27" spans="1:33" ht="10.5" customHeight="1" x14ac:dyDescent="0.3">
      <c r="A27" s="268">
        <v>1977</v>
      </c>
      <c r="B27" s="603">
        <f t="shared" si="4"/>
        <v>1798653</v>
      </c>
      <c r="C27" s="603"/>
      <c r="D27" s="277">
        <f>'T-T1'!B26</f>
        <v>1798653.4867</v>
      </c>
      <c r="E27" s="277">
        <f>'T-T3a'!E27</f>
        <v>523240.47095171001</v>
      </c>
      <c r="F27" s="277">
        <f>'T-T2'!E26+'T-T2'!F26+'T-T2'!G26</f>
        <v>187235</v>
      </c>
      <c r="G27" s="277">
        <f>SUM(S27:U27)-SUM('T-T1'!DF26:DI26)</f>
        <v>324467</v>
      </c>
      <c r="H27" s="277">
        <v>11537.984251710121</v>
      </c>
      <c r="I27" s="277"/>
      <c r="J27" s="277">
        <f t="shared" si="1"/>
        <v>-1273.47095171</v>
      </c>
      <c r="K27" s="277">
        <f>'C10-Adj by Source'!CE23</f>
        <v>180.47095171000001</v>
      </c>
      <c r="L27" s="277">
        <v>727</v>
      </c>
      <c r="M27" s="277">
        <v>759</v>
      </c>
      <c r="N27" s="277" t="s">
        <v>50</v>
      </c>
      <c r="O27" s="277">
        <v>2579</v>
      </c>
      <c r="P27" s="277"/>
      <c r="Q27" s="270">
        <v>9276</v>
      </c>
      <c r="R27" s="280"/>
      <c r="S27" s="280">
        <v>104923</v>
      </c>
      <c r="T27" s="280">
        <v>44674</v>
      </c>
      <c r="U27" s="280">
        <v>193005</v>
      </c>
      <c r="W27" s="277">
        <f t="shared" si="0"/>
        <v>10265.000000000013</v>
      </c>
      <c r="X27" s="277">
        <f t="shared" si="2"/>
        <v>-1272.9842517101079</v>
      </c>
      <c r="Y27" s="277"/>
      <c r="Z27" s="270">
        <f>'T-T1'!BN26</f>
        <v>1798653</v>
      </c>
      <c r="AA27" s="270">
        <f t="shared" si="3"/>
        <v>0</v>
      </c>
      <c r="AB27" s="705">
        <f t="shared" si="5"/>
        <v>0</v>
      </c>
      <c r="AC27" s="270">
        <f t="shared" si="6"/>
        <v>11537.984251710121</v>
      </c>
      <c r="AE27" s="270">
        <f>'C1-Incomes'!Z25-Z27</f>
        <v>-9.9999993108212948E-4</v>
      </c>
      <c r="AG27" s="272">
        <v>113100</v>
      </c>
    </row>
    <row r="28" spans="1:33" ht="10.5" customHeight="1" x14ac:dyDescent="0.3">
      <c r="A28" s="268">
        <v>1978</v>
      </c>
      <c r="B28" s="603">
        <f t="shared" si="4"/>
        <v>2029939</v>
      </c>
      <c r="C28" s="603"/>
      <c r="D28" s="277">
        <f>'T-T1'!B27</f>
        <v>2029937.6701</v>
      </c>
      <c r="E28" s="277">
        <f>'T-T3a'!E28</f>
        <v>590291.20475722</v>
      </c>
      <c r="F28" s="277">
        <f>'T-T2'!E27+'T-T2'!F27+'T-T2'!G27</f>
        <v>200957</v>
      </c>
      <c r="G28" s="277">
        <f>SUM(S28:U28)-SUM('T-T1'!DF27:DI27)</f>
        <v>352565</v>
      </c>
      <c r="H28" s="277">
        <v>36770.534657219891</v>
      </c>
      <c r="I28" s="277"/>
      <c r="J28" s="277">
        <f t="shared" si="1"/>
        <v>-1521.2047572199999</v>
      </c>
      <c r="K28" s="277">
        <f>'C10-Adj by Source'!CE24</f>
        <v>598.20475722000003</v>
      </c>
      <c r="L28" s="277">
        <v>954</v>
      </c>
      <c r="M28" s="277">
        <v>865</v>
      </c>
      <c r="N28" s="277" t="s">
        <v>50</v>
      </c>
      <c r="O28" s="277">
        <v>2742</v>
      </c>
      <c r="P28" s="277"/>
      <c r="Q28" s="270">
        <v>7189</v>
      </c>
      <c r="R28" s="280"/>
      <c r="S28" s="280">
        <v>112983</v>
      </c>
      <c r="T28" s="280">
        <v>48982</v>
      </c>
      <c r="U28" s="280">
        <v>209856</v>
      </c>
      <c r="W28" s="277">
        <f t="shared" si="0"/>
        <v>35247.999999999993</v>
      </c>
      <c r="X28" s="277">
        <f t="shared" si="2"/>
        <v>-1522.5346572198978</v>
      </c>
      <c r="Y28" s="277"/>
      <c r="Z28" s="270">
        <f>'T-T1'!BN27</f>
        <v>2029939</v>
      </c>
      <c r="AA28" s="270">
        <f t="shared" si="3"/>
        <v>0</v>
      </c>
      <c r="AB28" s="705">
        <f t="shared" si="5"/>
        <v>0</v>
      </c>
      <c r="AC28" s="270">
        <f t="shared" si="6"/>
        <v>36770.534657219891</v>
      </c>
      <c r="AE28" s="270">
        <f>'C1-Incomes'!Z26-Z28</f>
        <v>5.0000008195638657E-4</v>
      </c>
      <c r="AG28" s="272">
        <v>131300</v>
      </c>
    </row>
    <row r="29" spans="1:33" ht="10.5" customHeight="1" x14ac:dyDescent="0.3">
      <c r="A29" s="268">
        <v>1979</v>
      </c>
      <c r="B29" s="603">
        <f>D29-E29+SUM(F29:H29)</f>
        <v>2248153</v>
      </c>
      <c r="C29" s="603"/>
      <c r="D29" s="277">
        <f>'T-T1'!B28</f>
        <v>2248152.8843</v>
      </c>
      <c r="E29" s="277">
        <f>'T-T3a'!E29</f>
        <v>662234.39490486996</v>
      </c>
      <c r="F29" s="277">
        <f>'T-T2'!E28+'T-T2'!F28+'T-T2'!G28</f>
        <v>224615</v>
      </c>
      <c r="G29" s="277">
        <f>SUM(S29:U29)-SUM('T-T1'!DF28:DI28)</f>
        <v>385857</v>
      </c>
      <c r="H29" s="277">
        <v>51762.51060487004</v>
      </c>
      <c r="I29" s="277"/>
      <c r="J29" s="277">
        <f t="shared" si="1"/>
        <v>-1331.3949048700001</v>
      </c>
      <c r="K29" s="277">
        <f>'C10-Adj by Source'!CE25</f>
        <v>359.39490487</v>
      </c>
      <c r="L29" s="277">
        <v>1148</v>
      </c>
      <c r="M29" s="277">
        <v>929</v>
      </c>
      <c r="N29" s="277" t="s">
        <v>50</v>
      </c>
      <c r="O29" s="277">
        <v>3049</v>
      </c>
      <c r="P29" s="277"/>
      <c r="Q29" s="270">
        <v>7541</v>
      </c>
      <c r="R29" s="280"/>
      <c r="S29" s="280">
        <v>122940</v>
      </c>
      <c r="T29" s="280">
        <v>53049</v>
      </c>
      <c r="U29" s="280">
        <v>229448</v>
      </c>
      <c r="W29" s="277">
        <f t="shared" si="0"/>
        <v>50430.999999999956</v>
      </c>
      <c r="X29" s="277">
        <f t="shared" si="2"/>
        <v>-1331.5106048700836</v>
      </c>
      <c r="Y29" s="277"/>
      <c r="Z29" s="270">
        <f>'T-T1'!BN28</f>
        <v>2248153</v>
      </c>
      <c r="AA29" s="270">
        <f t="shared" si="3"/>
        <v>0</v>
      </c>
      <c r="AB29" s="705">
        <f>Z29-B29</f>
        <v>0</v>
      </c>
      <c r="AC29" s="270">
        <f>H29+AB29</f>
        <v>51762.51060487004</v>
      </c>
      <c r="AE29" s="270">
        <f>'C1-Incomes'!Z27-Z29</f>
        <v>1.3000001199543476E-3</v>
      </c>
      <c r="AG29" s="272">
        <v>152700</v>
      </c>
    </row>
    <row r="30" spans="1:33" ht="10.5" customHeight="1" x14ac:dyDescent="0.3">
      <c r="A30" s="268">
        <v>1980</v>
      </c>
      <c r="B30" s="603">
        <f t="shared" si="4"/>
        <v>2426752</v>
      </c>
      <c r="C30" s="603"/>
      <c r="D30" s="277">
        <f>'T-T1'!B29</f>
        <v>2426754.0954999998</v>
      </c>
      <c r="E30" s="277">
        <f>'T-T3a'!E30</f>
        <v>721485.09584991005</v>
      </c>
      <c r="F30" s="277">
        <f>'T-T2'!E29+'T-T2'!F29+'T-T2'!G29</f>
        <v>268487</v>
      </c>
      <c r="G30" s="277">
        <f>SUM(S30:U30)-SUM('T-T1'!DF29:DI29)</f>
        <v>434922</v>
      </c>
      <c r="H30" s="277">
        <v>18074.000349909998</v>
      </c>
      <c r="I30" s="277"/>
      <c r="J30" s="277">
        <f t="shared" si="1"/>
        <v>-1393.0958499100002</v>
      </c>
      <c r="K30" s="277">
        <f>'C10-Adj by Source'!CE26</f>
        <v>462.09584991000003</v>
      </c>
      <c r="L30" s="277">
        <v>1597</v>
      </c>
      <c r="M30" s="277">
        <v>1015</v>
      </c>
      <c r="N30" s="277" t="s">
        <v>50</v>
      </c>
      <c r="O30" s="277">
        <v>3543</v>
      </c>
      <c r="P30" s="277"/>
      <c r="Q30" s="270">
        <v>8778</v>
      </c>
      <c r="R30" s="280"/>
      <c r="S30" s="280">
        <v>140789</v>
      </c>
      <c r="T30" s="280">
        <v>61322</v>
      </c>
      <c r="U30" s="280">
        <v>252784</v>
      </c>
      <c r="W30" s="277">
        <f t="shared" si="0"/>
        <v>16683.000000000051</v>
      </c>
      <c r="X30" s="277">
        <f t="shared" si="2"/>
        <v>-1391.0003499099475</v>
      </c>
      <c r="Y30" s="277"/>
      <c r="Z30" s="270">
        <f>'T-T1'!BN29</f>
        <v>2426752</v>
      </c>
      <c r="AA30" s="270">
        <f t="shared" si="3"/>
        <v>0</v>
      </c>
      <c r="AB30" s="705">
        <f t="shared" si="5"/>
        <v>0</v>
      </c>
      <c r="AC30" s="270">
        <f t="shared" si="6"/>
        <v>18074.000349909998</v>
      </c>
      <c r="AE30" s="270">
        <f>'C1-Incomes'!Z28-Z30</f>
        <v>0</v>
      </c>
      <c r="AG30" s="272">
        <v>166200</v>
      </c>
    </row>
    <row r="31" spans="1:33" ht="10.5" customHeight="1" x14ac:dyDescent="0.3">
      <c r="A31" s="268">
        <v>1981</v>
      </c>
      <c r="B31" s="603">
        <f t="shared" si="4"/>
        <v>2722132</v>
      </c>
      <c r="C31" s="603"/>
      <c r="D31" s="277">
        <f>'T-T1'!B30</f>
        <v>2722132.7376000001</v>
      </c>
      <c r="E31" s="277">
        <f>'T-T3a'!E31</f>
        <v>825092.63979139994</v>
      </c>
      <c r="F31" s="277">
        <f>'T-T2'!E30+'T-T2'!F30+'T-T2'!G30</f>
        <v>304087</v>
      </c>
      <c r="G31" s="277">
        <f>SUM(S31:U31)-SUM('T-T1'!DF30:DI30)</f>
        <v>485830</v>
      </c>
      <c r="H31" s="277">
        <v>35174.902191400062</v>
      </c>
      <c r="I31" s="277"/>
      <c r="J31" s="277">
        <f t="shared" si="1"/>
        <v>-1978.6397913999999</v>
      </c>
      <c r="K31" s="277">
        <f>'C10-Adj by Source'!CE27</f>
        <v>375.63979139999998</v>
      </c>
      <c r="L31" s="277">
        <v>1517</v>
      </c>
      <c r="M31" s="277">
        <v>1168</v>
      </c>
      <c r="N31" s="277" t="s">
        <v>50</v>
      </c>
      <c r="O31" s="277">
        <v>4288</v>
      </c>
      <c r="P31" s="277"/>
      <c r="Q31" s="270">
        <v>9262</v>
      </c>
      <c r="R31" s="280"/>
      <c r="S31" s="280">
        <v>162942</v>
      </c>
      <c r="T31" s="280">
        <v>68358</v>
      </c>
      <c r="U31" s="280">
        <v>276089</v>
      </c>
      <c r="W31" s="277">
        <f t="shared" si="0"/>
        <v>33196.999999999942</v>
      </c>
      <c r="X31" s="277">
        <f t="shared" si="2"/>
        <v>-1977.9021914001205</v>
      </c>
      <c r="Y31" s="277"/>
      <c r="Z31" s="270">
        <f>'T-T1'!BN30</f>
        <v>2722132</v>
      </c>
      <c r="AA31" s="270">
        <f t="shared" si="3"/>
        <v>0</v>
      </c>
      <c r="AB31" s="705">
        <f t="shared" si="5"/>
        <v>0</v>
      </c>
      <c r="AC31" s="270">
        <f t="shared" si="6"/>
        <v>35174.902191400062</v>
      </c>
      <c r="AE31" s="270">
        <f>'C1-Incomes'!Z29-Z31</f>
        <v>8.0000003799796104E-4</v>
      </c>
      <c r="AG31" s="272">
        <v>195700</v>
      </c>
    </row>
    <row r="32" spans="1:33" ht="10.5" customHeight="1" x14ac:dyDescent="0.3">
      <c r="A32" s="268">
        <v>1982</v>
      </c>
      <c r="B32" s="603">
        <f t="shared" si="4"/>
        <v>2840412</v>
      </c>
      <c r="C32" s="603"/>
      <c r="D32" s="277">
        <f>'T-T1'!B31</f>
        <v>2840413.7584000002</v>
      </c>
      <c r="E32" s="277">
        <f>'T-T3a'!E32</f>
        <v>832368.69883754</v>
      </c>
      <c r="F32" s="277">
        <f>'T-T2'!E31+'T-T2'!F31+'T-T2'!G31</f>
        <v>339382</v>
      </c>
      <c r="G32" s="277">
        <f>SUM(S32:U32)-SUM('T-T1'!DF31:DI31)</f>
        <v>529991</v>
      </c>
      <c r="H32" s="277">
        <v>-37006.059562460054</v>
      </c>
      <c r="I32" s="277"/>
      <c r="J32" s="277">
        <f t="shared" si="1"/>
        <v>-1972.6988375399997</v>
      </c>
      <c r="K32" s="277">
        <f>'C10-Adj by Source'!CE28</f>
        <v>433.69883754</v>
      </c>
      <c r="L32" s="277">
        <v>1372</v>
      </c>
      <c r="M32" s="277">
        <v>1192</v>
      </c>
      <c r="N32" s="277" t="s">
        <v>50</v>
      </c>
      <c r="O32" s="277">
        <v>4103</v>
      </c>
      <c r="P32" s="277"/>
      <c r="Q32" s="270">
        <v>10103</v>
      </c>
      <c r="R32" s="280"/>
      <c r="S32" s="280">
        <v>184598</v>
      </c>
      <c r="T32" s="280">
        <v>71060</v>
      </c>
      <c r="U32" s="280">
        <v>297414</v>
      </c>
      <c r="W32" s="277">
        <f t="shared" si="0"/>
        <v>-38977</v>
      </c>
      <c r="X32" s="277">
        <f t="shared" si="2"/>
        <v>-1970.9404375399463</v>
      </c>
      <c r="Y32" s="277"/>
      <c r="Z32" s="270">
        <f>'T-T1'!BN31</f>
        <v>2840412</v>
      </c>
      <c r="AA32" s="270">
        <f t="shared" si="3"/>
        <v>0</v>
      </c>
      <c r="AB32" s="705">
        <f t="shared" si="5"/>
        <v>0</v>
      </c>
      <c r="AC32" s="270">
        <f t="shared" si="6"/>
        <v>-37006.059562460054</v>
      </c>
      <c r="AE32" s="270">
        <f>'C1-Incomes'!Z30-Z32</f>
        <v>-1.4999997802078724E-3</v>
      </c>
      <c r="AG32" s="272">
        <v>208900</v>
      </c>
    </row>
    <row r="33" spans="1:33" ht="10.5" customHeight="1" x14ac:dyDescent="0.3">
      <c r="A33" s="268">
        <v>1983</v>
      </c>
      <c r="B33" s="603">
        <f t="shared" si="4"/>
        <v>3060514</v>
      </c>
      <c r="C33" s="603"/>
      <c r="D33" s="277">
        <f>'T-T1'!B32</f>
        <v>3060514.7870999998</v>
      </c>
      <c r="E33" s="277">
        <f>'T-T3a'!E33</f>
        <v>876252.66404795996</v>
      </c>
      <c r="F33" s="277">
        <f>'T-T2'!E32+'T-T2'!F32+'T-T2'!G32</f>
        <v>366263</v>
      </c>
      <c r="G33" s="277">
        <f>SUM(S33:U33)-SUM('T-T1'!DF32:DI32)</f>
        <v>565674</v>
      </c>
      <c r="H33" s="277">
        <v>-55685.123052040115</v>
      </c>
      <c r="I33" s="277"/>
      <c r="J33" s="277">
        <f t="shared" si="1"/>
        <v>-1503.6640479600001</v>
      </c>
      <c r="K33" s="277">
        <f>'C10-Adj by Source'!CE29</f>
        <v>344.66404796</v>
      </c>
      <c r="L33" s="277">
        <v>1211</v>
      </c>
      <c r="M33" s="277">
        <v>1255</v>
      </c>
      <c r="N33" s="277" t="s">
        <v>50</v>
      </c>
      <c r="O33" s="277">
        <v>3625</v>
      </c>
      <c r="P33" s="277"/>
      <c r="Q33" s="270">
        <v>8290</v>
      </c>
      <c r="R33" s="280"/>
      <c r="S33" s="280">
        <v>199577</v>
      </c>
      <c r="T33" s="280">
        <v>78276</v>
      </c>
      <c r="U33" s="280">
        <v>316726</v>
      </c>
      <c r="W33" s="277">
        <f t="shared" si="0"/>
        <v>-57188.000000000044</v>
      </c>
      <c r="X33" s="277">
        <f t="shared" si="2"/>
        <v>-1502.8769479599287</v>
      </c>
      <c r="Y33" s="277"/>
      <c r="Z33" s="270">
        <f>'T-T1'!BN32</f>
        <v>3060514</v>
      </c>
      <c r="AA33" s="270">
        <f t="shared" si="3"/>
        <v>0</v>
      </c>
      <c r="AB33" s="705">
        <f t="shared" si="5"/>
        <v>0</v>
      </c>
      <c r="AC33" s="270">
        <f t="shared" si="6"/>
        <v>-55685.123052040115</v>
      </c>
      <c r="AE33" s="270">
        <f>'C1-Incomes'!Z31-Z33</f>
        <v>1.6000000759959221E-3</v>
      </c>
      <c r="AG33" s="272">
        <v>226000</v>
      </c>
    </row>
    <row r="34" spans="1:33" ht="10.5" customHeight="1" x14ac:dyDescent="0.3">
      <c r="A34" s="268">
        <v>1984</v>
      </c>
      <c r="B34" s="603">
        <f t="shared" si="4"/>
        <v>3443987</v>
      </c>
      <c r="C34" s="603"/>
      <c r="D34" s="277">
        <f>'T-T1'!B33</f>
        <v>3443988.0337</v>
      </c>
      <c r="E34" s="277">
        <f>'T-T3a'!E34</f>
        <v>970167.90397722996</v>
      </c>
      <c r="F34" s="277">
        <f>'T-T2'!E33+'T-T2'!F33+'T-T2'!G33</f>
        <v>375742</v>
      </c>
      <c r="G34" s="277">
        <f>SUM(S34:U34)-SUM('T-T1'!DF33:DI33)</f>
        <v>600513</v>
      </c>
      <c r="H34" s="277">
        <v>-6088.1297227703035</v>
      </c>
      <c r="I34" s="277"/>
      <c r="J34" s="277">
        <f t="shared" si="1"/>
        <v>-1371.9039772300002</v>
      </c>
      <c r="K34" s="277">
        <f>'C10-Adj by Source'!CE30</f>
        <v>338.90397723000001</v>
      </c>
      <c r="L34" s="277">
        <v>1304</v>
      </c>
      <c r="M34" s="277">
        <v>1336</v>
      </c>
      <c r="N34" s="277" t="s">
        <v>50</v>
      </c>
      <c r="O34" s="277">
        <v>3673</v>
      </c>
      <c r="P34" s="277"/>
      <c r="Q34" s="270">
        <v>8360</v>
      </c>
      <c r="R34" s="280"/>
      <c r="S34" s="280">
        <v>213602</v>
      </c>
      <c r="T34" s="280">
        <v>78428</v>
      </c>
      <c r="U34" s="280">
        <v>339961</v>
      </c>
      <c r="W34" s="277">
        <f t="shared" si="0"/>
        <v>-7459.0000000000418</v>
      </c>
      <c r="X34" s="277">
        <f t="shared" si="2"/>
        <v>-1370.8702772297383</v>
      </c>
      <c r="Y34" s="277"/>
      <c r="Z34" s="270">
        <f>'T-T1'!BN33</f>
        <v>3443987</v>
      </c>
      <c r="AA34" s="270">
        <f t="shared" si="3"/>
        <v>0</v>
      </c>
      <c r="AB34" s="705">
        <f t="shared" si="5"/>
        <v>0</v>
      </c>
      <c r="AC34" s="270">
        <f t="shared" si="6"/>
        <v>-6088.1297227703035</v>
      </c>
      <c r="AE34" s="270">
        <f>'C1-Incomes'!Z32-Z34</f>
        <v>-8.0000003799796104E-4</v>
      </c>
      <c r="AG34" s="272">
        <v>257500</v>
      </c>
    </row>
    <row r="35" spans="1:33" ht="10.5" customHeight="1" x14ac:dyDescent="0.3">
      <c r="A35" s="268">
        <v>1985</v>
      </c>
      <c r="B35" s="603">
        <f t="shared" si="4"/>
        <v>3684189</v>
      </c>
      <c r="C35" s="603"/>
      <c r="D35" s="277">
        <f>'T-T1'!B34</f>
        <v>3684187.6332999999</v>
      </c>
      <c r="E35" s="277">
        <f>'T-T3a'!E35</f>
        <v>1050378.08684759</v>
      </c>
      <c r="F35" s="277">
        <f>'T-T2'!E34+'T-T2'!F34+'T-T2'!G34</f>
        <v>397499</v>
      </c>
      <c r="G35" s="277">
        <f>SUM(S35:U35)-SUM('T-T1'!DF34:DI34)</f>
        <v>655533</v>
      </c>
      <c r="H35" s="277">
        <v>-2652.5464524095878</v>
      </c>
      <c r="I35" s="277"/>
      <c r="J35" s="277">
        <f t="shared" si="1"/>
        <v>-1028.0868475899997</v>
      </c>
      <c r="K35" s="277">
        <f>'C10-Adj by Source'!CE31</f>
        <v>364.08684758999999</v>
      </c>
      <c r="L35" s="277">
        <v>1939</v>
      </c>
      <c r="M35" s="277">
        <v>1425</v>
      </c>
      <c r="N35" s="277" t="s">
        <v>50</v>
      </c>
      <c r="O35" s="277">
        <v>4028</v>
      </c>
      <c r="P35" s="277"/>
      <c r="Q35" s="270">
        <v>8934</v>
      </c>
      <c r="R35" s="280"/>
      <c r="S35" s="280">
        <v>230544</v>
      </c>
      <c r="T35" s="280">
        <v>86207</v>
      </c>
      <c r="U35" s="280">
        <v>371807</v>
      </c>
      <c r="W35" s="277">
        <f t="shared" si="0"/>
        <v>-3681.99999999995</v>
      </c>
      <c r="X35" s="277">
        <f t="shared" si="2"/>
        <v>-1029.4535475903622</v>
      </c>
      <c r="Y35" s="277"/>
      <c r="Z35" s="270">
        <f>'T-T1'!BN34</f>
        <v>3684189</v>
      </c>
      <c r="AA35" s="270">
        <f t="shared" si="3"/>
        <v>0</v>
      </c>
      <c r="AB35" s="705">
        <f t="shared" si="5"/>
        <v>0</v>
      </c>
      <c r="AC35" s="270">
        <f t="shared" si="6"/>
        <v>-2652.5464524095878</v>
      </c>
      <c r="AE35" s="270">
        <f>'C1-Incomes'!Z33-Z35</f>
        <v>-2.0000012591481209E-4</v>
      </c>
      <c r="AG35" s="272">
        <v>281400</v>
      </c>
    </row>
    <row r="36" spans="1:33" ht="10.5" customHeight="1" x14ac:dyDescent="0.3">
      <c r="A36" s="268">
        <v>1986</v>
      </c>
      <c r="B36" s="603">
        <f t="shared" si="4"/>
        <v>3848203</v>
      </c>
      <c r="C36" s="603"/>
      <c r="D36" s="277">
        <f>'T-T1'!B35</f>
        <v>3848203.7167000002</v>
      </c>
      <c r="E36" s="277">
        <f>'T-T3a'!E36</f>
        <v>1117548.89486131</v>
      </c>
      <c r="F36" s="277">
        <f>'T-T2'!E35+'T-T2'!F35+'T-T2'!G35</f>
        <v>422885</v>
      </c>
      <c r="G36" s="277">
        <f>SUM(S36:U36)-SUM('T-T1'!DF35:DI35)</f>
        <v>702101</v>
      </c>
      <c r="H36" s="277">
        <v>-7437.821838689968</v>
      </c>
      <c r="I36" s="277"/>
      <c r="J36" s="277">
        <f t="shared" si="1"/>
        <v>-2072.8948613100001</v>
      </c>
      <c r="K36" s="277">
        <f>'C10-Adj by Source'!CE32</f>
        <v>839.8948613099999</v>
      </c>
      <c r="L36" s="277">
        <v>1713</v>
      </c>
      <c r="M36" s="277">
        <v>1452</v>
      </c>
      <c r="N36" s="277" t="s">
        <v>50</v>
      </c>
      <c r="O36" s="277">
        <v>4398</v>
      </c>
      <c r="P36" s="277"/>
      <c r="Q36" s="270">
        <v>10019</v>
      </c>
      <c r="R36" s="280"/>
      <c r="S36" s="280">
        <v>245782</v>
      </c>
      <c r="T36" s="280">
        <v>90711</v>
      </c>
      <c r="U36" s="280">
        <v>399890</v>
      </c>
      <c r="W36" s="277">
        <f t="shared" si="0"/>
        <v>-9509.9999999999782</v>
      </c>
      <c r="X36" s="277">
        <f t="shared" si="2"/>
        <v>-2072.1781613100102</v>
      </c>
      <c r="Y36" s="277"/>
      <c r="Z36" s="270">
        <f>'T-T1'!BN35</f>
        <v>3848203</v>
      </c>
      <c r="AA36" s="270">
        <f t="shared" si="3"/>
        <v>0</v>
      </c>
      <c r="AB36" s="705">
        <f t="shared" si="5"/>
        <v>0</v>
      </c>
      <c r="AC36" s="270">
        <f t="shared" si="6"/>
        <v>-7437.821838689968</v>
      </c>
      <c r="AE36" s="270">
        <f>'C1-Incomes'!Z34-Z36</f>
        <v>-5.9999991208314896E-4</v>
      </c>
      <c r="AG36" s="272">
        <v>303400</v>
      </c>
    </row>
    <row r="37" spans="1:33" ht="10.5" customHeight="1" x14ac:dyDescent="0.3">
      <c r="A37" s="268">
        <v>1987</v>
      </c>
      <c r="B37" s="603">
        <f t="shared" si="4"/>
        <v>4119198</v>
      </c>
      <c r="C37" s="603"/>
      <c r="D37" s="277">
        <f>'T-T1'!B36</f>
        <v>4119197.5964000002</v>
      </c>
      <c r="E37" s="277">
        <f>'T-T3a'!E37</f>
        <v>1230156.4464026</v>
      </c>
      <c r="F37" s="277">
        <f>'T-T2'!E36+'T-T2'!F36+'T-T2'!G36</f>
        <v>440504</v>
      </c>
      <c r="G37" s="277">
        <f>SUM(S37:U37)-SUM('T-T1'!DF36:DI36)</f>
        <v>740264</v>
      </c>
      <c r="H37" s="277">
        <v>49388.85000259988</v>
      </c>
      <c r="I37" s="277"/>
      <c r="J37" s="277">
        <f t="shared" si="1"/>
        <v>-1266.4464026000005</v>
      </c>
      <c r="K37" s="277">
        <f>'C10-Adj by Source'!CE33</f>
        <v>551.44640260000006</v>
      </c>
      <c r="L37" s="277">
        <v>2040</v>
      </c>
      <c r="M37" s="277">
        <v>1525</v>
      </c>
      <c r="N37" s="277" t="s">
        <v>50</v>
      </c>
      <c r="O37" s="277">
        <v>4280</v>
      </c>
      <c r="P37" s="277"/>
      <c r="Q37" s="270">
        <v>10576</v>
      </c>
      <c r="R37" s="280"/>
      <c r="S37" s="280">
        <v>259180</v>
      </c>
      <c r="T37" s="280">
        <v>88592</v>
      </c>
      <c r="U37" s="280">
        <v>428347</v>
      </c>
      <c r="W37" s="277">
        <f t="shared" si="0"/>
        <v>48122.000000000036</v>
      </c>
      <c r="X37" s="277">
        <f t="shared" si="2"/>
        <v>-1266.8500025998437</v>
      </c>
      <c r="Y37" s="277"/>
      <c r="Z37" s="270">
        <f>'T-T1'!BN36</f>
        <v>4119198</v>
      </c>
      <c r="AA37" s="270">
        <f t="shared" si="3"/>
        <v>0</v>
      </c>
      <c r="AB37" s="705">
        <f t="shared" si="5"/>
        <v>0</v>
      </c>
      <c r="AC37" s="270">
        <f t="shared" si="6"/>
        <v>49388.85000259988</v>
      </c>
      <c r="AE37" s="270">
        <f>'C1-Incomes'!Z35-Z37</f>
        <v>0</v>
      </c>
      <c r="AG37" s="272">
        <v>323100</v>
      </c>
    </row>
    <row r="38" spans="1:33" ht="10.5" customHeight="1" x14ac:dyDescent="0.3">
      <c r="A38" s="268">
        <v>1988</v>
      </c>
      <c r="B38" s="603">
        <f t="shared" si="4"/>
        <v>4493372</v>
      </c>
      <c r="C38" s="603"/>
      <c r="D38" s="277">
        <f>'T-T1'!B37</f>
        <v>4493372.5432000002</v>
      </c>
      <c r="E38" s="277">
        <f>'T-T3a'!E38</f>
        <v>1319747.3837995501</v>
      </c>
      <c r="F38" s="277">
        <f>'T-T2'!E37+'T-T2'!F37+'T-T2'!G37</f>
        <v>468103</v>
      </c>
      <c r="G38" s="277">
        <f>SUM(S38:U38)-SUM('T-T1'!DF37:DI37)</f>
        <v>781810</v>
      </c>
      <c r="H38" s="277">
        <v>69833.840599549934</v>
      </c>
      <c r="I38" s="277"/>
      <c r="J38" s="277">
        <f t="shared" si="1"/>
        <v>-1215.3837995499998</v>
      </c>
      <c r="K38" s="277">
        <f>'C10-Adj by Source'!CE34</f>
        <v>683.38379954999994</v>
      </c>
      <c r="L38" s="277">
        <v>2374</v>
      </c>
      <c r="M38" s="277">
        <v>1674</v>
      </c>
      <c r="N38" s="277" t="s">
        <v>50</v>
      </c>
      <c r="O38" s="277">
        <v>4580</v>
      </c>
      <c r="P38" s="277"/>
      <c r="Q38" s="270">
        <v>11114</v>
      </c>
      <c r="R38" s="280"/>
      <c r="S38" s="280">
        <v>274166</v>
      </c>
      <c r="T38" s="280">
        <v>86670</v>
      </c>
      <c r="U38" s="280">
        <v>458937</v>
      </c>
      <c r="W38" s="277">
        <f t="shared" si="0"/>
        <v>68619.000000000116</v>
      </c>
      <c r="X38" s="277">
        <f t="shared" si="2"/>
        <v>-1214.8405995498179</v>
      </c>
      <c r="Y38" s="277"/>
      <c r="Z38" s="270">
        <f>'T-T1'!BN37</f>
        <v>4493372</v>
      </c>
      <c r="AA38" s="270">
        <f t="shared" si="3"/>
        <v>0</v>
      </c>
      <c r="AB38" s="705">
        <f t="shared" si="5"/>
        <v>0</v>
      </c>
      <c r="AC38" s="270">
        <f t="shared" si="6"/>
        <v>69833.840599549934</v>
      </c>
      <c r="AE38" s="270">
        <f>'C1-Incomes'!Z36-Z38</f>
        <v>6.9999974220991135E-4</v>
      </c>
      <c r="AG38" s="272">
        <v>361500</v>
      </c>
    </row>
    <row r="39" spans="1:33" ht="10.5" customHeight="1" x14ac:dyDescent="0.3">
      <c r="A39" s="268">
        <v>1989</v>
      </c>
      <c r="B39" s="603">
        <f t="shared" si="4"/>
        <v>4782194</v>
      </c>
      <c r="C39" s="603"/>
      <c r="D39" s="277">
        <f>'T-T1'!B38</f>
        <v>4782196.0384999998</v>
      </c>
      <c r="E39" s="277">
        <f>'T-T3a'!E39</f>
        <v>1425604.2390866801</v>
      </c>
      <c r="F39" s="277">
        <f>'T-T2'!E38+'T-T2'!F38+'T-T2'!G38</f>
        <v>508807</v>
      </c>
      <c r="G39" s="277">
        <f>SUM(S39:U39)-SUM('T-T1'!DF38:DI38)</f>
        <v>842342</v>
      </c>
      <c r="H39" s="277">
        <v>74453.200586680323</v>
      </c>
      <c r="I39" s="277"/>
      <c r="J39" s="277">
        <f t="shared" si="1"/>
        <v>-1410.2390866799997</v>
      </c>
      <c r="K39" s="277">
        <f>'C10-Adj by Source'!CE35</f>
        <v>724.2390866799999</v>
      </c>
      <c r="L39" s="277">
        <v>2740</v>
      </c>
      <c r="M39" s="277">
        <v>1706</v>
      </c>
      <c r="N39" s="277" t="s">
        <v>50</v>
      </c>
      <c r="O39" s="277">
        <v>5132</v>
      </c>
      <c r="P39" s="277"/>
      <c r="Q39" s="270">
        <v>12435</v>
      </c>
      <c r="R39" s="280"/>
      <c r="S39" s="280">
        <v>283473</v>
      </c>
      <c r="T39" s="280">
        <v>96690</v>
      </c>
      <c r="U39" s="280">
        <v>501325</v>
      </c>
      <c r="W39" s="277">
        <f t="shared" si="0"/>
        <v>73045.000000000116</v>
      </c>
      <c r="X39" s="277">
        <f t="shared" si="2"/>
        <v>-1408.2005866802065</v>
      </c>
      <c r="Y39" s="277"/>
      <c r="Z39" s="270">
        <f>'T-T1'!BN38</f>
        <v>4782194</v>
      </c>
      <c r="AA39" s="270">
        <f t="shared" si="3"/>
        <v>0</v>
      </c>
      <c r="AB39" s="705">
        <f t="shared" si="5"/>
        <v>0</v>
      </c>
      <c r="AC39" s="270">
        <f t="shared" si="6"/>
        <v>74453.200586680323</v>
      </c>
      <c r="AE39" s="270">
        <f>'C1-Incomes'!Z37-Z39</f>
        <v>-9.999983012676239E-5</v>
      </c>
      <c r="AG39" s="272">
        <v>385200</v>
      </c>
    </row>
    <row r="40" spans="1:33" ht="10.5" customHeight="1" x14ac:dyDescent="0.3">
      <c r="A40" s="268">
        <v>1990</v>
      </c>
      <c r="B40" s="603">
        <f t="shared" si="4"/>
        <v>5036095</v>
      </c>
      <c r="C40" s="603"/>
      <c r="D40" s="277">
        <f>'T-T1'!B39</f>
        <v>5036094.3466999996</v>
      </c>
      <c r="E40" s="277">
        <f>'T-T3a'!E40</f>
        <v>1501859.63974415</v>
      </c>
      <c r="F40" s="277">
        <f>'T-T2'!E39+'T-T2'!F39+'T-T2'!G39</f>
        <v>563354</v>
      </c>
      <c r="G40" s="277">
        <f>SUM(S40:U40)-SUM('T-T1'!DF39:DI39)</f>
        <v>906011</v>
      </c>
      <c r="H40" s="277">
        <v>32495.293044149876</v>
      </c>
      <c r="I40" s="277"/>
      <c r="J40" s="277">
        <f t="shared" si="1"/>
        <v>-1965.6397441500003</v>
      </c>
      <c r="K40" s="277">
        <f>'C10-Adj by Source'!CE36</f>
        <v>798.63974414999996</v>
      </c>
      <c r="L40" s="277">
        <v>3030</v>
      </c>
      <c r="M40" s="277">
        <v>1967</v>
      </c>
      <c r="N40" s="277" t="s">
        <v>50</v>
      </c>
      <c r="O40" s="277">
        <v>6164</v>
      </c>
      <c r="P40" s="277"/>
      <c r="Q40" s="270">
        <v>15755</v>
      </c>
      <c r="R40" s="280"/>
      <c r="S40" s="280">
        <v>295432</v>
      </c>
      <c r="T40" s="280">
        <v>106383</v>
      </c>
      <c r="U40" s="280">
        <v>546179</v>
      </c>
      <c r="W40" s="277">
        <f t="shared" si="0"/>
        <v>30528.999999999985</v>
      </c>
      <c r="X40" s="277">
        <f t="shared" si="2"/>
        <v>-1966.2930441498902</v>
      </c>
      <c r="Y40" s="277"/>
      <c r="Z40" s="270">
        <f>'T-T1'!BN39</f>
        <v>5036095</v>
      </c>
      <c r="AA40" s="270">
        <f t="shared" si="3"/>
        <v>0</v>
      </c>
      <c r="AB40" s="705">
        <f t="shared" si="5"/>
        <v>0</v>
      </c>
      <c r="AC40" s="270">
        <f t="shared" si="6"/>
        <v>32495.293044149876</v>
      </c>
      <c r="AE40" s="270">
        <f>'C1-Incomes'!Z38-Z40</f>
        <v>-1.2999996542930603E-3</v>
      </c>
      <c r="AG40" s="272">
        <v>410100</v>
      </c>
    </row>
    <row r="41" spans="1:33" ht="10.5" customHeight="1" x14ac:dyDescent="0.3">
      <c r="A41" s="268">
        <v>1991</v>
      </c>
      <c r="B41" s="603">
        <f t="shared" si="4"/>
        <v>5186125</v>
      </c>
      <c r="C41" s="603"/>
      <c r="D41" s="277">
        <f>'T-T1'!B40</f>
        <v>5186123.0979000004</v>
      </c>
      <c r="E41" s="277">
        <f>'T-T3a'!E41</f>
        <v>1535737.0555387</v>
      </c>
      <c r="F41" s="277">
        <f>'T-T2'!E40+'T-T2'!F40+'T-T2'!G40</f>
        <v>638573</v>
      </c>
      <c r="G41" s="277">
        <f>SUM(S41:U41)-SUM('T-T1'!DF40:DI40)</f>
        <v>954868</v>
      </c>
      <c r="H41" s="277">
        <v>-57702.042361300439</v>
      </c>
      <c r="I41" s="277"/>
      <c r="J41" s="277">
        <f t="shared" si="1"/>
        <v>-2483.0555387000004</v>
      </c>
      <c r="K41" s="277">
        <f>'C10-Adj by Source'!CE37</f>
        <v>863.05553870000006</v>
      </c>
      <c r="L41" s="277">
        <v>2602</v>
      </c>
      <c r="M41" s="277">
        <v>2050</v>
      </c>
      <c r="N41" s="277" t="s">
        <v>50</v>
      </c>
      <c r="O41" s="277">
        <v>6272</v>
      </c>
      <c r="P41" s="277"/>
      <c r="Q41" s="270">
        <v>15597</v>
      </c>
      <c r="R41" s="280"/>
      <c r="S41" s="280">
        <v>310642</v>
      </c>
      <c r="T41" s="280">
        <v>113299</v>
      </c>
      <c r="U41" s="280">
        <v>580130</v>
      </c>
      <c r="W41" s="277">
        <f t="shared" si="0"/>
        <v>-60187.000000000036</v>
      </c>
      <c r="X41" s="277">
        <f t="shared" si="2"/>
        <v>-2484.9576386995977</v>
      </c>
      <c r="Y41" s="277"/>
      <c r="Z41" s="270">
        <f>'T-T1'!BN40</f>
        <v>5186125</v>
      </c>
      <c r="AA41" s="270">
        <f t="shared" si="3"/>
        <v>0</v>
      </c>
      <c r="AB41" s="705">
        <f t="shared" si="5"/>
        <v>0</v>
      </c>
      <c r="AC41" s="270">
        <f t="shared" si="6"/>
        <v>-57702.042361300439</v>
      </c>
      <c r="AE41" s="270">
        <f>'C1-Incomes'!Z39-Z41</f>
        <v>1.0999999940395355E-3</v>
      </c>
      <c r="AG41" s="272">
        <v>430200</v>
      </c>
    </row>
    <row r="42" spans="1:33" ht="10.5" customHeight="1" x14ac:dyDescent="0.3">
      <c r="A42" s="268">
        <v>1992</v>
      </c>
      <c r="B42" s="603">
        <f t="shared" si="4"/>
        <v>5499748</v>
      </c>
      <c r="C42" s="603"/>
      <c r="D42" s="277">
        <f>'T-T1'!B41</f>
        <v>5499747.9360999996</v>
      </c>
      <c r="E42" s="277">
        <f>'T-T3a'!E42</f>
        <v>1618525.8962499001</v>
      </c>
      <c r="F42" s="277">
        <f>'T-T2'!E41+'T-T2'!F41+'T-T2'!G41</f>
        <v>717673</v>
      </c>
      <c r="G42" s="277">
        <f>SUM(S42:U42)-SUM('T-T1'!DF41:DI41)</f>
        <v>996895</v>
      </c>
      <c r="H42" s="277">
        <v>-96042.039850099012</v>
      </c>
      <c r="I42" s="277"/>
      <c r="J42" s="277">
        <f t="shared" si="1"/>
        <v>-2451.8962498999999</v>
      </c>
      <c r="K42" s="277">
        <f>'C10-Adj by Source'!CE38</f>
        <v>1001.8962498999999</v>
      </c>
      <c r="L42" s="277">
        <v>2638</v>
      </c>
      <c r="M42" s="277">
        <v>2137</v>
      </c>
      <c r="N42" s="277" t="s">
        <v>50</v>
      </c>
      <c r="O42" s="277">
        <v>6225</v>
      </c>
      <c r="P42" s="277"/>
      <c r="Q42" s="270">
        <v>15795</v>
      </c>
      <c r="R42" s="280"/>
      <c r="S42" s="280">
        <v>307546</v>
      </c>
      <c r="T42" s="280">
        <v>122665</v>
      </c>
      <c r="U42" s="280">
        <v>619042</v>
      </c>
      <c r="W42" s="277">
        <f t="shared" si="0"/>
        <v>-98493.999999999898</v>
      </c>
      <c r="X42" s="277">
        <f t="shared" si="2"/>
        <v>-2451.9601499008859</v>
      </c>
      <c r="Y42" s="277"/>
      <c r="Z42" s="270">
        <f>'T-T1'!BN41</f>
        <v>5499748</v>
      </c>
      <c r="AA42" s="270">
        <f t="shared" si="3"/>
        <v>0</v>
      </c>
      <c r="AB42" s="705">
        <f t="shared" si="5"/>
        <v>0</v>
      </c>
      <c r="AC42" s="270">
        <f t="shared" si="6"/>
        <v>-96042.039850099012</v>
      </c>
      <c r="AE42" s="270">
        <f>'C1-Incomes'!Z40-Z42</f>
        <v>1.9999966025352478E-4</v>
      </c>
      <c r="AG42" s="272">
        <v>455000</v>
      </c>
    </row>
    <row r="43" spans="1:33" ht="10.5" customHeight="1" x14ac:dyDescent="0.3">
      <c r="A43" s="268">
        <v>1993</v>
      </c>
      <c r="B43" s="603">
        <f t="shared" si="4"/>
        <v>5754784</v>
      </c>
      <c r="C43" s="603"/>
      <c r="D43" s="277">
        <f>'T-T1'!B42</f>
        <v>5754784.1842999998</v>
      </c>
      <c r="E43" s="277">
        <f>'T-T3a'!E43</f>
        <v>1719490.601336</v>
      </c>
      <c r="F43" s="277">
        <f>'T-T2'!E42+'T-T2'!F42+'T-T2'!G42</f>
        <v>764742</v>
      </c>
      <c r="G43" s="277">
        <f>SUM(S43:U43)-SUM('T-T1'!DF42:DI42)</f>
        <v>1019720</v>
      </c>
      <c r="H43" s="277">
        <v>-64971.582964000292</v>
      </c>
      <c r="I43" s="277"/>
      <c r="J43" s="277">
        <f t="shared" si="1"/>
        <v>-2255.6013359999997</v>
      </c>
      <c r="K43" s="277">
        <f>'C10-Adj by Source'!CE39</f>
        <v>1017.6013359999999</v>
      </c>
      <c r="L43" s="277">
        <v>2740</v>
      </c>
      <c r="M43" s="277">
        <v>2221</v>
      </c>
      <c r="N43" s="277" t="s">
        <v>50</v>
      </c>
      <c r="O43" s="277">
        <v>6199</v>
      </c>
      <c r="P43" s="277"/>
      <c r="Q43" s="270">
        <v>17637</v>
      </c>
      <c r="R43" s="280"/>
      <c r="S43" s="280">
        <v>300844</v>
      </c>
      <c r="T43" s="280">
        <v>126856</v>
      </c>
      <c r="U43" s="280">
        <v>646476</v>
      </c>
      <c r="W43" s="277">
        <f t="shared" si="0"/>
        <v>-67226.999999999971</v>
      </c>
      <c r="X43" s="277">
        <f t="shared" si="2"/>
        <v>-2255.4170359996788</v>
      </c>
      <c r="Y43" s="277"/>
      <c r="Z43" s="270">
        <f>'T-T1'!BN42</f>
        <v>5754784</v>
      </c>
      <c r="AA43" s="270">
        <f t="shared" si="3"/>
        <v>0</v>
      </c>
      <c r="AB43" s="705">
        <f t="shared" si="5"/>
        <v>0</v>
      </c>
      <c r="AC43" s="270">
        <f t="shared" si="6"/>
        <v>-64971.582964000292</v>
      </c>
      <c r="AE43" s="270">
        <f>'C1-Incomes'!Z41-Z43</f>
        <v>-4.0000025182962418E-4</v>
      </c>
      <c r="AG43" s="272">
        <v>477400</v>
      </c>
    </row>
    <row r="44" spans="1:33" ht="10.5" customHeight="1" x14ac:dyDescent="0.3">
      <c r="A44" s="268">
        <v>1994</v>
      </c>
      <c r="B44" s="603">
        <f t="shared" si="4"/>
        <v>6140229</v>
      </c>
      <c r="C44" s="603"/>
      <c r="D44" s="277">
        <f>'T-T1'!B43</f>
        <v>6140229.0157000003</v>
      </c>
      <c r="E44" s="277">
        <f>'T-T3a'!E44</f>
        <v>1845627.2540916</v>
      </c>
      <c r="F44" s="277">
        <f>'T-T2'!E43+'T-T2'!F43+'T-T2'!G43</f>
        <v>798322</v>
      </c>
      <c r="G44" s="277">
        <f>SUM(S44:U44)-SUM('T-T1'!DF43:DI43)</f>
        <v>1047729</v>
      </c>
      <c r="H44" s="277">
        <v>-423.7616084003821</v>
      </c>
      <c r="I44" s="277"/>
      <c r="J44" s="277">
        <f t="shared" si="1"/>
        <v>-2379.2540915999998</v>
      </c>
      <c r="K44" s="277">
        <f>'C10-Adj by Source'!CE40</f>
        <v>1182.2540915999998</v>
      </c>
      <c r="L44" s="277">
        <v>3142</v>
      </c>
      <c r="M44" s="277">
        <v>2487</v>
      </c>
      <c r="N44" s="277" t="s">
        <v>50</v>
      </c>
      <c r="O44" s="277">
        <v>6826</v>
      </c>
      <c r="P44" s="277"/>
      <c r="Q44" s="270">
        <v>20228</v>
      </c>
      <c r="R44" s="280"/>
      <c r="S44" s="280">
        <v>294542</v>
      </c>
      <c r="T44" s="280">
        <v>132789</v>
      </c>
      <c r="U44" s="280">
        <v>682237</v>
      </c>
      <c r="W44" s="277">
        <f t="shared" si="0"/>
        <v>-2803.0000000000437</v>
      </c>
      <c r="X44" s="277">
        <f t="shared" si="2"/>
        <v>-2379.2383915996616</v>
      </c>
      <c r="Y44" s="277"/>
      <c r="Z44" s="270">
        <f>'T-T1'!BN43</f>
        <v>6140229</v>
      </c>
      <c r="AA44" s="270">
        <f t="shared" si="3"/>
        <v>0</v>
      </c>
      <c r="AB44" s="705">
        <f t="shared" si="5"/>
        <v>0</v>
      </c>
      <c r="AC44" s="270">
        <f t="shared" si="6"/>
        <v>-423.7616084003821</v>
      </c>
      <c r="AE44" s="270">
        <f>'C1-Incomes'!Z42-Z44</f>
        <v>-5.9999991208314896E-4</v>
      </c>
      <c r="AG44" s="272">
        <v>508200</v>
      </c>
    </row>
    <row r="45" spans="1:33" ht="10.5" customHeight="1" x14ac:dyDescent="0.3">
      <c r="A45" s="268">
        <v>1995</v>
      </c>
      <c r="B45" s="603">
        <f t="shared" si="4"/>
        <v>6479476</v>
      </c>
      <c r="C45" s="603"/>
      <c r="D45" s="277">
        <f>'T-T1'!B44</f>
        <v>6479476.4874999998</v>
      </c>
      <c r="E45" s="277">
        <f>'T-T3a'!E45</f>
        <v>1956741.070608</v>
      </c>
      <c r="F45" s="277">
        <f>'T-T2'!E44+'T-T2'!F44+'T-T2'!G44</f>
        <v>845010</v>
      </c>
      <c r="G45" s="277">
        <f>SUM(S45:U45)-SUM('T-T1'!DF44:DI44)</f>
        <v>1082459</v>
      </c>
      <c r="H45" s="277">
        <v>29271.583108000457</v>
      </c>
      <c r="I45" s="277"/>
      <c r="J45" s="277">
        <f t="shared" si="1"/>
        <v>-1430.070608</v>
      </c>
      <c r="K45" s="277">
        <f>'C10-Adj by Source'!CE41</f>
        <v>1256.070608</v>
      </c>
      <c r="L45" s="277">
        <v>3916</v>
      </c>
      <c r="M45" s="277">
        <v>2703</v>
      </c>
      <c r="N45" s="277" t="s">
        <v>50</v>
      </c>
      <c r="O45" s="277">
        <v>6793</v>
      </c>
      <c r="P45" s="277"/>
      <c r="Q45" s="270">
        <v>20039</v>
      </c>
      <c r="R45" s="280"/>
      <c r="S45" s="280">
        <v>291089</v>
      </c>
      <c r="T45" s="280">
        <v>136570</v>
      </c>
      <c r="U45" s="280">
        <v>716823</v>
      </c>
      <c r="W45" s="277">
        <f t="shared" si="0"/>
        <v>27842.000000000036</v>
      </c>
      <c r="X45" s="277">
        <f t="shared" si="2"/>
        <v>-1429.5831080004209</v>
      </c>
      <c r="Y45" s="277"/>
      <c r="Z45" s="270">
        <f>'T-T1'!BN44</f>
        <v>6479476</v>
      </c>
      <c r="AA45" s="270">
        <f t="shared" si="3"/>
        <v>0</v>
      </c>
      <c r="AB45" s="705">
        <f t="shared" si="5"/>
        <v>0</v>
      </c>
      <c r="AC45" s="270">
        <f t="shared" si="6"/>
        <v>29271.583108000457</v>
      </c>
      <c r="AE45" s="270">
        <f>'C1-Incomes'!Z43-Z45</f>
        <v>-5.9999991208314896E-4</v>
      </c>
      <c r="AG45" s="272">
        <v>532800</v>
      </c>
    </row>
    <row r="46" spans="1:33" ht="10.5" customHeight="1" x14ac:dyDescent="0.3">
      <c r="A46" s="268">
        <v>1996</v>
      </c>
      <c r="B46" s="603">
        <f t="shared" si="4"/>
        <v>6899394</v>
      </c>
      <c r="C46" s="603"/>
      <c r="D46" s="277">
        <f>'T-T1'!B45</f>
        <v>6899394.8994000005</v>
      </c>
      <c r="E46" s="277">
        <f>'T-T3a'!E46</f>
        <v>2108648.9917587</v>
      </c>
      <c r="F46" s="277">
        <f>'T-T2'!E45+'T-T2'!F45+'T-T2'!G45</f>
        <v>887562</v>
      </c>
      <c r="G46" s="277">
        <f>SUM(S46:U46)-SUM('T-T1'!DF45:DI45)</f>
        <v>1111200</v>
      </c>
      <c r="H46" s="277">
        <v>109886.09235869907</v>
      </c>
      <c r="I46" s="277"/>
      <c r="J46" s="277">
        <f t="shared" si="1"/>
        <v>-1254.9917587</v>
      </c>
      <c r="K46" s="277">
        <f>'C10-Adj by Source'!CE42</f>
        <v>1623.9917587</v>
      </c>
      <c r="L46" s="277">
        <v>5155</v>
      </c>
      <c r="M46" s="277">
        <v>2788</v>
      </c>
      <c r="N46" s="277" t="s">
        <v>50</v>
      </c>
      <c r="O46" s="277">
        <v>7574</v>
      </c>
      <c r="P46" s="277"/>
      <c r="Q46" s="270">
        <v>23110</v>
      </c>
      <c r="R46" s="280"/>
      <c r="S46" s="280">
        <v>291545</v>
      </c>
      <c r="T46" s="280">
        <v>136873</v>
      </c>
      <c r="U46" s="280">
        <v>748080</v>
      </c>
      <c r="W46" s="277">
        <f t="shared" si="0"/>
        <v>108632</v>
      </c>
      <c r="X46" s="277">
        <f t="shared" si="2"/>
        <v>-1254.0923586990684</v>
      </c>
      <c r="Y46" s="277"/>
      <c r="Z46" s="270">
        <f>'T-T1'!BN45</f>
        <v>6899394</v>
      </c>
      <c r="AA46" s="270">
        <f t="shared" si="3"/>
        <v>0</v>
      </c>
      <c r="AB46" s="705">
        <f t="shared" si="5"/>
        <v>0</v>
      </c>
      <c r="AC46" s="270">
        <f t="shared" si="6"/>
        <v>109886.09235869907</v>
      </c>
      <c r="AE46" s="270">
        <f>'C1-Incomes'!Z44-Z46</f>
        <v>-7.9999957233667374E-4</v>
      </c>
      <c r="AG46" s="272">
        <v>555100</v>
      </c>
    </row>
    <row r="47" spans="1:33" ht="10.5" customHeight="1" x14ac:dyDescent="0.3">
      <c r="A47" s="268">
        <v>1997</v>
      </c>
      <c r="B47" s="603">
        <f t="shared" si="4"/>
        <v>7380370</v>
      </c>
      <c r="C47" s="603"/>
      <c r="D47" s="277">
        <f>'T-T1'!B46</f>
        <v>7380370.9369000001</v>
      </c>
      <c r="E47" s="277">
        <f>'T-T3a'!E47</f>
        <v>2280896.3045550999</v>
      </c>
      <c r="F47" s="277">
        <f>'T-T2'!E46+'T-T2'!F46+'T-T2'!G46</f>
        <v>916129</v>
      </c>
      <c r="G47" s="277">
        <f>SUM(S47:U47)-SUM('T-T1'!DF46:DI46)</f>
        <v>1157981</v>
      </c>
      <c r="H47" s="277">
        <v>206785.3676551003</v>
      </c>
      <c r="I47" s="277"/>
      <c r="J47" s="277">
        <f t="shared" si="1"/>
        <v>-1531.3045550999996</v>
      </c>
      <c r="K47" s="277">
        <f>'C10-Adj by Source'!CE43</f>
        <v>1791.3045551</v>
      </c>
      <c r="L47" s="277">
        <v>5096</v>
      </c>
      <c r="M47" s="277">
        <v>3014</v>
      </c>
      <c r="N47" s="277" t="s">
        <v>50</v>
      </c>
      <c r="O47" s="277">
        <v>7850</v>
      </c>
      <c r="P47" s="277"/>
      <c r="Q47" s="270">
        <v>26974</v>
      </c>
      <c r="R47" s="280"/>
      <c r="S47" s="280">
        <v>292468</v>
      </c>
      <c r="T47" s="280">
        <v>146228</v>
      </c>
      <c r="U47" s="280">
        <v>785931</v>
      </c>
      <c r="W47" s="277">
        <f t="shared" si="0"/>
        <v>205254.99999999991</v>
      </c>
      <c r="X47" s="277">
        <f t="shared" si="2"/>
        <v>-1530.3676551003882</v>
      </c>
      <c r="Y47" s="277"/>
      <c r="Z47" s="270">
        <f>'T-T1'!BN46</f>
        <v>7380370</v>
      </c>
      <c r="AA47" s="270">
        <f t="shared" si="3"/>
        <v>0</v>
      </c>
      <c r="AB47" s="705">
        <f t="shared" si="5"/>
        <v>0</v>
      </c>
      <c r="AC47" s="270">
        <f t="shared" si="6"/>
        <v>206785.3676551003</v>
      </c>
      <c r="AE47" s="270">
        <f>'C1-Incomes'!Z45-Z47</f>
        <v>9.0000033378601074E-4</v>
      </c>
      <c r="AG47" s="272">
        <v>587200</v>
      </c>
    </row>
    <row r="48" spans="1:33" ht="10.5" customHeight="1" x14ac:dyDescent="0.3">
      <c r="A48" s="268">
        <v>1998</v>
      </c>
      <c r="B48" s="603">
        <f t="shared" ref="B48:B65" si="7">D48-E48+SUM(F48:H48)</f>
        <v>7857280</v>
      </c>
      <c r="C48" s="603"/>
      <c r="D48" s="277">
        <f>'T-T1'!B47</f>
        <v>7857277.2644999996</v>
      </c>
      <c r="E48" s="277">
        <f>'T-T3a'!E48</f>
        <v>2444598.9999364</v>
      </c>
      <c r="F48" s="277">
        <f>'T-T2'!E47+'T-T2'!F47+'T-T2'!G47</f>
        <v>936982</v>
      </c>
      <c r="G48" s="277">
        <f>SUM(S48:U48)-SUM('T-T1'!DF47:DI47)</f>
        <v>1203000</v>
      </c>
      <c r="H48" s="277">
        <v>304619.7354364004</v>
      </c>
      <c r="I48" s="277"/>
      <c r="J48" s="277">
        <f t="shared" si="1"/>
        <v>-1480.9999363999996</v>
      </c>
      <c r="K48" s="277">
        <f>'C10-Adj by Source'!CE44</f>
        <v>2054.9999364</v>
      </c>
      <c r="L48" s="277">
        <v>5680</v>
      </c>
      <c r="M48" s="277">
        <v>3102</v>
      </c>
      <c r="N48" s="277" t="s">
        <v>50</v>
      </c>
      <c r="O48" s="277">
        <v>8208</v>
      </c>
      <c r="P48" s="277"/>
      <c r="Q48" s="270">
        <v>32393</v>
      </c>
      <c r="R48" s="280"/>
      <c r="S48" s="280">
        <v>288460</v>
      </c>
      <c r="T48" s="280">
        <v>147973</v>
      </c>
      <c r="U48" s="280">
        <v>835680</v>
      </c>
      <c r="W48" s="277">
        <f t="shared" si="0"/>
        <v>303136</v>
      </c>
      <c r="X48" s="277">
        <f t="shared" ref="X48:X64" si="8">W48-H48</f>
        <v>-1483.7354364003986</v>
      </c>
      <c r="Y48" s="277"/>
      <c r="Z48" s="270">
        <f>'T-T1'!BN47</f>
        <v>7857280</v>
      </c>
      <c r="AA48" s="270">
        <f t="shared" ref="AA48:AA65" si="9">Z48-B48+AB48</f>
        <v>0</v>
      </c>
      <c r="AB48" s="705">
        <f t="shared" ref="AB48:AB65" si="10">Z48-B48</f>
        <v>0</v>
      </c>
      <c r="AC48" s="270">
        <f t="shared" ref="AC48:AC65" si="11">H48+AB48</f>
        <v>304619.7354364004</v>
      </c>
      <c r="AE48" s="270">
        <f>'C1-Incomes'!Z46-Z48</f>
        <v>3.0000042170286179E-4</v>
      </c>
      <c r="AG48" s="272">
        <v>624700</v>
      </c>
    </row>
    <row r="49" spans="1:33" ht="10.5" customHeight="1" x14ac:dyDescent="0.3">
      <c r="A49" s="268">
        <v>1999</v>
      </c>
      <c r="B49" s="603">
        <f t="shared" si="7"/>
        <v>8324399</v>
      </c>
      <c r="C49" s="603"/>
      <c r="D49" s="277">
        <f>'T-T1'!B48</f>
        <v>8324398.7141000004</v>
      </c>
      <c r="E49" s="277">
        <f>'T-T3a'!E49</f>
        <v>2610547.4883134998</v>
      </c>
      <c r="F49" s="277">
        <f>'T-T2'!E48+'T-T2'!F48+'T-T2'!G48</f>
        <v>973235</v>
      </c>
      <c r="G49" s="277">
        <f>SUM(S49:U49)-SUM('T-T1'!DF48:DI48)</f>
        <v>1286674</v>
      </c>
      <c r="H49" s="277">
        <v>350638.77421349939</v>
      </c>
      <c r="I49" s="277"/>
      <c r="J49" s="277">
        <f t="shared" si="1"/>
        <v>-1496.4883135</v>
      </c>
      <c r="K49" s="277">
        <f>'C10-Adj by Source'!CE45</f>
        <v>2286.4883135</v>
      </c>
      <c r="L49" s="277">
        <v>5918</v>
      </c>
      <c r="M49" s="277">
        <v>3293</v>
      </c>
      <c r="N49" s="277">
        <v>107</v>
      </c>
      <c r="O49" s="277">
        <v>8528</v>
      </c>
      <c r="P49" s="277"/>
      <c r="Q49" s="270">
        <v>36705</v>
      </c>
      <c r="R49" s="280"/>
      <c r="S49" s="280">
        <v>301226</v>
      </c>
      <c r="T49" s="280">
        <v>154344</v>
      </c>
      <c r="U49" s="280">
        <v>902002</v>
      </c>
      <c r="W49" s="277">
        <f t="shared" si="0"/>
        <v>349141.99999999983</v>
      </c>
      <c r="X49" s="277">
        <f t="shared" si="8"/>
        <v>-1496.7742134995642</v>
      </c>
      <c r="Y49" s="277"/>
      <c r="Z49" s="270">
        <f>'T-T1'!BN48</f>
        <v>8324399</v>
      </c>
      <c r="AA49" s="270">
        <f t="shared" si="9"/>
        <v>0</v>
      </c>
      <c r="AB49" s="705">
        <f t="shared" si="10"/>
        <v>0</v>
      </c>
      <c r="AC49" s="270">
        <f t="shared" si="11"/>
        <v>350638.77421349939</v>
      </c>
      <c r="AE49" s="270">
        <f>'C1-Incomes'!Z47-Z49</f>
        <v>-1.9999966025352478E-4</v>
      </c>
      <c r="AG49" s="272">
        <v>661300</v>
      </c>
    </row>
    <row r="50" spans="1:33" ht="10.5" customHeight="1" x14ac:dyDescent="0.3">
      <c r="A50" s="268">
        <v>2000</v>
      </c>
      <c r="B50" s="603">
        <f t="shared" si="7"/>
        <v>8907019</v>
      </c>
      <c r="C50" s="603"/>
      <c r="D50" s="277">
        <f>'T-T1'!B49</f>
        <v>8907019.0170000009</v>
      </c>
      <c r="E50" s="277">
        <f>'T-T3a'!E50</f>
        <v>2817332.8300405</v>
      </c>
      <c r="F50" s="277">
        <f>'T-T2'!E49+'T-T2'!F49+'T-T2'!G49</f>
        <v>1024321</v>
      </c>
      <c r="G50" s="277">
        <f>SUM(S50:U50)-SUM('T-T1'!DF49:DI49)</f>
        <v>1372384</v>
      </c>
      <c r="H50" s="277">
        <v>420627.81304049864</v>
      </c>
      <c r="I50" s="277"/>
      <c r="J50" s="277">
        <f t="shared" si="1"/>
        <v>230.16995949999909</v>
      </c>
      <c r="K50" s="277">
        <f>'C10-Adj by Source'!CE46</f>
        <v>2730.8300405</v>
      </c>
      <c r="L50" s="277">
        <v>7336</v>
      </c>
      <c r="M50" s="277">
        <v>3553</v>
      </c>
      <c r="N50" s="277">
        <v>740</v>
      </c>
      <c r="O50" s="277">
        <v>8668</v>
      </c>
      <c r="P50" s="277"/>
      <c r="Q50" s="270">
        <v>35640</v>
      </c>
      <c r="R50" s="280"/>
      <c r="S50" s="280">
        <v>308297</v>
      </c>
      <c r="T50" s="280">
        <v>166760</v>
      </c>
      <c r="U50" s="280">
        <v>969116</v>
      </c>
      <c r="W50" s="277">
        <f t="shared" si="0"/>
        <v>420858.00000000006</v>
      </c>
      <c r="X50" s="277">
        <f t="shared" si="8"/>
        <v>230.18695950141409</v>
      </c>
      <c r="Y50" s="277"/>
      <c r="Z50" s="270">
        <f>'T-T1'!BN49</f>
        <v>8907019</v>
      </c>
      <c r="AA50" s="270">
        <f t="shared" si="9"/>
        <v>0</v>
      </c>
      <c r="AB50" s="705">
        <f t="shared" si="10"/>
        <v>0</v>
      </c>
      <c r="AC50" s="270">
        <f t="shared" si="11"/>
        <v>420627.81304049864</v>
      </c>
      <c r="AE50" s="270">
        <f>'C1-Incomes'!Z48-Z50</f>
        <v>3.9999932050704956E-4</v>
      </c>
      <c r="AG50" s="272">
        <v>705800</v>
      </c>
    </row>
    <row r="51" spans="1:33" ht="10.5" customHeight="1" x14ac:dyDescent="0.3">
      <c r="A51" s="268">
        <v>2001</v>
      </c>
      <c r="B51" s="603">
        <f t="shared" si="7"/>
        <v>9184633</v>
      </c>
      <c r="C51" s="603"/>
      <c r="D51" s="277">
        <f>'T-T1'!B50</f>
        <v>9184632.3684999999</v>
      </c>
      <c r="E51" s="277">
        <f>'T-T3a'!E51</f>
        <v>2797839.1417334001</v>
      </c>
      <c r="F51" s="277">
        <f>'T-T2'!E50+'T-T2'!F50+'T-T2'!G50</f>
        <v>1123066</v>
      </c>
      <c r="G51" s="277">
        <f>SUM(S51:U51)-SUM('T-T1'!DF50:DI50)</f>
        <v>1470501</v>
      </c>
      <c r="H51" s="277">
        <v>204272.77323340066</v>
      </c>
      <c r="I51" s="277"/>
      <c r="J51" s="277">
        <f t="shared" si="1"/>
        <v>-293.14173339999979</v>
      </c>
      <c r="K51" s="277">
        <f>'C10-Adj by Source'!CE47</f>
        <v>2798.1417334000002</v>
      </c>
      <c r="L51" s="277">
        <v>7654</v>
      </c>
      <c r="M51" s="277">
        <v>3748</v>
      </c>
      <c r="N51" s="277">
        <v>541</v>
      </c>
      <c r="O51" s="277">
        <v>9438</v>
      </c>
      <c r="P51" s="277"/>
      <c r="Q51" s="270">
        <v>35697</v>
      </c>
      <c r="R51" s="280"/>
      <c r="S51" s="280">
        <v>325059</v>
      </c>
      <c r="T51" s="280">
        <v>180332</v>
      </c>
      <c r="U51" s="280">
        <v>1039740</v>
      </c>
      <c r="W51" s="277">
        <f t="shared" si="0"/>
        <v>203979.00000000006</v>
      </c>
      <c r="X51" s="277">
        <f t="shared" si="8"/>
        <v>-293.77323340059957</v>
      </c>
      <c r="Y51" s="277"/>
      <c r="Z51" s="270">
        <f>'T-T1'!BN50</f>
        <v>9184633</v>
      </c>
      <c r="AA51" s="270">
        <f t="shared" si="9"/>
        <v>0</v>
      </c>
      <c r="AB51" s="705">
        <f t="shared" si="10"/>
        <v>0</v>
      </c>
      <c r="AC51" s="270">
        <f t="shared" si="11"/>
        <v>204272.77323340066</v>
      </c>
      <c r="AE51" s="270">
        <f>'C1-Incomes'!Z49-Z51</f>
        <v>-2.9999949038028717E-4</v>
      </c>
      <c r="AG51" s="272">
        <v>733200</v>
      </c>
    </row>
    <row r="52" spans="1:33" ht="10.5" customHeight="1" x14ac:dyDescent="0.3">
      <c r="A52" s="268">
        <v>2002</v>
      </c>
      <c r="B52" s="603">
        <f t="shared" si="7"/>
        <v>9436823</v>
      </c>
      <c r="C52" s="603"/>
      <c r="D52" s="277">
        <f>'T-T1'!B51</f>
        <v>9436822.1164999995</v>
      </c>
      <c r="E52" s="277">
        <f>'T-T3a'!E52</f>
        <v>2649947.5450598998</v>
      </c>
      <c r="F52" s="277">
        <f>'T-T2'!E51+'T-T2'!F51+'T-T2'!G51</f>
        <v>1225419</v>
      </c>
      <c r="G52" s="277">
        <f>SUM(S52:U52)-SUM('T-T1'!DF51:DI51)</f>
        <v>1574970</v>
      </c>
      <c r="H52" s="277">
        <v>-150440.57144010067</v>
      </c>
      <c r="I52" s="277"/>
      <c r="J52" s="277">
        <f t="shared" si="1"/>
        <v>-491.54505989999961</v>
      </c>
      <c r="K52" s="277">
        <f>'C10-Adj by Source'!CE48</f>
        <v>2672.5450599000001</v>
      </c>
      <c r="L52" s="277">
        <v>7582</v>
      </c>
      <c r="M52" s="277">
        <v>3750</v>
      </c>
      <c r="N52" s="277">
        <v>502</v>
      </c>
      <c r="O52" s="277">
        <v>9653</v>
      </c>
      <c r="P52" s="277"/>
      <c r="Q52" s="270">
        <v>32649</v>
      </c>
      <c r="R52" s="280"/>
      <c r="S52" s="280">
        <v>358098</v>
      </c>
      <c r="T52" s="280">
        <v>202229</v>
      </c>
      <c r="U52" s="280">
        <v>1091037</v>
      </c>
      <c r="W52" s="277">
        <f t="shared" si="0"/>
        <v>-150933.0000000002</v>
      </c>
      <c r="X52" s="277">
        <f t="shared" si="8"/>
        <v>-492.42855989953387</v>
      </c>
      <c r="Y52" s="277"/>
      <c r="Z52" s="270">
        <f>'T-T1'!BN51</f>
        <v>9436823</v>
      </c>
      <c r="AA52" s="270">
        <f t="shared" si="9"/>
        <v>0</v>
      </c>
      <c r="AB52" s="705">
        <f t="shared" si="10"/>
        <v>0</v>
      </c>
      <c r="AC52" s="270">
        <f t="shared" si="11"/>
        <v>-150440.57144010067</v>
      </c>
      <c r="AE52" s="270">
        <f>'C1-Incomes'!Z50-Z52</f>
        <v>3.9999932050704956E-4</v>
      </c>
      <c r="AG52" s="272">
        <v>751500</v>
      </c>
    </row>
    <row r="53" spans="1:33" ht="10.5" customHeight="1" x14ac:dyDescent="0.3">
      <c r="A53" s="268">
        <f>A52+1</f>
        <v>2003</v>
      </c>
      <c r="B53" s="603">
        <f t="shared" si="7"/>
        <v>9864188</v>
      </c>
      <c r="C53" s="603"/>
      <c r="D53" s="277">
        <f>'T-T1'!B52</f>
        <v>9864187.9810000006</v>
      </c>
      <c r="E53" s="277">
        <f>'T-T3a'!E53</f>
        <v>2717653.0658964999</v>
      </c>
      <c r="F53" s="277">
        <f>'T-T2'!E52+'T-T2'!F52+'T-T2'!G52</f>
        <v>1293661</v>
      </c>
      <c r="G53" s="277">
        <f>SUM(S53:U53)-SUM('T-T1'!DF52:DI52)</f>
        <v>1677669</v>
      </c>
      <c r="H53" s="277">
        <v>-253676.91510350071</v>
      </c>
      <c r="I53" s="277"/>
      <c r="J53" s="277">
        <f t="shared" si="1"/>
        <v>699.93410349999976</v>
      </c>
      <c r="K53" s="277">
        <f>'C10-Adj by Source'!CE49</f>
        <v>2745.0658964999998</v>
      </c>
      <c r="L53" s="277">
        <v>8954</v>
      </c>
      <c r="M53" s="277">
        <v>3919</v>
      </c>
      <c r="N53" s="277">
        <v>662</v>
      </c>
      <c r="O53" s="277">
        <v>10090</v>
      </c>
      <c r="P53" s="277"/>
      <c r="Q53" s="270">
        <v>27966</v>
      </c>
      <c r="R53" s="280"/>
      <c r="S53" s="280">
        <v>408923</v>
      </c>
      <c r="T53" s="280">
        <v>219531</v>
      </c>
      <c r="U53" s="280">
        <v>1127138</v>
      </c>
      <c r="W53" s="277">
        <f t="shared" si="0"/>
        <v>-252977.00000000009</v>
      </c>
      <c r="X53" s="277">
        <f t="shared" si="8"/>
        <v>699.91510350062163</v>
      </c>
      <c r="Y53" s="277"/>
      <c r="Z53" s="270">
        <f>'T-T1'!BN52</f>
        <v>9864188</v>
      </c>
      <c r="AA53" s="270">
        <f t="shared" si="9"/>
        <v>0</v>
      </c>
      <c r="AB53" s="705">
        <f t="shared" si="10"/>
        <v>0</v>
      </c>
      <c r="AC53" s="270">
        <f t="shared" si="11"/>
        <v>-253676.91510350071</v>
      </c>
      <c r="AE53" s="270">
        <f>'C1-Incomes'!Z51-Z53</f>
        <v>-2.9999949038028717E-4</v>
      </c>
      <c r="AG53" s="272">
        <v>779300</v>
      </c>
    </row>
    <row r="54" spans="1:33" ht="10.5" customHeight="1" x14ac:dyDescent="0.3">
      <c r="A54" s="268">
        <f>A53+1</f>
        <v>2004</v>
      </c>
      <c r="B54" s="603">
        <f t="shared" si="7"/>
        <v>10540946</v>
      </c>
      <c r="C54" s="603"/>
      <c r="D54" s="277">
        <f>'T-T1'!B53</f>
        <v>10540945.784</v>
      </c>
      <c r="E54" s="277">
        <f>'T-T3a'!E54</f>
        <v>2930064.0759267001</v>
      </c>
      <c r="F54" s="277">
        <f>'T-T2'!E53+'T-T2'!F53+'T-T2'!G53</f>
        <v>1373123</v>
      </c>
      <c r="G54" s="277">
        <f>SUM(S54:U54)-SUM('T-T1'!DF53:DI53)</f>
        <v>1788895</v>
      </c>
      <c r="H54" s="277">
        <v>-231953.70807329938</v>
      </c>
      <c r="I54" s="277"/>
      <c r="J54" s="277">
        <f t="shared" si="1"/>
        <v>941.9240733000006</v>
      </c>
      <c r="K54" s="277">
        <f>'C10-Adj by Source'!CE50</f>
        <v>3322.0759266999999</v>
      </c>
      <c r="L54" s="277">
        <v>9983</v>
      </c>
      <c r="M54" s="277">
        <v>4386</v>
      </c>
      <c r="N54" s="277">
        <v>547</v>
      </c>
      <c r="O54" s="277">
        <v>10652</v>
      </c>
      <c r="P54" s="277"/>
      <c r="Q54" s="270">
        <v>30258</v>
      </c>
      <c r="R54" s="280"/>
      <c r="S54" s="280">
        <v>446791</v>
      </c>
      <c r="T54" s="280">
        <v>234582</v>
      </c>
      <c r="U54" s="280">
        <v>1187569</v>
      </c>
      <c r="W54" s="277">
        <f t="shared" si="0"/>
        <v>-231011.99999999985</v>
      </c>
      <c r="X54" s="277">
        <f t="shared" si="8"/>
        <v>941.70807329952368</v>
      </c>
      <c r="Y54" s="277"/>
      <c r="Z54" s="270">
        <f>'T-T1'!BN53</f>
        <v>10540946</v>
      </c>
      <c r="AA54" s="270">
        <f t="shared" si="9"/>
        <v>0</v>
      </c>
      <c r="AB54" s="705">
        <f t="shared" si="10"/>
        <v>0</v>
      </c>
      <c r="AC54" s="270">
        <f t="shared" si="11"/>
        <v>-231953.70807329938</v>
      </c>
      <c r="AE54" s="270">
        <f>'C1-Incomes'!Z52-Z54</f>
        <v>1.0000001639127731E-3</v>
      </c>
      <c r="AG54" s="272">
        <v>829200</v>
      </c>
    </row>
    <row r="55" spans="1:33" ht="10.5" customHeight="1" x14ac:dyDescent="0.3">
      <c r="A55" s="268">
        <v>2005</v>
      </c>
      <c r="B55" s="603">
        <f t="shared" si="7"/>
        <v>11239820</v>
      </c>
      <c r="C55" s="603"/>
      <c r="D55" s="277">
        <f>'T-T1'!B54</f>
        <v>11239819.791999999</v>
      </c>
      <c r="E55" s="277">
        <f>'T-T3a'!E55</f>
        <v>3299890.6663499</v>
      </c>
      <c r="F55" s="277">
        <f>'T-T2'!E54+'T-T2'!F54+'T-T2'!G54</f>
        <v>1453484</v>
      </c>
      <c r="G55" s="277">
        <f>SUM(S55:U55)-SUM('T-T1'!DF54:DI54)</f>
        <v>1895406</v>
      </c>
      <c r="H55" s="277">
        <v>-48999.12565010041</v>
      </c>
      <c r="I55" s="277"/>
      <c r="J55" s="277">
        <f t="shared" si="1"/>
        <v>1532.3336501000013</v>
      </c>
      <c r="K55" s="277">
        <f>'C10-Adj by Source'!CE51</f>
        <v>4713.6663498999997</v>
      </c>
      <c r="L55" s="277">
        <v>12130</v>
      </c>
      <c r="M55" s="277">
        <v>4661</v>
      </c>
      <c r="N55" s="277">
        <v>690</v>
      </c>
      <c r="O55" s="277">
        <v>11235</v>
      </c>
      <c r="P55" s="277"/>
      <c r="Q55" s="270">
        <v>30305</v>
      </c>
      <c r="R55" s="280"/>
      <c r="S55" s="280">
        <v>475918</v>
      </c>
      <c r="T55" s="280">
        <v>247523</v>
      </c>
      <c r="U55" s="280">
        <v>1256607</v>
      </c>
      <c r="W55" s="277">
        <f t="shared" si="0"/>
        <v>-47467.000000000044</v>
      </c>
      <c r="X55" s="277">
        <f t="shared" si="8"/>
        <v>1532.1256501003663</v>
      </c>
      <c r="Y55" s="277"/>
      <c r="Z55" s="270">
        <f>'T-T1'!BN54</f>
        <v>11239820</v>
      </c>
      <c r="AA55" s="270">
        <f t="shared" si="9"/>
        <v>0</v>
      </c>
      <c r="AB55" s="705">
        <f t="shared" si="10"/>
        <v>0</v>
      </c>
      <c r="AC55" s="270">
        <f t="shared" si="11"/>
        <v>-48999.12565010041</v>
      </c>
      <c r="AE55" s="270">
        <f>'C1-Incomes'!Z53-Z55</f>
        <v>0</v>
      </c>
      <c r="AG55" s="272">
        <v>873300</v>
      </c>
    </row>
    <row r="56" spans="1:33" ht="10.5" customHeight="1" x14ac:dyDescent="0.3">
      <c r="A56" s="268">
        <v>2006</v>
      </c>
      <c r="B56" s="603">
        <f t="shared" si="7"/>
        <v>12004751</v>
      </c>
      <c r="C56" s="603"/>
      <c r="D56" s="277">
        <f>'T-T1'!B55</f>
        <v>12004750.65</v>
      </c>
      <c r="E56" s="277">
        <f>'T-T3a'!E56</f>
        <v>3593067.8633631002</v>
      </c>
      <c r="F56" s="277">
        <f>'T-T2'!E55+'T-T2'!F55+'T-T2'!G55</f>
        <v>1546777</v>
      </c>
      <c r="G56" s="277">
        <f>SUM(S56:U56)-SUM('T-T1'!DF55:DI55)</f>
        <v>2000956</v>
      </c>
      <c r="H56" s="277">
        <v>45335.213363099843</v>
      </c>
      <c r="I56" s="277"/>
      <c r="J56" s="277">
        <f t="shared" si="1"/>
        <v>2035.1366368999988</v>
      </c>
      <c r="K56" s="277">
        <f>'C10-Adj by Source'!CE52</f>
        <v>5802.8633631000002</v>
      </c>
      <c r="L56" s="277">
        <v>14611</v>
      </c>
      <c r="M56" s="277">
        <v>4584</v>
      </c>
      <c r="N56" s="277">
        <v>1070</v>
      </c>
      <c r="O56" s="277">
        <v>12427</v>
      </c>
      <c r="P56" s="277"/>
      <c r="Q56" s="270">
        <v>32928</v>
      </c>
      <c r="R56" s="280"/>
      <c r="S56" s="280">
        <v>500319</v>
      </c>
      <c r="T56" s="280">
        <v>263621</v>
      </c>
      <c r="U56" s="280">
        <v>1325906</v>
      </c>
      <c r="W56" s="277">
        <f t="shared" si="0"/>
        <v>47370.000000000218</v>
      </c>
      <c r="X56" s="277">
        <f t="shared" si="8"/>
        <v>2034.786636900375</v>
      </c>
      <c r="Y56" s="277"/>
      <c r="Z56" s="270">
        <f>'T-T1'!BN55</f>
        <v>12004751</v>
      </c>
      <c r="AA56" s="270">
        <f t="shared" si="9"/>
        <v>0</v>
      </c>
      <c r="AB56" s="705">
        <f t="shared" si="10"/>
        <v>0</v>
      </c>
      <c r="AC56" s="270">
        <f t="shared" si="11"/>
        <v>45335.213363099843</v>
      </c>
      <c r="AE56" s="270">
        <f>'C1-Incomes'!Z54-Z56</f>
        <v>4.4999999925494194E-2</v>
      </c>
      <c r="AG56" s="272">
        <v>922600</v>
      </c>
    </row>
    <row r="57" spans="1:33" ht="10.5" customHeight="1" x14ac:dyDescent="0.3">
      <c r="A57" s="268">
        <v>2007</v>
      </c>
      <c r="B57" s="603">
        <f t="shared" si="7"/>
        <v>12321373</v>
      </c>
      <c r="C57" s="603"/>
      <c r="D57" s="277">
        <f>'T-T1'!B56</f>
        <v>12321374.707</v>
      </c>
      <c r="E57" s="277">
        <f>'T-T3a'!E57</f>
        <v>3774311.6236504</v>
      </c>
      <c r="F57" s="277">
        <f>'T-T2'!E56+'T-T2'!F56+'T-T2'!G56</f>
        <v>1646637</v>
      </c>
      <c r="G57" s="277">
        <f>SUM(S57:U57)-SUM('T-T1'!DF56:DI56)</f>
        <v>2122015</v>
      </c>
      <c r="H57" s="277">
        <v>5657.9166503995657</v>
      </c>
      <c r="I57" s="277"/>
      <c r="J57" s="277">
        <f t="shared" si="1"/>
        <v>-621.62365039999713</v>
      </c>
      <c r="K57" s="277">
        <f>'C10-Adj by Source'!CE53</f>
        <v>8370.623650399999</v>
      </c>
      <c r="L57" s="277">
        <v>15279</v>
      </c>
      <c r="M57" s="277">
        <v>4729</v>
      </c>
      <c r="N57" s="277">
        <v>1057</v>
      </c>
      <c r="O57" s="277">
        <v>13316</v>
      </c>
      <c r="P57" s="277"/>
      <c r="Q57" s="270">
        <v>31509</v>
      </c>
      <c r="R57" s="280"/>
      <c r="S57" s="280">
        <v>526072</v>
      </c>
      <c r="T57" s="280">
        <v>272278</v>
      </c>
      <c r="U57" s="280">
        <v>1411371</v>
      </c>
      <c r="W57" s="277">
        <f t="shared" si="0"/>
        <v>5037.9999999999709</v>
      </c>
      <c r="X57" s="277">
        <f t="shared" si="8"/>
        <v>-619.9166503995948</v>
      </c>
      <c r="Y57" s="277"/>
      <c r="Z57" s="270">
        <f>'T-T1'!BN56</f>
        <v>12321373</v>
      </c>
      <c r="AA57" s="270">
        <f t="shared" si="9"/>
        <v>0</v>
      </c>
      <c r="AB57" s="705">
        <f t="shared" si="10"/>
        <v>0</v>
      </c>
      <c r="AC57" s="270">
        <f t="shared" si="11"/>
        <v>5657.9166503995657</v>
      </c>
      <c r="AE57" s="270">
        <f>'C1-Incomes'!Z55-Z57</f>
        <v>2.0999999716877937E-2</v>
      </c>
      <c r="AG57" s="272">
        <v>961400</v>
      </c>
    </row>
    <row r="58" spans="1:33" ht="10.5" customHeight="1" x14ac:dyDescent="0.3">
      <c r="A58" s="268">
        <v>2008</v>
      </c>
      <c r="B58" s="603">
        <f t="shared" si="7"/>
        <v>12427821</v>
      </c>
      <c r="C58" s="603"/>
      <c r="D58" s="277">
        <f>'T-T1'!B57</f>
        <v>12427821.880999999</v>
      </c>
      <c r="E58" s="277">
        <f>'T-T3a'!E58</f>
        <v>3690645.6370572001</v>
      </c>
      <c r="F58" s="277">
        <f>'T-T2'!E57+'T-T2'!F57+'T-T2'!G57</f>
        <v>1947700.4052550001</v>
      </c>
      <c r="G58" s="277">
        <f>SUM(S58:U58)-SUM('T-T1'!DF57:DI57)</f>
        <v>2283474</v>
      </c>
      <c r="H58" s="277">
        <v>-540529.64919779822</v>
      </c>
      <c r="I58" s="277"/>
      <c r="J58" s="277">
        <f t="shared" si="1"/>
        <v>3017.3629427999986</v>
      </c>
      <c r="K58" s="277">
        <f>'C10-Adj by Source'!CE54</f>
        <v>8319.6370571999996</v>
      </c>
      <c r="L58" s="277">
        <v>18799</v>
      </c>
      <c r="M58" s="277">
        <v>4825</v>
      </c>
      <c r="N58" s="277">
        <v>3189</v>
      </c>
      <c r="O58" s="277">
        <v>15476</v>
      </c>
      <c r="P58" s="277"/>
      <c r="Q58" s="280">
        <v>33863</v>
      </c>
      <c r="R58" s="280"/>
      <c r="S58" s="280">
        <v>582787</v>
      </c>
      <c r="T58" s="280">
        <v>297035</v>
      </c>
      <c r="U58" s="280">
        <v>1488743</v>
      </c>
      <c r="W58" s="277">
        <f t="shared" si="0"/>
        <v>-537511.40525499999</v>
      </c>
      <c r="X58" s="277">
        <f t="shared" si="8"/>
        <v>3018.2439427982317</v>
      </c>
      <c r="Y58" s="277"/>
      <c r="Z58" s="270">
        <f>'T-T1'!BN57</f>
        <v>12427821</v>
      </c>
      <c r="AA58" s="270">
        <f t="shared" si="9"/>
        <v>0</v>
      </c>
      <c r="AB58" s="705">
        <f t="shared" si="10"/>
        <v>0</v>
      </c>
      <c r="AC58" s="270">
        <f t="shared" si="11"/>
        <v>-540529.64919779822</v>
      </c>
      <c r="AE58" s="270">
        <f>'C1-Incomes'!Z56-Z58</f>
        <v>2.8999999165534973E-2</v>
      </c>
      <c r="AG58" s="272">
        <v>988200</v>
      </c>
    </row>
    <row r="59" spans="1:33" ht="10.5" customHeight="1" x14ac:dyDescent="0.3">
      <c r="A59" s="268">
        <v>2009</v>
      </c>
      <c r="B59" s="603">
        <f t="shared" si="7"/>
        <v>12126078</v>
      </c>
      <c r="C59" s="603"/>
      <c r="D59" s="277">
        <f>'T-T1'!B58</f>
        <v>12126078.895</v>
      </c>
      <c r="E59" s="277">
        <f>'T-T3a'!E59</f>
        <v>3220156.4697866999</v>
      </c>
      <c r="F59" s="277">
        <f>'T-T2'!E58+'T-T2'!F58+'T-T2'!G58</f>
        <v>2046470</v>
      </c>
      <c r="G59" s="277">
        <f>SUM(S59:U59)-SUM('T-T1'!DF58:DI58)</f>
        <v>2356753</v>
      </c>
      <c r="H59" s="277">
        <v>-1183067.4252132997</v>
      </c>
      <c r="I59" s="277"/>
      <c r="J59" s="277">
        <f t="shared" si="1"/>
        <v>649.53021330000047</v>
      </c>
      <c r="K59" s="277">
        <f>'C10-Adj by Source'!CE55</f>
        <v>6361.4697866999995</v>
      </c>
      <c r="L59" s="277">
        <v>14827</v>
      </c>
      <c r="M59" s="277">
        <v>4958</v>
      </c>
      <c r="N59" s="277">
        <v>3242</v>
      </c>
      <c r="O59" s="277">
        <v>16016</v>
      </c>
      <c r="P59" s="277"/>
      <c r="Q59" s="280">
        <v>24917</v>
      </c>
      <c r="R59" s="280"/>
      <c r="S59" s="280">
        <v>613288</v>
      </c>
      <c r="T59" s="280">
        <v>320414</v>
      </c>
      <c r="U59" s="280">
        <v>1508360</v>
      </c>
      <c r="W59" s="277">
        <f t="shared" si="0"/>
        <v>-1182417.0000000002</v>
      </c>
      <c r="X59" s="277">
        <f t="shared" si="8"/>
        <v>650.42521329945885</v>
      </c>
      <c r="Y59" s="277"/>
      <c r="Z59" s="270">
        <f>'T-T1'!BN58</f>
        <v>12126078</v>
      </c>
      <c r="AA59" s="270">
        <f t="shared" si="9"/>
        <v>0</v>
      </c>
      <c r="AB59" s="705">
        <f t="shared" si="10"/>
        <v>0</v>
      </c>
      <c r="AC59" s="270">
        <f t="shared" si="11"/>
        <v>-1183067.4252132997</v>
      </c>
      <c r="AE59" s="270">
        <f>'C1-Incomes'!Z57-Z59</f>
        <v>1.0000001639127731E-3</v>
      </c>
      <c r="AG59" s="277">
        <v>964400</v>
      </c>
    </row>
    <row r="60" spans="1:33" ht="10.5" customHeight="1" x14ac:dyDescent="0.3">
      <c r="A60" s="268">
        <v>2010</v>
      </c>
      <c r="B60" s="603">
        <f t="shared" si="7"/>
        <v>12739542</v>
      </c>
      <c r="C60" s="603"/>
      <c r="D60" s="277">
        <f>'T-T1'!B59</f>
        <v>12739542.267999999</v>
      </c>
      <c r="E60" s="277">
        <f>'T-T3a'!E60</f>
        <v>3423941.4145475002</v>
      </c>
      <c r="F60" s="277">
        <f>'T-T2'!E59+'T-T2'!F59+'T-T2'!G59</f>
        <v>2223227</v>
      </c>
      <c r="G60" s="277">
        <f>SUM(S60:U60)-SUM('T-T1'!DF59:DI59)</f>
        <v>2435798</v>
      </c>
      <c r="H60" s="277">
        <v>-1235083.8534525</v>
      </c>
      <c r="I60" s="277"/>
      <c r="J60" s="277">
        <f t="shared" si="1"/>
        <v>-186.41454750000048</v>
      </c>
      <c r="K60" s="277">
        <f>'C10-Adj by Source'!CE56</f>
        <v>8056.4145474999996</v>
      </c>
      <c r="L60" s="277">
        <v>15709</v>
      </c>
      <c r="M60" s="277">
        <v>4925</v>
      </c>
      <c r="N60" s="277">
        <v>3753</v>
      </c>
      <c r="O60" s="277">
        <v>16517</v>
      </c>
      <c r="P60" s="277"/>
      <c r="Q60" s="280">
        <v>19525</v>
      </c>
      <c r="R60" s="280"/>
      <c r="S60" s="280">
        <v>653213</v>
      </c>
      <c r="T60" s="280">
        <v>350692</v>
      </c>
      <c r="U60" s="280">
        <v>1518304</v>
      </c>
      <c r="W60" s="277">
        <f t="shared" si="0"/>
        <v>-1235269.9999999998</v>
      </c>
      <c r="X60" s="277">
        <f t="shared" si="8"/>
        <v>-186.14654749981128</v>
      </c>
      <c r="Y60" s="277"/>
      <c r="Z60" s="270">
        <f>'T-T1'!BN59</f>
        <v>12739542</v>
      </c>
      <c r="AA60" s="270">
        <f t="shared" si="9"/>
        <v>0</v>
      </c>
      <c r="AB60" s="705">
        <f t="shared" si="10"/>
        <v>0</v>
      </c>
      <c r="AC60" s="270">
        <f t="shared" si="11"/>
        <v>-1235083.8534525</v>
      </c>
      <c r="AE60" s="270">
        <f>'C1-Incomes'!Z58-Z60</f>
        <v>-4.8000000417232513E-2</v>
      </c>
      <c r="AG60" s="277">
        <f>984100</f>
        <v>984100</v>
      </c>
    </row>
    <row r="61" spans="1:33" ht="10.5" customHeight="1" x14ac:dyDescent="0.3">
      <c r="A61" s="268">
        <f>A60+1</f>
        <v>2011</v>
      </c>
      <c r="B61" s="603">
        <f t="shared" si="7"/>
        <v>13352255</v>
      </c>
      <c r="C61" s="603"/>
      <c r="D61" s="277">
        <f>'T-T1'!B60</f>
        <v>13352255.159</v>
      </c>
      <c r="E61" s="277">
        <f>'T-T3a'!E61</f>
        <v>3617208.4531546999</v>
      </c>
      <c r="F61" s="277">
        <f>'T-T2'!E60+'T-T2'!F60+'T-T2'!G60</f>
        <v>2244991</v>
      </c>
      <c r="G61" s="277">
        <f>SUM(S61:U61)-SUM('T-T1'!DF60:DI60)</f>
        <v>2443996</v>
      </c>
      <c r="H61" s="277">
        <v>-1071778.7058453001</v>
      </c>
      <c r="I61" s="277"/>
      <c r="J61" s="277">
        <f t="shared" si="1"/>
        <v>-2744.4531547000006</v>
      </c>
      <c r="K61" s="277">
        <f>'C10-Adj by Source'!CE57</f>
        <v>8853.4531547000006</v>
      </c>
      <c r="L61" s="277">
        <v>16731</v>
      </c>
      <c r="M61" s="277">
        <v>4410</v>
      </c>
      <c r="N61" s="277">
        <v>2046</v>
      </c>
      <c r="O61" s="277">
        <v>17078</v>
      </c>
      <c r="P61" s="277"/>
      <c r="Q61" s="280">
        <v>14379</v>
      </c>
      <c r="R61" s="280"/>
      <c r="S61" s="280">
        <v>662276</v>
      </c>
      <c r="T61" s="280">
        <v>343785</v>
      </c>
      <c r="U61" s="280">
        <v>1524800</v>
      </c>
      <c r="W61" s="277">
        <f t="shared" si="0"/>
        <v>-1074523.0000000002</v>
      </c>
      <c r="X61" s="277">
        <f t="shared" si="8"/>
        <v>-2744.2941547001246</v>
      </c>
      <c r="Y61" s="277"/>
      <c r="Z61" s="270">
        <f>'T-T1'!BN60</f>
        <v>13352255</v>
      </c>
      <c r="AA61" s="270">
        <f t="shared" si="9"/>
        <v>0</v>
      </c>
      <c r="AB61" s="705">
        <f t="shared" si="10"/>
        <v>0</v>
      </c>
      <c r="AC61" s="270">
        <f t="shared" si="11"/>
        <v>-1071778.7058453001</v>
      </c>
      <c r="AE61" s="270">
        <f>'C1-Incomes'!Z59-Z61</f>
        <v>-4.4999999925494194E-2</v>
      </c>
      <c r="AG61" s="277">
        <f>917800</f>
        <v>917800</v>
      </c>
    </row>
    <row r="62" spans="1:33" ht="10.5" customHeight="1" x14ac:dyDescent="0.3">
      <c r="A62" s="268">
        <f>A61+1</f>
        <v>2012</v>
      </c>
      <c r="B62" s="603">
        <f t="shared" si="7"/>
        <v>14061878</v>
      </c>
      <c r="C62" s="603"/>
      <c r="D62" s="277">
        <f>'T-T1'!B61</f>
        <v>14061877.435000001</v>
      </c>
      <c r="E62" s="277">
        <f>'T-T3a'!E62</f>
        <v>3791283.869924</v>
      </c>
      <c r="F62" s="277">
        <f>'T-T2'!E61+'T-T2'!F61+'T-T2'!G61</f>
        <v>2257240</v>
      </c>
      <c r="G62" s="277">
        <f>SUM(S62:U62)-SUM('T-T1'!DF61:DI61)</f>
        <v>2450508</v>
      </c>
      <c r="H62" s="277">
        <v>-916463.56507600099</v>
      </c>
      <c r="I62" s="277"/>
      <c r="J62" s="277">
        <f t="shared" si="1"/>
        <v>901.13007600000128</v>
      </c>
      <c r="K62" s="277">
        <f>'C10-Adj by Source'!CE58</f>
        <v>10412.869924000001</v>
      </c>
      <c r="L62" s="277">
        <v>18150</v>
      </c>
      <c r="M62" s="277">
        <v>4611</v>
      </c>
      <c r="N62" s="277">
        <v>6503</v>
      </c>
      <c r="O62" s="277">
        <v>17950</v>
      </c>
      <c r="P62" s="277"/>
      <c r="Q62" s="280">
        <v>18995</v>
      </c>
      <c r="R62" s="280"/>
      <c r="S62" s="280">
        <v>653921</v>
      </c>
      <c r="T62" s="280">
        <v>353913</v>
      </c>
      <c r="U62" s="280">
        <v>1536316</v>
      </c>
      <c r="W62" s="277">
        <f t="shared" si="0"/>
        <v>-915563</v>
      </c>
      <c r="X62" s="277">
        <f t="shared" si="8"/>
        <v>900.56507600098848</v>
      </c>
      <c r="Y62" s="277"/>
      <c r="Z62" s="270">
        <f>'T-T1'!BN61</f>
        <v>14061878</v>
      </c>
      <c r="AA62" s="270">
        <f t="shared" si="9"/>
        <v>0</v>
      </c>
      <c r="AB62" s="705">
        <f t="shared" si="10"/>
        <v>0</v>
      </c>
      <c r="AC62" s="270">
        <f t="shared" si="11"/>
        <v>-916463.56507600099</v>
      </c>
      <c r="AE62" s="270">
        <f>'C1-Incomes'!Z60-Z62</f>
        <v>2.4000000208616257E-2</v>
      </c>
      <c r="AG62" s="277">
        <v>951600</v>
      </c>
    </row>
    <row r="63" spans="1:33" s="610" customFormat="1" ht="10.5" customHeight="1" x14ac:dyDescent="0.25">
      <c r="A63" s="268">
        <f>A62+1</f>
        <v>2013</v>
      </c>
      <c r="B63" s="603">
        <f t="shared" si="7"/>
        <v>14444823</v>
      </c>
      <c r="C63" s="603"/>
      <c r="D63" s="277">
        <f>'T-T1'!B62</f>
        <v>14444822.515000001</v>
      </c>
      <c r="E63" s="277">
        <f>'T-T3a'!E63</f>
        <v>4183399.7122480003</v>
      </c>
      <c r="F63" s="277">
        <f>'T-T2'!E62+'T-T2'!F62+'T-T2'!G62</f>
        <v>2313875</v>
      </c>
      <c r="G63" s="277">
        <f>SUM(S63:U63)-SUM('T-T1'!DF62:DI62)</f>
        <v>2430339</v>
      </c>
      <c r="H63" s="277">
        <v>-560813.80275199935</v>
      </c>
      <c r="I63" s="277"/>
      <c r="J63" s="277">
        <f t="shared" si="1"/>
        <v>2134.2877520000002</v>
      </c>
      <c r="K63" s="277">
        <f>'C10-Adj by Source'!CE59</f>
        <v>11289.712248</v>
      </c>
      <c r="L63" s="277">
        <v>19381</v>
      </c>
      <c r="M63" s="277">
        <v>5156</v>
      </c>
      <c r="N63" s="277">
        <v>7750</v>
      </c>
      <c r="O63" s="277">
        <v>18863</v>
      </c>
      <c r="P63" s="277"/>
      <c r="Q63" s="280">
        <v>26129</v>
      </c>
      <c r="R63" s="280"/>
      <c r="S63" s="280">
        <v>613731</v>
      </c>
      <c r="T63" s="280">
        <v>347289</v>
      </c>
      <c r="U63" s="280">
        <v>1562706</v>
      </c>
      <c r="W63" s="277">
        <f t="shared" si="0"/>
        <v>-558679.99999999965</v>
      </c>
      <c r="X63" s="277">
        <f t="shared" si="8"/>
        <v>2133.8027519996976</v>
      </c>
      <c r="Y63" s="277"/>
      <c r="Z63" s="270">
        <f>'T-T1'!BN62</f>
        <v>14444823</v>
      </c>
      <c r="AA63" s="270">
        <f t="shared" si="9"/>
        <v>0</v>
      </c>
      <c r="AB63" s="705">
        <f t="shared" si="10"/>
        <v>0</v>
      </c>
      <c r="AC63" s="270">
        <f t="shared" si="11"/>
        <v>-560813.80275199935</v>
      </c>
      <c r="AE63" s="270">
        <f>'C1-Incomes'!Z61-Z63</f>
        <v>-1.7000000923871994E-2</v>
      </c>
      <c r="AG63" s="272">
        <v>1104600</v>
      </c>
    </row>
    <row r="64" spans="1:33" s="596" customFormat="1" ht="10.5" customHeight="1" x14ac:dyDescent="0.25">
      <c r="A64" s="268">
        <f>A63+1</f>
        <v>2014</v>
      </c>
      <c r="B64" s="603">
        <f t="shared" si="7"/>
        <v>15144033</v>
      </c>
      <c r="C64" s="603"/>
      <c r="D64" s="277">
        <f>'T-T1'!B63</f>
        <v>15144035.857000001</v>
      </c>
      <c r="E64" s="277">
        <f>'T-T3a'!E64</f>
        <v>4401070.1959150005</v>
      </c>
      <c r="F64" s="277">
        <f>'T-T2'!E63+'T-T2'!F63+'T-T2'!G63</f>
        <v>2421759</v>
      </c>
      <c r="G64" s="277">
        <f>SUM(S64:U64)-SUM('T-T1'!DF63:DI63)</f>
        <v>2462711</v>
      </c>
      <c r="H64" s="277">
        <v>-483402.66108500026</v>
      </c>
      <c r="I64" s="277"/>
      <c r="J64" s="277">
        <f t="shared" si="1"/>
        <v>11833.804085</v>
      </c>
      <c r="K64" s="277">
        <f>'C10-Adj by Source'!CE60</f>
        <v>12427.195915</v>
      </c>
      <c r="L64" s="277">
        <v>21457</v>
      </c>
      <c r="M64" s="277">
        <v>5146</v>
      </c>
      <c r="N64" s="277">
        <v>17169</v>
      </c>
      <c r="O64" s="277">
        <v>19511</v>
      </c>
      <c r="P64" s="277"/>
      <c r="Q64" s="270">
        <v>24062</v>
      </c>
      <c r="R64" s="280"/>
      <c r="S64" s="280">
        <v>600236</v>
      </c>
      <c r="T64" s="280">
        <v>355711</v>
      </c>
      <c r="U64" s="280">
        <v>1601607</v>
      </c>
      <c r="W64" s="277">
        <f t="shared" si="0"/>
        <v>-471565.99999999948</v>
      </c>
      <c r="X64" s="277">
        <f t="shared" si="8"/>
        <v>11836.661085000786</v>
      </c>
      <c r="Y64" s="277"/>
      <c r="Z64" s="270">
        <f>'T-T1'!BN63</f>
        <v>15144033</v>
      </c>
      <c r="AA64" s="270">
        <f t="shared" si="9"/>
        <v>0</v>
      </c>
      <c r="AB64" s="705">
        <f t="shared" si="10"/>
        <v>0</v>
      </c>
      <c r="AC64" s="270">
        <f t="shared" si="11"/>
        <v>-483402.66108500026</v>
      </c>
      <c r="AE64" s="270">
        <f>'C1-Incomes'!Z62-Z64</f>
        <v>-5.0000008195638657E-3</v>
      </c>
      <c r="AG64" s="272">
        <v>1154900</v>
      </c>
    </row>
    <row r="65" spans="1:33" s="596" customFormat="1" ht="10.5" customHeight="1" x14ac:dyDescent="0.25">
      <c r="A65" s="268">
        <f>A64+1</f>
        <v>2015</v>
      </c>
      <c r="B65" s="603">
        <f t="shared" si="7"/>
        <v>15739598</v>
      </c>
      <c r="C65" s="603"/>
      <c r="D65" s="277">
        <f>'T-T1'!B64</f>
        <v>15739598.801000001</v>
      </c>
      <c r="E65" s="277">
        <f>'T-T3a'!E65</f>
        <v>4618374.4420640003</v>
      </c>
      <c r="F65" s="277">
        <f>'T-T2'!E64+'T-T2'!F64+'T-T2'!G64</f>
        <v>2549042</v>
      </c>
      <c r="G65" s="277">
        <f>SUM(S65:U65)-SUM('T-T1'!DF64:DI64)</f>
        <v>2508125</v>
      </c>
      <c r="H65" s="277">
        <v>-438793.35893600062</v>
      </c>
      <c r="I65" s="277"/>
      <c r="J65" s="277">
        <f>-K65-O65+SUM(L65:N65)</f>
        <v>915.55793599999743</v>
      </c>
      <c r="K65" s="277">
        <f>'C10-Adj by Source'!CE61</f>
        <v>12918.442064000001</v>
      </c>
      <c r="L65" s="277">
        <v>22069</v>
      </c>
      <c r="M65" s="277">
        <v>5115</v>
      </c>
      <c r="N65" s="277">
        <v>7051</v>
      </c>
      <c r="O65" s="277">
        <v>20401</v>
      </c>
      <c r="P65" s="277"/>
      <c r="Q65" s="270">
        <v>25622</v>
      </c>
      <c r="R65" s="280"/>
      <c r="S65" s="280">
        <v>590647</v>
      </c>
      <c r="T65" s="280">
        <v>373096</v>
      </c>
      <c r="U65" s="280">
        <v>1641166</v>
      </c>
      <c r="W65" s="277">
        <f>E65-F65-G65+J65</f>
        <v>-437876.99999999971</v>
      </c>
      <c r="X65" s="277">
        <f>W65-H65</f>
        <v>916.3589360009064</v>
      </c>
      <c r="Y65" s="277"/>
      <c r="Z65" s="270">
        <f>'T-T1'!BN64</f>
        <v>15739598</v>
      </c>
      <c r="AA65" s="270">
        <f t="shared" si="9"/>
        <v>0</v>
      </c>
      <c r="AB65" s="705">
        <f t="shared" si="10"/>
        <v>0</v>
      </c>
      <c r="AC65" s="270">
        <f t="shared" si="11"/>
        <v>-438793.35893600062</v>
      </c>
      <c r="AE65" s="270">
        <f>'C1-Incomes'!Z63-Z65</f>
        <v>-3.6000000312924385E-2</v>
      </c>
      <c r="AG65" s="272">
        <v>1203500</v>
      </c>
    </row>
    <row r="66" spans="1:33" ht="10.5" customHeight="1" x14ac:dyDescent="0.3">
      <c r="A66" s="268"/>
      <c r="B66" s="707"/>
      <c r="C66" s="707"/>
      <c r="D66" s="707"/>
      <c r="E66" s="273"/>
      <c r="F66" s="273"/>
      <c r="G66" s="273"/>
      <c r="H66" s="707"/>
      <c r="I66" s="707"/>
      <c r="J66" s="277"/>
      <c r="K66" s="277"/>
      <c r="L66" s="272">
        <v>23131</v>
      </c>
      <c r="M66" s="272">
        <v>5104</v>
      </c>
      <c r="N66" s="272">
        <v>3685</v>
      </c>
      <c r="O66" s="272">
        <v>20903</v>
      </c>
      <c r="P66" s="272"/>
      <c r="R66" s="280"/>
      <c r="S66" s="280">
        <v>587613</v>
      </c>
      <c r="T66" s="280">
        <v>390450</v>
      </c>
      <c r="U66" s="280">
        <v>1677132</v>
      </c>
      <c r="W66" s="707"/>
      <c r="X66" s="707"/>
      <c r="Y66" s="273"/>
      <c r="Z66" s="270"/>
      <c r="AA66" s="273"/>
      <c r="AB66" s="711"/>
    </row>
    <row r="67" spans="1:33" ht="6.75" customHeight="1" x14ac:dyDescent="0.3">
      <c r="A67" s="148"/>
      <c r="B67" s="148"/>
      <c r="C67" s="148"/>
      <c r="D67" s="148"/>
      <c r="E67" s="148"/>
      <c r="F67" s="148"/>
      <c r="G67" s="148"/>
      <c r="H67" s="148"/>
      <c r="I67" s="148"/>
      <c r="J67" s="148"/>
      <c r="K67" s="615"/>
      <c r="L67" s="615"/>
      <c r="M67" s="615"/>
      <c r="N67" s="615"/>
      <c r="O67" s="615"/>
      <c r="P67" s="615"/>
      <c r="Q67" s="615"/>
      <c r="R67" s="599"/>
      <c r="S67" s="599"/>
      <c r="T67" s="599"/>
      <c r="U67" s="599"/>
      <c r="W67" s="910"/>
      <c r="X67" s="910"/>
      <c r="Y67" s="148"/>
      <c r="Z67" s="599"/>
      <c r="AA67" s="148"/>
      <c r="AB67" s="712"/>
      <c r="AC67" s="11"/>
    </row>
    <row r="68" spans="1:33" ht="17.25" customHeight="1" x14ac:dyDescent="0.3">
      <c r="A68" s="600"/>
      <c r="B68" s="8"/>
      <c r="C68" s="8"/>
      <c r="D68" s="600"/>
      <c r="E68" s="600"/>
      <c r="F68" s="600"/>
      <c r="G68" s="600"/>
      <c r="H68" s="600"/>
      <c r="I68" s="600"/>
      <c r="J68" s="600"/>
      <c r="K68" s="600"/>
      <c r="L68" s="600"/>
      <c r="M68" s="600"/>
      <c r="N68" s="600"/>
      <c r="O68" s="600"/>
      <c r="P68" s="600"/>
      <c r="Q68" s="600"/>
      <c r="R68" s="270"/>
      <c r="S68" s="270"/>
      <c r="T68" s="270"/>
      <c r="U68" s="270"/>
    </row>
    <row r="69" spans="1:33" x14ac:dyDescent="0.3">
      <c r="G69" s="8"/>
      <c r="J69" s="24"/>
      <c r="K69" s="896"/>
      <c r="L69" s="896"/>
      <c r="M69" s="896"/>
      <c r="N69" s="896"/>
      <c r="O69" s="586"/>
      <c r="P69" s="586"/>
      <c r="Q69" s="586"/>
      <c r="R69" s="586"/>
      <c r="S69" s="586"/>
      <c r="T69" s="586"/>
      <c r="U69" s="586"/>
      <c r="V69" s="586"/>
    </row>
    <row r="70" spans="1:33" x14ac:dyDescent="0.3">
      <c r="D70" s="655"/>
      <c r="E70" s="654"/>
      <c r="J70" s="24"/>
      <c r="K70" s="34"/>
      <c r="L70" s="34"/>
      <c r="M70" s="34"/>
      <c r="N70" s="34"/>
      <c r="O70" s="8"/>
      <c r="P70" s="8"/>
      <c r="Q70" s="8"/>
      <c r="R70" s="8"/>
      <c r="S70" s="8"/>
      <c r="T70" s="8"/>
      <c r="U70" s="8"/>
      <c r="V70" s="8"/>
    </row>
    <row r="71" spans="1:33" x14ac:dyDescent="0.3">
      <c r="E71" s="72"/>
      <c r="J71" s="24"/>
      <c r="K71" s="911"/>
      <c r="L71" s="911"/>
      <c r="M71" s="911"/>
      <c r="N71" s="911"/>
      <c r="O71" s="543"/>
      <c r="P71" s="543"/>
      <c r="Q71" s="543"/>
      <c r="R71" s="586"/>
      <c r="S71" s="586"/>
      <c r="T71" s="586"/>
      <c r="U71" s="586"/>
      <c r="V71" s="586"/>
    </row>
    <row r="72" spans="1:33" x14ac:dyDescent="0.3">
      <c r="D72" s="654"/>
      <c r="E72" s="654"/>
      <c r="J72" s="24"/>
      <c r="K72" s="24"/>
      <c r="L72" s="24"/>
      <c r="M72" s="24"/>
      <c r="N72" s="24"/>
    </row>
  </sheetData>
  <mergeCells count="27">
    <mergeCell ref="AG4:AG8"/>
    <mergeCell ref="AC4:AC8"/>
    <mergeCell ref="W3:AC3"/>
    <mergeCell ref="S6:S8"/>
    <mergeCell ref="T6:T8"/>
    <mergeCell ref="U6:U8"/>
    <mergeCell ref="J3:U3"/>
    <mergeCell ref="W4:W8"/>
    <mergeCell ref="X4:X8"/>
    <mergeCell ref="Z4:Z8"/>
    <mergeCell ref="AA4:AA8"/>
    <mergeCell ref="S4:U5"/>
    <mergeCell ref="Q4:Q8"/>
    <mergeCell ref="AB4:AB8"/>
    <mergeCell ref="J4:O4"/>
    <mergeCell ref="J5:J8"/>
    <mergeCell ref="G4:G8"/>
    <mergeCell ref="B4:B8"/>
    <mergeCell ref="D4:D8"/>
    <mergeCell ref="E4:E8"/>
    <mergeCell ref="F4:F8"/>
    <mergeCell ref="L5:L8"/>
    <mergeCell ref="M5:M8"/>
    <mergeCell ref="N5:N8"/>
    <mergeCell ref="O5:O8"/>
    <mergeCell ref="H4:H8"/>
    <mergeCell ref="K5:K8"/>
  </mergeCells>
  <hyperlinks>
    <hyperlink ref="H1" location="Index!A1" display="Index"/>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theme="5" tint="0.59999389629810485"/>
  </sheetPr>
  <dimension ref="A1:T69"/>
  <sheetViews>
    <sheetView zoomScaleNormal="100" workbookViewId="0">
      <pane ySplit="9" topLeftCell="A10" activePane="bottomLeft" state="frozen"/>
      <selection pane="bottomLeft" activeCell="L65" sqref="L65"/>
    </sheetView>
  </sheetViews>
  <sheetFormatPr defaultRowHeight="14.4" x14ac:dyDescent="0.3"/>
  <cols>
    <col min="1" max="1" width="9.5546875" style="571" customWidth="1"/>
    <col min="2" max="2" width="11.88671875" style="571" customWidth="1"/>
    <col min="3" max="3" width="1.77734375" style="571" customWidth="1"/>
    <col min="4" max="4" width="10" style="571" customWidth="1"/>
    <col min="5" max="5" width="9.88671875" style="571" customWidth="1"/>
    <col min="6" max="6" width="3.77734375" style="571" customWidth="1"/>
    <col min="7" max="7" width="9.21875" style="571" customWidth="1"/>
    <col min="8" max="8" width="9.21875" style="655" customWidth="1"/>
    <col min="9" max="9" width="10" style="879" customWidth="1"/>
    <col min="10" max="10" width="9.21875" style="571" customWidth="1"/>
    <col min="11" max="11" width="16" style="571" customWidth="1"/>
    <col min="12" max="12" width="17.5546875" style="571" customWidth="1"/>
    <col min="13" max="13" width="11.44140625" style="571" customWidth="1"/>
    <col min="14" max="14" width="10.109375" style="571" customWidth="1"/>
    <col min="15" max="15" width="10.44140625" style="571" customWidth="1"/>
    <col min="16" max="16" width="13.88671875" style="879" customWidth="1"/>
    <col min="17" max="17" width="4" style="571" customWidth="1"/>
    <col min="18" max="18" width="9.109375" style="24"/>
    <col min="19" max="19" width="7.88671875" style="571" customWidth="1"/>
    <col min="20" max="20" width="9.77734375" style="571" customWidth="1"/>
    <col min="21" max="150" width="9.109375" style="571"/>
    <col min="151" max="151" width="9.5546875" style="571" customWidth="1"/>
    <col min="152" max="152" width="11" style="571" customWidth="1"/>
    <col min="153" max="154" width="11.21875" style="571" customWidth="1"/>
    <col min="155" max="155" width="11.5546875" style="571" customWidth="1"/>
    <col min="156" max="156" width="11.109375" style="571" customWidth="1"/>
    <col min="157" max="157" width="2" style="571" customWidth="1"/>
    <col min="158" max="158" width="13.5546875" style="571" customWidth="1"/>
    <col min="159" max="159" width="12.44140625" style="571" customWidth="1"/>
    <col min="160" max="160" width="13.5546875" style="571" customWidth="1"/>
    <col min="161" max="161" width="2.109375" style="571" customWidth="1"/>
    <col min="162" max="162" width="9.109375" style="571"/>
    <col min="163" max="163" width="10.21875" style="571" customWidth="1"/>
    <col min="164" max="164" width="1.88671875" style="571" customWidth="1"/>
    <col min="165" max="165" width="10.77734375" style="571" customWidth="1"/>
    <col min="166" max="166" width="9.109375" style="571"/>
    <col min="167" max="167" width="2.109375" style="571" customWidth="1"/>
    <col min="168" max="168" width="9.109375" style="571"/>
    <col min="169" max="169" width="11.21875" style="571" customWidth="1"/>
    <col min="170" max="170" width="12.77734375" style="571" customWidth="1"/>
    <col min="171" max="171" width="12.5546875" style="571" customWidth="1"/>
    <col min="172" max="172" width="2" style="571" customWidth="1"/>
    <col min="173" max="174" width="9.109375" style="571"/>
    <col min="175" max="175" width="11" style="571" customWidth="1"/>
    <col min="176" max="176" width="9.109375" style="571"/>
    <col min="177" max="177" width="2.21875" style="571" customWidth="1"/>
    <col min="178" max="178" width="11" style="571" customWidth="1"/>
    <col min="179" max="179" width="9.109375" style="571"/>
    <col min="180" max="180" width="11.5546875" style="571" customWidth="1"/>
    <col min="181" max="181" width="11.21875" style="571" customWidth="1"/>
    <col min="182" max="182" width="2.88671875" style="571" customWidth="1"/>
    <col min="183" max="184" width="9.109375" style="571"/>
    <col min="185" max="185" width="11.21875" style="571" customWidth="1"/>
    <col min="186" max="186" width="2.21875" style="571" customWidth="1"/>
    <col min="187" max="187" width="9.109375" style="571"/>
    <col min="188" max="188" width="10.44140625" style="571" customWidth="1"/>
    <col min="189" max="189" width="9.109375" style="571"/>
    <col min="190" max="190" width="11.109375" style="571" customWidth="1"/>
    <col min="191" max="192" width="9.109375" style="571"/>
    <col min="193" max="193" width="10.88671875" style="571" customWidth="1"/>
    <col min="194" max="195" width="9.109375" style="571"/>
    <col min="196" max="196" width="1.5546875" style="571" customWidth="1"/>
    <col min="197" max="197" width="9.77734375" style="571" customWidth="1"/>
    <col min="198" max="201" width="9.109375" style="571"/>
    <col min="202" max="202" width="1.88671875" style="571" customWidth="1"/>
    <col min="203" max="203" width="9.88671875" style="571" customWidth="1"/>
    <col min="204" max="204" width="1.5546875" style="571" customWidth="1"/>
    <col min="205" max="205" width="11.44140625" style="571" customWidth="1"/>
    <col min="206" max="206" width="2.21875" style="571" customWidth="1"/>
    <col min="207" max="207" width="12" style="571" customWidth="1"/>
    <col min="208" max="208" width="2" style="571" customWidth="1"/>
    <col min="209" max="209" width="9.109375" style="571"/>
    <col min="210" max="210" width="11.109375" style="571" customWidth="1"/>
    <col min="211" max="211" width="12" style="571" customWidth="1"/>
    <col min="212" max="212" width="9.109375" style="571"/>
    <col min="213" max="213" width="11.88671875" style="571" customWidth="1"/>
    <col min="214" max="214" width="14.21875" style="571" customWidth="1"/>
    <col min="215" max="218" width="9.109375" style="571"/>
    <col min="219" max="219" width="3.44140625" style="571" customWidth="1"/>
    <col min="220" max="221" width="9.109375" style="571"/>
    <col min="222" max="222" width="11.44140625" style="571" customWidth="1"/>
    <col min="223" max="223" width="2.77734375" style="571" customWidth="1"/>
    <col min="224" max="406" width="9.109375" style="571"/>
    <col min="407" max="407" width="9.5546875" style="571" customWidth="1"/>
    <col min="408" max="408" width="11" style="571" customWidth="1"/>
    <col min="409" max="410" width="11.21875" style="571" customWidth="1"/>
    <col min="411" max="411" width="11.5546875" style="571" customWidth="1"/>
    <col min="412" max="412" width="11.109375" style="571" customWidth="1"/>
    <col min="413" max="413" width="2" style="571" customWidth="1"/>
    <col min="414" max="414" width="13.5546875" style="571" customWidth="1"/>
    <col min="415" max="415" width="12.44140625" style="571" customWidth="1"/>
    <col min="416" max="416" width="13.5546875" style="571" customWidth="1"/>
    <col min="417" max="417" width="2.109375" style="571" customWidth="1"/>
    <col min="418" max="418" width="9.109375" style="571"/>
    <col min="419" max="419" width="10.21875" style="571" customWidth="1"/>
    <col min="420" max="420" width="1.88671875" style="571" customWidth="1"/>
    <col min="421" max="421" width="10.77734375" style="571" customWidth="1"/>
    <col min="422" max="422" width="9.109375" style="571"/>
    <col min="423" max="423" width="2.109375" style="571" customWidth="1"/>
    <col min="424" max="424" width="9.109375" style="571"/>
    <col min="425" max="425" width="11.21875" style="571" customWidth="1"/>
    <col min="426" max="426" width="12.77734375" style="571" customWidth="1"/>
    <col min="427" max="427" width="12.5546875" style="571" customWidth="1"/>
    <col min="428" max="428" width="2" style="571" customWidth="1"/>
    <col min="429" max="430" width="9.109375" style="571"/>
    <col min="431" max="431" width="11" style="571" customWidth="1"/>
    <col min="432" max="432" width="9.109375" style="571"/>
    <col min="433" max="433" width="2.21875" style="571" customWidth="1"/>
    <col min="434" max="434" width="11" style="571" customWidth="1"/>
    <col min="435" max="435" width="9.109375" style="571"/>
    <col min="436" max="436" width="11.5546875" style="571" customWidth="1"/>
    <col min="437" max="437" width="11.21875" style="571" customWidth="1"/>
    <col min="438" max="438" width="2.88671875" style="571" customWidth="1"/>
    <col min="439" max="440" width="9.109375" style="571"/>
    <col min="441" max="441" width="11.21875" style="571" customWidth="1"/>
    <col min="442" max="442" width="2.21875" style="571" customWidth="1"/>
    <col min="443" max="443" width="9.109375" style="571"/>
    <col min="444" max="444" width="10.44140625" style="571" customWidth="1"/>
    <col min="445" max="445" width="9.109375" style="571"/>
    <col min="446" max="446" width="11.109375" style="571" customWidth="1"/>
    <col min="447" max="448" width="9.109375" style="571"/>
    <col min="449" max="449" width="10.88671875" style="571" customWidth="1"/>
    <col min="450" max="451" width="9.109375" style="571"/>
    <col min="452" max="452" width="1.5546875" style="571" customWidth="1"/>
    <col min="453" max="453" width="9.77734375" style="571" customWidth="1"/>
    <col min="454" max="457" width="9.109375" style="571"/>
    <col min="458" max="458" width="1.88671875" style="571" customWidth="1"/>
    <col min="459" max="459" width="9.88671875" style="571" customWidth="1"/>
    <col min="460" max="460" width="1.5546875" style="571" customWidth="1"/>
    <col min="461" max="461" width="11.44140625" style="571" customWidth="1"/>
    <col min="462" max="462" width="2.21875" style="571" customWidth="1"/>
    <col min="463" max="463" width="12" style="571" customWidth="1"/>
    <col min="464" max="464" width="2" style="571" customWidth="1"/>
    <col min="465" max="465" width="9.109375" style="571"/>
    <col min="466" max="466" width="11.109375" style="571" customWidth="1"/>
    <col min="467" max="467" width="12" style="571" customWidth="1"/>
    <col min="468" max="468" width="9.109375" style="571"/>
    <col min="469" max="469" width="11.88671875" style="571" customWidth="1"/>
    <col min="470" max="470" width="14.21875" style="571" customWidth="1"/>
    <col min="471" max="474" width="9.109375" style="571"/>
    <col min="475" max="475" width="3.44140625" style="571" customWidth="1"/>
    <col min="476" max="477" width="9.109375" style="571"/>
    <col min="478" max="478" width="11.44140625" style="571" customWidth="1"/>
    <col min="479" max="479" width="2.77734375" style="571" customWidth="1"/>
    <col min="480" max="662" width="9.109375" style="571"/>
    <col min="663" max="663" width="9.5546875" style="571" customWidth="1"/>
    <col min="664" max="664" width="11" style="571" customWidth="1"/>
    <col min="665" max="666" width="11.21875" style="571" customWidth="1"/>
    <col min="667" max="667" width="11.5546875" style="571" customWidth="1"/>
    <col min="668" max="668" width="11.109375" style="571" customWidth="1"/>
    <col min="669" max="669" width="2" style="571" customWidth="1"/>
    <col min="670" max="670" width="13.5546875" style="571" customWidth="1"/>
    <col min="671" max="671" width="12.44140625" style="571" customWidth="1"/>
    <col min="672" max="672" width="13.5546875" style="571" customWidth="1"/>
    <col min="673" max="673" width="2.109375" style="571" customWidth="1"/>
    <col min="674" max="674" width="9.109375" style="571"/>
    <col min="675" max="675" width="10.21875" style="571" customWidth="1"/>
    <col min="676" max="676" width="1.88671875" style="571" customWidth="1"/>
    <col min="677" max="677" width="10.77734375" style="571" customWidth="1"/>
    <col min="678" max="678" width="9.109375" style="571"/>
    <col min="679" max="679" width="2.109375" style="571" customWidth="1"/>
    <col min="680" max="680" width="9.109375" style="571"/>
    <col min="681" max="681" width="11.21875" style="571" customWidth="1"/>
    <col min="682" max="682" width="12.77734375" style="571" customWidth="1"/>
    <col min="683" max="683" width="12.5546875" style="571" customWidth="1"/>
    <col min="684" max="684" width="2" style="571" customWidth="1"/>
    <col min="685" max="686" width="9.109375" style="571"/>
    <col min="687" max="687" width="11" style="571" customWidth="1"/>
    <col min="688" max="688" width="9.109375" style="571"/>
    <col min="689" max="689" width="2.21875" style="571" customWidth="1"/>
    <col min="690" max="690" width="11" style="571" customWidth="1"/>
    <col min="691" max="691" width="9.109375" style="571"/>
    <col min="692" max="692" width="11.5546875" style="571" customWidth="1"/>
    <col min="693" max="693" width="11.21875" style="571" customWidth="1"/>
    <col min="694" max="694" width="2.88671875" style="571" customWidth="1"/>
    <col min="695" max="696" width="9.109375" style="571"/>
    <col min="697" max="697" width="11.21875" style="571" customWidth="1"/>
    <col min="698" max="698" width="2.21875" style="571" customWidth="1"/>
    <col min="699" max="699" width="9.109375" style="571"/>
    <col min="700" max="700" width="10.44140625" style="571" customWidth="1"/>
    <col min="701" max="701" width="9.109375" style="571"/>
    <col min="702" max="702" width="11.109375" style="571" customWidth="1"/>
    <col min="703" max="704" width="9.109375" style="571"/>
    <col min="705" max="705" width="10.88671875" style="571" customWidth="1"/>
    <col min="706" max="707" width="9.109375" style="571"/>
    <col min="708" max="708" width="1.5546875" style="571" customWidth="1"/>
    <col min="709" max="709" width="9.77734375" style="571" customWidth="1"/>
    <col min="710" max="713" width="9.109375" style="571"/>
    <col min="714" max="714" width="1.88671875" style="571" customWidth="1"/>
    <col min="715" max="715" width="9.88671875" style="571" customWidth="1"/>
    <col min="716" max="716" width="1.5546875" style="571" customWidth="1"/>
    <col min="717" max="717" width="11.44140625" style="571" customWidth="1"/>
    <col min="718" max="718" width="2.21875" style="571" customWidth="1"/>
    <col min="719" max="719" width="12" style="571" customWidth="1"/>
    <col min="720" max="720" width="2" style="571" customWidth="1"/>
    <col min="721" max="721" width="9.109375" style="571"/>
    <col min="722" max="722" width="11.109375" style="571" customWidth="1"/>
    <col min="723" max="723" width="12" style="571" customWidth="1"/>
    <col min="724" max="724" width="9.109375" style="571"/>
    <col min="725" max="725" width="11.88671875" style="571" customWidth="1"/>
    <col min="726" max="726" width="14.21875" style="571" customWidth="1"/>
    <col min="727" max="730" width="9.109375" style="571"/>
    <col min="731" max="731" width="3.44140625" style="571" customWidth="1"/>
    <col min="732" max="733" width="9.109375" style="571"/>
    <col min="734" max="734" width="11.44140625" style="571" customWidth="1"/>
    <col min="735" max="735" width="2.77734375" style="571" customWidth="1"/>
    <col min="736" max="918" width="9.109375" style="571"/>
    <col min="919" max="919" width="9.5546875" style="571" customWidth="1"/>
    <col min="920" max="920" width="11" style="571" customWidth="1"/>
    <col min="921" max="922" width="11.21875" style="571" customWidth="1"/>
    <col min="923" max="923" width="11.5546875" style="571" customWidth="1"/>
    <col min="924" max="924" width="11.109375" style="571" customWidth="1"/>
    <col min="925" max="925" width="2" style="571" customWidth="1"/>
    <col min="926" max="926" width="13.5546875" style="571" customWidth="1"/>
    <col min="927" max="927" width="12.44140625" style="571" customWidth="1"/>
    <col min="928" max="928" width="13.5546875" style="571" customWidth="1"/>
    <col min="929" max="929" width="2.109375" style="571" customWidth="1"/>
    <col min="930" max="930" width="9.109375" style="571"/>
    <col min="931" max="931" width="10.21875" style="571" customWidth="1"/>
    <col min="932" max="932" width="1.88671875" style="571" customWidth="1"/>
    <col min="933" max="933" width="10.77734375" style="571" customWidth="1"/>
    <col min="934" max="934" width="9.109375" style="571"/>
    <col min="935" max="935" width="2.109375" style="571" customWidth="1"/>
    <col min="936" max="936" width="9.109375" style="571"/>
    <col min="937" max="937" width="11.21875" style="571" customWidth="1"/>
    <col min="938" max="938" width="12.77734375" style="571" customWidth="1"/>
    <col min="939" max="939" width="12.5546875" style="571" customWidth="1"/>
    <col min="940" max="940" width="2" style="571" customWidth="1"/>
    <col min="941" max="942" width="9.109375" style="571"/>
    <col min="943" max="943" width="11" style="571" customWidth="1"/>
    <col min="944" max="944" width="9.109375" style="571"/>
    <col min="945" max="945" width="2.21875" style="571" customWidth="1"/>
    <col min="946" max="946" width="11" style="571" customWidth="1"/>
    <col min="947" max="947" width="9.109375" style="571"/>
    <col min="948" max="948" width="11.5546875" style="571" customWidth="1"/>
    <col min="949" max="949" width="11.21875" style="571" customWidth="1"/>
    <col min="950" max="950" width="2.88671875" style="571" customWidth="1"/>
    <col min="951" max="952" width="9.109375" style="571"/>
    <col min="953" max="953" width="11.21875" style="571" customWidth="1"/>
    <col min="954" max="954" width="2.21875" style="571" customWidth="1"/>
    <col min="955" max="955" width="9.109375" style="571"/>
    <col min="956" max="956" width="10.44140625" style="571" customWidth="1"/>
    <col min="957" max="957" width="9.109375" style="571"/>
    <col min="958" max="958" width="11.109375" style="571" customWidth="1"/>
    <col min="959" max="960" width="9.109375" style="571"/>
    <col min="961" max="961" width="10.88671875" style="571" customWidth="1"/>
    <col min="962" max="963" width="9.109375" style="571"/>
    <col min="964" max="964" width="1.5546875" style="571" customWidth="1"/>
    <col min="965" max="965" width="9.77734375" style="571" customWidth="1"/>
    <col min="966" max="969" width="9.109375" style="571"/>
    <col min="970" max="970" width="1.88671875" style="571" customWidth="1"/>
    <col min="971" max="971" width="9.88671875" style="571" customWidth="1"/>
    <col min="972" max="972" width="1.5546875" style="571" customWidth="1"/>
    <col min="973" max="973" width="11.44140625" style="571" customWidth="1"/>
    <col min="974" max="974" width="2.21875" style="571" customWidth="1"/>
    <col min="975" max="975" width="12" style="571" customWidth="1"/>
    <col min="976" max="976" width="2" style="571" customWidth="1"/>
    <col min="977" max="977" width="9.109375" style="571"/>
    <col min="978" max="978" width="11.109375" style="571" customWidth="1"/>
    <col min="979" max="979" width="12" style="571" customWidth="1"/>
    <col min="980" max="980" width="9.109375" style="571"/>
    <col min="981" max="981" width="11.88671875" style="571" customWidth="1"/>
    <col min="982" max="982" width="14.21875" style="571" customWidth="1"/>
    <col min="983" max="986" width="9.109375" style="571"/>
    <col min="987" max="987" width="3.44140625" style="571" customWidth="1"/>
    <col min="988" max="989" width="9.109375" style="571"/>
    <col min="990" max="990" width="11.44140625" style="571" customWidth="1"/>
    <col min="991" max="991" width="2.77734375" style="571" customWidth="1"/>
    <col min="992" max="1174" width="9.109375" style="571"/>
    <col min="1175" max="1175" width="9.5546875" style="571" customWidth="1"/>
    <col min="1176" max="1176" width="11" style="571" customWidth="1"/>
    <col min="1177" max="1178" width="11.21875" style="571" customWidth="1"/>
    <col min="1179" max="1179" width="11.5546875" style="571" customWidth="1"/>
    <col min="1180" max="1180" width="11.109375" style="571" customWidth="1"/>
    <col min="1181" max="1181" width="2" style="571" customWidth="1"/>
    <col min="1182" max="1182" width="13.5546875" style="571" customWidth="1"/>
    <col min="1183" max="1183" width="12.44140625" style="571" customWidth="1"/>
    <col min="1184" max="1184" width="13.5546875" style="571" customWidth="1"/>
    <col min="1185" max="1185" width="2.109375" style="571" customWidth="1"/>
    <col min="1186" max="1186" width="9.109375" style="571"/>
    <col min="1187" max="1187" width="10.21875" style="571" customWidth="1"/>
    <col min="1188" max="1188" width="1.88671875" style="571" customWidth="1"/>
    <col min="1189" max="1189" width="10.77734375" style="571" customWidth="1"/>
    <col min="1190" max="1190" width="9.109375" style="571"/>
    <col min="1191" max="1191" width="2.109375" style="571" customWidth="1"/>
    <col min="1192" max="1192" width="9.109375" style="571"/>
    <col min="1193" max="1193" width="11.21875" style="571" customWidth="1"/>
    <col min="1194" max="1194" width="12.77734375" style="571" customWidth="1"/>
    <col min="1195" max="1195" width="12.5546875" style="571" customWidth="1"/>
    <col min="1196" max="1196" width="2" style="571" customWidth="1"/>
    <col min="1197" max="1198" width="9.109375" style="571"/>
    <col min="1199" max="1199" width="11" style="571" customWidth="1"/>
    <col min="1200" max="1200" width="9.109375" style="571"/>
    <col min="1201" max="1201" width="2.21875" style="571" customWidth="1"/>
    <col min="1202" max="1202" width="11" style="571" customWidth="1"/>
    <col min="1203" max="1203" width="9.109375" style="571"/>
    <col min="1204" max="1204" width="11.5546875" style="571" customWidth="1"/>
    <col min="1205" max="1205" width="11.21875" style="571" customWidth="1"/>
    <col min="1206" max="1206" width="2.88671875" style="571" customWidth="1"/>
    <col min="1207" max="1208" width="9.109375" style="571"/>
    <col min="1209" max="1209" width="11.21875" style="571" customWidth="1"/>
    <col min="1210" max="1210" width="2.21875" style="571" customWidth="1"/>
    <col min="1211" max="1211" width="9.109375" style="571"/>
    <col min="1212" max="1212" width="10.44140625" style="571" customWidth="1"/>
    <col min="1213" max="1213" width="9.109375" style="571"/>
    <col min="1214" max="1214" width="11.109375" style="571" customWidth="1"/>
    <col min="1215" max="1216" width="9.109375" style="571"/>
    <col min="1217" max="1217" width="10.88671875" style="571" customWidth="1"/>
    <col min="1218" max="1219" width="9.109375" style="571"/>
    <col min="1220" max="1220" width="1.5546875" style="571" customWidth="1"/>
    <col min="1221" max="1221" width="9.77734375" style="571" customWidth="1"/>
    <col min="1222" max="1225" width="9.109375" style="571"/>
    <col min="1226" max="1226" width="1.88671875" style="571" customWidth="1"/>
    <col min="1227" max="1227" width="9.88671875" style="571" customWidth="1"/>
    <col min="1228" max="1228" width="1.5546875" style="571" customWidth="1"/>
    <col min="1229" max="1229" width="11.44140625" style="571" customWidth="1"/>
    <col min="1230" max="1230" width="2.21875" style="571" customWidth="1"/>
    <col min="1231" max="1231" width="12" style="571" customWidth="1"/>
    <col min="1232" max="1232" width="2" style="571" customWidth="1"/>
    <col min="1233" max="1233" width="9.109375" style="571"/>
    <col min="1234" max="1234" width="11.109375" style="571" customWidth="1"/>
    <col min="1235" max="1235" width="12" style="571" customWidth="1"/>
    <col min="1236" max="1236" width="9.109375" style="571"/>
    <col min="1237" max="1237" width="11.88671875" style="571" customWidth="1"/>
    <col min="1238" max="1238" width="14.21875" style="571" customWidth="1"/>
    <col min="1239" max="1242" width="9.109375" style="571"/>
    <col min="1243" max="1243" width="3.44140625" style="571" customWidth="1"/>
    <col min="1244" max="1245" width="9.109375" style="571"/>
    <col min="1246" max="1246" width="11.44140625" style="571" customWidth="1"/>
    <col min="1247" max="1247" width="2.77734375" style="571" customWidth="1"/>
    <col min="1248" max="1430" width="9.109375" style="571"/>
    <col min="1431" max="1431" width="9.5546875" style="571" customWidth="1"/>
    <col min="1432" max="1432" width="11" style="571" customWidth="1"/>
    <col min="1433" max="1434" width="11.21875" style="571" customWidth="1"/>
    <col min="1435" max="1435" width="11.5546875" style="571" customWidth="1"/>
    <col min="1436" max="1436" width="11.109375" style="571" customWidth="1"/>
    <col min="1437" max="1437" width="2" style="571" customWidth="1"/>
    <col min="1438" max="1438" width="13.5546875" style="571" customWidth="1"/>
    <col min="1439" max="1439" width="12.44140625" style="571" customWidth="1"/>
    <col min="1440" max="1440" width="13.5546875" style="571" customWidth="1"/>
    <col min="1441" max="1441" width="2.109375" style="571" customWidth="1"/>
    <col min="1442" max="1442" width="9.109375" style="571"/>
    <col min="1443" max="1443" width="10.21875" style="571" customWidth="1"/>
    <col min="1444" max="1444" width="1.88671875" style="571" customWidth="1"/>
    <col min="1445" max="1445" width="10.77734375" style="571" customWidth="1"/>
    <col min="1446" max="1446" width="9.109375" style="571"/>
    <col min="1447" max="1447" width="2.109375" style="571" customWidth="1"/>
    <col min="1448" max="1448" width="9.109375" style="571"/>
    <col min="1449" max="1449" width="11.21875" style="571" customWidth="1"/>
    <col min="1450" max="1450" width="12.77734375" style="571" customWidth="1"/>
    <col min="1451" max="1451" width="12.5546875" style="571" customWidth="1"/>
    <col min="1452" max="1452" width="2" style="571" customWidth="1"/>
    <col min="1453" max="1454" width="9.109375" style="571"/>
    <col min="1455" max="1455" width="11" style="571" customWidth="1"/>
    <col min="1456" max="1456" width="9.109375" style="571"/>
    <col min="1457" max="1457" width="2.21875" style="571" customWidth="1"/>
    <col min="1458" max="1458" width="11" style="571" customWidth="1"/>
    <col min="1459" max="1459" width="9.109375" style="571"/>
    <col min="1460" max="1460" width="11.5546875" style="571" customWidth="1"/>
    <col min="1461" max="1461" width="11.21875" style="571" customWidth="1"/>
    <col min="1462" max="1462" width="2.88671875" style="571" customWidth="1"/>
    <col min="1463" max="1464" width="9.109375" style="571"/>
    <col min="1465" max="1465" width="11.21875" style="571" customWidth="1"/>
    <col min="1466" max="1466" width="2.21875" style="571" customWidth="1"/>
    <col min="1467" max="1467" width="9.109375" style="571"/>
    <col min="1468" max="1468" width="10.44140625" style="571" customWidth="1"/>
    <col min="1469" max="1469" width="9.109375" style="571"/>
    <col min="1470" max="1470" width="11.109375" style="571" customWidth="1"/>
    <col min="1471" max="1472" width="9.109375" style="571"/>
    <col min="1473" max="1473" width="10.88671875" style="571" customWidth="1"/>
    <col min="1474" max="1475" width="9.109375" style="571"/>
    <col min="1476" max="1476" width="1.5546875" style="571" customWidth="1"/>
    <col min="1477" max="1477" width="9.77734375" style="571" customWidth="1"/>
    <col min="1478" max="1481" width="9.109375" style="571"/>
    <col min="1482" max="1482" width="1.88671875" style="571" customWidth="1"/>
    <col min="1483" max="1483" width="9.88671875" style="571" customWidth="1"/>
    <col min="1484" max="1484" width="1.5546875" style="571" customWidth="1"/>
    <col min="1485" max="1485" width="11.44140625" style="571" customWidth="1"/>
    <col min="1486" max="1486" width="2.21875" style="571" customWidth="1"/>
    <col min="1487" max="1487" width="12" style="571" customWidth="1"/>
    <col min="1488" max="1488" width="2" style="571" customWidth="1"/>
    <col min="1489" max="1489" width="9.109375" style="571"/>
    <col min="1490" max="1490" width="11.109375" style="571" customWidth="1"/>
    <col min="1491" max="1491" width="12" style="571" customWidth="1"/>
    <col min="1492" max="1492" width="9.109375" style="571"/>
    <col min="1493" max="1493" width="11.88671875" style="571" customWidth="1"/>
    <col min="1494" max="1494" width="14.21875" style="571" customWidth="1"/>
    <col min="1495" max="1498" width="9.109375" style="571"/>
    <col min="1499" max="1499" width="3.44140625" style="571" customWidth="1"/>
    <col min="1500" max="1501" width="9.109375" style="571"/>
    <col min="1502" max="1502" width="11.44140625" style="571" customWidth="1"/>
    <col min="1503" max="1503" width="2.77734375" style="571" customWidth="1"/>
    <col min="1504" max="1686" width="9.109375" style="571"/>
    <col min="1687" max="1687" width="9.5546875" style="571" customWidth="1"/>
    <col min="1688" max="1688" width="11" style="571" customWidth="1"/>
    <col min="1689" max="1690" width="11.21875" style="571" customWidth="1"/>
    <col min="1691" max="1691" width="11.5546875" style="571" customWidth="1"/>
    <col min="1692" max="1692" width="11.109375" style="571" customWidth="1"/>
    <col min="1693" max="1693" width="2" style="571" customWidth="1"/>
    <col min="1694" max="1694" width="13.5546875" style="571" customWidth="1"/>
    <col min="1695" max="1695" width="12.44140625" style="571" customWidth="1"/>
    <col min="1696" max="1696" width="13.5546875" style="571" customWidth="1"/>
    <col min="1697" max="1697" width="2.109375" style="571" customWidth="1"/>
    <col min="1698" max="1698" width="9.109375" style="571"/>
    <col min="1699" max="1699" width="10.21875" style="571" customWidth="1"/>
    <col min="1700" max="1700" width="1.88671875" style="571" customWidth="1"/>
    <col min="1701" max="1701" width="10.77734375" style="571" customWidth="1"/>
    <col min="1702" max="1702" width="9.109375" style="571"/>
    <col min="1703" max="1703" width="2.109375" style="571" customWidth="1"/>
    <col min="1704" max="1704" width="9.109375" style="571"/>
    <col min="1705" max="1705" width="11.21875" style="571" customWidth="1"/>
    <col min="1706" max="1706" width="12.77734375" style="571" customWidth="1"/>
    <col min="1707" max="1707" width="12.5546875" style="571" customWidth="1"/>
    <col min="1708" max="1708" width="2" style="571" customWidth="1"/>
    <col min="1709" max="1710" width="9.109375" style="571"/>
    <col min="1711" max="1711" width="11" style="571" customWidth="1"/>
    <col min="1712" max="1712" width="9.109375" style="571"/>
    <col min="1713" max="1713" width="2.21875" style="571" customWidth="1"/>
    <col min="1714" max="1714" width="11" style="571" customWidth="1"/>
    <col min="1715" max="1715" width="9.109375" style="571"/>
    <col min="1716" max="1716" width="11.5546875" style="571" customWidth="1"/>
    <col min="1717" max="1717" width="11.21875" style="571" customWidth="1"/>
    <col min="1718" max="1718" width="2.88671875" style="571" customWidth="1"/>
    <col min="1719" max="1720" width="9.109375" style="571"/>
    <col min="1721" max="1721" width="11.21875" style="571" customWidth="1"/>
    <col min="1722" max="1722" width="2.21875" style="571" customWidth="1"/>
    <col min="1723" max="1723" width="9.109375" style="571"/>
    <col min="1724" max="1724" width="10.44140625" style="571" customWidth="1"/>
    <col min="1725" max="1725" width="9.109375" style="571"/>
    <col min="1726" max="1726" width="11.109375" style="571" customWidth="1"/>
    <col min="1727" max="1728" width="9.109375" style="571"/>
    <col min="1729" max="1729" width="10.88671875" style="571" customWidth="1"/>
    <col min="1730" max="1731" width="9.109375" style="571"/>
    <col min="1732" max="1732" width="1.5546875" style="571" customWidth="1"/>
    <col min="1733" max="1733" width="9.77734375" style="571" customWidth="1"/>
    <col min="1734" max="1737" width="9.109375" style="571"/>
    <col min="1738" max="1738" width="1.88671875" style="571" customWidth="1"/>
    <col min="1739" max="1739" width="9.88671875" style="571" customWidth="1"/>
    <col min="1740" max="1740" width="1.5546875" style="571" customWidth="1"/>
    <col min="1741" max="1741" width="11.44140625" style="571" customWidth="1"/>
    <col min="1742" max="1742" width="2.21875" style="571" customWidth="1"/>
    <col min="1743" max="1743" width="12" style="571" customWidth="1"/>
    <col min="1744" max="1744" width="2" style="571" customWidth="1"/>
    <col min="1745" max="1745" width="9.109375" style="571"/>
    <col min="1746" max="1746" width="11.109375" style="571" customWidth="1"/>
    <col min="1747" max="1747" width="12" style="571" customWidth="1"/>
    <col min="1748" max="1748" width="9.109375" style="571"/>
    <col min="1749" max="1749" width="11.88671875" style="571" customWidth="1"/>
    <col min="1750" max="1750" width="14.21875" style="571" customWidth="1"/>
    <col min="1751" max="1754" width="9.109375" style="571"/>
    <col min="1755" max="1755" width="3.44140625" style="571" customWidth="1"/>
    <col min="1756" max="1757" width="9.109375" style="571"/>
    <col min="1758" max="1758" width="11.44140625" style="571" customWidth="1"/>
    <col min="1759" max="1759" width="2.77734375" style="571" customWidth="1"/>
    <col min="1760" max="1942" width="9.109375" style="571"/>
    <col min="1943" max="1943" width="9.5546875" style="571" customWidth="1"/>
    <col min="1944" max="1944" width="11" style="571" customWidth="1"/>
    <col min="1945" max="1946" width="11.21875" style="571" customWidth="1"/>
    <col min="1947" max="1947" width="11.5546875" style="571" customWidth="1"/>
    <col min="1948" max="1948" width="11.109375" style="571" customWidth="1"/>
    <col min="1949" max="1949" width="2" style="571" customWidth="1"/>
    <col min="1950" max="1950" width="13.5546875" style="571" customWidth="1"/>
    <col min="1951" max="1951" width="12.44140625" style="571" customWidth="1"/>
    <col min="1952" max="1952" width="13.5546875" style="571" customWidth="1"/>
    <col min="1953" max="1953" width="2.109375" style="571" customWidth="1"/>
    <col min="1954" max="1954" width="9.109375" style="571"/>
    <col min="1955" max="1955" width="10.21875" style="571" customWidth="1"/>
    <col min="1956" max="1956" width="1.88671875" style="571" customWidth="1"/>
    <col min="1957" max="1957" width="10.77734375" style="571" customWidth="1"/>
    <col min="1958" max="1958" width="9.109375" style="571"/>
    <col min="1959" max="1959" width="2.109375" style="571" customWidth="1"/>
    <col min="1960" max="1960" width="9.109375" style="571"/>
    <col min="1961" max="1961" width="11.21875" style="571" customWidth="1"/>
    <col min="1962" max="1962" width="12.77734375" style="571" customWidth="1"/>
    <col min="1963" max="1963" width="12.5546875" style="571" customWidth="1"/>
    <col min="1964" max="1964" width="2" style="571" customWidth="1"/>
    <col min="1965" max="1966" width="9.109375" style="571"/>
    <col min="1967" max="1967" width="11" style="571" customWidth="1"/>
    <col min="1968" max="1968" width="9.109375" style="571"/>
    <col min="1969" max="1969" width="2.21875" style="571" customWidth="1"/>
    <col min="1970" max="1970" width="11" style="571" customWidth="1"/>
    <col min="1971" max="1971" width="9.109375" style="571"/>
    <col min="1972" max="1972" width="11.5546875" style="571" customWidth="1"/>
    <col min="1973" max="1973" width="11.21875" style="571" customWidth="1"/>
    <col min="1974" max="1974" width="2.88671875" style="571" customWidth="1"/>
    <col min="1975" max="1976" width="9.109375" style="571"/>
    <col min="1977" max="1977" width="11.21875" style="571" customWidth="1"/>
    <col min="1978" max="1978" width="2.21875" style="571" customWidth="1"/>
    <col min="1979" max="1979" width="9.109375" style="571"/>
    <col min="1980" max="1980" width="10.44140625" style="571" customWidth="1"/>
    <col min="1981" max="1981" width="9.109375" style="571"/>
    <col min="1982" max="1982" width="11.109375" style="571" customWidth="1"/>
    <col min="1983" max="1984" width="9.109375" style="571"/>
    <col min="1985" max="1985" width="10.88671875" style="571" customWidth="1"/>
    <col min="1986" max="1987" width="9.109375" style="571"/>
    <col min="1988" max="1988" width="1.5546875" style="571" customWidth="1"/>
    <col min="1989" max="1989" width="9.77734375" style="571" customWidth="1"/>
    <col min="1990" max="1993" width="9.109375" style="571"/>
    <col min="1994" max="1994" width="1.88671875" style="571" customWidth="1"/>
    <col min="1995" max="1995" width="9.88671875" style="571" customWidth="1"/>
    <col min="1996" max="1996" width="1.5546875" style="571" customWidth="1"/>
    <col min="1997" max="1997" width="11.44140625" style="571" customWidth="1"/>
    <col min="1998" max="1998" width="2.21875" style="571" customWidth="1"/>
    <col min="1999" max="1999" width="12" style="571" customWidth="1"/>
    <col min="2000" max="2000" width="2" style="571" customWidth="1"/>
    <col min="2001" max="2001" width="9.109375" style="571"/>
    <col min="2002" max="2002" width="11.109375" style="571" customWidth="1"/>
    <col min="2003" max="2003" width="12" style="571" customWidth="1"/>
    <col min="2004" max="2004" width="9.109375" style="571"/>
    <col min="2005" max="2005" width="11.88671875" style="571" customWidth="1"/>
    <col min="2006" max="2006" width="14.21875" style="571" customWidth="1"/>
    <col min="2007" max="2010" width="9.109375" style="571"/>
    <col min="2011" max="2011" width="3.44140625" style="571" customWidth="1"/>
    <col min="2012" max="2013" width="9.109375" style="571"/>
    <col min="2014" max="2014" width="11.44140625" style="571" customWidth="1"/>
    <col min="2015" max="2015" width="2.77734375" style="571" customWidth="1"/>
    <col min="2016" max="2198" width="9.109375" style="571"/>
    <col min="2199" max="2199" width="9.5546875" style="571" customWidth="1"/>
    <col min="2200" max="2200" width="11" style="571" customWidth="1"/>
    <col min="2201" max="2202" width="11.21875" style="571" customWidth="1"/>
    <col min="2203" max="2203" width="11.5546875" style="571" customWidth="1"/>
    <col min="2204" max="2204" width="11.109375" style="571" customWidth="1"/>
    <col min="2205" max="2205" width="2" style="571" customWidth="1"/>
    <col min="2206" max="2206" width="13.5546875" style="571" customWidth="1"/>
    <col min="2207" max="2207" width="12.44140625" style="571" customWidth="1"/>
    <col min="2208" max="2208" width="13.5546875" style="571" customWidth="1"/>
    <col min="2209" max="2209" width="2.109375" style="571" customWidth="1"/>
    <col min="2210" max="2210" width="9.109375" style="571"/>
    <col min="2211" max="2211" width="10.21875" style="571" customWidth="1"/>
    <col min="2212" max="2212" width="1.88671875" style="571" customWidth="1"/>
    <col min="2213" max="2213" width="10.77734375" style="571" customWidth="1"/>
    <col min="2214" max="2214" width="9.109375" style="571"/>
    <col min="2215" max="2215" width="2.109375" style="571" customWidth="1"/>
    <col min="2216" max="2216" width="9.109375" style="571"/>
    <col min="2217" max="2217" width="11.21875" style="571" customWidth="1"/>
    <col min="2218" max="2218" width="12.77734375" style="571" customWidth="1"/>
    <col min="2219" max="2219" width="12.5546875" style="571" customWidth="1"/>
    <col min="2220" max="2220" width="2" style="571" customWidth="1"/>
    <col min="2221" max="2222" width="9.109375" style="571"/>
    <col min="2223" max="2223" width="11" style="571" customWidth="1"/>
    <col min="2224" max="2224" width="9.109375" style="571"/>
    <col min="2225" max="2225" width="2.21875" style="571" customWidth="1"/>
    <col min="2226" max="2226" width="11" style="571" customWidth="1"/>
    <col min="2227" max="2227" width="9.109375" style="571"/>
    <col min="2228" max="2228" width="11.5546875" style="571" customWidth="1"/>
    <col min="2229" max="2229" width="11.21875" style="571" customWidth="1"/>
    <col min="2230" max="2230" width="2.88671875" style="571" customWidth="1"/>
    <col min="2231" max="2232" width="9.109375" style="571"/>
    <col min="2233" max="2233" width="11.21875" style="571" customWidth="1"/>
    <col min="2234" max="2234" width="2.21875" style="571" customWidth="1"/>
    <col min="2235" max="2235" width="9.109375" style="571"/>
    <col min="2236" max="2236" width="10.44140625" style="571" customWidth="1"/>
    <col min="2237" max="2237" width="9.109375" style="571"/>
    <col min="2238" max="2238" width="11.109375" style="571" customWidth="1"/>
    <col min="2239" max="2240" width="9.109375" style="571"/>
    <col min="2241" max="2241" width="10.88671875" style="571" customWidth="1"/>
    <col min="2242" max="2243" width="9.109375" style="571"/>
    <col min="2244" max="2244" width="1.5546875" style="571" customWidth="1"/>
    <col min="2245" max="2245" width="9.77734375" style="571" customWidth="1"/>
    <col min="2246" max="2249" width="9.109375" style="571"/>
    <col min="2250" max="2250" width="1.88671875" style="571" customWidth="1"/>
    <col min="2251" max="2251" width="9.88671875" style="571" customWidth="1"/>
    <col min="2252" max="2252" width="1.5546875" style="571" customWidth="1"/>
    <col min="2253" max="2253" width="11.44140625" style="571" customWidth="1"/>
    <col min="2254" max="2254" width="2.21875" style="571" customWidth="1"/>
    <col min="2255" max="2255" width="12" style="571" customWidth="1"/>
    <col min="2256" max="2256" width="2" style="571" customWidth="1"/>
    <col min="2257" max="2257" width="9.109375" style="571"/>
    <col min="2258" max="2258" width="11.109375" style="571" customWidth="1"/>
    <col min="2259" max="2259" width="12" style="571" customWidth="1"/>
    <col min="2260" max="2260" width="9.109375" style="571"/>
    <col min="2261" max="2261" width="11.88671875" style="571" customWidth="1"/>
    <col min="2262" max="2262" width="14.21875" style="571" customWidth="1"/>
    <col min="2263" max="2266" width="9.109375" style="571"/>
    <col min="2267" max="2267" width="3.44140625" style="571" customWidth="1"/>
    <col min="2268" max="2269" width="9.109375" style="571"/>
    <col min="2270" max="2270" width="11.44140625" style="571" customWidth="1"/>
    <col min="2271" max="2271" width="2.77734375" style="571" customWidth="1"/>
    <col min="2272" max="2454" width="9.109375" style="571"/>
    <col min="2455" max="2455" width="9.5546875" style="571" customWidth="1"/>
    <col min="2456" max="2456" width="11" style="571" customWidth="1"/>
    <col min="2457" max="2458" width="11.21875" style="571" customWidth="1"/>
    <col min="2459" max="2459" width="11.5546875" style="571" customWidth="1"/>
    <col min="2460" max="2460" width="11.109375" style="571" customWidth="1"/>
    <col min="2461" max="2461" width="2" style="571" customWidth="1"/>
    <col min="2462" max="2462" width="13.5546875" style="571" customWidth="1"/>
    <col min="2463" max="2463" width="12.44140625" style="571" customWidth="1"/>
    <col min="2464" max="2464" width="13.5546875" style="571" customWidth="1"/>
    <col min="2465" max="2465" width="2.109375" style="571" customWidth="1"/>
    <col min="2466" max="2466" width="9.109375" style="571"/>
    <col min="2467" max="2467" width="10.21875" style="571" customWidth="1"/>
    <col min="2468" max="2468" width="1.88671875" style="571" customWidth="1"/>
    <col min="2469" max="2469" width="10.77734375" style="571" customWidth="1"/>
    <col min="2470" max="2470" width="9.109375" style="571"/>
    <col min="2471" max="2471" width="2.109375" style="571" customWidth="1"/>
    <col min="2472" max="2472" width="9.109375" style="571"/>
    <col min="2473" max="2473" width="11.21875" style="571" customWidth="1"/>
    <col min="2474" max="2474" width="12.77734375" style="571" customWidth="1"/>
    <col min="2475" max="2475" width="12.5546875" style="571" customWidth="1"/>
    <col min="2476" max="2476" width="2" style="571" customWidth="1"/>
    <col min="2477" max="2478" width="9.109375" style="571"/>
    <col min="2479" max="2479" width="11" style="571" customWidth="1"/>
    <col min="2480" max="2480" width="9.109375" style="571"/>
    <col min="2481" max="2481" width="2.21875" style="571" customWidth="1"/>
    <col min="2482" max="2482" width="11" style="571" customWidth="1"/>
    <col min="2483" max="2483" width="9.109375" style="571"/>
    <col min="2484" max="2484" width="11.5546875" style="571" customWidth="1"/>
    <col min="2485" max="2485" width="11.21875" style="571" customWidth="1"/>
    <col min="2486" max="2486" width="2.88671875" style="571" customWidth="1"/>
    <col min="2487" max="2488" width="9.109375" style="571"/>
    <col min="2489" max="2489" width="11.21875" style="571" customWidth="1"/>
    <col min="2490" max="2490" width="2.21875" style="571" customWidth="1"/>
    <col min="2491" max="2491" width="9.109375" style="571"/>
    <col min="2492" max="2492" width="10.44140625" style="571" customWidth="1"/>
    <col min="2493" max="2493" width="9.109375" style="571"/>
    <col min="2494" max="2494" width="11.109375" style="571" customWidth="1"/>
    <col min="2495" max="2496" width="9.109375" style="571"/>
    <col min="2497" max="2497" width="10.88671875" style="571" customWidth="1"/>
    <col min="2498" max="2499" width="9.109375" style="571"/>
    <col min="2500" max="2500" width="1.5546875" style="571" customWidth="1"/>
    <col min="2501" max="2501" width="9.77734375" style="571" customWidth="1"/>
    <col min="2502" max="2505" width="9.109375" style="571"/>
    <col min="2506" max="2506" width="1.88671875" style="571" customWidth="1"/>
    <col min="2507" max="2507" width="9.88671875" style="571" customWidth="1"/>
    <col min="2508" max="2508" width="1.5546875" style="571" customWidth="1"/>
    <col min="2509" max="2509" width="11.44140625" style="571" customWidth="1"/>
    <col min="2510" max="2510" width="2.21875" style="571" customWidth="1"/>
    <col min="2511" max="2511" width="12" style="571" customWidth="1"/>
    <col min="2512" max="2512" width="2" style="571" customWidth="1"/>
    <col min="2513" max="2513" width="9.109375" style="571"/>
    <col min="2514" max="2514" width="11.109375" style="571" customWidth="1"/>
    <col min="2515" max="2515" width="12" style="571" customWidth="1"/>
    <col min="2516" max="2516" width="9.109375" style="571"/>
    <col min="2517" max="2517" width="11.88671875" style="571" customWidth="1"/>
    <col min="2518" max="2518" width="14.21875" style="571" customWidth="1"/>
    <col min="2519" max="2522" width="9.109375" style="571"/>
    <col min="2523" max="2523" width="3.44140625" style="571" customWidth="1"/>
    <col min="2524" max="2525" width="9.109375" style="571"/>
    <col min="2526" max="2526" width="11.44140625" style="571" customWidth="1"/>
    <col min="2527" max="2527" width="2.77734375" style="571" customWidth="1"/>
    <col min="2528" max="2710" width="9.109375" style="571"/>
    <col min="2711" max="2711" width="9.5546875" style="571" customWidth="1"/>
    <col min="2712" max="2712" width="11" style="571" customWidth="1"/>
    <col min="2713" max="2714" width="11.21875" style="571" customWidth="1"/>
    <col min="2715" max="2715" width="11.5546875" style="571" customWidth="1"/>
    <col min="2716" max="2716" width="11.109375" style="571" customWidth="1"/>
    <col min="2717" max="2717" width="2" style="571" customWidth="1"/>
    <col min="2718" max="2718" width="13.5546875" style="571" customWidth="1"/>
    <col min="2719" max="2719" width="12.44140625" style="571" customWidth="1"/>
    <col min="2720" max="2720" width="13.5546875" style="571" customWidth="1"/>
    <col min="2721" max="2721" width="2.109375" style="571" customWidth="1"/>
    <col min="2722" max="2722" width="9.109375" style="571"/>
    <col min="2723" max="2723" width="10.21875" style="571" customWidth="1"/>
    <col min="2724" max="2724" width="1.88671875" style="571" customWidth="1"/>
    <col min="2725" max="2725" width="10.77734375" style="571" customWidth="1"/>
    <col min="2726" max="2726" width="9.109375" style="571"/>
    <col min="2727" max="2727" width="2.109375" style="571" customWidth="1"/>
    <col min="2728" max="2728" width="9.109375" style="571"/>
    <col min="2729" max="2729" width="11.21875" style="571" customWidth="1"/>
    <col min="2730" max="2730" width="12.77734375" style="571" customWidth="1"/>
    <col min="2731" max="2731" width="12.5546875" style="571" customWidth="1"/>
    <col min="2732" max="2732" width="2" style="571" customWidth="1"/>
    <col min="2733" max="2734" width="9.109375" style="571"/>
    <col min="2735" max="2735" width="11" style="571" customWidth="1"/>
    <col min="2736" max="2736" width="9.109375" style="571"/>
    <col min="2737" max="2737" width="2.21875" style="571" customWidth="1"/>
    <col min="2738" max="2738" width="11" style="571" customWidth="1"/>
    <col min="2739" max="2739" width="9.109375" style="571"/>
    <col min="2740" max="2740" width="11.5546875" style="571" customWidth="1"/>
    <col min="2741" max="2741" width="11.21875" style="571" customWidth="1"/>
    <col min="2742" max="2742" width="2.88671875" style="571" customWidth="1"/>
    <col min="2743" max="2744" width="9.109375" style="571"/>
    <col min="2745" max="2745" width="11.21875" style="571" customWidth="1"/>
    <col min="2746" max="2746" width="2.21875" style="571" customWidth="1"/>
    <col min="2747" max="2747" width="9.109375" style="571"/>
    <col min="2748" max="2748" width="10.44140625" style="571" customWidth="1"/>
    <col min="2749" max="2749" width="9.109375" style="571"/>
    <col min="2750" max="2750" width="11.109375" style="571" customWidth="1"/>
    <col min="2751" max="2752" width="9.109375" style="571"/>
    <col min="2753" max="2753" width="10.88671875" style="571" customWidth="1"/>
    <col min="2754" max="2755" width="9.109375" style="571"/>
    <col min="2756" max="2756" width="1.5546875" style="571" customWidth="1"/>
    <col min="2757" max="2757" width="9.77734375" style="571" customWidth="1"/>
    <col min="2758" max="2761" width="9.109375" style="571"/>
    <col min="2762" max="2762" width="1.88671875" style="571" customWidth="1"/>
    <col min="2763" max="2763" width="9.88671875" style="571" customWidth="1"/>
    <col min="2764" max="2764" width="1.5546875" style="571" customWidth="1"/>
    <col min="2765" max="2765" width="11.44140625" style="571" customWidth="1"/>
    <col min="2766" max="2766" width="2.21875" style="571" customWidth="1"/>
    <col min="2767" max="2767" width="12" style="571" customWidth="1"/>
    <col min="2768" max="2768" width="2" style="571" customWidth="1"/>
    <col min="2769" max="2769" width="9.109375" style="571"/>
    <col min="2770" max="2770" width="11.109375" style="571" customWidth="1"/>
    <col min="2771" max="2771" width="12" style="571" customWidth="1"/>
    <col min="2772" max="2772" width="9.109375" style="571"/>
    <col min="2773" max="2773" width="11.88671875" style="571" customWidth="1"/>
    <col min="2774" max="2774" width="14.21875" style="571" customWidth="1"/>
    <col min="2775" max="2778" width="9.109375" style="571"/>
    <col min="2779" max="2779" width="3.44140625" style="571" customWidth="1"/>
    <col min="2780" max="2781" width="9.109375" style="571"/>
    <col min="2782" max="2782" width="11.44140625" style="571" customWidth="1"/>
    <col min="2783" max="2783" width="2.77734375" style="571" customWidth="1"/>
    <col min="2784" max="2966" width="9.109375" style="571"/>
    <col min="2967" max="2967" width="9.5546875" style="571" customWidth="1"/>
    <col min="2968" max="2968" width="11" style="571" customWidth="1"/>
    <col min="2969" max="2970" width="11.21875" style="571" customWidth="1"/>
    <col min="2971" max="2971" width="11.5546875" style="571" customWidth="1"/>
    <col min="2972" max="2972" width="11.109375" style="571" customWidth="1"/>
    <col min="2973" max="2973" width="2" style="571" customWidth="1"/>
    <col min="2974" max="2974" width="13.5546875" style="571" customWidth="1"/>
    <col min="2975" max="2975" width="12.44140625" style="571" customWidth="1"/>
    <col min="2976" max="2976" width="13.5546875" style="571" customWidth="1"/>
    <col min="2977" max="2977" width="2.109375" style="571" customWidth="1"/>
    <col min="2978" max="2978" width="9.109375" style="571"/>
    <col min="2979" max="2979" width="10.21875" style="571" customWidth="1"/>
    <col min="2980" max="2980" width="1.88671875" style="571" customWidth="1"/>
    <col min="2981" max="2981" width="10.77734375" style="571" customWidth="1"/>
    <col min="2982" max="2982" width="9.109375" style="571"/>
    <col min="2983" max="2983" width="2.109375" style="571" customWidth="1"/>
    <col min="2984" max="2984" width="9.109375" style="571"/>
    <col min="2985" max="2985" width="11.21875" style="571" customWidth="1"/>
    <col min="2986" max="2986" width="12.77734375" style="571" customWidth="1"/>
    <col min="2987" max="2987" width="12.5546875" style="571" customWidth="1"/>
    <col min="2988" max="2988" width="2" style="571" customWidth="1"/>
    <col min="2989" max="2990" width="9.109375" style="571"/>
    <col min="2991" max="2991" width="11" style="571" customWidth="1"/>
    <col min="2992" max="2992" width="9.109375" style="571"/>
    <col min="2993" max="2993" width="2.21875" style="571" customWidth="1"/>
    <col min="2994" max="2994" width="11" style="571" customWidth="1"/>
    <col min="2995" max="2995" width="9.109375" style="571"/>
    <col min="2996" max="2996" width="11.5546875" style="571" customWidth="1"/>
    <col min="2997" max="2997" width="11.21875" style="571" customWidth="1"/>
    <col min="2998" max="2998" width="2.88671875" style="571" customWidth="1"/>
    <col min="2999" max="3000" width="9.109375" style="571"/>
    <col min="3001" max="3001" width="11.21875" style="571" customWidth="1"/>
    <col min="3002" max="3002" width="2.21875" style="571" customWidth="1"/>
    <col min="3003" max="3003" width="9.109375" style="571"/>
    <col min="3004" max="3004" width="10.44140625" style="571" customWidth="1"/>
    <col min="3005" max="3005" width="9.109375" style="571"/>
    <col min="3006" max="3006" width="11.109375" style="571" customWidth="1"/>
    <col min="3007" max="3008" width="9.109375" style="571"/>
    <col min="3009" max="3009" width="10.88671875" style="571" customWidth="1"/>
    <col min="3010" max="3011" width="9.109375" style="571"/>
    <col min="3012" max="3012" width="1.5546875" style="571" customWidth="1"/>
    <col min="3013" max="3013" width="9.77734375" style="571" customWidth="1"/>
    <col min="3014" max="3017" width="9.109375" style="571"/>
    <col min="3018" max="3018" width="1.88671875" style="571" customWidth="1"/>
    <col min="3019" max="3019" width="9.88671875" style="571" customWidth="1"/>
    <col min="3020" max="3020" width="1.5546875" style="571" customWidth="1"/>
    <col min="3021" max="3021" width="11.44140625" style="571" customWidth="1"/>
    <col min="3022" max="3022" width="2.21875" style="571" customWidth="1"/>
    <col min="3023" max="3023" width="12" style="571" customWidth="1"/>
    <col min="3024" max="3024" width="2" style="571" customWidth="1"/>
    <col min="3025" max="3025" width="9.109375" style="571"/>
    <col min="3026" max="3026" width="11.109375" style="571" customWidth="1"/>
    <col min="3027" max="3027" width="12" style="571" customWidth="1"/>
    <col min="3028" max="3028" width="9.109375" style="571"/>
    <col min="3029" max="3029" width="11.88671875" style="571" customWidth="1"/>
    <col min="3030" max="3030" width="14.21875" style="571" customWidth="1"/>
    <col min="3031" max="3034" width="9.109375" style="571"/>
    <col min="3035" max="3035" width="3.44140625" style="571" customWidth="1"/>
    <col min="3036" max="3037" width="9.109375" style="571"/>
    <col min="3038" max="3038" width="11.44140625" style="571" customWidth="1"/>
    <col min="3039" max="3039" width="2.77734375" style="571" customWidth="1"/>
    <col min="3040" max="3222" width="9.109375" style="571"/>
    <col min="3223" max="3223" width="9.5546875" style="571" customWidth="1"/>
    <col min="3224" max="3224" width="11" style="571" customWidth="1"/>
    <col min="3225" max="3226" width="11.21875" style="571" customWidth="1"/>
    <col min="3227" max="3227" width="11.5546875" style="571" customWidth="1"/>
    <col min="3228" max="3228" width="11.109375" style="571" customWidth="1"/>
    <col min="3229" max="3229" width="2" style="571" customWidth="1"/>
    <col min="3230" max="3230" width="13.5546875" style="571" customWidth="1"/>
    <col min="3231" max="3231" width="12.44140625" style="571" customWidth="1"/>
    <col min="3232" max="3232" width="13.5546875" style="571" customWidth="1"/>
    <col min="3233" max="3233" width="2.109375" style="571" customWidth="1"/>
    <col min="3234" max="3234" width="9.109375" style="571"/>
    <col min="3235" max="3235" width="10.21875" style="571" customWidth="1"/>
    <col min="3236" max="3236" width="1.88671875" style="571" customWidth="1"/>
    <col min="3237" max="3237" width="10.77734375" style="571" customWidth="1"/>
    <col min="3238" max="3238" width="9.109375" style="571"/>
    <col min="3239" max="3239" width="2.109375" style="571" customWidth="1"/>
    <col min="3240" max="3240" width="9.109375" style="571"/>
    <col min="3241" max="3241" width="11.21875" style="571" customWidth="1"/>
    <col min="3242" max="3242" width="12.77734375" style="571" customWidth="1"/>
    <col min="3243" max="3243" width="12.5546875" style="571" customWidth="1"/>
    <col min="3244" max="3244" width="2" style="571" customWidth="1"/>
    <col min="3245" max="3246" width="9.109375" style="571"/>
    <col min="3247" max="3247" width="11" style="571" customWidth="1"/>
    <col min="3248" max="3248" width="9.109375" style="571"/>
    <col min="3249" max="3249" width="2.21875" style="571" customWidth="1"/>
    <col min="3250" max="3250" width="11" style="571" customWidth="1"/>
    <col min="3251" max="3251" width="9.109375" style="571"/>
    <col min="3252" max="3252" width="11.5546875" style="571" customWidth="1"/>
    <col min="3253" max="3253" width="11.21875" style="571" customWidth="1"/>
    <col min="3254" max="3254" width="2.88671875" style="571" customWidth="1"/>
    <col min="3255" max="3256" width="9.109375" style="571"/>
    <col min="3257" max="3257" width="11.21875" style="571" customWidth="1"/>
    <col min="3258" max="3258" width="2.21875" style="571" customWidth="1"/>
    <col min="3259" max="3259" width="9.109375" style="571"/>
    <col min="3260" max="3260" width="10.44140625" style="571" customWidth="1"/>
    <col min="3261" max="3261" width="9.109375" style="571"/>
    <col min="3262" max="3262" width="11.109375" style="571" customWidth="1"/>
    <col min="3263" max="3264" width="9.109375" style="571"/>
    <col min="3265" max="3265" width="10.88671875" style="571" customWidth="1"/>
    <col min="3266" max="3267" width="9.109375" style="571"/>
    <col min="3268" max="3268" width="1.5546875" style="571" customWidth="1"/>
    <col min="3269" max="3269" width="9.77734375" style="571" customWidth="1"/>
    <col min="3270" max="3273" width="9.109375" style="571"/>
    <col min="3274" max="3274" width="1.88671875" style="571" customWidth="1"/>
    <col min="3275" max="3275" width="9.88671875" style="571" customWidth="1"/>
    <col min="3276" max="3276" width="1.5546875" style="571" customWidth="1"/>
    <col min="3277" max="3277" width="11.44140625" style="571" customWidth="1"/>
    <col min="3278" max="3278" width="2.21875" style="571" customWidth="1"/>
    <col min="3279" max="3279" width="12" style="571" customWidth="1"/>
    <col min="3280" max="3280" width="2" style="571" customWidth="1"/>
    <col min="3281" max="3281" width="9.109375" style="571"/>
    <col min="3282" max="3282" width="11.109375" style="571" customWidth="1"/>
    <col min="3283" max="3283" width="12" style="571" customWidth="1"/>
    <col min="3284" max="3284" width="9.109375" style="571"/>
    <col min="3285" max="3285" width="11.88671875" style="571" customWidth="1"/>
    <col min="3286" max="3286" width="14.21875" style="571" customWidth="1"/>
    <col min="3287" max="3290" width="9.109375" style="571"/>
    <col min="3291" max="3291" width="3.44140625" style="571" customWidth="1"/>
    <col min="3292" max="3293" width="9.109375" style="571"/>
    <col min="3294" max="3294" width="11.44140625" style="571" customWidth="1"/>
    <col min="3295" max="3295" width="2.77734375" style="571" customWidth="1"/>
    <col min="3296" max="3478" width="9.109375" style="571"/>
    <col min="3479" max="3479" width="9.5546875" style="571" customWidth="1"/>
    <col min="3480" max="3480" width="11" style="571" customWidth="1"/>
    <col min="3481" max="3482" width="11.21875" style="571" customWidth="1"/>
    <col min="3483" max="3483" width="11.5546875" style="571" customWidth="1"/>
    <col min="3484" max="3484" width="11.109375" style="571" customWidth="1"/>
    <col min="3485" max="3485" width="2" style="571" customWidth="1"/>
    <col min="3486" max="3486" width="13.5546875" style="571" customWidth="1"/>
    <col min="3487" max="3487" width="12.44140625" style="571" customWidth="1"/>
    <col min="3488" max="3488" width="13.5546875" style="571" customWidth="1"/>
    <col min="3489" max="3489" width="2.109375" style="571" customWidth="1"/>
    <col min="3490" max="3490" width="9.109375" style="571"/>
    <col min="3491" max="3491" width="10.21875" style="571" customWidth="1"/>
    <col min="3492" max="3492" width="1.88671875" style="571" customWidth="1"/>
    <col min="3493" max="3493" width="10.77734375" style="571" customWidth="1"/>
    <col min="3494" max="3494" width="9.109375" style="571"/>
    <col min="3495" max="3495" width="2.109375" style="571" customWidth="1"/>
    <col min="3496" max="3496" width="9.109375" style="571"/>
    <col min="3497" max="3497" width="11.21875" style="571" customWidth="1"/>
    <col min="3498" max="3498" width="12.77734375" style="571" customWidth="1"/>
    <col min="3499" max="3499" width="12.5546875" style="571" customWidth="1"/>
    <col min="3500" max="3500" width="2" style="571" customWidth="1"/>
    <col min="3501" max="3502" width="9.109375" style="571"/>
    <col min="3503" max="3503" width="11" style="571" customWidth="1"/>
    <col min="3504" max="3504" width="9.109375" style="571"/>
    <col min="3505" max="3505" width="2.21875" style="571" customWidth="1"/>
    <col min="3506" max="3506" width="11" style="571" customWidth="1"/>
    <col min="3507" max="3507" width="9.109375" style="571"/>
    <col min="3508" max="3508" width="11.5546875" style="571" customWidth="1"/>
    <col min="3509" max="3509" width="11.21875" style="571" customWidth="1"/>
    <col min="3510" max="3510" width="2.88671875" style="571" customWidth="1"/>
    <col min="3511" max="3512" width="9.109375" style="571"/>
    <col min="3513" max="3513" width="11.21875" style="571" customWidth="1"/>
    <col min="3514" max="3514" width="2.21875" style="571" customWidth="1"/>
    <col min="3515" max="3515" width="9.109375" style="571"/>
    <col min="3516" max="3516" width="10.44140625" style="571" customWidth="1"/>
    <col min="3517" max="3517" width="9.109375" style="571"/>
    <col min="3518" max="3518" width="11.109375" style="571" customWidth="1"/>
    <col min="3519" max="3520" width="9.109375" style="571"/>
    <col min="3521" max="3521" width="10.88671875" style="571" customWidth="1"/>
    <col min="3522" max="3523" width="9.109375" style="571"/>
    <col min="3524" max="3524" width="1.5546875" style="571" customWidth="1"/>
    <col min="3525" max="3525" width="9.77734375" style="571" customWidth="1"/>
    <col min="3526" max="3529" width="9.109375" style="571"/>
    <col min="3530" max="3530" width="1.88671875" style="571" customWidth="1"/>
    <col min="3531" max="3531" width="9.88671875" style="571" customWidth="1"/>
    <col min="3532" max="3532" width="1.5546875" style="571" customWidth="1"/>
    <col min="3533" max="3533" width="11.44140625" style="571" customWidth="1"/>
    <col min="3534" max="3534" width="2.21875" style="571" customWidth="1"/>
    <col min="3535" max="3535" width="12" style="571" customWidth="1"/>
    <col min="3536" max="3536" width="2" style="571" customWidth="1"/>
    <col min="3537" max="3537" width="9.109375" style="571"/>
    <col min="3538" max="3538" width="11.109375" style="571" customWidth="1"/>
    <col min="3539" max="3539" width="12" style="571" customWidth="1"/>
    <col min="3540" max="3540" width="9.109375" style="571"/>
    <col min="3541" max="3541" width="11.88671875" style="571" customWidth="1"/>
    <col min="3542" max="3542" width="14.21875" style="571" customWidth="1"/>
    <col min="3543" max="3546" width="9.109375" style="571"/>
    <col min="3547" max="3547" width="3.44140625" style="571" customWidth="1"/>
    <col min="3548" max="3549" width="9.109375" style="571"/>
    <col min="3550" max="3550" width="11.44140625" style="571" customWidth="1"/>
    <col min="3551" max="3551" width="2.77734375" style="571" customWidth="1"/>
    <col min="3552" max="3734" width="9.109375" style="571"/>
    <col min="3735" max="3735" width="9.5546875" style="571" customWidth="1"/>
    <col min="3736" max="3736" width="11" style="571" customWidth="1"/>
    <col min="3737" max="3738" width="11.21875" style="571" customWidth="1"/>
    <col min="3739" max="3739" width="11.5546875" style="571" customWidth="1"/>
    <col min="3740" max="3740" width="11.109375" style="571" customWidth="1"/>
    <col min="3741" max="3741" width="2" style="571" customWidth="1"/>
    <col min="3742" max="3742" width="13.5546875" style="571" customWidth="1"/>
    <col min="3743" max="3743" width="12.44140625" style="571" customWidth="1"/>
    <col min="3744" max="3744" width="13.5546875" style="571" customWidth="1"/>
    <col min="3745" max="3745" width="2.109375" style="571" customWidth="1"/>
    <col min="3746" max="3746" width="9.109375" style="571"/>
    <col min="3747" max="3747" width="10.21875" style="571" customWidth="1"/>
    <col min="3748" max="3748" width="1.88671875" style="571" customWidth="1"/>
    <col min="3749" max="3749" width="10.77734375" style="571" customWidth="1"/>
    <col min="3750" max="3750" width="9.109375" style="571"/>
    <col min="3751" max="3751" width="2.109375" style="571" customWidth="1"/>
    <col min="3752" max="3752" width="9.109375" style="571"/>
    <col min="3753" max="3753" width="11.21875" style="571" customWidth="1"/>
    <col min="3754" max="3754" width="12.77734375" style="571" customWidth="1"/>
    <col min="3755" max="3755" width="12.5546875" style="571" customWidth="1"/>
    <col min="3756" max="3756" width="2" style="571" customWidth="1"/>
    <col min="3757" max="3758" width="9.109375" style="571"/>
    <col min="3759" max="3759" width="11" style="571" customWidth="1"/>
    <col min="3760" max="3760" width="9.109375" style="571"/>
    <col min="3761" max="3761" width="2.21875" style="571" customWidth="1"/>
    <col min="3762" max="3762" width="11" style="571" customWidth="1"/>
    <col min="3763" max="3763" width="9.109375" style="571"/>
    <col min="3764" max="3764" width="11.5546875" style="571" customWidth="1"/>
    <col min="3765" max="3765" width="11.21875" style="571" customWidth="1"/>
    <col min="3766" max="3766" width="2.88671875" style="571" customWidth="1"/>
    <col min="3767" max="3768" width="9.109375" style="571"/>
    <col min="3769" max="3769" width="11.21875" style="571" customWidth="1"/>
    <col min="3770" max="3770" width="2.21875" style="571" customWidth="1"/>
    <col min="3771" max="3771" width="9.109375" style="571"/>
    <col min="3772" max="3772" width="10.44140625" style="571" customWidth="1"/>
    <col min="3773" max="3773" width="9.109375" style="571"/>
    <col min="3774" max="3774" width="11.109375" style="571" customWidth="1"/>
    <col min="3775" max="3776" width="9.109375" style="571"/>
    <col min="3777" max="3777" width="10.88671875" style="571" customWidth="1"/>
    <col min="3778" max="3779" width="9.109375" style="571"/>
    <col min="3780" max="3780" width="1.5546875" style="571" customWidth="1"/>
    <col min="3781" max="3781" width="9.77734375" style="571" customWidth="1"/>
    <col min="3782" max="3785" width="9.109375" style="571"/>
    <col min="3786" max="3786" width="1.88671875" style="571" customWidth="1"/>
    <col min="3787" max="3787" width="9.88671875" style="571" customWidth="1"/>
    <col min="3788" max="3788" width="1.5546875" style="571" customWidth="1"/>
    <col min="3789" max="3789" width="11.44140625" style="571" customWidth="1"/>
    <col min="3790" max="3790" width="2.21875" style="571" customWidth="1"/>
    <col min="3791" max="3791" width="12" style="571" customWidth="1"/>
    <col min="3792" max="3792" width="2" style="571" customWidth="1"/>
    <col min="3793" max="3793" width="9.109375" style="571"/>
    <col min="3794" max="3794" width="11.109375" style="571" customWidth="1"/>
    <col min="3795" max="3795" width="12" style="571" customWidth="1"/>
    <col min="3796" max="3796" width="9.109375" style="571"/>
    <col min="3797" max="3797" width="11.88671875" style="571" customWidth="1"/>
    <col min="3798" max="3798" width="14.21875" style="571" customWidth="1"/>
    <col min="3799" max="3802" width="9.109375" style="571"/>
    <col min="3803" max="3803" width="3.44140625" style="571" customWidth="1"/>
    <col min="3804" max="3805" width="9.109375" style="571"/>
    <col min="3806" max="3806" width="11.44140625" style="571" customWidth="1"/>
    <col min="3807" max="3807" width="2.77734375" style="571" customWidth="1"/>
    <col min="3808" max="3990" width="9.109375" style="571"/>
    <col min="3991" max="3991" width="9.5546875" style="571" customWidth="1"/>
    <col min="3992" max="3992" width="11" style="571" customWidth="1"/>
    <col min="3993" max="3994" width="11.21875" style="571" customWidth="1"/>
    <col min="3995" max="3995" width="11.5546875" style="571" customWidth="1"/>
    <col min="3996" max="3996" width="11.109375" style="571" customWidth="1"/>
    <col min="3997" max="3997" width="2" style="571" customWidth="1"/>
    <col min="3998" max="3998" width="13.5546875" style="571" customWidth="1"/>
    <col min="3999" max="3999" width="12.44140625" style="571" customWidth="1"/>
    <col min="4000" max="4000" width="13.5546875" style="571" customWidth="1"/>
    <col min="4001" max="4001" width="2.109375" style="571" customWidth="1"/>
    <col min="4002" max="4002" width="9.109375" style="571"/>
    <col min="4003" max="4003" width="10.21875" style="571" customWidth="1"/>
    <col min="4004" max="4004" width="1.88671875" style="571" customWidth="1"/>
    <col min="4005" max="4005" width="10.77734375" style="571" customWidth="1"/>
    <col min="4006" max="4006" width="9.109375" style="571"/>
    <col min="4007" max="4007" width="2.109375" style="571" customWidth="1"/>
    <col min="4008" max="4008" width="9.109375" style="571"/>
    <col min="4009" max="4009" width="11.21875" style="571" customWidth="1"/>
    <col min="4010" max="4010" width="12.77734375" style="571" customWidth="1"/>
    <col min="4011" max="4011" width="12.5546875" style="571" customWidth="1"/>
    <col min="4012" max="4012" width="2" style="571" customWidth="1"/>
    <col min="4013" max="4014" width="9.109375" style="571"/>
    <col min="4015" max="4015" width="11" style="571" customWidth="1"/>
    <col min="4016" max="4016" width="9.109375" style="571"/>
    <col min="4017" max="4017" width="2.21875" style="571" customWidth="1"/>
    <col min="4018" max="4018" width="11" style="571" customWidth="1"/>
    <col min="4019" max="4019" width="9.109375" style="571"/>
    <col min="4020" max="4020" width="11.5546875" style="571" customWidth="1"/>
    <col min="4021" max="4021" width="11.21875" style="571" customWidth="1"/>
    <col min="4022" max="4022" width="2.88671875" style="571" customWidth="1"/>
    <col min="4023" max="4024" width="9.109375" style="571"/>
    <col min="4025" max="4025" width="11.21875" style="571" customWidth="1"/>
    <col min="4026" max="4026" width="2.21875" style="571" customWidth="1"/>
    <col min="4027" max="4027" width="9.109375" style="571"/>
    <col min="4028" max="4028" width="10.44140625" style="571" customWidth="1"/>
    <col min="4029" max="4029" width="9.109375" style="571"/>
    <col min="4030" max="4030" width="11.109375" style="571" customWidth="1"/>
    <col min="4031" max="4032" width="9.109375" style="571"/>
    <col min="4033" max="4033" width="10.88671875" style="571" customWidth="1"/>
    <col min="4034" max="4035" width="9.109375" style="571"/>
    <col min="4036" max="4036" width="1.5546875" style="571" customWidth="1"/>
    <col min="4037" max="4037" width="9.77734375" style="571" customWidth="1"/>
    <col min="4038" max="4041" width="9.109375" style="571"/>
    <col min="4042" max="4042" width="1.88671875" style="571" customWidth="1"/>
    <col min="4043" max="4043" width="9.88671875" style="571" customWidth="1"/>
    <col min="4044" max="4044" width="1.5546875" style="571" customWidth="1"/>
    <col min="4045" max="4045" width="11.44140625" style="571" customWidth="1"/>
    <col min="4046" max="4046" width="2.21875" style="571" customWidth="1"/>
    <col min="4047" max="4047" width="12" style="571" customWidth="1"/>
    <col min="4048" max="4048" width="2" style="571" customWidth="1"/>
    <col min="4049" max="4049" width="9.109375" style="571"/>
    <col min="4050" max="4050" width="11.109375" style="571" customWidth="1"/>
    <col min="4051" max="4051" width="12" style="571" customWidth="1"/>
    <col min="4052" max="4052" width="9.109375" style="571"/>
    <col min="4053" max="4053" width="11.88671875" style="571" customWidth="1"/>
    <col min="4054" max="4054" width="14.21875" style="571" customWidth="1"/>
    <col min="4055" max="4058" width="9.109375" style="571"/>
    <col min="4059" max="4059" width="3.44140625" style="571" customWidth="1"/>
    <col min="4060" max="4061" width="9.109375" style="571"/>
    <col min="4062" max="4062" width="11.44140625" style="571" customWidth="1"/>
    <col min="4063" max="4063" width="2.77734375" style="571" customWidth="1"/>
    <col min="4064" max="4246" width="9.109375" style="571"/>
    <col min="4247" max="4247" width="9.5546875" style="571" customWidth="1"/>
    <col min="4248" max="4248" width="11" style="571" customWidth="1"/>
    <col min="4249" max="4250" width="11.21875" style="571" customWidth="1"/>
    <col min="4251" max="4251" width="11.5546875" style="571" customWidth="1"/>
    <col min="4252" max="4252" width="11.109375" style="571" customWidth="1"/>
    <col min="4253" max="4253" width="2" style="571" customWidth="1"/>
    <col min="4254" max="4254" width="13.5546875" style="571" customWidth="1"/>
    <col min="4255" max="4255" width="12.44140625" style="571" customWidth="1"/>
    <col min="4256" max="4256" width="13.5546875" style="571" customWidth="1"/>
    <col min="4257" max="4257" width="2.109375" style="571" customWidth="1"/>
    <col min="4258" max="4258" width="9.109375" style="571"/>
    <col min="4259" max="4259" width="10.21875" style="571" customWidth="1"/>
    <col min="4260" max="4260" width="1.88671875" style="571" customWidth="1"/>
    <col min="4261" max="4261" width="10.77734375" style="571" customWidth="1"/>
    <col min="4262" max="4262" width="9.109375" style="571"/>
    <col min="4263" max="4263" width="2.109375" style="571" customWidth="1"/>
    <col min="4264" max="4264" width="9.109375" style="571"/>
    <col min="4265" max="4265" width="11.21875" style="571" customWidth="1"/>
    <col min="4266" max="4266" width="12.77734375" style="571" customWidth="1"/>
    <col min="4267" max="4267" width="12.5546875" style="571" customWidth="1"/>
    <col min="4268" max="4268" width="2" style="571" customWidth="1"/>
    <col min="4269" max="4270" width="9.109375" style="571"/>
    <col min="4271" max="4271" width="11" style="571" customWidth="1"/>
    <col min="4272" max="4272" width="9.109375" style="571"/>
    <col min="4273" max="4273" width="2.21875" style="571" customWidth="1"/>
    <col min="4274" max="4274" width="11" style="571" customWidth="1"/>
    <col min="4275" max="4275" width="9.109375" style="571"/>
    <col min="4276" max="4276" width="11.5546875" style="571" customWidth="1"/>
    <col min="4277" max="4277" width="11.21875" style="571" customWidth="1"/>
    <col min="4278" max="4278" width="2.88671875" style="571" customWidth="1"/>
    <col min="4279" max="4280" width="9.109375" style="571"/>
    <col min="4281" max="4281" width="11.21875" style="571" customWidth="1"/>
    <col min="4282" max="4282" width="2.21875" style="571" customWidth="1"/>
    <col min="4283" max="4283" width="9.109375" style="571"/>
    <col min="4284" max="4284" width="10.44140625" style="571" customWidth="1"/>
    <col min="4285" max="4285" width="9.109375" style="571"/>
    <col min="4286" max="4286" width="11.109375" style="571" customWidth="1"/>
    <col min="4287" max="4288" width="9.109375" style="571"/>
    <col min="4289" max="4289" width="10.88671875" style="571" customWidth="1"/>
    <col min="4290" max="4291" width="9.109375" style="571"/>
    <col min="4292" max="4292" width="1.5546875" style="571" customWidth="1"/>
    <col min="4293" max="4293" width="9.77734375" style="571" customWidth="1"/>
    <col min="4294" max="4297" width="9.109375" style="571"/>
    <col min="4298" max="4298" width="1.88671875" style="571" customWidth="1"/>
    <col min="4299" max="4299" width="9.88671875" style="571" customWidth="1"/>
    <col min="4300" max="4300" width="1.5546875" style="571" customWidth="1"/>
    <col min="4301" max="4301" width="11.44140625" style="571" customWidth="1"/>
    <col min="4302" max="4302" width="2.21875" style="571" customWidth="1"/>
    <col min="4303" max="4303" width="12" style="571" customWidth="1"/>
    <col min="4304" max="4304" width="2" style="571" customWidth="1"/>
    <col min="4305" max="4305" width="9.109375" style="571"/>
    <col min="4306" max="4306" width="11.109375" style="571" customWidth="1"/>
    <col min="4307" max="4307" width="12" style="571" customWidth="1"/>
    <col min="4308" max="4308" width="9.109375" style="571"/>
    <col min="4309" max="4309" width="11.88671875" style="571" customWidth="1"/>
    <col min="4310" max="4310" width="14.21875" style="571" customWidth="1"/>
    <col min="4311" max="4314" width="9.109375" style="571"/>
    <col min="4315" max="4315" width="3.44140625" style="571" customWidth="1"/>
    <col min="4316" max="4317" width="9.109375" style="571"/>
    <col min="4318" max="4318" width="11.44140625" style="571" customWidth="1"/>
    <col min="4319" max="4319" width="2.77734375" style="571" customWidth="1"/>
    <col min="4320" max="4502" width="9.109375" style="571"/>
    <col min="4503" max="4503" width="9.5546875" style="571" customWidth="1"/>
    <col min="4504" max="4504" width="11" style="571" customWidth="1"/>
    <col min="4505" max="4506" width="11.21875" style="571" customWidth="1"/>
    <col min="4507" max="4507" width="11.5546875" style="571" customWidth="1"/>
    <col min="4508" max="4508" width="11.109375" style="571" customWidth="1"/>
    <col min="4509" max="4509" width="2" style="571" customWidth="1"/>
    <col min="4510" max="4510" width="13.5546875" style="571" customWidth="1"/>
    <col min="4511" max="4511" width="12.44140625" style="571" customWidth="1"/>
    <col min="4512" max="4512" width="13.5546875" style="571" customWidth="1"/>
    <col min="4513" max="4513" width="2.109375" style="571" customWidth="1"/>
    <col min="4514" max="4514" width="9.109375" style="571"/>
    <col min="4515" max="4515" width="10.21875" style="571" customWidth="1"/>
    <col min="4516" max="4516" width="1.88671875" style="571" customWidth="1"/>
    <col min="4517" max="4517" width="10.77734375" style="571" customWidth="1"/>
    <col min="4518" max="4518" width="9.109375" style="571"/>
    <col min="4519" max="4519" width="2.109375" style="571" customWidth="1"/>
    <col min="4520" max="4520" width="9.109375" style="571"/>
    <col min="4521" max="4521" width="11.21875" style="571" customWidth="1"/>
    <col min="4522" max="4522" width="12.77734375" style="571" customWidth="1"/>
    <col min="4523" max="4523" width="12.5546875" style="571" customWidth="1"/>
    <col min="4524" max="4524" width="2" style="571" customWidth="1"/>
    <col min="4525" max="4526" width="9.109375" style="571"/>
    <col min="4527" max="4527" width="11" style="571" customWidth="1"/>
    <col min="4528" max="4528" width="9.109375" style="571"/>
    <col min="4529" max="4529" width="2.21875" style="571" customWidth="1"/>
    <col min="4530" max="4530" width="11" style="571" customWidth="1"/>
    <col min="4531" max="4531" width="9.109375" style="571"/>
    <col min="4532" max="4532" width="11.5546875" style="571" customWidth="1"/>
    <col min="4533" max="4533" width="11.21875" style="571" customWidth="1"/>
    <col min="4534" max="4534" width="2.88671875" style="571" customWidth="1"/>
    <col min="4535" max="4536" width="9.109375" style="571"/>
    <col min="4537" max="4537" width="11.21875" style="571" customWidth="1"/>
    <col min="4538" max="4538" width="2.21875" style="571" customWidth="1"/>
    <col min="4539" max="4539" width="9.109375" style="571"/>
    <col min="4540" max="4540" width="10.44140625" style="571" customWidth="1"/>
    <col min="4541" max="4541" width="9.109375" style="571"/>
    <col min="4542" max="4542" width="11.109375" style="571" customWidth="1"/>
    <col min="4543" max="4544" width="9.109375" style="571"/>
    <col min="4545" max="4545" width="10.88671875" style="571" customWidth="1"/>
    <col min="4546" max="4547" width="9.109375" style="571"/>
    <col min="4548" max="4548" width="1.5546875" style="571" customWidth="1"/>
    <col min="4549" max="4549" width="9.77734375" style="571" customWidth="1"/>
    <col min="4550" max="4553" width="9.109375" style="571"/>
    <col min="4554" max="4554" width="1.88671875" style="571" customWidth="1"/>
    <col min="4555" max="4555" width="9.88671875" style="571" customWidth="1"/>
    <col min="4556" max="4556" width="1.5546875" style="571" customWidth="1"/>
    <col min="4557" max="4557" width="11.44140625" style="571" customWidth="1"/>
    <col min="4558" max="4558" width="2.21875" style="571" customWidth="1"/>
    <col min="4559" max="4559" width="12" style="571" customWidth="1"/>
    <col min="4560" max="4560" width="2" style="571" customWidth="1"/>
    <col min="4561" max="4561" width="9.109375" style="571"/>
    <col min="4562" max="4562" width="11.109375" style="571" customWidth="1"/>
    <col min="4563" max="4563" width="12" style="571" customWidth="1"/>
    <col min="4564" max="4564" width="9.109375" style="571"/>
    <col min="4565" max="4565" width="11.88671875" style="571" customWidth="1"/>
    <col min="4566" max="4566" width="14.21875" style="571" customWidth="1"/>
    <col min="4567" max="4570" width="9.109375" style="571"/>
    <col min="4571" max="4571" width="3.44140625" style="571" customWidth="1"/>
    <col min="4572" max="4573" width="9.109375" style="571"/>
    <col min="4574" max="4574" width="11.44140625" style="571" customWidth="1"/>
    <col min="4575" max="4575" width="2.77734375" style="571" customWidth="1"/>
    <col min="4576" max="4758" width="9.109375" style="571"/>
    <col min="4759" max="4759" width="9.5546875" style="571" customWidth="1"/>
    <col min="4760" max="4760" width="11" style="571" customWidth="1"/>
    <col min="4761" max="4762" width="11.21875" style="571" customWidth="1"/>
    <col min="4763" max="4763" width="11.5546875" style="571" customWidth="1"/>
    <col min="4764" max="4764" width="11.109375" style="571" customWidth="1"/>
    <col min="4765" max="4765" width="2" style="571" customWidth="1"/>
    <col min="4766" max="4766" width="13.5546875" style="571" customWidth="1"/>
    <col min="4767" max="4767" width="12.44140625" style="571" customWidth="1"/>
    <col min="4768" max="4768" width="13.5546875" style="571" customWidth="1"/>
    <col min="4769" max="4769" width="2.109375" style="571" customWidth="1"/>
    <col min="4770" max="4770" width="9.109375" style="571"/>
    <col min="4771" max="4771" width="10.21875" style="571" customWidth="1"/>
    <col min="4772" max="4772" width="1.88671875" style="571" customWidth="1"/>
    <col min="4773" max="4773" width="10.77734375" style="571" customWidth="1"/>
    <col min="4774" max="4774" width="9.109375" style="571"/>
    <col min="4775" max="4775" width="2.109375" style="571" customWidth="1"/>
    <col min="4776" max="4776" width="9.109375" style="571"/>
    <col min="4777" max="4777" width="11.21875" style="571" customWidth="1"/>
    <col min="4778" max="4778" width="12.77734375" style="571" customWidth="1"/>
    <col min="4779" max="4779" width="12.5546875" style="571" customWidth="1"/>
    <col min="4780" max="4780" width="2" style="571" customWidth="1"/>
    <col min="4781" max="4782" width="9.109375" style="571"/>
    <col min="4783" max="4783" width="11" style="571" customWidth="1"/>
    <col min="4784" max="4784" width="9.109375" style="571"/>
    <col min="4785" max="4785" width="2.21875" style="571" customWidth="1"/>
    <col min="4786" max="4786" width="11" style="571" customWidth="1"/>
    <col min="4787" max="4787" width="9.109375" style="571"/>
    <col min="4788" max="4788" width="11.5546875" style="571" customWidth="1"/>
    <col min="4789" max="4789" width="11.21875" style="571" customWidth="1"/>
    <col min="4790" max="4790" width="2.88671875" style="571" customWidth="1"/>
    <col min="4791" max="4792" width="9.109375" style="571"/>
    <col min="4793" max="4793" width="11.21875" style="571" customWidth="1"/>
    <col min="4794" max="4794" width="2.21875" style="571" customWidth="1"/>
    <col min="4795" max="4795" width="9.109375" style="571"/>
    <col min="4796" max="4796" width="10.44140625" style="571" customWidth="1"/>
    <col min="4797" max="4797" width="9.109375" style="571"/>
    <col min="4798" max="4798" width="11.109375" style="571" customWidth="1"/>
    <col min="4799" max="4800" width="9.109375" style="571"/>
    <col min="4801" max="4801" width="10.88671875" style="571" customWidth="1"/>
    <col min="4802" max="4803" width="9.109375" style="571"/>
    <col min="4804" max="4804" width="1.5546875" style="571" customWidth="1"/>
    <col min="4805" max="4805" width="9.77734375" style="571" customWidth="1"/>
    <col min="4806" max="4809" width="9.109375" style="571"/>
    <col min="4810" max="4810" width="1.88671875" style="571" customWidth="1"/>
    <col min="4811" max="4811" width="9.88671875" style="571" customWidth="1"/>
    <col min="4812" max="4812" width="1.5546875" style="571" customWidth="1"/>
    <col min="4813" max="4813" width="11.44140625" style="571" customWidth="1"/>
    <col min="4814" max="4814" width="2.21875" style="571" customWidth="1"/>
    <col min="4815" max="4815" width="12" style="571" customWidth="1"/>
    <col min="4816" max="4816" width="2" style="571" customWidth="1"/>
    <col min="4817" max="4817" width="9.109375" style="571"/>
    <col min="4818" max="4818" width="11.109375" style="571" customWidth="1"/>
    <col min="4819" max="4819" width="12" style="571" customWidth="1"/>
    <col min="4820" max="4820" width="9.109375" style="571"/>
    <col min="4821" max="4821" width="11.88671875" style="571" customWidth="1"/>
    <col min="4822" max="4822" width="14.21875" style="571" customWidth="1"/>
    <col min="4823" max="4826" width="9.109375" style="571"/>
    <col min="4827" max="4827" width="3.44140625" style="571" customWidth="1"/>
    <col min="4828" max="4829" width="9.109375" style="571"/>
    <col min="4830" max="4830" width="11.44140625" style="571" customWidth="1"/>
    <col min="4831" max="4831" width="2.77734375" style="571" customWidth="1"/>
    <col min="4832" max="5014" width="9.109375" style="571"/>
    <col min="5015" max="5015" width="9.5546875" style="571" customWidth="1"/>
    <col min="5016" max="5016" width="11" style="571" customWidth="1"/>
    <col min="5017" max="5018" width="11.21875" style="571" customWidth="1"/>
    <col min="5019" max="5019" width="11.5546875" style="571" customWidth="1"/>
    <col min="5020" max="5020" width="11.109375" style="571" customWidth="1"/>
    <col min="5021" max="5021" width="2" style="571" customWidth="1"/>
    <col min="5022" max="5022" width="13.5546875" style="571" customWidth="1"/>
    <col min="5023" max="5023" width="12.44140625" style="571" customWidth="1"/>
    <col min="5024" max="5024" width="13.5546875" style="571" customWidth="1"/>
    <col min="5025" max="5025" width="2.109375" style="571" customWidth="1"/>
    <col min="5026" max="5026" width="9.109375" style="571"/>
    <col min="5027" max="5027" width="10.21875" style="571" customWidth="1"/>
    <col min="5028" max="5028" width="1.88671875" style="571" customWidth="1"/>
    <col min="5029" max="5029" width="10.77734375" style="571" customWidth="1"/>
    <col min="5030" max="5030" width="9.109375" style="571"/>
    <col min="5031" max="5031" width="2.109375" style="571" customWidth="1"/>
    <col min="5032" max="5032" width="9.109375" style="571"/>
    <col min="5033" max="5033" width="11.21875" style="571" customWidth="1"/>
    <col min="5034" max="5034" width="12.77734375" style="571" customWidth="1"/>
    <col min="5035" max="5035" width="12.5546875" style="571" customWidth="1"/>
    <col min="5036" max="5036" width="2" style="571" customWidth="1"/>
    <col min="5037" max="5038" width="9.109375" style="571"/>
    <col min="5039" max="5039" width="11" style="571" customWidth="1"/>
    <col min="5040" max="5040" width="9.109375" style="571"/>
    <col min="5041" max="5041" width="2.21875" style="571" customWidth="1"/>
    <col min="5042" max="5042" width="11" style="571" customWidth="1"/>
    <col min="5043" max="5043" width="9.109375" style="571"/>
    <col min="5044" max="5044" width="11.5546875" style="571" customWidth="1"/>
    <col min="5045" max="5045" width="11.21875" style="571" customWidth="1"/>
    <col min="5046" max="5046" width="2.88671875" style="571" customWidth="1"/>
    <col min="5047" max="5048" width="9.109375" style="571"/>
    <col min="5049" max="5049" width="11.21875" style="571" customWidth="1"/>
    <col min="5050" max="5050" width="2.21875" style="571" customWidth="1"/>
    <col min="5051" max="5051" width="9.109375" style="571"/>
    <col min="5052" max="5052" width="10.44140625" style="571" customWidth="1"/>
    <col min="5053" max="5053" width="9.109375" style="571"/>
    <col min="5054" max="5054" width="11.109375" style="571" customWidth="1"/>
    <col min="5055" max="5056" width="9.109375" style="571"/>
    <col min="5057" max="5057" width="10.88671875" style="571" customWidth="1"/>
    <col min="5058" max="5059" width="9.109375" style="571"/>
    <col min="5060" max="5060" width="1.5546875" style="571" customWidth="1"/>
    <col min="5061" max="5061" width="9.77734375" style="571" customWidth="1"/>
    <col min="5062" max="5065" width="9.109375" style="571"/>
    <col min="5066" max="5066" width="1.88671875" style="571" customWidth="1"/>
    <col min="5067" max="5067" width="9.88671875" style="571" customWidth="1"/>
    <col min="5068" max="5068" width="1.5546875" style="571" customWidth="1"/>
    <col min="5069" max="5069" width="11.44140625" style="571" customWidth="1"/>
    <col min="5070" max="5070" width="2.21875" style="571" customWidth="1"/>
    <col min="5071" max="5071" width="12" style="571" customWidth="1"/>
    <col min="5072" max="5072" width="2" style="571" customWidth="1"/>
    <col min="5073" max="5073" width="9.109375" style="571"/>
    <col min="5074" max="5074" width="11.109375" style="571" customWidth="1"/>
    <col min="5075" max="5075" width="12" style="571" customWidth="1"/>
    <col min="5076" max="5076" width="9.109375" style="571"/>
    <col min="5077" max="5077" width="11.88671875" style="571" customWidth="1"/>
    <col min="5078" max="5078" width="14.21875" style="571" customWidth="1"/>
    <col min="5079" max="5082" width="9.109375" style="571"/>
    <col min="5083" max="5083" width="3.44140625" style="571" customWidth="1"/>
    <col min="5084" max="5085" width="9.109375" style="571"/>
    <col min="5086" max="5086" width="11.44140625" style="571" customWidth="1"/>
    <col min="5087" max="5087" width="2.77734375" style="571" customWidth="1"/>
    <col min="5088" max="5270" width="9.109375" style="571"/>
    <col min="5271" max="5271" width="9.5546875" style="571" customWidth="1"/>
    <col min="5272" max="5272" width="11" style="571" customWidth="1"/>
    <col min="5273" max="5274" width="11.21875" style="571" customWidth="1"/>
    <col min="5275" max="5275" width="11.5546875" style="571" customWidth="1"/>
    <col min="5276" max="5276" width="11.109375" style="571" customWidth="1"/>
    <col min="5277" max="5277" width="2" style="571" customWidth="1"/>
    <col min="5278" max="5278" width="13.5546875" style="571" customWidth="1"/>
    <col min="5279" max="5279" width="12.44140625" style="571" customWidth="1"/>
    <col min="5280" max="5280" width="13.5546875" style="571" customWidth="1"/>
    <col min="5281" max="5281" width="2.109375" style="571" customWidth="1"/>
    <col min="5282" max="5282" width="9.109375" style="571"/>
    <col min="5283" max="5283" width="10.21875" style="571" customWidth="1"/>
    <col min="5284" max="5284" width="1.88671875" style="571" customWidth="1"/>
    <col min="5285" max="5285" width="10.77734375" style="571" customWidth="1"/>
    <col min="5286" max="5286" width="9.109375" style="571"/>
    <col min="5287" max="5287" width="2.109375" style="571" customWidth="1"/>
    <col min="5288" max="5288" width="9.109375" style="571"/>
    <col min="5289" max="5289" width="11.21875" style="571" customWidth="1"/>
    <col min="5290" max="5290" width="12.77734375" style="571" customWidth="1"/>
    <col min="5291" max="5291" width="12.5546875" style="571" customWidth="1"/>
    <col min="5292" max="5292" width="2" style="571" customWidth="1"/>
    <col min="5293" max="5294" width="9.109375" style="571"/>
    <col min="5295" max="5295" width="11" style="571" customWidth="1"/>
    <col min="5296" max="5296" width="9.109375" style="571"/>
    <col min="5297" max="5297" width="2.21875" style="571" customWidth="1"/>
    <col min="5298" max="5298" width="11" style="571" customWidth="1"/>
    <col min="5299" max="5299" width="9.109375" style="571"/>
    <col min="5300" max="5300" width="11.5546875" style="571" customWidth="1"/>
    <col min="5301" max="5301" width="11.21875" style="571" customWidth="1"/>
    <col min="5302" max="5302" width="2.88671875" style="571" customWidth="1"/>
    <col min="5303" max="5304" width="9.109375" style="571"/>
    <col min="5305" max="5305" width="11.21875" style="571" customWidth="1"/>
    <col min="5306" max="5306" width="2.21875" style="571" customWidth="1"/>
    <col min="5307" max="5307" width="9.109375" style="571"/>
    <col min="5308" max="5308" width="10.44140625" style="571" customWidth="1"/>
    <col min="5309" max="5309" width="9.109375" style="571"/>
    <col min="5310" max="5310" width="11.109375" style="571" customWidth="1"/>
    <col min="5311" max="5312" width="9.109375" style="571"/>
    <col min="5313" max="5313" width="10.88671875" style="571" customWidth="1"/>
    <col min="5314" max="5315" width="9.109375" style="571"/>
    <col min="5316" max="5316" width="1.5546875" style="571" customWidth="1"/>
    <col min="5317" max="5317" width="9.77734375" style="571" customWidth="1"/>
    <col min="5318" max="5321" width="9.109375" style="571"/>
    <col min="5322" max="5322" width="1.88671875" style="571" customWidth="1"/>
    <col min="5323" max="5323" width="9.88671875" style="571" customWidth="1"/>
    <col min="5324" max="5324" width="1.5546875" style="571" customWidth="1"/>
    <col min="5325" max="5325" width="11.44140625" style="571" customWidth="1"/>
    <col min="5326" max="5326" width="2.21875" style="571" customWidth="1"/>
    <col min="5327" max="5327" width="12" style="571" customWidth="1"/>
    <col min="5328" max="5328" width="2" style="571" customWidth="1"/>
    <col min="5329" max="5329" width="9.109375" style="571"/>
    <col min="5330" max="5330" width="11.109375" style="571" customWidth="1"/>
    <col min="5331" max="5331" width="12" style="571" customWidth="1"/>
    <col min="5332" max="5332" width="9.109375" style="571"/>
    <col min="5333" max="5333" width="11.88671875" style="571" customWidth="1"/>
    <col min="5334" max="5334" width="14.21875" style="571" customWidth="1"/>
    <col min="5335" max="5338" width="9.109375" style="571"/>
    <col min="5339" max="5339" width="3.44140625" style="571" customWidth="1"/>
    <col min="5340" max="5341" width="9.109375" style="571"/>
    <col min="5342" max="5342" width="11.44140625" style="571" customWidth="1"/>
    <col min="5343" max="5343" width="2.77734375" style="571" customWidth="1"/>
    <col min="5344" max="5526" width="9.109375" style="571"/>
    <col min="5527" max="5527" width="9.5546875" style="571" customWidth="1"/>
    <col min="5528" max="5528" width="11" style="571" customWidth="1"/>
    <col min="5529" max="5530" width="11.21875" style="571" customWidth="1"/>
    <col min="5531" max="5531" width="11.5546875" style="571" customWidth="1"/>
    <col min="5532" max="5532" width="11.109375" style="571" customWidth="1"/>
    <col min="5533" max="5533" width="2" style="571" customWidth="1"/>
    <col min="5534" max="5534" width="13.5546875" style="571" customWidth="1"/>
    <col min="5535" max="5535" width="12.44140625" style="571" customWidth="1"/>
    <col min="5536" max="5536" width="13.5546875" style="571" customWidth="1"/>
    <col min="5537" max="5537" width="2.109375" style="571" customWidth="1"/>
    <col min="5538" max="5538" width="9.109375" style="571"/>
    <col min="5539" max="5539" width="10.21875" style="571" customWidth="1"/>
    <col min="5540" max="5540" width="1.88671875" style="571" customWidth="1"/>
    <col min="5541" max="5541" width="10.77734375" style="571" customWidth="1"/>
    <col min="5542" max="5542" width="9.109375" style="571"/>
    <col min="5543" max="5543" width="2.109375" style="571" customWidth="1"/>
    <col min="5544" max="5544" width="9.109375" style="571"/>
    <col min="5545" max="5545" width="11.21875" style="571" customWidth="1"/>
    <col min="5546" max="5546" width="12.77734375" style="571" customWidth="1"/>
    <col min="5547" max="5547" width="12.5546875" style="571" customWidth="1"/>
    <col min="5548" max="5548" width="2" style="571" customWidth="1"/>
    <col min="5549" max="5550" width="9.109375" style="571"/>
    <col min="5551" max="5551" width="11" style="571" customWidth="1"/>
    <col min="5552" max="5552" width="9.109375" style="571"/>
    <col min="5553" max="5553" width="2.21875" style="571" customWidth="1"/>
    <col min="5554" max="5554" width="11" style="571" customWidth="1"/>
    <col min="5555" max="5555" width="9.109375" style="571"/>
    <col min="5556" max="5556" width="11.5546875" style="571" customWidth="1"/>
    <col min="5557" max="5557" width="11.21875" style="571" customWidth="1"/>
    <col min="5558" max="5558" width="2.88671875" style="571" customWidth="1"/>
    <col min="5559" max="5560" width="9.109375" style="571"/>
    <col min="5561" max="5561" width="11.21875" style="571" customWidth="1"/>
    <col min="5562" max="5562" width="2.21875" style="571" customWidth="1"/>
    <col min="5563" max="5563" width="9.109375" style="571"/>
    <col min="5564" max="5564" width="10.44140625" style="571" customWidth="1"/>
    <col min="5565" max="5565" width="9.109375" style="571"/>
    <col min="5566" max="5566" width="11.109375" style="571" customWidth="1"/>
    <col min="5567" max="5568" width="9.109375" style="571"/>
    <col min="5569" max="5569" width="10.88671875" style="571" customWidth="1"/>
    <col min="5570" max="5571" width="9.109375" style="571"/>
    <col min="5572" max="5572" width="1.5546875" style="571" customWidth="1"/>
    <col min="5573" max="5573" width="9.77734375" style="571" customWidth="1"/>
    <col min="5574" max="5577" width="9.109375" style="571"/>
    <col min="5578" max="5578" width="1.88671875" style="571" customWidth="1"/>
    <col min="5579" max="5579" width="9.88671875" style="571" customWidth="1"/>
    <col min="5580" max="5580" width="1.5546875" style="571" customWidth="1"/>
    <col min="5581" max="5581" width="11.44140625" style="571" customWidth="1"/>
    <col min="5582" max="5582" width="2.21875" style="571" customWidth="1"/>
    <col min="5583" max="5583" width="12" style="571" customWidth="1"/>
    <col min="5584" max="5584" width="2" style="571" customWidth="1"/>
    <col min="5585" max="5585" width="9.109375" style="571"/>
    <col min="5586" max="5586" width="11.109375" style="571" customWidth="1"/>
    <col min="5587" max="5587" width="12" style="571" customWidth="1"/>
    <col min="5588" max="5588" width="9.109375" style="571"/>
    <col min="5589" max="5589" width="11.88671875" style="571" customWidth="1"/>
    <col min="5590" max="5590" width="14.21875" style="571" customWidth="1"/>
    <col min="5591" max="5594" width="9.109375" style="571"/>
    <col min="5595" max="5595" width="3.44140625" style="571" customWidth="1"/>
    <col min="5596" max="5597" width="9.109375" style="571"/>
    <col min="5598" max="5598" width="11.44140625" style="571" customWidth="1"/>
    <col min="5599" max="5599" width="2.77734375" style="571" customWidth="1"/>
    <col min="5600" max="5782" width="9.109375" style="571"/>
    <col min="5783" max="5783" width="9.5546875" style="571" customWidth="1"/>
    <col min="5784" max="5784" width="11" style="571" customWidth="1"/>
    <col min="5785" max="5786" width="11.21875" style="571" customWidth="1"/>
    <col min="5787" max="5787" width="11.5546875" style="571" customWidth="1"/>
    <col min="5788" max="5788" width="11.109375" style="571" customWidth="1"/>
    <col min="5789" max="5789" width="2" style="571" customWidth="1"/>
    <col min="5790" max="5790" width="13.5546875" style="571" customWidth="1"/>
    <col min="5791" max="5791" width="12.44140625" style="571" customWidth="1"/>
    <col min="5792" max="5792" width="13.5546875" style="571" customWidth="1"/>
    <col min="5793" max="5793" width="2.109375" style="571" customWidth="1"/>
    <col min="5794" max="5794" width="9.109375" style="571"/>
    <col min="5795" max="5795" width="10.21875" style="571" customWidth="1"/>
    <col min="5796" max="5796" width="1.88671875" style="571" customWidth="1"/>
    <col min="5797" max="5797" width="10.77734375" style="571" customWidth="1"/>
    <col min="5798" max="5798" width="9.109375" style="571"/>
    <col min="5799" max="5799" width="2.109375" style="571" customWidth="1"/>
    <col min="5800" max="5800" width="9.109375" style="571"/>
    <col min="5801" max="5801" width="11.21875" style="571" customWidth="1"/>
    <col min="5802" max="5802" width="12.77734375" style="571" customWidth="1"/>
    <col min="5803" max="5803" width="12.5546875" style="571" customWidth="1"/>
    <col min="5804" max="5804" width="2" style="571" customWidth="1"/>
    <col min="5805" max="5806" width="9.109375" style="571"/>
    <col min="5807" max="5807" width="11" style="571" customWidth="1"/>
    <col min="5808" max="5808" width="9.109375" style="571"/>
    <col min="5809" max="5809" width="2.21875" style="571" customWidth="1"/>
    <col min="5810" max="5810" width="11" style="571" customWidth="1"/>
    <col min="5811" max="5811" width="9.109375" style="571"/>
    <col min="5812" max="5812" width="11.5546875" style="571" customWidth="1"/>
    <col min="5813" max="5813" width="11.21875" style="571" customWidth="1"/>
    <col min="5814" max="5814" width="2.88671875" style="571" customWidth="1"/>
    <col min="5815" max="5816" width="9.109375" style="571"/>
    <col min="5817" max="5817" width="11.21875" style="571" customWidth="1"/>
    <col min="5818" max="5818" width="2.21875" style="571" customWidth="1"/>
    <col min="5819" max="5819" width="9.109375" style="571"/>
    <col min="5820" max="5820" width="10.44140625" style="571" customWidth="1"/>
    <col min="5821" max="5821" width="9.109375" style="571"/>
    <col min="5822" max="5822" width="11.109375" style="571" customWidth="1"/>
    <col min="5823" max="5824" width="9.109375" style="571"/>
    <col min="5825" max="5825" width="10.88671875" style="571" customWidth="1"/>
    <col min="5826" max="5827" width="9.109375" style="571"/>
    <col min="5828" max="5828" width="1.5546875" style="571" customWidth="1"/>
    <col min="5829" max="5829" width="9.77734375" style="571" customWidth="1"/>
    <col min="5830" max="5833" width="9.109375" style="571"/>
    <col min="5834" max="5834" width="1.88671875" style="571" customWidth="1"/>
    <col min="5835" max="5835" width="9.88671875" style="571" customWidth="1"/>
    <col min="5836" max="5836" width="1.5546875" style="571" customWidth="1"/>
    <col min="5837" max="5837" width="11.44140625" style="571" customWidth="1"/>
    <col min="5838" max="5838" width="2.21875" style="571" customWidth="1"/>
    <col min="5839" max="5839" width="12" style="571" customWidth="1"/>
    <col min="5840" max="5840" width="2" style="571" customWidth="1"/>
    <col min="5841" max="5841" width="9.109375" style="571"/>
    <col min="5842" max="5842" width="11.109375" style="571" customWidth="1"/>
    <col min="5843" max="5843" width="12" style="571" customWidth="1"/>
    <col min="5844" max="5844" width="9.109375" style="571"/>
    <col min="5845" max="5845" width="11.88671875" style="571" customWidth="1"/>
    <col min="5846" max="5846" width="14.21875" style="571" customWidth="1"/>
    <col min="5847" max="5850" width="9.109375" style="571"/>
    <col min="5851" max="5851" width="3.44140625" style="571" customWidth="1"/>
    <col min="5852" max="5853" width="9.109375" style="571"/>
    <col min="5854" max="5854" width="11.44140625" style="571" customWidth="1"/>
    <col min="5855" max="5855" width="2.77734375" style="571" customWidth="1"/>
    <col min="5856" max="6038" width="9.109375" style="571"/>
    <col min="6039" max="6039" width="9.5546875" style="571" customWidth="1"/>
    <col min="6040" max="6040" width="11" style="571" customWidth="1"/>
    <col min="6041" max="6042" width="11.21875" style="571" customWidth="1"/>
    <col min="6043" max="6043" width="11.5546875" style="571" customWidth="1"/>
    <col min="6044" max="6044" width="11.109375" style="571" customWidth="1"/>
    <col min="6045" max="6045" width="2" style="571" customWidth="1"/>
    <col min="6046" max="6046" width="13.5546875" style="571" customWidth="1"/>
    <col min="6047" max="6047" width="12.44140625" style="571" customWidth="1"/>
    <col min="6048" max="6048" width="13.5546875" style="571" customWidth="1"/>
    <col min="6049" max="6049" width="2.109375" style="571" customWidth="1"/>
    <col min="6050" max="6050" width="9.109375" style="571"/>
    <col min="6051" max="6051" width="10.21875" style="571" customWidth="1"/>
    <col min="6052" max="6052" width="1.88671875" style="571" customWidth="1"/>
    <col min="6053" max="6053" width="10.77734375" style="571" customWidth="1"/>
    <col min="6054" max="6054" width="9.109375" style="571"/>
    <col min="6055" max="6055" width="2.109375" style="571" customWidth="1"/>
    <col min="6056" max="6056" width="9.109375" style="571"/>
    <col min="6057" max="6057" width="11.21875" style="571" customWidth="1"/>
    <col min="6058" max="6058" width="12.77734375" style="571" customWidth="1"/>
    <col min="6059" max="6059" width="12.5546875" style="571" customWidth="1"/>
    <col min="6060" max="6060" width="2" style="571" customWidth="1"/>
    <col min="6061" max="6062" width="9.109375" style="571"/>
    <col min="6063" max="6063" width="11" style="571" customWidth="1"/>
    <col min="6064" max="6064" width="9.109375" style="571"/>
    <col min="6065" max="6065" width="2.21875" style="571" customWidth="1"/>
    <col min="6066" max="6066" width="11" style="571" customWidth="1"/>
    <col min="6067" max="6067" width="9.109375" style="571"/>
    <col min="6068" max="6068" width="11.5546875" style="571" customWidth="1"/>
    <col min="6069" max="6069" width="11.21875" style="571" customWidth="1"/>
    <col min="6070" max="6070" width="2.88671875" style="571" customWidth="1"/>
    <col min="6071" max="6072" width="9.109375" style="571"/>
    <col min="6073" max="6073" width="11.21875" style="571" customWidth="1"/>
    <col min="6074" max="6074" width="2.21875" style="571" customWidth="1"/>
    <col min="6075" max="6075" width="9.109375" style="571"/>
    <col min="6076" max="6076" width="10.44140625" style="571" customWidth="1"/>
    <col min="6077" max="6077" width="9.109375" style="571"/>
    <col min="6078" max="6078" width="11.109375" style="571" customWidth="1"/>
    <col min="6079" max="6080" width="9.109375" style="571"/>
    <col min="6081" max="6081" width="10.88671875" style="571" customWidth="1"/>
    <col min="6082" max="6083" width="9.109375" style="571"/>
    <col min="6084" max="6084" width="1.5546875" style="571" customWidth="1"/>
    <col min="6085" max="6085" width="9.77734375" style="571" customWidth="1"/>
    <col min="6086" max="6089" width="9.109375" style="571"/>
    <col min="6090" max="6090" width="1.88671875" style="571" customWidth="1"/>
    <col min="6091" max="6091" width="9.88671875" style="571" customWidth="1"/>
    <col min="6092" max="6092" width="1.5546875" style="571" customWidth="1"/>
    <col min="6093" max="6093" width="11.44140625" style="571" customWidth="1"/>
    <col min="6094" max="6094" width="2.21875" style="571" customWidth="1"/>
    <col min="6095" max="6095" width="12" style="571" customWidth="1"/>
    <col min="6096" max="6096" width="2" style="571" customWidth="1"/>
    <col min="6097" max="6097" width="9.109375" style="571"/>
    <col min="6098" max="6098" width="11.109375" style="571" customWidth="1"/>
    <col min="6099" max="6099" width="12" style="571" customWidth="1"/>
    <col min="6100" max="6100" width="9.109375" style="571"/>
    <col min="6101" max="6101" width="11.88671875" style="571" customWidth="1"/>
    <col min="6102" max="6102" width="14.21875" style="571" customWidth="1"/>
    <col min="6103" max="6106" width="9.109375" style="571"/>
    <col min="6107" max="6107" width="3.44140625" style="571" customWidth="1"/>
    <col min="6108" max="6109" width="9.109375" style="571"/>
    <col min="6110" max="6110" width="11.44140625" style="571" customWidth="1"/>
    <col min="6111" max="6111" width="2.77734375" style="571" customWidth="1"/>
    <col min="6112" max="6294" width="9.109375" style="571"/>
    <col min="6295" max="6295" width="9.5546875" style="571" customWidth="1"/>
    <col min="6296" max="6296" width="11" style="571" customWidth="1"/>
    <col min="6297" max="6298" width="11.21875" style="571" customWidth="1"/>
    <col min="6299" max="6299" width="11.5546875" style="571" customWidth="1"/>
    <col min="6300" max="6300" width="11.109375" style="571" customWidth="1"/>
    <col min="6301" max="6301" width="2" style="571" customWidth="1"/>
    <col min="6302" max="6302" width="13.5546875" style="571" customWidth="1"/>
    <col min="6303" max="6303" width="12.44140625" style="571" customWidth="1"/>
    <col min="6304" max="6304" width="13.5546875" style="571" customWidth="1"/>
    <col min="6305" max="6305" width="2.109375" style="571" customWidth="1"/>
    <col min="6306" max="6306" width="9.109375" style="571"/>
    <col min="6307" max="6307" width="10.21875" style="571" customWidth="1"/>
    <col min="6308" max="6308" width="1.88671875" style="571" customWidth="1"/>
    <col min="6309" max="6309" width="10.77734375" style="571" customWidth="1"/>
    <col min="6310" max="6310" width="9.109375" style="571"/>
    <col min="6311" max="6311" width="2.109375" style="571" customWidth="1"/>
    <col min="6312" max="6312" width="9.109375" style="571"/>
    <col min="6313" max="6313" width="11.21875" style="571" customWidth="1"/>
    <col min="6314" max="6314" width="12.77734375" style="571" customWidth="1"/>
    <col min="6315" max="6315" width="12.5546875" style="571" customWidth="1"/>
    <col min="6316" max="6316" width="2" style="571" customWidth="1"/>
    <col min="6317" max="6318" width="9.109375" style="571"/>
    <col min="6319" max="6319" width="11" style="571" customWidth="1"/>
    <col min="6320" max="6320" width="9.109375" style="571"/>
    <col min="6321" max="6321" width="2.21875" style="571" customWidth="1"/>
    <col min="6322" max="6322" width="11" style="571" customWidth="1"/>
    <col min="6323" max="6323" width="9.109375" style="571"/>
    <col min="6324" max="6324" width="11.5546875" style="571" customWidth="1"/>
    <col min="6325" max="6325" width="11.21875" style="571" customWidth="1"/>
    <col min="6326" max="6326" width="2.88671875" style="571" customWidth="1"/>
    <col min="6327" max="6328" width="9.109375" style="571"/>
    <col min="6329" max="6329" width="11.21875" style="571" customWidth="1"/>
    <col min="6330" max="6330" width="2.21875" style="571" customWidth="1"/>
    <col min="6331" max="6331" width="9.109375" style="571"/>
    <col min="6332" max="6332" width="10.44140625" style="571" customWidth="1"/>
    <col min="6333" max="6333" width="9.109375" style="571"/>
    <col min="6334" max="6334" width="11.109375" style="571" customWidth="1"/>
    <col min="6335" max="6336" width="9.109375" style="571"/>
    <col min="6337" max="6337" width="10.88671875" style="571" customWidth="1"/>
    <col min="6338" max="6339" width="9.109375" style="571"/>
    <col min="6340" max="6340" width="1.5546875" style="571" customWidth="1"/>
    <col min="6341" max="6341" width="9.77734375" style="571" customWidth="1"/>
    <col min="6342" max="6345" width="9.109375" style="571"/>
    <col min="6346" max="6346" width="1.88671875" style="571" customWidth="1"/>
    <col min="6347" max="6347" width="9.88671875" style="571" customWidth="1"/>
    <col min="6348" max="6348" width="1.5546875" style="571" customWidth="1"/>
    <col min="6349" max="6349" width="11.44140625" style="571" customWidth="1"/>
    <col min="6350" max="6350" width="2.21875" style="571" customWidth="1"/>
    <col min="6351" max="6351" width="12" style="571" customWidth="1"/>
    <col min="6352" max="6352" width="2" style="571" customWidth="1"/>
    <col min="6353" max="6353" width="9.109375" style="571"/>
    <col min="6354" max="6354" width="11.109375" style="571" customWidth="1"/>
    <col min="6355" max="6355" width="12" style="571" customWidth="1"/>
    <col min="6356" max="6356" width="9.109375" style="571"/>
    <col min="6357" max="6357" width="11.88671875" style="571" customWidth="1"/>
    <col min="6358" max="6358" width="14.21875" style="571" customWidth="1"/>
    <col min="6359" max="6362" width="9.109375" style="571"/>
    <col min="6363" max="6363" width="3.44140625" style="571" customWidth="1"/>
    <col min="6364" max="6365" width="9.109375" style="571"/>
    <col min="6366" max="6366" width="11.44140625" style="571" customWidth="1"/>
    <col min="6367" max="6367" width="2.77734375" style="571" customWidth="1"/>
    <col min="6368" max="6550" width="9.109375" style="571"/>
    <col min="6551" max="6551" width="9.5546875" style="571" customWidth="1"/>
    <col min="6552" max="6552" width="11" style="571" customWidth="1"/>
    <col min="6553" max="6554" width="11.21875" style="571" customWidth="1"/>
    <col min="6555" max="6555" width="11.5546875" style="571" customWidth="1"/>
    <col min="6556" max="6556" width="11.109375" style="571" customWidth="1"/>
    <col min="6557" max="6557" width="2" style="571" customWidth="1"/>
    <col min="6558" max="6558" width="13.5546875" style="571" customWidth="1"/>
    <col min="6559" max="6559" width="12.44140625" style="571" customWidth="1"/>
    <col min="6560" max="6560" width="13.5546875" style="571" customWidth="1"/>
    <col min="6561" max="6561" width="2.109375" style="571" customWidth="1"/>
    <col min="6562" max="6562" width="9.109375" style="571"/>
    <col min="6563" max="6563" width="10.21875" style="571" customWidth="1"/>
    <col min="6564" max="6564" width="1.88671875" style="571" customWidth="1"/>
    <col min="6565" max="6565" width="10.77734375" style="571" customWidth="1"/>
    <col min="6566" max="6566" width="9.109375" style="571"/>
    <col min="6567" max="6567" width="2.109375" style="571" customWidth="1"/>
    <col min="6568" max="6568" width="9.109375" style="571"/>
    <col min="6569" max="6569" width="11.21875" style="571" customWidth="1"/>
    <col min="6570" max="6570" width="12.77734375" style="571" customWidth="1"/>
    <col min="6571" max="6571" width="12.5546875" style="571" customWidth="1"/>
    <col min="6572" max="6572" width="2" style="571" customWidth="1"/>
    <col min="6573" max="6574" width="9.109375" style="571"/>
    <col min="6575" max="6575" width="11" style="571" customWidth="1"/>
    <col min="6576" max="6576" width="9.109375" style="571"/>
    <col min="6577" max="6577" width="2.21875" style="571" customWidth="1"/>
    <col min="6578" max="6578" width="11" style="571" customWidth="1"/>
    <col min="6579" max="6579" width="9.109375" style="571"/>
    <col min="6580" max="6580" width="11.5546875" style="571" customWidth="1"/>
    <col min="6581" max="6581" width="11.21875" style="571" customWidth="1"/>
    <col min="6582" max="6582" width="2.88671875" style="571" customWidth="1"/>
    <col min="6583" max="6584" width="9.109375" style="571"/>
    <col min="6585" max="6585" width="11.21875" style="571" customWidth="1"/>
    <col min="6586" max="6586" width="2.21875" style="571" customWidth="1"/>
    <col min="6587" max="6587" width="9.109375" style="571"/>
    <col min="6588" max="6588" width="10.44140625" style="571" customWidth="1"/>
    <col min="6589" max="6589" width="9.109375" style="571"/>
    <col min="6590" max="6590" width="11.109375" style="571" customWidth="1"/>
    <col min="6591" max="6592" width="9.109375" style="571"/>
    <col min="6593" max="6593" width="10.88671875" style="571" customWidth="1"/>
    <col min="6594" max="6595" width="9.109375" style="571"/>
    <col min="6596" max="6596" width="1.5546875" style="571" customWidth="1"/>
    <col min="6597" max="6597" width="9.77734375" style="571" customWidth="1"/>
    <col min="6598" max="6601" width="9.109375" style="571"/>
    <col min="6602" max="6602" width="1.88671875" style="571" customWidth="1"/>
    <col min="6603" max="6603" width="9.88671875" style="571" customWidth="1"/>
    <col min="6604" max="6604" width="1.5546875" style="571" customWidth="1"/>
    <col min="6605" max="6605" width="11.44140625" style="571" customWidth="1"/>
    <col min="6606" max="6606" width="2.21875" style="571" customWidth="1"/>
    <col min="6607" max="6607" width="12" style="571" customWidth="1"/>
    <col min="6608" max="6608" width="2" style="571" customWidth="1"/>
    <col min="6609" max="6609" width="9.109375" style="571"/>
    <col min="6610" max="6610" width="11.109375" style="571" customWidth="1"/>
    <col min="6611" max="6611" width="12" style="571" customWidth="1"/>
    <col min="6612" max="6612" width="9.109375" style="571"/>
    <col min="6613" max="6613" width="11.88671875" style="571" customWidth="1"/>
    <col min="6614" max="6614" width="14.21875" style="571" customWidth="1"/>
    <col min="6615" max="6618" width="9.109375" style="571"/>
    <col min="6619" max="6619" width="3.44140625" style="571" customWidth="1"/>
    <col min="6620" max="6621" width="9.109375" style="571"/>
    <col min="6622" max="6622" width="11.44140625" style="571" customWidth="1"/>
    <col min="6623" max="6623" width="2.77734375" style="571" customWidth="1"/>
    <col min="6624" max="6806" width="9.109375" style="571"/>
    <col min="6807" max="6807" width="9.5546875" style="571" customWidth="1"/>
    <col min="6808" max="6808" width="11" style="571" customWidth="1"/>
    <col min="6809" max="6810" width="11.21875" style="571" customWidth="1"/>
    <col min="6811" max="6811" width="11.5546875" style="571" customWidth="1"/>
    <col min="6812" max="6812" width="11.109375" style="571" customWidth="1"/>
    <col min="6813" max="6813" width="2" style="571" customWidth="1"/>
    <col min="6814" max="6814" width="13.5546875" style="571" customWidth="1"/>
    <col min="6815" max="6815" width="12.44140625" style="571" customWidth="1"/>
    <col min="6816" max="6816" width="13.5546875" style="571" customWidth="1"/>
    <col min="6817" max="6817" width="2.109375" style="571" customWidth="1"/>
    <col min="6818" max="6818" width="9.109375" style="571"/>
    <col min="6819" max="6819" width="10.21875" style="571" customWidth="1"/>
    <col min="6820" max="6820" width="1.88671875" style="571" customWidth="1"/>
    <col min="6821" max="6821" width="10.77734375" style="571" customWidth="1"/>
    <col min="6822" max="6822" width="9.109375" style="571"/>
    <col min="6823" max="6823" width="2.109375" style="571" customWidth="1"/>
    <col min="6824" max="6824" width="9.109375" style="571"/>
    <col min="6825" max="6825" width="11.21875" style="571" customWidth="1"/>
    <col min="6826" max="6826" width="12.77734375" style="571" customWidth="1"/>
    <col min="6827" max="6827" width="12.5546875" style="571" customWidth="1"/>
    <col min="6828" max="6828" width="2" style="571" customWidth="1"/>
    <col min="6829" max="6830" width="9.109375" style="571"/>
    <col min="6831" max="6831" width="11" style="571" customWidth="1"/>
    <col min="6832" max="6832" width="9.109375" style="571"/>
    <col min="6833" max="6833" width="2.21875" style="571" customWidth="1"/>
    <col min="6834" max="6834" width="11" style="571" customWidth="1"/>
    <col min="6835" max="6835" width="9.109375" style="571"/>
    <col min="6836" max="6836" width="11.5546875" style="571" customWidth="1"/>
    <col min="6837" max="6837" width="11.21875" style="571" customWidth="1"/>
    <col min="6838" max="6838" width="2.88671875" style="571" customWidth="1"/>
    <col min="6839" max="6840" width="9.109375" style="571"/>
    <col min="6841" max="6841" width="11.21875" style="571" customWidth="1"/>
    <col min="6842" max="6842" width="2.21875" style="571" customWidth="1"/>
    <col min="6843" max="6843" width="9.109375" style="571"/>
    <col min="6844" max="6844" width="10.44140625" style="571" customWidth="1"/>
    <col min="6845" max="6845" width="9.109375" style="571"/>
    <col min="6846" max="6846" width="11.109375" style="571" customWidth="1"/>
    <col min="6847" max="6848" width="9.109375" style="571"/>
    <col min="6849" max="6849" width="10.88671875" style="571" customWidth="1"/>
    <col min="6850" max="6851" width="9.109375" style="571"/>
    <col min="6852" max="6852" width="1.5546875" style="571" customWidth="1"/>
    <col min="6853" max="6853" width="9.77734375" style="571" customWidth="1"/>
    <col min="6854" max="6857" width="9.109375" style="571"/>
    <col min="6858" max="6858" width="1.88671875" style="571" customWidth="1"/>
    <col min="6859" max="6859" width="9.88671875" style="571" customWidth="1"/>
    <col min="6860" max="6860" width="1.5546875" style="571" customWidth="1"/>
    <col min="6861" max="6861" width="11.44140625" style="571" customWidth="1"/>
    <col min="6862" max="6862" width="2.21875" style="571" customWidth="1"/>
    <col min="6863" max="6863" width="12" style="571" customWidth="1"/>
    <col min="6864" max="6864" width="2" style="571" customWidth="1"/>
    <col min="6865" max="6865" width="9.109375" style="571"/>
    <col min="6866" max="6866" width="11.109375" style="571" customWidth="1"/>
    <col min="6867" max="6867" width="12" style="571" customWidth="1"/>
    <col min="6868" max="6868" width="9.109375" style="571"/>
    <col min="6869" max="6869" width="11.88671875" style="571" customWidth="1"/>
    <col min="6870" max="6870" width="14.21875" style="571" customWidth="1"/>
    <col min="6871" max="6874" width="9.109375" style="571"/>
    <col min="6875" max="6875" width="3.44140625" style="571" customWidth="1"/>
    <col min="6876" max="6877" width="9.109375" style="571"/>
    <col min="6878" max="6878" width="11.44140625" style="571" customWidth="1"/>
    <col min="6879" max="6879" width="2.77734375" style="571" customWidth="1"/>
    <col min="6880" max="7062" width="9.109375" style="571"/>
    <col min="7063" max="7063" width="9.5546875" style="571" customWidth="1"/>
    <col min="7064" max="7064" width="11" style="571" customWidth="1"/>
    <col min="7065" max="7066" width="11.21875" style="571" customWidth="1"/>
    <col min="7067" max="7067" width="11.5546875" style="571" customWidth="1"/>
    <col min="7068" max="7068" width="11.109375" style="571" customWidth="1"/>
    <col min="7069" max="7069" width="2" style="571" customWidth="1"/>
    <col min="7070" max="7070" width="13.5546875" style="571" customWidth="1"/>
    <col min="7071" max="7071" width="12.44140625" style="571" customWidth="1"/>
    <col min="7072" max="7072" width="13.5546875" style="571" customWidth="1"/>
    <col min="7073" max="7073" width="2.109375" style="571" customWidth="1"/>
    <col min="7074" max="7074" width="9.109375" style="571"/>
    <col min="7075" max="7075" width="10.21875" style="571" customWidth="1"/>
    <col min="7076" max="7076" width="1.88671875" style="571" customWidth="1"/>
    <col min="7077" max="7077" width="10.77734375" style="571" customWidth="1"/>
    <col min="7078" max="7078" width="9.109375" style="571"/>
    <col min="7079" max="7079" width="2.109375" style="571" customWidth="1"/>
    <col min="7080" max="7080" width="9.109375" style="571"/>
    <col min="7081" max="7081" width="11.21875" style="571" customWidth="1"/>
    <col min="7082" max="7082" width="12.77734375" style="571" customWidth="1"/>
    <col min="7083" max="7083" width="12.5546875" style="571" customWidth="1"/>
    <col min="7084" max="7084" width="2" style="571" customWidth="1"/>
    <col min="7085" max="7086" width="9.109375" style="571"/>
    <col min="7087" max="7087" width="11" style="571" customWidth="1"/>
    <col min="7088" max="7088" width="9.109375" style="571"/>
    <col min="7089" max="7089" width="2.21875" style="571" customWidth="1"/>
    <col min="7090" max="7090" width="11" style="571" customWidth="1"/>
    <col min="7091" max="7091" width="9.109375" style="571"/>
    <col min="7092" max="7092" width="11.5546875" style="571" customWidth="1"/>
    <col min="7093" max="7093" width="11.21875" style="571" customWidth="1"/>
    <col min="7094" max="7094" width="2.88671875" style="571" customWidth="1"/>
    <col min="7095" max="7096" width="9.109375" style="571"/>
    <col min="7097" max="7097" width="11.21875" style="571" customWidth="1"/>
    <col min="7098" max="7098" width="2.21875" style="571" customWidth="1"/>
    <col min="7099" max="7099" width="9.109375" style="571"/>
    <col min="7100" max="7100" width="10.44140625" style="571" customWidth="1"/>
    <col min="7101" max="7101" width="9.109375" style="571"/>
    <col min="7102" max="7102" width="11.109375" style="571" customWidth="1"/>
    <col min="7103" max="7104" width="9.109375" style="571"/>
    <col min="7105" max="7105" width="10.88671875" style="571" customWidth="1"/>
    <col min="7106" max="7107" width="9.109375" style="571"/>
    <col min="7108" max="7108" width="1.5546875" style="571" customWidth="1"/>
    <col min="7109" max="7109" width="9.77734375" style="571" customWidth="1"/>
    <col min="7110" max="7113" width="9.109375" style="571"/>
    <col min="7114" max="7114" width="1.88671875" style="571" customWidth="1"/>
    <col min="7115" max="7115" width="9.88671875" style="571" customWidth="1"/>
    <col min="7116" max="7116" width="1.5546875" style="571" customWidth="1"/>
    <col min="7117" max="7117" width="11.44140625" style="571" customWidth="1"/>
    <col min="7118" max="7118" width="2.21875" style="571" customWidth="1"/>
    <col min="7119" max="7119" width="12" style="571" customWidth="1"/>
    <col min="7120" max="7120" width="2" style="571" customWidth="1"/>
    <col min="7121" max="7121" width="9.109375" style="571"/>
    <col min="7122" max="7122" width="11.109375" style="571" customWidth="1"/>
    <col min="7123" max="7123" width="12" style="571" customWidth="1"/>
    <col min="7124" max="7124" width="9.109375" style="571"/>
    <col min="7125" max="7125" width="11.88671875" style="571" customWidth="1"/>
    <col min="7126" max="7126" width="14.21875" style="571" customWidth="1"/>
    <col min="7127" max="7130" width="9.109375" style="571"/>
    <col min="7131" max="7131" width="3.44140625" style="571" customWidth="1"/>
    <col min="7132" max="7133" width="9.109375" style="571"/>
    <col min="7134" max="7134" width="11.44140625" style="571" customWidth="1"/>
    <col min="7135" max="7135" width="2.77734375" style="571" customWidth="1"/>
    <col min="7136" max="7318" width="9.109375" style="571"/>
    <col min="7319" max="7319" width="9.5546875" style="571" customWidth="1"/>
    <col min="7320" max="7320" width="11" style="571" customWidth="1"/>
    <col min="7321" max="7322" width="11.21875" style="571" customWidth="1"/>
    <col min="7323" max="7323" width="11.5546875" style="571" customWidth="1"/>
    <col min="7324" max="7324" width="11.109375" style="571" customWidth="1"/>
    <col min="7325" max="7325" width="2" style="571" customWidth="1"/>
    <col min="7326" max="7326" width="13.5546875" style="571" customWidth="1"/>
    <col min="7327" max="7327" width="12.44140625" style="571" customWidth="1"/>
    <col min="7328" max="7328" width="13.5546875" style="571" customWidth="1"/>
    <col min="7329" max="7329" width="2.109375" style="571" customWidth="1"/>
    <col min="7330" max="7330" width="9.109375" style="571"/>
    <col min="7331" max="7331" width="10.21875" style="571" customWidth="1"/>
    <col min="7332" max="7332" width="1.88671875" style="571" customWidth="1"/>
    <col min="7333" max="7333" width="10.77734375" style="571" customWidth="1"/>
    <col min="7334" max="7334" width="9.109375" style="571"/>
    <col min="7335" max="7335" width="2.109375" style="571" customWidth="1"/>
    <col min="7336" max="7336" width="9.109375" style="571"/>
    <col min="7337" max="7337" width="11.21875" style="571" customWidth="1"/>
    <col min="7338" max="7338" width="12.77734375" style="571" customWidth="1"/>
    <col min="7339" max="7339" width="12.5546875" style="571" customWidth="1"/>
    <col min="7340" max="7340" width="2" style="571" customWidth="1"/>
    <col min="7341" max="7342" width="9.109375" style="571"/>
    <col min="7343" max="7343" width="11" style="571" customWidth="1"/>
    <col min="7344" max="7344" width="9.109375" style="571"/>
    <col min="7345" max="7345" width="2.21875" style="571" customWidth="1"/>
    <col min="7346" max="7346" width="11" style="571" customWidth="1"/>
    <col min="7347" max="7347" width="9.109375" style="571"/>
    <col min="7348" max="7348" width="11.5546875" style="571" customWidth="1"/>
    <col min="7349" max="7349" width="11.21875" style="571" customWidth="1"/>
    <col min="7350" max="7350" width="2.88671875" style="571" customWidth="1"/>
    <col min="7351" max="7352" width="9.109375" style="571"/>
    <col min="7353" max="7353" width="11.21875" style="571" customWidth="1"/>
    <col min="7354" max="7354" width="2.21875" style="571" customWidth="1"/>
    <col min="7355" max="7355" width="9.109375" style="571"/>
    <col min="7356" max="7356" width="10.44140625" style="571" customWidth="1"/>
    <col min="7357" max="7357" width="9.109375" style="571"/>
    <col min="7358" max="7358" width="11.109375" style="571" customWidth="1"/>
    <col min="7359" max="7360" width="9.109375" style="571"/>
    <col min="7361" max="7361" width="10.88671875" style="571" customWidth="1"/>
    <col min="7362" max="7363" width="9.109375" style="571"/>
    <col min="7364" max="7364" width="1.5546875" style="571" customWidth="1"/>
    <col min="7365" max="7365" width="9.77734375" style="571" customWidth="1"/>
    <col min="7366" max="7369" width="9.109375" style="571"/>
    <col min="7370" max="7370" width="1.88671875" style="571" customWidth="1"/>
    <col min="7371" max="7371" width="9.88671875" style="571" customWidth="1"/>
    <col min="7372" max="7372" width="1.5546875" style="571" customWidth="1"/>
    <col min="7373" max="7373" width="11.44140625" style="571" customWidth="1"/>
    <col min="7374" max="7374" width="2.21875" style="571" customWidth="1"/>
    <col min="7375" max="7375" width="12" style="571" customWidth="1"/>
    <col min="7376" max="7376" width="2" style="571" customWidth="1"/>
    <col min="7377" max="7377" width="9.109375" style="571"/>
    <col min="7378" max="7378" width="11.109375" style="571" customWidth="1"/>
    <col min="7379" max="7379" width="12" style="571" customWidth="1"/>
    <col min="7380" max="7380" width="9.109375" style="571"/>
    <col min="7381" max="7381" width="11.88671875" style="571" customWidth="1"/>
    <col min="7382" max="7382" width="14.21875" style="571" customWidth="1"/>
    <col min="7383" max="7386" width="9.109375" style="571"/>
    <col min="7387" max="7387" width="3.44140625" style="571" customWidth="1"/>
    <col min="7388" max="7389" width="9.109375" style="571"/>
    <col min="7390" max="7390" width="11.44140625" style="571" customWidth="1"/>
    <col min="7391" max="7391" width="2.77734375" style="571" customWidth="1"/>
    <col min="7392" max="7574" width="9.109375" style="571"/>
    <col min="7575" max="7575" width="9.5546875" style="571" customWidth="1"/>
    <col min="7576" max="7576" width="11" style="571" customWidth="1"/>
    <col min="7577" max="7578" width="11.21875" style="571" customWidth="1"/>
    <col min="7579" max="7579" width="11.5546875" style="571" customWidth="1"/>
    <col min="7580" max="7580" width="11.109375" style="571" customWidth="1"/>
    <col min="7581" max="7581" width="2" style="571" customWidth="1"/>
    <col min="7582" max="7582" width="13.5546875" style="571" customWidth="1"/>
    <col min="7583" max="7583" width="12.44140625" style="571" customWidth="1"/>
    <col min="7584" max="7584" width="13.5546875" style="571" customWidth="1"/>
    <col min="7585" max="7585" width="2.109375" style="571" customWidth="1"/>
    <col min="7586" max="7586" width="9.109375" style="571"/>
    <col min="7587" max="7587" width="10.21875" style="571" customWidth="1"/>
    <col min="7588" max="7588" width="1.88671875" style="571" customWidth="1"/>
    <col min="7589" max="7589" width="10.77734375" style="571" customWidth="1"/>
    <col min="7590" max="7590" width="9.109375" style="571"/>
    <col min="7591" max="7591" width="2.109375" style="571" customWidth="1"/>
    <col min="7592" max="7592" width="9.109375" style="571"/>
    <col min="7593" max="7593" width="11.21875" style="571" customWidth="1"/>
    <col min="7594" max="7594" width="12.77734375" style="571" customWidth="1"/>
    <col min="7595" max="7595" width="12.5546875" style="571" customWidth="1"/>
    <col min="7596" max="7596" width="2" style="571" customWidth="1"/>
    <col min="7597" max="7598" width="9.109375" style="571"/>
    <col min="7599" max="7599" width="11" style="571" customWidth="1"/>
    <col min="7600" max="7600" width="9.109375" style="571"/>
    <col min="7601" max="7601" width="2.21875" style="571" customWidth="1"/>
    <col min="7602" max="7602" width="11" style="571" customWidth="1"/>
    <col min="7603" max="7603" width="9.109375" style="571"/>
    <col min="7604" max="7604" width="11.5546875" style="571" customWidth="1"/>
    <col min="7605" max="7605" width="11.21875" style="571" customWidth="1"/>
    <col min="7606" max="7606" width="2.88671875" style="571" customWidth="1"/>
    <col min="7607" max="7608" width="9.109375" style="571"/>
    <col min="7609" max="7609" width="11.21875" style="571" customWidth="1"/>
    <col min="7610" max="7610" width="2.21875" style="571" customWidth="1"/>
    <col min="7611" max="7611" width="9.109375" style="571"/>
    <col min="7612" max="7612" width="10.44140625" style="571" customWidth="1"/>
    <col min="7613" max="7613" width="9.109375" style="571"/>
    <col min="7614" max="7614" width="11.109375" style="571" customWidth="1"/>
    <col min="7615" max="7616" width="9.109375" style="571"/>
    <col min="7617" max="7617" width="10.88671875" style="571" customWidth="1"/>
    <col min="7618" max="7619" width="9.109375" style="571"/>
    <col min="7620" max="7620" width="1.5546875" style="571" customWidth="1"/>
    <col min="7621" max="7621" width="9.77734375" style="571" customWidth="1"/>
    <col min="7622" max="7625" width="9.109375" style="571"/>
    <col min="7626" max="7626" width="1.88671875" style="571" customWidth="1"/>
    <col min="7627" max="7627" width="9.88671875" style="571" customWidth="1"/>
    <col min="7628" max="7628" width="1.5546875" style="571" customWidth="1"/>
    <col min="7629" max="7629" width="11.44140625" style="571" customWidth="1"/>
    <col min="7630" max="7630" width="2.21875" style="571" customWidth="1"/>
    <col min="7631" max="7631" width="12" style="571" customWidth="1"/>
    <col min="7632" max="7632" width="2" style="571" customWidth="1"/>
    <col min="7633" max="7633" width="9.109375" style="571"/>
    <col min="7634" max="7634" width="11.109375" style="571" customWidth="1"/>
    <col min="7635" max="7635" width="12" style="571" customWidth="1"/>
    <col min="7636" max="7636" width="9.109375" style="571"/>
    <col min="7637" max="7637" width="11.88671875" style="571" customWidth="1"/>
    <col min="7638" max="7638" width="14.21875" style="571" customWidth="1"/>
    <col min="7639" max="7642" width="9.109375" style="571"/>
    <col min="7643" max="7643" width="3.44140625" style="571" customWidth="1"/>
    <col min="7644" max="7645" width="9.109375" style="571"/>
    <col min="7646" max="7646" width="11.44140625" style="571" customWidth="1"/>
    <col min="7647" max="7647" width="2.77734375" style="571" customWidth="1"/>
    <col min="7648" max="7830" width="9.109375" style="571"/>
    <col min="7831" max="7831" width="9.5546875" style="571" customWidth="1"/>
    <col min="7832" max="7832" width="11" style="571" customWidth="1"/>
    <col min="7833" max="7834" width="11.21875" style="571" customWidth="1"/>
    <col min="7835" max="7835" width="11.5546875" style="571" customWidth="1"/>
    <col min="7836" max="7836" width="11.109375" style="571" customWidth="1"/>
    <col min="7837" max="7837" width="2" style="571" customWidth="1"/>
    <col min="7838" max="7838" width="13.5546875" style="571" customWidth="1"/>
    <col min="7839" max="7839" width="12.44140625" style="571" customWidth="1"/>
    <col min="7840" max="7840" width="13.5546875" style="571" customWidth="1"/>
    <col min="7841" max="7841" width="2.109375" style="571" customWidth="1"/>
    <col min="7842" max="7842" width="9.109375" style="571"/>
    <col min="7843" max="7843" width="10.21875" style="571" customWidth="1"/>
    <col min="7844" max="7844" width="1.88671875" style="571" customWidth="1"/>
    <col min="7845" max="7845" width="10.77734375" style="571" customWidth="1"/>
    <col min="7846" max="7846" width="9.109375" style="571"/>
    <col min="7847" max="7847" width="2.109375" style="571" customWidth="1"/>
    <col min="7848" max="7848" width="9.109375" style="571"/>
    <col min="7849" max="7849" width="11.21875" style="571" customWidth="1"/>
    <col min="7850" max="7850" width="12.77734375" style="571" customWidth="1"/>
    <col min="7851" max="7851" width="12.5546875" style="571" customWidth="1"/>
    <col min="7852" max="7852" width="2" style="571" customWidth="1"/>
    <col min="7853" max="7854" width="9.109375" style="571"/>
    <col min="7855" max="7855" width="11" style="571" customWidth="1"/>
    <col min="7856" max="7856" width="9.109375" style="571"/>
    <col min="7857" max="7857" width="2.21875" style="571" customWidth="1"/>
    <col min="7858" max="7858" width="11" style="571" customWidth="1"/>
    <col min="7859" max="7859" width="9.109375" style="571"/>
    <col min="7860" max="7860" width="11.5546875" style="571" customWidth="1"/>
    <col min="7861" max="7861" width="11.21875" style="571" customWidth="1"/>
    <col min="7862" max="7862" width="2.88671875" style="571" customWidth="1"/>
    <col min="7863" max="7864" width="9.109375" style="571"/>
    <col min="7865" max="7865" width="11.21875" style="571" customWidth="1"/>
    <col min="7866" max="7866" width="2.21875" style="571" customWidth="1"/>
    <col min="7867" max="7867" width="9.109375" style="571"/>
    <col min="7868" max="7868" width="10.44140625" style="571" customWidth="1"/>
    <col min="7869" max="7869" width="9.109375" style="571"/>
    <col min="7870" max="7870" width="11.109375" style="571" customWidth="1"/>
    <col min="7871" max="7872" width="9.109375" style="571"/>
    <col min="7873" max="7873" width="10.88671875" style="571" customWidth="1"/>
    <col min="7874" max="7875" width="9.109375" style="571"/>
    <col min="7876" max="7876" width="1.5546875" style="571" customWidth="1"/>
    <col min="7877" max="7877" width="9.77734375" style="571" customWidth="1"/>
    <col min="7878" max="7881" width="9.109375" style="571"/>
    <col min="7882" max="7882" width="1.88671875" style="571" customWidth="1"/>
    <col min="7883" max="7883" width="9.88671875" style="571" customWidth="1"/>
    <col min="7884" max="7884" width="1.5546875" style="571" customWidth="1"/>
    <col min="7885" max="7885" width="11.44140625" style="571" customWidth="1"/>
    <col min="7886" max="7886" width="2.21875" style="571" customWidth="1"/>
    <col min="7887" max="7887" width="12" style="571" customWidth="1"/>
    <col min="7888" max="7888" width="2" style="571" customWidth="1"/>
    <col min="7889" max="7889" width="9.109375" style="571"/>
    <col min="7890" max="7890" width="11.109375" style="571" customWidth="1"/>
    <col min="7891" max="7891" width="12" style="571" customWidth="1"/>
    <col min="7892" max="7892" width="9.109375" style="571"/>
    <col min="7893" max="7893" width="11.88671875" style="571" customWidth="1"/>
    <col min="7894" max="7894" width="14.21875" style="571" customWidth="1"/>
    <col min="7895" max="7898" width="9.109375" style="571"/>
    <col min="7899" max="7899" width="3.44140625" style="571" customWidth="1"/>
    <col min="7900" max="7901" width="9.109375" style="571"/>
    <col min="7902" max="7902" width="11.44140625" style="571" customWidth="1"/>
    <col min="7903" max="7903" width="2.77734375" style="571" customWidth="1"/>
    <col min="7904" max="8086" width="9.109375" style="571"/>
    <col min="8087" max="8087" width="9.5546875" style="571" customWidth="1"/>
    <col min="8088" max="8088" width="11" style="571" customWidth="1"/>
    <col min="8089" max="8090" width="11.21875" style="571" customWidth="1"/>
    <col min="8091" max="8091" width="11.5546875" style="571" customWidth="1"/>
    <col min="8092" max="8092" width="11.109375" style="571" customWidth="1"/>
    <col min="8093" max="8093" width="2" style="571" customWidth="1"/>
    <col min="8094" max="8094" width="13.5546875" style="571" customWidth="1"/>
    <col min="8095" max="8095" width="12.44140625" style="571" customWidth="1"/>
    <col min="8096" max="8096" width="13.5546875" style="571" customWidth="1"/>
    <col min="8097" max="8097" width="2.109375" style="571" customWidth="1"/>
    <col min="8098" max="8098" width="9.109375" style="571"/>
    <col min="8099" max="8099" width="10.21875" style="571" customWidth="1"/>
    <col min="8100" max="8100" width="1.88671875" style="571" customWidth="1"/>
    <col min="8101" max="8101" width="10.77734375" style="571" customWidth="1"/>
    <col min="8102" max="8102" width="9.109375" style="571"/>
    <col min="8103" max="8103" width="2.109375" style="571" customWidth="1"/>
    <col min="8104" max="8104" width="9.109375" style="571"/>
    <col min="8105" max="8105" width="11.21875" style="571" customWidth="1"/>
    <col min="8106" max="8106" width="12.77734375" style="571" customWidth="1"/>
    <col min="8107" max="8107" width="12.5546875" style="571" customWidth="1"/>
    <col min="8108" max="8108" width="2" style="571" customWidth="1"/>
    <col min="8109" max="8110" width="9.109375" style="571"/>
    <col min="8111" max="8111" width="11" style="571" customWidth="1"/>
    <col min="8112" max="8112" width="9.109375" style="571"/>
    <col min="8113" max="8113" width="2.21875" style="571" customWidth="1"/>
    <col min="8114" max="8114" width="11" style="571" customWidth="1"/>
    <col min="8115" max="8115" width="9.109375" style="571"/>
    <col min="8116" max="8116" width="11.5546875" style="571" customWidth="1"/>
    <col min="8117" max="8117" width="11.21875" style="571" customWidth="1"/>
    <col min="8118" max="8118" width="2.88671875" style="571" customWidth="1"/>
    <col min="8119" max="8120" width="9.109375" style="571"/>
    <col min="8121" max="8121" width="11.21875" style="571" customWidth="1"/>
    <col min="8122" max="8122" width="2.21875" style="571" customWidth="1"/>
    <col min="8123" max="8123" width="9.109375" style="571"/>
    <col min="8124" max="8124" width="10.44140625" style="571" customWidth="1"/>
    <col min="8125" max="8125" width="9.109375" style="571"/>
    <col min="8126" max="8126" width="11.109375" style="571" customWidth="1"/>
    <col min="8127" max="8128" width="9.109375" style="571"/>
    <col min="8129" max="8129" width="10.88671875" style="571" customWidth="1"/>
    <col min="8130" max="8131" width="9.109375" style="571"/>
    <col min="8132" max="8132" width="1.5546875" style="571" customWidth="1"/>
    <col min="8133" max="8133" width="9.77734375" style="571" customWidth="1"/>
    <col min="8134" max="8137" width="9.109375" style="571"/>
    <col min="8138" max="8138" width="1.88671875" style="571" customWidth="1"/>
    <col min="8139" max="8139" width="9.88671875" style="571" customWidth="1"/>
    <col min="8140" max="8140" width="1.5546875" style="571" customWidth="1"/>
    <col min="8141" max="8141" width="11.44140625" style="571" customWidth="1"/>
    <col min="8142" max="8142" width="2.21875" style="571" customWidth="1"/>
    <col min="8143" max="8143" width="12" style="571" customWidth="1"/>
    <col min="8144" max="8144" width="2" style="571" customWidth="1"/>
    <col min="8145" max="8145" width="9.109375" style="571"/>
    <col min="8146" max="8146" width="11.109375" style="571" customWidth="1"/>
    <col min="8147" max="8147" width="12" style="571" customWidth="1"/>
    <col min="8148" max="8148" width="9.109375" style="571"/>
    <col min="8149" max="8149" width="11.88671875" style="571" customWidth="1"/>
    <col min="8150" max="8150" width="14.21875" style="571" customWidth="1"/>
    <col min="8151" max="8154" width="9.109375" style="571"/>
    <col min="8155" max="8155" width="3.44140625" style="571" customWidth="1"/>
    <col min="8156" max="8157" width="9.109375" style="571"/>
    <col min="8158" max="8158" width="11.44140625" style="571" customWidth="1"/>
    <col min="8159" max="8159" width="2.77734375" style="571" customWidth="1"/>
    <col min="8160" max="8342" width="9.109375" style="571"/>
    <col min="8343" max="8343" width="9.5546875" style="571" customWidth="1"/>
    <col min="8344" max="8344" width="11" style="571" customWidth="1"/>
    <col min="8345" max="8346" width="11.21875" style="571" customWidth="1"/>
    <col min="8347" max="8347" width="11.5546875" style="571" customWidth="1"/>
    <col min="8348" max="8348" width="11.109375" style="571" customWidth="1"/>
    <col min="8349" max="8349" width="2" style="571" customWidth="1"/>
    <col min="8350" max="8350" width="13.5546875" style="571" customWidth="1"/>
    <col min="8351" max="8351" width="12.44140625" style="571" customWidth="1"/>
    <col min="8352" max="8352" width="13.5546875" style="571" customWidth="1"/>
    <col min="8353" max="8353" width="2.109375" style="571" customWidth="1"/>
    <col min="8354" max="8354" width="9.109375" style="571"/>
    <col min="8355" max="8355" width="10.21875" style="571" customWidth="1"/>
    <col min="8356" max="8356" width="1.88671875" style="571" customWidth="1"/>
    <col min="8357" max="8357" width="10.77734375" style="571" customWidth="1"/>
    <col min="8358" max="8358" width="9.109375" style="571"/>
    <col min="8359" max="8359" width="2.109375" style="571" customWidth="1"/>
    <col min="8360" max="8360" width="9.109375" style="571"/>
    <col min="8361" max="8361" width="11.21875" style="571" customWidth="1"/>
    <col min="8362" max="8362" width="12.77734375" style="571" customWidth="1"/>
    <col min="8363" max="8363" width="12.5546875" style="571" customWidth="1"/>
    <col min="8364" max="8364" width="2" style="571" customWidth="1"/>
    <col min="8365" max="8366" width="9.109375" style="571"/>
    <col min="8367" max="8367" width="11" style="571" customWidth="1"/>
    <col min="8368" max="8368" width="9.109375" style="571"/>
    <col min="8369" max="8369" width="2.21875" style="571" customWidth="1"/>
    <col min="8370" max="8370" width="11" style="571" customWidth="1"/>
    <col min="8371" max="8371" width="9.109375" style="571"/>
    <col min="8372" max="8372" width="11.5546875" style="571" customWidth="1"/>
    <col min="8373" max="8373" width="11.21875" style="571" customWidth="1"/>
    <col min="8374" max="8374" width="2.88671875" style="571" customWidth="1"/>
    <col min="8375" max="8376" width="9.109375" style="571"/>
    <col min="8377" max="8377" width="11.21875" style="571" customWidth="1"/>
    <col min="8378" max="8378" width="2.21875" style="571" customWidth="1"/>
    <col min="8379" max="8379" width="9.109375" style="571"/>
    <col min="8380" max="8380" width="10.44140625" style="571" customWidth="1"/>
    <col min="8381" max="8381" width="9.109375" style="571"/>
    <col min="8382" max="8382" width="11.109375" style="571" customWidth="1"/>
    <col min="8383" max="8384" width="9.109375" style="571"/>
    <col min="8385" max="8385" width="10.88671875" style="571" customWidth="1"/>
    <col min="8386" max="8387" width="9.109375" style="571"/>
    <col min="8388" max="8388" width="1.5546875" style="571" customWidth="1"/>
    <col min="8389" max="8389" width="9.77734375" style="571" customWidth="1"/>
    <col min="8390" max="8393" width="9.109375" style="571"/>
    <col min="8394" max="8394" width="1.88671875" style="571" customWidth="1"/>
    <col min="8395" max="8395" width="9.88671875" style="571" customWidth="1"/>
    <col min="8396" max="8396" width="1.5546875" style="571" customWidth="1"/>
    <col min="8397" max="8397" width="11.44140625" style="571" customWidth="1"/>
    <col min="8398" max="8398" width="2.21875" style="571" customWidth="1"/>
    <col min="8399" max="8399" width="12" style="571" customWidth="1"/>
    <col min="8400" max="8400" width="2" style="571" customWidth="1"/>
    <col min="8401" max="8401" width="9.109375" style="571"/>
    <col min="8402" max="8402" width="11.109375" style="571" customWidth="1"/>
    <col min="8403" max="8403" width="12" style="571" customWidth="1"/>
    <col min="8404" max="8404" width="9.109375" style="571"/>
    <col min="8405" max="8405" width="11.88671875" style="571" customWidth="1"/>
    <col min="8406" max="8406" width="14.21875" style="571" customWidth="1"/>
    <col min="8407" max="8410" width="9.109375" style="571"/>
    <col min="8411" max="8411" width="3.44140625" style="571" customWidth="1"/>
    <col min="8412" max="8413" width="9.109375" style="571"/>
    <col min="8414" max="8414" width="11.44140625" style="571" customWidth="1"/>
    <col min="8415" max="8415" width="2.77734375" style="571" customWidth="1"/>
    <col min="8416" max="8598" width="9.109375" style="571"/>
    <col min="8599" max="8599" width="9.5546875" style="571" customWidth="1"/>
    <col min="8600" max="8600" width="11" style="571" customWidth="1"/>
    <col min="8601" max="8602" width="11.21875" style="571" customWidth="1"/>
    <col min="8603" max="8603" width="11.5546875" style="571" customWidth="1"/>
    <col min="8604" max="8604" width="11.109375" style="571" customWidth="1"/>
    <col min="8605" max="8605" width="2" style="571" customWidth="1"/>
    <col min="8606" max="8606" width="13.5546875" style="571" customWidth="1"/>
    <col min="8607" max="8607" width="12.44140625" style="571" customWidth="1"/>
    <col min="8608" max="8608" width="13.5546875" style="571" customWidth="1"/>
    <col min="8609" max="8609" width="2.109375" style="571" customWidth="1"/>
    <col min="8610" max="8610" width="9.109375" style="571"/>
    <col min="8611" max="8611" width="10.21875" style="571" customWidth="1"/>
    <col min="8612" max="8612" width="1.88671875" style="571" customWidth="1"/>
    <col min="8613" max="8613" width="10.77734375" style="571" customWidth="1"/>
    <col min="8614" max="8614" width="9.109375" style="571"/>
    <col min="8615" max="8615" width="2.109375" style="571" customWidth="1"/>
    <col min="8616" max="8616" width="9.109375" style="571"/>
    <col min="8617" max="8617" width="11.21875" style="571" customWidth="1"/>
    <col min="8618" max="8618" width="12.77734375" style="571" customWidth="1"/>
    <col min="8619" max="8619" width="12.5546875" style="571" customWidth="1"/>
    <col min="8620" max="8620" width="2" style="571" customWidth="1"/>
    <col min="8621" max="8622" width="9.109375" style="571"/>
    <col min="8623" max="8623" width="11" style="571" customWidth="1"/>
    <col min="8624" max="8624" width="9.109375" style="571"/>
    <col min="8625" max="8625" width="2.21875" style="571" customWidth="1"/>
    <col min="8626" max="8626" width="11" style="571" customWidth="1"/>
    <col min="8627" max="8627" width="9.109375" style="571"/>
    <col min="8628" max="8628" width="11.5546875" style="571" customWidth="1"/>
    <col min="8629" max="8629" width="11.21875" style="571" customWidth="1"/>
    <col min="8630" max="8630" width="2.88671875" style="571" customWidth="1"/>
    <col min="8631" max="8632" width="9.109375" style="571"/>
    <col min="8633" max="8633" width="11.21875" style="571" customWidth="1"/>
    <col min="8634" max="8634" width="2.21875" style="571" customWidth="1"/>
    <col min="8635" max="8635" width="9.109375" style="571"/>
    <col min="8636" max="8636" width="10.44140625" style="571" customWidth="1"/>
    <col min="8637" max="8637" width="9.109375" style="571"/>
    <col min="8638" max="8638" width="11.109375" style="571" customWidth="1"/>
    <col min="8639" max="8640" width="9.109375" style="571"/>
    <col min="8641" max="8641" width="10.88671875" style="571" customWidth="1"/>
    <col min="8642" max="8643" width="9.109375" style="571"/>
    <col min="8644" max="8644" width="1.5546875" style="571" customWidth="1"/>
    <col min="8645" max="8645" width="9.77734375" style="571" customWidth="1"/>
    <col min="8646" max="8649" width="9.109375" style="571"/>
    <col min="8650" max="8650" width="1.88671875" style="571" customWidth="1"/>
    <col min="8651" max="8651" width="9.88671875" style="571" customWidth="1"/>
    <col min="8652" max="8652" width="1.5546875" style="571" customWidth="1"/>
    <col min="8653" max="8653" width="11.44140625" style="571" customWidth="1"/>
    <col min="8654" max="8654" width="2.21875" style="571" customWidth="1"/>
    <col min="8655" max="8655" width="12" style="571" customWidth="1"/>
    <col min="8656" max="8656" width="2" style="571" customWidth="1"/>
    <col min="8657" max="8657" width="9.109375" style="571"/>
    <col min="8658" max="8658" width="11.109375" style="571" customWidth="1"/>
    <col min="8659" max="8659" width="12" style="571" customWidth="1"/>
    <col min="8660" max="8660" width="9.109375" style="571"/>
    <col min="8661" max="8661" width="11.88671875" style="571" customWidth="1"/>
    <col min="8662" max="8662" width="14.21875" style="571" customWidth="1"/>
    <col min="8663" max="8666" width="9.109375" style="571"/>
    <col min="8667" max="8667" width="3.44140625" style="571" customWidth="1"/>
    <col min="8668" max="8669" width="9.109375" style="571"/>
    <col min="8670" max="8670" width="11.44140625" style="571" customWidth="1"/>
    <col min="8671" max="8671" width="2.77734375" style="571" customWidth="1"/>
    <col min="8672" max="8854" width="9.109375" style="571"/>
    <col min="8855" max="8855" width="9.5546875" style="571" customWidth="1"/>
    <col min="8856" max="8856" width="11" style="571" customWidth="1"/>
    <col min="8857" max="8858" width="11.21875" style="571" customWidth="1"/>
    <col min="8859" max="8859" width="11.5546875" style="571" customWidth="1"/>
    <col min="8860" max="8860" width="11.109375" style="571" customWidth="1"/>
    <col min="8861" max="8861" width="2" style="571" customWidth="1"/>
    <col min="8862" max="8862" width="13.5546875" style="571" customWidth="1"/>
    <col min="8863" max="8863" width="12.44140625" style="571" customWidth="1"/>
    <col min="8864" max="8864" width="13.5546875" style="571" customWidth="1"/>
    <col min="8865" max="8865" width="2.109375" style="571" customWidth="1"/>
    <col min="8866" max="8866" width="9.109375" style="571"/>
    <col min="8867" max="8867" width="10.21875" style="571" customWidth="1"/>
    <col min="8868" max="8868" width="1.88671875" style="571" customWidth="1"/>
    <col min="8869" max="8869" width="10.77734375" style="571" customWidth="1"/>
    <col min="8870" max="8870" width="9.109375" style="571"/>
    <col min="8871" max="8871" width="2.109375" style="571" customWidth="1"/>
    <col min="8872" max="8872" width="9.109375" style="571"/>
    <col min="8873" max="8873" width="11.21875" style="571" customWidth="1"/>
    <col min="8874" max="8874" width="12.77734375" style="571" customWidth="1"/>
    <col min="8875" max="8875" width="12.5546875" style="571" customWidth="1"/>
    <col min="8876" max="8876" width="2" style="571" customWidth="1"/>
    <col min="8877" max="8878" width="9.109375" style="571"/>
    <col min="8879" max="8879" width="11" style="571" customWidth="1"/>
    <col min="8880" max="8880" width="9.109375" style="571"/>
    <col min="8881" max="8881" width="2.21875" style="571" customWidth="1"/>
    <col min="8882" max="8882" width="11" style="571" customWidth="1"/>
    <col min="8883" max="8883" width="9.109375" style="571"/>
    <col min="8884" max="8884" width="11.5546875" style="571" customWidth="1"/>
    <col min="8885" max="8885" width="11.21875" style="571" customWidth="1"/>
    <col min="8886" max="8886" width="2.88671875" style="571" customWidth="1"/>
    <col min="8887" max="8888" width="9.109375" style="571"/>
    <col min="8889" max="8889" width="11.21875" style="571" customWidth="1"/>
    <col min="8890" max="8890" width="2.21875" style="571" customWidth="1"/>
    <col min="8891" max="8891" width="9.109375" style="571"/>
    <col min="8892" max="8892" width="10.44140625" style="571" customWidth="1"/>
    <col min="8893" max="8893" width="9.109375" style="571"/>
    <col min="8894" max="8894" width="11.109375" style="571" customWidth="1"/>
    <col min="8895" max="8896" width="9.109375" style="571"/>
    <col min="8897" max="8897" width="10.88671875" style="571" customWidth="1"/>
    <col min="8898" max="8899" width="9.109375" style="571"/>
    <col min="8900" max="8900" width="1.5546875" style="571" customWidth="1"/>
    <col min="8901" max="8901" width="9.77734375" style="571" customWidth="1"/>
    <col min="8902" max="8905" width="9.109375" style="571"/>
    <col min="8906" max="8906" width="1.88671875" style="571" customWidth="1"/>
    <col min="8907" max="8907" width="9.88671875" style="571" customWidth="1"/>
    <col min="8908" max="8908" width="1.5546875" style="571" customWidth="1"/>
    <col min="8909" max="8909" width="11.44140625" style="571" customWidth="1"/>
    <col min="8910" max="8910" width="2.21875" style="571" customWidth="1"/>
    <col min="8911" max="8911" width="12" style="571" customWidth="1"/>
    <col min="8912" max="8912" width="2" style="571" customWidth="1"/>
    <col min="8913" max="8913" width="9.109375" style="571"/>
    <col min="8914" max="8914" width="11.109375" style="571" customWidth="1"/>
    <col min="8915" max="8915" width="12" style="571" customWidth="1"/>
    <col min="8916" max="8916" width="9.109375" style="571"/>
    <col min="8917" max="8917" width="11.88671875" style="571" customWidth="1"/>
    <col min="8918" max="8918" width="14.21875" style="571" customWidth="1"/>
    <col min="8919" max="8922" width="9.109375" style="571"/>
    <col min="8923" max="8923" width="3.44140625" style="571" customWidth="1"/>
    <col min="8924" max="8925" width="9.109375" style="571"/>
    <col min="8926" max="8926" width="11.44140625" style="571" customWidth="1"/>
    <col min="8927" max="8927" width="2.77734375" style="571" customWidth="1"/>
    <col min="8928" max="9110" width="9.109375" style="571"/>
    <col min="9111" max="9111" width="9.5546875" style="571" customWidth="1"/>
    <col min="9112" max="9112" width="11" style="571" customWidth="1"/>
    <col min="9113" max="9114" width="11.21875" style="571" customWidth="1"/>
    <col min="9115" max="9115" width="11.5546875" style="571" customWidth="1"/>
    <col min="9116" max="9116" width="11.109375" style="571" customWidth="1"/>
    <col min="9117" max="9117" width="2" style="571" customWidth="1"/>
    <col min="9118" max="9118" width="13.5546875" style="571" customWidth="1"/>
    <col min="9119" max="9119" width="12.44140625" style="571" customWidth="1"/>
    <col min="9120" max="9120" width="13.5546875" style="571" customWidth="1"/>
    <col min="9121" max="9121" width="2.109375" style="571" customWidth="1"/>
    <col min="9122" max="9122" width="9.109375" style="571"/>
    <col min="9123" max="9123" width="10.21875" style="571" customWidth="1"/>
    <col min="9124" max="9124" width="1.88671875" style="571" customWidth="1"/>
    <col min="9125" max="9125" width="10.77734375" style="571" customWidth="1"/>
    <col min="9126" max="9126" width="9.109375" style="571"/>
    <col min="9127" max="9127" width="2.109375" style="571" customWidth="1"/>
    <col min="9128" max="9128" width="9.109375" style="571"/>
    <col min="9129" max="9129" width="11.21875" style="571" customWidth="1"/>
    <col min="9130" max="9130" width="12.77734375" style="571" customWidth="1"/>
    <col min="9131" max="9131" width="12.5546875" style="571" customWidth="1"/>
    <col min="9132" max="9132" width="2" style="571" customWidth="1"/>
    <col min="9133" max="9134" width="9.109375" style="571"/>
    <col min="9135" max="9135" width="11" style="571" customWidth="1"/>
    <col min="9136" max="9136" width="9.109375" style="571"/>
    <col min="9137" max="9137" width="2.21875" style="571" customWidth="1"/>
    <col min="9138" max="9138" width="11" style="571" customWidth="1"/>
    <col min="9139" max="9139" width="9.109375" style="571"/>
    <col min="9140" max="9140" width="11.5546875" style="571" customWidth="1"/>
    <col min="9141" max="9141" width="11.21875" style="571" customWidth="1"/>
    <col min="9142" max="9142" width="2.88671875" style="571" customWidth="1"/>
    <col min="9143" max="9144" width="9.109375" style="571"/>
    <col min="9145" max="9145" width="11.21875" style="571" customWidth="1"/>
    <col min="9146" max="9146" width="2.21875" style="571" customWidth="1"/>
    <col min="9147" max="9147" width="9.109375" style="571"/>
    <col min="9148" max="9148" width="10.44140625" style="571" customWidth="1"/>
    <col min="9149" max="9149" width="9.109375" style="571"/>
    <col min="9150" max="9150" width="11.109375" style="571" customWidth="1"/>
    <col min="9151" max="9152" width="9.109375" style="571"/>
    <col min="9153" max="9153" width="10.88671875" style="571" customWidth="1"/>
    <col min="9154" max="9155" width="9.109375" style="571"/>
    <col min="9156" max="9156" width="1.5546875" style="571" customWidth="1"/>
    <col min="9157" max="9157" width="9.77734375" style="571" customWidth="1"/>
    <col min="9158" max="9161" width="9.109375" style="571"/>
    <col min="9162" max="9162" width="1.88671875" style="571" customWidth="1"/>
    <col min="9163" max="9163" width="9.88671875" style="571" customWidth="1"/>
    <col min="9164" max="9164" width="1.5546875" style="571" customWidth="1"/>
    <col min="9165" max="9165" width="11.44140625" style="571" customWidth="1"/>
    <col min="9166" max="9166" width="2.21875" style="571" customWidth="1"/>
    <col min="9167" max="9167" width="12" style="571" customWidth="1"/>
    <col min="9168" max="9168" width="2" style="571" customWidth="1"/>
    <col min="9169" max="9169" width="9.109375" style="571"/>
    <col min="9170" max="9170" width="11.109375" style="571" customWidth="1"/>
    <col min="9171" max="9171" width="12" style="571" customWidth="1"/>
    <col min="9172" max="9172" width="9.109375" style="571"/>
    <col min="9173" max="9173" width="11.88671875" style="571" customWidth="1"/>
    <col min="9174" max="9174" width="14.21875" style="571" customWidth="1"/>
    <col min="9175" max="9178" width="9.109375" style="571"/>
    <col min="9179" max="9179" width="3.44140625" style="571" customWidth="1"/>
    <col min="9180" max="9181" width="9.109375" style="571"/>
    <col min="9182" max="9182" width="11.44140625" style="571" customWidth="1"/>
    <col min="9183" max="9183" width="2.77734375" style="571" customWidth="1"/>
    <col min="9184" max="9366" width="9.109375" style="571"/>
    <col min="9367" max="9367" width="9.5546875" style="571" customWidth="1"/>
    <col min="9368" max="9368" width="11" style="571" customWidth="1"/>
    <col min="9369" max="9370" width="11.21875" style="571" customWidth="1"/>
    <col min="9371" max="9371" width="11.5546875" style="571" customWidth="1"/>
    <col min="9372" max="9372" width="11.109375" style="571" customWidth="1"/>
    <col min="9373" max="9373" width="2" style="571" customWidth="1"/>
    <col min="9374" max="9374" width="13.5546875" style="571" customWidth="1"/>
    <col min="9375" max="9375" width="12.44140625" style="571" customWidth="1"/>
    <col min="9376" max="9376" width="13.5546875" style="571" customWidth="1"/>
    <col min="9377" max="9377" width="2.109375" style="571" customWidth="1"/>
    <col min="9378" max="9378" width="9.109375" style="571"/>
    <col min="9379" max="9379" width="10.21875" style="571" customWidth="1"/>
    <col min="9380" max="9380" width="1.88671875" style="571" customWidth="1"/>
    <col min="9381" max="9381" width="10.77734375" style="571" customWidth="1"/>
    <col min="9382" max="9382" width="9.109375" style="571"/>
    <col min="9383" max="9383" width="2.109375" style="571" customWidth="1"/>
    <col min="9384" max="9384" width="9.109375" style="571"/>
    <col min="9385" max="9385" width="11.21875" style="571" customWidth="1"/>
    <col min="9386" max="9386" width="12.77734375" style="571" customWidth="1"/>
    <col min="9387" max="9387" width="12.5546875" style="571" customWidth="1"/>
    <col min="9388" max="9388" width="2" style="571" customWidth="1"/>
    <col min="9389" max="9390" width="9.109375" style="571"/>
    <col min="9391" max="9391" width="11" style="571" customWidth="1"/>
    <col min="9392" max="9392" width="9.109375" style="571"/>
    <col min="9393" max="9393" width="2.21875" style="571" customWidth="1"/>
    <col min="9394" max="9394" width="11" style="571" customWidth="1"/>
    <col min="9395" max="9395" width="9.109375" style="571"/>
    <col min="9396" max="9396" width="11.5546875" style="571" customWidth="1"/>
    <col min="9397" max="9397" width="11.21875" style="571" customWidth="1"/>
    <col min="9398" max="9398" width="2.88671875" style="571" customWidth="1"/>
    <col min="9399" max="9400" width="9.109375" style="571"/>
    <col min="9401" max="9401" width="11.21875" style="571" customWidth="1"/>
    <col min="9402" max="9402" width="2.21875" style="571" customWidth="1"/>
    <col min="9403" max="9403" width="9.109375" style="571"/>
    <col min="9404" max="9404" width="10.44140625" style="571" customWidth="1"/>
    <col min="9405" max="9405" width="9.109375" style="571"/>
    <col min="9406" max="9406" width="11.109375" style="571" customWidth="1"/>
    <col min="9407" max="9408" width="9.109375" style="571"/>
    <col min="9409" max="9409" width="10.88671875" style="571" customWidth="1"/>
    <col min="9410" max="9411" width="9.109375" style="571"/>
    <col min="9412" max="9412" width="1.5546875" style="571" customWidth="1"/>
    <col min="9413" max="9413" width="9.77734375" style="571" customWidth="1"/>
    <col min="9414" max="9417" width="9.109375" style="571"/>
    <col min="9418" max="9418" width="1.88671875" style="571" customWidth="1"/>
    <col min="9419" max="9419" width="9.88671875" style="571" customWidth="1"/>
    <col min="9420" max="9420" width="1.5546875" style="571" customWidth="1"/>
    <col min="9421" max="9421" width="11.44140625" style="571" customWidth="1"/>
    <col min="9422" max="9422" width="2.21875" style="571" customWidth="1"/>
    <col min="9423" max="9423" width="12" style="571" customWidth="1"/>
    <col min="9424" max="9424" width="2" style="571" customWidth="1"/>
    <col min="9425" max="9425" width="9.109375" style="571"/>
    <col min="9426" max="9426" width="11.109375" style="571" customWidth="1"/>
    <col min="9427" max="9427" width="12" style="571" customWidth="1"/>
    <col min="9428" max="9428" width="9.109375" style="571"/>
    <col min="9429" max="9429" width="11.88671875" style="571" customWidth="1"/>
    <col min="9430" max="9430" width="14.21875" style="571" customWidth="1"/>
    <col min="9431" max="9434" width="9.109375" style="571"/>
    <col min="9435" max="9435" width="3.44140625" style="571" customWidth="1"/>
    <col min="9436" max="9437" width="9.109375" style="571"/>
    <col min="9438" max="9438" width="11.44140625" style="571" customWidth="1"/>
    <col min="9439" max="9439" width="2.77734375" style="571" customWidth="1"/>
    <col min="9440" max="9622" width="9.109375" style="571"/>
    <col min="9623" max="9623" width="9.5546875" style="571" customWidth="1"/>
    <col min="9624" max="9624" width="11" style="571" customWidth="1"/>
    <col min="9625" max="9626" width="11.21875" style="571" customWidth="1"/>
    <col min="9627" max="9627" width="11.5546875" style="571" customWidth="1"/>
    <col min="9628" max="9628" width="11.109375" style="571" customWidth="1"/>
    <col min="9629" max="9629" width="2" style="571" customWidth="1"/>
    <col min="9630" max="9630" width="13.5546875" style="571" customWidth="1"/>
    <col min="9631" max="9631" width="12.44140625" style="571" customWidth="1"/>
    <col min="9632" max="9632" width="13.5546875" style="571" customWidth="1"/>
    <col min="9633" max="9633" width="2.109375" style="571" customWidth="1"/>
    <col min="9634" max="9634" width="9.109375" style="571"/>
    <col min="9635" max="9635" width="10.21875" style="571" customWidth="1"/>
    <col min="9636" max="9636" width="1.88671875" style="571" customWidth="1"/>
    <col min="9637" max="9637" width="10.77734375" style="571" customWidth="1"/>
    <col min="9638" max="9638" width="9.109375" style="571"/>
    <col min="9639" max="9639" width="2.109375" style="571" customWidth="1"/>
    <col min="9640" max="9640" width="9.109375" style="571"/>
    <col min="9641" max="9641" width="11.21875" style="571" customWidth="1"/>
    <col min="9642" max="9642" width="12.77734375" style="571" customWidth="1"/>
    <col min="9643" max="9643" width="12.5546875" style="571" customWidth="1"/>
    <col min="9644" max="9644" width="2" style="571" customWidth="1"/>
    <col min="9645" max="9646" width="9.109375" style="571"/>
    <col min="9647" max="9647" width="11" style="571" customWidth="1"/>
    <col min="9648" max="9648" width="9.109375" style="571"/>
    <col min="9649" max="9649" width="2.21875" style="571" customWidth="1"/>
    <col min="9650" max="9650" width="11" style="571" customWidth="1"/>
    <col min="9651" max="9651" width="9.109375" style="571"/>
    <col min="9652" max="9652" width="11.5546875" style="571" customWidth="1"/>
    <col min="9653" max="9653" width="11.21875" style="571" customWidth="1"/>
    <col min="9654" max="9654" width="2.88671875" style="571" customWidth="1"/>
    <col min="9655" max="9656" width="9.109375" style="571"/>
    <col min="9657" max="9657" width="11.21875" style="571" customWidth="1"/>
    <col min="9658" max="9658" width="2.21875" style="571" customWidth="1"/>
    <col min="9659" max="9659" width="9.109375" style="571"/>
    <col min="9660" max="9660" width="10.44140625" style="571" customWidth="1"/>
    <col min="9661" max="9661" width="9.109375" style="571"/>
    <col min="9662" max="9662" width="11.109375" style="571" customWidth="1"/>
    <col min="9663" max="9664" width="9.109375" style="571"/>
    <col min="9665" max="9665" width="10.88671875" style="571" customWidth="1"/>
    <col min="9666" max="9667" width="9.109375" style="571"/>
    <col min="9668" max="9668" width="1.5546875" style="571" customWidth="1"/>
    <col min="9669" max="9669" width="9.77734375" style="571" customWidth="1"/>
    <col min="9670" max="9673" width="9.109375" style="571"/>
    <col min="9674" max="9674" width="1.88671875" style="571" customWidth="1"/>
    <col min="9675" max="9675" width="9.88671875" style="571" customWidth="1"/>
    <col min="9676" max="9676" width="1.5546875" style="571" customWidth="1"/>
    <col min="9677" max="9677" width="11.44140625" style="571" customWidth="1"/>
    <col min="9678" max="9678" width="2.21875" style="571" customWidth="1"/>
    <col min="9679" max="9679" width="12" style="571" customWidth="1"/>
    <col min="9680" max="9680" width="2" style="571" customWidth="1"/>
    <col min="9681" max="9681" width="9.109375" style="571"/>
    <col min="9682" max="9682" width="11.109375" style="571" customWidth="1"/>
    <col min="9683" max="9683" width="12" style="571" customWidth="1"/>
    <col min="9684" max="9684" width="9.109375" style="571"/>
    <col min="9685" max="9685" width="11.88671875" style="571" customWidth="1"/>
    <col min="9686" max="9686" width="14.21875" style="571" customWidth="1"/>
    <col min="9687" max="9690" width="9.109375" style="571"/>
    <col min="9691" max="9691" width="3.44140625" style="571" customWidth="1"/>
    <col min="9692" max="9693" width="9.109375" style="571"/>
    <col min="9694" max="9694" width="11.44140625" style="571" customWidth="1"/>
    <col min="9695" max="9695" width="2.77734375" style="571" customWidth="1"/>
    <col min="9696" max="9878" width="9.109375" style="571"/>
    <col min="9879" max="9879" width="9.5546875" style="571" customWidth="1"/>
    <col min="9880" max="9880" width="11" style="571" customWidth="1"/>
    <col min="9881" max="9882" width="11.21875" style="571" customWidth="1"/>
    <col min="9883" max="9883" width="11.5546875" style="571" customWidth="1"/>
    <col min="9884" max="9884" width="11.109375" style="571" customWidth="1"/>
    <col min="9885" max="9885" width="2" style="571" customWidth="1"/>
    <col min="9886" max="9886" width="13.5546875" style="571" customWidth="1"/>
    <col min="9887" max="9887" width="12.44140625" style="571" customWidth="1"/>
    <col min="9888" max="9888" width="13.5546875" style="571" customWidth="1"/>
    <col min="9889" max="9889" width="2.109375" style="571" customWidth="1"/>
    <col min="9890" max="9890" width="9.109375" style="571"/>
    <col min="9891" max="9891" width="10.21875" style="571" customWidth="1"/>
    <col min="9892" max="9892" width="1.88671875" style="571" customWidth="1"/>
    <col min="9893" max="9893" width="10.77734375" style="571" customWidth="1"/>
    <col min="9894" max="9894" width="9.109375" style="571"/>
    <col min="9895" max="9895" width="2.109375" style="571" customWidth="1"/>
    <col min="9896" max="9896" width="9.109375" style="571"/>
    <col min="9897" max="9897" width="11.21875" style="571" customWidth="1"/>
    <col min="9898" max="9898" width="12.77734375" style="571" customWidth="1"/>
    <col min="9899" max="9899" width="12.5546875" style="571" customWidth="1"/>
    <col min="9900" max="9900" width="2" style="571" customWidth="1"/>
    <col min="9901" max="9902" width="9.109375" style="571"/>
    <col min="9903" max="9903" width="11" style="571" customWidth="1"/>
    <col min="9904" max="9904" width="9.109375" style="571"/>
    <col min="9905" max="9905" width="2.21875" style="571" customWidth="1"/>
    <col min="9906" max="9906" width="11" style="571" customWidth="1"/>
    <col min="9907" max="9907" width="9.109375" style="571"/>
    <col min="9908" max="9908" width="11.5546875" style="571" customWidth="1"/>
    <col min="9909" max="9909" width="11.21875" style="571" customWidth="1"/>
    <col min="9910" max="9910" width="2.88671875" style="571" customWidth="1"/>
    <col min="9911" max="9912" width="9.109375" style="571"/>
    <col min="9913" max="9913" width="11.21875" style="571" customWidth="1"/>
    <col min="9914" max="9914" width="2.21875" style="571" customWidth="1"/>
    <col min="9915" max="9915" width="9.109375" style="571"/>
    <col min="9916" max="9916" width="10.44140625" style="571" customWidth="1"/>
    <col min="9917" max="9917" width="9.109375" style="571"/>
    <col min="9918" max="9918" width="11.109375" style="571" customWidth="1"/>
    <col min="9919" max="9920" width="9.109375" style="571"/>
    <col min="9921" max="9921" width="10.88671875" style="571" customWidth="1"/>
    <col min="9922" max="9923" width="9.109375" style="571"/>
    <col min="9924" max="9924" width="1.5546875" style="571" customWidth="1"/>
    <col min="9925" max="9925" width="9.77734375" style="571" customWidth="1"/>
    <col min="9926" max="9929" width="9.109375" style="571"/>
    <col min="9930" max="9930" width="1.88671875" style="571" customWidth="1"/>
    <col min="9931" max="9931" width="9.88671875" style="571" customWidth="1"/>
    <col min="9932" max="9932" width="1.5546875" style="571" customWidth="1"/>
    <col min="9933" max="9933" width="11.44140625" style="571" customWidth="1"/>
    <col min="9934" max="9934" width="2.21875" style="571" customWidth="1"/>
    <col min="9935" max="9935" width="12" style="571" customWidth="1"/>
    <col min="9936" max="9936" width="2" style="571" customWidth="1"/>
    <col min="9937" max="9937" width="9.109375" style="571"/>
    <col min="9938" max="9938" width="11.109375" style="571" customWidth="1"/>
    <col min="9939" max="9939" width="12" style="571" customWidth="1"/>
    <col min="9940" max="9940" width="9.109375" style="571"/>
    <col min="9941" max="9941" width="11.88671875" style="571" customWidth="1"/>
    <col min="9942" max="9942" width="14.21875" style="571" customWidth="1"/>
    <col min="9943" max="9946" width="9.109375" style="571"/>
    <col min="9947" max="9947" width="3.44140625" style="571" customWidth="1"/>
    <col min="9948" max="9949" width="9.109375" style="571"/>
    <col min="9950" max="9950" width="11.44140625" style="571" customWidth="1"/>
    <col min="9951" max="9951" width="2.77734375" style="571" customWidth="1"/>
    <col min="9952" max="10134" width="9.109375" style="571"/>
    <col min="10135" max="10135" width="9.5546875" style="571" customWidth="1"/>
    <col min="10136" max="10136" width="11" style="571" customWidth="1"/>
    <col min="10137" max="10138" width="11.21875" style="571" customWidth="1"/>
    <col min="10139" max="10139" width="11.5546875" style="571" customWidth="1"/>
    <col min="10140" max="10140" width="11.109375" style="571" customWidth="1"/>
    <col min="10141" max="10141" width="2" style="571" customWidth="1"/>
    <col min="10142" max="10142" width="13.5546875" style="571" customWidth="1"/>
    <col min="10143" max="10143" width="12.44140625" style="571" customWidth="1"/>
    <col min="10144" max="10144" width="13.5546875" style="571" customWidth="1"/>
    <col min="10145" max="10145" width="2.109375" style="571" customWidth="1"/>
    <col min="10146" max="10146" width="9.109375" style="571"/>
    <col min="10147" max="10147" width="10.21875" style="571" customWidth="1"/>
    <col min="10148" max="10148" width="1.88671875" style="571" customWidth="1"/>
    <col min="10149" max="10149" width="10.77734375" style="571" customWidth="1"/>
    <col min="10150" max="10150" width="9.109375" style="571"/>
    <col min="10151" max="10151" width="2.109375" style="571" customWidth="1"/>
    <col min="10152" max="10152" width="9.109375" style="571"/>
    <col min="10153" max="10153" width="11.21875" style="571" customWidth="1"/>
    <col min="10154" max="10154" width="12.77734375" style="571" customWidth="1"/>
    <col min="10155" max="10155" width="12.5546875" style="571" customWidth="1"/>
    <col min="10156" max="10156" width="2" style="571" customWidth="1"/>
    <col min="10157" max="10158" width="9.109375" style="571"/>
    <col min="10159" max="10159" width="11" style="571" customWidth="1"/>
    <col min="10160" max="10160" width="9.109375" style="571"/>
    <col min="10161" max="10161" width="2.21875" style="571" customWidth="1"/>
    <col min="10162" max="10162" width="11" style="571" customWidth="1"/>
    <col min="10163" max="10163" width="9.109375" style="571"/>
    <col min="10164" max="10164" width="11.5546875" style="571" customWidth="1"/>
    <col min="10165" max="10165" width="11.21875" style="571" customWidth="1"/>
    <col min="10166" max="10166" width="2.88671875" style="571" customWidth="1"/>
    <col min="10167" max="10168" width="9.109375" style="571"/>
    <col min="10169" max="10169" width="11.21875" style="571" customWidth="1"/>
    <col min="10170" max="10170" width="2.21875" style="571" customWidth="1"/>
    <col min="10171" max="10171" width="9.109375" style="571"/>
    <col min="10172" max="10172" width="10.44140625" style="571" customWidth="1"/>
    <col min="10173" max="10173" width="9.109375" style="571"/>
    <col min="10174" max="10174" width="11.109375" style="571" customWidth="1"/>
    <col min="10175" max="10176" width="9.109375" style="571"/>
    <col min="10177" max="10177" width="10.88671875" style="571" customWidth="1"/>
    <col min="10178" max="10179" width="9.109375" style="571"/>
    <col min="10180" max="10180" width="1.5546875" style="571" customWidth="1"/>
    <col min="10181" max="10181" width="9.77734375" style="571" customWidth="1"/>
    <col min="10182" max="10185" width="9.109375" style="571"/>
    <col min="10186" max="10186" width="1.88671875" style="571" customWidth="1"/>
    <col min="10187" max="10187" width="9.88671875" style="571" customWidth="1"/>
    <col min="10188" max="10188" width="1.5546875" style="571" customWidth="1"/>
    <col min="10189" max="10189" width="11.44140625" style="571" customWidth="1"/>
    <col min="10190" max="10190" width="2.21875" style="571" customWidth="1"/>
    <col min="10191" max="10191" width="12" style="571" customWidth="1"/>
    <col min="10192" max="10192" width="2" style="571" customWidth="1"/>
    <col min="10193" max="10193" width="9.109375" style="571"/>
    <col min="10194" max="10194" width="11.109375" style="571" customWidth="1"/>
    <col min="10195" max="10195" width="12" style="571" customWidth="1"/>
    <col min="10196" max="10196" width="9.109375" style="571"/>
    <col min="10197" max="10197" width="11.88671875" style="571" customWidth="1"/>
    <col min="10198" max="10198" width="14.21875" style="571" customWidth="1"/>
    <col min="10199" max="10202" width="9.109375" style="571"/>
    <col min="10203" max="10203" width="3.44140625" style="571" customWidth="1"/>
    <col min="10204" max="10205" width="9.109375" style="571"/>
    <col min="10206" max="10206" width="11.44140625" style="571" customWidth="1"/>
    <col min="10207" max="10207" width="2.77734375" style="571" customWidth="1"/>
    <col min="10208" max="10390" width="9.109375" style="571"/>
    <col min="10391" max="10391" width="9.5546875" style="571" customWidth="1"/>
    <col min="10392" max="10392" width="11" style="571" customWidth="1"/>
    <col min="10393" max="10394" width="11.21875" style="571" customWidth="1"/>
    <col min="10395" max="10395" width="11.5546875" style="571" customWidth="1"/>
    <col min="10396" max="10396" width="11.109375" style="571" customWidth="1"/>
    <col min="10397" max="10397" width="2" style="571" customWidth="1"/>
    <col min="10398" max="10398" width="13.5546875" style="571" customWidth="1"/>
    <col min="10399" max="10399" width="12.44140625" style="571" customWidth="1"/>
    <col min="10400" max="10400" width="13.5546875" style="571" customWidth="1"/>
    <col min="10401" max="10401" width="2.109375" style="571" customWidth="1"/>
    <col min="10402" max="10402" width="9.109375" style="571"/>
    <col min="10403" max="10403" width="10.21875" style="571" customWidth="1"/>
    <col min="10404" max="10404" width="1.88671875" style="571" customWidth="1"/>
    <col min="10405" max="10405" width="10.77734375" style="571" customWidth="1"/>
    <col min="10406" max="10406" width="9.109375" style="571"/>
    <col min="10407" max="10407" width="2.109375" style="571" customWidth="1"/>
    <col min="10408" max="10408" width="9.109375" style="571"/>
    <col min="10409" max="10409" width="11.21875" style="571" customWidth="1"/>
    <col min="10410" max="10410" width="12.77734375" style="571" customWidth="1"/>
    <col min="10411" max="10411" width="12.5546875" style="571" customWidth="1"/>
    <col min="10412" max="10412" width="2" style="571" customWidth="1"/>
    <col min="10413" max="10414" width="9.109375" style="571"/>
    <col min="10415" max="10415" width="11" style="571" customWidth="1"/>
    <col min="10416" max="10416" width="9.109375" style="571"/>
    <col min="10417" max="10417" width="2.21875" style="571" customWidth="1"/>
    <col min="10418" max="10418" width="11" style="571" customWidth="1"/>
    <col min="10419" max="10419" width="9.109375" style="571"/>
    <col min="10420" max="10420" width="11.5546875" style="571" customWidth="1"/>
    <col min="10421" max="10421" width="11.21875" style="571" customWidth="1"/>
    <col min="10422" max="10422" width="2.88671875" style="571" customWidth="1"/>
    <col min="10423" max="10424" width="9.109375" style="571"/>
    <col min="10425" max="10425" width="11.21875" style="571" customWidth="1"/>
    <col min="10426" max="10426" width="2.21875" style="571" customWidth="1"/>
    <col min="10427" max="10427" width="9.109375" style="571"/>
    <col min="10428" max="10428" width="10.44140625" style="571" customWidth="1"/>
    <col min="10429" max="10429" width="9.109375" style="571"/>
    <col min="10430" max="10430" width="11.109375" style="571" customWidth="1"/>
    <col min="10431" max="10432" width="9.109375" style="571"/>
    <col min="10433" max="10433" width="10.88671875" style="571" customWidth="1"/>
    <col min="10434" max="10435" width="9.109375" style="571"/>
    <col min="10436" max="10436" width="1.5546875" style="571" customWidth="1"/>
    <col min="10437" max="10437" width="9.77734375" style="571" customWidth="1"/>
    <col min="10438" max="10441" width="9.109375" style="571"/>
    <col min="10442" max="10442" width="1.88671875" style="571" customWidth="1"/>
    <col min="10443" max="10443" width="9.88671875" style="571" customWidth="1"/>
    <col min="10444" max="10444" width="1.5546875" style="571" customWidth="1"/>
    <col min="10445" max="10445" width="11.44140625" style="571" customWidth="1"/>
    <col min="10446" max="10446" width="2.21875" style="571" customWidth="1"/>
    <col min="10447" max="10447" width="12" style="571" customWidth="1"/>
    <col min="10448" max="10448" width="2" style="571" customWidth="1"/>
    <col min="10449" max="10449" width="9.109375" style="571"/>
    <col min="10450" max="10450" width="11.109375" style="571" customWidth="1"/>
    <col min="10451" max="10451" width="12" style="571" customWidth="1"/>
    <col min="10452" max="10452" width="9.109375" style="571"/>
    <col min="10453" max="10453" width="11.88671875" style="571" customWidth="1"/>
    <col min="10454" max="10454" width="14.21875" style="571" customWidth="1"/>
    <col min="10455" max="10458" width="9.109375" style="571"/>
    <col min="10459" max="10459" width="3.44140625" style="571" customWidth="1"/>
    <col min="10460" max="10461" width="9.109375" style="571"/>
    <col min="10462" max="10462" width="11.44140625" style="571" customWidth="1"/>
    <col min="10463" max="10463" width="2.77734375" style="571" customWidth="1"/>
    <col min="10464" max="10646" width="9.109375" style="571"/>
    <col min="10647" max="10647" width="9.5546875" style="571" customWidth="1"/>
    <col min="10648" max="10648" width="11" style="571" customWidth="1"/>
    <col min="10649" max="10650" width="11.21875" style="571" customWidth="1"/>
    <col min="10651" max="10651" width="11.5546875" style="571" customWidth="1"/>
    <col min="10652" max="10652" width="11.109375" style="571" customWidth="1"/>
    <col min="10653" max="10653" width="2" style="571" customWidth="1"/>
    <col min="10654" max="10654" width="13.5546875" style="571" customWidth="1"/>
    <col min="10655" max="10655" width="12.44140625" style="571" customWidth="1"/>
    <col min="10656" max="10656" width="13.5546875" style="571" customWidth="1"/>
    <col min="10657" max="10657" width="2.109375" style="571" customWidth="1"/>
    <col min="10658" max="10658" width="9.109375" style="571"/>
    <col min="10659" max="10659" width="10.21875" style="571" customWidth="1"/>
    <col min="10660" max="10660" width="1.88671875" style="571" customWidth="1"/>
    <col min="10661" max="10661" width="10.77734375" style="571" customWidth="1"/>
    <col min="10662" max="10662" width="9.109375" style="571"/>
    <col min="10663" max="10663" width="2.109375" style="571" customWidth="1"/>
    <col min="10664" max="10664" width="9.109375" style="571"/>
    <col min="10665" max="10665" width="11.21875" style="571" customWidth="1"/>
    <col min="10666" max="10666" width="12.77734375" style="571" customWidth="1"/>
    <col min="10667" max="10667" width="12.5546875" style="571" customWidth="1"/>
    <col min="10668" max="10668" width="2" style="571" customWidth="1"/>
    <col min="10669" max="10670" width="9.109375" style="571"/>
    <col min="10671" max="10671" width="11" style="571" customWidth="1"/>
    <col min="10672" max="10672" width="9.109375" style="571"/>
    <col min="10673" max="10673" width="2.21875" style="571" customWidth="1"/>
    <col min="10674" max="10674" width="11" style="571" customWidth="1"/>
    <col min="10675" max="10675" width="9.109375" style="571"/>
    <col min="10676" max="10676" width="11.5546875" style="571" customWidth="1"/>
    <col min="10677" max="10677" width="11.21875" style="571" customWidth="1"/>
    <col min="10678" max="10678" width="2.88671875" style="571" customWidth="1"/>
    <col min="10679" max="10680" width="9.109375" style="571"/>
    <col min="10681" max="10681" width="11.21875" style="571" customWidth="1"/>
    <col min="10682" max="10682" width="2.21875" style="571" customWidth="1"/>
    <col min="10683" max="10683" width="9.109375" style="571"/>
    <col min="10684" max="10684" width="10.44140625" style="571" customWidth="1"/>
    <col min="10685" max="10685" width="9.109375" style="571"/>
    <col min="10686" max="10686" width="11.109375" style="571" customWidth="1"/>
    <col min="10687" max="10688" width="9.109375" style="571"/>
    <col min="10689" max="10689" width="10.88671875" style="571" customWidth="1"/>
    <col min="10690" max="10691" width="9.109375" style="571"/>
    <col min="10692" max="10692" width="1.5546875" style="571" customWidth="1"/>
    <col min="10693" max="10693" width="9.77734375" style="571" customWidth="1"/>
    <col min="10694" max="10697" width="9.109375" style="571"/>
    <col min="10698" max="10698" width="1.88671875" style="571" customWidth="1"/>
    <col min="10699" max="10699" width="9.88671875" style="571" customWidth="1"/>
    <col min="10700" max="10700" width="1.5546875" style="571" customWidth="1"/>
    <col min="10701" max="10701" width="11.44140625" style="571" customWidth="1"/>
    <col min="10702" max="10702" width="2.21875" style="571" customWidth="1"/>
    <col min="10703" max="10703" width="12" style="571" customWidth="1"/>
    <col min="10704" max="10704" width="2" style="571" customWidth="1"/>
    <col min="10705" max="10705" width="9.109375" style="571"/>
    <col min="10706" max="10706" width="11.109375" style="571" customWidth="1"/>
    <col min="10707" max="10707" width="12" style="571" customWidth="1"/>
    <col min="10708" max="10708" width="9.109375" style="571"/>
    <col min="10709" max="10709" width="11.88671875" style="571" customWidth="1"/>
    <col min="10710" max="10710" width="14.21875" style="571" customWidth="1"/>
    <col min="10711" max="10714" width="9.109375" style="571"/>
    <col min="10715" max="10715" width="3.44140625" style="571" customWidth="1"/>
    <col min="10716" max="10717" width="9.109375" style="571"/>
    <col min="10718" max="10718" width="11.44140625" style="571" customWidth="1"/>
    <col min="10719" max="10719" width="2.77734375" style="571" customWidth="1"/>
    <col min="10720" max="10902" width="9.109375" style="571"/>
    <col min="10903" max="10903" width="9.5546875" style="571" customWidth="1"/>
    <col min="10904" max="10904" width="11" style="571" customWidth="1"/>
    <col min="10905" max="10906" width="11.21875" style="571" customWidth="1"/>
    <col min="10907" max="10907" width="11.5546875" style="571" customWidth="1"/>
    <col min="10908" max="10908" width="11.109375" style="571" customWidth="1"/>
    <col min="10909" max="10909" width="2" style="571" customWidth="1"/>
    <col min="10910" max="10910" width="13.5546875" style="571" customWidth="1"/>
    <col min="10911" max="10911" width="12.44140625" style="571" customWidth="1"/>
    <col min="10912" max="10912" width="13.5546875" style="571" customWidth="1"/>
    <col min="10913" max="10913" width="2.109375" style="571" customWidth="1"/>
    <col min="10914" max="10914" width="9.109375" style="571"/>
    <col min="10915" max="10915" width="10.21875" style="571" customWidth="1"/>
    <col min="10916" max="10916" width="1.88671875" style="571" customWidth="1"/>
    <col min="10917" max="10917" width="10.77734375" style="571" customWidth="1"/>
    <col min="10918" max="10918" width="9.109375" style="571"/>
    <col min="10919" max="10919" width="2.109375" style="571" customWidth="1"/>
    <col min="10920" max="10920" width="9.109375" style="571"/>
    <col min="10921" max="10921" width="11.21875" style="571" customWidth="1"/>
    <col min="10922" max="10922" width="12.77734375" style="571" customWidth="1"/>
    <col min="10923" max="10923" width="12.5546875" style="571" customWidth="1"/>
    <col min="10924" max="10924" width="2" style="571" customWidth="1"/>
    <col min="10925" max="10926" width="9.109375" style="571"/>
    <col min="10927" max="10927" width="11" style="571" customWidth="1"/>
    <col min="10928" max="10928" width="9.109375" style="571"/>
    <col min="10929" max="10929" width="2.21875" style="571" customWidth="1"/>
    <col min="10930" max="10930" width="11" style="571" customWidth="1"/>
    <col min="10931" max="10931" width="9.109375" style="571"/>
    <col min="10932" max="10932" width="11.5546875" style="571" customWidth="1"/>
    <col min="10933" max="10933" width="11.21875" style="571" customWidth="1"/>
    <col min="10934" max="10934" width="2.88671875" style="571" customWidth="1"/>
    <col min="10935" max="10936" width="9.109375" style="571"/>
    <col min="10937" max="10937" width="11.21875" style="571" customWidth="1"/>
    <col min="10938" max="10938" width="2.21875" style="571" customWidth="1"/>
    <col min="10939" max="10939" width="9.109375" style="571"/>
    <col min="10940" max="10940" width="10.44140625" style="571" customWidth="1"/>
    <col min="10941" max="10941" width="9.109375" style="571"/>
    <col min="10942" max="10942" width="11.109375" style="571" customWidth="1"/>
    <col min="10943" max="10944" width="9.109375" style="571"/>
    <col min="10945" max="10945" width="10.88671875" style="571" customWidth="1"/>
    <col min="10946" max="10947" width="9.109375" style="571"/>
    <col min="10948" max="10948" width="1.5546875" style="571" customWidth="1"/>
    <col min="10949" max="10949" width="9.77734375" style="571" customWidth="1"/>
    <col min="10950" max="10953" width="9.109375" style="571"/>
    <col min="10954" max="10954" width="1.88671875" style="571" customWidth="1"/>
    <col min="10955" max="10955" width="9.88671875" style="571" customWidth="1"/>
    <col min="10956" max="10956" width="1.5546875" style="571" customWidth="1"/>
    <col min="10957" max="10957" width="11.44140625" style="571" customWidth="1"/>
    <col min="10958" max="10958" width="2.21875" style="571" customWidth="1"/>
    <col min="10959" max="10959" width="12" style="571" customWidth="1"/>
    <col min="10960" max="10960" width="2" style="571" customWidth="1"/>
    <col min="10961" max="10961" width="9.109375" style="571"/>
    <col min="10962" max="10962" width="11.109375" style="571" customWidth="1"/>
    <col min="10963" max="10963" width="12" style="571" customWidth="1"/>
    <col min="10964" max="10964" width="9.109375" style="571"/>
    <col min="10965" max="10965" width="11.88671875" style="571" customWidth="1"/>
    <col min="10966" max="10966" width="14.21875" style="571" customWidth="1"/>
    <col min="10967" max="10970" width="9.109375" style="571"/>
    <col min="10971" max="10971" width="3.44140625" style="571" customWidth="1"/>
    <col min="10972" max="10973" width="9.109375" style="571"/>
    <col min="10974" max="10974" width="11.44140625" style="571" customWidth="1"/>
    <col min="10975" max="10975" width="2.77734375" style="571" customWidth="1"/>
    <col min="10976" max="11158" width="9.109375" style="571"/>
    <col min="11159" max="11159" width="9.5546875" style="571" customWidth="1"/>
    <col min="11160" max="11160" width="11" style="571" customWidth="1"/>
    <col min="11161" max="11162" width="11.21875" style="571" customWidth="1"/>
    <col min="11163" max="11163" width="11.5546875" style="571" customWidth="1"/>
    <col min="11164" max="11164" width="11.109375" style="571" customWidth="1"/>
    <col min="11165" max="11165" width="2" style="571" customWidth="1"/>
    <col min="11166" max="11166" width="13.5546875" style="571" customWidth="1"/>
    <col min="11167" max="11167" width="12.44140625" style="571" customWidth="1"/>
    <col min="11168" max="11168" width="13.5546875" style="571" customWidth="1"/>
    <col min="11169" max="11169" width="2.109375" style="571" customWidth="1"/>
    <col min="11170" max="11170" width="9.109375" style="571"/>
    <col min="11171" max="11171" width="10.21875" style="571" customWidth="1"/>
    <col min="11172" max="11172" width="1.88671875" style="571" customWidth="1"/>
    <col min="11173" max="11173" width="10.77734375" style="571" customWidth="1"/>
    <col min="11174" max="11174" width="9.109375" style="571"/>
    <col min="11175" max="11175" width="2.109375" style="571" customWidth="1"/>
    <col min="11176" max="11176" width="9.109375" style="571"/>
    <col min="11177" max="11177" width="11.21875" style="571" customWidth="1"/>
    <col min="11178" max="11178" width="12.77734375" style="571" customWidth="1"/>
    <col min="11179" max="11179" width="12.5546875" style="571" customWidth="1"/>
    <col min="11180" max="11180" width="2" style="571" customWidth="1"/>
    <col min="11181" max="11182" width="9.109375" style="571"/>
    <col min="11183" max="11183" width="11" style="571" customWidth="1"/>
    <col min="11184" max="11184" width="9.109375" style="571"/>
    <col min="11185" max="11185" width="2.21875" style="571" customWidth="1"/>
    <col min="11186" max="11186" width="11" style="571" customWidth="1"/>
    <col min="11187" max="11187" width="9.109375" style="571"/>
    <col min="11188" max="11188" width="11.5546875" style="571" customWidth="1"/>
    <col min="11189" max="11189" width="11.21875" style="571" customWidth="1"/>
    <col min="11190" max="11190" width="2.88671875" style="571" customWidth="1"/>
    <col min="11191" max="11192" width="9.109375" style="571"/>
    <col min="11193" max="11193" width="11.21875" style="571" customWidth="1"/>
    <col min="11194" max="11194" width="2.21875" style="571" customWidth="1"/>
    <col min="11195" max="11195" width="9.109375" style="571"/>
    <col min="11196" max="11196" width="10.44140625" style="571" customWidth="1"/>
    <col min="11197" max="11197" width="9.109375" style="571"/>
    <col min="11198" max="11198" width="11.109375" style="571" customWidth="1"/>
    <col min="11199" max="11200" width="9.109375" style="571"/>
    <col min="11201" max="11201" width="10.88671875" style="571" customWidth="1"/>
    <col min="11202" max="11203" width="9.109375" style="571"/>
    <col min="11204" max="11204" width="1.5546875" style="571" customWidth="1"/>
    <col min="11205" max="11205" width="9.77734375" style="571" customWidth="1"/>
    <col min="11206" max="11209" width="9.109375" style="571"/>
    <col min="11210" max="11210" width="1.88671875" style="571" customWidth="1"/>
    <col min="11211" max="11211" width="9.88671875" style="571" customWidth="1"/>
    <col min="11212" max="11212" width="1.5546875" style="571" customWidth="1"/>
    <col min="11213" max="11213" width="11.44140625" style="571" customWidth="1"/>
    <col min="11214" max="11214" width="2.21875" style="571" customWidth="1"/>
    <col min="11215" max="11215" width="12" style="571" customWidth="1"/>
    <col min="11216" max="11216" width="2" style="571" customWidth="1"/>
    <col min="11217" max="11217" width="9.109375" style="571"/>
    <col min="11218" max="11218" width="11.109375" style="571" customWidth="1"/>
    <col min="11219" max="11219" width="12" style="571" customWidth="1"/>
    <col min="11220" max="11220" width="9.109375" style="571"/>
    <col min="11221" max="11221" width="11.88671875" style="571" customWidth="1"/>
    <col min="11222" max="11222" width="14.21875" style="571" customWidth="1"/>
    <col min="11223" max="11226" width="9.109375" style="571"/>
    <col min="11227" max="11227" width="3.44140625" style="571" customWidth="1"/>
    <col min="11228" max="11229" width="9.109375" style="571"/>
    <col min="11230" max="11230" width="11.44140625" style="571" customWidth="1"/>
    <col min="11231" max="11231" width="2.77734375" style="571" customWidth="1"/>
    <col min="11232" max="11414" width="9.109375" style="571"/>
    <col min="11415" max="11415" width="9.5546875" style="571" customWidth="1"/>
    <col min="11416" max="11416" width="11" style="571" customWidth="1"/>
    <col min="11417" max="11418" width="11.21875" style="571" customWidth="1"/>
    <col min="11419" max="11419" width="11.5546875" style="571" customWidth="1"/>
    <col min="11420" max="11420" width="11.109375" style="571" customWidth="1"/>
    <col min="11421" max="11421" width="2" style="571" customWidth="1"/>
    <col min="11422" max="11422" width="13.5546875" style="571" customWidth="1"/>
    <col min="11423" max="11423" width="12.44140625" style="571" customWidth="1"/>
    <col min="11424" max="11424" width="13.5546875" style="571" customWidth="1"/>
    <col min="11425" max="11425" width="2.109375" style="571" customWidth="1"/>
    <col min="11426" max="11426" width="9.109375" style="571"/>
    <col min="11427" max="11427" width="10.21875" style="571" customWidth="1"/>
    <col min="11428" max="11428" width="1.88671875" style="571" customWidth="1"/>
    <col min="11429" max="11429" width="10.77734375" style="571" customWidth="1"/>
    <col min="11430" max="11430" width="9.109375" style="571"/>
    <col min="11431" max="11431" width="2.109375" style="571" customWidth="1"/>
    <col min="11432" max="11432" width="9.109375" style="571"/>
    <col min="11433" max="11433" width="11.21875" style="571" customWidth="1"/>
    <col min="11434" max="11434" width="12.77734375" style="571" customWidth="1"/>
    <col min="11435" max="11435" width="12.5546875" style="571" customWidth="1"/>
    <col min="11436" max="11436" width="2" style="571" customWidth="1"/>
    <col min="11437" max="11438" width="9.109375" style="571"/>
    <col min="11439" max="11439" width="11" style="571" customWidth="1"/>
    <col min="11440" max="11440" width="9.109375" style="571"/>
    <col min="11441" max="11441" width="2.21875" style="571" customWidth="1"/>
    <col min="11442" max="11442" width="11" style="571" customWidth="1"/>
    <col min="11443" max="11443" width="9.109375" style="571"/>
    <col min="11444" max="11444" width="11.5546875" style="571" customWidth="1"/>
    <col min="11445" max="11445" width="11.21875" style="571" customWidth="1"/>
    <col min="11446" max="11446" width="2.88671875" style="571" customWidth="1"/>
    <col min="11447" max="11448" width="9.109375" style="571"/>
    <col min="11449" max="11449" width="11.21875" style="571" customWidth="1"/>
    <col min="11450" max="11450" width="2.21875" style="571" customWidth="1"/>
    <col min="11451" max="11451" width="9.109375" style="571"/>
    <col min="11452" max="11452" width="10.44140625" style="571" customWidth="1"/>
    <col min="11453" max="11453" width="9.109375" style="571"/>
    <col min="11454" max="11454" width="11.109375" style="571" customWidth="1"/>
    <col min="11455" max="11456" width="9.109375" style="571"/>
    <col min="11457" max="11457" width="10.88671875" style="571" customWidth="1"/>
    <col min="11458" max="11459" width="9.109375" style="571"/>
    <col min="11460" max="11460" width="1.5546875" style="571" customWidth="1"/>
    <col min="11461" max="11461" width="9.77734375" style="571" customWidth="1"/>
    <col min="11462" max="11465" width="9.109375" style="571"/>
    <col min="11466" max="11466" width="1.88671875" style="571" customWidth="1"/>
    <col min="11467" max="11467" width="9.88671875" style="571" customWidth="1"/>
    <col min="11468" max="11468" width="1.5546875" style="571" customWidth="1"/>
    <col min="11469" max="11469" width="11.44140625" style="571" customWidth="1"/>
    <col min="11470" max="11470" width="2.21875" style="571" customWidth="1"/>
    <col min="11471" max="11471" width="12" style="571" customWidth="1"/>
    <col min="11472" max="11472" width="2" style="571" customWidth="1"/>
    <col min="11473" max="11473" width="9.109375" style="571"/>
    <col min="11474" max="11474" width="11.109375" style="571" customWidth="1"/>
    <col min="11475" max="11475" width="12" style="571" customWidth="1"/>
    <col min="11476" max="11476" width="9.109375" style="571"/>
    <col min="11477" max="11477" width="11.88671875" style="571" customWidth="1"/>
    <col min="11478" max="11478" width="14.21875" style="571" customWidth="1"/>
    <col min="11479" max="11482" width="9.109375" style="571"/>
    <col min="11483" max="11483" width="3.44140625" style="571" customWidth="1"/>
    <col min="11484" max="11485" width="9.109375" style="571"/>
    <col min="11486" max="11486" width="11.44140625" style="571" customWidth="1"/>
    <col min="11487" max="11487" width="2.77734375" style="571" customWidth="1"/>
    <col min="11488" max="11670" width="9.109375" style="571"/>
    <col min="11671" max="11671" width="9.5546875" style="571" customWidth="1"/>
    <col min="11672" max="11672" width="11" style="571" customWidth="1"/>
    <col min="11673" max="11674" width="11.21875" style="571" customWidth="1"/>
    <col min="11675" max="11675" width="11.5546875" style="571" customWidth="1"/>
    <col min="11676" max="11676" width="11.109375" style="571" customWidth="1"/>
    <col min="11677" max="11677" width="2" style="571" customWidth="1"/>
    <col min="11678" max="11678" width="13.5546875" style="571" customWidth="1"/>
    <col min="11679" max="11679" width="12.44140625" style="571" customWidth="1"/>
    <col min="11680" max="11680" width="13.5546875" style="571" customWidth="1"/>
    <col min="11681" max="11681" width="2.109375" style="571" customWidth="1"/>
    <col min="11682" max="11682" width="9.109375" style="571"/>
    <col min="11683" max="11683" width="10.21875" style="571" customWidth="1"/>
    <col min="11684" max="11684" width="1.88671875" style="571" customWidth="1"/>
    <col min="11685" max="11685" width="10.77734375" style="571" customWidth="1"/>
    <col min="11686" max="11686" width="9.109375" style="571"/>
    <col min="11687" max="11687" width="2.109375" style="571" customWidth="1"/>
    <col min="11688" max="11688" width="9.109375" style="571"/>
    <col min="11689" max="11689" width="11.21875" style="571" customWidth="1"/>
    <col min="11690" max="11690" width="12.77734375" style="571" customWidth="1"/>
    <col min="11691" max="11691" width="12.5546875" style="571" customWidth="1"/>
    <col min="11692" max="11692" width="2" style="571" customWidth="1"/>
    <col min="11693" max="11694" width="9.109375" style="571"/>
    <col min="11695" max="11695" width="11" style="571" customWidth="1"/>
    <col min="11696" max="11696" width="9.109375" style="571"/>
    <col min="11697" max="11697" width="2.21875" style="571" customWidth="1"/>
    <col min="11698" max="11698" width="11" style="571" customWidth="1"/>
    <col min="11699" max="11699" width="9.109375" style="571"/>
    <col min="11700" max="11700" width="11.5546875" style="571" customWidth="1"/>
    <col min="11701" max="11701" width="11.21875" style="571" customWidth="1"/>
    <col min="11702" max="11702" width="2.88671875" style="571" customWidth="1"/>
    <col min="11703" max="11704" width="9.109375" style="571"/>
    <col min="11705" max="11705" width="11.21875" style="571" customWidth="1"/>
    <col min="11706" max="11706" width="2.21875" style="571" customWidth="1"/>
    <col min="11707" max="11707" width="9.109375" style="571"/>
    <col min="11708" max="11708" width="10.44140625" style="571" customWidth="1"/>
    <col min="11709" max="11709" width="9.109375" style="571"/>
    <col min="11710" max="11710" width="11.109375" style="571" customWidth="1"/>
    <col min="11711" max="11712" width="9.109375" style="571"/>
    <col min="11713" max="11713" width="10.88671875" style="571" customWidth="1"/>
    <col min="11714" max="11715" width="9.109375" style="571"/>
    <col min="11716" max="11716" width="1.5546875" style="571" customWidth="1"/>
    <col min="11717" max="11717" width="9.77734375" style="571" customWidth="1"/>
    <col min="11718" max="11721" width="9.109375" style="571"/>
    <col min="11722" max="11722" width="1.88671875" style="571" customWidth="1"/>
    <col min="11723" max="11723" width="9.88671875" style="571" customWidth="1"/>
    <col min="11724" max="11724" width="1.5546875" style="571" customWidth="1"/>
    <col min="11725" max="11725" width="11.44140625" style="571" customWidth="1"/>
    <col min="11726" max="11726" width="2.21875" style="571" customWidth="1"/>
    <col min="11727" max="11727" width="12" style="571" customWidth="1"/>
    <col min="11728" max="11728" width="2" style="571" customWidth="1"/>
    <col min="11729" max="11729" width="9.109375" style="571"/>
    <col min="11730" max="11730" width="11.109375" style="571" customWidth="1"/>
    <col min="11731" max="11731" width="12" style="571" customWidth="1"/>
    <col min="11732" max="11732" width="9.109375" style="571"/>
    <col min="11733" max="11733" width="11.88671875" style="571" customWidth="1"/>
    <col min="11734" max="11734" width="14.21875" style="571" customWidth="1"/>
    <col min="11735" max="11738" width="9.109375" style="571"/>
    <col min="11739" max="11739" width="3.44140625" style="571" customWidth="1"/>
    <col min="11740" max="11741" width="9.109375" style="571"/>
    <col min="11742" max="11742" width="11.44140625" style="571" customWidth="1"/>
    <col min="11743" max="11743" width="2.77734375" style="571" customWidth="1"/>
    <col min="11744" max="11926" width="9.109375" style="571"/>
    <col min="11927" max="11927" width="9.5546875" style="571" customWidth="1"/>
    <col min="11928" max="11928" width="11" style="571" customWidth="1"/>
    <col min="11929" max="11930" width="11.21875" style="571" customWidth="1"/>
    <col min="11931" max="11931" width="11.5546875" style="571" customWidth="1"/>
    <col min="11932" max="11932" width="11.109375" style="571" customWidth="1"/>
    <col min="11933" max="11933" width="2" style="571" customWidth="1"/>
    <col min="11934" max="11934" width="13.5546875" style="571" customWidth="1"/>
    <col min="11935" max="11935" width="12.44140625" style="571" customWidth="1"/>
    <col min="11936" max="11936" width="13.5546875" style="571" customWidth="1"/>
    <col min="11937" max="11937" width="2.109375" style="571" customWidth="1"/>
    <col min="11938" max="11938" width="9.109375" style="571"/>
    <col min="11939" max="11939" width="10.21875" style="571" customWidth="1"/>
    <col min="11940" max="11940" width="1.88671875" style="571" customWidth="1"/>
    <col min="11941" max="11941" width="10.77734375" style="571" customWidth="1"/>
    <col min="11942" max="11942" width="9.109375" style="571"/>
    <col min="11943" max="11943" width="2.109375" style="571" customWidth="1"/>
    <col min="11944" max="11944" width="9.109375" style="571"/>
    <col min="11945" max="11945" width="11.21875" style="571" customWidth="1"/>
    <col min="11946" max="11946" width="12.77734375" style="571" customWidth="1"/>
    <col min="11947" max="11947" width="12.5546875" style="571" customWidth="1"/>
    <col min="11948" max="11948" width="2" style="571" customWidth="1"/>
    <col min="11949" max="11950" width="9.109375" style="571"/>
    <col min="11951" max="11951" width="11" style="571" customWidth="1"/>
    <col min="11952" max="11952" width="9.109375" style="571"/>
    <col min="11953" max="11953" width="2.21875" style="571" customWidth="1"/>
    <col min="11954" max="11954" width="11" style="571" customWidth="1"/>
    <col min="11955" max="11955" width="9.109375" style="571"/>
    <col min="11956" max="11956" width="11.5546875" style="571" customWidth="1"/>
    <col min="11957" max="11957" width="11.21875" style="571" customWidth="1"/>
    <col min="11958" max="11958" width="2.88671875" style="571" customWidth="1"/>
    <col min="11959" max="11960" width="9.109375" style="571"/>
    <col min="11961" max="11961" width="11.21875" style="571" customWidth="1"/>
    <col min="11962" max="11962" width="2.21875" style="571" customWidth="1"/>
    <col min="11963" max="11963" width="9.109375" style="571"/>
    <col min="11964" max="11964" width="10.44140625" style="571" customWidth="1"/>
    <col min="11965" max="11965" width="9.109375" style="571"/>
    <col min="11966" max="11966" width="11.109375" style="571" customWidth="1"/>
    <col min="11967" max="11968" width="9.109375" style="571"/>
    <col min="11969" max="11969" width="10.88671875" style="571" customWidth="1"/>
    <col min="11970" max="11971" width="9.109375" style="571"/>
    <col min="11972" max="11972" width="1.5546875" style="571" customWidth="1"/>
    <col min="11973" max="11973" width="9.77734375" style="571" customWidth="1"/>
    <col min="11974" max="11977" width="9.109375" style="571"/>
    <col min="11978" max="11978" width="1.88671875" style="571" customWidth="1"/>
    <col min="11979" max="11979" width="9.88671875" style="571" customWidth="1"/>
    <col min="11980" max="11980" width="1.5546875" style="571" customWidth="1"/>
    <col min="11981" max="11981" width="11.44140625" style="571" customWidth="1"/>
    <col min="11982" max="11982" width="2.21875" style="571" customWidth="1"/>
    <col min="11983" max="11983" width="12" style="571" customWidth="1"/>
    <col min="11984" max="11984" width="2" style="571" customWidth="1"/>
    <col min="11985" max="11985" width="9.109375" style="571"/>
    <col min="11986" max="11986" width="11.109375" style="571" customWidth="1"/>
    <col min="11987" max="11987" width="12" style="571" customWidth="1"/>
    <col min="11988" max="11988" width="9.109375" style="571"/>
    <col min="11989" max="11989" width="11.88671875" style="571" customWidth="1"/>
    <col min="11990" max="11990" width="14.21875" style="571" customWidth="1"/>
    <col min="11991" max="11994" width="9.109375" style="571"/>
    <col min="11995" max="11995" width="3.44140625" style="571" customWidth="1"/>
    <col min="11996" max="11997" width="9.109375" style="571"/>
    <col min="11998" max="11998" width="11.44140625" style="571" customWidth="1"/>
    <col min="11999" max="11999" width="2.77734375" style="571" customWidth="1"/>
    <col min="12000" max="12182" width="9.109375" style="571"/>
    <col min="12183" max="12183" width="9.5546875" style="571" customWidth="1"/>
    <col min="12184" max="12184" width="11" style="571" customWidth="1"/>
    <col min="12185" max="12186" width="11.21875" style="571" customWidth="1"/>
    <col min="12187" max="12187" width="11.5546875" style="571" customWidth="1"/>
    <col min="12188" max="12188" width="11.109375" style="571" customWidth="1"/>
    <col min="12189" max="12189" width="2" style="571" customWidth="1"/>
    <col min="12190" max="12190" width="13.5546875" style="571" customWidth="1"/>
    <col min="12191" max="12191" width="12.44140625" style="571" customWidth="1"/>
    <col min="12192" max="12192" width="13.5546875" style="571" customWidth="1"/>
    <col min="12193" max="12193" width="2.109375" style="571" customWidth="1"/>
    <col min="12194" max="12194" width="9.109375" style="571"/>
    <col min="12195" max="12195" width="10.21875" style="571" customWidth="1"/>
    <col min="12196" max="12196" width="1.88671875" style="571" customWidth="1"/>
    <col min="12197" max="12197" width="10.77734375" style="571" customWidth="1"/>
    <col min="12198" max="12198" width="9.109375" style="571"/>
    <col min="12199" max="12199" width="2.109375" style="571" customWidth="1"/>
    <col min="12200" max="12200" width="9.109375" style="571"/>
    <col min="12201" max="12201" width="11.21875" style="571" customWidth="1"/>
    <col min="12202" max="12202" width="12.77734375" style="571" customWidth="1"/>
    <col min="12203" max="12203" width="12.5546875" style="571" customWidth="1"/>
    <col min="12204" max="12204" width="2" style="571" customWidth="1"/>
    <col min="12205" max="12206" width="9.109375" style="571"/>
    <col min="12207" max="12207" width="11" style="571" customWidth="1"/>
    <col min="12208" max="12208" width="9.109375" style="571"/>
    <col min="12209" max="12209" width="2.21875" style="571" customWidth="1"/>
    <col min="12210" max="12210" width="11" style="571" customWidth="1"/>
    <col min="12211" max="12211" width="9.109375" style="571"/>
    <col min="12212" max="12212" width="11.5546875" style="571" customWidth="1"/>
    <col min="12213" max="12213" width="11.21875" style="571" customWidth="1"/>
    <col min="12214" max="12214" width="2.88671875" style="571" customWidth="1"/>
    <col min="12215" max="12216" width="9.109375" style="571"/>
    <col min="12217" max="12217" width="11.21875" style="571" customWidth="1"/>
    <col min="12218" max="12218" width="2.21875" style="571" customWidth="1"/>
    <col min="12219" max="12219" width="9.109375" style="571"/>
    <col min="12220" max="12220" width="10.44140625" style="571" customWidth="1"/>
    <col min="12221" max="12221" width="9.109375" style="571"/>
    <col min="12222" max="12222" width="11.109375" style="571" customWidth="1"/>
    <col min="12223" max="12224" width="9.109375" style="571"/>
    <col min="12225" max="12225" width="10.88671875" style="571" customWidth="1"/>
    <col min="12226" max="12227" width="9.109375" style="571"/>
    <col min="12228" max="12228" width="1.5546875" style="571" customWidth="1"/>
    <col min="12229" max="12229" width="9.77734375" style="571" customWidth="1"/>
    <col min="12230" max="12233" width="9.109375" style="571"/>
    <col min="12234" max="12234" width="1.88671875" style="571" customWidth="1"/>
    <col min="12235" max="12235" width="9.88671875" style="571" customWidth="1"/>
    <col min="12236" max="12236" width="1.5546875" style="571" customWidth="1"/>
    <col min="12237" max="12237" width="11.44140625" style="571" customWidth="1"/>
    <col min="12238" max="12238" width="2.21875" style="571" customWidth="1"/>
    <col min="12239" max="12239" width="12" style="571" customWidth="1"/>
    <col min="12240" max="12240" width="2" style="571" customWidth="1"/>
    <col min="12241" max="12241" width="9.109375" style="571"/>
    <col min="12242" max="12242" width="11.109375" style="571" customWidth="1"/>
    <col min="12243" max="12243" width="12" style="571" customWidth="1"/>
    <col min="12244" max="12244" width="9.109375" style="571"/>
    <col min="12245" max="12245" width="11.88671875" style="571" customWidth="1"/>
    <col min="12246" max="12246" width="14.21875" style="571" customWidth="1"/>
    <col min="12247" max="12250" width="9.109375" style="571"/>
    <col min="12251" max="12251" width="3.44140625" style="571" customWidth="1"/>
    <col min="12252" max="12253" width="9.109375" style="571"/>
    <col min="12254" max="12254" width="11.44140625" style="571" customWidth="1"/>
    <col min="12255" max="12255" width="2.77734375" style="571" customWidth="1"/>
    <col min="12256" max="12438" width="9.109375" style="571"/>
    <col min="12439" max="12439" width="9.5546875" style="571" customWidth="1"/>
    <col min="12440" max="12440" width="11" style="571" customWidth="1"/>
    <col min="12441" max="12442" width="11.21875" style="571" customWidth="1"/>
    <col min="12443" max="12443" width="11.5546875" style="571" customWidth="1"/>
    <col min="12444" max="12444" width="11.109375" style="571" customWidth="1"/>
    <col min="12445" max="12445" width="2" style="571" customWidth="1"/>
    <col min="12446" max="12446" width="13.5546875" style="571" customWidth="1"/>
    <col min="12447" max="12447" width="12.44140625" style="571" customWidth="1"/>
    <col min="12448" max="12448" width="13.5546875" style="571" customWidth="1"/>
    <col min="12449" max="12449" width="2.109375" style="571" customWidth="1"/>
    <col min="12450" max="12450" width="9.109375" style="571"/>
    <col min="12451" max="12451" width="10.21875" style="571" customWidth="1"/>
    <col min="12452" max="12452" width="1.88671875" style="571" customWidth="1"/>
    <col min="12453" max="12453" width="10.77734375" style="571" customWidth="1"/>
    <col min="12454" max="12454" width="9.109375" style="571"/>
    <col min="12455" max="12455" width="2.109375" style="571" customWidth="1"/>
    <col min="12456" max="12456" width="9.109375" style="571"/>
    <col min="12457" max="12457" width="11.21875" style="571" customWidth="1"/>
    <col min="12458" max="12458" width="12.77734375" style="571" customWidth="1"/>
    <col min="12459" max="12459" width="12.5546875" style="571" customWidth="1"/>
    <col min="12460" max="12460" width="2" style="571" customWidth="1"/>
    <col min="12461" max="12462" width="9.109375" style="571"/>
    <col min="12463" max="12463" width="11" style="571" customWidth="1"/>
    <col min="12464" max="12464" width="9.109375" style="571"/>
    <col min="12465" max="12465" width="2.21875" style="571" customWidth="1"/>
    <col min="12466" max="12466" width="11" style="571" customWidth="1"/>
    <col min="12467" max="12467" width="9.109375" style="571"/>
    <col min="12468" max="12468" width="11.5546875" style="571" customWidth="1"/>
    <col min="12469" max="12469" width="11.21875" style="571" customWidth="1"/>
    <col min="12470" max="12470" width="2.88671875" style="571" customWidth="1"/>
    <col min="12471" max="12472" width="9.109375" style="571"/>
    <col min="12473" max="12473" width="11.21875" style="571" customWidth="1"/>
    <col min="12474" max="12474" width="2.21875" style="571" customWidth="1"/>
    <col min="12475" max="12475" width="9.109375" style="571"/>
    <col min="12476" max="12476" width="10.44140625" style="571" customWidth="1"/>
    <col min="12477" max="12477" width="9.109375" style="571"/>
    <col min="12478" max="12478" width="11.109375" style="571" customWidth="1"/>
    <col min="12479" max="12480" width="9.109375" style="571"/>
    <col min="12481" max="12481" width="10.88671875" style="571" customWidth="1"/>
    <col min="12482" max="12483" width="9.109375" style="571"/>
    <col min="12484" max="12484" width="1.5546875" style="571" customWidth="1"/>
    <col min="12485" max="12485" width="9.77734375" style="571" customWidth="1"/>
    <col min="12486" max="12489" width="9.109375" style="571"/>
    <col min="12490" max="12490" width="1.88671875" style="571" customWidth="1"/>
    <col min="12491" max="12491" width="9.88671875" style="571" customWidth="1"/>
    <col min="12492" max="12492" width="1.5546875" style="571" customWidth="1"/>
    <col min="12493" max="12493" width="11.44140625" style="571" customWidth="1"/>
    <col min="12494" max="12494" width="2.21875" style="571" customWidth="1"/>
    <col min="12495" max="12495" width="12" style="571" customWidth="1"/>
    <col min="12496" max="12496" width="2" style="571" customWidth="1"/>
    <col min="12497" max="12497" width="9.109375" style="571"/>
    <col min="12498" max="12498" width="11.109375" style="571" customWidth="1"/>
    <col min="12499" max="12499" width="12" style="571" customWidth="1"/>
    <col min="12500" max="12500" width="9.109375" style="571"/>
    <col min="12501" max="12501" width="11.88671875" style="571" customWidth="1"/>
    <col min="12502" max="12502" width="14.21875" style="571" customWidth="1"/>
    <col min="12503" max="12506" width="9.109375" style="571"/>
    <col min="12507" max="12507" width="3.44140625" style="571" customWidth="1"/>
    <col min="12508" max="12509" width="9.109375" style="571"/>
    <col min="12510" max="12510" width="11.44140625" style="571" customWidth="1"/>
    <col min="12511" max="12511" width="2.77734375" style="571" customWidth="1"/>
    <col min="12512" max="12694" width="9.109375" style="571"/>
    <col min="12695" max="12695" width="9.5546875" style="571" customWidth="1"/>
    <col min="12696" max="12696" width="11" style="571" customWidth="1"/>
    <col min="12697" max="12698" width="11.21875" style="571" customWidth="1"/>
    <col min="12699" max="12699" width="11.5546875" style="571" customWidth="1"/>
    <col min="12700" max="12700" width="11.109375" style="571" customWidth="1"/>
    <col min="12701" max="12701" width="2" style="571" customWidth="1"/>
    <col min="12702" max="12702" width="13.5546875" style="571" customWidth="1"/>
    <col min="12703" max="12703" width="12.44140625" style="571" customWidth="1"/>
    <col min="12704" max="12704" width="13.5546875" style="571" customWidth="1"/>
    <col min="12705" max="12705" width="2.109375" style="571" customWidth="1"/>
    <col min="12706" max="12706" width="9.109375" style="571"/>
    <col min="12707" max="12707" width="10.21875" style="571" customWidth="1"/>
    <col min="12708" max="12708" width="1.88671875" style="571" customWidth="1"/>
    <col min="12709" max="12709" width="10.77734375" style="571" customWidth="1"/>
    <col min="12710" max="12710" width="9.109375" style="571"/>
    <col min="12711" max="12711" width="2.109375" style="571" customWidth="1"/>
    <col min="12712" max="12712" width="9.109375" style="571"/>
    <col min="12713" max="12713" width="11.21875" style="571" customWidth="1"/>
    <col min="12714" max="12714" width="12.77734375" style="571" customWidth="1"/>
    <col min="12715" max="12715" width="12.5546875" style="571" customWidth="1"/>
    <col min="12716" max="12716" width="2" style="571" customWidth="1"/>
    <col min="12717" max="12718" width="9.109375" style="571"/>
    <col min="12719" max="12719" width="11" style="571" customWidth="1"/>
    <col min="12720" max="12720" width="9.109375" style="571"/>
    <col min="12721" max="12721" width="2.21875" style="571" customWidth="1"/>
    <col min="12722" max="12722" width="11" style="571" customWidth="1"/>
    <col min="12723" max="12723" width="9.109375" style="571"/>
    <col min="12724" max="12724" width="11.5546875" style="571" customWidth="1"/>
    <col min="12725" max="12725" width="11.21875" style="571" customWidth="1"/>
    <col min="12726" max="12726" width="2.88671875" style="571" customWidth="1"/>
    <col min="12727" max="12728" width="9.109375" style="571"/>
    <col min="12729" max="12729" width="11.21875" style="571" customWidth="1"/>
    <col min="12730" max="12730" width="2.21875" style="571" customWidth="1"/>
    <col min="12731" max="12731" width="9.109375" style="571"/>
    <col min="12732" max="12732" width="10.44140625" style="571" customWidth="1"/>
    <col min="12733" max="12733" width="9.109375" style="571"/>
    <col min="12734" max="12734" width="11.109375" style="571" customWidth="1"/>
    <col min="12735" max="12736" width="9.109375" style="571"/>
    <col min="12737" max="12737" width="10.88671875" style="571" customWidth="1"/>
    <col min="12738" max="12739" width="9.109375" style="571"/>
    <col min="12740" max="12740" width="1.5546875" style="571" customWidth="1"/>
    <col min="12741" max="12741" width="9.77734375" style="571" customWidth="1"/>
    <col min="12742" max="12745" width="9.109375" style="571"/>
    <col min="12746" max="12746" width="1.88671875" style="571" customWidth="1"/>
    <col min="12747" max="12747" width="9.88671875" style="571" customWidth="1"/>
    <col min="12748" max="12748" width="1.5546875" style="571" customWidth="1"/>
    <col min="12749" max="12749" width="11.44140625" style="571" customWidth="1"/>
    <col min="12750" max="12750" width="2.21875" style="571" customWidth="1"/>
    <col min="12751" max="12751" width="12" style="571" customWidth="1"/>
    <col min="12752" max="12752" width="2" style="571" customWidth="1"/>
    <col min="12753" max="12753" width="9.109375" style="571"/>
    <col min="12754" max="12754" width="11.109375" style="571" customWidth="1"/>
    <col min="12755" max="12755" width="12" style="571" customWidth="1"/>
    <col min="12756" max="12756" width="9.109375" style="571"/>
    <col min="12757" max="12757" width="11.88671875" style="571" customWidth="1"/>
    <col min="12758" max="12758" width="14.21875" style="571" customWidth="1"/>
    <col min="12759" max="12762" width="9.109375" style="571"/>
    <col min="12763" max="12763" width="3.44140625" style="571" customWidth="1"/>
    <col min="12764" max="12765" width="9.109375" style="571"/>
    <col min="12766" max="12766" width="11.44140625" style="571" customWidth="1"/>
    <col min="12767" max="12767" width="2.77734375" style="571" customWidth="1"/>
    <col min="12768" max="12950" width="9.109375" style="571"/>
    <col min="12951" max="12951" width="9.5546875" style="571" customWidth="1"/>
    <col min="12952" max="12952" width="11" style="571" customWidth="1"/>
    <col min="12953" max="12954" width="11.21875" style="571" customWidth="1"/>
    <col min="12955" max="12955" width="11.5546875" style="571" customWidth="1"/>
    <col min="12956" max="12956" width="11.109375" style="571" customWidth="1"/>
    <col min="12957" max="12957" width="2" style="571" customWidth="1"/>
    <col min="12958" max="12958" width="13.5546875" style="571" customWidth="1"/>
    <col min="12959" max="12959" width="12.44140625" style="571" customWidth="1"/>
    <col min="12960" max="12960" width="13.5546875" style="571" customWidth="1"/>
    <col min="12961" max="12961" width="2.109375" style="571" customWidth="1"/>
    <col min="12962" max="12962" width="9.109375" style="571"/>
    <col min="12963" max="12963" width="10.21875" style="571" customWidth="1"/>
    <col min="12964" max="12964" width="1.88671875" style="571" customWidth="1"/>
    <col min="12965" max="12965" width="10.77734375" style="571" customWidth="1"/>
    <col min="12966" max="12966" width="9.109375" style="571"/>
    <col min="12967" max="12967" width="2.109375" style="571" customWidth="1"/>
    <col min="12968" max="12968" width="9.109375" style="571"/>
    <col min="12969" max="12969" width="11.21875" style="571" customWidth="1"/>
    <col min="12970" max="12970" width="12.77734375" style="571" customWidth="1"/>
    <col min="12971" max="12971" width="12.5546875" style="571" customWidth="1"/>
    <col min="12972" max="12972" width="2" style="571" customWidth="1"/>
    <col min="12973" max="12974" width="9.109375" style="571"/>
    <col min="12975" max="12975" width="11" style="571" customWidth="1"/>
    <col min="12976" max="12976" width="9.109375" style="571"/>
    <col min="12977" max="12977" width="2.21875" style="571" customWidth="1"/>
    <col min="12978" max="12978" width="11" style="571" customWidth="1"/>
    <col min="12979" max="12979" width="9.109375" style="571"/>
    <col min="12980" max="12980" width="11.5546875" style="571" customWidth="1"/>
    <col min="12981" max="12981" width="11.21875" style="571" customWidth="1"/>
    <col min="12982" max="12982" width="2.88671875" style="571" customWidth="1"/>
    <col min="12983" max="12984" width="9.109375" style="571"/>
    <col min="12985" max="12985" width="11.21875" style="571" customWidth="1"/>
    <col min="12986" max="12986" width="2.21875" style="571" customWidth="1"/>
    <col min="12987" max="12987" width="9.109375" style="571"/>
    <col min="12988" max="12988" width="10.44140625" style="571" customWidth="1"/>
    <col min="12989" max="12989" width="9.109375" style="571"/>
    <col min="12990" max="12990" width="11.109375" style="571" customWidth="1"/>
    <col min="12991" max="12992" width="9.109375" style="571"/>
    <col min="12993" max="12993" width="10.88671875" style="571" customWidth="1"/>
    <col min="12994" max="12995" width="9.109375" style="571"/>
    <col min="12996" max="12996" width="1.5546875" style="571" customWidth="1"/>
    <col min="12997" max="12997" width="9.77734375" style="571" customWidth="1"/>
    <col min="12998" max="13001" width="9.109375" style="571"/>
    <col min="13002" max="13002" width="1.88671875" style="571" customWidth="1"/>
    <col min="13003" max="13003" width="9.88671875" style="571" customWidth="1"/>
    <col min="13004" max="13004" width="1.5546875" style="571" customWidth="1"/>
    <col min="13005" max="13005" width="11.44140625" style="571" customWidth="1"/>
    <col min="13006" max="13006" width="2.21875" style="571" customWidth="1"/>
    <col min="13007" max="13007" width="12" style="571" customWidth="1"/>
    <col min="13008" max="13008" width="2" style="571" customWidth="1"/>
    <col min="13009" max="13009" width="9.109375" style="571"/>
    <col min="13010" max="13010" width="11.109375" style="571" customWidth="1"/>
    <col min="13011" max="13011" width="12" style="571" customWidth="1"/>
    <col min="13012" max="13012" width="9.109375" style="571"/>
    <col min="13013" max="13013" width="11.88671875" style="571" customWidth="1"/>
    <col min="13014" max="13014" width="14.21875" style="571" customWidth="1"/>
    <col min="13015" max="13018" width="9.109375" style="571"/>
    <col min="13019" max="13019" width="3.44140625" style="571" customWidth="1"/>
    <col min="13020" max="13021" width="9.109375" style="571"/>
    <col min="13022" max="13022" width="11.44140625" style="571" customWidth="1"/>
    <col min="13023" max="13023" width="2.77734375" style="571" customWidth="1"/>
    <col min="13024" max="13206" width="9.109375" style="571"/>
    <col min="13207" max="13207" width="9.5546875" style="571" customWidth="1"/>
    <col min="13208" max="13208" width="11" style="571" customWidth="1"/>
    <col min="13209" max="13210" width="11.21875" style="571" customWidth="1"/>
    <col min="13211" max="13211" width="11.5546875" style="571" customWidth="1"/>
    <col min="13212" max="13212" width="11.109375" style="571" customWidth="1"/>
    <col min="13213" max="13213" width="2" style="571" customWidth="1"/>
    <col min="13214" max="13214" width="13.5546875" style="571" customWidth="1"/>
    <col min="13215" max="13215" width="12.44140625" style="571" customWidth="1"/>
    <col min="13216" max="13216" width="13.5546875" style="571" customWidth="1"/>
    <col min="13217" max="13217" width="2.109375" style="571" customWidth="1"/>
    <col min="13218" max="13218" width="9.109375" style="571"/>
    <col min="13219" max="13219" width="10.21875" style="571" customWidth="1"/>
    <col min="13220" max="13220" width="1.88671875" style="571" customWidth="1"/>
    <col min="13221" max="13221" width="10.77734375" style="571" customWidth="1"/>
    <col min="13222" max="13222" width="9.109375" style="571"/>
    <col min="13223" max="13223" width="2.109375" style="571" customWidth="1"/>
    <col min="13224" max="13224" width="9.109375" style="571"/>
    <col min="13225" max="13225" width="11.21875" style="571" customWidth="1"/>
    <col min="13226" max="13226" width="12.77734375" style="571" customWidth="1"/>
    <col min="13227" max="13227" width="12.5546875" style="571" customWidth="1"/>
    <col min="13228" max="13228" width="2" style="571" customWidth="1"/>
    <col min="13229" max="13230" width="9.109375" style="571"/>
    <col min="13231" max="13231" width="11" style="571" customWidth="1"/>
    <col min="13232" max="13232" width="9.109375" style="571"/>
    <col min="13233" max="13233" width="2.21875" style="571" customWidth="1"/>
    <col min="13234" max="13234" width="11" style="571" customWidth="1"/>
    <col min="13235" max="13235" width="9.109375" style="571"/>
    <col min="13236" max="13236" width="11.5546875" style="571" customWidth="1"/>
    <col min="13237" max="13237" width="11.21875" style="571" customWidth="1"/>
    <col min="13238" max="13238" width="2.88671875" style="571" customWidth="1"/>
    <col min="13239" max="13240" width="9.109375" style="571"/>
    <col min="13241" max="13241" width="11.21875" style="571" customWidth="1"/>
    <col min="13242" max="13242" width="2.21875" style="571" customWidth="1"/>
    <col min="13243" max="13243" width="9.109375" style="571"/>
    <col min="13244" max="13244" width="10.44140625" style="571" customWidth="1"/>
    <col min="13245" max="13245" width="9.109375" style="571"/>
    <col min="13246" max="13246" width="11.109375" style="571" customWidth="1"/>
    <col min="13247" max="13248" width="9.109375" style="571"/>
    <col min="13249" max="13249" width="10.88671875" style="571" customWidth="1"/>
    <col min="13250" max="13251" width="9.109375" style="571"/>
    <col min="13252" max="13252" width="1.5546875" style="571" customWidth="1"/>
    <col min="13253" max="13253" width="9.77734375" style="571" customWidth="1"/>
    <col min="13254" max="13257" width="9.109375" style="571"/>
    <col min="13258" max="13258" width="1.88671875" style="571" customWidth="1"/>
    <col min="13259" max="13259" width="9.88671875" style="571" customWidth="1"/>
    <col min="13260" max="13260" width="1.5546875" style="571" customWidth="1"/>
    <col min="13261" max="13261" width="11.44140625" style="571" customWidth="1"/>
    <col min="13262" max="13262" width="2.21875" style="571" customWidth="1"/>
    <col min="13263" max="13263" width="12" style="571" customWidth="1"/>
    <col min="13264" max="13264" width="2" style="571" customWidth="1"/>
    <col min="13265" max="13265" width="9.109375" style="571"/>
    <col min="13266" max="13266" width="11.109375" style="571" customWidth="1"/>
    <col min="13267" max="13267" width="12" style="571" customWidth="1"/>
    <col min="13268" max="13268" width="9.109375" style="571"/>
    <col min="13269" max="13269" width="11.88671875" style="571" customWidth="1"/>
    <col min="13270" max="13270" width="14.21875" style="571" customWidth="1"/>
    <col min="13271" max="13274" width="9.109375" style="571"/>
    <col min="13275" max="13275" width="3.44140625" style="571" customWidth="1"/>
    <col min="13276" max="13277" width="9.109375" style="571"/>
    <col min="13278" max="13278" width="11.44140625" style="571" customWidth="1"/>
    <col min="13279" max="13279" width="2.77734375" style="571" customWidth="1"/>
    <col min="13280" max="13462" width="9.109375" style="571"/>
    <col min="13463" max="13463" width="9.5546875" style="571" customWidth="1"/>
    <col min="13464" max="13464" width="11" style="571" customWidth="1"/>
    <col min="13465" max="13466" width="11.21875" style="571" customWidth="1"/>
    <col min="13467" max="13467" width="11.5546875" style="571" customWidth="1"/>
    <col min="13468" max="13468" width="11.109375" style="571" customWidth="1"/>
    <col min="13469" max="13469" width="2" style="571" customWidth="1"/>
    <col min="13470" max="13470" width="13.5546875" style="571" customWidth="1"/>
    <col min="13471" max="13471" width="12.44140625" style="571" customWidth="1"/>
    <col min="13472" max="13472" width="13.5546875" style="571" customWidth="1"/>
    <col min="13473" max="13473" width="2.109375" style="571" customWidth="1"/>
    <col min="13474" max="13474" width="9.109375" style="571"/>
    <col min="13475" max="13475" width="10.21875" style="571" customWidth="1"/>
    <col min="13476" max="13476" width="1.88671875" style="571" customWidth="1"/>
    <col min="13477" max="13477" width="10.77734375" style="571" customWidth="1"/>
    <col min="13478" max="13478" width="9.109375" style="571"/>
    <col min="13479" max="13479" width="2.109375" style="571" customWidth="1"/>
    <col min="13480" max="13480" width="9.109375" style="571"/>
    <col min="13481" max="13481" width="11.21875" style="571" customWidth="1"/>
    <col min="13482" max="13482" width="12.77734375" style="571" customWidth="1"/>
    <col min="13483" max="13483" width="12.5546875" style="571" customWidth="1"/>
    <col min="13484" max="13484" width="2" style="571" customWidth="1"/>
    <col min="13485" max="13486" width="9.109375" style="571"/>
    <col min="13487" max="13487" width="11" style="571" customWidth="1"/>
    <col min="13488" max="13488" width="9.109375" style="571"/>
    <col min="13489" max="13489" width="2.21875" style="571" customWidth="1"/>
    <col min="13490" max="13490" width="11" style="571" customWidth="1"/>
    <col min="13491" max="13491" width="9.109375" style="571"/>
    <col min="13492" max="13492" width="11.5546875" style="571" customWidth="1"/>
    <col min="13493" max="13493" width="11.21875" style="571" customWidth="1"/>
    <col min="13494" max="13494" width="2.88671875" style="571" customWidth="1"/>
    <col min="13495" max="13496" width="9.109375" style="571"/>
    <col min="13497" max="13497" width="11.21875" style="571" customWidth="1"/>
    <col min="13498" max="13498" width="2.21875" style="571" customWidth="1"/>
    <col min="13499" max="13499" width="9.109375" style="571"/>
    <col min="13500" max="13500" width="10.44140625" style="571" customWidth="1"/>
    <col min="13501" max="13501" width="9.109375" style="571"/>
    <col min="13502" max="13502" width="11.109375" style="571" customWidth="1"/>
    <col min="13503" max="13504" width="9.109375" style="571"/>
    <col min="13505" max="13505" width="10.88671875" style="571" customWidth="1"/>
    <col min="13506" max="13507" width="9.109375" style="571"/>
    <col min="13508" max="13508" width="1.5546875" style="571" customWidth="1"/>
    <col min="13509" max="13509" width="9.77734375" style="571" customWidth="1"/>
    <col min="13510" max="13513" width="9.109375" style="571"/>
    <col min="13514" max="13514" width="1.88671875" style="571" customWidth="1"/>
    <col min="13515" max="13515" width="9.88671875" style="571" customWidth="1"/>
    <col min="13516" max="13516" width="1.5546875" style="571" customWidth="1"/>
    <col min="13517" max="13517" width="11.44140625" style="571" customWidth="1"/>
    <col min="13518" max="13518" width="2.21875" style="571" customWidth="1"/>
    <col min="13519" max="13519" width="12" style="571" customWidth="1"/>
    <col min="13520" max="13520" width="2" style="571" customWidth="1"/>
    <col min="13521" max="13521" width="9.109375" style="571"/>
    <col min="13522" max="13522" width="11.109375" style="571" customWidth="1"/>
    <col min="13523" max="13523" width="12" style="571" customWidth="1"/>
    <col min="13524" max="13524" width="9.109375" style="571"/>
    <col min="13525" max="13525" width="11.88671875" style="571" customWidth="1"/>
    <col min="13526" max="13526" width="14.21875" style="571" customWidth="1"/>
    <col min="13527" max="13530" width="9.109375" style="571"/>
    <col min="13531" max="13531" width="3.44140625" style="571" customWidth="1"/>
    <col min="13532" max="13533" width="9.109375" style="571"/>
    <col min="13534" max="13534" width="11.44140625" style="571" customWidth="1"/>
    <col min="13535" max="13535" width="2.77734375" style="571" customWidth="1"/>
    <col min="13536" max="13718" width="9.109375" style="571"/>
    <col min="13719" max="13719" width="9.5546875" style="571" customWidth="1"/>
    <col min="13720" max="13720" width="11" style="571" customWidth="1"/>
    <col min="13721" max="13722" width="11.21875" style="571" customWidth="1"/>
    <col min="13723" max="13723" width="11.5546875" style="571" customWidth="1"/>
    <col min="13724" max="13724" width="11.109375" style="571" customWidth="1"/>
    <col min="13725" max="13725" width="2" style="571" customWidth="1"/>
    <col min="13726" max="13726" width="13.5546875" style="571" customWidth="1"/>
    <col min="13727" max="13727" width="12.44140625" style="571" customWidth="1"/>
    <col min="13728" max="13728" width="13.5546875" style="571" customWidth="1"/>
    <col min="13729" max="13729" width="2.109375" style="571" customWidth="1"/>
    <col min="13730" max="13730" width="9.109375" style="571"/>
    <col min="13731" max="13731" width="10.21875" style="571" customWidth="1"/>
    <col min="13732" max="13732" width="1.88671875" style="571" customWidth="1"/>
    <col min="13733" max="13733" width="10.77734375" style="571" customWidth="1"/>
    <col min="13734" max="13734" width="9.109375" style="571"/>
    <col min="13735" max="13735" width="2.109375" style="571" customWidth="1"/>
    <col min="13736" max="13736" width="9.109375" style="571"/>
    <col min="13737" max="13737" width="11.21875" style="571" customWidth="1"/>
    <col min="13738" max="13738" width="12.77734375" style="571" customWidth="1"/>
    <col min="13739" max="13739" width="12.5546875" style="571" customWidth="1"/>
    <col min="13740" max="13740" width="2" style="571" customWidth="1"/>
    <col min="13741" max="13742" width="9.109375" style="571"/>
    <col min="13743" max="13743" width="11" style="571" customWidth="1"/>
    <col min="13744" max="13744" width="9.109375" style="571"/>
    <col min="13745" max="13745" width="2.21875" style="571" customWidth="1"/>
    <col min="13746" max="13746" width="11" style="571" customWidth="1"/>
    <col min="13747" max="13747" width="9.109375" style="571"/>
    <col min="13748" max="13748" width="11.5546875" style="571" customWidth="1"/>
    <col min="13749" max="13749" width="11.21875" style="571" customWidth="1"/>
    <col min="13750" max="13750" width="2.88671875" style="571" customWidth="1"/>
    <col min="13751" max="13752" width="9.109375" style="571"/>
    <col min="13753" max="13753" width="11.21875" style="571" customWidth="1"/>
    <col min="13754" max="13754" width="2.21875" style="571" customWidth="1"/>
    <col min="13755" max="13755" width="9.109375" style="571"/>
    <col min="13756" max="13756" width="10.44140625" style="571" customWidth="1"/>
    <col min="13757" max="13757" width="9.109375" style="571"/>
    <col min="13758" max="13758" width="11.109375" style="571" customWidth="1"/>
    <col min="13759" max="13760" width="9.109375" style="571"/>
    <col min="13761" max="13761" width="10.88671875" style="571" customWidth="1"/>
    <col min="13762" max="13763" width="9.109375" style="571"/>
    <col min="13764" max="13764" width="1.5546875" style="571" customWidth="1"/>
    <col min="13765" max="13765" width="9.77734375" style="571" customWidth="1"/>
    <col min="13766" max="13769" width="9.109375" style="571"/>
    <col min="13770" max="13770" width="1.88671875" style="571" customWidth="1"/>
    <col min="13771" max="13771" width="9.88671875" style="571" customWidth="1"/>
    <col min="13772" max="13772" width="1.5546875" style="571" customWidth="1"/>
    <col min="13773" max="13773" width="11.44140625" style="571" customWidth="1"/>
    <col min="13774" max="13774" width="2.21875" style="571" customWidth="1"/>
    <col min="13775" max="13775" width="12" style="571" customWidth="1"/>
    <col min="13776" max="13776" width="2" style="571" customWidth="1"/>
    <col min="13777" max="13777" width="9.109375" style="571"/>
    <col min="13778" max="13778" width="11.109375" style="571" customWidth="1"/>
    <col min="13779" max="13779" width="12" style="571" customWidth="1"/>
    <col min="13780" max="13780" width="9.109375" style="571"/>
    <col min="13781" max="13781" width="11.88671875" style="571" customWidth="1"/>
    <col min="13782" max="13782" width="14.21875" style="571" customWidth="1"/>
    <col min="13783" max="13786" width="9.109375" style="571"/>
    <col min="13787" max="13787" width="3.44140625" style="571" customWidth="1"/>
    <col min="13788" max="13789" width="9.109375" style="571"/>
    <col min="13790" max="13790" width="11.44140625" style="571" customWidth="1"/>
    <col min="13791" max="13791" width="2.77734375" style="571" customWidth="1"/>
    <col min="13792" max="13974" width="9.109375" style="571"/>
    <col min="13975" max="13975" width="9.5546875" style="571" customWidth="1"/>
    <col min="13976" max="13976" width="11" style="571" customWidth="1"/>
    <col min="13977" max="13978" width="11.21875" style="571" customWidth="1"/>
    <col min="13979" max="13979" width="11.5546875" style="571" customWidth="1"/>
    <col min="13980" max="13980" width="11.109375" style="571" customWidth="1"/>
    <col min="13981" max="13981" width="2" style="571" customWidth="1"/>
    <col min="13982" max="13982" width="13.5546875" style="571" customWidth="1"/>
    <col min="13983" max="13983" width="12.44140625" style="571" customWidth="1"/>
    <col min="13984" max="13984" width="13.5546875" style="571" customWidth="1"/>
    <col min="13985" max="13985" width="2.109375" style="571" customWidth="1"/>
    <col min="13986" max="13986" width="9.109375" style="571"/>
    <col min="13987" max="13987" width="10.21875" style="571" customWidth="1"/>
    <col min="13988" max="13988" width="1.88671875" style="571" customWidth="1"/>
    <col min="13989" max="13989" width="10.77734375" style="571" customWidth="1"/>
    <col min="13990" max="13990" width="9.109375" style="571"/>
    <col min="13991" max="13991" width="2.109375" style="571" customWidth="1"/>
    <col min="13992" max="13992" width="9.109375" style="571"/>
    <col min="13993" max="13993" width="11.21875" style="571" customWidth="1"/>
    <col min="13994" max="13994" width="12.77734375" style="571" customWidth="1"/>
    <col min="13995" max="13995" width="12.5546875" style="571" customWidth="1"/>
    <col min="13996" max="13996" width="2" style="571" customWidth="1"/>
    <col min="13997" max="13998" width="9.109375" style="571"/>
    <col min="13999" max="13999" width="11" style="571" customWidth="1"/>
    <col min="14000" max="14000" width="9.109375" style="571"/>
    <col min="14001" max="14001" width="2.21875" style="571" customWidth="1"/>
    <col min="14002" max="14002" width="11" style="571" customWidth="1"/>
    <col min="14003" max="14003" width="9.109375" style="571"/>
    <col min="14004" max="14004" width="11.5546875" style="571" customWidth="1"/>
    <col min="14005" max="14005" width="11.21875" style="571" customWidth="1"/>
    <col min="14006" max="14006" width="2.88671875" style="571" customWidth="1"/>
    <col min="14007" max="14008" width="9.109375" style="571"/>
    <col min="14009" max="14009" width="11.21875" style="571" customWidth="1"/>
    <col min="14010" max="14010" width="2.21875" style="571" customWidth="1"/>
    <col min="14011" max="14011" width="9.109375" style="571"/>
    <col min="14012" max="14012" width="10.44140625" style="571" customWidth="1"/>
    <col min="14013" max="14013" width="9.109375" style="571"/>
    <col min="14014" max="14014" width="11.109375" style="571" customWidth="1"/>
    <col min="14015" max="14016" width="9.109375" style="571"/>
    <col min="14017" max="14017" width="10.88671875" style="571" customWidth="1"/>
    <col min="14018" max="14019" width="9.109375" style="571"/>
    <col min="14020" max="14020" width="1.5546875" style="571" customWidth="1"/>
    <col min="14021" max="14021" width="9.77734375" style="571" customWidth="1"/>
    <col min="14022" max="14025" width="9.109375" style="571"/>
    <col min="14026" max="14026" width="1.88671875" style="571" customWidth="1"/>
    <col min="14027" max="14027" width="9.88671875" style="571" customWidth="1"/>
    <col min="14028" max="14028" width="1.5546875" style="571" customWidth="1"/>
    <col min="14029" max="14029" width="11.44140625" style="571" customWidth="1"/>
    <col min="14030" max="14030" width="2.21875" style="571" customWidth="1"/>
    <col min="14031" max="14031" width="12" style="571" customWidth="1"/>
    <col min="14032" max="14032" width="2" style="571" customWidth="1"/>
    <col min="14033" max="14033" width="9.109375" style="571"/>
    <col min="14034" max="14034" width="11.109375" style="571" customWidth="1"/>
    <col min="14035" max="14035" width="12" style="571" customWidth="1"/>
    <col min="14036" max="14036" width="9.109375" style="571"/>
    <col min="14037" max="14037" width="11.88671875" style="571" customWidth="1"/>
    <col min="14038" max="14038" width="14.21875" style="571" customWidth="1"/>
    <col min="14039" max="14042" width="9.109375" style="571"/>
    <col min="14043" max="14043" width="3.44140625" style="571" customWidth="1"/>
    <col min="14044" max="14045" width="9.109375" style="571"/>
    <col min="14046" max="14046" width="11.44140625" style="571" customWidth="1"/>
    <col min="14047" max="14047" width="2.77734375" style="571" customWidth="1"/>
    <col min="14048" max="14230" width="9.109375" style="571"/>
    <col min="14231" max="14231" width="9.5546875" style="571" customWidth="1"/>
    <col min="14232" max="14232" width="11" style="571" customWidth="1"/>
    <col min="14233" max="14234" width="11.21875" style="571" customWidth="1"/>
    <col min="14235" max="14235" width="11.5546875" style="571" customWidth="1"/>
    <col min="14236" max="14236" width="11.109375" style="571" customWidth="1"/>
    <col min="14237" max="14237" width="2" style="571" customWidth="1"/>
    <col min="14238" max="14238" width="13.5546875" style="571" customWidth="1"/>
    <col min="14239" max="14239" width="12.44140625" style="571" customWidth="1"/>
    <col min="14240" max="14240" width="13.5546875" style="571" customWidth="1"/>
    <col min="14241" max="14241" width="2.109375" style="571" customWidth="1"/>
    <col min="14242" max="14242" width="9.109375" style="571"/>
    <col min="14243" max="14243" width="10.21875" style="571" customWidth="1"/>
    <col min="14244" max="14244" width="1.88671875" style="571" customWidth="1"/>
    <col min="14245" max="14245" width="10.77734375" style="571" customWidth="1"/>
    <col min="14246" max="14246" width="9.109375" style="571"/>
    <col min="14247" max="14247" width="2.109375" style="571" customWidth="1"/>
    <col min="14248" max="14248" width="9.109375" style="571"/>
    <col min="14249" max="14249" width="11.21875" style="571" customWidth="1"/>
    <col min="14250" max="14250" width="12.77734375" style="571" customWidth="1"/>
    <col min="14251" max="14251" width="12.5546875" style="571" customWidth="1"/>
    <col min="14252" max="14252" width="2" style="571" customWidth="1"/>
    <col min="14253" max="14254" width="9.109375" style="571"/>
    <col min="14255" max="14255" width="11" style="571" customWidth="1"/>
    <col min="14256" max="14256" width="9.109375" style="571"/>
    <col min="14257" max="14257" width="2.21875" style="571" customWidth="1"/>
    <col min="14258" max="14258" width="11" style="571" customWidth="1"/>
    <col min="14259" max="14259" width="9.109375" style="571"/>
    <col min="14260" max="14260" width="11.5546875" style="571" customWidth="1"/>
    <col min="14261" max="14261" width="11.21875" style="571" customWidth="1"/>
    <col min="14262" max="14262" width="2.88671875" style="571" customWidth="1"/>
    <col min="14263" max="14264" width="9.109375" style="571"/>
    <col min="14265" max="14265" width="11.21875" style="571" customWidth="1"/>
    <col min="14266" max="14266" width="2.21875" style="571" customWidth="1"/>
    <col min="14267" max="14267" width="9.109375" style="571"/>
    <col min="14268" max="14268" width="10.44140625" style="571" customWidth="1"/>
    <col min="14269" max="14269" width="9.109375" style="571"/>
    <col min="14270" max="14270" width="11.109375" style="571" customWidth="1"/>
    <col min="14271" max="14272" width="9.109375" style="571"/>
    <col min="14273" max="14273" width="10.88671875" style="571" customWidth="1"/>
    <col min="14274" max="14275" width="9.109375" style="571"/>
    <col min="14276" max="14276" width="1.5546875" style="571" customWidth="1"/>
    <col min="14277" max="14277" width="9.77734375" style="571" customWidth="1"/>
    <col min="14278" max="14281" width="9.109375" style="571"/>
    <col min="14282" max="14282" width="1.88671875" style="571" customWidth="1"/>
    <col min="14283" max="14283" width="9.88671875" style="571" customWidth="1"/>
    <col min="14284" max="14284" width="1.5546875" style="571" customWidth="1"/>
    <col min="14285" max="14285" width="11.44140625" style="571" customWidth="1"/>
    <col min="14286" max="14286" width="2.21875" style="571" customWidth="1"/>
    <col min="14287" max="14287" width="12" style="571" customWidth="1"/>
    <col min="14288" max="14288" width="2" style="571" customWidth="1"/>
    <col min="14289" max="14289" width="9.109375" style="571"/>
    <col min="14290" max="14290" width="11.109375" style="571" customWidth="1"/>
    <col min="14291" max="14291" width="12" style="571" customWidth="1"/>
    <col min="14292" max="14292" width="9.109375" style="571"/>
    <col min="14293" max="14293" width="11.88671875" style="571" customWidth="1"/>
    <col min="14294" max="14294" width="14.21875" style="571" customWidth="1"/>
    <col min="14295" max="14298" width="9.109375" style="571"/>
    <col min="14299" max="14299" width="3.44140625" style="571" customWidth="1"/>
    <col min="14300" max="14301" width="9.109375" style="571"/>
    <col min="14302" max="14302" width="11.44140625" style="571" customWidth="1"/>
    <col min="14303" max="14303" width="2.77734375" style="571" customWidth="1"/>
    <col min="14304" max="14486" width="9.109375" style="571"/>
    <col min="14487" max="14487" width="9.5546875" style="571" customWidth="1"/>
    <col min="14488" max="14488" width="11" style="571" customWidth="1"/>
    <col min="14489" max="14490" width="11.21875" style="571" customWidth="1"/>
    <col min="14491" max="14491" width="11.5546875" style="571" customWidth="1"/>
    <col min="14492" max="14492" width="11.109375" style="571" customWidth="1"/>
    <col min="14493" max="14493" width="2" style="571" customWidth="1"/>
    <col min="14494" max="14494" width="13.5546875" style="571" customWidth="1"/>
    <col min="14495" max="14495" width="12.44140625" style="571" customWidth="1"/>
    <col min="14496" max="14496" width="13.5546875" style="571" customWidth="1"/>
    <col min="14497" max="14497" width="2.109375" style="571" customWidth="1"/>
    <col min="14498" max="14498" width="9.109375" style="571"/>
    <col min="14499" max="14499" width="10.21875" style="571" customWidth="1"/>
    <col min="14500" max="14500" width="1.88671875" style="571" customWidth="1"/>
    <col min="14501" max="14501" width="10.77734375" style="571" customWidth="1"/>
    <col min="14502" max="14502" width="9.109375" style="571"/>
    <col min="14503" max="14503" width="2.109375" style="571" customWidth="1"/>
    <col min="14504" max="14504" width="9.109375" style="571"/>
    <col min="14505" max="14505" width="11.21875" style="571" customWidth="1"/>
    <col min="14506" max="14506" width="12.77734375" style="571" customWidth="1"/>
    <col min="14507" max="14507" width="12.5546875" style="571" customWidth="1"/>
    <col min="14508" max="14508" width="2" style="571" customWidth="1"/>
    <col min="14509" max="14510" width="9.109375" style="571"/>
    <col min="14511" max="14511" width="11" style="571" customWidth="1"/>
    <col min="14512" max="14512" width="9.109375" style="571"/>
    <col min="14513" max="14513" width="2.21875" style="571" customWidth="1"/>
    <col min="14514" max="14514" width="11" style="571" customWidth="1"/>
    <col min="14515" max="14515" width="9.109375" style="571"/>
    <col min="14516" max="14516" width="11.5546875" style="571" customWidth="1"/>
    <col min="14517" max="14517" width="11.21875" style="571" customWidth="1"/>
    <col min="14518" max="14518" width="2.88671875" style="571" customWidth="1"/>
    <col min="14519" max="14520" width="9.109375" style="571"/>
    <col min="14521" max="14521" width="11.21875" style="571" customWidth="1"/>
    <col min="14522" max="14522" width="2.21875" style="571" customWidth="1"/>
    <col min="14523" max="14523" width="9.109375" style="571"/>
    <col min="14524" max="14524" width="10.44140625" style="571" customWidth="1"/>
    <col min="14525" max="14525" width="9.109375" style="571"/>
    <col min="14526" max="14526" width="11.109375" style="571" customWidth="1"/>
    <col min="14527" max="14528" width="9.109375" style="571"/>
    <col min="14529" max="14529" width="10.88671875" style="571" customWidth="1"/>
    <col min="14530" max="14531" width="9.109375" style="571"/>
    <col min="14532" max="14532" width="1.5546875" style="571" customWidth="1"/>
    <col min="14533" max="14533" width="9.77734375" style="571" customWidth="1"/>
    <col min="14534" max="14537" width="9.109375" style="571"/>
    <col min="14538" max="14538" width="1.88671875" style="571" customWidth="1"/>
    <col min="14539" max="14539" width="9.88671875" style="571" customWidth="1"/>
    <col min="14540" max="14540" width="1.5546875" style="571" customWidth="1"/>
    <col min="14541" max="14541" width="11.44140625" style="571" customWidth="1"/>
    <col min="14542" max="14542" width="2.21875" style="571" customWidth="1"/>
    <col min="14543" max="14543" width="12" style="571" customWidth="1"/>
    <col min="14544" max="14544" width="2" style="571" customWidth="1"/>
    <col min="14545" max="14545" width="9.109375" style="571"/>
    <col min="14546" max="14546" width="11.109375" style="571" customWidth="1"/>
    <col min="14547" max="14547" width="12" style="571" customWidth="1"/>
    <col min="14548" max="14548" width="9.109375" style="571"/>
    <col min="14549" max="14549" width="11.88671875" style="571" customWidth="1"/>
    <col min="14550" max="14550" width="14.21875" style="571" customWidth="1"/>
    <col min="14551" max="14554" width="9.109375" style="571"/>
    <col min="14555" max="14555" width="3.44140625" style="571" customWidth="1"/>
    <col min="14556" max="14557" width="9.109375" style="571"/>
    <col min="14558" max="14558" width="11.44140625" style="571" customWidth="1"/>
    <col min="14559" max="14559" width="2.77734375" style="571" customWidth="1"/>
    <col min="14560" max="14742" width="9.109375" style="571"/>
    <col min="14743" max="14743" width="9.5546875" style="571" customWidth="1"/>
    <col min="14744" max="14744" width="11" style="571" customWidth="1"/>
    <col min="14745" max="14746" width="11.21875" style="571" customWidth="1"/>
    <col min="14747" max="14747" width="11.5546875" style="571" customWidth="1"/>
    <col min="14748" max="14748" width="11.109375" style="571" customWidth="1"/>
    <col min="14749" max="14749" width="2" style="571" customWidth="1"/>
    <col min="14750" max="14750" width="13.5546875" style="571" customWidth="1"/>
    <col min="14751" max="14751" width="12.44140625" style="571" customWidth="1"/>
    <col min="14752" max="14752" width="13.5546875" style="571" customWidth="1"/>
    <col min="14753" max="14753" width="2.109375" style="571" customWidth="1"/>
    <col min="14754" max="14754" width="9.109375" style="571"/>
    <col min="14755" max="14755" width="10.21875" style="571" customWidth="1"/>
    <col min="14756" max="14756" width="1.88671875" style="571" customWidth="1"/>
    <col min="14757" max="14757" width="10.77734375" style="571" customWidth="1"/>
    <col min="14758" max="14758" width="9.109375" style="571"/>
    <col min="14759" max="14759" width="2.109375" style="571" customWidth="1"/>
    <col min="14760" max="14760" width="9.109375" style="571"/>
    <col min="14761" max="14761" width="11.21875" style="571" customWidth="1"/>
    <col min="14762" max="14762" width="12.77734375" style="571" customWidth="1"/>
    <col min="14763" max="14763" width="12.5546875" style="571" customWidth="1"/>
    <col min="14764" max="14764" width="2" style="571" customWidth="1"/>
    <col min="14765" max="14766" width="9.109375" style="571"/>
    <col min="14767" max="14767" width="11" style="571" customWidth="1"/>
    <col min="14768" max="14768" width="9.109375" style="571"/>
    <col min="14769" max="14769" width="2.21875" style="571" customWidth="1"/>
    <col min="14770" max="14770" width="11" style="571" customWidth="1"/>
    <col min="14771" max="14771" width="9.109375" style="571"/>
    <col min="14772" max="14772" width="11.5546875" style="571" customWidth="1"/>
    <col min="14773" max="14773" width="11.21875" style="571" customWidth="1"/>
    <col min="14774" max="14774" width="2.88671875" style="571" customWidth="1"/>
    <col min="14775" max="14776" width="9.109375" style="571"/>
    <col min="14777" max="14777" width="11.21875" style="571" customWidth="1"/>
    <col min="14778" max="14778" width="2.21875" style="571" customWidth="1"/>
    <col min="14779" max="14779" width="9.109375" style="571"/>
    <col min="14780" max="14780" width="10.44140625" style="571" customWidth="1"/>
    <col min="14781" max="14781" width="9.109375" style="571"/>
    <col min="14782" max="14782" width="11.109375" style="571" customWidth="1"/>
    <col min="14783" max="14784" width="9.109375" style="571"/>
    <col min="14785" max="14785" width="10.88671875" style="571" customWidth="1"/>
    <col min="14786" max="14787" width="9.109375" style="571"/>
    <col min="14788" max="14788" width="1.5546875" style="571" customWidth="1"/>
    <col min="14789" max="14789" width="9.77734375" style="571" customWidth="1"/>
    <col min="14790" max="14793" width="9.109375" style="571"/>
    <col min="14794" max="14794" width="1.88671875" style="571" customWidth="1"/>
    <col min="14795" max="14795" width="9.88671875" style="571" customWidth="1"/>
    <col min="14796" max="14796" width="1.5546875" style="571" customWidth="1"/>
    <col min="14797" max="14797" width="11.44140625" style="571" customWidth="1"/>
    <col min="14798" max="14798" width="2.21875" style="571" customWidth="1"/>
    <col min="14799" max="14799" width="12" style="571" customWidth="1"/>
    <col min="14800" max="14800" width="2" style="571" customWidth="1"/>
    <col min="14801" max="14801" width="9.109375" style="571"/>
    <col min="14802" max="14802" width="11.109375" style="571" customWidth="1"/>
    <col min="14803" max="14803" width="12" style="571" customWidth="1"/>
    <col min="14804" max="14804" width="9.109375" style="571"/>
    <col min="14805" max="14805" width="11.88671875" style="571" customWidth="1"/>
    <col min="14806" max="14806" width="14.21875" style="571" customWidth="1"/>
    <col min="14807" max="14810" width="9.109375" style="571"/>
    <col min="14811" max="14811" width="3.44140625" style="571" customWidth="1"/>
    <col min="14812" max="14813" width="9.109375" style="571"/>
    <col min="14814" max="14814" width="11.44140625" style="571" customWidth="1"/>
    <col min="14815" max="14815" width="2.77734375" style="571" customWidth="1"/>
    <col min="14816" max="14998" width="9.109375" style="571"/>
    <col min="14999" max="14999" width="9.5546875" style="571" customWidth="1"/>
    <col min="15000" max="15000" width="11" style="571" customWidth="1"/>
    <col min="15001" max="15002" width="11.21875" style="571" customWidth="1"/>
    <col min="15003" max="15003" width="11.5546875" style="571" customWidth="1"/>
    <col min="15004" max="15004" width="11.109375" style="571" customWidth="1"/>
    <col min="15005" max="15005" width="2" style="571" customWidth="1"/>
    <col min="15006" max="15006" width="13.5546875" style="571" customWidth="1"/>
    <col min="15007" max="15007" width="12.44140625" style="571" customWidth="1"/>
    <col min="15008" max="15008" width="13.5546875" style="571" customWidth="1"/>
    <col min="15009" max="15009" width="2.109375" style="571" customWidth="1"/>
    <col min="15010" max="15010" width="9.109375" style="571"/>
    <col min="15011" max="15011" width="10.21875" style="571" customWidth="1"/>
    <col min="15012" max="15012" width="1.88671875" style="571" customWidth="1"/>
    <col min="15013" max="15013" width="10.77734375" style="571" customWidth="1"/>
    <col min="15014" max="15014" width="9.109375" style="571"/>
    <col min="15015" max="15015" width="2.109375" style="571" customWidth="1"/>
    <col min="15016" max="15016" width="9.109375" style="571"/>
    <col min="15017" max="15017" width="11.21875" style="571" customWidth="1"/>
    <col min="15018" max="15018" width="12.77734375" style="571" customWidth="1"/>
    <col min="15019" max="15019" width="12.5546875" style="571" customWidth="1"/>
    <col min="15020" max="15020" width="2" style="571" customWidth="1"/>
    <col min="15021" max="15022" width="9.109375" style="571"/>
    <col min="15023" max="15023" width="11" style="571" customWidth="1"/>
    <col min="15024" max="15024" width="9.109375" style="571"/>
    <col min="15025" max="15025" width="2.21875" style="571" customWidth="1"/>
    <col min="15026" max="15026" width="11" style="571" customWidth="1"/>
    <col min="15027" max="15027" width="9.109375" style="571"/>
    <col min="15028" max="15028" width="11.5546875" style="571" customWidth="1"/>
    <col min="15029" max="15029" width="11.21875" style="571" customWidth="1"/>
    <col min="15030" max="15030" width="2.88671875" style="571" customWidth="1"/>
    <col min="15031" max="15032" width="9.109375" style="571"/>
    <col min="15033" max="15033" width="11.21875" style="571" customWidth="1"/>
    <col min="15034" max="15034" width="2.21875" style="571" customWidth="1"/>
    <col min="15035" max="15035" width="9.109375" style="571"/>
    <col min="15036" max="15036" width="10.44140625" style="571" customWidth="1"/>
    <col min="15037" max="15037" width="9.109375" style="571"/>
    <col min="15038" max="15038" width="11.109375" style="571" customWidth="1"/>
    <col min="15039" max="15040" width="9.109375" style="571"/>
    <col min="15041" max="15041" width="10.88671875" style="571" customWidth="1"/>
    <col min="15042" max="15043" width="9.109375" style="571"/>
    <col min="15044" max="15044" width="1.5546875" style="571" customWidth="1"/>
    <col min="15045" max="15045" width="9.77734375" style="571" customWidth="1"/>
    <col min="15046" max="15049" width="9.109375" style="571"/>
    <col min="15050" max="15050" width="1.88671875" style="571" customWidth="1"/>
    <col min="15051" max="15051" width="9.88671875" style="571" customWidth="1"/>
    <col min="15052" max="15052" width="1.5546875" style="571" customWidth="1"/>
    <col min="15053" max="15053" width="11.44140625" style="571" customWidth="1"/>
    <col min="15054" max="15054" width="2.21875" style="571" customWidth="1"/>
    <col min="15055" max="15055" width="12" style="571" customWidth="1"/>
    <col min="15056" max="15056" width="2" style="571" customWidth="1"/>
    <col min="15057" max="15057" width="9.109375" style="571"/>
    <col min="15058" max="15058" width="11.109375" style="571" customWidth="1"/>
    <col min="15059" max="15059" width="12" style="571" customWidth="1"/>
    <col min="15060" max="15060" width="9.109375" style="571"/>
    <col min="15061" max="15061" width="11.88671875" style="571" customWidth="1"/>
    <col min="15062" max="15062" width="14.21875" style="571" customWidth="1"/>
    <col min="15063" max="15066" width="9.109375" style="571"/>
    <col min="15067" max="15067" width="3.44140625" style="571" customWidth="1"/>
    <col min="15068" max="15069" width="9.109375" style="571"/>
    <col min="15070" max="15070" width="11.44140625" style="571" customWidth="1"/>
    <col min="15071" max="15071" width="2.77734375" style="571" customWidth="1"/>
    <col min="15072" max="15254" width="9.109375" style="571"/>
    <col min="15255" max="15255" width="9.5546875" style="571" customWidth="1"/>
    <col min="15256" max="15256" width="11" style="571" customWidth="1"/>
    <col min="15257" max="15258" width="11.21875" style="571" customWidth="1"/>
    <col min="15259" max="15259" width="11.5546875" style="571" customWidth="1"/>
    <col min="15260" max="15260" width="11.109375" style="571" customWidth="1"/>
    <col min="15261" max="15261" width="2" style="571" customWidth="1"/>
    <col min="15262" max="15262" width="13.5546875" style="571" customWidth="1"/>
    <col min="15263" max="15263" width="12.44140625" style="571" customWidth="1"/>
    <col min="15264" max="15264" width="13.5546875" style="571" customWidth="1"/>
    <col min="15265" max="15265" width="2.109375" style="571" customWidth="1"/>
    <col min="15266" max="15266" width="9.109375" style="571"/>
    <col min="15267" max="15267" width="10.21875" style="571" customWidth="1"/>
    <col min="15268" max="15268" width="1.88671875" style="571" customWidth="1"/>
    <col min="15269" max="15269" width="10.77734375" style="571" customWidth="1"/>
    <col min="15270" max="15270" width="9.109375" style="571"/>
    <col min="15271" max="15271" width="2.109375" style="571" customWidth="1"/>
    <col min="15272" max="15272" width="9.109375" style="571"/>
    <col min="15273" max="15273" width="11.21875" style="571" customWidth="1"/>
    <col min="15274" max="15274" width="12.77734375" style="571" customWidth="1"/>
    <col min="15275" max="15275" width="12.5546875" style="571" customWidth="1"/>
    <col min="15276" max="15276" width="2" style="571" customWidth="1"/>
    <col min="15277" max="15278" width="9.109375" style="571"/>
    <col min="15279" max="15279" width="11" style="571" customWidth="1"/>
    <col min="15280" max="15280" width="9.109375" style="571"/>
    <col min="15281" max="15281" width="2.21875" style="571" customWidth="1"/>
    <col min="15282" max="15282" width="11" style="571" customWidth="1"/>
    <col min="15283" max="15283" width="9.109375" style="571"/>
    <col min="15284" max="15284" width="11.5546875" style="571" customWidth="1"/>
    <col min="15285" max="15285" width="11.21875" style="571" customWidth="1"/>
    <col min="15286" max="15286" width="2.88671875" style="571" customWidth="1"/>
    <col min="15287" max="15288" width="9.109375" style="571"/>
    <col min="15289" max="15289" width="11.21875" style="571" customWidth="1"/>
    <col min="15290" max="15290" width="2.21875" style="571" customWidth="1"/>
    <col min="15291" max="15291" width="9.109375" style="571"/>
    <col min="15292" max="15292" width="10.44140625" style="571" customWidth="1"/>
    <col min="15293" max="15293" width="9.109375" style="571"/>
    <col min="15294" max="15294" width="11.109375" style="571" customWidth="1"/>
    <col min="15295" max="15296" width="9.109375" style="571"/>
    <col min="15297" max="15297" width="10.88671875" style="571" customWidth="1"/>
    <col min="15298" max="15299" width="9.109375" style="571"/>
    <col min="15300" max="15300" width="1.5546875" style="571" customWidth="1"/>
    <col min="15301" max="15301" width="9.77734375" style="571" customWidth="1"/>
    <col min="15302" max="15305" width="9.109375" style="571"/>
    <col min="15306" max="15306" width="1.88671875" style="571" customWidth="1"/>
    <col min="15307" max="15307" width="9.88671875" style="571" customWidth="1"/>
    <col min="15308" max="15308" width="1.5546875" style="571" customWidth="1"/>
    <col min="15309" max="15309" width="11.44140625" style="571" customWidth="1"/>
    <col min="15310" max="15310" width="2.21875" style="571" customWidth="1"/>
    <col min="15311" max="15311" width="12" style="571" customWidth="1"/>
    <col min="15312" max="15312" width="2" style="571" customWidth="1"/>
    <col min="15313" max="15313" width="9.109375" style="571"/>
    <col min="15314" max="15314" width="11.109375" style="571" customWidth="1"/>
    <col min="15315" max="15315" width="12" style="571" customWidth="1"/>
    <col min="15316" max="15316" width="9.109375" style="571"/>
    <col min="15317" max="15317" width="11.88671875" style="571" customWidth="1"/>
    <col min="15318" max="15318" width="14.21875" style="571" customWidth="1"/>
    <col min="15319" max="15322" width="9.109375" style="571"/>
    <col min="15323" max="15323" width="3.44140625" style="571" customWidth="1"/>
    <col min="15324" max="15325" width="9.109375" style="571"/>
    <col min="15326" max="15326" width="11.44140625" style="571" customWidth="1"/>
    <col min="15327" max="15327" width="2.77734375" style="571" customWidth="1"/>
    <col min="15328" max="15510" width="9.109375" style="571"/>
    <col min="15511" max="15511" width="9.5546875" style="571" customWidth="1"/>
    <col min="15512" max="15512" width="11" style="571" customWidth="1"/>
    <col min="15513" max="15514" width="11.21875" style="571" customWidth="1"/>
    <col min="15515" max="15515" width="11.5546875" style="571" customWidth="1"/>
    <col min="15516" max="15516" width="11.109375" style="571" customWidth="1"/>
    <col min="15517" max="15517" width="2" style="571" customWidth="1"/>
    <col min="15518" max="15518" width="13.5546875" style="571" customWidth="1"/>
    <col min="15519" max="15519" width="12.44140625" style="571" customWidth="1"/>
    <col min="15520" max="15520" width="13.5546875" style="571" customWidth="1"/>
    <col min="15521" max="15521" width="2.109375" style="571" customWidth="1"/>
    <col min="15522" max="15522" width="9.109375" style="571"/>
    <col min="15523" max="15523" width="10.21875" style="571" customWidth="1"/>
    <col min="15524" max="15524" width="1.88671875" style="571" customWidth="1"/>
    <col min="15525" max="15525" width="10.77734375" style="571" customWidth="1"/>
    <col min="15526" max="15526" width="9.109375" style="571"/>
    <col min="15527" max="15527" width="2.109375" style="571" customWidth="1"/>
    <col min="15528" max="15528" width="9.109375" style="571"/>
    <col min="15529" max="15529" width="11.21875" style="571" customWidth="1"/>
    <col min="15530" max="15530" width="12.77734375" style="571" customWidth="1"/>
    <col min="15531" max="15531" width="12.5546875" style="571" customWidth="1"/>
    <col min="15532" max="15532" width="2" style="571" customWidth="1"/>
    <col min="15533" max="15534" width="9.109375" style="571"/>
    <col min="15535" max="15535" width="11" style="571" customWidth="1"/>
    <col min="15536" max="15536" width="9.109375" style="571"/>
    <col min="15537" max="15537" width="2.21875" style="571" customWidth="1"/>
    <col min="15538" max="15538" width="11" style="571" customWidth="1"/>
    <col min="15539" max="15539" width="9.109375" style="571"/>
    <col min="15540" max="15540" width="11.5546875" style="571" customWidth="1"/>
    <col min="15541" max="15541" width="11.21875" style="571" customWidth="1"/>
    <col min="15542" max="15542" width="2.88671875" style="571" customWidth="1"/>
    <col min="15543" max="15544" width="9.109375" style="571"/>
    <col min="15545" max="15545" width="11.21875" style="571" customWidth="1"/>
    <col min="15546" max="15546" width="2.21875" style="571" customWidth="1"/>
    <col min="15547" max="15547" width="9.109375" style="571"/>
    <col min="15548" max="15548" width="10.44140625" style="571" customWidth="1"/>
    <col min="15549" max="15549" width="9.109375" style="571"/>
    <col min="15550" max="15550" width="11.109375" style="571" customWidth="1"/>
    <col min="15551" max="15552" width="9.109375" style="571"/>
    <col min="15553" max="15553" width="10.88671875" style="571" customWidth="1"/>
    <col min="15554" max="15555" width="9.109375" style="571"/>
    <col min="15556" max="15556" width="1.5546875" style="571" customWidth="1"/>
    <col min="15557" max="15557" width="9.77734375" style="571" customWidth="1"/>
    <col min="15558" max="15561" width="9.109375" style="571"/>
    <col min="15562" max="15562" width="1.88671875" style="571" customWidth="1"/>
    <col min="15563" max="15563" width="9.88671875" style="571" customWidth="1"/>
    <col min="15564" max="15564" width="1.5546875" style="571" customWidth="1"/>
    <col min="15565" max="15565" width="11.44140625" style="571" customWidth="1"/>
    <col min="15566" max="15566" width="2.21875" style="571" customWidth="1"/>
    <col min="15567" max="15567" width="12" style="571" customWidth="1"/>
    <col min="15568" max="15568" width="2" style="571" customWidth="1"/>
    <col min="15569" max="15569" width="9.109375" style="571"/>
    <col min="15570" max="15570" width="11.109375" style="571" customWidth="1"/>
    <col min="15571" max="15571" width="12" style="571" customWidth="1"/>
    <col min="15572" max="15572" width="9.109375" style="571"/>
    <col min="15573" max="15573" width="11.88671875" style="571" customWidth="1"/>
    <col min="15574" max="15574" width="14.21875" style="571" customWidth="1"/>
    <col min="15575" max="15578" width="9.109375" style="571"/>
    <col min="15579" max="15579" width="3.44140625" style="571" customWidth="1"/>
    <col min="15580" max="15581" width="9.109375" style="571"/>
    <col min="15582" max="15582" width="11.44140625" style="571" customWidth="1"/>
    <col min="15583" max="15583" width="2.77734375" style="571" customWidth="1"/>
    <col min="15584" max="15766" width="9.109375" style="571"/>
    <col min="15767" max="15767" width="9.5546875" style="571" customWidth="1"/>
    <col min="15768" max="15768" width="11" style="571" customWidth="1"/>
    <col min="15769" max="15770" width="11.21875" style="571" customWidth="1"/>
    <col min="15771" max="15771" width="11.5546875" style="571" customWidth="1"/>
    <col min="15772" max="15772" width="11.109375" style="571" customWidth="1"/>
    <col min="15773" max="15773" width="2" style="571" customWidth="1"/>
    <col min="15774" max="15774" width="13.5546875" style="571" customWidth="1"/>
    <col min="15775" max="15775" width="12.44140625" style="571" customWidth="1"/>
    <col min="15776" max="15776" width="13.5546875" style="571" customWidth="1"/>
    <col min="15777" max="15777" width="2.109375" style="571" customWidth="1"/>
    <col min="15778" max="15778" width="9.109375" style="571"/>
    <col min="15779" max="15779" width="10.21875" style="571" customWidth="1"/>
    <col min="15780" max="15780" width="1.88671875" style="571" customWidth="1"/>
    <col min="15781" max="15781" width="10.77734375" style="571" customWidth="1"/>
    <col min="15782" max="15782" width="9.109375" style="571"/>
    <col min="15783" max="15783" width="2.109375" style="571" customWidth="1"/>
    <col min="15784" max="15784" width="9.109375" style="571"/>
    <col min="15785" max="15785" width="11.21875" style="571" customWidth="1"/>
    <col min="15786" max="15786" width="12.77734375" style="571" customWidth="1"/>
    <col min="15787" max="15787" width="12.5546875" style="571" customWidth="1"/>
    <col min="15788" max="15788" width="2" style="571" customWidth="1"/>
    <col min="15789" max="15790" width="9.109375" style="571"/>
    <col min="15791" max="15791" width="11" style="571" customWidth="1"/>
    <col min="15792" max="15792" width="9.109375" style="571"/>
    <col min="15793" max="15793" width="2.21875" style="571" customWidth="1"/>
    <col min="15794" max="15794" width="11" style="571" customWidth="1"/>
    <col min="15795" max="15795" width="9.109375" style="571"/>
    <col min="15796" max="15796" width="11.5546875" style="571" customWidth="1"/>
    <col min="15797" max="15797" width="11.21875" style="571" customWidth="1"/>
    <col min="15798" max="15798" width="2.88671875" style="571" customWidth="1"/>
    <col min="15799" max="15800" width="9.109375" style="571"/>
    <col min="15801" max="15801" width="11.21875" style="571" customWidth="1"/>
    <col min="15802" max="15802" width="2.21875" style="571" customWidth="1"/>
    <col min="15803" max="15803" width="9.109375" style="571"/>
    <col min="15804" max="15804" width="10.44140625" style="571" customWidth="1"/>
    <col min="15805" max="15805" width="9.109375" style="571"/>
    <col min="15806" max="15806" width="11.109375" style="571" customWidth="1"/>
    <col min="15807" max="15808" width="9.109375" style="571"/>
    <col min="15809" max="15809" width="10.88671875" style="571" customWidth="1"/>
    <col min="15810" max="15811" width="9.109375" style="571"/>
    <col min="15812" max="15812" width="1.5546875" style="571" customWidth="1"/>
    <col min="15813" max="15813" width="9.77734375" style="571" customWidth="1"/>
    <col min="15814" max="15817" width="9.109375" style="571"/>
    <col min="15818" max="15818" width="1.88671875" style="571" customWidth="1"/>
    <col min="15819" max="15819" width="9.88671875" style="571" customWidth="1"/>
    <col min="15820" max="15820" width="1.5546875" style="571" customWidth="1"/>
    <col min="15821" max="15821" width="11.44140625" style="571" customWidth="1"/>
    <col min="15822" max="15822" width="2.21875" style="571" customWidth="1"/>
    <col min="15823" max="15823" width="12" style="571" customWidth="1"/>
    <col min="15824" max="15824" width="2" style="571" customWidth="1"/>
    <col min="15825" max="15825" width="9.109375" style="571"/>
    <col min="15826" max="15826" width="11.109375" style="571" customWidth="1"/>
    <col min="15827" max="15827" width="12" style="571" customWidth="1"/>
    <col min="15828" max="15828" width="9.109375" style="571"/>
    <col min="15829" max="15829" width="11.88671875" style="571" customWidth="1"/>
    <col min="15830" max="15830" width="14.21875" style="571" customWidth="1"/>
    <col min="15831" max="15834" width="9.109375" style="571"/>
    <col min="15835" max="15835" width="3.44140625" style="571" customWidth="1"/>
    <col min="15836" max="15837" width="9.109375" style="571"/>
    <col min="15838" max="15838" width="11.44140625" style="571" customWidth="1"/>
    <col min="15839" max="15839" width="2.77734375" style="571" customWidth="1"/>
    <col min="15840" max="16022" width="9.109375" style="571"/>
    <col min="16023" max="16023" width="9.5546875" style="571" customWidth="1"/>
    <col min="16024" max="16024" width="11" style="571" customWidth="1"/>
    <col min="16025" max="16026" width="11.21875" style="571" customWidth="1"/>
    <col min="16027" max="16027" width="11.5546875" style="571" customWidth="1"/>
    <col min="16028" max="16028" width="11.109375" style="571" customWidth="1"/>
    <col min="16029" max="16029" width="2" style="571" customWidth="1"/>
    <col min="16030" max="16030" width="13.5546875" style="571" customWidth="1"/>
    <col min="16031" max="16031" width="12.44140625" style="571" customWidth="1"/>
    <col min="16032" max="16032" width="13.5546875" style="571" customWidth="1"/>
    <col min="16033" max="16033" width="2.109375" style="571" customWidth="1"/>
    <col min="16034" max="16034" width="9.109375" style="571"/>
    <col min="16035" max="16035" width="10.21875" style="571" customWidth="1"/>
    <col min="16036" max="16036" width="1.88671875" style="571" customWidth="1"/>
    <col min="16037" max="16037" width="10.77734375" style="571" customWidth="1"/>
    <col min="16038" max="16038" width="9.109375" style="571"/>
    <col min="16039" max="16039" width="2.109375" style="571" customWidth="1"/>
    <col min="16040" max="16040" width="9.109375" style="571"/>
    <col min="16041" max="16041" width="11.21875" style="571" customWidth="1"/>
    <col min="16042" max="16042" width="12.77734375" style="571" customWidth="1"/>
    <col min="16043" max="16043" width="12.5546875" style="571" customWidth="1"/>
    <col min="16044" max="16044" width="2" style="571" customWidth="1"/>
    <col min="16045" max="16046" width="9.109375" style="571"/>
    <col min="16047" max="16047" width="11" style="571" customWidth="1"/>
    <col min="16048" max="16048" width="9.109375" style="571"/>
    <col min="16049" max="16049" width="2.21875" style="571" customWidth="1"/>
    <col min="16050" max="16050" width="11" style="571" customWidth="1"/>
    <col min="16051" max="16051" width="9.109375" style="571"/>
    <col min="16052" max="16052" width="11.5546875" style="571" customWidth="1"/>
    <col min="16053" max="16053" width="11.21875" style="571" customWidth="1"/>
    <col min="16054" max="16054" width="2.88671875" style="571" customWidth="1"/>
    <col min="16055" max="16056" width="9.109375" style="571"/>
    <col min="16057" max="16057" width="11.21875" style="571" customWidth="1"/>
    <col min="16058" max="16058" width="2.21875" style="571" customWidth="1"/>
    <col min="16059" max="16059" width="9.109375" style="571"/>
    <col min="16060" max="16060" width="10.44140625" style="571" customWidth="1"/>
    <col min="16061" max="16061" width="9.109375" style="571"/>
    <col min="16062" max="16062" width="11.109375" style="571" customWidth="1"/>
    <col min="16063" max="16064" width="9.109375" style="571"/>
    <col min="16065" max="16065" width="10.88671875" style="571" customWidth="1"/>
    <col min="16066" max="16067" width="9.109375" style="571"/>
    <col min="16068" max="16068" width="1.5546875" style="571" customWidth="1"/>
    <col min="16069" max="16069" width="9.77734375" style="571" customWidth="1"/>
    <col min="16070" max="16073" width="9.109375" style="571"/>
    <col min="16074" max="16074" width="1.88671875" style="571" customWidth="1"/>
    <col min="16075" max="16075" width="9.88671875" style="571" customWidth="1"/>
    <col min="16076" max="16076" width="1.5546875" style="571" customWidth="1"/>
    <col min="16077" max="16077" width="11.44140625" style="571" customWidth="1"/>
    <col min="16078" max="16078" width="2.21875" style="571" customWidth="1"/>
    <col min="16079" max="16079" width="12" style="571" customWidth="1"/>
    <col min="16080" max="16080" width="2" style="571" customWidth="1"/>
    <col min="16081" max="16081" width="9.109375" style="571"/>
    <col min="16082" max="16082" width="11.109375" style="571" customWidth="1"/>
    <col min="16083" max="16083" width="12" style="571" customWidth="1"/>
    <col min="16084" max="16084" width="9.109375" style="571"/>
    <col min="16085" max="16085" width="11.88671875" style="571" customWidth="1"/>
    <col min="16086" max="16086" width="14.21875" style="571" customWidth="1"/>
    <col min="16087" max="16090" width="9.109375" style="571"/>
    <col min="16091" max="16091" width="3.44140625" style="571" customWidth="1"/>
    <col min="16092" max="16093" width="9.109375" style="571"/>
    <col min="16094" max="16094" width="11.44140625" style="571" customWidth="1"/>
    <col min="16095" max="16095" width="2.77734375" style="571" customWidth="1"/>
    <col min="16096" max="16384" width="9.109375" style="571"/>
  </cols>
  <sheetData>
    <row r="1" spans="1:20" ht="15.6" x14ac:dyDescent="0.3">
      <c r="A1" s="178" t="s">
        <v>2062</v>
      </c>
      <c r="G1" s="463" t="s">
        <v>504</v>
      </c>
      <c r="H1" s="24"/>
      <c r="I1" s="24"/>
      <c r="J1" s="24"/>
      <c r="K1" s="34"/>
    </row>
    <row r="2" spans="1:20" x14ac:dyDescent="0.3">
      <c r="K2" s="8"/>
    </row>
    <row r="3" spans="1:20" x14ac:dyDescent="0.3">
      <c r="F3" s="11"/>
      <c r="G3" s="482"/>
      <c r="H3" s="11"/>
      <c r="I3" s="11"/>
      <c r="J3" s="482"/>
      <c r="K3" s="482"/>
      <c r="L3" s="191"/>
      <c r="M3" s="482"/>
      <c r="N3" s="11"/>
      <c r="O3" s="482"/>
      <c r="P3" s="482"/>
      <c r="Q3" s="606"/>
    </row>
    <row r="4" spans="1:20" ht="17.25" customHeight="1" x14ac:dyDescent="0.3">
      <c r="A4" s="412"/>
      <c r="B4" s="1396" t="s">
        <v>1872</v>
      </c>
      <c r="C4" s="590"/>
      <c r="D4" s="1396" t="s">
        <v>1458</v>
      </c>
      <c r="E4" s="1396" t="s">
        <v>1218</v>
      </c>
      <c r="F4" s="609"/>
      <c r="G4" s="1404" t="s">
        <v>872</v>
      </c>
      <c r="H4" s="1404"/>
      <c r="I4" s="1404"/>
      <c r="J4" s="1404"/>
      <c r="K4" s="1404"/>
      <c r="L4" s="1404"/>
      <c r="M4" s="1404"/>
      <c r="N4" s="1404"/>
      <c r="O4" s="1404"/>
      <c r="P4" s="1404"/>
      <c r="Q4" s="611"/>
    </row>
    <row r="5" spans="1:20" ht="29.25" customHeight="1" x14ac:dyDescent="0.3">
      <c r="A5" s="591"/>
      <c r="B5" s="1397"/>
      <c r="C5" s="609"/>
      <c r="D5" s="1397"/>
      <c r="E5" s="1397"/>
      <c r="F5" s="609"/>
      <c r="G5" s="1400" t="s">
        <v>839</v>
      </c>
      <c r="H5" s="1400" t="s">
        <v>1470</v>
      </c>
      <c r="I5" s="1400" t="s">
        <v>1636</v>
      </c>
      <c r="J5" s="1400" t="s">
        <v>838</v>
      </c>
      <c r="K5" s="977" t="s">
        <v>711</v>
      </c>
      <c r="L5" s="1400" t="s">
        <v>1469</v>
      </c>
      <c r="M5" s="1420" t="s">
        <v>702</v>
      </c>
      <c r="N5" s="1420"/>
      <c r="O5" s="1420"/>
      <c r="P5" s="1420"/>
      <c r="Q5" s="605"/>
      <c r="T5" s="12"/>
    </row>
    <row r="6" spans="1:20" s="170" customFormat="1" ht="24" customHeight="1" x14ac:dyDescent="0.3">
      <c r="A6" s="591"/>
      <c r="B6" s="1397"/>
      <c r="C6" s="609"/>
      <c r="D6" s="1397"/>
      <c r="E6" s="1397"/>
      <c r="F6" s="609"/>
      <c r="G6" s="1400"/>
      <c r="H6" s="1400"/>
      <c r="I6" s="1400"/>
      <c r="J6" s="1400"/>
      <c r="K6" s="1407" t="s">
        <v>719</v>
      </c>
      <c r="L6" s="1400"/>
      <c r="M6" s="1434" t="s">
        <v>597</v>
      </c>
      <c r="N6" s="1434"/>
      <c r="O6" s="1399" t="s">
        <v>713</v>
      </c>
      <c r="P6" s="1399" t="s">
        <v>1523</v>
      </c>
      <c r="Q6" s="567"/>
      <c r="R6" s="1222"/>
      <c r="T6" s="645"/>
    </row>
    <row r="7" spans="1:20" s="170" customFormat="1" ht="15" customHeight="1" x14ac:dyDescent="0.3">
      <c r="A7" s="591"/>
      <c r="B7" s="1397"/>
      <c r="C7" s="609"/>
      <c r="D7" s="1397"/>
      <c r="E7" s="1397"/>
      <c r="F7" s="609"/>
      <c r="G7" s="1400"/>
      <c r="H7" s="1400"/>
      <c r="I7" s="1400"/>
      <c r="J7" s="1400"/>
      <c r="K7" s="1408"/>
      <c r="L7" s="1400"/>
      <c r="M7" s="1399" t="s">
        <v>842</v>
      </c>
      <c r="N7" s="1399" t="s">
        <v>726</v>
      </c>
      <c r="O7" s="1400"/>
      <c r="P7" s="1400"/>
      <c r="Q7" s="567"/>
      <c r="R7" s="1222"/>
      <c r="T7" s="645"/>
    </row>
    <row r="8" spans="1:20" s="170" customFormat="1" ht="11.25" customHeight="1" x14ac:dyDescent="0.3">
      <c r="A8" s="591"/>
      <c r="B8" s="1397"/>
      <c r="C8" s="609"/>
      <c r="D8" s="1397"/>
      <c r="E8" s="1397"/>
      <c r="F8" s="609"/>
      <c r="G8" s="1400"/>
      <c r="H8" s="1400"/>
      <c r="I8" s="1400"/>
      <c r="J8" s="1400"/>
      <c r="K8" s="1408"/>
      <c r="L8" s="1400"/>
      <c r="M8" s="1400"/>
      <c r="N8" s="1400"/>
      <c r="O8" s="1400"/>
      <c r="P8" s="1400"/>
      <c r="Q8" s="567"/>
      <c r="R8" s="1222"/>
      <c r="T8" s="645"/>
    </row>
    <row r="9" spans="1:20" ht="39" customHeight="1" x14ac:dyDescent="0.3">
      <c r="A9" s="411"/>
      <c r="B9" s="400" t="s">
        <v>457</v>
      </c>
      <c r="C9" s="400"/>
      <c r="D9" s="400" t="s">
        <v>832</v>
      </c>
      <c r="E9" s="400" t="s">
        <v>457</v>
      </c>
      <c r="F9" s="400"/>
      <c r="G9" s="566" t="s">
        <v>840</v>
      </c>
      <c r="H9" s="672" t="s">
        <v>732</v>
      </c>
      <c r="I9" s="913" t="s">
        <v>845</v>
      </c>
      <c r="J9" s="566" t="s">
        <v>841</v>
      </c>
      <c r="K9" s="978" t="s">
        <v>791</v>
      </c>
      <c r="L9" s="399" t="s">
        <v>1854</v>
      </c>
      <c r="M9" s="399" t="s">
        <v>743</v>
      </c>
      <c r="N9" s="399" t="s">
        <v>515</v>
      </c>
      <c r="O9" s="399" t="s">
        <v>522</v>
      </c>
      <c r="P9" s="593" t="s">
        <v>1524</v>
      </c>
      <c r="Q9" s="604"/>
      <c r="R9" s="604"/>
      <c r="T9" s="399"/>
    </row>
    <row r="10" spans="1:20" ht="10.5" customHeight="1" x14ac:dyDescent="0.3">
      <c r="A10" s="268">
        <v>1960</v>
      </c>
      <c r="B10" s="603">
        <f>D10-E10</f>
        <v>381214.52480110701</v>
      </c>
      <c r="C10" s="603"/>
      <c r="D10" s="277">
        <f>'T-T2'!B9</f>
        <v>504286.94903999998</v>
      </c>
      <c r="E10" s="277">
        <f>SUM(G10:P10)</f>
        <v>123072.424238893</v>
      </c>
      <c r="F10" s="137"/>
      <c r="G10" s="277">
        <f>'C10-Adj by Source'!CC6</f>
        <v>41838</v>
      </c>
      <c r="H10" s="277">
        <f>'C10-Adj by Source'!CE6</f>
        <v>31.424238892999998</v>
      </c>
      <c r="I10" s="277">
        <f>'T-T3'!Q10</f>
        <v>2242</v>
      </c>
      <c r="J10" s="277">
        <f>'C10-Adj by Source'!CH6</f>
        <v>2536</v>
      </c>
      <c r="K10" s="280">
        <f>'T-T1'!CP9-'T-T1'!AA9</f>
        <v>21885</v>
      </c>
      <c r="L10" s="280">
        <f>'C10-Adj by Source'!CR6</f>
        <v>16400</v>
      </c>
      <c r="M10" s="280">
        <f>'C10-Adj by Source'!CO6</f>
        <v>8799</v>
      </c>
      <c r="N10" s="280">
        <f>'C10-Adj by Source'!CM6</f>
        <v>7439</v>
      </c>
      <c r="O10" s="607">
        <f>'T-T1'!DD9</f>
        <v>12156</v>
      </c>
      <c r="P10" s="607">
        <f>'T-T1'!BA9-O10-SUM('T-T1'!DF9:DI9)-'T-T2'!AF9-'T-T2'!AG9</f>
        <v>9746</v>
      </c>
      <c r="Q10" s="277"/>
      <c r="R10" s="1212"/>
      <c r="T10" s="607"/>
    </row>
    <row r="11" spans="1:20" ht="10.5" customHeight="1" x14ac:dyDescent="0.3">
      <c r="A11" s="268">
        <v>1961</v>
      </c>
      <c r="B11" s="603"/>
      <c r="C11" s="603"/>
      <c r="D11" s="603"/>
      <c r="E11" s="277"/>
      <c r="F11" s="137"/>
      <c r="G11" s="277">
        <f>'C10-Adj by Source'!CC7</f>
        <v>42694</v>
      </c>
      <c r="H11" s="277"/>
      <c r="I11" s="277">
        <f>'T-T3'!Q11</f>
        <v>2509</v>
      </c>
      <c r="J11" s="277">
        <f>'C10-Adj by Source'!CH7</f>
        <v>2800</v>
      </c>
      <c r="K11" s="280">
        <f>'T-T1'!CP10-'T-T1'!AA10</f>
        <v>22203</v>
      </c>
      <c r="L11" s="280">
        <f>'C10-Adj by Source'!CR7</f>
        <v>17000</v>
      </c>
      <c r="M11" s="280">
        <f>'C10-Adj by Source'!CO7</f>
        <v>9359</v>
      </c>
      <c r="N11" s="280">
        <f>'C10-Adj by Source'!CM7</f>
        <v>8221</v>
      </c>
      <c r="O11" s="607">
        <f>'T-T1'!DD10</f>
        <v>13020</v>
      </c>
      <c r="P11" s="607">
        <f>'T-T1'!BA10-O11-SUM('T-T1'!DF10:DI10)-'T-T2'!AF10-'T-T2'!AG10</f>
        <v>9705</v>
      </c>
      <c r="Q11" s="277"/>
      <c r="R11" s="1212"/>
      <c r="T11" s="607"/>
    </row>
    <row r="12" spans="1:20" ht="10.5" customHeight="1" x14ac:dyDescent="0.3">
      <c r="A12" s="268">
        <v>1962</v>
      </c>
      <c r="B12" s="603">
        <f>D12-E12</f>
        <v>425866.72385176504</v>
      </c>
      <c r="C12" s="603"/>
      <c r="D12" s="277">
        <f>'T-T2'!B11</f>
        <v>564030.89294000005</v>
      </c>
      <c r="E12" s="277">
        <f t="shared" ref="E12:E64" si="0">SUM(G12:P12)</f>
        <v>138164.16908823501</v>
      </c>
      <c r="F12" s="137"/>
      <c r="G12" s="277">
        <f>'C10-Adj by Source'!CC8</f>
        <v>46529</v>
      </c>
      <c r="H12" s="277">
        <f>'C10-Adj by Source'!CE8</f>
        <v>41.169088234999997</v>
      </c>
      <c r="I12" s="277">
        <f>'T-T3'!Q12</f>
        <v>2638</v>
      </c>
      <c r="J12" s="277">
        <f>'C10-Adj by Source'!CH8</f>
        <v>3180</v>
      </c>
      <c r="K12" s="280">
        <f>'T-T1'!CP11-'T-T1'!AA11</f>
        <v>23296</v>
      </c>
      <c r="L12" s="280">
        <f>'C10-Adj by Source'!CR8</f>
        <v>19100</v>
      </c>
      <c r="M12" s="280">
        <f>'C10-Adj by Source'!CO8</f>
        <v>10036</v>
      </c>
      <c r="N12" s="280">
        <f>'C10-Adj by Source'!CM8</f>
        <v>8922</v>
      </c>
      <c r="O12" s="607">
        <f>'T-T1'!DD11</f>
        <v>14013</v>
      </c>
      <c r="P12" s="607">
        <f>'T-T1'!BA11-O12-SUM('T-T1'!DF11:DI11)-'T-T2'!AF11-'T-T2'!AG11</f>
        <v>10409</v>
      </c>
      <c r="Q12" s="277"/>
      <c r="R12" s="1212"/>
      <c r="T12" s="607"/>
    </row>
    <row r="13" spans="1:20" ht="10.5" customHeight="1" x14ac:dyDescent="0.3">
      <c r="A13" s="268">
        <v>1963</v>
      </c>
      <c r="B13" s="603"/>
      <c r="C13" s="603"/>
      <c r="D13" s="603"/>
      <c r="E13" s="277"/>
      <c r="F13" s="137"/>
      <c r="G13" s="277">
        <f>'C10-Adj by Source'!CC9</f>
        <v>49138</v>
      </c>
      <c r="H13" s="277"/>
      <c r="I13" s="277">
        <f>'T-T3'!Q13</f>
        <v>2885</v>
      </c>
      <c r="J13" s="277">
        <f>'C10-Adj by Source'!CH9</f>
        <v>3432</v>
      </c>
      <c r="K13" s="280">
        <f>'T-T1'!CP12-'T-T1'!AA12</f>
        <v>25491</v>
      </c>
      <c r="L13" s="280">
        <f>'C10-Adj by Source'!CR9</f>
        <v>21700</v>
      </c>
      <c r="M13" s="280">
        <f>'C10-Adj by Source'!CO9</f>
        <v>10426</v>
      </c>
      <c r="N13" s="280">
        <f>'C10-Adj by Source'!CM9</f>
        <v>9819</v>
      </c>
      <c r="O13" s="607">
        <f>'T-T1'!DD12</f>
        <v>14975</v>
      </c>
      <c r="P13" s="607">
        <f>'T-T1'!BA12-O13-SUM('T-T1'!DF12:DI12)-'T-T2'!AF12-'T-T2'!AG12</f>
        <v>10794</v>
      </c>
      <c r="Q13" s="277"/>
      <c r="R13" s="1212"/>
      <c r="T13" s="607"/>
    </row>
    <row r="14" spans="1:20" ht="10.5" customHeight="1" x14ac:dyDescent="0.3">
      <c r="A14" s="268">
        <v>1964</v>
      </c>
      <c r="B14" s="603">
        <f>D14-E14</f>
        <v>487776.82988799992</v>
      </c>
      <c r="C14" s="603"/>
      <c r="D14" s="277">
        <f>'T-T2'!B13</f>
        <v>639657.22254999995</v>
      </c>
      <c r="E14" s="277">
        <f t="shared" si="0"/>
        <v>151880.392662</v>
      </c>
      <c r="F14" s="137"/>
      <c r="G14" s="277">
        <f>'C10-Adj by Source'!CC10</f>
        <v>45985</v>
      </c>
      <c r="H14" s="277">
        <f>'C10-Adj by Source'!CE10</f>
        <v>50.392662000000001</v>
      </c>
      <c r="I14" s="277">
        <f>'T-T3'!Q14</f>
        <v>3305</v>
      </c>
      <c r="J14" s="277">
        <f>'C10-Adj by Source'!CH10</f>
        <v>4018</v>
      </c>
      <c r="K14" s="280">
        <f>'T-T1'!CP13-'T-T1'!AA13</f>
        <v>26573</v>
      </c>
      <c r="L14" s="280">
        <f>'C10-Adj by Source'!CR10</f>
        <v>22400</v>
      </c>
      <c r="M14" s="280">
        <f>'C10-Adj by Source'!CO10</f>
        <v>10978</v>
      </c>
      <c r="N14" s="280">
        <f>'C10-Adj by Source'!CM10</f>
        <v>10709</v>
      </c>
      <c r="O14" s="607">
        <f>'T-T1'!DD13</f>
        <v>16454</v>
      </c>
      <c r="P14" s="607">
        <f>'T-T1'!BA13-O14-SUM('T-T1'!DF13:DI13)-'T-T2'!AF13-'T-T2'!AG13</f>
        <v>11408</v>
      </c>
      <c r="Q14" s="277"/>
      <c r="R14" s="1212"/>
      <c r="T14" s="607"/>
    </row>
    <row r="15" spans="1:20" ht="10.5" customHeight="1" x14ac:dyDescent="0.3">
      <c r="A15" s="268">
        <v>1965</v>
      </c>
      <c r="B15" s="603"/>
      <c r="C15" s="603"/>
      <c r="D15" s="603"/>
      <c r="E15" s="277"/>
      <c r="F15" s="137"/>
      <c r="G15" s="277">
        <f>'C10-Adj by Source'!CC11</f>
        <v>51068</v>
      </c>
      <c r="H15" s="277"/>
      <c r="I15" s="277">
        <f>'T-T3'!Q15</f>
        <v>3608</v>
      </c>
      <c r="J15" s="277">
        <f>'C10-Adj by Source'!CH11</f>
        <v>4417</v>
      </c>
      <c r="K15" s="280">
        <f>'T-T1'!CP14-'T-T1'!AA14</f>
        <v>29768</v>
      </c>
      <c r="L15" s="280">
        <f>'C10-Adj by Source'!CR11</f>
        <v>23400</v>
      </c>
      <c r="M15" s="280">
        <f>'C10-Adj by Source'!CO11</f>
        <v>11527</v>
      </c>
      <c r="N15" s="280">
        <f>'C10-Adj by Source'!CM11</f>
        <v>11660</v>
      </c>
      <c r="O15" s="607">
        <f>'T-T1'!DD14</f>
        <v>18185</v>
      </c>
      <c r="P15" s="607">
        <f>'T-T1'!BA14-O15-SUM('T-T1'!DF14:DI14)-'T-T2'!AF14-'T-T2'!AG14</f>
        <v>11130</v>
      </c>
      <c r="Q15" s="277"/>
      <c r="R15" s="1212"/>
      <c r="T15" s="607"/>
    </row>
    <row r="16" spans="1:20" ht="10.5" customHeight="1" x14ac:dyDescent="0.3">
      <c r="A16" s="268">
        <v>1966</v>
      </c>
      <c r="B16" s="603">
        <f>D16-E16</f>
        <v>571073.36392649997</v>
      </c>
      <c r="C16" s="603"/>
      <c r="D16" s="277">
        <f>'T-T2'!B15</f>
        <v>756875.75590999995</v>
      </c>
      <c r="E16" s="277">
        <f>SUM(G16:P16)</f>
        <v>185802.39198349998</v>
      </c>
      <c r="F16" s="137"/>
      <c r="G16" s="277">
        <f>'C10-Adj by Source'!CC12</f>
        <v>58602</v>
      </c>
      <c r="H16" s="277">
        <f>'C10-Adj by Source'!CE12</f>
        <v>81.391983499999995</v>
      </c>
      <c r="I16" s="277">
        <f>'T-T3'!Q16</f>
        <v>3886</v>
      </c>
      <c r="J16" s="277">
        <f>'C10-Adj by Source'!CH12</f>
        <v>5422</v>
      </c>
      <c r="K16" s="280">
        <f>'T-T1'!CP15-'T-T1'!AA15</f>
        <v>32232</v>
      </c>
      <c r="L16" s="280">
        <f>'C10-Adj by Source'!CR12</f>
        <v>30978</v>
      </c>
      <c r="M16" s="280">
        <f>'C10-Adj by Source'!CO12</f>
        <v>11968</v>
      </c>
      <c r="N16" s="280">
        <f>'C10-Adj by Source'!CM12</f>
        <v>12567</v>
      </c>
      <c r="O16" s="607">
        <f>'T-T1'!DD15</f>
        <v>19953</v>
      </c>
      <c r="P16" s="607">
        <f>'T-T1'!BA15-O16-SUM('T-T1'!DF15:DI15)</f>
        <v>10113</v>
      </c>
      <c r="Q16" s="280"/>
      <c r="R16" s="1212"/>
      <c r="T16" s="607"/>
    </row>
    <row r="17" spans="1:20" ht="10.5" customHeight="1" x14ac:dyDescent="0.3">
      <c r="A17" s="268">
        <v>1967</v>
      </c>
      <c r="B17" s="603">
        <f t="shared" ref="B17:B65" si="1">D17-E17</f>
        <v>606562.79975082004</v>
      </c>
      <c r="C17" s="603"/>
      <c r="D17" s="277">
        <f>'T-T2'!B16</f>
        <v>805309.31680999999</v>
      </c>
      <c r="E17" s="277">
        <f t="shared" si="0"/>
        <v>198746.51705918001</v>
      </c>
      <c r="F17" s="137"/>
      <c r="G17" s="277">
        <f>'C10-Adj by Source'!CC13</f>
        <v>64386</v>
      </c>
      <c r="H17" s="277">
        <f>'C10-Adj by Source'!CE13</f>
        <v>93.517059180000004</v>
      </c>
      <c r="I17" s="277">
        <f>'T-T3'!Q17</f>
        <v>3978</v>
      </c>
      <c r="J17" s="277">
        <f>'C10-Adj by Source'!CH13</f>
        <v>6112</v>
      </c>
      <c r="K17" s="280">
        <f>'T-T1'!CP16-'T-T1'!AA16</f>
        <v>30992</v>
      </c>
      <c r="L17" s="280">
        <f>'C10-Adj by Source'!CR13</f>
        <v>34260</v>
      </c>
      <c r="M17" s="280">
        <f>'C10-Adj by Source'!CO13</f>
        <v>12911</v>
      </c>
      <c r="N17" s="280">
        <f>'C10-Adj by Source'!CM13</f>
        <v>14053</v>
      </c>
      <c r="O17" s="607">
        <f>'T-T1'!DD16</f>
        <v>21370</v>
      </c>
      <c r="P17" s="607">
        <f>'T-T1'!BA16-O17-SUM('T-T1'!DF16:DI16)</f>
        <v>10591</v>
      </c>
      <c r="Q17" s="280"/>
      <c r="R17" s="1212"/>
      <c r="T17" s="607"/>
    </row>
    <row r="18" spans="1:20" ht="10.5" customHeight="1" x14ac:dyDescent="0.3">
      <c r="A18" s="268">
        <v>1968</v>
      </c>
      <c r="B18" s="603">
        <f t="shared" si="1"/>
        <v>654415.15572000004</v>
      </c>
      <c r="C18" s="603"/>
      <c r="D18" s="277">
        <f>'T-T2'!B17</f>
        <v>884542.07926000003</v>
      </c>
      <c r="E18" s="277">
        <f t="shared" si="0"/>
        <v>230126.92353999999</v>
      </c>
      <c r="F18" s="137"/>
      <c r="G18" s="277">
        <f>'C10-Adj by Source'!CC14</f>
        <v>76435</v>
      </c>
      <c r="H18" s="277">
        <f>'C10-Adj by Source'!CE14</f>
        <v>111.92354</v>
      </c>
      <c r="I18" s="277">
        <f>'T-T3'!Q18</f>
        <v>4088</v>
      </c>
      <c r="J18" s="277">
        <f>'C10-Adj by Source'!CH14</f>
        <v>7841</v>
      </c>
      <c r="K18" s="280">
        <f>'T-T1'!CP17-'T-T1'!AA17</f>
        <v>37164</v>
      </c>
      <c r="L18" s="280">
        <f>'C10-Adj by Source'!CR14</f>
        <v>37868</v>
      </c>
      <c r="M18" s="280">
        <f>'C10-Adj by Source'!CO14</f>
        <v>14058</v>
      </c>
      <c r="N18" s="280">
        <f>'C10-Adj by Source'!CM14</f>
        <v>15838</v>
      </c>
      <c r="O18" s="607">
        <f>'T-T1'!DD17</f>
        <v>25057</v>
      </c>
      <c r="P18" s="607">
        <f>'T-T1'!BA17-O18-SUM('T-T1'!DF17:DI17)</f>
        <v>11666</v>
      </c>
      <c r="Q18" s="280"/>
      <c r="R18" s="1212"/>
      <c r="T18" s="607"/>
    </row>
    <row r="19" spans="1:20" ht="10.5" customHeight="1" x14ac:dyDescent="0.3">
      <c r="A19" s="268">
        <v>1969</v>
      </c>
      <c r="B19" s="603">
        <f t="shared" si="1"/>
        <v>698096.62469999993</v>
      </c>
      <c r="C19" s="603"/>
      <c r="D19" s="277">
        <f>'T-T2'!B18</f>
        <v>957579.59916999994</v>
      </c>
      <c r="E19" s="277">
        <f t="shared" si="0"/>
        <v>259482.97447000002</v>
      </c>
      <c r="F19" s="137"/>
      <c r="G19" s="277">
        <f>'C10-Adj by Source'!CC15</f>
        <v>91700</v>
      </c>
      <c r="H19" s="277">
        <f>'C10-Adj by Source'!CE15</f>
        <v>152.97447</v>
      </c>
      <c r="I19" s="277">
        <f>'T-T3'!Q19</f>
        <v>4625</v>
      </c>
      <c r="J19" s="277">
        <f>'C10-Adj by Source'!CH15</f>
        <v>9769</v>
      </c>
      <c r="K19" s="280">
        <f>'T-T1'!CP18-'T-T1'!AA18</f>
        <v>36958</v>
      </c>
      <c r="L19" s="280">
        <f>'C10-Adj by Source'!CR15</f>
        <v>43186</v>
      </c>
      <c r="M19" s="280">
        <f>'C10-Adj by Source'!CO15</f>
        <v>15117</v>
      </c>
      <c r="N19" s="280">
        <f>'C10-Adj by Source'!CM15</f>
        <v>17646</v>
      </c>
      <c r="O19" s="607">
        <f>'T-T1'!DD18</f>
        <v>28562</v>
      </c>
      <c r="P19" s="607">
        <f>'T-T1'!BA18-O19-SUM('T-T1'!DF18:DI18)</f>
        <v>11767</v>
      </c>
      <c r="Q19" s="280"/>
      <c r="R19" s="1212"/>
      <c r="T19" s="607"/>
    </row>
    <row r="20" spans="1:20" ht="10.5" customHeight="1" x14ac:dyDescent="0.3">
      <c r="A20" s="268">
        <v>1970</v>
      </c>
      <c r="B20" s="603">
        <f t="shared" si="1"/>
        <v>749779.0171060001</v>
      </c>
      <c r="C20" s="603"/>
      <c r="D20" s="277">
        <f>'T-T2'!B19</f>
        <v>1010789.70322</v>
      </c>
      <c r="E20" s="277">
        <f t="shared" si="0"/>
        <v>261010.68611399998</v>
      </c>
      <c r="F20" s="137"/>
      <c r="G20" s="277">
        <f>'C10-Adj by Source'!CC16</f>
        <v>88853</v>
      </c>
      <c r="H20" s="277">
        <f>'C10-Adj by Source'!CE16</f>
        <v>135.686114</v>
      </c>
      <c r="I20" s="277">
        <f>'T-T3'!Q20</f>
        <v>4764</v>
      </c>
      <c r="J20" s="277">
        <f>'C10-Adj by Source'!CH16</f>
        <v>10903</v>
      </c>
      <c r="K20" s="280">
        <f>'T-T1'!CP19-'T-T1'!AA19</f>
        <v>31263</v>
      </c>
      <c r="L20" s="280">
        <f>'C10-Adj by Source'!CR16</f>
        <v>45304</v>
      </c>
      <c r="M20" s="280">
        <f>'C10-Adj by Source'!CO16</f>
        <v>16606</v>
      </c>
      <c r="N20" s="280">
        <f>'C10-Adj by Source'!CM16</f>
        <v>20068</v>
      </c>
      <c r="O20" s="607">
        <f>'T-T1'!DD19</f>
        <v>31645</v>
      </c>
      <c r="P20" s="607">
        <f>'T-T1'!BA19-O20-SUM('T-T1'!DF19:DI19)</f>
        <v>11469</v>
      </c>
      <c r="Q20" s="280"/>
      <c r="R20" s="1212"/>
      <c r="T20" s="607"/>
    </row>
    <row r="21" spans="1:20" ht="10.5" customHeight="1" x14ac:dyDescent="0.3">
      <c r="A21" s="268">
        <v>1971</v>
      </c>
      <c r="B21" s="603">
        <f t="shared" si="1"/>
        <v>824256.15700699994</v>
      </c>
      <c r="C21" s="603"/>
      <c r="D21" s="277">
        <f>'T-T2'!B20</f>
        <v>1101126.3473</v>
      </c>
      <c r="E21" s="277">
        <f t="shared" si="0"/>
        <v>276870.19029300002</v>
      </c>
      <c r="F21" s="137"/>
      <c r="G21" s="277">
        <f>'C10-Adj by Source'!CC17</f>
        <v>85803</v>
      </c>
      <c r="H21" s="277">
        <f>'C10-Adj by Source'!CE17</f>
        <v>199.190293</v>
      </c>
      <c r="I21" s="277">
        <f>'T-T3'!Q21</f>
        <v>5797</v>
      </c>
      <c r="J21" s="277">
        <f>'C10-Adj by Source'!CH17</f>
        <v>12440</v>
      </c>
      <c r="K21" s="280">
        <f>'T-T1'!CP20-'T-T1'!AA20</f>
        <v>34808</v>
      </c>
      <c r="L21" s="280">
        <f>'C10-Adj by Source'!CR17</f>
        <v>49898</v>
      </c>
      <c r="M21" s="280">
        <f>'C10-Adj by Source'!CO17</f>
        <v>18369</v>
      </c>
      <c r="N21" s="280">
        <f>'C10-Adj by Source'!CM17</f>
        <v>22076</v>
      </c>
      <c r="O21" s="607">
        <f>'T-T1'!DD20</f>
        <v>35364</v>
      </c>
      <c r="P21" s="607">
        <f>'T-T1'!BA20-O21-SUM('T-T1'!DF20:DI20)</f>
        <v>12116</v>
      </c>
      <c r="Q21" s="280"/>
      <c r="R21" s="1212"/>
      <c r="T21" s="607"/>
    </row>
    <row r="22" spans="1:20" ht="10.5" customHeight="1" x14ac:dyDescent="0.3">
      <c r="A22" s="268">
        <v>1972</v>
      </c>
      <c r="B22" s="603">
        <f t="shared" si="1"/>
        <v>898392.23202200001</v>
      </c>
      <c r="C22" s="603"/>
      <c r="D22" s="277">
        <f>'T-T2'!B21</f>
        <v>1216401.8569</v>
      </c>
      <c r="E22" s="277">
        <f t="shared" si="0"/>
        <v>318009.624878</v>
      </c>
      <c r="F22" s="137"/>
      <c r="G22" s="277">
        <f>'C10-Adj by Source'!CC18</f>
        <v>102757</v>
      </c>
      <c r="H22" s="277">
        <f>'C10-Adj by Source'!CE18</f>
        <v>222.624878</v>
      </c>
      <c r="I22" s="277">
        <f>'T-T3'!Q22</f>
        <v>6804</v>
      </c>
      <c r="J22" s="277">
        <f>'C10-Adj by Source'!CH18</f>
        <v>17197</v>
      </c>
      <c r="K22" s="280">
        <f>'T-T1'!CP21-'T-T1'!AA21</f>
        <v>39110</v>
      </c>
      <c r="L22" s="280">
        <f>'C10-Adj by Source'!CR18</f>
        <v>57818</v>
      </c>
      <c r="M22" s="280">
        <f>'C10-Adj by Source'!CO18</f>
        <v>19447</v>
      </c>
      <c r="N22" s="280">
        <f>'C10-Adj by Source'!CM18</f>
        <v>23780</v>
      </c>
      <c r="O22" s="607">
        <f>'T-T1'!DD21</f>
        <v>39801</v>
      </c>
      <c r="P22" s="607">
        <f>'T-T1'!BA21-O22-SUM('T-T1'!DF21:DI21)</f>
        <v>11073</v>
      </c>
      <c r="Q22" s="280"/>
      <c r="R22" s="1212"/>
      <c r="T22" s="607"/>
    </row>
    <row r="23" spans="1:20" ht="10.5" customHeight="1" x14ac:dyDescent="0.3">
      <c r="A23" s="268">
        <v>1973</v>
      </c>
      <c r="B23" s="603">
        <f t="shared" si="1"/>
        <v>1006870.8611539999</v>
      </c>
      <c r="C23" s="603"/>
      <c r="D23" s="277">
        <f>'T-T2'!B22</f>
        <v>1364058.1410999999</v>
      </c>
      <c r="E23" s="277">
        <f t="shared" si="0"/>
        <v>357187.27994599997</v>
      </c>
      <c r="F23" s="137"/>
      <c r="G23" s="277">
        <f>'C10-Adj by Source'!CC19</f>
        <v>109581</v>
      </c>
      <c r="H23" s="277">
        <f>'C10-Adj by Source'!CE19</f>
        <v>242.279946</v>
      </c>
      <c r="I23" s="277">
        <f>'T-T3'!Q23</f>
        <v>6601</v>
      </c>
      <c r="J23" s="277">
        <f>'C10-Adj by Source'!CH19</f>
        <v>18864</v>
      </c>
      <c r="K23" s="280">
        <f>'T-T1'!CP22-'T-T1'!AA22</f>
        <v>45632</v>
      </c>
      <c r="L23" s="280">
        <f>'C10-Adj by Source'!CR19</f>
        <v>73950</v>
      </c>
      <c r="M23" s="280">
        <f>'C10-Adj by Source'!CO19</f>
        <v>20565</v>
      </c>
      <c r="N23" s="280">
        <f>'C10-Adj by Source'!CM19</f>
        <v>25790</v>
      </c>
      <c r="O23" s="607">
        <f>'T-T1'!DD22</f>
        <v>44080</v>
      </c>
      <c r="P23" s="607">
        <f>'T-T1'!BA22-O23-SUM('T-T1'!DF22:DI22)</f>
        <v>11882</v>
      </c>
      <c r="Q23" s="280"/>
      <c r="R23" s="1212"/>
      <c r="T23" s="607"/>
    </row>
    <row r="24" spans="1:20" ht="10.5" customHeight="1" x14ac:dyDescent="0.3">
      <c r="A24" s="268">
        <v>1974</v>
      </c>
      <c r="B24" s="603">
        <f t="shared" si="1"/>
        <v>1083614.5075640001</v>
      </c>
      <c r="C24" s="603"/>
      <c r="D24" s="277">
        <f>'T-T2'!B23</f>
        <v>1477521.412</v>
      </c>
      <c r="E24" s="277">
        <f t="shared" si="0"/>
        <v>393906.90443599998</v>
      </c>
      <c r="F24" s="137"/>
      <c r="G24" s="277">
        <f>'C10-Adj by Source'!CC20</f>
        <v>126525</v>
      </c>
      <c r="H24" s="277">
        <f>'C10-Adj by Source'!CE20</f>
        <v>139.904436</v>
      </c>
      <c r="I24" s="277">
        <f>'T-T3'!Q24</f>
        <v>6298</v>
      </c>
      <c r="J24" s="277">
        <f>'C10-Adj by Source'!CH20</f>
        <v>20351</v>
      </c>
      <c r="K24" s="280">
        <f>'T-T1'!CP23-'T-T1'!AA23</f>
        <v>47235</v>
      </c>
      <c r="L24" s="280">
        <f>'C10-Adj by Source'!CR20</f>
        <v>83396</v>
      </c>
      <c r="M24" s="280">
        <f>'C10-Adj by Source'!CO20</f>
        <v>21408</v>
      </c>
      <c r="N24" s="280">
        <f>'C10-Adj by Source'!CM20</f>
        <v>27572</v>
      </c>
      <c r="O24" s="607">
        <f>'T-T1'!DD23</f>
        <v>48160</v>
      </c>
      <c r="P24" s="607">
        <f>'T-T1'!BA23-O24-SUM('T-T1'!DF23:DI23)</f>
        <v>12822</v>
      </c>
      <c r="Q24" s="280"/>
      <c r="R24" s="1212"/>
      <c r="T24" s="607"/>
    </row>
    <row r="25" spans="1:20" ht="10.5" customHeight="1" x14ac:dyDescent="0.3">
      <c r="A25" s="268">
        <v>1975</v>
      </c>
      <c r="B25" s="603">
        <f t="shared" si="1"/>
        <v>1209284.7583010001</v>
      </c>
      <c r="C25" s="603"/>
      <c r="D25" s="277">
        <f>'T-T2'!B24</f>
        <v>1612363.608</v>
      </c>
      <c r="E25" s="277">
        <f t="shared" si="0"/>
        <v>403078.84969900001</v>
      </c>
      <c r="F25" s="137"/>
      <c r="G25" s="277">
        <f>'C10-Adj by Source'!CC21</f>
        <v>120730</v>
      </c>
      <c r="H25" s="277">
        <f>'C10-Adj by Source'!CE21</f>
        <v>370.84969899999999</v>
      </c>
      <c r="I25" s="277">
        <f>'T-T3'!Q25</f>
        <v>6448</v>
      </c>
      <c r="J25" s="277">
        <f>'C10-Adj by Source'!CH21</f>
        <v>22453</v>
      </c>
      <c r="K25" s="280">
        <f>'T-T1'!CP24-'T-T1'!AA24</f>
        <v>46264</v>
      </c>
      <c r="L25" s="280">
        <f>'C10-Adj by Source'!CR21</f>
        <v>87382</v>
      </c>
      <c r="M25" s="280">
        <f>'C10-Adj by Source'!CO21</f>
        <v>23067</v>
      </c>
      <c r="N25" s="280">
        <f>'C10-Adj by Source'!CM21</f>
        <v>30317</v>
      </c>
      <c r="O25" s="607">
        <f>'T-T1'!DD24</f>
        <v>51703</v>
      </c>
      <c r="P25" s="607">
        <f>'T-T1'!BA24-O25-SUM('T-T1'!DF24:DI24)</f>
        <v>14344</v>
      </c>
      <c r="Q25" s="280"/>
      <c r="R25" s="1212"/>
      <c r="T25" s="607"/>
    </row>
    <row r="26" spans="1:20" ht="10.5" customHeight="1" x14ac:dyDescent="0.3">
      <c r="A26" s="268">
        <v>1976</v>
      </c>
      <c r="B26" s="603">
        <f t="shared" si="1"/>
        <v>1327135.3941270399</v>
      </c>
      <c r="C26" s="603"/>
      <c r="D26" s="277">
        <f>'T-T2'!B25</f>
        <v>1790351.9053</v>
      </c>
      <c r="E26" s="277">
        <f t="shared" si="0"/>
        <v>463216.51117295999</v>
      </c>
      <c r="F26" s="137"/>
      <c r="G26" s="277">
        <f>'C10-Adj by Source'!CC22</f>
        <v>141597</v>
      </c>
      <c r="H26" s="277">
        <f>'C10-Adj by Source'!CE22</f>
        <v>185.51117296000001</v>
      </c>
      <c r="I26" s="277">
        <f>'T-T3'!Q26</f>
        <v>7236</v>
      </c>
      <c r="J26" s="277">
        <f>'C10-Adj by Source'!CH22</f>
        <v>26259</v>
      </c>
      <c r="K26" s="280">
        <f>'T-T1'!CP25-'T-T1'!AA25</f>
        <v>59418</v>
      </c>
      <c r="L26" s="280">
        <f>'C10-Adj by Source'!CR22</f>
        <v>99240</v>
      </c>
      <c r="M26" s="280">
        <f>'C10-Adj by Source'!CO22</f>
        <v>24881</v>
      </c>
      <c r="N26" s="280">
        <f>'C10-Adj by Source'!CM22</f>
        <v>33366</v>
      </c>
      <c r="O26" s="607">
        <f>'T-T1'!DD25</f>
        <v>57760</v>
      </c>
      <c r="P26" s="607">
        <f>'T-T1'!BA25-O26-SUM('T-T1'!DF25:DI25)</f>
        <v>13274</v>
      </c>
      <c r="Q26" s="280"/>
      <c r="R26" s="1212"/>
      <c r="T26" s="607"/>
    </row>
    <row r="27" spans="1:20" ht="10.5" customHeight="1" x14ac:dyDescent="0.3">
      <c r="A27" s="268">
        <v>1977</v>
      </c>
      <c r="B27" s="603">
        <f t="shared" si="1"/>
        <v>1462648.0157482899</v>
      </c>
      <c r="C27" s="603"/>
      <c r="D27" s="277">
        <f>'T-T2'!B26</f>
        <v>1985888.4867</v>
      </c>
      <c r="E27" s="277">
        <f t="shared" si="0"/>
        <v>523240.47095171001</v>
      </c>
      <c r="F27" s="137"/>
      <c r="G27" s="277">
        <f>'C10-Adj by Source'!CC23</f>
        <v>162513</v>
      </c>
      <c r="H27" s="277">
        <f>'C10-Adj by Source'!CE23</f>
        <v>180.47095171000001</v>
      </c>
      <c r="I27" s="277">
        <f>'T-T3'!Q27</f>
        <v>9276</v>
      </c>
      <c r="J27" s="277">
        <f>'C10-Adj by Source'!CH23</f>
        <v>30385</v>
      </c>
      <c r="K27" s="280">
        <f>'T-T1'!CP26-'T-T1'!AA26</f>
        <v>68504</v>
      </c>
      <c r="L27" s="280">
        <f>'C10-Adj by Source'!CR23</f>
        <v>110853</v>
      </c>
      <c r="M27" s="280">
        <f>'C10-Adj by Source'!CO23</f>
        <v>26646</v>
      </c>
      <c r="N27" s="280">
        <f>'C10-Adj by Source'!CM23</f>
        <v>36554</v>
      </c>
      <c r="O27" s="607">
        <f>'T-T1'!DD26</f>
        <v>64018</v>
      </c>
      <c r="P27" s="607">
        <f>'T-T1'!BA26-O27-SUM('T-T1'!DF26:DI26)</f>
        <v>14311</v>
      </c>
      <c r="Q27" s="280"/>
      <c r="R27" s="1212"/>
      <c r="T27" s="607"/>
    </row>
    <row r="28" spans="1:20" ht="10.5" customHeight="1" x14ac:dyDescent="0.3">
      <c r="A28" s="268">
        <v>1978</v>
      </c>
      <c r="B28" s="603">
        <f t="shared" si="1"/>
        <v>1640603.4653427796</v>
      </c>
      <c r="C28" s="603"/>
      <c r="D28" s="277">
        <f>'T-T2'!B27</f>
        <v>2230894.6700999998</v>
      </c>
      <c r="E28" s="277">
        <f t="shared" si="0"/>
        <v>590291.20475722</v>
      </c>
      <c r="F28" s="137"/>
      <c r="G28" s="277">
        <f>'C10-Adj by Source'!CC24</f>
        <v>189199</v>
      </c>
      <c r="H28" s="277">
        <f>'C10-Adj by Source'!CE24</f>
        <v>598.20475722000003</v>
      </c>
      <c r="I28" s="277">
        <f>'T-T3'!Q28</f>
        <v>7189</v>
      </c>
      <c r="J28" s="277">
        <f>'C10-Adj by Source'!CH24</f>
        <v>34981</v>
      </c>
      <c r="K28" s="280">
        <f>'T-T1'!CP27-'T-T1'!AA27</f>
        <v>77852</v>
      </c>
      <c r="L28" s="280">
        <f>'C10-Adj by Source'!CR24</f>
        <v>128830</v>
      </c>
      <c r="M28" s="280">
        <f>'C10-Adj by Source'!CO24</f>
        <v>26498</v>
      </c>
      <c r="N28" s="280">
        <f>'C10-Adj by Source'!CM24</f>
        <v>37250</v>
      </c>
      <c r="O28" s="607">
        <f>'T-T1'!DD27</f>
        <v>71000</v>
      </c>
      <c r="P28" s="607">
        <f>'T-T1'!BA27-O28-SUM('T-T1'!DF27:DI27)</f>
        <v>16894</v>
      </c>
      <c r="Q28" s="280"/>
      <c r="R28" s="1212"/>
      <c r="T28" s="607"/>
    </row>
    <row r="29" spans="1:20" ht="10.5" customHeight="1" x14ac:dyDescent="0.3">
      <c r="A29" s="268">
        <v>1979</v>
      </c>
      <c r="B29" s="603">
        <f t="shared" si="1"/>
        <v>1810533.48939513</v>
      </c>
      <c r="C29" s="603"/>
      <c r="D29" s="277">
        <f>'T-T2'!B28</f>
        <v>2472767.8843</v>
      </c>
      <c r="E29" s="277">
        <f t="shared" si="0"/>
        <v>662234.39490486996</v>
      </c>
      <c r="F29" s="137"/>
      <c r="G29" s="277">
        <f>'C10-Adj by Source'!CC25</f>
        <v>224881</v>
      </c>
      <c r="H29" s="277">
        <f>'C10-Adj by Source'!CE25</f>
        <v>359.39490487</v>
      </c>
      <c r="I29" s="277">
        <f>'T-T3'!Q29</f>
        <v>7541</v>
      </c>
      <c r="J29" s="277">
        <f>'C10-Adj by Source'!CH25</f>
        <v>38214</v>
      </c>
      <c r="K29" s="280">
        <f>'T-T1'!CP28-'T-T1'!AA28</f>
        <v>80737</v>
      </c>
      <c r="L29" s="280">
        <f>'C10-Adj by Source'!CR25</f>
        <v>149981</v>
      </c>
      <c r="M29" s="280">
        <f>'C10-Adj by Source'!CO25</f>
        <v>26384</v>
      </c>
      <c r="N29" s="280">
        <f>'C10-Adj by Source'!CM25</f>
        <v>38019</v>
      </c>
      <c r="O29" s="607">
        <f>'T-T1'!DD28</f>
        <v>77281</v>
      </c>
      <c r="P29" s="607">
        <f>'T-T1'!BA28-O29-SUM('T-T1'!DF28:DI28)</f>
        <v>18837</v>
      </c>
      <c r="Q29" s="280"/>
      <c r="R29" s="1212"/>
      <c r="T29" s="607"/>
    </row>
    <row r="30" spans="1:20" ht="10.5" customHeight="1" x14ac:dyDescent="0.3">
      <c r="A30" s="268">
        <v>1980</v>
      </c>
      <c r="B30" s="603">
        <f t="shared" si="1"/>
        <v>1973755.9996500898</v>
      </c>
      <c r="C30" s="603"/>
      <c r="D30" s="277">
        <f>'T-T2'!B29</f>
        <v>2695241.0954999998</v>
      </c>
      <c r="E30" s="277">
        <f t="shared" si="0"/>
        <v>721485.09584991005</v>
      </c>
      <c r="F30" s="137"/>
      <c r="G30" s="277">
        <f>'C10-Adj by Source'!CC26</f>
        <v>250621</v>
      </c>
      <c r="H30" s="277">
        <f>'C10-Adj by Source'!CE26</f>
        <v>462.09584991000003</v>
      </c>
      <c r="I30" s="277">
        <f>'T-T3'!Q30</f>
        <v>8778</v>
      </c>
      <c r="J30" s="277">
        <f>'C10-Adj by Source'!CH26</f>
        <v>42594</v>
      </c>
      <c r="K30" s="280">
        <f>'T-T1'!CP29-'T-T1'!AA29</f>
        <v>75484</v>
      </c>
      <c r="L30" s="280">
        <f>'C10-Adj by Source'!CR26</f>
        <v>163189</v>
      </c>
      <c r="M30" s="280">
        <f>'C10-Adj by Source'!CO26</f>
        <v>27806</v>
      </c>
      <c r="N30" s="280">
        <f>'C10-Adj by Source'!CM26</f>
        <v>41020</v>
      </c>
      <c r="O30" s="607">
        <f>'T-T1'!DD29</f>
        <v>82858</v>
      </c>
      <c r="P30" s="607">
        <f>'T-T1'!BA29-O30-SUM('T-T1'!DF29:DI29)</f>
        <v>28673</v>
      </c>
      <c r="Q30" s="280"/>
      <c r="R30" s="280"/>
      <c r="T30" s="607"/>
    </row>
    <row r="31" spans="1:20" ht="10.5" customHeight="1" x14ac:dyDescent="0.3">
      <c r="A31" s="268">
        <v>1981</v>
      </c>
      <c r="B31" s="603">
        <f t="shared" si="1"/>
        <v>2201127.0978086004</v>
      </c>
      <c r="C31" s="603"/>
      <c r="D31" s="277">
        <f>'T-T2'!B30</f>
        <v>3026219.7376000001</v>
      </c>
      <c r="E31" s="277">
        <f t="shared" si="0"/>
        <v>825092.63979139994</v>
      </c>
      <c r="F31" s="137"/>
      <c r="G31" s="277">
        <f>'C10-Adj by Source'!CC27</f>
        <v>291165</v>
      </c>
      <c r="H31" s="277">
        <f>'C10-Adj by Source'!CE27</f>
        <v>375.63979139999998</v>
      </c>
      <c r="I31" s="277">
        <f>'T-T3'!Q31</f>
        <v>9262</v>
      </c>
      <c r="J31" s="277">
        <f>'C10-Adj by Source'!CH27</f>
        <v>47912</v>
      </c>
      <c r="K31" s="280">
        <f>'T-T1'!CP30-'T-T1'!AA30</f>
        <v>70315</v>
      </c>
      <c r="L31" s="280">
        <f>'C10-Adj by Source'!CR27</f>
        <v>191978</v>
      </c>
      <c r="M31" s="280">
        <f>'C10-Adj by Source'!CO27</f>
        <v>31458</v>
      </c>
      <c r="N31" s="280">
        <f>'C10-Adj by Source'!CM27</f>
        <v>45622</v>
      </c>
      <c r="O31" s="607">
        <f>'T-T1'!DD30</f>
        <v>90747</v>
      </c>
      <c r="P31" s="607">
        <f>'T-T1'!BA30-O31-SUM('T-T1'!DF30:DI30)</f>
        <v>46258</v>
      </c>
      <c r="Q31" s="280"/>
      <c r="R31" s="280"/>
      <c r="T31" s="607"/>
    </row>
    <row r="32" spans="1:20" ht="10.5" customHeight="1" x14ac:dyDescent="0.3">
      <c r="A32" s="268">
        <v>1982</v>
      </c>
      <c r="B32" s="603">
        <f t="shared" si="1"/>
        <v>2347427.0595624601</v>
      </c>
      <c r="C32" s="603"/>
      <c r="D32" s="277">
        <f>'T-T2'!B31</f>
        <v>3179795.7584000002</v>
      </c>
      <c r="E32" s="277">
        <f t="shared" si="0"/>
        <v>832368.69883754</v>
      </c>
      <c r="F32" s="137"/>
      <c r="G32" s="277">
        <f>'C10-Adj by Source'!CC28</f>
        <v>295596</v>
      </c>
      <c r="H32" s="277">
        <f>'C10-Adj by Source'!CE28</f>
        <v>433.69883754</v>
      </c>
      <c r="I32" s="277">
        <f>'T-T3'!Q32</f>
        <v>10103</v>
      </c>
      <c r="J32" s="277">
        <f>'C10-Adj by Source'!CH28</f>
        <v>51887</v>
      </c>
      <c r="K32" s="280">
        <f>'T-T1'!CP31-'T-T1'!AA31</f>
        <v>51294</v>
      </c>
      <c r="L32" s="280">
        <f>'C10-Adj by Source'!CR28</f>
        <v>205203</v>
      </c>
      <c r="M32" s="280">
        <f>'C10-Adj by Source'!CO28</f>
        <v>35262</v>
      </c>
      <c r="N32" s="280">
        <f>'C10-Adj by Source'!CM28</f>
        <v>50038</v>
      </c>
      <c r="O32" s="607">
        <f>'T-T1'!DD31</f>
        <v>96199</v>
      </c>
      <c r="P32" s="607">
        <f>'T-T1'!BA31-O32-SUM('T-T1'!DF31:DI31)</f>
        <v>36353</v>
      </c>
      <c r="Q32" s="280"/>
      <c r="R32" s="280"/>
      <c r="T32" s="607"/>
    </row>
    <row r="33" spans="1:20" ht="10.5" customHeight="1" x14ac:dyDescent="0.3">
      <c r="A33" s="268">
        <v>1983</v>
      </c>
      <c r="B33" s="603">
        <f t="shared" si="1"/>
        <v>2550525.1230520401</v>
      </c>
      <c r="C33" s="603"/>
      <c r="D33" s="277">
        <f>'T-T2'!B32</f>
        <v>3426777.7870999998</v>
      </c>
      <c r="E33" s="277">
        <f t="shared" si="0"/>
        <v>876252.66404795996</v>
      </c>
      <c r="F33" s="137"/>
      <c r="G33" s="277">
        <f>'C10-Adj by Source'!CC29</f>
        <v>286774</v>
      </c>
      <c r="H33" s="277">
        <f>'C10-Adj by Source'!CE29</f>
        <v>344.66404796</v>
      </c>
      <c r="I33" s="277">
        <f>'T-T3'!Q33</f>
        <v>8290</v>
      </c>
      <c r="J33" s="277">
        <f>'C10-Adj by Source'!CH29</f>
        <v>58285</v>
      </c>
      <c r="K33" s="280">
        <f>'T-T1'!CP32-'T-T1'!AA32</f>
        <v>66419</v>
      </c>
      <c r="L33" s="280">
        <f>'C10-Adj by Source'!CR29</f>
        <v>221764</v>
      </c>
      <c r="M33" s="280">
        <f>'C10-Adj by Source'!CO29</f>
        <v>38337</v>
      </c>
      <c r="N33" s="280">
        <f>'C10-Adj by Source'!CM29</f>
        <v>53540</v>
      </c>
      <c r="O33" s="607">
        <f>'T-T1'!DD32</f>
        <v>107650</v>
      </c>
      <c r="P33" s="607">
        <f>'T-T1'!BA32-O33-SUM('T-T1'!DF32:DI32)</f>
        <v>34849</v>
      </c>
      <c r="Q33" s="280"/>
      <c r="R33" s="280"/>
      <c r="T33" s="607"/>
    </row>
    <row r="34" spans="1:20" ht="10.5" customHeight="1" x14ac:dyDescent="0.3">
      <c r="A34" s="268">
        <v>1984</v>
      </c>
      <c r="B34" s="603">
        <f t="shared" si="1"/>
        <v>2849562.1297227703</v>
      </c>
      <c r="C34" s="603"/>
      <c r="D34" s="277">
        <f>'T-T2'!B33</f>
        <v>3819730.0337</v>
      </c>
      <c r="E34" s="277">
        <f t="shared" si="0"/>
        <v>970167.90397722996</v>
      </c>
      <c r="F34" s="137"/>
      <c r="G34" s="277">
        <f>'C10-Adj by Source'!CC30</f>
        <v>301893</v>
      </c>
      <c r="H34" s="277">
        <f>'C10-Adj by Source'!CE30</f>
        <v>338.90397723000001</v>
      </c>
      <c r="I34" s="277">
        <f>'T-T3'!Q34</f>
        <v>8360</v>
      </c>
      <c r="J34" s="277">
        <f>'C10-Adj by Source'!CH30</f>
        <v>67471</v>
      </c>
      <c r="K34" s="280">
        <f>'T-T1'!CP33-'T-T1'!AA33</f>
        <v>81477</v>
      </c>
      <c r="L34" s="280">
        <f>'C10-Adj by Source'!CR30</f>
        <v>252333</v>
      </c>
      <c r="M34" s="280">
        <f>'C10-Adj by Source'!CO30</f>
        <v>42078</v>
      </c>
      <c r="N34" s="280">
        <f>'C10-Adj by Source'!CM30</f>
        <v>57622</v>
      </c>
      <c r="O34" s="607">
        <f>'T-T1'!DD33</f>
        <v>121000</v>
      </c>
      <c r="P34" s="607">
        <f>'T-T1'!BA33-O34-SUM('T-T1'!DF33:DI33)</f>
        <v>37595</v>
      </c>
      <c r="Q34" s="280"/>
      <c r="R34" s="280"/>
      <c r="T34" s="607"/>
    </row>
    <row r="35" spans="1:20" ht="10.5" customHeight="1" x14ac:dyDescent="0.3">
      <c r="A35" s="268">
        <v>1985</v>
      </c>
      <c r="B35" s="603">
        <f t="shared" si="1"/>
        <v>3031308.5464524096</v>
      </c>
      <c r="C35" s="603"/>
      <c r="D35" s="277">
        <f>'T-T2'!B34</f>
        <v>4081686.6332999999</v>
      </c>
      <c r="E35" s="277">
        <f t="shared" si="0"/>
        <v>1050378.08684759</v>
      </c>
      <c r="F35" s="137"/>
      <c r="G35" s="277">
        <f>'C10-Adj by Source'!CC31</f>
        <v>336453</v>
      </c>
      <c r="H35" s="277">
        <f>'C10-Adj by Source'!CE31</f>
        <v>364.08684758999999</v>
      </c>
      <c r="I35" s="277">
        <f>'T-T3'!Q35</f>
        <v>8934</v>
      </c>
      <c r="J35" s="277">
        <f>'C10-Adj by Source'!CH31</f>
        <v>72122</v>
      </c>
      <c r="K35" s="280">
        <f>'T-T1'!CP34-'T-T1'!AA34</f>
        <v>81610</v>
      </c>
      <c r="L35" s="280">
        <f>'C10-Adj by Source'!CR31</f>
        <v>275787</v>
      </c>
      <c r="M35" s="280">
        <f>'C10-Adj by Source'!CO31</f>
        <v>46144</v>
      </c>
      <c r="N35" s="280">
        <f>'C10-Adj by Source'!CM31</f>
        <v>61347</v>
      </c>
      <c r="O35" s="607">
        <f>'T-T1'!DD34</f>
        <v>131124</v>
      </c>
      <c r="P35" s="607">
        <f>'T-T1'!BA34-O35-SUM('T-T1'!DF34:DI34)</f>
        <v>36493</v>
      </c>
      <c r="Q35" s="280"/>
      <c r="R35" s="280"/>
      <c r="T35" s="607"/>
    </row>
    <row r="36" spans="1:20" ht="10.5" customHeight="1" x14ac:dyDescent="0.3">
      <c r="A36" s="268">
        <v>1986</v>
      </c>
      <c r="B36" s="603">
        <f t="shared" si="1"/>
        <v>3153539.8218386909</v>
      </c>
      <c r="C36" s="603"/>
      <c r="D36" s="277">
        <f>'T-T2'!B35</f>
        <v>4271088.7167000007</v>
      </c>
      <c r="E36" s="277">
        <f t="shared" si="0"/>
        <v>1117548.89486131</v>
      </c>
      <c r="F36" s="137"/>
      <c r="G36" s="277">
        <f>'C10-Adj by Source'!CC32</f>
        <v>350601</v>
      </c>
      <c r="H36" s="277">
        <f>'C10-Adj by Source'!CE32</f>
        <v>839.8948613099999</v>
      </c>
      <c r="I36" s="277">
        <f>'T-T3'!Q36</f>
        <v>10019</v>
      </c>
      <c r="J36" s="277">
        <f>'C10-Adj by Source'!CH32</f>
        <v>77449</v>
      </c>
      <c r="K36" s="280">
        <f>'T-T1'!CP35-'T-T1'!AA35</f>
        <v>91871</v>
      </c>
      <c r="L36" s="280">
        <f>'C10-Adj by Source'!CR32</f>
        <v>297678</v>
      </c>
      <c r="M36" s="280">
        <f>'C10-Adj by Source'!CO32</f>
        <v>51010</v>
      </c>
      <c r="N36" s="280">
        <f>'C10-Adj by Source'!CM32</f>
        <v>65148</v>
      </c>
      <c r="O36" s="607">
        <f>'T-T1'!DD35</f>
        <v>139850</v>
      </c>
      <c r="P36" s="607">
        <f>'T-T1'!BA35-O36-SUM('T-T1'!DF35:DI35)</f>
        <v>33083</v>
      </c>
      <c r="Q36" s="280"/>
      <c r="R36" s="280"/>
      <c r="T36" s="607"/>
    </row>
    <row r="37" spans="1:20" ht="10.5" customHeight="1" x14ac:dyDescent="0.3">
      <c r="A37" s="268">
        <v>1987</v>
      </c>
      <c r="B37" s="603">
        <f t="shared" si="1"/>
        <v>3329545.1499974001</v>
      </c>
      <c r="C37" s="603"/>
      <c r="D37" s="277">
        <f>'T-T2'!B36</f>
        <v>4559701.5964000002</v>
      </c>
      <c r="E37" s="277">
        <f t="shared" si="0"/>
        <v>1230156.4464026</v>
      </c>
      <c r="F37" s="137"/>
      <c r="G37" s="277">
        <f>'C10-Adj by Source'!CC33</f>
        <v>392987</v>
      </c>
      <c r="H37" s="277">
        <f>'C10-Adj by Source'!CE33</f>
        <v>551.44640260000006</v>
      </c>
      <c r="I37" s="277">
        <f>'T-T3'!Q37</f>
        <v>10576</v>
      </c>
      <c r="J37" s="277">
        <f>'C10-Adj by Source'!CH33</f>
        <v>85959</v>
      </c>
      <c r="K37" s="280">
        <f>'T-T1'!CP36-'T-T1'!AA36</f>
        <v>112702</v>
      </c>
      <c r="L37" s="280">
        <f>'C10-Adj by Source'!CR33</f>
        <v>315691</v>
      </c>
      <c r="M37" s="280">
        <f>'C10-Adj by Source'!CO33</f>
        <v>55112</v>
      </c>
      <c r="N37" s="280">
        <f>'C10-Adj by Source'!CM33</f>
        <v>71310</v>
      </c>
      <c r="O37" s="607">
        <f>'T-T1'!DD36</f>
        <v>150326</v>
      </c>
      <c r="P37" s="607">
        <f>'T-T1'!BA36-O37-SUM('T-T1'!DF36:DI36)</f>
        <v>34942</v>
      </c>
      <c r="Q37" s="280"/>
      <c r="R37" s="280"/>
      <c r="T37" s="607"/>
    </row>
    <row r="38" spans="1:20" ht="10.5" customHeight="1" x14ac:dyDescent="0.3">
      <c r="A38" s="268">
        <v>1988</v>
      </c>
      <c r="B38" s="603">
        <f t="shared" si="1"/>
        <v>3641728.1594004501</v>
      </c>
      <c r="C38" s="603"/>
      <c r="D38" s="277">
        <f>'T-T2'!B37</f>
        <v>4961475.5432000002</v>
      </c>
      <c r="E38" s="277">
        <f t="shared" si="0"/>
        <v>1319747.3837995501</v>
      </c>
      <c r="F38" s="137"/>
      <c r="G38" s="277">
        <f>'C10-Adj by Source'!CC34</f>
        <v>403845</v>
      </c>
      <c r="H38" s="277">
        <f>'C10-Adj by Source'!CE34</f>
        <v>683.38379954999994</v>
      </c>
      <c r="I38" s="277">
        <f>'T-T3'!Q38</f>
        <v>11114</v>
      </c>
      <c r="J38" s="277">
        <f>'C10-Adj by Source'!CH34</f>
        <v>90599</v>
      </c>
      <c r="K38" s="280">
        <f>'T-T1'!CP37-'T-T1'!AA37</f>
        <v>124266</v>
      </c>
      <c r="L38" s="280">
        <f>'C10-Adj by Source'!CR34</f>
        <v>352739</v>
      </c>
      <c r="M38" s="280">
        <f>'C10-Adj by Source'!CO34</f>
        <v>60149</v>
      </c>
      <c r="N38" s="280">
        <f>'C10-Adj by Source'!CM34</f>
        <v>76347</v>
      </c>
      <c r="O38" s="607">
        <f>'T-T1'!DD37</f>
        <v>162392</v>
      </c>
      <c r="P38" s="607">
        <f>'T-T1'!BA37-O38-SUM('T-T1'!DF37:DI37)</f>
        <v>37613</v>
      </c>
      <c r="Q38" s="280"/>
      <c r="R38" s="1344"/>
      <c r="T38" s="607"/>
    </row>
    <row r="39" spans="1:20" ht="10.5" customHeight="1" x14ac:dyDescent="0.3">
      <c r="A39" s="268">
        <v>1989</v>
      </c>
      <c r="B39" s="603">
        <f t="shared" si="1"/>
        <v>3865398.7994133197</v>
      </c>
      <c r="C39" s="603"/>
      <c r="D39" s="277">
        <f>'T-T2'!B38</f>
        <v>5291003.0384999998</v>
      </c>
      <c r="E39" s="277">
        <f t="shared" si="0"/>
        <v>1425604.2390866801</v>
      </c>
      <c r="F39" s="137"/>
      <c r="G39" s="277">
        <f>'C10-Adj by Source'!CC35</f>
        <v>453095</v>
      </c>
      <c r="H39" s="277">
        <f>'C10-Adj by Source'!CE35</f>
        <v>724.2390866799999</v>
      </c>
      <c r="I39" s="277">
        <f>'T-T3'!Q39</f>
        <v>12435</v>
      </c>
      <c r="J39" s="277">
        <f>'C10-Adj by Source'!CH35</f>
        <v>102270</v>
      </c>
      <c r="K39" s="280">
        <f>'T-T1'!CP38-'T-T1'!AA38</f>
        <v>124422</v>
      </c>
      <c r="L39" s="280">
        <f>'C10-Adj by Source'!CR35</f>
        <v>372937</v>
      </c>
      <c r="M39" s="280">
        <f>'C10-Adj by Source'!CO35</f>
        <v>66814</v>
      </c>
      <c r="N39" s="280">
        <f>'C10-Adj by Source'!CM35</f>
        <v>83050</v>
      </c>
      <c r="O39" s="607">
        <f>'T-T1'!DD38</f>
        <v>172319</v>
      </c>
      <c r="P39" s="607">
        <f>'T-T1'!BA38-O39-SUM('T-T1'!DF38:DI38)</f>
        <v>37538</v>
      </c>
      <c r="Q39" s="280"/>
      <c r="R39" s="280"/>
      <c r="T39" s="607"/>
    </row>
    <row r="40" spans="1:20" ht="10.5" customHeight="1" x14ac:dyDescent="0.3">
      <c r="A40" s="268">
        <v>1990</v>
      </c>
      <c r="B40" s="603">
        <f t="shared" si="1"/>
        <v>4097588.7069558497</v>
      </c>
      <c r="C40" s="603"/>
      <c r="D40" s="277">
        <f>'T-T2'!B39</f>
        <v>5599448.3466999996</v>
      </c>
      <c r="E40" s="277">
        <f t="shared" si="0"/>
        <v>1501859.63974415</v>
      </c>
      <c r="F40" s="137"/>
      <c r="G40" s="277">
        <f>'C10-Adj by Source'!CC36</f>
        <v>472109</v>
      </c>
      <c r="H40" s="277">
        <f>'C10-Adj by Source'!CE36</f>
        <v>798.63974414999996</v>
      </c>
      <c r="I40" s="277">
        <f>'T-T3'!Q40</f>
        <v>15755</v>
      </c>
      <c r="J40" s="277">
        <f>'C10-Adj by Source'!CH36</f>
        <v>109594</v>
      </c>
      <c r="K40" s="280">
        <f>'T-T1'!CP39-'T-T1'!AA39</f>
        <v>121816</v>
      </c>
      <c r="L40" s="280">
        <f>'C10-Adj by Source'!CR36</f>
        <v>398780</v>
      </c>
      <c r="M40" s="280">
        <f>'C10-Adj by Source'!CO36</f>
        <v>72798</v>
      </c>
      <c r="N40" s="280">
        <f>'C10-Adj by Source'!CM36</f>
        <v>88735</v>
      </c>
      <c r="O40" s="607">
        <f>'T-T1'!DD39</f>
        <v>184291</v>
      </c>
      <c r="P40" s="607">
        <f>'T-T1'!BA39-O40-SUM('T-T1'!DF39:DI39)</f>
        <v>37183</v>
      </c>
      <c r="Q40" s="280"/>
      <c r="R40" s="280"/>
      <c r="T40" s="607"/>
    </row>
    <row r="41" spans="1:20" ht="10.5" customHeight="1" x14ac:dyDescent="0.3">
      <c r="A41" s="268">
        <v>1991</v>
      </c>
      <c r="B41" s="603">
        <f t="shared" si="1"/>
        <v>4288959.0423613004</v>
      </c>
      <c r="C41" s="603"/>
      <c r="D41" s="277">
        <f>'T-T2'!B40</f>
        <v>5824696.0979000004</v>
      </c>
      <c r="E41" s="277">
        <f t="shared" si="0"/>
        <v>1535737.0555387</v>
      </c>
      <c r="F41" s="137"/>
      <c r="G41" s="277">
        <f>'C10-Adj by Source'!CC37</f>
        <v>463590</v>
      </c>
      <c r="H41" s="277">
        <f>'C10-Adj by Source'!CE37</f>
        <v>863.05553870000006</v>
      </c>
      <c r="I41" s="277">
        <f>'T-T3'!Q41</f>
        <v>15597</v>
      </c>
      <c r="J41" s="277">
        <f>'C10-Adj by Source'!CH37</f>
        <v>111720</v>
      </c>
      <c r="K41" s="280">
        <f>'T-T1'!CP40-'T-T1'!AA40</f>
        <v>117813</v>
      </c>
      <c r="L41" s="280">
        <f>'C10-Adj by Source'!CR37</f>
        <v>418266</v>
      </c>
      <c r="M41" s="280">
        <f>'C10-Adj by Source'!CO37</f>
        <v>80678</v>
      </c>
      <c r="N41" s="280">
        <f>'C10-Adj by Source'!CM37</f>
        <v>95393</v>
      </c>
      <c r="O41" s="607">
        <f>'T-T1'!DD40</f>
        <v>190661</v>
      </c>
      <c r="P41" s="607">
        <f>'T-T1'!BA40-O41-SUM('T-T1'!DF40:DI40)</f>
        <v>41156</v>
      </c>
      <c r="Q41" s="280"/>
      <c r="R41" s="280"/>
      <c r="T41" s="607"/>
    </row>
    <row r="42" spans="1:20" ht="10.5" customHeight="1" x14ac:dyDescent="0.3">
      <c r="A42" s="268">
        <v>1992</v>
      </c>
      <c r="B42" s="603">
        <f t="shared" si="1"/>
        <v>4598895.039850099</v>
      </c>
      <c r="C42" s="603"/>
      <c r="D42" s="277">
        <f>'T-T2'!B41</f>
        <v>6217420.9360999996</v>
      </c>
      <c r="E42" s="277">
        <f t="shared" si="0"/>
        <v>1618525.8962499001</v>
      </c>
      <c r="F42" s="137"/>
      <c r="G42" s="277">
        <f>'C10-Adj by Source'!CC38</f>
        <v>477497</v>
      </c>
      <c r="H42" s="277">
        <f>'C10-Adj by Source'!CE38</f>
        <v>1001.8962498999999</v>
      </c>
      <c r="I42" s="277">
        <f>'T-T3'!Q42</f>
        <v>15795</v>
      </c>
      <c r="J42" s="277">
        <f>'C10-Adj by Source'!CH38</f>
        <v>120377</v>
      </c>
      <c r="K42" s="280">
        <f>'T-T1'!CP41-'T-T1'!AA41</f>
        <v>131914</v>
      </c>
      <c r="L42" s="280">
        <f>'C10-Adj by Source'!CR38</f>
        <v>440923</v>
      </c>
      <c r="M42" s="280">
        <f>'C10-Adj by Source'!CO38</f>
        <v>85907</v>
      </c>
      <c r="N42" s="280">
        <f>'C10-Adj by Source'!CM38</f>
        <v>98771</v>
      </c>
      <c r="O42" s="607">
        <f>'T-T1'!DD41</f>
        <v>204306</v>
      </c>
      <c r="P42" s="607">
        <f>'T-T1'!BA41-O42-SUM('T-T1'!DF41:DI41)</f>
        <v>42034</v>
      </c>
      <c r="Q42" s="280"/>
      <c r="R42" s="280"/>
      <c r="T42" s="607"/>
    </row>
    <row r="43" spans="1:20" ht="10.5" customHeight="1" x14ac:dyDescent="0.3">
      <c r="A43" s="268">
        <v>1993</v>
      </c>
      <c r="B43" s="603">
        <f t="shared" si="1"/>
        <v>4800035.5829639994</v>
      </c>
      <c r="C43" s="603"/>
      <c r="D43" s="277">
        <f>'T-T2'!B42</f>
        <v>6519526.1842999998</v>
      </c>
      <c r="E43" s="277">
        <f t="shared" si="0"/>
        <v>1719490.601336</v>
      </c>
      <c r="F43" s="137"/>
      <c r="G43" s="277">
        <f>'C10-Adj by Source'!CC39</f>
        <v>507688</v>
      </c>
      <c r="H43" s="277">
        <f>'C10-Adj by Source'!CE39</f>
        <v>1017.6013359999999</v>
      </c>
      <c r="I43" s="277">
        <f>'T-T3'!Q43</f>
        <v>17637</v>
      </c>
      <c r="J43" s="277">
        <f>'C10-Adj by Source'!CH39</f>
        <v>126225</v>
      </c>
      <c r="K43" s="280">
        <f>'T-T1'!CP42-'T-T1'!AA42</f>
        <v>155047</v>
      </c>
      <c r="L43" s="280">
        <f>'C10-Adj by Source'!CR39</f>
        <v>463207</v>
      </c>
      <c r="M43" s="280">
        <f>'C10-Adj by Source'!CO39</f>
        <v>88424</v>
      </c>
      <c r="N43" s="280">
        <f>'C10-Adj by Source'!CM39</f>
        <v>98834</v>
      </c>
      <c r="O43" s="607">
        <f>'T-T1'!DD42</f>
        <v>216393</v>
      </c>
      <c r="P43" s="607">
        <f>'T-T1'!BA42-O43-SUM('T-T1'!DF42:DI42)</f>
        <v>45018</v>
      </c>
      <c r="Q43" s="280"/>
      <c r="R43" s="280"/>
      <c r="T43" s="607"/>
    </row>
    <row r="44" spans="1:20" ht="10.5" customHeight="1" x14ac:dyDescent="0.3">
      <c r="A44" s="268">
        <v>1994</v>
      </c>
      <c r="B44" s="603">
        <f t="shared" si="1"/>
        <v>5092923.7616084004</v>
      </c>
      <c r="C44" s="603"/>
      <c r="D44" s="277">
        <f>'T-T2'!B43</f>
        <v>6938551.0157000003</v>
      </c>
      <c r="E44" s="277">
        <f t="shared" si="0"/>
        <v>1845627.2540916</v>
      </c>
      <c r="F44" s="137"/>
      <c r="G44" s="277">
        <f>'C10-Adj by Source'!CC40</f>
        <v>545082</v>
      </c>
      <c r="H44" s="277">
        <f>'C10-Adj by Source'!CE40</f>
        <v>1182.2540915999998</v>
      </c>
      <c r="I44" s="277">
        <f>'T-T3'!Q44</f>
        <v>20228</v>
      </c>
      <c r="J44" s="277">
        <f>'C10-Adj by Source'!CH40</f>
        <v>132241</v>
      </c>
      <c r="K44" s="280">
        <f>'T-T1'!CP43-'T-T1'!AA43</f>
        <v>172671</v>
      </c>
      <c r="L44" s="280">
        <f>'C10-Adj by Source'!CR40</f>
        <v>490814</v>
      </c>
      <c r="M44" s="280">
        <f>'C10-Adj by Source'!CO40</f>
        <v>95566</v>
      </c>
      <c r="N44" s="280">
        <f>'C10-Adj by Source'!CM40</f>
        <v>103803</v>
      </c>
      <c r="O44" s="607">
        <f>'T-T1'!DD43</f>
        <v>231421</v>
      </c>
      <c r="P44" s="607">
        <f>'T-T1'!BA43-O44-SUM('T-T1'!DF43:DI43)</f>
        <v>52619</v>
      </c>
      <c r="Q44" s="280"/>
      <c r="R44" s="280"/>
      <c r="T44" s="607"/>
    </row>
    <row r="45" spans="1:20" ht="10.5" customHeight="1" x14ac:dyDescent="0.3">
      <c r="A45" s="268">
        <v>1995</v>
      </c>
      <c r="B45" s="603">
        <f t="shared" si="1"/>
        <v>5367745.4168919995</v>
      </c>
      <c r="C45" s="603"/>
      <c r="D45" s="277">
        <f>'T-T2'!B44</f>
        <v>7324486.4874999998</v>
      </c>
      <c r="E45" s="277">
        <f t="shared" si="0"/>
        <v>1956741.070608</v>
      </c>
      <c r="F45" s="137"/>
      <c r="G45" s="277">
        <f>'C10-Adj by Source'!CC41</f>
        <v>590297</v>
      </c>
      <c r="H45" s="277">
        <f>'C10-Adj by Source'!CE41</f>
        <v>1256.070608</v>
      </c>
      <c r="I45" s="277">
        <f>'T-T3'!Q45</f>
        <v>20039</v>
      </c>
      <c r="J45" s="277">
        <f>'C10-Adj by Source'!CH41</f>
        <v>141737</v>
      </c>
      <c r="K45" s="280">
        <f>'T-T1'!CP44-'T-T1'!AA44</f>
        <v>194449</v>
      </c>
      <c r="L45" s="280">
        <f>'C10-Adj by Source'!CR41</f>
        <v>513083</v>
      </c>
      <c r="M45" s="280">
        <f>'C10-Adj by Source'!CO41</f>
        <v>98424</v>
      </c>
      <c r="N45" s="280">
        <f>'C10-Adj by Source'!CM41</f>
        <v>104155</v>
      </c>
      <c r="O45" s="607">
        <f>'T-T1'!DD44</f>
        <v>242735</v>
      </c>
      <c r="P45" s="607">
        <f>'T-T1'!BA44-O45-SUM('T-T1'!DF44:DI44)</f>
        <v>50566</v>
      </c>
      <c r="Q45" s="280"/>
      <c r="R45" s="280"/>
      <c r="T45" s="607"/>
    </row>
    <row r="46" spans="1:20" ht="10.5" customHeight="1" x14ac:dyDescent="0.3">
      <c r="A46" s="268">
        <v>1996</v>
      </c>
      <c r="B46" s="603">
        <f t="shared" si="1"/>
        <v>5678307.9076413009</v>
      </c>
      <c r="C46" s="603"/>
      <c r="D46" s="277">
        <f>'T-T2'!B45</f>
        <v>7786956.8994000005</v>
      </c>
      <c r="E46" s="277">
        <f t="shared" si="0"/>
        <v>2108648.9917587</v>
      </c>
      <c r="F46" s="137"/>
      <c r="G46" s="277">
        <f>'C10-Adj by Source'!CC42</f>
        <v>668410</v>
      </c>
      <c r="H46" s="277">
        <f>'C10-Adj by Source'!CE42</f>
        <v>1623.9917587</v>
      </c>
      <c r="I46" s="277">
        <f>'T-T3'!Q46</f>
        <v>23110</v>
      </c>
      <c r="J46" s="277">
        <f>'C10-Adj by Source'!CH42</f>
        <v>152326</v>
      </c>
      <c r="K46" s="280">
        <f>'T-T1'!CP45-'T-T1'!AA45</f>
        <v>211386</v>
      </c>
      <c r="L46" s="280">
        <f>'C10-Adj by Source'!CR42</f>
        <v>536337</v>
      </c>
      <c r="M46" s="280">
        <f>'C10-Adj by Source'!CO42</f>
        <v>104707</v>
      </c>
      <c r="N46" s="280">
        <f>'C10-Adj by Source'!CM42</f>
        <v>107645</v>
      </c>
      <c r="O46" s="607">
        <f>'T-T1'!DD45</f>
        <v>256186</v>
      </c>
      <c r="P46" s="607">
        <f>'T-T1'!BA45-O46-SUM('T-T1'!DF45:DI45)</f>
        <v>46918</v>
      </c>
      <c r="Q46" s="280"/>
      <c r="R46" s="280"/>
      <c r="T46" s="607"/>
    </row>
    <row r="47" spans="1:20" ht="10.5" customHeight="1" x14ac:dyDescent="0.3">
      <c r="A47" s="268">
        <v>1997</v>
      </c>
      <c r="B47" s="603">
        <f t="shared" si="1"/>
        <v>6015603.6323448997</v>
      </c>
      <c r="C47" s="603"/>
      <c r="D47" s="277">
        <f>'T-T2'!B46</f>
        <v>8296499.9369000001</v>
      </c>
      <c r="E47" s="277">
        <f t="shared" si="0"/>
        <v>2280896.3045550999</v>
      </c>
      <c r="F47" s="137"/>
      <c r="G47" s="277">
        <f>'C10-Adj by Source'!CC43</f>
        <v>749822</v>
      </c>
      <c r="H47" s="277">
        <f>'C10-Adj by Source'!CE43</f>
        <v>1791.3045551</v>
      </c>
      <c r="I47" s="277">
        <f>'T-T3'!Q47</f>
        <v>26974</v>
      </c>
      <c r="J47" s="277">
        <f>'C10-Adj by Source'!CH43</f>
        <v>164667</v>
      </c>
      <c r="K47" s="280">
        <f>'T-T1'!CP46-'T-T1'!AA46</f>
        <v>224762</v>
      </c>
      <c r="L47" s="280">
        <f>'C10-Adj by Source'!CR43</f>
        <v>567911</v>
      </c>
      <c r="M47" s="280">
        <f>'C10-Adj by Source'!CO43</f>
        <v>111873</v>
      </c>
      <c r="N47" s="280">
        <f>'C10-Adj by Source'!CM43</f>
        <v>111657</v>
      </c>
      <c r="O47" s="607">
        <f>'T-T1'!DD46</f>
        <v>268650</v>
      </c>
      <c r="P47" s="607">
        <f>'T-T1'!BA46-O47-SUM('T-T1'!DF46:DI46)</f>
        <v>52789</v>
      </c>
      <c r="Q47" s="280"/>
      <c r="R47" s="280"/>
      <c r="T47" s="607"/>
    </row>
    <row r="48" spans="1:20" ht="10.5" customHeight="1" x14ac:dyDescent="0.3">
      <c r="A48" s="268">
        <v>1998</v>
      </c>
      <c r="B48" s="603">
        <f t="shared" si="1"/>
        <v>6349660.2645635996</v>
      </c>
      <c r="C48" s="603"/>
      <c r="D48" s="277">
        <f>'T-T2'!B47</f>
        <v>8794259.2644999996</v>
      </c>
      <c r="E48" s="277">
        <f t="shared" si="0"/>
        <v>2444598.9999364</v>
      </c>
      <c r="F48" s="137"/>
      <c r="G48" s="277">
        <f>'C10-Adj by Source'!CC44</f>
        <v>831199</v>
      </c>
      <c r="H48" s="277">
        <f>'C10-Adj by Source'!CE44</f>
        <v>2054.9999364</v>
      </c>
      <c r="I48" s="277">
        <f>'T-T3'!Q48</f>
        <v>32393</v>
      </c>
      <c r="J48" s="277">
        <f>'C10-Adj by Source'!CH44</f>
        <v>183020</v>
      </c>
      <c r="K48" s="280">
        <f>'T-T1'!CP47-'T-T1'!AA47</f>
        <v>221805</v>
      </c>
      <c r="L48" s="280">
        <f>'C10-Adj by Source'!CR44</f>
        <v>603767</v>
      </c>
      <c r="M48" s="280">
        <f>'C10-Adj by Source'!CO44</f>
        <v>117221</v>
      </c>
      <c r="N48" s="280">
        <f>'C10-Adj by Source'!CM44</f>
        <v>113787</v>
      </c>
      <c r="O48" s="607">
        <f>'T-T1'!DD47</f>
        <v>283870</v>
      </c>
      <c r="P48" s="607">
        <f>'T-T1'!BA47-O48-SUM('T-T1'!DF47:DI47)</f>
        <v>55482</v>
      </c>
      <c r="Q48" s="280"/>
      <c r="R48" s="280"/>
      <c r="T48" s="607"/>
    </row>
    <row r="49" spans="1:20" ht="10.5" customHeight="1" x14ac:dyDescent="0.3">
      <c r="A49" s="268">
        <v>1999</v>
      </c>
      <c r="B49" s="603">
        <f t="shared" si="1"/>
        <v>6687086.2257864997</v>
      </c>
      <c r="C49" s="603"/>
      <c r="D49" s="277">
        <f>'T-T2'!B48</f>
        <v>9297633.7140999995</v>
      </c>
      <c r="E49" s="277">
        <f t="shared" si="0"/>
        <v>2610547.4883134998</v>
      </c>
      <c r="F49" s="137"/>
      <c r="G49" s="277">
        <f>'C10-Adj by Source'!CC45</f>
        <v>897630</v>
      </c>
      <c r="H49" s="277">
        <f>'C10-Adj by Source'!CE45</f>
        <v>2286.4883135</v>
      </c>
      <c r="I49" s="277">
        <f>'T-T3'!Q49</f>
        <v>36705</v>
      </c>
      <c r="J49" s="277">
        <f>'C10-Adj by Source'!CH45</f>
        <v>195532</v>
      </c>
      <c r="K49" s="280">
        <f>'T-T1'!CP48-'T-T1'!AA48</f>
        <v>233374</v>
      </c>
      <c r="L49" s="280">
        <f>'C10-Adj by Source'!CR45</f>
        <v>642333</v>
      </c>
      <c r="M49" s="280">
        <f>'C10-Adj by Source'!CO45</f>
        <v>125008</v>
      </c>
      <c r="N49" s="280">
        <f>'C10-Adj by Source'!CM45</f>
        <v>117794</v>
      </c>
      <c r="O49" s="607">
        <f>'T-T1'!DD48</f>
        <v>301568</v>
      </c>
      <c r="P49" s="607">
        <f>'T-T1'!BA48-O49-SUM('T-T1'!DF48:DI48)</f>
        <v>58317</v>
      </c>
      <c r="Q49" s="280"/>
      <c r="R49" s="280"/>
      <c r="T49" s="607"/>
    </row>
    <row r="50" spans="1:20" ht="10.5" customHeight="1" x14ac:dyDescent="0.3">
      <c r="A50" s="268">
        <v>2000</v>
      </c>
      <c r="B50" s="603">
        <f t="shared" si="1"/>
        <v>7114007.1869595014</v>
      </c>
      <c r="C50" s="603"/>
      <c r="D50" s="277">
        <f>'T-T2'!B49</f>
        <v>9931340.0170000009</v>
      </c>
      <c r="E50" s="277">
        <f t="shared" si="0"/>
        <v>2817332.8300405</v>
      </c>
      <c r="F50" s="137"/>
      <c r="G50" s="277">
        <f>'C10-Adj by Source'!CC46</f>
        <v>999848</v>
      </c>
      <c r="H50" s="277">
        <f>'C10-Adj by Source'!CE46</f>
        <v>2730.8300405</v>
      </c>
      <c r="I50" s="277">
        <f>'T-T3'!Q50</f>
        <v>35640</v>
      </c>
      <c r="J50" s="277">
        <f>'C10-Adj by Source'!CH46</f>
        <v>217354</v>
      </c>
      <c r="K50" s="280">
        <f>'T-T1'!CP49-'T-T1'!AA49</f>
        <v>239748</v>
      </c>
      <c r="L50" s="280">
        <f>'C10-Adj by Source'!CR46</f>
        <v>685245</v>
      </c>
      <c r="M50" s="280">
        <f>'C10-Adj by Source'!CO46</f>
        <v>132807</v>
      </c>
      <c r="N50" s="280">
        <f>'C10-Adj by Source'!CM46</f>
        <v>121862</v>
      </c>
      <c r="O50" s="607">
        <f>'T-T1'!DD49</f>
        <v>316814</v>
      </c>
      <c r="P50" s="607">
        <f>'T-T1'!BA49-O50-SUM('T-T1'!DF49:DI49)</f>
        <v>65284</v>
      </c>
      <c r="Q50" s="280"/>
      <c r="R50" s="280"/>
      <c r="T50" s="607"/>
    </row>
    <row r="51" spans="1:20" ht="10.5" customHeight="1" x14ac:dyDescent="0.3">
      <c r="A51" s="268">
        <v>2001</v>
      </c>
      <c r="B51" s="603">
        <f t="shared" si="1"/>
        <v>7509859.2267665993</v>
      </c>
      <c r="C51" s="603"/>
      <c r="D51" s="277">
        <f>'T-T2'!B50</f>
        <v>10307698.3685</v>
      </c>
      <c r="E51" s="277">
        <f t="shared" si="0"/>
        <v>2797839.1417334001</v>
      </c>
      <c r="F51" s="137"/>
      <c r="G51" s="277">
        <f>'C10-Adj by Source'!CC47</f>
        <v>996305</v>
      </c>
      <c r="H51" s="277">
        <f>'C10-Adj by Source'!CE47</f>
        <v>2798.1417334000002</v>
      </c>
      <c r="I51" s="277">
        <f>'T-T3'!Q51</f>
        <v>35697</v>
      </c>
      <c r="J51" s="277">
        <f>'C10-Adj by Source'!CH47</f>
        <v>223336</v>
      </c>
      <c r="K51" s="280">
        <f>'T-T1'!CP50-'T-T1'!AA50</f>
        <v>176207</v>
      </c>
      <c r="L51" s="280">
        <f>'C10-Adj by Source'!CR47</f>
        <v>710436</v>
      </c>
      <c r="M51" s="280">
        <f>'C10-Adj by Source'!CO47</f>
        <v>139387</v>
      </c>
      <c r="N51" s="280">
        <f>'C10-Adj by Source'!CM47</f>
        <v>128631</v>
      </c>
      <c r="O51" s="607">
        <f>'T-T1'!DD50</f>
        <v>321803</v>
      </c>
      <c r="P51" s="607">
        <f>'T-T1'!BA50-O51-SUM('T-T1'!DF50:DI50)</f>
        <v>63239</v>
      </c>
      <c r="Q51" s="280"/>
      <c r="R51" s="280"/>
      <c r="T51" s="607"/>
    </row>
    <row r="52" spans="1:20" ht="10.5" customHeight="1" x14ac:dyDescent="0.3">
      <c r="A52" s="268">
        <v>2002</v>
      </c>
      <c r="B52" s="603">
        <f t="shared" si="1"/>
        <v>8012293.5714400997</v>
      </c>
      <c r="C52" s="603"/>
      <c r="D52" s="277">
        <f>'T-T2'!B51</f>
        <v>10662241.1165</v>
      </c>
      <c r="E52" s="277">
        <f t="shared" si="0"/>
        <v>2649947.5450598998</v>
      </c>
      <c r="F52" s="137"/>
      <c r="G52" s="277">
        <f>'C10-Adj by Source'!CC48</f>
        <v>832815</v>
      </c>
      <c r="H52" s="277">
        <f>'C10-Adj by Source'!CE48</f>
        <v>2672.5450599000001</v>
      </c>
      <c r="I52" s="277">
        <f>'T-T3'!Q52</f>
        <v>32649</v>
      </c>
      <c r="J52" s="277">
        <f>'C10-Adj by Source'!CH48</f>
        <v>201328</v>
      </c>
      <c r="K52" s="280">
        <f>'T-T1'!CP51-'T-T1'!AA51</f>
        <v>167841</v>
      </c>
      <c r="L52" s="280">
        <f>'C10-Adj by Source'!CR48</f>
        <v>726434</v>
      </c>
      <c r="M52" s="280">
        <f>'C10-Adj by Source'!CO48</f>
        <v>150802</v>
      </c>
      <c r="N52" s="280">
        <f>'C10-Adj by Source'!CM48</f>
        <v>138466</v>
      </c>
      <c r="O52" s="607">
        <f>'T-T1'!DD51</f>
        <v>331105</v>
      </c>
      <c r="P52" s="607">
        <f>'T-T1'!BA51-O52-SUM('T-T1'!DF51:DI51)</f>
        <v>65835</v>
      </c>
      <c r="Q52" s="280"/>
      <c r="R52" s="280"/>
      <c r="T52" s="607"/>
    </row>
    <row r="53" spans="1:20" ht="10.5" customHeight="1" x14ac:dyDescent="0.3">
      <c r="A53" s="268">
        <f>A52+1</f>
        <v>2003</v>
      </c>
      <c r="B53" s="603">
        <f t="shared" si="1"/>
        <v>8440195.9151035007</v>
      </c>
      <c r="C53" s="603"/>
      <c r="D53" s="277">
        <f>'T-T2'!B52</f>
        <v>11157848.981000001</v>
      </c>
      <c r="E53" s="277">
        <f t="shared" si="0"/>
        <v>2717653.0658964999</v>
      </c>
      <c r="F53" s="137"/>
      <c r="G53" s="277">
        <f>'C10-Adj by Source'!CC49</f>
        <v>778520</v>
      </c>
      <c r="H53" s="277">
        <f>'C10-Adj by Source'!CE49</f>
        <v>2745.0658964999998</v>
      </c>
      <c r="I53" s="277">
        <f>'T-T3'!Q53</f>
        <v>27966</v>
      </c>
      <c r="J53" s="277">
        <f>'C10-Adj by Source'!CH49</f>
        <v>204698</v>
      </c>
      <c r="K53" s="280">
        <f>'T-T1'!CP52-'T-T1'!AA52</f>
        <v>221745</v>
      </c>
      <c r="L53" s="280">
        <f>'C10-Adj by Source'!CR49</f>
        <v>751898</v>
      </c>
      <c r="M53" s="280">
        <f>'C10-Adj by Source'!CO49</f>
        <v>160297</v>
      </c>
      <c r="N53" s="280">
        <f>'C10-Adj by Source'!CM49</f>
        <v>146685</v>
      </c>
      <c r="O53" s="607">
        <f>'T-T1'!DD52</f>
        <v>348853</v>
      </c>
      <c r="P53" s="607">
        <f>'T-T1'!BA52-O53-SUM('T-T1'!DF52:DI52)</f>
        <v>74246</v>
      </c>
      <c r="Q53" s="280"/>
      <c r="R53" s="280"/>
      <c r="T53" s="607"/>
    </row>
    <row r="54" spans="1:20" ht="10.5" customHeight="1" x14ac:dyDescent="0.3">
      <c r="A54" s="268">
        <f>A53+1</f>
        <v>2004</v>
      </c>
      <c r="B54" s="603">
        <f t="shared" si="1"/>
        <v>8984004.7080732994</v>
      </c>
      <c r="C54" s="603"/>
      <c r="D54" s="277">
        <f>'T-T2'!B53</f>
        <v>11914068.784</v>
      </c>
      <c r="E54" s="277">
        <f t="shared" si="0"/>
        <v>2930064.0759267001</v>
      </c>
      <c r="F54" s="137"/>
      <c r="G54" s="277">
        <f>'C10-Adj by Source'!CC50</f>
        <v>803166</v>
      </c>
      <c r="H54" s="277">
        <f>'C10-Adj by Source'!CE50</f>
        <v>3322.0759266999999</v>
      </c>
      <c r="I54" s="277">
        <f>'T-T3'!Q54</f>
        <v>30258</v>
      </c>
      <c r="J54" s="277">
        <f>'C10-Adj by Source'!CH50</f>
        <v>223644</v>
      </c>
      <c r="K54" s="280">
        <f>'T-T1'!CP53-'T-T1'!AA53</f>
        <v>288015</v>
      </c>
      <c r="L54" s="280">
        <f>'C10-Adj by Source'!CR50</f>
        <v>797765</v>
      </c>
      <c r="M54" s="280">
        <f>'C10-Adj by Source'!CO50</f>
        <v>170545</v>
      </c>
      <c r="N54" s="280">
        <f>'C10-Adj by Source'!CM50</f>
        <v>155636</v>
      </c>
      <c r="O54" s="607">
        <f>'T-T1'!DD53</f>
        <v>371051</v>
      </c>
      <c r="P54" s="607">
        <f>'T-T1'!BA53-O54-SUM('T-T1'!DF53:DI53)</f>
        <v>86662</v>
      </c>
      <c r="Q54" s="280"/>
      <c r="R54" s="280"/>
      <c r="T54" s="607"/>
    </row>
    <row r="55" spans="1:20" ht="10.5" customHeight="1" x14ac:dyDescent="0.3">
      <c r="A55" s="268">
        <v>2005</v>
      </c>
      <c r="B55" s="603">
        <f t="shared" si="1"/>
        <v>9393413.1256501004</v>
      </c>
      <c r="C55" s="603"/>
      <c r="D55" s="277">
        <f>'T-T2'!B54</f>
        <v>12693303.791999999</v>
      </c>
      <c r="E55" s="277">
        <f t="shared" si="0"/>
        <v>3299890.6663499</v>
      </c>
      <c r="F55" s="137"/>
      <c r="G55" s="277">
        <f>'C10-Adj by Source'!CC51</f>
        <v>936792</v>
      </c>
      <c r="H55" s="277">
        <f>'C10-Adj by Source'!CE51</f>
        <v>4713.6663498999997</v>
      </c>
      <c r="I55" s="277">
        <f>'T-T3'!Q55</f>
        <v>30305</v>
      </c>
      <c r="J55" s="277">
        <f>'C10-Adj by Source'!CH51</f>
        <v>251511</v>
      </c>
      <c r="K55" s="280">
        <f>'T-T1'!CP54-'T-T1'!AA54</f>
        <v>390916</v>
      </c>
      <c r="L55" s="280">
        <f>'C10-Adj by Source'!CR51</f>
        <v>835765</v>
      </c>
      <c r="M55" s="280">
        <f>'C10-Adj by Source'!CO51</f>
        <v>183903</v>
      </c>
      <c r="N55" s="280">
        <f>'C10-Adj by Source'!CM51</f>
        <v>167415</v>
      </c>
      <c r="O55" s="607">
        <f>'T-T1'!DD54</f>
        <v>402469</v>
      </c>
      <c r="P55" s="607">
        <f>'T-T1'!BA54-O55-SUM('T-T1'!DF54:DI54)</f>
        <v>96101</v>
      </c>
      <c r="Q55" s="280"/>
      <c r="R55" s="280"/>
      <c r="T55" s="607"/>
    </row>
    <row r="56" spans="1:20" ht="10.5" customHeight="1" x14ac:dyDescent="0.3">
      <c r="A56" s="268">
        <v>2006</v>
      </c>
      <c r="B56" s="603">
        <f t="shared" si="1"/>
        <v>9958459.7866369002</v>
      </c>
      <c r="C56" s="603"/>
      <c r="D56" s="277">
        <f>'T-T2'!B55</f>
        <v>13551527.65</v>
      </c>
      <c r="E56" s="277">
        <f t="shared" si="0"/>
        <v>3593067.8633631002</v>
      </c>
      <c r="F56" s="137"/>
      <c r="G56" s="277">
        <f>'C10-Adj by Source'!CC52</f>
        <v>1054559</v>
      </c>
      <c r="H56" s="277">
        <f>'C10-Adj by Source'!CE52</f>
        <v>5802.8633631000002</v>
      </c>
      <c r="I56" s="277">
        <f>'T-T3'!Q56</f>
        <v>32928</v>
      </c>
      <c r="J56" s="277">
        <f>'C10-Adj by Source'!CH52</f>
        <v>276152</v>
      </c>
      <c r="K56" s="280">
        <f>'T-T1'!CP55-'T-T1'!AA55</f>
        <v>444308</v>
      </c>
      <c r="L56" s="280">
        <f>'C10-Adj by Source'!CR52</f>
        <v>876263</v>
      </c>
      <c r="M56" s="280">
        <f>'C10-Adj by Source'!CO52</f>
        <v>196762</v>
      </c>
      <c r="N56" s="280">
        <f>'C10-Adj by Source'!CM52</f>
        <v>178258</v>
      </c>
      <c r="O56" s="607">
        <f>'T-T1'!DD55</f>
        <v>431811</v>
      </c>
      <c r="P56" s="607">
        <f>'T-T1'!BA55-O56-SUM('T-T1'!DF55:DI55)</f>
        <v>96224</v>
      </c>
      <c r="Q56" s="280"/>
      <c r="R56" s="280"/>
      <c r="T56" s="607"/>
    </row>
    <row r="57" spans="1:20" ht="10.5" customHeight="1" x14ac:dyDescent="0.3">
      <c r="A57" s="268">
        <v>2007</v>
      </c>
      <c r="B57" s="603">
        <f t="shared" si="1"/>
        <v>10193700.0833496</v>
      </c>
      <c r="C57" s="603"/>
      <c r="D57" s="277">
        <f>'T-T2'!B56</f>
        <v>13968011.707</v>
      </c>
      <c r="E57" s="277">
        <f t="shared" si="0"/>
        <v>3774311.6236504</v>
      </c>
      <c r="F57" s="137"/>
      <c r="G57" s="277">
        <f>'C10-Adj by Source'!CC53</f>
        <v>1169712</v>
      </c>
      <c r="H57" s="277">
        <f>'C10-Adj by Source'!CE53</f>
        <v>8370.623650399999</v>
      </c>
      <c r="I57" s="277">
        <f>'T-T3'!Q57</f>
        <v>31509</v>
      </c>
      <c r="J57" s="277">
        <f>'C10-Adj by Source'!CH53</f>
        <v>296376</v>
      </c>
      <c r="K57" s="280">
        <f>'T-T1'!CP56-'T-T1'!AA56</f>
        <v>410932</v>
      </c>
      <c r="L57" s="280">
        <f>'C10-Adj by Source'!CR53</f>
        <v>910556</v>
      </c>
      <c r="M57" s="280">
        <f>'C10-Adj by Source'!CO53</f>
        <v>212266</v>
      </c>
      <c r="N57" s="280">
        <f>'C10-Adj by Source'!CM53</f>
        <v>191562</v>
      </c>
      <c r="O57" s="607">
        <f>'T-T1'!DD56</f>
        <v>448916</v>
      </c>
      <c r="P57" s="607">
        <f>'T-T1'!BA56-O57-SUM('T-T1'!DF56:DI56)</f>
        <v>94112</v>
      </c>
      <c r="Q57" s="280"/>
      <c r="R57" s="280"/>
      <c r="T57" s="607"/>
    </row>
    <row r="58" spans="1:20" ht="10.5" customHeight="1" x14ac:dyDescent="0.3">
      <c r="A58" s="268">
        <v>2008</v>
      </c>
      <c r="B58" s="603">
        <f t="shared" si="1"/>
        <v>10684876.649197798</v>
      </c>
      <c r="C58" s="603"/>
      <c r="D58" s="277">
        <f>'T-T2'!B57</f>
        <v>14375522.286254998</v>
      </c>
      <c r="E58" s="277">
        <f t="shared" si="0"/>
        <v>3690645.6370572001</v>
      </c>
      <c r="F58" s="137"/>
      <c r="G58" s="277">
        <f>'C10-Adj by Source'!CC54</f>
        <v>1174269</v>
      </c>
      <c r="H58" s="277">
        <f>'C10-Adj by Source'!CE54</f>
        <v>8319.6370571999996</v>
      </c>
      <c r="I58" s="277">
        <f>'T-T3'!Q58</f>
        <v>33863</v>
      </c>
      <c r="J58" s="277">
        <f>'C10-Adj by Source'!CH54</f>
        <v>307019</v>
      </c>
      <c r="K58" s="280">
        <f>'T-T1'!CP57-'T-T1'!AA57</f>
        <v>277411</v>
      </c>
      <c r="L58" s="280">
        <f>'C10-Adj by Source'!CR54</f>
        <v>932938</v>
      </c>
      <c r="M58" s="280">
        <f>'C10-Adj by Source'!CO54</f>
        <v>217607</v>
      </c>
      <c r="N58" s="280">
        <f>'C10-Adj by Source'!CM54</f>
        <v>196165</v>
      </c>
      <c r="O58" s="607">
        <f>'T-T1'!DD57</f>
        <v>444780</v>
      </c>
      <c r="P58" s="607">
        <f>'T-T1'!BA57-O58-SUM('T-T1'!DF57:DI57)</f>
        <v>98274</v>
      </c>
      <c r="Q58" s="280"/>
      <c r="R58" s="280"/>
      <c r="T58" s="607"/>
    </row>
    <row r="59" spans="1:20" ht="10.5" customHeight="1" x14ac:dyDescent="0.3">
      <c r="A59" s="268">
        <v>2009</v>
      </c>
      <c r="B59" s="603">
        <f t="shared" si="1"/>
        <v>10952392.4252133</v>
      </c>
      <c r="C59" s="603"/>
      <c r="D59" s="277">
        <f>'T-T2'!B58</f>
        <v>14172548.895</v>
      </c>
      <c r="E59" s="277">
        <f t="shared" si="0"/>
        <v>3220156.4697866999</v>
      </c>
      <c r="F59" s="137"/>
      <c r="G59" s="277">
        <f>'C10-Adj by Source'!CC55</f>
        <v>864492</v>
      </c>
      <c r="H59" s="277">
        <f>'C10-Adj by Source'!CE55</f>
        <v>6361.4697866999995</v>
      </c>
      <c r="I59" s="277">
        <f>'T-T3'!Q59</f>
        <v>24917</v>
      </c>
      <c r="J59" s="277">
        <f>'C10-Adj by Source'!CH55</f>
        <v>259505</v>
      </c>
      <c r="K59" s="280">
        <f>'T-T1'!CP58-'T-T1'!AA58</f>
        <v>222014</v>
      </c>
      <c r="L59" s="280">
        <f>'C10-Adj by Source'!CR55</f>
        <v>902030</v>
      </c>
      <c r="M59" s="280">
        <f>'C10-Adj by Source'!CO55</f>
        <v>229033</v>
      </c>
      <c r="N59" s="280">
        <f>'C10-Adj by Source'!CM55</f>
        <v>206071</v>
      </c>
      <c r="O59" s="607">
        <f>'T-T1'!DD58</f>
        <v>423902</v>
      </c>
      <c r="P59" s="607">
        <f>'T-T1'!BA58-O59-SUM('T-T1'!DF58:DI58)</f>
        <v>81831</v>
      </c>
      <c r="Q59" s="280"/>
      <c r="R59" s="280"/>
      <c r="T59" s="607"/>
    </row>
    <row r="60" spans="1:20" ht="10.5" customHeight="1" x14ac:dyDescent="0.3">
      <c r="A60" s="268">
        <v>2010</v>
      </c>
      <c r="B60" s="603">
        <f t="shared" si="1"/>
        <v>11538827.8534525</v>
      </c>
      <c r="C60" s="603"/>
      <c r="D60" s="277">
        <f>'T-T2'!B59</f>
        <v>14962769.267999999</v>
      </c>
      <c r="E60" s="277">
        <f t="shared" si="0"/>
        <v>3423941.4145475002</v>
      </c>
      <c r="F60" s="137"/>
      <c r="G60" s="277">
        <f>'C10-Adj by Source'!CC56</f>
        <v>941622</v>
      </c>
      <c r="H60" s="277">
        <f>'C10-Adj by Source'!CE56</f>
        <v>8056.4145474999996</v>
      </c>
      <c r="I60" s="277">
        <f>'T-T3'!Q60</f>
        <v>19525</v>
      </c>
      <c r="J60" s="277">
        <f>'C10-Adj by Source'!CH56</f>
        <v>267149</v>
      </c>
      <c r="K60" s="280">
        <f>'T-T1'!CP59-'T-T1'!AA59</f>
        <v>291303</v>
      </c>
      <c r="L60" s="280">
        <f>'C10-Adj by Source'!CR56</f>
        <v>925587</v>
      </c>
      <c r="M60" s="280">
        <f>'C10-Adj by Source'!CO56</f>
        <v>228945</v>
      </c>
      <c r="N60" s="280">
        <f>'C10-Adj by Source'!CM56</f>
        <v>206097</v>
      </c>
      <c r="O60" s="607">
        <f>'T-T1'!DD59</f>
        <v>445953</v>
      </c>
      <c r="P60" s="607">
        <f>'T-T1'!BA59-O60-SUM('T-T1'!DF59:DI59)</f>
        <v>89704</v>
      </c>
      <c r="Q60" s="280"/>
      <c r="R60" s="280"/>
      <c r="T60" s="607"/>
    </row>
    <row r="61" spans="1:20" ht="10.5" customHeight="1" x14ac:dyDescent="0.3">
      <c r="A61" s="268">
        <f>A60+1</f>
        <v>2011</v>
      </c>
      <c r="B61" s="603">
        <f t="shared" si="1"/>
        <v>11980037.7058453</v>
      </c>
      <c r="C61" s="603"/>
      <c r="D61" s="277">
        <f>'T-T2'!B60</f>
        <v>15597246.159</v>
      </c>
      <c r="E61" s="277">
        <f t="shared" si="0"/>
        <v>3617208.4531546999</v>
      </c>
      <c r="F61" s="137"/>
      <c r="G61" s="277">
        <f>'C10-Adj by Source'!CC57</f>
        <v>1129098</v>
      </c>
      <c r="H61" s="277">
        <f>'C10-Adj by Source'!CE57</f>
        <v>8853.4531547000006</v>
      </c>
      <c r="I61" s="277">
        <f>'T-T3'!Q61</f>
        <v>14379</v>
      </c>
      <c r="J61" s="277">
        <f>'C10-Adj by Source'!CH57</f>
        <v>292874</v>
      </c>
      <c r="K61" s="280">
        <f>'T-T1'!CP60-'T-T1'!AA60</f>
        <v>303671</v>
      </c>
      <c r="L61" s="280">
        <f>'C10-Adj by Source'!CR57</f>
        <v>852572</v>
      </c>
      <c r="M61" s="280">
        <f>'C10-Adj by Source'!CO57</f>
        <v>231098</v>
      </c>
      <c r="N61" s="280">
        <f>'C10-Adj by Source'!CM57</f>
        <v>208080</v>
      </c>
      <c r="O61" s="607">
        <f>'T-T1'!DD60</f>
        <v>466704</v>
      </c>
      <c r="P61" s="607">
        <f>'T-T1'!BA60-O61-SUM('T-T1'!DF60:DI60)</f>
        <v>109879</v>
      </c>
      <c r="Q61" s="280"/>
      <c r="R61" s="280"/>
      <c r="T61" s="607"/>
    </row>
    <row r="62" spans="1:20" ht="10.5" customHeight="1" x14ac:dyDescent="0.3">
      <c r="A62" s="268">
        <f>A61+1</f>
        <v>2012</v>
      </c>
      <c r="B62" s="603">
        <f t="shared" si="1"/>
        <v>12527833.565076001</v>
      </c>
      <c r="C62" s="603"/>
      <c r="D62" s="277">
        <f>'T-T2'!B61</f>
        <v>16319117.435000001</v>
      </c>
      <c r="E62" s="277">
        <f t="shared" si="0"/>
        <v>3791283.869924</v>
      </c>
      <c r="F62" s="137"/>
      <c r="G62" s="277">
        <f>'C10-Adj by Source'!CC58</f>
        <v>1164736</v>
      </c>
      <c r="H62" s="277">
        <f>'C10-Adj by Source'!CE58</f>
        <v>10412.869924000001</v>
      </c>
      <c r="I62" s="277">
        <f>'T-T3'!Q62</f>
        <v>18995</v>
      </c>
      <c r="J62" s="277">
        <f>'C10-Adj by Source'!CH58</f>
        <v>314281</v>
      </c>
      <c r="K62" s="280">
        <f>'T-T1'!CP61-'T-T1'!AA61</f>
        <v>359205</v>
      </c>
      <c r="L62" s="280">
        <f>'C10-Adj by Source'!CR58</f>
        <v>885242</v>
      </c>
      <c r="M62" s="280">
        <f>'C10-Adj by Source'!CO58</f>
        <v>232625</v>
      </c>
      <c r="N62" s="280">
        <f>'C10-Adj by Source'!CM58</f>
        <v>209573</v>
      </c>
      <c r="O62" s="607">
        <f>'T-T1'!DD61</f>
        <v>482763</v>
      </c>
      <c r="P62" s="607">
        <f>'T-T1'!BA61-O62-SUM('T-T1'!DF61:DI61)</f>
        <v>113451</v>
      </c>
      <c r="Q62" s="280"/>
      <c r="R62" s="280"/>
      <c r="T62" s="607"/>
    </row>
    <row r="63" spans="1:20" s="610" customFormat="1" ht="10.5" customHeight="1" x14ac:dyDescent="0.25">
      <c r="A63" s="268">
        <f>A62+1</f>
        <v>2013</v>
      </c>
      <c r="B63" s="603">
        <f t="shared" si="1"/>
        <v>12575297.802751999</v>
      </c>
      <c r="C63" s="603"/>
      <c r="D63" s="277">
        <f>'T-T2'!B62</f>
        <v>16758697.515000001</v>
      </c>
      <c r="E63" s="277">
        <f t="shared" si="0"/>
        <v>4183399.7122480003</v>
      </c>
      <c r="G63" s="277">
        <f>'C10-Adj by Source'!CC59</f>
        <v>1301977</v>
      </c>
      <c r="H63" s="277">
        <f>'C10-Adj by Source'!CE59</f>
        <v>11289.712248</v>
      </c>
      <c r="I63" s="277">
        <f>'T-T3'!Q63</f>
        <v>26129</v>
      </c>
      <c r="J63" s="277">
        <f>'C10-Adj by Source'!CH59</f>
        <v>342832</v>
      </c>
      <c r="K63" s="280">
        <f>'T-T1'!CP62-'T-T1'!AA62</f>
        <v>388058</v>
      </c>
      <c r="L63" s="280">
        <f>'C10-Adj by Source'!CR59</f>
        <v>1031590</v>
      </c>
      <c r="M63" s="280">
        <f>'C10-Adj by Source'!CO59</f>
        <v>236330</v>
      </c>
      <c r="N63" s="280">
        <f>'C10-Adj by Source'!CM59</f>
        <v>212436</v>
      </c>
      <c r="O63" s="607">
        <f>'T-T1'!DD62</f>
        <v>505137</v>
      </c>
      <c r="P63" s="607">
        <f>'T-T1'!BA62-O63-SUM('T-T1'!DF62:DI62)</f>
        <v>127621</v>
      </c>
      <c r="Q63" s="280"/>
      <c r="R63" s="280"/>
      <c r="T63" s="607"/>
    </row>
    <row r="64" spans="1:20" s="596" customFormat="1" ht="10.5" customHeight="1" x14ac:dyDescent="0.25">
      <c r="A64" s="268">
        <f>A63+1</f>
        <v>2014</v>
      </c>
      <c r="B64" s="603">
        <f t="shared" si="1"/>
        <v>13164724.661085</v>
      </c>
      <c r="C64" s="603"/>
      <c r="D64" s="277">
        <f>'T-T2'!B63</f>
        <v>17565794.857000001</v>
      </c>
      <c r="E64" s="277">
        <f t="shared" si="0"/>
        <v>4401070.1959150005</v>
      </c>
      <c r="F64" s="603"/>
      <c r="G64" s="277">
        <f>'C10-Adj by Source'!CC60</f>
        <v>1402994</v>
      </c>
      <c r="H64" s="277">
        <f>'C10-Adj by Source'!CE60</f>
        <v>12427.195915</v>
      </c>
      <c r="I64" s="277">
        <f>'T-T3'!Q64</f>
        <v>24062</v>
      </c>
      <c r="J64" s="277">
        <f>'C10-Adj by Source'!CH60</f>
        <v>348493</v>
      </c>
      <c r="K64" s="280">
        <f>'T-T1'!CP63-'T-T1'!AA63</f>
        <v>408416</v>
      </c>
      <c r="L64" s="280">
        <f>'C10-Adj by Source'!CR60</f>
        <v>1077879</v>
      </c>
      <c r="M64" s="280">
        <f>'C10-Adj by Source'!CO60</f>
        <v>233451</v>
      </c>
      <c r="N64" s="280">
        <f>'C10-Adj by Source'!CM60</f>
        <v>220102</v>
      </c>
      <c r="O64" s="607">
        <f>'T-T1'!DD63</f>
        <v>523752</v>
      </c>
      <c r="P64" s="607">
        <f>'T-T1'!BA63-O64-SUM('T-T1'!DF63:DI63)</f>
        <v>149494</v>
      </c>
      <c r="Q64" s="277"/>
      <c r="R64" s="280"/>
      <c r="T64" s="607"/>
    </row>
    <row r="65" spans="1:20" s="596" customFormat="1" ht="10.5" customHeight="1" x14ac:dyDescent="0.25">
      <c r="A65" s="268">
        <f>A64+1</f>
        <v>2015</v>
      </c>
      <c r="B65" s="603">
        <f t="shared" si="1"/>
        <v>13670266.358935999</v>
      </c>
      <c r="C65" s="603"/>
      <c r="D65" s="277">
        <f>'T-T2'!B64</f>
        <v>18288640.800999999</v>
      </c>
      <c r="E65" s="277">
        <f>SUM(G65:P65)</f>
        <v>4618374.4420640003</v>
      </c>
      <c r="F65" s="603"/>
      <c r="G65" s="277">
        <f>'C10-Adj by Source'!CC61</f>
        <v>1528512</v>
      </c>
      <c r="H65" s="277">
        <f>'C10-Adj by Source'!CE61</f>
        <v>12918.442064000001</v>
      </c>
      <c r="I65" s="277">
        <f>'T-T3'!Q65</f>
        <v>25622</v>
      </c>
      <c r="J65" s="277">
        <f>'C10-Adj by Source'!CH61</f>
        <v>374064</v>
      </c>
      <c r="K65" s="280">
        <f>'T-T1'!CP64-'T-T1'!AA64</f>
        <v>396972</v>
      </c>
      <c r="L65" s="280">
        <f>'C10-Adj by Source'!CR61</f>
        <v>1121296</v>
      </c>
      <c r="M65" s="280">
        <f>'C10-Adj by Source'!CO61</f>
        <v>229739</v>
      </c>
      <c r="N65" s="280">
        <f>'C10-Adj by Source'!CM61</f>
        <v>226815</v>
      </c>
      <c r="O65" s="607">
        <f>'T-T1'!DD64</f>
        <v>542749</v>
      </c>
      <c r="P65" s="607">
        <f>'T-T1'!BA64-O65-SUM('T-T1'!DF64:DI64)</f>
        <v>159687</v>
      </c>
      <c r="Q65" s="277"/>
      <c r="R65" s="280"/>
      <c r="T65" s="607"/>
    </row>
    <row r="66" spans="1:20" ht="10.5" customHeight="1" x14ac:dyDescent="0.3">
      <c r="A66" s="268"/>
      <c r="B66" s="273"/>
      <c r="C66" s="273"/>
      <c r="D66" s="273"/>
      <c r="E66" s="273"/>
      <c r="F66" s="273"/>
      <c r="G66" s="277"/>
      <c r="H66" s="277"/>
      <c r="I66" s="277"/>
      <c r="J66" s="277"/>
      <c r="K66" s="513"/>
      <c r="L66" s="280"/>
      <c r="M66" s="280"/>
      <c r="N66" s="280"/>
      <c r="O66" s="607"/>
      <c r="P66" s="607"/>
      <c r="Q66" s="277"/>
      <c r="R66" s="280"/>
      <c r="T66" s="607"/>
    </row>
    <row r="67" spans="1:20" ht="6.75" customHeight="1" x14ac:dyDescent="0.3">
      <c r="A67" s="148"/>
      <c r="B67" s="148"/>
      <c r="C67" s="148"/>
      <c r="D67" s="148"/>
      <c r="E67" s="148"/>
      <c r="F67" s="148"/>
      <c r="G67" s="148"/>
      <c r="H67" s="148"/>
      <c r="I67" s="148"/>
      <c r="J67" s="148"/>
      <c r="K67" s="148"/>
      <c r="L67" s="599"/>
      <c r="M67" s="599"/>
      <c r="N67" s="599"/>
      <c r="O67" s="599"/>
      <c r="P67" s="599"/>
      <c r="Q67" s="272"/>
    </row>
    <row r="68" spans="1:20" ht="17.25" customHeight="1" x14ac:dyDescent="0.3">
      <c r="A68" s="600"/>
      <c r="B68" s="8"/>
      <c r="C68" s="600"/>
      <c r="D68" s="600"/>
      <c r="E68" s="600"/>
      <c r="F68" s="600"/>
      <c r="G68" s="600"/>
      <c r="H68" s="600"/>
      <c r="I68" s="600"/>
      <c r="J68" s="600"/>
      <c r="L68" s="270"/>
      <c r="M68" s="270"/>
      <c r="N68" s="270"/>
      <c r="O68" s="270"/>
      <c r="P68" s="270"/>
      <c r="Q68" s="272"/>
    </row>
    <row r="69" spans="1:20" x14ac:dyDescent="0.3">
      <c r="G69" s="8"/>
      <c r="K69" s="8"/>
      <c r="Q69" s="12"/>
    </row>
  </sheetData>
  <mergeCells count="16">
    <mergeCell ref="K6:K8"/>
    <mergeCell ref="M6:N6"/>
    <mergeCell ref="M7:M8"/>
    <mergeCell ref="N7:N8"/>
    <mergeCell ref="B4:B8"/>
    <mergeCell ref="D4:D8"/>
    <mergeCell ref="E4:E8"/>
    <mergeCell ref="G4:P4"/>
    <mergeCell ref="G5:G8"/>
    <mergeCell ref="J5:J8"/>
    <mergeCell ref="H5:H8"/>
    <mergeCell ref="I5:I8"/>
    <mergeCell ref="L5:L8"/>
    <mergeCell ref="M5:P5"/>
    <mergeCell ref="O6:O8"/>
    <mergeCell ref="P6:P8"/>
  </mergeCells>
  <hyperlinks>
    <hyperlink ref="G1" location="Index!A1" display="Index"/>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X202"/>
  <sheetViews>
    <sheetView zoomScaleNormal="100" workbookViewId="0"/>
  </sheetViews>
  <sheetFormatPr defaultColWidth="9.109375" defaultRowHeight="14.4" x14ac:dyDescent="0.3"/>
  <cols>
    <col min="1" max="1" width="9.109375" style="172"/>
    <col min="2" max="2" width="16.77734375" style="172" customWidth="1"/>
    <col min="3" max="3" width="14.88671875" style="172" customWidth="1"/>
    <col min="4" max="4" width="15.21875" style="278" customWidth="1"/>
    <col min="5" max="5" width="14.88671875" style="278" customWidth="1"/>
    <col min="6" max="6" width="19.77734375" style="278" customWidth="1"/>
    <col min="7" max="7" width="18.21875" style="655" customWidth="1"/>
    <col min="8" max="8" width="3.5546875" style="655" customWidth="1"/>
    <col min="9" max="9" width="19.77734375" style="539" customWidth="1"/>
    <col min="10" max="10" width="21.44140625" style="278" customWidth="1"/>
    <col min="11" max="11" width="20" style="278" customWidth="1"/>
    <col min="12" max="12" width="16.21875" style="172" customWidth="1"/>
    <col min="13" max="13" width="1.21875" style="278" customWidth="1"/>
    <col min="14" max="14" width="1" style="24" customWidth="1"/>
    <col min="15" max="15" width="1.21875" style="539" customWidth="1"/>
    <col min="16" max="16" width="11.88671875" style="539" customWidth="1"/>
    <col min="17" max="17" width="12.44140625" style="539" customWidth="1"/>
    <col min="18" max="18" width="13.77734375" style="539" customWidth="1"/>
    <col min="19" max="19" width="11.88671875" style="539" customWidth="1"/>
    <col min="20" max="20" width="9.109375" style="539" customWidth="1"/>
    <col min="21" max="21" width="4.5546875" style="172" customWidth="1"/>
    <col min="22" max="22" width="20" style="172" customWidth="1"/>
    <col min="23" max="23" width="19.21875" style="172" customWidth="1"/>
    <col min="24" max="24" width="15" style="172" customWidth="1"/>
    <col min="25" max="25" width="12.21875" style="172" customWidth="1"/>
    <col min="26" max="26" width="2.5546875" style="172" customWidth="1"/>
    <col min="27" max="27" width="9.109375" style="172"/>
    <col min="28" max="28" width="2.21875" style="172" customWidth="1"/>
    <col min="29" max="29" width="18.5546875" style="413" customWidth="1"/>
    <col min="30" max="30" width="17.88671875" style="278" customWidth="1"/>
    <col min="31" max="31" width="20.21875" style="172" customWidth="1"/>
    <col min="32" max="32" width="15.5546875" style="278" customWidth="1"/>
    <col min="33" max="33" width="2.5546875" style="278" customWidth="1"/>
    <col min="34" max="34" width="18.77734375" style="172" customWidth="1"/>
    <col min="35" max="35" width="19.88671875" style="172" customWidth="1"/>
    <col min="36" max="36" width="22.77734375" style="172" customWidth="1"/>
    <col min="37" max="37" width="22.77734375" style="655" customWidth="1"/>
    <col min="38" max="38" width="27.77734375" style="172" customWidth="1"/>
    <col min="39" max="39" width="13.88671875" style="172" bestFit="1" customWidth="1"/>
    <col min="40" max="49" width="9.109375" style="172"/>
    <col min="50" max="50" width="12.109375" style="172" customWidth="1"/>
    <col min="51" max="16384" width="9.109375" style="172"/>
  </cols>
  <sheetData>
    <row r="1" spans="1:50" ht="15.6" x14ac:dyDescent="0.3">
      <c r="A1" s="75" t="s">
        <v>230</v>
      </c>
      <c r="D1" s="463" t="s">
        <v>504</v>
      </c>
      <c r="I1" s="172"/>
      <c r="J1" s="172"/>
      <c r="M1" s="539"/>
      <c r="R1" s="73"/>
    </row>
    <row r="2" spans="1:50" x14ac:dyDescent="0.3">
      <c r="A2" s="11"/>
      <c r="B2" s="1122"/>
      <c r="C2" s="1121"/>
      <c r="D2" s="11"/>
      <c r="E2" s="11"/>
      <c r="F2" s="11"/>
      <c r="G2" s="11"/>
      <c r="H2" s="11"/>
      <c r="I2" s="11"/>
      <c r="J2" s="11"/>
      <c r="K2" s="11"/>
      <c r="L2" s="11"/>
      <c r="M2" s="482"/>
      <c r="N2" s="125"/>
      <c r="O2" s="11"/>
      <c r="P2" s="11"/>
      <c r="Q2" s="11"/>
      <c r="R2" s="11"/>
      <c r="S2" s="11"/>
      <c r="T2" s="11"/>
      <c r="U2" s="11"/>
      <c r="V2" s="11"/>
      <c r="W2" s="11"/>
      <c r="X2" s="11"/>
      <c r="Y2" s="11"/>
      <c r="Z2" s="11"/>
      <c r="AA2" s="11"/>
      <c r="AB2" s="11"/>
      <c r="AC2" s="11"/>
      <c r="AD2" s="11"/>
      <c r="AE2" s="11"/>
      <c r="AF2" s="11"/>
      <c r="AG2" s="11"/>
      <c r="AH2" s="11"/>
      <c r="AI2" s="1435" t="s">
        <v>1200</v>
      </c>
      <c r="AJ2" s="1435"/>
      <c r="AK2" s="1435" t="s">
        <v>1289</v>
      </c>
      <c r="AL2" s="1435"/>
    </row>
    <row r="3" spans="1:50" ht="30" customHeight="1" x14ac:dyDescent="0.3">
      <c r="A3" s="222" t="s">
        <v>6</v>
      </c>
      <c r="B3" s="262" t="s">
        <v>689</v>
      </c>
      <c r="C3" s="18" t="s">
        <v>229</v>
      </c>
      <c r="D3" s="262" t="s">
        <v>470</v>
      </c>
      <c r="E3" s="262" t="s">
        <v>468</v>
      </c>
      <c r="F3" s="262" t="s">
        <v>476</v>
      </c>
      <c r="G3" s="262" t="s">
        <v>1202</v>
      </c>
      <c r="H3" s="262"/>
      <c r="I3" s="262" t="s">
        <v>678</v>
      </c>
      <c r="J3" s="262" t="s">
        <v>1201</v>
      </c>
      <c r="K3" s="262" t="s">
        <v>469</v>
      </c>
      <c r="L3" s="262" t="s">
        <v>248</v>
      </c>
      <c r="M3" s="262"/>
      <c r="N3" s="342"/>
      <c r="O3" s="262"/>
      <c r="P3" s="342" t="s">
        <v>657</v>
      </c>
      <c r="Q3" s="342" t="s">
        <v>673</v>
      </c>
      <c r="R3" s="342" t="s">
        <v>674</v>
      </c>
      <c r="S3" s="342" t="s">
        <v>658</v>
      </c>
      <c r="T3" s="342" t="s">
        <v>659</v>
      </c>
      <c r="U3" s="262"/>
      <c r="V3" s="262" t="s">
        <v>227</v>
      </c>
      <c r="W3" s="262" t="s">
        <v>226</v>
      </c>
      <c r="X3" s="262" t="s">
        <v>173</v>
      </c>
      <c r="Y3" s="262" t="s">
        <v>662</v>
      </c>
      <c r="Z3" s="12"/>
      <c r="AA3" s="18" t="s">
        <v>1271</v>
      </c>
      <c r="AC3" s="262" t="s">
        <v>495</v>
      </c>
      <c r="AD3" s="262" t="s">
        <v>688</v>
      </c>
      <c r="AE3" s="262" t="s">
        <v>1207</v>
      </c>
      <c r="AF3" s="262" t="s">
        <v>448</v>
      </c>
      <c r="AG3" s="262"/>
      <c r="AH3" s="262" t="s">
        <v>449</v>
      </c>
      <c r="AI3" s="262" t="s">
        <v>1287</v>
      </c>
      <c r="AJ3" s="262" t="s">
        <v>1288</v>
      </c>
      <c r="AK3" s="262" t="s">
        <v>1290</v>
      </c>
      <c r="AL3" s="262" t="s">
        <v>1291</v>
      </c>
      <c r="AX3" s="833"/>
    </row>
    <row r="4" spans="1:50" x14ac:dyDescent="0.3">
      <c r="A4" s="1"/>
      <c r="B4" s="260" t="s">
        <v>10</v>
      </c>
      <c r="C4" s="260" t="s">
        <v>10</v>
      </c>
      <c r="D4" s="358" t="s">
        <v>10</v>
      </c>
      <c r="E4" s="358" t="s">
        <v>10</v>
      </c>
      <c r="F4" s="358" t="s">
        <v>10</v>
      </c>
      <c r="G4" s="345" t="s">
        <v>10</v>
      </c>
      <c r="H4" s="764"/>
      <c r="I4" s="562" t="s">
        <v>10</v>
      </c>
      <c r="J4" s="358" t="s">
        <v>10</v>
      </c>
      <c r="K4" s="281" t="s">
        <v>11</v>
      </c>
      <c r="L4" s="260" t="s">
        <v>10</v>
      </c>
      <c r="M4" s="281"/>
      <c r="N4" s="569"/>
      <c r="O4" s="535"/>
      <c r="P4" s="536" t="s">
        <v>10</v>
      </c>
      <c r="Q4" s="536" t="s">
        <v>10</v>
      </c>
      <c r="R4" s="536" t="s">
        <v>10</v>
      </c>
      <c r="S4" s="536" t="s">
        <v>10</v>
      </c>
      <c r="T4" s="536" t="s">
        <v>11</v>
      </c>
      <c r="U4" s="260"/>
      <c r="V4" s="260" t="s">
        <v>12</v>
      </c>
      <c r="W4" s="260" t="s">
        <v>12</v>
      </c>
      <c r="X4" s="260" t="s">
        <v>12</v>
      </c>
      <c r="Y4" s="260" t="s">
        <v>12</v>
      </c>
      <c r="AA4" s="260" t="s">
        <v>228</v>
      </c>
      <c r="AC4" s="409" t="s">
        <v>12</v>
      </c>
      <c r="AD4" s="358" t="s">
        <v>10</v>
      </c>
      <c r="AE4" s="266" t="s">
        <v>35</v>
      </c>
      <c r="AF4" s="358" t="s">
        <v>12</v>
      </c>
      <c r="AG4" s="358"/>
      <c r="AH4" s="358" t="s">
        <v>10</v>
      </c>
      <c r="AI4" s="267" t="s">
        <v>35</v>
      </c>
      <c r="AJ4" s="358" t="s">
        <v>12</v>
      </c>
      <c r="AK4" s="794" t="s">
        <v>35</v>
      </c>
      <c r="AL4" s="794" t="s">
        <v>12</v>
      </c>
    </row>
    <row r="5" spans="1:50" ht="9.75" customHeight="1" x14ac:dyDescent="0.3">
      <c r="A5" s="4"/>
      <c r="B5" s="18"/>
      <c r="C5" s="18"/>
      <c r="D5" s="23"/>
      <c r="E5" s="23"/>
      <c r="F5" s="18"/>
      <c r="G5" s="663"/>
      <c r="H5" s="663"/>
      <c r="I5" s="18"/>
      <c r="J5" s="18"/>
      <c r="K5" s="18"/>
      <c r="L5" s="18"/>
      <c r="M5" s="18"/>
      <c r="N5" s="23"/>
      <c r="O5" s="18"/>
      <c r="P5" s="18"/>
      <c r="Q5" s="18"/>
      <c r="R5" s="18"/>
      <c r="S5" s="18"/>
      <c r="T5" s="18"/>
      <c r="U5" s="18"/>
      <c r="V5" s="18"/>
      <c r="W5" s="18"/>
      <c r="X5" s="18"/>
      <c r="Y5" s="18"/>
      <c r="AA5" s="18"/>
      <c r="AJ5" s="278"/>
      <c r="AL5" s="655"/>
      <c r="AM5" s="75"/>
      <c r="AN5" s="413"/>
      <c r="AO5" s="413"/>
      <c r="AP5" s="413"/>
      <c r="AQ5" s="413"/>
      <c r="AR5" s="413"/>
      <c r="AS5" s="413"/>
      <c r="AT5" s="413"/>
    </row>
    <row r="6" spans="1:50" ht="12" customHeight="1" x14ac:dyDescent="0.3">
      <c r="A6" s="100">
        <v>1960</v>
      </c>
      <c r="B6" s="224">
        <v>68681</v>
      </c>
      <c r="C6" s="224">
        <v>61092.003771999996</v>
      </c>
      <c r="D6" s="226">
        <f>TOTALS!AG5/1000</f>
        <v>5285.2738163000004</v>
      </c>
      <c r="E6" s="829" t="s">
        <v>50</v>
      </c>
      <c r="F6" s="226">
        <f>TOTALS!AI5/1000</f>
        <v>0.70742616942999992</v>
      </c>
      <c r="G6" s="226">
        <f>TOTALS!BR5/1000/2</f>
        <v>1010.4067336000001</v>
      </c>
      <c r="H6" s="226"/>
      <c r="I6" s="224">
        <f>B6</f>
        <v>68681</v>
      </c>
      <c r="J6" s="224">
        <f>C6-D6-F6-G6</f>
        <v>54795.615795930564</v>
      </c>
      <c r="K6" s="225">
        <f>J6/B6</f>
        <v>0.79782786791005611</v>
      </c>
      <c r="L6" s="228">
        <f>TOTALS!BE66/1000+Q6</f>
        <v>112694.58957069721</v>
      </c>
      <c r="M6" s="225"/>
      <c r="N6" s="228"/>
      <c r="O6" s="228"/>
      <c r="P6" s="228">
        <f>TOTALS!AF66/1000</f>
        <v>161290.96525000001</v>
      </c>
      <c r="Q6" s="226">
        <f>1.4*(B6-J6)</f>
        <v>19439.537885697209</v>
      </c>
      <c r="R6" s="226">
        <f>P6+Q6</f>
        <v>180730.50313569722</v>
      </c>
      <c r="S6" s="224">
        <v>180670</v>
      </c>
      <c r="T6" s="225">
        <f>R6/S6</f>
        <v>1.0003348820263309</v>
      </c>
      <c r="U6" s="224"/>
      <c r="V6" s="224">
        <v>318030.13520679035</v>
      </c>
      <c r="W6" s="224">
        <v>328547.13520679035</v>
      </c>
      <c r="X6" s="226">
        <f>'C1-Incomes'!J8</f>
        <v>479858.94903999998</v>
      </c>
      <c r="Y6" s="226">
        <f>'C1-Incomes'!R8</f>
        <v>504286.94903999998</v>
      </c>
      <c r="AA6" s="261">
        <f>'T-T1a'!J$66/'T-T1a'!J11</f>
        <v>6.2396557619970361</v>
      </c>
      <c r="AC6" s="440">
        <f t="shared" ref="AC6:AC37" si="0">V6/(1+0.2*(1-C6/B6))</f>
        <v>311153.8651782088</v>
      </c>
      <c r="AD6" s="441">
        <f t="shared" ref="AD6:AD37" si="1">B6-C6</f>
        <v>7588.9962280000036</v>
      </c>
      <c r="AE6" s="441">
        <f t="shared" ref="AE6:AE37" si="2">ROUND(0.2*AC6/B6*1000,2)</f>
        <v>906.08</v>
      </c>
      <c r="AF6" s="441">
        <f>AD6*AE6/1000</f>
        <v>6876.2377022662431</v>
      </c>
      <c r="AG6" s="441"/>
      <c r="AH6" s="441">
        <f>I6-J6</f>
        <v>13885.384204069436</v>
      </c>
      <c r="AI6" s="441">
        <f>AE6</f>
        <v>906.08</v>
      </c>
      <c r="AJ6" s="441">
        <f>AI6*AH6/1000</f>
        <v>12581.268919623235</v>
      </c>
      <c r="AK6" s="441">
        <f>AL6/AH6*1000</f>
        <v>1164.3995501247575</v>
      </c>
      <c r="AL6" s="441">
        <f>AJ6+('T-T1'!E9+'T-T1'!L9+'T-T1'!Q9+'T-T1'!T9+'T-T1'!AH9)*0.15</f>
        <v>16168.135120527866</v>
      </c>
      <c r="AM6" s="413"/>
      <c r="AN6" s="413" t="str">
        <f ca="1">CONCATENATE("data NonFilers",INDIRECT("$A"&amp;AM7),"; input xwgt_PS xwgt_20 xwgt_dep xwgt_noNR xwgt_mfs psnfinc; cards;")</f>
        <v>data NonFilers1960; input xwgt_PS xwgt_20 xwgt_dep xwgt_noNR xwgt_mfs psnfinc; cards;</v>
      </c>
      <c r="AO6" s="413"/>
      <c r="AP6" s="413"/>
      <c r="AQ6" s="413"/>
      <c r="AR6" s="413"/>
      <c r="AS6" s="413"/>
      <c r="AT6" s="413"/>
      <c r="AX6" s="655"/>
    </row>
    <row r="7" spans="1:50" ht="12" customHeight="1" x14ac:dyDescent="0.3">
      <c r="A7" s="100">
        <v>1961</v>
      </c>
      <c r="B7" s="224">
        <v>69997.277539357485</v>
      </c>
      <c r="C7" s="224"/>
      <c r="D7" s="226"/>
      <c r="E7" s="226"/>
      <c r="F7" s="226"/>
      <c r="G7" s="226"/>
      <c r="H7" s="226"/>
      <c r="I7" s="224"/>
      <c r="J7" s="224"/>
      <c r="K7" s="224"/>
      <c r="L7" s="228"/>
      <c r="M7" s="225"/>
      <c r="N7" s="228"/>
      <c r="O7" s="228"/>
      <c r="P7" s="228"/>
      <c r="Q7" s="226"/>
      <c r="R7" s="226"/>
      <c r="S7" s="224">
        <v>183690</v>
      </c>
      <c r="T7" s="224"/>
      <c r="U7" s="224"/>
      <c r="V7" s="224">
        <v>331239.30191560392</v>
      </c>
      <c r="W7" s="224">
        <v>346390.30191560392</v>
      </c>
      <c r="X7" s="226"/>
      <c r="Y7" s="226"/>
      <c r="AA7" s="261">
        <f>'T-T1a'!J$66/'T-T1a'!J12</f>
        <v>6.174901297236322</v>
      </c>
      <c r="AC7" s="440">
        <f t="shared" si="0"/>
        <v>276032.7515963366</v>
      </c>
      <c r="AD7" s="441">
        <f t="shared" si="1"/>
        <v>69997.277539357485</v>
      </c>
      <c r="AE7" s="441">
        <f t="shared" si="2"/>
        <v>788.7</v>
      </c>
      <c r="AF7" s="441"/>
      <c r="AG7" s="441"/>
      <c r="AH7" s="20"/>
      <c r="AI7" s="441">
        <f t="shared" ref="AI7:AI61" si="3">AE7</f>
        <v>788.7</v>
      </c>
      <c r="AJ7" s="20"/>
      <c r="AK7" s="20"/>
      <c r="AM7" s="413">
        <v>6</v>
      </c>
      <c r="AN7" s="413" t="str">
        <f ca="1">CONCATENATE(ROUND(INDIRECT("$Ad"&amp;AM7),2)," ",ROUND(INDIRECT("$d"&amp;AM7),2)," 0.0 ",ROUND(INDIRECT("$f"&amp;AM7),2)," ",ROUND(INDIRECT("$g"&amp;AM7),2)," ",ROUND(INDIRECT("$Ae"&amp;AM7),2))</f>
        <v>7589 5285.27 0.0 0.71 1010.41 906.08</v>
      </c>
      <c r="AO7" s="413"/>
      <c r="AP7" s="413"/>
      <c r="AQ7" s="413"/>
      <c r="AR7" s="413"/>
      <c r="AS7" s="413"/>
      <c r="AT7" s="413"/>
      <c r="AX7" s="655"/>
    </row>
    <row r="8" spans="1:50" ht="12" customHeight="1" x14ac:dyDescent="0.3">
      <c r="A8" s="100">
        <v>1962</v>
      </c>
      <c r="B8" s="224">
        <v>71254.48789333165</v>
      </c>
      <c r="C8" s="224">
        <v>62699.348526668356</v>
      </c>
      <c r="D8" s="226">
        <f>TOTALS!AG7/1000</f>
        <v>5718.6880700000002</v>
      </c>
      <c r="E8" s="829" t="s">
        <v>50</v>
      </c>
      <c r="F8" s="226">
        <f>TOTALS!AI7/1000</f>
        <v>4.4474900000000002</v>
      </c>
      <c r="G8" s="226">
        <f>TOTALS!BR7/1000/2</f>
        <v>1817.57954</v>
      </c>
      <c r="H8" s="226"/>
      <c r="I8" s="224">
        <f>B8</f>
        <v>71254.48789333165</v>
      </c>
      <c r="J8" s="224">
        <f>C8-D8-F8-G8</f>
        <v>55158.633426668355</v>
      </c>
      <c r="K8" s="225">
        <f>J8/B8</f>
        <v>0.77410749915487609</v>
      </c>
      <c r="L8" s="228">
        <f>TOTALS!BE68/1000+Q8</f>
        <v>116407.81157332861</v>
      </c>
      <c r="M8" s="225"/>
      <c r="N8" s="228"/>
      <c r="O8" s="228"/>
      <c r="P8" s="228">
        <f>TOTALS!AF68/1000</f>
        <v>161433.95743000001</v>
      </c>
      <c r="Q8" s="226">
        <f>1.4*(B8-J8)</f>
        <v>22534.196253328613</v>
      </c>
      <c r="R8" s="226">
        <f>P8+Q8</f>
        <v>183968.15368332862</v>
      </c>
      <c r="S8" s="224">
        <v>186540</v>
      </c>
      <c r="T8" s="225">
        <f>R8/S8</f>
        <v>0.98621289634034859</v>
      </c>
      <c r="U8" s="224"/>
      <c r="V8" s="224">
        <v>353004.52743343828</v>
      </c>
      <c r="W8" s="224">
        <v>364330.52743343828</v>
      </c>
      <c r="X8" s="226">
        <f>'C1-Incomes'!J10</f>
        <v>535187.89294000005</v>
      </c>
      <c r="Y8" s="226">
        <f>'C1-Incomes'!R10</f>
        <v>564030.89294000005</v>
      </c>
      <c r="AA8" s="261">
        <f>'T-T1a'!J$66/'T-T1a'!J13</f>
        <v>6.1029600312169014</v>
      </c>
      <c r="AC8" s="440">
        <f t="shared" si="0"/>
        <v>344726.63643924915</v>
      </c>
      <c r="AD8" s="441">
        <f t="shared" si="1"/>
        <v>8555.1393666632939</v>
      </c>
      <c r="AE8" s="441">
        <f t="shared" si="2"/>
        <v>967.59</v>
      </c>
      <c r="AF8" s="441">
        <f t="shared" ref="AF8:AF59" si="4">AD8*AE8/1000</f>
        <v>8277.8672997897374</v>
      </c>
      <c r="AG8" s="441"/>
      <c r="AH8" s="441">
        <f>I8-J8</f>
        <v>16095.854466663295</v>
      </c>
      <c r="AI8" s="441">
        <f t="shared" si="3"/>
        <v>967.59</v>
      </c>
      <c r="AJ8" s="441">
        <f>AI8*AH8/1000</f>
        <v>15574.187823398739</v>
      </c>
      <c r="AK8" s="441">
        <f>AL8/AH8*1000</f>
        <v>1185.7545881813467</v>
      </c>
      <c r="AL8" s="441">
        <f>AJ8+('T-T1'!E11+'T-T1'!L11+'T-T1'!Q11+'T-T1'!T11+'T-T1'!AH11)*0.15</f>
        <v>19085.733284545226</v>
      </c>
      <c r="AM8" s="413"/>
      <c r="AN8" s="655" t="str">
        <f ca="1">CONCATENATE("data NonFilers",INDIRECT("$A"&amp;AM9),"; input xwgt_PS xwgt_20 xwgt_dep xwgt_noNR xwgt_mfs psnfinc; cards;")</f>
        <v>data NonFilers1962; input xwgt_PS xwgt_20 xwgt_dep xwgt_noNR xwgt_mfs psnfinc; cards;</v>
      </c>
      <c r="AO8" s="413"/>
      <c r="AP8" s="413"/>
      <c r="AQ8" s="413"/>
      <c r="AR8" s="413"/>
      <c r="AS8" s="413"/>
      <c r="AT8" s="413"/>
      <c r="AX8" s="655"/>
    </row>
    <row r="9" spans="1:50" ht="12" customHeight="1" x14ac:dyDescent="0.3">
      <c r="A9" s="100">
        <v>1963</v>
      </c>
      <c r="B9" s="224">
        <v>72464.471041222045</v>
      </c>
      <c r="C9" s="224"/>
      <c r="D9" s="226"/>
      <c r="E9" s="226"/>
      <c r="F9" s="226"/>
      <c r="G9" s="226"/>
      <c r="H9" s="226"/>
      <c r="I9" s="224"/>
      <c r="J9" s="224"/>
      <c r="K9" s="224"/>
      <c r="L9" s="228"/>
      <c r="M9" s="225"/>
      <c r="N9" s="228"/>
      <c r="O9" s="228"/>
      <c r="P9" s="228"/>
      <c r="Q9" s="226"/>
      <c r="R9" s="226"/>
      <c r="S9" s="224">
        <v>189240</v>
      </c>
      <c r="T9" s="226"/>
      <c r="U9" s="224"/>
      <c r="V9" s="224">
        <v>372880.64844866132</v>
      </c>
      <c r="W9" s="224">
        <v>385710.64844866132</v>
      </c>
      <c r="X9" s="226"/>
      <c r="Y9" s="226"/>
      <c r="AA9" s="261">
        <f>'T-T1a'!J$66/'T-T1a'!J14</f>
        <v>6.0323433798005395</v>
      </c>
      <c r="AC9" s="440">
        <f t="shared" si="0"/>
        <v>310733.8737072178</v>
      </c>
      <c r="AD9" s="441">
        <f t="shared" si="1"/>
        <v>72464.471041222045</v>
      </c>
      <c r="AE9" s="441">
        <f t="shared" si="2"/>
        <v>857.62</v>
      </c>
      <c r="AF9" s="441"/>
      <c r="AG9" s="441"/>
      <c r="AH9" s="20"/>
      <c r="AI9" s="441">
        <f t="shared" si="3"/>
        <v>857.62</v>
      </c>
      <c r="AJ9" s="20"/>
      <c r="AK9" s="20"/>
      <c r="AM9" s="413">
        <v>8</v>
      </c>
      <c r="AN9" s="655" t="str">
        <f ca="1">CONCATENATE(ROUND(INDIRECT("$Ad"&amp;AM9),2)," ",ROUND(INDIRECT("$d"&amp;AM9),2)," 0.0 ",ROUND(INDIRECT("$f"&amp;AM9),2)," ",ROUND(INDIRECT("$g"&amp;AM9),2)," ",ROUND(INDIRECT("$Ae"&amp;AM9),2))</f>
        <v>8555.14 5718.69 0.0 4.45 1817.58 967.59</v>
      </c>
      <c r="AO9" s="413"/>
      <c r="AP9" s="413"/>
      <c r="AQ9" s="413"/>
      <c r="AR9" s="413"/>
      <c r="AS9" s="413"/>
      <c r="AT9" s="413"/>
      <c r="AX9" s="655"/>
    </row>
    <row r="10" spans="1:50" ht="12" customHeight="1" x14ac:dyDescent="0.3">
      <c r="A10" s="100">
        <v>1964</v>
      </c>
      <c r="B10" s="226">
        <v>73659.622212014569</v>
      </c>
      <c r="C10" s="226">
        <v>65376</v>
      </c>
      <c r="D10" s="226">
        <f>TOTALS!AG9/1000</f>
        <v>5984.3459999999995</v>
      </c>
      <c r="E10" s="829" t="s">
        <v>50</v>
      </c>
      <c r="F10" s="226">
        <f>TOTALS!AI9/1000</f>
        <v>4.7960000000000003</v>
      </c>
      <c r="G10" s="226">
        <f>TOTALS!BR9/1000/2</f>
        <v>1451.25</v>
      </c>
      <c r="H10" s="226"/>
      <c r="I10" s="224">
        <f>B10</f>
        <v>73659.622212014569</v>
      </c>
      <c r="J10" s="224">
        <f>C10-D10-F10-G10</f>
        <v>57935.608</v>
      </c>
      <c r="K10" s="225">
        <f>J10/B10</f>
        <v>0.78653143011301196</v>
      </c>
      <c r="L10" s="228">
        <f>TOTALS!BE70/1000+Q10</f>
        <v>117364.5438968204</v>
      </c>
      <c r="M10" s="225"/>
      <c r="N10" s="228"/>
      <c r="O10" s="228"/>
      <c r="P10" s="228">
        <f>TOTALS!AF70/1000</f>
        <v>164521.39799999999</v>
      </c>
      <c r="Q10" s="226">
        <f>1.4*(B10-J10)</f>
        <v>22013.619896820393</v>
      </c>
      <c r="R10" s="226">
        <f>P10+Q10</f>
        <v>186535.01789682038</v>
      </c>
      <c r="S10" s="224">
        <v>191890</v>
      </c>
      <c r="T10" s="225">
        <f>R10/S10</f>
        <v>0.97209348010224805</v>
      </c>
      <c r="U10" s="224"/>
      <c r="V10" s="224">
        <v>402491.46074611519</v>
      </c>
      <c r="W10" s="224">
        <v>418457.46074611519</v>
      </c>
      <c r="X10" s="226">
        <f>'C1-Incomes'!J12</f>
        <v>608340.22254999995</v>
      </c>
      <c r="Y10" s="226">
        <f>'C1-Incomes'!R12</f>
        <v>639657.22254999995</v>
      </c>
      <c r="AA10" s="261">
        <f>'T-T1a'!J$66/'T-T1a'!J15</f>
        <v>5.9455305745628317</v>
      </c>
      <c r="AC10" s="440">
        <f t="shared" si="0"/>
        <v>393637.90543578955</v>
      </c>
      <c r="AD10" s="441">
        <f t="shared" si="1"/>
        <v>8283.6222120145685</v>
      </c>
      <c r="AE10" s="441">
        <f t="shared" si="2"/>
        <v>1068.8</v>
      </c>
      <c r="AF10" s="441">
        <f t="shared" si="4"/>
        <v>8853.5354202011713</v>
      </c>
      <c r="AG10" s="441"/>
      <c r="AH10" s="441">
        <f>I10-J10</f>
        <v>15724.014212014568</v>
      </c>
      <c r="AI10" s="441">
        <f t="shared" si="3"/>
        <v>1068.8</v>
      </c>
      <c r="AJ10" s="441">
        <f>AI10*AH10/1000</f>
        <v>16805.826389801172</v>
      </c>
      <c r="AK10" s="441">
        <f>AL10/AH10*1000</f>
        <v>1251.4480815926279</v>
      </c>
      <c r="AL10" s="441">
        <f>AJ10+('T-T1'!E13+'T-T1'!L13+'T-T1'!Q13+'T-T1'!T13+'T-T1'!AH13)*0.15</f>
        <v>19677.78742056085</v>
      </c>
      <c r="AM10" s="413"/>
      <c r="AN10" s="655" t="str">
        <f ca="1">CONCATENATE("data NonFilers",INDIRECT("$A"&amp;AM11),"; input xwgt_PS xwgt_20 xwgt_dep xwgt_noNR xwgt_mfs psnfinc; cards;")</f>
        <v>data NonFilers1964; input xwgt_PS xwgt_20 xwgt_dep xwgt_noNR xwgt_mfs psnfinc; cards;</v>
      </c>
      <c r="AO10" s="413"/>
      <c r="AP10" s="413"/>
      <c r="AQ10" s="413"/>
      <c r="AR10" s="413"/>
      <c r="AS10" s="413"/>
      <c r="AT10" s="413"/>
      <c r="AX10" s="655"/>
    </row>
    <row r="11" spans="1:50" ht="12" customHeight="1" x14ac:dyDescent="0.3">
      <c r="A11" s="100">
        <v>1965</v>
      </c>
      <c r="B11" s="224">
        <v>74772.263448492304</v>
      </c>
      <c r="C11" s="224"/>
      <c r="D11" s="226"/>
      <c r="E11" s="226"/>
      <c r="F11" s="226"/>
      <c r="G11" s="226"/>
      <c r="H11" s="226"/>
      <c r="I11" s="224"/>
      <c r="J11" s="224"/>
      <c r="K11" s="224"/>
      <c r="L11" s="228"/>
      <c r="M11" s="225"/>
      <c r="N11" s="228"/>
      <c r="O11" s="228"/>
      <c r="P11" s="228"/>
      <c r="Q11" s="224"/>
      <c r="R11" s="224"/>
      <c r="S11" s="224">
        <v>194300</v>
      </c>
      <c r="T11" s="224"/>
      <c r="U11" s="224"/>
      <c r="V11" s="224">
        <v>432178.62721131073</v>
      </c>
      <c r="W11" s="224">
        <v>452695.62721131073</v>
      </c>
      <c r="X11" s="226"/>
      <c r="Y11" s="226"/>
      <c r="AA11" s="261">
        <f>'T-T1a'!J$66/'T-T1a'!J16</f>
        <v>5.8605535035597658</v>
      </c>
      <c r="AC11" s="440">
        <f t="shared" si="0"/>
        <v>360148.8560094256</v>
      </c>
      <c r="AD11" s="441">
        <f t="shared" si="1"/>
        <v>74772.263448492304</v>
      </c>
      <c r="AE11" s="441">
        <f t="shared" si="2"/>
        <v>963.32</v>
      </c>
      <c r="AF11" s="441"/>
      <c r="AG11" s="441"/>
      <c r="AH11" s="20"/>
      <c r="AI11" s="441">
        <f t="shared" si="3"/>
        <v>963.32</v>
      </c>
      <c r="AJ11" s="20"/>
      <c r="AK11" s="20"/>
      <c r="AM11" s="413">
        <f>AM9+2</f>
        <v>10</v>
      </c>
      <c r="AN11" s="655" t="str">
        <f ca="1">CONCATENATE(ROUND(INDIRECT("$Ad"&amp;AM11),2)," ",ROUND(INDIRECT("$d"&amp;AM11),2)," 0.0 ",ROUND(INDIRECT("$f"&amp;AM11),2)," ",ROUND(INDIRECT("$g"&amp;AM11),2)," ",ROUND(INDIRECT("$Ae"&amp;AM11),2))</f>
        <v>8283.62 5984.35 0.0 4.8 1451.25 1068.8</v>
      </c>
      <c r="AO11" s="413"/>
      <c r="AP11" s="413"/>
      <c r="AQ11" s="413"/>
      <c r="AR11" s="413"/>
      <c r="AS11" s="413"/>
      <c r="AT11" s="413"/>
      <c r="AX11" s="655"/>
    </row>
    <row r="12" spans="1:50" ht="12" customHeight="1" x14ac:dyDescent="0.3">
      <c r="A12" s="100">
        <v>1966</v>
      </c>
      <c r="B12" s="224">
        <v>75831.168722140283</v>
      </c>
      <c r="C12" s="224">
        <v>70160.49449785972</v>
      </c>
      <c r="D12" s="226">
        <f>TOTALS!AG11/1000</f>
        <v>7608.8879299999999</v>
      </c>
      <c r="E12" s="829" t="s">
        <v>50</v>
      </c>
      <c r="F12" s="226">
        <f>TOTALS!AI11/1000</f>
        <v>21.59543</v>
      </c>
      <c r="G12" s="226">
        <f>TOTALS!BR11/1000/2</f>
        <v>1470.883605</v>
      </c>
      <c r="H12" s="226"/>
      <c r="I12" s="224">
        <f>B12</f>
        <v>75831.168722140283</v>
      </c>
      <c r="J12" s="224">
        <f>C12-D12-F12-G12</f>
        <v>61059.127532859718</v>
      </c>
      <c r="K12" s="225">
        <f t="shared" ref="K12:K43" si="5">J12/B12</f>
        <v>0.80519829196608972</v>
      </c>
      <c r="L12" s="228">
        <f>TOTALS!BE72/1000+Q12</f>
        <v>123113.51659499279</v>
      </c>
      <c r="M12" s="225"/>
      <c r="N12" s="228"/>
      <c r="O12" s="228"/>
      <c r="P12" s="228">
        <f>TOTALS!AF72/1000</f>
        <v>175390.92929</v>
      </c>
      <c r="Q12" s="226">
        <f t="shared" ref="Q12:Q43" si="6">1.4*(B12-J12)</f>
        <v>20680.857664992789</v>
      </c>
      <c r="R12" s="226">
        <f>P12+Q12</f>
        <v>196071.7869549928</v>
      </c>
      <c r="S12" s="224">
        <v>196560</v>
      </c>
      <c r="T12" s="225">
        <f>R12/S12</f>
        <v>0.99751621364973952</v>
      </c>
      <c r="U12" s="224"/>
      <c r="V12" s="224">
        <v>470773.91622465447</v>
      </c>
      <c r="W12" s="224">
        <v>490886.91622465447</v>
      </c>
      <c r="X12" s="226">
        <f>'C1-Incomes'!J14</f>
        <v>719693.75590999995</v>
      </c>
      <c r="Y12" s="226">
        <f>'C1-Incomes'!R14</f>
        <v>756875.75590999995</v>
      </c>
      <c r="AA12" s="261">
        <f>'T-T1a'!J$66/'T-T1a'!J17</f>
        <v>5.7155311929000252</v>
      </c>
      <c r="AC12" s="440">
        <f t="shared" si="0"/>
        <v>463836.75002514763</v>
      </c>
      <c r="AD12" s="441">
        <f t="shared" si="1"/>
        <v>5670.6742242805631</v>
      </c>
      <c r="AE12" s="441">
        <f t="shared" si="2"/>
        <v>1223.3399999999999</v>
      </c>
      <c r="AF12" s="441">
        <f t="shared" si="4"/>
        <v>6937.1626055313836</v>
      </c>
      <c r="AG12" s="441"/>
      <c r="AH12" s="441">
        <f t="shared" ref="AH12:AH43" si="7">I12-J12</f>
        <v>14772.041189280564</v>
      </c>
      <c r="AI12" s="441">
        <f t="shared" si="3"/>
        <v>1223.3399999999999</v>
      </c>
      <c r="AJ12" s="441">
        <f>AI12*AH12/1000</f>
        <v>18071.228868494483</v>
      </c>
      <c r="AK12" s="441">
        <f>AL12/AH12*1000</f>
        <v>1494.8951188383908</v>
      </c>
      <c r="AL12" s="441">
        <f>AJ12+('T-T1'!E15+'T-T1'!L15+'T-T1'!Q15+'T-T1'!T15+'T-T1'!AH15)*0.15</f>
        <v>22082.652269135171</v>
      </c>
      <c r="AM12" s="413"/>
      <c r="AN12" s="655" t="str">
        <f ca="1">CONCATENATE("data NonFilers",INDIRECT("$A"&amp;AM13),"; input xwgt_PS xwgt_20 xwgt_dep xwgt_noNR xwgt_mfs psnfinc; cards;")</f>
        <v>data NonFilers1966; input xwgt_PS xwgt_20 xwgt_dep xwgt_noNR xwgt_mfs psnfinc; cards;</v>
      </c>
      <c r="AO12" s="413"/>
      <c r="AP12" s="413"/>
      <c r="AQ12" s="413"/>
      <c r="AR12" s="413"/>
      <c r="AS12" s="413"/>
      <c r="AT12" s="413"/>
      <c r="AX12" s="655"/>
    </row>
    <row r="13" spans="1:50" ht="12" customHeight="1" x14ac:dyDescent="0.3">
      <c r="A13" s="100">
        <v>1967</v>
      </c>
      <c r="B13" s="224">
        <v>76855.772597697025</v>
      </c>
      <c r="C13" s="224">
        <v>71652.119002302963</v>
      </c>
      <c r="D13" s="226">
        <f>TOTALS!AG12/1000</f>
        <v>7508.9924499999997</v>
      </c>
      <c r="E13" s="829" t="s">
        <v>50</v>
      </c>
      <c r="F13" s="226">
        <f>TOTALS!AI12/1000</f>
        <v>8.6488799999999983</v>
      </c>
      <c r="G13" s="226">
        <f>TOTALS!BR12/1000/2</f>
        <v>1323.08735</v>
      </c>
      <c r="H13" s="226"/>
      <c r="I13" s="224">
        <f t="shared" ref="I13:I32" si="8">B13</f>
        <v>76855.772597697025</v>
      </c>
      <c r="J13" s="224">
        <f t="shared" ref="J13:J32" si="9">C13-D13-F13-G13</f>
        <v>62811.390322302963</v>
      </c>
      <c r="K13" s="225">
        <f t="shared" si="5"/>
        <v>0.817263143668991</v>
      </c>
      <c r="L13" s="228">
        <f>TOTALS!BE73/1000+Q13</f>
        <v>124578.58455555169</v>
      </c>
      <c r="M13" s="225"/>
      <c r="N13" s="228"/>
      <c r="O13" s="228"/>
      <c r="P13" s="228">
        <f>TOTALS!AF73/1000</f>
        <v>180736.32091000001</v>
      </c>
      <c r="Q13" s="226">
        <f t="shared" si="6"/>
        <v>19662.135185551684</v>
      </c>
      <c r="R13" s="226">
        <f t="shared" ref="R13:R59" si="10">P13+Q13</f>
        <v>200398.45609555169</v>
      </c>
      <c r="S13" s="224">
        <v>198710</v>
      </c>
      <c r="T13" s="225">
        <f>R13/S13</f>
        <v>1.008497086686889</v>
      </c>
      <c r="U13" s="224"/>
      <c r="V13" s="226">
        <v>503805.17023668694</v>
      </c>
      <c r="W13" s="224">
        <v>531405.17023668694</v>
      </c>
      <c r="X13" s="226">
        <f>'C1-Incomes'!J15</f>
        <v>760197.31680999999</v>
      </c>
      <c r="Y13" s="226">
        <f>'C1-Incomes'!R15</f>
        <v>805309.31680999999</v>
      </c>
      <c r="AA13" s="261">
        <f>'T-T1a'!J$66/'T-T1a'!J18</f>
        <v>5.57524061720222</v>
      </c>
      <c r="AC13" s="440">
        <f t="shared" si="0"/>
        <v>497074.11691887863</v>
      </c>
      <c r="AD13" s="441">
        <f t="shared" si="1"/>
        <v>5203.653595394062</v>
      </c>
      <c r="AE13" s="441">
        <f t="shared" si="2"/>
        <v>1293.52</v>
      </c>
      <c r="AF13" s="441">
        <f t="shared" si="4"/>
        <v>6731.029998714127</v>
      </c>
      <c r="AG13" s="441"/>
      <c r="AH13" s="441">
        <f t="shared" si="7"/>
        <v>14044.382275394062</v>
      </c>
      <c r="AI13" s="441">
        <f t="shared" si="3"/>
        <v>1293.52</v>
      </c>
      <c r="AJ13" s="441">
        <f t="shared" ref="AJ13:AJ58" si="11">AI13*AH13/1000</f>
        <v>18166.689360867727</v>
      </c>
      <c r="AK13" s="441">
        <f t="shared" ref="AK13:AK61" si="12">AL13/AH13*1000</f>
        <v>1564.808566035515</v>
      </c>
      <c r="AL13" s="441">
        <f>AJ13+('T-T1'!E16+'T-T1'!L16+'T-T1'!Q16+'T-T1'!T16+'T-T1'!AH16)*0.15</f>
        <v>21976.769689213987</v>
      </c>
      <c r="AM13" s="413">
        <f>AM11+2</f>
        <v>12</v>
      </c>
      <c r="AN13" s="655" t="str">
        <f ca="1">CONCATENATE(ROUND(INDIRECT("$Ad"&amp;AM13),2)," ",ROUND(INDIRECT("$d"&amp;AM13),2)," 0.0 ",ROUND(INDIRECT("$f"&amp;AM13),2)," ",ROUND(INDIRECT("$g"&amp;AM13),2)," ",ROUND(INDIRECT("$Ae"&amp;AM13),2))</f>
        <v>5670.67 7608.89 0.0 21.6 1470.88 1223.34</v>
      </c>
      <c r="AO13" s="413"/>
      <c r="AP13" s="413"/>
      <c r="AQ13" s="413"/>
      <c r="AR13" s="413"/>
      <c r="AS13" s="413"/>
      <c r="AT13" s="413"/>
      <c r="AX13" s="655"/>
    </row>
    <row r="14" spans="1:50" ht="12" customHeight="1" x14ac:dyDescent="0.3">
      <c r="A14" s="100">
        <v>1968</v>
      </c>
      <c r="B14" s="224">
        <v>77825.685517022051</v>
      </c>
      <c r="C14" s="224">
        <v>73743.892482977943</v>
      </c>
      <c r="D14" s="226">
        <f>TOTALS!AG13/1000</f>
        <v>7912.2640000000001</v>
      </c>
      <c r="E14" s="829" t="s">
        <v>50</v>
      </c>
      <c r="F14" s="226">
        <f>TOTALS!AI13/1000</f>
        <v>4.5</v>
      </c>
      <c r="G14" s="226">
        <f>TOTALS!BR13/1000/2</f>
        <v>1391.18</v>
      </c>
      <c r="H14" s="226"/>
      <c r="I14" s="224">
        <f t="shared" si="8"/>
        <v>77825.685517022051</v>
      </c>
      <c r="J14" s="224">
        <f t="shared" si="9"/>
        <v>64435.948482977947</v>
      </c>
      <c r="K14" s="225">
        <f t="shared" si="5"/>
        <v>0.82795221211234304</v>
      </c>
      <c r="L14" s="228">
        <f>TOTALS!BE74/1000+Q14</f>
        <v>125917.40284766174</v>
      </c>
      <c r="M14" s="225"/>
      <c r="N14" s="228"/>
      <c r="O14" s="228"/>
      <c r="P14" s="228">
        <f>TOTALS!AF74/1000</f>
        <v>183320.81</v>
      </c>
      <c r="Q14" s="226">
        <f t="shared" si="6"/>
        <v>18745.631847661745</v>
      </c>
      <c r="R14" s="226">
        <f t="shared" si="10"/>
        <v>202066.44184766174</v>
      </c>
      <c r="S14" s="224">
        <v>200710</v>
      </c>
      <c r="T14" s="225">
        <f t="shared" ref="T14:T61" si="13">R14/S14</f>
        <v>1.0067582175659495</v>
      </c>
      <c r="U14" s="224"/>
      <c r="V14" s="226">
        <v>548967.71586337092</v>
      </c>
      <c r="W14" s="224">
        <v>585267.71586337092</v>
      </c>
      <c r="X14" s="226">
        <f>'C1-Incomes'!J16</f>
        <v>832068.07926000003</v>
      </c>
      <c r="Y14" s="226">
        <f>'C1-Incomes'!R16</f>
        <v>884542.07926000003</v>
      </c>
      <c r="AA14" s="261">
        <f>'T-T1a'!J$66/'T-T1a'!J19</f>
        <v>5.3661895892559546</v>
      </c>
      <c r="AC14" s="440">
        <f t="shared" si="0"/>
        <v>543269.05270299362</v>
      </c>
      <c r="AD14" s="441">
        <f t="shared" si="1"/>
        <v>4081.7930340441089</v>
      </c>
      <c r="AE14" s="441">
        <f t="shared" si="2"/>
        <v>1396.12</v>
      </c>
      <c r="AF14" s="441">
        <f t="shared" si="4"/>
        <v>5698.6728906896606</v>
      </c>
      <c r="AG14" s="441"/>
      <c r="AH14" s="441">
        <f t="shared" si="7"/>
        <v>13389.737034044105</v>
      </c>
      <c r="AI14" s="441">
        <f t="shared" si="3"/>
        <v>1396.12</v>
      </c>
      <c r="AJ14" s="441">
        <f t="shared" si="11"/>
        <v>18693.679667969656</v>
      </c>
      <c r="AK14" s="441">
        <f t="shared" si="12"/>
        <v>1740.4544840312305</v>
      </c>
      <c r="AL14" s="441">
        <f>AJ14+('T-T1'!E17+'T-T1'!L17+'T-T1'!Q17+'T-T1'!T17+'T-T1'!AH17)*0.15</f>
        <v>23304.227860901094</v>
      </c>
      <c r="AM14" s="413"/>
      <c r="AN14" s="655" t="str">
        <f ca="1">CONCATENATE("data NonFilers",INDIRECT("$A"&amp;AM15),"; input xwgt_PS xwgt_20 xwgt_dep xwgt_noNR xwgt_mfs psnfinc; cards;")</f>
        <v>data NonFilers1967; input xwgt_PS xwgt_20 xwgt_dep xwgt_noNR xwgt_mfs psnfinc; cards;</v>
      </c>
      <c r="AO14" s="413"/>
      <c r="AP14" s="413"/>
      <c r="AQ14" s="413"/>
      <c r="AR14" s="413"/>
      <c r="AS14" s="413"/>
      <c r="AT14" s="413"/>
      <c r="AX14" s="655"/>
    </row>
    <row r="15" spans="1:50" ht="12" customHeight="1" x14ac:dyDescent="0.3">
      <c r="A15" s="100">
        <v>1969</v>
      </c>
      <c r="B15" s="224">
        <v>78792.880570712965</v>
      </c>
      <c r="C15" s="224">
        <v>75834.236429287033</v>
      </c>
      <c r="D15" s="226">
        <f>TOTALS!AG14/1000</f>
        <v>7996.74</v>
      </c>
      <c r="E15" s="829" t="s">
        <v>50</v>
      </c>
      <c r="F15" s="226">
        <f>TOTALS!AI14/1000</f>
        <v>0.45900000000000002</v>
      </c>
      <c r="G15" s="226">
        <f>TOTALS!BR14/1000/2</f>
        <v>1217.7</v>
      </c>
      <c r="H15" s="226"/>
      <c r="I15" s="224">
        <f t="shared" si="8"/>
        <v>78792.880570712965</v>
      </c>
      <c r="J15" s="224">
        <f t="shared" si="9"/>
        <v>66619.337429287028</v>
      </c>
      <c r="K15" s="225">
        <f t="shared" si="5"/>
        <v>0.8454994530819222</v>
      </c>
      <c r="L15" s="228">
        <f>TOTALS!BE75/1000+Q15</f>
        <v>127351.47439799631</v>
      </c>
      <c r="M15" s="225"/>
      <c r="N15" s="228"/>
      <c r="O15" s="228"/>
      <c r="P15" s="228">
        <f>TOTALS!AF75/1000</f>
        <v>186620.478</v>
      </c>
      <c r="Q15" s="226">
        <f t="shared" si="6"/>
        <v>17042.96039799631</v>
      </c>
      <c r="R15" s="226">
        <f t="shared" si="10"/>
        <v>203663.4383979963</v>
      </c>
      <c r="S15" s="224">
        <v>202680</v>
      </c>
      <c r="T15" s="225">
        <f t="shared" si="13"/>
        <v>1.0048521728734769</v>
      </c>
      <c r="U15" s="224"/>
      <c r="V15" s="226">
        <v>594701.88082442724</v>
      </c>
      <c r="W15" s="224">
        <v>624278.88082442724</v>
      </c>
      <c r="X15" s="226">
        <f>'C1-Incomes'!J17</f>
        <v>899520.59916999994</v>
      </c>
      <c r="Y15" s="226">
        <f>'C1-Incomes'!R17</f>
        <v>957579.59916999994</v>
      </c>
      <c r="AA15" s="261">
        <f>'T-T1a'!J$66/'T-T1a'!J20</f>
        <v>5.1334458667416882</v>
      </c>
      <c r="AC15" s="440">
        <f t="shared" si="0"/>
        <v>590269.00334624341</v>
      </c>
      <c r="AD15" s="441">
        <f t="shared" si="1"/>
        <v>2958.6441414259316</v>
      </c>
      <c r="AE15" s="441">
        <f t="shared" si="2"/>
        <v>1498.28</v>
      </c>
      <c r="AF15" s="441">
        <f t="shared" si="4"/>
        <v>4432.8773442156444</v>
      </c>
      <c r="AG15" s="441"/>
      <c r="AH15" s="441">
        <f t="shared" si="7"/>
        <v>12173.543141425936</v>
      </c>
      <c r="AI15" s="441">
        <f t="shared" si="3"/>
        <v>1498.28</v>
      </c>
      <c r="AJ15" s="441">
        <f t="shared" si="11"/>
        <v>18239.376217935653</v>
      </c>
      <c r="AK15" s="441">
        <f t="shared" si="12"/>
        <v>1886.5113750075029</v>
      </c>
      <c r="AL15" s="441">
        <f>AJ15+('T-T1'!E18+'T-T1'!L18+'T-T1'!Q18+'T-T1'!T18+'T-T1'!AH18)*0.15</f>
        <v>22965.527610444598</v>
      </c>
      <c r="AM15" s="413">
        <f>AM13+1</f>
        <v>13</v>
      </c>
      <c r="AN15" s="655" t="str">
        <f ca="1">CONCATENATE(ROUND(INDIRECT("$Ad"&amp;AM15),2)," ",ROUND(INDIRECT("$d"&amp;AM15),2)," 0.0 ",ROUND(INDIRECT("$f"&amp;AM15),2)," ",ROUND(INDIRECT("$g"&amp;AM15),2)," ",ROUND(INDIRECT("$Ae"&amp;AM15),2))</f>
        <v>5203.65 7508.99 0.0 8.65 1323.09 1293.52</v>
      </c>
      <c r="AO15" s="413"/>
      <c r="AP15" s="413"/>
      <c r="AQ15" s="413"/>
      <c r="AR15" s="413"/>
      <c r="AS15" s="413"/>
      <c r="AT15" s="413"/>
      <c r="AX15" s="655"/>
    </row>
    <row r="16" spans="1:50" ht="12" customHeight="1" x14ac:dyDescent="0.3">
      <c r="A16" s="100">
        <v>1970</v>
      </c>
      <c r="B16" s="224">
        <v>79924</v>
      </c>
      <c r="C16" s="224">
        <v>74286.993000000002</v>
      </c>
      <c r="D16" s="226">
        <f>TOTALS!AG15/1000</f>
        <v>7652.7669999999998</v>
      </c>
      <c r="E16" s="829" t="s">
        <v>50</v>
      </c>
      <c r="F16" s="226">
        <f>TOTALS!AI15/1000</f>
        <v>87.058999999999997</v>
      </c>
      <c r="G16" s="226">
        <f>TOTALS!BR15/1000/2</f>
        <v>979.17700000000002</v>
      </c>
      <c r="H16" s="226"/>
      <c r="I16" s="224">
        <f t="shared" si="8"/>
        <v>79924</v>
      </c>
      <c r="J16" s="224">
        <f t="shared" si="9"/>
        <v>65567.990000000005</v>
      </c>
      <c r="K16" s="225">
        <f t="shared" si="5"/>
        <v>0.82037923527350987</v>
      </c>
      <c r="L16" s="228">
        <f>TOTALS!BE76/1000+Q16</f>
        <v>128946.28799999999</v>
      </c>
      <c r="M16" s="225"/>
      <c r="N16" s="228"/>
      <c r="O16" s="228"/>
      <c r="P16" s="228">
        <f>TOTALS!AF76/1000</f>
        <v>181497.99100000001</v>
      </c>
      <c r="Q16" s="226">
        <f t="shared" si="6"/>
        <v>20098.41399999999</v>
      </c>
      <c r="R16" s="226">
        <f t="shared" si="10"/>
        <v>201596.405</v>
      </c>
      <c r="S16" s="224">
        <v>205050</v>
      </c>
      <c r="T16" s="225">
        <f t="shared" si="13"/>
        <v>0.9831573030968056</v>
      </c>
      <c r="U16" s="224"/>
      <c r="V16" s="226">
        <v>641252.35981373186</v>
      </c>
      <c r="W16" s="224">
        <v>659499.35981373186</v>
      </c>
      <c r="X16" s="226">
        <f>'C1-Incomes'!J18</f>
        <v>940148.70322000002</v>
      </c>
      <c r="Y16" s="226">
        <f>'C1-Incomes'!R18</f>
        <v>1010789.7032</v>
      </c>
      <c r="AA16" s="261">
        <f>'T-T1a'!J$66/'T-T1a'!J21</f>
        <v>4.9039641657334823</v>
      </c>
      <c r="AC16" s="440">
        <f t="shared" si="0"/>
        <v>632332.72615262528</v>
      </c>
      <c r="AD16" s="441">
        <f t="shared" si="1"/>
        <v>5637.0069999999978</v>
      </c>
      <c r="AE16" s="441">
        <f t="shared" si="2"/>
        <v>1582.34</v>
      </c>
      <c r="AF16" s="441">
        <f t="shared" si="4"/>
        <v>8919.6616563799962</v>
      </c>
      <c r="AG16" s="441"/>
      <c r="AH16" s="441">
        <f t="shared" si="7"/>
        <v>14356.009999999995</v>
      </c>
      <c r="AI16" s="441">
        <f t="shared" si="3"/>
        <v>1582.34</v>
      </c>
      <c r="AJ16" s="441">
        <f t="shared" si="11"/>
        <v>22716.088863399989</v>
      </c>
      <c r="AK16" s="441">
        <f t="shared" si="12"/>
        <v>1897.998590875316</v>
      </c>
      <c r="AL16" s="441">
        <f>AJ16+('T-T1'!E19+'T-T1'!L19+'T-T1'!Q19+'T-T1'!T19+'T-T1'!AH19)*0.15</f>
        <v>27247.686750591936</v>
      </c>
      <c r="AM16" s="413"/>
      <c r="AN16" s="655" t="str">
        <f ca="1">CONCATENATE("data NonFilers",INDIRECT("$A"&amp;AM17),"; input xwgt_PS xwgt_20 xwgt_dep xwgt_noNR xwgt_mfs psnfinc; cards;")</f>
        <v>data NonFilers1968; input xwgt_PS xwgt_20 xwgt_dep xwgt_noNR xwgt_mfs psnfinc; cards;</v>
      </c>
      <c r="AO16" s="413"/>
      <c r="AP16" s="413"/>
      <c r="AQ16" s="413"/>
      <c r="AR16" s="413"/>
      <c r="AS16" s="413"/>
      <c r="AT16" s="413"/>
      <c r="AX16" s="655"/>
    </row>
    <row r="17" spans="1:50" ht="12" customHeight="1" x14ac:dyDescent="0.3">
      <c r="A17" s="100">
        <v>1971</v>
      </c>
      <c r="B17" s="224">
        <v>81849.283100873465</v>
      </c>
      <c r="C17" s="224">
        <v>74576.502899126528</v>
      </c>
      <c r="D17" s="226">
        <f>TOTALS!AG16/1000</f>
        <v>7744.1310000000003</v>
      </c>
      <c r="E17" s="829" t="s">
        <v>50</v>
      </c>
      <c r="F17" s="226">
        <f>TOTALS!AI16/1000</f>
        <v>0.84399999999999997</v>
      </c>
      <c r="G17" s="226">
        <f>TOTALS!BR16/1000/2</f>
        <v>854.88649999999996</v>
      </c>
      <c r="H17" s="226"/>
      <c r="I17" s="224">
        <f t="shared" si="8"/>
        <v>81849.283100873465</v>
      </c>
      <c r="J17" s="224">
        <f t="shared" si="9"/>
        <v>65976.641399126544</v>
      </c>
      <c r="K17" s="225">
        <f t="shared" si="5"/>
        <v>0.80607476204544137</v>
      </c>
      <c r="L17" s="228">
        <f>TOTALS!BE77/1000+Q17</f>
        <v>132162.04938244569</v>
      </c>
      <c r="M17" s="225"/>
      <c r="N17" s="228"/>
      <c r="O17" s="228"/>
      <c r="P17" s="228">
        <f>TOTALS!AF77/1000</f>
        <v>186557.12400000001</v>
      </c>
      <c r="Q17" s="226">
        <f t="shared" si="6"/>
        <v>22221.698382445687</v>
      </c>
      <c r="R17" s="226">
        <f t="shared" si="10"/>
        <v>208778.82238244571</v>
      </c>
      <c r="S17" s="224">
        <v>207660</v>
      </c>
      <c r="T17" s="225">
        <f t="shared" si="13"/>
        <v>1.0053877606782515</v>
      </c>
      <c r="U17" s="224"/>
      <c r="V17" s="226">
        <v>683605.51628102292</v>
      </c>
      <c r="W17" s="224">
        <v>709905.51628102292</v>
      </c>
      <c r="X17" s="226">
        <f>'C1-Incomes'!J19</f>
        <v>1017016.3473</v>
      </c>
      <c r="Y17" s="226">
        <f>'C1-Incomes'!R19</f>
        <v>1101126.3473</v>
      </c>
      <c r="AA17" s="261">
        <f>'T-T1a'!J$66/'T-T1a'!J22</f>
        <v>4.7040044685056284</v>
      </c>
      <c r="AC17" s="440">
        <f t="shared" si="0"/>
        <v>671669.18125525012</v>
      </c>
      <c r="AD17" s="441">
        <f t="shared" si="1"/>
        <v>7272.7802017469367</v>
      </c>
      <c r="AE17" s="441">
        <f t="shared" si="2"/>
        <v>1641.23</v>
      </c>
      <c r="AF17" s="441">
        <f t="shared" si="4"/>
        <v>11936.305050513123</v>
      </c>
      <c r="AG17" s="441"/>
      <c r="AH17" s="441">
        <f t="shared" si="7"/>
        <v>15872.641701746921</v>
      </c>
      <c r="AI17" s="441">
        <f t="shared" si="3"/>
        <v>1641.23</v>
      </c>
      <c r="AJ17" s="441">
        <f t="shared" si="11"/>
        <v>26050.655740158101</v>
      </c>
      <c r="AK17" s="441">
        <f t="shared" si="12"/>
        <v>1940.5991486545161</v>
      </c>
      <c r="AL17" s="441">
        <f>AJ17+('T-T1'!E20+'T-T1'!L20+'T-T1'!Q20+'T-T1'!T20+'T-T1'!AH20)*0.15</f>
        <v>30802.434973308242</v>
      </c>
      <c r="AM17" s="413">
        <f>AM15+1</f>
        <v>14</v>
      </c>
      <c r="AN17" s="655" t="str">
        <f ca="1">CONCATENATE(ROUND(INDIRECT("$Ad"&amp;AM17),2)," ",ROUND(INDIRECT("$d"&amp;AM17),2)," 0.0 ",ROUND(INDIRECT("$f"&amp;AM17),2)," ",ROUND(INDIRECT("$g"&amp;AM17),2)," ",ROUND(INDIRECT("$Ae"&amp;AM17),2))</f>
        <v>4081.79 7912.26 0.0 4.5 1391.18 1396.12</v>
      </c>
      <c r="AO17" s="413"/>
      <c r="AP17" s="413"/>
      <c r="AQ17" s="413"/>
      <c r="AR17" s="413"/>
      <c r="AS17" s="413"/>
      <c r="AT17" s="413"/>
      <c r="AX17" s="655"/>
    </row>
    <row r="18" spans="1:50" ht="12" customHeight="1" x14ac:dyDescent="0.3">
      <c r="A18" s="100">
        <v>1972</v>
      </c>
      <c r="B18" s="224">
        <v>83669.52931419824</v>
      </c>
      <c r="C18" s="224">
        <v>77596.975685801764</v>
      </c>
      <c r="D18" s="226">
        <f>TOTALS!AG17/1000</f>
        <v>7663.335</v>
      </c>
      <c r="E18" s="829" t="s">
        <v>50</v>
      </c>
      <c r="F18" s="226">
        <f>TOTALS!AI17/1000</f>
        <v>1.9990000000000001</v>
      </c>
      <c r="G18" s="226">
        <f>TOTALS!BR17/1000/2</f>
        <v>1156.3979999999999</v>
      </c>
      <c r="H18" s="226"/>
      <c r="I18" s="224">
        <f t="shared" si="8"/>
        <v>83669.52931419824</v>
      </c>
      <c r="J18" s="224">
        <f t="shared" si="9"/>
        <v>68775.243685801761</v>
      </c>
      <c r="K18" s="225">
        <f t="shared" si="5"/>
        <v>0.82198674056758436</v>
      </c>
      <c r="L18" s="228">
        <f>TOTALS!BE78/1000+Q18</f>
        <v>133624.57287975508</v>
      </c>
      <c r="M18" s="225"/>
      <c r="N18" s="228"/>
      <c r="O18" s="228"/>
      <c r="P18" s="228">
        <f>TOTALS!AF78/1000</f>
        <v>186910.777</v>
      </c>
      <c r="Q18" s="226">
        <f t="shared" si="6"/>
        <v>20851.999879755069</v>
      </c>
      <c r="R18" s="226">
        <f t="shared" si="10"/>
        <v>207762.77687975508</v>
      </c>
      <c r="S18" s="224">
        <v>209900</v>
      </c>
      <c r="T18" s="225">
        <f t="shared" si="13"/>
        <v>0.98981789842665591</v>
      </c>
      <c r="U18" s="224"/>
      <c r="V18" s="226">
        <v>751147.6271934883</v>
      </c>
      <c r="W18" s="224">
        <v>785496.6271934883</v>
      </c>
      <c r="X18" s="226">
        <f>'C1-Incomes'!J20</f>
        <v>1122975.8569</v>
      </c>
      <c r="Y18" s="226">
        <f>'C1-Incomes'!R20</f>
        <v>1216401.8569</v>
      </c>
      <c r="AA18" s="261">
        <f>'T-T1a'!J$66/'T-T1a'!J23</f>
        <v>4.5484420440382216</v>
      </c>
      <c r="AC18" s="440">
        <f t="shared" si="0"/>
        <v>740400.2964895484</v>
      </c>
      <c r="AD18" s="441">
        <f t="shared" si="1"/>
        <v>6072.5536283964757</v>
      </c>
      <c r="AE18" s="441">
        <f t="shared" si="2"/>
        <v>1769.82</v>
      </c>
      <c r="AF18" s="441">
        <f t="shared" si="4"/>
        <v>10747.32686260865</v>
      </c>
      <c r="AG18" s="441"/>
      <c r="AH18" s="441">
        <f t="shared" si="7"/>
        <v>14894.285628396479</v>
      </c>
      <c r="AI18" s="441">
        <f t="shared" si="3"/>
        <v>1769.82</v>
      </c>
      <c r="AJ18" s="441">
        <f t="shared" si="11"/>
        <v>26360.204590848654</v>
      </c>
      <c r="AK18" s="441">
        <f t="shared" si="12"/>
        <v>2133.0398793740746</v>
      </c>
      <c r="AL18" s="441">
        <f>AJ18+('T-T1'!E21+'T-T1'!L21+'T-T1'!Q21+'T-T1'!T21+'T-T1'!AH21)*0.15</f>
        <v>31770.105220157839</v>
      </c>
      <c r="AM18" s="413"/>
      <c r="AN18" s="655" t="str">
        <f ca="1">CONCATENATE("data NonFilers",INDIRECT("$A"&amp;AM19),"; input xwgt_PS xwgt_20 xwgt_dep xwgt_noNR xwgt_mfs psnfinc; cards;")</f>
        <v>data NonFilers1969; input xwgt_PS xwgt_20 xwgt_dep xwgt_noNR xwgt_mfs psnfinc; cards;</v>
      </c>
      <c r="AO18" s="413"/>
      <c r="AP18" s="413"/>
      <c r="AQ18" s="413"/>
      <c r="AR18" s="413"/>
      <c r="AS18" s="413"/>
      <c r="AT18" s="413"/>
      <c r="AX18" s="655"/>
    </row>
    <row r="19" spans="1:50" ht="12" customHeight="1" x14ac:dyDescent="0.3">
      <c r="A19" s="100">
        <v>1973</v>
      </c>
      <c r="B19" s="224">
        <v>85441.835116484566</v>
      </c>
      <c r="C19" s="224">
        <v>80691.017883515437</v>
      </c>
      <c r="D19" s="226">
        <f>TOTALS!AG18/1000</f>
        <v>8958.3359999999993</v>
      </c>
      <c r="E19" s="829" t="s">
        <v>50</v>
      </c>
      <c r="F19" s="226">
        <f>TOTALS!AI18/1000</f>
        <v>2.4E-2</v>
      </c>
      <c r="G19" s="226">
        <f>TOTALS!BR18/1000/2</f>
        <v>1199.4255000000001</v>
      </c>
      <c r="H19" s="226"/>
      <c r="I19" s="224">
        <f t="shared" si="8"/>
        <v>85441.835116484566</v>
      </c>
      <c r="J19" s="224">
        <f t="shared" si="9"/>
        <v>70533.232383515438</v>
      </c>
      <c r="K19" s="225">
        <f t="shared" si="5"/>
        <v>0.82551167454861041</v>
      </c>
      <c r="L19" s="228">
        <f>TOTALS!BE79/1000+Q19</f>
        <v>136092.86682615679</v>
      </c>
      <c r="M19" s="225"/>
      <c r="N19" s="228"/>
      <c r="O19" s="228"/>
      <c r="P19" s="228">
        <f>TOTALS!AF79/1000</f>
        <v>190674.399</v>
      </c>
      <c r="Q19" s="226">
        <f t="shared" si="6"/>
        <v>20872.043826156776</v>
      </c>
      <c r="R19" s="226">
        <f t="shared" si="10"/>
        <v>211546.4428261568</v>
      </c>
      <c r="S19" s="224">
        <v>211910</v>
      </c>
      <c r="T19" s="225">
        <f t="shared" si="13"/>
        <v>0.99828437934102587</v>
      </c>
      <c r="U19" s="224"/>
      <c r="V19" s="224">
        <v>831698.51914472133</v>
      </c>
      <c r="W19" s="224">
        <v>865418.51914472133</v>
      </c>
      <c r="X19" s="226">
        <f>'C1-Incomes'!J21</f>
        <v>1256980.1410999999</v>
      </c>
      <c r="Y19" s="226">
        <f>'C1-Incomes'!R21</f>
        <v>1364058.1410999999</v>
      </c>
      <c r="AA19" s="261">
        <f>'T-T1a'!J$66/'T-T1a'!J24</f>
        <v>4.3157127089246297</v>
      </c>
      <c r="AC19" s="440">
        <f t="shared" si="0"/>
        <v>822551.26541033131</v>
      </c>
      <c r="AD19" s="441">
        <f t="shared" si="1"/>
        <v>4750.8172329691297</v>
      </c>
      <c r="AE19" s="441">
        <f t="shared" si="2"/>
        <v>1925.41</v>
      </c>
      <c r="AF19" s="441">
        <f t="shared" si="4"/>
        <v>9147.2710085310919</v>
      </c>
      <c r="AG19" s="441"/>
      <c r="AH19" s="441">
        <f t="shared" si="7"/>
        <v>14908.602732969128</v>
      </c>
      <c r="AI19" s="441">
        <f t="shared" si="3"/>
        <v>1925.41</v>
      </c>
      <c r="AJ19" s="441">
        <f t="shared" si="11"/>
        <v>28705.172788086089</v>
      </c>
      <c r="AK19" s="441">
        <f t="shared" si="12"/>
        <v>2388.9629886497905</v>
      </c>
      <c r="AL19" s="441">
        <f>AJ19+('T-T1'!E22+'T-T1'!L22+'T-T1'!Q22+'T-T1'!T22+'T-T1'!AH22)*0.15</f>
        <v>35616.100141546369</v>
      </c>
      <c r="AM19" s="413">
        <f>AM17+1</f>
        <v>15</v>
      </c>
      <c r="AN19" s="655" t="str">
        <f ca="1">CONCATENATE(ROUND(INDIRECT("$Ad"&amp;AM19),2)," ",ROUND(INDIRECT("$d"&amp;AM19),2)," 0.0 ",ROUND(INDIRECT("$f"&amp;AM19),2)," ",ROUND(INDIRECT("$g"&amp;AM19),2)," ",ROUND(INDIRECT("$Ae"&amp;AM19),2))</f>
        <v>2958.64 7996.74 0.0 0.46 1217.7 1498.28</v>
      </c>
      <c r="AO19" s="413"/>
      <c r="AP19" s="413"/>
      <c r="AQ19" s="413"/>
      <c r="AR19" s="413"/>
      <c r="AS19" s="413"/>
      <c r="AT19" s="413"/>
      <c r="AX19" s="655"/>
    </row>
    <row r="20" spans="1:50" ht="12" customHeight="1" x14ac:dyDescent="0.3">
      <c r="A20" s="100">
        <v>1974</v>
      </c>
      <c r="B20" s="224">
        <v>87227.731585466507</v>
      </c>
      <c r="C20" s="224">
        <v>83382.378414533494</v>
      </c>
      <c r="D20" s="226">
        <f>TOTALS!AG19/1000</f>
        <v>9350.116</v>
      </c>
      <c r="E20" s="829" t="s">
        <v>50</v>
      </c>
      <c r="F20" s="226">
        <f>TOTALS!AI19/1000</f>
        <v>124.41200000000001</v>
      </c>
      <c r="G20" s="226">
        <f>TOTALS!BR19/1000/2</f>
        <v>1020.1135</v>
      </c>
      <c r="H20" s="226"/>
      <c r="I20" s="224">
        <f t="shared" si="8"/>
        <v>87227.731585466507</v>
      </c>
      <c r="J20" s="224">
        <f t="shared" si="9"/>
        <v>72887.736914533496</v>
      </c>
      <c r="K20" s="225">
        <f t="shared" si="5"/>
        <v>0.83560280188092984</v>
      </c>
      <c r="L20" s="228">
        <f>TOTALS!BE80/1000+Q20</f>
        <v>137996.37353930622</v>
      </c>
      <c r="M20" s="225"/>
      <c r="N20" s="228"/>
      <c r="O20" s="228"/>
      <c r="P20" s="228">
        <f>TOTALS!AF80/1000</f>
        <v>194562.83100000001</v>
      </c>
      <c r="Q20" s="226">
        <f t="shared" si="6"/>
        <v>20075.992539306215</v>
      </c>
      <c r="R20" s="226">
        <f t="shared" si="10"/>
        <v>214638.82353930624</v>
      </c>
      <c r="S20" s="224">
        <v>213850</v>
      </c>
      <c r="T20" s="225">
        <f t="shared" si="13"/>
        <v>1.0036886768263094</v>
      </c>
      <c r="U20" s="224"/>
      <c r="V20" s="224">
        <v>914549.7312577907</v>
      </c>
      <c r="W20" s="224">
        <v>941900.7312577907</v>
      </c>
      <c r="X20" s="226">
        <f>'C1-Incomes'!J22</f>
        <v>1350769.412</v>
      </c>
      <c r="Y20" s="226">
        <f>'C1-Incomes'!R22</f>
        <v>1477521.412</v>
      </c>
      <c r="AA20" s="261">
        <f>'T-T1a'!J$66/'T-T1a'!J25</f>
        <v>3.908779320932557</v>
      </c>
      <c r="AC20" s="440">
        <f t="shared" si="0"/>
        <v>906556.78919544234</v>
      </c>
      <c r="AD20" s="441">
        <f t="shared" si="1"/>
        <v>3845.3531709330127</v>
      </c>
      <c r="AE20" s="441">
        <f t="shared" si="2"/>
        <v>2078.6</v>
      </c>
      <c r="AF20" s="441">
        <f t="shared" si="4"/>
        <v>7992.9511011013601</v>
      </c>
      <c r="AG20" s="441"/>
      <c r="AH20" s="441">
        <f t="shared" si="7"/>
        <v>14339.994670933011</v>
      </c>
      <c r="AI20" s="441">
        <f t="shared" si="3"/>
        <v>2078.6</v>
      </c>
      <c r="AJ20" s="441">
        <f t="shared" si="11"/>
        <v>29807.112923001358</v>
      </c>
      <c r="AK20" s="441">
        <f t="shared" si="12"/>
        <v>2560.7311471239559</v>
      </c>
      <c r="AL20" s="441">
        <f>AJ20+('T-T1'!E23+'T-T1'!L23+'T-T1'!Q23+'T-T1'!T23+'T-T1'!AH23)*0.15</f>
        <v>36720.871003449698</v>
      </c>
      <c r="AM20" s="413"/>
      <c r="AN20" s="655" t="str">
        <f ca="1">CONCATENATE("data NonFilers",INDIRECT("$A"&amp;AM21),"; input xwgt_PS xwgt_20 xwgt_dep xwgt_noNR xwgt_mfs psnfinc; cards;")</f>
        <v>data NonFilers1970; input xwgt_PS xwgt_20 xwgt_dep xwgt_noNR xwgt_mfs psnfinc; cards;</v>
      </c>
      <c r="AO20" s="413"/>
      <c r="AP20" s="413"/>
      <c r="AQ20" s="413"/>
      <c r="AR20" s="413"/>
      <c r="AS20" s="413"/>
      <c r="AT20" s="413"/>
      <c r="AX20" s="655"/>
    </row>
    <row r="21" spans="1:50" ht="12" customHeight="1" x14ac:dyDescent="0.3">
      <c r="A21" s="100">
        <v>1975</v>
      </c>
      <c r="B21" s="224">
        <v>89127.466196003021</v>
      </c>
      <c r="C21" s="224">
        <v>82229.127803996977</v>
      </c>
      <c r="D21" s="226">
        <f>TOTALS!AG20/1000</f>
        <v>9432.1959999999999</v>
      </c>
      <c r="E21" s="829" t="s">
        <v>50</v>
      </c>
      <c r="F21" s="226">
        <f>TOTALS!AI20/1000</f>
        <v>1E-3</v>
      </c>
      <c r="G21" s="226">
        <f>TOTALS!BR20/1000/2</f>
        <v>848.97299999999996</v>
      </c>
      <c r="H21" s="226"/>
      <c r="I21" s="224">
        <f t="shared" si="8"/>
        <v>89127.466196003021</v>
      </c>
      <c r="J21" s="224">
        <f t="shared" si="9"/>
        <v>71947.957803996978</v>
      </c>
      <c r="K21" s="225">
        <f t="shared" si="5"/>
        <v>0.80724787626940897</v>
      </c>
      <c r="L21" s="228">
        <f>TOTALS!BE81/1000+Q21</f>
        <v>140725.59574880847</v>
      </c>
      <c r="M21" s="225"/>
      <c r="N21" s="228"/>
      <c r="O21" s="228"/>
      <c r="P21" s="228">
        <f>TOTALS!AF81/1000</f>
        <v>190518.39499999999</v>
      </c>
      <c r="Q21" s="226">
        <f t="shared" si="6"/>
        <v>24051.311748808457</v>
      </c>
      <c r="R21" s="226">
        <f t="shared" si="10"/>
        <v>214569.70674880844</v>
      </c>
      <c r="S21" s="224">
        <v>215970</v>
      </c>
      <c r="T21" s="225">
        <f t="shared" si="13"/>
        <v>0.99351626035471796</v>
      </c>
      <c r="U21" s="224"/>
      <c r="V21" s="224">
        <v>965991.37443402468</v>
      </c>
      <c r="W21" s="224">
        <v>994271.37443402468</v>
      </c>
      <c r="X21" s="226">
        <f>'C1-Incomes'!J23</f>
        <v>1451147.608</v>
      </c>
      <c r="Y21" s="226">
        <f>'C1-Incomes'!R23</f>
        <v>1612363.608</v>
      </c>
      <c r="AA21" s="261">
        <f>'T-T1a'!J$66/'T-T1a'!J26</f>
        <v>3.6075194411493343</v>
      </c>
      <c r="AC21" s="440">
        <f t="shared" si="0"/>
        <v>951266.04815454688</v>
      </c>
      <c r="AD21" s="441">
        <f t="shared" si="1"/>
        <v>6898.3383920060442</v>
      </c>
      <c r="AE21" s="441">
        <f t="shared" si="2"/>
        <v>2134.62</v>
      </c>
      <c r="AF21" s="441">
        <f t="shared" si="4"/>
        <v>14725.331098343941</v>
      </c>
      <c r="AG21" s="441"/>
      <c r="AH21" s="441">
        <f t="shared" si="7"/>
        <v>17179.508392006042</v>
      </c>
      <c r="AI21" s="441">
        <f t="shared" si="3"/>
        <v>2134.62</v>
      </c>
      <c r="AJ21" s="441">
        <f t="shared" si="11"/>
        <v>36671.722203743935</v>
      </c>
      <c r="AK21" s="441">
        <f t="shared" si="12"/>
        <v>2546.953586523879</v>
      </c>
      <c r="AL21" s="441">
        <f>AJ21+('T-T1'!E24+'T-T1'!L24+'T-T1'!Q24+'T-T1'!T24+'T-T1'!AH24)*0.15</f>
        <v>43755.410513736868</v>
      </c>
      <c r="AM21" s="413">
        <f>AM19+1</f>
        <v>16</v>
      </c>
      <c r="AN21" s="655" t="str">
        <f ca="1">CONCATENATE(ROUND(INDIRECT("$Ad"&amp;AM21),2)," ",ROUND(INDIRECT("$d"&amp;AM21),2)," 0.0 ",ROUND(INDIRECT("$f"&amp;AM21),2)," ",ROUND(INDIRECT("$g"&amp;AM21),2)," ",ROUND(INDIRECT("$Ae"&amp;AM21),2))</f>
        <v>5637.01 7652.77 0.0 87.06 979.18 1582.34</v>
      </c>
      <c r="AO21" s="413"/>
      <c r="AP21" s="413"/>
      <c r="AQ21" s="413"/>
      <c r="AR21" s="413"/>
      <c r="AS21" s="413"/>
      <c r="AT21" s="413"/>
      <c r="AX21" s="655"/>
    </row>
    <row r="22" spans="1:50" ht="12" customHeight="1" x14ac:dyDescent="0.3">
      <c r="A22" s="100">
        <v>1976</v>
      </c>
      <c r="B22" s="224">
        <v>91048.45550544768</v>
      </c>
      <c r="C22" s="224">
        <v>84670.377344552311</v>
      </c>
      <c r="D22" s="226">
        <f>TOTALS!AG21/1000</f>
        <v>9929.3039100000005</v>
      </c>
      <c r="E22" s="829" t="s">
        <v>50</v>
      </c>
      <c r="F22" s="226">
        <f>TOTALS!AI21/1000</f>
        <v>135.83129</v>
      </c>
      <c r="G22" s="226">
        <f>TOTALS!BR21/1000/2</f>
        <v>889.85467500000004</v>
      </c>
      <c r="H22" s="226"/>
      <c r="I22" s="224">
        <f t="shared" si="8"/>
        <v>91048.45550544768</v>
      </c>
      <c r="J22" s="224">
        <f t="shared" si="9"/>
        <v>73715.387469552312</v>
      </c>
      <c r="K22" s="225">
        <f t="shared" si="5"/>
        <v>0.80962809374774858</v>
      </c>
      <c r="L22" s="228">
        <f>TOTALS!BE82/1000+Q22</f>
        <v>143211.92966025352</v>
      </c>
      <c r="M22" s="225"/>
      <c r="N22" s="228"/>
      <c r="O22" s="228"/>
      <c r="P22" s="228">
        <f>TOTALS!AF82/1000</f>
        <v>193074.88787000001</v>
      </c>
      <c r="Q22" s="226">
        <f t="shared" si="6"/>
        <v>24266.295250253515</v>
      </c>
      <c r="R22" s="226">
        <f t="shared" si="10"/>
        <v>217341.18312025352</v>
      </c>
      <c r="S22" s="224">
        <v>218040</v>
      </c>
      <c r="T22" s="225">
        <f t="shared" si="13"/>
        <v>0.99679500605509785</v>
      </c>
      <c r="U22" s="224"/>
      <c r="V22" s="224">
        <v>1068764.5899609402</v>
      </c>
      <c r="W22" s="224">
        <v>1106043.5899609402</v>
      </c>
      <c r="X22" s="226">
        <f>'C1-Incomes'!J24</f>
        <v>1614768.9053</v>
      </c>
      <c r="Y22" s="226">
        <f>'C1-Incomes'!R24</f>
        <v>1790351.9053</v>
      </c>
      <c r="AA22" s="261">
        <f>'T-T1a'!J$66/'T-T1a'!J27</f>
        <v>3.4198919189079438</v>
      </c>
      <c r="AC22" s="440">
        <f t="shared" si="0"/>
        <v>1053997.7712832703</v>
      </c>
      <c r="AD22" s="441">
        <f t="shared" si="1"/>
        <v>6378.0781608953694</v>
      </c>
      <c r="AE22" s="441">
        <f t="shared" si="2"/>
        <v>2315.25</v>
      </c>
      <c r="AF22" s="441">
        <f t="shared" si="4"/>
        <v>14766.845462013005</v>
      </c>
      <c r="AG22" s="441"/>
      <c r="AH22" s="441">
        <f t="shared" si="7"/>
        <v>17333.068035895369</v>
      </c>
      <c r="AI22" s="441">
        <f t="shared" si="3"/>
        <v>2315.25</v>
      </c>
      <c r="AJ22" s="441">
        <f t="shared" si="11"/>
        <v>40130.385770106754</v>
      </c>
      <c r="AK22" s="441">
        <f t="shared" si="12"/>
        <v>2738.8127795865621</v>
      </c>
      <c r="AL22" s="441">
        <f>AJ22+('T-T1'!E25+'T-T1'!L25+'T-T1'!Q25+'T-T1'!T25+'T-T1'!AH25)*0.15</f>
        <v>47472.02824615359</v>
      </c>
      <c r="AM22" s="413"/>
      <c r="AN22" s="655" t="str">
        <f ca="1">CONCATENATE("data NonFilers",INDIRECT("$A"&amp;AM23),"; input xwgt_PS xwgt_20 xwgt_dep xwgt_noNR xwgt_mfs psnfinc; cards;")</f>
        <v>data NonFilers1971; input xwgt_PS xwgt_20 xwgt_dep xwgt_noNR xwgt_mfs psnfinc; cards;</v>
      </c>
      <c r="AO22" s="413"/>
      <c r="AP22" s="413"/>
      <c r="AQ22" s="413"/>
      <c r="AR22" s="413"/>
      <c r="AS22" s="413"/>
      <c r="AT22" s="413"/>
      <c r="AX22" s="655"/>
    </row>
    <row r="23" spans="1:50" ht="12" customHeight="1" x14ac:dyDescent="0.3">
      <c r="A23" s="100">
        <v>1977</v>
      </c>
      <c r="B23" s="224">
        <v>93075.821147921553</v>
      </c>
      <c r="C23" s="224">
        <v>86634.303592078446</v>
      </c>
      <c r="D23" s="226">
        <f>TOTALS!AG22/1000</f>
        <v>10124.928519999999</v>
      </c>
      <c r="E23" s="829" t="s">
        <v>50</v>
      </c>
      <c r="F23" s="226">
        <f>TOTALS!AI22/1000</f>
        <v>105.51886</v>
      </c>
      <c r="G23" s="226">
        <f>TOTALS!BR22/1000/2</f>
        <v>600.04912999999999</v>
      </c>
      <c r="H23" s="226"/>
      <c r="I23" s="224">
        <f t="shared" si="8"/>
        <v>93075.821147921553</v>
      </c>
      <c r="J23" s="224">
        <f t="shared" si="9"/>
        <v>75803.807082078449</v>
      </c>
      <c r="K23" s="225">
        <f t="shared" si="5"/>
        <v>0.8144307097931115</v>
      </c>
      <c r="L23" s="228">
        <f>TOTALS!BE83/1000+Q23</f>
        <v>144529.70587218035</v>
      </c>
      <c r="M23" s="225"/>
      <c r="N23" s="228"/>
      <c r="O23" s="228"/>
      <c r="P23" s="228">
        <f>TOTALS!AF83/1000</f>
        <v>192307.74812</v>
      </c>
      <c r="Q23" s="226">
        <f t="shared" si="6"/>
        <v>24180.819692180346</v>
      </c>
      <c r="R23" s="226">
        <f t="shared" si="10"/>
        <v>216488.56781218035</v>
      </c>
      <c r="S23" s="224">
        <v>220240</v>
      </c>
      <c r="T23" s="225">
        <f t="shared" si="13"/>
        <v>0.98296661738185775</v>
      </c>
      <c r="U23" s="224"/>
      <c r="V23" s="224">
        <v>1175139.9017697203</v>
      </c>
      <c r="W23" s="224">
        <v>1217277.9017697203</v>
      </c>
      <c r="X23" s="226">
        <f>'C1-Incomes'!J25</f>
        <v>1798653.4867</v>
      </c>
      <c r="Y23" s="226">
        <f>'C1-Incomes'!R25</f>
        <v>1985888.4867</v>
      </c>
      <c r="AA23" s="261">
        <f>'T-T1a'!J$66/'T-T1a'!J28</f>
        <v>3.2114341028423921</v>
      </c>
      <c r="AC23" s="440">
        <f t="shared" si="0"/>
        <v>1159096.3378937908</v>
      </c>
      <c r="AD23" s="441">
        <f t="shared" si="1"/>
        <v>6441.5175558431074</v>
      </c>
      <c r="AE23" s="441">
        <f t="shared" si="2"/>
        <v>2490.65</v>
      </c>
      <c r="AF23" s="441">
        <f t="shared" si="4"/>
        <v>16043.565700460635</v>
      </c>
      <c r="AG23" s="441"/>
      <c r="AH23" s="441">
        <f t="shared" si="7"/>
        <v>17272.014065843105</v>
      </c>
      <c r="AI23" s="441">
        <f t="shared" si="3"/>
        <v>2490.65</v>
      </c>
      <c r="AJ23" s="441">
        <f t="shared" si="11"/>
        <v>43018.541833092131</v>
      </c>
      <c r="AK23" s="441">
        <f t="shared" si="12"/>
        <v>3069.2563376347593</v>
      </c>
      <c r="AL23" s="441">
        <f>AJ23+('T-T1'!E26+'T-T1'!L26+'T-T1'!Q26+'T-T1'!T26+'T-T1'!AH26)*0.15</f>
        <v>53012.238635305657</v>
      </c>
      <c r="AM23" s="413">
        <f>AM21+1</f>
        <v>17</v>
      </c>
      <c r="AN23" s="655" t="str">
        <f ca="1">CONCATENATE(ROUND(INDIRECT("$Ad"&amp;AM23),2)," ",ROUND(INDIRECT("$d"&amp;AM23),2)," 0.0 ",ROUND(INDIRECT("$f"&amp;AM23),2)," ",ROUND(INDIRECT("$g"&amp;AM23),2)," ",ROUND(INDIRECT("$Ae"&amp;AM23),2))</f>
        <v>7272.78 7744.13 0.0 0.84 854.89 1641.23</v>
      </c>
      <c r="AO23" s="413"/>
      <c r="AP23" s="413"/>
      <c r="AQ23" s="413"/>
      <c r="AR23" s="413"/>
      <c r="AS23" s="413"/>
      <c r="AT23" s="413"/>
      <c r="AX23" s="655"/>
    </row>
    <row r="24" spans="1:50" ht="12" customHeight="1" x14ac:dyDescent="0.3">
      <c r="A24" s="100">
        <v>1978</v>
      </c>
      <c r="B24" s="224">
        <v>95212.836116289182</v>
      </c>
      <c r="C24" s="224">
        <v>89771.251043710814</v>
      </c>
      <c r="D24" s="226">
        <f>TOTALS!AG23/1000</f>
        <v>10911.81508</v>
      </c>
      <c r="E24" s="829" t="s">
        <v>50</v>
      </c>
      <c r="F24" s="226">
        <f>TOTALS!AI23/1000</f>
        <v>123.78017</v>
      </c>
      <c r="G24" s="226">
        <f>TOTALS!BR23/1000/2</f>
        <v>723.9810500000001</v>
      </c>
      <c r="H24" s="226"/>
      <c r="I24" s="224">
        <f t="shared" si="8"/>
        <v>95212.836116289182</v>
      </c>
      <c r="J24" s="224">
        <f t="shared" si="9"/>
        <v>78011.674743710813</v>
      </c>
      <c r="K24" s="225">
        <f t="shared" si="5"/>
        <v>0.81933989077303027</v>
      </c>
      <c r="L24" s="228">
        <f>TOTALS!BE84/1000+Q24</f>
        <v>147229.08493160972</v>
      </c>
      <c r="M24" s="225"/>
      <c r="N24" s="228"/>
      <c r="O24" s="228"/>
      <c r="P24" s="228">
        <f>TOTALS!AF84/1000</f>
        <v>195508.70288999999</v>
      </c>
      <c r="Q24" s="226">
        <f t="shared" si="6"/>
        <v>24081.625921609713</v>
      </c>
      <c r="R24" s="226">
        <f t="shared" si="10"/>
        <v>219590.32881160971</v>
      </c>
      <c r="S24" s="224">
        <v>222580</v>
      </c>
      <c r="T24" s="225">
        <f t="shared" si="13"/>
        <v>0.98656810500318859</v>
      </c>
      <c r="U24" s="224"/>
      <c r="V24" s="224">
        <v>1317571.0106087574</v>
      </c>
      <c r="W24" s="224">
        <v>1365290.0106087574</v>
      </c>
      <c r="X24" s="226">
        <f>'C1-Incomes'!J26</f>
        <v>2029937.6701</v>
      </c>
      <c r="Y24" s="226">
        <f>'C1-Incomes'!R26</f>
        <v>2230894.6701000002</v>
      </c>
      <c r="AA24" s="261">
        <f>'T-T1a'!J$66/'T-T1a'!J29</f>
        <v>3.0012061734148414</v>
      </c>
      <c r="AC24" s="440">
        <f t="shared" si="0"/>
        <v>1302680.898683198</v>
      </c>
      <c r="AD24" s="441">
        <f t="shared" si="1"/>
        <v>5441.5850725783675</v>
      </c>
      <c r="AE24" s="441">
        <f t="shared" si="2"/>
        <v>2736.36</v>
      </c>
      <c r="AF24" s="441">
        <f t="shared" si="4"/>
        <v>14890.135729200541</v>
      </c>
      <c r="AG24" s="441"/>
      <c r="AH24" s="441">
        <f t="shared" si="7"/>
        <v>17201.161372578368</v>
      </c>
      <c r="AI24" s="441">
        <f t="shared" si="3"/>
        <v>2736.36</v>
      </c>
      <c r="AJ24" s="441">
        <f t="shared" si="11"/>
        <v>47068.569933468541</v>
      </c>
      <c r="AK24" s="441">
        <f t="shared" si="12"/>
        <v>3438.7218632014456</v>
      </c>
      <c r="AL24" s="441">
        <f>AJ24+('T-T1'!E27+'T-T1'!L27+'T-T1'!Q27+'T-T1'!T27+'T-T1'!AH27)*0.15</f>
        <v>59150.009684341421</v>
      </c>
      <c r="AM24" s="413"/>
      <c r="AN24" s="655" t="str">
        <f ca="1">CONCATENATE("data NonFilers",INDIRECT("$A"&amp;AM25),"; input xwgt_PS xwgt_20 xwgt_dep xwgt_noNR xwgt_mfs psnfinc; cards;")</f>
        <v>data NonFilers1972; input xwgt_PS xwgt_20 xwgt_dep xwgt_noNR xwgt_mfs psnfinc; cards;</v>
      </c>
      <c r="AO24" s="413"/>
      <c r="AP24" s="413"/>
      <c r="AQ24" s="413"/>
      <c r="AR24" s="413"/>
      <c r="AS24" s="413"/>
      <c r="AT24" s="413"/>
      <c r="AX24" s="655"/>
    </row>
    <row r="25" spans="1:50" ht="12" customHeight="1" x14ac:dyDescent="0.3">
      <c r="A25" s="100">
        <v>1979</v>
      </c>
      <c r="B25" s="224">
        <v>97457.045574318821</v>
      </c>
      <c r="C25" s="224">
        <v>92658.467315681177</v>
      </c>
      <c r="D25" s="226">
        <f>TOTALS!AG24/1000</f>
        <v>11684.56063</v>
      </c>
      <c r="E25" s="829" t="s">
        <v>50</v>
      </c>
      <c r="F25" s="226">
        <f>TOTALS!AI24/1000</f>
        <v>424.01627000000002</v>
      </c>
      <c r="G25" s="226">
        <f>TOTALS!BR24/1000/2</f>
        <v>821.38821999999993</v>
      </c>
      <c r="H25" s="226"/>
      <c r="I25" s="224">
        <f t="shared" si="8"/>
        <v>97457.045574318821</v>
      </c>
      <c r="J25" s="224">
        <f t="shared" si="9"/>
        <v>79728.502195681183</v>
      </c>
      <c r="K25" s="225">
        <f t="shared" si="5"/>
        <v>0.81808864331806364</v>
      </c>
      <c r="L25" s="228">
        <f>TOTALS!BE85/1000+Q25</f>
        <v>149617.0198600927</v>
      </c>
      <c r="M25" s="225"/>
      <c r="N25" s="228"/>
      <c r="O25" s="228"/>
      <c r="P25" s="228">
        <f>TOTALS!AF85/1000</f>
        <v>199259.26431</v>
      </c>
      <c r="Q25" s="226">
        <f t="shared" si="6"/>
        <v>24819.960730092691</v>
      </c>
      <c r="R25" s="226">
        <f t="shared" si="10"/>
        <v>224079.22504009269</v>
      </c>
      <c r="S25" s="224">
        <v>225060</v>
      </c>
      <c r="T25" s="225">
        <f t="shared" si="13"/>
        <v>0.99564216226825153</v>
      </c>
      <c r="U25" s="224"/>
      <c r="V25" s="224">
        <v>1476334.0561135008</v>
      </c>
      <c r="W25" s="224">
        <v>1548415.0561135008</v>
      </c>
      <c r="X25" s="226">
        <f>'C1-Incomes'!J27</f>
        <v>2248152.8843</v>
      </c>
      <c r="Y25" s="226">
        <f>'C1-Incomes'!R27</f>
        <v>2472767.8843</v>
      </c>
      <c r="AA25" s="261">
        <f>'T-T1a'!J$66/'T-T1a'!J30</f>
        <v>2.7567356599687769</v>
      </c>
      <c r="AC25" s="440">
        <f t="shared" si="0"/>
        <v>1461937.5154919676</v>
      </c>
      <c r="AD25" s="441">
        <f t="shared" si="1"/>
        <v>4798.5782586376445</v>
      </c>
      <c r="AE25" s="441">
        <f t="shared" si="2"/>
        <v>3000.17</v>
      </c>
      <c r="AF25" s="441">
        <f t="shared" si="4"/>
        <v>14396.550534216902</v>
      </c>
      <c r="AG25" s="441"/>
      <c r="AH25" s="441">
        <f t="shared" si="7"/>
        <v>17728.543378637638</v>
      </c>
      <c r="AI25" s="441">
        <f t="shared" si="3"/>
        <v>3000.17</v>
      </c>
      <c r="AJ25" s="441">
        <f t="shared" si="11"/>
        <v>53188.643988287287</v>
      </c>
      <c r="AK25" s="441">
        <f t="shared" si="12"/>
        <v>3698.8326341267548</v>
      </c>
      <c r="AL25" s="441">
        <f>AJ25+('T-T1'!E28+'T-T1'!L28+'T-T1'!Q28+'T-T1'!T28+'T-T1'!AH28)*0.15</f>
        <v>65574.914804436688</v>
      </c>
      <c r="AM25" s="413">
        <f>AM23+1</f>
        <v>18</v>
      </c>
      <c r="AN25" s="655" t="str">
        <f ca="1">CONCATENATE(ROUND(INDIRECT("$Ad"&amp;AM25),2)," ",ROUND(INDIRECT("$d"&amp;AM25),2)," 0.0 ",ROUND(INDIRECT("$f"&amp;AM25),2)," ",ROUND(INDIRECT("$g"&amp;AM25),2)," ",ROUND(INDIRECT("$Ae"&amp;AM25),2))</f>
        <v>6072.55 7663.34 0.0 2 1156.4 1769.82</v>
      </c>
      <c r="AO25" s="413"/>
      <c r="AP25" s="413"/>
      <c r="AQ25" s="413"/>
      <c r="AR25" s="413"/>
      <c r="AS25" s="413"/>
      <c r="AT25" s="413"/>
      <c r="AX25" s="655"/>
    </row>
    <row r="26" spans="1:50" ht="12" customHeight="1" x14ac:dyDescent="0.3">
      <c r="A26" s="100">
        <v>1980</v>
      </c>
      <c r="B26" s="224">
        <v>99625</v>
      </c>
      <c r="C26" s="224">
        <v>93902.125169999999</v>
      </c>
      <c r="D26" s="226">
        <f>TOTALS!AG25/1000</f>
        <v>10963.276800000001</v>
      </c>
      <c r="E26" s="829" t="s">
        <v>50</v>
      </c>
      <c r="F26" s="226">
        <f>TOTALS!AI25/1000</f>
        <v>279.46429000000001</v>
      </c>
      <c r="G26" s="226">
        <f>TOTALS!BR25/1000/2</f>
        <v>814.38370499999996</v>
      </c>
      <c r="H26" s="226"/>
      <c r="I26" s="224">
        <f t="shared" si="8"/>
        <v>99625</v>
      </c>
      <c r="J26" s="224">
        <f t="shared" si="9"/>
        <v>81845.000374999989</v>
      </c>
      <c r="K26" s="225">
        <f t="shared" si="5"/>
        <v>0.82153074404015047</v>
      </c>
      <c r="L26" s="228">
        <f>TOTALS!BE86/1000+Q26</f>
        <v>152263.56648500002</v>
      </c>
      <c r="M26" s="225"/>
      <c r="N26" s="228"/>
      <c r="O26" s="228"/>
      <c r="P26" s="228">
        <f>TOTALS!AF86/1000</f>
        <v>203265.48362000001</v>
      </c>
      <c r="Q26" s="226">
        <f t="shared" si="6"/>
        <v>24891.999475000015</v>
      </c>
      <c r="R26" s="226">
        <f t="shared" si="10"/>
        <v>228157.48309500003</v>
      </c>
      <c r="S26" s="224">
        <v>227220</v>
      </c>
      <c r="T26" s="225">
        <f t="shared" si="13"/>
        <v>1.004125882822815</v>
      </c>
      <c r="U26" s="224"/>
      <c r="V26" s="224">
        <v>1631791.7179166269</v>
      </c>
      <c r="W26" s="224">
        <v>1706017.7179166269</v>
      </c>
      <c r="X26" s="226">
        <f>'C1-Incomes'!J28</f>
        <v>2426754.0954999998</v>
      </c>
      <c r="Y26" s="226">
        <f>'C1-Incomes'!R28</f>
        <v>2695241.0954999998</v>
      </c>
      <c r="AA26" s="261">
        <f>'T-T1a'!J$66/'T-T1a'!J31</f>
        <v>2.4894492700895898</v>
      </c>
      <c r="AC26" s="440">
        <f t="shared" si="0"/>
        <v>1613257.27485002</v>
      </c>
      <c r="AD26" s="441">
        <f t="shared" si="1"/>
        <v>5722.8748300000007</v>
      </c>
      <c r="AE26" s="441">
        <f t="shared" si="2"/>
        <v>3238.66</v>
      </c>
      <c r="AF26" s="441">
        <f t="shared" si="4"/>
        <v>18534.445796927801</v>
      </c>
      <c r="AG26" s="441"/>
      <c r="AH26" s="441">
        <f t="shared" si="7"/>
        <v>17779.999625000011</v>
      </c>
      <c r="AI26" s="441">
        <f t="shared" si="3"/>
        <v>3238.66</v>
      </c>
      <c r="AJ26" s="441">
        <f t="shared" si="11"/>
        <v>57583.373585502537</v>
      </c>
      <c r="AK26" s="441">
        <f t="shared" si="12"/>
        <v>3898.1030453230369</v>
      </c>
      <c r="AL26" s="441">
        <f>AJ26+('T-T1'!E29+'T-T1'!L29+'T-T1'!Q29+'T-T1'!T29+'T-T1'!AH29)*0.15</f>
        <v>69308.270684054994</v>
      </c>
      <c r="AM26" s="413"/>
      <c r="AN26" s="655" t="str">
        <f ca="1">CONCATENATE("data NonFilers",INDIRECT("$A"&amp;AM27),"; input xwgt_PS xwgt_20 xwgt_dep xwgt_noNR xwgt_mfs psnfinc; cards;")</f>
        <v>data NonFilers1973; input xwgt_PS xwgt_20 xwgt_dep xwgt_noNR xwgt_mfs psnfinc; cards;</v>
      </c>
      <c r="AO26" s="413"/>
      <c r="AP26" s="413"/>
      <c r="AQ26" s="413"/>
      <c r="AR26" s="413"/>
      <c r="AS26" s="413"/>
      <c r="AT26" s="413"/>
      <c r="AX26" s="655"/>
    </row>
    <row r="27" spans="1:50" ht="12" customHeight="1" x14ac:dyDescent="0.3">
      <c r="A27" s="100">
        <v>1981</v>
      </c>
      <c r="B27" s="224">
        <v>101432.20736241926</v>
      </c>
      <c r="C27" s="224">
        <v>95379.789367580743</v>
      </c>
      <c r="D27" s="226">
        <f>TOTALS!AG26/1000</f>
        <v>10263.38139</v>
      </c>
      <c r="E27" s="829" t="s">
        <v>50</v>
      </c>
      <c r="F27" s="226">
        <f>TOTALS!AI26/1000</f>
        <v>598.82990000000007</v>
      </c>
      <c r="G27" s="226">
        <f>TOTALS!BR26/1000/2</f>
        <v>719.95822999999996</v>
      </c>
      <c r="H27" s="226"/>
      <c r="I27" s="224">
        <f t="shared" si="8"/>
        <v>101432.20736241926</v>
      </c>
      <c r="J27" s="224">
        <f t="shared" si="9"/>
        <v>83797.619847580747</v>
      </c>
      <c r="K27" s="225">
        <f t="shared" si="5"/>
        <v>0.82614410182527342</v>
      </c>
      <c r="L27" s="228">
        <f>TOTALS!BE87/1000+Q27</f>
        <v>154240.16583077391</v>
      </c>
      <c r="M27" s="225"/>
      <c r="N27" s="228"/>
      <c r="O27" s="228"/>
      <c r="P27" s="228">
        <f>TOTALS!AF87/1000</f>
        <v>205142.16443999999</v>
      </c>
      <c r="Q27" s="226">
        <f t="shared" si="6"/>
        <v>24688.422520773911</v>
      </c>
      <c r="R27" s="226">
        <f t="shared" si="10"/>
        <v>229830.58696077392</v>
      </c>
      <c r="S27" s="224">
        <v>229470</v>
      </c>
      <c r="T27" s="225">
        <f t="shared" si="13"/>
        <v>1.0015713904247785</v>
      </c>
      <c r="U27" s="224"/>
      <c r="V27" s="224">
        <v>1803844.9417724272</v>
      </c>
      <c r="W27" s="224">
        <v>1881124.4417724272</v>
      </c>
      <c r="X27" s="226">
        <f>'C1-Incomes'!J29</f>
        <v>2722132.7376000001</v>
      </c>
      <c r="Y27" s="226">
        <f>'C1-Incomes'!R29</f>
        <v>3026219.7379000001</v>
      </c>
      <c r="AA27" s="261">
        <f>'T-T1a'!J$66/'T-T1a'!J32</f>
        <v>2.2852341988811888</v>
      </c>
      <c r="AC27" s="440">
        <f t="shared" si="0"/>
        <v>1782571.8759881544</v>
      </c>
      <c r="AD27" s="441">
        <f t="shared" si="1"/>
        <v>6052.4179948385136</v>
      </c>
      <c r="AE27" s="441">
        <f t="shared" si="2"/>
        <v>3514.8</v>
      </c>
      <c r="AF27" s="441">
        <f t="shared" si="4"/>
        <v>21273.038768258408</v>
      </c>
      <c r="AG27" s="441"/>
      <c r="AH27" s="441">
        <f t="shared" si="7"/>
        <v>17634.587514838509</v>
      </c>
      <c r="AI27" s="441">
        <f t="shared" si="3"/>
        <v>3514.8</v>
      </c>
      <c r="AJ27" s="441">
        <f t="shared" si="11"/>
        <v>61982.048197154392</v>
      </c>
      <c r="AK27" s="441">
        <f t="shared" si="12"/>
        <v>4525.2617449072595</v>
      </c>
      <c r="AL27" s="441">
        <f>AJ27+('T-T1'!E30+'T-T1'!L30+'T-T1'!Q30+'T-T1'!T30+'T-T1'!AH30)*0.15</f>
        <v>79801.124268117885</v>
      </c>
      <c r="AM27" s="413">
        <f>AM25+1</f>
        <v>19</v>
      </c>
      <c r="AN27" s="655" t="str">
        <f ca="1">CONCATENATE(ROUND(INDIRECT("$Ad"&amp;AM27),2)," ",ROUND(INDIRECT("$d"&amp;AM27),2)," 0.0 ",ROUND(INDIRECT("$f"&amp;AM27),2)," ",ROUND(INDIRECT("$g"&amp;AM27),2)," ",ROUND(INDIRECT("$Ae"&amp;AM27),2))</f>
        <v>4750.82 8958.34 0.0 0.02 1199.43 1925.41</v>
      </c>
      <c r="AO27" s="413"/>
      <c r="AP27" s="413"/>
      <c r="AQ27" s="413"/>
      <c r="AR27" s="413"/>
      <c r="AS27" s="413"/>
      <c r="AT27" s="413"/>
      <c r="AX27" s="655"/>
    </row>
    <row r="28" spans="1:50" ht="12" customHeight="1" x14ac:dyDescent="0.3">
      <c r="A28" s="100">
        <v>1982</v>
      </c>
      <c r="B28" s="224">
        <v>103250.43781266264</v>
      </c>
      <c r="C28" s="224">
        <v>95337.426877337362</v>
      </c>
      <c r="D28" s="226">
        <f>TOTALS!AG27/1000</f>
        <v>9145.1214099999997</v>
      </c>
      <c r="E28" s="829" t="s">
        <v>50</v>
      </c>
      <c r="F28" s="226">
        <f>TOTALS!AI27/1000</f>
        <v>592.20306000000005</v>
      </c>
      <c r="G28" s="226">
        <f>TOTALS!BR27/1000/2</f>
        <v>551.47424999999998</v>
      </c>
      <c r="H28" s="226"/>
      <c r="I28" s="224">
        <f t="shared" si="8"/>
        <v>103250.43781266264</v>
      </c>
      <c r="J28" s="224">
        <f t="shared" si="9"/>
        <v>85048.628157337371</v>
      </c>
      <c r="K28" s="225">
        <f t="shared" si="5"/>
        <v>0.82371203414797534</v>
      </c>
      <c r="L28" s="228">
        <f>TOTALS!BE88/1000+Q28</f>
        <v>156384.83675745537</v>
      </c>
      <c r="M28" s="225"/>
      <c r="N28" s="228"/>
      <c r="O28" s="228"/>
      <c r="P28" s="228">
        <f>TOTALS!AF88/1000</f>
        <v>206318.70593999999</v>
      </c>
      <c r="Q28" s="226">
        <f t="shared" si="6"/>
        <v>25482.533517455377</v>
      </c>
      <c r="R28" s="226">
        <f t="shared" si="10"/>
        <v>231801.23945745535</v>
      </c>
      <c r="S28" s="224">
        <v>231660</v>
      </c>
      <c r="T28" s="225">
        <f t="shared" si="13"/>
        <v>1.0006096842676999</v>
      </c>
      <c r="U28" s="224"/>
      <c r="V28" s="224">
        <v>1907974.3295260852</v>
      </c>
      <c r="W28" s="224">
        <v>1994598.3295260852</v>
      </c>
      <c r="X28" s="226">
        <f>'C1-Incomes'!J30</f>
        <v>2840413.7584000002</v>
      </c>
      <c r="Y28" s="226">
        <f>'C1-Incomes'!R30</f>
        <v>3179795.7579000001</v>
      </c>
      <c r="AA28" s="261">
        <f>'T-T1a'!J$66/'T-T1a'!J33</f>
        <v>2.1656677150713115</v>
      </c>
      <c r="AC28" s="440">
        <f t="shared" si="0"/>
        <v>1879170.7734451036</v>
      </c>
      <c r="AD28" s="441">
        <f t="shared" si="1"/>
        <v>7913.0109353252774</v>
      </c>
      <c r="AE28" s="441">
        <f t="shared" si="2"/>
        <v>3640.02</v>
      </c>
      <c r="AF28" s="441">
        <f t="shared" si="4"/>
        <v>28803.518064802716</v>
      </c>
      <c r="AG28" s="441"/>
      <c r="AH28" s="441">
        <f t="shared" si="7"/>
        <v>18201.809655325269</v>
      </c>
      <c r="AI28" s="441">
        <f t="shared" si="3"/>
        <v>3640.02</v>
      </c>
      <c r="AJ28" s="441">
        <f t="shared" si="11"/>
        <v>66254.951181577082</v>
      </c>
      <c r="AK28" s="441">
        <f t="shared" si="12"/>
        <v>4674.5276651269114</v>
      </c>
      <c r="AL28" s="441">
        <f>AJ28+('T-T1'!E31+'T-T1'!L31+'T-T1'!Q31+'T-T1'!T31+'T-T1'!AH31)*0.15</f>
        <v>85084.862789192106</v>
      </c>
      <c r="AM28" s="413"/>
      <c r="AN28" s="655" t="str">
        <f ca="1">CONCATENATE("data NonFilers",INDIRECT("$A"&amp;AM29),"; input xwgt_PS xwgt_20 xwgt_dep xwgt_noNR xwgt_mfs psnfinc; cards;")</f>
        <v>data NonFilers1974; input xwgt_PS xwgt_20 xwgt_dep xwgt_noNR xwgt_mfs psnfinc; cards;</v>
      </c>
      <c r="AO28" s="413"/>
      <c r="AP28" s="413"/>
      <c r="AQ28" s="413"/>
      <c r="AR28" s="413"/>
      <c r="AS28" s="413"/>
      <c r="AT28" s="413"/>
      <c r="AX28" s="655"/>
    </row>
    <row r="29" spans="1:50" ht="12" customHeight="1" x14ac:dyDescent="0.3">
      <c r="A29" s="100">
        <v>1983</v>
      </c>
      <c r="B29" s="224">
        <v>105066.9706211951</v>
      </c>
      <c r="C29" s="224">
        <v>96321.301998804905</v>
      </c>
      <c r="D29" s="226">
        <f>TOTALS!AG28/1000</f>
        <v>8863.3448200000003</v>
      </c>
      <c r="E29" s="829" t="s">
        <v>50</v>
      </c>
      <c r="F29" s="226">
        <f>TOTALS!AI28/1000</f>
        <v>643.71271000000002</v>
      </c>
      <c r="G29" s="226">
        <f>TOTALS!BR28/1000/2</f>
        <v>457.91486499999996</v>
      </c>
      <c r="H29" s="226"/>
      <c r="I29" s="224">
        <f t="shared" si="8"/>
        <v>105066.9706211951</v>
      </c>
      <c r="J29" s="224">
        <f t="shared" si="9"/>
        <v>86356.329603804901</v>
      </c>
      <c r="K29" s="225">
        <f t="shared" si="5"/>
        <v>0.82191700296709891</v>
      </c>
      <c r="L29" s="228">
        <f>TOTALS!BE89/1000+Q29</f>
        <v>158434.50595434627</v>
      </c>
      <c r="M29" s="225"/>
      <c r="N29" s="228"/>
      <c r="O29" s="228"/>
      <c r="P29" s="228">
        <f>TOTALS!AF89/1000</f>
        <v>207557.23838999998</v>
      </c>
      <c r="Q29" s="226">
        <f t="shared" si="6"/>
        <v>26194.897424346273</v>
      </c>
      <c r="R29" s="226">
        <f t="shared" si="10"/>
        <v>233752.13581434626</v>
      </c>
      <c r="S29" s="224">
        <v>233790</v>
      </c>
      <c r="T29" s="225">
        <f t="shared" si="13"/>
        <v>0.99983804189377756</v>
      </c>
      <c r="U29" s="224"/>
      <c r="V29" s="224">
        <v>2004401.9868750633</v>
      </c>
      <c r="W29" s="224">
        <v>2127821.9868750633</v>
      </c>
      <c r="X29" s="226">
        <f>'C1-Incomes'!J31</f>
        <v>3060514.7870999998</v>
      </c>
      <c r="Y29" s="226">
        <f>'C1-Incomes'!R31</f>
        <v>3426777.7873999998</v>
      </c>
      <c r="AA29" s="261">
        <f>'T-T1a'!J$66/'T-T1a'!J34</f>
        <v>2.0762957765176657</v>
      </c>
      <c r="AC29" s="440">
        <f t="shared" si="0"/>
        <v>1971579.5287435804</v>
      </c>
      <c r="AD29" s="441">
        <f t="shared" si="1"/>
        <v>8745.6686223901925</v>
      </c>
      <c r="AE29" s="441">
        <f t="shared" si="2"/>
        <v>3753</v>
      </c>
      <c r="AF29" s="441">
        <f t="shared" si="4"/>
        <v>32822.494339830388</v>
      </c>
      <c r="AG29" s="441"/>
      <c r="AH29" s="441">
        <f t="shared" si="7"/>
        <v>18710.641017390197</v>
      </c>
      <c r="AI29" s="441">
        <f t="shared" si="3"/>
        <v>3753</v>
      </c>
      <c r="AJ29" s="441">
        <f t="shared" si="11"/>
        <v>70221.035738265404</v>
      </c>
      <c r="AK29" s="441">
        <f t="shared" si="12"/>
        <v>4844.744760459911</v>
      </c>
      <c r="AL29" s="441">
        <f>AJ29+('T-T1'!E32+'T-T1'!L32+'T-T1'!Q32+'T-T1'!T32+'T-T1'!AH32)*0.15</f>
        <v>90648.280033847463</v>
      </c>
      <c r="AM29" s="413">
        <f>AM27+1</f>
        <v>20</v>
      </c>
      <c r="AN29" s="655" t="str">
        <f ca="1">CONCATENATE(ROUND(INDIRECT("$Ad"&amp;AM29),2)," ",ROUND(INDIRECT("$d"&amp;AM29),2)," 0.0 ",ROUND(INDIRECT("$f"&amp;AM29),2)," ",ROUND(INDIRECT("$g"&amp;AM29),2)," ",ROUND(INDIRECT("$Ae"&amp;AM29),2))</f>
        <v>3845.35 9350.12 0.0 124.41 1020.11 2078.6</v>
      </c>
      <c r="AO29" s="413"/>
      <c r="AP29" s="413"/>
      <c r="AQ29" s="413"/>
      <c r="AR29" s="413"/>
      <c r="AS29" s="413"/>
      <c r="AT29" s="413"/>
      <c r="AX29" s="655"/>
    </row>
    <row r="30" spans="1:50" ht="12" customHeight="1" x14ac:dyDescent="0.3">
      <c r="A30" s="100">
        <v>1984</v>
      </c>
      <c r="B30" s="224">
        <v>106871.14951319493</v>
      </c>
      <c r="C30" s="224">
        <v>99426.763166805074</v>
      </c>
      <c r="D30" s="226">
        <f>TOTALS!AG29/1000</f>
        <v>9087.6333000000013</v>
      </c>
      <c r="E30" s="829" t="s">
        <v>50</v>
      </c>
      <c r="F30" s="226">
        <f>TOTALS!AI29/1000</f>
        <v>702.5814499999999</v>
      </c>
      <c r="G30" s="226">
        <f>TOTALS!BR29/1000/2</f>
        <v>427.097825</v>
      </c>
      <c r="H30" s="226"/>
      <c r="I30" s="224">
        <f t="shared" si="8"/>
        <v>106871.14951319493</v>
      </c>
      <c r="J30" s="224">
        <f t="shared" si="9"/>
        <v>89209.450591805071</v>
      </c>
      <c r="K30" s="225">
        <f t="shared" si="5"/>
        <v>0.834738383540927</v>
      </c>
      <c r="L30" s="228">
        <f>TOTALS!BE90/1000+Q30</f>
        <v>160789.45594994581</v>
      </c>
      <c r="M30" s="225"/>
      <c r="N30" s="228"/>
      <c r="O30" s="228"/>
      <c r="P30" s="228">
        <f>TOTALS!AF90/1000</f>
        <v>212536.20006</v>
      </c>
      <c r="Q30" s="226">
        <f t="shared" si="6"/>
        <v>24726.378489945808</v>
      </c>
      <c r="R30" s="226">
        <f t="shared" si="10"/>
        <v>237262.57854994581</v>
      </c>
      <c r="S30" s="224">
        <v>235820</v>
      </c>
      <c r="T30" s="225">
        <f t="shared" si="13"/>
        <v>1.0061172867014918</v>
      </c>
      <c r="U30" s="224"/>
      <c r="V30" s="224">
        <v>2193702.7680859203</v>
      </c>
      <c r="W30" s="224">
        <v>2331723.2680859203</v>
      </c>
      <c r="X30" s="226">
        <f>'C1-Incomes'!J32</f>
        <v>3443988.0337</v>
      </c>
      <c r="Y30" s="226">
        <f>'C1-Incomes'!R32</f>
        <v>3819730.0334999999</v>
      </c>
      <c r="AA30" s="261">
        <f>'T-T1a'!J$66/'T-T1a'!J35</f>
        <v>2.0006030260945837</v>
      </c>
      <c r="AC30" s="440">
        <f t="shared" si="0"/>
        <v>2163561.0794583238</v>
      </c>
      <c r="AD30" s="441">
        <f t="shared" si="1"/>
        <v>7444.3863463898597</v>
      </c>
      <c r="AE30" s="441">
        <f t="shared" si="2"/>
        <v>4048.92</v>
      </c>
      <c r="AF30" s="441">
        <f t="shared" si="4"/>
        <v>30141.724765624833</v>
      </c>
      <c r="AG30" s="441"/>
      <c r="AH30" s="441">
        <f t="shared" si="7"/>
        <v>17661.698921389863</v>
      </c>
      <c r="AI30" s="441">
        <f t="shared" si="3"/>
        <v>4048.92</v>
      </c>
      <c r="AJ30" s="441">
        <f t="shared" si="11"/>
        <v>71510.805996793846</v>
      </c>
      <c r="AK30" s="441">
        <f t="shared" si="12"/>
        <v>5658.6052802944323</v>
      </c>
      <c r="AL30" s="441">
        <f>AJ30+('T-T1'!E33+'T-T1'!L33+'T-T1'!Q33+'T-T1'!T33+'T-T1'!AH33)*0.15</f>
        <v>99940.582775547169</v>
      </c>
      <c r="AM30" s="413"/>
      <c r="AN30" s="655" t="str">
        <f ca="1">CONCATENATE("data NonFilers",INDIRECT("$A"&amp;AM31),"; input xwgt_PS xwgt_20 xwgt_dep xwgt_noNR xwgt_mfs psnfinc; cards;")</f>
        <v>data NonFilers1975; input xwgt_PS xwgt_20 xwgt_dep xwgt_noNR xwgt_mfs psnfinc; cards;</v>
      </c>
      <c r="AO30" s="413"/>
      <c r="AP30" s="413"/>
      <c r="AQ30" s="413"/>
      <c r="AR30" s="413"/>
      <c r="AS30" s="413"/>
      <c r="AT30" s="413"/>
      <c r="AX30" s="655"/>
    </row>
    <row r="31" spans="1:50" ht="12" customHeight="1" x14ac:dyDescent="0.3">
      <c r="A31" s="100">
        <v>1985</v>
      </c>
      <c r="B31" s="224">
        <v>108736.06385144978</v>
      </c>
      <c r="C31" s="224">
        <v>101648.91263855022</v>
      </c>
      <c r="D31" s="226">
        <f>TOTALS!AG30/1000</f>
        <v>8981.768759999999</v>
      </c>
      <c r="E31" s="829" t="s">
        <v>50</v>
      </c>
      <c r="F31" s="226">
        <f>TOTALS!AI30/1000</f>
        <v>682.22758999999996</v>
      </c>
      <c r="G31" s="226">
        <f>TOTALS!BR30/1000/2</f>
        <v>421.09825999999998</v>
      </c>
      <c r="H31" s="226"/>
      <c r="I31" s="224">
        <f t="shared" si="8"/>
        <v>108736.06385144978</v>
      </c>
      <c r="J31" s="224">
        <f t="shared" si="9"/>
        <v>91563.818028550217</v>
      </c>
      <c r="K31" s="225">
        <f t="shared" si="5"/>
        <v>0.84207405331170071</v>
      </c>
      <c r="L31" s="228">
        <f>TOTALS!BE91/1000+Q31</f>
        <v>162577.51229205937</v>
      </c>
      <c r="M31" s="225"/>
      <c r="N31" s="228"/>
      <c r="O31" s="228"/>
      <c r="P31" s="228">
        <f>TOTALS!AF91/1000</f>
        <v>214776.09102000002</v>
      </c>
      <c r="Q31" s="226">
        <f t="shared" si="6"/>
        <v>24041.144152059394</v>
      </c>
      <c r="R31" s="226">
        <f t="shared" si="10"/>
        <v>238817.23517205942</v>
      </c>
      <c r="S31" s="224">
        <v>237920</v>
      </c>
      <c r="T31" s="225">
        <f t="shared" si="13"/>
        <v>1.0037711632988375</v>
      </c>
      <c r="U31" s="224"/>
      <c r="V31" s="224">
        <v>2349494.8790044314</v>
      </c>
      <c r="W31" s="224">
        <v>2521716.8790044314</v>
      </c>
      <c r="X31" s="226">
        <f>'C1-Incomes'!J33</f>
        <v>3684187.6332999999</v>
      </c>
      <c r="Y31" s="226">
        <f>'C1-Incomes'!R33</f>
        <v>4081686.6335</v>
      </c>
      <c r="AA31" s="261">
        <f>'T-T1a'!J$66/'T-T1a'!J36</f>
        <v>1.932210868145638</v>
      </c>
      <c r="AC31" s="440">
        <f t="shared" si="0"/>
        <v>2319262.110414769</v>
      </c>
      <c r="AD31" s="441">
        <f t="shared" si="1"/>
        <v>7087.1512128995673</v>
      </c>
      <c r="AE31" s="441">
        <f t="shared" si="2"/>
        <v>4265.8599999999997</v>
      </c>
      <c r="AF31" s="441">
        <f t="shared" si="4"/>
        <v>30232.794873059745</v>
      </c>
      <c r="AG31" s="441"/>
      <c r="AH31" s="441">
        <f t="shared" si="7"/>
        <v>17172.245822899567</v>
      </c>
      <c r="AI31" s="441">
        <f t="shared" si="3"/>
        <v>4265.8599999999997</v>
      </c>
      <c r="AJ31" s="441">
        <f t="shared" si="11"/>
        <v>73254.396566074342</v>
      </c>
      <c r="AK31" s="441">
        <f t="shared" si="12"/>
        <v>5992.5290416244934</v>
      </c>
      <c r="AL31" s="441">
        <f>AJ31+('T-T1'!E34+'T-T1'!L34+'T-T1'!Q34+'T-T1'!T34+'T-T1'!AH34)*0.15</f>
        <v>102905.18180364056</v>
      </c>
      <c r="AM31" s="413">
        <f>AM29+1</f>
        <v>21</v>
      </c>
      <c r="AN31" s="655" t="str">
        <f ca="1">CONCATENATE(ROUND(INDIRECT("$Ad"&amp;AM31),2)," ",ROUND(INDIRECT("$d"&amp;AM31),2)," 0.0 ",ROUND(INDIRECT("$f"&amp;AM31),2)," ",ROUND(INDIRECT("$g"&amp;AM31),2)," ",ROUND(INDIRECT("$Ae"&amp;AM31),2))</f>
        <v>6898.34 9432.2 0.0 0 848.97 2134.62</v>
      </c>
      <c r="AO31" s="413"/>
      <c r="AP31" s="413"/>
      <c r="AQ31" s="413"/>
      <c r="AR31" s="413"/>
      <c r="AS31" s="413"/>
      <c r="AT31" s="413"/>
      <c r="AX31" s="655"/>
    </row>
    <row r="32" spans="1:50" ht="12" customHeight="1" x14ac:dyDescent="0.3">
      <c r="A32" s="100">
        <v>1986</v>
      </c>
      <c r="B32" s="224">
        <v>110683.65034819435</v>
      </c>
      <c r="C32" s="224">
        <v>103333.69998180565</v>
      </c>
      <c r="D32" s="226">
        <f>TOTALS!AG31/1000</f>
        <v>8891.0874399999993</v>
      </c>
      <c r="E32" s="829" t="s">
        <v>50</v>
      </c>
      <c r="F32" s="226">
        <f>TOTALS!AI31/1000</f>
        <v>683.52281000000005</v>
      </c>
      <c r="G32" s="226">
        <f>TOTALS!BR31/1000/2</f>
        <v>518.93878000000007</v>
      </c>
      <c r="H32" s="226"/>
      <c r="I32" s="224">
        <f t="shared" si="8"/>
        <v>110683.65034819435</v>
      </c>
      <c r="J32" s="224">
        <f t="shared" si="9"/>
        <v>93240.150951805655</v>
      </c>
      <c r="K32" s="225">
        <f t="shared" si="5"/>
        <v>0.84240220356381423</v>
      </c>
      <c r="L32" s="228">
        <f>TOTALS!BE92/1000+Q32</f>
        <v>164291.20522494416</v>
      </c>
      <c r="M32" s="225"/>
      <c r="N32" s="228"/>
      <c r="O32" s="228"/>
      <c r="P32" s="228">
        <f>TOTALS!AF92/1000</f>
        <v>215593.88453000001</v>
      </c>
      <c r="Q32" s="226">
        <f t="shared" si="6"/>
        <v>24420.899154944171</v>
      </c>
      <c r="R32" s="226">
        <f t="shared" si="10"/>
        <v>240014.78368494418</v>
      </c>
      <c r="S32" s="224">
        <v>240130</v>
      </c>
      <c r="T32" s="225">
        <f t="shared" si="13"/>
        <v>0.99952019191664587</v>
      </c>
      <c r="U32" s="224"/>
      <c r="V32" s="224">
        <v>2467473.0928211357</v>
      </c>
      <c r="W32" s="224">
        <v>2800382.0928211357</v>
      </c>
      <c r="X32" s="226">
        <f>'C1-Incomes'!J34</f>
        <v>3848203.7167000002</v>
      </c>
      <c r="Y32" s="226">
        <f>'C1-Incomes'!R34</f>
        <v>4271088.7170000002</v>
      </c>
      <c r="AA32" s="261">
        <f>'T-T1a'!J$66/'T-T1a'!J37</f>
        <v>1.8912881994230137</v>
      </c>
      <c r="AC32" s="440">
        <f t="shared" si="0"/>
        <v>2435132.0922178905</v>
      </c>
      <c r="AD32" s="441">
        <f t="shared" si="1"/>
        <v>7349.9503663887008</v>
      </c>
      <c r="AE32" s="441">
        <f t="shared" si="2"/>
        <v>4400.17</v>
      </c>
      <c r="AF32" s="441">
        <f t="shared" si="4"/>
        <v>32341.031103672572</v>
      </c>
      <c r="AG32" s="441"/>
      <c r="AH32" s="441">
        <f t="shared" si="7"/>
        <v>17443.499396388695</v>
      </c>
      <c r="AI32" s="441">
        <f t="shared" si="3"/>
        <v>4400.17</v>
      </c>
      <c r="AJ32" s="441">
        <f t="shared" si="11"/>
        <v>76754.362739007658</v>
      </c>
      <c r="AK32" s="441">
        <f t="shared" si="12"/>
        <v>6174.3794289785383</v>
      </c>
      <c r="AL32" s="441">
        <f>AJ32+('T-T1'!E35+'T-T1'!L35+'T-T1'!Q35+'T-T1'!T35+'T-T1'!AH35)*0.15</f>
        <v>107702.78384246191</v>
      </c>
      <c r="AM32" s="413"/>
      <c r="AN32" s="655" t="str">
        <f ca="1">CONCATENATE("data NonFilers",INDIRECT("$A"&amp;AM33),"; input xwgt_PS xwgt_20 xwgt_dep xwgt_noNR xwgt_mfs psnfinc; cards;")</f>
        <v>data NonFilers1976; input xwgt_PS xwgt_20 xwgt_dep xwgt_noNR xwgt_mfs psnfinc; cards;</v>
      </c>
      <c r="AO32" s="413"/>
      <c r="AP32" s="413"/>
      <c r="AQ32" s="413"/>
      <c r="AR32" s="413"/>
      <c r="AS32" s="413"/>
      <c r="AT32" s="413"/>
      <c r="AX32" s="655"/>
    </row>
    <row r="33" spans="1:50" ht="12" customHeight="1" x14ac:dyDescent="0.3">
      <c r="A33" s="100">
        <v>1987</v>
      </c>
      <c r="B33" s="224">
        <v>112640.14745716355</v>
      </c>
      <c r="C33" s="224">
        <v>106996.25529283645</v>
      </c>
      <c r="D33" s="226">
        <f>TOTALS!AG32/1000</f>
        <v>10805.763510000001</v>
      </c>
      <c r="E33" s="226">
        <f>TOTALS!AH32/1000</f>
        <v>2211.93246</v>
      </c>
      <c r="F33" s="226">
        <f>TOTALS!AI32/1000</f>
        <v>682.88531999999998</v>
      </c>
      <c r="G33" s="226">
        <f>TOTALS!BR32/1000/2</f>
        <v>772.54663500000004</v>
      </c>
      <c r="H33" s="226"/>
      <c r="I33" s="224">
        <f t="shared" ref="I33:I60" si="14">B33-E33</f>
        <v>110428.21499716355</v>
      </c>
      <c r="J33" s="224">
        <f t="shared" ref="J33:J61" si="15">C33-D33-E33-F33-G33</f>
        <v>92523.127367836438</v>
      </c>
      <c r="K33" s="225">
        <f t="shared" si="5"/>
        <v>0.82140452988151935</v>
      </c>
      <c r="L33" s="228">
        <f>TOTALS!BE93/1000+Q33</f>
        <v>168608.75997505794</v>
      </c>
      <c r="M33" s="225"/>
      <c r="N33" s="228"/>
      <c r="O33" s="228"/>
      <c r="P33" s="228">
        <f>TOTALS!AF93/1000</f>
        <v>211183.86221000002</v>
      </c>
      <c r="Q33" s="226">
        <f t="shared" si="6"/>
        <v>28163.828125057953</v>
      </c>
      <c r="R33" s="226">
        <f t="shared" si="10"/>
        <v>239347.69033505797</v>
      </c>
      <c r="S33" s="224">
        <v>242290</v>
      </c>
      <c r="T33" s="225">
        <f t="shared" si="13"/>
        <v>0.98785624802946048</v>
      </c>
      <c r="U33" s="224"/>
      <c r="V33" s="224">
        <v>2668944.414493544</v>
      </c>
      <c r="W33" s="224">
        <v>2806993.414493544</v>
      </c>
      <c r="X33" s="226">
        <f>'C1-Incomes'!J35</f>
        <v>4119197.5964000002</v>
      </c>
      <c r="Y33" s="226">
        <f>'C1-Incomes'!R35</f>
        <v>4559701.5965999998</v>
      </c>
      <c r="AA33" s="261">
        <f>'T-T1a'!J$66/'T-T1a'!J38</f>
        <v>1.8353897736797988</v>
      </c>
      <c r="AC33" s="440">
        <f t="shared" si="0"/>
        <v>2642464.0124854506</v>
      </c>
      <c r="AD33" s="441">
        <f t="shared" si="1"/>
        <v>5643.8921643271024</v>
      </c>
      <c r="AE33" s="441">
        <f t="shared" si="2"/>
        <v>4691.87</v>
      </c>
      <c r="AF33" s="441">
        <f t="shared" si="4"/>
        <v>26480.408329041402</v>
      </c>
      <c r="AG33" s="441"/>
      <c r="AH33" s="441">
        <f t="shared" si="7"/>
        <v>17905.087629327114</v>
      </c>
      <c r="AI33" s="441">
        <f t="shared" si="3"/>
        <v>4691.87</v>
      </c>
      <c r="AJ33" s="441">
        <f t="shared" si="11"/>
        <v>84008.343495411013</v>
      </c>
      <c r="AK33" s="441">
        <f t="shared" si="12"/>
        <v>6440.0352470158123</v>
      </c>
      <c r="AL33" s="441">
        <f>AJ33+('T-T1'!E36+'T-T1'!L36+'T-T1'!Q36+'T-T1'!T36+'T-T1'!AH36)*0.15</f>
        <v>115309.3954337734</v>
      </c>
      <c r="AM33" s="413">
        <f>AM31+1</f>
        <v>22</v>
      </c>
      <c r="AN33" s="655" t="str">
        <f ca="1">CONCATENATE(ROUND(INDIRECT("$Ad"&amp;AM33),2)," ",ROUND(INDIRECT("$d"&amp;AM33),2)," 0.0 ",ROUND(INDIRECT("$f"&amp;AM33),2)," ",ROUND(INDIRECT("$g"&amp;AM33),2)," ",ROUND(INDIRECT("$Ae"&amp;AM33),2))</f>
        <v>6378.08 9929.3 0.0 135.83 889.85 2315.25</v>
      </c>
      <c r="AO33" s="413"/>
      <c r="AP33" s="413"/>
      <c r="AQ33" s="413"/>
      <c r="AR33" s="413"/>
      <c r="AS33" s="413"/>
      <c r="AT33" s="413"/>
      <c r="AX33" s="655"/>
    </row>
    <row r="34" spans="1:50" ht="12" customHeight="1" x14ac:dyDescent="0.3">
      <c r="A34" s="100">
        <v>1988</v>
      </c>
      <c r="B34" s="224">
        <v>114656.00857399579</v>
      </c>
      <c r="C34" s="224">
        <v>109705.41844600422</v>
      </c>
      <c r="D34" s="226">
        <f>TOTALS!AG33/1000</f>
        <v>11254.865320000001</v>
      </c>
      <c r="E34" s="226">
        <f>TOTALS!AH33/1000</f>
        <v>2203.0327000000002</v>
      </c>
      <c r="F34" s="226">
        <f>TOTALS!AI33/1000</f>
        <v>730.30835000000002</v>
      </c>
      <c r="G34" s="226">
        <f>TOTALS!BR33/1000/2</f>
        <v>849.58881000000008</v>
      </c>
      <c r="H34" s="226"/>
      <c r="I34" s="224">
        <f t="shared" si="14"/>
        <v>112452.97587399579</v>
      </c>
      <c r="J34" s="224">
        <f t="shared" si="15"/>
        <v>94667.623266004215</v>
      </c>
      <c r="K34" s="225">
        <f t="shared" si="5"/>
        <v>0.82566648223157335</v>
      </c>
      <c r="L34" s="228">
        <f>TOTALS!BE94/1000+Q34</f>
        <v>171086.92207118819</v>
      </c>
      <c r="M34" s="225"/>
      <c r="N34" s="228"/>
      <c r="O34" s="228"/>
      <c r="P34" s="228">
        <f>TOTALS!AF94/1000</f>
        <v>215944.95094000001</v>
      </c>
      <c r="Q34" s="226">
        <f t="shared" si="6"/>
        <v>27983.739431188198</v>
      </c>
      <c r="R34" s="226">
        <f t="shared" si="10"/>
        <v>243928.69037118822</v>
      </c>
      <c r="S34" s="224">
        <v>244500</v>
      </c>
      <c r="T34" s="225">
        <f t="shared" si="13"/>
        <v>0.99766335530138328</v>
      </c>
      <c r="U34" s="224"/>
      <c r="V34" s="224">
        <v>2956031.9753831429</v>
      </c>
      <c r="W34" s="224">
        <v>3111659.9753831429</v>
      </c>
      <c r="X34" s="226">
        <f>'C1-Incomes'!J36</f>
        <v>4493372.5432000002</v>
      </c>
      <c r="Y34" s="226">
        <f>'C1-Incomes'!R36</f>
        <v>4961475.5431000004</v>
      </c>
      <c r="AA34" s="261">
        <f>'T-T1a'!J$66/'T-T1a'!J39</f>
        <v>1.7665633975538129</v>
      </c>
      <c r="AC34" s="440">
        <f t="shared" si="0"/>
        <v>2930723.5571150114</v>
      </c>
      <c r="AD34" s="441">
        <f t="shared" si="1"/>
        <v>4950.5901279915706</v>
      </c>
      <c r="AE34" s="441">
        <f t="shared" si="2"/>
        <v>5112.2</v>
      </c>
      <c r="AF34" s="441">
        <f t="shared" si="4"/>
        <v>25308.406852318505</v>
      </c>
      <c r="AG34" s="441"/>
      <c r="AH34" s="441">
        <f t="shared" si="7"/>
        <v>17785.352607991575</v>
      </c>
      <c r="AI34" s="441">
        <f t="shared" si="3"/>
        <v>5112.2</v>
      </c>
      <c r="AJ34" s="441">
        <f t="shared" si="11"/>
        <v>90922.279602574534</v>
      </c>
      <c r="AK34" s="441">
        <f t="shared" si="12"/>
        <v>6806.639277811727</v>
      </c>
      <c r="AL34" s="441">
        <f>AJ34+('T-T1'!E37+'T-T1'!L37+'T-T1'!Q37+'T-T1'!T37+'T-T1'!AH37)*0.15</f>
        <v>121058.4796312867</v>
      </c>
      <c r="AM34" s="413"/>
      <c r="AN34" s="655" t="str">
        <f ca="1">CONCATENATE("data NonFilers",INDIRECT("$A"&amp;AM35),"; input xwgt_PS xwgt_20 xwgt_dep xwgt_noNR xwgt_mfs psnfinc; cards;")</f>
        <v>data NonFilers1977; input xwgt_PS xwgt_20 xwgt_dep xwgt_noNR xwgt_mfs psnfinc; cards;</v>
      </c>
      <c r="AO34" s="413"/>
      <c r="AP34" s="413"/>
      <c r="AQ34" s="413"/>
      <c r="AR34" s="413"/>
      <c r="AS34" s="413"/>
      <c r="AT34" s="413"/>
      <c r="AX34" s="655"/>
    </row>
    <row r="35" spans="1:50" ht="12" customHeight="1" x14ac:dyDescent="0.3">
      <c r="A35" s="100">
        <v>1989</v>
      </c>
      <c r="B35" s="224">
        <v>116759.35846722893</v>
      </c>
      <c r="C35" s="224">
        <v>112127.69983277108</v>
      </c>
      <c r="D35" s="226">
        <f>TOTALS!AG34/1000</f>
        <v>11530.378429999999</v>
      </c>
      <c r="E35" s="226">
        <f>TOTALS!AH34/1000</f>
        <v>2333.3673599999997</v>
      </c>
      <c r="F35" s="226">
        <f>TOTALS!AI34/1000</f>
        <v>693.88422000000003</v>
      </c>
      <c r="G35" s="226">
        <f>TOTALS!BR34/1000/2</f>
        <v>1029.81098</v>
      </c>
      <c r="H35" s="226"/>
      <c r="I35" s="224">
        <f t="shared" si="14"/>
        <v>114425.99110722893</v>
      </c>
      <c r="J35" s="224">
        <f t="shared" si="15"/>
        <v>96540.258842771073</v>
      </c>
      <c r="K35" s="225">
        <f t="shared" si="5"/>
        <v>0.82683101474788601</v>
      </c>
      <c r="L35" s="228">
        <f>TOTALS!BE95/1000+Q35</f>
        <v>173454.17947424098</v>
      </c>
      <c r="M35" s="225"/>
      <c r="N35" s="228"/>
      <c r="O35" s="228"/>
      <c r="P35" s="228">
        <f>TOTALS!AF95/1000</f>
        <v>217992.27258000002</v>
      </c>
      <c r="Q35" s="226">
        <f t="shared" si="6"/>
        <v>28306.739474240996</v>
      </c>
      <c r="R35" s="226">
        <f t="shared" si="10"/>
        <v>246299.01205424103</v>
      </c>
      <c r="S35" s="224">
        <v>246820</v>
      </c>
      <c r="T35" s="225">
        <f t="shared" si="13"/>
        <v>0.99788919882603122</v>
      </c>
      <c r="U35" s="224"/>
      <c r="V35" s="224">
        <v>3130386.7562474776</v>
      </c>
      <c r="W35" s="224">
        <v>3277076.7562474776</v>
      </c>
      <c r="X35" s="226">
        <f>'C1-Incomes'!J37</f>
        <v>4782196.0384999998</v>
      </c>
      <c r="Y35" s="226">
        <f>'C1-Incomes'!R37</f>
        <v>5291003.0393000003</v>
      </c>
      <c r="AA35" s="261">
        <f>'T-T1a'!J$66/'T-T1a'!J40</f>
        <v>1.6936773874166549</v>
      </c>
      <c r="AC35" s="440">
        <f t="shared" si="0"/>
        <v>3105746.746362078</v>
      </c>
      <c r="AD35" s="441">
        <f t="shared" si="1"/>
        <v>4631.6586344578536</v>
      </c>
      <c r="AE35" s="441">
        <f t="shared" si="2"/>
        <v>5319.91</v>
      </c>
      <c r="AF35" s="441">
        <f t="shared" si="4"/>
        <v>24640.00708603868</v>
      </c>
      <c r="AG35" s="441"/>
      <c r="AH35" s="441">
        <f t="shared" si="7"/>
        <v>17885.732264457853</v>
      </c>
      <c r="AI35" s="441">
        <f t="shared" si="3"/>
        <v>5319.91</v>
      </c>
      <c r="AJ35" s="441">
        <f t="shared" si="11"/>
        <v>95150.485931011979</v>
      </c>
      <c r="AK35" s="441">
        <f t="shared" si="12"/>
        <v>7142.4749762597858</v>
      </c>
      <c r="AL35" s="441">
        <f>AJ35+('T-T1'!E38+'T-T1'!L38+'T-T1'!Q38+'T-T1'!T38+'T-T1'!AH38)*0.15</f>
        <v>127748.39513097248</v>
      </c>
      <c r="AM35" s="413">
        <f>AM33+1</f>
        <v>23</v>
      </c>
      <c r="AN35" s="655" t="str">
        <f ca="1">CONCATENATE(ROUND(INDIRECT("$Ad"&amp;AM35),2)," ",ROUND(INDIRECT("$d"&amp;AM35),2)," 0.0 ",ROUND(INDIRECT("$f"&amp;AM35),2)," ",ROUND(INDIRECT("$g"&amp;AM35),2)," ",ROUND(INDIRECT("$Ae"&amp;AM35),2))</f>
        <v>6441.52 10124.93 0.0 105.52 600.05 2490.65</v>
      </c>
      <c r="AO35" s="413"/>
      <c r="AP35" s="413"/>
      <c r="AQ35" s="413"/>
      <c r="AR35" s="413"/>
      <c r="AS35" s="413"/>
      <c r="AT35" s="413"/>
      <c r="AX35" s="655"/>
    </row>
    <row r="36" spans="1:50" ht="12" customHeight="1" x14ac:dyDescent="0.3">
      <c r="A36" s="100">
        <v>1990</v>
      </c>
      <c r="B36" s="224">
        <v>119055</v>
      </c>
      <c r="C36" s="224">
        <v>113717.13845999999</v>
      </c>
      <c r="D36" s="226">
        <f>TOTALS!AG35/1000</f>
        <v>11164.796249999999</v>
      </c>
      <c r="E36" s="226">
        <f>TOTALS!AH35/1000</f>
        <v>2310.12005</v>
      </c>
      <c r="F36" s="226">
        <f>TOTALS!AI35/1000</f>
        <v>642.12686999999994</v>
      </c>
      <c r="G36" s="226">
        <f>TOTALS!BR35/1000/2</f>
        <v>1081.8765100000001</v>
      </c>
      <c r="H36" s="226"/>
      <c r="I36" s="224">
        <f t="shared" si="14"/>
        <v>116744.87995</v>
      </c>
      <c r="J36" s="224">
        <f t="shared" si="15"/>
        <v>98518.218779999996</v>
      </c>
      <c r="K36" s="225">
        <f t="shared" si="5"/>
        <v>0.82750173264457605</v>
      </c>
      <c r="L36" s="228">
        <f>TOTALS!BE96/1000+Q36</f>
        <v>176252.34210800001</v>
      </c>
      <c r="M36" s="225"/>
      <c r="N36" s="228"/>
      <c r="O36" s="228"/>
      <c r="P36" s="228">
        <f>TOTALS!AF96/1000</f>
        <v>222253.43776</v>
      </c>
      <c r="Q36" s="226">
        <f t="shared" si="6"/>
        <v>28751.493708000005</v>
      </c>
      <c r="R36" s="226">
        <f t="shared" si="10"/>
        <v>251004.931468</v>
      </c>
      <c r="S36" s="224">
        <v>249620</v>
      </c>
      <c r="T36" s="225">
        <f t="shared" si="13"/>
        <v>1.0055481590737922</v>
      </c>
      <c r="U36" s="224"/>
      <c r="V36" s="224">
        <v>3327453.7223950801</v>
      </c>
      <c r="W36" s="224">
        <v>3443155.7223950801</v>
      </c>
      <c r="X36" s="226">
        <f>'C1-Incomes'!J38</f>
        <v>5036094.3466999996</v>
      </c>
      <c r="Y36" s="226">
        <f>'C1-Incomes'!R38</f>
        <v>5599448.3460999997</v>
      </c>
      <c r="AA36" s="261">
        <f>'T-T1a'!J$66/'T-T1a'!J41</f>
        <v>1.6233837485172005</v>
      </c>
      <c r="AC36" s="440">
        <f t="shared" si="0"/>
        <v>3297881.4498244245</v>
      </c>
      <c r="AD36" s="441">
        <f t="shared" si="1"/>
        <v>5337.8615400000126</v>
      </c>
      <c r="AE36" s="441">
        <f t="shared" si="2"/>
        <v>5540.1</v>
      </c>
      <c r="AF36" s="441">
        <f t="shared" si="4"/>
        <v>29572.286717754072</v>
      </c>
      <c r="AG36" s="441"/>
      <c r="AH36" s="441">
        <f t="shared" si="7"/>
        <v>18226.661170000007</v>
      </c>
      <c r="AI36" s="441">
        <f t="shared" si="3"/>
        <v>5540.1</v>
      </c>
      <c r="AJ36" s="441">
        <f t="shared" si="11"/>
        <v>100977.52554791704</v>
      </c>
      <c r="AK36" s="441">
        <f t="shared" si="12"/>
        <v>7350.0704100124331</v>
      </c>
      <c r="AL36" s="441">
        <f>AJ36+('T-T1'!E39+'T-T1'!L39+'T-T1'!Q39+'T-T1'!T39+'T-T1'!AH39)*0.15</f>
        <v>133967.24293893966</v>
      </c>
      <c r="AM36" s="413"/>
      <c r="AN36" s="655" t="str">
        <f ca="1">CONCATENATE("data NonFilers",INDIRECT("$A"&amp;AM37),"; input xwgt_PS xwgt_20 xwgt_dep xwgt_noNR xwgt_mfs psnfinc; cards;")</f>
        <v>data NonFilers1978; input xwgt_PS xwgt_20 xwgt_dep xwgt_noNR xwgt_mfs psnfinc; cards;</v>
      </c>
      <c r="AO36" s="413"/>
      <c r="AP36" s="413"/>
      <c r="AQ36" s="413"/>
      <c r="AR36" s="413"/>
      <c r="AS36" s="413"/>
      <c r="AT36" s="413"/>
      <c r="AX36" s="655"/>
    </row>
    <row r="37" spans="1:50" ht="12" customHeight="1" x14ac:dyDescent="0.3">
      <c r="A37" s="100">
        <v>1991</v>
      </c>
      <c r="B37" s="224">
        <v>120453.26162647238</v>
      </c>
      <c r="C37" s="224">
        <v>114730.12150352763</v>
      </c>
      <c r="D37" s="226">
        <f>TOTALS!AG36/1000</f>
        <v>10034.648650000001</v>
      </c>
      <c r="E37" s="226">
        <f>TOTALS!AH36/1000</f>
        <v>2577.8878199999999</v>
      </c>
      <c r="F37" s="226">
        <f>TOTALS!AI36/1000</f>
        <v>632.19118999999989</v>
      </c>
      <c r="G37" s="226">
        <f>TOTALS!BR36/1000/2</f>
        <v>1126.973135</v>
      </c>
      <c r="H37" s="226"/>
      <c r="I37" s="224">
        <f t="shared" si="14"/>
        <v>117875.37380647237</v>
      </c>
      <c r="J37" s="224">
        <f t="shared" si="15"/>
        <v>100358.42070852763</v>
      </c>
      <c r="K37" s="225">
        <f t="shared" si="5"/>
        <v>0.8331731275134816</v>
      </c>
      <c r="L37" s="228">
        <f>TOTALS!BE97/1000+Q37</f>
        <v>177818.47908512264</v>
      </c>
      <c r="M37" s="225"/>
      <c r="N37" s="228"/>
      <c r="O37" s="228"/>
      <c r="P37" s="228">
        <f>TOTALS!AF97/1000</f>
        <v>226195.62375999999</v>
      </c>
      <c r="Q37" s="226">
        <f t="shared" si="6"/>
        <v>28132.777285122647</v>
      </c>
      <c r="R37" s="226">
        <f t="shared" si="10"/>
        <v>254328.40104512265</v>
      </c>
      <c r="S37" s="224">
        <v>252980</v>
      </c>
      <c r="T37" s="225">
        <f t="shared" si="13"/>
        <v>1.0053300697490815</v>
      </c>
      <c r="U37" s="224"/>
      <c r="V37" s="224">
        <v>3387468.4359324332</v>
      </c>
      <c r="W37" s="224">
        <v>3488042.4359324332</v>
      </c>
      <c r="X37" s="226">
        <f>'C1-Incomes'!J39</f>
        <v>5186123.0979000004</v>
      </c>
      <c r="Y37" s="226">
        <f>'C1-Incomes'!R39</f>
        <v>5824696.0979000004</v>
      </c>
      <c r="AA37" s="261">
        <f>'T-T1a'!J$66/'T-T1a'!J42</f>
        <v>1.571828518922644</v>
      </c>
      <c r="AC37" s="440">
        <f t="shared" si="0"/>
        <v>3355581.4408924258</v>
      </c>
      <c r="AD37" s="441">
        <f t="shared" si="1"/>
        <v>5723.1401229447511</v>
      </c>
      <c r="AE37" s="441">
        <f t="shared" si="2"/>
        <v>5571.59</v>
      </c>
      <c r="AF37" s="441">
        <f t="shared" si="4"/>
        <v>31886.990277597746</v>
      </c>
      <c r="AG37" s="441"/>
      <c r="AH37" s="441">
        <f t="shared" si="7"/>
        <v>17516.953097944745</v>
      </c>
      <c r="AI37" s="441">
        <f t="shared" si="3"/>
        <v>5571.59</v>
      </c>
      <c r="AJ37" s="441">
        <f t="shared" si="11"/>
        <v>97597.280710977953</v>
      </c>
      <c r="AK37" s="441">
        <f t="shared" si="12"/>
        <v>7492.5662128510448</v>
      </c>
      <c r="AL37" s="441">
        <f>AJ37+('T-T1'!E40+'T-T1'!L40+'T-T1'!Q40+'T-T1'!T40+'T-T1'!AH40)*0.15</f>
        <v>131246.93093375722</v>
      </c>
      <c r="AM37" s="413">
        <f>AM35+1</f>
        <v>24</v>
      </c>
      <c r="AN37" s="655" t="str">
        <f ca="1">CONCATENATE(ROUND(INDIRECT("$Ad"&amp;AM37),2)," ",ROUND(INDIRECT("$d"&amp;AM37),2)," 0.0 ",ROUND(INDIRECT("$f"&amp;AM37),2)," ",ROUND(INDIRECT("$g"&amp;AM37),2)," ",ROUND(INDIRECT("$Ae"&amp;AM37),2))</f>
        <v>5441.59 10911.82 0.0 123.78 723.98 2736.36</v>
      </c>
      <c r="AO37" s="413"/>
      <c r="AP37" s="413"/>
      <c r="AQ37" s="413"/>
      <c r="AR37" s="413"/>
      <c r="AS37" s="413"/>
      <c r="AT37" s="413"/>
      <c r="AX37" s="655"/>
    </row>
    <row r="38" spans="1:50" ht="12" customHeight="1" x14ac:dyDescent="0.3">
      <c r="A38" s="100">
        <v>1992</v>
      </c>
      <c r="B38" s="224">
        <v>121944.05147316495</v>
      </c>
      <c r="C38" s="224">
        <v>113604.50156683507</v>
      </c>
      <c r="D38" s="226">
        <f>TOTALS!AG37/1000</f>
        <v>9658.6286700000001</v>
      </c>
      <c r="E38" s="226">
        <f>TOTALS!AH37/1000</f>
        <v>2516.7797400000004</v>
      </c>
      <c r="F38" s="226">
        <f>TOTALS!AI37/1000</f>
        <v>705.32935999999995</v>
      </c>
      <c r="G38" s="226">
        <f>TOTALS!BR37/1000/2</f>
        <v>1212.8954650000001</v>
      </c>
      <c r="H38" s="226"/>
      <c r="I38" s="224">
        <f t="shared" si="14"/>
        <v>119427.27173316495</v>
      </c>
      <c r="J38" s="224">
        <f t="shared" si="15"/>
        <v>99510.868331835067</v>
      </c>
      <c r="K38" s="225">
        <f t="shared" si="5"/>
        <v>0.81603708528360208</v>
      </c>
      <c r="L38" s="228">
        <f>TOTALS!BE98/1000+Q38</f>
        <v>179652.92731786182</v>
      </c>
      <c r="M38" s="225"/>
      <c r="N38" s="228"/>
      <c r="O38" s="228"/>
      <c r="P38" s="228">
        <f>TOTALS!AF98/1000</f>
        <v>225293.13647</v>
      </c>
      <c r="Q38" s="226">
        <f t="shared" si="6"/>
        <v>31406.456397861828</v>
      </c>
      <c r="R38" s="226">
        <f t="shared" si="10"/>
        <v>256699.59286786182</v>
      </c>
      <c r="S38" s="224">
        <v>256510</v>
      </c>
      <c r="T38" s="225">
        <f t="shared" si="13"/>
        <v>1.0007391246651665</v>
      </c>
      <c r="U38" s="224"/>
      <c r="V38" s="224">
        <v>3545787.1496270443</v>
      </c>
      <c r="W38" s="224">
        <v>3661363.1496270443</v>
      </c>
      <c r="X38" s="226">
        <f>'C1-Incomes'!J40</f>
        <v>5499747.9360999996</v>
      </c>
      <c r="Y38" s="226">
        <f>'C1-Incomes'!R40</f>
        <v>6217420.9360999996</v>
      </c>
      <c r="AA38" s="261">
        <f>'T-T1a'!J$66/'T-T1a'!J43</f>
        <v>1.5313313005287157</v>
      </c>
      <c r="AC38" s="440">
        <f t="shared" ref="AC38:AC61" si="16">V38/(1+0.2*(1-C38/B38))</f>
        <v>3497943.448186486</v>
      </c>
      <c r="AD38" s="441">
        <f t="shared" ref="AD38:AD61" si="17">B38-C38</f>
        <v>8339.5499063298776</v>
      </c>
      <c r="AE38" s="441">
        <f t="shared" ref="AE38:AE60" si="18">ROUND(0.2*AC38/B38*1000,2)</f>
        <v>5736.96</v>
      </c>
      <c r="AF38" s="441">
        <f t="shared" si="4"/>
        <v>47843.664230618255</v>
      </c>
      <c r="AG38" s="441"/>
      <c r="AH38" s="441">
        <f t="shared" si="7"/>
        <v>19916.403401329881</v>
      </c>
      <c r="AI38" s="441">
        <f t="shared" si="3"/>
        <v>5736.96</v>
      </c>
      <c r="AJ38" s="441">
        <f t="shared" si="11"/>
        <v>114259.60965729346</v>
      </c>
      <c r="AK38" s="441">
        <f t="shared" si="12"/>
        <v>7548.6728959744505</v>
      </c>
      <c r="AL38" s="441">
        <f>AJ38+('T-T1'!E41+'T-T1'!L41+'T-T1'!Q41+'T-T1'!T41+'T-T1'!AH41)*0.15</f>
        <v>150342.41454091223</v>
      </c>
      <c r="AM38" s="413"/>
      <c r="AN38" s="655" t="str">
        <f ca="1">CONCATENATE("data NonFilers",INDIRECT("$A"&amp;AM39),"; input xwgt_PS xwgt_20 xwgt_dep xwgt_noNR xwgt_mfs psnfinc; cards;")</f>
        <v>data NonFilers1979; input xwgt_PS xwgt_20 xwgt_dep xwgt_noNR xwgt_mfs psnfinc; cards;</v>
      </c>
      <c r="AO38" s="413"/>
      <c r="AP38" s="413"/>
      <c r="AQ38" s="413"/>
      <c r="AR38" s="413"/>
      <c r="AS38" s="413"/>
      <c r="AT38" s="413"/>
      <c r="AX38" s="655"/>
    </row>
    <row r="39" spans="1:50" ht="12" customHeight="1" x14ac:dyDescent="0.3">
      <c r="A39" s="100">
        <v>1993</v>
      </c>
      <c r="B39" s="224">
        <v>123378.49496791861</v>
      </c>
      <c r="C39" s="224">
        <v>114601.8135720814</v>
      </c>
      <c r="D39" s="226">
        <f>TOTALS!AG38/1000</f>
        <v>9468.8713499999994</v>
      </c>
      <c r="E39" s="226">
        <f>TOTALS!AH38/1000</f>
        <v>2388.7826500000001</v>
      </c>
      <c r="F39" s="226">
        <f>TOTALS!AI38/1000</f>
        <v>596.65251999999998</v>
      </c>
      <c r="G39" s="226">
        <f>TOTALS!BR38/1000/2</f>
        <v>1193.90021</v>
      </c>
      <c r="H39" s="226"/>
      <c r="I39" s="224">
        <f t="shared" si="14"/>
        <v>120989.71231791862</v>
      </c>
      <c r="J39" s="224">
        <f t="shared" si="15"/>
        <v>100953.6068420814</v>
      </c>
      <c r="K39" s="225">
        <f t="shared" si="5"/>
        <v>0.81824313765808032</v>
      </c>
      <c r="L39" s="228">
        <f>TOTALS!BE99/1000+Q39</f>
        <v>181386.10699617211</v>
      </c>
      <c r="M39" s="225"/>
      <c r="N39" s="228"/>
      <c r="O39" s="228"/>
      <c r="P39" s="228">
        <f>TOTALS!AF99/1000</f>
        <v>228254.01406000002</v>
      </c>
      <c r="Q39" s="226">
        <f t="shared" si="6"/>
        <v>31394.843376172095</v>
      </c>
      <c r="R39" s="226">
        <f t="shared" si="10"/>
        <v>259648.85743617211</v>
      </c>
      <c r="S39" s="224">
        <v>259920.00000000003</v>
      </c>
      <c r="T39" s="225">
        <f t="shared" si="13"/>
        <v>0.99895682300774113</v>
      </c>
      <c r="U39" s="224"/>
      <c r="V39" s="224">
        <v>3622021.4024536484</v>
      </c>
      <c r="W39" s="224">
        <v>3762368.4024536484</v>
      </c>
      <c r="X39" s="226">
        <f>'C1-Incomes'!J41</f>
        <v>5754784.1842999998</v>
      </c>
      <c r="Y39" s="226">
        <f>'C1-Incomes'!R41</f>
        <v>6519526.1840000004</v>
      </c>
      <c r="AA39" s="261">
        <f>'T-T1a'!J$66/'T-T1a'!J44</f>
        <v>1.4940296674354181</v>
      </c>
      <c r="AC39" s="440">
        <f t="shared" si="16"/>
        <v>3571212.8760280991</v>
      </c>
      <c r="AD39" s="441">
        <f t="shared" si="17"/>
        <v>8776.6813958372077</v>
      </c>
      <c r="AE39" s="441">
        <f t="shared" si="18"/>
        <v>5789.04</v>
      </c>
      <c r="AF39" s="441">
        <f t="shared" si="4"/>
        <v>50808.559667757429</v>
      </c>
      <c r="AG39" s="441"/>
      <c r="AH39" s="441">
        <f t="shared" si="7"/>
        <v>20036.105475837219</v>
      </c>
      <c r="AI39" s="441">
        <f t="shared" si="3"/>
        <v>5789.04</v>
      </c>
      <c r="AJ39" s="441">
        <f t="shared" si="11"/>
        <v>115989.81604384069</v>
      </c>
      <c r="AK39" s="441">
        <f t="shared" si="12"/>
        <v>7988.9508096167228</v>
      </c>
      <c r="AL39" s="441">
        <f>AJ39+('T-T1'!E42+'T-T1'!L42+'T-T1'!Q42+'T-T1'!T42+'T-T1'!AH42)*0.15</f>
        <v>160067.46106275581</v>
      </c>
      <c r="AM39" s="413">
        <f>AM37+1</f>
        <v>25</v>
      </c>
      <c r="AN39" s="655" t="str">
        <f ca="1">CONCATENATE(ROUND(INDIRECT("$Ad"&amp;AM39),2)," ",ROUND(INDIRECT("$d"&amp;AM39),2)," 0.0 ",ROUND(INDIRECT("$f"&amp;AM39),2)," ",ROUND(INDIRECT("$g"&amp;AM39),2)," ",ROUND(INDIRECT("$Ae"&amp;AM39),2))</f>
        <v>4798.58 11684.56 0.0 424.02 821.39 3000.17</v>
      </c>
      <c r="AO39" s="413"/>
      <c r="AP39" s="413"/>
      <c r="AQ39" s="413"/>
      <c r="AR39" s="413"/>
      <c r="AS39" s="413"/>
      <c r="AT39" s="413"/>
      <c r="AX39" s="655"/>
    </row>
    <row r="40" spans="1:50" ht="12" customHeight="1" x14ac:dyDescent="0.3">
      <c r="A40" s="100">
        <v>1994</v>
      </c>
      <c r="B40" s="224">
        <v>124715.80547807975</v>
      </c>
      <c r="C40" s="224">
        <v>115943.13510192024</v>
      </c>
      <c r="D40" s="226">
        <f>TOTALS!AG39/1000</f>
        <v>9663.2570399999986</v>
      </c>
      <c r="E40" s="226">
        <f>TOTALS!AH39/1000</f>
        <v>2480.68842</v>
      </c>
      <c r="F40" s="226">
        <f>TOTALS!AI39/1000</f>
        <v>623.49963000000002</v>
      </c>
      <c r="G40" s="226">
        <f>TOTALS!BR39/1000/2</f>
        <v>1211.4939399999998</v>
      </c>
      <c r="H40" s="226"/>
      <c r="I40" s="224">
        <f t="shared" si="14"/>
        <v>122235.11705807975</v>
      </c>
      <c r="J40" s="224">
        <f t="shared" si="15"/>
        <v>101964.19607192023</v>
      </c>
      <c r="K40" s="225">
        <f t="shared" si="5"/>
        <v>0.81757236527523869</v>
      </c>
      <c r="L40" s="228">
        <f>TOTALS!BE100/1000+Q40</f>
        <v>183002.66948862333</v>
      </c>
      <c r="M40" s="225"/>
      <c r="N40" s="228"/>
      <c r="O40" s="228"/>
      <c r="P40" s="228">
        <f>TOTALS!AF100/1000</f>
        <v>228022.94815000001</v>
      </c>
      <c r="Q40" s="226">
        <f t="shared" si="6"/>
        <v>31852.253168623327</v>
      </c>
      <c r="R40" s="226">
        <f t="shared" si="10"/>
        <v>259875.20131862332</v>
      </c>
      <c r="S40" s="224">
        <v>263130</v>
      </c>
      <c r="T40" s="225">
        <f t="shared" si="13"/>
        <v>0.9876304538388756</v>
      </c>
      <c r="U40" s="224"/>
      <c r="V40" s="224">
        <v>3805320.5921740835</v>
      </c>
      <c r="W40" s="224">
        <v>3944421.5921740835</v>
      </c>
      <c r="X40" s="226">
        <f>'C1-Incomes'!J42</f>
        <v>6140229.0157000003</v>
      </c>
      <c r="Y40" s="226">
        <f>'C1-Incomes'!R42</f>
        <v>6938551.0152000003</v>
      </c>
      <c r="AA40" s="261">
        <f>'T-T1a'!J$66/'T-T1a'!J45</f>
        <v>1.4635910324452228</v>
      </c>
      <c r="AC40" s="440">
        <f t="shared" si="16"/>
        <v>3752529.0469807009</v>
      </c>
      <c r="AD40" s="441">
        <f t="shared" si="17"/>
        <v>8772.6703761595127</v>
      </c>
      <c r="AE40" s="441">
        <f t="shared" si="18"/>
        <v>6017.73</v>
      </c>
      <c r="AF40" s="441">
        <f t="shared" si="4"/>
        <v>52791.56170272638</v>
      </c>
      <c r="AG40" s="441"/>
      <c r="AH40" s="441">
        <f t="shared" si="7"/>
        <v>20270.920986159515</v>
      </c>
      <c r="AI40" s="441">
        <f t="shared" si="3"/>
        <v>6017.73</v>
      </c>
      <c r="AJ40" s="441">
        <f t="shared" si="11"/>
        <v>121984.9293460417</v>
      </c>
      <c r="AK40" s="441">
        <f t="shared" si="12"/>
        <v>8423.7246265086487</v>
      </c>
      <c r="AL40" s="441">
        <f>AJ40+('T-T1'!E43+'T-T1'!L43+'T-T1'!Q43+'T-T1'!T43+'T-T1'!AH43)*0.15</f>
        <v>170756.65631312289</v>
      </c>
      <c r="AM40" s="413"/>
      <c r="AN40" s="655" t="str">
        <f ca="1">CONCATENATE("data NonFilers",INDIRECT("$A"&amp;AM41),"; input xwgt_PS xwgt_20 xwgt_dep xwgt_noNR xwgt_mfs psnfinc; cards;")</f>
        <v>data NonFilers1980; input xwgt_PS xwgt_20 xwgt_dep xwgt_noNR xwgt_mfs psnfinc; cards;</v>
      </c>
      <c r="AO40" s="413"/>
      <c r="AP40" s="413"/>
      <c r="AQ40" s="413"/>
      <c r="AR40" s="413"/>
      <c r="AS40" s="413"/>
      <c r="AT40" s="413"/>
      <c r="AX40" s="655"/>
    </row>
    <row r="41" spans="1:50" ht="12" customHeight="1" x14ac:dyDescent="0.3">
      <c r="A41" s="100">
        <v>1995</v>
      </c>
      <c r="B41" s="224">
        <v>126023</v>
      </c>
      <c r="C41" s="224">
        <v>118220.81664</v>
      </c>
      <c r="D41" s="226">
        <f>TOTALS!AG40/1000</f>
        <v>10123.177439999999</v>
      </c>
      <c r="E41" s="226">
        <f>TOTALS!AH40/1000</f>
        <v>2551.2534599999999</v>
      </c>
      <c r="F41" s="226">
        <f>TOTALS!AI40/1000</f>
        <v>577.49529000000007</v>
      </c>
      <c r="G41" s="226">
        <f>TOTALS!BR40/1000/2</f>
        <v>1289.0479599999999</v>
      </c>
      <c r="H41" s="226"/>
      <c r="I41" s="224">
        <f t="shared" si="14"/>
        <v>123471.74653999999</v>
      </c>
      <c r="J41" s="224">
        <f t="shared" si="15"/>
        <v>103679.84249</v>
      </c>
      <c r="K41" s="225">
        <f t="shared" si="5"/>
        <v>0.8227057163374939</v>
      </c>
      <c r="L41" s="228">
        <f>TOTALS!BE101/1000+Q41</f>
        <v>184876.72911399999</v>
      </c>
      <c r="M41" s="225"/>
      <c r="N41" s="228"/>
      <c r="O41" s="228"/>
      <c r="P41" s="228">
        <f>TOTALS!AF101/1000</f>
        <v>232742.40588999999</v>
      </c>
      <c r="Q41" s="226">
        <f t="shared" si="6"/>
        <v>31280.420514000005</v>
      </c>
      <c r="R41" s="226">
        <f t="shared" si="10"/>
        <v>264022.82640399999</v>
      </c>
      <c r="S41" s="224">
        <v>266280</v>
      </c>
      <c r="T41" s="225">
        <f t="shared" si="13"/>
        <v>0.99152330781132636</v>
      </c>
      <c r="U41" s="224"/>
      <c r="V41" s="224">
        <v>4050827.5599636263</v>
      </c>
      <c r="W41" s="224">
        <v>4218232.5599636268</v>
      </c>
      <c r="X41" s="226">
        <f>'C1-Incomes'!J43</f>
        <v>6479476.4874999998</v>
      </c>
      <c r="Y41" s="226">
        <f>'C1-Incomes'!R43</f>
        <v>7324486.4874</v>
      </c>
      <c r="AA41" s="261">
        <f>'T-T1a'!J$66/'T-T1a'!J46</f>
        <v>1.4338231442191838</v>
      </c>
      <c r="AC41" s="440">
        <f t="shared" si="16"/>
        <v>4001283.0419493783</v>
      </c>
      <c r="AD41" s="441">
        <f t="shared" si="17"/>
        <v>7802.1833599999954</v>
      </c>
      <c r="AE41" s="441">
        <f t="shared" si="18"/>
        <v>6350.08</v>
      </c>
      <c r="AF41" s="441">
        <f t="shared" si="4"/>
        <v>49544.488510668773</v>
      </c>
      <c r="AG41" s="441"/>
      <c r="AH41" s="441">
        <f t="shared" si="7"/>
        <v>19791.904049999997</v>
      </c>
      <c r="AI41" s="441">
        <f t="shared" si="3"/>
        <v>6350.08</v>
      </c>
      <c r="AJ41" s="441">
        <f t="shared" si="11"/>
        <v>125680.17406982397</v>
      </c>
      <c r="AK41" s="441">
        <f t="shared" si="12"/>
        <v>8907.7997915778415</v>
      </c>
      <c r="AL41" s="441">
        <f>AJ41+('T-T1'!E44+'T-T1'!L44+'T-T1'!Q44+'T-T1'!T44+'T-T1'!AH44)*0.15</f>
        <v>176302.31877151862</v>
      </c>
      <c r="AM41" s="413">
        <f>AM39+1</f>
        <v>26</v>
      </c>
      <c r="AN41" s="655" t="str">
        <f ca="1">CONCATENATE(ROUND(INDIRECT("$Ad"&amp;AM41),2)," ",ROUND(INDIRECT("$d"&amp;AM41),2)," 0.0 ",ROUND(INDIRECT("$f"&amp;AM41),2)," ",ROUND(INDIRECT("$g"&amp;AM41),2)," ",ROUND(INDIRECT("$Ae"&amp;AM41),2))</f>
        <v>5722.87 10963.28 0.0 279.46 814.38 3238.66</v>
      </c>
      <c r="AO41" s="413"/>
      <c r="AP41" s="413"/>
      <c r="AQ41" s="413"/>
      <c r="AR41" s="413"/>
      <c r="AS41" s="413"/>
      <c r="AT41" s="413"/>
      <c r="AX41" s="655"/>
    </row>
    <row r="42" spans="1:50" ht="12" customHeight="1" x14ac:dyDescent="0.3">
      <c r="A42" s="100">
        <v>1996</v>
      </c>
      <c r="B42" s="224">
        <v>127625.25324638988</v>
      </c>
      <c r="C42" s="224">
        <v>120353.19137361013</v>
      </c>
      <c r="D42" s="226">
        <f>TOTALS!AG41/1000</f>
        <v>10578.68534</v>
      </c>
      <c r="E42" s="226">
        <f>TOTALS!AH41/1000</f>
        <v>2536.2184200000002</v>
      </c>
      <c r="F42" s="226">
        <f>TOTALS!AI41/1000</f>
        <v>640.17041000000006</v>
      </c>
      <c r="G42" s="226">
        <f>TOTALS!BR41/1000/2</f>
        <v>1256.927915</v>
      </c>
      <c r="H42" s="226"/>
      <c r="I42" s="224">
        <f t="shared" si="14"/>
        <v>125089.03482638988</v>
      </c>
      <c r="J42" s="224">
        <f t="shared" si="15"/>
        <v>105341.18928861013</v>
      </c>
      <c r="K42" s="225">
        <f t="shared" si="5"/>
        <v>0.82539455639896953</v>
      </c>
      <c r="L42" s="228">
        <f>TOTALS!BE102/1000+Q42</f>
        <v>186242.19626089165</v>
      </c>
      <c r="M42" s="225"/>
      <c r="N42" s="228"/>
      <c r="O42" s="228"/>
      <c r="P42" s="228">
        <f>TOTALS!AF102/1000</f>
        <v>234144.79612000001</v>
      </c>
      <c r="Q42" s="226">
        <f t="shared" si="6"/>
        <v>31197.689540891657</v>
      </c>
      <c r="R42" s="226">
        <f t="shared" si="10"/>
        <v>265342.48566089169</v>
      </c>
      <c r="S42" s="224">
        <v>269390</v>
      </c>
      <c r="T42" s="225">
        <f t="shared" si="13"/>
        <v>0.98497526137158653</v>
      </c>
      <c r="U42" s="224"/>
      <c r="V42" s="224">
        <v>4309234.881231687</v>
      </c>
      <c r="W42" s="224">
        <v>4558766.881231687</v>
      </c>
      <c r="X42" s="226">
        <f>'C1-Incomes'!J44</f>
        <v>6899394.8994000005</v>
      </c>
      <c r="Y42" s="226">
        <f>'C1-Incomes'!R44</f>
        <v>7786956.8992999997</v>
      </c>
      <c r="AA42" s="261">
        <f>'T-T1a'!J$66/'T-T1a'!J47</f>
        <v>1.403944550595658</v>
      </c>
      <c r="AC42" s="440">
        <f t="shared" si="16"/>
        <v>4260680.3354325341</v>
      </c>
      <c r="AD42" s="441">
        <f t="shared" si="17"/>
        <v>7272.0618727797555</v>
      </c>
      <c r="AE42" s="441">
        <f t="shared" si="18"/>
        <v>6676.86</v>
      </c>
      <c r="AF42" s="441">
        <f t="shared" si="4"/>
        <v>48554.539035888229</v>
      </c>
      <c r="AG42" s="441"/>
      <c r="AH42" s="441">
        <f t="shared" si="7"/>
        <v>19747.845537779751</v>
      </c>
      <c r="AI42" s="441">
        <f t="shared" si="3"/>
        <v>6676.86</v>
      </c>
      <c r="AJ42" s="441">
        <f t="shared" si="11"/>
        <v>131853.59995738009</v>
      </c>
      <c r="AK42" s="441">
        <f t="shared" si="12"/>
        <v>9702.0354415123984</v>
      </c>
      <c r="AL42" s="441">
        <f>AJ42+('T-T1'!E45+'T-T1'!L45+'T-T1'!Q45+'T-T1'!T45+'T-T1'!AH45)*0.15</f>
        <v>191594.29730105161</v>
      </c>
      <c r="AM42" s="413"/>
      <c r="AN42" s="655" t="str">
        <f ca="1">CONCATENATE("data NonFilers",INDIRECT("$A"&amp;AM43),"; input xwgt_PS xwgt_20 xwgt_dep xwgt_noNR xwgt_mfs psnfinc; cards;")</f>
        <v>data NonFilers1981; input xwgt_PS xwgt_20 xwgt_dep xwgt_noNR xwgt_mfs psnfinc; cards;</v>
      </c>
      <c r="AO42" s="413"/>
      <c r="AP42" s="413"/>
      <c r="AQ42" s="413"/>
      <c r="AR42" s="413"/>
      <c r="AS42" s="413"/>
      <c r="AT42" s="413"/>
      <c r="AX42" s="655"/>
    </row>
    <row r="43" spans="1:50" ht="12" customHeight="1" x14ac:dyDescent="0.3">
      <c r="A43" s="100">
        <v>1997</v>
      </c>
      <c r="B43" s="224">
        <v>129301.25716290172</v>
      </c>
      <c r="C43" s="224">
        <v>122413.70646709827</v>
      </c>
      <c r="D43" s="226">
        <f>TOTALS!AG42/1000</f>
        <v>11206.34871</v>
      </c>
      <c r="E43" s="226">
        <f>TOTALS!AH42/1000</f>
        <v>2622.6212700000001</v>
      </c>
      <c r="F43" s="226">
        <f>TOTALS!AI42/1000</f>
        <v>712.34577000000002</v>
      </c>
      <c r="G43" s="226">
        <f>TOTALS!BR42/1000/2</f>
        <v>1296.761665</v>
      </c>
      <c r="H43" s="226"/>
      <c r="I43" s="224">
        <f t="shared" si="14"/>
        <v>126678.63589290172</v>
      </c>
      <c r="J43" s="224">
        <f t="shared" si="15"/>
        <v>106575.62905209826</v>
      </c>
      <c r="K43" s="225">
        <f t="shared" si="5"/>
        <v>0.82424279075514084</v>
      </c>
      <c r="L43" s="228">
        <f>TOTALS!BE103/1000+Q43</f>
        <v>188386.06745512484</v>
      </c>
      <c r="M43" s="225"/>
      <c r="N43" s="228"/>
      <c r="O43" s="228"/>
      <c r="P43" s="228">
        <f>TOTALS!AF103/1000</f>
        <v>236406.29566999999</v>
      </c>
      <c r="Q43" s="226">
        <f t="shared" si="6"/>
        <v>31815.879355124842</v>
      </c>
      <c r="R43" s="226">
        <f>P43+Q43</f>
        <v>268222.17502512486</v>
      </c>
      <c r="S43" s="224">
        <v>272650</v>
      </c>
      <c r="T43" s="225">
        <f>R43/S43</f>
        <v>0.9837600404369149</v>
      </c>
      <c r="U43" s="224"/>
      <c r="V43" s="224">
        <v>4636736.7545036357</v>
      </c>
      <c r="W43" s="224">
        <v>4991358.7545036357</v>
      </c>
      <c r="X43" s="226">
        <f>'C1-Incomes'!J45</f>
        <v>7380370.9369000001</v>
      </c>
      <c r="Y43" s="226">
        <f>'C1-Incomes'!R45</f>
        <v>8296499.9369000001</v>
      </c>
      <c r="AA43" s="261">
        <f>'T-T1a'!J$66/'T-T1a'!J48</f>
        <v>1.3801227829112408</v>
      </c>
      <c r="AC43" s="440">
        <f t="shared" si="16"/>
        <v>4587860.016347819</v>
      </c>
      <c r="AD43" s="441">
        <f t="shared" si="17"/>
        <v>6887.550695803453</v>
      </c>
      <c r="AE43" s="441">
        <f t="shared" si="18"/>
        <v>7096.39</v>
      </c>
      <c r="AF43" s="441">
        <f t="shared" si="4"/>
        <v>48876.74588219267</v>
      </c>
      <c r="AG43" s="441"/>
      <c r="AH43" s="441">
        <f t="shared" si="7"/>
        <v>20103.006840803457</v>
      </c>
      <c r="AI43" s="441">
        <f t="shared" si="3"/>
        <v>7096.39</v>
      </c>
      <c r="AJ43" s="441">
        <f t="shared" si="11"/>
        <v>142658.77671500924</v>
      </c>
      <c r="AK43" s="441">
        <f t="shared" si="12"/>
        <v>10306.112949107925</v>
      </c>
      <c r="AL43" s="441">
        <f>AJ43+('T-T1'!E46+'T-T1'!L46+'T-T1'!Q46+'T-T1'!T46+'T-T1'!AH46)*0.15</f>
        <v>207183.85911800971</v>
      </c>
      <c r="AM43" s="413">
        <f>AM41+1</f>
        <v>27</v>
      </c>
      <c r="AN43" s="655" t="str">
        <f ca="1">CONCATENATE(ROUND(INDIRECT("$Ad"&amp;AM43),2)," ",ROUND(INDIRECT("$d"&amp;AM43),2)," 0.0 ",ROUND(INDIRECT("$f"&amp;AM43),2)," ",ROUND(INDIRECT("$g"&amp;AM43),2)," ",ROUND(INDIRECT("$Ae"&amp;AM43),2))</f>
        <v>6052.42 10263.38 0.0 598.83 719.96 3514.8</v>
      </c>
      <c r="AO43" s="413"/>
      <c r="AP43" s="413"/>
      <c r="AQ43" s="413"/>
      <c r="AR43" s="413"/>
      <c r="AS43" s="413"/>
      <c r="AT43" s="413"/>
      <c r="AX43" s="655"/>
    </row>
    <row r="44" spans="1:50" ht="12" customHeight="1" x14ac:dyDescent="0.3">
      <c r="A44" s="18">
        <v>1998</v>
      </c>
      <c r="B44" s="224">
        <v>130945</v>
      </c>
      <c r="C44" s="224">
        <v>124771.63879000001</v>
      </c>
      <c r="D44" s="226">
        <f>TOTALS!AG43/1000</f>
        <v>11092.42016</v>
      </c>
      <c r="E44" s="226">
        <f>TOTALS!AH43/1000</f>
        <v>2591.19542</v>
      </c>
      <c r="F44" s="226">
        <f>TOTALS!AI43/1000</f>
        <v>663.83172000000002</v>
      </c>
      <c r="G44" s="226">
        <f>TOTALS!BR43/1000/2</f>
        <v>1250.9884850000001</v>
      </c>
      <c r="H44" s="226"/>
      <c r="I44" s="224">
        <f t="shared" si="14"/>
        <v>128353.80458</v>
      </c>
      <c r="J44" s="224">
        <f t="shared" si="15"/>
        <v>109173.20300500002</v>
      </c>
      <c r="K44" s="225">
        <f t="shared" ref="K44:K61" si="19">J44/B44</f>
        <v>0.83373326973156681</v>
      </c>
      <c r="L44" s="228">
        <f>TOTALS!BE104/1000+Q44</f>
        <v>190144.53561299996</v>
      </c>
      <c r="M44" s="225"/>
      <c r="N44" s="228"/>
      <c r="O44" s="228"/>
      <c r="P44" s="228">
        <f>TOTALS!AF104/1000</f>
        <v>240880.01762</v>
      </c>
      <c r="Q44" s="226">
        <f t="shared" ref="Q44:Q60" si="20">1.4*(B44-J44)</f>
        <v>30480.515792999973</v>
      </c>
      <c r="R44" s="226">
        <f t="shared" si="10"/>
        <v>271360.533413</v>
      </c>
      <c r="S44" s="224">
        <v>275850</v>
      </c>
      <c r="T44" s="225">
        <f t="shared" si="13"/>
        <v>0.98372497158963201</v>
      </c>
      <c r="U44" s="224"/>
      <c r="V44" s="224">
        <v>4992745.3425246943</v>
      </c>
      <c r="W44" s="224">
        <v>5437253.3425246943</v>
      </c>
      <c r="X44" s="226">
        <f>'C1-Incomes'!J46</f>
        <v>7857277.2644999996</v>
      </c>
      <c r="Y44" s="226">
        <f>'C1-Incomes'!R46</f>
        <v>8794259.2651000004</v>
      </c>
      <c r="AA44" s="261">
        <f>'T-T1a'!J$66/'T-T1a'!J49</f>
        <v>1.3696081865492391</v>
      </c>
      <c r="AC44" s="440">
        <f t="shared" si="16"/>
        <v>4946108.7910699137</v>
      </c>
      <c r="AD44" s="441">
        <f t="shared" si="17"/>
        <v>6173.3612099999882</v>
      </c>
      <c r="AE44" s="441">
        <f t="shared" si="18"/>
        <v>7554.48</v>
      </c>
      <c r="AF44" s="441">
        <f t="shared" si="4"/>
        <v>46636.533793720708</v>
      </c>
      <c r="AG44" s="441"/>
      <c r="AH44" s="441">
        <f t="shared" ref="AH44:AH60" si="21">I44-J44</f>
        <v>19180.601574999979</v>
      </c>
      <c r="AI44" s="441">
        <f t="shared" si="3"/>
        <v>7554.48</v>
      </c>
      <c r="AJ44" s="441">
        <f t="shared" si="11"/>
        <v>144899.47098630582</v>
      </c>
      <c r="AK44" s="441">
        <f t="shared" si="12"/>
        <v>11532.459938107813</v>
      </c>
      <c r="AL44" s="441">
        <f>AJ44+('T-T1'!E47+'T-T1'!L47+'T-T1'!Q47+'T-T1'!T47+'T-T1'!AH47)*0.15</f>
        <v>221199.51925249488</v>
      </c>
      <c r="AM44" s="413"/>
      <c r="AN44" s="655" t="str">
        <f ca="1">CONCATENATE("data NonFilers",INDIRECT("$A"&amp;AM45),"; input xwgt_PS xwgt_20 xwgt_dep xwgt_noNR xwgt_mfs psnfinc; cards;")</f>
        <v>data NonFilers1982; input xwgt_PS xwgt_20 xwgt_dep xwgt_noNR xwgt_mfs psnfinc; cards;</v>
      </c>
      <c r="AO44" s="413"/>
      <c r="AP44" s="413"/>
      <c r="AQ44" s="413"/>
      <c r="AR44" s="413"/>
      <c r="AS44" s="413"/>
      <c r="AT44" s="413"/>
      <c r="AX44" s="655"/>
    </row>
    <row r="45" spans="1:50" ht="12" customHeight="1" x14ac:dyDescent="0.3">
      <c r="A45" s="100">
        <v>1999</v>
      </c>
      <c r="B45" s="224">
        <v>132267</v>
      </c>
      <c r="C45" s="224">
        <v>128399.74947000001</v>
      </c>
      <c r="D45" s="226">
        <f>TOTALS!AG44/1000</f>
        <v>11522.98151</v>
      </c>
      <c r="E45" s="226">
        <f>TOTALS!AH44/1000</f>
        <v>2805.7337200000002</v>
      </c>
      <c r="F45" s="226">
        <f>TOTALS!AI44/1000</f>
        <v>763.05457999999999</v>
      </c>
      <c r="G45" s="226">
        <f>TOTALS!BR44/1000/2</f>
        <v>1193.1729250000001</v>
      </c>
      <c r="H45" s="226"/>
      <c r="I45" s="224">
        <f t="shared" si="14"/>
        <v>129461.26628</v>
      </c>
      <c r="J45" s="224">
        <f t="shared" si="15"/>
        <v>112114.80673500001</v>
      </c>
      <c r="K45" s="225">
        <f t="shared" si="19"/>
        <v>0.84764005182698632</v>
      </c>
      <c r="L45" s="228">
        <f>TOTALS!BE105/1000+Q45</f>
        <v>191965.29766099999</v>
      </c>
      <c r="M45" s="225"/>
      <c r="N45" s="228"/>
      <c r="O45" s="228"/>
      <c r="P45" s="228">
        <f>TOTALS!AF105/1000</f>
        <v>240541.92912000002</v>
      </c>
      <c r="Q45" s="226">
        <f t="shared" si="20"/>
        <v>28213.070570999989</v>
      </c>
      <c r="R45" s="226">
        <f t="shared" si="10"/>
        <v>268754.99969099998</v>
      </c>
      <c r="S45" s="224">
        <v>279040</v>
      </c>
      <c r="T45" s="225">
        <f t="shared" si="13"/>
        <v>0.96314148398437494</v>
      </c>
      <c r="U45" s="224"/>
      <c r="V45" s="224">
        <v>5350790.054969117</v>
      </c>
      <c r="W45" s="224">
        <v>5872170.4169691168</v>
      </c>
      <c r="X45" s="226">
        <f>'C1-Incomes'!J47</f>
        <v>8324398.7141000004</v>
      </c>
      <c r="Y45" s="226">
        <f>'C1-Incomes'!R47</f>
        <v>9297633.7148000002</v>
      </c>
      <c r="AA45" s="261">
        <f>'T-T1a'!J$66/'T-T1a'!J50</f>
        <v>1.3497842436197756</v>
      </c>
      <c r="AC45" s="440">
        <f t="shared" si="16"/>
        <v>5319682.4547475148</v>
      </c>
      <c r="AD45" s="441">
        <f t="shared" si="17"/>
        <v>3867.2505299999902</v>
      </c>
      <c r="AE45" s="441">
        <f t="shared" si="18"/>
        <v>8043.85</v>
      </c>
      <c r="AF45" s="441">
        <f t="shared" si="4"/>
        <v>31107.583175740423</v>
      </c>
      <c r="AG45" s="441"/>
      <c r="AH45" s="441">
        <f t="shared" si="21"/>
        <v>17346.459544999991</v>
      </c>
      <c r="AI45" s="441">
        <f t="shared" si="3"/>
        <v>8043.85</v>
      </c>
      <c r="AJ45" s="441">
        <f t="shared" si="11"/>
        <v>139532.31861104819</v>
      </c>
      <c r="AK45" s="441">
        <f t="shared" si="12"/>
        <v>12297.674771686652</v>
      </c>
      <c r="AL45" s="441">
        <f>AJ45+('T-T1'!E48+'T-T1'!L48+'T-T1'!Q48+'T-T1'!T48+'T-T1'!AH48)*0.15</f>
        <v>213321.11792462948</v>
      </c>
      <c r="AM45" s="413">
        <f>AM43+1</f>
        <v>28</v>
      </c>
      <c r="AN45" s="655" t="str">
        <f ca="1">CONCATENATE(ROUND(INDIRECT("$Ad"&amp;AM45),2)," ",ROUND(INDIRECT("$d"&amp;AM45),2)," 0.0 ",ROUND(INDIRECT("$f"&amp;AM45),2)," ",ROUND(INDIRECT("$g"&amp;AM45),2)," ",ROUND(INDIRECT("$Ae"&amp;AM45),2))</f>
        <v>7913.01 9145.12 0.0 592.2 551.47 3640.02</v>
      </c>
      <c r="AO45" s="413"/>
      <c r="AP45" s="413"/>
      <c r="AQ45" s="413"/>
      <c r="AR45" s="413"/>
      <c r="AS45" s="413"/>
      <c r="AT45" s="413"/>
      <c r="AX45" s="655"/>
    </row>
    <row r="46" spans="1:50" ht="12" customHeight="1" x14ac:dyDescent="0.3">
      <c r="A46" s="100">
        <v>2000</v>
      </c>
      <c r="B46" s="224">
        <v>134473</v>
      </c>
      <c r="C46" s="224">
        <v>129659.23924999998</v>
      </c>
      <c r="D46" s="226">
        <f>TOTALS!AG45/1000</f>
        <v>11687.26669</v>
      </c>
      <c r="E46" s="226">
        <f>TOTALS!AH45/1000</f>
        <v>2790.5014999999999</v>
      </c>
      <c r="F46" s="226">
        <f>TOTALS!AI45/1000</f>
        <v>832.71914000000004</v>
      </c>
      <c r="G46" s="226">
        <f>TOTALS!BR45/1000/2</f>
        <v>1232.9434450000001</v>
      </c>
      <c r="H46" s="226"/>
      <c r="I46" s="224">
        <f t="shared" si="14"/>
        <v>131682.49849999999</v>
      </c>
      <c r="J46" s="224">
        <f t="shared" si="15"/>
        <v>113115.80847499998</v>
      </c>
      <c r="K46" s="225">
        <f t="shared" si="19"/>
        <v>0.84117858956816594</v>
      </c>
      <c r="L46" s="228">
        <f>TOTALS!BE106/1000+Q46</f>
        <v>194265.11905499999</v>
      </c>
      <c r="M46" s="225"/>
      <c r="N46" s="228"/>
      <c r="O46" s="228"/>
      <c r="P46" s="228">
        <f>TOTALS!AF106/1000</f>
        <v>247446.17006999999</v>
      </c>
      <c r="Q46" s="226">
        <f t="shared" si="20"/>
        <v>29900.06813500002</v>
      </c>
      <c r="R46" s="226">
        <f t="shared" si="10"/>
        <v>277346.238205</v>
      </c>
      <c r="S46" s="224">
        <v>282160</v>
      </c>
      <c r="T46" s="225">
        <f t="shared" si="13"/>
        <v>0.9829396023709952</v>
      </c>
      <c r="U46" s="224"/>
      <c r="V46" s="224">
        <v>5712242.5007777316</v>
      </c>
      <c r="W46" s="224">
        <v>6326982.1137777315</v>
      </c>
      <c r="X46" s="226">
        <f>'C1-Incomes'!J48</f>
        <v>8907019.0170000009</v>
      </c>
      <c r="Y46" s="226">
        <f>'C1-Incomes'!R48</f>
        <v>9931340.0171000008</v>
      </c>
      <c r="AA46" s="261">
        <f>'T-T1a'!J$66/'T-T1a'!J51</f>
        <v>1.3169696021941273</v>
      </c>
      <c r="AC46" s="440">
        <f t="shared" si="16"/>
        <v>5671636.7252595052</v>
      </c>
      <c r="AD46" s="441">
        <f t="shared" si="17"/>
        <v>4813.7607500000158</v>
      </c>
      <c r="AE46" s="441">
        <f t="shared" si="18"/>
        <v>8435.35</v>
      </c>
      <c r="AF46" s="441">
        <f t="shared" si="4"/>
        <v>40605.756742512633</v>
      </c>
      <c r="AG46" s="441"/>
      <c r="AH46" s="441">
        <f t="shared" si="21"/>
        <v>18566.690025000004</v>
      </c>
      <c r="AI46" s="441">
        <f t="shared" si="3"/>
        <v>8435.35</v>
      </c>
      <c r="AJ46" s="441">
        <f t="shared" si="11"/>
        <v>156616.52870238377</v>
      </c>
      <c r="AK46" s="441">
        <f t="shared" si="12"/>
        <v>13385.838339922686</v>
      </c>
      <c r="AL46" s="441">
        <f>AJ46+('T-T1'!E49+'T-T1'!L49+'T-T1'!Q49+'T-T1'!T49+'T-T1'!AH49)*0.15</f>
        <v>248530.71118210512</v>
      </c>
      <c r="AM46" s="413"/>
      <c r="AN46" s="655" t="str">
        <f ca="1">CONCATENATE("data NonFilers",INDIRECT("$A"&amp;AM47),"; input xwgt_PS xwgt_20 xwgt_dep xwgt_noNR xwgt_mfs psnfinc; cards;")</f>
        <v>data NonFilers1983; input xwgt_PS xwgt_20 xwgt_dep xwgt_noNR xwgt_mfs psnfinc; cards;</v>
      </c>
      <c r="AO46" s="413"/>
      <c r="AP46" s="413"/>
      <c r="AQ46" s="413"/>
      <c r="AR46" s="413"/>
      <c r="AS46" s="413"/>
      <c r="AT46" s="413"/>
      <c r="AX46" s="655"/>
    </row>
    <row r="47" spans="1:50" ht="12" customHeight="1" x14ac:dyDescent="0.3">
      <c r="A47" s="100">
        <v>2001</v>
      </c>
      <c r="B47" s="224">
        <v>137088</v>
      </c>
      <c r="C47" s="224">
        <v>130255.23436</v>
      </c>
      <c r="D47" s="226">
        <f>TOTALS!AG46/1000</f>
        <v>10729.76261</v>
      </c>
      <c r="E47" s="226">
        <f>TOTALS!AH46/1000</f>
        <v>2805.7911600000002</v>
      </c>
      <c r="F47" s="226">
        <f>TOTALS!AI46/1000</f>
        <v>768.24775999999997</v>
      </c>
      <c r="G47" s="226">
        <f>TOTALS!BR46/1000/2</f>
        <v>1205.2919850000001</v>
      </c>
      <c r="H47" s="226"/>
      <c r="I47" s="224">
        <f t="shared" si="14"/>
        <v>134282.20884000001</v>
      </c>
      <c r="J47" s="224">
        <f t="shared" si="15"/>
        <v>114746.140845</v>
      </c>
      <c r="K47" s="225">
        <f t="shared" si="19"/>
        <v>0.83702542049632356</v>
      </c>
      <c r="L47" s="228">
        <f>TOTALS!BE107/1000+Q47</f>
        <v>197784.70815700002</v>
      </c>
      <c r="M47" s="225"/>
      <c r="N47" s="228"/>
      <c r="O47" s="228"/>
      <c r="P47" s="228">
        <f>TOTALS!AF107/1000</f>
        <v>250778.44025000001</v>
      </c>
      <c r="Q47" s="226">
        <f t="shared" si="20"/>
        <v>31278.602816999995</v>
      </c>
      <c r="R47" s="226">
        <f t="shared" si="10"/>
        <v>282057.04306699999</v>
      </c>
      <c r="S47" s="224">
        <v>284970</v>
      </c>
      <c r="T47" s="225">
        <f t="shared" si="13"/>
        <v>0.98977802248306834</v>
      </c>
      <c r="U47" s="224"/>
      <c r="V47" s="224">
        <v>5846257.532873421</v>
      </c>
      <c r="W47" s="224">
        <v>6171426.532873421</v>
      </c>
      <c r="X47" s="226">
        <f>'C1-Incomes'!J49</f>
        <v>9184632.3684999999</v>
      </c>
      <c r="Y47" s="226">
        <f>'C1-Incomes'!R49</f>
        <v>10307698.368000001</v>
      </c>
      <c r="AA47" s="261">
        <f>'T-T1a'!J$66/'T-T1a'!J52</f>
        <v>1.2920246412386707</v>
      </c>
      <c r="AC47" s="440">
        <f t="shared" si="16"/>
        <v>5788554.6885960223</v>
      </c>
      <c r="AD47" s="441">
        <f t="shared" si="17"/>
        <v>6832.7656399999978</v>
      </c>
      <c r="AE47" s="441">
        <f t="shared" si="18"/>
        <v>8445.02</v>
      </c>
      <c r="AF47" s="441">
        <f t="shared" si="4"/>
        <v>57702.842485112786</v>
      </c>
      <c r="AG47" s="441"/>
      <c r="AH47" s="441">
        <f t="shared" si="21"/>
        <v>19536.067995000005</v>
      </c>
      <c r="AI47" s="441">
        <f t="shared" si="3"/>
        <v>8445.02</v>
      </c>
      <c r="AJ47" s="441">
        <f t="shared" si="11"/>
        <v>164982.48493913494</v>
      </c>
      <c r="AK47" s="441">
        <f t="shared" si="12"/>
        <v>13951.205419279613</v>
      </c>
      <c r="AL47" s="441">
        <f>AJ47+('T-T1'!E50+'T-T1'!L50+'T-T1'!Q50+'T-T1'!T50+'T-T1'!AH50)*0.15</f>
        <v>272551.69768325909</v>
      </c>
      <c r="AM47" s="413">
        <f>AM45+1</f>
        <v>29</v>
      </c>
      <c r="AN47" s="655" t="str">
        <f ca="1">CONCATENATE(ROUND(INDIRECT("$Ad"&amp;AM47),2)," ",ROUND(INDIRECT("$d"&amp;AM47),2)," 0.0 ",ROUND(INDIRECT("$f"&amp;AM47),2)," ",ROUND(INDIRECT("$g"&amp;AM47),2)," ",ROUND(INDIRECT("$Ae"&amp;AM47),2))</f>
        <v>8745.67 8863.34 0.0 643.71 457.91 3753</v>
      </c>
      <c r="AO47" s="413"/>
      <c r="AP47" s="413"/>
      <c r="AQ47" s="413"/>
      <c r="AR47" s="413"/>
      <c r="AS47" s="413"/>
      <c r="AT47" s="413"/>
      <c r="AX47" s="655"/>
    </row>
    <row r="48" spans="1:50" ht="12" customHeight="1" x14ac:dyDescent="0.3">
      <c r="A48" s="100">
        <v>2002</v>
      </c>
      <c r="B48" s="224">
        <v>139703</v>
      </c>
      <c r="C48" s="224">
        <v>130076.44607000001</v>
      </c>
      <c r="D48" s="226">
        <f>TOTALS!AG47/1000</f>
        <v>9621.8385399999988</v>
      </c>
      <c r="E48" s="226">
        <f>TOTALS!AH47/1000</f>
        <v>2983.9336699999999</v>
      </c>
      <c r="F48" s="226">
        <f>TOTALS!AI47/1000</f>
        <v>808.06993999999997</v>
      </c>
      <c r="G48" s="226">
        <f>TOTALS!BR47/1000/2</f>
        <v>1155.41724</v>
      </c>
      <c r="H48" s="226"/>
      <c r="I48" s="224">
        <f t="shared" si="14"/>
        <v>136719.06633</v>
      </c>
      <c r="J48" s="224">
        <f t="shared" si="15"/>
        <v>115507.18668000001</v>
      </c>
      <c r="K48" s="225">
        <f t="shared" si="19"/>
        <v>0.82680534190389621</v>
      </c>
      <c r="L48" s="228">
        <f>TOTALS!BE108/1000+Q48</f>
        <v>201354.20579799998</v>
      </c>
      <c r="M48" s="225"/>
      <c r="N48" s="228"/>
      <c r="O48" s="228"/>
      <c r="P48" s="228">
        <f>TOTALS!AF108/1000</f>
        <v>253576.40669</v>
      </c>
      <c r="Q48" s="226">
        <f t="shared" si="20"/>
        <v>33874.138647999978</v>
      </c>
      <c r="R48" s="226">
        <f t="shared" si="10"/>
        <v>287450.545338</v>
      </c>
      <c r="S48" s="224">
        <v>287630</v>
      </c>
      <c r="T48" s="225">
        <f t="shared" si="13"/>
        <v>0.99937609198623234</v>
      </c>
      <c r="U48" s="224"/>
      <c r="V48" s="224">
        <v>5823155.0192037784</v>
      </c>
      <c r="W48" s="224">
        <v>6061523.0192037784</v>
      </c>
      <c r="X48" s="226">
        <f>'C1-Incomes'!J50</f>
        <v>9436822.1164999995</v>
      </c>
      <c r="Y48" s="226">
        <f>'C1-Incomes'!R50</f>
        <v>10662241.117000001</v>
      </c>
      <c r="AA48" s="261">
        <f>'T-T1a'!J$66/'T-T1a'!J53</f>
        <v>1.2749176108905009</v>
      </c>
      <c r="AC48" s="440">
        <f t="shared" si="16"/>
        <v>5743994.4113789527</v>
      </c>
      <c r="AD48" s="441">
        <f t="shared" si="17"/>
        <v>9626.5539299999946</v>
      </c>
      <c r="AE48" s="441">
        <f t="shared" si="18"/>
        <v>8223.15</v>
      </c>
      <c r="AF48" s="441">
        <f t="shared" si="4"/>
        <v>79160.596949479441</v>
      </c>
      <c r="AG48" s="441"/>
      <c r="AH48" s="441">
        <f t="shared" si="21"/>
        <v>21211.879649999988</v>
      </c>
      <c r="AI48" s="441">
        <f t="shared" si="3"/>
        <v>8223.15</v>
      </c>
      <c r="AJ48" s="441">
        <f t="shared" si="11"/>
        <v>174428.46814389739</v>
      </c>
      <c r="AK48" s="441">
        <f t="shared" si="12"/>
        <v>13731.335277779799</v>
      </c>
      <c r="AL48" s="441">
        <f>AJ48+('T-T1'!E51+'T-T1'!L51+'T-T1'!Q51+'T-T1'!T51+'T-T1'!AH51)*0.15</f>
        <v>291267.43134606426</v>
      </c>
      <c r="AM48" s="413"/>
      <c r="AN48" s="655" t="str">
        <f ca="1">CONCATENATE("data NonFilers",INDIRECT("$A"&amp;AM49),"; input xwgt_PS xwgt_20 xwgt_dep xwgt_noNR xwgt_mfs psnfinc; cards;")</f>
        <v>data NonFilers1984; input xwgt_PS xwgt_20 xwgt_dep xwgt_noNR xwgt_mfs psnfinc; cards;</v>
      </c>
      <c r="AO48" s="413"/>
      <c r="AP48" s="413"/>
      <c r="AQ48" s="413"/>
      <c r="AR48" s="413"/>
      <c r="AS48" s="413"/>
      <c r="AT48" s="413"/>
      <c r="AX48" s="655"/>
    </row>
    <row r="49" spans="1:50" ht="12" customHeight="1" x14ac:dyDescent="0.3">
      <c r="A49" s="100">
        <v>2003</v>
      </c>
      <c r="B49" s="224">
        <v>141843</v>
      </c>
      <c r="C49" s="224">
        <v>130423.63086</v>
      </c>
      <c r="D49" s="226">
        <f>TOTALS!AG48/1000</f>
        <v>9142.7773400000005</v>
      </c>
      <c r="E49" s="226">
        <f>TOTALS!AH48/1000</f>
        <v>2929.2409700000003</v>
      </c>
      <c r="F49" s="226">
        <f>TOTALS!AI48/1000</f>
        <v>763.76179000000002</v>
      </c>
      <c r="G49" s="226">
        <f>TOTALS!BR48/1000/2</f>
        <v>1141.57898</v>
      </c>
      <c r="H49" s="226"/>
      <c r="I49" s="224">
        <f t="shared" si="14"/>
        <v>138913.75902999999</v>
      </c>
      <c r="J49" s="224">
        <f t="shared" si="15"/>
        <v>116446.27178</v>
      </c>
      <c r="K49" s="225">
        <f t="shared" si="19"/>
        <v>0.82095183956910101</v>
      </c>
      <c r="L49" s="228">
        <f>TOTALS!BE109/1000+Q49</f>
        <v>204191.40613800002</v>
      </c>
      <c r="M49" s="225"/>
      <c r="N49" s="228"/>
      <c r="O49" s="228"/>
      <c r="P49" s="228">
        <f>TOTALS!AF109/1000</f>
        <v>256097.75866999998</v>
      </c>
      <c r="Q49" s="226">
        <f t="shared" si="20"/>
        <v>35555.419508000006</v>
      </c>
      <c r="R49" s="226">
        <f t="shared" si="10"/>
        <v>291653.17817799997</v>
      </c>
      <c r="S49" s="224">
        <v>290110</v>
      </c>
      <c r="T49" s="225">
        <f t="shared" si="13"/>
        <v>1.0053192864017095</v>
      </c>
      <c r="U49" s="224"/>
      <c r="V49" s="224">
        <v>5961478.1778232278</v>
      </c>
      <c r="W49" s="224">
        <v>6255500.1778232278</v>
      </c>
      <c r="X49" s="226">
        <f>'C1-Incomes'!J51</f>
        <v>9864187.9810000006</v>
      </c>
      <c r="Y49" s="226">
        <f>'C1-Incomes'!R51</f>
        <v>11157848.98</v>
      </c>
      <c r="AA49" s="261">
        <f>'T-T1a'!J$66/'T-T1a'!J54</f>
        <v>1.2501827068012605</v>
      </c>
      <c r="AC49" s="440">
        <f t="shared" si="16"/>
        <v>5867010.9655337837</v>
      </c>
      <c r="AD49" s="441">
        <f t="shared" si="17"/>
        <v>11419.369139999995</v>
      </c>
      <c r="AE49" s="441">
        <f t="shared" si="18"/>
        <v>8272.5400000000009</v>
      </c>
      <c r="AF49" s="441">
        <f t="shared" si="4"/>
        <v>94467.187985415585</v>
      </c>
      <c r="AG49" s="441"/>
      <c r="AH49" s="441">
        <f t="shared" si="21"/>
        <v>22467.487249999991</v>
      </c>
      <c r="AI49" s="441">
        <f t="shared" si="3"/>
        <v>8272.5400000000009</v>
      </c>
      <c r="AJ49" s="441">
        <f t="shared" si="11"/>
        <v>185863.18697511495</v>
      </c>
      <c r="AK49" s="441">
        <f t="shared" si="12"/>
        <v>13796.504707626735</v>
      </c>
      <c r="AL49" s="441">
        <f>AJ49+('T-T1'!E52+'T-T1'!L52+'T-T1'!Q52+'T-T1'!T52+'T-T1'!AH52)*0.15</f>
        <v>309972.79361316853</v>
      </c>
      <c r="AM49" s="413">
        <f>AM47+1</f>
        <v>30</v>
      </c>
      <c r="AN49" s="655" t="str">
        <f ca="1">CONCATENATE(ROUND(INDIRECT("$Ad"&amp;AM49),2)," ",ROUND(INDIRECT("$d"&amp;AM49),2)," 0.0 ",ROUND(INDIRECT("$f"&amp;AM49),2)," ",ROUND(INDIRECT("$g"&amp;AM49),2)," ",ROUND(INDIRECT("$Ae"&amp;AM49),2))</f>
        <v>7444.39 9087.63 0.0 702.58 427.1 4048.92</v>
      </c>
      <c r="AO49" s="413"/>
      <c r="AP49" s="413"/>
      <c r="AQ49" s="413"/>
      <c r="AR49" s="413"/>
      <c r="AS49" s="413"/>
      <c r="AT49" s="413"/>
    </row>
    <row r="50" spans="1:50" ht="12" customHeight="1" x14ac:dyDescent="0.3">
      <c r="A50" s="100">
        <v>2004</v>
      </c>
      <c r="B50" s="224">
        <v>143982</v>
      </c>
      <c r="C50" s="224">
        <v>132226.04377999998</v>
      </c>
      <c r="D50" s="226">
        <f>TOTALS!AG49/1000</f>
        <v>9061.6188499999989</v>
      </c>
      <c r="E50" s="226">
        <f>TOTALS!AH49/1000</f>
        <v>3044.6135600000002</v>
      </c>
      <c r="F50" s="226">
        <f>TOTALS!AI49/1000</f>
        <v>824.90774999999996</v>
      </c>
      <c r="G50" s="226">
        <f>TOTALS!BR49/1000/2</f>
        <v>1213.5013999999999</v>
      </c>
      <c r="H50" s="226"/>
      <c r="I50" s="224">
        <f t="shared" si="14"/>
        <v>140937.38644</v>
      </c>
      <c r="J50" s="224">
        <f t="shared" si="15"/>
        <v>118081.40221999999</v>
      </c>
      <c r="K50" s="225">
        <f t="shared" si="19"/>
        <v>0.82011225167034763</v>
      </c>
      <c r="L50" s="228">
        <f>TOTALS!BE110/1000+Q50</f>
        <v>207094.45555200003</v>
      </c>
      <c r="M50" s="225"/>
      <c r="N50" s="228"/>
      <c r="O50" s="228"/>
      <c r="P50" s="228">
        <f>TOTALS!AF110/1000</f>
        <v>258813.25363999998</v>
      </c>
      <c r="Q50" s="226">
        <f t="shared" si="20"/>
        <v>36260.836892000014</v>
      </c>
      <c r="R50" s="226">
        <f t="shared" si="10"/>
        <v>295074.090532</v>
      </c>
      <c r="S50" s="224">
        <v>292810</v>
      </c>
      <c r="T50" s="225">
        <f t="shared" si="13"/>
        <v>1.007732285550357</v>
      </c>
      <c r="U50" s="224"/>
      <c r="V50" s="224">
        <v>6383254.4954936244</v>
      </c>
      <c r="W50" s="224">
        <v>6854990.4954936244</v>
      </c>
      <c r="X50" s="226">
        <f>'C1-Incomes'!J52</f>
        <v>10540945.784</v>
      </c>
      <c r="Y50" s="226">
        <f>'C1-Incomes'!R52</f>
        <v>11914068.785</v>
      </c>
      <c r="AA50" s="261">
        <f>'T-T1a'!J$66/'T-T1a'!J55</f>
        <v>1.2204831499503916</v>
      </c>
      <c r="AC50" s="440">
        <f t="shared" si="16"/>
        <v>6280692.3088123873</v>
      </c>
      <c r="AD50" s="441">
        <f t="shared" si="17"/>
        <v>11755.956220000022</v>
      </c>
      <c r="AE50" s="441">
        <f t="shared" si="18"/>
        <v>8724.27</v>
      </c>
      <c r="AF50" s="441">
        <f t="shared" si="4"/>
        <v>102562.1361714596</v>
      </c>
      <c r="AG50" s="441"/>
      <c r="AH50" s="441">
        <f t="shared" si="21"/>
        <v>22855.984220000013</v>
      </c>
      <c r="AI50" s="441">
        <f t="shared" si="3"/>
        <v>8724.27</v>
      </c>
      <c r="AJ50" s="441">
        <f t="shared" si="11"/>
        <v>199401.77745101953</v>
      </c>
      <c r="AK50" s="441">
        <f t="shared" si="12"/>
        <v>14223.926328143916</v>
      </c>
      <c r="AL50" s="441">
        <f>AJ50+('T-T1'!E53+'T-T1'!L53+'T-T1'!Q53+'T-T1'!T53+'T-T1'!AH53)*0.15</f>
        <v>325101.83570250007</v>
      </c>
      <c r="AM50" s="413"/>
      <c r="AN50" s="655" t="str">
        <f ca="1">CONCATENATE("data NonFilers",INDIRECT("$A"&amp;AM51),"; input xwgt_PS xwgt_20 xwgt_dep xwgt_noNR xwgt_mfs psnfinc; cards;")</f>
        <v>data NonFilers1985; input xwgt_PS xwgt_20 xwgt_dep xwgt_noNR xwgt_mfs psnfinc; cards;</v>
      </c>
      <c r="AO50" s="413"/>
      <c r="AP50" s="413"/>
      <c r="AQ50" s="413"/>
      <c r="AR50" s="413"/>
      <c r="AS50" s="413"/>
      <c r="AT50" s="413"/>
      <c r="AX50" s="655"/>
    </row>
    <row r="51" spans="1:50" ht="12" customHeight="1" x14ac:dyDescent="0.3">
      <c r="A51" s="100">
        <v>2005</v>
      </c>
      <c r="B51" s="224">
        <v>145881</v>
      </c>
      <c r="C51" s="224">
        <v>134372.67771000002</v>
      </c>
      <c r="D51" s="226">
        <f>TOTALS!AG50/1000</f>
        <v>9146.8094899999996</v>
      </c>
      <c r="E51" s="226">
        <f>TOTALS!AH50/1000</f>
        <v>3124.9673299999999</v>
      </c>
      <c r="F51" s="226">
        <f>TOTALS!AI50/1000</f>
        <v>767.75963000000002</v>
      </c>
      <c r="G51" s="226">
        <f>TOTALS!BR50/1000/2</f>
        <v>1220.5762</v>
      </c>
      <c r="H51" s="226"/>
      <c r="I51" s="224">
        <f t="shared" si="14"/>
        <v>142756.03266999999</v>
      </c>
      <c r="J51" s="224">
        <f t="shared" si="15"/>
        <v>120112.56506000002</v>
      </c>
      <c r="K51" s="225">
        <f t="shared" si="19"/>
        <v>0.82335989649097563</v>
      </c>
      <c r="L51" s="228">
        <f>TOTALS!BE111/1000+Q51</f>
        <v>209469.70303599996</v>
      </c>
      <c r="M51" s="225"/>
      <c r="N51" s="228"/>
      <c r="O51" s="228"/>
      <c r="P51" s="228">
        <f>TOTALS!AF111/1000</f>
        <v>258796.71924000001</v>
      </c>
      <c r="Q51" s="226">
        <f t="shared" si="20"/>
        <v>36075.808915999965</v>
      </c>
      <c r="R51" s="226">
        <f t="shared" si="10"/>
        <v>294872.52815599996</v>
      </c>
      <c r="S51" s="224">
        <v>295520</v>
      </c>
      <c r="T51" s="225">
        <f t="shared" si="13"/>
        <v>0.99780904221710864</v>
      </c>
      <c r="U51" s="224"/>
      <c r="V51" s="224">
        <v>6830211</v>
      </c>
      <c r="W51" s="224">
        <v>7493268</v>
      </c>
      <c r="X51" s="226">
        <f>'C1-Incomes'!J53</f>
        <v>11239819.791999999</v>
      </c>
      <c r="Y51" s="226">
        <f>'C1-Incomes'!R53</f>
        <v>12693303.791999999</v>
      </c>
      <c r="AA51" s="261">
        <f>'T-T1a'!J$66/'T-T1a'!J56</f>
        <v>1.1866444109645462</v>
      </c>
      <c r="AC51" s="440">
        <f t="shared" si="16"/>
        <v>6724119.9538115542</v>
      </c>
      <c r="AD51" s="441">
        <f t="shared" si="17"/>
        <v>11508.322289999982</v>
      </c>
      <c r="AE51" s="441">
        <f t="shared" si="18"/>
        <v>9218.64</v>
      </c>
      <c r="AF51" s="441">
        <f t="shared" si="4"/>
        <v>106091.08019548543</v>
      </c>
      <c r="AG51" s="441"/>
      <c r="AH51" s="441">
        <f t="shared" si="21"/>
        <v>22643.467609999963</v>
      </c>
      <c r="AI51" s="441">
        <f t="shared" si="3"/>
        <v>9218.64</v>
      </c>
      <c r="AJ51" s="441">
        <f t="shared" si="11"/>
        <v>208741.97624825005</v>
      </c>
      <c r="AK51" s="441">
        <f t="shared" si="12"/>
        <v>14578.761108981393</v>
      </c>
      <c r="AL51" s="441">
        <f>AJ51+('T-T1'!E54+'T-T1'!L54+'T-T1'!Q54+'T-T1'!T54+'T-T1'!AH54)*0.15</f>
        <v>330113.70496514731</v>
      </c>
      <c r="AM51" s="413">
        <f>AM49+1</f>
        <v>31</v>
      </c>
      <c r="AN51" s="655" t="str">
        <f ca="1">CONCATENATE(ROUND(INDIRECT("$Ad"&amp;AM51),2)," ",ROUND(INDIRECT("$d"&amp;AM51),2)," 0.0 ",ROUND(INDIRECT("$f"&amp;AM51),2)," ",ROUND(INDIRECT("$g"&amp;AM51),2)," ",ROUND(INDIRECT("$Ae"&amp;AM51),2))</f>
        <v>7087.15 8981.77 0.0 682.23 421.1 4265.86</v>
      </c>
      <c r="AO51" s="413"/>
      <c r="AP51" s="413"/>
      <c r="AQ51" s="413"/>
      <c r="AR51" s="413"/>
      <c r="AS51" s="413"/>
      <c r="AT51" s="413"/>
      <c r="AX51" s="655"/>
    </row>
    <row r="52" spans="1:50" ht="12" customHeight="1" x14ac:dyDescent="0.3">
      <c r="A52" s="100">
        <v>2006</v>
      </c>
      <c r="B52" s="224">
        <v>148361</v>
      </c>
      <c r="C52" s="224">
        <v>138394.75362999999</v>
      </c>
      <c r="D52" s="226">
        <f>TOTALS!AG51/1000</f>
        <v>9355.8645399999987</v>
      </c>
      <c r="E52" s="226">
        <f>TOTALS!AH51/1000</f>
        <v>3138.5600299999996</v>
      </c>
      <c r="F52" s="226">
        <f>TOTALS!AI51/1000</f>
        <v>821.83811000000003</v>
      </c>
      <c r="G52" s="226">
        <f>TOTALS!BR51/1000/2</f>
        <v>1244.024625</v>
      </c>
      <c r="H52" s="226"/>
      <c r="I52" s="224">
        <f t="shared" si="14"/>
        <v>145222.43997000001</v>
      </c>
      <c r="J52" s="224">
        <f t="shared" si="15"/>
        <v>123834.466325</v>
      </c>
      <c r="K52" s="225">
        <f t="shared" si="19"/>
        <v>0.83468341629538756</v>
      </c>
      <c r="L52" s="228">
        <f>TOTALS!BE112/1000+Q52</f>
        <v>212256.56182500001</v>
      </c>
      <c r="M52" s="225"/>
      <c r="N52" s="228"/>
      <c r="O52" s="228"/>
      <c r="P52" s="228">
        <f>TOTALS!AF112/1000</f>
        <v>264094.28171000001</v>
      </c>
      <c r="Q52" s="226">
        <f t="shared" si="20"/>
        <v>34337.147144999995</v>
      </c>
      <c r="R52" s="226">
        <f t="shared" si="10"/>
        <v>298431.42885500001</v>
      </c>
      <c r="S52" s="224">
        <v>298380</v>
      </c>
      <c r="T52" s="225">
        <f t="shared" si="13"/>
        <v>1.000172360262082</v>
      </c>
      <c r="U52" s="224"/>
      <c r="V52" s="224">
        <v>7306449.3195187682</v>
      </c>
      <c r="W52" s="224">
        <v>8077495.3195187682</v>
      </c>
      <c r="X52" s="226">
        <f>'C1-Incomes'!J54</f>
        <v>12004750.65</v>
      </c>
      <c r="Y52" s="226">
        <f>'C1-Incomes'!R54</f>
        <v>13551527.65</v>
      </c>
      <c r="AA52" s="261">
        <f>'T-T1a'!J$66/'T-T1a'!J57</f>
        <v>1.1557284464102862</v>
      </c>
      <c r="AC52" s="440">
        <f t="shared" si="16"/>
        <v>7209587.5755243674</v>
      </c>
      <c r="AD52" s="441">
        <f t="shared" si="17"/>
        <v>9966.246370000008</v>
      </c>
      <c r="AE52" s="441">
        <f t="shared" si="18"/>
        <v>9718.98</v>
      </c>
      <c r="AF52" s="441">
        <f t="shared" si="4"/>
        <v>96861.749145102673</v>
      </c>
      <c r="AG52" s="441"/>
      <c r="AH52" s="441">
        <f t="shared" si="21"/>
        <v>21387.973645000005</v>
      </c>
      <c r="AI52" s="441">
        <f t="shared" si="3"/>
        <v>9718.98</v>
      </c>
      <c r="AJ52" s="441">
        <f t="shared" si="11"/>
        <v>207869.28809628217</v>
      </c>
      <c r="AK52" s="441">
        <f t="shared" si="12"/>
        <v>16286.3542774003</v>
      </c>
      <c r="AL52" s="441">
        <f>AJ52+('T-T1'!E55+'T-T1'!L55+'T-T1'!Q55+'T-T1'!T55+'T-T1'!AH55)*0.15</f>
        <v>348332.11605817068</v>
      </c>
      <c r="AM52" s="413"/>
      <c r="AN52" s="655" t="str">
        <f ca="1">CONCATENATE("data NonFilers",INDIRECT("$A"&amp;AM53),"; input xwgt_PS xwgt_20 xwgt_dep xwgt_noNR xwgt_mfs psnfinc; cards;")</f>
        <v>data NonFilers1986; input xwgt_PS xwgt_20 xwgt_dep xwgt_noNR xwgt_mfs psnfinc; cards;</v>
      </c>
      <c r="AO52" s="413"/>
      <c r="AP52" s="413"/>
      <c r="AQ52" s="413"/>
      <c r="AR52" s="413"/>
      <c r="AS52" s="413"/>
      <c r="AT52" s="413"/>
      <c r="AX52" s="655"/>
    </row>
    <row r="53" spans="1:50" ht="12" customHeight="1" x14ac:dyDescent="0.3">
      <c r="A53" s="100">
        <v>2007</v>
      </c>
      <c r="B53" s="224">
        <v>149875</v>
      </c>
      <c r="C53" s="224">
        <v>142978.80609</v>
      </c>
      <c r="D53" s="226">
        <f>TOTALS!AG52/1000</f>
        <v>9617.1281199999994</v>
      </c>
      <c r="E53" s="226">
        <f>TOTALS!AH52/1000</f>
        <v>3381.4180799999999</v>
      </c>
      <c r="F53" s="226">
        <f>TOTALS!AI52/1000</f>
        <v>725.68375000000003</v>
      </c>
      <c r="G53" s="226">
        <f>TOTALS!BR52/1000/2</f>
        <v>1349.2187799999999</v>
      </c>
      <c r="H53" s="226"/>
      <c r="I53" s="224">
        <f t="shared" si="14"/>
        <v>146493.58192</v>
      </c>
      <c r="J53" s="224">
        <f t="shared" si="15"/>
        <v>127905.35735999999</v>
      </c>
      <c r="K53" s="225">
        <f t="shared" si="19"/>
        <v>0.85341356036697247</v>
      </c>
      <c r="L53" s="228">
        <f>TOTALS!BE113/1000+Q53</f>
        <v>213678.25667599999</v>
      </c>
      <c r="M53" s="225"/>
      <c r="N53" s="228"/>
      <c r="O53" s="228"/>
      <c r="P53" s="228">
        <f>TOTALS!AF113/1000</f>
        <v>270991.55810000002</v>
      </c>
      <c r="Q53" s="226">
        <f t="shared" si="20"/>
        <v>30757.499696000006</v>
      </c>
      <c r="R53" s="226">
        <f t="shared" si="10"/>
        <v>301749.05779600004</v>
      </c>
      <c r="S53" s="224">
        <v>301230</v>
      </c>
      <c r="T53" s="225">
        <f t="shared" si="13"/>
        <v>1.0017231278292336</v>
      </c>
      <c r="U53" s="224"/>
      <c r="V53" s="224">
        <v>7805494.7922576042</v>
      </c>
      <c r="W53" s="224">
        <v>8701168.7922576033</v>
      </c>
      <c r="X53" s="226">
        <f>'C1-Incomes'!J55</f>
        <v>12321374.707</v>
      </c>
      <c r="Y53" s="226">
        <f>'C1-Incomes'!R55</f>
        <v>13968011.708000001</v>
      </c>
      <c r="AA53" s="261">
        <f>'T-T1a'!J$66/'T-T1a'!J58</f>
        <v>1.127496112295445</v>
      </c>
      <c r="AC53" s="440">
        <f t="shared" si="16"/>
        <v>7734318.9943634579</v>
      </c>
      <c r="AD53" s="441">
        <f t="shared" si="17"/>
        <v>6896.1939100000018</v>
      </c>
      <c r="AE53" s="441">
        <f t="shared" si="18"/>
        <v>10321.030000000001</v>
      </c>
      <c r="AF53" s="441">
        <f t="shared" si="4"/>
        <v>71175.824230927319</v>
      </c>
      <c r="AG53" s="441"/>
      <c r="AH53" s="441">
        <f t="shared" si="21"/>
        <v>18588.224560000002</v>
      </c>
      <c r="AI53" s="441">
        <f t="shared" si="3"/>
        <v>10321.030000000001</v>
      </c>
      <c r="AJ53" s="441">
        <f t="shared" si="11"/>
        <v>191849.62333049683</v>
      </c>
      <c r="AK53" s="441">
        <f t="shared" si="12"/>
        <v>17386.680932041734</v>
      </c>
      <c r="AL53" s="441">
        <f>AJ53+('T-T1'!E56+'T-T1'!L56+'T-T1'!Q56+'T-T1'!T56+'T-T1'!AH56)*0.15</f>
        <v>323187.5295178619</v>
      </c>
      <c r="AM53" s="413">
        <f>AM51+1</f>
        <v>32</v>
      </c>
      <c r="AN53" s="655" t="str">
        <f ca="1">CONCATENATE(ROUND(INDIRECT("$Ad"&amp;AM53),2)," ",ROUND(INDIRECT("$d"&amp;AM53),2)," 0.0 ",ROUND(INDIRECT("$f"&amp;AM53),2)," ",ROUND(INDIRECT("$g"&amp;AM53),2)," ",ROUND(INDIRECT("$Ae"&amp;AM53),2))</f>
        <v>7349.95 8891.09 0.0 683.52 518.94 4400.17</v>
      </c>
      <c r="AO53" s="413"/>
      <c r="AP53" s="413"/>
      <c r="AQ53" s="413"/>
      <c r="AR53" s="413"/>
      <c r="AS53" s="413"/>
      <c r="AT53" s="413"/>
      <c r="AX53" s="655"/>
    </row>
    <row r="54" spans="1:50" ht="12" customHeight="1" x14ac:dyDescent="0.3">
      <c r="A54" s="100">
        <v>2008</v>
      </c>
      <c r="B54" s="224">
        <v>152462</v>
      </c>
      <c r="C54" s="224">
        <v>142450.56909999999</v>
      </c>
      <c r="D54" s="226">
        <f>TOTALS!AG53/1000</f>
        <v>9056.9333999999999</v>
      </c>
      <c r="E54" s="226">
        <f>TOTALS!AH53/1000</f>
        <v>3199.36355</v>
      </c>
      <c r="F54" s="226">
        <f>TOTALS!AI53/1000</f>
        <v>795.35825999999997</v>
      </c>
      <c r="G54" s="226">
        <f>TOTALS!BR53/1000/2</f>
        <v>1349.393865</v>
      </c>
      <c r="H54" s="226"/>
      <c r="I54" s="224">
        <f t="shared" si="14"/>
        <v>149262.63644999999</v>
      </c>
      <c r="J54" s="224">
        <f t="shared" si="15"/>
        <v>128049.52002499999</v>
      </c>
      <c r="K54" s="225">
        <f t="shared" si="19"/>
        <v>0.83987826491191242</v>
      </c>
      <c r="L54" s="228">
        <f>TOTALS!BE114/1000+Q54</f>
        <v>216816.845065</v>
      </c>
      <c r="M54" s="225"/>
      <c r="N54" s="228"/>
      <c r="O54" s="228"/>
      <c r="P54" s="228">
        <f>TOTALS!AF114/1000</f>
        <v>270399.6422</v>
      </c>
      <c r="Q54" s="226">
        <f t="shared" si="20"/>
        <v>34177.471965000012</v>
      </c>
      <c r="R54" s="226">
        <f t="shared" si="10"/>
        <v>304577.11416500004</v>
      </c>
      <c r="S54" s="224">
        <v>304090</v>
      </c>
      <c r="T54" s="225">
        <f t="shared" si="13"/>
        <v>1.0016018749876683</v>
      </c>
      <c r="U54" s="224"/>
      <c r="V54" s="224">
        <v>7814407</v>
      </c>
      <c r="W54" s="224">
        <v>8280986</v>
      </c>
      <c r="X54" s="226">
        <f>'C1-Incomes'!J56</f>
        <v>12427821.880999999</v>
      </c>
      <c r="Y54" s="226">
        <f>'C1-Incomes'!R56</f>
        <v>14375522.286</v>
      </c>
      <c r="AA54" s="261">
        <f>'T-T1a'!J$66/'T-T1a'!J59</f>
        <v>1.094098835756758</v>
      </c>
      <c r="AC54" s="440">
        <f t="shared" si="16"/>
        <v>7713110.5804330725</v>
      </c>
      <c r="AD54" s="441">
        <f t="shared" si="17"/>
        <v>10011.430900000007</v>
      </c>
      <c r="AE54" s="441">
        <f t="shared" si="18"/>
        <v>10118.08</v>
      </c>
      <c r="AF54" s="441">
        <f t="shared" si="4"/>
        <v>101296.45876067206</v>
      </c>
      <c r="AG54" s="441"/>
      <c r="AH54" s="441">
        <f t="shared" si="21"/>
        <v>21213.116425</v>
      </c>
      <c r="AI54" s="441">
        <f t="shared" si="3"/>
        <v>10118.08</v>
      </c>
      <c r="AJ54" s="441">
        <f t="shared" si="11"/>
        <v>214636.00903746398</v>
      </c>
      <c r="AK54" s="441">
        <f t="shared" si="12"/>
        <v>17147.512155986176</v>
      </c>
      <c r="AL54" s="441">
        <f>AJ54+('T-T1'!E57+'T-T1'!L57+'T-T1'!Q57+'T-T1'!T57+'T-T1'!AH57)*0.15</f>
        <v>363752.17176403757</v>
      </c>
      <c r="AM54" s="413"/>
      <c r="AN54" s="655" t="str">
        <f ca="1">CONCATENATE("data NonFilers",INDIRECT("$A"&amp;AM55),"; input xwgt_PS xwgt_20 xwgt_dep xwgt_noNR xwgt_mfs psnfinc; cards;")</f>
        <v>data NonFilers1987; input xwgt_PS xwgt_20 xwgt_dep xwgt_noNR xwgt_mfs psnfinc; cards;</v>
      </c>
      <c r="AO54" s="413"/>
      <c r="AP54" s="413"/>
      <c r="AQ54" s="413"/>
      <c r="AR54" s="413"/>
      <c r="AS54" s="413"/>
      <c r="AT54" s="413"/>
      <c r="AX54" s="655"/>
    </row>
    <row r="55" spans="1:50" ht="12" customHeight="1" x14ac:dyDescent="0.3">
      <c r="A55" s="100">
        <v>2009</v>
      </c>
      <c r="B55" s="224">
        <v>153543</v>
      </c>
      <c r="C55" s="224">
        <v>140494.12727</v>
      </c>
      <c r="D55" s="226">
        <f>TOTALS!AG54/1000</f>
        <v>7081.6924200000003</v>
      </c>
      <c r="E55" s="226">
        <f>TOTALS!AH54/1000</f>
        <v>3161.25281</v>
      </c>
      <c r="F55" s="226">
        <f>TOTALS!AI54/1000</f>
        <v>747.82555000000002</v>
      </c>
      <c r="G55" s="226">
        <f>TOTALS!BR54/1000/2</f>
        <v>1258.707985</v>
      </c>
      <c r="H55" s="226"/>
      <c r="I55" s="224">
        <f t="shared" si="14"/>
        <v>150381.74718999999</v>
      </c>
      <c r="J55" s="224">
        <f t="shared" si="15"/>
        <v>128244.64850499999</v>
      </c>
      <c r="K55" s="225">
        <f t="shared" si="19"/>
        <v>0.83523604791491624</v>
      </c>
      <c r="L55" s="228">
        <f>TOTALS!BE115/1000+Q55</f>
        <v>218078.70260300001</v>
      </c>
      <c r="M55" s="225"/>
      <c r="N55" s="228"/>
      <c r="O55" s="228"/>
      <c r="P55" s="228">
        <f>TOTALS!AF115/1000</f>
        <v>271515.15794</v>
      </c>
      <c r="Q55" s="226">
        <f t="shared" si="20"/>
        <v>35417.692093000012</v>
      </c>
      <c r="R55" s="226">
        <f t="shared" si="10"/>
        <v>306932.850033</v>
      </c>
      <c r="S55" s="224">
        <v>306770</v>
      </c>
      <c r="T55" s="225">
        <f t="shared" si="13"/>
        <v>1.0005308538416402</v>
      </c>
      <c r="U55" s="224"/>
      <c r="V55" s="224">
        <v>7384699</v>
      </c>
      <c r="W55" s="224">
        <v>7615886</v>
      </c>
      <c r="X55" s="226">
        <f>'C1-Incomes'!J57</f>
        <v>12126078.895</v>
      </c>
      <c r="Y55" s="226">
        <f>'C1-Incomes'!R57</f>
        <v>14172548.895</v>
      </c>
      <c r="AA55" s="261">
        <f>'T-T1a'!J$66/'T-T1a'!J60</f>
        <v>1.0948099999999998</v>
      </c>
      <c r="AC55" s="440">
        <f t="shared" si="16"/>
        <v>7261278.8460123148</v>
      </c>
      <c r="AD55" s="441">
        <f t="shared" si="17"/>
        <v>13048.872730000003</v>
      </c>
      <c r="AE55" s="441">
        <f t="shared" si="18"/>
        <v>9458.2999999999993</v>
      </c>
      <c r="AF55" s="441">
        <f t="shared" si="4"/>
        <v>123420.15294215901</v>
      </c>
      <c r="AG55" s="441"/>
      <c r="AH55" s="441">
        <f t="shared" si="21"/>
        <v>22137.098685000004</v>
      </c>
      <c r="AI55" s="441">
        <f t="shared" si="3"/>
        <v>9458.2999999999993</v>
      </c>
      <c r="AJ55" s="441">
        <f t="shared" si="11"/>
        <v>209379.32049233554</v>
      </c>
      <c r="AK55" s="441">
        <f t="shared" si="12"/>
        <v>15559.059399538251</v>
      </c>
      <c r="AL55" s="441">
        <f>AJ55+('T-T1'!E58+'T-T1'!L58+'T-T1'!Q58+'T-T1'!T58+'T-T1'!AH58)*0.15</f>
        <v>344432.43337335519</v>
      </c>
      <c r="AM55" s="413">
        <f>AM53+1</f>
        <v>33</v>
      </c>
      <c r="AN55" s="655" t="str">
        <f ca="1">CONCATENATE(ROUND(INDIRECT("$Ad"&amp;AM55),2)," ",ROUND(INDIRECT("$d"&amp;AM55),2)," ",ROUND(INDIRECT("$e"&amp;AM55),2)," ",ROUND(INDIRECT("$f"&amp;AM55),2)," ",ROUND(INDIRECT("$g"&amp;AM55),2)," ",ROUND(INDIRECT("$Ae"&amp;AM55),2))</f>
        <v>5643.89 10805.76 2211.93 682.89 772.55 4691.87</v>
      </c>
      <c r="AO55" s="413"/>
      <c r="AP55" s="413"/>
      <c r="AQ55" s="413"/>
      <c r="AR55" s="413"/>
      <c r="AS55" s="413"/>
      <c r="AT55" s="413"/>
      <c r="AX55" s="655"/>
    </row>
    <row r="56" spans="1:50" ht="12" customHeight="1" x14ac:dyDescent="0.3">
      <c r="A56" s="100">
        <v>2010</v>
      </c>
      <c r="B56" s="224">
        <v>156167</v>
      </c>
      <c r="C56" s="224">
        <v>142892.05071000001</v>
      </c>
      <c r="D56" s="226">
        <f>TOTALS!AG55/1000</f>
        <v>6874.2098800000003</v>
      </c>
      <c r="E56" s="226">
        <f>TOTALS!AH55/1000</f>
        <v>3274.83608</v>
      </c>
      <c r="F56" s="226">
        <f>TOTALS!AI55/1000</f>
        <v>781.94803000000002</v>
      </c>
      <c r="G56" s="226">
        <f>TOTALS!BR55/1000/2</f>
        <v>1255.008075</v>
      </c>
      <c r="H56" s="226"/>
      <c r="I56" s="224">
        <f t="shared" si="14"/>
        <v>152892.16391999999</v>
      </c>
      <c r="J56" s="224">
        <f t="shared" si="15"/>
        <v>130706.04864499999</v>
      </c>
      <c r="K56" s="225">
        <f t="shared" si="19"/>
        <v>0.83696330623627269</v>
      </c>
      <c r="L56" s="228">
        <f>TOTALS!BE116/1000+Q56</f>
        <v>220741.58276700001</v>
      </c>
      <c r="M56" s="225"/>
      <c r="N56" s="228"/>
      <c r="O56" s="228"/>
      <c r="P56" s="228">
        <f>TOTALS!AF116/1000</f>
        <v>274467.69442000001</v>
      </c>
      <c r="Q56" s="226">
        <f t="shared" si="20"/>
        <v>35645.331897000011</v>
      </c>
      <c r="R56" s="226">
        <f t="shared" si="10"/>
        <v>310113.02631700004</v>
      </c>
      <c r="S56" s="224">
        <v>309348</v>
      </c>
      <c r="T56" s="225">
        <f t="shared" si="13"/>
        <v>1.0024730281656906</v>
      </c>
      <c r="U56" s="224"/>
      <c r="V56" s="224">
        <v>7673618</v>
      </c>
      <c r="W56" s="224">
        <v>8037426</v>
      </c>
      <c r="X56" s="226">
        <f>'C1-Incomes'!J58</f>
        <v>12739542.267999999</v>
      </c>
      <c r="Y56" s="226">
        <f>'C1-Incomes'!R58</f>
        <v>14962769.267999999</v>
      </c>
      <c r="AA56" s="261">
        <f>'T-T1a'!J$66/'T-T1a'!J61</f>
        <v>1.0770070730819552</v>
      </c>
      <c r="AC56" s="440">
        <f t="shared" si="16"/>
        <v>7545339.9323194362</v>
      </c>
      <c r="AD56" s="441">
        <f t="shared" si="17"/>
        <v>13274.94928999999</v>
      </c>
      <c r="AE56" s="441">
        <f t="shared" si="18"/>
        <v>9663.17</v>
      </c>
      <c r="AF56" s="441">
        <f t="shared" si="4"/>
        <v>128278.0917306492</v>
      </c>
      <c r="AG56" s="441"/>
      <c r="AH56" s="441">
        <f t="shared" si="21"/>
        <v>22186.115275000004</v>
      </c>
      <c r="AI56" s="441">
        <f t="shared" si="3"/>
        <v>9663.17</v>
      </c>
      <c r="AJ56" s="441">
        <f t="shared" si="11"/>
        <v>214388.2035419218</v>
      </c>
      <c r="AK56" s="441">
        <f t="shared" si="12"/>
        <v>15675.675913812236</v>
      </c>
      <c r="AL56" s="441">
        <f>AJ56+('T-T1'!E59+'T-T1'!L59+'T-T1'!Q59+'T-T1'!T59+'T-T1'!AH59)*0.15</f>
        <v>347782.35283737932</v>
      </c>
      <c r="AM56" s="413"/>
      <c r="AN56" s="655" t="str">
        <f ca="1">CONCATENATE("data NonFilers",INDIRECT("$A"&amp;AM57),"; input xwgt_PS xwgt_20 xwgt_dep xwgt_noNR xwgt_mfs psnfinc; cards;")</f>
        <v>data NonFilers1988; input xwgt_PS xwgt_20 xwgt_dep xwgt_noNR xwgt_mfs psnfinc; cards;</v>
      </c>
      <c r="AO56" s="413"/>
      <c r="AP56" s="413"/>
      <c r="AQ56" s="413"/>
      <c r="AR56" s="413"/>
      <c r="AS56" s="413"/>
      <c r="AT56" s="413"/>
      <c r="AX56" s="655"/>
    </row>
    <row r="57" spans="1:50" ht="12" customHeight="1" x14ac:dyDescent="0.3">
      <c r="A57" s="100">
        <v>2011</v>
      </c>
      <c r="B57" s="224">
        <v>158367</v>
      </c>
      <c r="C57" s="224">
        <v>145370.23980000001</v>
      </c>
      <c r="D57" s="226">
        <f>TOTALS!AG56/1000</f>
        <v>7263.12583</v>
      </c>
      <c r="E57" s="226">
        <f>TOTALS!AH56/1000</f>
        <v>3697.7236400000002</v>
      </c>
      <c r="F57" s="226">
        <f>TOTALS!AI56/1000</f>
        <v>815.52116000000001</v>
      </c>
      <c r="G57" s="226">
        <f>TOTALS!BR56/1000/2</f>
        <v>1281.7194750000001</v>
      </c>
      <c r="H57" s="226"/>
      <c r="I57" s="224">
        <f t="shared" si="14"/>
        <v>154669.27635999999</v>
      </c>
      <c r="J57" s="224">
        <f t="shared" si="15"/>
        <v>132312.149695</v>
      </c>
      <c r="K57" s="225">
        <f t="shared" si="19"/>
        <v>0.83547803327082026</v>
      </c>
      <c r="L57" s="228">
        <f>TOTALS!BE117/1000+Q57</f>
        <v>223011.343827</v>
      </c>
      <c r="M57" s="225"/>
      <c r="N57" s="228"/>
      <c r="O57" s="228"/>
      <c r="P57" s="228">
        <f>TOTALS!AF117/1000</f>
        <v>276540.72593999997</v>
      </c>
      <c r="Q57" s="226">
        <f t="shared" si="20"/>
        <v>36476.790427</v>
      </c>
      <c r="R57" s="226">
        <f t="shared" si="10"/>
        <v>313017.51636699995</v>
      </c>
      <c r="S57" s="224">
        <v>311663</v>
      </c>
      <c r="T57" s="225">
        <f t="shared" si="13"/>
        <v>1.0043460929497565</v>
      </c>
      <c r="U57" s="224"/>
      <c r="V57" s="224">
        <v>7969228</v>
      </c>
      <c r="W57" s="224">
        <v>8344488</v>
      </c>
      <c r="X57" s="226">
        <f>'C1-Incomes'!J59</f>
        <v>13352255.159</v>
      </c>
      <c r="Y57" s="226">
        <f>'C1-Incomes'!R59</f>
        <v>15597246.159</v>
      </c>
      <c r="AA57" s="261">
        <f>'T-T1a'!J$66/'T-T1a'!J62</f>
        <v>1.0511958828217265</v>
      </c>
      <c r="AC57" s="440">
        <f t="shared" si="16"/>
        <v>7840537.5700033158</v>
      </c>
      <c r="AD57" s="441">
        <f t="shared" si="17"/>
        <v>12996.76019999999</v>
      </c>
      <c r="AE57" s="441">
        <f t="shared" si="18"/>
        <v>9901.73</v>
      </c>
      <c r="AF57" s="441">
        <f t="shared" si="4"/>
        <v>128690.4103751459</v>
      </c>
      <c r="AG57" s="441"/>
      <c r="AH57" s="441">
        <f t="shared" si="21"/>
        <v>22357.126664999989</v>
      </c>
      <c r="AI57" s="441">
        <f t="shared" si="3"/>
        <v>9901.73</v>
      </c>
      <c r="AJ57" s="441">
        <f t="shared" si="11"/>
        <v>221374.23181263031</v>
      </c>
      <c r="AK57" s="441">
        <f t="shared" si="12"/>
        <v>16701.101746728393</v>
      </c>
      <c r="AL57" s="441">
        <f>AJ57+('T-T1'!E60+'T-T1'!L60+'T-T1'!Q60+'T-T1'!T60+'T-T1'!AH60)*0.15</f>
        <v>373388.64719665924</v>
      </c>
      <c r="AM57" s="413">
        <f>AM55+1</f>
        <v>34</v>
      </c>
      <c r="AN57" s="655" t="str">
        <f ca="1">CONCATENATE(ROUND(INDIRECT("$Ad"&amp;AM57),2)," ",ROUND(INDIRECT("$d"&amp;AM57),2)," ",ROUND(INDIRECT("$e"&amp;AM57),2)," ",ROUND(INDIRECT("$f"&amp;AM57),2)," ",ROUND(INDIRECT("$g"&amp;AM57),2)," ",ROUND(INDIRECT("$Ae"&amp;AM57),2))</f>
        <v>4950.59 11254.87 2203.03 730.31 849.59 5112.2</v>
      </c>
      <c r="AO57" s="413"/>
      <c r="AP57" s="413"/>
      <c r="AQ57" s="413"/>
      <c r="AR57" s="413"/>
      <c r="AS57" s="413"/>
      <c r="AT57" s="413"/>
      <c r="AX57" s="655"/>
    </row>
    <row r="58" spans="1:50" ht="12" customHeight="1" x14ac:dyDescent="0.3">
      <c r="A58" s="100">
        <v>2012</v>
      </c>
      <c r="B58" s="224">
        <v>160681</v>
      </c>
      <c r="C58" s="224">
        <v>144928.47331999999</v>
      </c>
      <c r="D58" s="226">
        <f>TOTALS!AG57/1000</f>
        <v>7204.7182699999994</v>
      </c>
      <c r="E58" s="226">
        <f>TOTALS!AH57/1000</f>
        <v>3703.57087</v>
      </c>
      <c r="F58" s="226">
        <f>TOTALS!AI57/1000</f>
        <v>844.70990000000006</v>
      </c>
      <c r="G58" s="226">
        <f>TOTALS!BR57/1000/2</f>
        <v>1315.2499599999999</v>
      </c>
      <c r="H58" s="226"/>
      <c r="I58" s="224">
        <f t="shared" si="14"/>
        <v>156977.42913</v>
      </c>
      <c r="J58" s="224">
        <f t="shared" si="15"/>
        <v>131860.22432000001</v>
      </c>
      <c r="K58" s="225">
        <f t="shared" si="19"/>
        <v>0.82063358032374711</v>
      </c>
      <c r="L58" s="228">
        <f>TOTALS!BE118/1000+Q58</f>
        <v>226806.625482</v>
      </c>
      <c r="M58" s="225"/>
      <c r="N58" s="228"/>
      <c r="O58" s="228"/>
      <c r="P58" s="228">
        <f>TOTALS!AF118/1000</f>
        <v>276076.32442000002</v>
      </c>
      <c r="Q58" s="226">
        <f t="shared" si="20"/>
        <v>40349.085951999987</v>
      </c>
      <c r="R58" s="226">
        <f t="shared" si="10"/>
        <v>316425.41037200001</v>
      </c>
      <c r="S58" s="224">
        <v>313998</v>
      </c>
      <c r="T58" s="225">
        <f t="shared" si="13"/>
        <v>1.0077306555200989</v>
      </c>
      <c r="U58" s="224"/>
      <c r="V58" s="224">
        <v>8499523.568375865</v>
      </c>
      <c r="W58" s="224">
        <v>9120193.8573758658</v>
      </c>
      <c r="X58" s="226">
        <f>'C1-Incomes'!J60</f>
        <v>14061877.435000001</v>
      </c>
      <c r="Y58" s="226">
        <f>'C1-Incomes'!R60</f>
        <v>16319117.435000001</v>
      </c>
      <c r="AA58" s="261">
        <f>'T-T1a'!J$66/'T-T1a'!J63</f>
        <v>1.0316619707692163</v>
      </c>
      <c r="AC58" s="440">
        <f t="shared" si="16"/>
        <v>8336076.4078269359</v>
      </c>
      <c r="AD58" s="441">
        <f t="shared" si="17"/>
        <v>15752.52668000001</v>
      </c>
      <c r="AE58" s="441">
        <f t="shared" si="18"/>
        <v>10375.93</v>
      </c>
      <c r="AF58" s="441">
        <f t="shared" si="4"/>
        <v>163447.1141548125</v>
      </c>
      <c r="AG58" s="441"/>
      <c r="AH58" s="441">
        <f t="shared" si="21"/>
        <v>25117.204809999996</v>
      </c>
      <c r="AI58" s="441">
        <f t="shared" si="3"/>
        <v>10375.93</v>
      </c>
      <c r="AJ58" s="441">
        <f t="shared" si="11"/>
        <v>260614.35890422325</v>
      </c>
      <c r="AK58" s="441">
        <f t="shared" si="12"/>
        <v>16541.029260741609</v>
      </c>
      <c r="AL58" s="441">
        <f>AJ58+('T-T1'!E61+'T-T1'!L61+'T-T1'!Q61+'T-T1'!T61+'T-T1'!AH61)*0.15</f>
        <v>415464.41971024987</v>
      </c>
      <c r="AM58" s="413"/>
      <c r="AN58" s="655" t="str">
        <f ca="1">CONCATENATE("data NonFilers",INDIRECT("$A"&amp;AM59),"; input xwgt_PS xwgt_20 xwgt_dep xwgt_noNR xwgt_mfs psnfinc; cards;")</f>
        <v>data NonFilers1989; input xwgt_PS xwgt_20 xwgt_dep xwgt_noNR xwgt_mfs psnfinc; cards;</v>
      </c>
      <c r="AO58" s="413"/>
      <c r="AP58" s="413"/>
      <c r="AQ58" s="413"/>
      <c r="AR58" s="413"/>
      <c r="AS58" s="413"/>
      <c r="AT58" s="413"/>
      <c r="AX58" s="655"/>
    </row>
    <row r="59" spans="1:50" ht="12" customHeight="1" x14ac:dyDescent="0.3">
      <c r="A59" s="100">
        <v>2013</v>
      </c>
      <c r="B59" s="224">
        <v>162998</v>
      </c>
      <c r="C59" s="228">
        <f>TOTALS!AJ58/1000</f>
        <v>147279.21946000002</v>
      </c>
      <c r="D59" s="226">
        <f>TOTALS!AG58/1000</f>
        <v>7403.1486299999997</v>
      </c>
      <c r="E59" s="226">
        <f>TOTALS!AH58/1000</f>
        <v>3747.3558599999997</v>
      </c>
      <c r="F59" s="226">
        <f>TOTALS!AI58/1000</f>
        <v>821.26615000000004</v>
      </c>
      <c r="G59" s="226">
        <f>TOTALS!BR58/1000/2</f>
        <v>1392.5925149999998</v>
      </c>
      <c r="H59" s="226"/>
      <c r="I59" s="224">
        <f t="shared" si="14"/>
        <v>159250.64413999999</v>
      </c>
      <c r="J59" s="224">
        <f t="shared" si="15"/>
        <v>133914.85630499999</v>
      </c>
      <c r="K59" s="225">
        <f t="shared" si="19"/>
        <v>0.82157361627136527</v>
      </c>
      <c r="L59" s="228">
        <f>TOTALS!BE119/1000+Q59</f>
        <v>229518.93864300003</v>
      </c>
      <c r="M59" s="225"/>
      <c r="N59" s="228"/>
      <c r="O59" s="228"/>
      <c r="P59" s="228">
        <f>TOTALS!AF119/1000</f>
        <v>278617.34051999997</v>
      </c>
      <c r="Q59" s="226">
        <f t="shared" si="20"/>
        <v>40716.401173000006</v>
      </c>
      <c r="R59" s="226">
        <f t="shared" si="10"/>
        <v>319333.74169299996</v>
      </c>
      <c r="S59" s="224">
        <v>316205</v>
      </c>
      <c r="T59" s="225">
        <f t="shared" si="13"/>
        <v>1.0098946623013549</v>
      </c>
      <c r="U59" s="224"/>
      <c r="V59" s="224">
        <v>8634409</v>
      </c>
      <c r="W59" s="224">
        <v>9117822</v>
      </c>
      <c r="X59" s="226">
        <f>'C1-Incomes'!J61</f>
        <v>14444822.515000001</v>
      </c>
      <c r="Y59" s="226">
        <f>'C1-Incomes'!R61</f>
        <v>16758697.515000001</v>
      </c>
      <c r="AA59" s="261">
        <f>'T-T1a'!J$66/'T-T1a'!J64</f>
        <v>1.0181248372577465</v>
      </c>
      <c r="AC59" s="440">
        <f t="shared" si="16"/>
        <v>8471027.5800090209</v>
      </c>
      <c r="AD59" s="441">
        <f t="shared" si="17"/>
        <v>15718.780539999978</v>
      </c>
      <c r="AE59" s="441">
        <f t="shared" si="18"/>
        <v>10394.030000000001</v>
      </c>
      <c r="AF59" s="441">
        <f t="shared" si="4"/>
        <v>163381.47649617598</v>
      </c>
      <c r="AG59" s="441"/>
      <c r="AH59" s="441">
        <f t="shared" si="21"/>
        <v>25335.787834999996</v>
      </c>
      <c r="AI59" s="441">
        <f t="shared" si="3"/>
        <v>10394.030000000001</v>
      </c>
      <c r="AJ59" s="441">
        <f>AI59*AH59/1000</f>
        <v>263340.93883062503</v>
      </c>
      <c r="AK59" s="441">
        <f t="shared" si="12"/>
        <v>16746.215208432419</v>
      </c>
      <c r="AL59" s="441">
        <f>AJ59+('T-T1'!E62+'T-T1'!L62+'T-T1'!Q62+'T-T1'!T62+'T-T1'!AH62)*0.15</f>
        <v>424278.55556009396</v>
      </c>
      <c r="AM59" s="413">
        <f>AM57+1</f>
        <v>35</v>
      </c>
      <c r="AN59" s="655" t="str">
        <f ca="1">CONCATENATE(ROUND(INDIRECT("$Ad"&amp;AM59),2)," ",ROUND(INDIRECT("$d"&amp;AM59),2)," ",ROUND(INDIRECT("$e"&amp;AM59),2)," ",ROUND(INDIRECT("$f"&amp;AM59),2)," ",ROUND(INDIRECT("$g"&amp;AM59),2)," ",ROUND(INDIRECT("$Ae"&amp;AM59),2))</f>
        <v>4631.66 11530.38 2333.37 693.88 1029.81 5319.91</v>
      </c>
      <c r="AO59" s="413"/>
      <c r="AP59" s="413"/>
      <c r="AQ59" s="413"/>
      <c r="AR59" s="413"/>
      <c r="AS59" s="413"/>
      <c r="AT59" s="413"/>
      <c r="AX59" s="655"/>
    </row>
    <row r="60" spans="1:50" ht="12" customHeight="1" x14ac:dyDescent="0.3">
      <c r="A60" s="23">
        <v>2014</v>
      </c>
      <c r="B60" s="228">
        <v>165033</v>
      </c>
      <c r="C60" s="228">
        <f>TOTALS!AJ59/1000</f>
        <v>148472.32751</v>
      </c>
      <c r="D60" s="228">
        <f>TOTALS!AG59/1000</f>
        <v>7389.8115900000003</v>
      </c>
      <c r="E60" s="228">
        <f>TOTALS!AH59/1000</f>
        <v>3801.68586</v>
      </c>
      <c r="F60" s="226">
        <f>TOTALS!AI59/1000</f>
        <v>844.35172</v>
      </c>
      <c r="G60" s="226">
        <f>TOTALS!BR59/1000/2</f>
        <v>1455.4499900000001</v>
      </c>
      <c r="H60" s="226"/>
      <c r="I60" s="224">
        <f t="shared" si="14"/>
        <v>161231.31414</v>
      </c>
      <c r="J60" s="224">
        <f t="shared" si="15"/>
        <v>134981.02835000001</v>
      </c>
      <c r="K60" s="225">
        <f t="shared" si="19"/>
        <v>0.81790325783328188</v>
      </c>
      <c r="L60" s="228">
        <f>TOTALS!BE120/1000+Q60</f>
        <v>232027.12477999998</v>
      </c>
      <c r="M60" s="225"/>
      <c r="N60" s="228"/>
      <c r="O60" s="228"/>
      <c r="P60" s="228">
        <f>TOTALS!AF120/1000</f>
        <v>279327.64974999998</v>
      </c>
      <c r="Q60" s="226">
        <f t="shared" si="20"/>
        <v>42072.760309999983</v>
      </c>
      <c r="R60" s="226">
        <f>P60+Q60</f>
        <v>321400.41005999997</v>
      </c>
      <c r="S60" s="224">
        <v>318563</v>
      </c>
      <c r="T60" s="225">
        <f t="shared" si="13"/>
        <v>1.0089069040032896</v>
      </c>
      <c r="U60" s="228"/>
      <c r="V60" s="228">
        <v>9038944</v>
      </c>
      <c r="W60" s="228">
        <v>9746900</v>
      </c>
      <c r="X60" s="226">
        <f>'C1-Incomes'!J62</f>
        <v>15144035.857000001</v>
      </c>
      <c r="Y60" s="226">
        <f>'C1-Incomes'!R62</f>
        <v>17565794.857999999</v>
      </c>
      <c r="AA60" s="261">
        <f>'T-T1a'!J$66/'T-T1a'!J65</f>
        <v>1.002968201764431</v>
      </c>
      <c r="AC60" s="440">
        <f t="shared" si="16"/>
        <v>8861105.784852501</v>
      </c>
      <c r="AD60" s="441">
        <f t="shared" si="17"/>
        <v>16560.672489999997</v>
      </c>
      <c r="AE60" s="441">
        <f t="shared" si="18"/>
        <v>10738.59</v>
      </c>
      <c r="AF60" s="441">
        <f>AD60*AE60/1000</f>
        <v>177838.2719943891</v>
      </c>
      <c r="AG60" s="441"/>
      <c r="AH60" s="441">
        <f t="shared" si="21"/>
        <v>26250.285789999994</v>
      </c>
      <c r="AI60" s="441">
        <f t="shared" si="3"/>
        <v>10738.59</v>
      </c>
      <c r="AJ60" s="441">
        <f>AI60*AH60/1000</f>
        <v>281891.05648163607</v>
      </c>
      <c r="AK60" s="441">
        <f t="shared" si="12"/>
        <v>16953.422863137923</v>
      </c>
      <c r="AL60" s="441">
        <f>AJ60+('T-T1'!E63+'T-T1'!L63+'T-T1'!Q63+'T-T1'!T63+'T-T1'!AH63)*0.15</f>
        <v>445032.19527609041</v>
      </c>
      <c r="AM60" s="413"/>
      <c r="AN60" s="655" t="str">
        <f ca="1">CONCATENATE("data NonFilers",INDIRECT("$A"&amp;AM61),"; input xwgt_PS xwgt_20 xwgt_dep xwgt_noNR xwgt_mfs psnfinc; cards;")</f>
        <v>data NonFilers1990; input xwgt_PS xwgt_20 xwgt_dep xwgt_noNR xwgt_mfs psnfinc; cards;</v>
      </c>
      <c r="AO60" s="413"/>
      <c r="AP60" s="413"/>
      <c r="AQ60" s="413"/>
      <c r="AR60" s="413"/>
      <c r="AS60" s="413"/>
      <c r="AT60" s="413"/>
      <c r="AX60" s="655"/>
    </row>
    <row r="61" spans="1:50" ht="12" customHeight="1" x14ac:dyDescent="0.3">
      <c r="A61" s="23">
        <v>2015</v>
      </c>
      <c r="B61" s="228">
        <v>167314</v>
      </c>
      <c r="C61" s="228">
        <f>TOTALS!AJ60/1000</f>
        <v>150405.34906000001</v>
      </c>
      <c r="D61" s="228">
        <f>TOTALS!AG60/1000</f>
        <v>7608.66</v>
      </c>
      <c r="E61" s="228">
        <f>TOTALS!AH60/1000</f>
        <v>3811.6309200000001</v>
      </c>
      <c r="F61" s="226">
        <f>TOTALS!AI60/1000</f>
        <v>894.47193000000004</v>
      </c>
      <c r="G61" s="226">
        <f>TOTALS!BR60/1000/2</f>
        <v>1471.197345</v>
      </c>
      <c r="H61" s="226"/>
      <c r="I61" s="224">
        <f>B61-E61</f>
        <v>163502.36908</v>
      </c>
      <c r="J61" s="224">
        <f t="shared" si="15"/>
        <v>136619.38886500002</v>
      </c>
      <c r="K61" s="225">
        <f t="shared" si="19"/>
        <v>0.8165448729036423</v>
      </c>
      <c r="L61" s="228">
        <f>TOTALS!BE121/1000+Q61</f>
        <v>234854.44182899996</v>
      </c>
      <c r="M61" s="225"/>
      <c r="N61" s="228"/>
      <c r="O61" s="228"/>
      <c r="P61" s="228">
        <f>TOTALS!AF121/1000</f>
        <v>281135.81977</v>
      </c>
      <c r="Q61" s="226">
        <f>1.4*(B61-J61)</f>
        <v>42972.455588999976</v>
      </c>
      <c r="R61" s="226">
        <f>P61+Q61</f>
        <v>324108.27535899996</v>
      </c>
      <c r="S61" s="224">
        <v>320897</v>
      </c>
      <c r="T61" s="225">
        <f t="shared" si="13"/>
        <v>1.0100071841089195</v>
      </c>
      <c r="U61" s="228"/>
      <c r="V61" s="228">
        <v>9583917</v>
      </c>
      <c r="W61" s="228">
        <v>10360109</v>
      </c>
      <c r="X61" s="226">
        <f>'C1-Incomes'!J63</f>
        <v>15739598.801000001</v>
      </c>
      <c r="Y61" s="226">
        <f>'C1-Incomes'!R63</f>
        <v>18288640.800999999</v>
      </c>
      <c r="Z61" s="12"/>
      <c r="AA61" s="261">
        <f>'T-T1a'!J$66/'T-T1a'!J66</f>
        <v>1</v>
      </c>
      <c r="AB61" s="12"/>
      <c r="AC61" s="440">
        <f t="shared" si="16"/>
        <v>9394045.6927183792</v>
      </c>
      <c r="AD61" s="441">
        <f t="shared" si="17"/>
        <v>16908.650939999992</v>
      </c>
      <c r="AE61" s="441">
        <f>ROUND(0.2*AC61/B61*1000,2)</f>
        <v>11229.24</v>
      </c>
      <c r="AF61" s="441">
        <f>AD61*AE61/1000</f>
        <v>189871.2994814855</v>
      </c>
      <c r="AG61" s="441"/>
      <c r="AH61" s="441">
        <f>I61-J61</f>
        <v>26882.980214999989</v>
      </c>
      <c r="AI61" s="441">
        <f t="shared" si="3"/>
        <v>11229.24</v>
      </c>
      <c r="AJ61" s="441">
        <f>AI61*AH61/1000</f>
        <v>301875.43674948643</v>
      </c>
      <c r="AK61" s="441">
        <f t="shared" si="12"/>
        <v>17561.039253073988</v>
      </c>
      <c r="AL61" s="441">
        <f>AJ61+('T-T1'!E64+'T-T1'!L64+'T-T1'!Q64+'T-T1'!T64+'T-T1'!AH64)*0.15</f>
        <v>472093.07079522626</v>
      </c>
      <c r="AM61" s="413">
        <f>AM59+1</f>
        <v>36</v>
      </c>
      <c r="AN61" s="655" t="str">
        <f ca="1">CONCATENATE(ROUND(INDIRECT("$Ad"&amp;AM61),2)," ",ROUND(INDIRECT("$d"&amp;AM61),2)," ",ROUND(INDIRECT("$e"&amp;AM61),2)," ",ROUND(INDIRECT("$f"&amp;AM61),2)," ",ROUND(INDIRECT("$g"&amp;AM61),2)," ",ROUND(INDIRECT("$Ae"&amp;AM61),2))</f>
        <v>5337.86 11164.8 2310.12 642.13 1081.88 5540.1</v>
      </c>
      <c r="AO61" s="413"/>
      <c r="AP61" s="413"/>
      <c r="AQ61" s="413"/>
      <c r="AR61" s="413"/>
      <c r="AS61" s="413"/>
      <c r="AT61" s="413"/>
      <c r="AX61" s="655"/>
    </row>
    <row r="62" spans="1:50" x14ac:dyDescent="0.3">
      <c r="A62" s="1118"/>
      <c r="B62" s="1119"/>
      <c r="C62" s="1119"/>
      <c r="D62" s="1259"/>
      <c r="E62" s="657"/>
      <c r="F62" s="657"/>
      <c r="G62" s="657"/>
      <c r="H62" s="657"/>
      <c r="I62" s="657"/>
      <c r="J62" s="657"/>
      <c r="K62" s="657"/>
      <c r="L62" s="228"/>
      <c r="M62" s="657"/>
      <c r="N62" s="658"/>
      <c r="O62" s="657"/>
      <c r="P62" s="228"/>
      <c r="Q62" s="226"/>
      <c r="R62" s="226"/>
      <c r="S62" s="228">
        <v>323128</v>
      </c>
      <c r="T62" s="225"/>
      <c r="U62" s="657"/>
      <c r="V62" s="656"/>
      <c r="W62" s="227"/>
      <c r="X62" s="227"/>
      <c r="Y62" s="227"/>
      <c r="Z62" s="12"/>
      <c r="AA62" s="12"/>
      <c r="AB62" s="12"/>
      <c r="AC62" s="12"/>
      <c r="AD62" s="12"/>
      <c r="AE62" s="1334"/>
      <c r="AF62" s="12"/>
      <c r="AG62" s="12"/>
      <c r="AH62" s="12"/>
      <c r="AI62" s="1334"/>
      <c r="AJ62" s="12"/>
      <c r="AK62" s="12"/>
      <c r="AM62" s="413"/>
      <c r="AN62" s="655" t="str">
        <f ca="1">CONCATENATE("data NonFilers",INDIRECT("$A"&amp;AM63),"; input xwgt_PS xwgt_20 xwgt_dep xwgt_noNR xwgt_mfs psnfinc; cards;")</f>
        <v>data NonFilers1991; input xwgt_PS xwgt_20 xwgt_dep xwgt_noNR xwgt_mfs psnfinc; cards;</v>
      </c>
      <c r="AO62" s="413"/>
      <c r="AP62" s="413"/>
      <c r="AQ62" s="413"/>
      <c r="AR62" s="413"/>
      <c r="AS62" s="413"/>
      <c r="AT62" s="413"/>
    </row>
    <row r="63" spans="1:50" x14ac:dyDescent="0.3">
      <c r="A63" s="1117"/>
      <c r="B63" s="1116"/>
      <c r="C63" s="1116"/>
      <c r="D63" s="1116"/>
      <c r="E63" s="1"/>
      <c r="F63" s="1"/>
      <c r="G63" s="1"/>
      <c r="H63" s="1"/>
      <c r="I63" s="1"/>
      <c r="J63" s="1"/>
      <c r="K63" s="1"/>
      <c r="L63" s="1"/>
      <c r="M63" s="1"/>
      <c r="N63" s="232"/>
      <c r="O63" s="1"/>
      <c r="P63" s="1"/>
      <c r="Q63" s="1"/>
      <c r="R63" s="1"/>
      <c r="S63" s="1"/>
      <c r="T63" s="1"/>
      <c r="U63" s="1"/>
      <c r="V63" s="231"/>
      <c r="W63" s="233"/>
      <c r="X63" s="233"/>
      <c r="Y63" s="233"/>
      <c r="Z63" s="11"/>
      <c r="AA63" s="11"/>
      <c r="AB63" s="11"/>
      <c r="AC63" s="11"/>
      <c r="AD63" s="11"/>
      <c r="AE63" s="11"/>
      <c r="AF63" s="11"/>
      <c r="AG63" s="11"/>
      <c r="AH63" s="11"/>
      <c r="AI63" s="11"/>
      <c r="AJ63" s="11"/>
      <c r="AK63" s="11"/>
      <c r="AL63" s="11"/>
      <c r="AM63" s="413">
        <f>AM61+1</f>
        <v>37</v>
      </c>
      <c r="AN63" s="655" t="str">
        <f ca="1">CONCATENATE(ROUND(INDIRECT("$Ad"&amp;AM63),2)," ",ROUND(INDIRECT("$d"&amp;AM63),2)," ",ROUND(INDIRECT("$e"&amp;AM63),2)," ",ROUND(INDIRECT("$f"&amp;AM63),2)," ",ROUND(INDIRECT("$g"&amp;AM63),2)," ",ROUND(INDIRECT("$Ae"&amp;AM63),2))</f>
        <v>5723.14 10034.65 2577.89 632.19 1126.97 5571.59</v>
      </c>
      <c r="AO63" s="413"/>
      <c r="AP63" s="413"/>
      <c r="AQ63" s="413"/>
      <c r="AR63" s="413"/>
      <c r="AS63" s="413"/>
      <c r="AT63" s="413"/>
    </row>
    <row r="64" spans="1:50" x14ac:dyDescent="0.3">
      <c r="B64" s="3"/>
      <c r="C64" s="3"/>
      <c r="D64" s="3"/>
      <c r="E64" s="3"/>
      <c r="F64" s="3"/>
      <c r="G64" s="662"/>
      <c r="H64" s="662"/>
      <c r="I64" s="3"/>
      <c r="J64" s="3"/>
      <c r="K64" s="3"/>
      <c r="L64" s="3"/>
      <c r="M64" s="3"/>
      <c r="N64" s="38"/>
      <c r="O64" s="3"/>
      <c r="P64" s="3"/>
      <c r="Q64" s="3"/>
      <c r="R64" s="3"/>
      <c r="S64" s="228"/>
      <c r="T64" s="3"/>
      <c r="U64" s="3"/>
      <c r="V64" s="224"/>
      <c r="W64" s="5"/>
      <c r="X64" s="5"/>
      <c r="Y64" s="5"/>
      <c r="AM64" s="413"/>
      <c r="AN64" s="655" t="str">
        <f ca="1">CONCATENATE("data NonFilers",INDIRECT("$A"&amp;AM65),"; input xwgt_PS xwgt_20 xwgt_dep xwgt_noNR xwgt_mfs psnfinc; cards;")</f>
        <v>data NonFilers1992; input xwgt_PS xwgt_20 xwgt_dep xwgt_noNR xwgt_mfs psnfinc; cards;</v>
      </c>
      <c r="AO64" s="413"/>
      <c r="AP64" s="413"/>
      <c r="AQ64" s="413"/>
      <c r="AR64" s="413"/>
      <c r="AS64" s="413"/>
      <c r="AT64" s="413"/>
    </row>
    <row r="65" spans="1:46" x14ac:dyDescent="0.3">
      <c r="A65" s="235" t="s">
        <v>234</v>
      </c>
      <c r="B65" s="3"/>
      <c r="C65" s="3"/>
      <c r="D65" s="3"/>
      <c r="E65" s="3"/>
      <c r="F65" s="3"/>
      <c r="G65" s="662"/>
      <c r="H65" s="662"/>
      <c r="I65" s="3"/>
      <c r="J65" s="3"/>
      <c r="K65" s="3"/>
      <c r="L65" s="3"/>
      <c r="M65" s="3"/>
      <c r="N65" s="38"/>
      <c r="O65" s="3"/>
      <c r="P65" s="3"/>
      <c r="Q65" s="3"/>
      <c r="R65" s="3"/>
      <c r="S65" s="3"/>
      <c r="T65" s="3"/>
      <c r="U65" s="3"/>
      <c r="V65" s="224"/>
      <c r="W65" s="5"/>
      <c r="X65" s="5"/>
      <c r="Y65" s="5"/>
      <c r="AM65" s="413">
        <f>AM63+1</f>
        <v>38</v>
      </c>
      <c r="AN65" s="655" t="str">
        <f ca="1">CONCATENATE(ROUND(INDIRECT("$Ad"&amp;AM65),2)," ",ROUND(INDIRECT("$d"&amp;AM65),2)," ",ROUND(INDIRECT("$e"&amp;AM65),2)," ",ROUND(INDIRECT("$f"&amp;AM65),2)," ",ROUND(INDIRECT("$g"&amp;AM65),2)," ",ROUND(INDIRECT("$Ae"&amp;AM65),2))</f>
        <v>8339.55 9658.63 2516.78 705.33 1212.9 5736.96</v>
      </c>
      <c r="AO65" s="413"/>
      <c r="AP65" s="413"/>
      <c r="AQ65" s="413"/>
      <c r="AR65" s="413"/>
      <c r="AS65" s="413"/>
      <c r="AT65" s="413"/>
    </row>
    <row r="66" spans="1:46" s="278" customFormat="1" ht="14.25" customHeight="1" x14ac:dyDescent="0.3">
      <c r="A66" s="235" t="s">
        <v>231</v>
      </c>
      <c r="B66" s="3"/>
      <c r="C66" s="3"/>
      <c r="D66" s="3"/>
      <c r="E66" s="3"/>
      <c r="F66" s="3"/>
      <c r="G66" s="662"/>
      <c r="H66" s="662"/>
      <c r="I66" s="3"/>
      <c r="J66" s="3"/>
      <c r="K66" s="3"/>
      <c r="L66" s="655"/>
      <c r="M66" s="3"/>
      <c r="N66" s="38"/>
      <c r="O66" s="3"/>
      <c r="P66" s="3"/>
      <c r="Q66" s="3"/>
      <c r="R66" s="3"/>
      <c r="S66" s="3"/>
      <c r="T66" s="3"/>
      <c r="U66" s="3"/>
      <c r="V66" s="224"/>
      <c r="W66" s="5"/>
      <c r="X66" s="5"/>
      <c r="Y66" s="5"/>
      <c r="AC66" s="413"/>
      <c r="AK66" s="655"/>
      <c r="AM66" s="413"/>
      <c r="AN66" s="655" t="str">
        <f ca="1">CONCATENATE("data NonFilers",INDIRECT("$A"&amp;AM67),"; input xwgt_PS xwgt_20 xwgt_dep xwgt_noNR xwgt_mfs psnfinc; cards;")</f>
        <v>data NonFilers1993; input xwgt_PS xwgt_20 xwgt_dep xwgt_noNR xwgt_mfs psnfinc; cards;</v>
      </c>
      <c r="AO66" s="413"/>
      <c r="AP66" s="413"/>
      <c r="AQ66" s="413"/>
      <c r="AR66" s="413"/>
      <c r="AS66" s="413"/>
      <c r="AT66" s="413"/>
    </row>
    <row r="67" spans="1:46" x14ac:dyDescent="0.3">
      <c r="A67" s="235" t="s">
        <v>937</v>
      </c>
      <c r="B67" s="3"/>
      <c r="C67" s="3"/>
      <c r="D67" s="3"/>
      <c r="L67" s="655"/>
      <c r="M67" s="662"/>
      <c r="V67" s="224"/>
      <c r="W67" s="170"/>
      <c r="AA67" s="702"/>
      <c r="AM67" s="413">
        <f>AM65+1</f>
        <v>39</v>
      </c>
      <c r="AN67" s="655" t="str">
        <f ca="1">CONCATENATE(ROUND(INDIRECT("$Ad"&amp;AM67),2)," ",ROUND(INDIRECT("$d"&amp;AM67),2)," ",ROUND(INDIRECT("$e"&amp;AM67),2)," ",ROUND(INDIRECT("$f"&amp;AM67),2)," ",ROUND(INDIRECT("$g"&amp;AM67),2)," ",ROUND(INDIRECT("$Ae"&amp;AM67),2))</f>
        <v>8776.68 9468.87 2388.78 596.65 1193.9 5789.04</v>
      </c>
      <c r="AO67" s="413"/>
      <c r="AP67" s="413"/>
      <c r="AQ67" s="413"/>
      <c r="AR67" s="413"/>
      <c r="AS67" s="413"/>
      <c r="AT67" s="413"/>
    </row>
    <row r="68" spans="1:46" x14ac:dyDescent="0.3">
      <c r="A68" s="235" t="s">
        <v>446</v>
      </c>
      <c r="L68" s="655"/>
      <c r="M68" s="662"/>
      <c r="N68" s="563"/>
      <c r="O68" s="287"/>
      <c r="P68" s="287"/>
      <c r="Q68" s="287"/>
      <c r="R68" s="543"/>
      <c r="S68" s="543"/>
      <c r="T68" s="287"/>
      <c r="V68" s="289"/>
      <c r="W68" s="17"/>
      <c r="AA68" s="702"/>
      <c r="AM68" s="413"/>
      <c r="AN68" s="655" t="str">
        <f ca="1">CONCATENATE("data NonFilers",INDIRECT("$A"&amp;AM69),"; input xwgt_PS xwgt_20 xwgt_dep xwgt_noNR xwgt_mfs psnfinc; cards;")</f>
        <v>data NonFilers1994; input xwgt_PS xwgt_20 xwgt_dep xwgt_noNR xwgt_mfs psnfinc; cards;</v>
      </c>
      <c r="AO68" s="413"/>
      <c r="AP68" s="413"/>
      <c r="AQ68" s="413"/>
      <c r="AR68" s="413"/>
      <c r="AS68" s="413"/>
      <c r="AT68" s="413"/>
    </row>
    <row r="69" spans="1:46" x14ac:dyDescent="0.3">
      <c r="A69" s="235" t="s">
        <v>1208</v>
      </c>
      <c r="B69" s="61"/>
      <c r="C69" s="423"/>
      <c r="D69" s="228"/>
      <c r="E69" s="8"/>
      <c r="L69" s="655"/>
      <c r="M69" s="662"/>
      <c r="N69" s="34"/>
      <c r="O69" s="8"/>
      <c r="P69" s="8"/>
      <c r="Q69" s="8"/>
      <c r="R69" s="544"/>
      <c r="S69" s="543"/>
      <c r="T69" s="8"/>
      <c r="W69" s="8"/>
      <c r="AA69" s="702"/>
      <c r="AM69" s="413">
        <f>AM67+1</f>
        <v>40</v>
      </c>
      <c r="AN69" s="655" t="str">
        <f ca="1">CONCATENATE(ROUND(INDIRECT("$Ad"&amp;AM69),2)," ",ROUND(INDIRECT("$d"&amp;AM69),2)," ",ROUND(INDIRECT("$e"&amp;AM69),2)," ",ROUND(INDIRECT("$f"&amp;AM69),2)," ",ROUND(INDIRECT("$g"&amp;AM69),2)," ",ROUND(INDIRECT("$Ae"&amp;AM69),2))</f>
        <v>8772.67 9663.26 2480.69 623.5 1211.49 6017.73</v>
      </c>
      <c r="AO69" s="413"/>
      <c r="AP69" s="413"/>
      <c r="AQ69" s="413"/>
      <c r="AR69" s="413"/>
      <c r="AS69" s="413"/>
      <c r="AT69" s="413"/>
    </row>
    <row r="70" spans="1:46" s="655" customFormat="1" x14ac:dyDescent="0.3">
      <c r="A70" s="700" t="s">
        <v>1209</v>
      </c>
      <c r="B70" s="61"/>
      <c r="C70" s="423"/>
      <c r="D70" s="228"/>
      <c r="E70" s="8"/>
      <c r="M70" s="662"/>
      <c r="N70" s="34"/>
      <c r="O70" s="8"/>
      <c r="P70" s="8"/>
      <c r="Q70" s="8"/>
      <c r="R70" s="544"/>
      <c r="S70" s="543"/>
      <c r="T70" s="8"/>
      <c r="W70" s="8"/>
      <c r="AA70" s="702"/>
      <c r="AM70" s="413"/>
      <c r="AN70" s="655" t="str">
        <f ca="1">CONCATENATE("data NonFilers",INDIRECT("$A"&amp;AM71),"; input xwgt_PS xwgt_20 xwgt_dep xwgt_noNR xwgt_mfs psnfinc; cards;")</f>
        <v>data NonFilers1995; input xwgt_PS xwgt_20 xwgt_dep xwgt_noNR xwgt_mfs psnfinc; cards;</v>
      </c>
    </row>
    <row r="71" spans="1:46" s="655" customFormat="1" x14ac:dyDescent="0.3">
      <c r="A71" s="700" t="s">
        <v>1210</v>
      </c>
      <c r="B71" s="61"/>
      <c r="C71" s="423"/>
      <c r="D71" s="228"/>
      <c r="E71" s="8"/>
      <c r="M71" s="662"/>
      <c r="N71" s="34"/>
      <c r="O71" s="8"/>
      <c r="P71" s="8"/>
      <c r="Q71" s="8"/>
      <c r="R71" s="544"/>
      <c r="S71" s="543"/>
      <c r="T71" s="8"/>
      <c r="W71" s="8"/>
      <c r="AA71" s="702"/>
      <c r="AM71" s="413">
        <f>AM69+1</f>
        <v>41</v>
      </c>
      <c r="AN71" s="655" t="str">
        <f ca="1">CONCATENATE(ROUND(INDIRECT("$Ad"&amp;AM71),2)," ",ROUND(INDIRECT("$d"&amp;AM71),2)," ",ROUND(INDIRECT("$e"&amp;AM71),2)," ",ROUND(INDIRECT("$f"&amp;AM71),2)," ",ROUND(INDIRECT("$g"&amp;AM71),2)," ",ROUND(INDIRECT("$Ae"&amp;AM71),2))</f>
        <v>7802.18 10123.18 2551.25 577.5 1289.05 6350.08</v>
      </c>
    </row>
    <row r="72" spans="1:46" s="655" customFormat="1" x14ac:dyDescent="0.3">
      <c r="A72" s="700" t="s">
        <v>1140</v>
      </c>
      <c r="B72" s="61"/>
      <c r="C72" s="423"/>
      <c r="D72" s="228"/>
      <c r="E72" s="8"/>
      <c r="M72" s="662"/>
      <c r="N72" s="34"/>
      <c r="O72" s="8"/>
      <c r="P72" s="8"/>
      <c r="Q72" s="8"/>
      <c r="R72" s="544"/>
      <c r="S72" s="543"/>
      <c r="T72" s="8"/>
      <c r="W72" s="8"/>
      <c r="AA72" s="702"/>
      <c r="AM72" s="413"/>
      <c r="AN72" s="655" t="str">
        <f ca="1">CONCATENATE("data NonFilers",INDIRECT("$A"&amp;AM73),"; input xwgt_PS xwgt_20 xwgt_dep xwgt_noNR xwgt_mfs psnfinc; cards;")</f>
        <v>data NonFilers1996; input xwgt_PS xwgt_20 xwgt_dep xwgt_noNR xwgt_mfs psnfinc; cards;</v>
      </c>
    </row>
    <row r="73" spans="1:46" s="655" customFormat="1" x14ac:dyDescent="0.3">
      <c r="A73" s="700" t="s">
        <v>1204</v>
      </c>
      <c r="B73" s="61"/>
      <c r="C73" s="423"/>
      <c r="D73" s="228"/>
      <c r="E73" s="8"/>
      <c r="M73" s="662"/>
      <c r="N73" s="34"/>
      <c r="O73" s="8"/>
      <c r="P73" s="8"/>
      <c r="Q73" s="8"/>
      <c r="R73" s="544"/>
      <c r="S73" s="543"/>
      <c r="T73" s="8"/>
      <c r="W73" s="8"/>
      <c r="AA73" s="702"/>
      <c r="AM73" s="413">
        <f>AM71+1</f>
        <v>42</v>
      </c>
      <c r="AN73" s="655" t="str">
        <f ca="1">CONCATENATE(ROUND(INDIRECT("$Ad"&amp;AM73),2)," ",ROUND(INDIRECT("$d"&amp;AM73),2)," ",ROUND(INDIRECT("$e"&amp;AM73),2)," ",ROUND(INDIRECT("$f"&amp;AM73),2)," ",ROUND(INDIRECT("$g"&amp;AM73),2)," ",ROUND(INDIRECT("$Ae"&amp;AM73),2))</f>
        <v>7272.06 10578.69 2536.22 640.17 1256.93 6676.86</v>
      </c>
    </row>
    <row r="74" spans="1:46" s="655" customFormat="1" x14ac:dyDescent="0.3">
      <c r="A74" s="700" t="s">
        <v>1205</v>
      </c>
      <c r="B74" s="61"/>
      <c r="C74" s="423"/>
      <c r="D74" s="228"/>
      <c r="E74" s="8"/>
      <c r="M74" s="662"/>
      <c r="N74" s="34"/>
      <c r="O74" s="8"/>
      <c r="P74" s="8"/>
      <c r="Q74" s="8"/>
      <c r="R74" s="544"/>
      <c r="S74" s="543"/>
      <c r="T74" s="8"/>
      <c r="W74" s="8"/>
      <c r="AA74" s="702"/>
      <c r="AM74" s="413"/>
      <c r="AN74" s="655" t="str">
        <f ca="1">CONCATENATE("data NonFilers",INDIRECT("$A"&amp;AM75),"; input xwgt_PS xwgt_20 xwgt_dep xwgt_noNR xwgt_mfs psnfinc; cards;")</f>
        <v>data NonFilers1997; input xwgt_PS xwgt_20 xwgt_dep xwgt_noNR xwgt_mfs psnfinc; cards;</v>
      </c>
    </row>
    <row r="75" spans="1:46" s="655" customFormat="1" x14ac:dyDescent="0.3">
      <c r="A75" s="700" t="s">
        <v>1206</v>
      </c>
      <c r="B75" s="61"/>
      <c r="C75" s="423"/>
      <c r="D75" s="228"/>
      <c r="E75" s="8"/>
      <c r="M75" s="662"/>
      <c r="N75" s="34"/>
      <c r="O75" s="8"/>
      <c r="P75" s="8"/>
      <c r="Q75" s="8"/>
      <c r="R75" s="544"/>
      <c r="S75" s="543"/>
      <c r="T75" s="8"/>
      <c r="W75" s="8"/>
      <c r="AA75" s="702"/>
      <c r="AM75" s="413">
        <f>AM73+1</f>
        <v>43</v>
      </c>
      <c r="AN75" s="655" t="str">
        <f ca="1">CONCATENATE(ROUND(INDIRECT("$Ad"&amp;AM75),2)," ",ROUND(INDIRECT("$d"&amp;AM75),2)," ",ROUND(INDIRECT("$e"&amp;AM75),2)," ",ROUND(INDIRECT("$f"&amp;AM75),2)," ",ROUND(INDIRECT("$g"&amp;AM75),2)," ",ROUND(INDIRECT("$Ae"&amp;AM75),2))</f>
        <v>6887.55 11206.35 2622.62 712.35 1296.76 7096.39</v>
      </c>
    </row>
    <row r="76" spans="1:46" x14ac:dyDescent="0.3">
      <c r="A76" s="264" t="s">
        <v>1280</v>
      </c>
      <c r="B76" s="61"/>
      <c r="C76" s="423"/>
      <c r="D76" s="228"/>
      <c r="L76" s="655"/>
      <c r="M76" s="662"/>
      <c r="N76" s="34"/>
      <c r="O76" s="8"/>
      <c r="P76" s="8"/>
      <c r="Q76" s="8"/>
      <c r="R76" s="544"/>
      <c r="S76" s="543"/>
      <c r="T76" s="8"/>
      <c r="W76" s="8"/>
      <c r="AA76" s="702"/>
      <c r="AM76" s="413"/>
      <c r="AN76" s="655" t="str">
        <f ca="1">CONCATENATE("data NonFilers",INDIRECT("$A"&amp;AM77),"; input xwgt_PS xwgt_20 xwgt_dep xwgt_noNR xwgt_mfs psnfinc; cards;")</f>
        <v>data NonFilers1998; input xwgt_PS xwgt_20 xwgt_dep xwgt_noNR xwgt_mfs psnfinc; cards;</v>
      </c>
      <c r="AO76" s="413"/>
      <c r="AP76" s="413"/>
      <c r="AQ76" s="413"/>
      <c r="AR76" s="413"/>
      <c r="AS76" s="413"/>
      <c r="AT76" s="413"/>
    </row>
    <row r="77" spans="1:46" x14ac:dyDescent="0.3">
      <c r="A77" s="173" t="s">
        <v>995</v>
      </c>
      <c r="B77" s="61"/>
      <c r="C77" s="423"/>
      <c r="D77" s="228"/>
      <c r="E77" s="502"/>
      <c r="L77" s="655"/>
      <c r="M77" s="662"/>
      <c r="Q77" s="8"/>
      <c r="R77" s="544"/>
      <c r="S77" s="543"/>
      <c r="AA77" s="702"/>
      <c r="AM77" s="413">
        <f>AM75+1</f>
        <v>44</v>
      </c>
      <c r="AN77" s="655" t="str">
        <f ca="1">CONCATENATE(ROUND(INDIRECT("$Ad"&amp;AM77),2)," ",ROUND(INDIRECT("$d"&amp;AM77),2)," ",ROUND(INDIRECT("$e"&amp;AM77),2)," ",ROUND(INDIRECT("$f"&amp;AM77),2)," ",ROUND(INDIRECT("$g"&amp;AM77),2)," ",ROUND(INDIRECT("$Ae"&amp;AM77),2))</f>
        <v>6173.36 11092.42 2591.2 663.83 1250.99 7554.48</v>
      </c>
      <c r="AO77" s="413"/>
      <c r="AP77" s="413"/>
      <c r="AQ77" s="413"/>
      <c r="AR77" s="413"/>
      <c r="AS77" s="413"/>
      <c r="AT77" s="413"/>
    </row>
    <row r="78" spans="1:46" x14ac:dyDescent="0.3">
      <c r="B78" s="61"/>
      <c r="C78" s="423"/>
      <c r="D78" s="228"/>
      <c r="L78" s="655"/>
      <c r="M78" s="662"/>
      <c r="Q78" s="8"/>
      <c r="R78" s="544"/>
      <c r="S78" s="543"/>
      <c r="AA78" s="702"/>
      <c r="AM78" s="413"/>
      <c r="AN78" s="655" t="str">
        <f ca="1">CONCATENATE("data NonFilers",INDIRECT("$A"&amp;AM79),"; input xwgt_PS xwgt_20 xwgt_dep xwgt_noNR xwgt_mfs psnfinc; cards;")</f>
        <v>data NonFilers1999; input xwgt_PS xwgt_20 xwgt_dep xwgt_noNR xwgt_mfs psnfinc; cards;</v>
      </c>
      <c r="AO78" s="413"/>
      <c r="AP78" s="413"/>
      <c r="AQ78" s="413"/>
      <c r="AR78" s="413"/>
      <c r="AS78" s="413"/>
      <c r="AT78" s="413"/>
    </row>
    <row r="79" spans="1:46" x14ac:dyDescent="0.3">
      <c r="B79" s="61"/>
      <c r="C79" s="423"/>
      <c r="D79" s="228"/>
      <c r="E79" s="502"/>
      <c r="L79" s="655"/>
      <c r="M79" s="662"/>
      <c r="Q79" s="8"/>
      <c r="R79" s="544"/>
      <c r="S79" s="543"/>
      <c r="AA79" s="702"/>
      <c r="AM79" s="413">
        <f>AM77+1</f>
        <v>45</v>
      </c>
      <c r="AN79" s="655" t="str">
        <f ca="1">CONCATENATE(ROUND(INDIRECT("$Ad"&amp;AM79),2)," ",ROUND(INDIRECT("$d"&amp;AM79),2)," ",ROUND(INDIRECT("$e"&amp;AM79),2)," ",ROUND(INDIRECT("$f"&amp;AM79),2)," ",ROUND(INDIRECT("$g"&amp;AM79),2)," ",ROUND(INDIRECT("$Ae"&amp;AM79),2))</f>
        <v>3867.25 11522.98 2805.73 763.05 1193.17 8043.85</v>
      </c>
      <c r="AO79" s="413"/>
      <c r="AP79" s="413"/>
      <c r="AQ79" s="413"/>
      <c r="AR79" s="413"/>
      <c r="AS79" s="413"/>
      <c r="AT79" s="413"/>
    </row>
    <row r="80" spans="1:46" x14ac:dyDescent="0.3">
      <c r="A80" s="1281"/>
      <c r="B80" s="61"/>
      <c r="C80" s="423"/>
      <c r="D80" s="228"/>
      <c r="E80" s="1281"/>
      <c r="L80" s="655"/>
      <c r="M80" s="662"/>
      <c r="Q80" s="8"/>
      <c r="R80" s="544"/>
      <c r="S80" s="543"/>
      <c r="AA80" s="702"/>
      <c r="AM80" s="413"/>
      <c r="AN80" s="655" t="str">
        <f ca="1">CONCATENATE("data NonFilers",INDIRECT("$A"&amp;AM81),"; input xwgt_PS xwgt_20 xwgt_dep xwgt_noNR xwgt_mfs psnfinc; cards;")</f>
        <v>data NonFilers2000; input xwgt_PS xwgt_20 xwgt_dep xwgt_noNR xwgt_mfs psnfinc; cards;</v>
      </c>
      <c r="AO80" s="413"/>
      <c r="AP80" s="413"/>
      <c r="AQ80" s="413"/>
      <c r="AR80" s="413"/>
      <c r="AS80" s="413"/>
      <c r="AT80" s="413"/>
    </row>
    <row r="81" spans="2:46" x14ac:dyDescent="0.3">
      <c r="B81" s="61"/>
      <c r="C81" s="423"/>
      <c r="D81" s="228"/>
      <c r="L81" s="655"/>
      <c r="M81" s="662"/>
      <c r="Q81" s="8"/>
      <c r="R81" s="544"/>
      <c r="S81" s="543"/>
      <c r="AA81" s="702"/>
      <c r="AM81" s="413">
        <f>AM79+1</f>
        <v>46</v>
      </c>
      <c r="AN81" s="655" t="str">
        <f ca="1">CONCATENATE(ROUND(INDIRECT("$Ad"&amp;AM81),2)," ",ROUND(INDIRECT("$d"&amp;AM81),2)," ",ROUND(INDIRECT("$e"&amp;AM81),2)," ",ROUND(INDIRECT("$f"&amp;AM81),2)," ",ROUND(INDIRECT("$g"&amp;AM81),2)," ",ROUND(INDIRECT("$Ae"&amp;AM81),2))</f>
        <v>4813.76 11687.27 2790.5 832.72 1232.94 8435.35</v>
      </c>
      <c r="AO81" s="413"/>
      <c r="AP81" s="413"/>
      <c r="AQ81" s="413"/>
      <c r="AR81" s="413"/>
      <c r="AS81" s="413"/>
      <c r="AT81" s="413"/>
    </row>
    <row r="82" spans="2:46" x14ac:dyDescent="0.3">
      <c r="B82" s="61"/>
      <c r="C82" s="423"/>
      <c r="D82" s="228"/>
      <c r="L82" s="655"/>
      <c r="M82" s="662"/>
      <c r="Q82" s="8"/>
      <c r="R82" s="544"/>
      <c r="S82" s="543"/>
      <c r="AA82" s="702"/>
      <c r="AM82" s="413"/>
      <c r="AN82" s="655" t="str">
        <f ca="1">CONCATENATE("data NonFilers",INDIRECT("$A"&amp;AM83),"; input xwgt_PS xwgt_20 xwgt_dep xwgt_noNR xwgt_mfs psnfinc; cards;")</f>
        <v>data NonFilers2001; input xwgt_PS xwgt_20 xwgt_dep xwgt_noNR xwgt_mfs psnfinc; cards;</v>
      </c>
      <c r="AO82" s="413"/>
      <c r="AP82" s="413"/>
      <c r="AQ82" s="413"/>
      <c r="AR82" s="413"/>
      <c r="AS82" s="413"/>
      <c r="AT82" s="413"/>
    </row>
    <row r="83" spans="2:46" x14ac:dyDescent="0.3">
      <c r="B83" s="61"/>
      <c r="C83" s="423"/>
      <c r="D83" s="228"/>
      <c r="L83" s="655"/>
      <c r="M83" s="662"/>
      <c r="Q83" s="8"/>
      <c r="R83" s="544"/>
      <c r="S83" s="543"/>
      <c r="AA83" s="702"/>
      <c r="AM83" s="413">
        <f>AM81+1</f>
        <v>47</v>
      </c>
      <c r="AN83" s="655" t="str">
        <f ca="1">CONCATENATE(ROUND(INDIRECT("$Ad"&amp;AM83),2)," ",ROUND(INDIRECT("$d"&amp;AM83),2)," ",ROUND(INDIRECT("$e"&amp;AM83),2)," ",ROUND(INDIRECT("$f"&amp;AM83),2)," ",ROUND(INDIRECT("$g"&amp;AM83),2)," ",ROUND(INDIRECT("$Ae"&amp;AM83),2))</f>
        <v>6832.77 10729.76 2805.79 768.25 1205.29 8445.02</v>
      </c>
      <c r="AO83" s="413"/>
      <c r="AP83" s="413"/>
      <c r="AQ83" s="413"/>
      <c r="AR83" s="413"/>
      <c r="AS83" s="413"/>
      <c r="AT83" s="413"/>
    </row>
    <row r="84" spans="2:46" x14ac:dyDescent="0.3">
      <c r="B84" s="61"/>
      <c r="C84" s="423"/>
      <c r="D84" s="228"/>
      <c r="L84" s="655"/>
      <c r="M84" s="662"/>
      <c r="Q84" s="8"/>
      <c r="R84" s="544"/>
      <c r="S84" s="543"/>
      <c r="AA84" s="702"/>
      <c r="AM84" s="413"/>
      <c r="AN84" s="655" t="str">
        <f ca="1">CONCATENATE("data NonFilers",INDIRECT("$A"&amp;AM85),"; input xwgt_PS xwgt_20 xwgt_dep xwgt_noNR xwgt_mfs psnfinc; cards;")</f>
        <v>data NonFilers2002; input xwgt_PS xwgt_20 xwgt_dep xwgt_noNR xwgt_mfs psnfinc; cards;</v>
      </c>
      <c r="AO84" s="413"/>
      <c r="AP84" s="413"/>
      <c r="AQ84" s="413"/>
      <c r="AR84" s="413"/>
      <c r="AS84" s="413"/>
      <c r="AT84" s="413"/>
    </row>
    <row r="85" spans="2:46" x14ac:dyDescent="0.3">
      <c r="B85" s="61"/>
      <c r="C85" s="423"/>
      <c r="D85" s="228"/>
      <c r="L85" s="655"/>
      <c r="M85" s="662"/>
      <c r="Q85" s="8"/>
      <c r="R85" s="544"/>
      <c r="S85" s="543"/>
      <c r="AA85" s="702"/>
      <c r="AM85" s="413">
        <f>AM83+1</f>
        <v>48</v>
      </c>
      <c r="AN85" s="655" t="str">
        <f ca="1">CONCATENATE(ROUND(INDIRECT("$Ad"&amp;AM85),2)," ",ROUND(INDIRECT("$d"&amp;AM85),2)," ",ROUND(INDIRECT("$e"&amp;AM85),2)," ",ROUND(INDIRECT("$f"&amp;AM85),2)," ",ROUND(INDIRECT("$g"&amp;AM85),2)," ",ROUND(INDIRECT("$Ae"&amp;AM85),2))</f>
        <v>9626.55 9621.84 2983.93 808.07 1155.42 8223.15</v>
      </c>
      <c r="AO85" s="413"/>
      <c r="AP85" s="413"/>
      <c r="AQ85" s="413"/>
      <c r="AR85" s="413"/>
      <c r="AS85" s="413"/>
      <c r="AT85" s="413"/>
    </row>
    <row r="86" spans="2:46" x14ac:dyDescent="0.3">
      <c r="B86" s="61"/>
      <c r="C86" s="423"/>
      <c r="D86" s="228"/>
      <c r="L86" s="655"/>
      <c r="M86" s="662"/>
      <c r="Q86" s="8"/>
      <c r="R86" s="544"/>
      <c r="S86" s="543"/>
      <c r="AA86" s="702"/>
      <c r="AM86" s="413"/>
      <c r="AN86" s="655" t="str">
        <f ca="1">CONCATENATE("data NonFilers",INDIRECT("$A"&amp;AM87),"; input xwgt_PS xwgt_20 xwgt_dep xwgt_noNR xwgt_mfs psnfinc; cards;")</f>
        <v>data NonFilers2003; input xwgt_PS xwgt_20 xwgt_dep xwgt_noNR xwgt_mfs psnfinc; cards;</v>
      </c>
      <c r="AO86" s="413"/>
      <c r="AP86" s="413"/>
      <c r="AQ86" s="413"/>
      <c r="AR86" s="413"/>
      <c r="AS86" s="413"/>
      <c r="AT86" s="413"/>
    </row>
    <row r="87" spans="2:46" x14ac:dyDescent="0.3">
      <c r="B87" s="61"/>
      <c r="C87" s="423"/>
      <c r="D87" s="228"/>
      <c r="L87" s="655"/>
      <c r="M87" s="662"/>
      <c r="Q87" s="8"/>
      <c r="R87" s="544"/>
      <c r="S87" s="543"/>
      <c r="AA87" s="702"/>
      <c r="AM87" s="413">
        <f>AM85+1</f>
        <v>49</v>
      </c>
      <c r="AN87" s="655" t="str">
        <f ca="1">CONCATENATE(ROUND(INDIRECT("$Ad"&amp;AM87),2)," ",ROUND(INDIRECT("$d"&amp;AM87),2)," ",ROUND(INDIRECT("$e"&amp;AM87),2)," ",ROUND(INDIRECT("$f"&amp;AM87),2)," ",ROUND(INDIRECT("$g"&amp;AM87),2)," ",ROUND(INDIRECT("$Ae"&amp;AM87),2))</f>
        <v>11419.37 9142.78 2929.24 763.76 1141.58 8272.54</v>
      </c>
      <c r="AO87" s="413"/>
      <c r="AP87" s="413"/>
      <c r="AQ87" s="413"/>
      <c r="AR87" s="413"/>
      <c r="AS87" s="413"/>
      <c r="AT87" s="413"/>
    </row>
    <row r="88" spans="2:46" x14ac:dyDescent="0.3">
      <c r="B88" s="61"/>
      <c r="C88" s="423"/>
      <c r="D88" s="228"/>
      <c r="L88" s="655"/>
      <c r="M88" s="662"/>
      <c r="Q88" s="8"/>
      <c r="R88" s="544"/>
      <c r="S88" s="543"/>
      <c r="AA88" s="702"/>
      <c r="AM88" s="413"/>
      <c r="AN88" s="655" t="str">
        <f ca="1">CONCATENATE("data NonFilers",INDIRECT("$A"&amp;AM89),"; input xwgt_PS xwgt_20 xwgt_dep xwgt_noNR xwgt_mfs psnfinc; cards;")</f>
        <v>data NonFilers2004; input xwgt_PS xwgt_20 xwgt_dep xwgt_noNR xwgt_mfs psnfinc; cards;</v>
      </c>
      <c r="AO88" s="413"/>
      <c r="AP88" s="413"/>
      <c r="AQ88" s="413"/>
      <c r="AR88" s="413"/>
      <c r="AS88" s="413"/>
      <c r="AT88" s="413"/>
    </row>
    <row r="89" spans="2:46" x14ac:dyDescent="0.3">
      <c r="B89" s="61"/>
      <c r="C89" s="423"/>
      <c r="D89" s="228"/>
      <c r="L89" s="655"/>
      <c r="M89" s="662"/>
      <c r="Q89" s="8"/>
      <c r="R89" s="544"/>
      <c r="S89" s="543"/>
      <c r="AA89" s="702"/>
      <c r="AM89" s="413">
        <f>AM87+1</f>
        <v>50</v>
      </c>
      <c r="AN89" s="655" t="str">
        <f ca="1">CONCATENATE(ROUND(INDIRECT("$Ad"&amp;AM89),2)," ",ROUND(INDIRECT("$d"&amp;AM89),2)," ",ROUND(INDIRECT("$e"&amp;AM89),2)," ",ROUND(INDIRECT("$f"&amp;AM89),2)," ",ROUND(INDIRECT("$g"&amp;AM89),2)," ",ROUND(INDIRECT("$Ae"&amp;AM89),2))</f>
        <v>11755.96 9061.62 3044.61 824.91 1213.5 8724.27</v>
      </c>
      <c r="AO89" s="413"/>
      <c r="AP89" s="413"/>
      <c r="AQ89" s="413"/>
      <c r="AR89" s="413"/>
      <c r="AS89" s="413"/>
      <c r="AT89" s="413"/>
    </row>
    <row r="90" spans="2:46" x14ac:dyDescent="0.3">
      <c r="B90" s="61"/>
      <c r="C90" s="423"/>
      <c r="D90" s="228"/>
      <c r="L90" s="655"/>
      <c r="M90" s="662"/>
      <c r="Q90" s="8"/>
      <c r="R90" s="544"/>
      <c r="S90" s="543"/>
      <c r="AA90" s="702"/>
      <c r="AM90" s="413"/>
      <c r="AN90" s="655" t="str">
        <f ca="1">CONCATENATE("data NonFilers",INDIRECT("$A"&amp;AM91),"; input xwgt_PS xwgt_20 xwgt_dep xwgt_noNR xwgt_mfs psnfinc; cards;")</f>
        <v>data NonFilers2005; input xwgt_PS xwgt_20 xwgt_dep xwgt_noNR xwgt_mfs psnfinc; cards;</v>
      </c>
      <c r="AO90" s="413"/>
      <c r="AP90" s="413"/>
      <c r="AQ90" s="413"/>
      <c r="AR90" s="413"/>
      <c r="AS90" s="413"/>
      <c r="AT90" s="413"/>
    </row>
    <row r="91" spans="2:46" x14ac:dyDescent="0.3">
      <c r="B91" s="61"/>
      <c r="C91" s="423"/>
      <c r="D91" s="228"/>
      <c r="L91" s="655"/>
      <c r="M91" s="662"/>
      <c r="Q91" s="8"/>
      <c r="R91" s="544"/>
      <c r="S91" s="543"/>
      <c r="AA91" s="702"/>
      <c r="AM91" s="413">
        <f>AM89+1</f>
        <v>51</v>
      </c>
      <c r="AN91" s="655" t="str">
        <f ca="1">CONCATENATE(ROUND(INDIRECT("$Ad"&amp;AM91),2)," ",ROUND(INDIRECT("$d"&amp;AM91),2)," ",ROUND(INDIRECT("$e"&amp;AM91),2)," ",ROUND(INDIRECT("$f"&amp;AM91),2)," ",ROUND(INDIRECT("$g"&amp;AM91),2)," ",ROUND(INDIRECT("$Ae"&amp;AM91),2))</f>
        <v>11508.32 9146.81 3124.97 767.76 1220.58 9218.64</v>
      </c>
      <c r="AO91" s="413"/>
      <c r="AP91" s="413"/>
      <c r="AQ91" s="413"/>
      <c r="AR91" s="413"/>
      <c r="AS91" s="413"/>
      <c r="AT91" s="413"/>
    </row>
    <row r="92" spans="2:46" x14ac:dyDescent="0.3">
      <c r="B92" s="61"/>
      <c r="C92" s="423"/>
      <c r="D92" s="228"/>
      <c r="L92" s="655"/>
      <c r="M92" s="662"/>
      <c r="Q92" s="8"/>
      <c r="R92" s="544"/>
      <c r="S92" s="543"/>
      <c r="AA92" s="702"/>
      <c r="AM92" s="413"/>
      <c r="AN92" s="655" t="str">
        <f ca="1">CONCATENATE("data NonFilers",INDIRECT("$A"&amp;AM93),"; input xwgt_PS xwgt_20 xwgt_dep xwgt_noNR xwgt_mfs psnfinc; cards;")</f>
        <v>data NonFilers2006; input xwgt_PS xwgt_20 xwgt_dep xwgt_noNR xwgt_mfs psnfinc; cards;</v>
      </c>
      <c r="AO92" s="413"/>
      <c r="AP92" s="413"/>
      <c r="AQ92" s="413"/>
      <c r="AR92" s="413"/>
      <c r="AS92" s="413"/>
      <c r="AT92" s="413"/>
    </row>
    <row r="93" spans="2:46" x14ac:dyDescent="0.3">
      <c r="B93" s="61"/>
      <c r="C93" s="423"/>
      <c r="D93" s="228"/>
      <c r="L93" s="655"/>
      <c r="M93" s="662"/>
      <c r="Q93" s="8"/>
      <c r="R93" s="544"/>
      <c r="S93" s="543"/>
      <c r="AA93" s="702"/>
      <c r="AM93" s="413">
        <f>AM91+1</f>
        <v>52</v>
      </c>
      <c r="AN93" s="655" t="str">
        <f ca="1">CONCATENATE(ROUND(INDIRECT("$Ad"&amp;AM93),2)," ",ROUND(INDIRECT("$d"&amp;AM93),2)," ",ROUND(INDIRECT("$e"&amp;AM93),2)," ",ROUND(INDIRECT("$f"&amp;AM93),2)," ",ROUND(INDIRECT("$g"&amp;AM93),2)," ",ROUND(INDIRECT("$Ae"&amp;AM93),2))</f>
        <v>9966.25 9355.86 3138.56 821.84 1244.02 9718.98</v>
      </c>
      <c r="AO93" s="413"/>
      <c r="AP93" s="413"/>
      <c r="AQ93" s="413"/>
      <c r="AR93" s="413"/>
      <c r="AS93" s="413"/>
      <c r="AT93" s="413"/>
    </row>
    <row r="94" spans="2:46" x14ac:dyDescent="0.3">
      <c r="B94" s="61"/>
      <c r="C94" s="423"/>
      <c r="D94" s="228"/>
      <c r="L94" s="655"/>
      <c r="M94" s="662"/>
      <c r="Q94" s="8"/>
      <c r="R94" s="544"/>
      <c r="S94" s="543"/>
      <c r="AA94" s="702"/>
      <c r="AM94" s="413"/>
      <c r="AN94" s="655" t="str">
        <f ca="1">CONCATENATE("data NonFilers",INDIRECT("$A"&amp;AM95),"; input xwgt_PS xwgt_20 xwgt_dep xwgt_noNR xwgt_mfs psnfinc; cards;")</f>
        <v>data NonFilers2007; input xwgt_PS xwgt_20 xwgt_dep xwgt_noNR xwgt_mfs psnfinc; cards;</v>
      </c>
      <c r="AO94" s="413"/>
      <c r="AP94" s="413"/>
      <c r="AQ94" s="413"/>
      <c r="AR94" s="413"/>
      <c r="AS94" s="413"/>
      <c r="AT94" s="413"/>
    </row>
    <row r="95" spans="2:46" x14ac:dyDescent="0.3">
      <c r="B95" s="61"/>
      <c r="C95" s="423"/>
      <c r="D95" s="228"/>
      <c r="L95" s="655"/>
      <c r="M95" s="662"/>
      <c r="Q95" s="8"/>
      <c r="R95" s="544"/>
      <c r="S95" s="543"/>
      <c r="AA95" s="702"/>
      <c r="AM95" s="413">
        <f>AM93+1</f>
        <v>53</v>
      </c>
      <c r="AN95" s="655" t="str">
        <f ca="1">CONCATENATE(ROUND(INDIRECT("$Ad"&amp;AM95),2)," ",ROUND(INDIRECT("$d"&amp;AM95),2)," ",ROUND(INDIRECT("$e"&amp;AM95),2)," ",ROUND(INDIRECT("$f"&amp;AM95),2)," ",ROUND(INDIRECT("$g"&amp;AM95),2)," ",ROUND(INDIRECT("$Ae"&amp;AM95),2))</f>
        <v>6896.19 9617.13 3381.42 725.68 1349.22 10321.03</v>
      </c>
      <c r="AO95" s="413"/>
      <c r="AP95" s="413"/>
      <c r="AQ95" s="413"/>
      <c r="AR95" s="413"/>
      <c r="AS95" s="413"/>
      <c r="AT95" s="413"/>
    </row>
    <row r="96" spans="2:46" x14ac:dyDescent="0.3">
      <c r="B96" s="61"/>
      <c r="C96" s="423"/>
      <c r="D96" s="228"/>
      <c r="L96" s="655"/>
      <c r="M96" s="662"/>
      <c r="Q96" s="8"/>
      <c r="R96" s="544"/>
      <c r="S96" s="543"/>
      <c r="AA96" s="702"/>
      <c r="AM96" s="413"/>
      <c r="AN96" s="655" t="str">
        <f ca="1">CONCATENATE("data NonFilers",INDIRECT("$A"&amp;AM97),"; input xwgt_PS xwgt_20 xwgt_dep xwgt_noNR xwgt_mfs psnfinc; cards;")</f>
        <v>data NonFilers2008; input xwgt_PS xwgt_20 xwgt_dep xwgt_noNR xwgt_mfs psnfinc; cards;</v>
      </c>
      <c r="AO96" s="413"/>
      <c r="AP96" s="413"/>
      <c r="AQ96" s="413"/>
      <c r="AR96" s="413"/>
      <c r="AS96" s="413"/>
      <c r="AT96" s="413"/>
    </row>
    <row r="97" spans="2:46" x14ac:dyDescent="0.3">
      <c r="B97" s="61"/>
      <c r="C97" s="423"/>
      <c r="D97" s="228"/>
      <c r="L97" s="655"/>
      <c r="M97" s="662"/>
      <c r="Q97" s="8"/>
      <c r="R97" s="544"/>
      <c r="S97" s="543"/>
      <c r="AA97" s="702"/>
      <c r="AM97" s="413">
        <f>AM95+1</f>
        <v>54</v>
      </c>
      <c r="AN97" s="655" t="str">
        <f ca="1">CONCATENATE(ROUND(INDIRECT("$Ad"&amp;AM97),2)," ",ROUND(INDIRECT("$d"&amp;AM97),2)," ",ROUND(INDIRECT("$e"&amp;AM97),2)," ",ROUND(INDIRECT("$f"&amp;AM97),2)," ",ROUND(INDIRECT("$g"&amp;AM97),2)," ",ROUND(INDIRECT("$Ae"&amp;AM97),2))</f>
        <v>10011.43 9056.93 3199.36 795.36 1349.39 10118.08</v>
      </c>
      <c r="AO97" s="413"/>
      <c r="AP97" s="413"/>
      <c r="AQ97" s="413"/>
      <c r="AR97" s="413"/>
      <c r="AS97" s="413"/>
      <c r="AT97" s="413"/>
    </row>
    <row r="98" spans="2:46" x14ac:dyDescent="0.3">
      <c r="B98" s="61"/>
      <c r="C98" s="423"/>
      <c r="D98" s="228"/>
      <c r="L98" s="655"/>
      <c r="M98" s="662"/>
      <c r="Q98" s="8"/>
      <c r="R98" s="544"/>
      <c r="S98" s="543"/>
      <c r="AA98" s="702"/>
      <c r="AM98" s="413"/>
      <c r="AN98" s="655" t="str">
        <f ca="1">CONCATENATE("data NonFilers",INDIRECT("$A"&amp;AM99),"; input xwgt_PS xwgt_20 xwgt_dep xwgt_noNR xwgt_mfs psnfinc; cards;")</f>
        <v>data NonFilers2009; input xwgt_PS xwgt_20 xwgt_dep xwgt_noNR xwgt_mfs psnfinc; cards;</v>
      </c>
      <c r="AO98" s="413"/>
      <c r="AP98" s="413"/>
      <c r="AQ98" s="413"/>
      <c r="AR98" s="413"/>
      <c r="AS98" s="413"/>
      <c r="AT98" s="413"/>
    </row>
    <row r="99" spans="2:46" x14ac:dyDescent="0.3">
      <c r="B99" s="61"/>
      <c r="C99" s="423"/>
      <c r="D99" s="228"/>
      <c r="L99" s="655"/>
      <c r="M99" s="662"/>
      <c r="Q99" s="8"/>
      <c r="R99" s="544"/>
      <c r="S99" s="543"/>
      <c r="AA99" s="702"/>
      <c r="AM99" s="413">
        <f>AM97+1</f>
        <v>55</v>
      </c>
      <c r="AN99" s="655" t="str">
        <f ca="1">CONCATENATE(ROUND(INDIRECT("$Ad"&amp;AM99),2)," ",ROUND(INDIRECT("$d"&amp;AM99),2)," ",ROUND(INDIRECT("$e"&amp;AM99),2)," ",ROUND(INDIRECT("$f"&amp;AM99),2)," ",ROUND(INDIRECT("$g"&amp;AM99),2)," ",ROUND(INDIRECT("$Ae"&amp;AM99),2))</f>
        <v>13048.87 7081.69 3161.25 747.83 1258.71 9458.3</v>
      </c>
      <c r="AO99" s="413"/>
      <c r="AP99" s="413"/>
      <c r="AQ99" s="413"/>
      <c r="AR99" s="413"/>
      <c r="AS99" s="413"/>
      <c r="AT99" s="413"/>
    </row>
    <row r="100" spans="2:46" x14ac:dyDescent="0.3">
      <c r="B100" s="61"/>
      <c r="C100" s="423"/>
      <c r="D100" s="228"/>
      <c r="L100" s="655"/>
      <c r="M100" s="662"/>
      <c r="Q100" s="8"/>
      <c r="R100" s="544"/>
      <c r="S100" s="543"/>
      <c r="AA100" s="702"/>
      <c r="AM100" s="413"/>
      <c r="AN100" s="655" t="str">
        <f ca="1">CONCATENATE("data NonFilers",INDIRECT("$A"&amp;AM101),"; input xwgt_PS xwgt_20 xwgt_dep xwgt_noNR xwgt_mfs psnfinc; cards;")</f>
        <v>data NonFilers2010; input xwgt_PS xwgt_20 xwgt_dep xwgt_noNR xwgt_mfs psnfinc; cards;</v>
      </c>
      <c r="AO100" s="413"/>
      <c r="AP100" s="413"/>
      <c r="AQ100" s="413"/>
      <c r="AR100" s="413"/>
      <c r="AS100" s="413"/>
      <c r="AT100" s="413"/>
    </row>
    <row r="101" spans="2:46" x14ac:dyDescent="0.3">
      <c r="B101" s="61"/>
      <c r="C101" s="423"/>
      <c r="D101" s="228"/>
      <c r="L101" s="655"/>
      <c r="M101" s="662"/>
      <c r="Q101" s="8"/>
      <c r="R101" s="544"/>
      <c r="S101" s="543"/>
      <c r="AA101" s="702"/>
      <c r="AM101" s="413">
        <f>AM99+1</f>
        <v>56</v>
      </c>
      <c r="AN101" s="655" t="str">
        <f ca="1">CONCATENATE(ROUND(INDIRECT("$Ad"&amp;AM101),2)," ",ROUND(INDIRECT("$d"&amp;AM101),2)," ",ROUND(INDIRECT("$e"&amp;AM101),2)," ",ROUND(INDIRECT("$f"&amp;AM101),2)," ",ROUND(INDIRECT("$g"&amp;AM101),2)," ",ROUND(INDIRECT("$Ae"&amp;AM101),2))</f>
        <v>13274.95 6874.21 3274.84 781.95 1255.01 9663.17</v>
      </c>
      <c r="AO101" s="413"/>
      <c r="AP101" s="413"/>
      <c r="AQ101" s="413"/>
      <c r="AR101" s="413"/>
      <c r="AS101" s="413"/>
      <c r="AT101" s="413"/>
    </row>
    <row r="102" spans="2:46" x14ac:dyDescent="0.3">
      <c r="B102" s="61"/>
      <c r="C102" s="423"/>
      <c r="D102" s="228"/>
      <c r="L102" s="655"/>
      <c r="M102" s="662"/>
      <c r="Q102" s="8"/>
      <c r="R102" s="544"/>
      <c r="S102" s="543"/>
      <c r="AA102" s="702"/>
      <c r="AM102" s="413"/>
      <c r="AN102" s="655" t="str">
        <f ca="1">CONCATENATE("data NonFilers",INDIRECT("$A"&amp;AM103),"; input xwgt_PS xwgt_20 xwgt_dep xwgt_noNR xwgt_mfs psnfinc; cards;")</f>
        <v>data NonFilers2011; input xwgt_PS xwgt_20 xwgt_dep xwgt_noNR xwgt_mfs psnfinc; cards;</v>
      </c>
      <c r="AO102" s="413"/>
      <c r="AP102" s="413"/>
      <c r="AQ102" s="413"/>
      <c r="AR102" s="413"/>
      <c r="AS102" s="413"/>
      <c r="AT102" s="413"/>
    </row>
    <row r="103" spans="2:46" x14ac:dyDescent="0.3">
      <c r="B103" s="61"/>
      <c r="C103" s="423"/>
      <c r="D103" s="228"/>
      <c r="L103" s="655"/>
      <c r="M103" s="662"/>
      <c r="Q103" s="8"/>
      <c r="R103" s="544"/>
      <c r="S103" s="543"/>
      <c r="AA103" s="702"/>
      <c r="AM103" s="413">
        <f>AM101+1</f>
        <v>57</v>
      </c>
      <c r="AN103" s="655" t="str">
        <f ca="1">CONCATENATE(ROUND(INDIRECT("$Ad"&amp;AM103),2)," ",ROUND(INDIRECT("$d"&amp;AM103),2)," ",ROUND(INDIRECT("$e"&amp;AM103),2)," ",ROUND(INDIRECT("$f"&amp;AM103),2)," ",ROUND(INDIRECT("$g"&amp;AM103),2)," ",ROUND(INDIRECT("$Ae"&amp;AM103),2))</f>
        <v>12996.76 7263.13 3697.72 815.52 1281.72 9901.73</v>
      </c>
      <c r="AO103" s="413"/>
      <c r="AP103" s="413"/>
      <c r="AQ103" s="413"/>
      <c r="AR103" s="413"/>
      <c r="AS103" s="413"/>
      <c r="AT103" s="413"/>
    </row>
    <row r="104" spans="2:46" x14ac:dyDescent="0.3">
      <c r="B104" s="61"/>
      <c r="C104" s="423"/>
      <c r="D104" s="228"/>
      <c r="L104" s="655"/>
      <c r="M104" s="662"/>
      <c r="Q104" s="8"/>
      <c r="R104" s="544"/>
      <c r="S104" s="543"/>
      <c r="AA104" s="702"/>
      <c r="AM104" s="413"/>
      <c r="AN104" s="655" t="str">
        <f ca="1">CONCATENATE("data NonFilers",INDIRECT("$A"&amp;AM105),"; input xwgt_PS xwgt_20 xwgt_dep xwgt_noNR xwgt_mfs psnfinc; cards;")</f>
        <v>data NonFilers2012; input xwgt_PS xwgt_20 xwgt_dep xwgt_noNR xwgt_mfs psnfinc; cards;</v>
      </c>
      <c r="AO104" s="413"/>
      <c r="AP104" s="413"/>
      <c r="AQ104" s="413"/>
      <c r="AR104" s="413"/>
      <c r="AS104" s="413"/>
      <c r="AT104" s="413"/>
    </row>
    <row r="105" spans="2:46" x14ac:dyDescent="0.3">
      <c r="B105" s="61"/>
      <c r="C105" s="423"/>
      <c r="D105" s="228"/>
      <c r="L105" s="655"/>
      <c r="M105" s="662"/>
      <c r="Q105" s="8"/>
      <c r="R105" s="544"/>
      <c r="S105" s="543"/>
      <c r="AA105" s="702"/>
      <c r="AM105" s="413">
        <f>AM103+1</f>
        <v>58</v>
      </c>
      <c r="AN105" s="655" t="str">
        <f ca="1">CONCATENATE(ROUND(INDIRECT("$Ad"&amp;AM105),2)," ",ROUND(INDIRECT("$d"&amp;AM105),2)," ",ROUND(INDIRECT("$e"&amp;AM105),2)," ",ROUND(INDIRECT("$f"&amp;AM105),2)," ",ROUND(INDIRECT("$g"&amp;AM105),2)," ",ROUND(INDIRECT("$Ae"&amp;AM105),2))</f>
        <v>15752.53 7204.72 3703.57 844.71 1315.25 10375.93</v>
      </c>
      <c r="AO105" s="413"/>
      <c r="AP105" s="413"/>
      <c r="AQ105" s="413"/>
      <c r="AR105" s="413"/>
      <c r="AS105" s="413"/>
      <c r="AT105" s="413"/>
    </row>
    <row r="106" spans="2:46" x14ac:dyDescent="0.3">
      <c r="B106" s="61"/>
      <c r="C106" s="423"/>
      <c r="D106" s="228"/>
      <c r="L106" s="655"/>
      <c r="M106" s="662"/>
      <c r="Q106" s="8"/>
      <c r="R106" s="544"/>
      <c r="S106" s="543"/>
      <c r="AA106" s="702"/>
      <c r="AM106" s="413"/>
      <c r="AN106" s="655" t="str">
        <f ca="1">CONCATENATE("data NonFilers",INDIRECT("$A"&amp;AM107),"; input xwgt_PS xwgt_20 xwgt_dep xwgt_noNR xwgt_mfs psnfinc; cards;")</f>
        <v>data NonFilers2013; input xwgt_PS xwgt_20 xwgt_dep xwgt_noNR xwgt_mfs psnfinc; cards;</v>
      </c>
      <c r="AO106" s="413"/>
      <c r="AP106" s="413"/>
      <c r="AQ106" s="413"/>
      <c r="AR106" s="413"/>
      <c r="AS106" s="413"/>
      <c r="AT106" s="413"/>
    </row>
    <row r="107" spans="2:46" x14ac:dyDescent="0.3">
      <c r="B107" s="61"/>
      <c r="C107" s="423"/>
      <c r="D107" s="228"/>
      <c r="L107" s="655"/>
      <c r="M107" s="662"/>
      <c r="Q107" s="8"/>
      <c r="R107" s="544"/>
      <c r="S107" s="543"/>
      <c r="AA107" s="702"/>
      <c r="AM107" s="413">
        <f>AM105+1</f>
        <v>59</v>
      </c>
      <c r="AN107" s="655" t="str">
        <f ca="1">CONCATENATE(ROUND(INDIRECT("$Ad"&amp;AM107),2)," ",ROUND(INDIRECT("$d"&amp;AM107),2)," ",ROUND(INDIRECT("$e"&amp;AM107),2)," ",ROUND(INDIRECT("$f"&amp;AM107),2)," ",ROUND(INDIRECT("$g"&amp;AM107),2)," ",ROUND(INDIRECT("$Ae"&amp;AM107),2))</f>
        <v>15718.78 7403.15 3747.36 821.27 1392.59 10394.03</v>
      </c>
      <c r="AO107" s="413"/>
      <c r="AP107" s="413"/>
      <c r="AQ107" s="413"/>
      <c r="AR107" s="413"/>
      <c r="AS107" s="413"/>
      <c r="AT107" s="413"/>
    </row>
    <row r="108" spans="2:46" x14ac:dyDescent="0.3">
      <c r="B108" s="61"/>
      <c r="C108" s="423"/>
      <c r="D108" s="228"/>
      <c r="L108" s="655"/>
      <c r="M108" s="662"/>
      <c r="Q108" s="8"/>
      <c r="R108" s="544"/>
      <c r="S108" s="543"/>
      <c r="AA108" s="702"/>
      <c r="AM108" s="655"/>
      <c r="AN108" s="655" t="str">
        <f ca="1">CONCATENATE("data NonFilers",INDIRECT("$A"&amp;AM109),"; input xwgt_PS xwgt_20 xwgt_dep xwgt_noNR xwgt_mfs psnfinc; cards;")</f>
        <v>data NonFilers2014; input xwgt_PS xwgt_20 xwgt_dep xwgt_noNR xwgt_mfs psnfinc; cards;</v>
      </c>
      <c r="AO108" s="413"/>
      <c r="AP108" s="413"/>
      <c r="AQ108" s="413"/>
      <c r="AR108" s="413"/>
      <c r="AS108" s="413"/>
      <c r="AT108" s="413"/>
    </row>
    <row r="109" spans="2:46" x14ac:dyDescent="0.3">
      <c r="B109" s="61"/>
      <c r="C109" s="423"/>
      <c r="D109" s="228"/>
      <c r="L109" s="655"/>
      <c r="M109" s="662"/>
      <c r="Q109" s="8"/>
      <c r="R109" s="544"/>
      <c r="S109" s="543"/>
      <c r="AA109" s="702"/>
      <c r="AM109" s="655">
        <f>AM107+1</f>
        <v>60</v>
      </c>
      <c r="AN109" s="655" t="str">
        <f ca="1">CONCATENATE(ROUND(INDIRECT("$Ad"&amp;AM109),2)," ",ROUND(INDIRECT("$d"&amp;AM109),2)," ",ROUND(INDIRECT("$e"&amp;AM109),2)," ",ROUND(INDIRECT("$f"&amp;AM109),2)," ",ROUND(INDIRECT("$g"&amp;AM109),2)," ",ROUND(INDIRECT("$Ae"&amp;AM109),2))</f>
        <v>16560.67 7389.81 3801.69 844.35 1455.45 10738.59</v>
      </c>
      <c r="AO109" s="413"/>
      <c r="AP109" s="413"/>
      <c r="AQ109" s="413"/>
      <c r="AR109" s="413"/>
      <c r="AS109" s="413"/>
      <c r="AT109" s="413"/>
    </row>
    <row r="110" spans="2:46" x14ac:dyDescent="0.3">
      <c r="B110" s="61"/>
      <c r="C110" s="423"/>
      <c r="D110" s="228"/>
      <c r="L110" s="655"/>
      <c r="M110" s="662"/>
      <c r="Q110" s="8"/>
      <c r="R110" s="544"/>
      <c r="S110" s="543"/>
      <c r="AA110" s="702"/>
      <c r="AM110" s="655"/>
      <c r="AN110" s="655" t="str">
        <f ca="1">CONCATENATE("data NonFilers",INDIRECT("$A"&amp;AM111),"; input xwgt_PS xwgt_20 xwgt_dep xwgt_noNR xwgt_mfs psnfinc; cards;")</f>
        <v>data NonFilers2015; input xwgt_PS xwgt_20 xwgt_dep xwgt_noNR xwgt_mfs psnfinc; cards;</v>
      </c>
      <c r="AO110" s="413"/>
      <c r="AP110" s="413"/>
      <c r="AQ110" s="413"/>
      <c r="AR110" s="413"/>
      <c r="AS110" s="413"/>
      <c r="AT110" s="413"/>
    </row>
    <row r="111" spans="2:46" x14ac:dyDescent="0.3">
      <c r="B111" s="61"/>
      <c r="C111" s="423"/>
      <c r="D111" s="228"/>
      <c r="L111" s="655"/>
      <c r="M111" s="662"/>
      <c r="Q111" s="8"/>
      <c r="R111" s="544"/>
      <c r="S111" s="543"/>
      <c r="AA111" s="702"/>
      <c r="AM111" s="655">
        <f>AM109+1</f>
        <v>61</v>
      </c>
      <c r="AN111" s="655" t="str">
        <f ca="1">CONCATENATE(ROUND(INDIRECT("$Ad"&amp;AM111),2)," ",ROUND(INDIRECT("$d"&amp;AM111),2)," ",ROUND(INDIRECT("$e"&amp;AM111),2)," ",ROUND(INDIRECT("$f"&amp;AM111),2)," ",ROUND(INDIRECT("$g"&amp;AM111),2)," ",ROUND(INDIRECT("$Ae"&amp;AM111),2))</f>
        <v>16908.65 7608.66 3811.63 894.47 1471.2 11229.24</v>
      </c>
      <c r="AO111" s="413"/>
      <c r="AP111" s="413"/>
      <c r="AQ111" s="413"/>
      <c r="AR111" s="413"/>
      <c r="AS111" s="413"/>
      <c r="AT111" s="413"/>
    </row>
    <row r="112" spans="2:46" x14ac:dyDescent="0.3">
      <c r="B112" s="61"/>
      <c r="C112" s="423"/>
      <c r="D112" s="228"/>
      <c r="L112" s="655"/>
      <c r="M112" s="662"/>
      <c r="Q112" s="8"/>
      <c r="R112" s="544"/>
      <c r="S112" s="543"/>
      <c r="AA112" s="702"/>
      <c r="AO112" s="413"/>
      <c r="AP112" s="413"/>
      <c r="AQ112" s="413"/>
      <c r="AR112" s="413"/>
      <c r="AS112" s="413"/>
      <c r="AT112" s="413"/>
    </row>
    <row r="113" spans="2:46" x14ac:dyDescent="0.3">
      <c r="B113" s="61"/>
      <c r="C113" s="423"/>
      <c r="D113" s="228"/>
      <c r="L113" s="655"/>
      <c r="M113" s="662"/>
      <c r="Q113" s="8"/>
      <c r="R113" s="544"/>
      <c r="S113" s="543"/>
      <c r="AA113" s="702"/>
      <c r="AO113" s="413"/>
      <c r="AP113" s="413"/>
      <c r="AQ113" s="413"/>
      <c r="AR113" s="413"/>
      <c r="AS113" s="413"/>
      <c r="AT113" s="413"/>
    </row>
    <row r="114" spans="2:46" x14ac:dyDescent="0.3">
      <c r="B114" s="61"/>
      <c r="C114" s="423"/>
      <c r="D114" s="228"/>
      <c r="L114" s="655"/>
      <c r="M114" s="662"/>
      <c r="Q114" s="8"/>
      <c r="R114" s="544"/>
      <c r="S114" s="543"/>
      <c r="AA114" s="702"/>
      <c r="AO114" s="413"/>
      <c r="AP114" s="413"/>
      <c r="AQ114" s="413"/>
      <c r="AR114" s="413"/>
      <c r="AS114" s="413"/>
      <c r="AT114" s="413"/>
    </row>
    <row r="115" spans="2:46" x14ac:dyDescent="0.3">
      <c r="B115" s="61"/>
      <c r="C115" s="423"/>
      <c r="D115" s="228"/>
      <c r="L115" s="655"/>
      <c r="M115" s="662"/>
      <c r="Q115" s="8"/>
      <c r="R115" s="544"/>
      <c r="S115" s="543"/>
      <c r="AA115" s="702"/>
      <c r="AO115" s="413"/>
      <c r="AP115" s="413"/>
      <c r="AQ115" s="413"/>
      <c r="AR115" s="413"/>
      <c r="AS115" s="413"/>
      <c r="AT115" s="413"/>
    </row>
    <row r="116" spans="2:46" x14ac:dyDescent="0.3">
      <c r="B116" s="61"/>
      <c r="C116" s="423"/>
      <c r="D116" s="228"/>
      <c r="L116" s="655"/>
      <c r="M116" s="662"/>
      <c r="Q116" s="8"/>
      <c r="R116" s="544"/>
      <c r="S116" s="543"/>
      <c r="AA116" s="702"/>
    </row>
    <row r="117" spans="2:46" x14ac:dyDescent="0.3">
      <c r="B117" s="61"/>
      <c r="C117" s="423"/>
      <c r="D117" s="228"/>
      <c r="L117" s="655"/>
      <c r="M117" s="662"/>
      <c r="Q117" s="8"/>
      <c r="R117" s="544"/>
      <c r="S117" s="543"/>
      <c r="AA117" s="702"/>
    </row>
    <row r="118" spans="2:46" x14ac:dyDescent="0.3">
      <c r="B118" s="61"/>
      <c r="C118" s="423"/>
      <c r="D118" s="228"/>
      <c r="L118" s="655"/>
      <c r="M118" s="662"/>
      <c r="Q118" s="8"/>
      <c r="R118" s="544"/>
      <c r="S118" s="543"/>
      <c r="AA118" s="702"/>
      <c r="AM118" s="278"/>
      <c r="AN118" s="655"/>
    </row>
    <row r="119" spans="2:46" x14ac:dyDescent="0.3">
      <c r="B119" s="61"/>
      <c r="C119" s="423"/>
      <c r="D119" s="228"/>
      <c r="L119" s="655"/>
      <c r="M119" s="662"/>
      <c r="Q119" s="8"/>
      <c r="R119" s="544"/>
      <c r="S119" s="543"/>
      <c r="AA119" s="702"/>
      <c r="AM119" s="278"/>
      <c r="AN119" s="655"/>
    </row>
    <row r="120" spans="2:46" x14ac:dyDescent="0.3">
      <c r="B120" s="61"/>
      <c r="C120" s="423"/>
      <c r="D120" s="228"/>
      <c r="L120" s="655"/>
      <c r="M120" s="662"/>
      <c r="Q120" s="8"/>
      <c r="R120" s="544"/>
      <c r="S120" s="543"/>
      <c r="AA120" s="702"/>
      <c r="AM120" s="278"/>
    </row>
    <row r="121" spans="2:46" x14ac:dyDescent="0.3">
      <c r="B121" s="61"/>
      <c r="C121" s="423"/>
      <c r="D121" s="228"/>
      <c r="L121" s="655"/>
      <c r="M121" s="662"/>
      <c r="Q121" s="8"/>
      <c r="R121" s="544"/>
      <c r="S121" s="543"/>
      <c r="AA121" s="702"/>
      <c r="AM121" s="278"/>
    </row>
    <row r="122" spans="2:46" x14ac:dyDescent="0.3">
      <c r="B122" s="61"/>
      <c r="C122" s="423"/>
      <c r="D122" s="228"/>
      <c r="L122" s="655"/>
      <c r="M122" s="662"/>
      <c r="Q122" s="8"/>
      <c r="R122" s="544"/>
      <c r="S122" s="543"/>
      <c r="AA122" s="702"/>
      <c r="AM122" s="278"/>
    </row>
    <row r="123" spans="2:46" x14ac:dyDescent="0.3">
      <c r="B123" s="61"/>
      <c r="C123" s="423"/>
      <c r="D123" s="228"/>
      <c r="L123" s="655"/>
      <c r="M123" s="662"/>
      <c r="Q123" s="8"/>
      <c r="R123" s="544"/>
      <c r="S123" s="543"/>
      <c r="AA123" s="702"/>
      <c r="AM123" s="278"/>
    </row>
    <row r="124" spans="2:46" x14ac:dyDescent="0.3">
      <c r="B124" s="61"/>
      <c r="C124" s="423"/>
      <c r="D124" s="228"/>
      <c r="L124" s="655"/>
      <c r="M124" s="662"/>
      <c r="Q124" s="8"/>
      <c r="R124" s="544"/>
      <c r="S124" s="543"/>
      <c r="AA124" s="702"/>
      <c r="AM124" s="278"/>
    </row>
    <row r="125" spans="2:46" x14ac:dyDescent="0.3">
      <c r="B125" s="61"/>
      <c r="C125" s="423"/>
      <c r="D125" s="228"/>
      <c r="L125" s="655"/>
      <c r="M125" s="662"/>
      <c r="Q125" s="8"/>
      <c r="R125" s="544"/>
      <c r="S125" s="543"/>
      <c r="AA125" s="702"/>
      <c r="AM125" s="278"/>
    </row>
    <row r="126" spans="2:46" x14ac:dyDescent="0.3">
      <c r="B126" s="61"/>
      <c r="C126" s="423"/>
      <c r="D126" s="228"/>
      <c r="L126" s="655"/>
      <c r="M126" s="662"/>
      <c r="Q126" s="8"/>
      <c r="R126" s="544"/>
      <c r="S126" s="543"/>
      <c r="AA126" s="702"/>
      <c r="AM126" s="278"/>
    </row>
    <row r="127" spans="2:46" x14ac:dyDescent="0.3">
      <c r="B127" s="61"/>
      <c r="C127" s="423"/>
      <c r="D127" s="228"/>
      <c r="L127" s="655"/>
      <c r="M127" s="662"/>
      <c r="Q127" s="8"/>
      <c r="R127" s="544"/>
      <c r="S127" s="543"/>
      <c r="AA127" s="702"/>
      <c r="AM127" s="278"/>
    </row>
    <row r="128" spans="2:46" x14ac:dyDescent="0.3">
      <c r="B128" s="61"/>
      <c r="C128" s="423"/>
      <c r="D128" s="228"/>
      <c r="Q128" s="8"/>
      <c r="R128" s="544"/>
      <c r="S128" s="543"/>
      <c r="AA128" s="702"/>
      <c r="AM128" s="278"/>
    </row>
    <row r="129" spans="2:39" x14ac:dyDescent="0.3">
      <c r="B129" s="61"/>
      <c r="C129" s="61"/>
      <c r="D129" s="228"/>
      <c r="Q129" s="8"/>
      <c r="R129" s="544"/>
      <c r="S129" s="543"/>
      <c r="AM129" s="278"/>
    </row>
    <row r="130" spans="2:39" x14ac:dyDescent="0.3">
      <c r="B130" s="61"/>
      <c r="C130" s="61"/>
      <c r="D130" s="228"/>
      <c r="Q130" s="8"/>
      <c r="R130" s="544"/>
      <c r="S130" s="543"/>
      <c r="AM130" s="278"/>
    </row>
    <row r="131" spans="2:39" x14ac:dyDescent="0.3">
      <c r="B131" s="61"/>
      <c r="C131" s="61"/>
      <c r="D131" s="61"/>
      <c r="AM131" s="278"/>
    </row>
    <row r="132" spans="2:39" x14ac:dyDescent="0.3">
      <c r="B132" s="61"/>
      <c r="C132" s="61"/>
      <c r="D132" s="61"/>
      <c r="AM132" s="278"/>
    </row>
    <row r="133" spans="2:39" x14ac:dyDescent="0.3">
      <c r="AM133" s="278"/>
    </row>
    <row r="134" spans="2:39" x14ac:dyDescent="0.3">
      <c r="AM134" s="278"/>
    </row>
    <row r="135" spans="2:39" x14ac:dyDescent="0.3">
      <c r="AM135" s="278"/>
    </row>
    <row r="136" spans="2:39" x14ac:dyDescent="0.3">
      <c r="AM136" s="278"/>
    </row>
    <row r="137" spans="2:39" x14ac:dyDescent="0.3">
      <c r="AM137" s="278"/>
    </row>
    <row r="138" spans="2:39" x14ac:dyDescent="0.3">
      <c r="AM138" s="278"/>
    </row>
    <row r="139" spans="2:39" x14ac:dyDescent="0.3">
      <c r="AM139" s="278"/>
    </row>
    <row r="140" spans="2:39" x14ac:dyDescent="0.3">
      <c r="AM140" s="278"/>
    </row>
    <row r="141" spans="2:39" x14ac:dyDescent="0.3">
      <c r="AM141" s="278"/>
    </row>
    <row r="142" spans="2:39" x14ac:dyDescent="0.3">
      <c r="AM142" s="278"/>
    </row>
    <row r="143" spans="2:39" x14ac:dyDescent="0.3">
      <c r="AM143" s="278"/>
    </row>
    <row r="144" spans="2:39" x14ac:dyDescent="0.3">
      <c r="AM144" s="278"/>
    </row>
    <row r="145" spans="39:39" x14ac:dyDescent="0.3">
      <c r="AM145" s="278"/>
    </row>
    <row r="146" spans="39:39" x14ac:dyDescent="0.3">
      <c r="AM146" s="278"/>
    </row>
    <row r="147" spans="39:39" x14ac:dyDescent="0.3">
      <c r="AM147" s="278"/>
    </row>
    <row r="148" spans="39:39" x14ac:dyDescent="0.3">
      <c r="AM148" s="278"/>
    </row>
    <row r="149" spans="39:39" x14ac:dyDescent="0.3">
      <c r="AM149" s="278"/>
    </row>
    <row r="150" spans="39:39" x14ac:dyDescent="0.3">
      <c r="AM150" s="278"/>
    </row>
    <row r="151" spans="39:39" x14ac:dyDescent="0.3">
      <c r="AM151" s="278"/>
    </row>
    <row r="152" spans="39:39" x14ac:dyDescent="0.3">
      <c r="AM152" s="278"/>
    </row>
    <row r="153" spans="39:39" x14ac:dyDescent="0.3">
      <c r="AM153" s="278"/>
    </row>
    <row r="154" spans="39:39" x14ac:dyDescent="0.3">
      <c r="AM154" s="278"/>
    </row>
    <row r="155" spans="39:39" x14ac:dyDescent="0.3">
      <c r="AM155" s="278"/>
    </row>
    <row r="156" spans="39:39" x14ac:dyDescent="0.3">
      <c r="AM156" s="278"/>
    </row>
    <row r="157" spans="39:39" x14ac:dyDescent="0.3">
      <c r="AM157" s="278"/>
    </row>
    <row r="158" spans="39:39" x14ac:dyDescent="0.3">
      <c r="AM158" s="278"/>
    </row>
    <row r="159" spans="39:39" x14ac:dyDescent="0.3">
      <c r="AM159" s="278"/>
    </row>
    <row r="160" spans="39:39" x14ac:dyDescent="0.3">
      <c r="AM160" s="278"/>
    </row>
    <row r="161" spans="39:39" x14ac:dyDescent="0.3">
      <c r="AM161" s="278"/>
    </row>
    <row r="162" spans="39:39" x14ac:dyDescent="0.3">
      <c r="AM162" s="278"/>
    </row>
    <row r="163" spans="39:39" x14ac:dyDescent="0.3">
      <c r="AM163" s="278"/>
    </row>
    <row r="164" spans="39:39" x14ac:dyDescent="0.3">
      <c r="AM164" s="278"/>
    </row>
    <row r="165" spans="39:39" x14ac:dyDescent="0.3">
      <c r="AM165" s="278"/>
    </row>
    <row r="166" spans="39:39" x14ac:dyDescent="0.3">
      <c r="AM166" s="278"/>
    </row>
    <row r="167" spans="39:39" x14ac:dyDescent="0.3">
      <c r="AM167" s="278"/>
    </row>
    <row r="168" spans="39:39" x14ac:dyDescent="0.3">
      <c r="AM168" s="278"/>
    </row>
    <row r="169" spans="39:39" x14ac:dyDescent="0.3">
      <c r="AM169" s="278"/>
    </row>
    <row r="170" spans="39:39" x14ac:dyDescent="0.3">
      <c r="AM170" s="278"/>
    </row>
    <row r="171" spans="39:39" x14ac:dyDescent="0.3">
      <c r="AM171" s="278"/>
    </row>
    <row r="172" spans="39:39" x14ac:dyDescent="0.3">
      <c r="AM172" s="278"/>
    </row>
    <row r="173" spans="39:39" x14ac:dyDescent="0.3">
      <c r="AM173" s="278"/>
    </row>
    <row r="174" spans="39:39" x14ac:dyDescent="0.3">
      <c r="AM174" s="278"/>
    </row>
    <row r="175" spans="39:39" x14ac:dyDescent="0.3">
      <c r="AM175" s="278"/>
    </row>
    <row r="176" spans="39:39" x14ac:dyDescent="0.3">
      <c r="AM176" s="278"/>
    </row>
    <row r="177" spans="39:39" x14ac:dyDescent="0.3">
      <c r="AM177" s="278"/>
    </row>
    <row r="178" spans="39:39" x14ac:dyDescent="0.3">
      <c r="AM178" s="278"/>
    </row>
    <row r="179" spans="39:39" x14ac:dyDescent="0.3">
      <c r="AM179" s="278"/>
    </row>
    <row r="180" spans="39:39" x14ac:dyDescent="0.3">
      <c r="AM180" s="278"/>
    </row>
    <row r="181" spans="39:39" x14ac:dyDescent="0.3">
      <c r="AM181" s="278"/>
    </row>
    <row r="182" spans="39:39" x14ac:dyDescent="0.3">
      <c r="AM182" s="278"/>
    </row>
    <row r="183" spans="39:39" x14ac:dyDescent="0.3">
      <c r="AM183" s="278"/>
    </row>
    <row r="184" spans="39:39" x14ac:dyDescent="0.3">
      <c r="AM184" s="278"/>
    </row>
    <row r="185" spans="39:39" x14ac:dyDescent="0.3">
      <c r="AM185" s="278"/>
    </row>
    <row r="186" spans="39:39" x14ac:dyDescent="0.3">
      <c r="AM186" s="278"/>
    </row>
    <row r="187" spans="39:39" x14ac:dyDescent="0.3">
      <c r="AM187" s="278"/>
    </row>
    <row r="188" spans="39:39" x14ac:dyDescent="0.3">
      <c r="AM188" s="278"/>
    </row>
    <row r="189" spans="39:39" x14ac:dyDescent="0.3">
      <c r="AM189" s="278"/>
    </row>
    <row r="190" spans="39:39" x14ac:dyDescent="0.3">
      <c r="AM190" s="278"/>
    </row>
    <row r="191" spans="39:39" x14ac:dyDescent="0.3">
      <c r="AM191" s="278"/>
    </row>
    <row r="192" spans="39:39" x14ac:dyDescent="0.3">
      <c r="AM192" s="278"/>
    </row>
    <row r="193" spans="39:39" x14ac:dyDescent="0.3">
      <c r="AM193" s="278"/>
    </row>
    <row r="194" spans="39:39" x14ac:dyDescent="0.3">
      <c r="AM194" s="278"/>
    </row>
    <row r="195" spans="39:39" x14ac:dyDescent="0.3">
      <c r="AM195" s="278"/>
    </row>
    <row r="196" spans="39:39" x14ac:dyDescent="0.3">
      <c r="AM196" s="278"/>
    </row>
    <row r="197" spans="39:39" x14ac:dyDescent="0.3">
      <c r="AM197" s="278"/>
    </row>
    <row r="198" spans="39:39" x14ac:dyDescent="0.3">
      <c r="AM198" s="278"/>
    </row>
    <row r="199" spans="39:39" x14ac:dyDescent="0.3">
      <c r="AM199" s="278"/>
    </row>
    <row r="200" spans="39:39" x14ac:dyDescent="0.3">
      <c r="AM200" s="278"/>
    </row>
    <row r="201" spans="39:39" x14ac:dyDescent="0.3">
      <c r="AM201" s="278"/>
    </row>
    <row r="202" spans="39:39" x14ac:dyDescent="0.3">
      <c r="AM202" s="278"/>
    </row>
  </sheetData>
  <sortState ref="Q70:S125">
    <sortCondition descending="1" ref="Q69"/>
  </sortState>
  <mergeCells count="2">
    <mergeCell ref="AI2:AJ2"/>
    <mergeCell ref="AK2:AL2"/>
  </mergeCells>
  <hyperlinks>
    <hyperlink ref="D1" location="Index!A1" display="Index"/>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LQ113"/>
  <sheetViews>
    <sheetView zoomScaleNormal="100" workbookViewId="0"/>
  </sheetViews>
  <sheetFormatPr defaultColWidth="9.109375" defaultRowHeight="14.4" x14ac:dyDescent="0.3"/>
  <cols>
    <col min="1" max="1" width="9.109375" style="24"/>
    <col min="2" max="2" width="9.44140625" style="24" customWidth="1"/>
    <col min="3" max="8" width="8.77734375" style="24" customWidth="1"/>
    <col min="9" max="9" width="1.77734375" style="24" customWidth="1"/>
    <col min="10" max="10" width="9.21875" style="24" customWidth="1"/>
    <col min="11" max="16" width="8.77734375" style="24" customWidth="1"/>
    <col min="17" max="17" width="1.44140625" style="24" customWidth="1"/>
    <col min="18" max="18" width="10.77734375" style="24" customWidth="1"/>
    <col min="19" max="24" width="8.77734375" style="24" customWidth="1"/>
    <col min="25" max="25" width="3.109375" style="24" customWidth="1"/>
    <col min="26" max="26" width="10" style="24" customWidth="1"/>
    <col min="27" max="27" width="8.77734375" style="24" customWidth="1"/>
    <col min="28" max="28" width="10.88671875" style="24" customWidth="1"/>
    <col min="29" max="29" width="8.77734375" style="24" customWidth="1"/>
    <col min="30" max="30" width="14.88671875" style="24" customWidth="1"/>
    <col min="31" max="32" width="8.77734375" style="24" customWidth="1"/>
    <col min="33" max="33" width="12.88671875" style="24" customWidth="1"/>
    <col min="34" max="34" width="10.88671875" style="24" customWidth="1"/>
    <col min="35" max="35" width="9.5546875" style="24" customWidth="1"/>
    <col min="36" max="39" width="9" style="24" customWidth="1"/>
    <col min="40" max="40" width="9.77734375" style="24" customWidth="1"/>
    <col min="41" max="41" width="1.88671875" style="24" customWidth="1"/>
    <col min="42" max="48" width="8.77734375" style="24" customWidth="1"/>
    <col min="49" max="49" width="2.5546875" style="24" customWidth="1"/>
    <col min="50" max="56" width="8.77734375" style="24" customWidth="1"/>
    <col min="57" max="57" width="2.44140625" style="24" customWidth="1"/>
    <col min="58" max="64" width="8.77734375" style="24" customWidth="1"/>
    <col min="65" max="65" width="3.109375" style="24" customWidth="1"/>
    <col min="66" max="72" width="8.77734375" style="24" customWidth="1"/>
    <col min="73" max="73" width="2.88671875" style="24" customWidth="1"/>
    <col min="74" max="80" width="8.77734375" style="24" customWidth="1"/>
    <col min="81" max="81" width="3.5546875" style="24" customWidth="1"/>
    <col min="82" max="82" width="9.88671875" style="24" customWidth="1"/>
    <col min="83" max="88" width="8.77734375" style="24" customWidth="1"/>
    <col min="89" max="89" width="2.88671875" style="24" customWidth="1"/>
    <col min="90" max="90" width="11" style="24" customWidth="1"/>
    <col min="91" max="96" width="8.77734375" style="24" customWidth="1"/>
    <col min="97" max="97" width="4.109375" style="24" customWidth="1"/>
    <col min="98" max="98" width="10" style="24" customWidth="1"/>
    <col min="99" max="104" width="8.77734375" style="24" customWidth="1"/>
    <col min="105" max="105" width="3.77734375" style="24" customWidth="1"/>
    <col min="106" max="106" width="10" style="24" customWidth="1"/>
    <col min="107" max="112" width="8.77734375" style="24" customWidth="1"/>
    <col min="113" max="113" width="4.21875" style="24" customWidth="1"/>
    <col min="114" max="114" width="10" style="24" customWidth="1"/>
    <col min="115" max="120" width="8.77734375" style="24" customWidth="1"/>
    <col min="121" max="121" width="5.77734375" style="24" customWidth="1"/>
    <col min="122" max="122" width="9.21875" style="24" customWidth="1"/>
    <col min="123" max="128" width="8.77734375" style="24" customWidth="1"/>
    <col min="129" max="129" width="3.21875" style="24" customWidth="1"/>
    <col min="130" max="130" width="10.88671875" style="24" customWidth="1"/>
    <col min="131" max="136" width="8.77734375" style="24" customWidth="1"/>
    <col min="137" max="137" width="4.109375" style="24" customWidth="1"/>
    <col min="138" max="138" width="9.44140625" style="24" customWidth="1"/>
    <col min="139" max="144" width="8.77734375" style="24" customWidth="1"/>
    <col min="145" max="145" width="2.44140625" style="24" customWidth="1"/>
    <col min="146" max="146" width="10.44140625" style="24" customWidth="1"/>
    <col min="147" max="152" width="8.77734375" style="24" customWidth="1"/>
    <col min="153" max="153" width="2.77734375" style="24" customWidth="1"/>
    <col min="154" max="154" width="10.21875" style="24" customWidth="1"/>
    <col min="155" max="160" width="8.77734375" style="24" customWidth="1"/>
    <col min="161" max="161" width="2.44140625" style="24" customWidth="1"/>
    <col min="162" max="162" width="9.109375" style="24" customWidth="1"/>
    <col min="163" max="168" width="8.77734375" style="24" customWidth="1"/>
    <col min="169" max="169" width="2.21875" style="24" customWidth="1"/>
    <col min="170" max="170" width="9.21875" style="24" customWidth="1"/>
    <col min="171" max="176" width="8.77734375" style="24" customWidth="1"/>
    <col min="177" max="177" width="2.44140625" style="24" customWidth="1"/>
    <col min="178" max="178" width="8.77734375" style="24" customWidth="1"/>
    <col min="179" max="179" width="10.77734375" style="24" customWidth="1"/>
    <col min="180" max="184" width="8.77734375" style="24" customWidth="1"/>
    <col min="185" max="185" width="2.109375" style="24" customWidth="1"/>
    <col min="186" max="186" width="3.109375" style="24" customWidth="1"/>
    <col min="187" max="193" width="9.109375" style="24"/>
    <col min="194" max="194" width="2.88671875" style="24" customWidth="1"/>
    <col min="195" max="195" width="10.77734375" style="24" customWidth="1"/>
    <col min="196" max="201" width="9.109375" style="24"/>
    <col min="202" max="202" width="2.77734375" style="24" customWidth="1"/>
    <col min="203" max="203" width="9.109375" style="24" customWidth="1"/>
    <col min="204" max="209" width="9.109375" style="24"/>
    <col min="210" max="210" width="3.88671875" style="24" customWidth="1"/>
    <col min="211" max="217" width="9.109375" style="24"/>
    <col min="218" max="218" width="3.44140625" style="24" customWidth="1"/>
    <col min="219" max="225" width="9.109375" style="24"/>
    <col min="226" max="226" width="3.5546875" style="24" customWidth="1"/>
    <col min="227" max="233" width="9.109375" style="24"/>
    <col min="234" max="234" width="2.77734375" style="24" customWidth="1"/>
    <col min="235" max="241" width="9.109375" style="24"/>
    <col min="242" max="242" width="2.44140625" style="24" customWidth="1"/>
    <col min="243" max="249" width="9.109375" style="24"/>
    <col min="250" max="250" width="1.77734375" style="24" customWidth="1"/>
    <col min="251" max="251" width="9.21875" style="24" customWidth="1"/>
    <col min="252" max="256" width="8.77734375" style="24" customWidth="1"/>
    <col min="257" max="257" width="9.77734375" style="24" customWidth="1"/>
    <col min="258" max="258" width="2.88671875" style="24" customWidth="1"/>
    <col min="259" max="259" width="9.21875" style="24" customWidth="1"/>
    <col min="260" max="264" width="8.5546875" style="24" customWidth="1"/>
    <col min="265" max="265" width="9.5546875" style="24" customWidth="1"/>
    <col min="266" max="266" width="2.88671875" style="24" customWidth="1"/>
    <col min="267" max="273" width="9.109375" style="24"/>
    <col min="274" max="274" width="4.44140625" style="24" customWidth="1"/>
    <col min="275" max="281" width="9.109375" style="24"/>
    <col min="282" max="282" width="2.77734375" style="24" customWidth="1"/>
    <col min="283" max="289" width="9.109375" style="24"/>
    <col min="290" max="290" width="2.77734375" style="24" customWidth="1"/>
    <col min="291" max="297" width="9.109375" style="24"/>
    <col min="298" max="298" width="2.44140625" style="24" customWidth="1"/>
    <col min="299" max="299" width="11.5546875" style="24" customWidth="1"/>
    <col min="300" max="305" width="9.109375" style="24"/>
    <col min="306" max="306" width="2.44140625" style="24" customWidth="1"/>
    <col min="307" max="313" width="9.109375" style="24"/>
    <col min="314" max="314" width="3" style="24" customWidth="1"/>
    <col min="315" max="321" width="9.109375" style="24"/>
    <col min="322" max="322" width="2.77734375" style="24" customWidth="1"/>
    <col min="323" max="16384" width="9.109375" style="24"/>
  </cols>
  <sheetData>
    <row r="1" spans="1:329" ht="15.6" x14ac:dyDescent="0.3">
      <c r="A1" s="178" t="s">
        <v>208</v>
      </c>
      <c r="B1" s="178"/>
      <c r="C1" s="51"/>
      <c r="D1" s="51"/>
      <c r="E1" s="51"/>
      <c r="F1" s="51"/>
      <c r="G1" s="51"/>
      <c r="H1" s="463" t="s">
        <v>504</v>
      </c>
      <c r="I1" s="51"/>
      <c r="N1" s="51"/>
      <c r="O1" s="51"/>
      <c r="P1" s="51"/>
      <c r="Q1" s="51"/>
      <c r="R1" s="51"/>
      <c r="S1" s="51"/>
      <c r="T1" s="51"/>
      <c r="U1" s="51"/>
      <c r="V1" s="51"/>
      <c r="W1" s="51"/>
      <c r="X1" s="51"/>
      <c r="Y1" s="51"/>
      <c r="Z1" s="51"/>
      <c r="AA1" s="51"/>
      <c r="AB1" s="51"/>
      <c r="AC1" s="51"/>
      <c r="AD1" s="51"/>
      <c r="AE1" s="51"/>
      <c r="AF1" s="51"/>
      <c r="AG1" s="51"/>
      <c r="AH1" s="51"/>
      <c r="AI1" s="51"/>
      <c r="AJ1" s="51"/>
      <c r="AK1" s="51"/>
      <c r="AL1" s="51"/>
      <c r="AM1" s="51"/>
      <c r="AN1" s="51"/>
      <c r="AO1" s="51"/>
      <c r="AP1" s="51"/>
      <c r="AQ1" s="51"/>
      <c r="AR1" s="51"/>
      <c r="AS1" s="51"/>
      <c r="AT1" s="51"/>
      <c r="AU1" s="51"/>
      <c r="AV1" s="51"/>
      <c r="AW1" s="51"/>
      <c r="AX1" s="51"/>
      <c r="AY1" s="51"/>
      <c r="AZ1" s="51"/>
      <c r="BA1" s="51"/>
      <c r="BB1" s="51"/>
      <c r="BC1" s="51"/>
      <c r="BD1" s="51"/>
      <c r="BE1" s="51"/>
      <c r="BV1" s="1200"/>
      <c r="BW1" s="1192"/>
      <c r="CT1" s="1200"/>
      <c r="CU1" s="1192"/>
      <c r="DB1" s="1200"/>
      <c r="DC1" s="1192"/>
      <c r="DJ1" s="1349"/>
      <c r="DK1" s="51"/>
      <c r="DL1" s="51"/>
      <c r="DM1" s="1349"/>
      <c r="DN1" s="249"/>
      <c r="DR1" s="1200"/>
      <c r="DS1" s="1192"/>
      <c r="DU1" s="34"/>
      <c r="DZ1" s="1200"/>
      <c r="EA1" s="1192"/>
      <c r="EI1" s="1192"/>
      <c r="EP1" s="1200"/>
      <c r="EQ1" s="1192"/>
      <c r="ER1" s="61"/>
      <c r="ES1" s="61"/>
      <c r="ET1" s="61"/>
      <c r="EU1" s="61"/>
      <c r="EV1" s="61"/>
      <c r="EW1" s="61"/>
      <c r="EX1" s="1200"/>
      <c r="EY1" s="1192"/>
      <c r="FG1" s="34"/>
      <c r="FO1" s="34"/>
      <c r="FW1" s="34"/>
      <c r="GF1" s="34"/>
      <c r="GN1" s="34"/>
      <c r="GV1" s="34"/>
      <c r="GY1" s="34"/>
      <c r="HC1" s="34"/>
      <c r="HD1" s="34"/>
      <c r="HL1" s="34"/>
      <c r="HT1" s="34"/>
      <c r="IB1" s="34"/>
      <c r="IJ1" s="34"/>
      <c r="IR1" s="34"/>
      <c r="IZ1" s="34"/>
    </row>
    <row r="2" spans="1:329" ht="18" x14ac:dyDescent="0.35">
      <c r="A2" s="180"/>
      <c r="B2" s="180"/>
      <c r="C2" s="52"/>
      <c r="D2" s="52"/>
      <c r="E2" s="52"/>
      <c r="F2" s="52"/>
      <c r="G2" s="52"/>
      <c r="H2" s="52"/>
      <c r="I2" s="52"/>
      <c r="J2" s="1190"/>
      <c r="K2" s="1191"/>
      <c r="L2" s="52"/>
      <c r="M2" s="52"/>
      <c r="N2" s="52"/>
      <c r="O2" s="52"/>
      <c r="P2" s="52"/>
      <c r="Q2" s="52"/>
      <c r="R2" s="1184"/>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67"/>
      <c r="CE2" s="167"/>
      <c r="CF2" s="167"/>
      <c r="CG2" s="167"/>
      <c r="CH2" s="167"/>
      <c r="CI2" s="167"/>
      <c r="CJ2" s="167"/>
      <c r="CK2" s="125"/>
      <c r="CL2" s="125"/>
      <c r="CM2" s="125"/>
      <c r="CN2" s="125"/>
      <c r="CO2" s="125"/>
      <c r="CP2" s="125"/>
      <c r="CQ2" s="125"/>
      <c r="CR2" s="125"/>
      <c r="CS2" s="125"/>
      <c r="CT2" s="125"/>
      <c r="CU2" s="125"/>
      <c r="CV2" s="125"/>
      <c r="CW2" s="125"/>
      <c r="CX2" s="125"/>
      <c r="CY2" s="125"/>
      <c r="CZ2" s="125"/>
      <c r="DA2" s="125"/>
      <c r="DB2" s="125"/>
      <c r="DC2" s="125"/>
      <c r="DD2" s="125"/>
      <c r="DE2" s="125"/>
      <c r="DF2" s="125"/>
      <c r="DG2" s="125"/>
      <c r="DH2" s="125"/>
      <c r="DI2" s="125"/>
      <c r="DJ2" s="125"/>
      <c r="DK2" s="125"/>
      <c r="DL2" s="125"/>
      <c r="DM2" s="125"/>
      <c r="DN2" s="125"/>
      <c r="DO2" s="125"/>
      <c r="DP2" s="125"/>
      <c r="DQ2" s="125"/>
      <c r="DR2" s="1195"/>
      <c r="DS2" s="191"/>
      <c r="DT2" s="125"/>
      <c r="DU2" s="125"/>
      <c r="DV2" s="125"/>
      <c r="DW2" s="125"/>
      <c r="DX2" s="125"/>
      <c r="DY2" s="125"/>
      <c r="DZ2" s="125"/>
      <c r="EA2" s="125"/>
      <c r="EB2" s="125"/>
      <c r="EC2" s="125"/>
      <c r="ED2" s="125"/>
      <c r="EE2" s="125"/>
      <c r="EF2" s="125"/>
      <c r="EG2" s="125"/>
      <c r="EH2" s="1438"/>
      <c r="EI2" s="1438"/>
      <c r="EJ2" s="1438"/>
      <c r="EK2" s="1438"/>
      <c r="EL2" s="1438"/>
      <c r="EM2" s="1438"/>
      <c r="EN2" s="1438"/>
      <c r="EO2" s="971"/>
      <c r="EP2" s="971"/>
      <c r="EQ2" s="971"/>
      <c r="ER2" s="971"/>
      <c r="ES2" s="971"/>
      <c r="ET2" s="971"/>
      <c r="EU2" s="971"/>
      <c r="EV2" s="971"/>
      <c r="EW2" s="903"/>
      <c r="EX2" s="1436" t="s">
        <v>663</v>
      </c>
      <c r="EY2" s="1436"/>
      <c r="EZ2" s="1436"/>
      <c r="FA2" s="1436"/>
      <c r="FB2" s="1436"/>
      <c r="FC2" s="1436"/>
      <c r="FD2" s="1436"/>
      <c r="FE2" s="125"/>
      <c r="FF2" s="167"/>
      <c r="FG2" s="167"/>
      <c r="FH2" s="167"/>
      <c r="FI2" s="167"/>
      <c r="FJ2" s="167"/>
      <c r="FK2" s="167"/>
      <c r="FL2" s="167"/>
      <c r="FM2" s="167"/>
      <c r="FN2" s="167"/>
      <c r="FO2" s="167"/>
      <c r="FP2" s="167"/>
      <c r="FQ2" s="167"/>
      <c r="FR2" s="167"/>
      <c r="FS2" s="167"/>
      <c r="FT2" s="167"/>
      <c r="FU2" s="167"/>
      <c r="FV2" s="167"/>
      <c r="FW2" s="167"/>
      <c r="FX2" s="167"/>
      <c r="FY2" s="167"/>
      <c r="FZ2" s="167"/>
      <c r="GA2" s="167"/>
      <c r="GB2" s="167"/>
      <c r="GC2" s="167"/>
      <c r="GD2" s="167"/>
      <c r="GE2" s="125"/>
      <c r="GF2" s="125"/>
      <c r="GG2" s="125"/>
      <c r="GH2" s="125"/>
      <c r="GI2" s="125"/>
      <c r="GJ2" s="125"/>
      <c r="GK2" s="125"/>
      <c r="GL2" s="125"/>
      <c r="GM2" s="1439" t="s">
        <v>1459</v>
      </c>
      <c r="GN2" s="1439"/>
      <c r="GO2" s="1439"/>
      <c r="GP2" s="1439"/>
      <c r="GQ2" s="1439"/>
      <c r="GR2" s="1439"/>
      <c r="GS2" s="1439"/>
      <c r="GT2" s="125"/>
      <c r="GU2" s="478"/>
      <c r="GV2" s="478"/>
      <c r="GW2" s="478"/>
      <c r="GX2" s="478"/>
      <c r="GY2" s="478"/>
      <c r="GZ2" s="478"/>
      <c r="HA2" s="478"/>
      <c r="HB2" s="11"/>
      <c r="HC2" s="478"/>
      <c r="HD2" s="478"/>
      <c r="HE2" s="478"/>
      <c r="HF2" s="478"/>
      <c r="HG2" s="478"/>
      <c r="HH2" s="478"/>
      <c r="HI2" s="478"/>
      <c r="HJ2" s="11"/>
      <c r="HK2" s="478"/>
      <c r="HL2" s="478"/>
      <c r="HM2" s="478"/>
      <c r="HN2" s="478"/>
      <c r="HO2" s="478"/>
      <c r="HP2" s="478"/>
      <c r="HQ2" s="478"/>
      <c r="HR2" s="11"/>
      <c r="HS2" s="479"/>
      <c r="HT2" s="479"/>
      <c r="HU2" s="479"/>
      <c r="HV2" s="479"/>
      <c r="HW2" s="479"/>
      <c r="HX2" s="479"/>
      <c r="HY2" s="479"/>
      <c r="HZ2" s="125"/>
      <c r="IA2" s="478"/>
      <c r="IB2" s="478"/>
      <c r="IC2" s="478"/>
      <c r="ID2" s="478"/>
      <c r="IE2" s="478"/>
      <c r="IF2" s="478"/>
      <c r="IG2" s="478"/>
      <c r="IH2" s="125"/>
      <c r="II2" s="1186"/>
      <c r="IJ2" s="1185"/>
      <c r="IK2" s="1185"/>
      <c r="IL2" s="1185"/>
      <c r="IM2" s="1185"/>
      <c r="IN2" s="1185"/>
      <c r="IO2" s="1185"/>
      <c r="IP2" s="11"/>
      <c r="IQ2" s="11"/>
      <c r="IR2" s="11"/>
      <c r="IS2" s="11"/>
      <c r="IT2" s="11"/>
      <c r="IU2" s="11"/>
      <c r="IV2" s="11"/>
      <c r="IW2" s="11"/>
      <c r="IX2" s="11"/>
      <c r="IY2" s="1436" t="s">
        <v>925</v>
      </c>
      <c r="IZ2" s="1436"/>
      <c r="JA2" s="1436"/>
      <c r="JB2" s="1436"/>
      <c r="JC2" s="1436"/>
      <c r="JD2" s="1436"/>
      <c r="JE2" s="1436"/>
      <c r="JF2" s="11"/>
      <c r="JG2" s="125"/>
      <c r="JH2" s="125"/>
      <c r="JI2" s="125"/>
      <c r="JJ2" s="125"/>
      <c r="JK2" s="125"/>
      <c r="JL2" s="125"/>
      <c r="JM2" s="125"/>
      <c r="JN2" s="125"/>
      <c r="JO2" s="125"/>
      <c r="JP2" s="125"/>
      <c r="JQ2" s="125"/>
      <c r="JR2" s="125"/>
      <c r="JS2" s="125"/>
      <c r="JT2" s="125"/>
      <c r="JU2" s="125"/>
      <c r="JV2" s="125"/>
      <c r="JW2" s="125"/>
      <c r="JX2" s="125"/>
      <c r="JY2" s="125"/>
      <c r="JZ2" s="125"/>
      <c r="KA2" s="125"/>
      <c r="KB2" s="125"/>
      <c r="KC2" s="125"/>
      <c r="KD2" s="125"/>
      <c r="KE2" s="125"/>
      <c r="KF2" s="125"/>
      <c r="KG2" s="125"/>
      <c r="KH2" s="125"/>
      <c r="KI2" s="125"/>
      <c r="KJ2" s="125"/>
      <c r="KK2" s="125"/>
      <c r="KL2" s="125"/>
      <c r="KM2" s="125"/>
      <c r="KN2" s="125"/>
      <c r="KO2" s="125"/>
      <c r="KP2" s="125"/>
      <c r="KQ2" s="125"/>
      <c r="KR2" s="125"/>
      <c r="KS2" s="125"/>
      <c r="KT2" s="125"/>
      <c r="KU2" s="125"/>
      <c r="KV2" s="125"/>
      <c r="KW2" s="125"/>
      <c r="KX2" s="125"/>
      <c r="KY2" s="125"/>
      <c r="KZ2" s="125"/>
      <c r="LA2" s="125"/>
      <c r="LB2" s="125"/>
      <c r="LC2" s="125"/>
      <c r="LD2" s="125"/>
      <c r="LE2" s="125"/>
      <c r="LF2" s="125"/>
      <c r="LG2" s="125"/>
      <c r="LH2" s="125"/>
      <c r="LI2" s="125"/>
      <c r="LJ2" s="125"/>
      <c r="LK2" s="125"/>
      <c r="LL2" s="125"/>
      <c r="LM2" s="125"/>
      <c r="LN2" s="125"/>
      <c r="LO2" s="125"/>
      <c r="LP2" s="125"/>
      <c r="LQ2" s="125"/>
    </row>
    <row r="3" spans="1:329" x14ac:dyDescent="0.3">
      <c r="A3" s="181"/>
      <c r="B3" s="1390" t="s">
        <v>46</v>
      </c>
      <c r="C3" s="1390"/>
      <c r="D3" s="1390"/>
      <c r="E3" s="1390"/>
      <c r="F3" s="1390"/>
      <c r="G3" s="1390"/>
      <c r="H3" s="1390"/>
      <c r="I3" s="23"/>
      <c r="J3" s="1437" t="s">
        <v>1395</v>
      </c>
      <c r="K3" s="1437"/>
      <c r="L3" s="1437"/>
      <c r="M3" s="1437"/>
      <c r="N3" s="1437"/>
      <c r="O3" s="1437"/>
      <c r="P3" s="1437"/>
      <c r="Q3" s="23"/>
      <c r="R3" s="1437" t="s">
        <v>1665</v>
      </c>
      <c r="S3" s="1437"/>
      <c r="T3" s="1437"/>
      <c r="U3" s="1437"/>
      <c r="V3" s="1437"/>
      <c r="W3" s="1437"/>
      <c r="X3" s="1437"/>
      <c r="Y3" s="23"/>
      <c r="Z3" s="1437" t="s">
        <v>1500</v>
      </c>
      <c r="AA3" s="1437"/>
      <c r="AB3" s="1437"/>
      <c r="AC3" s="1437"/>
      <c r="AD3" s="1437"/>
      <c r="AE3" s="1437"/>
      <c r="AF3" s="1437"/>
      <c r="AG3" s="23"/>
      <c r="AH3" s="1390" t="s">
        <v>1652</v>
      </c>
      <c r="AI3" s="1390"/>
      <c r="AJ3" s="1390"/>
      <c r="AK3" s="1390"/>
      <c r="AL3" s="1390"/>
      <c r="AM3" s="1390"/>
      <c r="AN3" s="1390"/>
      <c r="AO3" s="23"/>
      <c r="AP3" s="1437" t="s">
        <v>52</v>
      </c>
      <c r="AQ3" s="1437"/>
      <c r="AR3" s="1437"/>
      <c r="AS3" s="1437"/>
      <c r="AT3" s="1437"/>
      <c r="AU3" s="1437"/>
      <c r="AV3" s="1437"/>
      <c r="AW3" s="23"/>
      <c r="AX3" s="1437" t="s">
        <v>51</v>
      </c>
      <c r="AY3" s="1437"/>
      <c r="AZ3" s="1437"/>
      <c r="BA3" s="1437"/>
      <c r="BB3" s="1437"/>
      <c r="BC3" s="1437"/>
      <c r="BD3" s="1437"/>
      <c r="BE3" s="23"/>
      <c r="BF3" s="1437" t="s">
        <v>1199</v>
      </c>
      <c r="BG3" s="1437"/>
      <c r="BH3" s="1437"/>
      <c r="BI3" s="1437"/>
      <c r="BJ3" s="1437"/>
      <c r="BK3" s="1437"/>
      <c r="BL3" s="1437"/>
      <c r="BM3" s="179"/>
      <c r="BN3" s="1437" t="s">
        <v>1579</v>
      </c>
      <c r="BO3" s="1437"/>
      <c r="BP3" s="1437"/>
      <c r="BQ3" s="1437"/>
      <c r="BR3" s="1437"/>
      <c r="BS3" s="1437"/>
      <c r="BT3" s="1437"/>
      <c r="BU3" s="23"/>
      <c r="BV3" s="1437" t="s">
        <v>1236</v>
      </c>
      <c r="BW3" s="1437"/>
      <c r="BX3" s="1437"/>
      <c r="BY3" s="1437"/>
      <c r="BZ3" s="1437"/>
      <c r="CA3" s="1437"/>
      <c r="CB3" s="1437"/>
      <c r="CC3" s="23"/>
      <c r="CD3" s="1437" t="s">
        <v>389</v>
      </c>
      <c r="CE3" s="1437"/>
      <c r="CF3" s="1437"/>
      <c r="CG3" s="1437"/>
      <c r="CH3" s="1437"/>
      <c r="CI3" s="1437"/>
      <c r="CJ3" s="1437"/>
      <c r="CK3" s="179"/>
      <c r="CL3" s="1437" t="s">
        <v>390</v>
      </c>
      <c r="CM3" s="1437"/>
      <c r="CN3" s="1437"/>
      <c r="CO3" s="1437"/>
      <c r="CP3" s="1437"/>
      <c r="CQ3" s="1437"/>
      <c r="CR3" s="1437"/>
      <c r="CS3" s="23"/>
      <c r="CT3" s="1437" t="s">
        <v>602</v>
      </c>
      <c r="CU3" s="1437"/>
      <c r="CV3" s="1437"/>
      <c r="CW3" s="1437"/>
      <c r="CX3" s="1437"/>
      <c r="CY3" s="1437"/>
      <c r="CZ3" s="1437"/>
      <c r="DA3" s="23"/>
      <c r="DB3" s="1437" t="s">
        <v>1032</v>
      </c>
      <c r="DC3" s="1437"/>
      <c r="DD3" s="1437"/>
      <c r="DE3" s="1437"/>
      <c r="DF3" s="1437"/>
      <c r="DG3" s="1437"/>
      <c r="DH3" s="1437"/>
      <c r="DI3" s="23"/>
      <c r="DJ3" s="1437" t="s">
        <v>1529</v>
      </c>
      <c r="DK3" s="1437"/>
      <c r="DL3" s="1437"/>
      <c r="DM3" s="1437"/>
      <c r="DN3" s="1437"/>
      <c r="DO3" s="1437"/>
      <c r="DP3" s="1437"/>
      <c r="DQ3" s="23"/>
      <c r="DR3" s="1437" t="s">
        <v>1104</v>
      </c>
      <c r="DS3" s="1437"/>
      <c r="DT3" s="1437"/>
      <c r="DU3" s="1437"/>
      <c r="DV3" s="1437"/>
      <c r="DW3" s="1437"/>
      <c r="DX3" s="1437"/>
      <c r="DY3" s="179"/>
      <c r="DZ3" s="1437" t="s">
        <v>1105</v>
      </c>
      <c r="EA3" s="1437"/>
      <c r="EB3" s="1437"/>
      <c r="EC3" s="1437"/>
      <c r="ED3" s="1437"/>
      <c r="EE3" s="1437"/>
      <c r="EF3" s="1437"/>
      <c r="EG3" s="23"/>
      <c r="EH3" s="1437" t="s">
        <v>1106</v>
      </c>
      <c r="EI3" s="1437"/>
      <c r="EJ3" s="1437"/>
      <c r="EK3" s="1437"/>
      <c r="EL3" s="1437"/>
      <c r="EM3" s="1437"/>
      <c r="EN3" s="1437"/>
      <c r="EO3" s="23"/>
      <c r="EP3" s="1437" t="s">
        <v>1478</v>
      </c>
      <c r="EQ3" s="1437"/>
      <c r="ER3" s="1437"/>
      <c r="ES3" s="1437"/>
      <c r="ET3" s="1437"/>
      <c r="EU3" s="1437"/>
      <c r="EV3" s="1437"/>
      <c r="EW3" s="23"/>
      <c r="EX3" s="1437" t="s">
        <v>1477</v>
      </c>
      <c r="EY3" s="1437"/>
      <c r="EZ3" s="1437"/>
      <c r="FA3" s="1437"/>
      <c r="FB3" s="1437"/>
      <c r="FC3" s="1437"/>
      <c r="FD3" s="1437"/>
      <c r="FE3" s="23"/>
      <c r="FF3" s="1437" t="s">
        <v>105</v>
      </c>
      <c r="FG3" s="1437"/>
      <c r="FH3" s="1437"/>
      <c r="FI3" s="1437"/>
      <c r="FJ3" s="1437"/>
      <c r="FK3" s="1437"/>
      <c r="FL3" s="1437"/>
      <c r="FM3" s="179"/>
      <c r="FN3" s="1437" t="s">
        <v>106</v>
      </c>
      <c r="FO3" s="1437"/>
      <c r="FP3" s="1437"/>
      <c r="FQ3" s="1437"/>
      <c r="FR3" s="1437"/>
      <c r="FS3" s="1437"/>
      <c r="FT3" s="1437"/>
      <c r="FU3" s="179"/>
      <c r="FV3" s="1437" t="s">
        <v>107</v>
      </c>
      <c r="FW3" s="1437"/>
      <c r="FX3" s="1437"/>
      <c r="FY3" s="1437"/>
      <c r="FZ3" s="1437"/>
      <c r="GA3" s="1437"/>
      <c r="GB3" s="1437"/>
      <c r="GC3" s="23"/>
      <c r="GD3" s="179"/>
      <c r="GE3" s="1437" t="s">
        <v>108</v>
      </c>
      <c r="GF3" s="1437"/>
      <c r="GG3" s="1437"/>
      <c r="GH3" s="1437"/>
      <c r="GI3" s="1437"/>
      <c r="GJ3" s="1437"/>
      <c r="GK3" s="1437"/>
      <c r="GM3" s="1437" t="s">
        <v>109</v>
      </c>
      <c r="GN3" s="1437"/>
      <c r="GO3" s="1437"/>
      <c r="GP3" s="1437"/>
      <c r="GQ3" s="1437"/>
      <c r="GR3" s="1437"/>
      <c r="GS3" s="1437"/>
      <c r="GU3" s="1440" t="s">
        <v>1656</v>
      </c>
      <c r="GV3" s="1440"/>
      <c r="GW3" s="1440"/>
      <c r="GX3" s="1440"/>
      <c r="GY3" s="1440"/>
      <c r="GZ3" s="1440"/>
      <c r="HA3" s="1440"/>
      <c r="HB3" s="459"/>
      <c r="HC3" s="1440" t="s">
        <v>560</v>
      </c>
      <c r="HD3" s="1440"/>
      <c r="HE3" s="1440"/>
      <c r="HF3" s="1440"/>
      <c r="HG3" s="1440"/>
      <c r="HH3" s="1440"/>
      <c r="HI3" s="1440"/>
      <c r="HJ3" s="18"/>
      <c r="HK3" s="1440" t="s">
        <v>561</v>
      </c>
      <c r="HL3" s="1440"/>
      <c r="HM3" s="1440"/>
      <c r="HN3" s="1440"/>
      <c r="HO3" s="1440"/>
      <c r="HP3" s="1440"/>
      <c r="HQ3" s="1440"/>
      <c r="HR3" s="459"/>
      <c r="HS3" s="1440" t="s">
        <v>563</v>
      </c>
      <c r="HT3" s="1440"/>
      <c r="HU3" s="1440"/>
      <c r="HV3" s="1440"/>
      <c r="HW3" s="1440"/>
      <c r="HX3" s="1440"/>
      <c r="HY3" s="1440"/>
      <c r="HZ3" s="23"/>
      <c r="IA3" s="1440" t="s">
        <v>562</v>
      </c>
      <c r="IB3" s="1440"/>
      <c r="IC3" s="1440"/>
      <c r="ID3" s="1440"/>
      <c r="IE3" s="1440"/>
      <c r="IF3" s="1440"/>
      <c r="IG3" s="1440"/>
      <c r="IH3" s="23"/>
      <c r="II3" s="1440" t="s">
        <v>1733</v>
      </c>
      <c r="IJ3" s="1440"/>
      <c r="IK3" s="1440"/>
      <c r="IL3" s="1440"/>
      <c r="IM3" s="1440"/>
      <c r="IN3" s="1440"/>
      <c r="IO3" s="1440"/>
      <c r="IP3" s="655"/>
      <c r="IQ3" s="1440" t="s">
        <v>1462</v>
      </c>
      <c r="IR3" s="1440"/>
      <c r="IS3" s="1440"/>
      <c r="IT3" s="1440"/>
      <c r="IU3" s="1440"/>
      <c r="IV3" s="1440"/>
      <c r="IW3" s="1440"/>
      <c r="IX3" s="655"/>
      <c r="IY3" s="1440" t="s">
        <v>1463</v>
      </c>
      <c r="IZ3" s="1440"/>
      <c r="JA3" s="1440"/>
      <c r="JB3" s="1440"/>
      <c r="JC3" s="1440"/>
      <c r="JD3" s="1440"/>
      <c r="JE3" s="1440"/>
      <c r="JF3" s="459"/>
      <c r="JG3" s="1440" t="s">
        <v>1482</v>
      </c>
      <c r="JH3" s="1440"/>
      <c r="JI3" s="1440"/>
      <c r="JJ3" s="1440"/>
      <c r="JK3" s="1440"/>
      <c r="JL3" s="1440"/>
      <c r="JM3" s="1440"/>
      <c r="JN3" s="502"/>
      <c r="JO3" s="1440" t="s">
        <v>1483</v>
      </c>
      <c r="JP3" s="1440"/>
      <c r="JQ3" s="1440"/>
      <c r="JR3" s="1440"/>
      <c r="JS3" s="1440"/>
      <c r="JT3" s="1440"/>
      <c r="JU3" s="1440"/>
      <c r="JV3" s="502"/>
      <c r="JW3" s="1440" t="s">
        <v>1484</v>
      </c>
      <c r="JX3" s="1440"/>
      <c r="JY3" s="1440"/>
      <c r="JZ3" s="1440"/>
      <c r="KA3" s="1440"/>
      <c r="KB3" s="1440"/>
      <c r="KC3" s="1440"/>
      <c r="KD3" s="502"/>
      <c r="KE3" s="1440" t="s">
        <v>1485</v>
      </c>
      <c r="KF3" s="1440"/>
      <c r="KG3" s="1440"/>
      <c r="KH3" s="1440"/>
      <c r="KI3" s="1440"/>
      <c r="KJ3" s="1440"/>
      <c r="KK3" s="1440"/>
      <c r="KL3" s="502"/>
      <c r="KM3" s="1440" t="s">
        <v>1486</v>
      </c>
      <c r="KN3" s="1440"/>
      <c r="KO3" s="1440"/>
      <c r="KP3" s="1440"/>
      <c r="KQ3" s="1440"/>
      <c r="KR3" s="1440"/>
      <c r="KS3" s="1440"/>
      <c r="KT3" s="502"/>
      <c r="KU3" s="1440" t="s">
        <v>1487</v>
      </c>
      <c r="KV3" s="1440"/>
      <c r="KW3" s="1440"/>
      <c r="KX3" s="1440"/>
      <c r="KY3" s="1440"/>
      <c r="KZ3" s="1440"/>
      <c r="LA3" s="1440"/>
      <c r="LB3" s="502"/>
      <c r="LC3" s="1440" t="s">
        <v>1488</v>
      </c>
      <c r="LD3" s="1440"/>
      <c r="LE3" s="1440"/>
      <c r="LF3" s="1440"/>
      <c r="LG3" s="1440"/>
      <c r="LH3" s="1440"/>
      <c r="LI3" s="1440"/>
      <c r="LJ3" s="879"/>
      <c r="LK3" s="1440" t="s">
        <v>1489</v>
      </c>
      <c r="LL3" s="1440"/>
      <c r="LM3" s="1440"/>
      <c r="LN3" s="1440"/>
      <c r="LO3" s="1440"/>
      <c r="LP3" s="1440"/>
      <c r="LQ3" s="1440"/>
    </row>
    <row r="4" spans="1:329" s="43" customFormat="1" ht="10.5" customHeight="1" x14ac:dyDescent="0.2">
      <c r="A4" s="182"/>
      <c r="B4" s="49" t="s">
        <v>8</v>
      </c>
      <c r="C4" s="49" t="s">
        <v>24</v>
      </c>
      <c r="D4" s="49" t="s">
        <v>25</v>
      </c>
      <c r="E4" s="49" t="s">
        <v>26</v>
      </c>
      <c r="F4" s="49" t="s">
        <v>28</v>
      </c>
      <c r="G4" s="49" t="s">
        <v>27</v>
      </c>
      <c r="H4" s="49" t="s">
        <v>23</v>
      </c>
      <c r="I4" s="49"/>
      <c r="J4" s="49" t="s">
        <v>8</v>
      </c>
      <c r="K4" s="49" t="s">
        <v>24</v>
      </c>
      <c r="L4" s="49" t="s">
        <v>25</v>
      </c>
      <c r="M4" s="49" t="s">
        <v>26</v>
      </c>
      <c r="N4" s="49" t="s">
        <v>28</v>
      </c>
      <c r="O4" s="49" t="s">
        <v>27</v>
      </c>
      <c r="P4" s="49" t="s">
        <v>23</v>
      </c>
      <c r="Q4" s="49"/>
      <c r="R4" s="49" t="s">
        <v>8</v>
      </c>
      <c r="S4" s="49" t="s">
        <v>24</v>
      </c>
      <c r="T4" s="49" t="s">
        <v>25</v>
      </c>
      <c r="U4" s="49" t="s">
        <v>26</v>
      </c>
      <c r="V4" s="49" t="s">
        <v>28</v>
      </c>
      <c r="W4" s="49" t="s">
        <v>27</v>
      </c>
      <c r="X4" s="49" t="s">
        <v>23</v>
      </c>
      <c r="Y4" s="49"/>
      <c r="Z4" s="49" t="s">
        <v>8</v>
      </c>
      <c r="AA4" s="49" t="s">
        <v>24</v>
      </c>
      <c r="AB4" s="49" t="s">
        <v>25</v>
      </c>
      <c r="AC4" s="49" t="s">
        <v>26</v>
      </c>
      <c r="AD4" s="49" t="s">
        <v>28</v>
      </c>
      <c r="AE4" s="49" t="s">
        <v>27</v>
      </c>
      <c r="AF4" s="49" t="s">
        <v>23</v>
      </c>
      <c r="AG4" s="49"/>
      <c r="AH4" s="49" t="s">
        <v>8</v>
      </c>
      <c r="AI4" s="49" t="s">
        <v>24</v>
      </c>
      <c r="AJ4" s="49" t="s">
        <v>25</v>
      </c>
      <c r="AK4" s="49" t="s">
        <v>26</v>
      </c>
      <c r="AL4" s="49" t="s">
        <v>28</v>
      </c>
      <c r="AM4" s="49" t="s">
        <v>27</v>
      </c>
      <c r="AN4" s="49" t="s">
        <v>23</v>
      </c>
      <c r="AO4" s="49"/>
      <c r="AP4" s="49" t="s">
        <v>8</v>
      </c>
      <c r="AQ4" s="49" t="s">
        <v>24</v>
      </c>
      <c r="AR4" s="49" t="s">
        <v>25</v>
      </c>
      <c r="AS4" s="49" t="s">
        <v>26</v>
      </c>
      <c r="AT4" s="49" t="s">
        <v>28</v>
      </c>
      <c r="AU4" s="49" t="s">
        <v>27</v>
      </c>
      <c r="AV4" s="49" t="s">
        <v>23</v>
      </c>
      <c r="AW4" s="49"/>
      <c r="AX4" s="49" t="s">
        <v>8</v>
      </c>
      <c r="AY4" s="49" t="s">
        <v>24</v>
      </c>
      <c r="AZ4" s="49" t="s">
        <v>25</v>
      </c>
      <c r="BA4" s="49" t="s">
        <v>26</v>
      </c>
      <c r="BB4" s="49" t="s">
        <v>28</v>
      </c>
      <c r="BC4" s="49" t="s">
        <v>27</v>
      </c>
      <c r="BD4" s="49" t="s">
        <v>23</v>
      </c>
      <c r="BE4" s="49"/>
      <c r="BF4" s="49" t="s">
        <v>8</v>
      </c>
      <c r="BG4" s="49" t="s">
        <v>24</v>
      </c>
      <c r="BH4" s="49" t="s">
        <v>25</v>
      </c>
      <c r="BI4" s="49" t="s">
        <v>26</v>
      </c>
      <c r="BJ4" s="49" t="s">
        <v>28</v>
      </c>
      <c r="BK4" s="49" t="s">
        <v>27</v>
      </c>
      <c r="BL4" s="49" t="s">
        <v>23</v>
      </c>
      <c r="BM4" s="183"/>
      <c r="BN4" s="49" t="s">
        <v>8</v>
      </c>
      <c r="BO4" s="49" t="s">
        <v>24</v>
      </c>
      <c r="BP4" s="49" t="s">
        <v>25</v>
      </c>
      <c r="BQ4" s="49" t="s">
        <v>26</v>
      </c>
      <c r="BR4" s="49" t="s">
        <v>28</v>
      </c>
      <c r="BS4" s="49" t="s">
        <v>27</v>
      </c>
      <c r="BT4" s="49" t="s">
        <v>23</v>
      </c>
      <c r="BU4" s="49"/>
      <c r="BV4" s="49" t="s">
        <v>8</v>
      </c>
      <c r="BW4" s="49" t="s">
        <v>24</v>
      </c>
      <c r="BX4" s="49" t="s">
        <v>25</v>
      </c>
      <c r="BY4" s="49" t="s">
        <v>26</v>
      </c>
      <c r="BZ4" s="49" t="s">
        <v>28</v>
      </c>
      <c r="CA4" s="49" t="s">
        <v>27</v>
      </c>
      <c r="CB4" s="49" t="s">
        <v>23</v>
      </c>
      <c r="CC4" s="49"/>
      <c r="CD4" s="49" t="s">
        <v>8</v>
      </c>
      <c r="CE4" s="49" t="s">
        <v>24</v>
      </c>
      <c r="CF4" s="49" t="s">
        <v>25</v>
      </c>
      <c r="CG4" s="49" t="s">
        <v>26</v>
      </c>
      <c r="CH4" s="49" t="s">
        <v>28</v>
      </c>
      <c r="CI4" s="49" t="s">
        <v>27</v>
      </c>
      <c r="CJ4" s="49" t="s">
        <v>23</v>
      </c>
      <c r="CK4" s="183"/>
      <c r="CL4" s="49" t="s">
        <v>8</v>
      </c>
      <c r="CM4" s="49" t="s">
        <v>24</v>
      </c>
      <c r="CN4" s="49" t="s">
        <v>25</v>
      </c>
      <c r="CO4" s="49" t="s">
        <v>26</v>
      </c>
      <c r="CP4" s="49" t="s">
        <v>28</v>
      </c>
      <c r="CQ4" s="49" t="s">
        <v>27</v>
      </c>
      <c r="CR4" s="49" t="s">
        <v>23</v>
      </c>
      <c r="CS4" s="49"/>
      <c r="CT4" s="49" t="s">
        <v>8</v>
      </c>
      <c r="CU4" s="49" t="s">
        <v>24</v>
      </c>
      <c r="CV4" s="49" t="s">
        <v>25</v>
      </c>
      <c r="CW4" s="49" t="s">
        <v>26</v>
      </c>
      <c r="CX4" s="49" t="s">
        <v>28</v>
      </c>
      <c r="CY4" s="49" t="s">
        <v>27</v>
      </c>
      <c r="CZ4" s="49" t="s">
        <v>23</v>
      </c>
      <c r="DA4" s="49"/>
      <c r="DB4" s="49" t="s">
        <v>8</v>
      </c>
      <c r="DC4" s="49" t="s">
        <v>24</v>
      </c>
      <c r="DD4" s="49" t="s">
        <v>25</v>
      </c>
      <c r="DE4" s="49" t="s">
        <v>26</v>
      </c>
      <c r="DF4" s="49" t="s">
        <v>28</v>
      </c>
      <c r="DG4" s="49" t="s">
        <v>27</v>
      </c>
      <c r="DH4" s="49" t="s">
        <v>23</v>
      </c>
      <c r="DI4" s="49"/>
      <c r="DJ4" s="49" t="s">
        <v>8</v>
      </c>
      <c r="DK4" s="49" t="s">
        <v>24</v>
      </c>
      <c r="DL4" s="49" t="s">
        <v>25</v>
      </c>
      <c r="DM4" s="49" t="s">
        <v>26</v>
      </c>
      <c r="DN4" s="49" t="s">
        <v>28</v>
      </c>
      <c r="DO4" s="49" t="s">
        <v>27</v>
      </c>
      <c r="DP4" s="49" t="s">
        <v>23</v>
      </c>
      <c r="DQ4" s="49"/>
      <c r="DR4" s="49" t="s">
        <v>8</v>
      </c>
      <c r="DS4" s="49" t="s">
        <v>24</v>
      </c>
      <c r="DT4" s="49" t="s">
        <v>25</v>
      </c>
      <c r="DU4" s="49" t="s">
        <v>26</v>
      </c>
      <c r="DV4" s="49" t="s">
        <v>28</v>
      </c>
      <c r="DW4" s="49" t="s">
        <v>27</v>
      </c>
      <c r="DX4" s="49" t="s">
        <v>23</v>
      </c>
      <c r="DY4" s="183"/>
      <c r="DZ4" s="49" t="s">
        <v>8</v>
      </c>
      <c r="EA4" s="49" t="s">
        <v>24</v>
      </c>
      <c r="EB4" s="49" t="s">
        <v>25</v>
      </c>
      <c r="EC4" s="49" t="s">
        <v>26</v>
      </c>
      <c r="ED4" s="49" t="s">
        <v>28</v>
      </c>
      <c r="EE4" s="49" t="s">
        <v>27</v>
      </c>
      <c r="EF4" s="49" t="s">
        <v>23</v>
      </c>
      <c r="EG4" s="49"/>
      <c r="EH4" s="49" t="s">
        <v>8</v>
      </c>
      <c r="EI4" s="49" t="s">
        <v>24</v>
      </c>
      <c r="EJ4" s="49" t="s">
        <v>25</v>
      </c>
      <c r="EK4" s="49" t="s">
        <v>26</v>
      </c>
      <c r="EL4" s="49" t="s">
        <v>28</v>
      </c>
      <c r="EM4" s="49" t="s">
        <v>27</v>
      </c>
      <c r="EN4" s="49" t="s">
        <v>23</v>
      </c>
      <c r="EO4" s="49"/>
      <c r="EP4" s="49" t="s">
        <v>8</v>
      </c>
      <c r="EQ4" s="49" t="s">
        <v>24</v>
      </c>
      <c r="ER4" s="49" t="s">
        <v>25</v>
      </c>
      <c r="ES4" s="49" t="s">
        <v>26</v>
      </c>
      <c r="ET4" s="49" t="s">
        <v>28</v>
      </c>
      <c r="EU4" s="49" t="s">
        <v>27</v>
      </c>
      <c r="EV4" s="49" t="s">
        <v>23</v>
      </c>
      <c r="EW4" s="49"/>
      <c r="EX4" s="49" t="s">
        <v>8</v>
      </c>
      <c r="EY4" s="49" t="s">
        <v>24</v>
      </c>
      <c r="EZ4" s="49" t="s">
        <v>25</v>
      </c>
      <c r="FA4" s="49" t="s">
        <v>26</v>
      </c>
      <c r="FB4" s="49" t="s">
        <v>28</v>
      </c>
      <c r="FC4" s="49" t="s">
        <v>27</v>
      </c>
      <c r="FD4" s="49" t="s">
        <v>23</v>
      </c>
      <c r="FE4" s="49"/>
      <c r="FF4" s="49" t="s">
        <v>8</v>
      </c>
      <c r="FG4" s="49" t="s">
        <v>24</v>
      </c>
      <c r="FH4" s="49" t="s">
        <v>25</v>
      </c>
      <c r="FI4" s="49" t="s">
        <v>26</v>
      </c>
      <c r="FJ4" s="49" t="s">
        <v>28</v>
      </c>
      <c r="FK4" s="49" t="s">
        <v>27</v>
      </c>
      <c r="FL4" s="49" t="s">
        <v>23</v>
      </c>
      <c r="FM4" s="183"/>
      <c r="FN4" s="49" t="s">
        <v>8</v>
      </c>
      <c r="FO4" s="49" t="s">
        <v>24</v>
      </c>
      <c r="FP4" s="49" t="s">
        <v>25</v>
      </c>
      <c r="FQ4" s="49" t="s">
        <v>26</v>
      </c>
      <c r="FR4" s="49" t="s">
        <v>28</v>
      </c>
      <c r="FS4" s="49" t="s">
        <v>27</v>
      </c>
      <c r="FT4" s="49" t="s">
        <v>23</v>
      </c>
      <c r="FU4" s="183"/>
      <c r="FV4" s="49" t="s">
        <v>8</v>
      </c>
      <c r="FW4" s="49" t="s">
        <v>24</v>
      </c>
      <c r="FX4" s="49" t="s">
        <v>25</v>
      </c>
      <c r="FY4" s="49" t="s">
        <v>26</v>
      </c>
      <c r="FZ4" s="49" t="s">
        <v>28</v>
      </c>
      <c r="GA4" s="49" t="s">
        <v>27</v>
      </c>
      <c r="GB4" s="49" t="s">
        <v>23</v>
      </c>
      <c r="GC4" s="49"/>
      <c r="GD4" s="183"/>
      <c r="GE4" s="49" t="s">
        <v>8</v>
      </c>
      <c r="GF4" s="49" t="s">
        <v>24</v>
      </c>
      <c r="GG4" s="49" t="s">
        <v>25</v>
      </c>
      <c r="GH4" s="49" t="s">
        <v>26</v>
      </c>
      <c r="GI4" s="49" t="s">
        <v>28</v>
      </c>
      <c r="GJ4" s="49" t="s">
        <v>27</v>
      </c>
      <c r="GK4" s="49" t="s">
        <v>23</v>
      </c>
      <c r="GM4" s="49" t="s">
        <v>8</v>
      </c>
      <c r="GN4" s="49" t="s">
        <v>24</v>
      </c>
      <c r="GO4" s="49" t="s">
        <v>25</v>
      </c>
      <c r="GP4" s="49" t="s">
        <v>26</v>
      </c>
      <c r="GQ4" s="49" t="s">
        <v>28</v>
      </c>
      <c r="GR4" s="49" t="s">
        <v>27</v>
      </c>
      <c r="GS4" s="49" t="s">
        <v>23</v>
      </c>
      <c r="GU4" s="255" t="s">
        <v>8</v>
      </c>
      <c r="GV4" s="255" t="s">
        <v>24</v>
      </c>
      <c r="GW4" s="255" t="s">
        <v>25</v>
      </c>
      <c r="GX4" s="255" t="s">
        <v>26</v>
      </c>
      <c r="GY4" s="255" t="s">
        <v>28</v>
      </c>
      <c r="GZ4" s="255" t="s">
        <v>27</v>
      </c>
      <c r="HA4" s="255" t="s">
        <v>23</v>
      </c>
      <c r="HB4" s="256"/>
      <c r="HC4" s="255" t="s">
        <v>8</v>
      </c>
      <c r="HD4" s="255" t="s">
        <v>24</v>
      </c>
      <c r="HE4" s="255" t="s">
        <v>25</v>
      </c>
      <c r="HF4" s="255" t="s">
        <v>26</v>
      </c>
      <c r="HG4" s="255" t="s">
        <v>28</v>
      </c>
      <c r="HH4" s="255" t="s">
        <v>27</v>
      </c>
      <c r="HI4" s="255" t="s">
        <v>23</v>
      </c>
      <c r="HJ4" s="255"/>
      <c r="HK4" s="255" t="s">
        <v>8</v>
      </c>
      <c r="HL4" s="255" t="s">
        <v>24</v>
      </c>
      <c r="HM4" s="255" t="s">
        <v>25</v>
      </c>
      <c r="HN4" s="255" t="s">
        <v>26</v>
      </c>
      <c r="HO4" s="255" t="s">
        <v>28</v>
      </c>
      <c r="HP4" s="255" t="s">
        <v>27</v>
      </c>
      <c r="HQ4" s="255" t="s">
        <v>23</v>
      </c>
      <c r="HR4" s="256"/>
      <c r="HS4" s="255" t="s">
        <v>8</v>
      </c>
      <c r="HT4" s="255" t="s">
        <v>24</v>
      </c>
      <c r="HU4" s="255" t="s">
        <v>25</v>
      </c>
      <c r="HV4" s="255" t="s">
        <v>26</v>
      </c>
      <c r="HW4" s="255" t="s">
        <v>28</v>
      </c>
      <c r="HX4" s="255" t="s">
        <v>27</v>
      </c>
      <c r="HY4" s="255" t="s">
        <v>23</v>
      </c>
      <c r="HZ4" s="49"/>
      <c r="IA4" s="255" t="s">
        <v>8</v>
      </c>
      <c r="IB4" s="255" t="s">
        <v>24</v>
      </c>
      <c r="IC4" s="255" t="s">
        <v>25</v>
      </c>
      <c r="ID4" s="255" t="s">
        <v>26</v>
      </c>
      <c r="IE4" s="255" t="s">
        <v>28</v>
      </c>
      <c r="IF4" s="255" t="s">
        <v>27</v>
      </c>
      <c r="IG4" s="255" t="s">
        <v>23</v>
      </c>
      <c r="IH4" s="49"/>
      <c r="II4" s="255" t="s">
        <v>8</v>
      </c>
      <c r="IJ4" s="255" t="s">
        <v>24</v>
      </c>
      <c r="IK4" s="255" t="s">
        <v>25</v>
      </c>
      <c r="IL4" s="255" t="s">
        <v>26</v>
      </c>
      <c r="IM4" s="255" t="s">
        <v>28</v>
      </c>
      <c r="IN4" s="255" t="s">
        <v>27</v>
      </c>
      <c r="IO4" s="255" t="s">
        <v>23</v>
      </c>
      <c r="IP4" s="256"/>
      <c r="IQ4" s="255" t="s">
        <v>246</v>
      </c>
      <c r="IR4" s="255" t="s">
        <v>24</v>
      </c>
      <c r="IS4" s="255" t="s">
        <v>25</v>
      </c>
      <c r="IT4" s="255" t="s">
        <v>26</v>
      </c>
      <c r="IU4" s="255" t="s">
        <v>28</v>
      </c>
      <c r="IV4" s="255" t="s">
        <v>27</v>
      </c>
      <c r="IW4" s="255" t="s">
        <v>23</v>
      </c>
      <c r="IX4" s="256"/>
      <c r="IY4" s="255" t="s">
        <v>246</v>
      </c>
      <c r="IZ4" s="255" t="s">
        <v>24</v>
      </c>
      <c r="JA4" s="255" t="s">
        <v>25</v>
      </c>
      <c r="JB4" s="255" t="s">
        <v>26</v>
      </c>
      <c r="JC4" s="255" t="s">
        <v>28</v>
      </c>
      <c r="JD4" s="255" t="s">
        <v>27</v>
      </c>
      <c r="JE4" s="255" t="s">
        <v>23</v>
      </c>
      <c r="JF4" s="256"/>
      <c r="JG4" s="255" t="s">
        <v>246</v>
      </c>
      <c r="JH4" s="255" t="s">
        <v>24</v>
      </c>
      <c r="JI4" s="255" t="s">
        <v>25</v>
      </c>
      <c r="JJ4" s="255" t="s">
        <v>26</v>
      </c>
      <c r="JK4" s="255" t="s">
        <v>28</v>
      </c>
      <c r="JL4" s="255" t="s">
        <v>27</v>
      </c>
      <c r="JM4" s="255" t="s">
        <v>23</v>
      </c>
      <c r="JN4" s="256"/>
      <c r="JO4" s="255" t="s">
        <v>246</v>
      </c>
      <c r="JP4" s="255" t="s">
        <v>24</v>
      </c>
      <c r="JQ4" s="255" t="s">
        <v>25</v>
      </c>
      <c r="JR4" s="255" t="s">
        <v>26</v>
      </c>
      <c r="JS4" s="255" t="s">
        <v>28</v>
      </c>
      <c r="JT4" s="255" t="s">
        <v>27</v>
      </c>
      <c r="JU4" s="255" t="s">
        <v>23</v>
      </c>
      <c r="JV4" s="256"/>
      <c r="JW4" s="255" t="s">
        <v>246</v>
      </c>
      <c r="JX4" s="255" t="s">
        <v>24</v>
      </c>
      <c r="JY4" s="255" t="s">
        <v>25</v>
      </c>
      <c r="JZ4" s="255" t="s">
        <v>26</v>
      </c>
      <c r="KA4" s="255" t="s">
        <v>28</v>
      </c>
      <c r="KB4" s="255" t="s">
        <v>27</v>
      </c>
      <c r="KC4" s="255" t="s">
        <v>23</v>
      </c>
      <c r="KD4" s="256"/>
      <c r="KE4" s="255" t="s">
        <v>246</v>
      </c>
      <c r="KF4" s="255" t="s">
        <v>24</v>
      </c>
      <c r="KG4" s="255" t="s">
        <v>25</v>
      </c>
      <c r="KH4" s="255" t="s">
        <v>26</v>
      </c>
      <c r="KI4" s="255" t="s">
        <v>28</v>
      </c>
      <c r="KJ4" s="255" t="s">
        <v>27</v>
      </c>
      <c r="KK4" s="255" t="s">
        <v>23</v>
      </c>
      <c r="KL4" s="256"/>
      <c r="KM4" s="255" t="s">
        <v>246</v>
      </c>
      <c r="KN4" s="255" t="s">
        <v>24</v>
      </c>
      <c r="KO4" s="255" t="s">
        <v>25</v>
      </c>
      <c r="KP4" s="255" t="s">
        <v>26</v>
      </c>
      <c r="KQ4" s="255" t="s">
        <v>28</v>
      </c>
      <c r="KR4" s="255" t="s">
        <v>27</v>
      </c>
      <c r="KS4" s="255" t="s">
        <v>23</v>
      </c>
      <c r="KT4" s="256"/>
      <c r="KU4" s="255" t="s">
        <v>246</v>
      </c>
      <c r="KV4" s="255" t="s">
        <v>24</v>
      </c>
      <c r="KW4" s="255" t="s">
        <v>25</v>
      </c>
      <c r="KX4" s="255" t="s">
        <v>26</v>
      </c>
      <c r="KY4" s="255" t="s">
        <v>28</v>
      </c>
      <c r="KZ4" s="255" t="s">
        <v>27</v>
      </c>
      <c r="LA4" s="255" t="s">
        <v>23</v>
      </c>
      <c r="LB4" s="256"/>
      <c r="LC4" s="255" t="s">
        <v>246</v>
      </c>
      <c r="LD4" s="255" t="s">
        <v>24</v>
      </c>
      <c r="LE4" s="255" t="s">
        <v>25</v>
      </c>
      <c r="LF4" s="255" t="s">
        <v>26</v>
      </c>
      <c r="LG4" s="255" t="s">
        <v>28</v>
      </c>
      <c r="LH4" s="255" t="s">
        <v>27</v>
      </c>
      <c r="LI4" s="255" t="s">
        <v>23</v>
      </c>
      <c r="LJ4" s="256"/>
      <c r="LK4" s="255" t="s">
        <v>246</v>
      </c>
      <c r="LL4" s="255" t="s">
        <v>24</v>
      </c>
      <c r="LM4" s="255" t="s">
        <v>25</v>
      </c>
      <c r="LN4" s="255" t="s">
        <v>26</v>
      </c>
      <c r="LO4" s="255" t="s">
        <v>28</v>
      </c>
      <c r="LP4" s="255" t="s">
        <v>27</v>
      </c>
      <c r="LQ4" s="255" t="s">
        <v>23</v>
      </c>
    </row>
    <row r="5" spans="1:329" s="43" customFormat="1" ht="10.5" customHeight="1" x14ac:dyDescent="0.2">
      <c r="A5" s="46"/>
      <c r="B5" s="49" t="s">
        <v>32</v>
      </c>
      <c r="C5" s="48" t="s">
        <v>13</v>
      </c>
      <c r="D5" s="48" t="s">
        <v>14</v>
      </c>
      <c r="E5" s="48" t="s">
        <v>15</v>
      </c>
      <c r="F5" s="48" t="s">
        <v>16</v>
      </c>
      <c r="G5" s="48" t="s">
        <v>17</v>
      </c>
      <c r="H5" s="48" t="s">
        <v>18</v>
      </c>
      <c r="I5" s="48"/>
      <c r="J5" s="49" t="s">
        <v>32</v>
      </c>
      <c r="K5" s="48" t="s">
        <v>13</v>
      </c>
      <c r="L5" s="48" t="s">
        <v>14</v>
      </c>
      <c r="M5" s="48" t="s">
        <v>15</v>
      </c>
      <c r="N5" s="48" t="s">
        <v>16</v>
      </c>
      <c r="O5" s="48" t="s">
        <v>17</v>
      </c>
      <c r="P5" s="48" t="s">
        <v>18</v>
      </c>
      <c r="Q5" s="48"/>
      <c r="R5" s="49" t="s">
        <v>32</v>
      </c>
      <c r="S5" s="48" t="s">
        <v>13</v>
      </c>
      <c r="T5" s="48" t="s">
        <v>14</v>
      </c>
      <c r="U5" s="48" t="s">
        <v>15</v>
      </c>
      <c r="V5" s="48" t="s">
        <v>16</v>
      </c>
      <c r="W5" s="48" t="s">
        <v>17</v>
      </c>
      <c r="X5" s="48" t="s">
        <v>18</v>
      </c>
      <c r="Y5" s="48"/>
      <c r="Z5" s="49" t="s">
        <v>32</v>
      </c>
      <c r="AA5" s="48" t="s">
        <v>13</v>
      </c>
      <c r="AB5" s="48" t="s">
        <v>14</v>
      </c>
      <c r="AC5" s="48" t="s">
        <v>15</v>
      </c>
      <c r="AD5" s="48" t="s">
        <v>16</v>
      </c>
      <c r="AE5" s="48" t="s">
        <v>17</v>
      </c>
      <c r="AF5" s="48" t="s">
        <v>18</v>
      </c>
      <c r="AG5" s="48"/>
      <c r="AH5" s="48" t="s">
        <v>32</v>
      </c>
      <c r="AI5" s="48" t="s">
        <v>13</v>
      </c>
      <c r="AJ5" s="48" t="s">
        <v>14</v>
      </c>
      <c r="AK5" s="48" t="s">
        <v>15</v>
      </c>
      <c r="AL5" s="48" t="s">
        <v>16</v>
      </c>
      <c r="AM5" s="48" t="s">
        <v>17</v>
      </c>
      <c r="AN5" s="48" t="s">
        <v>18</v>
      </c>
      <c r="AO5" s="48"/>
      <c r="AP5" s="49" t="s">
        <v>32</v>
      </c>
      <c r="AQ5" s="48" t="s">
        <v>13</v>
      </c>
      <c r="AR5" s="48" t="s">
        <v>14</v>
      </c>
      <c r="AS5" s="48" t="s">
        <v>15</v>
      </c>
      <c r="AT5" s="48" t="s">
        <v>16</v>
      </c>
      <c r="AU5" s="48" t="s">
        <v>17</v>
      </c>
      <c r="AV5" s="48" t="s">
        <v>18</v>
      </c>
      <c r="AW5" s="48"/>
      <c r="AX5" s="49" t="s">
        <v>32</v>
      </c>
      <c r="AY5" s="48" t="s">
        <v>13</v>
      </c>
      <c r="AZ5" s="48" t="s">
        <v>14</v>
      </c>
      <c r="BA5" s="48" t="s">
        <v>15</v>
      </c>
      <c r="BB5" s="48" t="s">
        <v>16</v>
      </c>
      <c r="BC5" s="48" t="s">
        <v>17</v>
      </c>
      <c r="BD5" s="48" t="s">
        <v>18</v>
      </c>
      <c r="BE5" s="48"/>
      <c r="BF5" s="49" t="s">
        <v>32</v>
      </c>
      <c r="BG5" s="48" t="s">
        <v>13</v>
      </c>
      <c r="BH5" s="48" t="s">
        <v>14</v>
      </c>
      <c r="BI5" s="48" t="s">
        <v>15</v>
      </c>
      <c r="BJ5" s="48" t="s">
        <v>16</v>
      </c>
      <c r="BK5" s="48" t="s">
        <v>17</v>
      </c>
      <c r="BL5" s="48" t="s">
        <v>18</v>
      </c>
      <c r="BM5" s="46"/>
      <c r="BN5" s="49" t="s">
        <v>32</v>
      </c>
      <c r="BO5" s="48" t="s">
        <v>13</v>
      </c>
      <c r="BP5" s="48" t="s">
        <v>14</v>
      </c>
      <c r="BQ5" s="48" t="s">
        <v>15</v>
      </c>
      <c r="BR5" s="48" t="s">
        <v>16</v>
      </c>
      <c r="BS5" s="48" t="s">
        <v>17</v>
      </c>
      <c r="BT5" s="48" t="s">
        <v>18</v>
      </c>
      <c r="BU5" s="48"/>
      <c r="BV5" s="49" t="s">
        <v>32</v>
      </c>
      <c r="BW5" s="48" t="s">
        <v>13</v>
      </c>
      <c r="BX5" s="48" t="s">
        <v>14</v>
      </c>
      <c r="BY5" s="48" t="s">
        <v>15</v>
      </c>
      <c r="BZ5" s="48" t="s">
        <v>16</v>
      </c>
      <c r="CA5" s="48" t="s">
        <v>17</v>
      </c>
      <c r="CB5" s="48" t="s">
        <v>18</v>
      </c>
      <c r="CC5" s="48"/>
      <c r="CD5" s="49" t="s">
        <v>32</v>
      </c>
      <c r="CE5" s="48" t="s">
        <v>13</v>
      </c>
      <c r="CF5" s="48" t="s">
        <v>14</v>
      </c>
      <c r="CG5" s="48" t="s">
        <v>15</v>
      </c>
      <c r="CH5" s="48" t="s">
        <v>16</v>
      </c>
      <c r="CI5" s="48" t="s">
        <v>17</v>
      </c>
      <c r="CJ5" s="48" t="s">
        <v>18</v>
      </c>
      <c r="CK5" s="46"/>
      <c r="CL5" s="49" t="s">
        <v>32</v>
      </c>
      <c r="CM5" s="48" t="s">
        <v>13</v>
      </c>
      <c r="CN5" s="48" t="s">
        <v>14</v>
      </c>
      <c r="CO5" s="48" t="s">
        <v>15</v>
      </c>
      <c r="CP5" s="48" t="s">
        <v>16</v>
      </c>
      <c r="CQ5" s="48" t="s">
        <v>17</v>
      </c>
      <c r="CR5" s="48" t="s">
        <v>18</v>
      </c>
      <c r="CS5" s="48"/>
      <c r="CT5" s="49" t="s">
        <v>32</v>
      </c>
      <c r="CU5" s="48" t="s">
        <v>13</v>
      </c>
      <c r="CV5" s="48" t="s">
        <v>14</v>
      </c>
      <c r="CW5" s="48" t="s">
        <v>15</v>
      </c>
      <c r="CX5" s="48" t="s">
        <v>16</v>
      </c>
      <c r="CY5" s="48" t="s">
        <v>17</v>
      </c>
      <c r="CZ5" s="48" t="s">
        <v>18</v>
      </c>
      <c r="DA5" s="48"/>
      <c r="DB5" s="49" t="s">
        <v>32</v>
      </c>
      <c r="DC5" s="48" t="s">
        <v>13</v>
      </c>
      <c r="DD5" s="48" t="s">
        <v>14</v>
      </c>
      <c r="DE5" s="48" t="s">
        <v>15</v>
      </c>
      <c r="DF5" s="48" t="s">
        <v>16</v>
      </c>
      <c r="DG5" s="48" t="s">
        <v>17</v>
      </c>
      <c r="DH5" s="48" t="s">
        <v>18</v>
      </c>
      <c r="DI5" s="48"/>
      <c r="DJ5" s="49" t="s">
        <v>32</v>
      </c>
      <c r="DK5" s="48" t="s">
        <v>13</v>
      </c>
      <c r="DL5" s="48" t="s">
        <v>14</v>
      </c>
      <c r="DM5" s="48" t="s">
        <v>15</v>
      </c>
      <c r="DN5" s="48" t="s">
        <v>16</v>
      </c>
      <c r="DO5" s="48" t="s">
        <v>17</v>
      </c>
      <c r="DP5" s="48" t="s">
        <v>18</v>
      </c>
      <c r="DQ5" s="48"/>
      <c r="DR5" s="49" t="s">
        <v>32</v>
      </c>
      <c r="DS5" s="48" t="s">
        <v>13</v>
      </c>
      <c r="DT5" s="48" t="s">
        <v>14</v>
      </c>
      <c r="DU5" s="48" t="s">
        <v>15</v>
      </c>
      <c r="DV5" s="48" t="s">
        <v>16</v>
      </c>
      <c r="DW5" s="48" t="s">
        <v>17</v>
      </c>
      <c r="DX5" s="48" t="s">
        <v>18</v>
      </c>
      <c r="DY5" s="46"/>
      <c r="DZ5" s="49" t="s">
        <v>32</v>
      </c>
      <c r="EA5" s="48" t="s">
        <v>13</v>
      </c>
      <c r="EB5" s="48" t="s">
        <v>14</v>
      </c>
      <c r="EC5" s="48" t="s">
        <v>15</v>
      </c>
      <c r="ED5" s="48" t="s">
        <v>16</v>
      </c>
      <c r="EE5" s="48" t="s">
        <v>17</v>
      </c>
      <c r="EF5" s="48" t="s">
        <v>18</v>
      </c>
      <c r="EG5" s="48"/>
      <c r="EH5" s="49" t="s">
        <v>32</v>
      </c>
      <c r="EI5" s="48" t="s">
        <v>13</v>
      </c>
      <c r="EJ5" s="48" t="s">
        <v>14</v>
      </c>
      <c r="EK5" s="48" t="s">
        <v>15</v>
      </c>
      <c r="EL5" s="48" t="s">
        <v>16</v>
      </c>
      <c r="EM5" s="48" t="s">
        <v>17</v>
      </c>
      <c r="EN5" s="48" t="s">
        <v>18</v>
      </c>
      <c r="EO5" s="48"/>
      <c r="EP5" s="49" t="s">
        <v>32</v>
      </c>
      <c r="EQ5" s="48" t="s">
        <v>13</v>
      </c>
      <c r="ER5" s="48" t="s">
        <v>14</v>
      </c>
      <c r="ES5" s="48" t="s">
        <v>15</v>
      </c>
      <c r="ET5" s="48" t="s">
        <v>16</v>
      </c>
      <c r="EU5" s="48" t="s">
        <v>17</v>
      </c>
      <c r="EV5" s="48" t="s">
        <v>18</v>
      </c>
      <c r="EW5" s="48"/>
      <c r="EX5" s="49" t="s">
        <v>32</v>
      </c>
      <c r="EY5" s="48" t="s">
        <v>13</v>
      </c>
      <c r="EZ5" s="48" t="s">
        <v>14</v>
      </c>
      <c r="FA5" s="48" t="s">
        <v>15</v>
      </c>
      <c r="FB5" s="48" t="s">
        <v>16</v>
      </c>
      <c r="FC5" s="48" t="s">
        <v>17</v>
      </c>
      <c r="FD5" s="48" t="s">
        <v>18</v>
      </c>
      <c r="FE5" s="48"/>
      <c r="FF5" s="49" t="s">
        <v>32</v>
      </c>
      <c r="FG5" s="48" t="s">
        <v>13</v>
      </c>
      <c r="FH5" s="48" t="s">
        <v>14</v>
      </c>
      <c r="FI5" s="48" t="s">
        <v>15</v>
      </c>
      <c r="FJ5" s="48" t="s">
        <v>16</v>
      </c>
      <c r="FK5" s="48" t="s">
        <v>17</v>
      </c>
      <c r="FL5" s="48" t="s">
        <v>18</v>
      </c>
      <c r="FM5" s="46"/>
      <c r="FN5" s="49" t="s">
        <v>32</v>
      </c>
      <c r="FO5" s="48" t="s">
        <v>13</v>
      </c>
      <c r="FP5" s="48" t="s">
        <v>14</v>
      </c>
      <c r="FQ5" s="48" t="s">
        <v>15</v>
      </c>
      <c r="FR5" s="48" t="s">
        <v>16</v>
      </c>
      <c r="FS5" s="48" t="s">
        <v>17</v>
      </c>
      <c r="FT5" s="48" t="s">
        <v>18</v>
      </c>
      <c r="FU5" s="46"/>
      <c r="FV5" s="49" t="s">
        <v>32</v>
      </c>
      <c r="FW5" s="48" t="s">
        <v>13</v>
      </c>
      <c r="FX5" s="48" t="s">
        <v>14</v>
      </c>
      <c r="FY5" s="48" t="s">
        <v>15</v>
      </c>
      <c r="FZ5" s="48" t="s">
        <v>16</v>
      </c>
      <c r="GA5" s="48" t="s">
        <v>17</v>
      </c>
      <c r="GB5" s="48" t="s">
        <v>18</v>
      </c>
      <c r="GC5" s="48"/>
      <c r="GD5" s="46"/>
      <c r="GE5" s="49" t="s">
        <v>32</v>
      </c>
      <c r="GF5" s="48" t="s">
        <v>13</v>
      </c>
      <c r="GG5" s="48" t="s">
        <v>14</v>
      </c>
      <c r="GH5" s="48" t="s">
        <v>15</v>
      </c>
      <c r="GI5" s="48" t="s">
        <v>16</v>
      </c>
      <c r="GJ5" s="48" t="s">
        <v>17</v>
      </c>
      <c r="GK5" s="48" t="s">
        <v>18</v>
      </c>
      <c r="GM5" s="49" t="s">
        <v>32</v>
      </c>
      <c r="GN5" s="48" t="s">
        <v>13</v>
      </c>
      <c r="GO5" s="48" t="s">
        <v>14</v>
      </c>
      <c r="GP5" s="48" t="s">
        <v>15</v>
      </c>
      <c r="GQ5" s="48" t="s">
        <v>16</v>
      </c>
      <c r="GR5" s="48" t="s">
        <v>17</v>
      </c>
      <c r="GS5" s="48" t="s">
        <v>18</v>
      </c>
      <c r="GU5" s="255" t="s">
        <v>32</v>
      </c>
      <c r="GV5" s="254" t="s">
        <v>13</v>
      </c>
      <c r="GW5" s="254" t="s">
        <v>14</v>
      </c>
      <c r="GX5" s="254" t="s">
        <v>15</v>
      </c>
      <c r="GY5" s="254" t="s">
        <v>16</v>
      </c>
      <c r="GZ5" s="254" t="s">
        <v>17</v>
      </c>
      <c r="HA5" s="254" t="s">
        <v>18</v>
      </c>
      <c r="HB5" s="256"/>
      <c r="HC5" s="255" t="s">
        <v>32</v>
      </c>
      <c r="HD5" s="254" t="s">
        <v>13</v>
      </c>
      <c r="HE5" s="254" t="s">
        <v>14</v>
      </c>
      <c r="HF5" s="254" t="s">
        <v>15</v>
      </c>
      <c r="HG5" s="254" t="s">
        <v>16</v>
      </c>
      <c r="HH5" s="254" t="s">
        <v>17</v>
      </c>
      <c r="HI5" s="254" t="s">
        <v>18</v>
      </c>
      <c r="HJ5" s="254"/>
      <c r="HK5" s="255" t="s">
        <v>32</v>
      </c>
      <c r="HL5" s="254" t="s">
        <v>13</v>
      </c>
      <c r="HM5" s="254" t="s">
        <v>14</v>
      </c>
      <c r="HN5" s="254" t="s">
        <v>15</v>
      </c>
      <c r="HO5" s="254" t="s">
        <v>16</v>
      </c>
      <c r="HP5" s="254" t="s">
        <v>17</v>
      </c>
      <c r="HQ5" s="254" t="s">
        <v>18</v>
      </c>
      <c r="HR5" s="256"/>
      <c r="HS5" s="255" t="s">
        <v>32</v>
      </c>
      <c r="HT5" s="254" t="s">
        <v>13</v>
      </c>
      <c r="HU5" s="254" t="s">
        <v>14</v>
      </c>
      <c r="HV5" s="254" t="s">
        <v>15</v>
      </c>
      <c r="HW5" s="254" t="s">
        <v>16</v>
      </c>
      <c r="HX5" s="254" t="s">
        <v>17</v>
      </c>
      <c r="HY5" s="254" t="s">
        <v>18</v>
      </c>
      <c r="HZ5" s="48"/>
      <c r="IA5" s="255" t="s">
        <v>32</v>
      </c>
      <c r="IB5" s="254" t="s">
        <v>13</v>
      </c>
      <c r="IC5" s="254" t="s">
        <v>14</v>
      </c>
      <c r="ID5" s="254" t="s">
        <v>15</v>
      </c>
      <c r="IE5" s="254" t="s">
        <v>16</v>
      </c>
      <c r="IF5" s="254" t="s">
        <v>17</v>
      </c>
      <c r="IG5" s="254" t="s">
        <v>18</v>
      </c>
      <c r="IH5" s="48"/>
      <c r="II5" s="255" t="s">
        <v>32</v>
      </c>
      <c r="IJ5" s="254" t="s">
        <v>13</v>
      </c>
      <c r="IK5" s="254" t="s">
        <v>14</v>
      </c>
      <c r="IL5" s="254" t="s">
        <v>15</v>
      </c>
      <c r="IM5" s="254" t="s">
        <v>16</v>
      </c>
      <c r="IN5" s="254" t="s">
        <v>17</v>
      </c>
      <c r="IO5" s="254" t="s">
        <v>18</v>
      </c>
      <c r="IP5" s="256"/>
      <c r="IQ5" s="255" t="s">
        <v>32</v>
      </c>
      <c r="IR5" s="660" t="s">
        <v>13</v>
      </c>
      <c r="IS5" s="660" t="s">
        <v>14</v>
      </c>
      <c r="IT5" s="660" t="s">
        <v>15</v>
      </c>
      <c r="IU5" s="660" t="s">
        <v>16</v>
      </c>
      <c r="IV5" s="660" t="s">
        <v>17</v>
      </c>
      <c r="IW5" s="660" t="s">
        <v>18</v>
      </c>
      <c r="IX5" s="256"/>
      <c r="IY5" s="255" t="s">
        <v>32</v>
      </c>
      <c r="IZ5" s="660" t="s">
        <v>13</v>
      </c>
      <c r="JA5" s="660" t="s">
        <v>14</v>
      </c>
      <c r="JB5" s="660" t="s">
        <v>15</v>
      </c>
      <c r="JC5" s="660" t="s">
        <v>16</v>
      </c>
      <c r="JD5" s="660" t="s">
        <v>17</v>
      </c>
      <c r="JE5" s="660" t="s">
        <v>18</v>
      </c>
      <c r="JF5" s="256"/>
      <c r="JG5" s="255" t="s">
        <v>32</v>
      </c>
      <c r="JH5" s="254" t="s">
        <v>13</v>
      </c>
      <c r="JI5" s="254" t="s">
        <v>14</v>
      </c>
      <c r="JJ5" s="254" t="s">
        <v>15</v>
      </c>
      <c r="JK5" s="254" t="s">
        <v>16</v>
      </c>
      <c r="JL5" s="254" t="s">
        <v>17</v>
      </c>
      <c r="JM5" s="254" t="s">
        <v>18</v>
      </c>
      <c r="JN5" s="256"/>
      <c r="JO5" s="255" t="s">
        <v>32</v>
      </c>
      <c r="JP5" s="254" t="s">
        <v>13</v>
      </c>
      <c r="JQ5" s="254" t="s">
        <v>14</v>
      </c>
      <c r="JR5" s="254" t="s">
        <v>15</v>
      </c>
      <c r="JS5" s="254" t="s">
        <v>16</v>
      </c>
      <c r="JT5" s="254" t="s">
        <v>17</v>
      </c>
      <c r="JU5" s="254" t="s">
        <v>18</v>
      </c>
      <c r="JV5" s="256"/>
      <c r="JW5" s="255" t="s">
        <v>32</v>
      </c>
      <c r="JX5" s="254" t="s">
        <v>13</v>
      </c>
      <c r="JY5" s="254" t="s">
        <v>14</v>
      </c>
      <c r="JZ5" s="254" t="s">
        <v>15</v>
      </c>
      <c r="KA5" s="254" t="s">
        <v>16</v>
      </c>
      <c r="KB5" s="254" t="s">
        <v>17</v>
      </c>
      <c r="KC5" s="254" t="s">
        <v>18</v>
      </c>
      <c r="KD5" s="256"/>
      <c r="KE5" s="255" t="s">
        <v>32</v>
      </c>
      <c r="KF5" s="254" t="s">
        <v>13</v>
      </c>
      <c r="KG5" s="254" t="s">
        <v>14</v>
      </c>
      <c r="KH5" s="254" t="s">
        <v>15</v>
      </c>
      <c r="KI5" s="254" t="s">
        <v>16</v>
      </c>
      <c r="KJ5" s="254" t="s">
        <v>17</v>
      </c>
      <c r="KK5" s="254" t="s">
        <v>18</v>
      </c>
      <c r="KL5" s="256"/>
      <c r="KM5" s="255" t="s">
        <v>32</v>
      </c>
      <c r="KN5" s="254" t="s">
        <v>13</v>
      </c>
      <c r="KO5" s="254" t="s">
        <v>14</v>
      </c>
      <c r="KP5" s="254" t="s">
        <v>15</v>
      </c>
      <c r="KQ5" s="254" t="s">
        <v>16</v>
      </c>
      <c r="KR5" s="254" t="s">
        <v>17</v>
      </c>
      <c r="KS5" s="254" t="s">
        <v>18</v>
      </c>
      <c r="KT5" s="256"/>
      <c r="KU5" s="255" t="s">
        <v>32</v>
      </c>
      <c r="KV5" s="254" t="s">
        <v>13</v>
      </c>
      <c r="KW5" s="254" t="s">
        <v>14</v>
      </c>
      <c r="KX5" s="254" t="s">
        <v>15</v>
      </c>
      <c r="KY5" s="254" t="s">
        <v>16</v>
      </c>
      <c r="KZ5" s="254" t="s">
        <v>17</v>
      </c>
      <c r="LA5" s="254" t="s">
        <v>18</v>
      </c>
      <c r="LB5" s="256"/>
      <c r="LC5" s="255" t="s">
        <v>32</v>
      </c>
      <c r="LD5" s="254" t="s">
        <v>13</v>
      </c>
      <c r="LE5" s="254" t="s">
        <v>14</v>
      </c>
      <c r="LF5" s="254" t="s">
        <v>15</v>
      </c>
      <c r="LG5" s="254" t="s">
        <v>16</v>
      </c>
      <c r="LH5" s="254" t="s">
        <v>17</v>
      </c>
      <c r="LI5" s="254" t="s">
        <v>18</v>
      </c>
      <c r="LJ5" s="256"/>
      <c r="LK5" s="255" t="s">
        <v>32</v>
      </c>
      <c r="LL5" s="660" t="s">
        <v>13</v>
      </c>
      <c r="LM5" s="660" t="s">
        <v>14</v>
      </c>
      <c r="LN5" s="660" t="s">
        <v>15</v>
      </c>
      <c r="LO5" s="660" t="s">
        <v>16</v>
      </c>
      <c r="LP5" s="660" t="s">
        <v>17</v>
      </c>
      <c r="LQ5" s="660" t="s">
        <v>18</v>
      </c>
    </row>
    <row r="6" spans="1:329" s="43" customFormat="1" ht="10.5" customHeight="1" x14ac:dyDescent="0.2">
      <c r="A6" s="53"/>
      <c r="B6" s="53" t="s">
        <v>12</v>
      </c>
      <c r="C6" s="53" t="s">
        <v>12</v>
      </c>
      <c r="D6" s="53" t="s">
        <v>12</v>
      </c>
      <c r="E6" s="53" t="s">
        <v>12</v>
      </c>
      <c r="F6" s="53" t="s">
        <v>12</v>
      </c>
      <c r="G6" s="53" t="s">
        <v>12</v>
      </c>
      <c r="H6" s="53" t="s">
        <v>12</v>
      </c>
      <c r="I6" s="53"/>
      <c r="J6" s="53" t="s">
        <v>12</v>
      </c>
      <c r="K6" s="53" t="s">
        <v>12</v>
      </c>
      <c r="L6" s="53" t="s">
        <v>12</v>
      </c>
      <c r="M6" s="53" t="s">
        <v>12</v>
      </c>
      <c r="N6" s="53" t="s">
        <v>12</v>
      </c>
      <c r="O6" s="53" t="s">
        <v>12</v>
      </c>
      <c r="P6" s="53" t="s">
        <v>12</v>
      </c>
      <c r="Q6" s="53"/>
      <c r="R6" s="53" t="s">
        <v>12</v>
      </c>
      <c r="S6" s="53" t="s">
        <v>12</v>
      </c>
      <c r="T6" s="53" t="s">
        <v>12</v>
      </c>
      <c r="U6" s="53" t="s">
        <v>12</v>
      </c>
      <c r="V6" s="53" t="s">
        <v>12</v>
      </c>
      <c r="W6" s="53" t="s">
        <v>12</v>
      </c>
      <c r="X6" s="53" t="s">
        <v>12</v>
      </c>
      <c r="Y6" s="53"/>
      <c r="Z6" s="53" t="s">
        <v>12</v>
      </c>
      <c r="AA6" s="53" t="s">
        <v>12</v>
      </c>
      <c r="AB6" s="53" t="s">
        <v>12</v>
      </c>
      <c r="AC6" s="53" t="s">
        <v>12</v>
      </c>
      <c r="AD6" s="53" t="s">
        <v>12</v>
      </c>
      <c r="AE6" s="53" t="s">
        <v>12</v>
      </c>
      <c r="AF6" s="53" t="s">
        <v>12</v>
      </c>
      <c r="AG6" s="53"/>
      <c r="AH6" s="53" t="s">
        <v>12</v>
      </c>
      <c r="AI6" s="53" t="s">
        <v>12</v>
      </c>
      <c r="AJ6" s="53" t="s">
        <v>12</v>
      </c>
      <c r="AK6" s="53" t="s">
        <v>12</v>
      </c>
      <c r="AL6" s="53" t="s">
        <v>12</v>
      </c>
      <c r="AM6" s="53" t="s">
        <v>12</v>
      </c>
      <c r="AN6" s="53" t="s">
        <v>12</v>
      </c>
      <c r="AO6" s="53"/>
      <c r="AP6" s="53" t="s">
        <v>12</v>
      </c>
      <c r="AQ6" s="53" t="s">
        <v>12</v>
      </c>
      <c r="AR6" s="53" t="s">
        <v>12</v>
      </c>
      <c r="AS6" s="53" t="s">
        <v>12</v>
      </c>
      <c r="AT6" s="53" t="s">
        <v>12</v>
      </c>
      <c r="AU6" s="53" t="s">
        <v>12</v>
      </c>
      <c r="AV6" s="53" t="s">
        <v>12</v>
      </c>
      <c r="AW6" s="53"/>
      <c r="AX6" s="53" t="s">
        <v>12</v>
      </c>
      <c r="AY6" s="53" t="s">
        <v>12</v>
      </c>
      <c r="AZ6" s="53" t="s">
        <v>12</v>
      </c>
      <c r="BA6" s="53" t="s">
        <v>12</v>
      </c>
      <c r="BB6" s="53" t="s">
        <v>12</v>
      </c>
      <c r="BC6" s="53" t="s">
        <v>12</v>
      </c>
      <c r="BD6" s="53" t="s">
        <v>12</v>
      </c>
      <c r="BE6" s="53"/>
      <c r="BF6" s="53" t="s">
        <v>12</v>
      </c>
      <c r="BG6" s="53" t="s">
        <v>12</v>
      </c>
      <c r="BH6" s="53" t="s">
        <v>12</v>
      </c>
      <c r="BI6" s="53" t="s">
        <v>12</v>
      </c>
      <c r="BJ6" s="53" t="s">
        <v>12</v>
      </c>
      <c r="BK6" s="53" t="s">
        <v>12</v>
      </c>
      <c r="BL6" s="53" t="s">
        <v>12</v>
      </c>
      <c r="BM6" s="184"/>
      <c r="BN6" s="53" t="s">
        <v>12</v>
      </c>
      <c r="BO6" s="53" t="s">
        <v>12</v>
      </c>
      <c r="BP6" s="53" t="s">
        <v>12</v>
      </c>
      <c r="BQ6" s="53" t="s">
        <v>12</v>
      </c>
      <c r="BR6" s="53" t="s">
        <v>12</v>
      </c>
      <c r="BS6" s="53" t="s">
        <v>12</v>
      </c>
      <c r="BT6" s="53" t="s">
        <v>12</v>
      </c>
      <c r="BU6" s="53"/>
      <c r="BV6" s="53" t="s">
        <v>12</v>
      </c>
      <c r="BW6" s="53" t="s">
        <v>12</v>
      </c>
      <c r="BX6" s="53" t="s">
        <v>12</v>
      </c>
      <c r="BY6" s="53" t="s">
        <v>12</v>
      </c>
      <c r="BZ6" s="53" t="s">
        <v>12</v>
      </c>
      <c r="CA6" s="53" t="s">
        <v>12</v>
      </c>
      <c r="CB6" s="53" t="s">
        <v>12</v>
      </c>
      <c r="CC6" s="53"/>
      <c r="CD6" s="53" t="s">
        <v>12</v>
      </c>
      <c r="CE6" s="53" t="s">
        <v>12</v>
      </c>
      <c r="CF6" s="53" t="s">
        <v>12</v>
      </c>
      <c r="CG6" s="53" t="s">
        <v>12</v>
      </c>
      <c r="CH6" s="53" t="s">
        <v>12</v>
      </c>
      <c r="CI6" s="53" t="s">
        <v>12</v>
      </c>
      <c r="CJ6" s="53" t="s">
        <v>12</v>
      </c>
      <c r="CK6" s="184"/>
      <c r="CL6" s="53" t="s">
        <v>12</v>
      </c>
      <c r="CM6" s="53" t="s">
        <v>12</v>
      </c>
      <c r="CN6" s="53" t="s">
        <v>12</v>
      </c>
      <c r="CO6" s="53" t="s">
        <v>12</v>
      </c>
      <c r="CP6" s="53" t="s">
        <v>12</v>
      </c>
      <c r="CQ6" s="53" t="s">
        <v>12</v>
      </c>
      <c r="CR6" s="53" t="s">
        <v>12</v>
      </c>
      <c r="CS6" s="53"/>
      <c r="CT6" s="53" t="s">
        <v>12</v>
      </c>
      <c r="CU6" s="53" t="s">
        <v>12</v>
      </c>
      <c r="CV6" s="53" t="s">
        <v>12</v>
      </c>
      <c r="CW6" s="53" t="s">
        <v>12</v>
      </c>
      <c r="CX6" s="53" t="s">
        <v>12</v>
      </c>
      <c r="CY6" s="53" t="s">
        <v>12</v>
      </c>
      <c r="CZ6" s="53" t="s">
        <v>12</v>
      </c>
      <c r="DA6" s="53"/>
      <c r="DB6" s="53" t="s">
        <v>12</v>
      </c>
      <c r="DC6" s="53" t="s">
        <v>12</v>
      </c>
      <c r="DD6" s="53" t="s">
        <v>12</v>
      </c>
      <c r="DE6" s="53" t="s">
        <v>12</v>
      </c>
      <c r="DF6" s="53" t="s">
        <v>12</v>
      </c>
      <c r="DG6" s="53" t="s">
        <v>12</v>
      </c>
      <c r="DH6" s="53" t="s">
        <v>12</v>
      </c>
      <c r="DI6" s="53"/>
      <c r="DJ6" s="53" t="s">
        <v>12</v>
      </c>
      <c r="DK6" s="53" t="s">
        <v>12</v>
      </c>
      <c r="DL6" s="53" t="s">
        <v>12</v>
      </c>
      <c r="DM6" s="53" t="s">
        <v>12</v>
      </c>
      <c r="DN6" s="53" t="s">
        <v>12</v>
      </c>
      <c r="DO6" s="53" t="s">
        <v>12</v>
      </c>
      <c r="DP6" s="53" t="s">
        <v>12</v>
      </c>
      <c r="DQ6" s="53"/>
      <c r="DR6" s="53" t="s">
        <v>12</v>
      </c>
      <c r="DS6" s="53" t="s">
        <v>12</v>
      </c>
      <c r="DT6" s="53" t="s">
        <v>12</v>
      </c>
      <c r="DU6" s="53" t="s">
        <v>12</v>
      </c>
      <c r="DV6" s="53" t="s">
        <v>12</v>
      </c>
      <c r="DW6" s="53" t="s">
        <v>12</v>
      </c>
      <c r="DX6" s="53" t="s">
        <v>12</v>
      </c>
      <c r="DY6" s="184"/>
      <c r="DZ6" s="53" t="s">
        <v>12</v>
      </c>
      <c r="EA6" s="53" t="s">
        <v>12</v>
      </c>
      <c r="EB6" s="53" t="s">
        <v>12</v>
      </c>
      <c r="EC6" s="53" t="s">
        <v>12</v>
      </c>
      <c r="ED6" s="53" t="s">
        <v>12</v>
      </c>
      <c r="EE6" s="53" t="s">
        <v>12</v>
      </c>
      <c r="EF6" s="53" t="s">
        <v>12</v>
      </c>
      <c r="EG6" s="53"/>
      <c r="EH6" s="53" t="s">
        <v>12</v>
      </c>
      <c r="EI6" s="53" t="s">
        <v>12</v>
      </c>
      <c r="EJ6" s="53" t="s">
        <v>12</v>
      </c>
      <c r="EK6" s="53" t="s">
        <v>12</v>
      </c>
      <c r="EL6" s="53" t="s">
        <v>12</v>
      </c>
      <c r="EM6" s="53" t="s">
        <v>12</v>
      </c>
      <c r="EN6" s="53" t="s">
        <v>12</v>
      </c>
      <c r="EO6" s="53"/>
      <c r="EP6" s="53" t="s">
        <v>12</v>
      </c>
      <c r="EQ6" s="53" t="s">
        <v>12</v>
      </c>
      <c r="ER6" s="53" t="s">
        <v>12</v>
      </c>
      <c r="ES6" s="53" t="s">
        <v>12</v>
      </c>
      <c r="ET6" s="53" t="s">
        <v>12</v>
      </c>
      <c r="EU6" s="53" t="s">
        <v>12</v>
      </c>
      <c r="EV6" s="53" t="s">
        <v>12</v>
      </c>
      <c r="EW6" s="53"/>
      <c r="EX6" s="53" t="s">
        <v>12</v>
      </c>
      <c r="EY6" s="53" t="s">
        <v>12</v>
      </c>
      <c r="EZ6" s="53" t="s">
        <v>12</v>
      </c>
      <c r="FA6" s="53" t="s">
        <v>12</v>
      </c>
      <c r="FB6" s="53" t="s">
        <v>12</v>
      </c>
      <c r="FC6" s="53" t="s">
        <v>12</v>
      </c>
      <c r="FD6" s="53" t="s">
        <v>12</v>
      </c>
      <c r="FE6" s="53"/>
      <c r="FF6" s="53" t="s">
        <v>12</v>
      </c>
      <c r="FG6" s="53" t="s">
        <v>12</v>
      </c>
      <c r="FH6" s="53" t="s">
        <v>12</v>
      </c>
      <c r="FI6" s="53" t="s">
        <v>12</v>
      </c>
      <c r="FJ6" s="53" t="s">
        <v>12</v>
      </c>
      <c r="FK6" s="53" t="s">
        <v>12</v>
      </c>
      <c r="FL6" s="53" t="s">
        <v>12</v>
      </c>
      <c r="FM6" s="184"/>
      <c r="FN6" s="53" t="s">
        <v>12</v>
      </c>
      <c r="FO6" s="53" t="s">
        <v>12</v>
      </c>
      <c r="FP6" s="53" t="s">
        <v>12</v>
      </c>
      <c r="FQ6" s="53" t="s">
        <v>12</v>
      </c>
      <c r="FR6" s="53" t="s">
        <v>12</v>
      </c>
      <c r="FS6" s="53" t="s">
        <v>12</v>
      </c>
      <c r="FT6" s="53" t="s">
        <v>12</v>
      </c>
      <c r="FU6" s="184"/>
      <c r="FV6" s="53" t="s">
        <v>12</v>
      </c>
      <c r="FW6" s="53" t="s">
        <v>12</v>
      </c>
      <c r="FX6" s="53" t="s">
        <v>12</v>
      </c>
      <c r="FY6" s="53" t="s">
        <v>12</v>
      </c>
      <c r="FZ6" s="53" t="s">
        <v>12</v>
      </c>
      <c r="GA6" s="53" t="s">
        <v>12</v>
      </c>
      <c r="GB6" s="53" t="s">
        <v>12</v>
      </c>
      <c r="GC6" s="53"/>
      <c r="GD6" s="184"/>
      <c r="GE6" s="53" t="s">
        <v>12</v>
      </c>
      <c r="GF6" s="53" t="s">
        <v>12</v>
      </c>
      <c r="GG6" s="53" t="s">
        <v>12</v>
      </c>
      <c r="GH6" s="53" t="s">
        <v>12</v>
      </c>
      <c r="GI6" s="53" t="s">
        <v>12</v>
      </c>
      <c r="GJ6" s="53" t="s">
        <v>12</v>
      </c>
      <c r="GK6" s="53" t="s">
        <v>12</v>
      </c>
      <c r="GM6" s="53" t="s">
        <v>12</v>
      </c>
      <c r="GN6" s="53" t="s">
        <v>12</v>
      </c>
      <c r="GO6" s="53" t="s">
        <v>12</v>
      </c>
      <c r="GP6" s="53" t="s">
        <v>12</v>
      </c>
      <c r="GQ6" s="53" t="s">
        <v>12</v>
      </c>
      <c r="GR6" s="53" t="s">
        <v>12</v>
      </c>
      <c r="GS6" s="53" t="s">
        <v>12</v>
      </c>
      <c r="GU6" s="257" t="s">
        <v>12</v>
      </c>
      <c r="GV6" s="257" t="s">
        <v>12</v>
      </c>
      <c r="GW6" s="257" t="s">
        <v>12</v>
      </c>
      <c r="GX6" s="257" t="s">
        <v>12</v>
      </c>
      <c r="GY6" s="257" t="s">
        <v>12</v>
      </c>
      <c r="GZ6" s="257" t="s">
        <v>12</v>
      </c>
      <c r="HA6" s="257" t="s">
        <v>12</v>
      </c>
      <c r="HB6" s="256"/>
      <c r="HC6" s="257" t="s">
        <v>12</v>
      </c>
      <c r="HD6" s="257" t="s">
        <v>12</v>
      </c>
      <c r="HE6" s="257" t="s">
        <v>12</v>
      </c>
      <c r="HF6" s="257" t="s">
        <v>12</v>
      </c>
      <c r="HG6" s="257" t="s">
        <v>12</v>
      </c>
      <c r="HH6" s="257" t="s">
        <v>12</v>
      </c>
      <c r="HI6" s="257" t="s">
        <v>12</v>
      </c>
      <c r="HJ6" s="49"/>
      <c r="HK6" s="257" t="s">
        <v>12</v>
      </c>
      <c r="HL6" s="257" t="s">
        <v>12</v>
      </c>
      <c r="HM6" s="257" t="s">
        <v>12</v>
      </c>
      <c r="HN6" s="257" t="s">
        <v>12</v>
      </c>
      <c r="HO6" s="257" t="s">
        <v>12</v>
      </c>
      <c r="HP6" s="257" t="s">
        <v>12</v>
      </c>
      <c r="HQ6" s="257" t="s">
        <v>12</v>
      </c>
      <c r="HR6" s="256"/>
      <c r="HS6" s="257" t="s">
        <v>12</v>
      </c>
      <c r="HT6" s="257" t="s">
        <v>12</v>
      </c>
      <c r="HU6" s="257" t="s">
        <v>12</v>
      </c>
      <c r="HV6" s="257" t="s">
        <v>12</v>
      </c>
      <c r="HW6" s="257" t="s">
        <v>12</v>
      </c>
      <c r="HX6" s="257" t="s">
        <v>12</v>
      </c>
      <c r="HY6" s="257" t="s">
        <v>12</v>
      </c>
      <c r="HZ6" s="49"/>
      <c r="IA6" s="257" t="s">
        <v>12</v>
      </c>
      <c r="IB6" s="257" t="s">
        <v>12</v>
      </c>
      <c r="IC6" s="257" t="s">
        <v>12</v>
      </c>
      <c r="ID6" s="257" t="s">
        <v>12</v>
      </c>
      <c r="IE6" s="257" t="s">
        <v>12</v>
      </c>
      <c r="IF6" s="257" t="s">
        <v>12</v>
      </c>
      <c r="IG6" s="257" t="s">
        <v>12</v>
      </c>
      <c r="IH6" s="49"/>
      <c r="II6" s="257" t="s">
        <v>12</v>
      </c>
      <c r="IJ6" s="257" t="s">
        <v>12</v>
      </c>
      <c r="IK6" s="257" t="s">
        <v>12</v>
      </c>
      <c r="IL6" s="257" t="s">
        <v>12</v>
      </c>
      <c r="IM6" s="257" t="s">
        <v>12</v>
      </c>
      <c r="IN6" s="257" t="s">
        <v>12</v>
      </c>
      <c r="IO6" s="257" t="s">
        <v>12</v>
      </c>
      <c r="IP6" s="256"/>
      <c r="IQ6" s="701" t="s">
        <v>12</v>
      </c>
      <c r="IR6" s="701" t="s">
        <v>12</v>
      </c>
      <c r="IS6" s="701" t="s">
        <v>12</v>
      </c>
      <c r="IT6" s="701" t="s">
        <v>12</v>
      </c>
      <c r="IU6" s="701" t="s">
        <v>12</v>
      </c>
      <c r="IV6" s="701" t="s">
        <v>12</v>
      </c>
      <c r="IW6" s="701" t="s">
        <v>12</v>
      </c>
      <c r="IX6" s="256"/>
      <c r="IY6" s="701" t="s">
        <v>12</v>
      </c>
      <c r="IZ6" s="701" t="s">
        <v>12</v>
      </c>
      <c r="JA6" s="701" t="s">
        <v>12</v>
      </c>
      <c r="JB6" s="701" t="s">
        <v>12</v>
      </c>
      <c r="JC6" s="701" t="s">
        <v>12</v>
      </c>
      <c r="JD6" s="701" t="s">
        <v>12</v>
      </c>
      <c r="JE6" s="701" t="s">
        <v>12</v>
      </c>
      <c r="JF6" s="256"/>
      <c r="JG6" s="257" t="s">
        <v>12</v>
      </c>
      <c r="JH6" s="257" t="s">
        <v>12</v>
      </c>
      <c r="JI6" s="257" t="s">
        <v>12</v>
      </c>
      <c r="JJ6" s="257" t="s">
        <v>12</v>
      </c>
      <c r="JK6" s="257" t="s">
        <v>12</v>
      </c>
      <c r="JL6" s="257" t="s">
        <v>12</v>
      </c>
      <c r="JM6" s="257" t="s">
        <v>12</v>
      </c>
      <c r="JN6" s="256"/>
      <c r="JO6" s="257" t="s">
        <v>12</v>
      </c>
      <c r="JP6" s="257" t="s">
        <v>12</v>
      </c>
      <c r="JQ6" s="257" t="s">
        <v>12</v>
      </c>
      <c r="JR6" s="257" t="s">
        <v>12</v>
      </c>
      <c r="JS6" s="257" t="s">
        <v>12</v>
      </c>
      <c r="JT6" s="257" t="s">
        <v>12</v>
      </c>
      <c r="JU6" s="257" t="s">
        <v>12</v>
      </c>
      <c r="JV6" s="256"/>
      <c r="JW6" s="257" t="s">
        <v>12</v>
      </c>
      <c r="JX6" s="257" t="s">
        <v>12</v>
      </c>
      <c r="JY6" s="257" t="s">
        <v>12</v>
      </c>
      <c r="JZ6" s="257" t="s">
        <v>12</v>
      </c>
      <c r="KA6" s="257" t="s">
        <v>12</v>
      </c>
      <c r="KB6" s="257" t="s">
        <v>12</v>
      </c>
      <c r="KC6" s="257" t="s">
        <v>12</v>
      </c>
      <c r="KD6" s="256"/>
      <c r="KE6" s="257" t="s">
        <v>12</v>
      </c>
      <c r="KF6" s="257" t="s">
        <v>12</v>
      </c>
      <c r="KG6" s="257" t="s">
        <v>12</v>
      </c>
      <c r="KH6" s="257" t="s">
        <v>12</v>
      </c>
      <c r="KI6" s="257" t="s">
        <v>12</v>
      </c>
      <c r="KJ6" s="257" t="s">
        <v>12</v>
      </c>
      <c r="KK6" s="257" t="s">
        <v>12</v>
      </c>
      <c r="KL6" s="256"/>
      <c r="KM6" s="257" t="s">
        <v>12</v>
      </c>
      <c r="KN6" s="257" t="s">
        <v>12</v>
      </c>
      <c r="KO6" s="257" t="s">
        <v>12</v>
      </c>
      <c r="KP6" s="257" t="s">
        <v>12</v>
      </c>
      <c r="KQ6" s="257" t="s">
        <v>12</v>
      </c>
      <c r="KR6" s="257" t="s">
        <v>12</v>
      </c>
      <c r="KS6" s="257" t="s">
        <v>12</v>
      </c>
      <c r="KT6" s="256"/>
      <c r="KU6" s="257" t="s">
        <v>12</v>
      </c>
      <c r="KV6" s="257" t="s">
        <v>12</v>
      </c>
      <c r="KW6" s="257" t="s">
        <v>12</v>
      </c>
      <c r="KX6" s="257" t="s">
        <v>12</v>
      </c>
      <c r="KY6" s="257" t="s">
        <v>12</v>
      </c>
      <c r="KZ6" s="257" t="s">
        <v>12</v>
      </c>
      <c r="LA6" s="257" t="s">
        <v>12</v>
      </c>
      <c r="LB6" s="256"/>
      <c r="LC6" s="257" t="s">
        <v>12</v>
      </c>
      <c r="LD6" s="257" t="s">
        <v>12</v>
      </c>
      <c r="LE6" s="257" t="s">
        <v>12</v>
      </c>
      <c r="LF6" s="257" t="s">
        <v>12</v>
      </c>
      <c r="LG6" s="257" t="s">
        <v>12</v>
      </c>
      <c r="LH6" s="257" t="s">
        <v>12</v>
      </c>
      <c r="LI6" s="257" t="s">
        <v>12</v>
      </c>
      <c r="LJ6" s="256"/>
      <c r="LK6" s="701" t="s">
        <v>12</v>
      </c>
      <c r="LL6" s="701" t="s">
        <v>12</v>
      </c>
      <c r="LM6" s="701" t="s">
        <v>12</v>
      </c>
      <c r="LN6" s="701" t="s">
        <v>12</v>
      </c>
      <c r="LO6" s="701" t="s">
        <v>12</v>
      </c>
      <c r="LP6" s="701" t="s">
        <v>12</v>
      </c>
      <c r="LQ6" s="701" t="s">
        <v>12</v>
      </c>
    </row>
    <row r="7" spans="1:329" ht="4.5" customHeight="1" x14ac:dyDescent="0.3">
      <c r="A7" s="23"/>
      <c r="B7" s="54"/>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GE7" s="54"/>
      <c r="GF7" s="54"/>
      <c r="GG7" s="54"/>
      <c r="GH7" s="54"/>
      <c r="GI7" s="54"/>
      <c r="GJ7" s="54"/>
      <c r="GK7" s="54"/>
      <c r="GM7" s="54"/>
      <c r="GN7" s="54"/>
      <c r="GO7" s="54"/>
      <c r="GP7" s="54"/>
      <c r="GQ7" s="54"/>
      <c r="GR7" s="54"/>
      <c r="GS7" s="54"/>
      <c r="GU7" s="459"/>
      <c r="GV7" s="459"/>
      <c r="GW7" s="459"/>
      <c r="GX7" s="459"/>
      <c r="GY7" s="459"/>
      <c r="GZ7" s="459"/>
      <c r="HA7" s="459"/>
      <c r="HB7" s="459"/>
      <c r="HC7" s="459"/>
      <c r="HD7" s="459"/>
      <c r="HE7" s="459"/>
      <c r="HF7" s="459"/>
      <c r="HG7" s="459"/>
      <c r="HH7" s="459"/>
      <c r="HI7" s="459"/>
      <c r="HK7" s="459"/>
      <c r="HL7" s="459"/>
      <c r="HM7" s="459"/>
      <c r="HN7" s="459"/>
      <c r="HO7" s="459"/>
      <c r="HP7" s="459"/>
      <c r="HQ7" s="459"/>
      <c r="HR7" s="459"/>
      <c r="HS7" s="459"/>
      <c r="HT7" s="459"/>
      <c r="HU7" s="459"/>
      <c r="HV7" s="459"/>
      <c r="HW7" s="459"/>
      <c r="HX7" s="459"/>
      <c r="HY7" s="459"/>
      <c r="IA7" s="459"/>
      <c r="IB7" s="459"/>
      <c r="IC7" s="459"/>
      <c r="ID7" s="459"/>
      <c r="IE7" s="459"/>
      <c r="IF7" s="459"/>
      <c r="IG7" s="459"/>
      <c r="II7" s="459"/>
      <c r="IJ7" s="459"/>
      <c r="IK7" s="459"/>
      <c r="IL7" s="459"/>
      <c r="IM7" s="459"/>
      <c r="IN7" s="459"/>
      <c r="IO7" s="459"/>
      <c r="IP7" s="655"/>
      <c r="IQ7" s="655"/>
      <c r="IR7" s="655"/>
      <c r="IS7" s="655"/>
      <c r="IT7" s="655"/>
      <c r="IU7" s="655"/>
      <c r="IV7" s="655"/>
      <c r="IW7" s="655"/>
      <c r="IX7" s="655"/>
      <c r="IY7" s="655"/>
      <c r="IZ7" s="655"/>
      <c r="JA7" s="655"/>
      <c r="JB7" s="655"/>
      <c r="JC7" s="655"/>
      <c r="JD7" s="655"/>
      <c r="JE7" s="655"/>
      <c r="JF7" s="459"/>
      <c r="JG7" s="492"/>
      <c r="JH7" s="492"/>
      <c r="JI7" s="492"/>
      <c r="JJ7" s="492"/>
      <c r="JK7" s="492"/>
      <c r="JL7" s="492"/>
      <c r="JM7" s="492"/>
      <c r="JN7" s="492"/>
      <c r="JO7" s="492"/>
      <c r="JP7" s="492"/>
      <c r="JQ7" s="492"/>
      <c r="JR7" s="492"/>
      <c r="JS7" s="492"/>
      <c r="JT7" s="492"/>
      <c r="JU7" s="492"/>
      <c r="JV7" s="492"/>
      <c r="JW7" s="492"/>
      <c r="JX7" s="492"/>
      <c r="JY7" s="492"/>
      <c r="JZ7" s="492"/>
      <c r="KA7" s="492"/>
      <c r="KB7" s="492"/>
      <c r="KC7" s="492"/>
      <c r="KD7" s="492"/>
      <c r="KE7" s="492"/>
      <c r="KF7" s="492"/>
      <c r="KG7" s="492"/>
      <c r="KH7" s="492"/>
      <c r="KI7" s="492"/>
      <c r="KJ7" s="492"/>
      <c r="KK7" s="492"/>
      <c r="KL7" s="492"/>
      <c r="KM7" s="492"/>
      <c r="KN7" s="492"/>
      <c r="KO7" s="492"/>
      <c r="KP7" s="492"/>
      <c r="KQ7" s="492"/>
      <c r="KR7" s="492"/>
      <c r="KS7" s="492"/>
      <c r="KT7" s="492"/>
      <c r="KU7" s="492"/>
      <c r="KV7" s="492"/>
      <c r="KW7" s="492"/>
      <c r="KX7" s="492"/>
      <c r="KY7" s="492"/>
      <c r="KZ7" s="492"/>
      <c r="LA7" s="492"/>
    </row>
    <row r="8" spans="1:329" s="43" customFormat="1" ht="9.75" customHeight="1" x14ac:dyDescent="0.2">
      <c r="A8" s="48">
        <v>1960</v>
      </c>
      <c r="B8" s="47">
        <v>316266.60926</v>
      </c>
      <c r="C8" s="47">
        <v>100321.99441699999</v>
      </c>
      <c r="D8" s="47">
        <v>65867.373427999992</v>
      </c>
      <c r="E8" s="47">
        <v>26283.255964999997</v>
      </c>
      <c r="F8" s="47">
        <v>17576.264674599999</v>
      </c>
      <c r="G8" s="47">
        <v>6788.9698955999993</v>
      </c>
      <c r="H8" s="47">
        <v>1872.9545499999999</v>
      </c>
      <c r="I8" s="47"/>
      <c r="J8" s="47">
        <v>479858.94903999998</v>
      </c>
      <c r="K8" s="47">
        <v>165573.82846680001</v>
      </c>
      <c r="L8" s="47">
        <v>115494.0025298</v>
      </c>
      <c r="M8" s="47">
        <v>52969.751438799998</v>
      </c>
      <c r="N8" s="47">
        <v>38908.983031800002</v>
      </c>
      <c r="O8" s="47">
        <v>19227.703706799999</v>
      </c>
      <c r="P8" s="47">
        <v>7111.2714927999996</v>
      </c>
      <c r="Q8" s="47"/>
      <c r="R8" s="47">
        <v>504286.94903999998</v>
      </c>
      <c r="S8" s="47">
        <v>166856.22851680001</v>
      </c>
      <c r="T8" s="47">
        <v>116242.8723898</v>
      </c>
      <c r="U8" s="47">
        <v>53189.974858800007</v>
      </c>
      <c r="V8" s="47">
        <v>39029.762151799994</v>
      </c>
      <c r="W8" s="47">
        <v>19249.2916768</v>
      </c>
      <c r="X8" s="47">
        <v>7113.8862128000001</v>
      </c>
      <c r="Y8" s="47"/>
      <c r="Z8" s="47">
        <v>479858.69988999999</v>
      </c>
      <c r="AA8" s="47">
        <v>133663.88289860002</v>
      </c>
      <c r="AB8" s="47">
        <v>89195.228459599995</v>
      </c>
      <c r="AC8" s="47">
        <v>37903.788946599991</v>
      </c>
      <c r="AD8" s="47">
        <v>26801.308809599999</v>
      </c>
      <c r="AE8" s="47">
        <v>12284.7778186</v>
      </c>
      <c r="AF8" s="47">
        <v>4220.2681204</v>
      </c>
      <c r="AG8" s="47"/>
      <c r="AH8" s="47">
        <v>321979.13879</v>
      </c>
      <c r="AI8" s="47">
        <v>102747.1632735</v>
      </c>
      <c r="AJ8" s="47">
        <v>67278.824433500005</v>
      </c>
      <c r="AK8" s="47">
        <v>26777.161477499998</v>
      </c>
      <c r="AL8" s="47">
        <v>17910.688350799999</v>
      </c>
      <c r="AM8" s="47">
        <v>6927.7981028000004</v>
      </c>
      <c r="AN8" s="47">
        <v>1918.4591774</v>
      </c>
      <c r="AO8" s="47"/>
      <c r="AP8" s="47">
        <v>322292.13879</v>
      </c>
      <c r="AQ8" s="47">
        <v>102922.4432735</v>
      </c>
      <c r="AR8" s="47">
        <v>67454.104433500004</v>
      </c>
      <c r="AS8" s="47">
        <v>26930.531477499997</v>
      </c>
      <c r="AT8" s="47">
        <v>18045.278350799999</v>
      </c>
      <c r="AU8" s="47">
        <v>7012.3081027999997</v>
      </c>
      <c r="AV8" s="47">
        <v>1959.1491774000001</v>
      </c>
      <c r="AW8" s="47"/>
      <c r="AX8" s="47">
        <v>323626.13879</v>
      </c>
      <c r="AY8" s="47">
        <v>104155.45947350001</v>
      </c>
      <c r="AZ8" s="47">
        <v>68687.120633500002</v>
      </c>
      <c r="BA8" s="47">
        <v>28025.745477500001</v>
      </c>
      <c r="BB8" s="47">
        <v>18905.7083508</v>
      </c>
      <c r="BC8" s="47">
        <v>7421.5793027999998</v>
      </c>
      <c r="BD8" s="47">
        <v>2098.0185774000001</v>
      </c>
      <c r="BE8" s="47"/>
      <c r="BF8" s="44">
        <v>324649.77486</v>
      </c>
      <c r="BG8" s="44">
        <v>104665.3118011</v>
      </c>
      <c r="BH8" s="44">
        <v>69095.595714099996</v>
      </c>
      <c r="BI8" s="44">
        <v>28218.756742100002</v>
      </c>
      <c r="BJ8" s="44">
        <v>19024.154119400002</v>
      </c>
      <c r="BK8" s="44">
        <v>7441.0405994000002</v>
      </c>
      <c r="BL8" s="44">
        <v>2091.9113293</v>
      </c>
      <c r="BN8" s="44">
        <v>324649.77486</v>
      </c>
      <c r="BO8" s="44">
        <v>100047.5143948</v>
      </c>
      <c r="BP8" s="44">
        <v>65138.937185800009</v>
      </c>
      <c r="BQ8" s="44">
        <v>25561.242003799998</v>
      </c>
      <c r="BR8" s="44">
        <v>17422.1579246</v>
      </c>
      <c r="BS8" s="44">
        <v>7144.0853986000002</v>
      </c>
      <c r="BT8" s="44">
        <v>2103.0753728999998</v>
      </c>
      <c r="BU8" s="44"/>
      <c r="BV8" s="47">
        <v>326102.17186</v>
      </c>
      <c r="BW8" s="47">
        <v>101253.00390479999</v>
      </c>
      <c r="BX8" s="47">
        <v>66222.425347800003</v>
      </c>
      <c r="BY8" s="47">
        <v>26317.940840800002</v>
      </c>
      <c r="BZ8" s="47">
        <v>18042.3314436</v>
      </c>
      <c r="CA8" s="47">
        <v>7511.5418396000005</v>
      </c>
      <c r="CB8" s="47">
        <v>2232.3387059000001</v>
      </c>
      <c r="CC8" s="44"/>
      <c r="CD8" s="47">
        <v>344634.17186</v>
      </c>
      <c r="CE8" s="47">
        <v>115290.2882107</v>
      </c>
      <c r="CF8" s="47">
        <v>79023.283267699997</v>
      </c>
      <c r="CG8" s="47">
        <v>35963.405543699999</v>
      </c>
      <c r="CH8" s="47">
        <v>26164.2957026</v>
      </c>
      <c r="CI8" s="47">
        <v>12567.5531876</v>
      </c>
      <c r="CJ8" s="47">
        <v>4539.8953989000001</v>
      </c>
      <c r="CL8" s="47">
        <v>366519.17186</v>
      </c>
      <c r="CM8" s="47">
        <v>128990.29821089999</v>
      </c>
      <c r="CN8" s="47">
        <v>90622.333267899987</v>
      </c>
      <c r="CO8" s="47">
        <v>43229.2255439</v>
      </c>
      <c r="CP8" s="47">
        <v>32095.130702900002</v>
      </c>
      <c r="CQ8" s="47">
        <v>16134.8081879</v>
      </c>
      <c r="CR8" s="47">
        <v>6028.0753989000004</v>
      </c>
      <c r="CS8" s="47"/>
      <c r="CT8" s="47">
        <v>375318.17186</v>
      </c>
      <c r="CU8" s="47">
        <v>135334.37721090001</v>
      </c>
      <c r="CV8" s="47">
        <v>96156.904267899998</v>
      </c>
      <c r="CW8" s="47">
        <v>46546.448543899998</v>
      </c>
      <c r="CX8" s="47">
        <v>34655.6397029</v>
      </c>
      <c r="CY8" s="47">
        <v>17551.447187899998</v>
      </c>
      <c r="CZ8" s="47">
        <v>6600.0103988999999</v>
      </c>
      <c r="DA8" s="47"/>
      <c r="DB8" s="47">
        <v>375318.17186</v>
      </c>
      <c r="DC8" s="47">
        <v>135735.27721090001</v>
      </c>
      <c r="DD8" s="47">
        <v>96513.404267899998</v>
      </c>
      <c r="DE8" s="47">
        <v>46876.548543900004</v>
      </c>
      <c r="DF8" s="47">
        <v>34951.939702900003</v>
      </c>
      <c r="DG8" s="47">
        <v>17778.647187900002</v>
      </c>
      <c r="DH8" s="47">
        <v>6695.3103989000001</v>
      </c>
      <c r="DI8" s="47"/>
      <c r="DJ8" s="47">
        <v>399230.61385999998</v>
      </c>
      <c r="DK8" s="47">
        <v>143118.21426130002</v>
      </c>
      <c r="DL8" s="47">
        <v>102274.23401829999</v>
      </c>
      <c r="DM8" s="47">
        <v>49707.199761299998</v>
      </c>
      <c r="DN8" s="47">
        <v>36952.517440299998</v>
      </c>
      <c r="DO8" s="47">
        <v>18588.763946300001</v>
      </c>
      <c r="DP8" s="47">
        <v>6672.0167313000002</v>
      </c>
      <c r="DQ8" s="47"/>
      <c r="DR8" s="47">
        <v>417662.61383329693</v>
      </c>
      <c r="DS8" s="47">
        <v>150290.78918931287</v>
      </c>
      <c r="DT8" s="47">
        <v>106968.04526893432</v>
      </c>
      <c r="DU8" s="47">
        <v>51090.411020561893</v>
      </c>
      <c r="DV8" s="47">
        <v>37777.249154030011</v>
      </c>
      <c r="DW8" s="47">
        <v>18886.823602528133</v>
      </c>
      <c r="DX8" s="47">
        <v>6790.2500371999931</v>
      </c>
      <c r="DY8" s="297"/>
      <c r="DZ8" s="47">
        <v>426912.61403640191</v>
      </c>
      <c r="EA8" s="47">
        <v>151949.42624634059</v>
      </c>
      <c r="EB8" s="47">
        <v>107728.39392290407</v>
      </c>
      <c r="EC8" s="47">
        <v>51184.012399248917</v>
      </c>
      <c r="ED8" s="47">
        <v>37838.402897575099</v>
      </c>
      <c r="EE8" s="47">
        <v>18897.371804726903</v>
      </c>
      <c r="EF8" s="47">
        <v>6790.649705494222</v>
      </c>
      <c r="EG8" s="542"/>
      <c r="EH8" s="47">
        <v>433307.61403640721</v>
      </c>
      <c r="EI8" s="47">
        <v>154010.64194044226</v>
      </c>
      <c r="EJ8" s="47">
        <v>108816.26092258976</v>
      </c>
      <c r="EK8" s="47">
        <v>51334.835177866669</v>
      </c>
      <c r="EL8" s="47">
        <v>37916.864735128918</v>
      </c>
      <c r="EM8" s="47">
        <v>18926.747428012593</v>
      </c>
      <c r="EN8" s="47">
        <v>7024.1564322651238</v>
      </c>
      <c r="EO8" s="47"/>
      <c r="EP8" s="47">
        <v>448405.94903999998</v>
      </c>
      <c r="EQ8" s="47">
        <v>157832.24982550001</v>
      </c>
      <c r="ER8" s="47">
        <v>110979.39731849999</v>
      </c>
      <c r="ES8" s="47">
        <v>51816.596379499999</v>
      </c>
      <c r="ET8" s="47">
        <v>38264.6576995</v>
      </c>
      <c r="EU8" s="47">
        <v>18993.605427499999</v>
      </c>
      <c r="EV8" s="47">
        <v>7024.4733994999997</v>
      </c>
      <c r="EW8" s="47"/>
      <c r="EX8" s="47">
        <v>479858.94903999998</v>
      </c>
      <c r="EY8" s="47">
        <v>165573.82846680001</v>
      </c>
      <c r="EZ8" s="47">
        <v>115494.0025298</v>
      </c>
      <c r="FA8" s="47">
        <v>52969.751438799998</v>
      </c>
      <c r="FB8" s="47">
        <v>38908.983031800002</v>
      </c>
      <c r="FC8" s="47">
        <v>19227.703706799999</v>
      </c>
      <c r="FD8" s="47">
        <v>7111.2714927999996</v>
      </c>
      <c r="FE8" s="47"/>
      <c r="FF8" s="47">
        <v>491937.94903999998</v>
      </c>
      <c r="FG8" s="47">
        <v>166348.57552679998</v>
      </c>
      <c r="FH8" s="47">
        <v>116007.84318980001</v>
      </c>
      <c r="FI8" s="47">
        <v>53144.2929888</v>
      </c>
      <c r="FJ8" s="47">
        <v>39007.306091800005</v>
      </c>
      <c r="FK8" s="47">
        <v>19244.8558868</v>
      </c>
      <c r="FL8" s="47">
        <v>7113.4457128000004</v>
      </c>
      <c r="FN8" s="47">
        <v>495016.94903999998</v>
      </c>
      <c r="FO8" s="47">
        <v>166415.72851680001</v>
      </c>
      <c r="FP8" s="47">
        <v>116022.6223898</v>
      </c>
      <c r="FQ8" s="47">
        <v>53145.924858799997</v>
      </c>
      <c r="FR8" s="47">
        <v>39007.7371518</v>
      </c>
      <c r="FS8" s="47">
        <v>19244.886676800001</v>
      </c>
      <c r="FT8" s="47">
        <v>7113.4457128000004</v>
      </c>
      <c r="FV8" s="44">
        <v>502851.94903999998</v>
      </c>
      <c r="FW8" s="44">
        <v>166856.22851680001</v>
      </c>
      <c r="FX8" s="44">
        <v>116242.8723898</v>
      </c>
      <c r="FY8" s="44">
        <v>53189.974858800007</v>
      </c>
      <c r="FZ8" s="44">
        <v>39029.762151799994</v>
      </c>
      <c r="GA8" s="44">
        <v>19249.2916768</v>
      </c>
      <c r="GB8" s="44">
        <v>7113.8862128000001</v>
      </c>
      <c r="GC8" s="44"/>
      <c r="GE8" s="47">
        <v>502851.94903999998</v>
      </c>
      <c r="GF8" s="47">
        <v>166856.22851680001</v>
      </c>
      <c r="GG8" s="47">
        <v>116242.8723898</v>
      </c>
      <c r="GH8" s="47">
        <v>53189.974858800007</v>
      </c>
      <c r="GI8" s="47">
        <v>39029.762151799994</v>
      </c>
      <c r="GJ8" s="47">
        <v>19249.2916768</v>
      </c>
      <c r="GK8" s="47">
        <v>7113.8862128000001</v>
      </c>
      <c r="GM8" s="47">
        <v>504286.94903999998</v>
      </c>
      <c r="GN8" s="47">
        <v>166856.22851680001</v>
      </c>
      <c r="GO8" s="47">
        <v>116242.8723898</v>
      </c>
      <c r="GP8" s="47">
        <v>53189.974858800007</v>
      </c>
      <c r="GQ8" s="47">
        <v>39029.762151799994</v>
      </c>
      <c r="GR8" s="47">
        <v>19249.2916768</v>
      </c>
      <c r="GS8" s="47">
        <v>7113.8862128000001</v>
      </c>
      <c r="GT8" s="187"/>
      <c r="GU8" s="44">
        <v>460175.52518</v>
      </c>
      <c r="GV8" s="47">
        <v>143696.08727259998</v>
      </c>
      <c r="GW8" s="47">
        <v>98987.499051600011</v>
      </c>
      <c r="GX8" s="47">
        <v>44265.117411599997</v>
      </c>
      <c r="GY8" s="47">
        <v>32146.252804599997</v>
      </c>
      <c r="GZ8" s="47">
        <v>15714.811117599998</v>
      </c>
      <c r="HA8" s="47">
        <v>5717.4450208999997</v>
      </c>
      <c r="HC8" s="44">
        <v>457639.22518000001</v>
      </c>
      <c r="HD8" s="47">
        <v>142274.9544357</v>
      </c>
      <c r="HE8" s="47">
        <v>97833.217063700009</v>
      </c>
      <c r="HF8" s="47">
        <v>43618.735033699995</v>
      </c>
      <c r="HG8" s="47">
        <v>31618.336939699999</v>
      </c>
      <c r="HH8" s="47">
        <v>15435.074615699999</v>
      </c>
      <c r="HI8" s="47">
        <v>5615.1967370000002</v>
      </c>
      <c r="HJ8" s="47"/>
      <c r="HK8" s="44">
        <v>435754.22518000001</v>
      </c>
      <c r="HL8" s="47">
        <v>128574.94443569999</v>
      </c>
      <c r="HM8" s="47">
        <v>86234.167063700006</v>
      </c>
      <c r="HN8" s="47">
        <v>36352.915033699996</v>
      </c>
      <c r="HO8" s="47">
        <v>25687.5019397</v>
      </c>
      <c r="HP8" s="47">
        <v>11867.8196157</v>
      </c>
      <c r="HQ8" s="47">
        <v>4127.0167369999999</v>
      </c>
      <c r="HS8" s="44">
        <v>419516.22519000003</v>
      </c>
      <c r="HT8" s="47">
        <v>119400.47279399999</v>
      </c>
      <c r="HU8" s="47">
        <v>78818.938361999986</v>
      </c>
      <c r="HV8" s="47">
        <v>32454.457721000006</v>
      </c>
      <c r="HW8" s="47">
        <v>22768.7966533</v>
      </c>
      <c r="HX8" s="47">
        <v>10314.951149299999</v>
      </c>
      <c r="HY8" s="47">
        <v>3528.9879268999998</v>
      </c>
      <c r="HZ8" s="47"/>
      <c r="IA8" s="44">
        <v>403116.22489000001</v>
      </c>
      <c r="IB8" s="47">
        <v>116671.8597343</v>
      </c>
      <c r="IC8" s="47">
        <v>77499.539959299989</v>
      </c>
      <c r="ID8" s="47">
        <v>32299.7297473</v>
      </c>
      <c r="IE8" s="47">
        <v>22706.016706899998</v>
      </c>
      <c r="IF8" s="47">
        <v>10305.116600900001</v>
      </c>
      <c r="IG8" s="47">
        <v>3527.5340248000002</v>
      </c>
      <c r="IH8" s="47"/>
      <c r="II8" s="44">
        <v>381214.22489000001</v>
      </c>
      <c r="IJ8" s="44">
        <v>111229.33129280001</v>
      </c>
      <c r="IK8" s="44">
        <v>74352.41094880001</v>
      </c>
      <c r="IL8" s="44">
        <v>31513.986039800002</v>
      </c>
      <c r="IM8" s="44">
        <v>22252.290041499997</v>
      </c>
      <c r="IN8" s="44">
        <v>10180.0140495</v>
      </c>
      <c r="IO8" s="44">
        <v>3496.8576002999998</v>
      </c>
      <c r="IP8" s="351"/>
      <c r="IQ8" s="351">
        <v>401240.69988999999</v>
      </c>
      <c r="IR8" s="351">
        <v>119270.79875870001</v>
      </c>
      <c r="IS8" s="351">
        <v>80172.891252700007</v>
      </c>
      <c r="IT8" s="351">
        <v>34427.5207677</v>
      </c>
      <c r="IU8" s="351">
        <v>24408.3387907</v>
      </c>
      <c r="IV8" s="351">
        <v>11236.5041167</v>
      </c>
      <c r="IW8" s="351">
        <v>3870.0531409</v>
      </c>
      <c r="IX8" s="351"/>
      <c r="IY8" s="351">
        <v>479858.69988999999</v>
      </c>
      <c r="IZ8" s="351">
        <v>133663.88289860002</v>
      </c>
      <c r="JA8" s="351">
        <v>89195.228459599995</v>
      </c>
      <c r="JB8" s="351">
        <v>37903.788946599991</v>
      </c>
      <c r="JC8" s="351">
        <v>26801.308809599999</v>
      </c>
      <c r="JD8" s="351">
        <v>12284.7778186</v>
      </c>
      <c r="JE8" s="351">
        <v>4220.2681204</v>
      </c>
      <c r="JG8" s="47">
        <v>41869.423860000003</v>
      </c>
      <c r="JH8" s="47">
        <v>21522.86954</v>
      </c>
      <c r="JI8" s="47">
        <v>16199.495070000001</v>
      </c>
      <c r="JJ8" s="47">
        <v>8630.3207299999995</v>
      </c>
      <c r="JK8" s="47">
        <v>6603.4896079999999</v>
      </c>
      <c r="JL8" s="47">
        <v>3414.1560129999998</v>
      </c>
      <c r="JM8" s="47">
        <v>1224.8094659999999</v>
      </c>
      <c r="JN8" s="1034"/>
      <c r="JO8" s="481">
        <v>2343</v>
      </c>
      <c r="JP8" s="481">
        <v>1338.648371</v>
      </c>
      <c r="JQ8" s="481">
        <v>1089.1488730000001</v>
      </c>
      <c r="JR8" s="481">
        <v>649.02275180000004</v>
      </c>
      <c r="JS8" s="481">
        <v>494.5112388</v>
      </c>
      <c r="JT8" s="481">
        <v>252.64701819999999</v>
      </c>
      <c r="JU8" s="481">
        <v>96.57740364</v>
      </c>
      <c r="JV8" s="77"/>
      <c r="JW8" s="47">
        <v>21885</v>
      </c>
      <c r="JX8" s="47">
        <v>13700.01</v>
      </c>
      <c r="JY8" s="47">
        <v>11599.05</v>
      </c>
      <c r="JZ8" s="47">
        <v>7265.82</v>
      </c>
      <c r="KA8" s="47">
        <v>5930.835</v>
      </c>
      <c r="KB8" s="47">
        <v>3567.2550000000001</v>
      </c>
      <c r="KC8" s="47">
        <v>1488.18</v>
      </c>
      <c r="KD8" s="77"/>
      <c r="KE8" s="47">
        <v>16237.99999</v>
      </c>
      <c r="KF8" s="47">
        <v>9439.8623599999992</v>
      </c>
      <c r="KG8" s="47">
        <v>7497.8879500000003</v>
      </c>
      <c r="KH8" s="47">
        <v>3847.9832409999999</v>
      </c>
      <c r="KI8" s="47">
        <v>2882.1336649999998</v>
      </c>
      <c r="KJ8" s="47">
        <v>1524.4733020000001</v>
      </c>
      <c r="KK8" s="47">
        <v>598.97593689999997</v>
      </c>
      <c r="KL8" s="77"/>
      <c r="KM8" s="47">
        <v>16400.0003</v>
      </c>
      <c r="KN8" s="47">
        <v>2338.7647390000002</v>
      </c>
      <c r="KO8" s="47">
        <v>1067.6530299999999</v>
      </c>
      <c r="KP8" s="47">
        <v>145.54764040000001</v>
      </c>
      <c r="KQ8" s="47">
        <v>70.763337309999997</v>
      </c>
      <c r="KR8" s="47">
        <v>14.75253998</v>
      </c>
      <c r="KS8" s="47">
        <v>1.570857221</v>
      </c>
      <c r="KT8" s="77"/>
      <c r="KU8" s="47">
        <v>28905</v>
      </c>
      <c r="KV8" s="47">
        <v>7010.8881869999996</v>
      </c>
      <c r="KW8" s="47">
        <v>3950.145939</v>
      </c>
      <c r="KX8" s="47">
        <v>998.41546779999999</v>
      </c>
      <c r="KY8" s="47">
        <v>578.56383970000002</v>
      </c>
      <c r="KZ8" s="47">
        <v>179.83511200000001</v>
      </c>
      <c r="LA8" s="47">
        <v>39.353626689999999</v>
      </c>
      <c r="LB8" s="77"/>
      <c r="LC8" s="1034">
        <v>15158</v>
      </c>
      <c r="LD8" s="1034">
        <v>841.90004999999996</v>
      </c>
      <c r="LE8" s="1034">
        <v>528.61986000000002</v>
      </c>
      <c r="LF8" s="1034">
        <v>176.17341999999999</v>
      </c>
      <c r="LG8" s="1034">
        <v>98.75412</v>
      </c>
      <c r="LH8" s="1034">
        <v>17.182970000000001</v>
      </c>
      <c r="LI8" s="1034">
        <v>2.17422</v>
      </c>
      <c r="LJ8" s="77"/>
      <c r="LK8" s="1034">
        <v>2242</v>
      </c>
      <c r="LL8" s="1034">
        <v>1450.3348615299999</v>
      </c>
      <c r="LM8" s="1034">
        <v>1200.6569383699998</v>
      </c>
      <c r="LN8" s="1034">
        <v>683.89618527000005</v>
      </c>
      <c r="LO8" s="1034">
        <v>516.10124435</v>
      </c>
      <c r="LP8" s="1034">
        <v>282.17286806000004</v>
      </c>
      <c r="LQ8" s="1034">
        <v>130.61191779000001</v>
      </c>
    </row>
    <row r="9" spans="1:329" s="43" customFormat="1" ht="9.75" customHeight="1" x14ac:dyDescent="0.2">
      <c r="A9" s="48">
        <v>1961</v>
      </c>
      <c r="B9" s="47">
        <v>333556.90080499998</v>
      </c>
      <c r="C9" s="47">
        <v>106683.74889230001</v>
      </c>
      <c r="D9" s="47">
        <v>69917.378740299988</v>
      </c>
      <c r="E9" s="47">
        <v>27768.442966799998</v>
      </c>
      <c r="F9" s="47">
        <v>18493.249762799998</v>
      </c>
      <c r="G9" s="47">
        <v>7042.4440257999995</v>
      </c>
      <c r="H9" s="47">
        <v>1918.0486774999999</v>
      </c>
      <c r="I9" s="47"/>
      <c r="J9" s="47">
        <v>507523.42099000001</v>
      </c>
      <c r="K9" s="47">
        <v>173909.59225094999</v>
      </c>
      <c r="L9" s="47">
        <v>121129.47785145001</v>
      </c>
      <c r="M9" s="47">
        <v>56242.321978450003</v>
      </c>
      <c r="N9" s="47">
        <v>41535.562691949999</v>
      </c>
      <c r="O9" s="47">
        <v>20552.825931949999</v>
      </c>
      <c r="P9" s="47">
        <v>7598.7636199499993</v>
      </c>
      <c r="Q9" s="47"/>
      <c r="R9" s="47">
        <v>534158.92099000001</v>
      </c>
      <c r="S9" s="47">
        <v>175303.78164594999</v>
      </c>
      <c r="T9" s="47">
        <v>121950.98884145</v>
      </c>
      <c r="U9" s="47">
        <v>56486.733968450004</v>
      </c>
      <c r="V9" s="47">
        <v>41669.92065195</v>
      </c>
      <c r="W9" s="47">
        <v>20576.789806950001</v>
      </c>
      <c r="X9" s="47">
        <v>7601.67779995</v>
      </c>
      <c r="Y9" s="47"/>
      <c r="Z9" s="47">
        <v>507523.84978499997</v>
      </c>
      <c r="AA9" s="47">
        <v>141740.08556285</v>
      </c>
      <c r="AB9" s="47">
        <v>95059.901710850012</v>
      </c>
      <c r="AC9" s="47">
        <v>41210.664618349998</v>
      </c>
      <c r="AD9" s="47">
        <v>29552.969223849999</v>
      </c>
      <c r="AE9" s="47">
        <v>13916.38266635</v>
      </c>
      <c r="AF9" s="47">
        <v>4875.4535567500006</v>
      </c>
      <c r="AG9" s="47"/>
      <c r="AH9" s="47">
        <v>340047.49323999998</v>
      </c>
      <c r="AI9" s="47">
        <v>109686.03742559999</v>
      </c>
      <c r="AJ9" s="47">
        <v>71670.228703100001</v>
      </c>
      <c r="AK9" s="47">
        <v>28381.099756099997</v>
      </c>
      <c r="AL9" s="47">
        <v>18906.609515249998</v>
      </c>
      <c r="AM9" s="47">
        <v>7208.0148772499997</v>
      </c>
      <c r="AN9" s="47">
        <v>1968.4435851000001</v>
      </c>
      <c r="AO9" s="47"/>
      <c r="AP9" s="47">
        <v>340380.59152000002</v>
      </c>
      <c r="AQ9" s="47">
        <v>109889.63513884999</v>
      </c>
      <c r="AR9" s="47">
        <v>71861.923762349994</v>
      </c>
      <c r="AS9" s="47">
        <v>28551.333138349997</v>
      </c>
      <c r="AT9" s="47">
        <v>19056.991094999998</v>
      </c>
      <c r="AU9" s="47">
        <v>7300.2017889999997</v>
      </c>
      <c r="AV9" s="47">
        <v>2013.1610439000001</v>
      </c>
      <c r="AW9" s="47"/>
      <c r="AX9" s="47">
        <v>341849.59152000002</v>
      </c>
      <c r="AY9" s="47">
        <v>111247.43183885001</v>
      </c>
      <c r="AZ9" s="47">
        <v>73219.72046235</v>
      </c>
      <c r="BA9" s="47">
        <v>29757.382138349996</v>
      </c>
      <c r="BB9" s="47">
        <v>20004.496095000002</v>
      </c>
      <c r="BC9" s="47">
        <v>7750.8909889999995</v>
      </c>
      <c r="BD9" s="47">
        <v>2166.0839439000001</v>
      </c>
      <c r="BE9" s="47"/>
      <c r="BF9" s="47">
        <v>342825.55929500004</v>
      </c>
      <c r="BG9" s="47">
        <v>111664.50972614999</v>
      </c>
      <c r="BH9" s="47">
        <v>73549.078845649987</v>
      </c>
      <c r="BI9" s="47">
        <v>29911.245618150002</v>
      </c>
      <c r="BJ9" s="47">
        <v>20096.482302299999</v>
      </c>
      <c r="BK9" s="47">
        <v>7771.6312443000006</v>
      </c>
      <c r="BL9" s="47">
        <v>2166.7891396499999</v>
      </c>
      <c r="BN9" s="47">
        <v>342825.55929500004</v>
      </c>
      <c r="BO9" s="47">
        <v>105952.85457364999</v>
      </c>
      <c r="BP9" s="47">
        <v>69203.766909650003</v>
      </c>
      <c r="BQ9" s="47">
        <v>27256.623757649999</v>
      </c>
      <c r="BR9" s="47">
        <v>18634.3588198</v>
      </c>
      <c r="BS9" s="47">
        <v>7639.3274327999998</v>
      </c>
      <c r="BT9" s="47">
        <v>2239.9443365999996</v>
      </c>
      <c r="BU9" s="47"/>
      <c r="BV9" s="47">
        <v>344380.76629499998</v>
      </c>
      <c r="BW9" s="47">
        <v>107243.67638365</v>
      </c>
      <c r="BX9" s="47">
        <v>70363.951331649994</v>
      </c>
      <c r="BY9" s="47">
        <v>28066.886604650001</v>
      </c>
      <c r="BZ9" s="47">
        <v>19298.432208800001</v>
      </c>
      <c r="CA9" s="47">
        <v>8032.7948038000004</v>
      </c>
      <c r="CB9" s="47">
        <v>2378.3577596</v>
      </c>
      <c r="CC9" s="44"/>
      <c r="CD9" s="47">
        <v>366107.26629499998</v>
      </c>
      <c r="CE9" s="47">
        <v>123534.93339070001</v>
      </c>
      <c r="CF9" s="47">
        <v>85137.758551699997</v>
      </c>
      <c r="CG9" s="47">
        <v>39260.689935199996</v>
      </c>
      <c r="CH9" s="47">
        <v>28730.503878150001</v>
      </c>
      <c r="CI9" s="47">
        <v>13933.843852149999</v>
      </c>
      <c r="CJ9" s="47">
        <v>5001.6177157500006</v>
      </c>
      <c r="CL9" s="47">
        <v>388697.76629499998</v>
      </c>
      <c r="CM9" s="47">
        <v>136745.09435694997</v>
      </c>
      <c r="CN9" s="47">
        <v>96131.775814449997</v>
      </c>
      <c r="CO9" s="47">
        <v>46376.038226950004</v>
      </c>
      <c r="CP9" s="47">
        <v>34576.633713950003</v>
      </c>
      <c r="CQ9" s="47">
        <v>17407.45690995</v>
      </c>
      <c r="CR9" s="47">
        <v>6441.5585944499999</v>
      </c>
      <c r="CS9" s="47"/>
      <c r="CT9" s="47">
        <v>398115.26629499998</v>
      </c>
      <c r="CU9" s="47">
        <v>142915.59334925</v>
      </c>
      <c r="CV9" s="47">
        <v>101465.85610774999</v>
      </c>
      <c r="CW9" s="47">
        <v>49649.390573750003</v>
      </c>
      <c r="CX9" s="47">
        <v>37154.381696750002</v>
      </c>
      <c r="CY9" s="47">
        <v>18839.066008249996</v>
      </c>
      <c r="CZ9" s="47">
        <v>7018.4471892500005</v>
      </c>
      <c r="DA9" s="47"/>
      <c r="DB9" s="47">
        <v>398115.26629499998</v>
      </c>
      <c r="DC9" s="47">
        <v>143156.1931267</v>
      </c>
      <c r="DD9" s="47">
        <v>101692.23756770001</v>
      </c>
      <c r="DE9" s="47">
        <v>49922.692346700002</v>
      </c>
      <c r="DF9" s="47">
        <v>37413.599475200004</v>
      </c>
      <c r="DG9" s="47">
        <v>19063.326191700002</v>
      </c>
      <c r="DH9" s="47">
        <v>7124.8677587000002</v>
      </c>
      <c r="DI9" s="47"/>
      <c r="DJ9" s="47">
        <v>421776.63879499998</v>
      </c>
      <c r="DK9" s="47">
        <v>150372.96442905001</v>
      </c>
      <c r="DL9" s="47">
        <v>107310.13183555</v>
      </c>
      <c r="DM9" s="47">
        <v>52751.815460049998</v>
      </c>
      <c r="DN9" s="47">
        <v>39452.980205550004</v>
      </c>
      <c r="DO9" s="47">
        <v>19914.013404050002</v>
      </c>
      <c r="DP9" s="47">
        <v>7303.6417110500006</v>
      </c>
      <c r="DQ9" s="47"/>
      <c r="DR9" s="47">
        <v>441684.13824358222</v>
      </c>
      <c r="DS9" s="47">
        <v>157851.56636857108</v>
      </c>
      <c r="DT9" s="47">
        <v>112106.66956203216</v>
      </c>
      <c r="DU9" s="47">
        <v>54158.172077684736</v>
      </c>
      <c r="DV9" s="47">
        <v>40323.441951098059</v>
      </c>
      <c r="DW9" s="47">
        <v>20200.633473932656</v>
      </c>
      <c r="DX9" s="47">
        <v>7399.1234294924743</v>
      </c>
      <c r="DY9" s="297"/>
      <c r="DZ9" s="47">
        <v>451900.1384880715</v>
      </c>
      <c r="EA9" s="47">
        <v>159596.06620426878</v>
      </c>
      <c r="EB9" s="47">
        <v>112896.44961021346</v>
      </c>
      <c r="EC9" s="47">
        <v>54255.032469080077</v>
      </c>
      <c r="ED9" s="47">
        <v>40390.210280292522</v>
      </c>
      <c r="EE9" s="47">
        <v>20209.462298353741</v>
      </c>
      <c r="EF9" s="47">
        <v>7400.2311758936985</v>
      </c>
      <c r="EG9" s="542"/>
      <c r="EH9" s="47">
        <v>458913.13848806953</v>
      </c>
      <c r="EI9" s="47">
        <v>161775.26109873696</v>
      </c>
      <c r="EJ9" s="47">
        <v>114087.59328224484</v>
      </c>
      <c r="EK9" s="47">
        <v>54417.018128755662</v>
      </c>
      <c r="EL9" s="47">
        <v>40443.381620265231</v>
      </c>
      <c r="EM9" s="47">
        <v>20223.185609046217</v>
      </c>
      <c r="EN9" s="47">
        <v>7518.0202834938282</v>
      </c>
      <c r="EO9" s="47"/>
      <c r="EP9" s="47">
        <v>474902.92099000001</v>
      </c>
      <c r="EQ9" s="47">
        <v>165768.74354405</v>
      </c>
      <c r="ER9" s="47">
        <v>116342.49767904999</v>
      </c>
      <c r="ES9" s="47">
        <v>54936.804153550002</v>
      </c>
      <c r="ET9" s="47">
        <v>40792.599456049997</v>
      </c>
      <c r="EU9" s="47">
        <v>20305.195911549999</v>
      </c>
      <c r="EV9" s="47">
        <v>7523.9118725499993</v>
      </c>
      <c r="EW9" s="47"/>
      <c r="EX9" s="47">
        <v>507523.42099000001</v>
      </c>
      <c r="EY9" s="47">
        <v>173909.59225094999</v>
      </c>
      <c r="EZ9" s="47">
        <v>121129.47785145001</v>
      </c>
      <c r="FA9" s="47">
        <v>56242.321978450003</v>
      </c>
      <c r="FB9" s="47">
        <v>41535.562691949999</v>
      </c>
      <c r="FC9" s="47">
        <v>20552.825931949999</v>
      </c>
      <c r="FD9" s="47">
        <v>7598.7636199499993</v>
      </c>
      <c r="FE9" s="47"/>
      <c r="FF9" s="47">
        <v>521231.92099000001</v>
      </c>
      <c r="FG9" s="47">
        <v>174788.85544094996</v>
      </c>
      <c r="FH9" s="47">
        <v>121712.63744145002</v>
      </c>
      <c r="FI9" s="47">
        <v>56440.409803449998</v>
      </c>
      <c r="FJ9" s="47">
        <v>41647.149881950005</v>
      </c>
      <c r="FK9" s="47">
        <v>20572.292001950002</v>
      </c>
      <c r="FL9" s="47">
        <v>7601.2311499500001</v>
      </c>
      <c r="FN9" s="47">
        <v>524362.42099000001</v>
      </c>
      <c r="FO9" s="47">
        <v>174857.13164595002</v>
      </c>
      <c r="FP9" s="47">
        <v>121727.66384145</v>
      </c>
      <c r="FQ9" s="47">
        <v>56442.068968449996</v>
      </c>
      <c r="FR9" s="47">
        <v>41647.588151949996</v>
      </c>
      <c r="FS9" s="47">
        <v>20572.323306949998</v>
      </c>
      <c r="FT9" s="47">
        <v>7601.2311499500001</v>
      </c>
      <c r="FV9" s="47">
        <v>532452.92099000001</v>
      </c>
      <c r="FW9" s="47">
        <v>175303.78164594999</v>
      </c>
      <c r="FX9" s="47">
        <v>121950.98884145</v>
      </c>
      <c r="FY9" s="47">
        <v>56486.733968450004</v>
      </c>
      <c r="FZ9" s="47">
        <v>41669.92065195</v>
      </c>
      <c r="GA9" s="47">
        <v>20576.789806950001</v>
      </c>
      <c r="GB9" s="47">
        <v>7601.67779995</v>
      </c>
      <c r="GC9" s="47"/>
      <c r="GE9" s="47">
        <v>532452.92099000001</v>
      </c>
      <c r="GF9" s="47">
        <v>175303.78164594999</v>
      </c>
      <c r="GG9" s="47">
        <v>121950.98884145</v>
      </c>
      <c r="GH9" s="47">
        <v>56486.733968450004</v>
      </c>
      <c r="GI9" s="47">
        <v>41669.92065195</v>
      </c>
      <c r="GJ9" s="47">
        <v>20576.789806950001</v>
      </c>
      <c r="GK9" s="47">
        <v>7601.67779995</v>
      </c>
      <c r="GM9" s="47">
        <v>534158.92099000001</v>
      </c>
      <c r="GN9" s="47">
        <v>175303.78164594999</v>
      </c>
      <c r="GO9" s="47">
        <v>121950.98884145</v>
      </c>
      <c r="GP9" s="47">
        <v>56486.733968450004</v>
      </c>
      <c r="GQ9" s="47">
        <v>41669.92065195</v>
      </c>
      <c r="GR9" s="47">
        <v>20576.789806950001</v>
      </c>
      <c r="GS9" s="47">
        <v>7601.67779995</v>
      </c>
      <c r="GT9" s="187"/>
      <c r="GU9" s="47">
        <v>487499.12458499998</v>
      </c>
      <c r="GV9" s="47">
        <v>151049.09647875</v>
      </c>
      <c r="GW9" s="47">
        <v>103826.17500525</v>
      </c>
      <c r="GX9" s="47">
        <v>47148.006672749994</v>
      </c>
      <c r="GY9" s="47">
        <v>34519.346086749996</v>
      </c>
      <c r="GZ9" s="47">
        <v>16971.352427749996</v>
      </c>
      <c r="HA9" s="47">
        <v>6188.2785478999995</v>
      </c>
      <c r="HC9" s="47">
        <v>484640.97435000003</v>
      </c>
      <c r="HD9" s="47">
        <v>149420.23295210002</v>
      </c>
      <c r="HE9" s="47">
        <v>102562.83944509999</v>
      </c>
      <c r="HF9" s="47">
        <v>46417.701186599996</v>
      </c>
      <c r="HG9" s="47">
        <v>33954.633173599999</v>
      </c>
      <c r="HH9" s="47">
        <v>16684.090779600003</v>
      </c>
      <c r="HI9" s="47">
        <v>6070.0734832500002</v>
      </c>
      <c r="HJ9" s="47"/>
      <c r="HK9" s="47">
        <v>462050.47435000003</v>
      </c>
      <c r="HL9" s="47">
        <v>136250.62830655</v>
      </c>
      <c r="HM9" s="47">
        <v>91550.430804050004</v>
      </c>
      <c r="HN9" s="47">
        <v>39247.82734055</v>
      </c>
      <c r="HO9" s="47">
        <v>28125.042472549998</v>
      </c>
      <c r="HP9" s="47">
        <v>13226.881225050001</v>
      </c>
      <c r="HQ9" s="47">
        <v>4655.0703512500004</v>
      </c>
      <c r="HS9" s="47">
        <v>444452.47458000004</v>
      </c>
      <c r="HT9" s="47">
        <v>127106.33580594999</v>
      </c>
      <c r="HU9" s="47">
        <v>84304.299072949987</v>
      </c>
      <c r="HV9" s="47">
        <v>35431.135216950002</v>
      </c>
      <c r="HW9" s="47">
        <v>25196.2372316</v>
      </c>
      <c r="HX9" s="47">
        <v>11689.354023100001</v>
      </c>
      <c r="HY9" s="47">
        <v>4064.0666481999997</v>
      </c>
      <c r="HZ9" s="47"/>
      <c r="IA9" s="47">
        <v>426702.474285</v>
      </c>
      <c r="IB9" s="47">
        <v>124116.9489128</v>
      </c>
      <c r="IC9" s="47">
        <v>82866.291973299987</v>
      </c>
      <c r="ID9" s="47">
        <v>35191.453823800002</v>
      </c>
      <c r="IE9" s="47">
        <v>25104.035804599996</v>
      </c>
      <c r="IF9" s="47">
        <v>11673.360634600002</v>
      </c>
      <c r="IG9" s="47">
        <v>4062.40110435</v>
      </c>
      <c r="IH9" s="47"/>
      <c r="II9" s="47">
        <v>403540.474285</v>
      </c>
      <c r="IJ9" s="47">
        <v>118272.36428805001</v>
      </c>
      <c r="IK9" s="47">
        <v>79440.123015050005</v>
      </c>
      <c r="IL9" s="47">
        <v>34308.361958050002</v>
      </c>
      <c r="IM9" s="47">
        <v>24576.996243899997</v>
      </c>
      <c r="IN9" s="47">
        <v>11520.9788039</v>
      </c>
      <c r="IO9" s="47">
        <v>4023.3189152499999</v>
      </c>
      <c r="IP9" s="351"/>
      <c r="IQ9" s="351">
        <v>422549.84978499997</v>
      </c>
      <c r="IR9" s="351">
        <v>126140.28371429999</v>
      </c>
      <c r="IS9" s="351">
        <v>85242.526407800004</v>
      </c>
      <c r="IT9" s="351">
        <v>37367.639473799994</v>
      </c>
      <c r="IU9" s="351">
        <v>26886.081948300001</v>
      </c>
      <c r="IV9" s="351">
        <v>12704.475673299999</v>
      </c>
      <c r="IW9" s="351">
        <v>4461.91822985</v>
      </c>
      <c r="IX9" s="351"/>
      <c r="IY9" s="351">
        <v>507523.84978499997</v>
      </c>
      <c r="IZ9" s="351">
        <v>141740.08556285</v>
      </c>
      <c r="JA9" s="351">
        <v>95059.901710850012</v>
      </c>
      <c r="JB9" s="351">
        <v>41210.664618349998</v>
      </c>
      <c r="JC9" s="351">
        <v>29552.969223849999</v>
      </c>
      <c r="JD9" s="351">
        <v>13916.38266635</v>
      </c>
      <c r="JE9" s="351">
        <v>4875.4535567500006</v>
      </c>
      <c r="JG9" s="47">
        <v>44219.796399999999</v>
      </c>
      <c r="JH9" s="47">
        <v>22580.04232</v>
      </c>
      <c r="JI9" s="47">
        <v>16964.960950000001</v>
      </c>
      <c r="JJ9" s="47">
        <v>9024.3174039999994</v>
      </c>
      <c r="JK9" s="47">
        <v>6886.9599479999997</v>
      </c>
      <c r="JL9" s="47">
        <v>3479.2797089999999</v>
      </c>
      <c r="JM9" s="47">
        <v>1273.110015</v>
      </c>
      <c r="JN9" s="1034"/>
      <c r="JO9" s="47">
        <v>2761.500235</v>
      </c>
      <c r="JP9" s="47">
        <v>1560.6763570000001</v>
      </c>
      <c r="JQ9" s="47">
        <v>1270.8549849999999</v>
      </c>
      <c r="JR9" s="47">
        <v>761.44715069999995</v>
      </c>
      <c r="JS9" s="47">
        <v>584.36519780000003</v>
      </c>
      <c r="JT9" s="47">
        <v>293.71369809999999</v>
      </c>
      <c r="JU9" s="47">
        <v>108.2897775</v>
      </c>
      <c r="JV9" s="77"/>
      <c r="JW9" s="47">
        <v>22590.5</v>
      </c>
      <c r="JX9" s="47">
        <v>13014.190130000001</v>
      </c>
      <c r="JY9" s="47">
        <v>10904.43073</v>
      </c>
      <c r="JZ9" s="47">
        <v>6984.160836</v>
      </c>
      <c r="KA9" s="47">
        <v>5722.957163</v>
      </c>
      <c r="KB9" s="47">
        <v>3433.6915549999999</v>
      </c>
      <c r="KC9" s="47">
        <v>1434.5221799999999</v>
      </c>
      <c r="KD9" s="77"/>
      <c r="KE9" s="47">
        <v>17597.999769999999</v>
      </c>
      <c r="KF9" s="47">
        <v>9418.0683530000006</v>
      </c>
      <c r="KG9" s="47">
        <v>7356.5334089999997</v>
      </c>
      <c r="KH9" s="47">
        <v>3821.5276359999998</v>
      </c>
      <c r="KI9" s="47">
        <v>2887.0162030000001</v>
      </c>
      <c r="KJ9" s="47">
        <v>1528.3330940000001</v>
      </c>
      <c r="KK9" s="47">
        <v>603.70078060000003</v>
      </c>
      <c r="KL9" s="77"/>
      <c r="KM9" s="47">
        <v>17750.0003</v>
      </c>
      <c r="KN9" s="47">
        <v>2606.5223129999999</v>
      </c>
      <c r="KO9" s="47">
        <v>1201.5310930000001</v>
      </c>
      <c r="KP9" s="47">
        <v>174.56976750000001</v>
      </c>
      <c r="KQ9" s="47">
        <v>86.686322379999993</v>
      </c>
      <c r="KR9" s="47">
        <v>17.1107586</v>
      </c>
      <c r="KS9" s="47">
        <v>1.7530831410000001</v>
      </c>
      <c r="KT9" s="77"/>
      <c r="KU9" s="47">
        <v>30086.5</v>
      </c>
      <c r="KV9" s="47">
        <v>7431.3704079999998</v>
      </c>
      <c r="KW9" s="47">
        <v>4230.089997</v>
      </c>
      <c r="KX9" s="47">
        <v>1122.563091</v>
      </c>
      <c r="KY9" s="47">
        <v>665.69305729999996</v>
      </c>
      <c r="KZ9" s="47">
        <v>206.93755419999999</v>
      </c>
      <c r="LA9" s="47">
        <v>47.889663900000002</v>
      </c>
      <c r="LB9" s="77"/>
      <c r="LC9" s="1034">
        <v>16839</v>
      </c>
      <c r="LD9" s="1034">
        <v>947.53939500000001</v>
      </c>
      <c r="LE9" s="1034">
        <v>598.18598999999995</v>
      </c>
      <c r="LF9" s="1034">
        <v>199.74699000000001</v>
      </c>
      <c r="LG9" s="1034">
        <v>112.02546</v>
      </c>
      <c r="LH9" s="1034">
        <v>19.497375000000002</v>
      </c>
      <c r="LI9" s="1034">
        <v>2.46753</v>
      </c>
      <c r="LJ9" s="77"/>
      <c r="LK9" s="1034">
        <v>2440</v>
      </c>
      <c r="LL9" s="1034">
        <v>1573.82781651</v>
      </c>
      <c r="LM9" s="1034">
        <v>1304.8395630049999</v>
      </c>
      <c r="LN9" s="1034">
        <v>752.29296000499994</v>
      </c>
      <c r="LO9" s="1034">
        <v>574.02711803</v>
      </c>
      <c r="LP9" s="1034">
        <v>311.58701403500004</v>
      </c>
      <c r="LQ9" s="1034">
        <v>145.55314623499999</v>
      </c>
    </row>
    <row r="10" spans="1:329" s="43" customFormat="1" ht="9.75" customHeight="1" x14ac:dyDescent="0.2">
      <c r="A10" s="48">
        <v>1962</v>
      </c>
      <c r="B10" s="47">
        <v>350847.19235000003</v>
      </c>
      <c r="C10" s="47">
        <v>113045.5033676</v>
      </c>
      <c r="D10" s="47">
        <v>73967.384052599999</v>
      </c>
      <c r="E10" s="47">
        <v>29253.629968599998</v>
      </c>
      <c r="F10" s="47">
        <v>19410.234850999997</v>
      </c>
      <c r="G10" s="47">
        <v>7295.9181559999997</v>
      </c>
      <c r="H10" s="47">
        <v>1963.142805</v>
      </c>
      <c r="I10" s="47"/>
      <c r="J10" s="47">
        <v>535187.89294000005</v>
      </c>
      <c r="K10" s="47">
        <v>182245.35603509998</v>
      </c>
      <c r="L10" s="47">
        <v>126764.9531731</v>
      </c>
      <c r="M10" s="47">
        <v>59514.892518100009</v>
      </c>
      <c r="N10" s="47">
        <v>44162.142352099996</v>
      </c>
      <c r="O10" s="47">
        <v>21877.9481571</v>
      </c>
      <c r="P10" s="47">
        <v>8086.2557471</v>
      </c>
      <c r="Q10" s="47"/>
      <c r="R10" s="47">
        <v>564030.89294000005</v>
      </c>
      <c r="S10" s="47">
        <v>183751.3347751</v>
      </c>
      <c r="T10" s="47">
        <v>127659.1052931</v>
      </c>
      <c r="U10" s="47">
        <v>59783.493078099993</v>
      </c>
      <c r="V10" s="47">
        <v>44310.079152099999</v>
      </c>
      <c r="W10" s="47">
        <v>21904.287937100002</v>
      </c>
      <c r="X10" s="47">
        <v>8089.4693870999999</v>
      </c>
      <c r="Y10" s="47"/>
      <c r="Z10" s="47">
        <v>535188.99968000001</v>
      </c>
      <c r="AA10" s="47">
        <v>149816.28822710001</v>
      </c>
      <c r="AB10" s="47">
        <v>100924.57496210001</v>
      </c>
      <c r="AC10" s="47">
        <v>44517.540290100005</v>
      </c>
      <c r="AD10" s="47">
        <v>32304.629638100003</v>
      </c>
      <c r="AE10" s="47">
        <v>15547.987514100001</v>
      </c>
      <c r="AF10" s="47">
        <v>5530.6389931000003</v>
      </c>
      <c r="AG10" s="47"/>
      <c r="AH10" s="47">
        <v>358115.84769000002</v>
      </c>
      <c r="AI10" s="47">
        <v>116624.91157769998</v>
      </c>
      <c r="AJ10" s="47">
        <v>76061.632972699997</v>
      </c>
      <c r="AK10" s="47">
        <v>29985.038034699999</v>
      </c>
      <c r="AL10" s="47">
        <v>19902.530679699998</v>
      </c>
      <c r="AM10" s="47">
        <v>7488.2316516999999</v>
      </c>
      <c r="AN10" s="47">
        <v>2018.4279928000001</v>
      </c>
      <c r="AO10" s="47"/>
      <c r="AP10" s="47">
        <v>358469.04424999998</v>
      </c>
      <c r="AQ10" s="47">
        <v>116856.82700419999</v>
      </c>
      <c r="AR10" s="47">
        <v>76269.743091199998</v>
      </c>
      <c r="AS10" s="47">
        <v>30172.134799199997</v>
      </c>
      <c r="AT10" s="47">
        <v>20068.703839199999</v>
      </c>
      <c r="AU10" s="47">
        <v>7588.0954751999998</v>
      </c>
      <c r="AV10" s="47">
        <v>2067.1729104000001</v>
      </c>
      <c r="AW10" s="47"/>
      <c r="AX10" s="47">
        <v>360073.04424999998</v>
      </c>
      <c r="AY10" s="47">
        <v>118339.40420420001</v>
      </c>
      <c r="AZ10" s="47">
        <v>77752.320291199998</v>
      </c>
      <c r="BA10" s="47">
        <v>31489.018799199996</v>
      </c>
      <c r="BB10" s="47">
        <v>21103.283839200001</v>
      </c>
      <c r="BC10" s="47">
        <v>8080.2026752000002</v>
      </c>
      <c r="BD10" s="47">
        <v>2234.1493104000001</v>
      </c>
      <c r="BE10" s="47"/>
      <c r="BF10" s="44">
        <v>361001.34373000002</v>
      </c>
      <c r="BG10" s="44">
        <v>118663.70765119999</v>
      </c>
      <c r="BH10" s="44">
        <v>78002.561977199992</v>
      </c>
      <c r="BI10" s="44">
        <v>31603.734494199998</v>
      </c>
      <c r="BJ10" s="44">
        <v>21168.8104852</v>
      </c>
      <c r="BK10" s="44">
        <v>8102.2218892000001</v>
      </c>
      <c r="BL10" s="44">
        <v>2241.6669499999998</v>
      </c>
      <c r="BN10" s="44">
        <v>361001.34373000002</v>
      </c>
      <c r="BO10" s="44">
        <v>111858.1947525</v>
      </c>
      <c r="BP10" s="44">
        <v>73268.596633499998</v>
      </c>
      <c r="BQ10" s="44">
        <v>28952.0055115</v>
      </c>
      <c r="BR10" s="44">
        <v>19846.559714999999</v>
      </c>
      <c r="BS10" s="44">
        <v>8134.5694669999993</v>
      </c>
      <c r="BT10" s="44">
        <v>2376.8133002999998</v>
      </c>
      <c r="BU10" s="44"/>
      <c r="BV10" s="47">
        <v>362659.36073000001</v>
      </c>
      <c r="BW10" s="47">
        <v>113234.34886250002</v>
      </c>
      <c r="BX10" s="47">
        <v>74505.4773155</v>
      </c>
      <c r="BY10" s="47">
        <v>29815.8323685</v>
      </c>
      <c r="BZ10" s="47">
        <v>20554.532974000002</v>
      </c>
      <c r="CA10" s="47">
        <v>8554.0477680000004</v>
      </c>
      <c r="CB10" s="47">
        <v>2524.3768132999999</v>
      </c>
      <c r="CC10" s="44"/>
      <c r="CD10" s="47">
        <v>387580.36073000001</v>
      </c>
      <c r="CE10" s="47">
        <v>131779.57857070002</v>
      </c>
      <c r="CF10" s="47">
        <v>91252.233835699997</v>
      </c>
      <c r="CG10" s="47">
        <v>42557.974326699994</v>
      </c>
      <c r="CH10" s="47">
        <v>31296.712053700001</v>
      </c>
      <c r="CI10" s="47">
        <v>15300.1345167</v>
      </c>
      <c r="CJ10" s="47">
        <v>5463.3400326000001</v>
      </c>
      <c r="CL10" s="47">
        <v>410876.36073000001</v>
      </c>
      <c r="CM10" s="47">
        <v>144499.89050299997</v>
      </c>
      <c r="CN10" s="47">
        <v>101641.21836100001</v>
      </c>
      <c r="CO10" s="47">
        <v>49522.850910000008</v>
      </c>
      <c r="CP10" s="47">
        <v>37058.136725000004</v>
      </c>
      <c r="CQ10" s="47">
        <v>18680.105631999999</v>
      </c>
      <c r="CR10" s="47">
        <v>6855.0417900000002</v>
      </c>
      <c r="CS10" s="47"/>
      <c r="CT10" s="47">
        <v>420912.36073000001</v>
      </c>
      <c r="CU10" s="47">
        <v>150496.8094876</v>
      </c>
      <c r="CV10" s="47">
        <v>106774.80794759998</v>
      </c>
      <c r="CW10" s="47">
        <v>52752.3326036</v>
      </c>
      <c r="CX10" s="47">
        <v>39653.123690599998</v>
      </c>
      <c r="CY10" s="47">
        <v>20126.684828599999</v>
      </c>
      <c r="CZ10" s="47">
        <v>7436.8839796000002</v>
      </c>
      <c r="DA10" s="47"/>
      <c r="DB10" s="47">
        <v>420912.36073000001</v>
      </c>
      <c r="DC10" s="47">
        <v>150577.1090425</v>
      </c>
      <c r="DD10" s="47">
        <v>106871.07086750001</v>
      </c>
      <c r="DE10" s="47">
        <v>52968.836149500006</v>
      </c>
      <c r="DF10" s="47">
        <v>39875.259247500006</v>
      </c>
      <c r="DG10" s="47">
        <v>20348.005195500002</v>
      </c>
      <c r="DH10" s="47">
        <v>7554.4251185000003</v>
      </c>
      <c r="DI10" s="47"/>
      <c r="DJ10" s="47">
        <v>444322.66372999997</v>
      </c>
      <c r="DK10" s="47">
        <v>157627.71459680001</v>
      </c>
      <c r="DL10" s="47">
        <v>112346.0296528</v>
      </c>
      <c r="DM10" s="47">
        <v>55796.431158799998</v>
      </c>
      <c r="DN10" s="47">
        <v>41953.442970800003</v>
      </c>
      <c r="DO10" s="47">
        <v>21239.262861800002</v>
      </c>
      <c r="DP10" s="47">
        <v>7935.2666908000001</v>
      </c>
      <c r="DQ10" s="47"/>
      <c r="DR10" s="47">
        <v>465705.66265386756</v>
      </c>
      <c r="DS10" s="47">
        <v>165412.34354782928</v>
      </c>
      <c r="DT10" s="47">
        <v>117245.29385513</v>
      </c>
      <c r="DU10" s="47">
        <v>57225.933134807587</v>
      </c>
      <c r="DV10" s="47">
        <v>42869.634748166107</v>
      </c>
      <c r="DW10" s="47">
        <v>21514.443345337175</v>
      </c>
      <c r="DX10" s="47">
        <v>8007.9968217849546</v>
      </c>
      <c r="DY10" s="297"/>
      <c r="DZ10" s="47">
        <v>476887.66293974104</v>
      </c>
      <c r="EA10" s="47">
        <v>167242.70616219696</v>
      </c>
      <c r="EB10" s="47">
        <v>118064.50529752286</v>
      </c>
      <c r="EC10" s="47">
        <v>57326.05253891123</v>
      </c>
      <c r="ED10" s="47">
        <v>42942.017663009945</v>
      </c>
      <c r="EE10" s="47">
        <v>21521.552791980575</v>
      </c>
      <c r="EF10" s="47">
        <v>8009.812646293175</v>
      </c>
      <c r="EG10" s="542"/>
      <c r="EH10" s="47">
        <v>484518.66293973179</v>
      </c>
      <c r="EI10" s="47">
        <v>169539.88025703165</v>
      </c>
      <c r="EJ10" s="47">
        <v>119358.92564189993</v>
      </c>
      <c r="EK10" s="47">
        <v>57499.201079644656</v>
      </c>
      <c r="EL10" s="47">
        <v>42969.898505401543</v>
      </c>
      <c r="EM10" s="47">
        <v>21519.623790079841</v>
      </c>
      <c r="EN10" s="47">
        <v>8011.8841347225334</v>
      </c>
      <c r="EO10" s="47"/>
      <c r="EP10" s="47">
        <v>501399.89293999999</v>
      </c>
      <c r="EQ10" s="47">
        <v>173705.23726259999</v>
      </c>
      <c r="ER10" s="47">
        <v>121705.59803960001</v>
      </c>
      <c r="ES10" s="47">
        <v>58057.011927600004</v>
      </c>
      <c r="ET10" s="47">
        <v>43320.541212600001</v>
      </c>
      <c r="EU10" s="47">
        <v>21616.7863956</v>
      </c>
      <c r="EV10" s="47">
        <v>8023.3503455999999</v>
      </c>
      <c r="EW10" s="47"/>
      <c r="EX10" s="47">
        <v>535187.89294000005</v>
      </c>
      <c r="EY10" s="47">
        <v>182245.35603509998</v>
      </c>
      <c r="EZ10" s="47">
        <v>126764.9531731</v>
      </c>
      <c r="FA10" s="47">
        <v>59514.892518100009</v>
      </c>
      <c r="FB10" s="47">
        <v>44162.142352099996</v>
      </c>
      <c r="FC10" s="47">
        <v>21877.9481571</v>
      </c>
      <c r="FD10" s="47">
        <v>8086.2557471</v>
      </c>
      <c r="FE10" s="47"/>
      <c r="FF10" s="47">
        <v>550525.89294000005</v>
      </c>
      <c r="FG10" s="47">
        <v>183229.13535509998</v>
      </c>
      <c r="FH10" s="47">
        <v>127417.43169310002</v>
      </c>
      <c r="FI10" s="47">
        <v>59736.526618099997</v>
      </c>
      <c r="FJ10" s="47">
        <v>44286.993672100005</v>
      </c>
      <c r="FK10" s="47">
        <v>21899.7281171</v>
      </c>
      <c r="FL10" s="47">
        <v>8089.0165870999999</v>
      </c>
      <c r="FN10" s="47">
        <v>553707.89294000005</v>
      </c>
      <c r="FO10" s="47">
        <v>183298.53477510001</v>
      </c>
      <c r="FP10" s="47">
        <v>127432.70529310001</v>
      </c>
      <c r="FQ10" s="47">
        <v>59738.213078099994</v>
      </c>
      <c r="FR10" s="47">
        <v>44287.4391521</v>
      </c>
      <c r="FS10" s="47">
        <v>21899.7599371</v>
      </c>
      <c r="FT10" s="47">
        <v>8089.0165870999999</v>
      </c>
      <c r="FV10" s="44">
        <v>562053.89294000005</v>
      </c>
      <c r="FW10" s="44">
        <v>183751.3347751</v>
      </c>
      <c r="FX10" s="44">
        <v>127659.1052931</v>
      </c>
      <c r="FY10" s="44">
        <v>59783.493078099993</v>
      </c>
      <c r="FZ10" s="44">
        <v>44310.079152099999</v>
      </c>
      <c r="GA10" s="44">
        <v>21904.287937100002</v>
      </c>
      <c r="GB10" s="44">
        <v>8089.4693870999999</v>
      </c>
      <c r="GC10" s="44"/>
      <c r="GE10" s="47">
        <v>562053.89294000005</v>
      </c>
      <c r="GF10" s="47">
        <v>183751.3347751</v>
      </c>
      <c r="GG10" s="47">
        <v>127659.1052931</v>
      </c>
      <c r="GH10" s="47">
        <v>59783.493078099993</v>
      </c>
      <c r="GI10" s="47">
        <v>44310.079152099999</v>
      </c>
      <c r="GJ10" s="47">
        <v>21904.287937100002</v>
      </c>
      <c r="GK10" s="47">
        <v>8089.4693870999999</v>
      </c>
      <c r="GM10" s="47">
        <v>564030.89294000005</v>
      </c>
      <c r="GN10" s="47">
        <v>183751.3347751</v>
      </c>
      <c r="GO10" s="47">
        <v>127659.1052931</v>
      </c>
      <c r="GP10" s="47">
        <v>59783.493078099993</v>
      </c>
      <c r="GQ10" s="47">
        <v>44310.079152099999</v>
      </c>
      <c r="GR10" s="47">
        <v>21904.287937100002</v>
      </c>
      <c r="GS10" s="47">
        <v>8089.4693870999999</v>
      </c>
      <c r="GT10" s="187"/>
      <c r="GU10" s="44">
        <v>514822.72399000003</v>
      </c>
      <c r="GV10" s="47">
        <v>158402.10568490002</v>
      </c>
      <c r="GW10" s="47">
        <v>108664.8509589</v>
      </c>
      <c r="GX10" s="47">
        <v>50030.895933899999</v>
      </c>
      <c r="GY10" s="47">
        <v>36892.439368899999</v>
      </c>
      <c r="GZ10" s="47">
        <v>18227.893737899998</v>
      </c>
      <c r="HA10" s="47">
        <v>6659.1120749000002</v>
      </c>
      <c r="HC10" s="44">
        <v>511642.72352</v>
      </c>
      <c r="HD10" s="47">
        <v>156565.51146850004</v>
      </c>
      <c r="HE10" s="47">
        <v>107292.46182649999</v>
      </c>
      <c r="HF10" s="47">
        <v>49216.667339499996</v>
      </c>
      <c r="HG10" s="47">
        <v>36290.9294075</v>
      </c>
      <c r="HH10" s="47">
        <v>17933.106943500003</v>
      </c>
      <c r="HI10" s="47">
        <v>6524.9502295000002</v>
      </c>
      <c r="HJ10" s="47"/>
      <c r="HK10" s="44">
        <v>488346.72352</v>
      </c>
      <c r="HL10" s="47">
        <v>143926.31217740002</v>
      </c>
      <c r="HM10" s="47">
        <v>96866.694544400001</v>
      </c>
      <c r="HN10" s="47">
        <v>42142.739647400005</v>
      </c>
      <c r="HO10" s="47">
        <v>30562.5830054</v>
      </c>
      <c r="HP10" s="47">
        <v>14585.942834400001</v>
      </c>
      <c r="HQ10" s="47">
        <v>5183.1239654999999</v>
      </c>
      <c r="HS10" s="44">
        <v>469388.72396999999</v>
      </c>
      <c r="HT10" s="47">
        <v>134812.1988179</v>
      </c>
      <c r="HU10" s="47">
        <v>89789.659783899988</v>
      </c>
      <c r="HV10" s="47">
        <v>38407.812712899999</v>
      </c>
      <c r="HW10" s="47">
        <v>27623.6778099</v>
      </c>
      <c r="HX10" s="47">
        <v>13063.7568969</v>
      </c>
      <c r="HY10" s="47">
        <v>4599.1453695</v>
      </c>
      <c r="HZ10" s="47"/>
      <c r="IA10" s="44">
        <v>450288.72368</v>
      </c>
      <c r="IB10" s="47">
        <v>131562.0380913</v>
      </c>
      <c r="IC10" s="47">
        <v>88233.0439873</v>
      </c>
      <c r="ID10" s="47">
        <v>38083.177900300005</v>
      </c>
      <c r="IE10" s="47">
        <v>27502.054902299999</v>
      </c>
      <c r="IF10" s="47">
        <v>13041.6046683</v>
      </c>
      <c r="IG10" s="47">
        <v>4597.2681838999997</v>
      </c>
      <c r="IH10" s="47"/>
      <c r="II10" s="44">
        <v>425866.72368</v>
      </c>
      <c r="IJ10" s="44">
        <v>125315.3972833</v>
      </c>
      <c r="IK10" s="44">
        <v>84527.8350813</v>
      </c>
      <c r="IL10" s="44">
        <v>37102.737876300002</v>
      </c>
      <c r="IM10" s="44">
        <v>26901.702446299998</v>
      </c>
      <c r="IN10" s="44">
        <v>12861.943558299999</v>
      </c>
      <c r="IO10" s="44">
        <v>4549.7802302</v>
      </c>
      <c r="IP10" s="351"/>
      <c r="IQ10" s="351">
        <v>443858.99968000001</v>
      </c>
      <c r="IR10" s="351">
        <v>133009.76866989999</v>
      </c>
      <c r="IS10" s="351">
        <v>90312.161562900001</v>
      </c>
      <c r="IT10" s="351">
        <v>40307.758179899996</v>
      </c>
      <c r="IU10" s="351">
        <v>29363.825105900003</v>
      </c>
      <c r="IV10" s="351">
        <v>14172.447229900001</v>
      </c>
      <c r="IW10" s="351">
        <v>5053.7833188000004</v>
      </c>
      <c r="IX10" s="351"/>
      <c r="IY10" s="351">
        <v>535188.99968000001</v>
      </c>
      <c r="IZ10" s="351">
        <v>149816.28822710001</v>
      </c>
      <c r="JA10" s="351">
        <v>100924.57496210001</v>
      </c>
      <c r="JB10" s="351">
        <v>44517.540290100005</v>
      </c>
      <c r="JC10" s="351">
        <v>32304.629638100003</v>
      </c>
      <c r="JD10" s="351">
        <v>15547.987514100001</v>
      </c>
      <c r="JE10" s="351">
        <v>5530.6389931000003</v>
      </c>
      <c r="JG10" s="47">
        <v>46570.168949999999</v>
      </c>
      <c r="JH10" s="47">
        <v>23637.215100000001</v>
      </c>
      <c r="JI10" s="47">
        <v>17730.42684</v>
      </c>
      <c r="JJ10" s="47">
        <v>9418.3140779999994</v>
      </c>
      <c r="JK10" s="47">
        <v>7170.4302889999999</v>
      </c>
      <c r="JL10" s="47">
        <v>3544.403405</v>
      </c>
      <c r="JM10" s="47">
        <v>1321.410564</v>
      </c>
      <c r="JN10" s="1034"/>
      <c r="JO10" s="47">
        <v>3180.0004690000001</v>
      </c>
      <c r="JP10" s="47">
        <v>1782.704342</v>
      </c>
      <c r="JQ10" s="47">
        <v>1452.561097</v>
      </c>
      <c r="JR10" s="47">
        <v>873.87154959999998</v>
      </c>
      <c r="JS10" s="47">
        <v>674.21915679999995</v>
      </c>
      <c r="JT10" s="47">
        <v>334.78037799999998</v>
      </c>
      <c r="JU10" s="47">
        <v>120.00215129999999</v>
      </c>
      <c r="JV10" s="77"/>
      <c r="JW10" s="47">
        <v>23296</v>
      </c>
      <c r="JX10" s="47">
        <v>12328.370269999999</v>
      </c>
      <c r="JY10" s="47">
        <v>10209.811470000001</v>
      </c>
      <c r="JZ10" s="47">
        <v>6702.5016729999998</v>
      </c>
      <c r="KA10" s="47">
        <v>5515.0793249999997</v>
      </c>
      <c r="KB10" s="47">
        <v>3300.1281090000002</v>
      </c>
      <c r="KC10" s="47">
        <v>1380.86436</v>
      </c>
      <c r="KD10" s="77"/>
      <c r="KE10" s="47">
        <v>18957.99955</v>
      </c>
      <c r="KF10" s="47">
        <v>9396.2743460000002</v>
      </c>
      <c r="KG10" s="47">
        <v>7215.1788690000003</v>
      </c>
      <c r="KH10" s="47">
        <v>3795.0720310000002</v>
      </c>
      <c r="KI10" s="47">
        <v>2891.898741</v>
      </c>
      <c r="KJ10" s="47">
        <v>1532.1928849999999</v>
      </c>
      <c r="KK10" s="47">
        <v>608.42562429999998</v>
      </c>
      <c r="KL10" s="77"/>
      <c r="KM10" s="47">
        <v>19100.00029</v>
      </c>
      <c r="KN10" s="47">
        <v>2874.2798859999998</v>
      </c>
      <c r="KO10" s="47">
        <v>1335.4091559999999</v>
      </c>
      <c r="KP10" s="47">
        <v>203.59189459999999</v>
      </c>
      <c r="KQ10" s="47">
        <v>102.6093075</v>
      </c>
      <c r="KR10" s="47">
        <v>19.468977209999998</v>
      </c>
      <c r="KS10" s="47">
        <v>1.9353090610000001</v>
      </c>
      <c r="KT10" s="77"/>
      <c r="KU10" s="47">
        <v>31268</v>
      </c>
      <c r="KV10" s="47">
        <v>7851.8526279999996</v>
      </c>
      <c r="KW10" s="47">
        <v>4510.0340550000001</v>
      </c>
      <c r="KX10" s="47">
        <v>1246.7107140000001</v>
      </c>
      <c r="KY10" s="47">
        <v>752.82227490000002</v>
      </c>
      <c r="KZ10" s="47">
        <v>234.03999640000001</v>
      </c>
      <c r="LA10" s="47">
        <v>56.425701109999999</v>
      </c>
      <c r="LB10" s="77"/>
      <c r="LC10" s="1034">
        <v>18520</v>
      </c>
      <c r="LD10" s="1034">
        <v>1053.1787400000001</v>
      </c>
      <c r="LE10" s="1034">
        <v>667.75211999999999</v>
      </c>
      <c r="LF10" s="1034">
        <v>223.32056</v>
      </c>
      <c r="LG10" s="1034">
        <v>125.2968</v>
      </c>
      <c r="LH10" s="1034">
        <v>21.811779999999999</v>
      </c>
      <c r="LI10" s="1034">
        <v>2.76084</v>
      </c>
      <c r="LJ10" s="77"/>
      <c r="LK10" s="1034">
        <v>2638</v>
      </c>
      <c r="LL10" s="1034">
        <v>1697.32077149</v>
      </c>
      <c r="LM10" s="1034">
        <v>1409.0221876399999</v>
      </c>
      <c r="LN10" s="1034">
        <v>820.68973473999995</v>
      </c>
      <c r="LO10" s="1034">
        <v>631.95299170999999</v>
      </c>
      <c r="LP10" s="1034">
        <v>341.00116001000004</v>
      </c>
      <c r="LQ10" s="1034">
        <v>160.49437467999999</v>
      </c>
    </row>
    <row r="11" spans="1:329" s="43" customFormat="1" ht="9.75" customHeight="1" x14ac:dyDescent="0.2">
      <c r="A11" s="48">
        <v>1963</v>
      </c>
      <c r="B11" s="47">
        <v>375427.64399000001</v>
      </c>
      <c r="C11" s="47">
        <v>116926.07377230001</v>
      </c>
      <c r="D11" s="47">
        <v>76568.705505799997</v>
      </c>
      <c r="E11" s="47">
        <v>30889.566613299998</v>
      </c>
      <c r="F11" s="47">
        <v>20515.409089000001</v>
      </c>
      <c r="G11" s="47">
        <v>7718.4042259999997</v>
      </c>
      <c r="H11" s="47">
        <v>2102.2794100000001</v>
      </c>
      <c r="I11" s="47"/>
      <c r="J11" s="47">
        <v>571764.057745</v>
      </c>
      <c r="K11" s="47">
        <v>193096.03393954999</v>
      </c>
      <c r="L11" s="47">
        <v>135090.67898405003</v>
      </c>
      <c r="M11" s="47">
        <v>64642.695264550006</v>
      </c>
      <c r="N11" s="47">
        <v>48462.210707049999</v>
      </c>
      <c r="O11" s="47">
        <v>24303.49062955</v>
      </c>
      <c r="P11" s="47">
        <v>9060.0270535500003</v>
      </c>
      <c r="Q11" s="47"/>
      <c r="R11" s="47">
        <v>601844.057745</v>
      </c>
      <c r="S11" s="47">
        <v>194631.61751454999</v>
      </c>
      <c r="T11" s="47">
        <v>136018.51899404998</v>
      </c>
      <c r="U11" s="47">
        <v>64924.427059549998</v>
      </c>
      <c r="V11" s="47">
        <v>48622.514827049999</v>
      </c>
      <c r="W11" s="47">
        <v>24331.215624550001</v>
      </c>
      <c r="X11" s="47">
        <v>9063.4046235499991</v>
      </c>
      <c r="Y11" s="47"/>
      <c r="Z11" s="47">
        <v>571764.49962499994</v>
      </c>
      <c r="AA11" s="47">
        <v>158492.45050650003</v>
      </c>
      <c r="AB11" s="47">
        <v>107369.48066649999</v>
      </c>
      <c r="AC11" s="47">
        <v>48428.363501500004</v>
      </c>
      <c r="AD11" s="47">
        <v>35475.302281000004</v>
      </c>
      <c r="AE11" s="47">
        <v>17211.789924500001</v>
      </c>
      <c r="AF11" s="47">
        <v>6186.0838640000002</v>
      </c>
      <c r="AG11" s="47"/>
      <c r="AH11" s="47">
        <v>382673.98833000002</v>
      </c>
      <c r="AI11" s="47">
        <v>120444.63016514998</v>
      </c>
      <c r="AJ11" s="47">
        <v>78623.877525649994</v>
      </c>
      <c r="AK11" s="47">
        <v>31608.761511149998</v>
      </c>
      <c r="AL11" s="47">
        <v>21002.013964149999</v>
      </c>
      <c r="AM11" s="47">
        <v>7911.7582116499998</v>
      </c>
      <c r="AN11" s="47">
        <v>2159.0945051999997</v>
      </c>
      <c r="AO11" s="47"/>
      <c r="AP11" s="47">
        <v>383113.20591000002</v>
      </c>
      <c r="AQ11" s="47">
        <v>120717.36206680001</v>
      </c>
      <c r="AR11" s="47">
        <v>78883.773411300004</v>
      </c>
      <c r="AS11" s="47">
        <v>31842.860472799999</v>
      </c>
      <c r="AT11" s="47">
        <v>21203.560750299999</v>
      </c>
      <c r="AU11" s="47">
        <v>8017.7654212999996</v>
      </c>
      <c r="AV11" s="47">
        <v>2208.04650485</v>
      </c>
      <c r="AW11" s="47"/>
      <c r="AX11" s="47">
        <v>384864.20591000002</v>
      </c>
      <c r="AY11" s="47">
        <v>122320.3141968</v>
      </c>
      <c r="AZ11" s="47">
        <v>80478.573631300009</v>
      </c>
      <c r="BA11" s="47">
        <v>33247.880772800003</v>
      </c>
      <c r="BB11" s="47">
        <v>22309.107380300004</v>
      </c>
      <c r="BC11" s="47">
        <v>8548.6234112999991</v>
      </c>
      <c r="BD11" s="47">
        <v>2387.73483485</v>
      </c>
      <c r="BE11" s="47"/>
      <c r="BF11" s="47">
        <v>386061.05612000002</v>
      </c>
      <c r="BG11" s="47">
        <v>122737.35307054999</v>
      </c>
      <c r="BH11" s="47">
        <v>80809.45054505</v>
      </c>
      <c r="BI11" s="47">
        <v>33414.842307049999</v>
      </c>
      <c r="BJ11" s="47">
        <v>22416.287489050002</v>
      </c>
      <c r="BK11" s="47">
        <v>8585.2943985499987</v>
      </c>
      <c r="BL11" s="47">
        <v>2400.31860375</v>
      </c>
      <c r="BN11" s="47">
        <v>386061.05612000002</v>
      </c>
      <c r="BO11" s="47">
        <v>116584.33730520001</v>
      </c>
      <c r="BP11" s="47">
        <v>76431.065273200002</v>
      </c>
      <c r="BQ11" s="47">
        <v>30365.3440787</v>
      </c>
      <c r="BR11" s="47">
        <v>20859.48651305</v>
      </c>
      <c r="BS11" s="47">
        <v>8619.4556390500002</v>
      </c>
      <c r="BT11" s="47">
        <v>2544.2452776</v>
      </c>
      <c r="BU11" s="47"/>
      <c r="BV11" s="47">
        <v>388090.80312</v>
      </c>
      <c r="BW11" s="47">
        <v>118269.02731530002</v>
      </c>
      <c r="BX11" s="47">
        <v>77945.256535299995</v>
      </c>
      <c r="BY11" s="47">
        <v>31422.842265799998</v>
      </c>
      <c r="BZ11" s="47">
        <v>21726.188482050002</v>
      </c>
      <c r="CA11" s="47">
        <v>9132.9816300500006</v>
      </c>
      <c r="CB11" s="47">
        <v>2724.8927605999997</v>
      </c>
      <c r="CC11" s="44"/>
      <c r="CD11" s="47">
        <v>416230.80312</v>
      </c>
      <c r="CE11" s="47">
        <v>139566.63461275</v>
      </c>
      <c r="CF11" s="47">
        <v>97346.780995749999</v>
      </c>
      <c r="CG11" s="47">
        <v>46405.898937749997</v>
      </c>
      <c r="CH11" s="47">
        <v>34500.179934750005</v>
      </c>
      <c r="CI11" s="47">
        <v>17137.321353749998</v>
      </c>
      <c r="CJ11" s="47">
        <v>6222.1456357000006</v>
      </c>
      <c r="CL11" s="47">
        <v>441165.30312</v>
      </c>
      <c r="CM11" s="47">
        <v>153348.45600795001</v>
      </c>
      <c r="CN11" s="47">
        <v>108791.73134445</v>
      </c>
      <c r="CO11" s="47">
        <v>54177.719066450009</v>
      </c>
      <c r="CP11" s="47">
        <v>41018.477924450002</v>
      </c>
      <c r="CQ11" s="47">
        <v>20967.134314949999</v>
      </c>
      <c r="CR11" s="47">
        <v>7811.4709114500001</v>
      </c>
      <c r="CS11" s="47"/>
      <c r="CT11" s="47">
        <v>451672.30312</v>
      </c>
      <c r="CU11" s="47">
        <v>159743.93820814998</v>
      </c>
      <c r="CV11" s="47">
        <v>114326.68204665001</v>
      </c>
      <c r="CW11" s="47">
        <v>57834.764246150007</v>
      </c>
      <c r="CX11" s="47">
        <v>43965.820602649997</v>
      </c>
      <c r="CY11" s="47">
        <v>22610.908801649999</v>
      </c>
      <c r="CZ11" s="47">
        <v>8477.3869966500006</v>
      </c>
      <c r="DA11" s="47"/>
      <c r="DB11" s="47">
        <v>451672.30261999997</v>
      </c>
      <c r="DC11" s="47">
        <v>159992.49989144999</v>
      </c>
      <c r="DD11" s="47">
        <v>114558.07924295001</v>
      </c>
      <c r="DE11" s="47">
        <v>58268.228815950002</v>
      </c>
      <c r="DF11" s="47">
        <v>44366.306521949999</v>
      </c>
      <c r="DG11" s="47">
        <v>22956.38838995</v>
      </c>
      <c r="DH11" s="47">
        <v>8647.7696869499996</v>
      </c>
      <c r="DI11" s="47"/>
      <c r="DJ11" s="47">
        <v>472950.65761999995</v>
      </c>
      <c r="DK11" s="47">
        <v>166045.32160175001</v>
      </c>
      <c r="DL11" s="47">
        <v>119229.36787525</v>
      </c>
      <c r="DM11" s="47">
        <v>60699.022918750001</v>
      </c>
      <c r="DN11" s="47">
        <v>46133.317984250003</v>
      </c>
      <c r="DO11" s="47">
        <v>23621.68576475</v>
      </c>
      <c r="DP11" s="47">
        <v>8902.5421012499992</v>
      </c>
      <c r="DQ11" s="47"/>
      <c r="DR11" s="47">
        <v>495525.15753886627</v>
      </c>
      <c r="DS11" s="47">
        <v>174165.31336154029</v>
      </c>
      <c r="DT11" s="47">
        <v>124355.52168349213</v>
      </c>
      <c r="DU11" s="47">
        <v>62157.769588256779</v>
      </c>
      <c r="DV11" s="47">
        <v>47043.049774474668</v>
      </c>
      <c r="DW11" s="47">
        <v>23907.638395977974</v>
      </c>
      <c r="DX11" s="47">
        <v>8979.7363680567869</v>
      </c>
      <c r="DY11" s="297"/>
      <c r="DZ11" s="47">
        <v>507432.15774721344</v>
      </c>
      <c r="EA11" s="47">
        <v>176219.50058380427</v>
      </c>
      <c r="EB11" s="47">
        <v>125295.40782940394</v>
      </c>
      <c r="EC11" s="47">
        <v>62281.129659929611</v>
      </c>
      <c r="ED11" s="47">
        <v>47113.824024522852</v>
      </c>
      <c r="EE11" s="47">
        <v>23921.606264952025</v>
      </c>
      <c r="EF11" s="47">
        <v>8981.2578637806891</v>
      </c>
      <c r="EG11" s="542"/>
      <c r="EH11" s="47">
        <v>515868.65774720651</v>
      </c>
      <c r="EI11" s="47">
        <v>178853.52853997191</v>
      </c>
      <c r="EJ11" s="47">
        <v>126768.34139835862</v>
      </c>
      <c r="EK11" s="47">
        <v>62482.498622139858</v>
      </c>
      <c r="EL11" s="47">
        <v>47165.317820424418</v>
      </c>
      <c r="EM11" s="47">
        <v>23920.562044706217</v>
      </c>
      <c r="EN11" s="47">
        <v>8984.5577861548009</v>
      </c>
      <c r="EO11" s="47"/>
      <c r="EP11" s="47">
        <v>534944.557745</v>
      </c>
      <c r="EQ11" s="47">
        <v>183744.0324696</v>
      </c>
      <c r="ER11" s="47">
        <v>129535.4448886</v>
      </c>
      <c r="ES11" s="47">
        <v>63087.656196600001</v>
      </c>
      <c r="ET11" s="47">
        <v>47531.993574100001</v>
      </c>
      <c r="EU11" s="47">
        <v>24008.980957600001</v>
      </c>
      <c r="EV11" s="47">
        <v>8993.0463545999992</v>
      </c>
      <c r="EW11" s="47"/>
      <c r="EX11" s="47">
        <v>571764.057745</v>
      </c>
      <c r="EY11" s="47">
        <v>193096.03393954999</v>
      </c>
      <c r="EZ11" s="47">
        <v>135090.67898405003</v>
      </c>
      <c r="FA11" s="47">
        <v>64642.695264550006</v>
      </c>
      <c r="FB11" s="47">
        <v>48462.210707049999</v>
      </c>
      <c r="FC11" s="47">
        <v>24303.49062955</v>
      </c>
      <c r="FD11" s="47">
        <v>9060.0270535500003</v>
      </c>
      <c r="FE11" s="47"/>
      <c r="FF11" s="47">
        <v>587990.557745</v>
      </c>
      <c r="FG11" s="47">
        <v>194109.84552454998</v>
      </c>
      <c r="FH11" s="47">
        <v>135775.81979405001</v>
      </c>
      <c r="FI11" s="47">
        <v>64877.168189550008</v>
      </c>
      <c r="FJ11" s="47">
        <v>48599.257767050003</v>
      </c>
      <c r="FK11" s="47">
        <v>24326.617834550001</v>
      </c>
      <c r="FL11" s="47">
        <v>9062.9478235499992</v>
      </c>
      <c r="FN11" s="47">
        <v>590969.557745</v>
      </c>
      <c r="FO11" s="47">
        <v>194174.81751455</v>
      </c>
      <c r="FP11" s="47">
        <v>135790.11899405002</v>
      </c>
      <c r="FQ11" s="47">
        <v>64878.747059550005</v>
      </c>
      <c r="FR11" s="47">
        <v>48599.674827049996</v>
      </c>
      <c r="FS11" s="47">
        <v>24326.647624550002</v>
      </c>
      <c r="FT11" s="47">
        <v>9062.9478235499992</v>
      </c>
      <c r="FV11" s="47">
        <v>599574.557745</v>
      </c>
      <c r="FW11" s="47">
        <v>194631.61751454999</v>
      </c>
      <c r="FX11" s="47">
        <v>136018.51899404998</v>
      </c>
      <c r="FY11" s="47">
        <v>64924.427059549998</v>
      </c>
      <c r="FZ11" s="47">
        <v>48622.514827049999</v>
      </c>
      <c r="GA11" s="47">
        <v>24331.215624550001</v>
      </c>
      <c r="GB11" s="47">
        <v>9063.4046235499991</v>
      </c>
      <c r="GC11" s="47"/>
      <c r="GE11" s="47">
        <v>599574.557745</v>
      </c>
      <c r="GF11" s="47">
        <v>194631.61751454999</v>
      </c>
      <c r="GG11" s="47">
        <v>136018.51899404998</v>
      </c>
      <c r="GH11" s="47">
        <v>64924.427059549998</v>
      </c>
      <c r="GI11" s="47">
        <v>48622.514827049999</v>
      </c>
      <c r="GJ11" s="47">
        <v>24331.215624550001</v>
      </c>
      <c r="GK11" s="47">
        <v>9063.4046235499991</v>
      </c>
      <c r="GM11" s="47">
        <v>601844.057745</v>
      </c>
      <c r="GN11" s="47">
        <v>194631.61751454999</v>
      </c>
      <c r="GO11" s="47">
        <v>136018.51899404998</v>
      </c>
      <c r="GP11" s="47">
        <v>64924.427059549998</v>
      </c>
      <c r="GQ11" s="47">
        <v>48622.514827049999</v>
      </c>
      <c r="GR11" s="47">
        <v>24331.215624550001</v>
      </c>
      <c r="GS11" s="47">
        <v>9063.4046235499991</v>
      </c>
      <c r="GT11" s="187"/>
      <c r="GU11" s="47">
        <v>552569.77688000002</v>
      </c>
      <c r="GV11" s="47">
        <v>168740.10981374999</v>
      </c>
      <c r="GW11" s="47">
        <v>116451.59450775001</v>
      </c>
      <c r="GX11" s="47">
        <v>54720.183876750001</v>
      </c>
      <c r="GY11" s="47">
        <v>40840.64074725</v>
      </c>
      <c r="GZ11" s="47">
        <v>20389.733847249998</v>
      </c>
      <c r="HA11" s="47">
        <v>7500.4688492499999</v>
      </c>
      <c r="HC11" s="47">
        <v>548970.77659999998</v>
      </c>
      <c r="HD11" s="47">
        <v>166780.85011735003</v>
      </c>
      <c r="HE11" s="47">
        <v>114984.99509235</v>
      </c>
      <c r="HF11" s="47">
        <v>53863.642795349995</v>
      </c>
      <c r="HG11" s="47">
        <v>40199.281383349997</v>
      </c>
      <c r="HH11" s="47">
        <v>19981.583440850001</v>
      </c>
      <c r="HI11" s="47">
        <v>7362.6331093500003</v>
      </c>
      <c r="HJ11" s="47"/>
      <c r="HK11" s="47">
        <v>524036.27659999998</v>
      </c>
      <c r="HL11" s="47">
        <v>153056.80713165001</v>
      </c>
      <c r="HM11" s="47">
        <v>103550.34160815</v>
      </c>
      <c r="HN11" s="47">
        <v>45965.734803650004</v>
      </c>
      <c r="HO11" s="47">
        <v>33683.996596149998</v>
      </c>
      <c r="HP11" s="47">
        <v>16220.20754365</v>
      </c>
      <c r="HQ11" s="47">
        <v>5815.2299272</v>
      </c>
      <c r="HS11" s="47">
        <v>503713.77662000002</v>
      </c>
      <c r="HT11" s="47">
        <v>143262.58015340002</v>
      </c>
      <c r="HU11" s="47">
        <v>95913.965262400001</v>
      </c>
      <c r="HV11" s="47">
        <v>41803.770905400001</v>
      </c>
      <c r="HW11" s="47">
        <v>30354.456710399998</v>
      </c>
      <c r="HX11" s="47">
        <v>14474.983102900002</v>
      </c>
      <c r="HY11" s="47">
        <v>5142.8393077000001</v>
      </c>
      <c r="HZ11" s="47"/>
      <c r="IA11" s="47">
        <v>482963.776625</v>
      </c>
      <c r="IB11" s="47">
        <v>139554.50192444999</v>
      </c>
      <c r="IC11" s="47">
        <v>94125.973006949993</v>
      </c>
      <c r="ID11" s="47">
        <v>41508.672140950002</v>
      </c>
      <c r="IE11" s="47">
        <v>30243.444473449999</v>
      </c>
      <c r="IF11" s="47">
        <v>14469.329138450001</v>
      </c>
      <c r="IG11" s="47">
        <v>5145.8134722499999</v>
      </c>
      <c r="IH11" s="47"/>
      <c r="II11" s="47">
        <v>456821.776625</v>
      </c>
      <c r="IJ11" s="47">
        <v>132824.8085056</v>
      </c>
      <c r="IK11" s="47">
        <v>90087.955847100005</v>
      </c>
      <c r="IL11" s="47">
        <v>40417.346440599998</v>
      </c>
      <c r="IM11" s="47">
        <v>29581.677348600002</v>
      </c>
      <c r="IN11" s="47">
        <v>14260.804106600001</v>
      </c>
      <c r="IO11" s="47">
        <v>5089.9808640499996</v>
      </c>
      <c r="IP11" s="351"/>
      <c r="IQ11" s="351">
        <v>475390.999625</v>
      </c>
      <c r="IR11" s="351">
        <v>140914.39174399999</v>
      </c>
      <c r="IS11" s="351">
        <v>96208.567382000008</v>
      </c>
      <c r="IT11" s="351">
        <v>43889.438575499997</v>
      </c>
      <c r="IU11" s="351">
        <v>32283.713222500002</v>
      </c>
      <c r="IV11" s="351">
        <v>15711.551491</v>
      </c>
      <c r="IW11" s="351">
        <v>5660.4635344500002</v>
      </c>
      <c r="IX11" s="351"/>
      <c r="IY11" s="351">
        <v>571764.49962499994</v>
      </c>
      <c r="IZ11" s="351">
        <v>158492.45050650003</v>
      </c>
      <c r="JA11" s="351">
        <v>107369.48066649999</v>
      </c>
      <c r="JB11" s="351">
        <v>48428.363501500004</v>
      </c>
      <c r="JC11" s="351">
        <v>35475.302281000004</v>
      </c>
      <c r="JD11" s="351">
        <v>17211.789924500001</v>
      </c>
      <c r="JE11" s="351">
        <v>6186.0838640000002</v>
      </c>
      <c r="JG11" s="47">
        <v>46302.780870000002</v>
      </c>
      <c r="JH11" s="47">
        <v>24007.43549</v>
      </c>
      <c r="JI11" s="47">
        <v>18114.374510000001</v>
      </c>
      <c r="JJ11" s="47">
        <v>9833.0898030000008</v>
      </c>
      <c r="JK11" s="47">
        <v>7528.0556779999997</v>
      </c>
      <c r="JL11" s="47">
        <v>3802.3714199999999</v>
      </c>
      <c r="JM11" s="47">
        <v>1441.6229719999999</v>
      </c>
      <c r="JN11" s="1034"/>
      <c r="JO11" s="47">
        <v>3599.0002810000001</v>
      </c>
      <c r="JP11" s="47">
        <v>1913.948787</v>
      </c>
      <c r="JQ11" s="47">
        <v>1530.5957800000001</v>
      </c>
      <c r="JR11" s="47">
        <v>910.5920691</v>
      </c>
      <c r="JS11" s="47">
        <v>694.24386560000005</v>
      </c>
      <c r="JT11" s="47">
        <v>345.76980980000002</v>
      </c>
      <c r="JU11" s="47">
        <v>123.9173242</v>
      </c>
      <c r="JV11" s="77"/>
      <c r="JW11" s="47">
        <v>24934.5</v>
      </c>
      <c r="JX11" s="47">
        <v>13466.389080000001</v>
      </c>
      <c r="JY11" s="47">
        <v>11247.74928</v>
      </c>
      <c r="JZ11" s="47">
        <v>7496.5234389999996</v>
      </c>
      <c r="KA11" s="47">
        <v>6253.5254439999999</v>
      </c>
      <c r="KB11" s="47">
        <v>3756.2281050000001</v>
      </c>
      <c r="KC11" s="47">
        <v>1581.9281539999999</v>
      </c>
      <c r="KD11" s="77"/>
      <c r="KE11" s="47">
        <v>20322.499980000001</v>
      </c>
      <c r="KF11" s="47">
        <v>9965.1958890000005</v>
      </c>
      <c r="KG11" s="47">
        <v>7723.9823100000003</v>
      </c>
      <c r="KH11" s="47">
        <v>4232.260663</v>
      </c>
      <c r="KI11" s="47">
        <v>3267.7855490000002</v>
      </c>
      <c r="KJ11" s="47">
        <v>1741.999125</v>
      </c>
      <c r="KK11" s="47">
        <v>692.04753740000001</v>
      </c>
      <c r="KL11" s="77"/>
      <c r="KM11" s="47">
        <v>20750</v>
      </c>
      <c r="KN11" s="47">
        <v>3290.970249</v>
      </c>
      <c r="KO11" s="47">
        <v>1529.2533679999999</v>
      </c>
      <c r="KP11" s="47">
        <v>223.7507214</v>
      </c>
      <c r="KQ11" s="47">
        <v>111.524227</v>
      </c>
      <c r="KR11" s="47">
        <v>21.619854019999998</v>
      </c>
      <c r="KS11" s="47">
        <v>2.1362391180000002</v>
      </c>
      <c r="KT11" s="77"/>
      <c r="KU11" s="47">
        <v>33562.5</v>
      </c>
      <c r="KV11" s="47">
        <v>8510.6303970000008</v>
      </c>
      <c r="KW11" s="47">
        <v>4898.3003849999996</v>
      </c>
      <c r="KX11" s="47">
        <v>1352.958075</v>
      </c>
      <c r="KY11" s="47">
        <v>819.58859570000004</v>
      </c>
      <c r="KZ11" s="47">
        <v>255.7447702</v>
      </c>
      <c r="LA11" s="47">
        <v>62.539589730000003</v>
      </c>
      <c r="LB11" s="77"/>
      <c r="LC11" s="1034">
        <v>19205.5</v>
      </c>
      <c r="LD11" s="1034">
        <v>1078.7835749999999</v>
      </c>
      <c r="LE11" s="1034">
        <v>699.44001000000003</v>
      </c>
      <c r="LF11" s="1034">
        <v>236.051795</v>
      </c>
      <c r="LG11" s="1034">
        <v>137.46412000000001</v>
      </c>
      <c r="LH11" s="1034">
        <v>23.156994999999998</v>
      </c>
      <c r="LI11" s="1034">
        <v>2.9207700000000001</v>
      </c>
      <c r="LJ11" s="77"/>
      <c r="LK11" s="1034">
        <v>2971.5</v>
      </c>
      <c r="LL11" s="1034">
        <v>1913.9581167400002</v>
      </c>
      <c r="LM11" s="1034">
        <v>1585.4720894999998</v>
      </c>
      <c r="LN11" s="1034">
        <v>922.17617297000004</v>
      </c>
      <c r="LO11" s="1034">
        <v>705.14745878999997</v>
      </c>
      <c r="LP11" s="1034">
        <v>383.56546137999999</v>
      </c>
      <c r="LQ11" s="1034">
        <v>183.35724963000001</v>
      </c>
    </row>
    <row r="12" spans="1:329" s="43" customFormat="1" ht="9.75" customHeight="1" x14ac:dyDescent="0.2">
      <c r="A12" s="48">
        <v>1964</v>
      </c>
      <c r="B12" s="47">
        <v>400008.09563</v>
      </c>
      <c r="C12" s="47">
        <v>120806.64417699999</v>
      </c>
      <c r="D12" s="47">
        <v>79170.026958999995</v>
      </c>
      <c r="E12" s="47">
        <v>32525.503257999997</v>
      </c>
      <c r="F12" s="47">
        <v>21620.583327</v>
      </c>
      <c r="G12" s="47">
        <v>8140.8902959999996</v>
      </c>
      <c r="H12" s="47">
        <v>2241.4160149999998</v>
      </c>
      <c r="I12" s="47"/>
      <c r="J12" s="47">
        <v>608340.22254999995</v>
      </c>
      <c r="K12" s="47">
        <v>203946.71184400003</v>
      </c>
      <c r="L12" s="47">
        <v>143416.40479500004</v>
      </c>
      <c r="M12" s="47">
        <v>69770.498011000003</v>
      </c>
      <c r="N12" s="47">
        <v>52762.279062000001</v>
      </c>
      <c r="O12" s="47">
        <v>26729.033102000001</v>
      </c>
      <c r="P12" s="47">
        <v>10033.798360000001</v>
      </c>
      <c r="Q12" s="47"/>
      <c r="R12" s="47">
        <v>639657.22254999995</v>
      </c>
      <c r="S12" s="47">
        <v>205511.90025399998</v>
      </c>
      <c r="T12" s="47">
        <v>144377.932695</v>
      </c>
      <c r="U12" s="47">
        <v>70065.361040999996</v>
      </c>
      <c r="V12" s="47">
        <v>52934.950502</v>
      </c>
      <c r="W12" s="47">
        <v>26758.143312</v>
      </c>
      <c r="X12" s="47">
        <v>10037.33986</v>
      </c>
      <c r="Y12" s="47"/>
      <c r="Z12" s="47">
        <v>608339.99956999999</v>
      </c>
      <c r="AA12" s="47">
        <v>167168.61278590001</v>
      </c>
      <c r="AB12" s="47">
        <v>113814.38637089999</v>
      </c>
      <c r="AC12" s="47">
        <v>52339.186712900002</v>
      </c>
      <c r="AD12" s="47">
        <v>38645.974923900001</v>
      </c>
      <c r="AE12" s="47">
        <v>18875.5923349</v>
      </c>
      <c r="AF12" s="47">
        <v>6841.5287349</v>
      </c>
      <c r="AG12" s="47"/>
      <c r="AH12" s="47">
        <v>407232.12897000002</v>
      </c>
      <c r="AI12" s="47">
        <v>124264.34875259998</v>
      </c>
      <c r="AJ12" s="47">
        <v>81186.12207859999</v>
      </c>
      <c r="AK12" s="47">
        <v>33232.484987600001</v>
      </c>
      <c r="AL12" s="47">
        <v>22101.497248599997</v>
      </c>
      <c r="AM12" s="47">
        <v>8335.2847715999997</v>
      </c>
      <c r="AN12" s="47">
        <v>2299.7610175999998</v>
      </c>
      <c r="AO12" s="47"/>
      <c r="AP12" s="47">
        <v>407757.36757</v>
      </c>
      <c r="AQ12" s="47">
        <v>124577.89712940001</v>
      </c>
      <c r="AR12" s="47">
        <v>81497.803731399996</v>
      </c>
      <c r="AS12" s="47">
        <v>33513.586146399997</v>
      </c>
      <c r="AT12" s="47">
        <v>22338.417661399999</v>
      </c>
      <c r="AU12" s="47">
        <v>8447.4353673999994</v>
      </c>
      <c r="AV12" s="47">
        <v>2348.9200992999999</v>
      </c>
      <c r="AW12" s="47"/>
      <c r="AX12" s="47">
        <v>409655.36757</v>
      </c>
      <c r="AY12" s="47">
        <v>126301.2241894</v>
      </c>
      <c r="AZ12" s="47">
        <v>83204.826971400005</v>
      </c>
      <c r="BA12" s="47">
        <v>35006.742746400007</v>
      </c>
      <c r="BB12" s="47">
        <v>23514.930921400002</v>
      </c>
      <c r="BC12" s="47">
        <v>9017.0441473999999</v>
      </c>
      <c r="BD12" s="47">
        <v>2541.3203592999998</v>
      </c>
      <c r="BE12" s="47"/>
      <c r="BF12" s="44">
        <v>411120.76851000002</v>
      </c>
      <c r="BG12" s="44">
        <v>126810.9984899</v>
      </c>
      <c r="BH12" s="44">
        <v>83616.339112899994</v>
      </c>
      <c r="BI12" s="44">
        <v>35225.950119900001</v>
      </c>
      <c r="BJ12" s="44">
        <v>23663.764492900002</v>
      </c>
      <c r="BK12" s="44">
        <v>9068.3669078999992</v>
      </c>
      <c r="BL12" s="44">
        <v>2558.9702575000001</v>
      </c>
      <c r="BN12" s="44">
        <v>411120.76851000002</v>
      </c>
      <c r="BO12" s="44">
        <v>121310.47985790002</v>
      </c>
      <c r="BP12" s="44">
        <v>79593.533912900006</v>
      </c>
      <c r="BQ12" s="44">
        <v>31778.682645900004</v>
      </c>
      <c r="BR12" s="44">
        <v>21872.413311100001</v>
      </c>
      <c r="BS12" s="44">
        <v>9104.341811100001</v>
      </c>
      <c r="BT12" s="44">
        <v>2711.6772549000002</v>
      </c>
      <c r="BU12" s="44"/>
      <c r="BV12" s="47">
        <v>413522.24550999998</v>
      </c>
      <c r="BW12" s="47">
        <v>123303.7057681</v>
      </c>
      <c r="BX12" s="47">
        <v>81385.035755100005</v>
      </c>
      <c r="BY12" s="47">
        <v>33029.852163099997</v>
      </c>
      <c r="BZ12" s="47">
        <v>22897.843990100002</v>
      </c>
      <c r="CA12" s="47">
        <v>9711.9154921000008</v>
      </c>
      <c r="CB12" s="47">
        <v>2925.4087079000001</v>
      </c>
      <c r="CC12" s="44"/>
      <c r="CD12" s="47">
        <v>444881.24550999998</v>
      </c>
      <c r="CE12" s="47">
        <v>147353.69065479998</v>
      </c>
      <c r="CF12" s="47">
        <v>103441.3281558</v>
      </c>
      <c r="CG12" s="47">
        <v>50253.823548799999</v>
      </c>
      <c r="CH12" s="47">
        <v>37703.647815800003</v>
      </c>
      <c r="CI12" s="47">
        <v>18974.508190799999</v>
      </c>
      <c r="CJ12" s="47">
        <v>6980.9512388000003</v>
      </c>
      <c r="CL12" s="47">
        <v>471454.24550999998</v>
      </c>
      <c r="CM12" s="47">
        <v>162197.02151290004</v>
      </c>
      <c r="CN12" s="47">
        <v>115942.2443279</v>
      </c>
      <c r="CO12" s="47">
        <v>58832.587222900002</v>
      </c>
      <c r="CP12" s="47">
        <v>44978.819123900001</v>
      </c>
      <c r="CQ12" s="47">
        <v>23254.162997899999</v>
      </c>
      <c r="CR12" s="47">
        <v>8767.9000328999991</v>
      </c>
      <c r="CS12" s="47"/>
      <c r="CT12" s="47">
        <v>482432.24550999998</v>
      </c>
      <c r="CU12" s="47">
        <v>168991.06692869999</v>
      </c>
      <c r="CV12" s="47">
        <v>121878.55614570001</v>
      </c>
      <c r="CW12" s="47">
        <v>62917.195888700007</v>
      </c>
      <c r="CX12" s="47">
        <v>48278.517514700005</v>
      </c>
      <c r="CY12" s="47">
        <v>25095.1327747</v>
      </c>
      <c r="CZ12" s="47">
        <v>9517.8900137000001</v>
      </c>
      <c r="DA12" s="47"/>
      <c r="DB12" s="47">
        <v>482432.24450999999</v>
      </c>
      <c r="DC12" s="47">
        <v>169407.89074040001</v>
      </c>
      <c r="DD12" s="47">
        <v>122245.08761840001</v>
      </c>
      <c r="DE12" s="47">
        <v>63567.621482400005</v>
      </c>
      <c r="DF12" s="47">
        <v>48857.353796399999</v>
      </c>
      <c r="DG12" s="47">
        <v>25564.771584399998</v>
      </c>
      <c r="DH12" s="47">
        <v>9741.1142553999998</v>
      </c>
      <c r="DI12" s="47"/>
      <c r="DJ12" s="47">
        <v>501578.65151</v>
      </c>
      <c r="DK12" s="47">
        <v>174462.92860670001</v>
      </c>
      <c r="DL12" s="47">
        <v>126112.70609769999</v>
      </c>
      <c r="DM12" s="47">
        <v>65601.614678700003</v>
      </c>
      <c r="DN12" s="47">
        <v>50313.192997700004</v>
      </c>
      <c r="DO12" s="47">
        <v>26004.108667699998</v>
      </c>
      <c r="DP12" s="47">
        <v>9869.8175116999992</v>
      </c>
      <c r="DQ12" s="47"/>
      <c r="DR12" s="47">
        <v>525344.65242386493</v>
      </c>
      <c r="DS12" s="47">
        <v>182918.2831752513</v>
      </c>
      <c r="DT12" s="47">
        <v>131465.74951185426</v>
      </c>
      <c r="DU12" s="47">
        <v>67089.606041705963</v>
      </c>
      <c r="DV12" s="47">
        <v>51216.464800783237</v>
      </c>
      <c r="DW12" s="47">
        <v>26300.833446618773</v>
      </c>
      <c r="DX12" s="47">
        <v>9951.475914328621</v>
      </c>
      <c r="DY12" s="297"/>
      <c r="DZ12" s="47">
        <v>537976.65255468583</v>
      </c>
      <c r="EA12" s="47">
        <v>185196.29500541161</v>
      </c>
      <c r="EB12" s="47">
        <v>132526.310361285</v>
      </c>
      <c r="EC12" s="47">
        <v>67236.206780947992</v>
      </c>
      <c r="ED12" s="47">
        <v>51285.630386035758</v>
      </c>
      <c r="EE12" s="47">
        <v>26321.659737923477</v>
      </c>
      <c r="EF12" s="47">
        <v>9952.7030812682024</v>
      </c>
      <c r="EG12" s="542"/>
      <c r="EH12" s="47">
        <v>547218.65255468129</v>
      </c>
      <c r="EI12" s="47">
        <v>188167.17682291215</v>
      </c>
      <c r="EJ12" s="47">
        <v>134177.75715481731</v>
      </c>
      <c r="EK12" s="47">
        <v>67465.79616463506</v>
      </c>
      <c r="EL12" s="47">
        <v>51360.737135447285</v>
      </c>
      <c r="EM12" s="47">
        <v>26321.500299332598</v>
      </c>
      <c r="EN12" s="47">
        <v>9957.2314375870665</v>
      </c>
      <c r="EO12" s="47"/>
      <c r="EP12" s="47">
        <v>568489.22254999995</v>
      </c>
      <c r="EQ12" s="47">
        <v>193782.82767660002</v>
      </c>
      <c r="ER12" s="47">
        <v>137365.2917376</v>
      </c>
      <c r="ES12" s="47">
        <v>68118.300465599998</v>
      </c>
      <c r="ET12" s="47">
        <v>51743.445935600001</v>
      </c>
      <c r="EU12" s="47">
        <v>26401.175519600001</v>
      </c>
      <c r="EV12" s="47">
        <v>9962.7423636000003</v>
      </c>
      <c r="EW12" s="47"/>
      <c r="EX12" s="47">
        <v>608340.22254999995</v>
      </c>
      <c r="EY12" s="47">
        <v>203946.71184400003</v>
      </c>
      <c r="EZ12" s="47">
        <v>143416.40479500004</v>
      </c>
      <c r="FA12" s="47">
        <v>69770.498011000003</v>
      </c>
      <c r="FB12" s="47">
        <v>52762.279062000001</v>
      </c>
      <c r="FC12" s="47">
        <v>26729.033102000001</v>
      </c>
      <c r="FD12" s="47">
        <v>10033.798360000001</v>
      </c>
      <c r="FE12" s="47"/>
      <c r="FF12" s="47">
        <v>625455.22254999995</v>
      </c>
      <c r="FG12" s="47">
        <v>204990.55569399998</v>
      </c>
      <c r="FH12" s="47">
        <v>144134.207895</v>
      </c>
      <c r="FI12" s="47">
        <v>70017.809761000011</v>
      </c>
      <c r="FJ12" s="47">
        <v>52911.521862000001</v>
      </c>
      <c r="FK12" s="47">
        <v>26753.507551999999</v>
      </c>
      <c r="FL12" s="47">
        <v>10036.879059999999</v>
      </c>
      <c r="FN12" s="47">
        <v>628231.22254999995</v>
      </c>
      <c r="FO12" s="47">
        <v>205051.10025399999</v>
      </c>
      <c r="FP12" s="47">
        <v>144147.532695</v>
      </c>
      <c r="FQ12" s="47">
        <v>70019.281041000009</v>
      </c>
      <c r="FR12" s="47">
        <v>52911.910501999999</v>
      </c>
      <c r="FS12" s="47">
        <v>26753.535312</v>
      </c>
      <c r="FT12" s="47">
        <v>10036.879059999999</v>
      </c>
      <c r="FV12" s="44">
        <v>637095.22254999995</v>
      </c>
      <c r="FW12" s="44">
        <v>205511.90025399998</v>
      </c>
      <c r="FX12" s="44">
        <v>144377.932695</v>
      </c>
      <c r="FY12" s="44">
        <v>70065.361040999996</v>
      </c>
      <c r="FZ12" s="44">
        <v>52934.950502</v>
      </c>
      <c r="GA12" s="44">
        <v>26758.143312</v>
      </c>
      <c r="GB12" s="44">
        <v>10037.33986</v>
      </c>
      <c r="GC12" s="44"/>
      <c r="GE12" s="47">
        <v>637095.22254999995</v>
      </c>
      <c r="GF12" s="47">
        <v>205511.90025399998</v>
      </c>
      <c r="GG12" s="47">
        <v>144377.932695</v>
      </c>
      <c r="GH12" s="47">
        <v>70065.361040999996</v>
      </c>
      <c r="GI12" s="47">
        <v>52934.950502</v>
      </c>
      <c r="GJ12" s="47">
        <v>26758.143312</v>
      </c>
      <c r="GK12" s="47">
        <v>10037.33986</v>
      </c>
      <c r="GM12" s="47">
        <v>639657.22254999995</v>
      </c>
      <c r="GN12" s="47">
        <v>205511.90025399998</v>
      </c>
      <c r="GO12" s="47">
        <v>144377.932695</v>
      </c>
      <c r="GP12" s="47">
        <v>70065.361040999996</v>
      </c>
      <c r="GQ12" s="47">
        <v>52934.950502</v>
      </c>
      <c r="GR12" s="47">
        <v>26758.143312</v>
      </c>
      <c r="GS12" s="47">
        <v>10037.33986</v>
      </c>
      <c r="GT12" s="187"/>
      <c r="GU12" s="44">
        <v>590316.82976999995</v>
      </c>
      <c r="GV12" s="47">
        <v>179078.11394259997</v>
      </c>
      <c r="GW12" s="47">
        <v>124238.3380566</v>
      </c>
      <c r="GX12" s="47">
        <v>59409.471819600003</v>
      </c>
      <c r="GY12" s="47">
        <v>44788.8421256</v>
      </c>
      <c r="GZ12" s="47">
        <v>22551.573956599997</v>
      </c>
      <c r="HA12" s="47">
        <v>8341.8256235999997</v>
      </c>
      <c r="HC12" s="44">
        <v>586298.82967999997</v>
      </c>
      <c r="HD12" s="47">
        <v>176996.18876620001</v>
      </c>
      <c r="HE12" s="47">
        <v>122677.52835820001</v>
      </c>
      <c r="HF12" s="47">
        <v>58510.618251199994</v>
      </c>
      <c r="HG12" s="47">
        <v>44107.633359200001</v>
      </c>
      <c r="HH12" s="47">
        <v>22030.0599382</v>
      </c>
      <c r="HI12" s="47">
        <v>8200.3159892000003</v>
      </c>
      <c r="HJ12" s="47"/>
      <c r="HK12" s="44">
        <v>559725.82967999997</v>
      </c>
      <c r="HL12" s="47">
        <v>162187.30208590001</v>
      </c>
      <c r="HM12" s="47">
        <v>110233.98867190001</v>
      </c>
      <c r="HN12" s="47">
        <v>49788.729959900003</v>
      </c>
      <c r="HO12" s="47">
        <v>36805.410186900001</v>
      </c>
      <c r="HP12" s="47">
        <v>17854.472252899999</v>
      </c>
      <c r="HQ12" s="47">
        <v>6447.3358889000001</v>
      </c>
      <c r="HS12" s="44">
        <v>538038.82926999999</v>
      </c>
      <c r="HT12" s="47">
        <v>151712.96148890001</v>
      </c>
      <c r="HU12" s="47">
        <v>102038.27074090001</v>
      </c>
      <c r="HV12" s="47">
        <v>45199.729097899995</v>
      </c>
      <c r="HW12" s="47">
        <v>33085.235610899996</v>
      </c>
      <c r="HX12" s="47">
        <v>15886.209308900001</v>
      </c>
      <c r="HY12" s="47">
        <v>5686.5332459000001</v>
      </c>
      <c r="HZ12" s="47"/>
      <c r="IA12" s="44">
        <v>515638.82957</v>
      </c>
      <c r="IB12" s="47">
        <v>147546.9657576</v>
      </c>
      <c r="IC12" s="47">
        <v>100018.9020266</v>
      </c>
      <c r="ID12" s="47">
        <v>44934.1663816</v>
      </c>
      <c r="IE12" s="47">
        <v>32984.8340446</v>
      </c>
      <c r="IF12" s="47">
        <v>15897.053608599999</v>
      </c>
      <c r="IG12" s="47">
        <v>5694.3587606000001</v>
      </c>
      <c r="IH12" s="47"/>
      <c r="II12" s="44">
        <v>487776.82957</v>
      </c>
      <c r="IJ12" s="44">
        <v>140334.2197279</v>
      </c>
      <c r="IK12" s="44">
        <v>95648.076612900011</v>
      </c>
      <c r="IL12" s="44">
        <v>43731.955004899995</v>
      </c>
      <c r="IM12" s="44">
        <v>32261.652250900002</v>
      </c>
      <c r="IN12" s="44">
        <v>15659.6646549</v>
      </c>
      <c r="IO12" s="44">
        <v>5630.1814979000001</v>
      </c>
      <c r="IP12" s="351"/>
      <c r="IQ12" s="351">
        <v>506922.99956999999</v>
      </c>
      <c r="IR12" s="351">
        <v>148819.0148181</v>
      </c>
      <c r="IS12" s="351">
        <v>102104.9732011</v>
      </c>
      <c r="IT12" s="351">
        <v>47471.118971100004</v>
      </c>
      <c r="IU12" s="351">
        <v>35203.601339100001</v>
      </c>
      <c r="IV12" s="351">
        <v>17250.6557521</v>
      </c>
      <c r="IW12" s="351">
        <v>6267.1437501</v>
      </c>
      <c r="IX12" s="351"/>
      <c r="IY12" s="351">
        <v>608339.99956999999</v>
      </c>
      <c r="IZ12" s="351">
        <v>167168.61278590001</v>
      </c>
      <c r="JA12" s="351">
        <v>113814.38637089999</v>
      </c>
      <c r="JB12" s="351">
        <v>52339.186712900002</v>
      </c>
      <c r="JC12" s="351">
        <v>38645.974923900001</v>
      </c>
      <c r="JD12" s="351">
        <v>18875.5923349</v>
      </c>
      <c r="JE12" s="351">
        <v>6841.5287349</v>
      </c>
      <c r="JG12" s="47">
        <v>46035.392789999998</v>
      </c>
      <c r="JH12" s="47">
        <v>24377.655869999999</v>
      </c>
      <c r="JI12" s="47">
        <v>18498.322189999999</v>
      </c>
      <c r="JJ12" s="47">
        <v>10247.865529999999</v>
      </c>
      <c r="JK12" s="47">
        <v>7885.6810670000004</v>
      </c>
      <c r="JL12" s="47">
        <v>4060.3394349999999</v>
      </c>
      <c r="JM12" s="47">
        <v>1561.83538</v>
      </c>
      <c r="JN12" s="1034"/>
      <c r="JO12" s="47">
        <v>4018.0000920000002</v>
      </c>
      <c r="JP12" s="47">
        <v>2045.193231</v>
      </c>
      <c r="JQ12" s="47">
        <v>1608.630463</v>
      </c>
      <c r="JR12" s="47">
        <v>947.31258849999995</v>
      </c>
      <c r="JS12" s="47">
        <v>714.26857440000003</v>
      </c>
      <c r="JT12" s="47">
        <v>356.7592416</v>
      </c>
      <c r="JU12" s="47">
        <v>127.8324971</v>
      </c>
      <c r="JV12" s="77"/>
      <c r="JW12" s="47">
        <v>26573</v>
      </c>
      <c r="JX12" s="47">
        <v>14604.40789</v>
      </c>
      <c r="JY12" s="47">
        <v>12285.687089999999</v>
      </c>
      <c r="JZ12" s="47">
        <v>8290.5452050000004</v>
      </c>
      <c r="KA12" s="47">
        <v>6991.9715630000001</v>
      </c>
      <c r="KB12" s="47">
        <v>4212.3281020000004</v>
      </c>
      <c r="KC12" s="47">
        <v>1782.991947</v>
      </c>
      <c r="KD12" s="77"/>
      <c r="KE12" s="47">
        <v>21687.000410000001</v>
      </c>
      <c r="KF12" s="47">
        <v>10534.11743</v>
      </c>
      <c r="KG12" s="47">
        <v>8232.7857519999998</v>
      </c>
      <c r="KH12" s="47">
        <v>4669.4492959999998</v>
      </c>
      <c r="KI12" s="47">
        <v>3643.6723579999998</v>
      </c>
      <c r="KJ12" s="47">
        <v>1951.8053649999999</v>
      </c>
      <c r="KK12" s="47">
        <v>775.66945050000004</v>
      </c>
      <c r="KL12" s="77"/>
      <c r="KM12" s="47">
        <v>22399.9997</v>
      </c>
      <c r="KN12" s="47">
        <v>3707.6606109999998</v>
      </c>
      <c r="KO12" s="47">
        <v>1723.0975800000001</v>
      </c>
      <c r="KP12" s="47">
        <v>243.90954809999999</v>
      </c>
      <c r="KQ12" s="47">
        <v>120.43914650000001</v>
      </c>
      <c r="KR12" s="47">
        <v>23.770730830000002</v>
      </c>
      <c r="KS12" s="47">
        <v>2.337169174</v>
      </c>
      <c r="KT12" s="77"/>
      <c r="KU12" s="47">
        <v>35857</v>
      </c>
      <c r="KV12" s="47">
        <v>9169.4081669999996</v>
      </c>
      <c r="KW12" s="47">
        <v>5286.5667160000003</v>
      </c>
      <c r="KX12" s="47">
        <v>1459.2054370000001</v>
      </c>
      <c r="KY12" s="47">
        <v>886.35491649999994</v>
      </c>
      <c r="KZ12" s="47">
        <v>277.449544</v>
      </c>
      <c r="LA12" s="47">
        <v>68.65347835</v>
      </c>
      <c r="LB12" s="77"/>
      <c r="LC12" s="1034">
        <v>19891</v>
      </c>
      <c r="LD12" s="1034">
        <v>1104.38841</v>
      </c>
      <c r="LE12" s="1034">
        <v>731.12789999999995</v>
      </c>
      <c r="LF12" s="1034">
        <v>248.78303</v>
      </c>
      <c r="LG12" s="1034">
        <v>149.63144</v>
      </c>
      <c r="LH12" s="1034">
        <v>24.502210000000002</v>
      </c>
      <c r="LI12" s="1034">
        <v>3.0807000000000002</v>
      </c>
      <c r="LJ12" s="77"/>
      <c r="LK12" s="1034">
        <v>3305</v>
      </c>
      <c r="LL12" s="1034">
        <v>2130.5954619900003</v>
      </c>
      <c r="LM12" s="1034">
        <v>1761.9219913599998</v>
      </c>
      <c r="LN12" s="1034">
        <v>1023.6626112000001</v>
      </c>
      <c r="LO12" s="1034">
        <v>778.34192587000007</v>
      </c>
      <c r="LP12" s="1034">
        <v>426.12976275</v>
      </c>
      <c r="LQ12" s="1034">
        <v>206.22012458</v>
      </c>
    </row>
    <row r="13" spans="1:329" s="43" customFormat="1" ht="9.75" customHeight="1" x14ac:dyDescent="0.2">
      <c r="A13" s="48">
        <v>1965</v>
      </c>
      <c r="B13" s="47">
        <v>434463.33649000002</v>
      </c>
      <c r="C13" s="47">
        <v>135532.72661345001</v>
      </c>
      <c r="D13" s="47">
        <v>88879.604843449997</v>
      </c>
      <c r="E13" s="47">
        <v>35847.219654949993</v>
      </c>
      <c r="F13" s="47">
        <v>23869.474507449999</v>
      </c>
      <c r="G13" s="47">
        <v>9096.6412849499993</v>
      </c>
      <c r="H13" s="47">
        <v>2525.9510309999996</v>
      </c>
      <c r="I13" s="47"/>
      <c r="J13" s="47">
        <v>664016.98922999995</v>
      </c>
      <c r="K13" s="47">
        <v>223821.32675450004</v>
      </c>
      <c r="L13" s="47">
        <v>157328.18706500001</v>
      </c>
      <c r="M13" s="47">
        <v>76324.2686005</v>
      </c>
      <c r="N13" s="47">
        <v>57030.714202999996</v>
      </c>
      <c r="O13" s="47">
        <v>29014.462689</v>
      </c>
      <c r="P13" s="47">
        <v>10757.937818</v>
      </c>
      <c r="Q13" s="47"/>
      <c r="R13" s="47">
        <v>698266.48922999995</v>
      </c>
      <c r="S13" s="47">
        <v>225604.55331499997</v>
      </c>
      <c r="T13" s="47">
        <v>158440.243835</v>
      </c>
      <c r="U13" s="47">
        <v>76666.337912499992</v>
      </c>
      <c r="V13" s="47">
        <v>57241.297206499992</v>
      </c>
      <c r="W13" s="47">
        <v>29047.309711999998</v>
      </c>
      <c r="X13" s="47">
        <v>10761.940021999999</v>
      </c>
      <c r="Y13" s="47"/>
      <c r="Z13" s="47">
        <v>664015.999465</v>
      </c>
      <c r="AA13" s="47">
        <v>184768.06269319999</v>
      </c>
      <c r="AB13" s="47">
        <v>126079.06322319998</v>
      </c>
      <c r="AC13" s="47">
        <v>57997.308729700002</v>
      </c>
      <c r="AD13" s="47">
        <v>42537.470849200006</v>
      </c>
      <c r="AE13" s="47">
        <v>20814.0676637</v>
      </c>
      <c r="AF13" s="47">
        <v>7511.6427681999994</v>
      </c>
      <c r="AG13" s="47"/>
      <c r="AH13" s="47">
        <v>443624.30382999999</v>
      </c>
      <c r="AI13" s="47">
        <v>139560.26963825</v>
      </c>
      <c r="AJ13" s="47">
        <v>91217.827679249996</v>
      </c>
      <c r="AK13" s="47">
        <v>36650.479807750002</v>
      </c>
      <c r="AL13" s="47">
        <v>24394.71061075</v>
      </c>
      <c r="AM13" s="47">
        <v>9313.1402652500001</v>
      </c>
      <c r="AN13" s="47">
        <v>2591.1811051499999</v>
      </c>
      <c r="AO13" s="47"/>
      <c r="AP13" s="47">
        <v>444359.82619499997</v>
      </c>
      <c r="AQ13" s="47">
        <v>139906.96904260002</v>
      </c>
      <c r="AR13" s="47">
        <v>91567.186575600004</v>
      </c>
      <c r="AS13" s="47">
        <v>36961.330408599999</v>
      </c>
      <c r="AT13" s="47">
        <v>24658.9721326</v>
      </c>
      <c r="AU13" s="47">
        <v>9450.0401100999989</v>
      </c>
      <c r="AV13" s="47">
        <v>2650.0663924</v>
      </c>
      <c r="AW13" s="47"/>
      <c r="AX13" s="47">
        <v>446427.32619499997</v>
      </c>
      <c r="AY13" s="47">
        <v>141765.9319126</v>
      </c>
      <c r="AZ13" s="47">
        <v>93398.781705600006</v>
      </c>
      <c r="BA13" s="47">
        <v>38549.468108600006</v>
      </c>
      <c r="BB13" s="47">
        <v>25912.445452600001</v>
      </c>
      <c r="BC13" s="47">
        <v>10063.034770099999</v>
      </c>
      <c r="BD13" s="47">
        <v>2856.5953623999999</v>
      </c>
      <c r="BE13" s="47"/>
      <c r="BF13" s="47">
        <v>447864.631735</v>
      </c>
      <c r="BG13" s="47">
        <v>142216.95225044998</v>
      </c>
      <c r="BH13" s="47">
        <v>93748.072893450008</v>
      </c>
      <c r="BI13" s="47">
        <v>38705.522727449999</v>
      </c>
      <c r="BJ13" s="47">
        <v>26013.714663950002</v>
      </c>
      <c r="BK13" s="47">
        <v>10096.299494449999</v>
      </c>
      <c r="BL13" s="47">
        <v>2867.2447370500004</v>
      </c>
      <c r="BN13" s="47">
        <v>447864.631735</v>
      </c>
      <c r="BO13" s="47">
        <v>134256.1020562</v>
      </c>
      <c r="BP13" s="47">
        <v>88072.619501700014</v>
      </c>
      <c r="BQ13" s="47">
        <v>35054.305034199999</v>
      </c>
      <c r="BR13" s="47">
        <v>24025.391793300001</v>
      </c>
      <c r="BS13" s="47">
        <v>10037.8866653</v>
      </c>
      <c r="BT13" s="47">
        <v>3014.50734375</v>
      </c>
      <c r="BU13" s="47"/>
      <c r="BV13" s="47">
        <v>450358.67123500002</v>
      </c>
      <c r="BW13" s="47">
        <v>136366.38226830002</v>
      </c>
      <c r="BX13" s="47">
        <v>89979.268997300009</v>
      </c>
      <c r="BY13" s="47">
        <v>36453.204525299996</v>
      </c>
      <c r="BZ13" s="47">
        <v>25187.559571800004</v>
      </c>
      <c r="CA13" s="47">
        <v>10730.4430868</v>
      </c>
      <c r="CB13" s="47">
        <v>3252.7015315999997</v>
      </c>
      <c r="CC13" s="44"/>
      <c r="CD13" s="47">
        <v>486823.67123500002</v>
      </c>
      <c r="CE13" s="47">
        <v>163557.26111754999</v>
      </c>
      <c r="CF13" s="47">
        <v>114940.00146055</v>
      </c>
      <c r="CG13" s="47">
        <v>55539.225276049998</v>
      </c>
      <c r="CH13" s="47">
        <v>41402.812013550007</v>
      </c>
      <c r="CI13" s="47">
        <v>20731.454555550001</v>
      </c>
      <c r="CJ13" s="47">
        <v>7577.0152300500004</v>
      </c>
      <c r="CL13" s="47">
        <v>516226.17123999994</v>
      </c>
      <c r="CM13" s="47">
        <v>179510.89417670004</v>
      </c>
      <c r="CN13" s="47">
        <v>128235.38472969999</v>
      </c>
      <c r="CO13" s="47">
        <v>64585.258908699994</v>
      </c>
      <c r="CP13" s="47">
        <v>48921.130360199997</v>
      </c>
      <c r="CQ13" s="47">
        <v>25100.113847699999</v>
      </c>
      <c r="CR13" s="47">
        <v>9369.8359681999991</v>
      </c>
      <c r="CS13" s="47"/>
      <c r="CT13" s="47">
        <v>527699.17123999994</v>
      </c>
      <c r="CU13" s="47">
        <v>186547.13965535001</v>
      </c>
      <c r="CV13" s="47">
        <v>134301.65224735002</v>
      </c>
      <c r="CW13" s="47">
        <v>68584.985596850005</v>
      </c>
      <c r="CX13" s="47">
        <v>52091.287152350007</v>
      </c>
      <c r="CY13" s="47">
        <v>26862.35177935</v>
      </c>
      <c r="CZ13" s="47">
        <v>10077.38065135</v>
      </c>
      <c r="DA13" s="47"/>
      <c r="DB13" s="47">
        <v>527699.17073999997</v>
      </c>
      <c r="DC13" s="47">
        <v>187157.84533069999</v>
      </c>
      <c r="DD13" s="47">
        <v>134984.46636019999</v>
      </c>
      <c r="DE13" s="47">
        <v>69504.593740700002</v>
      </c>
      <c r="DF13" s="47">
        <v>52919.055524199997</v>
      </c>
      <c r="DG13" s="47">
        <v>27458.230052699997</v>
      </c>
      <c r="DH13" s="47">
        <v>10364.9993737</v>
      </c>
      <c r="DI13" s="47"/>
      <c r="DJ13" s="47">
        <v>550643.78573999996</v>
      </c>
      <c r="DK13" s="47">
        <v>193793.65669834998</v>
      </c>
      <c r="DL13" s="47">
        <v>140112.69411585</v>
      </c>
      <c r="DM13" s="47">
        <v>72109.099735349999</v>
      </c>
      <c r="DN13" s="47">
        <v>54611.43336635</v>
      </c>
      <c r="DO13" s="47">
        <v>28226.230614849999</v>
      </c>
      <c r="DP13" s="47">
        <v>10581.10120535</v>
      </c>
      <c r="DQ13" s="47"/>
      <c r="DR13" s="47">
        <v>575770.28648282331</v>
      </c>
      <c r="DS13" s="47">
        <v>202329.18383863883</v>
      </c>
      <c r="DT13" s="47">
        <v>145412.25944359321</v>
      </c>
      <c r="DU13" s="47">
        <v>73576.194768766873</v>
      </c>
      <c r="DV13" s="47">
        <v>55494.990557175901</v>
      </c>
      <c r="DW13" s="47">
        <v>28539.100388769912</v>
      </c>
      <c r="DX13" s="47">
        <v>10660.246683834317</v>
      </c>
      <c r="DY13" s="297"/>
      <c r="DZ13" s="47">
        <v>590509.28673059423</v>
      </c>
      <c r="EA13" s="47">
        <v>204758.13844202133</v>
      </c>
      <c r="EB13" s="47">
        <v>146534.22701797751</v>
      </c>
      <c r="EC13" s="47">
        <v>73741.622021036135</v>
      </c>
      <c r="ED13" s="47">
        <v>55571.027524326659</v>
      </c>
      <c r="EE13" s="47">
        <v>28557.561642631517</v>
      </c>
      <c r="EF13" s="47">
        <v>10662.241443703761</v>
      </c>
      <c r="EG13" s="542"/>
      <c r="EH13" s="47">
        <v>600825.78673058224</v>
      </c>
      <c r="EI13" s="47">
        <v>207861.40200198477</v>
      </c>
      <c r="EJ13" s="47">
        <v>148158.81338651426</v>
      </c>
      <c r="EK13" s="47">
        <v>73950.798446712244</v>
      </c>
      <c r="EL13" s="47">
        <v>55649.539834978248</v>
      </c>
      <c r="EM13" s="47">
        <v>28565.457802144392</v>
      </c>
      <c r="EN13" s="47">
        <v>10665.118131137768</v>
      </c>
      <c r="EO13" s="47"/>
      <c r="EP13" s="47">
        <v>623113.48922999995</v>
      </c>
      <c r="EQ13" s="47">
        <v>213512.64385580004</v>
      </c>
      <c r="ER13" s="47">
        <v>151271.72051879999</v>
      </c>
      <c r="ES13" s="47">
        <v>74633.880080300005</v>
      </c>
      <c r="ET13" s="47">
        <v>56044.453422300001</v>
      </c>
      <c r="EU13" s="47">
        <v>28694.234074799999</v>
      </c>
      <c r="EV13" s="47">
        <v>10676.0276913</v>
      </c>
      <c r="EW13" s="47"/>
      <c r="EX13" s="47">
        <v>664016.98922999995</v>
      </c>
      <c r="EY13" s="47">
        <v>223821.32675450004</v>
      </c>
      <c r="EZ13" s="47">
        <v>157328.18706500001</v>
      </c>
      <c r="FA13" s="47">
        <v>76324.2686005</v>
      </c>
      <c r="FB13" s="47">
        <v>57030.714202999996</v>
      </c>
      <c r="FC13" s="47">
        <v>29014.462689</v>
      </c>
      <c r="FD13" s="47">
        <v>10757.937818</v>
      </c>
      <c r="FE13" s="47"/>
      <c r="FF13" s="47">
        <v>683068.48922999995</v>
      </c>
      <c r="FG13" s="47">
        <v>225051.06897949998</v>
      </c>
      <c r="FH13" s="47">
        <v>158175.164555</v>
      </c>
      <c r="FI13" s="47">
        <v>76611.211115500017</v>
      </c>
      <c r="FJ13" s="47">
        <v>57197.263042999999</v>
      </c>
      <c r="FK13" s="47">
        <v>29041.811274</v>
      </c>
      <c r="FL13" s="47">
        <v>10761.367087999999</v>
      </c>
      <c r="FN13" s="47">
        <v>685412.98922999995</v>
      </c>
      <c r="FO13" s="47">
        <v>225102.2025245</v>
      </c>
      <c r="FP13" s="47">
        <v>158186.41815499999</v>
      </c>
      <c r="FQ13" s="47">
        <v>76612.453700500017</v>
      </c>
      <c r="FR13" s="47">
        <v>57197.591272999998</v>
      </c>
      <c r="FS13" s="47">
        <v>29041.834718999999</v>
      </c>
      <c r="FT13" s="47">
        <v>10761.367087999999</v>
      </c>
      <c r="FV13" s="47">
        <v>694662.48922999995</v>
      </c>
      <c r="FW13" s="47">
        <v>225572.50252450001</v>
      </c>
      <c r="FX13" s="47">
        <v>158421.56815499999</v>
      </c>
      <c r="FY13" s="47">
        <v>76659.483700500001</v>
      </c>
      <c r="FZ13" s="47">
        <v>57221.106272999998</v>
      </c>
      <c r="GA13" s="47">
        <v>29046.537719</v>
      </c>
      <c r="GB13" s="47">
        <v>10761.837388</v>
      </c>
      <c r="GC13" s="47"/>
      <c r="GE13" s="47">
        <v>695005.48922999995</v>
      </c>
      <c r="GF13" s="47">
        <v>225604.55331499997</v>
      </c>
      <c r="GG13" s="47">
        <v>158440.243835</v>
      </c>
      <c r="GH13" s="47">
        <v>76666.337912499992</v>
      </c>
      <c r="GI13" s="47">
        <v>57241.297206499992</v>
      </c>
      <c r="GJ13" s="47">
        <v>29047.309711999998</v>
      </c>
      <c r="GK13" s="47">
        <v>10761.940021999999</v>
      </c>
      <c r="GM13" s="47">
        <v>698266.48922999995</v>
      </c>
      <c r="GN13" s="47">
        <v>225604.55331499997</v>
      </c>
      <c r="GO13" s="47">
        <v>158440.243835</v>
      </c>
      <c r="GP13" s="47">
        <v>76666.337912499992</v>
      </c>
      <c r="GQ13" s="47">
        <v>57241.297206499992</v>
      </c>
      <c r="GR13" s="47">
        <v>29047.309711999998</v>
      </c>
      <c r="GS13" s="47">
        <v>10761.940021999999</v>
      </c>
      <c r="GT13" s="187"/>
      <c r="GU13" s="47">
        <v>642311.596655</v>
      </c>
      <c r="GV13" s="47">
        <v>196054.71758110001</v>
      </c>
      <c r="GW13" s="47">
        <v>136049.9954406</v>
      </c>
      <c r="GX13" s="47">
        <v>64899.602570100004</v>
      </c>
      <c r="GY13" s="47">
        <v>48287.2564146</v>
      </c>
      <c r="GZ13" s="47">
        <v>24253.075045099999</v>
      </c>
      <c r="HA13" s="47">
        <v>8905.1475285999986</v>
      </c>
      <c r="HC13" s="47">
        <v>637591.59655999998</v>
      </c>
      <c r="HD13" s="47">
        <v>193592.37262455001</v>
      </c>
      <c r="HE13" s="47">
        <v>134152.37146355002</v>
      </c>
      <c r="HF13" s="47">
        <v>63803.981274549995</v>
      </c>
      <c r="HG13" s="47">
        <v>47469.033650550002</v>
      </c>
      <c r="HH13" s="47">
        <v>23753.96612755</v>
      </c>
      <c r="HI13" s="47">
        <v>8748.4295435499989</v>
      </c>
      <c r="HJ13" s="47"/>
      <c r="HK13" s="47">
        <v>608189.09655999998</v>
      </c>
      <c r="HL13" s="47">
        <v>177801.9517529</v>
      </c>
      <c r="HM13" s="47">
        <v>120955.66553490001</v>
      </c>
      <c r="HN13" s="47">
        <v>54592.2901394</v>
      </c>
      <c r="HO13" s="47">
        <v>39959.670870400005</v>
      </c>
      <c r="HP13" s="47">
        <v>19439.668109899998</v>
      </c>
      <c r="HQ13" s="47">
        <v>6992.2026359000001</v>
      </c>
      <c r="HS13" s="47">
        <v>585078.09621499991</v>
      </c>
      <c r="HT13" s="47">
        <v>166972.5672313</v>
      </c>
      <c r="HU13" s="47">
        <v>112650.61375630001</v>
      </c>
      <c r="HV13" s="47">
        <v>50019.184769300002</v>
      </c>
      <c r="HW13" s="47">
        <v>36404.564328299995</v>
      </c>
      <c r="HX13" s="47">
        <v>17545.165791300002</v>
      </c>
      <c r="HY13" s="47">
        <v>6274.5983918000002</v>
      </c>
      <c r="HZ13" s="47"/>
      <c r="IA13" s="47">
        <v>558389.09646499995</v>
      </c>
      <c r="IB13" s="47">
        <v>162142.75655360002</v>
      </c>
      <c r="IC13" s="47">
        <v>110224.8578421</v>
      </c>
      <c r="ID13" s="47">
        <v>49710.858222099996</v>
      </c>
      <c r="IE13" s="47">
        <v>36281.0177836</v>
      </c>
      <c r="IF13" s="47">
        <v>17533.259259599999</v>
      </c>
      <c r="IG13" s="47">
        <v>6276.2792466000001</v>
      </c>
      <c r="IH13" s="47"/>
      <c r="II13" s="47">
        <v>529425.09646499995</v>
      </c>
      <c r="IJ13" s="47">
        <v>154779.94193860001</v>
      </c>
      <c r="IK13" s="47">
        <v>105861.6750851</v>
      </c>
      <c r="IL13" s="47">
        <v>48473.212123099998</v>
      </c>
      <c r="IM13" s="47">
        <v>35542.108674100004</v>
      </c>
      <c r="IN13" s="47">
        <v>17283.7526836</v>
      </c>
      <c r="IO13" s="47">
        <v>6211.1174916</v>
      </c>
      <c r="IP13" s="351"/>
      <c r="IQ13" s="351">
        <v>551199.999465</v>
      </c>
      <c r="IR13" s="351">
        <v>164092.8292449</v>
      </c>
      <c r="IS13" s="351">
        <v>112933.6600114</v>
      </c>
      <c r="IT13" s="351">
        <v>52507.050246899998</v>
      </c>
      <c r="IU13" s="351">
        <v>38681.511321400001</v>
      </c>
      <c r="IV13" s="351">
        <v>18987.0387214</v>
      </c>
      <c r="IW13" s="351">
        <v>6868.3974933999998</v>
      </c>
      <c r="IX13" s="351"/>
      <c r="IY13" s="351">
        <v>664015.999465</v>
      </c>
      <c r="IZ13" s="351">
        <v>184768.06269319999</v>
      </c>
      <c r="JA13" s="351">
        <v>126079.06322319998</v>
      </c>
      <c r="JB13" s="351">
        <v>57997.308729700002</v>
      </c>
      <c r="JC13" s="351">
        <v>42537.470849200006</v>
      </c>
      <c r="JD13" s="351">
        <v>20814.0676637</v>
      </c>
      <c r="JE13" s="351">
        <v>7511.6427681999994</v>
      </c>
      <c r="JG13" s="47">
        <v>52359.39258</v>
      </c>
      <c r="JH13" s="47">
        <v>27227.7932</v>
      </c>
      <c r="JI13" s="47">
        <v>20729.512470000001</v>
      </c>
      <c r="JJ13" s="47">
        <v>11448.29398</v>
      </c>
      <c r="JK13" s="47">
        <v>8758.5269179999996</v>
      </c>
      <c r="JL13" s="47">
        <v>4568.0170189999999</v>
      </c>
      <c r="JM13" s="47">
        <v>1729.41661</v>
      </c>
      <c r="JN13" s="1034"/>
      <c r="JO13" s="47">
        <v>4720.0000970000001</v>
      </c>
      <c r="JP13" s="47">
        <v>2456.1154980000001</v>
      </c>
      <c r="JQ13" s="47">
        <v>1957.3168860000001</v>
      </c>
      <c r="JR13" s="47">
        <v>1139.149725</v>
      </c>
      <c r="JS13" s="47">
        <v>865.24815639999997</v>
      </c>
      <c r="JT13" s="47">
        <v>437.572765</v>
      </c>
      <c r="JU13" s="47">
        <v>153.25498300000001</v>
      </c>
      <c r="JV13" s="77"/>
      <c r="JW13" s="47">
        <v>29402.5</v>
      </c>
      <c r="JX13" s="47">
        <v>15606.62491</v>
      </c>
      <c r="JY13" s="47">
        <v>13035.60758</v>
      </c>
      <c r="JZ13" s="47">
        <v>8667.5119040000009</v>
      </c>
      <c r="KA13" s="47">
        <v>7192.2544379999999</v>
      </c>
      <c r="KB13" s="47">
        <v>4303.5549039999996</v>
      </c>
      <c r="KC13" s="47">
        <v>1784.718038</v>
      </c>
      <c r="KD13" s="77"/>
      <c r="KE13" s="47">
        <v>23111.000339999999</v>
      </c>
      <c r="KF13" s="47">
        <v>10939.53296</v>
      </c>
      <c r="KG13" s="47">
        <v>8439.7845980000002</v>
      </c>
      <c r="KH13" s="47">
        <v>4611.0824679999996</v>
      </c>
      <c r="KI13" s="47">
        <v>3534.3553419999998</v>
      </c>
      <c r="KJ13" s="47">
        <v>1888.096642</v>
      </c>
      <c r="KK13" s="47">
        <v>736.00034340000002</v>
      </c>
      <c r="KL13" s="77"/>
      <c r="KM13" s="47">
        <v>26688.999749999999</v>
      </c>
      <c r="KN13" s="47">
        <v>4319.5619269999997</v>
      </c>
      <c r="KO13" s="47">
        <v>2016.1475210000001</v>
      </c>
      <c r="KP13" s="47">
        <v>306.22329889999997</v>
      </c>
      <c r="KQ13" s="47">
        <v>149.85145170000001</v>
      </c>
      <c r="KR13" s="47">
        <v>29.079321149999998</v>
      </c>
      <c r="KS13" s="47">
        <v>2.8332903119999999</v>
      </c>
      <c r="KT13" s="77"/>
      <c r="KU13" s="47">
        <v>36988</v>
      </c>
      <c r="KV13" s="47">
        <v>9267.9403999999995</v>
      </c>
      <c r="KW13" s="47">
        <v>5337.2782740000002</v>
      </c>
      <c r="KX13" s="47">
        <v>1502.4305489999999</v>
      </c>
      <c r="KY13" s="47">
        <v>906.16975769999999</v>
      </c>
      <c r="KZ13" s="47">
        <v>296.24822790000002</v>
      </c>
      <c r="LA13" s="47">
        <v>75.968970999999996</v>
      </c>
      <c r="LB13" s="77"/>
      <c r="LC13" s="1034">
        <v>21638.588739999999</v>
      </c>
      <c r="LD13" s="1034">
        <v>1311.924757</v>
      </c>
      <c r="LE13" s="1034">
        <v>878.47021500000005</v>
      </c>
      <c r="LF13" s="1034">
        <v>295.03931180000001</v>
      </c>
      <c r="LG13" s="1034">
        <v>170.61308969999999</v>
      </c>
      <c r="LH13" s="1034">
        <v>28.144022589999999</v>
      </c>
      <c r="LI13" s="1034">
        <v>3.5319039569999999</v>
      </c>
      <c r="LJ13" s="77"/>
      <c r="LK13" s="1034">
        <v>3595.5</v>
      </c>
      <c r="LL13" s="1034">
        <v>2301.4964594799999</v>
      </c>
      <c r="LM13" s="1034">
        <v>1902.8510178449999</v>
      </c>
      <c r="LN13" s="1034">
        <v>1088.27005323</v>
      </c>
      <c r="LO13" s="1034">
        <v>821.31581632000007</v>
      </c>
      <c r="LP13" s="1034">
        <v>456.00717071999998</v>
      </c>
      <c r="LQ13" s="1034">
        <v>218.723512175</v>
      </c>
    </row>
    <row r="14" spans="1:329" s="43" customFormat="1" ht="9.75" customHeight="1" x14ac:dyDescent="0.2">
      <c r="A14" s="48">
        <v>1966</v>
      </c>
      <c r="B14" s="47">
        <v>468918.57734999998</v>
      </c>
      <c r="C14" s="47">
        <v>150258.80904990001</v>
      </c>
      <c r="D14" s="47">
        <v>98589.182727899999</v>
      </c>
      <c r="E14" s="47">
        <v>39168.936051899997</v>
      </c>
      <c r="F14" s="47">
        <v>26118.365687899997</v>
      </c>
      <c r="G14" s="47">
        <v>10052.392273899999</v>
      </c>
      <c r="H14" s="47">
        <v>2810.4860469999999</v>
      </c>
      <c r="I14" s="47"/>
      <c r="J14" s="47">
        <v>719693.75590999995</v>
      </c>
      <c r="K14" s="47">
        <v>243695.94166500002</v>
      </c>
      <c r="L14" s="47">
        <v>171239.969335</v>
      </c>
      <c r="M14" s="47">
        <v>82878.039189999996</v>
      </c>
      <c r="N14" s="47">
        <v>61299.14934399999</v>
      </c>
      <c r="O14" s="47">
        <v>31299.892275999999</v>
      </c>
      <c r="P14" s="47">
        <v>11482.077276</v>
      </c>
      <c r="Q14" s="47"/>
      <c r="R14" s="47">
        <v>756875.75590999995</v>
      </c>
      <c r="S14" s="47">
        <v>245697.20637599999</v>
      </c>
      <c r="T14" s="47">
        <v>172502.55497500001</v>
      </c>
      <c r="U14" s="47">
        <v>83267.314784000002</v>
      </c>
      <c r="V14" s="47">
        <v>61547.643910999992</v>
      </c>
      <c r="W14" s="47">
        <v>31336.476111999997</v>
      </c>
      <c r="X14" s="47">
        <v>11486.540183999999</v>
      </c>
      <c r="Y14" s="47"/>
      <c r="Z14" s="47">
        <v>719691.99936000002</v>
      </c>
      <c r="AA14" s="47">
        <v>202367.51260049996</v>
      </c>
      <c r="AB14" s="47">
        <v>138343.74007549998</v>
      </c>
      <c r="AC14" s="47">
        <v>63655.430746500002</v>
      </c>
      <c r="AD14" s="47">
        <v>46428.966774500004</v>
      </c>
      <c r="AE14" s="47">
        <v>22752.542992499999</v>
      </c>
      <c r="AF14" s="47">
        <v>8181.7568014999997</v>
      </c>
      <c r="AG14" s="47"/>
      <c r="AH14" s="47">
        <v>480016.47869000002</v>
      </c>
      <c r="AI14" s="47">
        <v>154856.19052390003</v>
      </c>
      <c r="AJ14" s="47">
        <v>101249.5332799</v>
      </c>
      <c r="AK14" s="47">
        <v>40068.474627899996</v>
      </c>
      <c r="AL14" s="47">
        <v>26687.9239729</v>
      </c>
      <c r="AM14" s="47">
        <v>10290.995758900001</v>
      </c>
      <c r="AN14" s="47">
        <v>2882.6011927</v>
      </c>
      <c r="AO14" s="47"/>
      <c r="AP14" s="47">
        <v>480962.28482</v>
      </c>
      <c r="AQ14" s="47">
        <v>155236.04095580001</v>
      </c>
      <c r="AR14" s="47">
        <v>101636.5694198</v>
      </c>
      <c r="AS14" s="47">
        <v>40409.074670800001</v>
      </c>
      <c r="AT14" s="47">
        <v>26979.526603800001</v>
      </c>
      <c r="AU14" s="47">
        <v>10452.6448528</v>
      </c>
      <c r="AV14" s="47">
        <v>2951.2126855000001</v>
      </c>
      <c r="AW14" s="47"/>
      <c r="AX14" s="47">
        <v>483199.28482</v>
      </c>
      <c r="AY14" s="47">
        <v>157230.63963580003</v>
      </c>
      <c r="AZ14" s="47">
        <v>103592.73643980001</v>
      </c>
      <c r="BA14" s="47">
        <v>42092.193470800004</v>
      </c>
      <c r="BB14" s="47">
        <v>28309.959983799999</v>
      </c>
      <c r="BC14" s="47">
        <v>11109.0253928</v>
      </c>
      <c r="BD14" s="47">
        <v>3171.8703654999999</v>
      </c>
      <c r="BE14" s="47"/>
      <c r="BF14" s="44">
        <v>484608.49495999998</v>
      </c>
      <c r="BG14" s="44">
        <v>157622.90601099998</v>
      </c>
      <c r="BH14" s="44">
        <v>103879.80667400001</v>
      </c>
      <c r="BI14" s="44">
        <v>42185.095334999998</v>
      </c>
      <c r="BJ14" s="44">
        <v>28363.664835000003</v>
      </c>
      <c r="BK14" s="44">
        <v>11124.232081</v>
      </c>
      <c r="BL14" s="44">
        <v>3175.5192166000002</v>
      </c>
      <c r="BN14" s="44">
        <v>484608.49495999998</v>
      </c>
      <c r="BO14" s="44">
        <v>147201.7242545</v>
      </c>
      <c r="BP14" s="44">
        <v>96551.705090500021</v>
      </c>
      <c r="BQ14" s="44">
        <v>38329.927422499997</v>
      </c>
      <c r="BR14" s="44">
        <v>26178.370275500001</v>
      </c>
      <c r="BS14" s="44">
        <v>10971.4315195</v>
      </c>
      <c r="BT14" s="44">
        <v>3317.3374325999998</v>
      </c>
      <c r="BU14" s="44"/>
      <c r="BV14" s="47">
        <v>487195.09696</v>
      </c>
      <c r="BW14" s="47">
        <v>149429.05876850002</v>
      </c>
      <c r="BX14" s="47">
        <v>98573.502239500012</v>
      </c>
      <c r="BY14" s="47">
        <v>39876.556887499995</v>
      </c>
      <c r="BZ14" s="47">
        <v>27477.275153500002</v>
      </c>
      <c r="CA14" s="47">
        <v>11748.970681499999</v>
      </c>
      <c r="CB14" s="47">
        <v>3579.9943552999998</v>
      </c>
      <c r="CC14" s="44"/>
      <c r="CD14" s="47">
        <v>528766.09696</v>
      </c>
      <c r="CE14" s="47">
        <v>179760.8315803</v>
      </c>
      <c r="CF14" s="47">
        <v>126438.67476530001</v>
      </c>
      <c r="CG14" s="47">
        <v>60824.627003300004</v>
      </c>
      <c r="CH14" s="47">
        <v>45101.976211300003</v>
      </c>
      <c r="CI14" s="47">
        <v>22488.400920300002</v>
      </c>
      <c r="CJ14" s="47">
        <v>8173.0792213000004</v>
      </c>
      <c r="CL14" s="47">
        <v>560998.09696999996</v>
      </c>
      <c r="CM14" s="47">
        <v>196824.7668405</v>
      </c>
      <c r="CN14" s="47">
        <v>140528.52513149998</v>
      </c>
      <c r="CO14" s="47">
        <v>70337.930594499994</v>
      </c>
      <c r="CP14" s="47">
        <v>52863.441596500001</v>
      </c>
      <c r="CQ14" s="47">
        <v>26946.064697499998</v>
      </c>
      <c r="CR14" s="47">
        <v>9971.7719034999991</v>
      </c>
      <c r="CS14" s="47"/>
      <c r="CT14" s="47">
        <v>572966.09696999996</v>
      </c>
      <c r="CU14" s="47">
        <v>204103.212382</v>
      </c>
      <c r="CV14" s="47">
        <v>146724.748349</v>
      </c>
      <c r="CW14" s="47">
        <v>74252.775305000003</v>
      </c>
      <c r="CX14" s="47">
        <v>55904.056790000002</v>
      </c>
      <c r="CY14" s="47">
        <v>28629.570784000003</v>
      </c>
      <c r="CZ14" s="47">
        <v>10636.871289000001</v>
      </c>
      <c r="DA14" s="47"/>
      <c r="DB14" s="47">
        <v>572966.09696999996</v>
      </c>
      <c r="DC14" s="47">
        <v>204907.799921</v>
      </c>
      <c r="DD14" s="47">
        <v>147723.84510199999</v>
      </c>
      <c r="DE14" s="47">
        <v>75441.565998999999</v>
      </c>
      <c r="DF14" s="47">
        <v>56980.757251999996</v>
      </c>
      <c r="DG14" s="47">
        <v>29351.688520999996</v>
      </c>
      <c r="DH14" s="47">
        <v>10988.884491999999</v>
      </c>
      <c r="DI14" s="47"/>
      <c r="DJ14" s="47">
        <v>599708.91997000005</v>
      </c>
      <c r="DK14" s="47">
        <v>213124.38478999998</v>
      </c>
      <c r="DL14" s="47">
        <v>154112.682134</v>
      </c>
      <c r="DM14" s="47">
        <v>78616.584791999994</v>
      </c>
      <c r="DN14" s="47">
        <v>58909.673735000004</v>
      </c>
      <c r="DO14" s="47">
        <v>30448.352562</v>
      </c>
      <c r="DP14" s="47">
        <v>11292.384899000001</v>
      </c>
      <c r="DQ14" s="47"/>
      <c r="DR14" s="47">
        <v>626195.92054178158</v>
      </c>
      <c r="DS14" s="47">
        <v>221740.08450202632</v>
      </c>
      <c r="DT14" s="47">
        <v>159358.76937533219</v>
      </c>
      <c r="DU14" s="47">
        <v>80062.783495827782</v>
      </c>
      <c r="DV14" s="47">
        <v>59773.516313568558</v>
      </c>
      <c r="DW14" s="47">
        <v>30777.36733092105</v>
      </c>
      <c r="DX14" s="47">
        <v>11369.017453340011</v>
      </c>
      <c r="DY14" s="297"/>
      <c r="DZ14" s="47">
        <v>643041.92090650275</v>
      </c>
      <c r="EA14" s="47">
        <v>224319.98187863105</v>
      </c>
      <c r="EB14" s="47">
        <v>160542.14367467002</v>
      </c>
      <c r="EC14" s="47">
        <v>80247.037261124264</v>
      </c>
      <c r="ED14" s="47">
        <v>59856.424662617559</v>
      </c>
      <c r="EE14" s="47">
        <v>30793.463547339557</v>
      </c>
      <c r="EF14" s="47">
        <v>11371.779806139319</v>
      </c>
      <c r="EG14" s="542"/>
      <c r="EH14" s="47">
        <v>654432.9209064832</v>
      </c>
      <c r="EI14" s="47">
        <v>227555.62718105741</v>
      </c>
      <c r="EJ14" s="47">
        <v>162139.86961821117</v>
      </c>
      <c r="EK14" s="47">
        <v>80435.800728789429</v>
      </c>
      <c r="EL14" s="47">
        <v>59938.342534509211</v>
      </c>
      <c r="EM14" s="47">
        <v>30809.415304956186</v>
      </c>
      <c r="EN14" s="47">
        <v>11373.004824688469</v>
      </c>
      <c r="EO14" s="47"/>
      <c r="EP14" s="47">
        <v>677737.75590999995</v>
      </c>
      <c r="EQ14" s="47">
        <v>233242.46003500003</v>
      </c>
      <c r="ER14" s="47">
        <v>165178.14929999999</v>
      </c>
      <c r="ES14" s="47">
        <v>81149.459694999998</v>
      </c>
      <c r="ET14" s="47">
        <v>60345.460909000001</v>
      </c>
      <c r="EU14" s="47">
        <v>30987.292629999996</v>
      </c>
      <c r="EV14" s="47">
        <v>11389.313018999999</v>
      </c>
      <c r="EW14" s="47"/>
      <c r="EX14" s="47">
        <v>719693.75590999995</v>
      </c>
      <c r="EY14" s="47">
        <v>243695.94166500002</v>
      </c>
      <c r="EZ14" s="47">
        <v>171239.969335</v>
      </c>
      <c r="FA14" s="47">
        <v>82878.039189999996</v>
      </c>
      <c r="FB14" s="47">
        <v>61299.14934399999</v>
      </c>
      <c r="FC14" s="47">
        <v>31299.892275999999</v>
      </c>
      <c r="FD14" s="47">
        <v>11482.077276</v>
      </c>
      <c r="FE14" s="47"/>
      <c r="FF14" s="47">
        <v>740681.75590999995</v>
      </c>
      <c r="FG14" s="47">
        <v>245111.58226499995</v>
      </c>
      <c r="FH14" s="47">
        <v>172216.12121499999</v>
      </c>
      <c r="FI14" s="47">
        <v>83204.612470000007</v>
      </c>
      <c r="FJ14" s="47">
        <v>61483.004223999997</v>
      </c>
      <c r="FK14" s="47">
        <v>31330.114996000004</v>
      </c>
      <c r="FL14" s="47">
        <v>11485.855116000001</v>
      </c>
      <c r="FN14" s="47">
        <v>742594.75590999995</v>
      </c>
      <c r="FO14" s="47">
        <v>245153.304795</v>
      </c>
      <c r="FP14" s="47">
        <v>172225.30361499998</v>
      </c>
      <c r="FQ14" s="47">
        <v>83205.626360000009</v>
      </c>
      <c r="FR14" s="47">
        <v>61483.272043999998</v>
      </c>
      <c r="FS14" s="47">
        <v>31330.134125999997</v>
      </c>
      <c r="FT14" s="47">
        <v>11485.855116000001</v>
      </c>
      <c r="FV14" s="44">
        <v>752229.75590999995</v>
      </c>
      <c r="FW14" s="44">
        <v>245633.10479500002</v>
      </c>
      <c r="FX14" s="44">
        <v>172465.20361500001</v>
      </c>
      <c r="FY14" s="44">
        <v>83253.606360000005</v>
      </c>
      <c r="FZ14" s="44">
        <v>61507.262043999996</v>
      </c>
      <c r="GA14" s="44">
        <v>31334.932126</v>
      </c>
      <c r="GB14" s="44">
        <v>11486.334916</v>
      </c>
      <c r="GC14" s="44"/>
      <c r="GE14" s="47">
        <v>752915.75590999995</v>
      </c>
      <c r="GF14" s="47">
        <v>245697.20637599999</v>
      </c>
      <c r="GG14" s="47">
        <v>172502.55497500001</v>
      </c>
      <c r="GH14" s="47">
        <v>83267.314784000002</v>
      </c>
      <c r="GI14" s="47">
        <v>61547.643910999992</v>
      </c>
      <c r="GJ14" s="47">
        <v>31336.476111999997</v>
      </c>
      <c r="GK14" s="47">
        <v>11486.540183999999</v>
      </c>
      <c r="GM14" s="47">
        <v>756875.75590999995</v>
      </c>
      <c r="GN14" s="47">
        <v>245697.20637599999</v>
      </c>
      <c r="GO14" s="47">
        <v>172502.55497500001</v>
      </c>
      <c r="GP14" s="47">
        <v>83267.314784000002</v>
      </c>
      <c r="GQ14" s="47">
        <v>61547.643910999992</v>
      </c>
      <c r="GR14" s="47">
        <v>31336.476111999997</v>
      </c>
      <c r="GS14" s="47">
        <v>11486.540183999999</v>
      </c>
      <c r="GT14" s="187"/>
      <c r="GU14" s="44">
        <v>694306.36354000005</v>
      </c>
      <c r="GV14" s="47">
        <v>213031.32121960001</v>
      </c>
      <c r="GW14" s="47">
        <v>147861.65282459999</v>
      </c>
      <c r="GX14" s="47">
        <v>70389.733320600004</v>
      </c>
      <c r="GY14" s="47">
        <v>51785.670703600001</v>
      </c>
      <c r="GZ14" s="47">
        <v>25954.5761336</v>
      </c>
      <c r="HA14" s="47">
        <v>9468.4694335999993</v>
      </c>
      <c r="HC14" s="44">
        <v>688884.36343999999</v>
      </c>
      <c r="HD14" s="47">
        <v>210188.55648290002</v>
      </c>
      <c r="HE14" s="47">
        <v>145627.2145689</v>
      </c>
      <c r="HF14" s="47">
        <v>69097.344297899996</v>
      </c>
      <c r="HG14" s="47">
        <v>50830.433941899995</v>
      </c>
      <c r="HH14" s="47">
        <v>25477.8723169</v>
      </c>
      <c r="HI14" s="47">
        <v>9296.5430978999993</v>
      </c>
      <c r="HJ14" s="47"/>
      <c r="HK14" s="44">
        <v>656652.36343999999</v>
      </c>
      <c r="HL14" s="47">
        <v>193416.60141989999</v>
      </c>
      <c r="HM14" s="47">
        <v>131677.34239790001</v>
      </c>
      <c r="HN14" s="47">
        <v>59395.850318899997</v>
      </c>
      <c r="HO14" s="47">
        <v>43113.931553900002</v>
      </c>
      <c r="HP14" s="47">
        <v>21024.8639669</v>
      </c>
      <c r="HQ14" s="47">
        <v>7537.0693829000002</v>
      </c>
      <c r="HS14" s="44">
        <v>632117.36315999995</v>
      </c>
      <c r="HT14" s="47">
        <v>182232.17297369998</v>
      </c>
      <c r="HU14" s="47">
        <v>123262.9567717</v>
      </c>
      <c r="HV14" s="47">
        <v>54838.640440700001</v>
      </c>
      <c r="HW14" s="47">
        <v>39723.893045700002</v>
      </c>
      <c r="HX14" s="47">
        <v>19204.122273699999</v>
      </c>
      <c r="HY14" s="47">
        <v>6862.6635377000002</v>
      </c>
      <c r="HZ14" s="47"/>
      <c r="IA14" s="44">
        <v>601139.36335999996</v>
      </c>
      <c r="IB14" s="47">
        <v>176738.54734960003</v>
      </c>
      <c r="IC14" s="47">
        <v>120430.81365760001</v>
      </c>
      <c r="ID14" s="47">
        <v>54487.550062599999</v>
      </c>
      <c r="IE14" s="47">
        <v>39577.2015226</v>
      </c>
      <c r="IF14" s="47">
        <v>19169.4649106</v>
      </c>
      <c r="IG14" s="47">
        <v>6858.1997326000001</v>
      </c>
      <c r="IH14" s="47"/>
      <c r="II14" s="44">
        <v>571073.36335999996</v>
      </c>
      <c r="IJ14" s="44">
        <v>169225.66414930002</v>
      </c>
      <c r="IK14" s="44">
        <v>116075.2735573</v>
      </c>
      <c r="IL14" s="44">
        <v>53214.469241300001</v>
      </c>
      <c r="IM14" s="44">
        <v>38822.565097300001</v>
      </c>
      <c r="IN14" s="44">
        <v>18907.8407123</v>
      </c>
      <c r="IO14" s="44">
        <v>6792.0534852999999</v>
      </c>
      <c r="IP14" s="351"/>
      <c r="IQ14" s="351">
        <v>595476.99936000002</v>
      </c>
      <c r="IR14" s="351">
        <v>179366.6436717</v>
      </c>
      <c r="IS14" s="351">
        <v>123762.34682169999</v>
      </c>
      <c r="IT14" s="351">
        <v>57542.981522699993</v>
      </c>
      <c r="IU14" s="351">
        <v>42159.421303700001</v>
      </c>
      <c r="IV14" s="351">
        <v>20723.421690700001</v>
      </c>
      <c r="IW14" s="351">
        <v>7469.6512366999996</v>
      </c>
      <c r="IX14" s="351"/>
      <c r="IY14" s="351">
        <v>719691.99936000002</v>
      </c>
      <c r="IZ14" s="351">
        <v>202367.51260049996</v>
      </c>
      <c r="JA14" s="351">
        <v>138343.74007549998</v>
      </c>
      <c r="JB14" s="351">
        <v>63655.430746500002</v>
      </c>
      <c r="JC14" s="351">
        <v>46428.966774500004</v>
      </c>
      <c r="JD14" s="351">
        <v>22752.542992499999</v>
      </c>
      <c r="JE14" s="351">
        <v>8181.7568014999997</v>
      </c>
      <c r="JG14" s="47">
        <v>58683.392370000001</v>
      </c>
      <c r="JH14" s="47">
        <v>30077.930530000001</v>
      </c>
      <c r="JI14" s="47">
        <v>22960.70275</v>
      </c>
      <c r="JJ14" s="47">
        <v>12648.72242</v>
      </c>
      <c r="JK14" s="47">
        <v>9631.3727689999996</v>
      </c>
      <c r="JL14" s="47">
        <v>5075.6946019999996</v>
      </c>
      <c r="JM14" s="47">
        <v>1896.9978390000001</v>
      </c>
      <c r="JN14" s="1034"/>
      <c r="JO14" s="47">
        <v>5422.0001030000003</v>
      </c>
      <c r="JP14" s="47">
        <v>2867.037765</v>
      </c>
      <c r="JQ14" s="47">
        <v>2306.0033100000001</v>
      </c>
      <c r="JR14" s="47">
        <v>1330.986862</v>
      </c>
      <c r="JS14" s="47">
        <v>1016.227738</v>
      </c>
      <c r="JT14" s="47">
        <v>518.38628840000001</v>
      </c>
      <c r="JU14" s="47">
        <v>178.67746890000001</v>
      </c>
      <c r="JV14" s="77"/>
      <c r="JW14" s="47">
        <v>32232</v>
      </c>
      <c r="JX14" s="47">
        <v>16608.841929999999</v>
      </c>
      <c r="JY14" s="47">
        <v>13785.52807</v>
      </c>
      <c r="JZ14" s="47">
        <v>9044.4786029999996</v>
      </c>
      <c r="KA14" s="47">
        <v>7392.5373129999998</v>
      </c>
      <c r="KB14" s="47">
        <v>4394.7817059999998</v>
      </c>
      <c r="KC14" s="47">
        <v>1786.444129</v>
      </c>
      <c r="KD14" s="77"/>
      <c r="KE14" s="47">
        <v>24535.00027</v>
      </c>
      <c r="KF14" s="47">
        <v>11344.9485</v>
      </c>
      <c r="KG14" s="47">
        <v>8646.7834440000006</v>
      </c>
      <c r="KH14" s="47">
        <v>4552.7156409999998</v>
      </c>
      <c r="KI14" s="47">
        <v>3425.0383270000002</v>
      </c>
      <c r="KJ14" s="47">
        <v>1824.3879179999999</v>
      </c>
      <c r="KK14" s="47">
        <v>696.3312363</v>
      </c>
      <c r="KL14" s="77"/>
      <c r="KM14" s="47">
        <v>30977.999800000001</v>
      </c>
      <c r="KN14" s="47">
        <v>4931.4632430000001</v>
      </c>
      <c r="KO14" s="47">
        <v>2309.197463</v>
      </c>
      <c r="KP14" s="47">
        <v>368.53704970000001</v>
      </c>
      <c r="KQ14" s="47">
        <v>179.2637569</v>
      </c>
      <c r="KR14" s="47">
        <v>34.387911459999998</v>
      </c>
      <c r="KS14" s="47">
        <v>3.3294114490000002</v>
      </c>
      <c r="KT14" s="77"/>
      <c r="KU14" s="47">
        <v>38119</v>
      </c>
      <c r="KV14" s="47">
        <v>9366.4726339999997</v>
      </c>
      <c r="KW14" s="47">
        <v>5387.9898320000002</v>
      </c>
      <c r="KX14" s="47">
        <v>1545.655661</v>
      </c>
      <c r="KY14" s="47">
        <v>925.98459890000004</v>
      </c>
      <c r="KZ14" s="47">
        <v>315.0469119</v>
      </c>
      <c r="LA14" s="47">
        <v>83.284463650000006</v>
      </c>
      <c r="LB14" s="77"/>
      <c r="LC14" s="1034">
        <v>23386.177479999998</v>
      </c>
      <c r="LD14" s="1034">
        <v>1519.461104</v>
      </c>
      <c r="LE14" s="1034">
        <v>1025.8125299999999</v>
      </c>
      <c r="LF14" s="1034">
        <v>341.29559369999998</v>
      </c>
      <c r="LG14" s="1034">
        <v>191.59473940000001</v>
      </c>
      <c r="LH14" s="1034">
        <v>31.785835179999999</v>
      </c>
      <c r="LI14" s="1034">
        <v>3.9831079140000001</v>
      </c>
      <c r="LJ14" s="77"/>
      <c r="LK14" s="1034">
        <v>3886</v>
      </c>
      <c r="LL14" s="1034">
        <v>2472.3974569699994</v>
      </c>
      <c r="LM14" s="1034">
        <v>2043.78004433</v>
      </c>
      <c r="LN14" s="1034">
        <v>1152.8774952599999</v>
      </c>
      <c r="LO14" s="1034">
        <v>864.28970677000007</v>
      </c>
      <c r="LP14" s="1034">
        <v>485.88457869000001</v>
      </c>
      <c r="LQ14" s="1034">
        <v>231.22689976999999</v>
      </c>
    </row>
    <row r="15" spans="1:329" s="43" customFormat="1" ht="9.75" customHeight="1" x14ac:dyDescent="0.2">
      <c r="A15" s="48">
        <v>1967</v>
      </c>
      <c r="B15" s="47">
        <v>502212.98589000001</v>
      </c>
      <c r="C15" s="47">
        <v>161399.22733990001</v>
      </c>
      <c r="D15" s="47">
        <v>106085.7514959</v>
      </c>
      <c r="E15" s="47">
        <v>42271.497581900003</v>
      </c>
      <c r="F15" s="47">
        <v>28190.576119900001</v>
      </c>
      <c r="G15" s="47">
        <v>10792.130484900001</v>
      </c>
      <c r="H15" s="47">
        <v>2975.4538582</v>
      </c>
      <c r="I15" s="47"/>
      <c r="J15" s="47">
        <v>760197.31680999999</v>
      </c>
      <c r="K15" s="47">
        <v>256373.08008100002</v>
      </c>
      <c r="L15" s="47">
        <v>179303.17357499999</v>
      </c>
      <c r="M15" s="47">
        <v>85331.934034999998</v>
      </c>
      <c r="N15" s="47">
        <v>63149.225856999998</v>
      </c>
      <c r="O15" s="47">
        <v>31497.328915999999</v>
      </c>
      <c r="P15" s="47">
        <v>11362.529705999999</v>
      </c>
      <c r="Q15" s="47"/>
      <c r="R15" s="47">
        <v>805309.31680999999</v>
      </c>
      <c r="S15" s="47">
        <v>258922.20309900003</v>
      </c>
      <c r="T15" s="47">
        <v>180796.30420000001</v>
      </c>
      <c r="U15" s="47">
        <v>85900.045755999992</v>
      </c>
      <c r="V15" s="47">
        <v>63391.433135999992</v>
      </c>
      <c r="W15" s="47">
        <v>31552.147079999999</v>
      </c>
      <c r="X15" s="47">
        <v>11367.522858</v>
      </c>
      <c r="Y15" s="47"/>
      <c r="Z15" s="47">
        <v>760196.99921000004</v>
      </c>
      <c r="AA15" s="47">
        <v>207778.8813568</v>
      </c>
      <c r="AB15" s="47">
        <v>140334.7376238</v>
      </c>
      <c r="AC15" s="47">
        <v>61981.164519799997</v>
      </c>
      <c r="AD15" s="47">
        <v>44595.552196799996</v>
      </c>
      <c r="AE15" s="47">
        <v>21292.571544800001</v>
      </c>
      <c r="AF15" s="47">
        <v>7473.4970798000004</v>
      </c>
      <c r="AG15" s="47"/>
      <c r="AH15" s="47">
        <v>513647.32484000002</v>
      </c>
      <c r="AI15" s="47">
        <v>165864.06066009999</v>
      </c>
      <c r="AJ15" s="47">
        <v>108704.1796071</v>
      </c>
      <c r="AK15" s="47">
        <v>43162.768608099999</v>
      </c>
      <c r="AL15" s="47">
        <v>28778.033131100001</v>
      </c>
      <c r="AM15" s="47">
        <v>11019.539825100001</v>
      </c>
      <c r="AN15" s="47">
        <v>3041.9987675000002</v>
      </c>
      <c r="AO15" s="47"/>
      <c r="AP15" s="47">
        <v>514750.39672999998</v>
      </c>
      <c r="AQ15" s="47">
        <v>166335.5670451</v>
      </c>
      <c r="AR15" s="47">
        <v>109155.40423309999</v>
      </c>
      <c r="AS15" s="47">
        <v>43555.513398099996</v>
      </c>
      <c r="AT15" s="47">
        <v>29104.274894099995</v>
      </c>
      <c r="AU15" s="47">
        <v>11217.268516100001</v>
      </c>
      <c r="AV15" s="47">
        <v>3120.7706299000001</v>
      </c>
      <c r="AW15" s="47"/>
      <c r="AX15" s="47">
        <v>517188.39672999998</v>
      </c>
      <c r="AY15" s="47">
        <v>168489.47909509996</v>
      </c>
      <c r="AZ15" s="47">
        <v>111256.96023309999</v>
      </c>
      <c r="BA15" s="47">
        <v>45348.052898099995</v>
      </c>
      <c r="BB15" s="47">
        <v>30523.617544100001</v>
      </c>
      <c r="BC15" s="47">
        <v>11924.471366100001</v>
      </c>
      <c r="BD15" s="47">
        <v>3357.9270799000001</v>
      </c>
      <c r="BE15" s="47"/>
      <c r="BF15" s="44">
        <v>518634.02562999999</v>
      </c>
      <c r="BG15" s="44">
        <v>168867.49154610001</v>
      </c>
      <c r="BH15" s="44">
        <v>111498.52200709998</v>
      </c>
      <c r="BI15" s="44">
        <v>45427.104117100003</v>
      </c>
      <c r="BJ15" s="44">
        <v>30571.7035111</v>
      </c>
      <c r="BK15" s="44">
        <v>11921.831403099999</v>
      </c>
      <c r="BL15" s="44">
        <v>3353.4737945000002</v>
      </c>
      <c r="BN15" s="44">
        <v>518634.02562999999</v>
      </c>
      <c r="BO15" s="44">
        <v>158070.874197</v>
      </c>
      <c r="BP15" s="44">
        <v>103707.33116799999</v>
      </c>
      <c r="BQ15" s="44">
        <v>41151.355789999994</v>
      </c>
      <c r="BR15" s="44">
        <v>28075.145837</v>
      </c>
      <c r="BS15" s="44">
        <v>11719.694045</v>
      </c>
      <c r="BT15" s="44">
        <v>3495.6172808000001</v>
      </c>
      <c r="BU15" s="44"/>
      <c r="BV15" s="47">
        <v>521239.64363000001</v>
      </c>
      <c r="BW15" s="47">
        <v>160357.9179873</v>
      </c>
      <c r="BX15" s="47">
        <v>105635.4454843</v>
      </c>
      <c r="BY15" s="47">
        <v>42690.918080300005</v>
      </c>
      <c r="BZ15" s="47">
        <v>29412.452493299999</v>
      </c>
      <c r="CA15" s="47">
        <v>12476.3785773</v>
      </c>
      <c r="CB15" s="47">
        <v>3798.9435831999999</v>
      </c>
      <c r="CC15" s="44"/>
      <c r="CD15" s="47">
        <v>560696.64362999995</v>
      </c>
      <c r="CE15" s="47">
        <v>189405.29932769996</v>
      </c>
      <c r="CF15" s="47">
        <v>132084.26046269998</v>
      </c>
      <c r="CG15" s="47">
        <v>62580.563245700003</v>
      </c>
      <c r="CH15" s="47">
        <v>45896.126370700003</v>
      </c>
      <c r="CI15" s="47">
        <v>22521.930711699999</v>
      </c>
      <c r="CJ15" s="47">
        <v>7962.3873977000003</v>
      </c>
      <c r="CL15" s="47">
        <v>591688.64362999995</v>
      </c>
      <c r="CM15" s="47">
        <v>206256.20396859999</v>
      </c>
      <c r="CN15" s="47">
        <v>146153.3787186</v>
      </c>
      <c r="CO15" s="47">
        <v>71836.92985059999</v>
      </c>
      <c r="CP15" s="47">
        <v>53700.781887599995</v>
      </c>
      <c r="CQ15" s="47">
        <v>26959.364215599999</v>
      </c>
      <c r="CR15" s="47">
        <v>9724.7304605999998</v>
      </c>
      <c r="CS15" s="47"/>
      <c r="CT15" s="47">
        <v>604599.64362999995</v>
      </c>
      <c r="CU15" s="47">
        <v>214241.31826999999</v>
      </c>
      <c r="CV15" s="47">
        <v>153017.63412700003</v>
      </c>
      <c r="CW15" s="47">
        <v>76250.772266</v>
      </c>
      <c r="CX15" s="47">
        <v>57236.449141999998</v>
      </c>
      <c r="CY15" s="47">
        <v>28909.181378000001</v>
      </c>
      <c r="CZ15" s="47">
        <v>10477.832564</v>
      </c>
      <c r="DA15" s="47"/>
      <c r="DB15" s="47">
        <v>604599.64362999995</v>
      </c>
      <c r="DC15" s="47">
        <v>215375.407959</v>
      </c>
      <c r="DD15" s="47">
        <v>154293.175055</v>
      </c>
      <c r="DE15" s="47">
        <v>77522.994961000004</v>
      </c>
      <c r="DF15" s="47">
        <v>58480.400177000003</v>
      </c>
      <c r="DG15" s="47">
        <v>29675.776877</v>
      </c>
      <c r="DH15" s="47">
        <v>10846.81135</v>
      </c>
      <c r="DI15" s="47"/>
      <c r="DJ15" s="47">
        <v>630000.17862999998</v>
      </c>
      <c r="DK15" s="47">
        <v>223338.05969800003</v>
      </c>
      <c r="DL15" s="47">
        <v>160635.140251</v>
      </c>
      <c r="DM15" s="47">
        <v>80355.054185999994</v>
      </c>
      <c r="DN15" s="47">
        <v>60034.652719999998</v>
      </c>
      <c r="DO15" s="47">
        <v>30402.673706999998</v>
      </c>
      <c r="DP15" s="47">
        <v>11047.413081999999</v>
      </c>
      <c r="DQ15" s="47"/>
      <c r="DR15" s="47">
        <v>658491.17918932962</v>
      </c>
      <c r="DS15" s="47">
        <v>232167.8006624534</v>
      </c>
      <c r="DT15" s="47">
        <v>166495.58576949281</v>
      </c>
      <c r="DU15" s="47">
        <v>82294.316621562466</v>
      </c>
      <c r="DV15" s="47">
        <v>61349.529231661254</v>
      </c>
      <c r="DW15" s="47">
        <v>30930.910006101596</v>
      </c>
      <c r="DX15" s="47">
        <v>11245.543696650573</v>
      </c>
      <c r="DY15" s="297"/>
      <c r="DZ15" s="47">
        <v>676510.17881057027</v>
      </c>
      <c r="EA15" s="47">
        <v>235150.94243999271</v>
      </c>
      <c r="EB15" s="47">
        <v>167756.65435525836</v>
      </c>
      <c r="EC15" s="47">
        <v>82492.265957604861</v>
      </c>
      <c r="ED15" s="47">
        <v>61421.237788818893</v>
      </c>
      <c r="EE15" s="47">
        <v>30942.885712246793</v>
      </c>
      <c r="EF15" s="47">
        <v>11247.608649618593</v>
      </c>
      <c r="EG15" s="542"/>
      <c r="EH15" s="47">
        <v>688976.17881058471</v>
      </c>
      <c r="EI15" s="47">
        <v>238696.76479365406</v>
      </c>
      <c r="EJ15" s="47">
        <v>169416.75848550981</v>
      </c>
      <c r="EK15" s="47">
        <v>82723.214124873979</v>
      </c>
      <c r="EL15" s="47">
        <v>61533.180259117464</v>
      </c>
      <c r="EM15" s="47">
        <v>30980.067656736486</v>
      </c>
      <c r="EN15" s="47">
        <v>11249.559223031398</v>
      </c>
      <c r="EO15" s="47"/>
      <c r="EP15" s="47">
        <v>715260.31680999999</v>
      </c>
      <c r="EQ15" s="47">
        <v>245111.07040500003</v>
      </c>
      <c r="ER15" s="47">
        <v>172648.24836900001</v>
      </c>
      <c r="ES15" s="47">
        <v>83576.493516000002</v>
      </c>
      <c r="ET15" s="47">
        <v>62022.470119000005</v>
      </c>
      <c r="EU15" s="47">
        <v>31119.196128</v>
      </c>
      <c r="EV15" s="47">
        <v>11266.620819</v>
      </c>
      <c r="EW15" s="47"/>
      <c r="EX15" s="47">
        <v>760197.31680999999</v>
      </c>
      <c r="EY15" s="47">
        <v>256373.08008100002</v>
      </c>
      <c r="EZ15" s="47">
        <v>179303.17357499999</v>
      </c>
      <c r="FA15" s="47">
        <v>85331.934034999998</v>
      </c>
      <c r="FB15" s="47">
        <v>63149.225856999998</v>
      </c>
      <c r="FC15" s="47">
        <v>31497.328915999999</v>
      </c>
      <c r="FD15" s="47">
        <v>11362.529705999999</v>
      </c>
      <c r="FE15" s="47"/>
      <c r="FF15" s="47">
        <v>782627.31680999999</v>
      </c>
      <c r="FG15" s="47">
        <v>257815.104781</v>
      </c>
      <c r="FH15" s="47">
        <v>180222.579275</v>
      </c>
      <c r="FI15" s="47">
        <v>85636.982034999994</v>
      </c>
      <c r="FJ15" s="47">
        <v>63320.815356999999</v>
      </c>
      <c r="FK15" s="47">
        <v>31528.058015999999</v>
      </c>
      <c r="FL15" s="47">
        <v>11366.342806000001</v>
      </c>
      <c r="FN15" s="47">
        <v>784864.31680999999</v>
      </c>
      <c r="FO15" s="47">
        <v>257863.89375100003</v>
      </c>
      <c r="FP15" s="47">
        <v>180233.31687499999</v>
      </c>
      <c r="FQ15" s="47">
        <v>85638.167645000009</v>
      </c>
      <c r="FR15" s="47">
        <v>63321.128536999997</v>
      </c>
      <c r="FS15" s="47">
        <v>31528.080386000001</v>
      </c>
      <c r="FT15" s="47">
        <v>11366.342806000001</v>
      </c>
      <c r="FV15" s="44">
        <v>795839.31680999999</v>
      </c>
      <c r="FW15" s="44">
        <v>258415.09375099998</v>
      </c>
      <c r="FX15" s="44">
        <v>180508.91687499997</v>
      </c>
      <c r="FY15" s="44">
        <v>85693.287645000004</v>
      </c>
      <c r="FZ15" s="44">
        <v>63348.688537000009</v>
      </c>
      <c r="GA15" s="44">
        <v>31533.592386000004</v>
      </c>
      <c r="GB15" s="44">
        <v>11366.894006</v>
      </c>
      <c r="GC15" s="44"/>
      <c r="GE15" s="47">
        <v>799898.31680999999</v>
      </c>
      <c r="GF15" s="47">
        <v>258922.20309900003</v>
      </c>
      <c r="GG15" s="47">
        <v>180796.30420000001</v>
      </c>
      <c r="GH15" s="47">
        <v>85900.045755999992</v>
      </c>
      <c r="GI15" s="47">
        <v>63391.433135999992</v>
      </c>
      <c r="GJ15" s="47">
        <v>31552.147079999999</v>
      </c>
      <c r="GK15" s="47">
        <v>11367.522858</v>
      </c>
      <c r="GM15" s="47">
        <v>805309.31680999999</v>
      </c>
      <c r="GN15" s="47">
        <v>258922.20309900003</v>
      </c>
      <c r="GO15" s="47">
        <v>180796.30420000001</v>
      </c>
      <c r="GP15" s="47">
        <v>85900.045755999992</v>
      </c>
      <c r="GQ15" s="47">
        <v>63391.433135999992</v>
      </c>
      <c r="GR15" s="47">
        <v>31552.147079999999</v>
      </c>
      <c r="GS15" s="47">
        <v>11367.522858</v>
      </c>
      <c r="GT15" s="187"/>
      <c r="GU15" s="44">
        <v>736851.79964999994</v>
      </c>
      <c r="GV15" s="47">
        <v>222948.83808240001</v>
      </c>
      <c r="GW15" s="47">
        <v>153643.73073840002</v>
      </c>
      <c r="GX15" s="47">
        <v>71052.898687399997</v>
      </c>
      <c r="GY15" s="47">
        <v>52254.058164399998</v>
      </c>
      <c r="GZ15" s="47">
        <v>25784.636142399999</v>
      </c>
      <c r="HA15" s="47">
        <v>9196.6055233999996</v>
      </c>
      <c r="HC15" s="44">
        <v>730739.79964999994</v>
      </c>
      <c r="HD15" s="47">
        <v>220049.3525522</v>
      </c>
      <c r="HE15" s="47">
        <v>151302.7911302</v>
      </c>
      <c r="HF15" s="47">
        <v>69889.89216019999</v>
      </c>
      <c r="HG15" s="47">
        <v>51351.754000199995</v>
      </c>
      <c r="HH15" s="47">
        <v>25317.7862002</v>
      </c>
      <c r="HI15" s="47">
        <v>9022.9856811999998</v>
      </c>
      <c r="HJ15" s="47"/>
      <c r="HK15" s="44">
        <v>699747.79964999994</v>
      </c>
      <c r="HL15" s="47">
        <v>203350.05221619998</v>
      </c>
      <c r="HM15" s="47">
        <v>137368.03019220001</v>
      </c>
      <c r="HN15" s="47">
        <v>60508.004227199999</v>
      </c>
      <c r="HO15" s="47">
        <v>43504.405078199998</v>
      </c>
      <c r="HP15" s="47">
        <v>20801.2035612</v>
      </c>
      <c r="HQ15" s="47">
        <v>7336.1648441999996</v>
      </c>
      <c r="HS15" s="44">
        <v>672783.79937000002</v>
      </c>
      <c r="HT15" s="47">
        <v>191153.77970579997</v>
      </c>
      <c r="HU15" s="47">
        <v>127814.8379018</v>
      </c>
      <c r="HV15" s="47">
        <v>55172.4853248</v>
      </c>
      <c r="HW15" s="47">
        <v>39480.250494799999</v>
      </c>
      <c r="HX15" s="47">
        <v>18663.4987908</v>
      </c>
      <c r="HY15" s="47">
        <v>6522.4284668</v>
      </c>
      <c r="HZ15" s="47"/>
      <c r="IA15" s="44">
        <v>638523.79920999997</v>
      </c>
      <c r="IB15" s="47">
        <v>185318.54248670003</v>
      </c>
      <c r="IC15" s="47">
        <v>125021.49217870001</v>
      </c>
      <c r="ID15" s="47">
        <v>54722.276234700003</v>
      </c>
      <c r="IE15" s="47">
        <v>39288.054139699998</v>
      </c>
      <c r="IF15" s="47">
        <v>18634.624955699997</v>
      </c>
      <c r="IG15" s="47">
        <v>6520.0480686999999</v>
      </c>
      <c r="IH15" s="47"/>
      <c r="II15" s="44">
        <v>606562.79920999997</v>
      </c>
      <c r="IJ15" s="44">
        <v>177378.44959519996</v>
      </c>
      <c r="IK15" s="44">
        <v>120273.9437602</v>
      </c>
      <c r="IL15" s="44">
        <v>53395.959773200004</v>
      </c>
      <c r="IM15" s="44">
        <v>38462.829443199997</v>
      </c>
      <c r="IN15" s="44">
        <v>18355.803653200001</v>
      </c>
      <c r="IO15" s="44">
        <v>6448.9334781999996</v>
      </c>
      <c r="IP15" s="351"/>
      <c r="IQ15" s="351">
        <v>618803.99921000004</v>
      </c>
      <c r="IR15" s="351">
        <v>182429.93875610002</v>
      </c>
      <c r="IS15" s="351">
        <v>124121.52355510001</v>
      </c>
      <c r="IT15" s="351">
        <v>55558.475446099997</v>
      </c>
      <c r="IU15" s="351">
        <v>40134.316386099999</v>
      </c>
      <c r="IV15" s="351">
        <v>19246.633975100001</v>
      </c>
      <c r="IW15" s="351">
        <v>6771.4915050999998</v>
      </c>
      <c r="IX15" s="351"/>
      <c r="IY15" s="351">
        <v>760196.99921000004</v>
      </c>
      <c r="IZ15" s="351">
        <v>207778.8813568</v>
      </c>
      <c r="JA15" s="351">
        <v>140334.7376238</v>
      </c>
      <c r="JB15" s="351">
        <v>61981.164519799997</v>
      </c>
      <c r="JC15" s="351">
        <v>44595.552196799996</v>
      </c>
      <c r="JD15" s="351">
        <v>21292.571544800001</v>
      </c>
      <c r="JE15" s="351">
        <v>7473.4970798000004</v>
      </c>
      <c r="JG15" s="47">
        <v>64479.517160000003</v>
      </c>
      <c r="JH15" s="47">
        <v>33084.785969999997</v>
      </c>
      <c r="JI15" s="47">
        <v>25460.229159999999</v>
      </c>
      <c r="JJ15" s="47">
        <v>14236.72904</v>
      </c>
      <c r="JK15" s="47">
        <v>10863.9112</v>
      </c>
      <c r="JL15" s="47">
        <v>5702.7563</v>
      </c>
      <c r="JM15" s="47">
        <v>2091.962141</v>
      </c>
      <c r="JN15" s="1034"/>
      <c r="JO15" s="47">
        <v>6112</v>
      </c>
      <c r="JP15" s="47">
        <v>3073.180636</v>
      </c>
      <c r="JQ15" s="47">
        <v>2427.45381</v>
      </c>
      <c r="JR15" s="47">
        <v>1355.3080649999999</v>
      </c>
      <c r="JS15" s="47">
        <v>1011.618863</v>
      </c>
      <c r="JT15" s="47">
        <v>518.88153839999995</v>
      </c>
      <c r="JU15" s="47">
        <v>190.4463949</v>
      </c>
      <c r="JV15" s="77"/>
      <c r="JW15" s="47">
        <v>30992</v>
      </c>
      <c r="JX15" s="47">
        <v>16315.66027</v>
      </c>
      <c r="JY15" s="47">
        <v>13601.24005</v>
      </c>
      <c r="JZ15" s="47">
        <v>9098.5208459999994</v>
      </c>
      <c r="KA15" s="47">
        <v>7488.796542</v>
      </c>
      <c r="KB15" s="47">
        <v>4386.3849099999998</v>
      </c>
      <c r="KC15" s="47">
        <v>1757.2704200000001</v>
      </c>
      <c r="KD15" s="77"/>
      <c r="KE15" s="47">
        <v>26964.00028</v>
      </c>
      <c r="KF15" s="47">
        <v>13197.07158</v>
      </c>
      <c r="KG15" s="47">
        <v>10168.74503</v>
      </c>
      <c r="KH15" s="47">
        <v>5307.5034420000002</v>
      </c>
      <c r="KI15" s="47">
        <v>4064.4475430000002</v>
      </c>
      <c r="KJ15" s="47">
        <v>2179.2167279999999</v>
      </c>
      <c r="KK15" s="47">
        <v>847.27579579999997</v>
      </c>
      <c r="KL15" s="77"/>
      <c r="KM15" s="47">
        <v>34260.000160000003</v>
      </c>
      <c r="KN15" s="47">
        <v>5145.0823190000001</v>
      </c>
      <c r="KO15" s="47">
        <v>2401.996944</v>
      </c>
      <c r="KP15" s="47">
        <v>386.87446290000003</v>
      </c>
      <c r="KQ15" s="47">
        <v>190.60251740000001</v>
      </c>
      <c r="KR15" s="47">
        <v>37.723694279999997</v>
      </c>
      <c r="KS15" s="47">
        <v>3.892720894</v>
      </c>
      <c r="KT15" s="77"/>
      <c r="KU15" s="47">
        <v>40790</v>
      </c>
      <c r="KV15" s="47">
        <v>9970.1821789999995</v>
      </c>
      <c r="KW15" s="47">
        <v>5724.656782</v>
      </c>
      <c r="KX15" s="47">
        <v>1655.651525</v>
      </c>
      <c r="KY15" s="47">
        <v>990.05165590000001</v>
      </c>
      <c r="KZ15" s="47">
        <v>330.32830150000001</v>
      </c>
      <c r="LA15" s="47">
        <v>82.806399310000003</v>
      </c>
      <c r="LB15" s="77"/>
      <c r="LC15" s="1034">
        <v>27577.09965</v>
      </c>
      <c r="LD15" s="1034">
        <v>1836.113241</v>
      </c>
      <c r="LE15" s="1034">
        <v>1139.7523960000001</v>
      </c>
      <c r="LF15" s="1034">
        <v>380.50184539999998</v>
      </c>
      <c r="LG15" s="1034">
        <v>215.01562079999999</v>
      </c>
      <c r="LH15" s="1034">
        <v>42.822734500000003</v>
      </c>
      <c r="LI15" s="1034">
        <v>4.9795734549999997</v>
      </c>
      <c r="LJ15" s="77"/>
      <c r="LK15" s="1034">
        <v>3978</v>
      </c>
      <c r="LL15" s="1034">
        <v>2540.61619066</v>
      </c>
      <c r="LM15" s="1034">
        <v>2100.9073303499999</v>
      </c>
      <c r="LN15" s="1034">
        <v>1178.9144034999999</v>
      </c>
      <c r="LO15" s="1034">
        <v>889.62274785000011</v>
      </c>
      <c r="LP15" s="1034">
        <v>506.44728414999997</v>
      </c>
      <c r="LQ15" s="1034">
        <v>238.11607957999999</v>
      </c>
    </row>
    <row r="16" spans="1:329" s="43" customFormat="1" ht="9.75" customHeight="1" x14ac:dyDescent="0.2">
      <c r="A16" s="48">
        <v>1968</v>
      </c>
      <c r="B16" s="47">
        <v>548302.02784</v>
      </c>
      <c r="C16" s="47">
        <v>175445.06328200002</v>
      </c>
      <c r="D16" s="47">
        <v>115108.04391800002</v>
      </c>
      <c r="E16" s="47">
        <v>45759.909324</v>
      </c>
      <c r="F16" s="47">
        <v>30527.117829999999</v>
      </c>
      <c r="G16" s="47">
        <v>11691.122615</v>
      </c>
      <c r="H16" s="47">
        <v>3159.4862010000002</v>
      </c>
      <c r="I16" s="47"/>
      <c r="J16" s="47">
        <v>832068.07926000003</v>
      </c>
      <c r="K16" s="47">
        <v>278473.21325600002</v>
      </c>
      <c r="L16" s="47">
        <v>194712.263611</v>
      </c>
      <c r="M16" s="47">
        <v>92735.067140999992</v>
      </c>
      <c r="N16" s="47">
        <v>69045.833341000005</v>
      </c>
      <c r="O16" s="47">
        <v>34865.286312000004</v>
      </c>
      <c r="P16" s="47">
        <v>12272.504756</v>
      </c>
      <c r="Q16" s="47"/>
      <c r="R16" s="47">
        <v>884542.07926000003</v>
      </c>
      <c r="S16" s="47">
        <v>281421.82195100002</v>
      </c>
      <c r="T16" s="47">
        <v>196568.172594</v>
      </c>
      <c r="U16" s="47">
        <v>93292.969643999997</v>
      </c>
      <c r="V16" s="47">
        <v>69334.549060999998</v>
      </c>
      <c r="W16" s="47">
        <v>34937.914017000003</v>
      </c>
      <c r="X16" s="47">
        <v>12280.430668999999</v>
      </c>
      <c r="Y16" s="47"/>
      <c r="Z16" s="47">
        <v>832067.99936000002</v>
      </c>
      <c r="AA16" s="47">
        <v>222905.72805910002</v>
      </c>
      <c r="AB16" s="47">
        <v>150065.30862210001</v>
      </c>
      <c r="AC16" s="47">
        <v>66088.148142099992</v>
      </c>
      <c r="AD16" s="47">
        <v>47713.614214100002</v>
      </c>
      <c r="AE16" s="47">
        <v>22943.0919951</v>
      </c>
      <c r="AF16" s="47">
        <v>7767.3470330999999</v>
      </c>
      <c r="AG16" s="47"/>
      <c r="AH16" s="47">
        <v>561288.73618000001</v>
      </c>
      <c r="AI16" s="47">
        <v>180598.36810720002</v>
      </c>
      <c r="AJ16" s="47">
        <v>118129.03651620001</v>
      </c>
      <c r="AK16" s="47">
        <v>46773.261525199996</v>
      </c>
      <c r="AL16" s="47">
        <v>31192.1862382</v>
      </c>
      <c r="AM16" s="47">
        <v>11954.6005522</v>
      </c>
      <c r="AN16" s="47">
        <v>3232.3885630999998</v>
      </c>
      <c r="AO16" s="47"/>
      <c r="AP16" s="47">
        <v>562492.05654000002</v>
      </c>
      <c r="AQ16" s="47">
        <v>181216.86515609999</v>
      </c>
      <c r="AR16" s="47">
        <v>118733.10798310001</v>
      </c>
      <c r="AS16" s="47">
        <v>47317.426724099998</v>
      </c>
      <c r="AT16" s="47">
        <v>31668.164140099998</v>
      </c>
      <c r="AU16" s="47">
        <v>12223.168153100001</v>
      </c>
      <c r="AV16" s="47">
        <v>3353.2752593</v>
      </c>
      <c r="AW16" s="47"/>
      <c r="AX16" s="47">
        <v>565227.05654000002</v>
      </c>
      <c r="AY16" s="47">
        <v>183610.83800610004</v>
      </c>
      <c r="AZ16" s="47">
        <v>121056.5998831</v>
      </c>
      <c r="BA16" s="47">
        <v>49281.430224100004</v>
      </c>
      <c r="BB16" s="47">
        <v>33226.047490099998</v>
      </c>
      <c r="BC16" s="47">
        <v>13007.374703099998</v>
      </c>
      <c r="BD16" s="47">
        <v>3615.5891093</v>
      </c>
      <c r="BE16" s="47"/>
      <c r="BF16" s="44">
        <v>566957.02905000001</v>
      </c>
      <c r="BG16" s="44">
        <v>183936.35896040002</v>
      </c>
      <c r="BH16" s="44">
        <v>121286.08484940001</v>
      </c>
      <c r="BI16" s="44">
        <v>49366.264330400001</v>
      </c>
      <c r="BJ16" s="44">
        <v>33277.550201400001</v>
      </c>
      <c r="BK16" s="44">
        <v>13002.301947399999</v>
      </c>
      <c r="BL16" s="44">
        <v>3612.0683367000001</v>
      </c>
      <c r="BN16" s="44">
        <v>566957.02905000001</v>
      </c>
      <c r="BO16" s="44">
        <v>171420.77352839999</v>
      </c>
      <c r="BP16" s="44">
        <v>112188.6544044</v>
      </c>
      <c r="BQ16" s="44">
        <v>44469.772755400001</v>
      </c>
      <c r="BR16" s="44">
        <v>30470.437916400002</v>
      </c>
      <c r="BS16" s="44">
        <v>12720.2571094</v>
      </c>
      <c r="BT16" s="44">
        <v>3752.2420514999999</v>
      </c>
      <c r="BU16" s="44"/>
      <c r="BV16" s="47">
        <v>569581.66304999997</v>
      </c>
      <c r="BW16" s="47">
        <v>173674.7857378</v>
      </c>
      <c r="BX16" s="47">
        <v>114195.9618048</v>
      </c>
      <c r="BY16" s="47">
        <v>46020.512947800002</v>
      </c>
      <c r="BZ16" s="47">
        <v>31808.990366800001</v>
      </c>
      <c r="CA16" s="47">
        <v>13489.9857558</v>
      </c>
      <c r="CB16" s="47">
        <v>4080.0945187000002</v>
      </c>
      <c r="CC16" s="44"/>
      <c r="CD16" s="47">
        <v>608165.66304999997</v>
      </c>
      <c r="CE16" s="47">
        <v>202142.0414319</v>
      </c>
      <c r="CF16" s="47">
        <v>139908.67650389997</v>
      </c>
      <c r="CG16" s="47">
        <v>65177.1081519</v>
      </c>
      <c r="CH16" s="47">
        <v>47945.4369849</v>
      </c>
      <c r="CI16" s="47">
        <v>23522.519546899999</v>
      </c>
      <c r="CJ16" s="47">
        <v>8016.8570338999998</v>
      </c>
      <c r="CL16" s="47">
        <v>645329.66304999997</v>
      </c>
      <c r="CM16" s="47">
        <v>222507.55889099996</v>
      </c>
      <c r="CN16" s="47">
        <v>157066.45297899999</v>
      </c>
      <c r="CO16" s="47">
        <v>76727.012589999998</v>
      </c>
      <c r="CP16" s="47">
        <v>57480.617818999999</v>
      </c>
      <c r="CQ16" s="47">
        <v>29153.158882</v>
      </c>
      <c r="CR16" s="47">
        <v>10173.690959</v>
      </c>
      <c r="CS16" s="47"/>
      <c r="CT16" s="47">
        <v>659387.66304999997</v>
      </c>
      <c r="CU16" s="47">
        <v>231325.55686199994</v>
      </c>
      <c r="CV16" s="47">
        <v>164761.53945999997</v>
      </c>
      <c r="CW16" s="47">
        <v>81724.493012000006</v>
      </c>
      <c r="CX16" s="47">
        <v>61484.853019000002</v>
      </c>
      <c r="CY16" s="47">
        <v>31482.663926000001</v>
      </c>
      <c r="CZ16" s="47">
        <v>11029.796778</v>
      </c>
      <c r="DA16" s="47"/>
      <c r="DB16" s="47">
        <v>659387.66304999997</v>
      </c>
      <c r="DC16" s="47">
        <v>233224.38212600001</v>
      </c>
      <c r="DD16" s="47">
        <v>166596.708614</v>
      </c>
      <c r="DE16" s="47">
        <v>83627.929671999998</v>
      </c>
      <c r="DF16" s="47">
        <v>63265.357289</v>
      </c>
      <c r="DG16" s="47">
        <v>32726.430727999999</v>
      </c>
      <c r="DH16" s="47">
        <v>11562.237874</v>
      </c>
      <c r="DI16" s="47"/>
      <c r="DJ16" s="47">
        <v>690124.65104999999</v>
      </c>
      <c r="DK16" s="47">
        <v>242975.59307899998</v>
      </c>
      <c r="DL16" s="47">
        <v>174424.49591199998</v>
      </c>
      <c r="DM16" s="47">
        <v>87587.33325299999</v>
      </c>
      <c r="DN16" s="47">
        <v>65882.813286999997</v>
      </c>
      <c r="DO16" s="47">
        <v>33739.914684000003</v>
      </c>
      <c r="DP16" s="47">
        <v>11928.546423</v>
      </c>
      <c r="DQ16" s="47"/>
      <c r="DR16" s="47">
        <v>720063.65178013989</v>
      </c>
      <c r="DS16" s="47">
        <v>252248.8833341923</v>
      </c>
      <c r="DT16" s="47">
        <v>180545.0255989146</v>
      </c>
      <c r="DU16" s="47">
        <v>89570.067786176121</v>
      </c>
      <c r="DV16" s="47">
        <v>67197.747605885466</v>
      </c>
      <c r="DW16" s="47">
        <v>34275.080970167313</v>
      </c>
      <c r="DX16" s="47">
        <v>12149.086667632027</v>
      </c>
      <c r="DY16" s="297"/>
      <c r="DZ16" s="47">
        <v>740013.65225731418</v>
      </c>
      <c r="EA16" s="47">
        <v>255553.09681461618</v>
      </c>
      <c r="EB16" s="47">
        <v>182046.74501690152</v>
      </c>
      <c r="EC16" s="47">
        <v>89769.012081352266</v>
      </c>
      <c r="ED16" s="47">
        <v>67296.480621740455</v>
      </c>
      <c r="EE16" s="47">
        <v>34298.858728590945</v>
      </c>
      <c r="EF16" s="47">
        <v>12146.992887976761</v>
      </c>
      <c r="EG16" s="542"/>
      <c r="EH16" s="47">
        <v>754828.65225730941</v>
      </c>
      <c r="EI16" s="47">
        <v>259728.280057214</v>
      </c>
      <c r="EJ16" s="47">
        <v>183962.65529767313</v>
      </c>
      <c r="EK16" s="47">
        <v>90014.460132281107</v>
      </c>
      <c r="EL16" s="47">
        <v>67414.06524190816</v>
      </c>
      <c r="EM16" s="47">
        <v>34332.131992516508</v>
      </c>
      <c r="EN16" s="47">
        <v>12151.570684022876</v>
      </c>
      <c r="EO16" s="47"/>
      <c r="EP16" s="47">
        <v>780529.07926000003</v>
      </c>
      <c r="EQ16" s="47">
        <v>265835.95938099996</v>
      </c>
      <c r="ER16" s="47">
        <v>187353.402417</v>
      </c>
      <c r="ES16" s="47">
        <v>90715.361489000003</v>
      </c>
      <c r="ET16" s="47">
        <v>67866.245656999992</v>
      </c>
      <c r="EU16" s="47">
        <v>34456.803434000001</v>
      </c>
      <c r="EV16" s="47">
        <v>12166.932655000001</v>
      </c>
      <c r="EW16" s="47"/>
      <c r="EX16" s="47">
        <v>832068.07926000003</v>
      </c>
      <c r="EY16" s="47">
        <v>278473.21325600002</v>
      </c>
      <c r="EZ16" s="47">
        <v>194712.263611</v>
      </c>
      <c r="FA16" s="47">
        <v>92735.067140999992</v>
      </c>
      <c r="FB16" s="47">
        <v>69045.833341000005</v>
      </c>
      <c r="FC16" s="47">
        <v>34865.286312000004</v>
      </c>
      <c r="FD16" s="47">
        <v>12272.504756</v>
      </c>
      <c r="FE16" s="47"/>
      <c r="FF16" s="47">
        <v>858137.07926000003</v>
      </c>
      <c r="FG16" s="47">
        <v>280209.40865599999</v>
      </c>
      <c r="FH16" s="47">
        <v>195854.085811</v>
      </c>
      <c r="FI16" s="47">
        <v>93107.593150999994</v>
      </c>
      <c r="FJ16" s="47">
        <v>69255.949481000003</v>
      </c>
      <c r="FK16" s="47">
        <v>34905.171882000002</v>
      </c>
      <c r="FL16" s="47">
        <v>12277.197176</v>
      </c>
      <c r="FN16" s="47">
        <v>860344.07926000003</v>
      </c>
      <c r="FO16" s="47">
        <v>280257.54332599998</v>
      </c>
      <c r="FP16" s="47">
        <v>195864.67941099999</v>
      </c>
      <c r="FQ16" s="47">
        <v>93108.76286100001</v>
      </c>
      <c r="FR16" s="47">
        <v>69256.258461000005</v>
      </c>
      <c r="FS16" s="47">
        <v>34905.193952000001</v>
      </c>
      <c r="FT16" s="47">
        <v>12277.197176</v>
      </c>
      <c r="FV16" s="44">
        <v>872306.07926000003</v>
      </c>
      <c r="FW16" s="44">
        <v>280837.94332600001</v>
      </c>
      <c r="FX16" s="44">
        <v>196154.879411</v>
      </c>
      <c r="FY16" s="44">
        <v>93166.802861000004</v>
      </c>
      <c r="FZ16" s="44">
        <v>69285.278461000009</v>
      </c>
      <c r="GA16" s="44">
        <v>34910.997952000005</v>
      </c>
      <c r="GB16" s="44">
        <v>12277.777576</v>
      </c>
      <c r="GC16" s="44"/>
      <c r="GE16" s="47">
        <v>877364.07926000003</v>
      </c>
      <c r="GF16" s="47">
        <v>281421.82195100002</v>
      </c>
      <c r="GG16" s="47">
        <v>196568.172594</v>
      </c>
      <c r="GH16" s="47">
        <v>93292.969643999997</v>
      </c>
      <c r="GI16" s="47">
        <v>69334.549060999998</v>
      </c>
      <c r="GJ16" s="47">
        <v>34937.914017000003</v>
      </c>
      <c r="GK16" s="47">
        <v>12280.430668999999</v>
      </c>
      <c r="GM16" s="47">
        <v>884542.07926000003</v>
      </c>
      <c r="GN16" s="47">
        <v>281421.82195100002</v>
      </c>
      <c r="GO16" s="47">
        <v>196568.172594</v>
      </c>
      <c r="GP16" s="47">
        <v>93292.969643999997</v>
      </c>
      <c r="GQ16" s="47">
        <v>69334.549060999998</v>
      </c>
      <c r="GR16" s="47">
        <v>34937.914017000003</v>
      </c>
      <c r="GS16" s="47">
        <v>12280.430668999999</v>
      </c>
      <c r="GT16" s="187"/>
      <c r="GU16" s="480">
        <v>803907.15610999998</v>
      </c>
      <c r="GV16" s="481">
        <v>239764.94405189998</v>
      </c>
      <c r="GW16" s="481">
        <v>164777.84024689998</v>
      </c>
      <c r="GX16" s="481">
        <v>76251.605462899999</v>
      </c>
      <c r="GY16" s="481">
        <v>56302.109740899999</v>
      </c>
      <c r="GZ16" s="481">
        <v>28248.029644899998</v>
      </c>
      <c r="HA16" s="481">
        <v>9748.4204148999997</v>
      </c>
      <c r="HB16" s="256"/>
      <c r="HC16" s="480">
        <v>796066.15610999998</v>
      </c>
      <c r="HD16" s="481">
        <v>236322.61965860002</v>
      </c>
      <c r="HE16" s="481">
        <v>162194.21450460001</v>
      </c>
      <c r="HF16" s="481">
        <v>74933.967826599997</v>
      </c>
      <c r="HG16" s="481">
        <v>55324.593268599994</v>
      </c>
      <c r="HH16" s="481">
        <v>27723.932871600002</v>
      </c>
      <c r="HI16" s="481">
        <v>9569.9634225999998</v>
      </c>
      <c r="HJ16" s="481"/>
      <c r="HK16" s="480">
        <v>758902.15610999998</v>
      </c>
      <c r="HL16" s="481">
        <v>216180.59964630002</v>
      </c>
      <c r="HM16" s="481">
        <v>145229.30011429999</v>
      </c>
      <c r="HN16" s="481">
        <v>63491.403848299997</v>
      </c>
      <c r="HO16" s="481">
        <v>45723.005714300001</v>
      </c>
      <c r="HP16" s="481">
        <v>22102.544176299998</v>
      </c>
      <c r="HQ16" s="481">
        <v>7525.7606312999997</v>
      </c>
      <c r="HR16" s="256"/>
      <c r="HS16" s="480">
        <v>729006.15572000004</v>
      </c>
      <c r="HT16" s="481">
        <v>202630.80357210001</v>
      </c>
      <c r="HU16" s="481">
        <v>134776.50900009999</v>
      </c>
      <c r="HV16" s="481">
        <v>57460.671852100008</v>
      </c>
      <c r="HW16" s="481">
        <v>41229.171451100003</v>
      </c>
      <c r="HX16" s="481">
        <v>19635.883588100001</v>
      </c>
      <c r="HY16" s="481">
        <v>6636.4387751000004</v>
      </c>
      <c r="HZ16" s="47"/>
      <c r="IA16" s="480">
        <v>691138.15535999998</v>
      </c>
      <c r="IB16" s="481">
        <v>196012.68242869998</v>
      </c>
      <c r="IC16" s="481">
        <v>131459.61256369998</v>
      </c>
      <c r="ID16" s="481">
        <v>56957.3936617</v>
      </c>
      <c r="IE16" s="481">
        <v>41016.484302700002</v>
      </c>
      <c r="IF16" s="481">
        <v>19623.7859217</v>
      </c>
      <c r="IG16" s="481">
        <v>6632.3085387000001</v>
      </c>
      <c r="IH16" s="47"/>
      <c r="II16" s="480">
        <v>654415.15535999998</v>
      </c>
      <c r="IJ16" s="480">
        <v>187066.86209039998</v>
      </c>
      <c r="IK16" s="480">
        <v>126160.5745554</v>
      </c>
      <c r="IL16" s="480">
        <v>55568.005992400002</v>
      </c>
      <c r="IM16" s="480">
        <v>40137.276728399993</v>
      </c>
      <c r="IN16" s="480">
        <v>19253.058174400001</v>
      </c>
      <c r="IO16" s="480">
        <v>6557.7896594000003</v>
      </c>
      <c r="IP16" s="757"/>
      <c r="IQ16" s="757">
        <v>674331.99936000002</v>
      </c>
      <c r="IR16" s="757">
        <v>195332.8832634</v>
      </c>
      <c r="IS16" s="757">
        <v>132446.21406239999</v>
      </c>
      <c r="IT16" s="757">
        <v>59085.13803039999</v>
      </c>
      <c r="IU16" s="757">
        <v>42825.179706399998</v>
      </c>
      <c r="IV16" s="757">
        <v>20648.7324214</v>
      </c>
      <c r="IW16" s="757">
        <v>7028.9502964000003</v>
      </c>
      <c r="IX16" s="757"/>
      <c r="IY16" s="757">
        <v>832067.99936000002</v>
      </c>
      <c r="IZ16" s="757">
        <v>222905.72805910002</v>
      </c>
      <c r="JA16" s="757">
        <v>150065.30862210001</v>
      </c>
      <c r="JB16" s="757">
        <v>66088.148142099992</v>
      </c>
      <c r="JC16" s="757">
        <v>47713.614214100002</v>
      </c>
      <c r="JD16" s="757">
        <v>22943.0919951</v>
      </c>
      <c r="JE16" s="757">
        <v>7767.3470330999999</v>
      </c>
      <c r="JF16" s="256"/>
      <c r="JG16" s="47">
        <v>76546.923150000002</v>
      </c>
      <c r="JH16" s="47">
        <v>38776.493750000001</v>
      </c>
      <c r="JI16" s="47">
        <v>29799.992920000001</v>
      </c>
      <c r="JJ16" s="47">
        <v>16700.913410000001</v>
      </c>
      <c r="JK16" s="47">
        <v>12934.52593</v>
      </c>
      <c r="JL16" s="47">
        <v>6711.04468</v>
      </c>
      <c r="JM16" s="47">
        <v>2469.551273</v>
      </c>
      <c r="JN16" s="1034"/>
      <c r="JO16" s="47">
        <v>7841</v>
      </c>
      <c r="JP16" s="47">
        <v>3628.6940479999998</v>
      </c>
      <c r="JQ16" s="47">
        <v>2782.78703</v>
      </c>
      <c r="JR16" s="47">
        <v>1470.0258140000001</v>
      </c>
      <c r="JS16" s="47">
        <v>1104.943456</v>
      </c>
      <c r="JT16" s="47">
        <v>561.30617270000005</v>
      </c>
      <c r="JU16" s="47">
        <v>213.14033380000001</v>
      </c>
      <c r="JV16" s="77"/>
      <c r="JW16" s="47">
        <v>37164</v>
      </c>
      <c r="JX16" s="47">
        <v>19829.08999</v>
      </c>
      <c r="JY16" s="47">
        <v>16667.29637</v>
      </c>
      <c r="JZ16" s="47">
        <v>11107.683150000001</v>
      </c>
      <c r="KA16" s="47">
        <v>9204.1229050000002</v>
      </c>
      <c r="KB16" s="47">
        <v>5550.8594439999997</v>
      </c>
      <c r="KC16" s="47">
        <v>2144.092263</v>
      </c>
      <c r="KD16" s="77"/>
      <c r="KE16" s="47">
        <v>29896.000390000001</v>
      </c>
      <c r="KF16" s="47">
        <v>14792.609189999999</v>
      </c>
      <c r="KG16" s="47">
        <v>11400.47321</v>
      </c>
      <c r="KH16" s="47">
        <v>5961.4051929999996</v>
      </c>
      <c r="KI16" s="47">
        <v>4617.8263150000002</v>
      </c>
      <c r="KJ16" s="47">
        <v>2538.8654470000001</v>
      </c>
      <c r="KK16" s="47">
        <v>964.84501130000001</v>
      </c>
      <c r="KL16" s="77"/>
      <c r="KM16" s="47">
        <v>37868.000359999998</v>
      </c>
      <c r="KN16" s="47">
        <v>5897.3474390000001</v>
      </c>
      <c r="KO16" s="47">
        <v>2782.722158</v>
      </c>
      <c r="KP16" s="47">
        <v>441.25086370000002</v>
      </c>
      <c r="KQ16" s="47">
        <v>217.69776529999999</v>
      </c>
      <c r="KR16" s="47">
        <v>40.778066920000001</v>
      </c>
      <c r="KS16" s="47">
        <v>4.5584643099999997</v>
      </c>
      <c r="KT16" s="77"/>
      <c r="KU16" s="47">
        <v>46520</v>
      </c>
      <c r="KV16" s="47">
        <v>11103.43446</v>
      </c>
      <c r="KW16" s="47">
        <v>6323.0713919999998</v>
      </c>
      <c r="KX16" s="47">
        <v>1755.591643</v>
      </c>
      <c r="KY16" s="47">
        <v>1051.673503</v>
      </c>
      <c r="KZ16" s="47">
        <v>345.01677710000001</v>
      </c>
      <c r="LA16" s="47">
        <v>88.460576489999994</v>
      </c>
      <c r="LB16" s="77"/>
      <c r="LC16" s="1034">
        <v>31819.41748</v>
      </c>
      <c r="LD16" s="1034">
        <v>2241.2390559999999</v>
      </c>
      <c r="LE16" s="1034">
        <v>1463.818119</v>
      </c>
      <c r="LF16" s="1034">
        <v>467.92451519999997</v>
      </c>
      <c r="LG16" s="1034">
        <v>265.63783599999999</v>
      </c>
      <c r="LH16" s="1034">
        <v>56.725793119999999</v>
      </c>
      <c r="LI16" s="1034">
        <v>6.0663430839999997</v>
      </c>
      <c r="LJ16" s="77"/>
      <c r="LK16" s="1034">
        <v>4088</v>
      </c>
      <c r="LL16" s="1034">
        <v>2593.3726998900001</v>
      </c>
      <c r="LM16" s="1034">
        <v>2140.0243611199999</v>
      </c>
      <c r="LN16" s="1034">
        <v>1207.77234632</v>
      </c>
      <c r="LO16" s="1034">
        <v>926.51096245999997</v>
      </c>
      <c r="LP16" s="1034">
        <v>521.08221215000003</v>
      </c>
      <c r="LQ16" s="1034">
        <v>246.92429229999999</v>
      </c>
    </row>
    <row r="17" spans="1:329" s="43" customFormat="1" ht="9.75" customHeight="1" x14ac:dyDescent="0.2">
      <c r="A17" s="48">
        <v>1969</v>
      </c>
      <c r="B17" s="47">
        <v>599602.08177000005</v>
      </c>
      <c r="C17" s="47">
        <v>188979.03734000001</v>
      </c>
      <c r="D17" s="47">
        <v>122924.313819</v>
      </c>
      <c r="E17" s="47">
        <v>47601.154045999996</v>
      </c>
      <c r="F17" s="47">
        <v>31399.372202999999</v>
      </c>
      <c r="G17" s="47">
        <v>11806.388537999999</v>
      </c>
      <c r="H17" s="47">
        <v>3212.6838659999999</v>
      </c>
      <c r="I17" s="47"/>
      <c r="J17" s="47">
        <v>899520.59916999994</v>
      </c>
      <c r="K17" s="47">
        <v>291069.119252</v>
      </c>
      <c r="L17" s="47">
        <v>199577.726265</v>
      </c>
      <c r="M17" s="47">
        <v>90905.789864999999</v>
      </c>
      <c r="N17" s="47">
        <v>66563.729464000004</v>
      </c>
      <c r="O17" s="47">
        <v>32510.830006999997</v>
      </c>
      <c r="P17" s="47">
        <v>11994.252928</v>
      </c>
      <c r="Q17" s="47"/>
      <c r="R17" s="47">
        <v>957579.59916999994</v>
      </c>
      <c r="S17" s="47">
        <v>294161.03082800005</v>
      </c>
      <c r="T17" s="47">
        <v>201425.47165599998</v>
      </c>
      <c r="U17" s="47">
        <v>91455.651376000009</v>
      </c>
      <c r="V17" s="47">
        <v>66874.321441000007</v>
      </c>
      <c r="W17" s="47">
        <v>32574.337116000002</v>
      </c>
      <c r="X17" s="47">
        <v>12001.757326000001</v>
      </c>
      <c r="Y17" s="47"/>
      <c r="Z17" s="47">
        <v>899519.99977999995</v>
      </c>
      <c r="AA17" s="47">
        <v>233211.9262737</v>
      </c>
      <c r="AB17" s="47">
        <v>154537.93263569998</v>
      </c>
      <c r="AC17" s="47">
        <v>65174.124609699989</v>
      </c>
      <c r="AD17" s="47">
        <v>46280.515915699994</v>
      </c>
      <c r="AE17" s="47">
        <v>21326.1226307</v>
      </c>
      <c r="AF17" s="47">
        <v>7454.2071487000003</v>
      </c>
      <c r="AG17" s="47"/>
      <c r="AH17" s="47">
        <v>613402.94162000006</v>
      </c>
      <c r="AI17" s="47">
        <v>194187.02779960001</v>
      </c>
      <c r="AJ17" s="47">
        <v>125908.78494159998</v>
      </c>
      <c r="AK17" s="47">
        <v>48585.714900599996</v>
      </c>
      <c r="AL17" s="47">
        <v>32065.392157599999</v>
      </c>
      <c r="AM17" s="47">
        <v>12064.613491599999</v>
      </c>
      <c r="AN17" s="47">
        <v>3291.6196080999998</v>
      </c>
      <c r="AO17" s="47"/>
      <c r="AP17" s="47">
        <v>614918.63164000004</v>
      </c>
      <c r="AQ17" s="47">
        <v>194976.60032639999</v>
      </c>
      <c r="AR17" s="47">
        <v>126699.50440239999</v>
      </c>
      <c r="AS17" s="47">
        <v>49297.318124400001</v>
      </c>
      <c r="AT17" s="47">
        <v>32652.845520399998</v>
      </c>
      <c r="AU17" s="47">
        <v>12400.786490400002</v>
      </c>
      <c r="AV17" s="47">
        <v>3423.4141761000001</v>
      </c>
      <c r="AW17" s="47"/>
      <c r="AX17" s="47">
        <v>618068.63164000004</v>
      </c>
      <c r="AY17" s="47">
        <v>197708.10707639996</v>
      </c>
      <c r="AZ17" s="47">
        <v>129336.30640240001</v>
      </c>
      <c r="BA17" s="47">
        <v>51505.310624400001</v>
      </c>
      <c r="BB17" s="47">
        <v>34407.537270399996</v>
      </c>
      <c r="BC17" s="47">
        <v>13293.449240400001</v>
      </c>
      <c r="BD17" s="47">
        <v>3721.2309261</v>
      </c>
      <c r="BE17" s="47"/>
      <c r="BF17" s="44">
        <v>619710.83811000001</v>
      </c>
      <c r="BG17" s="44">
        <v>198160.58458169998</v>
      </c>
      <c r="BH17" s="44">
        <v>129672.2000117</v>
      </c>
      <c r="BI17" s="44">
        <v>51651.746399700001</v>
      </c>
      <c r="BJ17" s="44">
        <v>34532.1758137</v>
      </c>
      <c r="BK17" s="44">
        <v>13362.426079700001</v>
      </c>
      <c r="BL17" s="44">
        <v>3767.1031460999998</v>
      </c>
      <c r="BN17" s="44">
        <v>619710.83811000001</v>
      </c>
      <c r="BO17" s="44">
        <v>185286.53335249997</v>
      </c>
      <c r="BP17" s="44">
        <v>120176.8232675</v>
      </c>
      <c r="BQ17" s="44">
        <v>46806.008061500004</v>
      </c>
      <c r="BR17" s="44">
        <v>31827.8375055</v>
      </c>
      <c r="BS17" s="44">
        <v>13106.3444745</v>
      </c>
      <c r="BT17" s="44">
        <v>3924.8951542</v>
      </c>
      <c r="BU17" s="44"/>
      <c r="BV17" s="47">
        <v>622354.48811000003</v>
      </c>
      <c r="BW17" s="47">
        <v>187263.68768670002</v>
      </c>
      <c r="BX17" s="47">
        <v>122071.67395970001</v>
      </c>
      <c r="BY17" s="47">
        <v>48213.701673700001</v>
      </c>
      <c r="BZ17" s="47">
        <v>32866.872871699998</v>
      </c>
      <c r="CA17" s="47">
        <v>13664.723686699999</v>
      </c>
      <c r="CB17" s="47">
        <v>4184.7998762999996</v>
      </c>
      <c r="CC17" s="44"/>
      <c r="CD17" s="47">
        <v>656554.48811000003</v>
      </c>
      <c r="CE17" s="47">
        <v>211411.77913209997</v>
      </c>
      <c r="CF17" s="47">
        <v>143805.36600909999</v>
      </c>
      <c r="CG17" s="47">
        <v>64072.04819809999</v>
      </c>
      <c r="CH17" s="47">
        <v>46372.708741099996</v>
      </c>
      <c r="CI17" s="47">
        <v>21817.7823651</v>
      </c>
      <c r="CJ17" s="47">
        <v>7734.7464830999998</v>
      </c>
      <c r="CL17" s="47">
        <v>693512.48811000003</v>
      </c>
      <c r="CM17" s="47">
        <v>230384.35457109998</v>
      </c>
      <c r="CN17" s="47">
        <v>159191.4797581</v>
      </c>
      <c r="CO17" s="47">
        <v>74138.063622100002</v>
      </c>
      <c r="CP17" s="47">
        <v>54558.765234099992</v>
      </c>
      <c r="CQ17" s="47">
        <v>26608.722817099999</v>
      </c>
      <c r="CR17" s="47">
        <v>9749.0330840999995</v>
      </c>
      <c r="CS17" s="47"/>
      <c r="CT17" s="47">
        <v>708629.48811000003</v>
      </c>
      <c r="CU17" s="47">
        <v>239203.58200300002</v>
      </c>
      <c r="CV17" s="47">
        <v>166648.07887</v>
      </c>
      <c r="CW17" s="47">
        <v>78958.325494999997</v>
      </c>
      <c r="CX17" s="47">
        <v>58363.226645999996</v>
      </c>
      <c r="CY17" s="47">
        <v>28688.931758999999</v>
      </c>
      <c r="CZ17" s="47">
        <v>10574.687531</v>
      </c>
      <c r="DA17" s="47"/>
      <c r="DB17" s="47">
        <v>708629.48811000003</v>
      </c>
      <c r="DC17" s="47">
        <v>241638.68203000003</v>
      </c>
      <c r="DD17" s="47">
        <v>169345.33171100001</v>
      </c>
      <c r="DE17" s="47">
        <v>81532.484593999994</v>
      </c>
      <c r="DF17" s="47">
        <v>60461.255858999997</v>
      </c>
      <c r="DG17" s="47">
        <v>30189.995319999998</v>
      </c>
      <c r="DH17" s="47">
        <v>11242.579006</v>
      </c>
      <c r="DI17" s="47"/>
      <c r="DJ17" s="47">
        <v>740137.16411000001</v>
      </c>
      <c r="DK17" s="47">
        <v>251349.27974199998</v>
      </c>
      <c r="DL17" s="47">
        <v>177129.756918</v>
      </c>
      <c r="DM17" s="47">
        <v>85264.164929000006</v>
      </c>
      <c r="DN17" s="47">
        <v>63054.459056999993</v>
      </c>
      <c r="DO17" s="47">
        <v>31273.558121000002</v>
      </c>
      <c r="DP17" s="47">
        <v>11638.051493000001</v>
      </c>
      <c r="DQ17" s="47"/>
      <c r="DR17" s="47">
        <v>772197.16447672888</v>
      </c>
      <c r="DS17" s="47">
        <v>261071.41610002247</v>
      </c>
      <c r="DT17" s="47">
        <v>183511.08975819242</v>
      </c>
      <c r="DU17" s="47">
        <v>87396.975072426503</v>
      </c>
      <c r="DV17" s="47">
        <v>64372.546217785115</v>
      </c>
      <c r="DW17" s="47">
        <v>31886.421613752915</v>
      </c>
      <c r="DX17" s="47">
        <v>11849.917307276615</v>
      </c>
      <c r="DY17" s="297"/>
      <c r="DZ17" s="47">
        <v>794951.16416684457</v>
      </c>
      <c r="EA17" s="47">
        <v>264729.51107399893</v>
      </c>
      <c r="EB17" s="47">
        <v>185164.65576497061</v>
      </c>
      <c r="EC17" s="47">
        <v>87608.410718630606</v>
      </c>
      <c r="ED17" s="47">
        <v>64508.304568480627</v>
      </c>
      <c r="EE17" s="47">
        <v>31912.516718622348</v>
      </c>
      <c r="EF17" s="47">
        <v>11853.217050927717</v>
      </c>
      <c r="EG17" s="542"/>
      <c r="EH17" s="47">
        <v>811749.16416683677</v>
      </c>
      <c r="EI17" s="47">
        <v>269525.73898589221</v>
      </c>
      <c r="EJ17" s="47">
        <v>187346.23900650255</v>
      </c>
      <c r="EK17" s="47">
        <v>87925.149423264549</v>
      </c>
      <c r="EL17" s="47">
        <v>64670.963794584881</v>
      </c>
      <c r="EM17" s="47">
        <v>31950.32708408183</v>
      </c>
      <c r="EN17" s="47">
        <v>11858.766839073109</v>
      </c>
      <c r="EO17" s="47"/>
      <c r="EP17" s="47">
        <v>842589.59916999994</v>
      </c>
      <c r="EQ17" s="47">
        <v>277149.12209099997</v>
      </c>
      <c r="ER17" s="47">
        <v>191424.15183599998</v>
      </c>
      <c r="ES17" s="47">
        <v>88705.650926000002</v>
      </c>
      <c r="ET17" s="47">
        <v>65214.590372999999</v>
      </c>
      <c r="EU17" s="47">
        <v>32095.160659000001</v>
      </c>
      <c r="EV17" s="47">
        <v>11882.946633</v>
      </c>
      <c r="EW17" s="47"/>
      <c r="EX17" s="47">
        <v>899520.59916999994</v>
      </c>
      <c r="EY17" s="47">
        <v>291069.119252</v>
      </c>
      <c r="EZ17" s="47">
        <v>199577.726265</v>
      </c>
      <c r="FA17" s="47">
        <v>90905.789864999999</v>
      </c>
      <c r="FB17" s="47">
        <v>66563.729464000004</v>
      </c>
      <c r="FC17" s="47">
        <v>32510.830006999997</v>
      </c>
      <c r="FD17" s="47">
        <v>11994.252928</v>
      </c>
      <c r="FE17" s="47"/>
      <c r="FF17" s="47">
        <v>927443.59916999994</v>
      </c>
      <c r="FG17" s="47">
        <v>292833.01516199997</v>
      </c>
      <c r="FH17" s="47">
        <v>200704.69854499999</v>
      </c>
      <c r="FI17" s="47">
        <v>91283.029595000015</v>
      </c>
      <c r="FJ17" s="47">
        <v>66777.619644000006</v>
      </c>
      <c r="FK17" s="47">
        <v>32548.805286999999</v>
      </c>
      <c r="FL17" s="47">
        <v>11998.999838</v>
      </c>
      <c r="FN17" s="47">
        <v>929770.59916999994</v>
      </c>
      <c r="FO17" s="47">
        <v>292883.767032</v>
      </c>
      <c r="FP17" s="47">
        <v>200715.86814500001</v>
      </c>
      <c r="FQ17" s="47">
        <v>91284.262904999996</v>
      </c>
      <c r="FR17" s="47">
        <v>66777.945424000005</v>
      </c>
      <c r="FS17" s="47">
        <v>32548.828557000001</v>
      </c>
      <c r="FT17" s="47">
        <v>11998.999838</v>
      </c>
      <c r="FV17" s="44">
        <v>943486.59916999994</v>
      </c>
      <c r="FW17" s="44">
        <v>293537.46703200002</v>
      </c>
      <c r="FX17" s="44">
        <v>201042.71814499999</v>
      </c>
      <c r="FY17" s="44">
        <v>91349.632904999991</v>
      </c>
      <c r="FZ17" s="44">
        <v>66810.630424000003</v>
      </c>
      <c r="GA17" s="44">
        <v>32555.365556999997</v>
      </c>
      <c r="GB17" s="44">
        <v>11999.653538</v>
      </c>
      <c r="GC17" s="44"/>
      <c r="GE17" s="47">
        <v>949267.59916999994</v>
      </c>
      <c r="GF17" s="47">
        <v>294161.03082800005</v>
      </c>
      <c r="GG17" s="47">
        <v>201425.47165599998</v>
      </c>
      <c r="GH17" s="47">
        <v>91455.651376000009</v>
      </c>
      <c r="GI17" s="47">
        <v>66874.321441000007</v>
      </c>
      <c r="GJ17" s="47">
        <v>32574.337116000002</v>
      </c>
      <c r="GK17" s="47">
        <v>12001.757326000001</v>
      </c>
      <c r="GM17" s="47">
        <v>957579.59916999994</v>
      </c>
      <c r="GN17" s="47">
        <v>294161.03082800005</v>
      </c>
      <c r="GO17" s="47">
        <v>201425.47165599998</v>
      </c>
      <c r="GP17" s="47">
        <v>91455.651376000009</v>
      </c>
      <c r="GQ17" s="47">
        <v>66874.321441000007</v>
      </c>
      <c r="GR17" s="47">
        <v>32574.337116000002</v>
      </c>
      <c r="GS17" s="47">
        <v>12001.757326000001</v>
      </c>
      <c r="GT17" s="187"/>
      <c r="GU17" s="480">
        <v>861101.62485000002</v>
      </c>
      <c r="GV17" s="481">
        <v>245998.76939499995</v>
      </c>
      <c r="GW17" s="481">
        <v>165872.27463399997</v>
      </c>
      <c r="GX17" s="481">
        <v>73245.916874000002</v>
      </c>
      <c r="GY17" s="481">
        <v>53172.024977000001</v>
      </c>
      <c r="GZ17" s="481">
        <v>25441.839118000004</v>
      </c>
      <c r="HA17" s="481">
        <v>9168.5421490000008</v>
      </c>
      <c r="HB17" s="256"/>
      <c r="HC17" s="480">
        <v>851332.62485000002</v>
      </c>
      <c r="HD17" s="481">
        <v>241843.5707256</v>
      </c>
      <c r="HE17" s="481">
        <v>162621.04182059999</v>
      </c>
      <c r="HF17" s="481">
        <v>71676.786876600003</v>
      </c>
      <c r="HG17" s="481">
        <v>51991.102263599998</v>
      </c>
      <c r="HH17" s="481">
        <v>24822.597438600002</v>
      </c>
      <c r="HI17" s="481">
        <v>8939.8676216000003</v>
      </c>
      <c r="HJ17" s="481"/>
      <c r="HK17" s="480">
        <v>814374.62485000002</v>
      </c>
      <c r="HL17" s="481">
        <v>223224.93010620002</v>
      </c>
      <c r="HM17" s="481">
        <v>147291.05248719998</v>
      </c>
      <c r="HN17" s="481">
        <v>61428.3286162</v>
      </c>
      <c r="HO17" s="481">
        <v>43601.555441200006</v>
      </c>
      <c r="HP17" s="481">
        <v>20061.509459200002</v>
      </c>
      <c r="HQ17" s="481">
        <v>7056.8474521999997</v>
      </c>
      <c r="HR17" s="256"/>
      <c r="HS17" s="480">
        <v>781611.62465000001</v>
      </c>
      <c r="HT17" s="481">
        <v>209217.88602160002</v>
      </c>
      <c r="HU17" s="481">
        <v>136809.95442160001</v>
      </c>
      <c r="HV17" s="481">
        <v>55630.333364600003</v>
      </c>
      <c r="HW17" s="481">
        <v>39173.917580600006</v>
      </c>
      <c r="HX17" s="481">
        <v>17850.841763600001</v>
      </c>
      <c r="HY17" s="481">
        <v>6232.5705545999999</v>
      </c>
      <c r="HZ17" s="47"/>
      <c r="IA17" s="480">
        <v>738425.62477999995</v>
      </c>
      <c r="IB17" s="481">
        <v>201659.73944360003</v>
      </c>
      <c r="IC17" s="481">
        <v>132979.8599256</v>
      </c>
      <c r="ID17" s="481">
        <v>55122.6606206</v>
      </c>
      <c r="IE17" s="481">
        <v>38901.4524256</v>
      </c>
      <c r="IF17" s="481">
        <v>17794.988095599998</v>
      </c>
      <c r="IG17" s="481">
        <v>6227.6749745999996</v>
      </c>
      <c r="IH17" s="47"/>
      <c r="II17" s="480">
        <v>698096.62477999995</v>
      </c>
      <c r="IJ17" s="480">
        <v>191657.94460449996</v>
      </c>
      <c r="IK17" s="480">
        <v>127197.1045495</v>
      </c>
      <c r="IL17" s="480">
        <v>53564.651483500005</v>
      </c>
      <c r="IM17" s="480">
        <v>38020.514593500004</v>
      </c>
      <c r="IN17" s="480">
        <v>17521.8225575</v>
      </c>
      <c r="IO17" s="480">
        <v>6144.2929405000004</v>
      </c>
      <c r="IP17" s="757"/>
      <c r="IQ17" s="757">
        <v>729422.99977999995</v>
      </c>
      <c r="IR17" s="757">
        <v>203842.54508829999</v>
      </c>
      <c r="IS17" s="757">
        <v>136209.78850229998</v>
      </c>
      <c r="IT17" s="757">
        <v>58286.569277299997</v>
      </c>
      <c r="IU17" s="757">
        <v>41535.800539299998</v>
      </c>
      <c r="IV17" s="757">
        <v>19239.0819323</v>
      </c>
      <c r="IW17" s="757">
        <v>6740.8499462999998</v>
      </c>
      <c r="IX17" s="757"/>
      <c r="IY17" s="757">
        <v>899519.99977999995</v>
      </c>
      <c r="IZ17" s="757">
        <v>233211.9262737</v>
      </c>
      <c r="JA17" s="757">
        <v>154537.93263569998</v>
      </c>
      <c r="JB17" s="757">
        <v>65174.124609699989</v>
      </c>
      <c r="JC17" s="757">
        <v>46280.515915699994</v>
      </c>
      <c r="JD17" s="757">
        <v>21326.1226307</v>
      </c>
      <c r="JE17" s="757">
        <v>7454.2071487000003</v>
      </c>
      <c r="JF17" s="256"/>
      <c r="JG17" s="47">
        <v>91852.974319999994</v>
      </c>
      <c r="JH17" s="47">
        <v>44378.50892</v>
      </c>
      <c r="JI17" s="47">
        <v>33393.58943</v>
      </c>
      <c r="JJ17" s="47">
        <v>18068.540099999998</v>
      </c>
      <c r="JK17" s="47">
        <v>13773.24877</v>
      </c>
      <c r="JL17" s="47">
        <v>7102.7553109999999</v>
      </c>
      <c r="JM17" s="47">
        <v>2748.8970370000002</v>
      </c>
      <c r="JN17" s="1034"/>
      <c r="JO17" s="47">
        <v>9769</v>
      </c>
      <c r="JP17" s="47">
        <v>4498.0442270000003</v>
      </c>
      <c r="JQ17" s="47">
        <v>3440.4305629999999</v>
      </c>
      <c r="JR17" s="47">
        <v>1828.3017319999999</v>
      </c>
      <c r="JS17" s="47">
        <v>1358.5402529999999</v>
      </c>
      <c r="JT17" s="47">
        <v>690.90649020000001</v>
      </c>
      <c r="JU17" s="47">
        <v>269.44108770000003</v>
      </c>
      <c r="JV17" s="77"/>
      <c r="JW17" s="47">
        <v>36958</v>
      </c>
      <c r="JX17" s="47">
        <v>18242.18145</v>
      </c>
      <c r="JY17" s="47">
        <v>15076.16641</v>
      </c>
      <c r="JZ17" s="47">
        <v>9698.8420339999993</v>
      </c>
      <c r="KA17" s="47">
        <v>8017.4949290000004</v>
      </c>
      <c r="KB17" s="47">
        <v>4773.8592630000003</v>
      </c>
      <c r="KC17" s="47">
        <v>2011.307924</v>
      </c>
      <c r="KD17" s="77"/>
      <c r="KE17" s="47">
        <v>32763.000199999999</v>
      </c>
      <c r="KF17" s="47">
        <v>15556.90394</v>
      </c>
      <c r="KG17" s="47">
        <v>11686.69132</v>
      </c>
      <c r="KH17" s="47">
        <v>5785.5290729999997</v>
      </c>
      <c r="KI17" s="47">
        <v>4399.539068</v>
      </c>
      <c r="KJ17" s="47">
        <v>2335.9767670000001</v>
      </c>
      <c r="KK17" s="47">
        <v>944.84843209999997</v>
      </c>
      <c r="KL17" s="77"/>
      <c r="KM17" s="47">
        <v>43185.999860000004</v>
      </c>
      <c r="KN17" s="47">
        <v>6751.6388029999998</v>
      </c>
      <c r="KO17" s="47">
        <v>3139.6292490000001</v>
      </c>
      <c r="KP17" s="47">
        <v>521.9926858</v>
      </c>
      <c r="KQ17" s="47">
        <v>257.0514834</v>
      </c>
      <c r="KR17" s="47">
        <v>50.793133150000003</v>
      </c>
      <c r="KS17" s="47">
        <v>5.4054643120000003</v>
      </c>
      <c r="KT17" s="77"/>
      <c r="KU17" s="47">
        <v>51357</v>
      </c>
      <c r="KV17" s="47">
        <v>12173.45174</v>
      </c>
      <c r="KW17" s="47">
        <v>6884.5307830000002</v>
      </c>
      <c r="KX17" s="47">
        <v>1908.6215850000001</v>
      </c>
      <c r="KY17" s="47">
        <v>1128.373302</v>
      </c>
      <c r="KZ17" s="47">
        <v>359.52722569999997</v>
      </c>
      <c r="LA17" s="47">
        <v>91.504628089999997</v>
      </c>
      <c r="LB17" s="77"/>
      <c r="LC17" s="1034">
        <v>34155.414270000001</v>
      </c>
      <c r="LD17" s="1034">
        <v>2327.160433</v>
      </c>
      <c r="LE17" s="1034">
        <v>1461.6915839999999</v>
      </c>
      <c r="LF17" s="1034">
        <v>469.5762191</v>
      </c>
      <c r="LG17" s="1034">
        <v>266.29361019999999</v>
      </c>
      <c r="LH17" s="1034">
        <v>51.579322040000001</v>
      </c>
      <c r="LI17" s="1034">
        <v>6.3024467050000004</v>
      </c>
      <c r="LJ17" s="77"/>
      <c r="LK17" s="1034">
        <v>4625</v>
      </c>
      <c r="LL17" s="1034">
        <v>2927.6980801799996</v>
      </c>
      <c r="LM17" s="1034">
        <v>2411.2395773199996</v>
      </c>
      <c r="LN17" s="1034">
        <v>1367.1989461200001</v>
      </c>
      <c r="LO17" s="1034">
        <v>1035.7486496000001</v>
      </c>
      <c r="LP17" s="1034">
        <v>583.96174940000003</v>
      </c>
      <c r="LQ17" s="1034">
        <v>283.59260689000001</v>
      </c>
    </row>
    <row r="18" spans="1:329" s="43" customFormat="1" ht="9.75" customHeight="1" x14ac:dyDescent="0.2">
      <c r="A18" s="48">
        <v>1970</v>
      </c>
      <c r="B18" s="47">
        <v>639598.67894000001</v>
      </c>
      <c r="C18" s="47">
        <v>202088.20503500002</v>
      </c>
      <c r="D18" s="47">
        <v>130783.87281200002</v>
      </c>
      <c r="E18" s="47">
        <v>49918.363568999994</v>
      </c>
      <c r="F18" s="47">
        <v>32901.096179</v>
      </c>
      <c r="G18" s="47">
        <v>12282.707866000001</v>
      </c>
      <c r="H18" s="47">
        <v>3312.120269</v>
      </c>
      <c r="I18" s="47"/>
      <c r="J18" s="47">
        <v>940148.70322000002</v>
      </c>
      <c r="K18" s="47">
        <v>297028.78507499996</v>
      </c>
      <c r="L18" s="47">
        <v>200582.942117</v>
      </c>
      <c r="M18" s="47">
        <v>87715.080336999992</v>
      </c>
      <c r="N18" s="47">
        <v>63141.858481000003</v>
      </c>
      <c r="O18" s="47">
        <v>30158.753562000002</v>
      </c>
      <c r="P18" s="47">
        <v>10673.573827</v>
      </c>
      <c r="Q18" s="47"/>
      <c r="R18" s="47">
        <v>1010789.7032</v>
      </c>
      <c r="S18" s="47">
        <v>300515.76820500003</v>
      </c>
      <c r="T18" s="47">
        <v>202571.36270299999</v>
      </c>
      <c r="U18" s="47">
        <v>88369.009472999998</v>
      </c>
      <c r="V18" s="47">
        <v>63471.733699000004</v>
      </c>
      <c r="W18" s="47">
        <v>30219.998801000002</v>
      </c>
      <c r="X18" s="47">
        <v>10683.049512</v>
      </c>
      <c r="Y18" s="47"/>
      <c r="Z18" s="47">
        <v>940148.99956000003</v>
      </c>
      <c r="AA18" s="47">
        <v>235224.54789399999</v>
      </c>
      <c r="AB18" s="47">
        <v>152749.554802</v>
      </c>
      <c r="AC18" s="47">
        <v>61644.574306000002</v>
      </c>
      <c r="AD18" s="47">
        <v>42737.141789999994</v>
      </c>
      <c r="AE18" s="47">
        <v>19142.609838</v>
      </c>
      <c r="AF18" s="47">
        <v>6478.3425820000002</v>
      </c>
      <c r="AG18" s="47"/>
      <c r="AH18" s="47">
        <v>652727.75294000003</v>
      </c>
      <c r="AI18" s="47">
        <v>206840.7933207</v>
      </c>
      <c r="AJ18" s="47">
        <v>133399.44325870002</v>
      </c>
      <c r="AK18" s="47">
        <v>50690.9914087</v>
      </c>
      <c r="AL18" s="47">
        <v>33394.664549699999</v>
      </c>
      <c r="AM18" s="47">
        <v>12447.426881700001</v>
      </c>
      <c r="AN18" s="47">
        <v>3350.7624056</v>
      </c>
      <c r="AO18" s="47"/>
      <c r="AP18" s="47">
        <v>654680.33398</v>
      </c>
      <c r="AQ18" s="47">
        <v>207864.53718749998</v>
      </c>
      <c r="AR18" s="47">
        <v>134377.88076450001</v>
      </c>
      <c r="AS18" s="47">
        <v>51548.929789500005</v>
      </c>
      <c r="AT18" s="47">
        <v>34103.472803500001</v>
      </c>
      <c r="AU18" s="47">
        <v>12857.4905535</v>
      </c>
      <c r="AV18" s="47">
        <v>3520.7199139999998</v>
      </c>
      <c r="AW18" s="47"/>
      <c r="AX18" s="47">
        <v>658330.33398</v>
      </c>
      <c r="AY18" s="47">
        <v>210999.81418800002</v>
      </c>
      <c r="AZ18" s="47">
        <v>137387.74376499999</v>
      </c>
      <c r="BA18" s="47">
        <v>54044.799789999997</v>
      </c>
      <c r="BB18" s="47">
        <v>36090.824803999996</v>
      </c>
      <c r="BC18" s="47">
        <v>13879.636554000001</v>
      </c>
      <c r="BD18" s="47">
        <v>3860.8269140000002</v>
      </c>
      <c r="BE18" s="47"/>
      <c r="BF18" s="44">
        <v>659509.52884000004</v>
      </c>
      <c r="BG18" s="44">
        <v>211294.61664969998</v>
      </c>
      <c r="BH18" s="44">
        <v>137593.8507177</v>
      </c>
      <c r="BI18" s="44">
        <v>54096.038238700006</v>
      </c>
      <c r="BJ18" s="44">
        <v>36107.972696700002</v>
      </c>
      <c r="BK18" s="44">
        <v>13864.4849517</v>
      </c>
      <c r="BL18" s="44">
        <v>3849.2679576999999</v>
      </c>
      <c r="BN18" s="44">
        <v>659509.52884000004</v>
      </c>
      <c r="BO18" s="44">
        <v>196664.26038329999</v>
      </c>
      <c r="BP18" s="44">
        <v>127536.39920530001</v>
      </c>
      <c r="BQ18" s="44">
        <v>49028.690820299998</v>
      </c>
      <c r="BR18" s="44">
        <v>33184.368170299997</v>
      </c>
      <c r="BS18" s="44">
        <v>13608.7215533</v>
      </c>
      <c r="BT18" s="44">
        <v>4033.9295778000001</v>
      </c>
      <c r="BU18" s="44"/>
      <c r="BV18" s="47">
        <v>662172.19383999996</v>
      </c>
      <c r="BW18" s="47">
        <v>198828.29481310002</v>
      </c>
      <c r="BX18" s="47">
        <v>129595.34933510001</v>
      </c>
      <c r="BY18" s="47">
        <v>50688.195909100003</v>
      </c>
      <c r="BZ18" s="47">
        <v>34495.241826099998</v>
      </c>
      <c r="CA18" s="47">
        <v>14340.690761099999</v>
      </c>
      <c r="CB18" s="47">
        <v>4338.9191500999996</v>
      </c>
      <c r="CC18" s="44"/>
      <c r="CD18" s="47">
        <v>689352.19383999996</v>
      </c>
      <c r="CE18" s="47">
        <v>217290.24584840002</v>
      </c>
      <c r="CF18" s="47">
        <v>145755.6728414</v>
      </c>
      <c r="CG18" s="47">
        <v>62500.948082399998</v>
      </c>
      <c r="CH18" s="47">
        <v>44457.304875400005</v>
      </c>
      <c r="CI18" s="47">
        <v>20519.788746400001</v>
      </c>
      <c r="CJ18" s="47">
        <v>6986.9764664000004</v>
      </c>
      <c r="CL18" s="47">
        <v>720615.19383999996</v>
      </c>
      <c r="CM18" s="47">
        <v>232851.92474880003</v>
      </c>
      <c r="CN18" s="47">
        <v>158236.37725580001</v>
      </c>
      <c r="CO18" s="47">
        <v>70557.912682800001</v>
      </c>
      <c r="CP18" s="47">
        <v>50948.820186799996</v>
      </c>
      <c r="CQ18" s="47">
        <v>24303.463414799997</v>
      </c>
      <c r="CR18" s="47">
        <v>8545.1622697999992</v>
      </c>
      <c r="CS18" s="47"/>
      <c r="CT18" s="47">
        <v>737221.19383999996</v>
      </c>
      <c r="CU18" s="47">
        <v>242496.97972910001</v>
      </c>
      <c r="CV18" s="47">
        <v>166075.6317991</v>
      </c>
      <c r="CW18" s="47">
        <v>75464.754103100015</v>
      </c>
      <c r="CX18" s="47">
        <v>54887.929578100004</v>
      </c>
      <c r="CY18" s="47">
        <v>26456.280620099998</v>
      </c>
      <c r="CZ18" s="47">
        <v>9385.0809310999994</v>
      </c>
      <c r="DA18" s="47"/>
      <c r="DB18" s="47">
        <v>737221.19383999996</v>
      </c>
      <c r="DC18" s="47">
        <v>244744.84139900006</v>
      </c>
      <c r="DD18" s="47">
        <v>168650.73071500004</v>
      </c>
      <c r="DE18" s="47">
        <v>77828.150227999999</v>
      </c>
      <c r="DF18" s="47">
        <v>56959.181790999995</v>
      </c>
      <c r="DG18" s="47">
        <v>27891.247477000001</v>
      </c>
      <c r="DH18" s="47">
        <v>10021.191702</v>
      </c>
      <c r="DI18" s="47"/>
      <c r="DJ18" s="47">
        <v>767431.84684000001</v>
      </c>
      <c r="DK18" s="47">
        <v>254478.802031</v>
      </c>
      <c r="DL18" s="47">
        <v>176416.447499</v>
      </c>
      <c r="DM18" s="47">
        <v>81631.020019999996</v>
      </c>
      <c r="DN18" s="47">
        <v>59572.146953999996</v>
      </c>
      <c r="DO18" s="47">
        <v>28992.563703</v>
      </c>
      <c r="DP18" s="47">
        <v>10388.044825999999</v>
      </c>
      <c r="DQ18" s="47"/>
      <c r="DR18" s="47">
        <v>802007.84629080328</v>
      </c>
      <c r="DS18" s="47">
        <v>264243.95392581425</v>
      </c>
      <c r="DT18" s="47">
        <v>182624.49804061267</v>
      </c>
      <c r="DU18" s="47">
        <v>83515.219184991569</v>
      </c>
      <c r="DV18" s="47">
        <v>60782.148416120523</v>
      </c>
      <c r="DW18" s="47">
        <v>29416.95680946478</v>
      </c>
      <c r="DX18" s="47">
        <v>10513.833866162997</v>
      </c>
      <c r="DY18" s="297"/>
      <c r="DZ18" s="47">
        <v>825846.84622118063</v>
      </c>
      <c r="EA18" s="47">
        <v>268010.16655316408</v>
      </c>
      <c r="EB18" s="47">
        <v>184269.20947997988</v>
      </c>
      <c r="EC18" s="47">
        <v>83793.254155065166</v>
      </c>
      <c r="ED18" s="47">
        <v>60911.235555400417</v>
      </c>
      <c r="EE18" s="47">
        <v>29449.271012165191</v>
      </c>
      <c r="EF18" s="47">
        <v>10517.178426846989</v>
      </c>
      <c r="EG18" s="542"/>
      <c r="EH18" s="47">
        <v>845327.84622118005</v>
      </c>
      <c r="EI18" s="47">
        <v>273637.74909126898</v>
      </c>
      <c r="EJ18" s="47">
        <v>187166.99717268476</v>
      </c>
      <c r="EK18" s="47">
        <v>84198.093216734487</v>
      </c>
      <c r="EL18" s="47">
        <v>61048.463360152804</v>
      </c>
      <c r="EM18" s="47">
        <v>29478.251602894125</v>
      </c>
      <c r="EN18" s="47">
        <v>10519.515573702754</v>
      </c>
      <c r="EO18" s="47"/>
      <c r="EP18" s="47">
        <v>880676.70322000002</v>
      </c>
      <c r="EQ18" s="47">
        <v>282217.46530600003</v>
      </c>
      <c r="ER18" s="47">
        <v>191985.19226299998</v>
      </c>
      <c r="ES18" s="47">
        <v>85299.787312999993</v>
      </c>
      <c r="ET18" s="47">
        <v>61647.576606999995</v>
      </c>
      <c r="EU18" s="47">
        <v>29672.327351</v>
      </c>
      <c r="EV18" s="47">
        <v>10543.926590999999</v>
      </c>
      <c r="EW18" s="47"/>
      <c r="EX18" s="47">
        <v>940148.70322000002</v>
      </c>
      <c r="EY18" s="47">
        <v>297028.78507499996</v>
      </c>
      <c r="EZ18" s="47">
        <v>200582.942117</v>
      </c>
      <c r="FA18" s="47">
        <v>87715.080336999992</v>
      </c>
      <c r="FB18" s="47">
        <v>63141.858481000003</v>
      </c>
      <c r="FC18" s="47">
        <v>30158.753562000002</v>
      </c>
      <c r="FD18" s="47">
        <v>10673.573827</v>
      </c>
      <c r="FE18" s="47"/>
      <c r="FF18" s="47">
        <v>973273.70322000002</v>
      </c>
      <c r="FG18" s="47">
        <v>298994.09132499999</v>
      </c>
      <c r="FH18" s="47">
        <v>201818.504617</v>
      </c>
      <c r="FI18" s="47">
        <v>88171.211586999998</v>
      </c>
      <c r="FJ18" s="47">
        <v>63377.377230999999</v>
      </c>
      <c r="FK18" s="47">
        <v>30201.816061999998</v>
      </c>
      <c r="FL18" s="47">
        <v>10679.536327</v>
      </c>
      <c r="FN18" s="47">
        <v>977459.70322000002</v>
      </c>
      <c r="FO18" s="47">
        <v>299085.38798499998</v>
      </c>
      <c r="FP18" s="47">
        <v>201838.59741699998</v>
      </c>
      <c r="FQ18" s="47">
        <v>88173.430166999999</v>
      </c>
      <c r="FR18" s="47">
        <v>63377.963271000001</v>
      </c>
      <c r="FS18" s="47">
        <v>30201.857922000003</v>
      </c>
      <c r="FT18" s="47">
        <v>10679.536327</v>
      </c>
      <c r="FV18" s="44">
        <v>993708.70322000002</v>
      </c>
      <c r="FW18" s="44">
        <v>299822.88798499998</v>
      </c>
      <c r="FX18" s="44">
        <v>202207.34741699998</v>
      </c>
      <c r="FY18" s="44">
        <v>88247.180166999999</v>
      </c>
      <c r="FZ18" s="44">
        <v>63414.838271000001</v>
      </c>
      <c r="GA18" s="44">
        <v>30209.232921999999</v>
      </c>
      <c r="GB18" s="44">
        <v>10680.273827000001</v>
      </c>
      <c r="GC18" s="44"/>
      <c r="GE18" s="47">
        <v>999866.70322000002</v>
      </c>
      <c r="GF18" s="47">
        <v>300515.76820500003</v>
      </c>
      <c r="GG18" s="47">
        <v>202571.36270299999</v>
      </c>
      <c r="GH18" s="47">
        <v>88369.009472999998</v>
      </c>
      <c r="GI18" s="47">
        <v>63471.733699000004</v>
      </c>
      <c r="GJ18" s="47">
        <v>30219.998801000002</v>
      </c>
      <c r="GK18" s="47">
        <v>10683.049512</v>
      </c>
      <c r="GM18" s="47">
        <v>1010789.7032</v>
      </c>
      <c r="GN18" s="47">
        <v>300515.76820500003</v>
      </c>
      <c r="GO18" s="47">
        <v>202571.36270299999</v>
      </c>
      <c r="GP18" s="47">
        <v>88369.009472999998</v>
      </c>
      <c r="GQ18" s="47">
        <v>63471.733699000004</v>
      </c>
      <c r="GR18" s="47">
        <v>30219.998801000002</v>
      </c>
      <c r="GS18" s="47">
        <v>10683.049512</v>
      </c>
      <c r="GT18" s="187"/>
      <c r="GU18" s="480">
        <v>917037.01670000004</v>
      </c>
      <c r="GV18" s="481">
        <v>255321.16723749999</v>
      </c>
      <c r="GW18" s="481">
        <v>169292.42049649998</v>
      </c>
      <c r="GX18" s="481">
        <v>71911.393556499999</v>
      </c>
      <c r="GY18" s="481">
        <v>51248.939938500007</v>
      </c>
      <c r="GZ18" s="481">
        <v>24116.561421500002</v>
      </c>
      <c r="HA18" s="481">
        <v>8402.1138615</v>
      </c>
      <c r="HB18" s="256"/>
      <c r="HC18" s="480">
        <v>906134.01670000004</v>
      </c>
      <c r="HD18" s="481">
        <v>250466.42318010001</v>
      </c>
      <c r="HE18" s="481">
        <v>165834.32417209999</v>
      </c>
      <c r="HF18" s="481">
        <v>70193.204359099997</v>
      </c>
      <c r="HG18" s="481">
        <v>49861.822568100004</v>
      </c>
      <c r="HH18" s="481">
        <v>23442.379680099999</v>
      </c>
      <c r="HI18" s="481">
        <v>8150.9467731000004</v>
      </c>
      <c r="HJ18" s="481"/>
      <c r="HK18" s="480">
        <v>874871.01670000004</v>
      </c>
      <c r="HL18" s="481">
        <v>235198.82045819995</v>
      </c>
      <c r="HM18" s="481">
        <v>153290.74439919999</v>
      </c>
      <c r="HN18" s="481">
        <v>62220.427198199992</v>
      </c>
      <c r="HO18" s="481">
        <v>43120.612135199997</v>
      </c>
      <c r="HP18" s="481">
        <v>19529.838538200001</v>
      </c>
      <c r="HQ18" s="481">
        <v>6650.2475641999999</v>
      </c>
      <c r="HR18" s="256"/>
      <c r="HS18" s="480">
        <v>838197.01702000003</v>
      </c>
      <c r="HT18" s="481">
        <v>220368.19742079999</v>
      </c>
      <c r="HU18" s="481">
        <v>142227.00264679999</v>
      </c>
      <c r="HV18" s="481">
        <v>56145.500783800002</v>
      </c>
      <c r="HW18" s="481">
        <v>38669.266217800003</v>
      </c>
      <c r="HX18" s="481">
        <v>17178.3883178</v>
      </c>
      <c r="HY18" s="481">
        <v>5800.2809847999997</v>
      </c>
      <c r="HZ18" s="47"/>
      <c r="IA18" s="480">
        <v>792893.01656000002</v>
      </c>
      <c r="IB18" s="481">
        <v>212375.06231450001</v>
      </c>
      <c r="IC18" s="481">
        <v>138111.32024949999</v>
      </c>
      <c r="ID18" s="481">
        <v>55461.031644499999</v>
      </c>
      <c r="IE18" s="481">
        <v>38401.0076625</v>
      </c>
      <c r="IF18" s="481">
        <v>17134.1128895</v>
      </c>
      <c r="IG18" s="481">
        <v>5794.1732805000001</v>
      </c>
      <c r="IH18" s="47"/>
      <c r="II18" s="480">
        <v>749779.01656000002</v>
      </c>
      <c r="IJ18" s="480">
        <v>201750.86303020004</v>
      </c>
      <c r="IK18" s="480">
        <v>131945.91720920001</v>
      </c>
      <c r="IL18" s="480">
        <v>53820.975114200002</v>
      </c>
      <c r="IM18" s="480">
        <v>37370.990810199997</v>
      </c>
      <c r="IN18" s="480">
        <v>16800.567076200001</v>
      </c>
      <c r="IO18" s="480">
        <v>5704.1953122000004</v>
      </c>
      <c r="IP18" s="757"/>
      <c r="IQ18" s="757">
        <v>757370.99956000003</v>
      </c>
      <c r="IR18" s="757">
        <v>204608.0350991</v>
      </c>
      <c r="IS18" s="757">
        <v>134014.65795609998</v>
      </c>
      <c r="IT18" s="757">
        <v>54877.934540100003</v>
      </c>
      <c r="IU18" s="757">
        <v>38150.086945100004</v>
      </c>
      <c r="IV18" s="757">
        <v>17190.961218100001</v>
      </c>
      <c r="IW18" s="757">
        <v>5840.1559981</v>
      </c>
      <c r="IX18" s="757"/>
      <c r="IY18" s="757">
        <v>940148.99956000003</v>
      </c>
      <c r="IZ18" s="757">
        <v>235224.54789399999</v>
      </c>
      <c r="JA18" s="757">
        <v>152749.554802</v>
      </c>
      <c r="JB18" s="757">
        <v>61644.574306000002</v>
      </c>
      <c r="JC18" s="757">
        <v>42737.141789999994</v>
      </c>
      <c r="JD18" s="757">
        <v>19142.609838</v>
      </c>
      <c r="JE18" s="757">
        <v>6478.3425820000002</v>
      </c>
      <c r="JF18" s="256"/>
      <c r="JG18" s="47">
        <v>88988.686520000003</v>
      </c>
      <c r="JH18" s="47">
        <v>41817.833639999997</v>
      </c>
      <c r="JI18" s="47">
        <v>30947.621289999999</v>
      </c>
      <c r="JJ18" s="47">
        <v>15916.721219999999</v>
      </c>
      <c r="JK18" s="47">
        <v>11874.07338</v>
      </c>
      <c r="JL18" s="47">
        <v>5916.5430649999998</v>
      </c>
      <c r="JM18" s="47">
        <v>2130.900776</v>
      </c>
      <c r="JN18" s="1034"/>
      <c r="JO18" s="47">
        <v>10903</v>
      </c>
      <c r="JP18" s="47">
        <v>5061.2207010000002</v>
      </c>
      <c r="JQ18" s="47">
        <v>3877.3682229999999</v>
      </c>
      <c r="JR18" s="47">
        <v>2042.746713</v>
      </c>
      <c r="JS18" s="47">
        <v>1504.197167</v>
      </c>
      <c r="JT18" s="47">
        <v>746.77833899999996</v>
      </c>
      <c r="JU18" s="47">
        <v>270.62638279999999</v>
      </c>
      <c r="JV18" s="77"/>
      <c r="JW18" s="47">
        <v>31263</v>
      </c>
      <c r="JX18" s="47">
        <v>14876.872380000001</v>
      </c>
      <c r="JY18" s="47">
        <v>12041.95781</v>
      </c>
      <c r="JZ18" s="47">
        <v>7640.8031030000002</v>
      </c>
      <c r="KA18" s="47">
        <v>6299.9261630000001</v>
      </c>
      <c r="KB18" s="47">
        <v>3783.5061949999999</v>
      </c>
      <c r="KC18" s="47">
        <v>1564.9135590000001</v>
      </c>
      <c r="KD18" s="77"/>
      <c r="KE18" s="47">
        <v>36673.999680000001</v>
      </c>
      <c r="KF18" s="47">
        <v>16680.200529999998</v>
      </c>
      <c r="KG18" s="47">
        <v>12429.58682</v>
      </c>
      <c r="KH18" s="47">
        <v>5981.8823480000001</v>
      </c>
      <c r="KI18" s="47">
        <v>4486.3615879999998</v>
      </c>
      <c r="KJ18" s="47">
        <v>2372.3334709999999</v>
      </c>
      <c r="KK18" s="47">
        <v>913.26239820000001</v>
      </c>
      <c r="KL18" s="77"/>
      <c r="KM18" s="47">
        <v>45304.000460000003</v>
      </c>
      <c r="KN18" s="47">
        <v>6961.9750190000004</v>
      </c>
      <c r="KO18" s="47">
        <v>3273.3851829999999</v>
      </c>
      <c r="KP18" s="47">
        <v>538.02428750000001</v>
      </c>
      <c r="KQ18" s="47">
        <v>259.53308379999999</v>
      </c>
      <c r="KR18" s="47">
        <v>51.827025409999997</v>
      </c>
      <c r="KS18" s="47">
        <v>5.2177143949999998</v>
      </c>
      <c r="KT18" s="77"/>
      <c r="KU18" s="47">
        <v>54319</v>
      </c>
      <c r="KV18" s="47">
        <v>12963.74512</v>
      </c>
      <c r="KW18" s="47">
        <v>7387.0656630000003</v>
      </c>
      <c r="KX18" s="47">
        <v>2078.4657560000001</v>
      </c>
      <c r="KY18" s="47">
        <v>1252.5337529999999</v>
      </c>
      <c r="KZ18" s="47">
        <v>417.1387823</v>
      </c>
      <c r="LA18" s="47">
        <v>107.6965835</v>
      </c>
      <c r="LB18" s="77"/>
      <c r="LC18" s="1034">
        <v>41449.749300000003</v>
      </c>
      <c r="LD18" s="1034">
        <v>2528.2053519999999</v>
      </c>
      <c r="LE18" s="1034">
        <v>1548.0286269999999</v>
      </c>
      <c r="LF18" s="1034">
        <v>545.55634299999997</v>
      </c>
      <c r="LG18" s="1034">
        <v>289.63183120000002</v>
      </c>
      <c r="LH18" s="1034">
        <v>58.64795556</v>
      </c>
      <c r="LI18" s="1034">
        <v>7.6741931230000002</v>
      </c>
      <c r="LJ18" s="77"/>
      <c r="LK18" s="1034">
        <v>4764</v>
      </c>
      <c r="LL18" s="1034">
        <v>3034.3958578499996</v>
      </c>
      <c r="LM18" s="1034">
        <v>2506.9466705000004</v>
      </c>
      <c r="LN18" s="1034">
        <v>1412.5827237999999</v>
      </c>
      <c r="LO18" s="1034">
        <v>1059.7145821900001</v>
      </c>
      <c r="LP18" s="1034">
        <v>586.22471646999998</v>
      </c>
      <c r="LQ18" s="1034">
        <v>274.34269999000003</v>
      </c>
    </row>
    <row r="19" spans="1:329" s="43" customFormat="1" ht="9.75" customHeight="1" x14ac:dyDescent="0.2">
      <c r="A19" s="48">
        <v>1971</v>
      </c>
      <c r="B19" s="47">
        <v>680667.95024000003</v>
      </c>
      <c r="C19" s="47">
        <v>217268.75125799997</v>
      </c>
      <c r="D19" s="47">
        <v>140248.07082699999</v>
      </c>
      <c r="E19" s="47">
        <v>53206.242643999998</v>
      </c>
      <c r="F19" s="47">
        <v>34947.104962999998</v>
      </c>
      <c r="G19" s="47">
        <v>13009.233165999998</v>
      </c>
      <c r="H19" s="47">
        <v>3517.7892419999998</v>
      </c>
      <c r="I19" s="47"/>
      <c r="J19" s="47">
        <v>1017016.3473</v>
      </c>
      <c r="K19" s="47">
        <v>327905.24529299996</v>
      </c>
      <c r="L19" s="47">
        <v>221816.58219299998</v>
      </c>
      <c r="M19" s="47">
        <v>97948.454362999997</v>
      </c>
      <c r="N19" s="47">
        <v>71115.195745000005</v>
      </c>
      <c r="O19" s="47">
        <v>34526.587017999998</v>
      </c>
      <c r="P19" s="47">
        <v>12266.741634</v>
      </c>
      <c r="Q19" s="47"/>
      <c r="R19" s="47">
        <v>1101126.3473</v>
      </c>
      <c r="S19" s="47">
        <v>331970.37622099998</v>
      </c>
      <c r="T19" s="47">
        <v>224128.80047100002</v>
      </c>
      <c r="U19" s="47">
        <v>98671.715830999994</v>
      </c>
      <c r="V19" s="47">
        <v>71567.050850999993</v>
      </c>
      <c r="W19" s="47">
        <v>34605.147402999995</v>
      </c>
      <c r="X19" s="47">
        <v>12273.911598999999</v>
      </c>
      <c r="Y19" s="47"/>
      <c r="Z19" s="47">
        <v>1017015.9993</v>
      </c>
      <c r="AA19" s="47">
        <v>257553.40886940001</v>
      </c>
      <c r="AB19" s="47">
        <v>167991.84058740002</v>
      </c>
      <c r="AC19" s="47">
        <v>68434.145453400008</v>
      </c>
      <c r="AD19" s="47">
        <v>48187.425596399997</v>
      </c>
      <c r="AE19" s="47">
        <v>22147.992897399999</v>
      </c>
      <c r="AF19" s="47">
        <v>7509.6617593999999</v>
      </c>
      <c r="AG19" s="47"/>
      <c r="AH19" s="47">
        <v>694776.80065999995</v>
      </c>
      <c r="AI19" s="47">
        <v>222421.63085880002</v>
      </c>
      <c r="AJ19" s="47">
        <v>143173.13745780001</v>
      </c>
      <c r="AK19" s="47">
        <v>54133.660980799999</v>
      </c>
      <c r="AL19" s="47">
        <v>35550.822425800005</v>
      </c>
      <c r="AM19" s="47">
        <v>13241.594876800002</v>
      </c>
      <c r="AN19" s="47">
        <v>3588.3826724</v>
      </c>
      <c r="AO19" s="47"/>
      <c r="AP19" s="47">
        <v>697057.13803000003</v>
      </c>
      <c r="AQ19" s="47">
        <v>223700.4285566</v>
      </c>
      <c r="AR19" s="47">
        <v>144420.8301006</v>
      </c>
      <c r="AS19" s="47">
        <v>55260.913129599998</v>
      </c>
      <c r="AT19" s="47">
        <v>36494.102173599997</v>
      </c>
      <c r="AU19" s="47">
        <v>13758.514073599999</v>
      </c>
      <c r="AV19" s="47">
        <v>3789.7518915000001</v>
      </c>
      <c r="AW19" s="47"/>
      <c r="AX19" s="47">
        <v>701311.13803000003</v>
      </c>
      <c r="AY19" s="47">
        <v>227319.79556649996</v>
      </c>
      <c r="AZ19" s="47">
        <v>147875.75874049999</v>
      </c>
      <c r="BA19" s="47">
        <v>58096.842229499998</v>
      </c>
      <c r="BB19" s="47">
        <v>38756.8685835</v>
      </c>
      <c r="BC19" s="47">
        <v>14935.574603499999</v>
      </c>
      <c r="BD19" s="47">
        <v>4180.3329014999999</v>
      </c>
      <c r="BE19" s="47"/>
      <c r="BF19" s="44">
        <v>701689.07953999995</v>
      </c>
      <c r="BG19" s="44">
        <v>227241.32121199995</v>
      </c>
      <c r="BH19" s="44">
        <v>147832.16455799996</v>
      </c>
      <c r="BI19" s="44">
        <v>58016.507566999993</v>
      </c>
      <c r="BJ19" s="44">
        <v>38693.485230999991</v>
      </c>
      <c r="BK19" s="44">
        <v>14890.054322</v>
      </c>
      <c r="BL19" s="44">
        <v>4150.0231379999996</v>
      </c>
      <c r="BN19" s="44">
        <v>701689.07953999995</v>
      </c>
      <c r="BO19" s="44">
        <v>210836.74798099999</v>
      </c>
      <c r="BP19" s="44">
        <v>136620.37495500001</v>
      </c>
      <c r="BQ19" s="44">
        <v>52090.583501000008</v>
      </c>
      <c r="BR19" s="44">
        <v>35079.121976000002</v>
      </c>
      <c r="BS19" s="44">
        <v>14499.337703000001</v>
      </c>
      <c r="BT19" s="44">
        <v>4286.0361089999997</v>
      </c>
      <c r="BU19" s="44"/>
      <c r="BV19" s="47">
        <v>704820.97753999999</v>
      </c>
      <c r="BW19" s="47">
        <v>213361.83589090002</v>
      </c>
      <c r="BX19" s="47">
        <v>138706.38547489999</v>
      </c>
      <c r="BY19" s="47">
        <v>53646.238032900001</v>
      </c>
      <c r="BZ19" s="47">
        <v>36469.130384900003</v>
      </c>
      <c r="CA19" s="47">
        <v>15320.225648900001</v>
      </c>
      <c r="CB19" s="47">
        <v>4586.0714009000003</v>
      </c>
      <c r="CC19" s="44"/>
      <c r="CD19" s="47">
        <v>742275.97753999999</v>
      </c>
      <c r="CE19" s="47">
        <v>238769.86803809999</v>
      </c>
      <c r="CF19" s="47">
        <v>161306.4014531</v>
      </c>
      <c r="CG19" s="47">
        <v>69934.220407100001</v>
      </c>
      <c r="CH19" s="47">
        <v>50211.7908551</v>
      </c>
      <c r="CI19" s="47">
        <v>23661.1136601</v>
      </c>
      <c r="CJ19" s="47">
        <v>8085.7002980999996</v>
      </c>
      <c r="CL19" s="47">
        <v>777083.97753999999</v>
      </c>
      <c r="CM19" s="47">
        <v>256209.60380690001</v>
      </c>
      <c r="CN19" s="47">
        <v>175539.68005290002</v>
      </c>
      <c r="CO19" s="47">
        <v>79119.662423900008</v>
      </c>
      <c r="CP19" s="47">
        <v>57731.525755899995</v>
      </c>
      <c r="CQ19" s="47">
        <v>28037.513763900002</v>
      </c>
      <c r="CR19" s="47">
        <v>9849.3508808999995</v>
      </c>
      <c r="CS19" s="47"/>
      <c r="CT19" s="47">
        <v>795452.97753999999</v>
      </c>
      <c r="CU19" s="47">
        <v>266755.03566600004</v>
      </c>
      <c r="CV19" s="47">
        <v>184530.647998</v>
      </c>
      <c r="CW19" s="47">
        <v>84837.12647399999</v>
      </c>
      <c r="CX19" s="47">
        <v>62176.945100000004</v>
      </c>
      <c r="CY19" s="47">
        <v>30464.336772000002</v>
      </c>
      <c r="CZ19" s="47">
        <v>10809.929873999999</v>
      </c>
      <c r="DA19" s="47"/>
      <c r="DB19" s="47">
        <v>795452.97653999995</v>
      </c>
      <c r="DC19" s="47">
        <v>269498.21407699998</v>
      </c>
      <c r="DD19" s="47">
        <v>187038.17287699998</v>
      </c>
      <c r="DE19" s="47">
        <v>87340.088052000006</v>
      </c>
      <c r="DF19" s="47">
        <v>64525.237502999997</v>
      </c>
      <c r="DG19" s="47">
        <v>32006.562836999998</v>
      </c>
      <c r="DH19" s="47">
        <v>11540.909412999999</v>
      </c>
      <c r="DI19" s="47"/>
      <c r="DJ19" s="47">
        <v>827131.50554000004</v>
      </c>
      <c r="DK19" s="47">
        <v>280574.712252</v>
      </c>
      <c r="DL19" s="47">
        <v>195888.89173100001</v>
      </c>
      <c r="DM19" s="47">
        <v>91760.606971000001</v>
      </c>
      <c r="DN19" s="47">
        <v>67729.647918000002</v>
      </c>
      <c r="DO19" s="47">
        <v>33463.387749000001</v>
      </c>
      <c r="DP19" s="47">
        <v>12023.612051</v>
      </c>
      <c r="DQ19" s="47"/>
      <c r="DR19" s="47">
        <v>864689.50559208507</v>
      </c>
      <c r="DS19" s="47">
        <v>291097.40689580719</v>
      </c>
      <c r="DT19" s="47">
        <v>202005.9761350179</v>
      </c>
      <c r="DU19" s="47">
        <v>93552.848807777656</v>
      </c>
      <c r="DV19" s="47">
        <v>68591.42689062719</v>
      </c>
      <c r="DW19" s="47">
        <v>33809.342208795504</v>
      </c>
      <c r="DX19" s="47">
        <v>12110.921702259029</v>
      </c>
      <c r="DY19" s="297"/>
      <c r="DZ19" s="47">
        <v>891135.50529168395</v>
      </c>
      <c r="EA19" s="47">
        <v>295387.53745997639</v>
      </c>
      <c r="EB19" s="47">
        <v>203904.67631858599</v>
      </c>
      <c r="EC19" s="47">
        <v>93835.487793257198</v>
      </c>
      <c r="ED19" s="47">
        <v>68736.884474835533</v>
      </c>
      <c r="EE19" s="47">
        <v>33793.376007239145</v>
      </c>
      <c r="EF19" s="47">
        <v>12106.496845438523</v>
      </c>
      <c r="EG19" s="542"/>
      <c r="EH19" s="47">
        <v>912520.50529168651</v>
      </c>
      <c r="EI19" s="47">
        <v>301623.65382157662</v>
      </c>
      <c r="EJ19" s="47">
        <v>206810.4489083699</v>
      </c>
      <c r="EK19" s="47">
        <v>94199.435700038637</v>
      </c>
      <c r="EL19" s="47">
        <v>68886.151002743252</v>
      </c>
      <c r="EM19" s="47">
        <v>33854.462186188844</v>
      </c>
      <c r="EN19" s="47">
        <v>12110.138314785525</v>
      </c>
      <c r="EO19" s="47"/>
      <c r="EP19" s="47">
        <v>952558.34728999995</v>
      </c>
      <c r="EQ19" s="47">
        <v>311799.96638</v>
      </c>
      <c r="ER19" s="47">
        <v>212284.712753</v>
      </c>
      <c r="ES19" s="47">
        <v>95329.128872999994</v>
      </c>
      <c r="ET19" s="47">
        <v>69575.509701000003</v>
      </c>
      <c r="EU19" s="47">
        <v>34010.737829999998</v>
      </c>
      <c r="EV19" s="47">
        <v>12139.733614000001</v>
      </c>
      <c r="EW19" s="47"/>
      <c r="EX19" s="47">
        <v>1017016.3473</v>
      </c>
      <c r="EY19" s="47">
        <v>327905.24529299996</v>
      </c>
      <c r="EZ19" s="47">
        <v>221816.58219299998</v>
      </c>
      <c r="FA19" s="47">
        <v>97948.454362999997</v>
      </c>
      <c r="FB19" s="47">
        <v>71115.195745000005</v>
      </c>
      <c r="FC19" s="47">
        <v>34526.587017999998</v>
      </c>
      <c r="FD19" s="47">
        <v>12266.741634</v>
      </c>
      <c r="FE19" s="47"/>
      <c r="FF19" s="47">
        <v>1055628.3473</v>
      </c>
      <c r="FG19" s="47">
        <v>330218.87633299996</v>
      </c>
      <c r="FH19" s="47">
        <v>223314.72779300003</v>
      </c>
      <c r="FI19" s="47">
        <v>98476.666523000007</v>
      </c>
      <c r="FJ19" s="47">
        <v>71418.299945000006</v>
      </c>
      <c r="FK19" s="47">
        <v>34576.782617999997</v>
      </c>
      <c r="FL19" s="47">
        <v>12273.691794</v>
      </c>
      <c r="FN19" s="47">
        <v>1061788.3473</v>
      </c>
      <c r="FO19" s="47">
        <v>330353.22593299998</v>
      </c>
      <c r="FP19" s="47">
        <v>223344.29579300003</v>
      </c>
      <c r="FQ19" s="47">
        <v>98479.931322999997</v>
      </c>
      <c r="FR19" s="47">
        <v>71419.162345000004</v>
      </c>
      <c r="FS19" s="47">
        <v>34576.844217999998</v>
      </c>
      <c r="FT19" s="47">
        <v>12273.691794</v>
      </c>
      <c r="FV19" s="44">
        <v>1080653.3473</v>
      </c>
      <c r="FW19" s="44">
        <v>331186.92593299999</v>
      </c>
      <c r="FX19" s="44">
        <v>223761.145793</v>
      </c>
      <c r="FY19" s="44">
        <v>98563.301322999992</v>
      </c>
      <c r="FZ19" s="44">
        <v>71460.847345000002</v>
      </c>
      <c r="GA19" s="44">
        <v>34585.181217999998</v>
      </c>
      <c r="GB19" s="44">
        <v>12274.525494</v>
      </c>
      <c r="GC19" s="44"/>
      <c r="GE19" s="47">
        <v>1087400.3473</v>
      </c>
      <c r="GF19" s="47">
        <v>331970.37622099998</v>
      </c>
      <c r="GG19" s="47">
        <v>224128.80047100002</v>
      </c>
      <c r="GH19" s="47">
        <v>98671.715830999994</v>
      </c>
      <c r="GI19" s="47">
        <v>71567.050850999993</v>
      </c>
      <c r="GJ19" s="47">
        <v>34605.147402999995</v>
      </c>
      <c r="GK19" s="47">
        <v>12273.911598999999</v>
      </c>
      <c r="GM19" s="47">
        <v>1101126.3473</v>
      </c>
      <c r="GN19" s="47">
        <v>331970.37622099998</v>
      </c>
      <c r="GO19" s="47">
        <v>224128.80047100002</v>
      </c>
      <c r="GP19" s="47">
        <v>98671.715830999994</v>
      </c>
      <c r="GQ19" s="47">
        <v>71567.050850999993</v>
      </c>
      <c r="GR19" s="47">
        <v>34605.147402999995</v>
      </c>
      <c r="GS19" s="47">
        <v>12273.911598999999</v>
      </c>
      <c r="GT19" s="187"/>
      <c r="GU19" s="480">
        <v>1009327.1568</v>
      </c>
      <c r="GV19" s="481">
        <v>285974.13721020002</v>
      </c>
      <c r="GW19" s="481">
        <v>190603.96908720001</v>
      </c>
      <c r="GX19" s="481">
        <v>82099.1019772</v>
      </c>
      <c r="GY19" s="481">
        <v>58938.609403200004</v>
      </c>
      <c r="GZ19" s="481">
        <v>28293.255225200002</v>
      </c>
      <c r="HA19" s="481">
        <v>9851.4697192000003</v>
      </c>
      <c r="HB19" s="256"/>
      <c r="HC19" s="480">
        <v>996887.15679000004</v>
      </c>
      <c r="HD19" s="481">
        <v>280501.60530559998</v>
      </c>
      <c r="HE19" s="481">
        <v>186442.52788760001</v>
      </c>
      <c r="HF19" s="481">
        <v>80060.061327600008</v>
      </c>
      <c r="HG19" s="481">
        <v>57452.217150600001</v>
      </c>
      <c r="HH19" s="481">
        <v>27609.3675396</v>
      </c>
      <c r="HI19" s="481">
        <v>9576.3171526000006</v>
      </c>
      <c r="HJ19" s="481"/>
      <c r="HK19" s="480">
        <v>962079.15679000004</v>
      </c>
      <c r="HL19" s="481">
        <v>263076.4078701</v>
      </c>
      <c r="HM19" s="481">
        <v>172271.96174709999</v>
      </c>
      <c r="HN19" s="481">
        <v>70853.317877099995</v>
      </c>
      <c r="HO19" s="481">
        <v>49887.095167099993</v>
      </c>
      <c r="HP19" s="481">
        <v>23158.355807100001</v>
      </c>
      <c r="HQ19" s="481">
        <v>7871.3295771000003</v>
      </c>
      <c r="HR19" s="256"/>
      <c r="HS19" s="480">
        <v>921634.15676000004</v>
      </c>
      <c r="HT19" s="481">
        <v>246840.26493070001</v>
      </c>
      <c r="HU19" s="481">
        <v>160192.0019487</v>
      </c>
      <c r="HV19" s="481">
        <v>64202.195364699997</v>
      </c>
      <c r="HW19" s="481">
        <v>45054.107721700006</v>
      </c>
      <c r="HX19" s="481">
        <v>20610.2892527</v>
      </c>
      <c r="HY19" s="481">
        <v>6973.0081607000002</v>
      </c>
      <c r="HZ19" s="47"/>
      <c r="IA19" s="480">
        <v>871736.15633000003</v>
      </c>
      <c r="IB19" s="481">
        <v>237645.60622069999</v>
      </c>
      <c r="IC19" s="481">
        <v>155768.46710070001</v>
      </c>
      <c r="ID19" s="481">
        <v>63559.424387700004</v>
      </c>
      <c r="IE19" s="481">
        <v>44752.367962700002</v>
      </c>
      <c r="IF19" s="481">
        <v>20566.198734699999</v>
      </c>
      <c r="IG19" s="481">
        <v>6973.7586117000001</v>
      </c>
      <c r="IH19" s="47"/>
      <c r="II19" s="480">
        <v>824256.15633000003</v>
      </c>
      <c r="IJ19" s="480">
        <v>225698.16029510001</v>
      </c>
      <c r="IK19" s="480">
        <v>148775.18462910003</v>
      </c>
      <c r="IL19" s="480">
        <v>61629.495101099994</v>
      </c>
      <c r="IM19" s="480">
        <v>43631.666320100005</v>
      </c>
      <c r="IN19" s="480">
        <v>20187.3684961</v>
      </c>
      <c r="IO19" s="480">
        <v>6873.5801740999996</v>
      </c>
      <c r="IP19" s="757"/>
      <c r="IQ19" s="757">
        <v>818761.99933000002</v>
      </c>
      <c r="IR19" s="757">
        <v>223593.88803919998</v>
      </c>
      <c r="IS19" s="757">
        <v>147249.78482219999</v>
      </c>
      <c r="IT19" s="757">
        <v>60847.066820200002</v>
      </c>
      <c r="IU19" s="757">
        <v>43044.065777200005</v>
      </c>
      <c r="IV19" s="757">
        <v>19889.576256199998</v>
      </c>
      <c r="IW19" s="757">
        <v>6770.2745261999999</v>
      </c>
      <c r="IX19" s="757"/>
      <c r="IY19" s="757">
        <v>1017015.9993</v>
      </c>
      <c r="IZ19" s="757">
        <v>257553.40886940001</v>
      </c>
      <c r="JA19" s="757">
        <v>167991.84058740002</v>
      </c>
      <c r="JB19" s="757">
        <v>68434.145453400008</v>
      </c>
      <c r="JC19" s="757">
        <v>48187.425596399997</v>
      </c>
      <c r="JD19" s="757">
        <v>22147.992897399999</v>
      </c>
      <c r="JE19" s="757">
        <v>7509.6617593999999</v>
      </c>
      <c r="JF19" s="256"/>
      <c r="JG19" s="47">
        <v>86002.190499999997</v>
      </c>
      <c r="JH19" s="47">
        <v>41720.859779999999</v>
      </c>
      <c r="JI19" s="47">
        <v>30955.291430000001</v>
      </c>
      <c r="JJ19" s="47">
        <v>15983.184230000001</v>
      </c>
      <c r="JK19" s="47">
        <v>12014.582179999999</v>
      </c>
      <c r="JL19" s="47">
        <v>6078.257979</v>
      </c>
      <c r="JM19" s="47">
        <v>2284.1598039999999</v>
      </c>
      <c r="JN19" s="1034"/>
      <c r="JO19" s="47">
        <v>12440</v>
      </c>
      <c r="JP19" s="47">
        <v>5796.7107120000001</v>
      </c>
      <c r="JQ19" s="47">
        <v>4425.5771400000003</v>
      </c>
      <c r="JR19" s="47">
        <v>2315.5714119999998</v>
      </c>
      <c r="JS19" s="47">
        <v>1709.594431</v>
      </c>
      <c r="JT19" s="47">
        <v>842.73023490000003</v>
      </c>
      <c r="JU19" s="47">
        <v>308.386572</v>
      </c>
      <c r="JV19" s="77"/>
      <c r="JW19" s="47">
        <v>34808</v>
      </c>
      <c r="JX19" s="47">
        <v>17142.38292</v>
      </c>
      <c r="JY19" s="47">
        <v>13862.56345</v>
      </c>
      <c r="JZ19" s="47">
        <v>8773.7096060000003</v>
      </c>
      <c r="KA19" s="47">
        <v>7156.5312839999997</v>
      </c>
      <c r="KB19" s="47">
        <v>4323.0097939999996</v>
      </c>
      <c r="KC19" s="47">
        <v>1758.7796049999999</v>
      </c>
      <c r="KD19" s="77"/>
      <c r="KE19" s="47">
        <v>40445.000030000003</v>
      </c>
      <c r="KF19" s="47">
        <v>18441.24108</v>
      </c>
      <c r="KG19" s="47">
        <v>13640.04003</v>
      </c>
      <c r="KH19" s="47">
        <v>6457.054333</v>
      </c>
      <c r="KI19" s="47">
        <v>4828.3156280000003</v>
      </c>
      <c r="KJ19" s="47">
        <v>2564.8762510000001</v>
      </c>
      <c r="KK19" s="47">
        <v>991.41391169999997</v>
      </c>
      <c r="KL19" s="77"/>
      <c r="KM19" s="47">
        <v>49898.000419999997</v>
      </c>
      <c r="KN19" s="47">
        <v>7865.2305020000003</v>
      </c>
      <c r="KO19" s="47">
        <v>3646.5530020000001</v>
      </c>
      <c r="KP19" s="47">
        <v>602.95668660000001</v>
      </c>
      <c r="KQ19" s="47">
        <v>288.60393149999999</v>
      </c>
      <c r="KR19" s="47">
        <v>56.286126330000002</v>
      </c>
      <c r="KS19" s="47">
        <v>5.6925277620000001</v>
      </c>
      <c r="KT19" s="77"/>
      <c r="KU19" s="47">
        <v>59530</v>
      </c>
      <c r="KV19" s="47">
        <v>14377.785110000001</v>
      </c>
      <c r="KW19" s="47">
        <v>8140.2503349999997</v>
      </c>
      <c r="KX19" s="47">
        <v>2269.9225280000001</v>
      </c>
      <c r="KY19" s="47">
        <v>1361.811432</v>
      </c>
      <c r="KZ19" s="47">
        <v>450.9519444</v>
      </c>
      <c r="LA19" s="47">
        <v>111.61560609999999</v>
      </c>
      <c r="LB19" s="77"/>
      <c r="LC19" s="1034">
        <v>49758.8586</v>
      </c>
      <c r="LD19" s="1034">
        <v>2983.0836810000001</v>
      </c>
      <c r="LE19" s="1034">
        <v>1872.7564480000001</v>
      </c>
      <c r="LF19" s="1034">
        <v>633.91040529999998</v>
      </c>
      <c r="LG19" s="1034">
        <v>363.75259870000002</v>
      </c>
      <c r="LH19" s="1034">
        <v>67.614526470000001</v>
      </c>
      <c r="LI19" s="1034">
        <v>8.7651004930000003</v>
      </c>
      <c r="LJ19" s="77"/>
      <c r="LK19" s="1034">
        <v>5797</v>
      </c>
      <c r="LL19" s="1034">
        <v>3694.46360061</v>
      </c>
      <c r="LM19" s="1034">
        <v>3044.8033145899999</v>
      </c>
      <c r="LN19" s="1034">
        <v>1704.6292593899998</v>
      </c>
      <c r="LO19" s="1034">
        <v>1284.32964838</v>
      </c>
      <c r="LP19" s="1034">
        <v>708.40154554000003</v>
      </c>
      <c r="LQ19" s="1034">
        <v>327.90442524000002</v>
      </c>
    </row>
    <row r="20" spans="1:329" s="43" customFormat="1" ht="9.75" customHeight="1" x14ac:dyDescent="0.2">
      <c r="A20" s="48">
        <v>1972</v>
      </c>
      <c r="B20" s="47">
        <v>749388.84996000002</v>
      </c>
      <c r="C20" s="47">
        <v>238070.93306899999</v>
      </c>
      <c r="D20" s="47">
        <v>153542.24598899996</v>
      </c>
      <c r="E20" s="47">
        <v>58351.978681000001</v>
      </c>
      <c r="F20" s="47">
        <v>38317.722473000002</v>
      </c>
      <c r="G20" s="47">
        <v>14339.985412</v>
      </c>
      <c r="H20" s="47">
        <v>3899.9309250000001</v>
      </c>
      <c r="I20" s="47"/>
      <c r="J20" s="47">
        <v>1122975.8569</v>
      </c>
      <c r="K20" s="47">
        <v>361930.18189999997</v>
      </c>
      <c r="L20" s="47">
        <v>246034.10841000002</v>
      </c>
      <c r="M20" s="47">
        <v>110181.86395999999</v>
      </c>
      <c r="N20" s="47">
        <v>80103.98444900001</v>
      </c>
      <c r="O20" s="47">
        <v>38794.863817000005</v>
      </c>
      <c r="P20" s="47">
        <v>13725.465118</v>
      </c>
      <c r="Q20" s="47"/>
      <c r="R20" s="47">
        <v>1216401.8569</v>
      </c>
      <c r="S20" s="47">
        <v>366499.71470999997</v>
      </c>
      <c r="T20" s="47">
        <v>248804.73532000004</v>
      </c>
      <c r="U20" s="47">
        <v>111031.69706999999</v>
      </c>
      <c r="V20" s="47">
        <v>80586.613358999995</v>
      </c>
      <c r="W20" s="47">
        <v>38843.994232999998</v>
      </c>
      <c r="X20" s="47">
        <v>13734.599695999999</v>
      </c>
      <c r="Y20" s="47"/>
      <c r="Z20" s="47">
        <v>1122975.9998000001</v>
      </c>
      <c r="AA20" s="47">
        <v>285177.65810359997</v>
      </c>
      <c r="AB20" s="47">
        <v>186878.55986460001</v>
      </c>
      <c r="AC20" s="47">
        <v>78159.583474599989</v>
      </c>
      <c r="AD20" s="47">
        <v>55391.815540600001</v>
      </c>
      <c r="AE20" s="47">
        <v>25490.315898599998</v>
      </c>
      <c r="AF20" s="47">
        <v>8702.4046825999994</v>
      </c>
      <c r="AG20" s="47"/>
      <c r="AH20" s="47">
        <v>764982.80362000002</v>
      </c>
      <c r="AI20" s="47">
        <v>244131.10942659996</v>
      </c>
      <c r="AJ20" s="47">
        <v>157035.84772559998</v>
      </c>
      <c r="AK20" s="47">
        <v>59526.139588600003</v>
      </c>
      <c r="AL20" s="47">
        <v>39044.503982599999</v>
      </c>
      <c r="AM20" s="47">
        <v>14612.833014600001</v>
      </c>
      <c r="AN20" s="47">
        <v>3981.4557146000002</v>
      </c>
      <c r="AO20" s="47"/>
      <c r="AP20" s="47">
        <v>767489.20611999999</v>
      </c>
      <c r="AQ20" s="47">
        <v>245527.10223069999</v>
      </c>
      <c r="AR20" s="47">
        <v>158422.6580307</v>
      </c>
      <c r="AS20" s="47">
        <v>60722.227725699995</v>
      </c>
      <c r="AT20" s="47">
        <v>40038.804929699996</v>
      </c>
      <c r="AU20" s="47">
        <v>15155.324492700001</v>
      </c>
      <c r="AV20" s="47">
        <v>4171.9480986999997</v>
      </c>
      <c r="AW20" s="47"/>
      <c r="AX20" s="47">
        <v>772386.20611999999</v>
      </c>
      <c r="AY20" s="47">
        <v>249653.55928069999</v>
      </c>
      <c r="AZ20" s="47">
        <v>162338.78893069999</v>
      </c>
      <c r="BA20" s="47">
        <v>63902.829225699992</v>
      </c>
      <c r="BB20" s="47">
        <v>42582.061879699999</v>
      </c>
      <c r="BC20" s="47">
        <v>16493.9194427</v>
      </c>
      <c r="BD20" s="47">
        <v>4614.8817486999997</v>
      </c>
      <c r="BE20" s="47"/>
      <c r="BF20" s="44">
        <v>772629.28954000003</v>
      </c>
      <c r="BG20" s="44">
        <v>249650.37539310002</v>
      </c>
      <c r="BH20" s="44">
        <v>162323.1332221</v>
      </c>
      <c r="BI20" s="44">
        <v>63822.530746100005</v>
      </c>
      <c r="BJ20" s="44">
        <v>42548.640331100003</v>
      </c>
      <c r="BK20" s="44">
        <v>16450.466854099999</v>
      </c>
      <c r="BL20" s="44">
        <v>4594.1762041000002</v>
      </c>
      <c r="BN20" s="44">
        <v>772629.28954000003</v>
      </c>
      <c r="BO20" s="44">
        <v>229337.10912680003</v>
      </c>
      <c r="BP20" s="44">
        <v>148340.49011180003</v>
      </c>
      <c r="BQ20" s="44">
        <v>56759.943431799999</v>
      </c>
      <c r="BR20" s="44">
        <v>38206.699427800006</v>
      </c>
      <c r="BS20" s="44">
        <v>15650.387235800001</v>
      </c>
      <c r="BT20" s="44">
        <v>4628.4655198</v>
      </c>
      <c r="BU20" s="44"/>
      <c r="BV20" s="47">
        <v>776230.41754000005</v>
      </c>
      <c r="BW20" s="47">
        <v>232500.52989209996</v>
      </c>
      <c r="BX20" s="47">
        <v>151102.03422510001</v>
      </c>
      <c r="BY20" s="47">
        <v>58756.191886099994</v>
      </c>
      <c r="BZ20" s="47">
        <v>39866.823509099995</v>
      </c>
      <c r="CA20" s="47">
        <v>16640.367355099999</v>
      </c>
      <c r="CB20" s="47">
        <v>4992.4755771</v>
      </c>
      <c r="CC20" s="44"/>
      <c r="CD20" s="47">
        <v>824265.41754000005</v>
      </c>
      <c r="CE20" s="47">
        <v>265142.49968060001</v>
      </c>
      <c r="CF20" s="47">
        <v>179690.64239560001</v>
      </c>
      <c r="CG20" s="47">
        <v>79068.139265599995</v>
      </c>
      <c r="CH20" s="47">
        <v>56947.818176599998</v>
      </c>
      <c r="CI20" s="47">
        <v>26946.274901600002</v>
      </c>
      <c r="CJ20" s="47">
        <v>9264.4273035999995</v>
      </c>
      <c r="CL20" s="47">
        <v>863375.41754000005</v>
      </c>
      <c r="CM20" s="47">
        <v>284841.092573</v>
      </c>
      <c r="CN20" s="47">
        <v>195797.17641499999</v>
      </c>
      <c r="CO20" s="47">
        <v>89623.768884999998</v>
      </c>
      <c r="CP20" s="47">
        <v>65385.87035099999</v>
      </c>
      <c r="CQ20" s="47">
        <v>31902.343666000001</v>
      </c>
      <c r="CR20" s="47">
        <v>11219.070685000001</v>
      </c>
      <c r="CS20" s="47"/>
      <c r="CT20" s="47">
        <v>882822.41754000005</v>
      </c>
      <c r="CU20" s="47">
        <v>296192.23577100004</v>
      </c>
      <c r="CV20" s="47">
        <v>205344.34581900001</v>
      </c>
      <c r="CW20" s="47">
        <v>95682.445659000005</v>
      </c>
      <c r="CX20" s="47">
        <v>70247.805635000012</v>
      </c>
      <c r="CY20" s="47">
        <v>34504.778528000003</v>
      </c>
      <c r="CZ20" s="47">
        <v>12215.075389</v>
      </c>
      <c r="DA20" s="47"/>
      <c r="DB20" s="47">
        <v>882822.41754000005</v>
      </c>
      <c r="DC20" s="47">
        <v>298732.72061900003</v>
      </c>
      <c r="DD20" s="47">
        <v>207998.109643</v>
      </c>
      <c r="DE20" s="47">
        <v>98176.583062999998</v>
      </c>
      <c r="DF20" s="47">
        <v>72457.468760999996</v>
      </c>
      <c r="DG20" s="47">
        <v>35930.563814000001</v>
      </c>
      <c r="DH20" s="47">
        <v>12842.966856999999</v>
      </c>
      <c r="DI20" s="47"/>
      <c r="DJ20" s="47">
        <v>918888.42154000001</v>
      </c>
      <c r="DK20" s="47">
        <v>312137.91662999999</v>
      </c>
      <c r="DL20" s="47">
        <v>218177.42095099998</v>
      </c>
      <c r="DM20" s="47">
        <v>103384.564231</v>
      </c>
      <c r="DN20" s="47">
        <v>76424.662647000005</v>
      </c>
      <c r="DO20" s="47">
        <v>37565.864858000001</v>
      </c>
      <c r="DP20" s="47">
        <v>13432.623782999999</v>
      </c>
      <c r="DQ20" s="47"/>
      <c r="DR20" s="47">
        <v>957979.42175527569</v>
      </c>
      <c r="DS20" s="47">
        <v>323997.86249685177</v>
      </c>
      <c r="DT20" s="47">
        <v>225404.48801698835</v>
      </c>
      <c r="DU20" s="47">
        <v>105696.84090273174</v>
      </c>
      <c r="DV20" s="47">
        <v>77550.388340254838</v>
      </c>
      <c r="DW20" s="47">
        <v>38106.031472680872</v>
      </c>
      <c r="DX20" s="47">
        <v>13543.437946641838</v>
      </c>
      <c r="DY20" s="297"/>
      <c r="DZ20" s="47">
        <v>989136.42194817238</v>
      </c>
      <c r="EA20" s="47">
        <v>328767.48362236004</v>
      </c>
      <c r="EB20" s="47">
        <v>227589.64761661441</v>
      </c>
      <c r="EC20" s="47">
        <v>105974.18641302714</v>
      </c>
      <c r="ED20" s="47">
        <v>77731.004212725471</v>
      </c>
      <c r="EE20" s="47">
        <v>38129.403913923772</v>
      </c>
      <c r="EF20" s="47">
        <v>13549.555130791912</v>
      </c>
      <c r="EG20" s="542"/>
      <c r="EH20" s="47">
        <v>1013617.4219481616</v>
      </c>
      <c r="EI20" s="47">
        <v>335406.19051173382</v>
      </c>
      <c r="EJ20" s="47">
        <v>230969.10964644214</v>
      </c>
      <c r="EK20" s="47">
        <v>106336.46049612152</v>
      </c>
      <c r="EL20" s="47">
        <v>77904.783447890251</v>
      </c>
      <c r="EM20" s="47">
        <v>38172.501173815595</v>
      </c>
      <c r="EN20" s="47">
        <v>13554.579005839689</v>
      </c>
      <c r="EO20" s="47"/>
      <c r="EP20" s="47">
        <v>1054588.8569</v>
      </c>
      <c r="EQ20" s="47">
        <v>345022.83300499996</v>
      </c>
      <c r="ER20" s="47">
        <v>236345.101735</v>
      </c>
      <c r="ES20" s="47">
        <v>107544.25391500001</v>
      </c>
      <c r="ET20" s="47">
        <v>78563.373869000003</v>
      </c>
      <c r="EU20" s="47">
        <v>38270.399741000001</v>
      </c>
      <c r="EV20" s="47">
        <v>13585.271967000001</v>
      </c>
      <c r="EW20" s="47"/>
      <c r="EX20" s="47">
        <v>1122975.8569</v>
      </c>
      <c r="EY20" s="47">
        <v>361930.18189999997</v>
      </c>
      <c r="EZ20" s="47">
        <v>246034.10841000002</v>
      </c>
      <c r="FA20" s="47">
        <v>110181.86395999999</v>
      </c>
      <c r="FB20" s="47">
        <v>80103.98444900001</v>
      </c>
      <c r="FC20" s="47">
        <v>38794.863817000005</v>
      </c>
      <c r="FD20" s="47">
        <v>13725.465118</v>
      </c>
      <c r="FE20" s="47"/>
      <c r="FF20" s="47">
        <v>1166077.8569</v>
      </c>
      <c r="FG20" s="47">
        <v>364636.98749999999</v>
      </c>
      <c r="FH20" s="47">
        <v>247838.78915</v>
      </c>
      <c r="FI20" s="47">
        <v>110769.34422000001</v>
      </c>
      <c r="FJ20" s="47">
        <v>80424.232308999999</v>
      </c>
      <c r="FK20" s="47">
        <v>38848.310297000004</v>
      </c>
      <c r="FL20" s="47">
        <v>13732.792458</v>
      </c>
      <c r="FN20" s="47">
        <v>1172110.8569</v>
      </c>
      <c r="FO20" s="47">
        <v>364768.56722999999</v>
      </c>
      <c r="FP20" s="47">
        <v>247867.74755000003</v>
      </c>
      <c r="FQ20" s="47">
        <v>110772.54170999999</v>
      </c>
      <c r="FR20" s="47">
        <v>80425.076928999988</v>
      </c>
      <c r="FS20" s="47">
        <v>38848.370626999997</v>
      </c>
      <c r="FT20" s="47">
        <v>13732.792458</v>
      </c>
      <c r="FV20" s="44">
        <v>1193012.8569</v>
      </c>
      <c r="FW20" s="44">
        <v>365698.96723000001</v>
      </c>
      <c r="FX20" s="44">
        <v>248332.94755000001</v>
      </c>
      <c r="FY20" s="44">
        <v>110865.58171</v>
      </c>
      <c r="FZ20" s="44">
        <v>80471.596928999992</v>
      </c>
      <c r="GA20" s="44">
        <v>38857.674627</v>
      </c>
      <c r="GB20" s="44">
        <v>13733.722857999999</v>
      </c>
      <c r="GC20" s="44"/>
      <c r="GE20" s="47">
        <v>1200466.8569</v>
      </c>
      <c r="GF20" s="47">
        <v>366499.71470999997</v>
      </c>
      <c r="GG20" s="47">
        <v>248804.73532000004</v>
      </c>
      <c r="GH20" s="47">
        <v>111031.69706999999</v>
      </c>
      <c r="GI20" s="47">
        <v>80586.613358999995</v>
      </c>
      <c r="GJ20" s="47">
        <v>38843.994232999998</v>
      </c>
      <c r="GK20" s="47">
        <v>13734.599695999999</v>
      </c>
      <c r="GM20" s="47">
        <v>1216401.8569</v>
      </c>
      <c r="GN20" s="47">
        <v>366499.71470999997</v>
      </c>
      <c r="GO20" s="47">
        <v>248804.73532000004</v>
      </c>
      <c r="GP20" s="47">
        <v>111031.69706999999</v>
      </c>
      <c r="GQ20" s="47">
        <v>80586.613358999995</v>
      </c>
      <c r="GR20" s="47">
        <v>38843.994232999998</v>
      </c>
      <c r="GS20" s="47">
        <v>13734.599695999999</v>
      </c>
      <c r="GT20" s="187"/>
      <c r="GU20" s="480">
        <v>1106618.2324999999</v>
      </c>
      <c r="GV20" s="481">
        <v>312427.63925600005</v>
      </c>
      <c r="GW20" s="481">
        <v>209045.88390599997</v>
      </c>
      <c r="GX20" s="481">
        <v>91361.048846000005</v>
      </c>
      <c r="GY20" s="481">
        <v>65716.716151999994</v>
      </c>
      <c r="GZ20" s="481">
        <v>31537.518026999998</v>
      </c>
      <c r="HA20" s="481">
        <v>10997.573343</v>
      </c>
      <c r="HB20" s="256"/>
      <c r="HC20" s="480">
        <v>1089421.2320000001</v>
      </c>
      <c r="HD20" s="481">
        <v>304943.964179</v>
      </c>
      <c r="HE20" s="481">
        <v>203710.58824899999</v>
      </c>
      <c r="HF20" s="481">
        <v>88685.887308999998</v>
      </c>
      <c r="HG20" s="481">
        <v>63748.121874000004</v>
      </c>
      <c r="HH20" s="481">
        <v>30529.034245999999</v>
      </c>
      <c r="HI20" s="481">
        <v>10631.385284</v>
      </c>
      <c r="HJ20" s="481"/>
      <c r="HK20" s="480">
        <v>1050311.2320000001</v>
      </c>
      <c r="HL20" s="481">
        <v>285178.48492760002</v>
      </c>
      <c r="HM20" s="481">
        <v>187677.9519326</v>
      </c>
      <c r="HN20" s="481">
        <v>78038.265172599989</v>
      </c>
      <c r="HO20" s="481">
        <v>55386.760835599998</v>
      </c>
      <c r="HP20" s="481">
        <v>25639.4839976</v>
      </c>
      <c r="HQ20" s="481">
        <v>8756.6111825999997</v>
      </c>
      <c r="HR20" s="256"/>
      <c r="HS20" s="480">
        <v>1007084.2319</v>
      </c>
      <c r="HT20" s="481">
        <v>266875.15708929999</v>
      </c>
      <c r="HU20" s="481">
        <v>174067.5789043</v>
      </c>
      <c r="HV20" s="481">
        <v>70953.483024299989</v>
      </c>
      <c r="HW20" s="481">
        <v>50029.4460263</v>
      </c>
      <c r="HX20" s="481">
        <v>22957.961213300001</v>
      </c>
      <c r="HY20" s="481">
        <v>7779.2595183000003</v>
      </c>
      <c r="HZ20" s="47"/>
      <c r="IA20" s="480">
        <v>949266.23178000003</v>
      </c>
      <c r="IB20" s="481">
        <v>256716.72620980002</v>
      </c>
      <c r="IC20" s="481">
        <v>168851.0744098</v>
      </c>
      <c r="ID20" s="481">
        <v>70197.251519800004</v>
      </c>
      <c r="IE20" s="481">
        <v>49671.0003258</v>
      </c>
      <c r="IF20" s="481">
        <v>22904.132619799999</v>
      </c>
      <c r="IG20" s="481">
        <v>7774.0443308000004</v>
      </c>
      <c r="IH20" s="47"/>
      <c r="II20" s="480">
        <v>898392.23178000003</v>
      </c>
      <c r="IJ20" s="480">
        <v>244498.39842039999</v>
      </c>
      <c r="IK20" s="480">
        <v>161480.1156314</v>
      </c>
      <c r="IL20" s="480">
        <v>68260.428280399996</v>
      </c>
      <c r="IM20" s="480">
        <v>48512.940912400001</v>
      </c>
      <c r="IN20" s="480">
        <v>22457.9624434</v>
      </c>
      <c r="IO20" s="480">
        <v>7677.5417004000001</v>
      </c>
      <c r="IP20" s="757"/>
      <c r="IQ20" s="757">
        <v>909248.99977999995</v>
      </c>
      <c r="IR20" s="757">
        <v>248641.57265250001</v>
      </c>
      <c r="IS20" s="757">
        <v>164481.53042450003</v>
      </c>
      <c r="IT20" s="757">
        <v>69779.230341500006</v>
      </c>
      <c r="IU20" s="757">
        <v>49616.771388500005</v>
      </c>
      <c r="IV20" s="757">
        <v>23003.945016499998</v>
      </c>
      <c r="IW20" s="757">
        <v>7871.5459474999998</v>
      </c>
      <c r="IX20" s="757"/>
      <c r="IY20" s="757">
        <v>1122975.9998000001</v>
      </c>
      <c r="IZ20" s="757">
        <v>285177.65810359997</v>
      </c>
      <c r="JA20" s="757">
        <v>186878.55986460001</v>
      </c>
      <c r="JB20" s="757">
        <v>78159.583474599989</v>
      </c>
      <c r="JC20" s="757">
        <v>55391.815540600001</v>
      </c>
      <c r="JD20" s="757">
        <v>25490.315898599998</v>
      </c>
      <c r="JE20" s="757">
        <v>8702.4046825999994</v>
      </c>
      <c r="JF20" s="256"/>
      <c r="JG20" s="47">
        <v>102979.62450000001</v>
      </c>
      <c r="JH20" s="47">
        <v>50363.42828</v>
      </c>
      <c r="JI20" s="47">
        <v>37397.730340000002</v>
      </c>
      <c r="JJ20" s="47">
        <v>19190.341759999999</v>
      </c>
      <c r="JK20" s="47">
        <v>14290.77391</v>
      </c>
      <c r="JL20" s="47">
        <v>7103.827534</v>
      </c>
      <c r="JM20" s="47">
        <v>2670.679255</v>
      </c>
      <c r="JN20" s="1034"/>
      <c r="JO20" s="47">
        <v>17197.000469999999</v>
      </c>
      <c r="JP20" s="47">
        <v>7665.4588590000003</v>
      </c>
      <c r="JQ20" s="47">
        <v>5721.9952880000001</v>
      </c>
      <c r="JR20" s="47">
        <v>2886.781348</v>
      </c>
      <c r="JS20" s="47">
        <v>2139.4272879999999</v>
      </c>
      <c r="JT20" s="47">
        <v>1059.1062979999999</v>
      </c>
      <c r="JU20" s="47">
        <v>377.52315220000003</v>
      </c>
      <c r="JV20" s="77"/>
      <c r="JW20" s="47">
        <v>39110</v>
      </c>
      <c r="JX20" s="47">
        <v>19324.281449999999</v>
      </c>
      <c r="JY20" s="47">
        <v>15795.91113</v>
      </c>
      <c r="JZ20" s="47">
        <v>9990.5049600000002</v>
      </c>
      <c r="KA20" s="47">
        <v>8161.132517</v>
      </c>
      <c r="KB20" s="47">
        <v>4833.5388329999996</v>
      </c>
      <c r="KC20" s="47">
        <v>1945.0221019999999</v>
      </c>
      <c r="KD20" s="77"/>
      <c r="KE20" s="47">
        <v>43227.00013</v>
      </c>
      <c r="KF20" s="47">
        <v>18880.647570000001</v>
      </c>
      <c r="KG20" s="47">
        <v>14112.71535</v>
      </c>
      <c r="KH20" s="47">
        <v>7230.2757140000003</v>
      </c>
      <c r="KI20" s="47">
        <v>5460.4774500000003</v>
      </c>
      <c r="KJ20" s="47">
        <v>2869.5228889999999</v>
      </c>
      <c r="KK20" s="47">
        <v>1065.0685080000001</v>
      </c>
      <c r="KL20" s="77"/>
      <c r="KM20" s="47">
        <v>57818.000110000001</v>
      </c>
      <c r="KN20" s="47">
        <v>8933.5594230000006</v>
      </c>
      <c r="KO20" s="47">
        <v>4171.6981560000004</v>
      </c>
      <c r="KP20" s="47">
        <v>658.52927</v>
      </c>
      <c r="KQ20" s="47">
        <v>322.35071629999999</v>
      </c>
      <c r="KR20" s="47">
        <v>62.49407969</v>
      </c>
      <c r="KS20" s="47">
        <v>6.4536927430000004</v>
      </c>
      <c r="KT20" s="77"/>
      <c r="KU20" s="47">
        <v>62844</v>
      </c>
      <c r="KV20" s="47">
        <v>14877.608899999999</v>
      </c>
      <c r="KW20" s="47">
        <v>8384.7691149999991</v>
      </c>
      <c r="KX20" s="47">
        <v>2275.9127709999998</v>
      </c>
      <c r="KY20" s="47">
        <v>1373.8369640000001</v>
      </c>
      <c r="KZ20" s="47">
        <v>454.23835709999997</v>
      </c>
      <c r="LA20" s="47">
        <v>116.3826485</v>
      </c>
      <c r="LB20" s="77"/>
      <c r="LC20" s="1034">
        <v>54569.42813</v>
      </c>
      <c r="LD20" s="1034">
        <v>3473.584691</v>
      </c>
      <c r="LE20" s="1034">
        <v>2237.319391</v>
      </c>
      <c r="LF20" s="1034">
        <v>712.58260770000004</v>
      </c>
      <c r="LG20" s="1034">
        <v>393.79512060000002</v>
      </c>
      <c r="LH20" s="1034">
        <v>71.856868480000003</v>
      </c>
      <c r="LI20" s="1034">
        <v>9.2660467610000001</v>
      </c>
      <c r="LJ20" s="77"/>
      <c r="LK20" s="1034">
        <v>6804</v>
      </c>
      <c r="LL20" s="1034">
        <v>4260.1943602000001</v>
      </c>
      <c r="LM20" s="1034">
        <v>3498.8968205000001</v>
      </c>
      <c r="LN20" s="1034">
        <v>1970.5730629999998</v>
      </c>
      <c r="LO20" s="1034">
        <v>1481.6013883199998</v>
      </c>
      <c r="LP20" s="1034">
        <v>809.27806598999996</v>
      </c>
      <c r="LQ20" s="1034">
        <v>371.38511045000001</v>
      </c>
    </row>
    <row r="21" spans="1:329" s="43" customFormat="1" ht="9.75" customHeight="1" x14ac:dyDescent="0.2">
      <c r="A21" s="48">
        <v>1973</v>
      </c>
      <c r="B21" s="47">
        <v>830395.62615999999</v>
      </c>
      <c r="C21" s="47">
        <v>265111.17158299999</v>
      </c>
      <c r="D21" s="47">
        <v>171518.51144599999</v>
      </c>
      <c r="E21" s="47">
        <v>64407.467936000001</v>
      </c>
      <c r="F21" s="47">
        <v>42103.351027999997</v>
      </c>
      <c r="G21" s="47">
        <v>15598.041411</v>
      </c>
      <c r="H21" s="47">
        <v>4098.8665099999998</v>
      </c>
      <c r="I21" s="47"/>
      <c r="J21" s="47">
        <v>1256980.1410999999</v>
      </c>
      <c r="K21" s="47">
        <v>402995.98435700004</v>
      </c>
      <c r="L21" s="47">
        <v>274039.62342700001</v>
      </c>
      <c r="M21" s="47">
        <v>122107.63750699999</v>
      </c>
      <c r="N21" s="47">
        <v>88029.617235999991</v>
      </c>
      <c r="O21" s="47">
        <v>41265.308142000002</v>
      </c>
      <c r="P21" s="47">
        <v>14178.881249</v>
      </c>
      <c r="Q21" s="47"/>
      <c r="R21" s="47">
        <v>1364058.1410999999</v>
      </c>
      <c r="S21" s="47">
        <v>408362.37827399996</v>
      </c>
      <c r="T21" s="47">
        <v>277348.12744400004</v>
      </c>
      <c r="U21" s="47">
        <v>123219.34664399999</v>
      </c>
      <c r="V21" s="47">
        <v>88615.544699000005</v>
      </c>
      <c r="W21" s="47">
        <v>41336.879967000001</v>
      </c>
      <c r="X21" s="47">
        <v>14186.718602999999</v>
      </c>
      <c r="Y21" s="47"/>
      <c r="Z21" s="47">
        <v>1256979.9998999999</v>
      </c>
      <c r="AA21" s="47">
        <v>325194.74380940007</v>
      </c>
      <c r="AB21" s="47">
        <v>215814.06207940003</v>
      </c>
      <c r="AC21" s="47">
        <v>92142.344629400002</v>
      </c>
      <c r="AD21" s="47">
        <v>65338.686787400002</v>
      </c>
      <c r="AE21" s="47">
        <v>29665.091078400001</v>
      </c>
      <c r="AF21" s="47">
        <v>9994.9950473999997</v>
      </c>
      <c r="AG21" s="47"/>
      <c r="AH21" s="47">
        <v>849950.09068000002</v>
      </c>
      <c r="AI21" s="47">
        <v>271128.15086930001</v>
      </c>
      <c r="AJ21" s="47">
        <v>174903.84882630003</v>
      </c>
      <c r="AK21" s="47">
        <v>65454.797326300002</v>
      </c>
      <c r="AL21" s="47">
        <v>42803.6837103</v>
      </c>
      <c r="AM21" s="47">
        <v>15859.061888300001</v>
      </c>
      <c r="AN21" s="47">
        <v>4172.5231143000001</v>
      </c>
      <c r="AO21" s="47"/>
      <c r="AP21" s="47">
        <v>853873.82143000001</v>
      </c>
      <c r="AQ21" s="47">
        <v>273274.63984790002</v>
      </c>
      <c r="AR21" s="47">
        <v>177061.28697890003</v>
      </c>
      <c r="AS21" s="47">
        <v>67296.237128899986</v>
      </c>
      <c r="AT21" s="47">
        <v>44233.156546899998</v>
      </c>
      <c r="AU21" s="47">
        <v>16639.142941899998</v>
      </c>
      <c r="AV21" s="47">
        <v>4455.1306979000001</v>
      </c>
      <c r="AW21" s="47"/>
      <c r="AX21" s="47">
        <v>859369.82143000001</v>
      </c>
      <c r="AY21" s="47">
        <v>277860.9694079</v>
      </c>
      <c r="AZ21" s="47">
        <v>181387.95801889995</v>
      </c>
      <c r="BA21" s="47">
        <v>70771.632728899989</v>
      </c>
      <c r="BB21" s="47">
        <v>47018.446906899997</v>
      </c>
      <c r="BC21" s="47">
        <v>18123.0904219</v>
      </c>
      <c r="BD21" s="47">
        <v>4944.7418578999996</v>
      </c>
      <c r="BE21" s="47"/>
      <c r="BF21" s="44">
        <v>859131.25619999995</v>
      </c>
      <c r="BG21" s="44">
        <v>277264.7697761</v>
      </c>
      <c r="BH21" s="44">
        <v>180864.07136310003</v>
      </c>
      <c r="BI21" s="44">
        <v>70493.629783100012</v>
      </c>
      <c r="BJ21" s="44">
        <v>46862.077585100007</v>
      </c>
      <c r="BK21" s="44">
        <v>18051.5604871</v>
      </c>
      <c r="BL21" s="44">
        <v>4911.6170541000001</v>
      </c>
      <c r="BN21" s="44">
        <v>859131.25619999995</v>
      </c>
      <c r="BO21" s="44">
        <v>254726.01351330001</v>
      </c>
      <c r="BP21" s="44">
        <v>164570.7895903</v>
      </c>
      <c r="BQ21" s="44">
        <v>63251.848970299994</v>
      </c>
      <c r="BR21" s="44">
        <v>42450.638380299999</v>
      </c>
      <c r="BS21" s="44">
        <v>17228.473984299999</v>
      </c>
      <c r="BT21" s="44">
        <v>4950.9769143000003</v>
      </c>
      <c r="BU21" s="44"/>
      <c r="BV21" s="47">
        <v>863201.61620000005</v>
      </c>
      <c r="BW21" s="47">
        <v>258388.11785340001</v>
      </c>
      <c r="BX21" s="47">
        <v>167876.92564540001</v>
      </c>
      <c r="BY21" s="47">
        <v>65565.838795399992</v>
      </c>
      <c r="BZ21" s="47">
        <v>44272.380760400003</v>
      </c>
      <c r="CA21" s="47">
        <v>18464.7570074</v>
      </c>
      <c r="CB21" s="47">
        <v>5414.0279393999999</v>
      </c>
      <c r="CC21" s="44"/>
      <c r="CD21" s="47">
        <v>916711.61620000005</v>
      </c>
      <c r="CE21" s="47">
        <v>293667.12229169998</v>
      </c>
      <c r="CF21" s="47">
        <v>198806.06716770001</v>
      </c>
      <c r="CG21" s="47">
        <v>87841.072377699995</v>
      </c>
      <c r="CH21" s="47">
        <v>62858.256889699995</v>
      </c>
      <c r="CI21" s="47">
        <v>28988.440311699997</v>
      </c>
      <c r="CJ21" s="47">
        <v>9688.2841637000001</v>
      </c>
      <c r="CL21" s="47">
        <v>962343.61620000005</v>
      </c>
      <c r="CM21" s="47">
        <v>315369.45540099998</v>
      </c>
      <c r="CN21" s="47">
        <v>216287.04882500001</v>
      </c>
      <c r="CO21" s="47">
        <v>98808.246745000011</v>
      </c>
      <c r="CP21" s="47">
        <v>71520.51533200001</v>
      </c>
      <c r="CQ21" s="47">
        <v>33743.095990000002</v>
      </c>
      <c r="CR21" s="47">
        <v>11527.147860999999</v>
      </c>
      <c r="CS21" s="47"/>
      <c r="CT21" s="47">
        <v>982908.61620000005</v>
      </c>
      <c r="CU21" s="47">
        <v>326736.54614599998</v>
      </c>
      <c r="CV21" s="47">
        <v>225339.68237599998</v>
      </c>
      <c r="CW21" s="47">
        <v>104480.750996</v>
      </c>
      <c r="CX21" s="47">
        <v>75857.855739999999</v>
      </c>
      <c r="CY21" s="47">
        <v>35931.955543999997</v>
      </c>
      <c r="CZ21" s="47">
        <v>12333.080362999999</v>
      </c>
      <c r="DA21" s="47"/>
      <c r="DB21" s="47">
        <v>982908.6152</v>
      </c>
      <c r="DC21" s="47">
        <v>330632.76117299998</v>
      </c>
      <c r="DD21" s="47">
        <v>229477.15392300001</v>
      </c>
      <c r="DE21" s="47">
        <v>107974.802983</v>
      </c>
      <c r="DF21" s="47">
        <v>78959.020677000008</v>
      </c>
      <c r="DG21" s="47">
        <v>37898.654204999999</v>
      </c>
      <c r="DH21" s="47">
        <v>13186.816365000001</v>
      </c>
      <c r="DI21" s="47"/>
      <c r="DJ21" s="47">
        <v>1028981.4632</v>
      </c>
      <c r="DK21" s="47">
        <v>347820.95169299998</v>
      </c>
      <c r="DL21" s="47">
        <v>243934.91166300001</v>
      </c>
      <c r="DM21" s="47">
        <v>115045.69515299999</v>
      </c>
      <c r="DN21" s="47">
        <v>83742.914267</v>
      </c>
      <c r="DO21" s="47">
        <v>39905.456424999997</v>
      </c>
      <c r="DP21" s="47">
        <v>13857.954956</v>
      </c>
      <c r="DQ21" s="47"/>
      <c r="DR21" s="47">
        <v>1069315.4635987887</v>
      </c>
      <c r="DS21" s="47">
        <v>360441.84294270352</v>
      </c>
      <c r="DT21" s="47">
        <v>251144.15118976589</v>
      </c>
      <c r="DU21" s="47">
        <v>117065.85082764414</v>
      </c>
      <c r="DV21" s="47">
        <v>85170.613528236412</v>
      </c>
      <c r="DW21" s="47">
        <v>40349.367652690664</v>
      </c>
      <c r="DX21" s="47">
        <v>13976.225660939808</v>
      </c>
      <c r="DY21" s="297"/>
      <c r="DZ21" s="47">
        <v>1109098.4640650777</v>
      </c>
      <c r="EA21" s="47">
        <v>366506.50623400393</v>
      </c>
      <c r="EB21" s="47">
        <v>253859.9535676433</v>
      </c>
      <c r="EC21" s="47">
        <v>117420.33674249257</v>
      </c>
      <c r="ED21" s="47">
        <v>85365.160795812437</v>
      </c>
      <c r="EE21" s="47">
        <v>40395.672864298424</v>
      </c>
      <c r="EF21" s="47">
        <v>13979.882182825797</v>
      </c>
      <c r="EG21" s="542"/>
      <c r="EH21" s="47">
        <v>1136671.4640650831</v>
      </c>
      <c r="EI21" s="47">
        <v>373598.39499431942</v>
      </c>
      <c r="EJ21" s="47">
        <v>257580.45940055358</v>
      </c>
      <c r="EK21" s="47">
        <v>117758.37040400688</v>
      </c>
      <c r="EL21" s="47">
        <v>85489.259524662222</v>
      </c>
      <c r="EM21" s="47">
        <v>40425.028297944955</v>
      </c>
      <c r="EN21" s="47">
        <v>13984.348379128265</v>
      </c>
      <c r="EO21" s="47"/>
      <c r="EP21" s="47">
        <v>1179402.1410999999</v>
      </c>
      <c r="EQ21" s="47">
        <v>383856.01768300001</v>
      </c>
      <c r="ER21" s="47">
        <v>263016.23018299998</v>
      </c>
      <c r="ES21" s="47">
        <v>119068.02495299999</v>
      </c>
      <c r="ET21" s="47">
        <v>86194.207841999989</v>
      </c>
      <c r="EU21" s="47">
        <v>40619.090523999999</v>
      </c>
      <c r="EV21" s="47">
        <v>14016.357676</v>
      </c>
      <c r="EW21" s="47"/>
      <c r="EX21" s="47">
        <v>1256980.1410999999</v>
      </c>
      <c r="EY21" s="47">
        <v>402995.98435700004</v>
      </c>
      <c r="EZ21" s="47">
        <v>274039.62342700001</v>
      </c>
      <c r="FA21" s="47">
        <v>122107.63750699999</v>
      </c>
      <c r="FB21" s="47">
        <v>88029.617235999991</v>
      </c>
      <c r="FC21" s="47">
        <v>41265.308142000002</v>
      </c>
      <c r="FD21" s="47">
        <v>14178.881249</v>
      </c>
      <c r="FE21" s="47"/>
      <c r="FF21" s="47">
        <v>1310211.1410999999</v>
      </c>
      <c r="FG21" s="47">
        <v>406448.01470699999</v>
      </c>
      <c r="FH21" s="47">
        <v>276304.60247700004</v>
      </c>
      <c r="FI21" s="47">
        <v>122856.06536700002</v>
      </c>
      <c r="FJ21" s="47">
        <v>88454.932926000009</v>
      </c>
      <c r="FK21" s="47">
        <v>41334.508441999998</v>
      </c>
      <c r="FL21" s="47">
        <v>14187.930519</v>
      </c>
      <c r="FN21" s="47">
        <v>1314781.1410999999</v>
      </c>
      <c r="FO21" s="47">
        <v>406547.686407</v>
      </c>
      <c r="FP21" s="47">
        <v>276326.53847699997</v>
      </c>
      <c r="FQ21" s="47">
        <v>122858.48746699998</v>
      </c>
      <c r="FR21" s="47">
        <v>88455.572725999999</v>
      </c>
      <c r="FS21" s="47">
        <v>41334.554142000001</v>
      </c>
      <c r="FT21" s="47">
        <v>14187.930519</v>
      </c>
      <c r="FV21" s="44">
        <v>1337032.1410999999</v>
      </c>
      <c r="FW21" s="44">
        <v>407557.78640699998</v>
      </c>
      <c r="FX21" s="44">
        <v>276831.58847700001</v>
      </c>
      <c r="FY21" s="44">
        <v>122959.49746700001</v>
      </c>
      <c r="FZ21" s="44">
        <v>88506.077726000003</v>
      </c>
      <c r="GA21" s="44">
        <v>41344.655142000003</v>
      </c>
      <c r="GB21" s="44">
        <v>14188.940619000001</v>
      </c>
      <c r="GC21" s="44"/>
      <c r="GE21" s="47">
        <v>1345726.1410999999</v>
      </c>
      <c r="GF21" s="47">
        <v>408362.37827399996</v>
      </c>
      <c r="GG21" s="47">
        <v>277348.12744400004</v>
      </c>
      <c r="GH21" s="47">
        <v>123219.34664399999</v>
      </c>
      <c r="GI21" s="47">
        <v>88615.544699000005</v>
      </c>
      <c r="GJ21" s="47">
        <v>41336.879967000001</v>
      </c>
      <c r="GK21" s="47">
        <v>14186.718602999999</v>
      </c>
      <c r="GM21" s="47">
        <v>1364058.1410999999</v>
      </c>
      <c r="GN21" s="47">
        <v>408362.37827399996</v>
      </c>
      <c r="GO21" s="47">
        <v>277348.12744400004</v>
      </c>
      <c r="GP21" s="47">
        <v>123219.34664399999</v>
      </c>
      <c r="GQ21" s="47">
        <v>88615.544699000005</v>
      </c>
      <c r="GR21" s="47">
        <v>41336.879967000001</v>
      </c>
      <c r="GS21" s="47">
        <v>14186.718602999999</v>
      </c>
      <c r="GT21" s="187"/>
      <c r="GU21" s="480">
        <v>1247633.8611999999</v>
      </c>
      <c r="GV21" s="481">
        <v>351935.95841300004</v>
      </c>
      <c r="GW21" s="481">
        <v>236458.392953</v>
      </c>
      <c r="GX21" s="481">
        <v>103520.51856299999</v>
      </c>
      <c r="GY21" s="481">
        <v>74144.85407999999</v>
      </c>
      <c r="GZ21" s="481">
        <v>34340.784551999997</v>
      </c>
      <c r="HA21" s="481">
        <v>11720.565613999999</v>
      </c>
      <c r="HB21" s="256"/>
      <c r="HC21" s="480">
        <v>1228769.8611000001</v>
      </c>
      <c r="HD21" s="481">
        <v>343892.03495199996</v>
      </c>
      <c r="HE21" s="481">
        <v>230421.39770200002</v>
      </c>
      <c r="HF21" s="481">
        <v>100508.63314199999</v>
      </c>
      <c r="HG21" s="481">
        <v>72104.207949000003</v>
      </c>
      <c r="HH21" s="481">
        <v>33424.378015000002</v>
      </c>
      <c r="HI21" s="481">
        <v>11394.712242</v>
      </c>
      <c r="HJ21" s="481"/>
      <c r="HK21" s="480">
        <v>1183137.8611000001</v>
      </c>
      <c r="HL21" s="481">
        <v>322872.00085319998</v>
      </c>
      <c r="HM21" s="481">
        <v>213449.03173320001</v>
      </c>
      <c r="HN21" s="481">
        <v>89792.843133200004</v>
      </c>
      <c r="HO21" s="481">
        <v>63576.605744200002</v>
      </c>
      <c r="HP21" s="481">
        <v>28750.010006200002</v>
      </c>
      <c r="HQ21" s="481">
        <v>9626.3802192000003</v>
      </c>
      <c r="HR21" s="256"/>
      <c r="HS21" s="480">
        <v>1136782.8609</v>
      </c>
      <c r="HT21" s="481">
        <v>303969.54441100004</v>
      </c>
      <c r="HU21" s="481">
        <v>200062.71467100002</v>
      </c>
      <c r="HV21" s="481">
        <v>82950.258600999994</v>
      </c>
      <c r="HW21" s="481">
        <v>58424.904276000001</v>
      </c>
      <c r="HX21" s="481">
        <v>26358.700858</v>
      </c>
      <c r="HY21" s="481">
        <v>8811.7898060000007</v>
      </c>
      <c r="HZ21" s="47"/>
      <c r="IA21" s="480">
        <v>1062832.8609</v>
      </c>
      <c r="IB21" s="481">
        <v>290753.10127049999</v>
      </c>
      <c r="IC21" s="481">
        <v>193284.96034250004</v>
      </c>
      <c r="ID21" s="481">
        <v>82006.522532500006</v>
      </c>
      <c r="IE21" s="481">
        <v>58051.589492499996</v>
      </c>
      <c r="IF21" s="481">
        <v>26255.865068500003</v>
      </c>
      <c r="IG21" s="481">
        <v>8791.8671195000006</v>
      </c>
      <c r="IH21" s="47"/>
      <c r="II21" s="480">
        <v>1006870.8609</v>
      </c>
      <c r="IJ21" s="480">
        <v>277087.525998</v>
      </c>
      <c r="IK21" s="480">
        <v>185347.338739</v>
      </c>
      <c r="IL21" s="480">
        <v>79745.483998999989</v>
      </c>
      <c r="IM21" s="480">
        <v>56756.295358999996</v>
      </c>
      <c r="IN21" s="480">
        <v>25803.809258000001</v>
      </c>
      <c r="IO21" s="480">
        <v>8672.3898700000009</v>
      </c>
      <c r="IP21" s="757"/>
      <c r="IQ21" s="757">
        <v>1031158.9999000001</v>
      </c>
      <c r="IR21" s="757">
        <v>285806.43150039995</v>
      </c>
      <c r="IS21" s="757">
        <v>191574.3461924</v>
      </c>
      <c r="IT21" s="757">
        <v>82802.12771239999</v>
      </c>
      <c r="IU21" s="757">
        <v>58984.577540400001</v>
      </c>
      <c r="IV21" s="757">
        <v>26881.142424400001</v>
      </c>
      <c r="IW21" s="757">
        <v>9035.7843833999996</v>
      </c>
      <c r="IX21" s="757"/>
      <c r="IY21" s="757">
        <v>1256979.9998999999</v>
      </c>
      <c r="IZ21" s="757">
        <v>325194.74380940007</v>
      </c>
      <c r="JA21" s="757">
        <v>215814.06207940003</v>
      </c>
      <c r="JB21" s="757">
        <v>92142.344629400002</v>
      </c>
      <c r="JC21" s="757">
        <v>65338.686787400002</v>
      </c>
      <c r="JD21" s="757">
        <v>29665.091078400001</v>
      </c>
      <c r="JE21" s="757">
        <v>9994.9950473999997</v>
      </c>
      <c r="JF21" s="256"/>
      <c r="JG21" s="47">
        <v>109823.27989999999</v>
      </c>
      <c r="JH21" s="47">
        <v>52428.891989999996</v>
      </c>
      <c r="JI21" s="47">
        <v>38577.816639999997</v>
      </c>
      <c r="JJ21" s="47">
        <v>19062.13723</v>
      </c>
      <c r="JK21" s="47">
        <v>13894.03897</v>
      </c>
      <c r="JL21" s="47">
        <v>6652.5554700000002</v>
      </c>
      <c r="JM21" s="47">
        <v>2302.2548609999999</v>
      </c>
      <c r="JN21" s="1034"/>
      <c r="JO21" s="47">
        <v>18864.000059999998</v>
      </c>
      <c r="JP21" s="47">
        <v>8521.3164259999994</v>
      </c>
      <c r="JQ21" s="47">
        <v>6339.8944959999999</v>
      </c>
      <c r="JR21" s="47">
        <v>3178.650525</v>
      </c>
      <c r="JS21" s="47">
        <v>2281.117694</v>
      </c>
      <c r="JT21" s="47">
        <v>1069.1187399999999</v>
      </c>
      <c r="JU21" s="47">
        <v>343.93385749999999</v>
      </c>
      <c r="JV21" s="77"/>
      <c r="JW21" s="47">
        <v>45632</v>
      </c>
      <c r="JX21" s="47">
        <v>20786.938989999999</v>
      </c>
      <c r="JY21" s="47">
        <v>16709.746950000001</v>
      </c>
      <c r="JZ21" s="47">
        <v>10265.377210000001</v>
      </c>
      <c r="KA21" s="47">
        <v>8184.5098010000002</v>
      </c>
      <c r="KB21" s="47">
        <v>4611.9998439999999</v>
      </c>
      <c r="KC21" s="47">
        <v>1802.3456619999999</v>
      </c>
      <c r="KD21" s="77"/>
      <c r="KE21" s="47">
        <v>46355.000249999997</v>
      </c>
      <c r="KF21" s="47">
        <v>19510.554</v>
      </c>
      <c r="KG21" s="47">
        <v>14408.07307</v>
      </c>
      <c r="KH21" s="47">
        <v>6943.8916550000004</v>
      </c>
      <c r="KI21" s="47">
        <v>5090.5684979999996</v>
      </c>
      <c r="KJ21" s="47">
        <v>2451.4245470000001</v>
      </c>
      <c r="KK21" s="47">
        <v>861.91041410000003</v>
      </c>
      <c r="KL21" s="77"/>
      <c r="KM21" s="47">
        <v>73949.999930000005</v>
      </c>
      <c r="KN21" s="47">
        <v>11875.545700000001</v>
      </c>
      <c r="KO21" s="47">
        <v>5511.9040910000003</v>
      </c>
      <c r="KP21" s="47">
        <v>885.69186630000002</v>
      </c>
      <c r="KQ21" s="47">
        <v>441.09132460000001</v>
      </c>
      <c r="KR21" s="47">
        <v>86.775882780000003</v>
      </c>
      <c r="KS21" s="47">
        <v>8.6220688840000008</v>
      </c>
      <c r="KT21" s="77"/>
      <c r="KU21" s="47">
        <v>71375</v>
      </c>
      <c r="KV21" s="47">
        <v>16933.441200000001</v>
      </c>
      <c r="KW21" s="47">
        <v>9575.8107170000003</v>
      </c>
      <c r="KX21" s="47">
        <v>2663.687359</v>
      </c>
      <c r="KY21" s="47">
        <v>1610.8020260000001</v>
      </c>
      <c r="KZ21" s="47">
        <v>539.82165480000003</v>
      </c>
      <c r="LA21" s="47">
        <v>140.07039109999999</v>
      </c>
      <c r="LB21" s="77"/>
      <c r="LC21" s="1034">
        <v>63734.33438</v>
      </c>
      <c r="LD21" s="1034">
        <v>4207.6192389999997</v>
      </c>
      <c r="LE21" s="1034">
        <v>2715.287045</v>
      </c>
      <c r="LF21" s="1034">
        <v>893.27134030000002</v>
      </c>
      <c r="LG21" s="1034">
        <v>504.0273732</v>
      </c>
      <c r="LH21" s="1034">
        <v>87.510147119999999</v>
      </c>
      <c r="LI21" s="1034">
        <v>11.08023105</v>
      </c>
      <c r="LJ21" s="77"/>
      <c r="LK21" s="1034">
        <v>6601</v>
      </c>
      <c r="LL21" s="1034">
        <v>4138.7615611799993</v>
      </c>
      <c r="LM21" s="1034">
        <v>3393.4249692099997</v>
      </c>
      <c r="LN21" s="1034">
        <v>1884.47678391</v>
      </c>
      <c r="LO21" s="1034">
        <v>1410.5320575400001</v>
      </c>
      <c r="LP21" s="1034">
        <v>766.76021272000003</v>
      </c>
      <c r="LQ21" s="1034">
        <v>338.11030898000001</v>
      </c>
    </row>
    <row r="22" spans="1:329" s="43" customFormat="1" ht="9.75" customHeight="1" x14ac:dyDescent="0.2">
      <c r="A22" s="48">
        <v>1974</v>
      </c>
      <c r="B22" s="47">
        <v>905092.83137999999</v>
      </c>
      <c r="C22" s="47">
        <v>292115.30316299998</v>
      </c>
      <c r="D22" s="47">
        <v>189911.57544300001</v>
      </c>
      <c r="E22" s="47">
        <v>73360.869682999997</v>
      </c>
      <c r="F22" s="47">
        <v>48850.89774</v>
      </c>
      <c r="G22" s="47">
        <v>19059.345245</v>
      </c>
      <c r="H22" s="47">
        <v>5104.8497319999997</v>
      </c>
      <c r="I22" s="47"/>
      <c r="J22" s="47">
        <v>1350769.412</v>
      </c>
      <c r="K22" s="47">
        <v>432107.8090200001</v>
      </c>
      <c r="L22" s="47">
        <v>291599.54901999998</v>
      </c>
      <c r="M22" s="47">
        <v>126769.98985</v>
      </c>
      <c r="N22" s="47">
        <v>90512.771106</v>
      </c>
      <c r="O22" s="47">
        <v>42584.359632</v>
      </c>
      <c r="P22" s="47">
        <v>14237.126690999999</v>
      </c>
      <c r="Q22" s="47"/>
      <c r="R22" s="47">
        <v>1477521.412</v>
      </c>
      <c r="S22" s="47">
        <v>438164.126926</v>
      </c>
      <c r="T22" s="47">
        <v>295232.99510599999</v>
      </c>
      <c r="U22" s="47">
        <v>127823.13386600002</v>
      </c>
      <c r="V22" s="47">
        <v>91065.967904999998</v>
      </c>
      <c r="W22" s="47">
        <v>42711.675388999996</v>
      </c>
      <c r="X22" s="47">
        <v>14252.829341000001</v>
      </c>
      <c r="Y22" s="47"/>
      <c r="Z22" s="47">
        <v>1350769</v>
      </c>
      <c r="AA22" s="47">
        <v>345339.37440139998</v>
      </c>
      <c r="AB22" s="47">
        <v>227976.65676139999</v>
      </c>
      <c r="AC22" s="47">
        <v>94760.570801399997</v>
      </c>
      <c r="AD22" s="47">
        <v>66728.34317539999</v>
      </c>
      <c r="AE22" s="47">
        <v>30312.093573399998</v>
      </c>
      <c r="AF22" s="47">
        <v>9955.2089393999995</v>
      </c>
      <c r="AG22" s="47"/>
      <c r="AH22" s="47">
        <v>925657.39214999997</v>
      </c>
      <c r="AI22" s="47">
        <v>297860.30570770003</v>
      </c>
      <c r="AJ22" s="47">
        <v>193154.47557769998</v>
      </c>
      <c r="AK22" s="47">
        <v>74415.1783077</v>
      </c>
      <c r="AL22" s="47">
        <v>49522.984056699999</v>
      </c>
      <c r="AM22" s="47">
        <v>19311.9032917</v>
      </c>
      <c r="AN22" s="47">
        <v>5167.1010356999996</v>
      </c>
      <c r="AO22" s="47"/>
      <c r="AP22" s="47">
        <v>930511.47733999998</v>
      </c>
      <c r="AQ22" s="47">
        <v>300394.24417980004</v>
      </c>
      <c r="AR22" s="47">
        <v>195610.08612980001</v>
      </c>
      <c r="AS22" s="47">
        <v>76612.792809799997</v>
      </c>
      <c r="AT22" s="47">
        <v>51346.752034799996</v>
      </c>
      <c r="AU22" s="47">
        <v>20281.752376799999</v>
      </c>
      <c r="AV22" s="47">
        <v>5492.8559998000001</v>
      </c>
      <c r="AW22" s="47"/>
      <c r="AX22" s="47">
        <v>936764.47733999998</v>
      </c>
      <c r="AY22" s="47">
        <v>305561.22313980001</v>
      </c>
      <c r="AZ22" s="47">
        <v>200454.7854698</v>
      </c>
      <c r="BA22" s="47">
        <v>80459.638409799998</v>
      </c>
      <c r="BB22" s="47">
        <v>54437.109694799998</v>
      </c>
      <c r="BC22" s="47">
        <v>21949.177356799999</v>
      </c>
      <c r="BD22" s="47">
        <v>6041.3691597999996</v>
      </c>
      <c r="BE22" s="47"/>
      <c r="BF22" s="44">
        <v>936363.22721000004</v>
      </c>
      <c r="BG22" s="44">
        <v>305098.18643900001</v>
      </c>
      <c r="BH22" s="44">
        <v>200215.311739</v>
      </c>
      <c r="BI22" s="44">
        <v>80291.665208999999</v>
      </c>
      <c r="BJ22" s="44">
        <v>54315.227137999995</v>
      </c>
      <c r="BK22" s="44">
        <v>21868.305127</v>
      </c>
      <c r="BL22" s="44">
        <v>5999.4980859999996</v>
      </c>
      <c r="BN22" s="44">
        <v>936363.22721000004</v>
      </c>
      <c r="BO22" s="44">
        <v>282738.69982330006</v>
      </c>
      <c r="BP22" s="44">
        <v>185146.46564030001</v>
      </c>
      <c r="BQ22" s="44">
        <v>71904.771770299994</v>
      </c>
      <c r="BR22" s="44">
        <v>49347.087777299996</v>
      </c>
      <c r="BS22" s="44">
        <v>20971.0521233</v>
      </c>
      <c r="BT22" s="44">
        <v>6050.3795652999997</v>
      </c>
      <c r="BU22" s="44"/>
      <c r="BV22" s="47">
        <v>940902.81920999999</v>
      </c>
      <c r="BW22" s="47">
        <v>286680.18362240004</v>
      </c>
      <c r="BX22" s="47">
        <v>188762.5468214</v>
      </c>
      <c r="BY22" s="47">
        <v>74893.343181399992</v>
      </c>
      <c r="BZ22" s="47">
        <v>51773.695129400003</v>
      </c>
      <c r="CA22" s="47">
        <v>22349.7025994</v>
      </c>
      <c r="CB22" s="47">
        <v>6634.2730333999998</v>
      </c>
      <c r="CC22" s="44"/>
      <c r="CD22" s="47">
        <v>980603.81920999999</v>
      </c>
      <c r="CE22" s="47">
        <v>311451.48898760002</v>
      </c>
      <c r="CF22" s="47">
        <v>210156.2969976</v>
      </c>
      <c r="CG22" s="47">
        <v>90866.817627600001</v>
      </c>
      <c r="CH22" s="47">
        <v>64356.943022599997</v>
      </c>
      <c r="CI22" s="47">
        <v>29696.3366336</v>
      </c>
      <c r="CJ22" s="47">
        <v>9636.4265596000005</v>
      </c>
      <c r="CL22" s="47">
        <v>1027838.8192</v>
      </c>
      <c r="CM22" s="47">
        <v>331635.68460199994</v>
      </c>
      <c r="CN22" s="47">
        <v>225957.993372</v>
      </c>
      <c r="CO22" s="47">
        <v>100059.291832</v>
      </c>
      <c r="CP22" s="47">
        <v>71685.017812999999</v>
      </c>
      <c r="CQ22" s="47">
        <v>33494.906220000004</v>
      </c>
      <c r="CR22" s="47">
        <v>11108.259017</v>
      </c>
      <c r="CS22" s="47"/>
      <c r="CT22" s="47">
        <v>1049246.8192</v>
      </c>
      <c r="CU22" s="47">
        <v>342638.607135</v>
      </c>
      <c r="CV22" s="47">
        <v>234674.40210499999</v>
      </c>
      <c r="CW22" s="47">
        <v>104901.28846500001</v>
      </c>
      <c r="CX22" s="47">
        <v>75481.187995</v>
      </c>
      <c r="CY22" s="47">
        <v>35356.08324</v>
      </c>
      <c r="CZ22" s="47">
        <v>11763.861499000001</v>
      </c>
      <c r="DA22" s="47"/>
      <c r="DB22" s="47">
        <v>1049246.8192</v>
      </c>
      <c r="DC22" s="47">
        <v>350409.23428099998</v>
      </c>
      <c r="DD22" s="47">
        <v>241860.490781</v>
      </c>
      <c r="DE22" s="47">
        <v>110894.16415099999</v>
      </c>
      <c r="DF22" s="47">
        <v>80343.022329999993</v>
      </c>
      <c r="DG22" s="47">
        <v>38509.593012999998</v>
      </c>
      <c r="DH22" s="47">
        <v>13050.441213</v>
      </c>
      <c r="DI22" s="47"/>
      <c r="DJ22" s="47">
        <v>1095338.5392</v>
      </c>
      <c r="DK22" s="47">
        <v>369646.18403100001</v>
      </c>
      <c r="DL22" s="47">
        <v>256781.03271099998</v>
      </c>
      <c r="DM22" s="47">
        <v>117913.91956099999</v>
      </c>
      <c r="DN22" s="47">
        <v>85670.459992999997</v>
      </c>
      <c r="DO22" s="47">
        <v>40772.027978999999</v>
      </c>
      <c r="DP22" s="47">
        <v>13798.746588</v>
      </c>
      <c r="DQ22" s="47"/>
      <c r="DR22" s="47">
        <v>1137760.5389336839</v>
      </c>
      <c r="DS22" s="47">
        <v>383219.31767884264</v>
      </c>
      <c r="DT22" s="47">
        <v>264999.44602118758</v>
      </c>
      <c r="DU22" s="47">
        <v>120610.50164436613</v>
      </c>
      <c r="DV22" s="47">
        <v>87469.765799007291</v>
      </c>
      <c r="DW22" s="47">
        <v>41441.384883748389</v>
      </c>
      <c r="DX22" s="47">
        <v>13987.481692955866</v>
      </c>
      <c r="DY22" s="297"/>
      <c r="DZ22" s="47">
        <v>1182454.5389907421</v>
      </c>
      <c r="EA22" s="47">
        <v>390658.93179492746</v>
      </c>
      <c r="EB22" s="47">
        <v>268288.9089670956</v>
      </c>
      <c r="EC22" s="47">
        <v>121018.87894826487</v>
      </c>
      <c r="ED22" s="47">
        <v>87551.877479528179</v>
      </c>
      <c r="EE22" s="47">
        <v>41487.401699628077</v>
      </c>
      <c r="EF22" s="47">
        <v>13996.633243941471</v>
      </c>
      <c r="EG22" s="542"/>
      <c r="EH22" s="47">
        <v>1214081.5389907244</v>
      </c>
      <c r="EI22" s="47">
        <v>398679.85265200626</v>
      </c>
      <c r="EJ22" s="47">
        <v>272104.06181763124</v>
      </c>
      <c r="EK22" s="47">
        <v>121579.11386320568</v>
      </c>
      <c r="EL22" s="47">
        <v>87793.734239471363</v>
      </c>
      <c r="EM22" s="47">
        <v>41514.056782520478</v>
      </c>
      <c r="EN22" s="47">
        <v>13997.600596570457</v>
      </c>
      <c r="EO22" s="47"/>
      <c r="EP22" s="47">
        <v>1263565.412</v>
      </c>
      <c r="EQ22" s="47">
        <v>410383.36814300006</v>
      </c>
      <c r="ER22" s="47">
        <v>278791.40231300006</v>
      </c>
      <c r="ES22" s="47">
        <v>123100.593903</v>
      </c>
      <c r="ET22" s="47">
        <v>88198.683590000001</v>
      </c>
      <c r="EU22" s="47">
        <v>41796.063267000005</v>
      </c>
      <c r="EV22" s="47">
        <v>14022.290342</v>
      </c>
      <c r="EW22" s="47"/>
      <c r="EX22" s="47">
        <v>1350769.412</v>
      </c>
      <c r="EY22" s="47">
        <v>432107.8090200001</v>
      </c>
      <c r="EZ22" s="47">
        <v>291599.54901999998</v>
      </c>
      <c r="FA22" s="47">
        <v>126769.98985</v>
      </c>
      <c r="FB22" s="47">
        <v>90512.771106</v>
      </c>
      <c r="FC22" s="47">
        <v>42584.359632</v>
      </c>
      <c r="FD22" s="47">
        <v>14237.126690999999</v>
      </c>
      <c r="FE22" s="47"/>
      <c r="FF22" s="47">
        <v>1411173.412</v>
      </c>
      <c r="FG22" s="47">
        <v>435799.09745999996</v>
      </c>
      <c r="FH22" s="47">
        <v>293951.68078</v>
      </c>
      <c r="FI22" s="47">
        <v>127554.03377000001</v>
      </c>
      <c r="FJ22" s="47">
        <v>90916.269826000003</v>
      </c>
      <c r="FK22" s="47">
        <v>42652.012112000004</v>
      </c>
      <c r="FL22" s="47">
        <v>14247.395371000001</v>
      </c>
      <c r="FN22" s="47">
        <v>1418194.412</v>
      </c>
      <c r="FO22" s="47">
        <v>435952.22547</v>
      </c>
      <c r="FP22" s="47">
        <v>293985.38157999999</v>
      </c>
      <c r="FQ22" s="47">
        <v>127557.7549</v>
      </c>
      <c r="FR22" s="47">
        <v>90917.252766000005</v>
      </c>
      <c r="FS22" s="47">
        <v>42652.082322000002</v>
      </c>
      <c r="FT22" s="47">
        <v>14247.395371000001</v>
      </c>
      <c r="FV22" s="44">
        <v>1444426.412</v>
      </c>
      <c r="FW22" s="44">
        <v>437083.82546999998</v>
      </c>
      <c r="FX22" s="44">
        <v>294551.18157999997</v>
      </c>
      <c r="FY22" s="44">
        <v>127670.91489999999</v>
      </c>
      <c r="FZ22" s="44">
        <v>90973.832765999992</v>
      </c>
      <c r="GA22" s="44">
        <v>42663.398322000001</v>
      </c>
      <c r="GB22" s="44">
        <v>14248.526970999999</v>
      </c>
      <c r="GC22" s="44"/>
      <c r="GE22" s="47">
        <v>1455348.412</v>
      </c>
      <c r="GF22" s="47">
        <v>438164.126926</v>
      </c>
      <c r="GG22" s="47">
        <v>295232.99510599999</v>
      </c>
      <c r="GH22" s="47">
        <v>127823.13386600002</v>
      </c>
      <c r="GI22" s="47">
        <v>91065.967904999998</v>
      </c>
      <c r="GJ22" s="47">
        <v>42711.675388999996</v>
      </c>
      <c r="GK22" s="47">
        <v>14252.829341000001</v>
      </c>
      <c r="GM22" s="47">
        <v>1477521.412</v>
      </c>
      <c r="GN22" s="47">
        <v>438164.126926</v>
      </c>
      <c r="GO22" s="47">
        <v>295232.99510599999</v>
      </c>
      <c r="GP22" s="47">
        <v>127823.13386600002</v>
      </c>
      <c r="GQ22" s="47">
        <v>91065.967904999998</v>
      </c>
      <c r="GR22" s="47">
        <v>42711.675388999996</v>
      </c>
      <c r="GS22" s="47">
        <v>14252.829341000001</v>
      </c>
      <c r="GT22" s="187"/>
      <c r="GU22" s="480">
        <v>1344558.5074</v>
      </c>
      <c r="GV22" s="481">
        <v>374576.88050600002</v>
      </c>
      <c r="GW22" s="481">
        <v>248357.64547599998</v>
      </c>
      <c r="GX22" s="481">
        <v>105121.520286</v>
      </c>
      <c r="GY22" s="481">
        <v>74458.620469000001</v>
      </c>
      <c r="GZ22" s="481">
        <v>34269.845399999998</v>
      </c>
      <c r="HA22" s="481">
        <v>11410.222839</v>
      </c>
      <c r="HB22" s="256"/>
      <c r="HC22" s="480">
        <v>1324207.5074</v>
      </c>
      <c r="HD22" s="481">
        <v>366166.97349900001</v>
      </c>
      <c r="HE22" s="481">
        <v>242154.49267899999</v>
      </c>
      <c r="HF22" s="481">
        <v>102387.860749</v>
      </c>
      <c r="HG22" s="481">
        <v>72294.263827000002</v>
      </c>
      <c r="HH22" s="481">
        <v>33233.939590000002</v>
      </c>
      <c r="HI22" s="481">
        <v>11097.259061999999</v>
      </c>
      <c r="HJ22" s="481"/>
      <c r="HK22" s="480">
        <v>1276972.5074</v>
      </c>
      <c r="HL22" s="481">
        <v>347472.37666430004</v>
      </c>
      <c r="HM22" s="481">
        <v>227932.8981543</v>
      </c>
      <c r="HN22" s="481">
        <v>93606.651234299992</v>
      </c>
      <c r="HO22" s="481">
        <v>65516.820132300003</v>
      </c>
      <c r="HP22" s="481">
        <v>29570.4444583</v>
      </c>
      <c r="HQ22" s="481">
        <v>9675.1188302999999</v>
      </c>
      <c r="HR22" s="256"/>
      <c r="HS22" s="480">
        <v>1227992.5075999999</v>
      </c>
      <c r="HT22" s="481">
        <v>327876.013469</v>
      </c>
      <c r="HU22" s="481">
        <v>213740.54573900002</v>
      </c>
      <c r="HV22" s="481">
        <v>86732.140769000005</v>
      </c>
      <c r="HW22" s="481">
        <v>60578.153589000001</v>
      </c>
      <c r="HX22" s="481">
        <v>27369.129210999999</v>
      </c>
      <c r="HY22" s="481">
        <v>8955.1142039999995</v>
      </c>
      <c r="HZ22" s="47"/>
      <c r="IA22" s="480">
        <v>1144596.5079999999</v>
      </c>
      <c r="IB22" s="481">
        <v>311855.05418950005</v>
      </c>
      <c r="IC22" s="481">
        <v>206088.22894949999</v>
      </c>
      <c r="ID22" s="481">
        <v>85672.115189499993</v>
      </c>
      <c r="IE22" s="481">
        <v>60096.845771499997</v>
      </c>
      <c r="IF22" s="481">
        <v>27234.0519055</v>
      </c>
      <c r="IG22" s="481">
        <v>8943.6213014999994</v>
      </c>
      <c r="IH22" s="47"/>
      <c r="II22" s="480">
        <v>1083614.5079999999</v>
      </c>
      <c r="IJ22" s="480">
        <v>297003.62839290005</v>
      </c>
      <c r="IK22" s="480">
        <v>197209.9882959</v>
      </c>
      <c r="IL22" s="480">
        <v>83122.186325899995</v>
      </c>
      <c r="IM22" s="480">
        <v>58639.533816899995</v>
      </c>
      <c r="IN22" s="480">
        <v>26711.4040599</v>
      </c>
      <c r="IO22" s="480">
        <v>8801.2293229000006</v>
      </c>
      <c r="IP22" s="757"/>
      <c r="IQ22" s="757">
        <v>1098758</v>
      </c>
      <c r="IR22" s="757">
        <v>302261.32985169999</v>
      </c>
      <c r="IS22" s="757">
        <v>200861.01768169997</v>
      </c>
      <c r="IT22" s="757">
        <v>84870.287321700001</v>
      </c>
      <c r="IU22" s="757">
        <v>59904.037825699997</v>
      </c>
      <c r="IV22" s="757">
        <v>27333.018785699998</v>
      </c>
      <c r="IW22" s="757">
        <v>9010.5285347000008</v>
      </c>
      <c r="IX22" s="757"/>
      <c r="IY22" s="757">
        <v>1350769</v>
      </c>
      <c r="IZ22" s="757">
        <v>345339.37440139998</v>
      </c>
      <c r="JA22" s="757">
        <v>227976.65676139999</v>
      </c>
      <c r="JB22" s="757">
        <v>94760.570801399997</v>
      </c>
      <c r="JC22" s="757">
        <v>66728.34317539999</v>
      </c>
      <c r="JD22" s="757">
        <v>30312.093573399998</v>
      </c>
      <c r="JE22" s="757">
        <v>9955.2089393999995</v>
      </c>
      <c r="JF22" s="256"/>
      <c r="JG22" s="47">
        <v>126664.90459999999</v>
      </c>
      <c r="JH22" s="47">
        <v>60031.718589999997</v>
      </c>
      <c r="JI22" s="47">
        <v>44381.534820000001</v>
      </c>
      <c r="JJ22" s="47">
        <v>22319.713329999999</v>
      </c>
      <c r="JK22" s="47">
        <v>16457.854220000001</v>
      </c>
      <c r="JL22" s="47">
        <v>8084.9970549999998</v>
      </c>
      <c r="JM22" s="47">
        <v>2691.4088219999999</v>
      </c>
      <c r="JN22" s="1034"/>
      <c r="JO22" s="47">
        <v>20351</v>
      </c>
      <c r="JP22" s="47">
        <v>9104.7220809999999</v>
      </c>
      <c r="JQ22" s="47">
        <v>6707.6593110000003</v>
      </c>
      <c r="JR22" s="47">
        <v>3239.4816540000002</v>
      </c>
      <c r="JS22" s="47">
        <v>2313.8109810000001</v>
      </c>
      <c r="JT22" s="47">
        <v>1081.9132790000001</v>
      </c>
      <c r="JU22" s="47">
        <v>348.43045230000001</v>
      </c>
      <c r="JV22" s="77"/>
      <c r="JW22" s="47">
        <v>47235</v>
      </c>
      <c r="JX22" s="47">
        <v>18976.057860000001</v>
      </c>
      <c r="JY22" s="47">
        <v>14590.13977</v>
      </c>
      <c r="JZ22" s="47">
        <v>8170.0554679999996</v>
      </c>
      <c r="KA22" s="47">
        <v>6458.5070669999996</v>
      </c>
      <c r="KB22" s="47">
        <v>3669.7030500000001</v>
      </c>
      <c r="KC22" s="47">
        <v>1436.0958720000001</v>
      </c>
      <c r="KD22" s="77"/>
      <c r="KE22" s="47">
        <v>48979.999819999997</v>
      </c>
      <c r="KF22" s="47">
        <v>19938.481080000001</v>
      </c>
      <c r="KG22" s="47">
        <v>14655.671200000001</v>
      </c>
      <c r="KH22" s="47">
        <v>6880.6814160000004</v>
      </c>
      <c r="KI22" s="47">
        <v>4898.470507</v>
      </c>
      <c r="KJ22" s="47">
        <v>2313.5861340000001</v>
      </c>
      <c r="KK22" s="47">
        <v>777.42915909999999</v>
      </c>
      <c r="KL22" s="77"/>
      <c r="KM22" s="47">
        <v>83395.999590000007</v>
      </c>
      <c r="KN22" s="47">
        <v>14290.50438</v>
      </c>
      <c r="KO22" s="47">
        <v>6751.2470640000001</v>
      </c>
      <c r="KP22" s="47">
        <v>1099.961493</v>
      </c>
      <c r="KQ22" s="47">
        <v>535.92344149999997</v>
      </c>
      <c r="KR22" s="47">
        <v>112.39166489999999</v>
      </c>
      <c r="KS22" s="47">
        <v>10.603708510000001</v>
      </c>
      <c r="KT22" s="77"/>
      <c r="KU22" s="47">
        <v>79403</v>
      </c>
      <c r="KV22" s="47">
        <v>19023.9712</v>
      </c>
      <c r="KW22" s="47">
        <v>10892.07667</v>
      </c>
      <c r="KX22" s="47">
        <v>3109.270477</v>
      </c>
      <c r="KY22" s="47">
        <v>1898.584969</v>
      </c>
      <c r="KZ22" s="47">
        <v>690.06533839999997</v>
      </c>
      <c r="LA22" s="47">
        <v>186.5372285</v>
      </c>
      <c r="LB22" s="77"/>
      <c r="LC22" s="1034">
        <v>75198.581619999997</v>
      </c>
      <c r="LD22" s="1034">
        <v>4693.779802</v>
      </c>
      <c r="LE22" s="1034">
        <v>2888.9491029999999</v>
      </c>
      <c r="LF22" s="1034">
        <v>914.25344319999999</v>
      </c>
      <c r="LG22" s="1034">
        <v>479.63579249999998</v>
      </c>
      <c r="LH22" s="1034">
        <v>87.90395058</v>
      </c>
      <c r="LI22" s="1034">
        <v>12.826180369999999</v>
      </c>
      <c r="LJ22" s="77"/>
      <c r="LK22" s="1034">
        <v>6298</v>
      </c>
      <c r="LL22" s="1034">
        <v>3931.5689232600002</v>
      </c>
      <c r="LM22" s="1034">
        <v>3250.6240093800002</v>
      </c>
      <c r="LN22" s="1034">
        <v>1825.44621738</v>
      </c>
      <c r="LO22" s="1034">
        <v>1360.06468335</v>
      </c>
      <c r="LP22" s="1034">
        <v>745.30903813999998</v>
      </c>
      <c r="LQ22" s="1034">
        <v>323.37389267999998</v>
      </c>
    </row>
    <row r="23" spans="1:329" s="43" customFormat="1" ht="9.75" customHeight="1" x14ac:dyDescent="0.2">
      <c r="A23" s="48">
        <v>1975</v>
      </c>
      <c r="B23" s="47">
        <v>962015.04416000005</v>
      </c>
      <c r="C23" s="47">
        <v>315748.87020300003</v>
      </c>
      <c r="D23" s="47">
        <v>203803.479463</v>
      </c>
      <c r="E23" s="47">
        <v>77576.390723000004</v>
      </c>
      <c r="F23" s="47">
        <v>51273.706122999996</v>
      </c>
      <c r="G23" s="47">
        <v>19531.159821000001</v>
      </c>
      <c r="H23" s="47">
        <v>5343.2576049999998</v>
      </c>
      <c r="I23" s="47"/>
      <c r="J23" s="47">
        <v>1451147.608</v>
      </c>
      <c r="K23" s="47">
        <v>465684.72011999995</v>
      </c>
      <c r="L23" s="47">
        <v>313636.65177</v>
      </c>
      <c r="M23" s="47">
        <v>136501.69440000001</v>
      </c>
      <c r="N23" s="47">
        <v>97787.787083000003</v>
      </c>
      <c r="O23" s="47">
        <v>45636.288998999997</v>
      </c>
      <c r="P23" s="47">
        <v>15735.942179</v>
      </c>
      <c r="Q23" s="47"/>
      <c r="R23" s="47">
        <v>1612363.608</v>
      </c>
      <c r="S23" s="47">
        <v>472725.90098999999</v>
      </c>
      <c r="T23" s="47">
        <v>317782.47505999997</v>
      </c>
      <c r="U23" s="47">
        <v>137763.82748000001</v>
      </c>
      <c r="V23" s="47">
        <v>98480.93514300001</v>
      </c>
      <c r="W23" s="47">
        <v>45770.535438999999</v>
      </c>
      <c r="X23" s="47">
        <v>15756.526881</v>
      </c>
      <c r="Y23" s="47"/>
      <c r="Z23" s="47">
        <v>1451148.0005000001</v>
      </c>
      <c r="AA23" s="47">
        <v>360316.20831799996</v>
      </c>
      <c r="AB23" s="47">
        <v>236296.65136800002</v>
      </c>
      <c r="AC23" s="47">
        <v>98367.479317999998</v>
      </c>
      <c r="AD23" s="47">
        <v>69601.651983999996</v>
      </c>
      <c r="AE23" s="47">
        <v>31653.133486999999</v>
      </c>
      <c r="AF23" s="47">
        <v>10692.250642999999</v>
      </c>
      <c r="AG23" s="47"/>
      <c r="AH23" s="47">
        <v>983962.04614999995</v>
      </c>
      <c r="AI23" s="47">
        <v>322098.40073329996</v>
      </c>
      <c r="AJ23" s="47">
        <v>207474.5177233</v>
      </c>
      <c r="AK23" s="47">
        <v>78712.969243300002</v>
      </c>
      <c r="AL23" s="47">
        <v>51991.793699300004</v>
      </c>
      <c r="AM23" s="47">
        <v>19796.240255299999</v>
      </c>
      <c r="AN23" s="47">
        <v>5423.6923582999998</v>
      </c>
      <c r="AO23" s="47"/>
      <c r="AP23" s="47">
        <v>989008.38052999997</v>
      </c>
      <c r="AQ23" s="47">
        <v>324781.51938319998</v>
      </c>
      <c r="AR23" s="47">
        <v>210102.66266319997</v>
      </c>
      <c r="AS23" s="47">
        <v>81080.6640032</v>
      </c>
      <c r="AT23" s="47">
        <v>53993.246584200002</v>
      </c>
      <c r="AU23" s="47">
        <v>20882.7927112</v>
      </c>
      <c r="AV23" s="47">
        <v>5830.8829732000004</v>
      </c>
      <c r="AW23" s="47"/>
      <c r="AX23" s="47">
        <v>996200.38052999997</v>
      </c>
      <c r="AY23" s="47">
        <v>330665.69014320004</v>
      </c>
      <c r="AZ23" s="47">
        <v>215585.26810320001</v>
      </c>
      <c r="BA23" s="47">
        <v>85381.839603200002</v>
      </c>
      <c r="BB23" s="47">
        <v>57457.309344199995</v>
      </c>
      <c r="BC23" s="47">
        <v>22776.554191199997</v>
      </c>
      <c r="BD23" s="47">
        <v>6451.9481331999996</v>
      </c>
      <c r="BE23" s="47"/>
      <c r="BF23" s="44">
        <v>994051.03200999997</v>
      </c>
      <c r="BG23" s="44">
        <v>327973.73181239999</v>
      </c>
      <c r="BH23" s="44">
        <v>213411.68102240001</v>
      </c>
      <c r="BI23" s="44">
        <v>84300.908542399993</v>
      </c>
      <c r="BJ23" s="44">
        <v>56842.574758399991</v>
      </c>
      <c r="BK23" s="44">
        <v>22642.082030400001</v>
      </c>
      <c r="BL23" s="44">
        <v>6433.4069853999999</v>
      </c>
      <c r="BN23" s="44">
        <v>994051.03200999997</v>
      </c>
      <c r="BO23" s="44">
        <v>299904.92376579996</v>
      </c>
      <c r="BP23" s="44">
        <v>194943.23927580001</v>
      </c>
      <c r="BQ23" s="44">
        <v>75418.817075799991</v>
      </c>
      <c r="BR23" s="44">
        <v>51491.6141088</v>
      </c>
      <c r="BS23" s="44">
        <v>21471.4410938</v>
      </c>
      <c r="BT23" s="44">
        <v>6367.9845868000002</v>
      </c>
      <c r="BU23" s="44"/>
      <c r="BV23" s="47">
        <v>999213.88401000004</v>
      </c>
      <c r="BW23" s="47">
        <v>304227.20342890004</v>
      </c>
      <c r="BX23" s="47">
        <v>198743.4973289</v>
      </c>
      <c r="BY23" s="47">
        <v>78414.199948900001</v>
      </c>
      <c r="BZ23" s="47">
        <v>53810.935102900003</v>
      </c>
      <c r="CA23" s="47">
        <v>22734.113303899998</v>
      </c>
      <c r="CB23" s="47">
        <v>6845.3300878999999</v>
      </c>
      <c r="CC23" s="44"/>
      <c r="CD23" s="47">
        <v>1053466.8840000001</v>
      </c>
      <c r="CE23" s="47">
        <v>337570.01232200005</v>
      </c>
      <c r="CF23" s="47">
        <v>227728.95738199999</v>
      </c>
      <c r="CG23" s="47">
        <v>98842.242451999991</v>
      </c>
      <c r="CH23" s="47">
        <v>70804.378882999998</v>
      </c>
      <c r="CI23" s="47">
        <v>32493.991038</v>
      </c>
      <c r="CJ23" s="47">
        <v>10910.187402</v>
      </c>
      <c r="CL23" s="47">
        <v>1099730.8840000001</v>
      </c>
      <c r="CM23" s="47">
        <v>357947.57497300004</v>
      </c>
      <c r="CN23" s="47">
        <v>243404.54242299998</v>
      </c>
      <c r="CO23" s="47">
        <v>107895.079383</v>
      </c>
      <c r="CP23" s="47">
        <v>78015.613083999997</v>
      </c>
      <c r="CQ23" s="47">
        <v>36477.058819999998</v>
      </c>
      <c r="CR23" s="47">
        <v>12452.621035</v>
      </c>
      <c r="CS23" s="47"/>
      <c r="CT23" s="47">
        <v>1122797.8840000001</v>
      </c>
      <c r="CU23" s="47">
        <v>369915.869336</v>
      </c>
      <c r="CV23" s="47">
        <v>252986.98491600002</v>
      </c>
      <c r="CW23" s="47">
        <v>113268.762596</v>
      </c>
      <c r="CX23" s="47">
        <v>82119.823560000004</v>
      </c>
      <c r="CY23" s="47">
        <v>38547.638962999998</v>
      </c>
      <c r="CZ23" s="47">
        <v>13181.723997999999</v>
      </c>
      <c r="DA23" s="47"/>
      <c r="DB23" s="47">
        <v>1122797.8840000001</v>
      </c>
      <c r="DC23" s="47">
        <v>378448.35107699997</v>
      </c>
      <c r="DD23" s="47">
        <v>261439.86795699998</v>
      </c>
      <c r="DE23" s="47">
        <v>120200.92263700001</v>
      </c>
      <c r="DF23" s="47">
        <v>87608.107913000014</v>
      </c>
      <c r="DG23" s="47">
        <v>41968.947720000004</v>
      </c>
      <c r="DH23" s="47">
        <v>14619.959344000001</v>
      </c>
      <c r="DI23" s="47"/>
      <c r="DJ23" s="47">
        <v>1170022.4720000001</v>
      </c>
      <c r="DK23" s="47">
        <v>396369.62752300006</v>
      </c>
      <c r="DL23" s="47">
        <v>275139.91363299999</v>
      </c>
      <c r="DM23" s="47">
        <v>127221.93359300001</v>
      </c>
      <c r="DN23" s="47">
        <v>92410.270139</v>
      </c>
      <c r="DO23" s="47">
        <v>43894.902399999999</v>
      </c>
      <c r="DP23" s="47">
        <v>15338.735957999999</v>
      </c>
      <c r="DQ23" s="47"/>
      <c r="DR23" s="47">
        <v>1214239.4717852895</v>
      </c>
      <c r="DS23" s="47">
        <v>410097.32003362325</v>
      </c>
      <c r="DT23" s="47">
        <v>283488.71736017574</v>
      </c>
      <c r="DU23" s="47">
        <v>129557.56440586662</v>
      </c>
      <c r="DV23" s="47">
        <v>93812.827383375596</v>
      </c>
      <c r="DW23" s="47">
        <v>44381.685895493581</v>
      </c>
      <c r="DX23" s="47">
        <v>15451.956662398052</v>
      </c>
      <c r="DY23" s="297"/>
      <c r="DZ23" s="47">
        <v>1260963.4720173492</v>
      </c>
      <c r="EA23" s="47">
        <v>418234.51561846817</v>
      </c>
      <c r="EB23" s="47">
        <v>287068.87020367128</v>
      </c>
      <c r="EC23" s="47">
        <v>130051.7682193018</v>
      </c>
      <c r="ED23" s="47">
        <v>94073.146003050642</v>
      </c>
      <c r="EE23" s="47">
        <v>44429.531837803232</v>
      </c>
      <c r="EF23" s="47">
        <v>15459.755358244636</v>
      </c>
      <c r="EG23" s="542"/>
      <c r="EH23" s="47">
        <v>1298407.4720172961</v>
      </c>
      <c r="EI23" s="47">
        <v>427709.3179312945</v>
      </c>
      <c r="EJ23" s="47">
        <v>291580.44576214289</v>
      </c>
      <c r="EK23" s="47">
        <v>130630.1672888841</v>
      </c>
      <c r="EL23" s="47">
        <v>94555.775511428466</v>
      </c>
      <c r="EM23" s="47">
        <v>44471.308910928623</v>
      </c>
      <c r="EN23" s="47">
        <v>15460.189379870628</v>
      </c>
      <c r="EO23" s="47"/>
      <c r="EP23" s="47">
        <v>1358196.608</v>
      </c>
      <c r="EQ23" s="47">
        <v>442566.10220100003</v>
      </c>
      <c r="ER23" s="47">
        <v>299979.461641</v>
      </c>
      <c r="ES23" s="47">
        <v>132672.44557100002</v>
      </c>
      <c r="ET23" s="47">
        <v>95295.266545999999</v>
      </c>
      <c r="EU23" s="47">
        <v>44822.129594999999</v>
      </c>
      <c r="EV23" s="47">
        <v>15515.992792999999</v>
      </c>
      <c r="EW23" s="47"/>
      <c r="EX23" s="47">
        <v>1451147.608</v>
      </c>
      <c r="EY23" s="47">
        <v>465684.72011999995</v>
      </c>
      <c r="EZ23" s="47">
        <v>313636.65177</v>
      </c>
      <c r="FA23" s="47">
        <v>136501.69440000001</v>
      </c>
      <c r="FB23" s="47">
        <v>97787.787083000003</v>
      </c>
      <c r="FC23" s="47">
        <v>45636.288998999997</v>
      </c>
      <c r="FD23" s="47">
        <v>15735.942179</v>
      </c>
      <c r="FE23" s="47"/>
      <c r="FF23" s="47">
        <v>1520307.608</v>
      </c>
      <c r="FG23" s="47">
        <v>469772.76771999995</v>
      </c>
      <c r="FH23" s="47">
        <v>316357.40616999997</v>
      </c>
      <c r="FI23" s="47">
        <v>137366.19439999998</v>
      </c>
      <c r="FJ23" s="47">
        <v>98237.327083000011</v>
      </c>
      <c r="FK23" s="47">
        <v>45716.514599000002</v>
      </c>
      <c r="FL23" s="47">
        <v>15747.007779</v>
      </c>
      <c r="FN23" s="47">
        <v>1538447.608</v>
      </c>
      <c r="FO23" s="47">
        <v>470168.40111999999</v>
      </c>
      <c r="FP23" s="47">
        <v>316444.47816999996</v>
      </c>
      <c r="FQ23" s="47">
        <v>137375.80859999999</v>
      </c>
      <c r="FR23" s="47">
        <v>98239.866683</v>
      </c>
      <c r="FS23" s="47">
        <v>45716.695999000003</v>
      </c>
      <c r="FT23" s="47">
        <v>15747.007779</v>
      </c>
      <c r="FV23" s="44">
        <v>1569344.608</v>
      </c>
      <c r="FW23" s="44">
        <v>471546.50112000003</v>
      </c>
      <c r="FX23" s="44">
        <v>317133.52817000001</v>
      </c>
      <c r="FY23" s="44">
        <v>137513.61860000002</v>
      </c>
      <c r="FZ23" s="44">
        <v>98308.771682999999</v>
      </c>
      <c r="GA23" s="44">
        <v>45730.476998999999</v>
      </c>
      <c r="GB23" s="44">
        <v>15748.385878999999</v>
      </c>
      <c r="GC23" s="44"/>
      <c r="GE23" s="47">
        <v>1583059.608</v>
      </c>
      <c r="GF23" s="47">
        <v>472725.90098999999</v>
      </c>
      <c r="GG23" s="47">
        <v>317782.47505999997</v>
      </c>
      <c r="GH23" s="47">
        <v>137763.82748000001</v>
      </c>
      <c r="GI23" s="47">
        <v>98480.93514300001</v>
      </c>
      <c r="GJ23" s="47">
        <v>45770.535438999999</v>
      </c>
      <c r="GK23" s="47">
        <v>15756.526881</v>
      </c>
      <c r="GM23" s="47">
        <v>1612363.608</v>
      </c>
      <c r="GN23" s="47">
        <v>472725.90098999999</v>
      </c>
      <c r="GO23" s="47">
        <v>317782.47505999997</v>
      </c>
      <c r="GP23" s="47">
        <v>137763.82748000001</v>
      </c>
      <c r="GQ23" s="47">
        <v>98480.93514300001</v>
      </c>
      <c r="GR23" s="47">
        <v>45770.535438999999</v>
      </c>
      <c r="GS23" s="47">
        <v>15756.526881</v>
      </c>
      <c r="GT23" s="187"/>
      <c r="GU23" s="480">
        <v>1484814.7585</v>
      </c>
      <c r="GV23" s="481">
        <v>409921.11028199992</v>
      </c>
      <c r="GW23" s="481">
        <v>271269.27786199999</v>
      </c>
      <c r="GX23" s="481">
        <v>115225.32855199999</v>
      </c>
      <c r="GY23" s="481">
        <v>82304.485734000002</v>
      </c>
      <c r="GZ23" s="481">
        <v>38042.287771999996</v>
      </c>
      <c r="HA23" s="481">
        <v>13079.935020999999</v>
      </c>
      <c r="HB23" s="256"/>
      <c r="HC23" s="480">
        <v>1462361.7583000001</v>
      </c>
      <c r="HD23" s="481">
        <v>400043.13972599996</v>
      </c>
      <c r="HE23" s="481">
        <v>264638.82453600003</v>
      </c>
      <c r="HF23" s="481">
        <v>111861.303086</v>
      </c>
      <c r="HG23" s="481">
        <v>79883.077060999989</v>
      </c>
      <c r="HH23" s="481">
        <v>36923.912327999999</v>
      </c>
      <c r="HI23" s="481">
        <v>12718.073117</v>
      </c>
      <c r="HJ23" s="481"/>
      <c r="HK23" s="480">
        <v>1416097.7583000001</v>
      </c>
      <c r="HL23" s="481">
        <v>380850.15146100003</v>
      </c>
      <c r="HM23" s="481">
        <v>249661.08170099999</v>
      </c>
      <c r="HN23" s="481">
        <v>103059.185931</v>
      </c>
      <c r="HO23" s="481">
        <v>72875.348481000008</v>
      </c>
      <c r="HP23" s="481">
        <v>33081.017445999998</v>
      </c>
      <c r="HQ23" s="481">
        <v>11213.172855999999</v>
      </c>
      <c r="HR23" s="256"/>
      <c r="HS23" s="480">
        <v>1362713.7585</v>
      </c>
      <c r="HT23" s="481">
        <v>359728.30311999994</v>
      </c>
      <c r="HU23" s="481">
        <v>234486.83327999999</v>
      </c>
      <c r="HV23" s="481">
        <v>96003.681579999989</v>
      </c>
      <c r="HW23" s="481">
        <v>67685.203437999997</v>
      </c>
      <c r="HX23" s="481">
        <v>30699.497053999999</v>
      </c>
      <c r="HY23" s="481">
        <v>10386.396817999999</v>
      </c>
      <c r="HZ23" s="47"/>
      <c r="IA23" s="480">
        <v>1275331.7585</v>
      </c>
      <c r="IB23" s="481">
        <v>342699.16156600008</v>
      </c>
      <c r="IC23" s="481">
        <v>226348.85920600002</v>
      </c>
      <c r="ID23" s="481">
        <v>94849.123655999996</v>
      </c>
      <c r="IE23" s="481">
        <v>67142.721774999998</v>
      </c>
      <c r="IF23" s="481">
        <v>30646.562083999997</v>
      </c>
      <c r="IG23" s="481">
        <v>10378.656611</v>
      </c>
      <c r="IH23" s="47"/>
      <c r="II23" s="480">
        <v>1209284.7585</v>
      </c>
      <c r="IJ23" s="480">
        <v>326613.25918899995</v>
      </c>
      <c r="IK23" s="480">
        <v>216842.78357900004</v>
      </c>
      <c r="IL23" s="480">
        <v>92238.897378999987</v>
      </c>
      <c r="IM23" s="480">
        <v>65598.374079000001</v>
      </c>
      <c r="IN23" s="480">
        <v>30098.984878999996</v>
      </c>
      <c r="IO23" s="480">
        <v>10225.331856999999</v>
      </c>
      <c r="IP23" s="757"/>
      <c r="IQ23" s="757">
        <v>1168469.0005000001</v>
      </c>
      <c r="IR23" s="757">
        <v>312095.95886670001</v>
      </c>
      <c r="IS23" s="757">
        <v>206726.19180669999</v>
      </c>
      <c r="IT23" s="757">
        <v>87428.518116699997</v>
      </c>
      <c r="IU23" s="757">
        <v>62118.718145700004</v>
      </c>
      <c r="IV23" s="757">
        <v>28430.438776700001</v>
      </c>
      <c r="IW23" s="757">
        <v>9639.3947416999999</v>
      </c>
      <c r="IX23" s="757"/>
      <c r="IY23" s="757">
        <v>1451148.0005000001</v>
      </c>
      <c r="IZ23" s="757">
        <v>360316.20831799996</v>
      </c>
      <c r="JA23" s="757">
        <v>236296.65136800002</v>
      </c>
      <c r="JB23" s="757">
        <v>98367.479317999998</v>
      </c>
      <c r="JC23" s="757">
        <v>69601.651983999996</v>
      </c>
      <c r="JD23" s="757">
        <v>31653.133486999999</v>
      </c>
      <c r="JE23" s="757">
        <v>10692.250642999999</v>
      </c>
      <c r="JF23" s="256"/>
      <c r="JG23" s="47">
        <v>121100.8495</v>
      </c>
      <c r="JH23" s="47">
        <v>59322.002439999997</v>
      </c>
      <c r="JI23" s="47">
        <v>43518.598050000001</v>
      </c>
      <c r="JJ23" s="47">
        <v>21653.404930000001</v>
      </c>
      <c r="JK23" s="47">
        <v>15855.81149</v>
      </c>
      <c r="JL23" s="47">
        <v>7405.013371</v>
      </c>
      <c r="JM23" s="47">
        <v>2521.1355739999999</v>
      </c>
      <c r="JN23" s="1034"/>
      <c r="JO23" s="47">
        <v>22453.000199999999</v>
      </c>
      <c r="JP23" s="47">
        <v>9999.4621740000002</v>
      </c>
      <c r="JQ23" s="47">
        <v>7351.8501349999997</v>
      </c>
      <c r="JR23" s="47">
        <v>3565.6848110000001</v>
      </c>
      <c r="JS23" s="47">
        <v>2542.8746179999998</v>
      </c>
      <c r="JT23" s="47">
        <v>1145.203737</v>
      </c>
      <c r="JU23" s="47">
        <v>368.17285939999999</v>
      </c>
      <c r="JV23" s="77"/>
      <c r="JW23" s="47">
        <v>46264</v>
      </c>
      <c r="JX23" s="47">
        <v>19244.366689999999</v>
      </c>
      <c r="JY23" s="47">
        <v>14745.6584</v>
      </c>
      <c r="JZ23" s="47">
        <v>8526.5240830000002</v>
      </c>
      <c r="KA23" s="47">
        <v>6652.6326630000003</v>
      </c>
      <c r="KB23" s="47">
        <v>3727.0627519999998</v>
      </c>
      <c r="KC23" s="47">
        <v>1495.464884</v>
      </c>
      <c r="KD23" s="77"/>
      <c r="KE23" s="47">
        <v>53383.99985</v>
      </c>
      <c r="KF23" s="47">
        <v>21782.811259999999</v>
      </c>
      <c r="KG23" s="47">
        <v>15657.84456</v>
      </c>
      <c r="KH23" s="47">
        <v>7174.2280950000004</v>
      </c>
      <c r="KI23" s="47">
        <v>5122.9588700000004</v>
      </c>
      <c r="KJ23" s="47">
        <v>2400.3565549999998</v>
      </c>
      <c r="KK23" s="47">
        <v>838.47400709999999</v>
      </c>
      <c r="KL23" s="77"/>
      <c r="KM23" s="47">
        <v>87381.999930000005</v>
      </c>
      <c r="KN23" s="47">
        <v>15138.23086</v>
      </c>
      <c r="KO23" s="47">
        <v>7240.7769189999999</v>
      </c>
      <c r="KP23" s="47">
        <v>1171.242686</v>
      </c>
      <c r="KQ23" s="47">
        <v>582.66421249999996</v>
      </c>
      <c r="KR23" s="47">
        <v>113.6596797</v>
      </c>
      <c r="KS23" s="47">
        <v>11.61575826</v>
      </c>
      <c r="KT23" s="77"/>
      <c r="KU23" s="47">
        <v>86450</v>
      </c>
      <c r="KV23" s="47">
        <v>20581.093229999999</v>
      </c>
      <c r="KW23" s="47">
        <v>11672.98214</v>
      </c>
      <c r="KX23" s="47">
        <v>3319.7376290000002</v>
      </c>
      <c r="KY23" s="47">
        <v>2044.6248680000001</v>
      </c>
      <c r="KZ23" s="47">
        <v>717.70111310000004</v>
      </c>
      <c r="LA23" s="47">
        <v>199.76325449999999</v>
      </c>
      <c r="LB23" s="77"/>
      <c r="LC23" s="1034">
        <v>97122.925560000003</v>
      </c>
      <c r="LD23" s="1034">
        <v>5489.7984710000001</v>
      </c>
      <c r="LE23" s="1034">
        <v>3432.4593140000002</v>
      </c>
      <c r="LF23" s="1034">
        <v>1068.244175</v>
      </c>
      <c r="LG23" s="1034">
        <v>559.17348779999998</v>
      </c>
      <c r="LH23" s="1034">
        <v>105.39003580000001</v>
      </c>
      <c r="LI23" s="1034">
        <v>14.306817840000001</v>
      </c>
      <c r="LJ23" s="77"/>
      <c r="LK23" s="1034">
        <v>6448</v>
      </c>
      <c r="LL23" s="1034">
        <v>4036.4678983500003</v>
      </c>
      <c r="LM23" s="1034">
        <v>3313.28799536</v>
      </c>
      <c r="LN23" s="1034">
        <v>1871.84520946</v>
      </c>
      <c r="LO23" s="1034">
        <v>1404.5177265</v>
      </c>
      <c r="LP23" s="1034">
        <v>749.2513222</v>
      </c>
      <c r="LQ23" s="1034">
        <v>333.29555886999998</v>
      </c>
    </row>
    <row r="24" spans="1:329" s="43" customFormat="1" ht="9.75" customHeight="1" x14ac:dyDescent="0.2">
      <c r="A24" s="48">
        <v>1976</v>
      </c>
      <c r="B24" s="47">
        <v>1066386.3334999999</v>
      </c>
      <c r="C24" s="47">
        <v>347389.97125919996</v>
      </c>
      <c r="D24" s="47">
        <v>223768.44456919999</v>
      </c>
      <c r="E24" s="47">
        <v>84592.018139200009</v>
      </c>
      <c r="F24" s="47">
        <v>55863.5546932</v>
      </c>
      <c r="G24" s="47">
        <v>21404.741138199999</v>
      </c>
      <c r="H24" s="47">
        <v>5932.9324302000005</v>
      </c>
      <c r="I24" s="47"/>
      <c r="J24" s="47">
        <v>1614768.9053</v>
      </c>
      <c r="K24" s="47">
        <v>518232.11856600002</v>
      </c>
      <c r="L24" s="47">
        <v>348020.39501600002</v>
      </c>
      <c r="M24" s="47">
        <v>152258.504896</v>
      </c>
      <c r="N24" s="47">
        <v>109102.240383</v>
      </c>
      <c r="O24" s="47">
        <v>51655.888952000001</v>
      </c>
      <c r="P24" s="47">
        <v>18095.778566000001</v>
      </c>
      <c r="Q24" s="47"/>
      <c r="R24" s="47">
        <v>1790351.9053</v>
      </c>
      <c r="S24" s="47">
        <v>526848.26937400002</v>
      </c>
      <c r="T24" s="47">
        <v>353281.87777400005</v>
      </c>
      <c r="U24" s="47">
        <v>153838.46963400001</v>
      </c>
      <c r="V24" s="47">
        <v>109943.92673000001</v>
      </c>
      <c r="W24" s="47">
        <v>51813.582399999999</v>
      </c>
      <c r="X24" s="47">
        <v>18113.431034000001</v>
      </c>
      <c r="Y24" s="47"/>
      <c r="Z24" s="47">
        <v>1614767.0004</v>
      </c>
      <c r="AA24" s="47">
        <v>403026.19802199997</v>
      </c>
      <c r="AB24" s="47">
        <v>263985.58080200001</v>
      </c>
      <c r="AC24" s="47">
        <v>110277.96816200002</v>
      </c>
      <c r="AD24" s="47">
        <v>77792.689704000004</v>
      </c>
      <c r="AE24" s="47">
        <v>35496.491193000002</v>
      </c>
      <c r="AF24" s="47">
        <v>12207.078953</v>
      </c>
      <c r="AG24" s="47"/>
      <c r="AH24" s="47">
        <v>1089632.7216</v>
      </c>
      <c r="AI24" s="47">
        <v>353915.42296920001</v>
      </c>
      <c r="AJ24" s="47">
        <v>227312.54569920004</v>
      </c>
      <c r="AK24" s="47">
        <v>85581.858389199988</v>
      </c>
      <c r="AL24" s="47">
        <v>56502.595148200002</v>
      </c>
      <c r="AM24" s="47">
        <v>21638.4392252</v>
      </c>
      <c r="AN24" s="47">
        <v>6001.5551702000002</v>
      </c>
      <c r="AO24" s="47"/>
      <c r="AP24" s="47">
        <v>1094969.4839000001</v>
      </c>
      <c r="AQ24" s="47">
        <v>356940.13880309998</v>
      </c>
      <c r="AR24" s="47">
        <v>230251.85883309998</v>
      </c>
      <c r="AS24" s="47">
        <v>88207.759663100005</v>
      </c>
      <c r="AT24" s="47">
        <v>58712.499281099997</v>
      </c>
      <c r="AU24" s="47">
        <v>22842.767380099998</v>
      </c>
      <c r="AV24" s="47">
        <v>6403.2414060999999</v>
      </c>
      <c r="AW24" s="47"/>
      <c r="AX24" s="47">
        <v>1103101.4839000001</v>
      </c>
      <c r="AY24" s="47">
        <v>363526.97748309997</v>
      </c>
      <c r="AZ24" s="47">
        <v>236349.72035310001</v>
      </c>
      <c r="BA24" s="47">
        <v>92931.638463100011</v>
      </c>
      <c r="BB24" s="47">
        <v>62527.1391611</v>
      </c>
      <c r="BC24" s="47">
        <v>24956.843420099998</v>
      </c>
      <c r="BD24" s="47">
        <v>7094.3800861</v>
      </c>
      <c r="BE24" s="47"/>
      <c r="BF24" s="44">
        <v>1101915.2408</v>
      </c>
      <c r="BG24" s="44">
        <v>362175.34709310008</v>
      </c>
      <c r="BH24" s="44">
        <v>235565.55667309999</v>
      </c>
      <c r="BI24" s="44">
        <v>92809.783553099987</v>
      </c>
      <c r="BJ24" s="44">
        <v>62509.186180099998</v>
      </c>
      <c r="BK24" s="44">
        <v>24976.1793421</v>
      </c>
      <c r="BL24" s="44">
        <v>7099.3464131000001</v>
      </c>
      <c r="BN24" s="44">
        <v>1101915.2408</v>
      </c>
      <c r="BO24" s="44">
        <v>331302.62018799997</v>
      </c>
      <c r="BP24" s="44">
        <v>214151.94122800001</v>
      </c>
      <c r="BQ24" s="44">
        <v>82880.093638000006</v>
      </c>
      <c r="BR24" s="44">
        <v>56230.987252000006</v>
      </c>
      <c r="BS24" s="44">
        <v>23553.791452999998</v>
      </c>
      <c r="BT24" s="44">
        <v>7033.8572770000001</v>
      </c>
      <c r="BU24" s="44"/>
      <c r="BV24" s="47">
        <v>1107701.3548000001</v>
      </c>
      <c r="BW24" s="47">
        <v>336039.2676432</v>
      </c>
      <c r="BX24" s="47">
        <v>218379.16028320001</v>
      </c>
      <c r="BY24" s="47">
        <v>85969.378093200008</v>
      </c>
      <c r="BZ24" s="47">
        <v>58830.726145200009</v>
      </c>
      <c r="CA24" s="47">
        <v>24955.670197200001</v>
      </c>
      <c r="CB24" s="47">
        <v>7706.1438532000002</v>
      </c>
      <c r="CC24" s="44"/>
      <c r="CD24" s="47">
        <v>1177737.3548000001</v>
      </c>
      <c r="CE24" s="47">
        <v>379354.98033799999</v>
      </c>
      <c r="CF24" s="47">
        <v>255964.25307800001</v>
      </c>
      <c r="CG24" s="47">
        <v>112495.142018</v>
      </c>
      <c r="CH24" s="47">
        <v>80258.158189000009</v>
      </c>
      <c r="CI24" s="47">
        <v>37561.349533000001</v>
      </c>
      <c r="CJ24" s="47">
        <v>12836.915510999999</v>
      </c>
      <c r="CL24" s="47">
        <v>1237155.3548000001</v>
      </c>
      <c r="CM24" s="47">
        <v>405782.84060999996</v>
      </c>
      <c r="CN24" s="47">
        <v>276513.09633000003</v>
      </c>
      <c r="CO24" s="47">
        <v>124695.16284999999</v>
      </c>
      <c r="CP24" s="47">
        <v>89940.440579000002</v>
      </c>
      <c r="CQ24" s="47">
        <v>42697.643989999997</v>
      </c>
      <c r="CR24" s="47">
        <v>14854.730532</v>
      </c>
      <c r="CS24" s="47"/>
      <c r="CT24" s="47">
        <v>1262036.3548000001</v>
      </c>
      <c r="CU24" s="47">
        <v>418510.73432600003</v>
      </c>
      <c r="CV24" s="47">
        <v>286882.648506</v>
      </c>
      <c r="CW24" s="47">
        <v>130640.700746</v>
      </c>
      <c r="CX24" s="47">
        <v>94403.296967000002</v>
      </c>
      <c r="CY24" s="47">
        <v>44976.534912999996</v>
      </c>
      <c r="CZ24" s="47">
        <v>15718.050042999999</v>
      </c>
      <c r="DA24" s="47"/>
      <c r="DB24" s="47">
        <v>1262036.3537999999</v>
      </c>
      <c r="DC24" s="47">
        <v>423933.73306599999</v>
      </c>
      <c r="DD24" s="47">
        <v>292407.33836599998</v>
      </c>
      <c r="DE24" s="47">
        <v>135033.82305599999</v>
      </c>
      <c r="DF24" s="47">
        <v>98350.229450999992</v>
      </c>
      <c r="DG24" s="47">
        <v>47458.643506</v>
      </c>
      <c r="DH24" s="47">
        <v>16777.700411000002</v>
      </c>
      <c r="DI24" s="47"/>
      <c r="DJ24" s="47">
        <v>1310980.6368</v>
      </c>
      <c r="DK24" s="47">
        <v>443520.08631500008</v>
      </c>
      <c r="DL24" s="47">
        <v>307333.03000500007</v>
      </c>
      <c r="DM24" s="47">
        <v>142257.887235</v>
      </c>
      <c r="DN24" s="47">
        <v>103341.62695999999</v>
      </c>
      <c r="DO24" s="47">
        <v>49718.167599</v>
      </c>
      <c r="DP24" s="47">
        <v>17610.408845000002</v>
      </c>
      <c r="DQ24" s="47"/>
      <c r="DR24" s="47">
        <v>1356345.6362029531</v>
      </c>
      <c r="DS24" s="47">
        <v>457774.08317725797</v>
      </c>
      <c r="DT24" s="47">
        <v>315784.50419361802</v>
      </c>
      <c r="DU24" s="47">
        <v>144929.67705531672</v>
      </c>
      <c r="DV24" s="47">
        <v>104983.63594033933</v>
      </c>
      <c r="DW24" s="47">
        <v>50350.275529616483</v>
      </c>
      <c r="DX24" s="47">
        <v>17788.010368193591</v>
      </c>
      <c r="DY24" s="297"/>
      <c r="DZ24" s="47">
        <v>1410743.6362896231</v>
      </c>
      <c r="EA24" s="47">
        <v>467094.39917469874</v>
      </c>
      <c r="EB24" s="47">
        <v>319832.226507093</v>
      </c>
      <c r="EC24" s="47">
        <v>145505.08781557975</v>
      </c>
      <c r="ED24" s="47">
        <v>105273.47143992006</v>
      </c>
      <c r="EE24" s="47">
        <v>50419.931051229796</v>
      </c>
      <c r="EF24" s="47">
        <v>17786.220474960825</v>
      </c>
      <c r="EG24" s="542"/>
      <c r="EH24" s="47">
        <v>1456721.6362896506</v>
      </c>
      <c r="EI24" s="47">
        <v>479060.34141876712</v>
      </c>
      <c r="EJ24" s="47">
        <v>325517.9811381083</v>
      </c>
      <c r="EK24" s="47">
        <v>146260.1907167538</v>
      </c>
      <c r="EL24" s="47">
        <v>105559.85249509595</v>
      </c>
      <c r="EM24" s="47">
        <v>50477.191162901916</v>
      </c>
      <c r="EN24" s="47">
        <v>17802.841632251955</v>
      </c>
      <c r="EO24" s="47"/>
      <c r="EP24" s="47">
        <v>1513547.9053</v>
      </c>
      <c r="EQ24" s="47">
        <v>493208.18799699994</v>
      </c>
      <c r="ER24" s="47">
        <v>333634.20148699998</v>
      </c>
      <c r="ES24" s="47">
        <v>148074.872217</v>
      </c>
      <c r="ET24" s="47">
        <v>106652.961765</v>
      </c>
      <c r="EU24" s="47">
        <v>50791.745178999998</v>
      </c>
      <c r="EV24" s="47">
        <v>17846.701851999998</v>
      </c>
      <c r="EW24" s="47"/>
      <c r="EX24" s="47">
        <v>1614768.9053</v>
      </c>
      <c r="EY24" s="47">
        <v>518232.11856600002</v>
      </c>
      <c r="EZ24" s="47">
        <v>348020.39501600002</v>
      </c>
      <c r="FA24" s="47">
        <v>152258.504896</v>
      </c>
      <c r="FB24" s="47">
        <v>109102.240383</v>
      </c>
      <c r="FC24" s="47">
        <v>51655.888952000001</v>
      </c>
      <c r="FD24" s="47">
        <v>18095.778566000001</v>
      </c>
      <c r="FE24" s="47"/>
      <c r="FF24" s="47">
        <v>1692819.9053</v>
      </c>
      <c r="FG24" s="47">
        <v>523441.24230599997</v>
      </c>
      <c r="FH24" s="47">
        <v>351299.31752599997</v>
      </c>
      <c r="FI24" s="47">
        <v>153305.168806</v>
      </c>
      <c r="FJ24" s="47">
        <v>109633.767693</v>
      </c>
      <c r="FK24" s="47">
        <v>51748.769641999999</v>
      </c>
      <c r="FL24" s="47">
        <v>18108.266726000002</v>
      </c>
      <c r="FN24" s="47">
        <v>1709205.9053</v>
      </c>
      <c r="FO24" s="47">
        <v>523798.62096599996</v>
      </c>
      <c r="FP24" s="47">
        <v>351377.97032600001</v>
      </c>
      <c r="FQ24" s="47">
        <v>153313.853386</v>
      </c>
      <c r="FR24" s="47">
        <v>109636.06173300001</v>
      </c>
      <c r="FS24" s="47">
        <v>51748.933502</v>
      </c>
      <c r="FT24" s="47">
        <v>18108.266726000002</v>
      </c>
      <c r="FV24" s="44">
        <v>1742679.9053</v>
      </c>
      <c r="FW24" s="44">
        <v>525171.92096600006</v>
      </c>
      <c r="FX24" s="44">
        <v>352064.62032600003</v>
      </c>
      <c r="FY24" s="44">
        <v>153451.18338600002</v>
      </c>
      <c r="FZ24" s="44">
        <v>109704.72673300002</v>
      </c>
      <c r="GA24" s="44">
        <v>51762.666502</v>
      </c>
      <c r="GB24" s="44">
        <v>18109.640026000001</v>
      </c>
      <c r="GC24" s="44"/>
      <c r="GE24" s="47">
        <v>1759414.9053</v>
      </c>
      <c r="GF24" s="47">
        <v>526848.26937400002</v>
      </c>
      <c r="GG24" s="47">
        <v>353281.87777400005</v>
      </c>
      <c r="GH24" s="47">
        <v>153838.46963400001</v>
      </c>
      <c r="GI24" s="47">
        <v>109943.92673000001</v>
      </c>
      <c r="GJ24" s="47">
        <v>51813.582399999999</v>
      </c>
      <c r="GK24" s="47">
        <v>18113.431034000001</v>
      </c>
      <c r="GM24" s="47">
        <v>1790351.9053</v>
      </c>
      <c r="GN24" s="47">
        <v>526848.26937400002</v>
      </c>
      <c r="GO24" s="47">
        <v>353281.87777400005</v>
      </c>
      <c r="GP24" s="47">
        <v>153838.46963400001</v>
      </c>
      <c r="GQ24" s="47">
        <v>109943.92673000001</v>
      </c>
      <c r="GR24" s="47">
        <v>51813.582399999999</v>
      </c>
      <c r="GS24" s="47">
        <v>18113.431034000001</v>
      </c>
      <c r="GT24" s="187"/>
      <c r="GU24" s="480">
        <v>1641333.3940000001</v>
      </c>
      <c r="GV24" s="481">
        <v>453286.14948800002</v>
      </c>
      <c r="GW24" s="481">
        <v>299232.57512800005</v>
      </c>
      <c r="GX24" s="481">
        <v>127436.184288</v>
      </c>
      <c r="GY24" s="481">
        <v>90714.022234000004</v>
      </c>
      <c r="GZ24" s="481">
        <v>42173.926471999999</v>
      </c>
      <c r="HA24" s="481">
        <v>14745.56264</v>
      </c>
      <c r="HB24" s="256"/>
      <c r="HC24" s="480">
        <v>1615074.3940000001</v>
      </c>
      <c r="HD24" s="481">
        <v>442779.75938800001</v>
      </c>
      <c r="HE24" s="481">
        <v>291781.59244800004</v>
      </c>
      <c r="HF24" s="481">
        <v>123584.304718</v>
      </c>
      <c r="HG24" s="481">
        <v>88212.811363999994</v>
      </c>
      <c r="HH24" s="481">
        <v>41023.334495000003</v>
      </c>
      <c r="HI24" s="481">
        <v>14332.661665</v>
      </c>
      <c r="HJ24" s="481"/>
      <c r="HK24" s="480">
        <v>1555656.3940000001</v>
      </c>
      <c r="HL24" s="481">
        <v>417140.49643699999</v>
      </c>
      <c r="HM24" s="481">
        <v>271610.42464699998</v>
      </c>
      <c r="HN24" s="481">
        <v>111933.668877</v>
      </c>
      <c r="HO24" s="481">
        <v>78856.982394999999</v>
      </c>
      <c r="HP24" s="481">
        <v>35879.668743000002</v>
      </c>
      <c r="HQ24" s="481">
        <v>12352.289003</v>
      </c>
      <c r="HR24" s="256"/>
      <c r="HS24" s="480">
        <v>1497409.3944999999</v>
      </c>
      <c r="HT24" s="481">
        <v>393975.92230099998</v>
      </c>
      <c r="HU24" s="481">
        <v>255171.68841100001</v>
      </c>
      <c r="HV24" s="481">
        <v>104180.335141</v>
      </c>
      <c r="HW24" s="481">
        <v>73147.482698000007</v>
      </c>
      <c r="HX24" s="481">
        <v>33236.371220000001</v>
      </c>
      <c r="HY24" s="481">
        <v>11412.867942999999</v>
      </c>
      <c r="HZ24" s="47"/>
      <c r="IA24" s="480">
        <v>1398169.3944000001</v>
      </c>
      <c r="IB24" s="481">
        <v>374046.78659899998</v>
      </c>
      <c r="IC24" s="481">
        <v>245951.10586900002</v>
      </c>
      <c r="ID24" s="481">
        <v>102714.18818900001</v>
      </c>
      <c r="IE24" s="481">
        <v>72564.772207000002</v>
      </c>
      <c r="IF24" s="481">
        <v>33137.445625</v>
      </c>
      <c r="IG24" s="481">
        <v>11407.642059</v>
      </c>
      <c r="IH24" s="47"/>
      <c r="II24" s="480">
        <v>1327135.3944000001</v>
      </c>
      <c r="IJ24" s="480">
        <v>356686.67201600003</v>
      </c>
      <c r="IK24" s="480">
        <v>236041.211366</v>
      </c>
      <c r="IL24" s="480">
        <v>100008.94169599999</v>
      </c>
      <c r="IM24" s="480">
        <v>70907.916731000005</v>
      </c>
      <c r="IN24" s="480">
        <v>32565.706471999998</v>
      </c>
      <c r="IO24" s="480">
        <v>11238.548479999999</v>
      </c>
      <c r="IP24" s="757"/>
      <c r="IQ24" s="757">
        <v>1315690.0004</v>
      </c>
      <c r="IR24" s="757">
        <v>352480.20676099998</v>
      </c>
      <c r="IS24" s="757">
        <v>233099.75708100002</v>
      </c>
      <c r="IT24" s="757">
        <v>98610.997191000002</v>
      </c>
      <c r="IU24" s="757">
        <v>69900.257089000006</v>
      </c>
      <c r="IV24" s="757">
        <v>32069.747342999999</v>
      </c>
      <c r="IW24" s="757">
        <v>11061.993852</v>
      </c>
      <c r="IX24" s="757"/>
      <c r="IY24" s="757">
        <v>1614767.0004</v>
      </c>
      <c r="IZ24" s="757">
        <v>403026.19802199997</v>
      </c>
      <c r="JA24" s="757">
        <v>263985.58080200001</v>
      </c>
      <c r="JB24" s="757">
        <v>110277.96816200002</v>
      </c>
      <c r="JC24" s="757">
        <v>77792.689704000004</v>
      </c>
      <c r="JD24" s="757">
        <v>35496.491193000002</v>
      </c>
      <c r="JE24" s="757">
        <v>12207.078953</v>
      </c>
      <c r="JF24" s="256"/>
      <c r="JG24" s="47">
        <v>141782.51130000001</v>
      </c>
      <c r="JH24" s="47">
        <v>70316.327149999997</v>
      </c>
      <c r="JI24" s="47">
        <v>51748.663289999997</v>
      </c>
      <c r="JJ24" s="47">
        <v>25730.771949999998</v>
      </c>
      <c r="JK24" s="47">
        <v>18949.485509999999</v>
      </c>
      <c r="JL24" s="47">
        <v>9134.5703840000006</v>
      </c>
      <c r="JM24" s="47">
        <v>3181.344137</v>
      </c>
      <c r="JN24" s="1034"/>
      <c r="JO24" s="47">
        <v>26259</v>
      </c>
      <c r="JP24" s="47">
        <v>11653.49085</v>
      </c>
      <c r="JQ24" s="47">
        <v>8432.1979329999995</v>
      </c>
      <c r="JR24" s="47">
        <v>4006.0665359999998</v>
      </c>
      <c r="JS24" s="47">
        <v>2873.1148090000002</v>
      </c>
      <c r="JT24" s="47">
        <v>1339.2295999999999</v>
      </c>
      <c r="JU24" s="47">
        <v>449.95314990000003</v>
      </c>
      <c r="JV24" s="77"/>
      <c r="JW24" s="47">
        <v>59418</v>
      </c>
      <c r="JX24" s="47">
        <v>25520.109619999999</v>
      </c>
      <c r="JY24" s="47">
        <v>19786.524949999999</v>
      </c>
      <c r="JZ24" s="47">
        <v>11352.422500000001</v>
      </c>
      <c r="KA24" s="47">
        <v>8885.1242280000006</v>
      </c>
      <c r="KB24" s="47">
        <v>5033.7198259999996</v>
      </c>
      <c r="KC24" s="47">
        <v>2009.9179019999999</v>
      </c>
      <c r="KD24" s="77"/>
      <c r="KE24" s="47">
        <v>58246.999530000001</v>
      </c>
      <c r="KF24" s="47">
        <v>23450.606370000001</v>
      </c>
      <c r="KG24" s="47">
        <v>16816.516820000001</v>
      </c>
      <c r="KH24" s="47">
        <v>7873.2756369999997</v>
      </c>
      <c r="KI24" s="47">
        <v>5672.8383519999998</v>
      </c>
      <c r="KJ24" s="47">
        <v>2743.3609700000002</v>
      </c>
      <c r="KK24" s="47">
        <v>991.68550419999997</v>
      </c>
      <c r="KL24" s="77"/>
      <c r="KM24" s="47">
        <v>99240.000050000002</v>
      </c>
      <c r="KN24" s="47">
        <v>17799.363799999999</v>
      </c>
      <c r="KO24" s="47">
        <v>8384.1929089999994</v>
      </c>
      <c r="KP24" s="47">
        <v>1339.662137</v>
      </c>
      <c r="KQ24" s="47">
        <v>649.67318809999995</v>
      </c>
      <c r="KR24" s="47">
        <v>124.494164</v>
      </c>
      <c r="KS24" s="47">
        <v>9.022462698</v>
      </c>
      <c r="KT24" s="77"/>
      <c r="KU24" s="47">
        <v>92152</v>
      </c>
      <c r="KV24" s="47">
        <v>22108.609039999999</v>
      </c>
      <c r="KW24" s="47">
        <v>12445.16678</v>
      </c>
      <c r="KX24" s="47">
        <v>3494.7923099999998</v>
      </c>
      <c r="KY24" s="47">
        <v>2123.2575029999998</v>
      </c>
      <c r="KZ24" s="47">
        <v>741.24227970000004</v>
      </c>
      <c r="LA24" s="47">
        <v>205.57180539999999</v>
      </c>
      <c r="LB24" s="77"/>
      <c r="LC24" s="1034">
        <v>106392.2457</v>
      </c>
      <c r="LD24" s="1034">
        <v>6984.1612590000004</v>
      </c>
      <c r="LE24" s="1034">
        <v>4274.0759799999996</v>
      </c>
      <c r="LF24" s="1034">
        <v>1292.3715110000001</v>
      </c>
      <c r="LG24" s="1034">
        <v>656.62409090000006</v>
      </c>
      <c r="LH24" s="1034">
        <v>127.8899803</v>
      </c>
      <c r="LI24" s="1034">
        <v>16.27916819</v>
      </c>
      <c r="LJ24" s="77"/>
      <c r="LK24" s="1034">
        <v>7236</v>
      </c>
      <c r="LL24" s="1034">
        <v>4522.0748334000009</v>
      </c>
      <c r="LM24" s="1034">
        <v>3712.6592385100003</v>
      </c>
      <c r="LN24" s="1034">
        <v>2077.5236551100002</v>
      </c>
      <c r="LO24" s="1034">
        <v>1557.31682701</v>
      </c>
      <c r="LP24" s="1034">
        <v>851.01879531000009</v>
      </c>
      <c r="LQ24" s="1034">
        <v>375.50028716000003</v>
      </c>
    </row>
    <row r="25" spans="1:329" s="43" customFormat="1" ht="9.75" customHeight="1" x14ac:dyDescent="0.2">
      <c r="A25" s="48">
        <v>1977</v>
      </c>
      <c r="B25" s="47">
        <v>1173073.8995000001</v>
      </c>
      <c r="C25" s="47">
        <v>382726.34692869993</v>
      </c>
      <c r="D25" s="47">
        <v>246518.21344870003</v>
      </c>
      <c r="E25" s="47">
        <v>93475.779128699985</v>
      </c>
      <c r="F25" s="47">
        <v>61928.450685700001</v>
      </c>
      <c r="G25" s="47">
        <v>23893.750291700002</v>
      </c>
      <c r="H25" s="47">
        <v>6593.2260267000001</v>
      </c>
      <c r="I25" s="47"/>
      <c r="J25" s="47">
        <v>1798653.4867</v>
      </c>
      <c r="K25" s="47">
        <v>573336.10544700001</v>
      </c>
      <c r="L25" s="47">
        <v>387603.88048700005</v>
      </c>
      <c r="M25" s="47">
        <v>170690.910237</v>
      </c>
      <c r="N25" s="47">
        <v>123059.03563199998</v>
      </c>
      <c r="O25" s="47">
        <v>58480.979991999993</v>
      </c>
      <c r="P25" s="47">
        <v>20602.801869999999</v>
      </c>
      <c r="Q25" s="47"/>
      <c r="R25" s="47">
        <v>1985888.4867</v>
      </c>
      <c r="S25" s="47">
        <v>582678.68610799999</v>
      </c>
      <c r="T25" s="47">
        <v>393170.493288</v>
      </c>
      <c r="U25" s="47">
        <v>172394.63657800001</v>
      </c>
      <c r="V25" s="47">
        <v>123921.86880500001</v>
      </c>
      <c r="W25" s="47">
        <v>58684.509570000002</v>
      </c>
      <c r="X25" s="47">
        <v>20622.38566</v>
      </c>
      <c r="Y25" s="47"/>
      <c r="Z25" s="47">
        <v>1798652.9990000001</v>
      </c>
      <c r="AA25" s="47">
        <v>452328.64809700003</v>
      </c>
      <c r="AB25" s="47">
        <v>299434.29094700003</v>
      </c>
      <c r="AC25" s="47">
        <v>128329.824137</v>
      </c>
      <c r="AD25" s="47">
        <v>91447.604657000003</v>
      </c>
      <c r="AE25" s="47">
        <v>42492.465471000003</v>
      </c>
      <c r="AF25" s="47">
        <v>14660.696137000001</v>
      </c>
      <c r="AG25" s="47"/>
      <c r="AH25" s="47">
        <v>1197930.7834999999</v>
      </c>
      <c r="AI25" s="47">
        <v>389192.81306059996</v>
      </c>
      <c r="AJ25" s="47">
        <v>250007.55075060003</v>
      </c>
      <c r="AK25" s="47">
        <v>94476.27039060001</v>
      </c>
      <c r="AL25" s="47">
        <v>62556.381641599997</v>
      </c>
      <c r="AM25" s="47">
        <v>24131.9516406</v>
      </c>
      <c r="AN25" s="47">
        <v>6663.5358076000002</v>
      </c>
      <c r="AO25" s="47"/>
      <c r="AP25" s="47">
        <v>1203262.7675000001</v>
      </c>
      <c r="AQ25" s="47">
        <v>392332.21912119992</v>
      </c>
      <c r="AR25" s="47">
        <v>253033.96153119995</v>
      </c>
      <c r="AS25" s="47">
        <v>97168.818821199995</v>
      </c>
      <c r="AT25" s="47">
        <v>64796.051111200002</v>
      </c>
      <c r="AU25" s="47">
        <v>25315.605581200001</v>
      </c>
      <c r="AV25" s="47">
        <v>7063.5602822000001</v>
      </c>
      <c r="AW25" s="47"/>
      <c r="AX25" s="47">
        <v>1212155.7675000001</v>
      </c>
      <c r="AY25" s="47">
        <v>399462.8488412</v>
      </c>
      <c r="AZ25" s="47">
        <v>259591.65973119999</v>
      </c>
      <c r="BA25" s="47">
        <v>102182.2475712</v>
      </c>
      <c r="BB25" s="47">
        <v>68855.927936199994</v>
      </c>
      <c r="BC25" s="47">
        <v>27597.771706200001</v>
      </c>
      <c r="BD25" s="47">
        <v>7807.2374072000002</v>
      </c>
      <c r="BE25" s="47"/>
      <c r="BF25" s="44">
        <v>1208256.3444999999</v>
      </c>
      <c r="BG25" s="44">
        <v>395791.45620040002</v>
      </c>
      <c r="BH25" s="44">
        <v>256833.67324040001</v>
      </c>
      <c r="BI25" s="44">
        <v>101004.41573040001</v>
      </c>
      <c r="BJ25" s="44">
        <v>68222.8915404</v>
      </c>
      <c r="BK25" s="44">
        <v>27487.694243400001</v>
      </c>
      <c r="BL25" s="44">
        <v>7803.2370054000003</v>
      </c>
      <c r="BN25" s="44">
        <v>1208256.3444999999</v>
      </c>
      <c r="BO25" s="44">
        <v>358938.95107419993</v>
      </c>
      <c r="BP25" s="44">
        <v>232479.1679042</v>
      </c>
      <c r="BQ25" s="44">
        <v>89732.63005420001</v>
      </c>
      <c r="BR25" s="44">
        <v>60952.303209199999</v>
      </c>
      <c r="BS25" s="44">
        <v>25619.945309199997</v>
      </c>
      <c r="BT25" s="44">
        <v>7689.3377232000003</v>
      </c>
      <c r="BU25" s="44"/>
      <c r="BV25" s="47">
        <v>1214665.7194999999</v>
      </c>
      <c r="BW25" s="47">
        <v>364521.70224819996</v>
      </c>
      <c r="BX25" s="47">
        <v>237584.24178819996</v>
      </c>
      <c r="BY25" s="47">
        <v>93386.457658200001</v>
      </c>
      <c r="BZ25" s="47">
        <v>63929.037505200002</v>
      </c>
      <c r="CA25" s="47">
        <v>27440.1791782</v>
      </c>
      <c r="CB25" s="47">
        <v>8441.8398551999999</v>
      </c>
      <c r="CC25" s="44"/>
      <c r="CD25" s="47">
        <v>1301238.7194999999</v>
      </c>
      <c r="CE25" s="47">
        <v>417629.45822500007</v>
      </c>
      <c r="CF25" s="47">
        <v>283559.915515</v>
      </c>
      <c r="CG25" s="47">
        <v>125397.47407499999</v>
      </c>
      <c r="CH25" s="47">
        <v>90403.587478000001</v>
      </c>
      <c r="CI25" s="47">
        <v>42752.471816999998</v>
      </c>
      <c r="CJ25" s="47">
        <v>14811.898646</v>
      </c>
      <c r="CL25" s="47">
        <v>1369742.7194999999</v>
      </c>
      <c r="CM25" s="47">
        <v>446898.84834999999</v>
      </c>
      <c r="CN25" s="47">
        <v>305920.30350000004</v>
      </c>
      <c r="CO25" s="47">
        <v>138000.29846999998</v>
      </c>
      <c r="CP25" s="47">
        <v>100353.861425</v>
      </c>
      <c r="CQ25" s="47">
        <v>48232.264074999999</v>
      </c>
      <c r="CR25" s="47">
        <v>16909.220816000001</v>
      </c>
      <c r="CS25" s="47"/>
      <c r="CT25" s="47">
        <v>1396388.7194999999</v>
      </c>
      <c r="CU25" s="47">
        <v>460165.73771499994</v>
      </c>
      <c r="CV25" s="47">
        <v>316448.146175</v>
      </c>
      <c r="CW25" s="47">
        <v>143823.05853499999</v>
      </c>
      <c r="CX25" s="47">
        <v>104738.052964</v>
      </c>
      <c r="CY25" s="47">
        <v>50376.589292000004</v>
      </c>
      <c r="CZ25" s="47">
        <v>17708.207463999999</v>
      </c>
      <c r="DA25" s="47"/>
      <c r="DB25" s="47">
        <v>1396388.7205000001</v>
      </c>
      <c r="DC25" s="47">
        <v>468782.67907799996</v>
      </c>
      <c r="DD25" s="47">
        <v>325122.61849800003</v>
      </c>
      <c r="DE25" s="47">
        <v>150203.399378</v>
      </c>
      <c r="DF25" s="47">
        <v>110099.78573900001</v>
      </c>
      <c r="DG25" s="47">
        <v>53666.847953999997</v>
      </c>
      <c r="DH25" s="47">
        <v>19099.717428</v>
      </c>
      <c r="DI25" s="47"/>
      <c r="DJ25" s="47">
        <v>1463013.3655000001</v>
      </c>
      <c r="DK25" s="47">
        <v>493868.85178799997</v>
      </c>
      <c r="DL25" s="47">
        <v>344391.12294800009</v>
      </c>
      <c r="DM25" s="47">
        <v>160528.67208799999</v>
      </c>
      <c r="DN25" s="47">
        <v>117119.661571</v>
      </c>
      <c r="DO25" s="47">
        <v>56588.435259000005</v>
      </c>
      <c r="DP25" s="47">
        <v>20178.690192999999</v>
      </c>
      <c r="DQ25" s="47"/>
      <c r="DR25" s="47">
        <v>1506615.3654589606</v>
      </c>
      <c r="DS25" s="47">
        <v>506892.67017138738</v>
      </c>
      <c r="DT25" s="47">
        <v>351993.55473180296</v>
      </c>
      <c r="DU25" s="47">
        <v>162669.95552819141</v>
      </c>
      <c r="DV25" s="47">
        <v>118473.81669038285</v>
      </c>
      <c r="DW25" s="47">
        <v>57061.459801885998</v>
      </c>
      <c r="DX25" s="47">
        <v>20278.30326177632</v>
      </c>
      <c r="DY25" s="297"/>
      <c r="DZ25" s="47">
        <v>1567719.3656774715</v>
      </c>
      <c r="EA25" s="47">
        <v>517039.8595586624</v>
      </c>
      <c r="EB25" s="47">
        <v>356436.99027375062</v>
      </c>
      <c r="EC25" s="47">
        <v>163347.21776329749</v>
      </c>
      <c r="ED25" s="47">
        <v>118806.69855564315</v>
      </c>
      <c r="EE25" s="47">
        <v>57123.938505896978</v>
      </c>
      <c r="EF25" s="47">
        <v>20283.61228876084</v>
      </c>
      <c r="EG25" s="542"/>
      <c r="EH25" s="47">
        <v>1623232.3656774573</v>
      </c>
      <c r="EI25" s="47">
        <v>530609.6725182425</v>
      </c>
      <c r="EJ25" s="47">
        <v>363203.38467069744</v>
      </c>
      <c r="EK25" s="47">
        <v>164266.39203378939</v>
      </c>
      <c r="EL25" s="47">
        <v>119176.32727812088</v>
      </c>
      <c r="EM25" s="47">
        <v>57191.392971811249</v>
      </c>
      <c r="EN25" s="47">
        <v>20290.118220216569</v>
      </c>
      <c r="EO25" s="47"/>
      <c r="EP25" s="47">
        <v>1691545.4867</v>
      </c>
      <c r="EQ25" s="47">
        <v>547764.51927199995</v>
      </c>
      <c r="ER25" s="47">
        <v>372742.59051200002</v>
      </c>
      <c r="ES25" s="47">
        <v>166567.25993200002</v>
      </c>
      <c r="ET25" s="47">
        <v>120525.68787000001</v>
      </c>
      <c r="EU25" s="47">
        <v>57624.113823000007</v>
      </c>
      <c r="EV25" s="47">
        <v>20352.567500000001</v>
      </c>
      <c r="EW25" s="47"/>
      <c r="EX25" s="47">
        <v>1798653.4867</v>
      </c>
      <c r="EY25" s="47">
        <v>573336.10544700001</v>
      </c>
      <c r="EZ25" s="47">
        <v>387603.88048700005</v>
      </c>
      <c r="FA25" s="47">
        <v>170690.910237</v>
      </c>
      <c r="FB25" s="47">
        <v>123059.03563199998</v>
      </c>
      <c r="FC25" s="47">
        <v>58480.979991999993</v>
      </c>
      <c r="FD25" s="47">
        <v>20602.801869999999</v>
      </c>
      <c r="FE25" s="47"/>
      <c r="FF25" s="47">
        <v>1885675.4867</v>
      </c>
      <c r="FG25" s="47">
        <v>579173.54120700003</v>
      </c>
      <c r="FH25" s="47">
        <v>391304.92614699999</v>
      </c>
      <c r="FI25" s="47">
        <v>171902.25647700002</v>
      </c>
      <c r="FJ25" s="47">
        <v>123689.94513199999</v>
      </c>
      <c r="FK25" s="47">
        <v>58585.406391999997</v>
      </c>
      <c r="FL25" s="47">
        <v>20616.72539</v>
      </c>
      <c r="FN25" s="47">
        <v>1898804.4867</v>
      </c>
      <c r="FO25" s="47">
        <v>579459.88469700003</v>
      </c>
      <c r="FP25" s="47">
        <v>391367.94534699997</v>
      </c>
      <c r="FQ25" s="47">
        <v>171909.214847</v>
      </c>
      <c r="FR25" s="47">
        <v>123691.783192</v>
      </c>
      <c r="FS25" s="47">
        <v>58585.537682000002</v>
      </c>
      <c r="FT25" s="47">
        <v>20616.72539</v>
      </c>
      <c r="FV25" s="44">
        <v>1932841.4867</v>
      </c>
      <c r="FW25" s="44">
        <v>580791.28469699994</v>
      </c>
      <c r="FX25" s="44">
        <v>392033.64534699998</v>
      </c>
      <c r="FY25" s="44">
        <v>172042.35484700001</v>
      </c>
      <c r="FZ25" s="44">
        <v>123758.35319200001</v>
      </c>
      <c r="GA25" s="44">
        <v>58598.851681999993</v>
      </c>
      <c r="GB25" s="44">
        <v>20618.056789999999</v>
      </c>
      <c r="GC25" s="44"/>
      <c r="GE25" s="47">
        <v>1952695.4867</v>
      </c>
      <c r="GF25" s="47">
        <v>582678.68610799999</v>
      </c>
      <c r="GG25" s="47">
        <v>393170.493288</v>
      </c>
      <c r="GH25" s="47">
        <v>172394.63657800001</v>
      </c>
      <c r="GI25" s="47">
        <v>123921.86880500001</v>
      </c>
      <c r="GJ25" s="47">
        <v>58684.509570000002</v>
      </c>
      <c r="GK25" s="47">
        <v>20622.38566</v>
      </c>
      <c r="GM25" s="47">
        <v>1985888.4867</v>
      </c>
      <c r="GN25" s="47">
        <v>582678.68610799999</v>
      </c>
      <c r="GO25" s="47">
        <v>393170.493288</v>
      </c>
      <c r="GP25" s="47">
        <v>172394.63657800001</v>
      </c>
      <c r="GQ25" s="47">
        <v>123921.86880500001</v>
      </c>
      <c r="GR25" s="47">
        <v>58684.509570000002</v>
      </c>
      <c r="GS25" s="47">
        <v>20622.38566</v>
      </c>
      <c r="GT25" s="187"/>
      <c r="GU25" s="480">
        <v>1813919.0157999999</v>
      </c>
      <c r="GV25" s="481">
        <v>497410.01149500004</v>
      </c>
      <c r="GW25" s="481">
        <v>330650.42574500002</v>
      </c>
      <c r="GX25" s="481">
        <v>142588.98389499998</v>
      </c>
      <c r="GY25" s="481">
        <v>101916.207656</v>
      </c>
      <c r="GZ25" s="481">
        <v>48050.825624000005</v>
      </c>
      <c r="HA25" s="481">
        <v>16706.784138999999</v>
      </c>
      <c r="HB25" s="256"/>
      <c r="HC25" s="480">
        <v>1783534.0155</v>
      </c>
      <c r="HD25" s="481">
        <v>484952.22374099999</v>
      </c>
      <c r="HE25" s="481">
        <v>321246.07494100003</v>
      </c>
      <c r="HF25" s="481">
        <v>138320.48266100002</v>
      </c>
      <c r="HG25" s="481">
        <v>98961.192450999995</v>
      </c>
      <c r="HH25" s="481">
        <v>46593.050820000004</v>
      </c>
      <c r="HI25" s="481">
        <v>16216.580733000001</v>
      </c>
      <c r="HJ25" s="481"/>
      <c r="HK25" s="480">
        <v>1715030.0155</v>
      </c>
      <c r="HL25" s="481">
        <v>457497.06618700002</v>
      </c>
      <c r="HM25" s="481">
        <v>300108.07234700001</v>
      </c>
      <c r="HN25" s="481">
        <v>126176.037987</v>
      </c>
      <c r="HO25" s="481">
        <v>89318.933762000001</v>
      </c>
      <c r="HP25" s="481">
        <v>41292.617293000003</v>
      </c>
      <c r="HQ25" s="481">
        <v>14206.015946</v>
      </c>
      <c r="HR25" s="256"/>
      <c r="HS25" s="480">
        <v>1651830.0155</v>
      </c>
      <c r="HT25" s="481">
        <v>433212.24487800006</v>
      </c>
      <c r="HU25" s="481">
        <v>283386.80423800001</v>
      </c>
      <c r="HV25" s="481">
        <v>118416.001848</v>
      </c>
      <c r="HW25" s="481">
        <v>83942.437028999993</v>
      </c>
      <c r="HX25" s="481">
        <v>38807.713683000002</v>
      </c>
      <c r="HY25" s="481">
        <v>13363.216777</v>
      </c>
      <c r="HZ25" s="47"/>
      <c r="IA25" s="480">
        <v>1540977.0149999999</v>
      </c>
      <c r="IB25" s="481">
        <v>411553.05225000007</v>
      </c>
      <c r="IC25" s="481">
        <v>273091.67738999997</v>
      </c>
      <c r="ID25" s="481">
        <v>116909.10149</v>
      </c>
      <c r="IE25" s="481">
        <v>83239.060171999998</v>
      </c>
      <c r="IF25" s="481">
        <v>38707.460299999999</v>
      </c>
      <c r="IG25" s="481">
        <v>13339.483329999999</v>
      </c>
      <c r="IH25" s="47"/>
      <c r="II25" s="480">
        <v>1462648.0149999999</v>
      </c>
      <c r="IJ25" s="480">
        <v>393023.97379100003</v>
      </c>
      <c r="IK25" s="480">
        <v>262270.07433100004</v>
      </c>
      <c r="IL25" s="480">
        <v>113958.93905099999</v>
      </c>
      <c r="IM25" s="480">
        <v>81438.971888999993</v>
      </c>
      <c r="IN25" s="480">
        <v>38055.81972</v>
      </c>
      <c r="IO25" s="480">
        <v>13162.585664</v>
      </c>
      <c r="IP25" s="757"/>
      <c r="IQ25" s="757">
        <v>1474185.9990000001</v>
      </c>
      <c r="IR25" s="757">
        <v>397174.66582699999</v>
      </c>
      <c r="IS25" s="757">
        <v>265157.15954700002</v>
      </c>
      <c r="IT25" s="757">
        <v>115317.94720700002</v>
      </c>
      <c r="IU25" s="757">
        <v>82410.576803000004</v>
      </c>
      <c r="IV25" s="757">
        <v>38533.273389000002</v>
      </c>
      <c r="IW25" s="757">
        <v>13330.378951000001</v>
      </c>
      <c r="IX25" s="757"/>
      <c r="IY25" s="757">
        <v>1798652.9990000001</v>
      </c>
      <c r="IZ25" s="757">
        <v>452328.64809700003</v>
      </c>
      <c r="JA25" s="757">
        <v>299434.29094700003</v>
      </c>
      <c r="JB25" s="757">
        <v>128329.824137</v>
      </c>
      <c r="JC25" s="757">
        <v>91447.604657000003</v>
      </c>
      <c r="JD25" s="757">
        <v>42492.465471000003</v>
      </c>
      <c r="JE25" s="757">
        <v>14660.696137000001</v>
      </c>
      <c r="JF25" s="256"/>
      <c r="JG25" s="47">
        <v>162693.47080000001</v>
      </c>
      <c r="JH25" s="47">
        <v>80367.41446</v>
      </c>
      <c r="JI25" s="47">
        <v>59242.511579999999</v>
      </c>
      <c r="JJ25" s="47">
        <v>29173.570360000002</v>
      </c>
      <c r="JK25" s="47">
        <v>21351.17654</v>
      </c>
      <c r="JL25" s="47">
        <v>10385.932419999999</v>
      </c>
      <c r="JM25" s="47">
        <v>3660.7649219999998</v>
      </c>
      <c r="JN25" s="1034"/>
      <c r="JO25" s="47">
        <v>30385.000349999998</v>
      </c>
      <c r="JP25" s="47">
        <v>13195.551820000001</v>
      </c>
      <c r="JQ25" s="47">
        <v>9696.3831989999999</v>
      </c>
      <c r="JR25" s="47">
        <v>4523.6387420000001</v>
      </c>
      <c r="JS25" s="47">
        <v>3247.7624730000002</v>
      </c>
      <c r="JT25" s="47">
        <v>1527.3815790000001</v>
      </c>
      <c r="JU25" s="47">
        <v>513.40852910000001</v>
      </c>
      <c r="JV25" s="77"/>
      <c r="JW25" s="47">
        <v>68504</v>
      </c>
      <c r="JX25" s="47">
        <v>27641.692480000002</v>
      </c>
      <c r="JY25" s="47">
        <v>21055.818719999999</v>
      </c>
      <c r="JZ25" s="47">
        <v>11767.64817</v>
      </c>
      <c r="KA25" s="47">
        <v>9165.7469920000003</v>
      </c>
      <c r="KB25" s="47">
        <v>5134.382936</v>
      </c>
      <c r="KC25" s="47">
        <v>2057.295505</v>
      </c>
      <c r="KD25" s="77"/>
      <c r="KE25" s="47">
        <v>63200</v>
      </c>
      <c r="KF25" s="47">
        <v>24964.375940000002</v>
      </c>
      <c r="KG25" s="47">
        <v>17653.219499999999</v>
      </c>
      <c r="KH25" s="47">
        <v>7784.4454859999996</v>
      </c>
      <c r="KI25" s="47">
        <v>5514.3067920000003</v>
      </c>
      <c r="KJ25" s="47">
        <v>2554.8107060000002</v>
      </c>
      <c r="KK25" s="47">
        <v>885.06914080000001</v>
      </c>
      <c r="KL25" s="77"/>
      <c r="KM25" s="47">
        <v>110853.00049999999</v>
      </c>
      <c r="KN25" s="47">
        <v>19583.436369999999</v>
      </c>
      <c r="KO25" s="47">
        <v>9317.6134829999992</v>
      </c>
      <c r="KP25" s="47">
        <v>1503.83698</v>
      </c>
      <c r="KQ25" s="47">
        <v>741.81535580000002</v>
      </c>
      <c r="KR25" s="47">
        <v>149.9913876</v>
      </c>
      <c r="KS25" s="47">
        <v>15.212313869999999</v>
      </c>
      <c r="KT25" s="77"/>
      <c r="KU25" s="47">
        <v>97445</v>
      </c>
      <c r="KV25" s="47">
        <v>22439.076079999999</v>
      </c>
      <c r="KW25" s="47">
        <v>12647.471310000001</v>
      </c>
      <c r="KX25" s="47">
        <v>3558.517977</v>
      </c>
      <c r="KY25" s="47">
        <v>2177.134669</v>
      </c>
      <c r="KZ25" s="47">
        <v>779.85434169999996</v>
      </c>
      <c r="LA25" s="47">
        <v>215.97473869999999</v>
      </c>
      <c r="LB25" s="77"/>
      <c r="LC25" s="1034">
        <v>114329.50539999999</v>
      </c>
      <c r="LD25" s="1034">
        <v>7582.8118549999999</v>
      </c>
      <c r="LE25" s="1034">
        <v>4705.38994</v>
      </c>
      <c r="LF25" s="1034">
        <v>1503.085699</v>
      </c>
      <c r="LG25" s="1034">
        <v>794.35469030000002</v>
      </c>
      <c r="LH25" s="1034">
        <v>142.72284930000001</v>
      </c>
      <c r="LI25" s="1034">
        <v>18.252389659999999</v>
      </c>
      <c r="LJ25" s="77"/>
      <c r="LK25" s="1034">
        <v>9276</v>
      </c>
      <c r="LL25" s="1034">
        <v>5775.06776661</v>
      </c>
      <c r="LM25" s="1034">
        <v>4742.5666330100003</v>
      </c>
      <c r="LN25" s="1034">
        <v>2632.5065434099997</v>
      </c>
      <c r="LO25" s="1034">
        <v>1974.0918354400001</v>
      </c>
      <c r="LP25" s="1034">
        <v>1077.15936457</v>
      </c>
      <c r="LQ25" s="1034">
        <v>475.19005285999998</v>
      </c>
    </row>
    <row r="26" spans="1:329" s="43" customFormat="1" ht="9.75" customHeight="1" x14ac:dyDescent="0.2">
      <c r="A26" s="48">
        <v>1978</v>
      </c>
      <c r="B26" s="47">
        <v>1316440.8914000001</v>
      </c>
      <c r="C26" s="47">
        <v>429411.35926570004</v>
      </c>
      <c r="D26" s="47">
        <v>276908.04691569996</v>
      </c>
      <c r="E26" s="47">
        <v>105446.3880257</v>
      </c>
      <c r="F26" s="47">
        <v>70011.475673699999</v>
      </c>
      <c r="G26" s="47">
        <v>27236.7869937</v>
      </c>
      <c r="H26" s="47">
        <v>7561.8607966999998</v>
      </c>
      <c r="I26" s="47"/>
      <c r="J26" s="47">
        <v>2029937.6701</v>
      </c>
      <c r="K26" s="47">
        <v>645275.90276799991</v>
      </c>
      <c r="L26" s="47">
        <v>433814.30473799998</v>
      </c>
      <c r="M26" s="47">
        <v>190673.48276799999</v>
      </c>
      <c r="N26" s="47">
        <v>137574.961216</v>
      </c>
      <c r="O26" s="47">
        <v>65795.854642999999</v>
      </c>
      <c r="P26" s="47">
        <v>22945.224726</v>
      </c>
      <c r="Q26" s="47"/>
      <c r="R26" s="47">
        <v>2230894.6701000002</v>
      </c>
      <c r="S26" s="47">
        <v>655150.79769599997</v>
      </c>
      <c r="T26" s="47">
        <v>439729.64638600004</v>
      </c>
      <c r="U26" s="47">
        <v>192536.28780599998</v>
      </c>
      <c r="V26" s="47">
        <v>138666.07114700001</v>
      </c>
      <c r="W26" s="47">
        <v>66000.348094000001</v>
      </c>
      <c r="X26" s="47">
        <v>22980.249564000002</v>
      </c>
      <c r="Y26" s="47"/>
      <c r="Z26" s="47">
        <v>2029939.0005000001</v>
      </c>
      <c r="AA26" s="47">
        <v>518598.823095</v>
      </c>
      <c r="AB26" s="47">
        <v>343528.97926499997</v>
      </c>
      <c r="AC26" s="47">
        <v>147841.01311500001</v>
      </c>
      <c r="AD26" s="47">
        <v>105404.56465299999</v>
      </c>
      <c r="AE26" s="47">
        <v>49734.680116000003</v>
      </c>
      <c r="AF26" s="47">
        <v>17175.601127999998</v>
      </c>
      <c r="AG26" s="47"/>
      <c r="AH26" s="47">
        <v>1346200.6128</v>
      </c>
      <c r="AI26" s="47">
        <v>437314.85631300003</v>
      </c>
      <c r="AJ26" s="47">
        <v>281221.92390299996</v>
      </c>
      <c r="AK26" s="47">
        <v>106734.03232299999</v>
      </c>
      <c r="AL26" s="47">
        <v>70837.742236999999</v>
      </c>
      <c r="AM26" s="47">
        <v>27546.579211</v>
      </c>
      <c r="AN26" s="47">
        <v>7650.9663870000004</v>
      </c>
      <c r="AO26" s="47"/>
      <c r="AP26" s="47">
        <v>1352414.5888</v>
      </c>
      <c r="AQ26" s="47">
        <v>441051.55801940005</v>
      </c>
      <c r="AR26" s="47">
        <v>284923.3774694</v>
      </c>
      <c r="AS26" s="47">
        <v>110004.38130940001</v>
      </c>
      <c r="AT26" s="47">
        <v>73546.224590400001</v>
      </c>
      <c r="AU26" s="47">
        <v>28970.087908400001</v>
      </c>
      <c r="AV26" s="47">
        <v>8144.8084924000004</v>
      </c>
      <c r="AW26" s="47"/>
      <c r="AX26" s="47">
        <v>1362098.5888</v>
      </c>
      <c r="AY26" s="47">
        <v>448737.36145939998</v>
      </c>
      <c r="AZ26" s="47">
        <v>291943.69642940001</v>
      </c>
      <c r="BA26" s="47">
        <v>115297.6557094</v>
      </c>
      <c r="BB26" s="47">
        <v>77845.533230400004</v>
      </c>
      <c r="BC26" s="47">
        <v>31422.851428400001</v>
      </c>
      <c r="BD26" s="47">
        <v>8941.4143323999997</v>
      </c>
      <c r="BE26" s="47"/>
      <c r="BF26" s="44">
        <v>1357118.2694999999</v>
      </c>
      <c r="BG26" s="44">
        <v>444835.08536560001</v>
      </c>
      <c r="BH26" s="44">
        <v>289134.3002456</v>
      </c>
      <c r="BI26" s="44">
        <v>114328.02622560001</v>
      </c>
      <c r="BJ26" s="44">
        <v>77368.823285599996</v>
      </c>
      <c r="BK26" s="44">
        <v>31377.359412599999</v>
      </c>
      <c r="BL26" s="44">
        <v>8956.2600875999997</v>
      </c>
      <c r="BN26" s="44">
        <v>1357118.2694999999</v>
      </c>
      <c r="BO26" s="44">
        <v>404959.11921499996</v>
      </c>
      <c r="BP26" s="44">
        <v>261663.02251500002</v>
      </c>
      <c r="BQ26" s="44">
        <v>101419.885735</v>
      </c>
      <c r="BR26" s="44">
        <v>69357.172728999998</v>
      </c>
      <c r="BS26" s="44">
        <v>29239.218819000002</v>
      </c>
      <c r="BT26" s="44">
        <v>8749.2815250000003</v>
      </c>
      <c r="BU26" s="44"/>
      <c r="BV26" s="47">
        <v>1364150.9065</v>
      </c>
      <c r="BW26" s="47">
        <v>410908.36548520002</v>
      </c>
      <c r="BX26" s="47">
        <v>267360.26427520002</v>
      </c>
      <c r="BY26" s="47">
        <v>105591.6264452</v>
      </c>
      <c r="BZ26" s="47">
        <v>72949.987619200008</v>
      </c>
      <c r="CA26" s="47">
        <v>31475.433259199999</v>
      </c>
      <c r="CB26" s="47">
        <v>9761.1483922000007</v>
      </c>
      <c r="CC26" s="44"/>
      <c r="CD26" s="47">
        <v>1467068.9065</v>
      </c>
      <c r="CE26" s="47">
        <v>472341.38054799999</v>
      </c>
      <c r="CF26" s="47">
        <v>319797.99579800002</v>
      </c>
      <c r="CG26" s="47">
        <v>141755.447438</v>
      </c>
      <c r="CH26" s="47">
        <v>102544.99539500001</v>
      </c>
      <c r="CI26" s="47">
        <v>48862.078259000002</v>
      </c>
      <c r="CJ26" s="47">
        <v>16936.664353</v>
      </c>
      <c r="CL26" s="47">
        <v>1544920.9065</v>
      </c>
      <c r="CM26" s="47">
        <v>504697.61888000002</v>
      </c>
      <c r="CN26" s="47">
        <v>344438.87892000005</v>
      </c>
      <c r="CO26" s="47">
        <v>155468.81136999998</v>
      </c>
      <c r="CP26" s="47">
        <v>113079.09207900001</v>
      </c>
      <c r="CQ26" s="47">
        <v>54685.307302999994</v>
      </c>
      <c r="CR26" s="47">
        <v>19171.453883999999</v>
      </c>
      <c r="CS26" s="47"/>
      <c r="CT26" s="47">
        <v>1571418.9065</v>
      </c>
      <c r="CU26" s="47">
        <v>517479.67076800001</v>
      </c>
      <c r="CV26" s="47">
        <v>354408.65620800003</v>
      </c>
      <c r="CW26" s="47">
        <v>161021.15338800004</v>
      </c>
      <c r="CX26" s="47">
        <v>117237.23760000001</v>
      </c>
      <c r="CY26" s="47">
        <v>56721.601290999999</v>
      </c>
      <c r="CZ26" s="47">
        <v>19909.415761</v>
      </c>
      <c r="DA26" s="47"/>
      <c r="DB26" s="47">
        <v>1571418.9065</v>
      </c>
      <c r="DC26" s="47">
        <v>526451.47610700002</v>
      </c>
      <c r="DD26" s="47">
        <v>362649.71941700001</v>
      </c>
      <c r="DE26" s="47">
        <v>167368.87629700001</v>
      </c>
      <c r="DF26" s="47">
        <v>122514.31762999999</v>
      </c>
      <c r="DG26" s="47">
        <v>59760.699664</v>
      </c>
      <c r="DH26" s="47">
        <v>21160.163092999999</v>
      </c>
      <c r="DI26" s="47"/>
      <c r="DJ26" s="47">
        <v>1651961.8374999999</v>
      </c>
      <c r="DK26" s="47">
        <v>555729.3321740001</v>
      </c>
      <c r="DL26" s="47">
        <v>385151.64087399998</v>
      </c>
      <c r="DM26" s="47">
        <v>178915.715444</v>
      </c>
      <c r="DN26" s="47">
        <v>130688.618449</v>
      </c>
      <c r="DO26" s="47">
        <v>63539.756603000002</v>
      </c>
      <c r="DP26" s="47">
        <v>22393.827894999999</v>
      </c>
      <c r="DQ26" s="47"/>
      <c r="DR26" s="47">
        <v>1696350.8380049348</v>
      </c>
      <c r="DS26" s="47">
        <v>569127.60073119774</v>
      </c>
      <c r="DT26" s="47">
        <v>393116.05455469439</v>
      </c>
      <c r="DU26" s="47">
        <v>181294.82338336486</v>
      </c>
      <c r="DV26" s="47">
        <v>132212.60535174888</v>
      </c>
      <c r="DW26" s="47">
        <v>64117.287393950319</v>
      </c>
      <c r="DX26" s="47">
        <v>22566.898805770539</v>
      </c>
      <c r="DY26" s="297"/>
      <c r="DZ26" s="47">
        <v>1767878.8381077128</v>
      </c>
      <c r="EA26" s="47">
        <v>580894.74704338296</v>
      </c>
      <c r="EB26" s="47">
        <v>398674.97367345332</v>
      </c>
      <c r="EC26" s="47">
        <v>182132.12991201374</v>
      </c>
      <c r="ED26" s="47">
        <v>132630.67563266889</v>
      </c>
      <c r="EE26" s="47">
        <v>64176.222675788114</v>
      </c>
      <c r="EF26" s="47">
        <v>22574.465794287371</v>
      </c>
      <c r="EG26" s="542"/>
      <c r="EH26" s="47">
        <v>1833614.8381077186</v>
      </c>
      <c r="EI26" s="47">
        <v>597124.22027102706</v>
      </c>
      <c r="EJ26" s="47">
        <v>406435.44761459535</v>
      </c>
      <c r="EK26" s="47">
        <v>183141.5558912472</v>
      </c>
      <c r="EL26" s="47">
        <v>133063.57344230165</v>
      </c>
      <c r="EM26" s="47">
        <v>64255.814882351158</v>
      </c>
      <c r="EN26" s="47">
        <v>22584.562954572775</v>
      </c>
      <c r="EO26" s="47"/>
      <c r="EP26" s="47">
        <v>1909131.6701</v>
      </c>
      <c r="EQ26" s="47">
        <v>616234.39312699984</v>
      </c>
      <c r="ER26" s="47">
        <v>416900.78740700003</v>
      </c>
      <c r="ES26" s="47">
        <v>185842.789047</v>
      </c>
      <c r="ET26" s="47">
        <v>134598.928044</v>
      </c>
      <c r="EU26" s="47">
        <v>64716.001976</v>
      </c>
      <c r="EV26" s="47">
        <v>22651.617592999999</v>
      </c>
      <c r="EW26" s="47"/>
      <c r="EX26" s="47">
        <v>2029937.6701</v>
      </c>
      <c r="EY26" s="47">
        <v>645275.90276799991</v>
      </c>
      <c r="EZ26" s="47">
        <v>433814.30473799998</v>
      </c>
      <c r="FA26" s="47">
        <v>190673.48276799999</v>
      </c>
      <c r="FB26" s="47">
        <v>137574.961216</v>
      </c>
      <c r="FC26" s="47">
        <v>65795.854642999999</v>
      </c>
      <c r="FD26" s="47">
        <v>22945.224726</v>
      </c>
      <c r="FE26" s="47"/>
      <c r="FF26" s="47">
        <v>2125302.6701000002</v>
      </c>
      <c r="FG26" s="47">
        <v>651403.10401799995</v>
      </c>
      <c r="FH26" s="47">
        <v>437717.59418800002</v>
      </c>
      <c r="FI26" s="47">
        <v>191946.605518</v>
      </c>
      <c r="FJ26" s="47">
        <v>138277.80126599999</v>
      </c>
      <c r="FK26" s="47">
        <v>65910.292642999993</v>
      </c>
      <c r="FL26" s="47">
        <v>22961.436775999999</v>
      </c>
      <c r="FN26" s="47">
        <v>2134719.6701000002</v>
      </c>
      <c r="FO26" s="47">
        <v>651608.48878799996</v>
      </c>
      <c r="FP26" s="47">
        <v>437762.79578800005</v>
      </c>
      <c r="FQ26" s="47">
        <v>191951.59652799999</v>
      </c>
      <c r="FR26" s="47">
        <v>138279.11964600001</v>
      </c>
      <c r="FS26" s="47">
        <v>65910.386813000005</v>
      </c>
      <c r="FT26" s="47">
        <v>22961.436775999999</v>
      </c>
      <c r="FV26" s="44">
        <v>2169570.6701000002</v>
      </c>
      <c r="FW26" s="44">
        <v>652965.18878800003</v>
      </c>
      <c r="FX26" s="44">
        <v>438441.14578799997</v>
      </c>
      <c r="FY26" s="44">
        <v>192087.26652800001</v>
      </c>
      <c r="FZ26" s="44">
        <v>138346.954646</v>
      </c>
      <c r="GA26" s="44">
        <v>65923.953813</v>
      </c>
      <c r="GB26" s="44">
        <v>22962.793475999999</v>
      </c>
      <c r="GC26" s="44"/>
      <c r="GE26" s="47">
        <v>2192643.6701000002</v>
      </c>
      <c r="GF26" s="47">
        <v>655150.79769599997</v>
      </c>
      <c r="GG26" s="47">
        <v>439729.64638600004</v>
      </c>
      <c r="GH26" s="47">
        <v>192536.28780599998</v>
      </c>
      <c r="GI26" s="47">
        <v>138666.07114700001</v>
      </c>
      <c r="GJ26" s="47">
        <v>66000.348094000001</v>
      </c>
      <c r="GK26" s="47">
        <v>22980.249564000002</v>
      </c>
      <c r="GM26" s="47">
        <v>2230894.6701000002</v>
      </c>
      <c r="GN26" s="47">
        <v>655150.79769599997</v>
      </c>
      <c r="GO26" s="47">
        <v>439729.64638600004</v>
      </c>
      <c r="GP26" s="47">
        <v>192536.28780599998</v>
      </c>
      <c r="GQ26" s="47">
        <v>138666.07114700001</v>
      </c>
      <c r="GR26" s="47">
        <v>66000.348094000001</v>
      </c>
      <c r="GS26" s="47">
        <v>22980.249564000002</v>
      </c>
      <c r="GT26" s="187"/>
      <c r="GU26" s="480">
        <v>2033908.4657000001</v>
      </c>
      <c r="GV26" s="481">
        <v>559656.83081900002</v>
      </c>
      <c r="GW26" s="481">
        <v>370898.00435900001</v>
      </c>
      <c r="GX26" s="481">
        <v>159682.51253899999</v>
      </c>
      <c r="GY26" s="481">
        <v>114230.868844</v>
      </c>
      <c r="GZ26" s="481">
        <v>54396.439810999997</v>
      </c>
      <c r="HA26" s="481">
        <v>18981.007280999998</v>
      </c>
      <c r="HB26" s="256"/>
      <c r="HC26" s="480">
        <v>1998927.4657000001</v>
      </c>
      <c r="HD26" s="481">
        <v>545789.25923299999</v>
      </c>
      <c r="HE26" s="481">
        <v>360725.27871300001</v>
      </c>
      <c r="HF26" s="481">
        <v>154905.80305300001</v>
      </c>
      <c r="HG26" s="481">
        <v>110930.076279</v>
      </c>
      <c r="HH26" s="481">
        <v>52826.045232999997</v>
      </c>
      <c r="HI26" s="481">
        <v>18436.214332</v>
      </c>
      <c r="HJ26" s="481"/>
      <c r="HK26" s="480">
        <v>1921075.4657000001</v>
      </c>
      <c r="HL26" s="481">
        <v>515319.84239799995</v>
      </c>
      <c r="HM26" s="481">
        <v>337809.71179799992</v>
      </c>
      <c r="HN26" s="481">
        <v>142029.566678</v>
      </c>
      <c r="HO26" s="481">
        <v>100734.067513</v>
      </c>
      <c r="HP26" s="481">
        <v>47215.469784000001</v>
      </c>
      <c r="HQ26" s="481">
        <v>16265.133367</v>
      </c>
      <c r="HR26" s="256"/>
      <c r="HS26" s="480">
        <v>1857327.4653</v>
      </c>
      <c r="HT26" s="481">
        <v>491025.71563700004</v>
      </c>
      <c r="HU26" s="481">
        <v>321213.51087700005</v>
      </c>
      <c r="HV26" s="481">
        <v>134302.40543700001</v>
      </c>
      <c r="HW26" s="481">
        <v>95287.305252000006</v>
      </c>
      <c r="HX26" s="481">
        <v>44696.875752</v>
      </c>
      <c r="HY26" s="481">
        <v>15404.402069</v>
      </c>
      <c r="HZ26" s="47"/>
      <c r="IA26" s="480">
        <v>1728497.4654999999</v>
      </c>
      <c r="IB26" s="481">
        <v>465828.85926300002</v>
      </c>
      <c r="IC26" s="481">
        <v>309119.36728300003</v>
      </c>
      <c r="ID26" s="481">
        <v>132532.354983</v>
      </c>
      <c r="IE26" s="481">
        <v>94489.749771000003</v>
      </c>
      <c r="IF26" s="481">
        <v>44519.447744999998</v>
      </c>
      <c r="IG26" s="481">
        <v>15383.022996</v>
      </c>
      <c r="IH26" s="47"/>
      <c r="II26" s="480">
        <v>1640603.4654999999</v>
      </c>
      <c r="IJ26" s="480">
        <v>445116.398346</v>
      </c>
      <c r="IK26" s="480">
        <v>297143.13064600003</v>
      </c>
      <c r="IL26" s="480">
        <v>129300.221716</v>
      </c>
      <c r="IM26" s="480">
        <v>92430.316026000015</v>
      </c>
      <c r="IN26" s="480">
        <v>43814.995888999998</v>
      </c>
      <c r="IO26" s="480">
        <v>15164.852274000001</v>
      </c>
      <c r="IP26" s="757"/>
      <c r="IQ26" s="757">
        <v>1677374.0005000001</v>
      </c>
      <c r="IR26" s="757">
        <v>458064.49145700003</v>
      </c>
      <c r="IS26" s="757">
        <v>306041.250627</v>
      </c>
      <c r="IT26" s="757">
        <v>133432.63220700002</v>
      </c>
      <c r="IU26" s="757">
        <v>95389.261240000007</v>
      </c>
      <c r="IV26" s="757">
        <v>45253.080938999999</v>
      </c>
      <c r="IW26" s="757">
        <v>15660.357027</v>
      </c>
      <c r="IX26" s="757"/>
      <c r="IY26" s="757">
        <v>2029939.0005000001</v>
      </c>
      <c r="IZ26" s="757">
        <v>518598.823095</v>
      </c>
      <c r="JA26" s="757">
        <v>343528.97926499997</v>
      </c>
      <c r="JB26" s="757">
        <v>147841.01311500001</v>
      </c>
      <c r="JC26" s="757">
        <v>105404.56465299999</v>
      </c>
      <c r="JD26" s="757">
        <v>49734.680116000003</v>
      </c>
      <c r="JE26" s="757">
        <v>17175.601127999998</v>
      </c>
      <c r="JF26" s="256"/>
      <c r="JG26" s="47">
        <v>189797.20439999999</v>
      </c>
      <c r="JH26" s="47">
        <v>92168.018209999995</v>
      </c>
      <c r="JI26" s="47">
        <v>67433.317790000001</v>
      </c>
      <c r="JJ26" s="47">
        <v>32909.977400000003</v>
      </c>
      <c r="JK26" s="47">
        <v>24103.950970000002</v>
      </c>
      <c r="JL26" s="47">
        <v>11475.3244</v>
      </c>
      <c r="JM26" s="47">
        <v>3858.4236799999999</v>
      </c>
      <c r="JN26" s="1034"/>
      <c r="JO26" s="47">
        <v>34981</v>
      </c>
      <c r="JP26" s="47">
        <v>15199.436890000001</v>
      </c>
      <c r="JQ26" s="47">
        <v>10936.322179999999</v>
      </c>
      <c r="JR26" s="47">
        <v>5147.481796</v>
      </c>
      <c r="JS26" s="47">
        <v>3715.046233</v>
      </c>
      <c r="JT26" s="47">
        <v>1760.151476</v>
      </c>
      <c r="JU26" s="47">
        <v>620.65119049999998</v>
      </c>
      <c r="JV26" s="77"/>
      <c r="JW26" s="47">
        <v>77852</v>
      </c>
      <c r="JX26" s="47">
        <v>30509.44657</v>
      </c>
      <c r="JY26" s="47">
        <v>22774.088640000002</v>
      </c>
      <c r="JZ26" s="47">
        <v>12602.48612</v>
      </c>
      <c r="KA26" s="47">
        <v>9839.5533639999994</v>
      </c>
      <c r="KB26" s="47">
        <v>5480.1192000000001</v>
      </c>
      <c r="KC26" s="47">
        <v>2162.4068849999999</v>
      </c>
      <c r="KD26" s="77"/>
      <c r="KE26" s="47">
        <v>63748.000390000001</v>
      </c>
      <c r="KF26" s="47">
        <v>24397.573629999999</v>
      </c>
      <c r="KG26" s="47">
        <v>17210.937859999998</v>
      </c>
      <c r="KH26" s="47">
        <v>7664.9374710000002</v>
      </c>
      <c r="KI26" s="47">
        <v>5470.1349630000004</v>
      </c>
      <c r="KJ26" s="47">
        <v>2555.339348</v>
      </c>
      <c r="KK26" s="47">
        <v>891.07162459999995</v>
      </c>
      <c r="KL26" s="77"/>
      <c r="KM26" s="47">
        <v>128829.99980000001</v>
      </c>
      <c r="KN26" s="47">
        <v>22818.5095</v>
      </c>
      <c r="KO26" s="47">
        <v>10894.86269</v>
      </c>
      <c r="KP26" s="47">
        <v>1797.079978</v>
      </c>
      <c r="KQ26" s="47">
        <v>879.23230190000004</v>
      </c>
      <c r="KR26" s="47">
        <v>172.9904171</v>
      </c>
      <c r="KS26" s="47">
        <v>17.54920422</v>
      </c>
      <c r="KT26" s="77"/>
      <c r="KU26" s="47">
        <v>108588</v>
      </c>
      <c r="KV26" s="47">
        <v>25445.423729999999</v>
      </c>
      <c r="KW26" s="47">
        <v>14378.122450000001</v>
      </c>
      <c r="KX26" s="47">
        <v>4065.5315860000001</v>
      </c>
      <c r="KY26" s="47">
        <v>2509.194223</v>
      </c>
      <c r="KZ26" s="47">
        <v>912.85661970000001</v>
      </c>
      <c r="LA26" s="47">
        <v>265.63291240000001</v>
      </c>
      <c r="LB26" s="77"/>
      <c r="LC26" s="1034">
        <v>121168.3922</v>
      </c>
      <c r="LD26" s="1034">
        <v>8062.926606</v>
      </c>
      <c r="LE26" s="1034">
        <v>4965.741438</v>
      </c>
      <c r="LF26" s="1034">
        <v>1579.9755580000001</v>
      </c>
      <c r="LG26" s="1034">
        <v>878.78179669999997</v>
      </c>
      <c r="LH26" s="1034">
        <v>158.2275176</v>
      </c>
      <c r="LI26" s="1034">
        <v>21.177798559999999</v>
      </c>
      <c r="LJ26" s="77"/>
      <c r="LK26" s="1034">
        <v>7189</v>
      </c>
      <c r="LL26" s="1034">
        <v>4461.6094127300003</v>
      </c>
      <c r="LM26" s="1034">
        <v>3662.7591102199995</v>
      </c>
      <c r="LN26" s="1034">
        <v>2038.3940614200001</v>
      </c>
      <c r="LO26" s="1034">
        <v>1526.1461498399999</v>
      </c>
      <c r="LP26" s="1034">
        <v>824.30592947000002</v>
      </c>
      <c r="LQ26" s="1034">
        <v>359.57961790000002</v>
      </c>
    </row>
    <row r="27" spans="1:329" s="43" customFormat="1" ht="9.75" customHeight="1" x14ac:dyDescent="0.2">
      <c r="A27" s="48">
        <v>1979</v>
      </c>
      <c r="B27" s="47">
        <v>1475283.6654000001</v>
      </c>
      <c r="C27" s="47">
        <v>479917.60072429996</v>
      </c>
      <c r="D27" s="47">
        <v>309885.31052429997</v>
      </c>
      <c r="E27" s="47">
        <v>119300.55057430001</v>
      </c>
      <c r="F27" s="47">
        <v>79609.745568300001</v>
      </c>
      <c r="G27" s="47">
        <v>31647.474012300001</v>
      </c>
      <c r="H27" s="47">
        <v>8975.3784613000007</v>
      </c>
      <c r="I27" s="47"/>
      <c r="J27" s="47">
        <v>2248152.8843</v>
      </c>
      <c r="K27" s="47">
        <v>715651.42932700005</v>
      </c>
      <c r="L27" s="47">
        <v>483373.72277699999</v>
      </c>
      <c r="M27" s="47">
        <v>213349.67902699998</v>
      </c>
      <c r="N27" s="47">
        <v>154637.82204900001</v>
      </c>
      <c r="O27" s="47">
        <v>75201.931634000008</v>
      </c>
      <c r="P27" s="47">
        <v>27116.566199000001</v>
      </c>
      <c r="Q27" s="47"/>
      <c r="R27" s="47">
        <v>2472767.8843</v>
      </c>
      <c r="S27" s="47">
        <v>725703.59922400012</v>
      </c>
      <c r="T27" s="47">
        <v>489201.4304239999</v>
      </c>
      <c r="U27" s="47">
        <v>214892.36689399998</v>
      </c>
      <c r="V27" s="47">
        <v>155434.82290399997</v>
      </c>
      <c r="W27" s="47">
        <v>75332.852283999993</v>
      </c>
      <c r="X27" s="47">
        <v>27136.427965999999</v>
      </c>
      <c r="Y27" s="47"/>
      <c r="Z27" s="47">
        <v>2248153.0013000001</v>
      </c>
      <c r="AA27" s="47">
        <v>570731.12181199994</v>
      </c>
      <c r="AB27" s="47">
        <v>379242.79244200001</v>
      </c>
      <c r="AC27" s="47">
        <v>162181.323672</v>
      </c>
      <c r="AD27" s="47">
        <v>115816.76423</v>
      </c>
      <c r="AE27" s="47">
        <v>54941.845950000003</v>
      </c>
      <c r="AF27" s="47">
        <v>19302.073248000001</v>
      </c>
      <c r="AG27" s="188"/>
      <c r="AH27" s="47">
        <v>1506561.9208</v>
      </c>
      <c r="AI27" s="47">
        <v>488971.1289822</v>
      </c>
      <c r="AJ27" s="47">
        <v>314471.44349219999</v>
      </c>
      <c r="AK27" s="47">
        <v>120420.4302022</v>
      </c>
      <c r="AL27" s="47">
        <v>80353.951213200009</v>
      </c>
      <c r="AM27" s="47">
        <v>31969.840132199999</v>
      </c>
      <c r="AN27" s="47">
        <v>9086.3094922</v>
      </c>
      <c r="AO27" s="188"/>
      <c r="AP27" s="47">
        <v>1514403.8300999999</v>
      </c>
      <c r="AQ27" s="47">
        <v>493949.02225010004</v>
      </c>
      <c r="AR27" s="47">
        <v>319282.75313010003</v>
      </c>
      <c r="AS27" s="47">
        <v>124665.40747009999</v>
      </c>
      <c r="AT27" s="47">
        <v>83891.906972099998</v>
      </c>
      <c r="AU27" s="47">
        <v>33863.555179100003</v>
      </c>
      <c r="AV27" s="47">
        <v>9718.6961470999995</v>
      </c>
      <c r="AW27" s="47"/>
      <c r="AX27" s="47">
        <v>1525609.8300999999</v>
      </c>
      <c r="AY27" s="47">
        <v>502751.27922000003</v>
      </c>
      <c r="AZ27" s="47">
        <v>327266.80401000002</v>
      </c>
      <c r="BA27" s="47">
        <v>130598.42417</v>
      </c>
      <c r="BB27" s="47">
        <v>88726.119341999991</v>
      </c>
      <c r="BC27" s="47">
        <v>36664.326788999999</v>
      </c>
      <c r="BD27" s="47">
        <v>10625.205517</v>
      </c>
      <c r="BE27" s="47"/>
      <c r="BF27" s="44">
        <v>1519824.1628</v>
      </c>
      <c r="BG27" s="44">
        <v>497895.9080249999</v>
      </c>
      <c r="BH27" s="44">
        <v>323856.74170499993</v>
      </c>
      <c r="BI27" s="44">
        <v>129426.61936499999</v>
      </c>
      <c r="BJ27" s="44">
        <v>88185.684029999989</v>
      </c>
      <c r="BK27" s="44">
        <v>36629.588883999997</v>
      </c>
      <c r="BL27" s="44">
        <v>10674.126045000001</v>
      </c>
      <c r="BN27" s="44">
        <v>1519824.1628</v>
      </c>
      <c r="BO27" s="44">
        <v>454008.66320700001</v>
      </c>
      <c r="BP27" s="44">
        <v>295479.61960699997</v>
      </c>
      <c r="BQ27" s="44">
        <v>115618.39651699999</v>
      </c>
      <c r="BR27" s="44">
        <v>79403.456077999988</v>
      </c>
      <c r="BS27" s="44">
        <v>34298.898482000004</v>
      </c>
      <c r="BT27" s="44">
        <v>10494.572259</v>
      </c>
      <c r="BU27" s="44"/>
      <c r="BV27" s="47">
        <v>1527480.0608000001</v>
      </c>
      <c r="BW27" s="47">
        <v>460441.99578399997</v>
      </c>
      <c r="BX27" s="47">
        <v>301348.65343400004</v>
      </c>
      <c r="BY27" s="47">
        <v>120224.55922399998</v>
      </c>
      <c r="BZ27" s="47">
        <v>83198.138664999991</v>
      </c>
      <c r="CA27" s="47">
        <v>36449.131751000001</v>
      </c>
      <c r="CB27" s="47">
        <v>11433.406944</v>
      </c>
      <c r="CC27" s="44"/>
      <c r="CD27" s="47">
        <v>1628924.0608000001</v>
      </c>
      <c r="CE27" s="47">
        <v>522148.22573100001</v>
      </c>
      <c r="CF27" s="47">
        <v>355348.49611100001</v>
      </c>
      <c r="CG27" s="47">
        <v>157898.98749099998</v>
      </c>
      <c r="CH27" s="47">
        <v>114375.92151100001</v>
      </c>
      <c r="CI27" s="47">
        <v>55182.018677999993</v>
      </c>
      <c r="CJ27" s="47">
        <v>19495.530976999999</v>
      </c>
      <c r="CL27" s="47">
        <v>1709661.0608000001</v>
      </c>
      <c r="CM27" s="47">
        <v>556346.99002200004</v>
      </c>
      <c r="CN27" s="47">
        <v>381466.32384200004</v>
      </c>
      <c r="CO27" s="47">
        <v>172908.62448200001</v>
      </c>
      <c r="CP27" s="47">
        <v>126283.53970000001</v>
      </c>
      <c r="CQ27" s="47">
        <v>61792.723256999998</v>
      </c>
      <c r="CR27" s="47">
        <v>22131.586337000001</v>
      </c>
      <c r="CS27" s="47"/>
      <c r="CT27" s="47">
        <v>1736045.0608000001</v>
      </c>
      <c r="CU27" s="47">
        <v>569197.85090399999</v>
      </c>
      <c r="CV27" s="47">
        <v>391649.07565400004</v>
      </c>
      <c r="CW27" s="47">
        <v>178593.80354399999</v>
      </c>
      <c r="CX27" s="47">
        <v>130571.13681299999</v>
      </c>
      <c r="CY27" s="47">
        <v>64010.312961999996</v>
      </c>
      <c r="CZ27" s="47">
        <v>22977.029288999998</v>
      </c>
      <c r="DA27" s="47"/>
      <c r="DB27" s="47">
        <v>1736045.0608000001</v>
      </c>
      <c r="DC27" s="47">
        <v>582450.52188599994</v>
      </c>
      <c r="DD27" s="47">
        <v>404034.19771600002</v>
      </c>
      <c r="DE27" s="47">
        <v>188161.83659600001</v>
      </c>
      <c r="DF27" s="47">
        <v>138572.34255999999</v>
      </c>
      <c r="DG27" s="47">
        <v>68858.828334999998</v>
      </c>
      <c r="DH27" s="47">
        <v>25200.138143</v>
      </c>
      <c r="DI27" s="47"/>
      <c r="DJ27" s="47">
        <v>1818620.1987999999</v>
      </c>
      <c r="DK27" s="47">
        <v>614703.15242599999</v>
      </c>
      <c r="DL27" s="47">
        <v>428549.34033600002</v>
      </c>
      <c r="DM27" s="47">
        <v>200141.66708600003</v>
      </c>
      <c r="DN27" s="47">
        <v>146848.64687299999</v>
      </c>
      <c r="DO27" s="47">
        <v>72698.902308999997</v>
      </c>
      <c r="DP27" s="47">
        <v>26522.015810000001</v>
      </c>
      <c r="DQ27" s="47"/>
      <c r="DR27" s="47">
        <v>1862366.1989124445</v>
      </c>
      <c r="DS27" s="47">
        <v>627531.99388696067</v>
      </c>
      <c r="DT27" s="47">
        <v>435775.35350966867</v>
      </c>
      <c r="DU27" s="47">
        <v>202193.79797948335</v>
      </c>
      <c r="DV27" s="47">
        <v>148146.18773290483</v>
      </c>
      <c r="DW27" s="47">
        <v>73124.639460983075</v>
      </c>
      <c r="DX27" s="47">
        <v>26623.35970916595</v>
      </c>
      <c r="DY27" s="297"/>
      <c r="DZ27" s="47">
        <v>1944953.1992819095</v>
      </c>
      <c r="EA27" s="47">
        <v>641914.17149975942</v>
      </c>
      <c r="EB27" s="47">
        <v>442219.53296186676</v>
      </c>
      <c r="EC27" s="47">
        <v>203154.7482993725</v>
      </c>
      <c r="ED27" s="47">
        <v>148619.27644396576</v>
      </c>
      <c r="EE27" s="47">
        <v>73217.651232309407</v>
      </c>
      <c r="EF27" s="47">
        <v>26626.962906610304</v>
      </c>
      <c r="EG27" s="542"/>
      <c r="EH27" s="47">
        <v>2019934.1992819214</v>
      </c>
      <c r="EI27" s="47">
        <v>660708.72096047713</v>
      </c>
      <c r="EJ27" s="47">
        <v>451260.71724111313</v>
      </c>
      <c r="EK27" s="47">
        <v>204397.98725849559</v>
      </c>
      <c r="EL27" s="47">
        <v>149201.91242320297</v>
      </c>
      <c r="EM27" s="47">
        <v>73332.940743187923</v>
      </c>
      <c r="EN27" s="47">
        <v>26655.046036972224</v>
      </c>
      <c r="EO27" s="47"/>
      <c r="EP27" s="47">
        <v>2112728.8843</v>
      </c>
      <c r="EQ27" s="47">
        <v>683532.64368600002</v>
      </c>
      <c r="ER27" s="47">
        <v>464499.88853600004</v>
      </c>
      <c r="ES27" s="47">
        <v>207917.41394599999</v>
      </c>
      <c r="ET27" s="47">
        <v>151212.33962400001</v>
      </c>
      <c r="EU27" s="47">
        <v>73961.328638000006</v>
      </c>
      <c r="EV27" s="47">
        <v>26778.134774999999</v>
      </c>
      <c r="EW27" s="47"/>
      <c r="EX27" s="47">
        <v>2248152.8843</v>
      </c>
      <c r="EY27" s="47">
        <v>715651.42932700005</v>
      </c>
      <c r="EZ27" s="47">
        <v>483373.72277699999</v>
      </c>
      <c r="FA27" s="47">
        <v>213349.67902699998</v>
      </c>
      <c r="FB27" s="47">
        <v>154637.82204900001</v>
      </c>
      <c r="FC27" s="47">
        <v>75201.931634000008</v>
      </c>
      <c r="FD27" s="47">
        <v>27116.566199000001</v>
      </c>
      <c r="FE27" s="47"/>
      <c r="FF27" s="47">
        <v>2355046.8843</v>
      </c>
      <c r="FG27" s="47">
        <v>722270.30580699991</v>
      </c>
      <c r="FH27" s="47">
        <v>487689.03355700005</v>
      </c>
      <c r="FI27" s="47">
        <v>214706.163887</v>
      </c>
      <c r="FJ27" s="47">
        <v>155358.28760900002</v>
      </c>
      <c r="FK27" s="47">
        <v>75321.652914000006</v>
      </c>
      <c r="FL27" s="47">
        <v>27133.669238999999</v>
      </c>
      <c r="FN27" s="47">
        <v>2364738.8843</v>
      </c>
      <c r="FO27" s="47">
        <v>722481.68832699978</v>
      </c>
      <c r="FP27" s="47">
        <v>487735.55515700002</v>
      </c>
      <c r="FQ27" s="47">
        <v>214711.30064700003</v>
      </c>
      <c r="FR27" s="47">
        <v>155359.644489</v>
      </c>
      <c r="FS27" s="47">
        <v>75321.749834000002</v>
      </c>
      <c r="FT27" s="47">
        <v>27133.669238999999</v>
      </c>
      <c r="FV27" s="44">
        <v>2401344.8843</v>
      </c>
      <c r="FW27" s="44">
        <v>723894.38832700008</v>
      </c>
      <c r="FX27" s="44">
        <v>488441.905157</v>
      </c>
      <c r="FY27" s="44">
        <v>214852.57064699999</v>
      </c>
      <c r="FZ27" s="44">
        <v>155430.27948900001</v>
      </c>
      <c r="GA27" s="44">
        <v>75335.876833999995</v>
      </c>
      <c r="GB27" s="44">
        <v>27135.081939</v>
      </c>
      <c r="GC27" s="44"/>
      <c r="GE27" s="47">
        <v>2428561.8843</v>
      </c>
      <c r="GF27" s="47">
        <v>725703.59922400012</v>
      </c>
      <c r="GG27" s="47">
        <v>489201.4304239999</v>
      </c>
      <c r="GH27" s="47">
        <v>214892.36689399998</v>
      </c>
      <c r="GI27" s="47">
        <v>155434.82290399997</v>
      </c>
      <c r="GJ27" s="47">
        <v>75332.852283999993</v>
      </c>
      <c r="GK27" s="47">
        <v>27136.427965999999</v>
      </c>
      <c r="GM27" s="47">
        <v>2472767.8843</v>
      </c>
      <c r="GN27" s="47">
        <v>725703.59922400012</v>
      </c>
      <c r="GO27" s="47">
        <v>489201.4304239999</v>
      </c>
      <c r="GP27" s="47">
        <v>214892.36689399998</v>
      </c>
      <c r="GQ27" s="47">
        <v>155434.82290399997</v>
      </c>
      <c r="GR27" s="47">
        <v>75332.852283999993</v>
      </c>
      <c r="GS27" s="47">
        <v>27136.427965999999</v>
      </c>
      <c r="GT27" s="187"/>
      <c r="GU27" s="480">
        <v>2239986.4896999998</v>
      </c>
      <c r="GV27" s="481">
        <v>611283.72380499996</v>
      </c>
      <c r="GW27" s="481">
        <v>405033.42718499998</v>
      </c>
      <c r="GX27" s="481">
        <v>173289.61060499999</v>
      </c>
      <c r="GY27" s="481">
        <v>124251.212917</v>
      </c>
      <c r="GZ27" s="481">
        <v>59462.032533000005</v>
      </c>
      <c r="HA27" s="481">
        <v>21149.983527</v>
      </c>
      <c r="HB27" s="256"/>
      <c r="HC27" s="480">
        <v>2201772.4901000001</v>
      </c>
      <c r="HD27" s="481">
        <v>595350.67342100001</v>
      </c>
      <c r="HE27" s="481">
        <v>393435.849751</v>
      </c>
      <c r="HF27" s="481">
        <v>167979.94488100003</v>
      </c>
      <c r="HG27" s="481">
        <v>120284.28193700001</v>
      </c>
      <c r="HH27" s="481">
        <v>57510.969417</v>
      </c>
      <c r="HI27" s="481">
        <v>20432.728735000001</v>
      </c>
      <c r="HJ27" s="481"/>
      <c r="HK27" s="480">
        <v>2121035.4901000001</v>
      </c>
      <c r="HL27" s="481">
        <v>563414.82280099997</v>
      </c>
      <c r="HM27" s="481">
        <v>369246.97966100002</v>
      </c>
      <c r="HN27" s="481">
        <v>154093.42081100002</v>
      </c>
      <c r="HO27" s="481">
        <v>109276.97196</v>
      </c>
      <c r="HP27" s="481">
        <v>51367.556462000008</v>
      </c>
      <c r="HQ27" s="481">
        <v>17941.040786000001</v>
      </c>
      <c r="HR27" s="256"/>
      <c r="HS27" s="480">
        <v>2056632.49</v>
      </c>
      <c r="HT27" s="481">
        <v>539485.6195599999</v>
      </c>
      <c r="HU27" s="481">
        <v>352688.85025000002</v>
      </c>
      <c r="HV27" s="481">
        <v>146431.28967999999</v>
      </c>
      <c r="HW27" s="481">
        <v>103797.24708100001</v>
      </c>
      <c r="HX27" s="481">
        <v>48875.730928000004</v>
      </c>
      <c r="HY27" s="481">
        <v>17068.639512000002</v>
      </c>
      <c r="HZ27" s="47"/>
      <c r="IA27" s="480">
        <v>1906651.4902999999</v>
      </c>
      <c r="IB27" s="481">
        <v>508549.24645700003</v>
      </c>
      <c r="IC27" s="481">
        <v>338197.851807</v>
      </c>
      <c r="ID27" s="481">
        <v>144091.19950700001</v>
      </c>
      <c r="IE27" s="481">
        <v>102728.292491</v>
      </c>
      <c r="IF27" s="481">
        <v>48659.741977999998</v>
      </c>
      <c r="IG27" s="481">
        <v>17047.128696</v>
      </c>
      <c r="IH27" s="47"/>
      <c r="II27" s="480">
        <v>1810533.4902999999</v>
      </c>
      <c r="IJ27" s="480">
        <v>486040.34102300007</v>
      </c>
      <c r="IK27" s="480">
        <v>325281.53290300001</v>
      </c>
      <c r="IL27" s="480">
        <v>140461.243113</v>
      </c>
      <c r="IM27" s="480">
        <v>100550.233708</v>
      </c>
      <c r="IN27" s="480">
        <v>47833.536780000002</v>
      </c>
      <c r="IO27" s="480">
        <v>16813.009815000001</v>
      </c>
      <c r="IP27" s="757"/>
      <c r="IQ27" s="757">
        <v>1862296.0012999999</v>
      </c>
      <c r="IR27" s="757">
        <v>504502.52856999991</v>
      </c>
      <c r="IS27" s="757">
        <v>338085.78058999998</v>
      </c>
      <c r="IT27" s="757">
        <v>146534.51315000001</v>
      </c>
      <c r="IU27" s="757">
        <v>104989.747267</v>
      </c>
      <c r="IV27" s="757">
        <v>50049.670119999995</v>
      </c>
      <c r="IW27" s="757">
        <v>17628.032256999999</v>
      </c>
      <c r="IX27" s="757"/>
      <c r="IY27" s="757">
        <v>2248153.0013000001</v>
      </c>
      <c r="IZ27" s="757">
        <v>570731.12181199994</v>
      </c>
      <c r="JA27" s="757">
        <v>379242.79244200001</v>
      </c>
      <c r="JB27" s="757">
        <v>162181.323672</v>
      </c>
      <c r="JC27" s="757">
        <v>115816.76423</v>
      </c>
      <c r="JD27" s="757">
        <v>54941.845950000003</v>
      </c>
      <c r="JE27" s="757">
        <v>19302.073248000001</v>
      </c>
      <c r="JF27" s="256"/>
      <c r="JG27" s="47">
        <v>225240.39449999999</v>
      </c>
      <c r="JH27" s="47">
        <v>110650.4228</v>
      </c>
      <c r="JI27" s="47">
        <v>81823.365149999998</v>
      </c>
      <c r="JJ27" s="47">
        <v>41584.043100000003</v>
      </c>
      <c r="JK27" s="47">
        <v>30997.539359999999</v>
      </c>
      <c r="JL27" s="47">
        <v>15724.43607</v>
      </c>
      <c r="JM27" s="47">
        <v>5935.4722949999996</v>
      </c>
      <c r="JN27" s="1034"/>
      <c r="JO27" s="47">
        <v>38213.999649999998</v>
      </c>
      <c r="JP27" s="47">
        <v>16851.60039</v>
      </c>
      <c r="JQ27" s="47">
        <v>12243.36455</v>
      </c>
      <c r="JR27" s="47">
        <v>5734.5074439999999</v>
      </c>
      <c r="JS27" s="47">
        <v>4162.5666069999997</v>
      </c>
      <c r="JT27" s="47">
        <v>2061.9232780000002</v>
      </c>
      <c r="JU27" s="47">
        <v>785.7553451</v>
      </c>
      <c r="JV27" s="77"/>
      <c r="JW27" s="47">
        <v>80737</v>
      </c>
      <c r="JX27" s="47">
        <v>31875.18435</v>
      </c>
      <c r="JY27" s="47">
        <v>24199.06842</v>
      </c>
      <c r="JZ27" s="47">
        <v>13693.8716</v>
      </c>
      <c r="KA27" s="47">
        <v>10784.61601</v>
      </c>
      <c r="KB27" s="47">
        <v>6167.1414400000003</v>
      </c>
      <c r="KC27" s="47">
        <v>2550.7730430000001</v>
      </c>
      <c r="KD27" s="77"/>
      <c r="KE27" s="47">
        <v>64403.000119999997</v>
      </c>
      <c r="KF27" s="47">
        <v>24698.129679999998</v>
      </c>
      <c r="KG27" s="47">
        <v>17428.24639</v>
      </c>
      <c r="KH27" s="47">
        <v>7728.8565339999996</v>
      </c>
      <c r="KI27" s="47">
        <v>5518.4521800000002</v>
      </c>
      <c r="KJ27" s="47">
        <v>2611.2371360000002</v>
      </c>
      <c r="KK27" s="47">
        <v>936.65719890000003</v>
      </c>
      <c r="KL27" s="77"/>
      <c r="KM27" s="47">
        <v>149980.99960000001</v>
      </c>
      <c r="KN27" s="47">
        <v>27874.149789999999</v>
      </c>
      <c r="KO27" s="47">
        <v>13435.741099999999</v>
      </c>
      <c r="KP27" s="47">
        <v>2262.9650419999998</v>
      </c>
      <c r="KQ27" s="47">
        <v>1106.7498410000001</v>
      </c>
      <c r="KR27" s="47">
        <v>220.84514920000001</v>
      </c>
      <c r="KS27" s="47">
        <v>22.548134300000001</v>
      </c>
      <c r="KT27" s="77"/>
      <c r="KU27" s="47">
        <v>119919</v>
      </c>
      <c r="KV27" s="47">
        <v>27609.711569999999</v>
      </c>
      <c r="KW27" s="47">
        <v>15652.437400000001</v>
      </c>
      <c r="KX27" s="47">
        <v>4494.4767680000004</v>
      </c>
      <c r="KY27" s="47">
        <v>2767.3495929999999</v>
      </c>
      <c r="KZ27" s="47">
        <v>1014.356778</v>
      </c>
      <c r="LA27" s="47">
        <v>288.09108079999999</v>
      </c>
      <c r="LB27" s="77"/>
      <c r="LC27" s="1034">
        <v>137803.54130000001</v>
      </c>
      <c r="LD27" s="1034">
        <v>8335.6720399999995</v>
      </c>
      <c r="LE27" s="1034">
        <v>4942.6058190000003</v>
      </c>
      <c r="LF27" s="1034">
        <v>1432.403227</v>
      </c>
      <c r="LG27" s="1034">
        <v>756.69442530000003</v>
      </c>
      <c r="LH27" s="1034">
        <v>126.2919856</v>
      </c>
      <c r="LI27" s="1034">
        <v>17.669596739999999</v>
      </c>
      <c r="LJ27" s="77"/>
      <c r="LK27" s="1034">
        <v>7541</v>
      </c>
      <c r="LL27" s="1034">
        <v>4685.2998239099998</v>
      </c>
      <c r="LM27" s="1034">
        <v>3857.6285933499998</v>
      </c>
      <c r="LN27" s="1034">
        <v>2192.75022795</v>
      </c>
      <c r="LO27" s="1034">
        <v>1644.86089141</v>
      </c>
      <c r="LP27" s="1034">
        <v>893.59080756999992</v>
      </c>
      <c r="LQ27" s="1034">
        <v>406.52424366999998</v>
      </c>
    </row>
    <row r="28" spans="1:329" s="43" customFormat="1" ht="9.75" customHeight="1" x14ac:dyDescent="0.2">
      <c r="A28" s="48">
        <v>1980</v>
      </c>
      <c r="B28" s="47">
        <v>1629465.8662</v>
      </c>
      <c r="C28" s="47">
        <v>538544.81194699986</v>
      </c>
      <c r="D28" s="47">
        <v>347818.95222699997</v>
      </c>
      <c r="E28" s="47">
        <v>134003.19705700001</v>
      </c>
      <c r="F28" s="47">
        <v>89785.605825000006</v>
      </c>
      <c r="G28" s="47">
        <v>36033.094949999999</v>
      </c>
      <c r="H28" s="47">
        <v>10485.416107999999</v>
      </c>
      <c r="I28" s="47"/>
      <c r="J28" s="47">
        <v>2426754.0954999998</v>
      </c>
      <c r="K28" s="47">
        <v>776197.69566700002</v>
      </c>
      <c r="L28" s="47">
        <v>520992.19027700007</v>
      </c>
      <c r="M28" s="47">
        <v>224753.00480699996</v>
      </c>
      <c r="N28" s="47">
        <v>161321.68895699998</v>
      </c>
      <c r="O28" s="47">
        <v>76694.715708999996</v>
      </c>
      <c r="P28" s="47">
        <v>27001.944244999999</v>
      </c>
      <c r="Q28" s="47"/>
      <c r="R28" s="47">
        <v>2695241.0954999998</v>
      </c>
      <c r="S28" s="47">
        <v>787316.59105099994</v>
      </c>
      <c r="T28" s="47">
        <v>527560.42203100002</v>
      </c>
      <c r="U28" s="47">
        <v>226529.595761</v>
      </c>
      <c r="V28" s="47">
        <v>162227.43618199998</v>
      </c>
      <c r="W28" s="47">
        <v>76880.992117999995</v>
      </c>
      <c r="X28" s="47">
        <v>27024.632852999999</v>
      </c>
      <c r="Y28" s="47"/>
      <c r="Z28" s="47">
        <v>2426752</v>
      </c>
      <c r="AA28" s="47">
        <v>603488.80173099996</v>
      </c>
      <c r="AB28" s="47">
        <v>396774.72072099999</v>
      </c>
      <c r="AC28" s="47">
        <v>164315.00851099999</v>
      </c>
      <c r="AD28" s="47">
        <v>116072.183586</v>
      </c>
      <c r="AE28" s="47">
        <v>53752.083320000005</v>
      </c>
      <c r="AF28" s="47">
        <v>18480.746395999999</v>
      </c>
      <c r="AG28" s="47"/>
      <c r="AH28" s="47">
        <v>1659759.4361</v>
      </c>
      <c r="AI28" s="47">
        <v>546335.37119399989</v>
      </c>
      <c r="AJ28" s="47">
        <v>351508.57209400006</v>
      </c>
      <c r="AK28" s="47">
        <v>134763.825194</v>
      </c>
      <c r="AL28" s="47">
        <v>90327.207452000002</v>
      </c>
      <c r="AM28" s="47">
        <v>36337.647081000003</v>
      </c>
      <c r="AN28" s="47">
        <v>10590.190844000001</v>
      </c>
      <c r="AO28" s="47"/>
      <c r="AP28" s="47">
        <v>1670455.4202000001</v>
      </c>
      <c r="AQ28" s="47">
        <v>552849.44177000003</v>
      </c>
      <c r="AR28" s="47">
        <v>357799.30771999998</v>
      </c>
      <c r="AS28" s="47">
        <v>140463.58819000001</v>
      </c>
      <c r="AT28" s="47">
        <v>95120.680319999999</v>
      </c>
      <c r="AU28" s="47">
        <v>38941.668292999995</v>
      </c>
      <c r="AV28" s="47">
        <v>11522.089848</v>
      </c>
      <c r="AW28" s="47"/>
      <c r="AX28" s="47">
        <v>1683038.4202000001</v>
      </c>
      <c r="AY28" s="47">
        <v>562630.58516000002</v>
      </c>
      <c r="AZ28" s="47">
        <v>366607.65938000003</v>
      </c>
      <c r="BA28" s="47">
        <v>146909.85909000001</v>
      </c>
      <c r="BB28" s="47">
        <v>100390.81821</v>
      </c>
      <c r="BC28" s="47">
        <v>42044.510263000004</v>
      </c>
      <c r="BD28" s="47">
        <v>12522.815838</v>
      </c>
      <c r="BE28" s="47"/>
      <c r="BF28" s="44">
        <v>1678412.4558000001</v>
      </c>
      <c r="BG28" s="44">
        <v>558044.45819599996</v>
      </c>
      <c r="BH28" s="44">
        <v>363527.30395600002</v>
      </c>
      <c r="BI28" s="44">
        <v>146051.78644599998</v>
      </c>
      <c r="BJ28" s="44">
        <v>100153.08120099999</v>
      </c>
      <c r="BK28" s="44">
        <v>42203.109148999996</v>
      </c>
      <c r="BL28" s="44">
        <v>12651.333232000001</v>
      </c>
      <c r="BN28" s="44">
        <v>1678412.4558000001</v>
      </c>
      <c r="BO28" s="44">
        <v>513685.16706900002</v>
      </c>
      <c r="BP28" s="44">
        <v>335826.32709899999</v>
      </c>
      <c r="BQ28" s="44">
        <v>131929.51660899998</v>
      </c>
      <c r="BR28" s="44">
        <v>90820.646833000006</v>
      </c>
      <c r="BS28" s="44">
        <v>39618.96819</v>
      </c>
      <c r="BT28" s="44">
        <v>12420.641228</v>
      </c>
      <c r="BU28" s="44"/>
      <c r="BV28" s="47">
        <v>1686691.6148000001</v>
      </c>
      <c r="BW28" s="47">
        <v>520695.84820900002</v>
      </c>
      <c r="BX28" s="47">
        <v>342434.58238899999</v>
      </c>
      <c r="BY28" s="47">
        <v>136792.31992899999</v>
      </c>
      <c r="BZ28" s="47">
        <v>94831.219227000009</v>
      </c>
      <c r="CA28" s="47">
        <v>42027.175108999996</v>
      </c>
      <c r="CB28" s="47">
        <v>13428.567716</v>
      </c>
      <c r="CC28" s="44"/>
      <c r="CD28" s="47">
        <v>1758991.6148000001</v>
      </c>
      <c r="CE28" s="47">
        <v>565053.74164499994</v>
      </c>
      <c r="CF28" s="47">
        <v>380199.02963499998</v>
      </c>
      <c r="CG28" s="47">
        <v>163272.90632500002</v>
      </c>
      <c r="CH28" s="47">
        <v>116413.188562</v>
      </c>
      <c r="CI28" s="47">
        <v>54523.903191999998</v>
      </c>
      <c r="CJ28" s="47">
        <v>18603.878574999999</v>
      </c>
      <c r="CL28" s="47">
        <v>1834475.6148000001</v>
      </c>
      <c r="CM28" s="47">
        <v>597738.13673699996</v>
      </c>
      <c r="CN28" s="47">
        <v>405004.68576699996</v>
      </c>
      <c r="CO28" s="47">
        <v>177835.80159700001</v>
      </c>
      <c r="CP28" s="47">
        <v>127649.874795</v>
      </c>
      <c r="CQ28" s="47">
        <v>60580.916696</v>
      </c>
      <c r="CR28" s="47">
        <v>21050.517761999999</v>
      </c>
      <c r="CS28" s="47"/>
      <c r="CT28" s="47">
        <v>1862281.6148000001</v>
      </c>
      <c r="CU28" s="47">
        <v>611130.08991400001</v>
      </c>
      <c r="CV28" s="47">
        <v>415655.19589399995</v>
      </c>
      <c r="CW28" s="47">
        <v>184105.336404</v>
      </c>
      <c r="CX28" s="47">
        <v>132436.57799700001</v>
      </c>
      <c r="CY28" s="47">
        <v>63010.073100000001</v>
      </c>
      <c r="CZ28" s="47">
        <v>22003.652830999999</v>
      </c>
      <c r="DA28" s="47"/>
      <c r="DB28" s="47">
        <v>1862281.6137999999</v>
      </c>
      <c r="DC28" s="47">
        <v>628946.41478899994</v>
      </c>
      <c r="DD28" s="47">
        <v>433193.82090900006</v>
      </c>
      <c r="DE28" s="47">
        <v>197834.615579</v>
      </c>
      <c r="DF28" s="47">
        <v>144400.19627399999</v>
      </c>
      <c r="DG28" s="47">
        <v>69896.960768000004</v>
      </c>
      <c r="DH28" s="47">
        <v>24961.245524000002</v>
      </c>
      <c r="DI28" s="47"/>
      <c r="DJ28" s="47">
        <v>1940447.5937999999</v>
      </c>
      <c r="DK28" s="47">
        <v>657520.98094299994</v>
      </c>
      <c r="DL28" s="47">
        <v>455713.86909299996</v>
      </c>
      <c r="DM28" s="47">
        <v>208881.21400300003</v>
      </c>
      <c r="DN28" s="47">
        <v>152119.77253000002</v>
      </c>
      <c r="DO28" s="47">
        <v>73626.549731999999</v>
      </c>
      <c r="DP28" s="47">
        <v>26222.328916999999</v>
      </c>
      <c r="DQ28" s="47"/>
      <c r="DR28" s="47">
        <v>1987099.593507231</v>
      </c>
      <c r="DS28" s="47">
        <v>671553.27596614102</v>
      </c>
      <c r="DT28" s="47">
        <v>463786.80900382635</v>
      </c>
      <c r="DU28" s="47">
        <v>211178.44653072787</v>
      </c>
      <c r="DV28" s="47">
        <v>153507.324358521</v>
      </c>
      <c r="DW28" s="47">
        <v>74142.624702818284</v>
      </c>
      <c r="DX28" s="47">
        <v>26343.89480234063</v>
      </c>
      <c r="DY28" s="297"/>
      <c r="DZ28" s="47">
        <v>2076039.5934866527</v>
      </c>
      <c r="EA28" s="47">
        <v>688045.04318245919</v>
      </c>
      <c r="EB28" s="47">
        <v>471265.69742498297</v>
      </c>
      <c r="EC28" s="47">
        <v>212277.18662911782</v>
      </c>
      <c r="ED28" s="47">
        <v>153971.51471332263</v>
      </c>
      <c r="EE28" s="47">
        <v>74245.974050939258</v>
      </c>
      <c r="EF28" s="47">
        <v>26355.539780040497</v>
      </c>
      <c r="EG28" s="542"/>
      <c r="EH28" s="47">
        <v>2161286.5934866294</v>
      </c>
      <c r="EI28" s="47">
        <v>709660.41141575435</v>
      </c>
      <c r="EJ28" s="47">
        <v>482180.6433314528</v>
      </c>
      <c r="EK28" s="47">
        <v>213830.80795906155</v>
      </c>
      <c r="EL28" s="47">
        <v>154637.18238044844</v>
      </c>
      <c r="EM28" s="47">
        <v>74405.112547815166</v>
      </c>
      <c r="EN28" s="47">
        <v>26376.429251014921</v>
      </c>
      <c r="EO28" s="47"/>
      <c r="EP28" s="47">
        <v>2272637.0954999998</v>
      </c>
      <c r="EQ28" s="47">
        <v>738650.90110299992</v>
      </c>
      <c r="ER28" s="47">
        <v>498796.44502300001</v>
      </c>
      <c r="ES28" s="47">
        <v>218291.14959300001</v>
      </c>
      <c r="ET28" s="47">
        <v>157280.51080300001</v>
      </c>
      <c r="EU28" s="47">
        <v>75187.603147000002</v>
      </c>
      <c r="EV28" s="47">
        <v>26539.823715999999</v>
      </c>
      <c r="EW28" s="47"/>
      <c r="EX28" s="47">
        <v>2426754.0954999998</v>
      </c>
      <c r="EY28" s="47">
        <v>776197.69566700002</v>
      </c>
      <c r="EZ28" s="47">
        <v>520992.19027700007</v>
      </c>
      <c r="FA28" s="47">
        <v>224753.00480699996</v>
      </c>
      <c r="FB28" s="47">
        <v>161321.68895699998</v>
      </c>
      <c r="FC28" s="47">
        <v>76694.715708999996</v>
      </c>
      <c r="FD28" s="47">
        <v>27001.944244999999</v>
      </c>
      <c r="FE28" s="47"/>
      <c r="FF28" s="47">
        <v>2550152.0954999998</v>
      </c>
      <c r="FG28" s="47">
        <v>783473.24174700002</v>
      </c>
      <c r="FH28" s="47">
        <v>525797.30839699996</v>
      </c>
      <c r="FI28" s="47">
        <v>226272.03418700001</v>
      </c>
      <c r="FJ28" s="47">
        <v>162118.84003699999</v>
      </c>
      <c r="FK28" s="47">
        <v>76827.985549000005</v>
      </c>
      <c r="FL28" s="47">
        <v>27021.687924999998</v>
      </c>
      <c r="FN28" s="47">
        <v>2566249.0954999998</v>
      </c>
      <c r="FO28" s="47">
        <v>783824.31731700001</v>
      </c>
      <c r="FP28" s="47">
        <v>525874.573997</v>
      </c>
      <c r="FQ28" s="47">
        <v>226280.56559700001</v>
      </c>
      <c r="FR28" s="47">
        <v>162121.09361700001</v>
      </c>
      <c r="FS28" s="47">
        <v>76828.146519000002</v>
      </c>
      <c r="FT28" s="47">
        <v>27021.687924999998</v>
      </c>
      <c r="FV28" s="44">
        <v>2606953.0954999998</v>
      </c>
      <c r="FW28" s="44">
        <v>785287.91731699998</v>
      </c>
      <c r="FX28" s="44">
        <v>526606.37399700005</v>
      </c>
      <c r="FY28" s="44">
        <v>226426.92559699999</v>
      </c>
      <c r="FZ28" s="44">
        <v>162194.273617</v>
      </c>
      <c r="GA28" s="44">
        <v>76842.782519</v>
      </c>
      <c r="GB28" s="44">
        <v>27023.151525000001</v>
      </c>
      <c r="GC28" s="44"/>
      <c r="GE28" s="47">
        <v>2640143.0954999998</v>
      </c>
      <c r="GF28" s="47">
        <v>787316.59105099994</v>
      </c>
      <c r="GG28" s="47">
        <v>527560.42203100002</v>
      </c>
      <c r="GH28" s="47">
        <v>226529.595761</v>
      </c>
      <c r="GI28" s="47">
        <v>162227.43618199998</v>
      </c>
      <c r="GJ28" s="47">
        <v>76880.992117999995</v>
      </c>
      <c r="GK28" s="47">
        <v>27024.632852999999</v>
      </c>
      <c r="GM28" s="47">
        <v>2695241.0954999998</v>
      </c>
      <c r="GN28" s="47">
        <v>787316.59105099994</v>
      </c>
      <c r="GO28" s="47">
        <v>527560.42203100002</v>
      </c>
      <c r="GP28" s="47">
        <v>226529.595761</v>
      </c>
      <c r="GQ28" s="47">
        <v>162227.43618199998</v>
      </c>
      <c r="GR28" s="47">
        <v>76880.992117999995</v>
      </c>
      <c r="GS28" s="47">
        <v>27024.632852999999</v>
      </c>
      <c r="GT28" s="187"/>
      <c r="GU28" s="480">
        <v>2435379.9992999998</v>
      </c>
      <c r="GV28" s="481">
        <v>659630.90108599991</v>
      </c>
      <c r="GW28" s="481">
        <v>434558.03889600001</v>
      </c>
      <c r="GX28" s="481">
        <v>180958.96375600001</v>
      </c>
      <c r="GY28" s="481">
        <v>128268.24930700001</v>
      </c>
      <c r="GZ28" s="481">
        <v>60180.137025000004</v>
      </c>
      <c r="HA28" s="481">
        <v>20951.280053999999</v>
      </c>
      <c r="HB28" s="256"/>
      <c r="HC28" s="480">
        <v>2392785.9992999998</v>
      </c>
      <c r="HD28" s="481">
        <v>641334.93192099989</v>
      </c>
      <c r="HE28" s="481">
        <v>420749.96339100006</v>
      </c>
      <c r="HF28" s="481">
        <v>174636.00404099998</v>
      </c>
      <c r="HG28" s="481">
        <v>123833.51773400001</v>
      </c>
      <c r="HH28" s="481">
        <v>57822.601169999994</v>
      </c>
      <c r="HI28" s="481">
        <v>20163.224050000001</v>
      </c>
      <c r="HJ28" s="481"/>
      <c r="HK28" s="480">
        <v>2317301.9992999998</v>
      </c>
      <c r="HL28" s="481">
        <v>611048.36591100006</v>
      </c>
      <c r="HM28" s="481">
        <v>397528.81608099997</v>
      </c>
      <c r="HN28" s="481">
        <v>160990.878761</v>
      </c>
      <c r="HO28" s="481">
        <v>113204.89221699999</v>
      </c>
      <c r="HP28" s="481">
        <v>52041.797589000002</v>
      </c>
      <c r="HQ28" s="481">
        <v>17863.104474</v>
      </c>
      <c r="HR28" s="256"/>
      <c r="HS28" s="480">
        <v>2248475.9996000002</v>
      </c>
      <c r="HT28" s="481">
        <v>585129.17151999997</v>
      </c>
      <c r="HU28" s="481">
        <v>379469.03072000004</v>
      </c>
      <c r="HV28" s="481">
        <v>152601.56180000002</v>
      </c>
      <c r="HW28" s="481">
        <v>107087.03971</v>
      </c>
      <c r="HX28" s="481">
        <v>49286.694682999994</v>
      </c>
      <c r="HY28" s="481">
        <v>16895.748212999999</v>
      </c>
      <c r="HZ28" s="47"/>
      <c r="IA28" s="480">
        <v>2085287</v>
      </c>
      <c r="IB28" s="481">
        <v>550157.05236099998</v>
      </c>
      <c r="IC28" s="481">
        <v>362497.16444100003</v>
      </c>
      <c r="ID28" s="481">
        <v>150071.18414099998</v>
      </c>
      <c r="IE28" s="481">
        <v>105835.125</v>
      </c>
      <c r="IF28" s="481">
        <v>49023.708580999999</v>
      </c>
      <c r="IG28" s="481">
        <v>16863.031596000001</v>
      </c>
      <c r="IH28" s="47"/>
      <c r="II28" s="480">
        <v>1973756</v>
      </c>
      <c r="IJ28" s="480">
        <v>523474.34578900004</v>
      </c>
      <c r="IK28" s="480">
        <v>346850.69241900003</v>
      </c>
      <c r="IL28" s="480">
        <v>145734.447629</v>
      </c>
      <c r="IM28" s="480">
        <v>103078.207884</v>
      </c>
      <c r="IN28" s="480">
        <v>47986.152375999998</v>
      </c>
      <c r="IO28" s="480">
        <v>16540.757515000001</v>
      </c>
      <c r="IP28" s="757"/>
      <c r="IQ28" s="757">
        <v>1991830</v>
      </c>
      <c r="IR28" s="757">
        <v>530004.67893099994</v>
      </c>
      <c r="IS28" s="757">
        <v>351334.585861</v>
      </c>
      <c r="IT28" s="757">
        <v>147814.68144100002</v>
      </c>
      <c r="IU28" s="757">
        <v>104581.225146</v>
      </c>
      <c r="IV28" s="757">
        <v>48702.678386</v>
      </c>
      <c r="IW28" s="757">
        <v>16789.203152999999</v>
      </c>
      <c r="IX28" s="757"/>
      <c r="IY28" s="757">
        <v>2426752</v>
      </c>
      <c r="IZ28" s="757">
        <v>603488.80173099996</v>
      </c>
      <c r="JA28" s="757">
        <v>396774.72072099999</v>
      </c>
      <c r="JB28" s="757">
        <v>164315.00851099999</v>
      </c>
      <c r="JC28" s="757">
        <v>116072.183586</v>
      </c>
      <c r="JD28" s="757">
        <v>53752.083320000005</v>
      </c>
      <c r="JE28" s="757">
        <v>18480.746395999999</v>
      </c>
      <c r="JF28" s="256"/>
      <c r="JG28" s="47">
        <v>251083.0962</v>
      </c>
      <c r="JH28" s="47">
        <v>123216.439</v>
      </c>
      <c r="JI28" s="47">
        <v>90526.20753</v>
      </c>
      <c r="JJ28" s="47">
        <v>45305.132369999999</v>
      </c>
      <c r="JK28" s="47">
        <v>33491.322769999999</v>
      </c>
      <c r="JL28" s="47">
        <v>16542.056509999999</v>
      </c>
      <c r="JM28" s="47">
        <v>5926.8229659999997</v>
      </c>
      <c r="JN28" s="1034"/>
      <c r="JO28" s="47">
        <v>42593.999980000001</v>
      </c>
      <c r="JP28" s="47">
        <v>19290.322769999999</v>
      </c>
      <c r="JQ28" s="47">
        <v>14108.962820000001</v>
      </c>
      <c r="JR28" s="47">
        <v>6629.8581720000002</v>
      </c>
      <c r="JS28" s="47">
        <v>4768.9871300000004</v>
      </c>
      <c r="JT28" s="47">
        <v>2348.6474779999999</v>
      </c>
      <c r="JU28" s="47">
        <v>861.37675750000005</v>
      </c>
      <c r="JV28" s="77"/>
      <c r="JW28" s="47">
        <v>75484</v>
      </c>
      <c r="JX28" s="47">
        <v>30718.24454</v>
      </c>
      <c r="JY28" s="47">
        <v>23503.682390000002</v>
      </c>
      <c r="JZ28" s="47">
        <v>13300.639300000001</v>
      </c>
      <c r="KA28" s="47">
        <v>10393.011570000001</v>
      </c>
      <c r="KB28" s="47">
        <v>5811.4830039999997</v>
      </c>
      <c r="KC28" s="47">
        <v>2398.382756</v>
      </c>
      <c r="KD28" s="77"/>
      <c r="KE28" s="47">
        <v>68825.999739999999</v>
      </c>
      <c r="KF28" s="47">
        <v>26427.366750000001</v>
      </c>
      <c r="KG28" s="47">
        <v>18820.506000000001</v>
      </c>
      <c r="KH28" s="47">
        <v>8505.4785969999994</v>
      </c>
      <c r="KI28" s="47">
        <v>6095.7259729999996</v>
      </c>
      <c r="KJ28" s="47">
        <v>2916.428504</v>
      </c>
      <c r="KK28" s="47">
        <v>1048.8783960000001</v>
      </c>
      <c r="KL28" s="77"/>
      <c r="KM28" s="47">
        <v>163188.99960000001</v>
      </c>
      <c r="KN28" s="47">
        <v>32162.283920000002</v>
      </c>
      <c r="KO28" s="47">
        <v>15766.41252</v>
      </c>
      <c r="KP28" s="47">
        <v>2630.8122779999999</v>
      </c>
      <c r="KQ28" s="47">
        <v>1284.7888680000001</v>
      </c>
      <c r="KR28" s="47">
        <v>261.3371588</v>
      </c>
      <c r="KS28" s="47">
        <v>26.590548829999999</v>
      </c>
      <c r="KT28" s="77"/>
      <c r="KU28" s="47">
        <v>135701</v>
      </c>
      <c r="KV28" s="47">
        <v>31795.42426</v>
      </c>
      <c r="KW28" s="47">
        <v>18132.258470000001</v>
      </c>
      <c r="KX28" s="47">
        <v>5276.365511</v>
      </c>
      <c r="KY28" s="47">
        <v>3289.2104410000002</v>
      </c>
      <c r="KZ28" s="47">
        <v>1234.4377360000001</v>
      </c>
      <c r="LA28" s="47">
        <v>367.60467069999999</v>
      </c>
      <c r="LB28" s="77"/>
      <c r="LC28" s="1034">
        <v>165304.6005</v>
      </c>
      <c r="LD28" s="1034">
        <v>9555.0872579999996</v>
      </c>
      <c r="LE28" s="1034">
        <v>5634.4827910000004</v>
      </c>
      <c r="LF28" s="1034">
        <v>1611.3559949999999</v>
      </c>
      <c r="LG28" s="1034">
        <v>840.017968</v>
      </c>
      <c r="LH28" s="1034">
        <v>141.37283790000001</v>
      </c>
      <c r="LI28" s="1034">
        <v>20.43407066</v>
      </c>
      <c r="LJ28" s="77"/>
      <c r="LK28" s="1034">
        <v>8778</v>
      </c>
      <c r="LL28" s="1034">
        <v>5507.6139079099994</v>
      </c>
      <c r="LM28" s="1034">
        <v>4535.2145890799993</v>
      </c>
      <c r="LN28" s="1034">
        <v>2609.1434847800001</v>
      </c>
      <c r="LO28" s="1034">
        <v>1956.3347307500001</v>
      </c>
      <c r="LP28" s="1034">
        <v>1056.7430693599999</v>
      </c>
      <c r="LQ28" s="1034">
        <v>475.20175345000001</v>
      </c>
    </row>
    <row r="29" spans="1:329" s="43" customFormat="1" ht="9.75" customHeight="1" x14ac:dyDescent="0.2">
      <c r="A29" s="48">
        <v>1981</v>
      </c>
      <c r="B29" s="47">
        <v>1792594.3392</v>
      </c>
      <c r="C29" s="47">
        <v>591960.94632699993</v>
      </c>
      <c r="D29" s="47">
        <v>380038.507537</v>
      </c>
      <c r="E29" s="47">
        <v>144284.77756699998</v>
      </c>
      <c r="F29" s="47">
        <v>96642.301967000007</v>
      </c>
      <c r="G29" s="47">
        <v>38989.971482000001</v>
      </c>
      <c r="H29" s="47">
        <v>11397.901266000001</v>
      </c>
      <c r="I29" s="47"/>
      <c r="J29" s="47">
        <v>2722132.7376000001</v>
      </c>
      <c r="K29" s="47">
        <v>864570.81051100011</v>
      </c>
      <c r="L29" s="47">
        <v>576027.26621100004</v>
      </c>
      <c r="M29" s="47">
        <v>242983.54668099998</v>
      </c>
      <c r="N29" s="47">
        <v>173210.82381700003</v>
      </c>
      <c r="O29" s="47">
        <v>81722.372425000009</v>
      </c>
      <c r="P29" s="47">
        <v>28569.25288</v>
      </c>
      <c r="Q29" s="47"/>
      <c r="R29" s="47">
        <v>3026219.7379000001</v>
      </c>
      <c r="S29" s="47">
        <v>878944.92860899982</v>
      </c>
      <c r="T29" s="47">
        <v>584142.82305899996</v>
      </c>
      <c r="U29" s="47">
        <v>245027.63500899999</v>
      </c>
      <c r="V29" s="47">
        <v>174259.97838300001</v>
      </c>
      <c r="W29" s="47">
        <v>81900.665460999997</v>
      </c>
      <c r="X29" s="47">
        <v>28590.817354999999</v>
      </c>
      <c r="Y29" s="47"/>
      <c r="Z29" s="47">
        <v>2722132.0008</v>
      </c>
      <c r="AA29" s="47">
        <v>677300.58198599995</v>
      </c>
      <c r="AB29" s="47">
        <v>445376.87405599997</v>
      </c>
      <c r="AC29" s="47">
        <v>183038.800766</v>
      </c>
      <c r="AD29" s="47">
        <v>128313.625825</v>
      </c>
      <c r="AE29" s="47">
        <v>59843.065976999998</v>
      </c>
      <c r="AF29" s="47">
        <v>20572.814364999998</v>
      </c>
      <c r="AG29" s="47"/>
      <c r="AH29" s="47">
        <v>1819911.6488000001</v>
      </c>
      <c r="AI29" s="47">
        <v>599701.09473399993</v>
      </c>
      <c r="AJ29" s="47">
        <v>383595.14938400005</v>
      </c>
      <c r="AK29" s="47">
        <v>144974.655134</v>
      </c>
      <c r="AL29" s="47">
        <v>97117.780135999987</v>
      </c>
      <c r="AM29" s="47">
        <v>39286.273238000002</v>
      </c>
      <c r="AN29" s="47">
        <v>11521.290663</v>
      </c>
      <c r="AO29" s="47"/>
      <c r="AP29" s="47">
        <v>1836029.9372</v>
      </c>
      <c r="AQ29" s="47">
        <v>609424.84728800005</v>
      </c>
      <c r="AR29" s="47">
        <v>393119.99126799998</v>
      </c>
      <c r="AS29" s="47">
        <v>153398.79398799999</v>
      </c>
      <c r="AT29" s="47">
        <v>104372.340859</v>
      </c>
      <c r="AU29" s="47">
        <v>43302.242591000002</v>
      </c>
      <c r="AV29" s="47">
        <v>12934.586289000001</v>
      </c>
      <c r="AW29" s="47"/>
      <c r="AX29" s="47">
        <v>1850878.9372</v>
      </c>
      <c r="AY29" s="47">
        <v>620846.17836799996</v>
      </c>
      <c r="AZ29" s="47">
        <v>403329.56970800005</v>
      </c>
      <c r="BA29" s="47">
        <v>160751.276338</v>
      </c>
      <c r="BB29" s="47">
        <v>110404.96984400001</v>
      </c>
      <c r="BC29" s="47">
        <v>46914.187595999996</v>
      </c>
      <c r="BD29" s="47">
        <v>14095.258373999999</v>
      </c>
      <c r="BE29" s="47"/>
      <c r="BF29" s="44">
        <v>1848972.9339999999</v>
      </c>
      <c r="BG29" s="44">
        <v>615999.54740899999</v>
      </c>
      <c r="BH29" s="44">
        <v>399802.62212900002</v>
      </c>
      <c r="BI29" s="44">
        <v>159575.97450899999</v>
      </c>
      <c r="BJ29" s="44">
        <v>109780.1109</v>
      </c>
      <c r="BK29" s="44">
        <v>46886.470039</v>
      </c>
      <c r="BL29" s="44">
        <v>14178.61177</v>
      </c>
      <c r="BN29" s="44">
        <v>1848972.9339999999</v>
      </c>
      <c r="BO29" s="44">
        <v>571613.69304200006</v>
      </c>
      <c r="BP29" s="44">
        <v>373389.36009199999</v>
      </c>
      <c r="BQ29" s="44">
        <v>146076.80148199998</v>
      </c>
      <c r="BR29" s="44">
        <v>100616.923945</v>
      </c>
      <c r="BS29" s="44">
        <v>44087.962120000004</v>
      </c>
      <c r="BT29" s="44">
        <v>13861.009409</v>
      </c>
      <c r="BU29" s="44"/>
      <c r="BV29" s="47">
        <v>1857875.3540000001</v>
      </c>
      <c r="BW29" s="47">
        <v>579405.57271999994</v>
      </c>
      <c r="BX29" s="47">
        <v>380373.61427999998</v>
      </c>
      <c r="BY29" s="47">
        <v>151636.53971000001</v>
      </c>
      <c r="BZ29" s="47">
        <v>105181.293985</v>
      </c>
      <c r="CA29" s="47">
        <v>46833.617855999997</v>
      </c>
      <c r="CB29" s="47">
        <v>15116.189623</v>
      </c>
      <c r="CC29" s="44"/>
      <c r="CD29" s="47">
        <v>1947274.3540000001</v>
      </c>
      <c r="CE29" s="47">
        <v>630454.79839199991</v>
      </c>
      <c r="CF29" s="47">
        <v>424022.16343199997</v>
      </c>
      <c r="CG29" s="47">
        <v>180357.81858200001</v>
      </c>
      <c r="CH29" s="47">
        <v>128263.64060099999</v>
      </c>
      <c r="CI29" s="47">
        <v>60134.460554999998</v>
      </c>
      <c r="CJ29" s="47">
        <v>20721.877970000001</v>
      </c>
      <c r="CL29" s="47">
        <v>2017589.3540000001</v>
      </c>
      <c r="CM29" s="47">
        <v>659302.29778100003</v>
      </c>
      <c r="CN29" s="47">
        <v>445406.89174099994</v>
      </c>
      <c r="CO29" s="47">
        <v>191732.189671</v>
      </c>
      <c r="CP29" s="47">
        <v>137123.432095</v>
      </c>
      <c r="CQ29" s="47">
        <v>64856.204136</v>
      </c>
      <c r="CR29" s="47">
        <v>22588.369707000002</v>
      </c>
      <c r="CS29" s="47"/>
      <c r="CT29" s="47">
        <v>2049047.3540000001</v>
      </c>
      <c r="CU29" s="47">
        <v>673875.45756400004</v>
      </c>
      <c r="CV29" s="47">
        <v>456737.98852399999</v>
      </c>
      <c r="CW29" s="47">
        <v>197998.24277400001</v>
      </c>
      <c r="CX29" s="47">
        <v>141761.684075</v>
      </c>
      <c r="CY29" s="47">
        <v>67250.896601999993</v>
      </c>
      <c r="CZ29" s="47">
        <v>23502.911200999999</v>
      </c>
      <c r="DA29" s="47"/>
      <c r="DB29" s="47">
        <v>2049047.3540000001</v>
      </c>
      <c r="DC29" s="47">
        <v>686563.985017</v>
      </c>
      <c r="DD29" s="47">
        <v>469317.85385700001</v>
      </c>
      <c r="DE29" s="47">
        <v>207667.28136700002</v>
      </c>
      <c r="DF29" s="47">
        <v>149919.55877399998</v>
      </c>
      <c r="DG29" s="47">
        <v>72204.270504999993</v>
      </c>
      <c r="DH29" s="47">
        <v>25569.826858</v>
      </c>
      <c r="DI29" s="47"/>
      <c r="DJ29" s="47">
        <v>2167841.1940000001</v>
      </c>
      <c r="DK29" s="47">
        <v>729530.87349699996</v>
      </c>
      <c r="DL29" s="47">
        <v>502793.71014699992</v>
      </c>
      <c r="DM29" s="47">
        <v>224775.64619699999</v>
      </c>
      <c r="DN29" s="47">
        <v>162334.20962499999</v>
      </c>
      <c r="DO29" s="47">
        <v>78237.487636000005</v>
      </c>
      <c r="DP29" s="47">
        <v>27636.474391</v>
      </c>
      <c r="DQ29" s="47"/>
      <c r="DR29" s="47">
        <v>2219233.1936167036</v>
      </c>
      <c r="DS29" s="47">
        <v>744946.67499928351</v>
      </c>
      <c r="DT29" s="47">
        <v>512034.68582222296</v>
      </c>
      <c r="DU29" s="47">
        <v>227482.36448628709</v>
      </c>
      <c r="DV29" s="47">
        <v>163940.07760511432</v>
      </c>
      <c r="DW29" s="47">
        <v>78865.78406832536</v>
      </c>
      <c r="DX29" s="47">
        <v>27756.201548914927</v>
      </c>
      <c r="DY29" s="297"/>
      <c r="DZ29" s="47">
        <v>2322843.1935920743</v>
      </c>
      <c r="EA29" s="47">
        <v>764606.58381649572</v>
      </c>
      <c r="EB29" s="47">
        <v>520814.62395030272</v>
      </c>
      <c r="EC29" s="47">
        <v>228894.0612477184</v>
      </c>
      <c r="ED29" s="47">
        <v>164645.85174983079</v>
      </c>
      <c r="EE29" s="47">
        <v>78943.710296833684</v>
      </c>
      <c r="EF29" s="47">
        <v>27771.584875236811</v>
      </c>
      <c r="EG29" s="542"/>
      <c r="EH29" s="47">
        <v>2419784.1935920864</v>
      </c>
      <c r="EI29" s="47">
        <v>788564.1473544481</v>
      </c>
      <c r="EJ29" s="47">
        <v>532430.62282025465</v>
      </c>
      <c r="EK29" s="47">
        <v>230648.54173952516</v>
      </c>
      <c r="EL29" s="47">
        <v>165461.5353787794</v>
      </c>
      <c r="EM29" s="47">
        <v>79081.393913943</v>
      </c>
      <c r="EN29" s="47">
        <v>27808.712690850327</v>
      </c>
      <c r="EO29" s="47"/>
      <c r="EP29" s="47">
        <v>2534544.7376000001</v>
      </c>
      <c r="EQ29" s="47">
        <v>818209.19708999991</v>
      </c>
      <c r="ER29" s="47">
        <v>548843.89373000001</v>
      </c>
      <c r="ES29" s="47">
        <v>234950.87850999998</v>
      </c>
      <c r="ET29" s="47">
        <v>168200.30518299999</v>
      </c>
      <c r="EU29" s="47">
        <v>79717.751783999993</v>
      </c>
      <c r="EV29" s="47">
        <v>27966.56754</v>
      </c>
      <c r="EW29" s="47"/>
      <c r="EX29" s="47">
        <v>2722132.7376000001</v>
      </c>
      <c r="EY29" s="47">
        <v>864570.81051100011</v>
      </c>
      <c r="EZ29" s="47">
        <v>576027.26621100004</v>
      </c>
      <c r="FA29" s="47">
        <v>242983.54668099998</v>
      </c>
      <c r="FB29" s="47">
        <v>173210.82381700003</v>
      </c>
      <c r="FC29" s="47">
        <v>81722.372425000009</v>
      </c>
      <c r="FD29" s="47">
        <v>28569.25288</v>
      </c>
      <c r="FE29" s="47"/>
      <c r="FF29" s="47">
        <v>2866090.7376000001</v>
      </c>
      <c r="FG29" s="47">
        <v>874086.43431100005</v>
      </c>
      <c r="FH29" s="47">
        <v>581936.742111</v>
      </c>
      <c r="FI29" s="47">
        <v>244764.30714100003</v>
      </c>
      <c r="FJ29" s="47">
        <v>174116.31963700001</v>
      </c>
      <c r="FK29" s="47">
        <v>81864.890845000002</v>
      </c>
      <c r="FL29" s="47">
        <v>28589.406999999999</v>
      </c>
      <c r="FN29" s="47">
        <v>2881975.7379000001</v>
      </c>
      <c r="FO29" s="47">
        <v>874752.32522400003</v>
      </c>
      <c r="FP29" s="47">
        <v>582193.50496399996</v>
      </c>
      <c r="FQ29" s="47">
        <v>244795.357644</v>
      </c>
      <c r="FR29" s="47">
        <v>174118.45527199999</v>
      </c>
      <c r="FS29" s="47">
        <v>81865.825549000001</v>
      </c>
      <c r="FT29" s="47">
        <v>28589.459934999999</v>
      </c>
      <c r="FV29" s="44">
        <v>2925455.7379000001</v>
      </c>
      <c r="FW29" s="44">
        <v>876328.32522400015</v>
      </c>
      <c r="FX29" s="44">
        <v>582981.50496400008</v>
      </c>
      <c r="FY29" s="44">
        <v>244952.95764400001</v>
      </c>
      <c r="FZ29" s="44">
        <v>174197.25527199998</v>
      </c>
      <c r="GA29" s="44">
        <v>81881.58554900001</v>
      </c>
      <c r="GB29" s="44">
        <v>28591.035935</v>
      </c>
      <c r="GC29" s="44"/>
      <c r="GE29" s="47">
        <v>2965232.7379000001</v>
      </c>
      <c r="GF29" s="47">
        <v>878944.92860899982</v>
      </c>
      <c r="GG29" s="47">
        <v>584142.82305899996</v>
      </c>
      <c r="GH29" s="47">
        <v>245027.63500899999</v>
      </c>
      <c r="GI29" s="47">
        <v>174259.97838300001</v>
      </c>
      <c r="GJ29" s="47">
        <v>81900.665460999997</v>
      </c>
      <c r="GK29" s="47">
        <v>28590.817354999999</v>
      </c>
      <c r="GM29" s="47">
        <v>3026219.7379000001</v>
      </c>
      <c r="GN29" s="47">
        <v>878944.92860899982</v>
      </c>
      <c r="GO29" s="47">
        <v>584142.82305899996</v>
      </c>
      <c r="GP29" s="47">
        <v>245027.63500899999</v>
      </c>
      <c r="GQ29" s="47">
        <v>174259.97838300001</v>
      </c>
      <c r="GR29" s="47">
        <v>81900.665460999997</v>
      </c>
      <c r="GS29" s="47">
        <v>28590.817354999999</v>
      </c>
      <c r="GT29" s="187"/>
      <c r="GU29" s="480">
        <v>2725417.0984999998</v>
      </c>
      <c r="GV29" s="481">
        <v>734560.56779099989</v>
      </c>
      <c r="GW29" s="481">
        <v>480828.68549099995</v>
      </c>
      <c r="GX29" s="481">
        <v>196146.59899100004</v>
      </c>
      <c r="GY29" s="481">
        <v>137709.06566200001</v>
      </c>
      <c r="GZ29" s="481">
        <v>64430.403416000001</v>
      </c>
      <c r="HA29" s="481">
        <v>22280.774107000001</v>
      </c>
      <c r="HB29" s="256"/>
      <c r="HC29" s="480">
        <v>2677505.0986000001</v>
      </c>
      <c r="HD29" s="481">
        <v>714027.32519000012</v>
      </c>
      <c r="HE29" s="481">
        <v>465852.64227000001</v>
      </c>
      <c r="HF29" s="481">
        <v>189108.79130000001</v>
      </c>
      <c r="HG29" s="481">
        <v>132368.77402700001</v>
      </c>
      <c r="HH29" s="481">
        <v>61825.391596999994</v>
      </c>
      <c r="HI29" s="481">
        <v>21408.578006</v>
      </c>
      <c r="HJ29" s="481"/>
      <c r="HK29" s="480">
        <v>2607190.0986000001</v>
      </c>
      <c r="HL29" s="481">
        <v>687156.28596299991</v>
      </c>
      <c r="HM29" s="481">
        <v>446131.69472299999</v>
      </c>
      <c r="HN29" s="481">
        <v>178518.96597299998</v>
      </c>
      <c r="HO29" s="481">
        <v>124566.142058</v>
      </c>
      <c r="HP29" s="481">
        <v>57475.628597000003</v>
      </c>
      <c r="HQ29" s="481">
        <v>19729.026592999999</v>
      </c>
      <c r="HR29" s="256"/>
      <c r="HS29" s="480">
        <v>2530110.0989999999</v>
      </c>
      <c r="HT29" s="481">
        <v>658775.23225100012</v>
      </c>
      <c r="HU29" s="481">
        <v>426539.38255099999</v>
      </c>
      <c r="HV29" s="481">
        <v>169578.55408099998</v>
      </c>
      <c r="HW29" s="481">
        <v>118234.19824500001</v>
      </c>
      <c r="HX29" s="481">
        <v>54706.068545000002</v>
      </c>
      <c r="HY29" s="481">
        <v>18742.448047999998</v>
      </c>
      <c r="HZ29" s="47"/>
      <c r="IA29" s="480">
        <v>2338132.0987999998</v>
      </c>
      <c r="IB29" s="481">
        <v>616455.10285699996</v>
      </c>
      <c r="IC29" s="481">
        <v>406016.20945700002</v>
      </c>
      <c r="ID29" s="481">
        <v>166322.41873699997</v>
      </c>
      <c r="IE29" s="481">
        <v>116690.476538</v>
      </c>
      <c r="IF29" s="481">
        <v>54370.574640999999</v>
      </c>
      <c r="IG29" s="481">
        <v>18715.078689000002</v>
      </c>
      <c r="IH29" s="47"/>
      <c r="II29" s="480">
        <v>2201127.0987999998</v>
      </c>
      <c r="IJ29" s="480">
        <v>583600.25480600004</v>
      </c>
      <c r="IK29" s="480">
        <v>386621.33391599992</v>
      </c>
      <c r="IL29" s="480">
        <v>160864.210976</v>
      </c>
      <c r="IM29" s="480">
        <v>113262.141374</v>
      </c>
      <c r="IN29" s="480">
        <v>53091.468355999998</v>
      </c>
      <c r="IO29" s="480">
        <v>18298.044617</v>
      </c>
      <c r="IP29" s="757"/>
      <c r="IQ29" s="757">
        <v>2236302.0008</v>
      </c>
      <c r="IR29" s="757">
        <v>595841.15340700001</v>
      </c>
      <c r="IS29" s="757">
        <v>394796.19572700007</v>
      </c>
      <c r="IT29" s="757">
        <v>164408.25359699997</v>
      </c>
      <c r="IU29" s="757">
        <v>115766.423279</v>
      </c>
      <c r="IV29" s="757">
        <v>54246.936186999999</v>
      </c>
      <c r="IW29" s="757">
        <v>18698.829108999998</v>
      </c>
      <c r="IX29" s="757"/>
      <c r="IY29" s="757">
        <v>2722132.0008</v>
      </c>
      <c r="IZ29" s="757">
        <v>677300.58198599995</v>
      </c>
      <c r="JA29" s="757">
        <v>445376.87405599997</v>
      </c>
      <c r="JB29" s="757">
        <v>183038.800766</v>
      </c>
      <c r="JC29" s="757">
        <v>128313.625825</v>
      </c>
      <c r="JD29" s="757">
        <v>59843.065976999998</v>
      </c>
      <c r="JE29" s="757">
        <v>20572.814364999998</v>
      </c>
      <c r="JF29" s="256"/>
      <c r="JG29" s="47">
        <v>291540.63939999999</v>
      </c>
      <c r="JH29" s="47">
        <v>139378.45300000001</v>
      </c>
      <c r="JI29" s="47">
        <v>100530.2752</v>
      </c>
      <c r="JJ29" s="47">
        <v>48674.360309999996</v>
      </c>
      <c r="JK29" s="47">
        <v>35741.538979999998</v>
      </c>
      <c r="JL29" s="47">
        <v>17472.2667</v>
      </c>
      <c r="JM29" s="47">
        <v>6152.3557700000001</v>
      </c>
      <c r="JN29" s="1034"/>
      <c r="JO29" s="47">
        <v>47911.999880000003</v>
      </c>
      <c r="JP29" s="47">
        <v>21634.466540000001</v>
      </c>
      <c r="JQ29" s="47">
        <v>15675.0314</v>
      </c>
      <c r="JR29" s="47">
        <v>7435.5743540000003</v>
      </c>
      <c r="JS29" s="47">
        <v>5427.1712889999999</v>
      </c>
      <c r="JT29" s="47">
        <v>2691.1247549999998</v>
      </c>
      <c r="JU29" s="47">
        <v>999.47063839999998</v>
      </c>
      <c r="JV29" s="77"/>
      <c r="JW29" s="47">
        <v>70315</v>
      </c>
      <c r="JX29" s="47">
        <v>26820.319960000001</v>
      </c>
      <c r="JY29" s="47">
        <v>19792.430960000002</v>
      </c>
      <c r="JZ29" s="47">
        <v>10454.46135</v>
      </c>
      <c r="KA29" s="47">
        <v>8027.746975</v>
      </c>
      <c r="KB29" s="47">
        <v>4412.1614900000004</v>
      </c>
      <c r="KC29" s="47">
        <v>1812.2455010000001</v>
      </c>
      <c r="KD29" s="77"/>
      <c r="KE29" s="47">
        <v>77079.999660000001</v>
      </c>
      <c r="KF29" s="47">
        <v>29336.900979999999</v>
      </c>
      <c r="KG29" s="47">
        <v>20596.932110000002</v>
      </c>
      <c r="KH29" s="47">
        <v>9002.1290019999997</v>
      </c>
      <c r="KI29" s="47">
        <v>6345.1554139999998</v>
      </c>
      <c r="KJ29" s="47">
        <v>2940.7748980000001</v>
      </c>
      <c r="KK29" s="47">
        <v>1049.554331</v>
      </c>
      <c r="KL29" s="77"/>
      <c r="KM29" s="47">
        <v>191978.00020000001</v>
      </c>
      <c r="KN29" s="47">
        <v>38799.731699999997</v>
      </c>
      <c r="KO29" s="47">
        <v>18988.473119999999</v>
      </c>
      <c r="KP29" s="47">
        <v>3264.6421989999999</v>
      </c>
      <c r="KQ29" s="47">
        <v>1600.3182730000001</v>
      </c>
      <c r="KR29" s="47">
        <v>321.9856054</v>
      </c>
      <c r="KS29" s="47">
        <v>32.331247959999999</v>
      </c>
      <c r="KT29" s="77"/>
      <c r="KU29" s="47">
        <v>164004</v>
      </c>
      <c r="KV29" s="47">
        <v>38714.936229999999</v>
      </c>
      <c r="KW29" s="47">
        <v>22093.63423</v>
      </c>
      <c r="KX29" s="47">
        <v>6440.8654649999999</v>
      </c>
      <c r="KY29" s="47">
        <v>4026.0357770000001</v>
      </c>
      <c r="KZ29" s="47">
        <v>1555.414027</v>
      </c>
      <c r="LA29" s="47">
        <v>485.10696610000002</v>
      </c>
      <c r="LB29" s="77"/>
      <c r="LC29" s="1034">
        <v>190169.97829999999</v>
      </c>
      <c r="LD29" s="1034">
        <v>12508.15797</v>
      </c>
      <c r="LE29" s="1034">
        <v>7039.3457159999998</v>
      </c>
      <c r="LF29" s="1034">
        <v>1895.694806</v>
      </c>
      <c r="LG29" s="1034">
        <v>961.34202289999996</v>
      </c>
      <c r="LH29" s="1034">
        <v>153.80703099999999</v>
      </c>
      <c r="LI29" s="1034">
        <v>21.151356069999999</v>
      </c>
      <c r="LJ29" s="77"/>
      <c r="LK29" s="1034">
        <v>9262</v>
      </c>
      <c r="LL29" s="1034">
        <v>5799.6081067000005</v>
      </c>
      <c r="LM29" s="1034">
        <v>4764.4083013999998</v>
      </c>
      <c r="LN29" s="1034">
        <v>2748.0849116999998</v>
      </c>
      <c r="LO29" s="1034">
        <v>2065.54600484</v>
      </c>
      <c r="LP29" s="1034">
        <v>1102.1557749399999</v>
      </c>
      <c r="LQ29" s="1034">
        <v>494.97688402</v>
      </c>
    </row>
    <row r="30" spans="1:329" s="43" customFormat="1" ht="9.75" customHeight="1" x14ac:dyDescent="0.2">
      <c r="A30" s="48">
        <v>1982</v>
      </c>
      <c r="B30" s="47">
        <v>1904735.4064</v>
      </c>
      <c r="C30" s="47">
        <v>644656.7808200001</v>
      </c>
      <c r="D30" s="47">
        <v>416226.36194000003</v>
      </c>
      <c r="E30" s="47">
        <v>162203.18359999999</v>
      </c>
      <c r="F30" s="47">
        <v>110441.67189699999</v>
      </c>
      <c r="G30" s="47">
        <v>46719.785046999998</v>
      </c>
      <c r="H30" s="47">
        <v>14687.187943000001</v>
      </c>
      <c r="I30" s="47"/>
      <c r="J30" s="47">
        <v>2840413.7584000002</v>
      </c>
      <c r="K30" s="47">
        <v>912957.641176</v>
      </c>
      <c r="L30" s="47">
        <v>605704.22542600008</v>
      </c>
      <c r="M30" s="47">
        <v>256777.94206599999</v>
      </c>
      <c r="N30" s="47">
        <v>184774.24525400001</v>
      </c>
      <c r="O30" s="47">
        <v>89927.917117999998</v>
      </c>
      <c r="P30" s="47">
        <v>32412.434324999998</v>
      </c>
      <c r="Q30" s="47"/>
      <c r="R30" s="47">
        <v>3179795.7579000001</v>
      </c>
      <c r="S30" s="47">
        <v>928851.71131299995</v>
      </c>
      <c r="T30" s="47">
        <v>614575.16088300012</v>
      </c>
      <c r="U30" s="47">
        <v>258936.41760300001</v>
      </c>
      <c r="V30" s="47">
        <v>185830.08883700002</v>
      </c>
      <c r="W30" s="47">
        <v>90093.272580000004</v>
      </c>
      <c r="X30" s="47">
        <v>32439.447413000002</v>
      </c>
      <c r="Y30" s="47"/>
      <c r="Z30" s="47">
        <v>2840411.9985000002</v>
      </c>
      <c r="AA30" s="47">
        <v>700499.15007999993</v>
      </c>
      <c r="AB30" s="47">
        <v>456811.93158000003</v>
      </c>
      <c r="AC30" s="47">
        <v>186362.71129000001</v>
      </c>
      <c r="AD30" s="47">
        <v>132226.018805</v>
      </c>
      <c r="AE30" s="47">
        <v>62719.129715000003</v>
      </c>
      <c r="AF30" s="47">
        <v>22355.114841999999</v>
      </c>
      <c r="AG30" s="47"/>
      <c r="AH30" s="47">
        <v>1931095.6272</v>
      </c>
      <c r="AI30" s="47">
        <v>652807.41819600004</v>
      </c>
      <c r="AJ30" s="47">
        <v>420807.92356600001</v>
      </c>
      <c r="AK30" s="47">
        <v>163877.44869599998</v>
      </c>
      <c r="AL30" s="47">
        <v>111553.187293</v>
      </c>
      <c r="AM30" s="47">
        <v>47222.036052999996</v>
      </c>
      <c r="AN30" s="47">
        <v>14868.367630999999</v>
      </c>
      <c r="AO30" s="47"/>
      <c r="AP30" s="47">
        <v>1947123.3933999999</v>
      </c>
      <c r="AQ30" s="47">
        <v>662984.941475</v>
      </c>
      <c r="AR30" s="47">
        <v>430694.56150500005</v>
      </c>
      <c r="AS30" s="47">
        <v>172667.70008499999</v>
      </c>
      <c r="AT30" s="47">
        <v>119095.424187</v>
      </c>
      <c r="AU30" s="47">
        <v>51262.866953999997</v>
      </c>
      <c r="AV30" s="47">
        <v>16181.969048999999</v>
      </c>
      <c r="AW30" s="47"/>
      <c r="AX30" s="47">
        <v>1964754.3933999999</v>
      </c>
      <c r="AY30" s="47">
        <v>675926.09547499998</v>
      </c>
      <c r="AZ30" s="47">
        <v>442121.21260499995</v>
      </c>
      <c r="BA30" s="47">
        <v>180619.28108500002</v>
      </c>
      <c r="BB30" s="47">
        <v>125560.711887</v>
      </c>
      <c r="BC30" s="47">
        <v>55016.506853999999</v>
      </c>
      <c r="BD30" s="47">
        <v>17536.029848999999</v>
      </c>
      <c r="BE30" s="47"/>
      <c r="BF30" s="44">
        <v>1938188.6624</v>
      </c>
      <c r="BG30" s="44">
        <v>657665.86535700003</v>
      </c>
      <c r="BH30" s="44">
        <v>430021.21416700003</v>
      </c>
      <c r="BI30" s="44">
        <v>176682.05005700001</v>
      </c>
      <c r="BJ30" s="44">
        <v>123336.748039</v>
      </c>
      <c r="BK30" s="44">
        <v>54454.015664999999</v>
      </c>
      <c r="BL30" s="44">
        <v>17469.806398000001</v>
      </c>
      <c r="BN30" s="44">
        <v>1938188.6624</v>
      </c>
      <c r="BO30" s="44">
        <v>616094.92691499996</v>
      </c>
      <c r="BP30" s="44">
        <v>403162.89229499997</v>
      </c>
      <c r="BQ30" s="44">
        <v>162785.98973500001</v>
      </c>
      <c r="BR30" s="44">
        <v>113704.373443</v>
      </c>
      <c r="BS30" s="44">
        <v>51533.997613</v>
      </c>
      <c r="BT30" s="44">
        <v>16999.649743000002</v>
      </c>
      <c r="BU30" s="44"/>
      <c r="BV30" s="47">
        <v>1947714.3433999999</v>
      </c>
      <c r="BW30" s="47">
        <v>623987.24590199988</v>
      </c>
      <c r="BX30" s="47">
        <v>410519.81065200001</v>
      </c>
      <c r="BY30" s="47">
        <v>168686.744252</v>
      </c>
      <c r="BZ30" s="47">
        <v>118941.212499</v>
      </c>
      <c r="CA30" s="47">
        <v>55353.631246999998</v>
      </c>
      <c r="CB30" s="47">
        <v>18847.061994</v>
      </c>
      <c r="CC30" s="44"/>
      <c r="CD30" s="47">
        <v>2033356.3433999999</v>
      </c>
      <c r="CE30" s="47">
        <v>672846.9536430001</v>
      </c>
      <c r="CF30" s="47">
        <v>451193.204593</v>
      </c>
      <c r="CG30" s="47">
        <v>195862.471693</v>
      </c>
      <c r="CH30" s="47">
        <v>140829.67110599999</v>
      </c>
      <c r="CI30" s="47">
        <v>68930.005980000002</v>
      </c>
      <c r="CJ30" s="47">
        <v>24596.812078999999</v>
      </c>
      <c r="CL30" s="47">
        <v>2084650.3433999999</v>
      </c>
      <c r="CM30" s="47">
        <v>693127.65157700004</v>
      </c>
      <c r="CN30" s="47">
        <v>466492.27826699999</v>
      </c>
      <c r="CO30" s="47">
        <v>204089.49448699999</v>
      </c>
      <c r="CP30" s="47">
        <v>147352.19540599998</v>
      </c>
      <c r="CQ30" s="47">
        <v>72496.71372</v>
      </c>
      <c r="CR30" s="47">
        <v>26040.254680999999</v>
      </c>
      <c r="CS30" s="47"/>
      <c r="CT30" s="47">
        <v>2119912.3434000001</v>
      </c>
      <c r="CU30" s="47">
        <v>709105.4951670001</v>
      </c>
      <c r="CV30" s="47">
        <v>478840.254327</v>
      </c>
      <c r="CW30" s="47">
        <v>210996.84748699999</v>
      </c>
      <c r="CX30" s="47">
        <v>152533.11610499999</v>
      </c>
      <c r="CY30" s="47">
        <v>75401.691703999997</v>
      </c>
      <c r="CZ30" s="47">
        <v>27196.665598</v>
      </c>
      <c r="DA30" s="47"/>
      <c r="DB30" s="47">
        <v>2119912.3434000001</v>
      </c>
      <c r="DC30" s="47">
        <v>719132.00553400011</v>
      </c>
      <c r="DD30" s="47">
        <v>488815.10114399996</v>
      </c>
      <c r="DE30" s="47">
        <v>218458.34209399999</v>
      </c>
      <c r="DF30" s="47">
        <v>159515.864302</v>
      </c>
      <c r="DG30" s="47">
        <v>79703.341304000001</v>
      </c>
      <c r="DH30" s="47">
        <v>28997.374606000001</v>
      </c>
      <c r="DI30" s="47"/>
      <c r="DJ30" s="47">
        <v>2245445.0883999998</v>
      </c>
      <c r="DK30" s="47">
        <v>763421.32721400016</v>
      </c>
      <c r="DL30" s="47">
        <v>524372.82597400004</v>
      </c>
      <c r="DM30" s="47">
        <v>236302.95321399998</v>
      </c>
      <c r="DN30" s="47">
        <v>172333.99719700002</v>
      </c>
      <c r="DO30" s="47">
        <v>85596.812168999997</v>
      </c>
      <c r="DP30" s="47">
        <v>31319.410334</v>
      </c>
      <c r="DQ30" s="47"/>
      <c r="DR30" s="47">
        <v>2297630.0888723549</v>
      </c>
      <c r="DS30" s="47">
        <v>778547.53693932306</v>
      </c>
      <c r="DT30" s="47">
        <v>532948.17036766373</v>
      </c>
      <c r="DU30" s="47">
        <v>238983.37133596887</v>
      </c>
      <c r="DV30" s="47">
        <v>174099.76085664178</v>
      </c>
      <c r="DW30" s="47">
        <v>86090.499979368062</v>
      </c>
      <c r="DX30" s="47">
        <v>31430.402641127799</v>
      </c>
      <c r="DY30" s="297"/>
      <c r="DZ30" s="47">
        <v>2407399.0884214072</v>
      </c>
      <c r="EA30" s="47">
        <v>800941.9673567923</v>
      </c>
      <c r="EB30" s="47">
        <v>543466.80798547657</v>
      </c>
      <c r="EC30" s="47">
        <v>240739.90023643814</v>
      </c>
      <c r="ED30" s="47">
        <v>174922.99228081468</v>
      </c>
      <c r="EE30" s="47">
        <v>86284.786039959785</v>
      </c>
      <c r="EF30" s="47">
        <v>31460.816917661621</v>
      </c>
      <c r="EG30" s="542"/>
      <c r="EH30" s="47">
        <v>2515356.0884213918</v>
      </c>
      <c r="EI30" s="47">
        <v>829073.01123994112</v>
      </c>
      <c r="EJ30" s="47">
        <v>557015.48419115169</v>
      </c>
      <c r="EK30" s="47">
        <v>242528.28448339543</v>
      </c>
      <c r="EL30" s="47">
        <v>175819.43316292891</v>
      </c>
      <c r="EM30" s="47">
        <v>86419.459572817286</v>
      </c>
      <c r="EN30" s="47">
        <v>31466.481269794367</v>
      </c>
      <c r="EO30" s="47"/>
      <c r="EP30" s="47">
        <v>2652478.7584000002</v>
      </c>
      <c r="EQ30" s="47">
        <v>865598.13908799994</v>
      </c>
      <c r="ER30" s="47">
        <v>578000.44869799993</v>
      </c>
      <c r="ES30" s="47">
        <v>248168.20219800001</v>
      </c>
      <c r="ET30" s="47">
        <v>179276.023292</v>
      </c>
      <c r="EU30" s="47">
        <v>87697.800172999996</v>
      </c>
      <c r="EV30" s="47">
        <v>31684.868437000001</v>
      </c>
      <c r="EW30" s="47"/>
      <c r="EX30" s="47">
        <v>2840413.7584000002</v>
      </c>
      <c r="EY30" s="47">
        <v>912957.641176</v>
      </c>
      <c r="EZ30" s="47">
        <v>605704.22542600008</v>
      </c>
      <c r="FA30" s="47">
        <v>256777.94206599999</v>
      </c>
      <c r="FB30" s="47">
        <v>184774.24525400001</v>
      </c>
      <c r="FC30" s="47">
        <v>89927.917117999998</v>
      </c>
      <c r="FD30" s="47">
        <v>32412.434324999998</v>
      </c>
      <c r="FE30" s="47"/>
      <c r="FF30" s="47">
        <v>2999892.7584000002</v>
      </c>
      <c r="FG30" s="47">
        <v>923143.56490599981</v>
      </c>
      <c r="FH30" s="47">
        <v>611963.7761759999</v>
      </c>
      <c r="FI30" s="47">
        <v>258704.44838599997</v>
      </c>
      <c r="FJ30" s="47">
        <v>185726.33488399998</v>
      </c>
      <c r="FK30" s="47">
        <v>90084.206537999999</v>
      </c>
      <c r="FL30" s="47">
        <v>32433.166594999999</v>
      </c>
      <c r="FN30" s="47">
        <v>3025119.7579000001</v>
      </c>
      <c r="FO30" s="47">
        <v>924043.422777</v>
      </c>
      <c r="FP30" s="47">
        <v>612181.33010699996</v>
      </c>
      <c r="FQ30" s="47">
        <v>258712.37900699998</v>
      </c>
      <c r="FR30" s="47">
        <v>185902.75642299998</v>
      </c>
      <c r="FS30" s="47">
        <v>90084.353285999998</v>
      </c>
      <c r="FT30" s="47">
        <v>32433.173770000001</v>
      </c>
      <c r="FV30" s="44">
        <v>3069666.7579000001</v>
      </c>
      <c r="FW30" s="44">
        <v>925670.42277699988</v>
      </c>
      <c r="FX30" s="44">
        <v>612994.83010699996</v>
      </c>
      <c r="FY30" s="44">
        <v>258875.07900699999</v>
      </c>
      <c r="FZ30" s="44">
        <v>185984.10642300002</v>
      </c>
      <c r="GA30" s="44">
        <v>90100.623286000002</v>
      </c>
      <c r="GB30" s="44">
        <v>32434.800770000002</v>
      </c>
      <c r="GC30" s="44"/>
      <c r="GE30" s="47">
        <v>3116896.7579000001</v>
      </c>
      <c r="GF30" s="47">
        <v>928851.71131299995</v>
      </c>
      <c r="GG30" s="47">
        <v>614575.16088300012</v>
      </c>
      <c r="GH30" s="47">
        <v>258936.41760300001</v>
      </c>
      <c r="GI30" s="47">
        <v>185830.08883700002</v>
      </c>
      <c r="GJ30" s="47">
        <v>90093.272580000004</v>
      </c>
      <c r="GK30" s="47">
        <v>32439.447413000002</v>
      </c>
      <c r="GM30" s="47">
        <v>3179795.7579000001</v>
      </c>
      <c r="GN30" s="47">
        <v>928851.71131299995</v>
      </c>
      <c r="GO30" s="47">
        <v>614575.16088300012</v>
      </c>
      <c r="GP30" s="47">
        <v>258936.41760300001</v>
      </c>
      <c r="GQ30" s="47">
        <v>185830.08883700002</v>
      </c>
      <c r="GR30" s="47">
        <v>90093.272580000004</v>
      </c>
      <c r="GS30" s="47">
        <v>32439.447413000002</v>
      </c>
      <c r="GT30" s="187"/>
      <c r="GU30" s="480">
        <v>2873663.0586999999</v>
      </c>
      <c r="GV30" s="481">
        <v>778203.45083799993</v>
      </c>
      <c r="GW30" s="481">
        <v>505012.00794800004</v>
      </c>
      <c r="GX30" s="481">
        <v>203983.20371799998</v>
      </c>
      <c r="GY30" s="481">
        <v>144802.71710099999</v>
      </c>
      <c r="GZ30" s="481">
        <v>68982.212946</v>
      </c>
      <c r="HA30" s="481">
        <v>24730.733365</v>
      </c>
      <c r="HB30" s="256"/>
      <c r="HC30" s="480">
        <v>2821776.0591000002</v>
      </c>
      <c r="HD30" s="481">
        <v>755012.55498999998</v>
      </c>
      <c r="HE30" s="481">
        <v>488328.17329999997</v>
      </c>
      <c r="HF30" s="481">
        <v>196814.02471999999</v>
      </c>
      <c r="HG30" s="481">
        <v>139190.878008</v>
      </c>
      <c r="HH30" s="481">
        <v>66134.062651</v>
      </c>
      <c r="HI30" s="481">
        <v>23708.609568</v>
      </c>
      <c r="HJ30" s="481"/>
      <c r="HK30" s="480">
        <v>2770482.0591000002</v>
      </c>
      <c r="HL30" s="481">
        <v>735354.82949099981</v>
      </c>
      <c r="HM30" s="481">
        <v>474175.35729099996</v>
      </c>
      <c r="HN30" s="481">
        <v>189194.506371</v>
      </c>
      <c r="HO30" s="481">
        <v>133472.877675</v>
      </c>
      <c r="HP30" s="481">
        <v>62891.952684999997</v>
      </c>
      <c r="HQ30" s="481">
        <v>22423.69731</v>
      </c>
      <c r="HR30" s="256"/>
      <c r="HS30" s="480">
        <v>2685182.0586000001</v>
      </c>
      <c r="HT30" s="481">
        <v>704684.58338899992</v>
      </c>
      <c r="HU30" s="481">
        <v>452840.22750899999</v>
      </c>
      <c r="HV30" s="481">
        <v>179627.02517899999</v>
      </c>
      <c r="HW30" s="481">
        <v>126814.80385999999</v>
      </c>
      <c r="HX30" s="481">
        <v>59763.244014999997</v>
      </c>
      <c r="HY30" s="481">
        <v>21265.592091999999</v>
      </c>
      <c r="HZ30" s="47"/>
      <c r="IA30" s="480">
        <v>2479979.0584999998</v>
      </c>
      <c r="IB30" s="481">
        <v>657719.42417399993</v>
      </c>
      <c r="IC30" s="481">
        <v>429894.94524400006</v>
      </c>
      <c r="ID30" s="481">
        <v>176028.703194</v>
      </c>
      <c r="IE30" s="481">
        <v>124977.255768</v>
      </c>
      <c r="IF30" s="481">
        <v>59409.923605999997</v>
      </c>
      <c r="IG30" s="481">
        <v>21230.353924999999</v>
      </c>
      <c r="IH30" s="47"/>
      <c r="II30" s="480">
        <v>2347427.0584999998</v>
      </c>
      <c r="IJ30" s="480">
        <v>625015.02711100003</v>
      </c>
      <c r="IK30" s="480">
        <v>411031.20506099996</v>
      </c>
      <c r="IL30" s="480">
        <v>170221.49415099999</v>
      </c>
      <c r="IM30" s="480">
        <v>121406.908763</v>
      </c>
      <c r="IN30" s="480">
        <v>57921.346074000001</v>
      </c>
      <c r="IO30" s="480">
        <v>20722.368484999999</v>
      </c>
      <c r="IP30" s="757"/>
      <c r="IQ30" s="757">
        <v>2310420.9985000002</v>
      </c>
      <c r="IR30" s="757">
        <v>611689.43233700003</v>
      </c>
      <c r="IS30" s="757">
        <v>402162.09535700001</v>
      </c>
      <c r="IT30" s="757">
        <v>166326.186847</v>
      </c>
      <c r="IU30" s="757">
        <v>118594.1667</v>
      </c>
      <c r="IV30" s="757">
        <v>56599.646251999999</v>
      </c>
      <c r="IW30" s="757">
        <v>20257.315376999999</v>
      </c>
      <c r="IX30" s="757"/>
      <c r="IY30" s="757">
        <v>2840411.9985000002</v>
      </c>
      <c r="IZ30" s="757">
        <v>700499.15007999993</v>
      </c>
      <c r="JA30" s="757">
        <v>456811.93158000003</v>
      </c>
      <c r="JB30" s="757">
        <v>186362.71129000001</v>
      </c>
      <c r="JC30" s="757">
        <v>132226.018805</v>
      </c>
      <c r="JD30" s="757">
        <v>62719.129715000003</v>
      </c>
      <c r="JE30" s="757">
        <v>22355.114841999999</v>
      </c>
      <c r="JF30" s="256"/>
      <c r="JG30" s="47">
        <v>296029.69929999998</v>
      </c>
      <c r="JH30" s="47">
        <v>145513.17660000001</v>
      </c>
      <c r="JI30" s="47">
        <v>106288.5578</v>
      </c>
      <c r="JJ30" s="47">
        <v>53879.166579999997</v>
      </c>
      <c r="JK30" s="47">
        <v>40372.846649999999</v>
      </c>
      <c r="JL30" s="47">
        <v>20825.497749999999</v>
      </c>
      <c r="JM30" s="47">
        <v>7724.2688740000003</v>
      </c>
      <c r="JN30" s="1034"/>
      <c r="JO30" s="47">
        <v>51886.999519999998</v>
      </c>
      <c r="JP30" s="47">
        <v>24217.519270000001</v>
      </c>
      <c r="JQ30" s="47">
        <v>17278.93318</v>
      </c>
      <c r="JR30" s="47">
        <v>8187.8827570000003</v>
      </c>
      <c r="JS30" s="47">
        <v>6021.006942</v>
      </c>
      <c r="JT30" s="47">
        <v>3131.1468960000002</v>
      </c>
      <c r="JU30" s="47">
        <v>1195.282078</v>
      </c>
      <c r="JV30" s="77"/>
      <c r="JW30" s="47">
        <v>51294</v>
      </c>
      <c r="JX30" s="47">
        <v>19548.683379999999</v>
      </c>
      <c r="JY30" s="47">
        <v>14322.67139</v>
      </c>
      <c r="JZ30" s="47">
        <v>7578.9889720000001</v>
      </c>
      <c r="KA30" s="47">
        <v>5871.7821999999996</v>
      </c>
      <c r="KB30" s="47">
        <v>3407.617632</v>
      </c>
      <c r="KC30" s="47">
        <v>1424.552608</v>
      </c>
      <c r="KD30" s="77"/>
      <c r="KE30" s="47">
        <v>85300.000490000006</v>
      </c>
      <c r="KF30" s="47">
        <v>31416.987349999999</v>
      </c>
      <c r="KG30" s="47">
        <v>22101.10585</v>
      </c>
      <c r="KH30" s="47">
        <v>9748.7880939999995</v>
      </c>
      <c r="KI30" s="47">
        <v>6978.4192709999998</v>
      </c>
      <c r="KJ30" s="47">
        <v>3446.6677930000001</v>
      </c>
      <c r="KK30" s="47">
        <v>1273.8927630000001</v>
      </c>
      <c r="KL30" s="77"/>
      <c r="KM30" s="47">
        <v>205203.0001</v>
      </c>
      <c r="KN30" s="47">
        <v>44338.557580000001</v>
      </c>
      <c r="KO30" s="47">
        <v>21701.86967</v>
      </c>
      <c r="KP30" s="47">
        <v>3770.61204</v>
      </c>
      <c r="KQ30" s="47">
        <v>1846.8125709999999</v>
      </c>
      <c r="KR30" s="47">
        <v>363.83140450000002</v>
      </c>
      <c r="KS30" s="47">
        <v>37.983817219999999</v>
      </c>
      <c r="KT30" s="77"/>
      <c r="KU30" s="47">
        <v>159932</v>
      </c>
      <c r="KV30" s="47">
        <v>39014.562120000002</v>
      </c>
      <c r="KW30" s="47">
        <v>22383.64947</v>
      </c>
      <c r="KX30" s="47">
        <v>6695.4481880000003</v>
      </c>
      <c r="KY30" s="47">
        <v>4275.7499799999996</v>
      </c>
      <c r="KZ30" s="47">
        <v>1790.148218</v>
      </c>
      <c r="LA30" s="47">
        <v>594.88169949999997</v>
      </c>
      <c r="LB30" s="77"/>
      <c r="LC30" s="1034">
        <v>220398.2635</v>
      </c>
      <c r="LD30" s="1034">
        <v>13862.104230000001</v>
      </c>
      <c r="LE30" s="1034">
        <v>7631.3262779999995</v>
      </c>
      <c r="LF30" s="1034">
        <v>2058.3144569999999</v>
      </c>
      <c r="LG30" s="1034">
        <v>1017.840236</v>
      </c>
      <c r="LH30" s="1034">
        <v>169.35902300000001</v>
      </c>
      <c r="LI30" s="1034">
        <v>21.872166660000001</v>
      </c>
      <c r="LJ30" s="77"/>
      <c r="LK30" s="1034">
        <v>10103</v>
      </c>
      <c r="LL30" s="1034">
        <v>6356.0226853599997</v>
      </c>
      <c r="LM30" s="1034">
        <v>5226.9003650600007</v>
      </c>
      <c r="LN30" s="1034">
        <v>3017.9567530600002</v>
      </c>
      <c r="LO30" s="1034">
        <v>2260.80187166</v>
      </c>
      <c r="LP30" s="1034">
        <v>1219.27332316</v>
      </c>
      <c r="LQ30" s="1034">
        <v>543.46961099999999</v>
      </c>
    </row>
    <row r="31" spans="1:329" s="43" customFormat="1" ht="9.75" customHeight="1" x14ac:dyDescent="0.2">
      <c r="A31" s="48">
        <v>1983</v>
      </c>
      <c r="B31" s="47">
        <v>2000665.6395</v>
      </c>
      <c r="C31" s="47">
        <v>688548.39315799996</v>
      </c>
      <c r="D31" s="47">
        <v>445847.23141800001</v>
      </c>
      <c r="E31" s="47">
        <v>174486.88163799999</v>
      </c>
      <c r="F31" s="47">
        <v>120037.93773000001</v>
      </c>
      <c r="G31" s="47">
        <v>52136.621371000001</v>
      </c>
      <c r="H31" s="47">
        <v>17338.951747999999</v>
      </c>
      <c r="I31" s="47"/>
      <c r="J31" s="47">
        <v>3060514.7870999998</v>
      </c>
      <c r="K31" s="47">
        <v>990609.15102899994</v>
      </c>
      <c r="L31" s="47">
        <v>661681.63680899993</v>
      </c>
      <c r="M31" s="47">
        <v>283059.465769</v>
      </c>
      <c r="N31" s="47">
        <v>204914.72886999999</v>
      </c>
      <c r="O31" s="47">
        <v>99661.689240000007</v>
      </c>
      <c r="P31" s="47">
        <v>36185.062422000003</v>
      </c>
      <c r="Q31" s="47"/>
      <c r="R31" s="47">
        <v>3426777.7873999998</v>
      </c>
      <c r="S31" s="47">
        <v>1007702.95205</v>
      </c>
      <c r="T31" s="47">
        <v>671083.82259</v>
      </c>
      <c r="U31" s="47">
        <v>285336.43909</v>
      </c>
      <c r="V31" s="47">
        <v>206103.21740099997</v>
      </c>
      <c r="W31" s="47">
        <v>99863.553080999991</v>
      </c>
      <c r="X31" s="47">
        <v>36211.885871999999</v>
      </c>
      <c r="Y31" s="47"/>
      <c r="Z31" s="47">
        <v>3060514.0016000001</v>
      </c>
      <c r="AA31" s="47">
        <v>763180.91883800004</v>
      </c>
      <c r="AB31" s="47">
        <v>498715.00925800006</v>
      </c>
      <c r="AC31" s="47">
        <v>204489.37733799999</v>
      </c>
      <c r="AD31" s="47">
        <v>145117.471422</v>
      </c>
      <c r="AE31" s="47">
        <v>67988.602740000002</v>
      </c>
      <c r="AF31" s="47">
        <v>24182.825519999999</v>
      </c>
      <c r="AG31" s="47"/>
      <c r="AH31" s="47">
        <v>2025341.4155999999</v>
      </c>
      <c r="AI31" s="47">
        <v>695828.18930299999</v>
      </c>
      <c r="AJ31" s="47">
        <v>450052.06338299997</v>
      </c>
      <c r="AK31" s="47">
        <v>176022.23405299999</v>
      </c>
      <c r="AL31" s="47">
        <v>121129.896954</v>
      </c>
      <c r="AM31" s="47">
        <v>52727.917632999997</v>
      </c>
      <c r="AN31" s="47">
        <v>17545.018910999999</v>
      </c>
      <c r="AO31" s="47"/>
      <c r="AP31" s="47">
        <v>2046128.8184</v>
      </c>
      <c r="AQ31" s="47">
        <v>708030.32225500001</v>
      </c>
      <c r="AR31" s="47">
        <v>461825.68441499997</v>
      </c>
      <c r="AS31" s="47">
        <v>186587.68983499997</v>
      </c>
      <c r="AT31" s="47">
        <v>129988.62063599999</v>
      </c>
      <c r="AU31" s="47">
        <v>57244.839642999999</v>
      </c>
      <c r="AV31" s="47">
        <v>18885.206302999999</v>
      </c>
      <c r="AW31" s="47"/>
      <c r="AX31" s="47">
        <v>2067120.8184</v>
      </c>
      <c r="AY31" s="47">
        <v>723438.45025499992</v>
      </c>
      <c r="AZ31" s="47">
        <v>475430.59961500001</v>
      </c>
      <c r="BA31" s="47">
        <v>196055.08183500002</v>
      </c>
      <c r="BB31" s="47">
        <v>137686.387036</v>
      </c>
      <c r="BC31" s="47">
        <v>61714.036443000005</v>
      </c>
      <c r="BD31" s="47">
        <v>20497.391903</v>
      </c>
      <c r="BE31" s="47"/>
      <c r="BF31" s="44">
        <v>2036898.8958999999</v>
      </c>
      <c r="BG31" s="44">
        <v>702622.77397599991</v>
      </c>
      <c r="BH31" s="44">
        <v>461545.83311599999</v>
      </c>
      <c r="BI31" s="44">
        <v>191653.557096</v>
      </c>
      <c r="BJ31" s="44">
        <v>135215.47111300001</v>
      </c>
      <c r="BK31" s="44">
        <v>61170.987614999998</v>
      </c>
      <c r="BL31" s="44">
        <v>20402.378958000001</v>
      </c>
      <c r="BN31" s="44">
        <v>2036898.8958999999</v>
      </c>
      <c r="BO31" s="44">
        <v>653703.58328199992</v>
      </c>
      <c r="BP31" s="44">
        <v>429820.44150199997</v>
      </c>
      <c r="BQ31" s="44">
        <v>175301.87857200002</v>
      </c>
      <c r="BR31" s="44">
        <v>123795.78369499999</v>
      </c>
      <c r="BS31" s="44">
        <v>57639.167346000002</v>
      </c>
      <c r="BT31" s="44">
        <v>19695.144569</v>
      </c>
      <c r="BU31" s="44"/>
      <c r="BV31" s="47">
        <v>2047332.8859000001</v>
      </c>
      <c r="BW31" s="47">
        <v>662550.60619800002</v>
      </c>
      <c r="BX31" s="47">
        <v>438161.83177799999</v>
      </c>
      <c r="BY31" s="47">
        <v>181121.08877799998</v>
      </c>
      <c r="BZ31" s="47">
        <v>128391.73419</v>
      </c>
      <c r="CA31" s="47">
        <v>60044.932514999993</v>
      </c>
      <c r="CB31" s="47">
        <v>20803.756541999999</v>
      </c>
      <c r="CC31" s="44"/>
      <c r="CD31" s="47">
        <v>2162987.8859000001</v>
      </c>
      <c r="CE31" s="47">
        <v>725620.83666099992</v>
      </c>
      <c r="CF31" s="47">
        <v>490438.72782099998</v>
      </c>
      <c r="CG31" s="47">
        <v>215622.00137100002</v>
      </c>
      <c r="CH31" s="47">
        <v>156581.02637600002</v>
      </c>
      <c r="CI31" s="47">
        <v>76401.758124999993</v>
      </c>
      <c r="CJ31" s="47">
        <v>27558.501634</v>
      </c>
      <c r="CL31" s="47">
        <v>2229406.8859000001</v>
      </c>
      <c r="CM31" s="47">
        <v>752041.7118419999</v>
      </c>
      <c r="CN31" s="47">
        <v>509838.70821200003</v>
      </c>
      <c r="CO31" s="47">
        <v>225842.23768200001</v>
      </c>
      <c r="CP31" s="47">
        <v>164599.272837</v>
      </c>
      <c r="CQ31" s="47">
        <v>80694.677075999993</v>
      </c>
      <c r="CR31" s="47">
        <v>29242.823823999999</v>
      </c>
      <c r="CS31" s="47"/>
      <c r="CT31" s="47">
        <v>2267743.8859000001</v>
      </c>
      <c r="CU31" s="47">
        <v>769256.14179999998</v>
      </c>
      <c r="CV31" s="47">
        <v>523137.68624999997</v>
      </c>
      <c r="CW31" s="47">
        <v>233668.29249999998</v>
      </c>
      <c r="CX31" s="47">
        <v>170524.14584300001</v>
      </c>
      <c r="CY31" s="47">
        <v>83858.093121999991</v>
      </c>
      <c r="CZ31" s="47">
        <v>30570.255183000001</v>
      </c>
      <c r="DA31" s="47"/>
      <c r="DB31" s="47">
        <v>2267743.8859000001</v>
      </c>
      <c r="DC31" s="47">
        <v>780149.25030499999</v>
      </c>
      <c r="DD31" s="47">
        <v>533611.8936650001</v>
      </c>
      <c r="DE31" s="47">
        <v>242524.84478500002</v>
      </c>
      <c r="DF31" s="47">
        <v>178002.236546</v>
      </c>
      <c r="DG31" s="47">
        <v>88844.89546900001</v>
      </c>
      <c r="DH31" s="47">
        <v>32788.506558000001</v>
      </c>
      <c r="DI31" s="47"/>
      <c r="DJ31" s="47">
        <v>2403925.5159</v>
      </c>
      <c r="DK31" s="47">
        <v>823581.910577</v>
      </c>
      <c r="DL31" s="47">
        <v>568180.12943700003</v>
      </c>
      <c r="DM31" s="47">
        <v>260029.343757</v>
      </c>
      <c r="DN31" s="47">
        <v>190672.62763800001</v>
      </c>
      <c r="DO31" s="47">
        <v>94717.744395000002</v>
      </c>
      <c r="DP31" s="47">
        <v>34926.690012999999</v>
      </c>
      <c r="DQ31" s="47"/>
      <c r="DR31" s="47">
        <v>2458726.5155577171</v>
      </c>
      <c r="DS31" s="47">
        <v>840027.93476568104</v>
      </c>
      <c r="DT31" s="47">
        <v>577867.49353551527</v>
      </c>
      <c r="DU31" s="47">
        <v>262911.33135884785</v>
      </c>
      <c r="DV31" s="47">
        <v>192453.03616560696</v>
      </c>
      <c r="DW31" s="47">
        <v>95272.549825239359</v>
      </c>
      <c r="DX31" s="47">
        <v>35046.315931279612</v>
      </c>
      <c r="DY31" s="297"/>
      <c r="DZ31" s="47">
        <v>2578608.5160553781</v>
      </c>
      <c r="EA31" s="47">
        <v>864139.62269283412</v>
      </c>
      <c r="EB31" s="47">
        <v>589544.786323137</v>
      </c>
      <c r="EC31" s="47">
        <v>264637.63033630955</v>
      </c>
      <c r="ED31" s="47">
        <v>193434.54950483248</v>
      </c>
      <c r="EE31" s="47">
        <v>95548.77436603664</v>
      </c>
      <c r="EF31" s="47">
        <v>35065.980436983249</v>
      </c>
      <c r="EG31" s="542"/>
      <c r="EH31" s="47">
        <v>2696124.5160552952</v>
      </c>
      <c r="EI31" s="47">
        <v>894652.98744309146</v>
      </c>
      <c r="EJ31" s="47">
        <v>605275.84118591552</v>
      </c>
      <c r="EK31" s="47">
        <v>266807.53471362183</v>
      </c>
      <c r="EL31" s="47">
        <v>194459.79379006673</v>
      </c>
      <c r="EM31" s="47">
        <v>95761.658886457968</v>
      </c>
      <c r="EN31" s="47">
        <v>35097.02244424411</v>
      </c>
      <c r="EO31" s="47"/>
      <c r="EP31" s="47">
        <v>2858644.7870999998</v>
      </c>
      <c r="EQ31" s="47">
        <v>939402.10751200002</v>
      </c>
      <c r="ER31" s="47">
        <v>631103.53300200007</v>
      </c>
      <c r="ES31" s="47">
        <v>273864.07895200001</v>
      </c>
      <c r="ET31" s="47">
        <v>199041.82593799999</v>
      </c>
      <c r="EU31" s="47">
        <v>97304.150618</v>
      </c>
      <c r="EV31" s="47">
        <v>35595.581980000003</v>
      </c>
      <c r="EW31" s="47"/>
      <c r="EX31" s="47">
        <v>3060514.7870999998</v>
      </c>
      <c r="EY31" s="47">
        <v>990609.15102899994</v>
      </c>
      <c r="EZ31" s="47">
        <v>661681.63680899993</v>
      </c>
      <c r="FA31" s="47">
        <v>283059.465769</v>
      </c>
      <c r="FB31" s="47">
        <v>204914.72886999999</v>
      </c>
      <c r="FC31" s="47">
        <v>99661.689240000007</v>
      </c>
      <c r="FD31" s="47">
        <v>36185.062422000003</v>
      </c>
      <c r="FE31" s="47"/>
      <c r="FF31" s="47">
        <v>3230951.7870999998</v>
      </c>
      <c r="FG31" s="47">
        <v>1001430.1961589999</v>
      </c>
      <c r="FH31" s="47">
        <v>668163.35591899999</v>
      </c>
      <c r="FI31" s="47">
        <v>285055.283039</v>
      </c>
      <c r="FJ31" s="47">
        <v>205954.39457</v>
      </c>
      <c r="FK31" s="47">
        <v>99835.534979999997</v>
      </c>
      <c r="FL31" s="47">
        <v>36208.923602000003</v>
      </c>
      <c r="FN31" s="47">
        <v>3257362.7873999998</v>
      </c>
      <c r="FO31" s="47">
        <v>1002091.474021</v>
      </c>
      <c r="FP31" s="47">
        <v>668381.10473099991</v>
      </c>
      <c r="FQ31" s="47">
        <v>285082.12384100002</v>
      </c>
      <c r="FR31" s="47">
        <v>205967.43289200001</v>
      </c>
      <c r="FS31" s="47">
        <v>99836.10438199999</v>
      </c>
      <c r="FT31" s="47">
        <v>36209.197786999997</v>
      </c>
      <c r="FV31" s="44">
        <v>3303718.7873999998</v>
      </c>
      <c r="FW31" s="44">
        <v>1003733.9740210001</v>
      </c>
      <c r="FX31" s="44">
        <v>669202.35473100003</v>
      </c>
      <c r="FY31" s="44">
        <v>285246.37384100002</v>
      </c>
      <c r="FZ31" s="44">
        <v>206049.55789200001</v>
      </c>
      <c r="GA31" s="44">
        <v>99852.529382000008</v>
      </c>
      <c r="GB31" s="44">
        <v>36210.840286999999</v>
      </c>
      <c r="GC31" s="44"/>
      <c r="GE31" s="47">
        <v>3357279.7873999998</v>
      </c>
      <c r="GF31" s="47">
        <v>1007702.95205</v>
      </c>
      <c r="GG31" s="47">
        <v>671083.82259</v>
      </c>
      <c r="GH31" s="47">
        <v>285336.43909</v>
      </c>
      <c r="GI31" s="47">
        <v>206103.21740099997</v>
      </c>
      <c r="GJ31" s="47">
        <v>99863.553080999991</v>
      </c>
      <c r="GK31" s="47">
        <v>36211.885871999999</v>
      </c>
      <c r="GM31" s="47">
        <v>3426777.7873999998</v>
      </c>
      <c r="GN31" s="47">
        <v>1007702.95205</v>
      </c>
      <c r="GO31" s="47">
        <v>671083.82259</v>
      </c>
      <c r="GP31" s="47">
        <v>285336.43909</v>
      </c>
      <c r="GQ31" s="47">
        <v>206103.21740099997</v>
      </c>
      <c r="GR31" s="47">
        <v>99863.553080999991</v>
      </c>
      <c r="GS31" s="47">
        <v>36211.885871999999</v>
      </c>
      <c r="GT31" s="187"/>
      <c r="GU31" s="480">
        <v>3131369.1238000002</v>
      </c>
      <c r="GV31" s="481">
        <v>858837.46193500003</v>
      </c>
      <c r="GW31" s="481">
        <v>560937.14357500011</v>
      </c>
      <c r="GX31" s="481">
        <v>228497.79160500001</v>
      </c>
      <c r="GY31" s="481">
        <v>162219.73225299999</v>
      </c>
      <c r="GZ31" s="481">
        <v>76616.025603999995</v>
      </c>
      <c r="HA31" s="481">
        <v>27379.109474000001</v>
      </c>
      <c r="HB31" s="256"/>
      <c r="HC31" s="480">
        <v>3073084.1238000002</v>
      </c>
      <c r="HD31" s="481">
        <v>832671.63774399995</v>
      </c>
      <c r="HE31" s="481">
        <v>541869.63632399996</v>
      </c>
      <c r="HF31" s="481">
        <v>219365.153494</v>
      </c>
      <c r="HG31" s="481">
        <v>155502.67822900001</v>
      </c>
      <c r="HH31" s="481">
        <v>73141.426605999994</v>
      </c>
      <c r="HI31" s="481">
        <v>26012.09318</v>
      </c>
      <c r="HJ31" s="481"/>
      <c r="HK31" s="480">
        <v>3006665.1238000002</v>
      </c>
      <c r="HL31" s="481">
        <v>807523.99217999994</v>
      </c>
      <c r="HM31" s="481">
        <v>523593.17435000004</v>
      </c>
      <c r="HN31" s="481">
        <v>209995.21571000002</v>
      </c>
      <c r="HO31" s="481">
        <v>148129.127255</v>
      </c>
      <c r="HP31" s="481">
        <v>69298.239984</v>
      </c>
      <c r="HQ31" s="481">
        <v>24672.981773</v>
      </c>
      <c r="HR31" s="256"/>
      <c r="HS31" s="480">
        <v>2914788.1241000001</v>
      </c>
      <c r="HT31" s="481">
        <v>774794.93413999991</v>
      </c>
      <c r="HU31" s="481">
        <v>501086.36685000005</v>
      </c>
      <c r="HV31" s="481">
        <v>199785.53961999997</v>
      </c>
      <c r="HW31" s="481">
        <v>140758.292697</v>
      </c>
      <c r="HX31" s="481">
        <v>65606.582125000001</v>
      </c>
      <c r="HY31" s="481">
        <v>23300.966257</v>
      </c>
      <c r="HZ31" s="47"/>
      <c r="IA31" s="480">
        <v>2693024.1246000002</v>
      </c>
      <c r="IB31" s="481">
        <v>723251.71331399994</v>
      </c>
      <c r="IC31" s="481">
        <v>474608.503004</v>
      </c>
      <c r="ID31" s="481">
        <v>195588.530164</v>
      </c>
      <c r="IE31" s="481">
        <v>138802.150379</v>
      </c>
      <c r="IF31" s="481">
        <v>65236.377858</v>
      </c>
      <c r="IG31" s="481">
        <v>23245.766075</v>
      </c>
      <c r="IH31" s="47"/>
      <c r="II31" s="480">
        <v>2550525.1246000002</v>
      </c>
      <c r="IJ31" s="480">
        <v>687118.30920699995</v>
      </c>
      <c r="IK31" s="480">
        <v>453304.04779699998</v>
      </c>
      <c r="IL31" s="480">
        <v>189042.34258699999</v>
      </c>
      <c r="IM31" s="480">
        <v>134904.48194500001</v>
      </c>
      <c r="IN31" s="480">
        <v>63642.513758000001</v>
      </c>
      <c r="IO31" s="480">
        <v>22757.818272</v>
      </c>
      <c r="IP31" s="757"/>
      <c r="IQ31" s="757">
        <v>2494840.0016000001</v>
      </c>
      <c r="IR31" s="757">
        <v>666870.99456500006</v>
      </c>
      <c r="IS31" s="757">
        <v>439627.59491500002</v>
      </c>
      <c r="IT31" s="757">
        <v>182846.78383500001</v>
      </c>
      <c r="IU31" s="757">
        <v>130384.34431400002</v>
      </c>
      <c r="IV31" s="757">
        <v>61427.116650000004</v>
      </c>
      <c r="IW31" s="757">
        <v>21948.865762000001</v>
      </c>
      <c r="IX31" s="757"/>
      <c r="IY31" s="757">
        <v>3060514.0016000001</v>
      </c>
      <c r="IZ31" s="757">
        <v>763180.91883800004</v>
      </c>
      <c r="JA31" s="757">
        <v>498715.00925800006</v>
      </c>
      <c r="JB31" s="757">
        <v>204489.37733799999</v>
      </c>
      <c r="JC31" s="757">
        <v>145117.471422</v>
      </c>
      <c r="JD31" s="757">
        <v>67988.602740000002</v>
      </c>
      <c r="JE31" s="757">
        <v>24182.825519999999</v>
      </c>
      <c r="JF31" s="256"/>
      <c r="JG31" s="47">
        <v>287118.66360000003</v>
      </c>
      <c r="JH31" s="47">
        <v>144996.82449999999</v>
      </c>
      <c r="JI31" s="47">
        <v>108078.985</v>
      </c>
      <c r="JJ31" s="47">
        <v>56752.345930000003</v>
      </c>
      <c r="JK31" s="47">
        <v>43764.367299999998</v>
      </c>
      <c r="JL31" s="47">
        <v>23423.361389999998</v>
      </c>
      <c r="JM31" s="47">
        <v>8936.722033</v>
      </c>
      <c r="JN31" s="1034"/>
      <c r="JO31" s="47">
        <v>58284.999940000002</v>
      </c>
      <c r="JP31" s="47">
        <v>27470.201400000002</v>
      </c>
      <c r="JQ31" s="47">
        <v>19759.75993</v>
      </c>
      <c r="JR31" s="47">
        <v>9511.6939650000004</v>
      </c>
      <c r="JS31" s="47">
        <v>7087.956279</v>
      </c>
      <c r="JT31" s="47">
        <v>3643.4721690000001</v>
      </c>
      <c r="JU31" s="47">
        <v>1378.6000340000001</v>
      </c>
      <c r="JV31" s="77"/>
      <c r="JW31" s="47">
        <v>66419</v>
      </c>
      <c r="JX31" s="47">
        <v>24978.565879999998</v>
      </c>
      <c r="JY31" s="47">
        <v>18244.09778</v>
      </c>
      <c r="JZ31" s="47">
        <v>9513.5800810000001</v>
      </c>
      <c r="KA31" s="47">
        <v>7332.3744919999999</v>
      </c>
      <c r="KB31" s="47">
        <v>4052.3452280000001</v>
      </c>
      <c r="KC31" s="47">
        <v>1628.2049919999999</v>
      </c>
      <c r="KD31" s="77"/>
      <c r="KE31" s="47">
        <v>91876.9997</v>
      </c>
      <c r="KF31" s="47">
        <v>33287.474920000001</v>
      </c>
      <c r="KG31" s="47">
        <v>23307.416669999999</v>
      </c>
      <c r="KH31" s="47">
        <v>10455.79062</v>
      </c>
      <c r="KI31" s="47">
        <v>7591.540285</v>
      </c>
      <c r="KJ31" s="47">
        <v>3805.3320330000001</v>
      </c>
      <c r="KK31" s="47">
        <v>1462.403233</v>
      </c>
      <c r="KL31" s="77"/>
      <c r="KM31" s="47">
        <v>221763.99950000001</v>
      </c>
      <c r="KN31" s="47">
        <v>49025.651039999997</v>
      </c>
      <c r="KO31" s="47">
        <v>24860.54161</v>
      </c>
      <c r="KP31" s="47">
        <v>4230.703692</v>
      </c>
      <c r="KQ31" s="47">
        <v>2083.083615</v>
      </c>
      <c r="KR31" s="47">
        <v>421.19856609999999</v>
      </c>
      <c r="KS31" s="47">
        <v>42.789588960000003</v>
      </c>
      <c r="KT31" s="77"/>
      <c r="KU31" s="47">
        <v>171781</v>
      </c>
      <c r="KV31" s="47">
        <v>42548.718379999998</v>
      </c>
      <c r="KW31" s="47">
        <v>24681.921839999999</v>
      </c>
      <c r="KX31" s="47">
        <v>7343.9248010000001</v>
      </c>
      <c r="KY31" s="47">
        <v>4717.427404</v>
      </c>
      <c r="KZ31" s="47">
        <v>1917.6143440000001</v>
      </c>
      <c r="LA31" s="47">
        <v>627.91552009999998</v>
      </c>
      <c r="LB31" s="77"/>
      <c r="LC31" s="1034">
        <v>236699.8088</v>
      </c>
      <c r="LD31" s="1034">
        <v>15094.80832</v>
      </c>
      <c r="LE31" s="1034">
        <v>8072.9557569999997</v>
      </c>
      <c r="LF31" s="1034">
        <v>2147.4630889999999</v>
      </c>
      <c r="LG31" s="1034">
        <v>1114.8236959999999</v>
      </c>
      <c r="LH31" s="1034">
        <v>186.82307539999999</v>
      </c>
      <c r="LI31" s="1034">
        <v>25.180949859999998</v>
      </c>
      <c r="LJ31" s="77"/>
      <c r="LK31" s="1034">
        <v>8290</v>
      </c>
      <c r="LL31" s="1034">
        <v>5242.2220539</v>
      </c>
      <c r="LM31" s="1034">
        <v>4333.7105891900001</v>
      </c>
      <c r="LN31" s="1034">
        <v>2535.3565410900001</v>
      </c>
      <c r="LO31" s="1034">
        <v>1920.3971041700001</v>
      </c>
      <c r="LP31" s="1034">
        <v>1041.84881133</v>
      </c>
      <c r="LQ31" s="1034">
        <v>459.88781789000001</v>
      </c>
    </row>
    <row r="32" spans="1:329" s="43" customFormat="1" ht="9.75" customHeight="1" x14ac:dyDescent="0.2">
      <c r="A32" s="48">
        <v>1984</v>
      </c>
      <c r="B32" s="47">
        <v>2192076.7248</v>
      </c>
      <c r="C32" s="47">
        <v>758031.09428500012</v>
      </c>
      <c r="D32" s="47">
        <v>494072.93574500002</v>
      </c>
      <c r="E32" s="47">
        <v>197420.36999500002</v>
      </c>
      <c r="F32" s="47">
        <v>137727.37621300001</v>
      </c>
      <c r="G32" s="47">
        <v>62072.765400000004</v>
      </c>
      <c r="H32" s="47">
        <v>21478.521024999998</v>
      </c>
      <c r="I32" s="47"/>
      <c r="J32" s="47">
        <v>3443988.0337</v>
      </c>
      <c r="K32" s="47">
        <v>1117844.285934</v>
      </c>
      <c r="L32" s="47">
        <v>751709.58609400003</v>
      </c>
      <c r="M32" s="47">
        <v>328661.84436400002</v>
      </c>
      <c r="N32" s="47">
        <v>238709.02800399999</v>
      </c>
      <c r="O32" s="47">
        <v>117545.365594</v>
      </c>
      <c r="P32" s="47">
        <v>44077.338370999998</v>
      </c>
      <c r="Q32" s="47"/>
      <c r="R32" s="47">
        <v>3819730.0334999999</v>
      </c>
      <c r="S32" s="47">
        <v>1136000.8041439999</v>
      </c>
      <c r="T32" s="47">
        <v>761773.39085399988</v>
      </c>
      <c r="U32" s="47">
        <v>331209.67784400005</v>
      </c>
      <c r="V32" s="47">
        <v>240060.41046899999</v>
      </c>
      <c r="W32" s="47">
        <v>117730.61567900001</v>
      </c>
      <c r="X32" s="47">
        <v>44105.462017999998</v>
      </c>
      <c r="Y32" s="47"/>
      <c r="Z32" s="47">
        <v>3443986.9992</v>
      </c>
      <c r="AA32" s="47">
        <v>888872.23638299992</v>
      </c>
      <c r="AB32" s="47">
        <v>587339.81277299998</v>
      </c>
      <c r="AC32" s="47">
        <v>248991.224873</v>
      </c>
      <c r="AD32" s="47">
        <v>177684.34627099999</v>
      </c>
      <c r="AE32" s="47">
        <v>83258.417472000001</v>
      </c>
      <c r="AF32" s="47">
        <v>30751.911948000001</v>
      </c>
      <c r="AG32" s="47"/>
      <c r="AH32" s="47">
        <v>2219107.9657000001</v>
      </c>
      <c r="AI32" s="47">
        <v>764891.48665600002</v>
      </c>
      <c r="AJ32" s="47">
        <v>497929.17239600001</v>
      </c>
      <c r="AK32" s="47">
        <v>198771.35340600004</v>
      </c>
      <c r="AL32" s="47">
        <v>138671.25732700003</v>
      </c>
      <c r="AM32" s="47">
        <v>62611.183738000007</v>
      </c>
      <c r="AN32" s="47">
        <v>21640.016861</v>
      </c>
      <c r="AO32" s="47"/>
      <c r="AP32" s="47">
        <v>2245991.2804999999</v>
      </c>
      <c r="AQ32" s="47">
        <v>781002.67900700006</v>
      </c>
      <c r="AR32" s="47">
        <v>513643.17171699996</v>
      </c>
      <c r="AS32" s="47">
        <v>213130.09778700001</v>
      </c>
      <c r="AT32" s="47">
        <v>150769.77549</v>
      </c>
      <c r="AU32" s="47">
        <v>69615.822045000008</v>
      </c>
      <c r="AV32" s="47">
        <v>23257.953743999999</v>
      </c>
      <c r="AW32" s="47"/>
      <c r="AX32" s="47">
        <v>2270035.2804999999</v>
      </c>
      <c r="AY32" s="47">
        <v>798650.97500700003</v>
      </c>
      <c r="AZ32" s="47">
        <v>529226.08811699995</v>
      </c>
      <c r="BA32" s="47">
        <v>223973.94178700002</v>
      </c>
      <c r="BB32" s="47">
        <v>159586.71029000002</v>
      </c>
      <c r="BC32" s="47">
        <v>74734.789644999997</v>
      </c>
      <c r="BD32" s="47">
        <v>25104.532943999999</v>
      </c>
      <c r="BE32" s="47"/>
      <c r="BF32" s="44">
        <v>2234972.2878</v>
      </c>
      <c r="BG32" s="44">
        <v>774469.34286099987</v>
      </c>
      <c r="BH32" s="44">
        <v>512804.14419099997</v>
      </c>
      <c r="BI32" s="44">
        <v>218277.25771100001</v>
      </c>
      <c r="BJ32" s="44">
        <v>156288.58702400001</v>
      </c>
      <c r="BK32" s="44">
        <v>73875.921118999991</v>
      </c>
      <c r="BL32" s="44">
        <v>24922.189052999998</v>
      </c>
      <c r="BN32" s="44">
        <v>2234972.2878</v>
      </c>
      <c r="BO32" s="44">
        <v>721246.85570700013</v>
      </c>
      <c r="BP32" s="44">
        <v>479057.338987</v>
      </c>
      <c r="BQ32" s="44">
        <v>200704.13908699999</v>
      </c>
      <c r="BR32" s="44">
        <v>143794.78482</v>
      </c>
      <c r="BS32" s="44">
        <v>68325.456076000002</v>
      </c>
      <c r="BT32" s="44">
        <v>23864.762523000001</v>
      </c>
      <c r="BU32" s="44"/>
      <c r="BV32" s="47">
        <v>2246314.5858</v>
      </c>
      <c r="BW32" s="47">
        <v>730375.53121299995</v>
      </c>
      <c r="BX32" s="47">
        <v>487419.49004299997</v>
      </c>
      <c r="BY32" s="47">
        <v>206738.64224299998</v>
      </c>
      <c r="BZ32" s="47">
        <v>148552.88636399998</v>
      </c>
      <c r="CA32" s="47">
        <v>71067.507562999992</v>
      </c>
      <c r="CB32" s="47">
        <v>25280.041743999998</v>
      </c>
      <c r="CC32" s="44"/>
      <c r="CD32" s="47">
        <v>2395857.5858</v>
      </c>
      <c r="CE32" s="47">
        <v>807673.8313330001</v>
      </c>
      <c r="CF32" s="47">
        <v>549795.32181300002</v>
      </c>
      <c r="CG32" s="47">
        <v>247784.83659300001</v>
      </c>
      <c r="CH32" s="47">
        <v>181120.94144600001</v>
      </c>
      <c r="CI32" s="47">
        <v>90082.060002999991</v>
      </c>
      <c r="CJ32" s="47">
        <v>33346.732240999998</v>
      </c>
      <c r="CL32" s="47">
        <v>2477334.5858</v>
      </c>
      <c r="CM32" s="47">
        <v>838405.66317999992</v>
      </c>
      <c r="CN32" s="47">
        <v>572681.39591999992</v>
      </c>
      <c r="CO32" s="47">
        <v>259524.56693999999</v>
      </c>
      <c r="CP32" s="47">
        <v>189969.301393</v>
      </c>
      <c r="CQ32" s="47">
        <v>94747.231623</v>
      </c>
      <c r="CR32" s="47">
        <v>35223.100745999996</v>
      </c>
      <c r="CS32" s="47"/>
      <c r="CT32" s="47">
        <v>2519412.5858</v>
      </c>
      <c r="CU32" s="47">
        <v>856583.46808399993</v>
      </c>
      <c r="CV32" s="47">
        <v>586982.44670399989</v>
      </c>
      <c r="CW32" s="47">
        <v>267315.71003399999</v>
      </c>
      <c r="CX32" s="47">
        <v>196101.21896299999</v>
      </c>
      <c r="CY32" s="47">
        <v>98147.032873999997</v>
      </c>
      <c r="CZ32" s="47">
        <v>36726.271595999999</v>
      </c>
      <c r="DA32" s="47"/>
      <c r="DB32" s="47">
        <v>2519412.5858</v>
      </c>
      <c r="DC32" s="47">
        <v>867150.479146</v>
      </c>
      <c r="DD32" s="47">
        <v>596291.55903599993</v>
      </c>
      <c r="DE32" s="47">
        <v>275320.87060600001</v>
      </c>
      <c r="DF32" s="47">
        <v>202750.34161599999</v>
      </c>
      <c r="DG32" s="47">
        <v>102694.204776</v>
      </c>
      <c r="DH32" s="47">
        <v>39083.287130999997</v>
      </c>
      <c r="DI32" s="47"/>
      <c r="DJ32" s="47">
        <v>2708944.4308000002</v>
      </c>
      <c r="DK32" s="47">
        <v>933756.28180999996</v>
      </c>
      <c r="DL32" s="47">
        <v>648297.11528000003</v>
      </c>
      <c r="DM32" s="47">
        <v>303202.9339</v>
      </c>
      <c r="DN32" s="47">
        <v>222475.74924999999</v>
      </c>
      <c r="DO32" s="47">
        <v>111541.45094</v>
      </c>
      <c r="DP32" s="47">
        <v>42516.514662000001</v>
      </c>
      <c r="DQ32" s="47"/>
      <c r="DR32" s="47">
        <v>2765385.4309640676</v>
      </c>
      <c r="DS32" s="47">
        <v>950194.85708360106</v>
      </c>
      <c r="DT32" s="47">
        <v>658250.50019435526</v>
      </c>
      <c r="DU32" s="47">
        <v>306057.60963371646</v>
      </c>
      <c r="DV32" s="47">
        <v>224312.89186495089</v>
      </c>
      <c r="DW32" s="47">
        <v>112129.16060297459</v>
      </c>
      <c r="DX32" s="47">
        <v>42648.268690385026</v>
      </c>
      <c r="DY32" s="297"/>
      <c r="DZ32" s="47">
        <v>2904423.4307185947</v>
      </c>
      <c r="EA32" s="47">
        <v>977506.332526371</v>
      </c>
      <c r="EB32" s="47">
        <v>671477.65781913872</v>
      </c>
      <c r="EC32" s="47">
        <v>308008.47475928545</v>
      </c>
      <c r="ED32" s="47">
        <v>225384.74568606878</v>
      </c>
      <c r="EE32" s="47">
        <v>112337.52008341966</v>
      </c>
      <c r="EF32" s="47">
        <v>42662.661735486516</v>
      </c>
      <c r="EG32" s="542"/>
      <c r="EH32" s="47">
        <v>3032613.4307186268</v>
      </c>
      <c r="EI32" s="47">
        <v>1009947.0568075452</v>
      </c>
      <c r="EJ32" s="47">
        <v>688532.47755946196</v>
      </c>
      <c r="EK32" s="47">
        <v>309957.11810401001</v>
      </c>
      <c r="EL32" s="47">
        <v>226566.32454269263</v>
      </c>
      <c r="EM32" s="47">
        <v>112609.82091458904</v>
      </c>
      <c r="EN32" s="47">
        <v>42700.697246457181</v>
      </c>
      <c r="EO32" s="47"/>
      <c r="EP32" s="47">
        <v>3210789.0337</v>
      </c>
      <c r="EQ32" s="47">
        <v>1058575.0495199999</v>
      </c>
      <c r="ER32" s="47">
        <v>716307.98401000001</v>
      </c>
      <c r="ES32" s="47">
        <v>317779.85498999996</v>
      </c>
      <c r="ET32" s="47">
        <v>231575.09160300001</v>
      </c>
      <c r="EU32" s="47">
        <v>114574.25890300001</v>
      </c>
      <c r="EV32" s="47">
        <v>43106.014363000002</v>
      </c>
      <c r="EW32" s="47"/>
      <c r="EX32" s="47">
        <v>3443988.0337</v>
      </c>
      <c r="EY32" s="47">
        <v>1117844.285934</v>
      </c>
      <c r="EZ32" s="47">
        <v>751709.58609400003</v>
      </c>
      <c r="FA32" s="47">
        <v>328661.84436400002</v>
      </c>
      <c r="FB32" s="47">
        <v>238709.02800399999</v>
      </c>
      <c r="FC32" s="47">
        <v>117545.365594</v>
      </c>
      <c r="FD32" s="47">
        <v>44077.338370999998</v>
      </c>
      <c r="FE32" s="47"/>
      <c r="FF32" s="47">
        <v>3623080.0337</v>
      </c>
      <c r="FG32" s="47">
        <v>1129442.283854</v>
      </c>
      <c r="FH32" s="47">
        <v>758685.21949400008</v>
      </c>
      <c r="FI32" s="47">
        <v>330821.69388400007</v>
      </c>
      <c r="FJ32" s="47">
        <v>239826.56208400003</v>
      </c>
      <c r="FK32" s="47">
        <v>117702.966554</v>
      </c>
      <c r="FL32" s="47">
        <v>44098.829410999999</v>
      </c>
      <c r="FN32" s="47">
        <v>3639071.0334999999</v>
      </c>
      <c r="FO32" s="47">
        <v>1129956.7469600001</v>
      </c>
      <c r="FP32" s="47">
        <v>758781.81756999996</v>
      </c>
      <c r="FQ32" s="47">
        <v>330834.90682000003</v>
      </c>
      <c r="FR32" s="47">
        <v>239856.68509899999</v>
      </c>
      <c r="FS32" s="47">
        <v>117703.16424900001</v>
      </c>
      <c r="FT32" s="47">
        <v>44098.852314000003</v>
      </c>
      <c r="FV32" s="44">
        <v>3687295.0334999999</v>
      </c>
      <c r="FW32" s="44">
        <v>1131583.2469600001</v>
      </c>
      <c r="FX32" s="44">
        <v>759595.06757000007</v>
      </c>
      <c r="FY32" s="44">
        <v>330997.55682000006</v>
      </c>
      <c r="FZ32" s="44">
        <v>239938.01009900001</v>
      </c>
      <c r="GA32" s="44">
        <v>117719.42924900001</v>
      </c>
      <c r="GB32" s="44">
        <v>44100.478814000002</v>
      </c>
      <c r="GC32" s="44"/>
      <c r="GE32" s="47">
        <v>3746876.0334999999</v>
      </c>
      <c r="GF32" s="47">
        <v>1136000.8041439999</v>
      </c>
      <c r="GG32" s="47">
        <v>761773.39085399988</v>
      </c>
      <c r="GH32" s="47">
        <v>331209.67784400005</v>
      </c>
      <c r="GI32" s="47">
        <v>240060.41046899999</v>
      </c>
      <c r="GJ32" s="47">
        <v>117730.61567900001</v>
      </c>
      <c r="GK32" s="47">
        <v>44105.462017999998</v>
      </c>
      <c r="GM32" s="47">
        <v>3819730.0334999999</v>
      </c>
      <c r="GN32" s="47">
        <v>1136000.8041439999</v>
      </c>
      <c r="GO32" s="47">
        <v>761773.39085399988</v>
      </c>
      <c r="GP32" s="47">
        <v>331209.67784400005</v>
      </c>
      <c r="GQ32" s="47">
        <v>240060.41046899999</v>
      </c>
      <c r="GR32" s="47">
        <v>117730.61567900001</v>
      </c>
      <c r="GS32" s="47">
        <v>44105.462017999998</v>
      </c>
      <c r="GT32" s="187"/>
      <c r="GU32" s="480">
        <v>3509138.1298000002</v>
      </c>
      <c r="GV32" s="481">
        <v>978516.75683300011</v>
      </c>
      <c r="GW32" s="481">
        <v>644100.61223299999</v>
      </c>
      <c r="GX32" s="481">
        <v>268829.31706299999</v>
      </c>
      <c r="GY32" s="481">
        <v>191710.282248</v>
      </c>
      <c r="GZ32" s="481">
        <v>91228.112187999999</v>
      </c>
      <c r="HA32" s="481">
        <v>33488.852317999997</v>
      </c>
      <c r="HB32" s="256"/>
      <c r="HC32" s="480">
        <v>3441667.1294</v>
      </c>
      <c r="HD32" s="481">
        <v>948463.24228800007</v>
      </c>
      <c r="HE32" s="481">
        <v>622130.32338800014</v>
      </c>
      <c r="HF32" s="481">
        <v>257991.62641799997</v>
      </c>
      <c r="HG32" s="481">
        <v>183432.23410100001</v>
      </c>
      <c r="HH32" s="481">
        <v>86732.751541000005</v>
      </c>
      <c r="HI32" s="481">
        <v>31902.785002000001</v>
      </c>
      <c r="HJ32" s="481"/>
      <c r="HK32" s="480">
        <v>3360190.1294</v>
      </c>
      <c r="HL32" s="481">
        <v>918904.30418599991</v>
      </c>
      <c r="HM32" s="481">
        <v>601175.92743600009</v>
      </c>
      <c r="HN32" s="481">
        <v>247413.70842599997</v>
      </c>
      <c r="HO32" s="481">
        <v>175544.48965399998</v>
      </c>
      <c r="HP32" s="481">
        <v>82504.246106999999</v>
      </c>
      <c r="HQ32" s="481">
        <v>30313.774421999999</v>
      </c>
      <c r="HR32" s="256"/>
      <c r="HS32" s="480">
        <v>3260490.1291999999</v>
      </c>
      <c r="HT32" s="481">
        <v>884316.701642</v>
      </c>
      <c r="HU32" s="481">
        <v>577766.36569200002</v>
      </c>
      <c r="HV32" s="481">
        <v>236920.85068199999</v>
      </c>
      <c r="HW32" s="481">
        <v>167930.059736</v>
      </c>
      <c r="HX32" s="481">
        <v>78216.307518999994</v>
      </c>
      <c r="HY32" s="481">
        <v>28837.544046999999</v>
      </c>
      <c r="HZ32" s="47"/>
      <c r="IA32" s="480">
        <v>3008157.1291999999</v>
      </c>
      <c r="IB32" s="481">
        <v>827235.268102</v>
      </c>
      <c r="IC32" s="481">
        <v>547681.269722</v>
      </c>
      <c r="ID32" s="481">
        <v>232226.93722200001</v>
      </c>
      <c r="IE32" s="481">
        <v>165871.175605</v>
      </c>
      <c r="IF32" s="481">
        <v>77821.016352999999</v>
      </c>
      <c r="IG32" s="481">
        <v>28786.643623</v>
      </c>
      <c r="IH32" s="47"/>
      <c r="II32" s="480">
        <v>2849562.1291999999</v>
      </c>
      <c r="IJ32" s="480">
        <v>787199.73764799989</v>
      </c>
      <c r="IK32" s="480">
        <v>524516.46484799997</v>
      </c>
      <c r="IL32" s="480">
        <v>225103.43548800002</v>
      </c>
      <c r="IM32" s="480">
        <v>161153.87927100001</v>
      </c>
      <c r="IN32" s="480">
        <v>75936.106721000004</v>
      </c>
      <c r="IO32" s="480">
        <v>28131.135897</v>
      </c>
      <c r="IP32" s="757"/>
      <c r="IQ32" s="757">
        <v>2843473.9992</v>
      </c>
      <c r="IR32" s="757">
        <v>785070.11379800003</v>
      </c>
      <c r="IS32" s="757">
        <v>523067.53313800006</v>
      </c>
      <c r="IT32" s="757">
        <v>224435.68111800001</v>
      </c>
      <c r="IU32" s="757">
        <v>160663.90177699999</v>
      </c>
      <c r="IV32" s="757">
        <v>75695.713503999999</v>
      </c>
      <c r="IW32" s="757">
        <v>28037.918528999999</v>
      </c>
      <c r="IX32" s="757"/>
      <c r="IY32" s="757">
        <v>3443986.9992</v>
      </c>
      <c r="IZ32" s="757">
        <v>888872.23638299992</v>
      </c>
      <c r="JA32" s="757">
        <v>587339.81277299998</v>
      </c>
      <c r="JB32" s="757">
        <v>248991.224873</v>
      </c>
      <c r="JC32" s="757">
        <v>177684.34627099999</v>
      </c>
      <c r="JD32" s="757">
        <v>83258.417472000001</v>
      </c>
      <c r="JE32" s="757">
        <v>30751.911948000001</v>
      </c>
      <c r="JF32" s="256"/>
      <c r="JG32" s="47">
        <v>302231.90379999997</v>
      </c>
      <c r="JH32" s="47">
        <v>153932.08600000001</v>
      </c>
      <c r="JI32" s="47">
        <v>115931.6673</v>
      </c>
      <c r="JJ32" s="47">
        <v>62799.41332</v>
      </c>
      <c r="JK32" s="47">
        <v>48699.870300000002</v>
      </c>
      <c r="JL32" s="47">
        <v>26642.929840000001</v>
      </c>
      <c r="JM32" s="47">
        <v>10948.52369</v>
      </c>
      <c r="JN32" s="1034"/>
      <c r="JO32" s="47">
        <v>67471.000360000005</v>
      </c>
      <c r="JP32" s="47">
        <v>32086.709920000001</v>
      </c>
      <c r="JQ32" s="47">
        <v>23262.844089999999</v>
      </c>
      <c r="JR32" s="47">
        <v>11751.50231</v>
      </c>
      <c r="JS32" s="47">
        <v>8950.0048760000009</v>
      </c>
      <c r="JT32" s="47">
        <v>4882.7380750000002</v>
      </c>
      <c r="JU32" s="47">
        <v>1773.0470720000001</v>
      </c>
      <c r="JV32" s="77"/>
      <c r="JW32" s="47">
        <v>81477</v>
      </c>
      <c r="JX32" s="47">
        <v>29135.670620000001</v>
      </c>
      <c r="JY32" s="47">
        <v>20839.548989999999</v>
      </c>
      <c r="JZ32" s="47">
        <v>10654.42239</v>
      </c>
      <c r="KA32" s="47">
        <v>8016.8657560000001</v>
      </c>
      <c r="KB32" s="47">
        <v>4399.8081419999999</v>
      </c>
      <c r="KC32" s="47">
        <v>1798.7978720000001</v>
      </c>
      <c r="KD32" s="77"/>
      <c r="KE32" s="47">
        <v>99700.000190000006</v>
      </c>
      <c r="KF32" s="47">
        <v>35287.645579999997</v>
      </c>
      <c r="KG32" s="47">
        <v>24741.17166</v>
      </c>
      <c r="KH32" s="47">
        <v>11027.10809</v>
      </c>
      <c r="KI32" s="47">
        <v>7969.9038490000003</v>
      </c>
      <c r="KJ32" s="47">
        <v>4091.3200630000001</v>
      </c>
      <c r="KK32" s="47">
        <v>1638.9140520000001</v>
      </c>
      <c r="KL32" s="77"/>
      <c r="KM32" s="47">
        <v>252333</v>
      </c>
      <c r="KN32" s="47">
        <v>53189.752919999999</v>
      </c>
      <c r="KO32" s="47">
        <v>26803.20421</v>
      </c>
      <c r="KP32" s="47">
        <v>4562.7104989999998</v>
      </c>
      <c r="KQ32" s="47">
        <v>2240.671049</v>
      </c>
      <c r="KR32" s="47">
        <v>446.62644230000001</v>
      </c>
      <c r="KS32" s="47">
        <v>48.917743889999997</v>
      </c>
      <c r="KT32" s="77"/>
      <c r="KU32" s="47">
        <v>198166</v>
      </c>
      <c r="KV32" s="47">
        <v>49379.982309999999</v>
      </c>
      <c r="KW32" s="47">
        <v>28643.305469999999</v>
      </c>
      <c r="KX32" s="47">
        <v>8770.6498929999998</v>
      </c>
      <c r="KY32" s="47">
        <v>5657.073367</v>
      </c>
      <c r="KZ32" s="47">
        <v>2395.3453810000001</v>
      </c>
      <c r="LA32" s="47">
        <v>782.13008449999995</v>
      </c>
      <c r="LB32" s="77"/>
      <c r="LC32" s="1034">
        <v>238726.1459</v>
      </c>
      <c r="LD32" s="1034">
        <v>16277.497219999999</v>
      </c>
      <c r="LE32" s="1034">
        <v>8775.1384519999992</v>
      </c>
      <c r="LF32" s="1034">
        <v>2328.5332170000001</v>
      </c>
      <c r="LG32" s="1034">
        <v>1195.0559410000001</v>
      </c>
      <c r="LH32" s="1034">
        <v>169.9955885</v>
      </c>
      <c r="LI32" s="1034">
        <v>22.794933270000001</v>
      </c>
      <c r="LJ32" s="77"/>
      <c r="LK32" s="1034">
        <v>8360</v>
      </c>
      <c r="LL32" s="1034">
        <v>5272.4388621300004</v>
      </c>
      <c r="LM32" s="1034">
        <v>4365.8210444100005</v>
      </c>
      <c r="LN32" s="1034">
        <v>2576.94653621</v>
      </c>
      <c r="LO32" s="1034">
        <v>1949.71600577</v>
      </c>
      <c r="LP32" s="1034">
        <v>1053.34502602</v>
      </c>
      <c r="LQ32" s="1034">
        <v>470.47606281999998</v>
      </c>
    </row>
    <row r="33" spans="1:329" s="43" customFormat="1" ht="9.75" customHeight="1" x14ac:dyDescent="0.2">
      <c r="A33" s="48">
        <v>1985</v>
      </c>
      <c r="B33" s="47">
        <v>2347488.9868999999</v>
      </c>
      <c r="C33" s="47">
        <v>819660.06780299998</v>
      </c>
      <c r="D33" s="47">
        <v>536462.90418300009</v>
      </c>
      <c r="E33" s="47">
        <v>216629.13837300002</v>
      </c>
      <c r="F33" s="47">
        <v>151761.689427</v>
      </c>
      <c r="G33" s="47">
        <v>68462.569508</v>
      </c>
      <c r="H33" s="47">
        <v>22669.241085000001</v>
      </c>
      <c r="I33" s="47"/>
      <c r="J33" s="47">
        <v>3684187.6332999999</v>
      </c>
      <c r="K33" s="47">
        <v>1191261.359779</v>
      </c>
      <c r="L33" s="47">
        <v>801196.89521899994</v>
      </c>
      <c r="M33" s="47">
        <v>352292.54505900003</v>
      </c>
      <c r="N33" s="47">
        <v>258843.10874600001</v>
      </c>
      <c r="O33" s="47">
        <v>131057.124146</v>
      </c>
      <c r="P33" s="47">
        <v>46685.359538999997</v>
      </c>
      <c r="Q33" s="47"/>
      <c r="R33" s="47">
        <v>4081686.6335</v>
      </c>
      <c r="S33" s="47">
        <v>1213919.883537</v>
      </c>
      <c r="T33" s="47">
        <v>814354.33033700008</v>
      </c>
      <c r="U33" s="47">
        <v>356220.725767</v>
      </c>
      <c r="V33" s="47">
        <v>260795.25861199998</v>
      </c>
      <c r="W33" s="47">
        <v>131425.71898199999</v>
      </c>
      <c r="X33" s="47">
        <v>46766.804893</v>
      </c>
      <c r="Y33" s="47"/>
      <c r="Z33" s="47">
        <v>3684188.9997999999</v>
      </c>
      <c r="AA33" s="47">
        <v>945149.40605500003</v>
      </c>
      <c r="AB33" s="47">
        <v>622027.31710500002</v>
      </c>
      <c r="AC33" s="47">
        <v>261092.46635499998</v>
      </c>
      <c r="AD33" s="47">
        <v>188149.530061</v>
      </c>
      <c r="AE33" s="47">
        <v>91277.278420000002</v>
      </c>
      <c r="AF33" s="47">
        <v>31673.220236000001</v>
      </c>
      <c r="AG33" s="47"/>
      <c r="AH33" s="47">
        <v>2372473.9383</v>
      </c>
      <c r="AI33" s="47">
        <v>825003.34506199998</v>
      </c>
      <c r="AJ33" s="47">
        <v>539509.09408200008</v>
      </c>
      <c r="AK33" s="47">
        <v>217716.78956199999</v>
      </c>
      <c r="AL33" s="47">
        <v>152534.051622</v>
      </c>
      <c r="AM33" s="47">
        <v>69023.726076999999</v>
      </c>
      <c r="AN33" s="47">
        <v>22790.555230999998</v>
      </c>
      <c r="AO33" s="47"/>
      <c r="AP33" s="47">
        <v>2402770.14</v>
      </c>
      <c r="AQ33" s="47">
        <v>841471.32825500006</v>
      </c>
      <c r="AR33" s="47">
        <v>555536.41753500002</v>
      </c>
      <c r="AS33" s="47">
        <v>231939.85824500001</v>
      </c>
      <c r="AT33" s="47">
        <v>164342.202074</v>
      </c>
      <c r="AU33" s="47">
        <v>74837.243003000011</v>
      </c>
      <c r="AV33" s="47">
        <v>24479.563791</v>
      </c>
      <c r="AW33" s="47"/>
      <c r="AX33" s="47">
        <v>2430132.14</v>
      </c>
      <c r="AY33" s="47">
        <v>861555.03625500016</v>
      </c>
      <c r="AZ33" s="47">
        <v>573269.72973500006</v>
      </c>
      <c r="BA33" s="47">
        <v>244280.120245</v>
      </c>
      <c r="BB33" s="47">
        <v>174375.84747400001</v>
      </c>
      <c r="BC33" s="47">
        <v>80662.612802999996</v>
      </c>
      <c r="BD33" s="47">
        <v>26580.965391000002</v>
      </c>
      <c r="BE33" s="47"/>
      <c r="BF33" s="44">
        <v>2393063.6853</v>
      </c>
      <c r="BG33" s="44">
        <v>834429.64215899992</v>
      </c>
      <c r="BH33" s="44">
        <v>554592.053449</v>
      </c>
      <c r="BI33" s="44">
        <v>237519.17451899999</v>
      </c>
      <c r="BJ33" s="44">
        <v>170342.472958</v>
      </c>
      <c r="BK33" s="44">
        <v>78717.911024000001</v>
      </c>
      <c r="BL33" s="44">
        <v>26444.697444000001</v>
      </c>
      <c r="BN33" s="44">
        <v>2393063.6853</v>
      </c>
      <c r="BO33" s="44">
        <v>776459.21748200001</v>
      </c>
      <c r="BP33" s="44">
        <v>517488.9018419999</v>
      </c>
      <c r="BQ33" s="44">
        <v>220303.99974200001</v>
      </c>
      <c r="BR33" s="44">
        <v>158181.76368100001</v>
      </c>
      <c r="BS33" s="44">
        <v>77135.423741000006</v>
      </c>
      <c r="BT33" s="44">
        <v>25173.423010999999</v>
      </c>
      <c r="BU33" s="44"/>
      <c r="BV33" s="47">
        <v>2405314.2913000002</v>
      </c>
      <c r="BW33" s="47">
        <v>786794.06384199986</v>
      </c>
      <c r="BX33" s="47">
        <v>527612.63328199997</v>
      </c>
      <c r="BY33" s="47">
        <v>227798.907752</v>
      </c>
      <c r="BZ33" s="47">
        <v>165084.08546600002</v>
      </c>
      <c r="CA33" s="47">
        <v>82158.752099000005</v>
      </c>
      <c r="CB33" s="47">
        <v>28681.890817</v>
      </c>
      <c r="CC33" s="44"/>
      <c r="CD33" s="47">
        <v>2562850.2913000002</v>
      </c>
      <c r="CE33" s="47">
        <v>865662.139081</v>
      </c>
      <c r="CF33" s="47">
        <v>591397.49655100005</v>
      </c>
      <c r="CG33" s="47">
        <v>268314.47318100004</v>
      </c>
      <c r="CH33" s="47">
        <v>198845.49927599999</v>
      </c>
      <c r="CI33" s="47">
        <v>101603.543712</v>
      </c>
      <c r="CJ33" s="47">
        <v>36769.935053000001</v>
      </c>
      <c r="CL33" s="47">
        <v>2644460.2913000002</v>
      </c>
      <c r="CM33" s="47">
        <v>896754.52957399993</v>
      </c>
      <c r="CN33" s="47">
        <v>614088.75703400001</v>
      </c>
      <c r="CO33" s="47">
        <v>279930.51337399997</v>
      </c>
      <c r="CP33" s="47">
        <v>207919.88392699999</v>
      </c>
      <c r="CQ33" s="47">
        <v>106694.436107</v>
      </c>
      <c r="CR33" s="47">
        <v>38733.392810999998</v>
      </c>
      <c r="CS33" s="47"/>
      <c r="CT33" s="47">
        <v>2690604.2913000002</v>
      </c>
      <c r="CU33" s="47">
        <v>916879.33449299983</v>
      </c>
      <c r="CV33" s="47">
        <v>629222.87448300002</v>
      </c>
      <c r="CW33" s="47">
        <v>288881.81371299998</v>
      </c>
      <c r="CX33" s="47">
        <v>214665.171409</v>
      </c>
      <c r="CY33" s="47">
        <v>110477.54951899999</v>
      </c>
      <c r="CZ33" s="47">
        <v>40313.641237999997</v>
      </c>
      <c r="DA33" s="47"/>
      <c r="DB33" s="47">
        <v>2690604.2913000002</v>
      </c>
      <c r="DC33" s="47">
        <v>927838.03994099994</v>
      </c>
      <c r="DD33" s="47">
        <v>640113.01780099992</v>
      </c>
      <c r="DE33" s="47">
        <v>297879.01556099998</v>
      </c>
      <c r="DF33" s="47">
        <v>222516.41940300001</v>
      </c>
      <c r="DG33" s="47">
        <v>116554.39338299999</v>
      </c>
      <c r="DH33" s="47">
        <v>42399.234644999997</v>
      </c>
      <c r="DI33" s="47"/>
      <c r="DJ33" s="47">
        <v>2888276.1932999999</v>
      </c>
      <c r="DK33" s="47">
        <v>993774.40254899999</v>
      </c>
      <c r="DL33" s="47">
        <v>690165.11048899998</v>
      </c>
      <c r="DM33" s="47">
        <v>323823.13627899997</v>
      </c>
      <c r="DN33" s="47">
        <v>240547.580847</v>
      </c>
      <c r="DO33" s="47">
        <v>124388.48714700001</v>
      </c>
      <c r="DP33" s="47">
        <v>44935.340080000002</v>
      </c>
      <c r="DQ33" s="47"/>
      <c r="DR33" s="47">
        <v>2945442.1935019707</v>
      </c>
      <c r="DS33" s="47">
        <v>1010079.9903559594</v>
      </c>
      <c r="DT33" s="47">
        <v>699776.97992087691</v>
      </c>
      <c r="DU33" s="47">
        <v>327445.88023297838</v>
      </c>
      <c r="DV33" s="47">
        <v>241978.42057752906</v>
      </c>
      <c r="DW33" s="47">
        <v>125184.5184516227</v>
      </c>
      <c r="DX33" s="47">
        <v>45152.033519306628</v>
      </c>
      <c r="DY33" s="297"/>
      <c r="DZ33" s="47">
        <v>3093176.1933326959</v>
      </c>
      <c r="EA33" s="47">
        <v>1039382.9692703262</v>
      </c>
      <c r="EB33" s="47">
        <v>714101.29185185395</v>
      </c>
      <c r="EC33" s="47">
        <v>329241.85017818661</v>
      </c>
      <c r="ED33" s="47">
        <v>244097.44133818944</v>
      </c>
      <c r="EE33" s="47">
        <v>125403.55584473323</v>
      </c>
      <c r="EF33" s="47">
        <v>45170.268236633936</v>
      </c>
      <c r="EG33" s="542"/>
      <c r="EH33" s="47">
        <v>3234882.1933327504</v>
      </c>
      <c r="EI33" s="47">
        <v>1074754.7937241797</v>
      </c>
      <c r="EJ33" s="47">
        <v>732491.50537680113</v>
      </c>
      <c r="EK33" s="47">
        <v>332006.61768622237</v>
      </c>
      <c r="EL33" s="47">
        <v>245514.36528749723</v>
      </c>
      <c r="EM33" s="47">
        <v>125742.48791821599</v>
      </c>
      <c r="EN33" s="47">
        <v>45223.866553950516</v>
      </c>
      <c r="EO33" s="47"/>
      <c r="EP33" s="47">
        <v>3430263.6332999999</v>
      </c>
      <c r="EQ33" s="47">
        <v>1127763.0046910001</v>
      </c>
      <c r="ER33" s="47">
        <v>763047.32286099996</v>
      </c>
      <c r="ES33" s="47">
        <v>340588.74687100004</v>
      </c>
      <c r="ET33" s="47">
        <v>251126.237891</v>
      </c>
      <c r="EU33" s="47">
        <v>127794.830491</v>
      </c>
      <c r="EV33" s="47">
        <v>45609.88351</v>
      </c>
      <c r="EW33" s="47"/>
      <c r="EX33" s="47">
        <v>3684187.6332999999</v>
      </c>
      <c r="EY33" s="47">
        <v>1191261.359779</v>
      </c>
      <c r="EZ33" s="47">
        <v>801196.89521899994</v>
      </c>
      <c r="FA33" s="47">
        <v>352292.54505900003</v>
      </c>
      <c r="FB33" s="47">
        <v>258843.10874600001</v>
      </c>
      <c r="FC33" s="47">
        <v>131057.124146</v>
      </c>
      <c r="FD33" s="47">
        <v>46685.359538999997</v>
      </c>
      <c r="FE33" s="47"/>
      <c r="FF33" s="47">
        <v>3873673.6332</v>
      </c>
      <c r="FG33" s="47">
        <v>1207117.183986</v>
      </c>
      <c r="FH33" s="47">
        <v>811559.27073600003</v>
      </c>
      <c r="FI33" s="47">
        <v>355824.10506600002</v>
      </c>
      <c r="FJ33" s="47">
        <v>260612.19914700001</v>
      </c>
      <c r="FK33" s="47">
        <v>131387.69306700001</v>
      </c>
      <c r="FL33" s="47">
        <v>46761.457004000004</v>
      </c>
      <c r="FN33" s="47">
        <v>3889534.6335</v>
      </c>
      <c r="FO33" s="47">
        <v>1207630.5133119998</v>
      </c>
      <c r="FP33" s="47">
        <v>811704.62915200007</v>
      </c>
      <c r="FQ33" s="47">
        <v>355846.35591200006</v>
      </c>
      <c r="FR33" s="47">
        <v>260615.92509999999</v>
      </c>
      <c r="FS33" s="47">
        <v>131388.07553</v>
      </c>
      <c r="FT33" s="47">
        <v>46761.470509999999</v>
      </c>
      <c r="FV33" s="44">
        <v>3939884.6335</v>
      </c>
      <c r="FW33" s="44">
        <v>1209284.413312</v>
      </c>
      <c r="FX33" s="44">
        <v>812531.57915200002</v>
      </c>
      <c r="FY33" s="44">
        <v>356011.74591200001</v>
      </c>
      <c r="FZ33" s="44">
        <v>260698.6201</v>
      </c>
      <c r="GA33" s="44">
        <v>131404.61452999999</v>
      </c>
      <c r="GB33" s="44">
        <v>46763.124409999997</v>
      </c>
      <c r="GC33" s="44"/>
      <c r="GE33" s="47">
        <v>4003991.6335</v>
      </c>
      <c r="GF33" s="47">
        <v>1213919.883537</v>
      </c>
      <c r="GG33" s="47">
        <v>814354.33033700008</v>
      </c>
      <c r="GH33" s="47">
        <v>356220.725767</v>
      </c>
      <c r="GI33" s="47">
        <v>260795.25861199998</v>
      </c>
      <c r="GJ33" s="47">
        <v>131425.71898199999</v>
      </c>
      <c r="GK33" s="47">
        <v>46766.804893</v>
      </c>
      <c r="GM33" s="47">
        <v>4081686.6335</v>
      </c>
      <c r="GN33" s="47">
        <v>1213919.883537</v>
      </c>
      <c r="GO33" s="47">
        <v>814354.33033700008</v>
      </c>
      <c r="GP33" s="47">
        <v>356220.725767</v>
      </c>
      <c r="GQ33" s="47">
        <v>260795.25861199998</v>
      </c>
      <c r="GR33" s="47">
        <v>131425.71898199999</v>
      </c>
      <c r="GS33" s="47">
        <v>46766.804893</v>
      </c>
      <c r="GT33" s="187"/>
      <c r="GU33" s="480">
        <v>3735935.5466999998</v>
      </c>
      <c r="GV33" s="481">
        <v>1037790.3614770001</v>
      </c>
      <c r="GW33" s="481">
        <v>680852.66253700003</v>
      </c>
      <c r="GX33" s="481">
        <v>283077.98539699998</v>
      </c>
      <c r="GY33" s="481">
        <v>203990.18205200002</v>
      </c>
      <c r="GZ33" s="481">
        <v>99810.936691999988</v>
      </c>
      <c r="HA33" s="481">
        <v>34899.484540999998</v>
      </c>
      <c r="HB33" s="256"/>
      <c r="HC33" s="480">
        <v>3663813.5463999999</v>
      </c>
      <c r="HD33" s="481">
        <v>1003029.5373330001</v>
      </c>
      <c r="HE33" s="481">
        <v>655241.86515299999</v>
      </c>
      <c r="HF33" s="481">
        <v>270214.62621300004</v>
      </c>
      <c r="HG33" s="481">
        <v>194014.90264499999</v>
      </c>
      <c r="HH33" s="481">
        <v>94273.38522299999</v>
      </c>
      <c r="HI33" s="481">
        <v>33002.809788999999</v>
      </c>
      <c r="HJ33" s="481"/>
      <c r="HK33" s="480">
        <v>3582203.5463999999</v>
      </c>
      <c r="HL33" s="481">
        <v>973115.50716999988</v>
      </c>
      <c r="HM33" s="481">
        <v>634330.38858000003</v>
      </c>
      <c r="HN33" s="481">
        <v>259793.30091000002</v>
      </c>
      <c r="HO33" s="481">
        <v>186175.240823</v>
      </c>
      <c r="HP33" s="481">
        <v>89995.898778000002</v>
      </c>
      <c r="HQ33" s="481">
        <v>31269.038125999999</v>
      </c>
      <c r="HR33" s="256"/>
      <c r="HS33" s="480">
        <v>3474712.5462000002</v>
      </c>
      <c r="HT33" s="481">
        <v>936714.3399609999</v>
      </c>
      <c r="HU33" s="481">
        <v>609323.70567099995</v>
      </c>
      <c r="HV33" s="481">
        <v>248111.22849099999</v>
      </c>
      <c r="HW33" s="481">
        <v>177624.750845</v>
      </c>
      <c r="HX33" s="481">
        <v>85627.989612999998</v>
      </c>
      <c r="HY33" s="481">
        <v>29659.770547</v>
      </c>
      <c r="HZ33" s="47"/>
      <c r="IA33" s="480">
        <v>3198925.5458</v>
      </c>
      <c r="IB33" s="481">
        <v>875944.01185799984</v>
      </c>
      <c r="IC33" s="481">
        <v>578687.16227800003</v>
      </c>
      <c r="ID33" s="481">
        <v>242944.54002799999</v>
      </c>
      <c r="IE33" s="481">
        <v>174899.30950900001</v>
      </c>
      <c r="IF33" s="481">
        <v>85082.780924999999</v>
      </c>
      <c r="IG33" s="481">
        <v>29582.991103</v>
      </c>
      <c r="IH33" s="47"/>
      <c r="II33" s="480">
        <v>3031308.5458</v>
      </c>
      <c r="IJ33" s="480">
        <v>833467.06669400004</v>
      </c>
      <c r="IK33" s="480">
        <v>553380.12213399995</v>
      </c>
      <c r="IL33" s="480">
        <v>235170.543634</v>
      </c>
      <c r="IM33" s="480">
        <v>170037.42529300001</v>
      </c>
      <c r="IN33" s="480">
        <v>82932.605003999997</v>
      </c>
      <c r="IO33" s="480">
        <v>28860.570201999999</v>
      </c>
      <c r="IP33" s="757"/>
      <c r="IQ33" s="757">
        <v>3028655.9997999999</v>
      </c>
      <c r="IR33" s="757">
        <v>832532.31511900004</v>
      </c>
      <c r="IS33" s="757">
        <v>552743.34218899999</v>
      </c>
      <c r="IT33" s="757">
        <v>234874.26985899996</v>
      </c>
      <c r="IU33" s="757">
        <v>169819.12293299998</v>
      </c>
      <c r="IV33" s="757">
        <v>82820.091518999994</v>
      </c>
      <c r="IW33" s="757">
        <v>28819.395060999999</v>
      </c>
      <c r="IX33" s="757"/>
      <c r="IY33" s="757">
        <v>3684188.9997999999</v>
      </c>
      <c r="IZ33" s="757">
        <v>945149.40605500003</v>
      </c>
      <c r="JA33" s="757">
        <v>622027.31710500002</v>
      </c>
      <c r="JB33" s="757">
        <v>261092.46635499998</v>
      </c>
      <c r="JC33" s="757">
        <v>188149.530061</v>
      </c>
      <c r="JD33" s="757">
        <v>91277.278420000002</v>
      </c>
      <c r="JE33" s="757">
        <v>31673.220236000001</v>
      </c>
      <c r="JF33" s="256"/>
      <c r="JG33" s="47">
        <v>336817.08669999999</v>
      </c>
      <c r="JH33" s="47">
        <v>174904.03719999999</v>
      </c>
      <c r="JI33" s="47">
        <v>132551.57920000001</v>
      </c>
      <c r="JJ33" s="47">
        <v>73048.625079999998</v>
      </c>
      <c r="JK33" s="47">
        <v>57101.207649999997</v>
      </c>
      <c r="JL33" s="47">
        <v>32293.327430000001</v>
      </c>
      <c r="JM33" s="47">
        <v>12364.42317</v>
      </c>
      <c r="JN33" s="1034"/>
      <c r="JO33" s="47">
        <v>72122.000339999999</v>
      </c>
      <c r="JP33" s="47">
        <v>36636.742279999999</v>
      </c>
      <c r="JQ33" s="47">
        <v>27001.047859999999</v>
      </c>
      <c r="JR33" s="47">
        <v>13938.03211</v>
      </c>
      <c r="JS33" s="47">
        <v>10834.361010000001</v>
      </c>
      <c r="JT33" s="47">
        <v>6065.4580839999999</v>
      </c>
      <c r="JU33" s="47">
        <v>2198.0354659999998</v>
      </c>
      <c r="JV33" s="77"/>
      <c r="JW33" s="47">
        <v>81610</v>
      </c>
      <c r="JX33" s="47">
        <v>29425.29983</v>
      </c>
      <c r="JY33" s="47">
        <v>21101.355609999999</v>
      </c>
      <c r="JZ33" s="47">
        <v>10801.30443</v>
      </c>
      <c r="KA33" s="47">
        <v>8414.9034769999998</v>
      </c>
      <c r="KB33" s="47">
        <v>4706.2329010000003</v>
      </c>
      <c r="KC33" s="47">
        <v>1923.9574789999999</v>
      </c>
      <c r="KD33" s="77"/>
      <c r="KE33" s="47">
        <v>107491.00019999999</v>
      </c>
      <c r="KF33" s="47">
        <v>38047.119140000003</v>
      </c>
      <c r="KG33" s="47">
        <v>26777.02305</v>
      </c>
      <c r="KH33" s="47">
        <v>12262.890950000001</v>
      </c>
      <c r="KI33" s="47">
        <v>9062.1253059999999</v>
      </c>
      <c r="KJ33" s="47">
        <v>4671.7258659999998</v>
      </c>
      <c r="KK33" s="47">
        <v>1831.519652</v>
      </c>
      <c r="KL33" s="77"/>
      <c r="KM33" s="47">
        <v>275787.00040000002</v>
      </c>
      <c r="KN33" s="47">
        <v>57239.393609999999</v>
      </c>
      <c r="KO33" s="47">
        <v>29054.568139999999</v>
      </c>
      <c r="KP33" s="47">
        <v>5102.2839210000002</v>
      </c>
      <c r="KQ33" s="47">
        <v>2482.6778509999999</v>
      </c>
      <c r="KR33" s="47">
        <v>529.9515619</v>
      </c>
      <c r="KS33" s="47">
        <v>47.494171520000002</v>
      </c>
      <c r="KT33" s="77"/>
      <c r="KU33" s="47">
        <v>213342</v>
      </c>
      <c r="KV33" s="47">
        <v>52740.339529999997</v>
      </c>
      <c r="KW33" s="47">
        <v>30735.873449999999</v>
      </c>
      <c r="KX33" s="47">
        <v>9390.3655340000005</v>
      </c>
      <c r="KY33" s="47">
        <v>6112.8043120000002</v>
      </c>
      <c r="KZ33" s="47">
        <v>2686.6884839999998</v>
      </c>
      <c r="LA33" s="47">
        <v>886.72774670000001</v>
      </c>
      <c r="LB33" s="77"/>
      <c r="LC33" s="1034">
        <v>251380.76930000001</v>
      </c>
      <c r="LD33" s="1034">
        <v>18700.924230000001</v>
      </c>
      <c r="LE33" s="1034">
        <v>10683.94148</v>
      </c>
      <c r="LF33" s="1034">
        <v>2793.837188</v>
      </c>
      <c r="LG33" s="1034">
        <v>1569.5153130000001</v>
      </c>
      <c r="LH33" s="1034">
        <v>297.41310299999998</v>
      </c>
      <c r="LI33" s="1034">
        <v>73.887241130000007</v>
      </c>
      <c r="LJ33" s="77"/>
      <c r="LK33" s="1034">
        <v>8934</v>
      </c>
      <c r="LL33" s="1034">
        <v>5689.90484818</v>
      </c>
      <c r="LM33" s="1034">
        <v>4738.1624629200005</v>
      </c>
      <c r="LN33" s="1034">
        <v>2853.72567312</v>
      </c>
      <c r="LO33" s="1034">
        <v>2192.6311007199997</v>
      </c>
      <c r="LP33" s="1034">
        <v>1228.49172374</v>
      </c>
      <c r="LQ33" s="1034">
        <v>504.41250757</v>
      </c>
    </row>
    <row r="34" spans="1:329" s="43" customFormat="1" ht="9.75" customHeight="1" x14ac:dyDescent="0.2">
      <c r="A34" s="48">
        <v>1986</v>
      </c>
      <c r="B34" s="47">
        <v>2467743.8631000002</v>
      </c>
      <c r="C34" s="47">
        <v>875150.25873300002</v>
      </c>
      <c r="D34" s="47">
        <v>574219.521603</v>
      </c>
      <c r="E34" s="47">
        <v>232583.43545299998</v>
      </c>
      <c r="F34" s="47">
        <v>162288.59972900001</v>
      </c>
      <c r="G34" s="47">
        <v>72291.934506999998</v>
      </c>
      <c r="H34" s="47">
        <v>25179.749158999999</v>
      </c>
      <c r="I34" s="47"/>
      <c r="J34" s="47">
        <v>3848203.7167000002</v>
      </c>
      <c r="K34" s="47">
        <v>1240216.9354900001</v>
      </c>
      <c r="L34" s="47">
        <v>825855.24994000001</v>
      </c>
      <c r="M34" s="47">
        <v>357618.85392999998</v>
      </c>
      <c r="N34" s="47">
        <v>259189.81174400004</v>
      </c>
      <c r="O34" s="47">
        <v>126696.902214</v>
      </c>
      <c r="P34" s="47">
        <v>45966.286782000003</v>
      </c>
      <c r="Q34" s="47"/>
      <c r="R34" s="47">
        <v>4271088.7170000002</v>
      </c>
      <c r="S34" s="47">
        <v>1262832.7328899999</v>
      </c>
      <c r="T34" s="47">
        <v>838764.61087000009</v>
      </c>
      <c r="U34" s="47">
        <v>361045.80407000001</v>
      </c>
      <c r="V34" s="47">
        <v>261212.470137</v>
      </c>
      <c r="W34" s="47">
        <v>127013.53053699998</v>
      </c>
      <c r="X34" s="47">
        <v>46002.513014999997</v>
      </c>
      <c r="Y34" s="47"/>
      <c r="Z34" s="47">
        <v>3848202.9994000001</v>
      </c>
      <c r="AA34" s="47">
        <v>970488.38082499988</v>
      </c>
      <c r="AB34" s="47">
        <v>627358.0584349999</v>
      </c>
      <c r="AC34" s="47">
        <v>255025.66093500002</v>
      </c>
      <c r="AD34" s="47">
        <v>180408.229773</v>
      </c>
      <c r="AE34" s="47">
        <v>85439.305671000009</v>
      </c>
      <c r="AF34" s="47">
        <v>30099.208731999999</v>
      </c>
      <c r="AG34" s="188"/>
      <c r="AH34" s="47">
        <v>2490259.5079999999</v>
      </c>
      <c r="AI34" s="47">
        <v>877163.39911599993</v>
      </c>
      <c r="AJ34" s="47">
        <v>574830.29743599996</v>
      </c>
      <c r="AK34" s="47">
        <v>232428.44422599999</v>
      </c>
      <c r="AL34" s="47">
        <v>162121.635625</v>
      </c>
      <c r="AM34" s="47">
        <v>72308.082671000011</v>
      </c>
      <c r="AN34" s="47">
        <v>25443.582576000001</v>
      </c>
      <c r="AO34" s="188"/>
      <c r="AP34" s="47">
        <v>2525565.838</v>
      </c>
      <c r="AQ34" s="47">
        <v>895213.60473999998</v>
      </c>
      <c r="AR34" s="47">
        <v>592290.60294999997</v>
      </c>
      <c r="AS34" s="47">
        <v>247789.29406000001</v>
      </c>
      <c r="AT34" s="47">
        <v>174825.77587800001</v>
      </c>
      <c r="AU34" s="47">
        <v>78748.748256000006</v>
      </c>
      <c r="AV34" s="47">
        <v>27414.546074000002</v>
      </c>
      <c r="AW34" s="47"/>
      <c r="AX34" s="47">
        <v>2556736.838</v>
      </c>
      <c r="AY34" s="47">
        <v>918093.11873800005</v>
      </c>
      <c r="AZ34" s="47">
        <v>612492.52804800007</v>
      </c>
      <c r="BA34" s="47">
        <v>261847.41505799998</v>
      </c>
      <c r="BB34" s="47">
        <v>186256.181576</v>
      </c>
      <c r="BC34" s="47">
        <v>85385.054155999998</v>
      </c>
      <c r="BD34" s="47">
        <v>29808.478874</v>
      </c>
      <c r="BE34" s="47"/>
      <c r="BF34" s="44">
        <v>2521631.3911000001</v>
      </c>
      <c r="BG34" s="44">
        <v>889307.74507599999</v>
      </c>
      <c r="BH34" s="44">
        <v>592427.17657600006</v>
      </c>
      <c r="BI34" s="44">
        <v>253979.40660599997</v>
      </c>
      <c r="BJ34" s="44">
        <v>181582.78271</v>
      </c>
      <c r="BK34" s="44">
        <v>84273.92347899999</v>
      </c>
      <c r="BL34" s="44">
        <v>29594.533867999999</v>
      </c>
      <c r="BN34" s="44">
        <v>2521631.3911000001</v>
      </c>
      <c r="BO34" s="44">
        <v>824105.94583200011</v>
      </c>
      <c r="BP34" s="44">
        <v>548325.45442199998</v>
      </c>
      <c r="BQ34" s="44">
        <v>232655.31657200001</v>
      </c>
      <c r="BR34" s="44">
        <v>166479.51968</v>
      </c>
      <c r="BS34" s="44">
        <v>79734.626822999999</v>
      </c>
      <c r="BT34" s="44">
        <v>27876.299295000001</v>
      </c>
      <c r="BU34" s="44"/>
      <c r="BV34" s="47">
        <v>2534790.3051</v>
      </c>
      <c r="BW34" s="47">
        <v>834693.27456099994</v>
      </c>
      <c r="BX34" s="47">
        <v>558053.36605099996</v>
      </c>
      <c r="BY34" s="47">
        <v>238985.42639100002</v>
      </c>
      <c r="BZ34" s="47">
        <v>171904.08275</v>
      </c>
      <c r="CA34" s="47">
        <v>83041.414695999993</v>
      </c>
      <c r="CB34" s="47">
        <v>29605.210071000001</v>
      </c>
      <c r="CC34" s="44"/>
      <c r="CD34" s="47">
        <v>2643309.3051</v>
      </c>
      <c r="CE34" s="47">
        <v>888387.50103499996</v>
      </c>
      <c r="CF34" s="47">
        <v>601881.95576499996</v>
      </c>
      <c r="CG34" s="47">
        <v>267606.12065500004</v>
      </c>
      <c r="CH34" s="47">
        <v>195298.07507900003</v>
      </c>
      <c r="CI34" s="47">
        <v>96066.741800000003</v>
      </c>
      <c r="CJ34" s="47">
        <v>34505.697738000003</v>
      </c>
      <c r="CL34" s="47">
        <v>2735180.3051</v>
      </c>
      <c r="CM34" s="47">
        <v>923045.49550300022</v>
      </c>
      <c r="CN34" s="47">
        <v>627202.25198299997</v>
      </c>
      <c r="CO34" s="47">
        <v>280545.14428299997</v>
      </c>
      <c r="CP34" s="47">
        <v>205309.51290699997</v>
      </c>
      <c r="CQ34" s="47">
        <v>101707.825967</v>
      </c>
      <c r="CR34" s="47">
        <v>36504.394482999996</v>
      </c>
      <c r="CS34" s="47"/>
      <c r="CT34" s="47">
        <v>2786190.3051</v>
      </c>
      <c r="CU34" s="47">
        <v>945301.1023139999</v>
      </c>
      <c r="CV34" s="47">
        <v>643863.28726400004</v>
      </c>
      <c r="CW34" s="47">
        <v>289991.47982400004</v>
      </c>
      <c r="CX34" s="47">
        <v>212589.01701100002</v>
      </c>
      <c r="CY34" s="47">
        <v>105919.18169100001</v>
      </c>
      <c r="CZ34" s="47">
        <v>38177.675080000001</v>
      </c>
      <c r="DA34" s="47"/>
      <c r="DB34" s="47">
        <v>2786190.3040999998</v>
      </c>
      <c r="DC34" s="47">
        <v>955546.84269599989</v>
      </c>
      <c r="DD34" s="47">
        <v>654576.96876600001</v>
      </c>
      <c r="DE34" s="47">
        <v>298760.20830599999</v>
      </c>
      <c r="DF34" s="47">
        <v>219832.754973</v>
      </c>
      <c r="DG34" s="47">
        <v>111027.42622299999</v>
      </c>
      <c r="DH34" s="47">
        <v>40220.794866999997</v>
      </c>
      <c r="DI34" s="47"/>
      <c r="DJ34" s="47">
        <v>2992513.1121</v>
      </c>
      <c r="DK34" s="47">
        <v>1023023.83767</v>
      </c>
      <c r="DL34" s="47">
        <v>704389.42452</v>
      </c>
      <c r="DM34" s="47">
        <v>326481.04434000002</v>
      </c>
      <c r="DN34" s="47">
        <v>239989.57577700002</v>
      </c>
      <c r="DO34" s="47">
        <v>120634.657137</v>
      </c>
      <c r="DP34" s="47">
        <v>44116.896353999997</v>
      </c>
      <c r="DQ34" s="47"/>
      <c r="DR34" s="47">
        <v>3048201.1122315186</v>
      </c>
      <c r="DS34" s="47">
        <v>1038659.1213806865</v>
      </c>
      <c r="DT34" s="47">
        <v>713965.0706641702</v>
      </c>
      <c r="DU34" s="47">
        <v>329671.72996967158</v>
      </c>
      <c r="DV34" s="47">
        <v>241955.13605839966</v>
      </c>
      <c r="DW34" s="47">
        <v>121210.1306467401</v>
      </c>
      <c r="DX34" s="47">
        <v>44260.003558433906</v>
      </c>
      <c r="DY34" s="297"/>
      <c r="DZ34" s="47">
        <v>3206070.1117384713</v>
      </c>
      <c r="EA34" s="47">
        <v>1070983.2941098732</v>
      </c>
      <c r="EB34" s="47">
        <v>730050.51119663182</v>
      </c>
      <c r="EC34" s="47">
        <v>332340.45912941569</v>
      </c>
      <c r="ED34" s="47">
        <v>244048.92231486028</v>
      </c>
      <c r="EE34" s="47">
        <v>121422.61035880852</v>
      </c>
      <c r="EF34" s="47">
        <v>44284.249391420875</v>
      </c>
      <c r="EG34" s="542"/>
      <c r="EH34" s="47">
        <v>3359514.1117384168</v>
      </c>
      <c r="EI34" s="47">
        <v>1110796.7486066204</v>
      </c>
      <c r="EJ34" s="47">
        <v>751211.4991338707</v>
      </c>
      <c r="EK34" s="47">
        <v>335972.82264618872</v>
      </c>
      <c r="EL34" s="47">
        <v>245150.67482027732</v>
      </c>
      <c r="EM34" s="47">
        <v>121791.03192645572</v>
      </c>
      <c r="EN34" s="47">
        <v>44361.971406039738</v>
      </c>
      <c r="EO34" s="47"/>
      <c r="EP34" s="47">
        <v>3586907.7167000002</v>
      </c>
      <c r="EQ34" s="47">
        <v>1174626.5446319999</v>
      </c>
      <c r="ER34" s="47">
        <v>787221.61199200014</v>
      </c>
      <c r="ES34" s="47">
        <v>346050.75524199998</v>
      </c>
      <c r="ET34" s="47">
        <v>251805.74364100001</v>
      </c>
      <c r="EU34" s="47">
        <v>123876.28424099999</v>
      </c>
      <c r="EV34" s="47">
        <v>44978.371212999999</v>
      </c>
      <c r="EW34" s="47"/>
      <c r="EX34" s="47">
        <v>3848203.7167000002</v>
      </c>
      <c r="EY34" s="47">
        <v>1240216.9354900001</v>
      </c>
      <c r="EZ34" s="47">
        <v>825855.24994000001</v>
      </c>
      <c r="FA34" s="47">
        <v>357618.85392999998</v>
      </c>
      <c r="FB34" s="47">
        <v>259189.81174400004</v>
      </c>
      <c r="FC34" s="47">
        <v>126696.902214</v>
      </c>
      <c r="FD34" s="47">
        <v>45966.286782000003</v>
      </c>
      <c r="FE34" s="47"/>
      <c r="FF34" s="47">
        <v>4048185.7168000001</v>
      </c>
      <c r="FG34" s="47">
        <v>1255256.0049459999</v>
      </c>
      <c r="FH34" s="47">
        <v>835691.4834860001</v>
      </c>
      <c r="FI34" s="47">
        <v>360687.81998600002</v>
      </c>
      <c r="FJ34" s="47">
        <v>260998.20754200002</v>
      </c>
      <c r="FK34" s="47">
        <v>126972.85796200001</v>
      </c>
      <c r="FL34" s="47">
        <v>45997.295229000003</v>
      </c>
      <c r="FN34" s="47">
        <v>4064652.7170000002</v>
      </c>
      <c r="FO34" s="47">
        <v>1256084.6134950002</v>
      </c>
      <c r="FP34" s="47">
        <v>835755.01997500006</v>
      </c>
      <c r="FQ34" s="47">
        <v>360699.02499499999</v>
      </c>
      <c r="FR34" s="47">
        <v>261011.49523999996</v>
      </c>
      <c r="FS34" s="47">
        <v>126973.09495</v>
      </c>
      <c r="FT34" s="47">
        <v>45997.307031999997</v>
      </c>
      <c r="FV34" s="44">
        <v>4118031.7170000002</v>
      </c>
      <c r="FW34" s="44">
        <v>1257742.3134949999</v>
      </c>
      <c r="FX34" s="44">
        <v>836583.86997499992</v>
      </c>
      <c r="FY34" s="44">
        <v>360864.794995</v>
      </c>
      <c r="FZ34" s="44">
        <v>261094.38024</v>
      </c>
      <c r="GA34" s="44">
        <v>126989.67194999999</v>
      </c>
      <c r="GB34" s="44">
        <v>45998.964732</v>
      </c>
      <c r="GC34" s="44"/>
      <c r="GE34" s="47">
        <v>4187578.7170000002</v>
      </c>
      <c r="GF34" s="47">
        <v>1262832.7328899999</v>
      </c>
      <c r="GG34" s="47">
        <v>838764.61087000009</v>
      </c>
      <c r="GH34" s="47">
        <v>361045.80407000001</v>
      </c>
      <c r="GI34" s="47">
        <v>261212.470137</v>
      </c>
      <c r="GJ34" s="47">
        <v>127013.53053699998</v>
      </c>
      <c r="GK34" s="47">
        <v>46002.513014999997</v>
      </c>
      <c r="GM34" s="47">
        <v>4271088.7170000002</v>
      </c>
      <c r="GN34" s="47">
        <v>1262832.7328899999</v>
      </c>
      <c r="GO34" s="47">
        <v>838764.61087000009</v>
      </c>
      <c r="GP34" s="47">
        <v>361045.80407000001</v>
      </c>
      <c r="GQ34" s="47">
        <v>261212.470137</v>
      </c>
      <c r="GR34" s="47">
        <v>127013.53053699998</v>
      </c>
      <c r="GS34" s="47">
        <v>46002.513014999997</v>
      </c>
      <c r="GT34" s="187"/>
      <c r="GU34" s="480">
        <v>3909628.8223000001</v>
      </c>
      <c r="GV34" s="481">
        <v>1074544.3443080001</v>
      </c>
      <c r="GW34" s="481">
        <v>694766.35253799998</v>
      </c>
      <c r="GX34" s="481">
        <v>280304.19617800001</v>
      </c>
      <c r="GY34" s="481">
        <v>198426.71984500001</v>
      </c>
      <c r="GZ34" s="481">
        <v>93019.355685000002</v>
      </c>
      <c r="HA34" s="481">
        <v>33096.694986000002</v>
      </c>
      <c r="HB34" s="256"/>
      <c r="HC34" s="480">
        <v>3832179.8220000002</v>
      </c>
      <c r="HD34" s="481">
        <v>1037988.7419130001</v>
      </c>
      <c r="HE34" s="481">
        <v>666524.70215300005</v>
      </c>
      <c r="HF34" s="481">
        <v>266362.04679300002</v>
      </c>
      <c r="HG34" s="481">
        <v>187491.229677</v>
      </c>
      <c r="HH34" s="481">
        <v>89095.468403000006</v>
      </c>
      <c r="HI34" s="481">
        <v>31070.448769999999</v>
      </c>
      <c r="HJ34" s="481"/>
      <c r="HK34" s="480">
        <v>3740308.8220000002</v>
      </c>
      <c r="HL34" s="481">
        <v>1004761.214738</v>
      </c>
      <c r="HM34" s="481">
        <v>644000.59739800007</v>
      </c>
      <c r="HN34" s="481">
        <v>255276.30610799999</v>
      </c>
      <c r="HO34" s="481">
        <v>179081.52194200002</v>
      </c>
      <c r="HP34" s="481">
        <v>83177.290624000001</v>
      </c>
      <c r="HQ34" s="481">
        <v>29572.488602000001</v>
      </c>
      <c r="HR34" s="256"/>
      <c r="HS34" s="480">
        <v>3624150.8218999999</v>
      </c>
      <c r="HT34" s="481">
        <v>965402.310619</v>
      </c>
      <c r="HU34" s="481">
        <v>617587.64602899994</v>
      </c>
      <c r="HV34" s="481">
        <v>243183.458579</v>
      </c>
      <c r="HW34" s="481">
        <v>170808.42794300002</v>
      </c>
      <c r="HX34" s="481">
        <v>82080.484985000003</v>
      </c>
      <c r="HY34" s="481">
        <v>28134.210056</v>
      </c>
      <c r="HZ34" s="47"/>
      <c r="IA34" s="480">
        <v>3326472.8213999998</v>
      </c>
      <c r="IB34" s="481">
        <v>898335.61785799998</v>
      </c>
      <c r="IC34" s="481">
        <v>582484.81745800003</v>
      </c>
      <c r="ID34" s="481">
        <v>236780.811308</v>
      </c>
      <c r="IE34" s="481">
        <v>167548.458923</v>
      </c>
      <c r="IF34" s="481">
        <v>79393.491509999993</v>
      </c>
      <c r="IG34" s="481">
        <v>28074.638606</v>
      </c>
      <c r="IH34" s="47"/>
      <c r="II34" s="480">
        <v>3153539.8213999998</v>
      </c>
      <c r="IJ34" s="480">
        <v>853824.94702399988</v>
      </c>
      <c r="IK34" s="480">
        <v>556168.51216399996</v>
      </c>
      <c r="IL34" s="480">
        <v>229290.05194399998</v>
      </c>
      <c r="IM34" s="480">
        <v>162868.768629</v>
      </c>
      <c r="IN34" s="480">
        <v>77629.403921999998</v>
      </c>
      <c r="IO34" s="480">
        <v>27420.190159000002</v>
      </c>
      <c r="IP34" s="757"/>
      <c r="IQ34" s="757">
        <v>3146101.9994000001</v>
      </c>
      <c r="IR34" s="757">
        <v>851245.49023799982</v>
      </c>
      <c r="IS34" s="757">
        <v>554423.52899799985</v>
      </c>
      <c r="IT34" s="757">
        <v>228492.66796799999</v>
      </c>
      <c r="IU34" s="757">
        <v>162286.31288899999</v>
      </c>
      <c r="IV34" s="757">
        <v>77366.485509999999</v>
      </c>
      <c r="IW34" s="757">
        <v>27321.010330000001</v>
      </c>
      <c r="IX34" s="757"/>
      <c r="IY34" s="757">
        <v>3848202.9994000001</v>
      </c>
      <c r="IZ34" s="757">
        <v>970488.38082499988</v>
      </c>
      <c r="JA34" s="757">
        <v>627358.0584349999</v>
      </c>
      <c r="JB34" s="757">
        <v>255025.66093500002</v>
      </c>
      <c r="JC34" s="757">
        <v>180408.229773</v>
      </c>
      <c r="JD34" s="757">
        <v>85439.305671000009</v>
      </c>
      <c r="JE34" s="757">
        <v>30099.208731999999</v>
      </c>
      <c r="JF34" s="256"/>
      <c r="JG34" s="47">
        <v>351440.8946</v>
      </c>
      <c r="JH34" s="47">
        <v>190594.82029999999</v>
      </c>
      <c r="JI34" s="47">
        <v>147594.5932</v>
      </c>
      <c r="JJ34" s="47">
        <v>84799.101819999996</v>
      </c>
      <c r="JK34" s="47">
        <v>67127.371440000003</v>
      </c>
      <c r="JL34" s="47">
        <v>38207.962379999997</v>
      </c>
      <c r="JM34" s="47">
        <v>15120.62543</v>
      </c>
      <c r="JN34" s="1034"/>
      <c r="JO34" s="47">
        <v>77449.000320000006</v>
      </c>
      <c r="JP34" s="47">
        <v>40471.388350000001</v>
      </c>
      <c r="JQ34" s="47">
        <v>30121.28284</v>
      </c>
      <c r="JR34" s="47">
        <v>16044.92625</v>
      </c>
      <c r="JS34" s="47">
        <v>12489.430270000001</v>
      </c>
      <c r="JT34" s="47">
        <v>7268.7420119999997</v>
      </c>
      <c r="JU34" s="47">
        <v>2633.3173029999998</v>
      </c>
      <c r="JV34" s="77"/>
      <c r="JW34" s="47">
        <v>91871</v>
      </c>
      <c r="JX34" s="47">
        <v>33197.325360000003</v>
      </c>
      <c r="JY34" s="47">
        <v>23788.9388</v>
      </c>
      <c r="JZ34" s="47">
        <v>12260.49749</v>
      </c>
      <c r="KA34" s="47">
        <v>9428.187097</v>
      </c>
      <c r="KB34" s="47">
        <v>5382.9175779999996</v>
      </c>
      <c r="KC34" s="47">
        <v>1916.324429</v>
      </c>
      <c r="KD34" s="77"/>
      <c r="KE34" s="47">
        <v>116158.0001</v>
      </c>
      <c r="KF34" s="47">
        <v>41258.249000000003</v>
      </c>
      <c r="KG34" s="47">
        <v>28838.957610000001</v>
      </c>
      <c r="KH34" s="47">
        <v>13137.633669999999</v>
      </c>
      <c r="KI34" s="47">
        <v>9542.0386359999993</v>
      </c>
      <c r="KJ34" s="47">
        <v>4815.5656570000001</v>
      </c>
      <c r="KK34" s="47">
        <v>1789.379921</v>
      </c>
      <c r="KL34" s="77"/>
      <c r="KM34" s="47">
        <v>297678.00050000002</v>
      </c>
      <c r="KN34" s="47">
        <v>65069.932200000003</v>
      </c>
      <c r="KO34" s="47">
        <v>32786.438419999999</v>
      </c>
      <c r="KP34" s="47">
        <v>5803.8809140000003</v>
      </c>
      <c r="KQ34" s="47">
        <v>2844.3656839999999</v>
      </c>
      <c r="KR34" s="47">
        <v>498.49163499999997</v>
      </c>
      <c r="KS34" s="47">
        <v>60.386654190000002</v>
      </c>
      <c r="KT34" s="77"/>
      <c r="KU34" s="47">
        <v>218281</v>
      </c>
      <c r="KV34" s="47">
        <v>53562.261919999997</v>
      </c>
      <c r="KW34" s="47">
        <v>30662.934450000001</v>
      </c>
      <c r="KX34" s="47">
        <v>8985.0809260000005</v>
      </c>
      <c r="KY34" s="47">
        <v>5683.3388279999999</v>
      </c>
      <c r="KZ34" s="47">
        <v>2200.9174549999998</v>
      </c>
      <c r="LA34" s="47">
        <v>778.31399580000004</v>
      </c>
      <c r="LB34" s="77"/>
      <c r="LC34" s="1034">
        <v>266086.92</v>
      </c>
      <c r="LD34" s="1034">
        <v>18486.4781</v>
      </c>
      <c r="LE34" s="1034">
        <v>10247.631219999999</v>
      </c>
      <c r="LF34" s="1034">
        <v>2536.8116559999999</v>
      </c>
      <c r="LG34" s="1034">
        <v>1413.764232</v>
      </c>
      <c r="LH34" s="1034">
        <v>222.85350769999999</v>
      </c>
      <c r="LI34" s="1034">
        <v>32.560636150000001</v>
      </c>
      <c r="LJ34" s="77"/>
      <c r="LK34" s="1034">
        <v>10019</v>
      </c>
      <c r="LL34" s="1034">
        <v>6371.1575917900009</v>
      </c>
      <c r="LM34" s="1034">
        <v>5323.0371010899999</v>
      </c>
      <c r="LN34" s="1034">
        <v>3241.1947710900004</v>
      </c>
      <c r="LO34" s="1034">
        <v>2510.4273261600001</v>
      </c>
      <c r="LP34" s="1034">
        <v>1357.6506624600001</v>
      </c>
      <c r="LQ34" s="1034">
        <v>554.54965745000004</v>
      </c>
    </row>
    <row r="35" spans="1:329" s="43" customFormat="1" ht="9.75" customHeight="1" x14ac:dyDescent="0.2">
      <c r="A35" s="48">
        <v>1987</v>
      </c>
      <c r="B35" s="47">
        <v>2668104.0573999998</v>
      </c>
      <c r="C35" s="47">
        <v>980981.36139299988</v>
      </c>
      <c r="D35" s="47">
        <v>661221.55177299993</v>
      </c>
      <c r="E35" s="47">
        <v>291736.75416299998</v>
      </c>
      <c r="F35" s="47">
        <v>210516.72336</v>
      </c>
      <c r="G35" s="47">
        <v>100839.33069999999</v>
      </c>
      <c r="H35" s="47">
        <v>35436.577662999996</v>
      </c>
      <c r="I35" s="47"/>
      <c r="J35" s="47">
        <v>4119197.5964000002</v>
      </c>
      <c r="K35" s="47">
        <v>1336967.822531</v>
      </c>
      <c r="L35" s="47">
        <v>900124.10722100001</v>
      </c>
      <c r="M35" s="47">
        <v>398290.894501</v>
      </c>
      <c r="N35" s="47">
        <v>290290.54662099999</v>
      </c>
      <c r="O35" s="47">
        <v>143978.413611</v>
      </c>
      <c r="P35" s="47">
        <v>53549.557913999997</v>
      </c>
      <c r="Q35" s="47"/>
      <c r="R35" s="47">
        <v>4559701.5965999998</v>
      </c>
      <c r="S35" s="47">
        <v>1360155.2487949999</v>
      </c>
      <c r="T35" s="47">
        <v>913186.12649499997</v>
      </c>
      <c r="U35" s="47">
        <v>401793.37019499997</v>
      </c>
      <c r="V35" s="47">
        <v>292001.66331499995</v>
      </c>
      <c r="W35" s="47">
        <v>144444.93462499999</v>
      </c>
      <c r="X35" s="47">
        <v>53586.773237000001</v>
      </c>
      <c r="Y35" s="47"/>
      <c r="Z35" s="47">
        <v>4119198</v>
      </c>
      <c r="AA35" s="47">
        <v>1043224.8350509999</v>
      </c>
      <c r="AB35" s="47">
        <v>682493.18463100004</v>
      </c>
      <c r="AC35" s="47">
        <v>288567.88248100004</v>
      </c>
      <c r="AD35" s="47">
        <v>206430.296091</v>
      </c>
      <c r="AE35" s="47">
        <v>99113.908301000003</v>
      </c>
      <c r="AF35" s="47">
        <v>36299.214412000001</v>
      </c>
      <c r="AG35" s="47"/>
      <c r="AH35" s="47">
        <v>2711278.3651000001</v>
      </c>
      <c r="AI35" s="47">
        <v>982544.23718300008</v>
      </c>
      <c r="AJ35" s="47">
        <v>661001.482433</v>
      </c>
      <c r="AK35" s="47">
        <v>291048.26095299999</v>
      </c>
      <c r="AL35" s="47">
        <v>210064.78557500002</v>
      </c>
      <c r="AM35" s="47">
        <v>100589.752615</v>
      </c>
      <c r="AN35" s="47">
        <v>35332.446394999999</v>
      </c>
      <c r="AO35" s="47"/>
      <c r="AP35" s="47"/>
      <c r="AQ35" s="47"/>
      <c r="AR35" s="47"/>
      <c r="AS35" s="47"/>
      <c r="AT35" s="47"/>
      <c r="AU35" s="47"/>
      <c r="AV35" s="47"/>
      <c r="AW35" s="47"/>
      <c r="AX35" s="47">
        <v>2741829.2075999998</v>
      </c>
      <c r="AY35" s="47">
        <v>1004989.2154400001</v>
      </c>
      <c r="AZ35" s="47">
        <v>680903.51329999999</v>
      </c>
      <c r="BA35" s="47">
        <v>304901.42719000002</v>
      </c>
      <c r="BB35" s="47">
        <v>221331.75919200003</v>
      </c>
      <c r="BC35" s="47">
        <v>107124.169432</v>
      </c>
      <c r="BD35" s="47">
        <v>37683.324425999999</v>
      </c>
      <c r="BE35" s="47"/>
      <c r="BF35" s="44">
        <v>2730967.2776000001</v>
      </c>
      <c r="BG35" s="44">
        <v>990135.33915699995</v>
      </c>
      <c r="BH35" s="44">
        <v>669250.65958700003</v>
      </c>
      <c r="BI35" s="44">
        <v>298949.23171700002</v>
      </c>
      <c r="BJ35" s="44">
        <v>217375.68062399997</v>
      </c>
      <c r="BK35" s="44">
        <v>105823.593934</v>
      </c>
      <c r="BL35" s="44">
        <v>37410.653681000003</v>
      </c>
      <c r="BN35" s="44">
        <v>2730967.2776000001</v>
      </c>
      <c r="BO35" s="44">
        <v>909670.76008599997</v>
      </c>
      <c r="BP35" s="44">
        <v>615150.23561600002</v>
      </c>
      <c r="BQ35" s="44">
        <v>271939.129036</v>
      </c>
      <c r="BR35" s="44">
        <v>198085.66104899999</v>
      </c>
      <c r="BS35" s="44">
        <v>97294.584739000013</v>
      </c>
      <c r="BT35" s="44">
        <v>35488.178719000003</v>
      </c>
      <c r="BU35" s="44"/>
      <c r="BV35" s="47">
        <v>2745034.4996000002</v>
      </c>
      <c r="BW35" s="47">
        <v>921750.71554499993</v>
      </c>
      <c r="BX35" s="47">
        <v>626891.88098500005</v>
      </c>
      <c r="BY35" s="47">
        <v>280590.11296500004</v>
      </c>
      <c r="BZ35" s="47">
        <v>205416.13411399999</v>
      </c>
      <c r="CA35" s="47">
        <v>101855.346534</v>
      </c>
      <c r="CB35" s="47">
        <v>37925.160093999999</v>
      </c>
      <c r="CC35" s="44"/>
      <c r="CD35" s="47">
        <v>2868264.4996000002</v>
      </c>
      <c r="CE35" s="47">
        <v>977761.16425499995</v>
      </c>
      <c r="CF35" s="47">
        <v>669897.02902499994</v>
      </c>
      <c r="CG35" s="47">
        <v>305909.26254500001</v>
      </c>
      <c r="CH35" s="47">
        <v>224860.031441</v>
      </c>
      <c r="CI35" s="47">
        <v>112905.814751</v>
      </c>
      <c r="CJ35" s="47">
        <v>42332.794650999997</v>
      </c>
      <c r="CL35" s="47">
        <v>2980966.4996000002</v>
      </c>
      <c r="CM35" s="47">
        <v>1018555.0392589999</v>
      </c>
      <c r="CN35" s="47">
        <v>698641.63681900001</v>
      </c>
      <c r="CO35" s="47">
        <v>320386.973619</v>
      </c>
      <c r="CP35" s="47">
        <v>235682.90883199999</v>
      </c>
      <c r="CQ35" s="47">
        <v>118664.01098200001</v>
      </c>
      <c r="CR35" s="47">
        <v>44529.463309999999</v>
      </c>
      <c r="CS35" s="47"/>
      <c r="CT35" s="47">
        <v>3036078.4996000002</v>
      </c>
      <c r="CU35" s="47">
        <v>1042216.588547</v>
      </c>
      <c r="CV35" s="47">
        <v>716718.96137699997</v>
      </c>
      <c r="CW35" s="47">
        <v>330460.307547</v>
      </c>
      <c r="CX35" s="47">
        <v>243497.298671</v>
      </c>
      <c r="CY35" s="47">
        <v>122923.968291</v>
      </c>
      <c r="CZ35" s="47">
        <v>46331.728447000001</v>
      </c>
      <c r="DA35" s="47"/>
      <c r="DB35" s="47">
        <v>3036078.4996000002</v>
      </c>
      <c r="DC35" s="47">
        <v>1052326.9279789999</v>
      </c>
      <c r="DD35" s="47">
        <v>726089.62343899999</v>
      </c>
      <c r="DE35" s="47">
        <v>336575.92007900006</v>
      </c>
      <c r="DF35" s="47">
        <v>248472.70292899999</v>
      </c>
      <c r="DG35" s="47">
        <v>125722.54831899999</v>
      </c>
      <c r="DH35" s="47">
        <v>47681.062105999998</v>
      </c>
      <c r="DI35" s="47"/>
      <c r="DJ35" s="47">
        <v>3244752.1786000002</v>
      </c>
      <c r="DK35" s="47">
        <v>1119514.1857080001</v>
      </c>
      <c r="DL35" s="47">
        <v>778376.82447799994</v>
      </c>
      <c r="DM35" s="47">
        <v>365303.91748800001</v>
      </c>
      <c r="DN35" s="47">
        <v>269243.39019199996</v>
      </c>
      <c r="DO35" s="47">
        <v>135906.068952</v>
      </c>
      <c r="DP35" s="47">
        <v>51056.175894</v>
      </c>
      <c r="DQ35" s="47"/>
      <c r="DR35" s="47">
        <v>3306213.1786095905</v>
      </c>
      <c r="DS35" s="47">
        <v>1137397.5784080084</v>
      </c>
      <c r="DT35" s="47">
        <v>789311.97447827819</v>
      </c>
      <c r="DU35" s="47">
        <v>368698.13703091582</v>
      </c>
      <c r="DV35" s="47">
        <v>271240.52487973525</v>
      </c>
      <c r="DW35" s="47">
        <v>136556.30468068254</v>
      </c>
      <c r="DX35" s="47">
        <v>51222.344493904631</v>
      </c>
      <c r="DY35" s="297"/>
      <c r="DZ35" s="47">
        <v>3472473.1783978762</v>
      </c>
      <c r="EA35" s="47">
        <v>1171436.0515384211</v>
      </c>
      <c r="EB35" s="47">
        <v>805194.25472385623</v>
      </c>
      <c r="EC35" s="47">
        <v>371002.66304206854</v>
      </c>
      <c r="ED35" s="47">
        <v>272616.67463843949</v>
      </c>
      <c r="EE35" s="47">
        <v>136828.82755173938</v>
      </c>
      <c r="EF35" s="47">
        <v>51255.472916587547</v>
      </c>
      <c r="EG35" s="542"/>
      <c r="EH35" s="47">
        <v>3639299.1783978944</v>
      </c>
      <c r="EI35" s="47">
        <v>1210905.9691852729</v>
      </c>
      <c r="EJ35" s="47">
        <v>824961.57993979484</v>
      </c>
      <c r="EK35" s="47">
        <v>373716.85703307285</v>
      </c>
      <c r="EL35" s="47">
        <v>273928.16342039983</v>
      </c>
      <c r="EM35" s="47">
        <v>137106.79019433862</v>
      </c>
      <c r="EN35" s="47">
        <v>51285.887205654384</v>
      </c>
      <c r="EO35" s="47"/>
      <c r="EP35" s="47">
        <v>3851637.5964000002</v>
      </c>
      <c r="EQ35" s="47">
        <v>1268852.2083989999</v>
      </c>
      <c r="ER35" s="47">
        <v>859182.81111899985</v>
      </c>
      <c r="ES35" s="47">
        <v>384274.94669899996</v>
      </c>
      <c r="ET35" s="47">
        <v>280830.53482900001</v>
      </c>
      <c r="EU35" s="47">
        <v>139578.938669</v>
      </c>
      <c r="EV35" s="47">
        <v>51974.26094</v>
      </c>
      <c r="EW35" s="47"/>
      <c r="EX35" s="47">
        <v>4119197.5964000002</v>
      </c>
      <c r="EY35" s="47">
        <v>1336967.822531</v>
      </c>
      <c r="EZ35" s="47">
        <v>900124.10722100001</v>
      </c>
      <c r="FA35" s="47">
        <v>398290.894501</v>
      </c>
      <c r="FB35" s="47">
        <v>290290.54662099999</v>
      </c>
      <c r="FC35" s="47">
        <v>143978.413611</v>
      </c>
      <c r="FD35" s="47">
        <v>53549.557913999997</v>
      </c>
      <c r="FE35" s="47"/>
      <c r="FF35" s="47">
        <v>4326670.5961999996</v>
      </c>
      <c r="FG35" s="47">
        <v>1352604.322374</v>
      </c>
      <c r="FH35" s="47">
        <v>909630.89159400004</v>
      </c>
      <c r="FI35" s="47">
        <v>401462.29700399999</v>
      </c>
      <c r="FJ35" s="47">
        <v>291927.06969400001</v>
      </c>
      <c r="FK35" s="47">
        <v>144411.87451400002</v>
      </c>
      <c r="FL35" s="47">
        <v>53582.047615000003</v>
      </c>
      <c r="FN35" s="47">
        <v>4341295.5965999998</v>
      </c>
      <c r="FO35" s="47">
        <v>1353199.0494020001</v>
      </c>
      <c r="FP35" s="47">
        <v>909854.09996200004</v>
      </c>
      <c r="FQ35" s="47">
        <v>401476.68288199999</v>
      </c>
      <c r="FR35" s="47">
        <v>291933.10019199998</v>
      </c>
      <c r="FS35" s="47">
        <v>144412.12975200001</v>
      </c>
      <c r="FT35" s="47">
        <v>53582.060274000003</v>
      </c>
      <c r="FV35" s="44">
        <v>4396602.5965999998</v>
      </c>
      <c r="FW35" s="44">
        <v>1354844.149402</v>
      </c>
      <c r="FX35" s="44">
        <v>910676.64996200008</v>
      </c>
      <c r="FY35" s="44">
        <v>401641.192882</v>
      </c>
      <c r="FZ35" s="44">
        <v>292015.35519199999</v>
      </c>
      <c r="GA35" s="44">
        <v>144428.58075199998</v>
      </c>
      <c r="GB35" s="44">
        <v>53583.705373999997</v>
      </c>
      <c r="GC35" s="44"/>
      <c r="GE35" s="47">
        <v>4470778.5965999998</v>
      </c>
      <c r="GF35" s="47">
        <v>1360155.2487949999</v>
      </c>
      <c r="GG35" s="47">
        <v>913186.12649499997</v>
      </c>
      <c r="GH35" s="47">
        <v>401793.37019499997</v>
      </c>
      <c r="GI35" s="47">
        <v>292001.66331499995</v>
      </c>
      <c r="GJ35" s="47">
        <v>144444.93462499999</v>
      </c>
      <c r="GK35" s="47">
        <v>53586.773237000001</v>
      </c>
      <c r="GM35" s="47">
        <v>4559701.5965999998</v>
      </c>
      <c r="GN35" s="47">
        <v>1360155.2487949999</v>
      </c>
      <c r="GO35" s="47">
        <v>913186.12649499997</v>
      </c>
      <c r="GP35" s="47">
        <v>401793.37019499997</v>
      </c>
      <c r="GQ35" s="47">
        <v>292001.66331499995</v>
      </c>
      <c r="GR35" s="47">
        <v>144444.93462499999</v>
      </c>
      <c r="GS35" s="47">
        <v>53586.773237000001</v>
      </c>
      <c r="GT35" s="187"/>
      <c r="GU35" s="480">
        <v>4155587.1497999998</v>
      </c>
      <c r="GV35" s="481">
        <v>1142140.726156</v>
      </c>
      <c r="GW35" s="481">
        <v>746270.16048599989</v>
      </c>
      <c r="GX35" s="481">
        <v>311773.33709600003</v>
      </c>
      <c r="GY35" s="481">
        <v>223490.64938100002</v>
      </c>
      <c r="GZ35" s="481">
        <v>107901.957371</v>
      </c>
      <c r="HA35" s="481">
        <v>39819.818164999997</v>
      </c>
      <c r="HB35" s="256"/>
      <c r="HC35" s="480">
        <v>4069628.1497999998</v>
      </c>
      <c r="HD35" s="481">
        <v>1099523.1906029999</v>
      </c>
      <c r="HE35" s="481">
        <v>714117.74853300001</v>
      </c>
      <c r="HF35" s="481">
        <v>294524.500443</v>
      </c>
      <c r="HG35" s="481">
        <v>210164.37952700001</v>
      </c>
      <c r="HH35" s="481">
        <v>100645.12048700001</v>
      </c>
      <c r="HI35" s="481">
        <v>37121.542282000002</v>
      </c>
      <c r="HJ35" s="481"/>
      <c r="HK35" s="480">
        <v>3956926.1497999998</v>
      </c>
      <c r="HL35" s="481">
        <v>1060936.3856029999</v>
      </c>
      <c r="HM35" s="481">
        <v>687304.93073300004</v>
      </c>
      <c r="HN35" s="481">
        <v>282048.68308300001</v>
      </c>
      <c r="HO35" s="481">
        <v>200401.571126</v>
      </c>
      <c r="HP35" s="481">
        <v>95883.015416000009</v>
      </c>
      <c r="HQ35" s="481">
        <v>35150.538883000001</v>
      </c>
      <c r="HR35" s="256"/>
      <c r="HS35" s="480">
        <v>3830504.1497999998</v>
      </c>
      <c r="HT35" s="481">
        <v>1017665.855505</v>
      </c>
      <c r="HU35" s="481">
        <v>658154.01379499992</v>
      </c>
      <c r="HV35" s="481">
        <v>268642.58960500004</v>
      </c>
      <c r="HW35" s="481">
        <v>191128.678851</v>
      </c>
      <c r="HX35" s="481">
        <v>91156.956040999998</v>
      </c>
      <c r="HY35" s="481">
        <v>33337.234006999999</v>
      </c>
      <c r="HZ35" s="47"/>
      <c r="IA35" s="480">
        <v>3514813.15</v>
      </c>
      <c r="IB35" s="481">
        <v>946818.90446499991</v>
      </c>
      <c r="IC35" s="481">
        <v>621755.175605</v>
      </c>
      <c r="ID35" s="481">
        <v>262693.55742500001</v>
      </c>
      <c r="IE35" s="481">
        <v>188258.442308</v>
      </c>
      <c r="IF35" s="481">
        <v>90551.630632</v>
      </c>
      <c r="IG35" s="481">
        <v>33277.569646000004</v>
      </c>
      <c r="IH35" s="47"/>
      <c r="II35" s="480">
        <v>3329545.15</v>
      </c>
      <c r="IJ35" s="480">
        <v>898749.46142099996</v>
      </c>
      <c r="IK35" s="480">
        <v>592922.34477099997</v>
      </c>
      <c r="IL35" s="480">
        <v>253187.200721</v>
      </c>
      <c r="IM35" s="480">
        <v>181841.60805800001</v>
      </c>
      <c r="IN35" s="480">
        <v>87709.132695000008</v>
      </c>
      <c r="IO35" s="480">
        <v>32200.488367000002</v>
      </c>
      <c r="IP35" s="757"/>
      <c r="IQ35" s="757">
        <v>3378934</v>
      </c>
      <c r="IR35" s="757">
        <v>916824.02965299995</v>
      </c>
      <c r="IS35" s="757">
        <v>605412.245413</v>
      </c>
      <c r="IT35" s="757">
        <v>259076.05420300001</v>
      </c>
      <c r="IU35" s="757">
        <v>186126.85191200001</v>
      </c>
      <c r="IV35" s="757">
        <v>89877.874802000006</v>
      </c>
      <c r="IW35" s="757">
        <v>32998.892917999998</v>
      </c>
      <c r="IX35" s="757"/>
      <c r="IY35" s="757">
        <v>4119198</v>
      </c>
      <c r="IZ35" s="757">
        <v>1043224.8350509999</v>
      </c>
      <c r="JA35" s="757">
        <v>682493.18463100004</v>
      </c>
      <c r="JB35" s="757">
        <v>288567.88248100004</v>
      </c>
      <c r="JC35" s="757">
        <v>206430.296091</v>
      </c>
      <c r="JD35" s="757">
        <v>99113.908301000003</v>
      </c>
      <c r="JE35" s="757">
        <v>36299.214412000001</v>
      </c>
      <c r="JF35" s="256"/>
      <c r="JG35" s="47">
        <v>393538.44679999998</v>
      </c>
      <c r="JH35" s="47">
        <v>216996.7678</v>
      </c>
      <c r="JI35" s="47">
        <v>166912.27110000001</v>
      </c>
      <c r="JJ35" s="47">
        <v>91220.099270000006</v>
      </c>
      <c r="JK35" s="47">
        <v>69915.706109999999</v>
      </c>
      <c r="JL35" s="47">
        <v>37551.709190000001</v>
      </c>
      <c r="JM35" s="47">
        <v>14461.055319999999</v>
      </c>
      <c r="JN35" s="1034"/>
      <c r="JO35" s="47">
        <v>85959</v>
      </c>
      <c r="JP35" s="47">
        <v>45341.827510000003</v>
      </c>
      <c r="JQ35" s="47">
        <v>34632.734550000001</v>
      </c>
      <c r="JR35" s="47">
        <v>19024.040799999999</v>
      </c>
      <c r="JS35" s="47">
        <v>14877.295749999999</v>
      </c>
      <c r="JT35" s="47">
        <v>8239.4870549999996</v>
      </c>
      <c r="JU35" s="47">
        <v>3328.8202999999999</v>
      </c>
      <c r="JV35" s="77"/>
      <c r="JW35" s="47">
        <v>112702</v>
      </c>
      <c r="JX35" s="47">
        <v>38586.34231</v>
      </c>
      <c r="JY35" s="47">
        <v>27278.61709</v>
      </c>
      <c r="JZ35" s="47">
        <v>13420.10939</v>
      </c>
      <c r="KA35" s="47">
        <v>10048.83518</v>
      </c>
      <c r="KB35" s="47">
        <v>5385.583858</v>
      </c>
      <c r="KC35" s="47">
        <v>2186.511626</v>
      </c>
      <c r="KD35" s="77"/>
      <c r="KE35" s="47">
        <v>126422</v>
      </c>
      <c r="KF35" s="47">
        <v>44609.657890000002</v>
      </c>
      <c r="KG35" s="47">
        <v>30958.261879999998</v>
      </c>
      <c r="KH35" s="47">
        <v>13774.97725</v>
      </c>
      <c r="KI35" s="47">
        <v>9946.3243930000008</v>
      </c>
      <c r="KJ35" s="47">
        <v>5063.8801169999997</v>
      </c>
      <c r="KK35" s="47">
        <v>2026.4214260000001</v>
      </c>
      <c r="KL35" s="77"/>
      <c r="KM35" s="47">
        <v>315690.99979999999</v>
      </c>
      <c r="KN35" s="47">
        <v>67850.004459999996</v>
      </c>
      <c r="KO35" s="47">
        <v>34317.162579999997</v>
      </c>
      <c r="KP35" s="47">
        <v>6075.4354679999997</v>
      </c>
      <c r="KQ35" s="47">
        <v>2994.440783</v>
      </c>
      <c r="KR35" s="47">
        <v>615.92731360000005</v>
      </c>
      <c r="KS35" s="47">
        <v>65.450256710000005</v>
      </c>
      <c r="KT35" s="77"/>
      <c r="KU35" s="47">
        <v>224135</v>
      </c>
      <c r="KV35" s="47">
        <v>56411.189079999996</v>
      </c>
      <c r="KW35" s="47">
        <v>33369.252039999999</v>
      </c>
      <c r="KX35" s="47">
        <v>11117.48769</v>
      </c>
      <c r="KY35" s="47">
        <v>7559.4168159999999</v>
      </c>
      <c r="KZ35" s="47">
        <v>3556.3192530000001</v>
      </c>
      <c r="LA35" s="47">
        <v>1267.94409</v>
      </c>
      <c r="LB35" s="77"/>
      <c r="LC35" s="1034">
        <v>274826.8602</v>
      </c>
      <c r="LD35" s="1034">
        <v>19743.99252</v>
      </c>
      <c r="LE35" s="1034">
        <v>10712.473540000001</v>
      </c>
      <c r="LF35" s="1034">
        <v>2694.636982</v>
      </c>
      <c r="LG35" s="1034">
        <v>1405.733244</v>
      </c>
      <c r="LH35" s="1034">
        <v>315.47430630000002</v>
      </c>
      <c r="LI35" s="1034">
        <v>34.028285709999999</v>
      </c>
      <c r="LJ35" s="77"/>
      <c r="LK35" s="1034">
        <v>10576</v>
      </c>
      <c r="LL35" s="1034">
        <v>6727.0280943799989</v>
      </c>
      <c r="LM35" s="1034">
        <v>5656.6799472799994</v>
      </c>
      <c r="LN35" s="1034">
        <v>3400.1591557800002</v>
      </c>
      <c r="LO35" s="1034">
        <v>2582.8950875700002</v>
      </c>
      <c r="LP35" s="1034">
        <v>1401.9768258700001</v>
      </c>
      <c r="LQ35" s="1034">
        <v>595.50826961999996</v>
      </c>
    </row>
    <row r="36" spans="1:329" s="43" customFormat="1" ht="9.75" customHeight="1" x14ac:dyDescent="0.2">
      <c r="A36" s="48">
        <v>1988</v>
      </c>
      <c r="B36" s="47">
        <v>2957679.2467183382</v>
      </c>
      <c r="C36" s="47">
        <v>1152689.6896685823</v>
      </c>
      <c r="D36" s="47">
        <v>807080.06959472212</v>
      </c>
      <c r="E36" s="47">
        <v>396059.50202804076</v>
      </c>
      <c r="F36" s="47">
        <v>299474.14746775076</v>
      </c>
      <c r="G36" s="47">
        <v>156564.12145544041</v>
      </c>
      <c r="H36" s="47">
        <v>60301.198106710093</v>
      </c>
      <c r="I36" s="47"/>
      <c r="J36" s="47">
        <v>4493372.5432000002</v>
      </c>
      <c r="K36" s="47">
        <v>1539043.5456009998</v>
      </c>
      <c r="L36" s="47">
        <v>1070178.6208009999</v>
      </c>
      <c r="M36" s="47">
        <v>522058.80203100003</v>
      </c>
      <c r="N36" s="47">
        <v>398342.94215100002</v>
      </c>
      <c r="O36" s="47">
        <v>217367.060111</v>
      </c>
      <c r="P36" s="47">
        <v>87711.912131000005</v>
      </c>
      <c r="Q36" s="47"/>
      <c r="R36" s="47">
        <v>4961475.5431000004</v>
      </c>
      <c r="S36" s="47">
        <v>1564312.551702</v>
      </c>
      <c r="T36" s="47">
        <v>1084432.835152</v>
      </c>
      <c r="U36" s="47">
        <v>525256.75477200001</v>
      </c>
      <c r="V36" s="47">
        <v>400238.11640200001</v>
      </c>
      <c r="W36" s="47">
        <v>217780.90388200001</v>
      </c>
      <c r="X36" s="47">
        <v>87757.032892000003</v>
      </c>
      <c r="Y36" s="47"/>
      <c r="Z36" s="47">
        <v>4493372.0006999997</v>
      </c>
      <c r="AA36" s="47">
        <v>1226003.538645</v>
      </c>
      <c r="AB36" s="47">
        <v>834738.16806499998</v>
      </c>
      <c r="AC36" s="47">
        <v>392989.19239500002</v>
      </c>
      <c r="AD36" s="47">
        <v>295677.17251</v>
      </c>
      <c r="AE36" s="47">
        <v>158590.59856000001</v>
      </c>
      <c r="AF36" s="47">
        <v>63421.565725</v>
      </c>
      <c r="AG36" s="47"/>
      <c r="AH36" s="47">
        <v>3006709.9492000001</v>
      </c>
      <c r="AI36" s="47">
        <v>1153456.1322799998</v>
      </c>
      <c r="AJ36" s="47">
        <v>806343.82592000009</v>
      </c>
      <c r="AK36" s="47">
        <v>394943.799</v>
      </c>
      <c r="AL36" s="47">
        <v>298554.05709100002</v>
      </c>
      <c r="AM36" s="47">
        <v>156193.96960099999</v>
      </c>
      <c r="AN36" s="47">
        <v>60230.643734999998</v>
      </c>
      <c r="AO36" s="47"/>
      <c r="AP36" s="47"/>
      <c r="AQ36" s="47"/>
      <c r="AR36" s="47"/>
      <c r="AS36" s="47"/>
      <c r="AT36" s="47"/>
      <c r="AU36" s="47"/>
      <c r="AV36" s="47"/>
      <c r="AW36" s="47"/>
      <c r="AX36" s="47">
        <v>3039314.3468999998</v>
      </c>
      <c r="AY36" s="47">
        <v>1176772.9739900001</v>
      </c>
      <c r="AZ36" s="47">
        <v>827024.71326000011</v>
      </c>
      <c r="BA36" s="47">
        <v>408368.89919999999</v>
      </c>
      <c r="BB36" s="47">
        <v>309447.75183900003</v>
      </c>
      <c r="BC36" s="47">
        <v>162136.02037899999</v>
      </c>
      <c r="BD36" s="47">
        <v>62112.336969000004</v>
      </c>
      <c r="BE36" s="47"/>
      <c r="BF36" s="44">
        <v>3031312.5449999999</v>
      </c>
      <c r="BG36" s="44">
        <v>1159760.1088670001</v>
      </c>
      <c r="BH36" s="44">
        <v>813261.80988699989</v>
      </c>
      <c r="BI36" s="44">
        <v>401072.69437699998</v>
      </c>
      <c r="BJ36" s="44">
        <v>304518.61233200005</v>
      </c>
      <c r="BK36" s="44">
        <v>160321.90740199998</v>
      </c>
      <c r="BL36" s="44">
        <v>61512.496740000002</v>
      </c>
      <c r="BN36" s="44">
        <v>3031312.5449999999</v>
      </c>
      <c r="BO36" s="44">
        <v>1073947.475757</v>
      </c>
      <c r="BP36" s="44">
        <v>752851.89468699996</v>
      </c>
      <c r="BQ36" s="44">
        <v>369193.89349699998</v>
      </c>
      <c r="BR36" s="44">
        <v>280342.29972300003</v>
      </c>
      <c r="BS36" s="44">
        <v>149864.801523</v>
      </c>
      <c r="BT36" s="44">
        <v>58114.368704</v>
      </c>
      <c r="BU36" s="44"/>
      <c r="BV36" s="47">
        <v>3046288.0759999999</v>
      </c>
      <c r="BW36" s="47">
        <v>1087176.8106440001</v>
      </c>
      <c r="BX36" s="47">
        <v>765736.97998400009</v>
      </c>
      <c r="BY36" s="47">
        <v>379752.38946400001</v>
      </c>
      <c r="BZ36" s="47">
        <v>289946.139257</v>
      </c>
      <c r="CA36" s="47">
        <v>157020.06332700001</v>
      </c>
      <c r="CB36" s="47">
        <v>62029.583428999998</v>
      </c>
      <c r="CC36" s="44"/>
      <c r="CD36" s="47">
        <v>3189618.0759999999</v>
      </c>
      <c r="CE36" s="47">
        <v>1156518.2601309998</v>
      </c>
      <c r="CF36" s="47">
        <v>821690.15276099986</v>
      </c>
      <c r="CG36" s="47">
        <v>415257.56035099993</v>
      </c>
      <c r="CH36" s="47">
        <v>319676.26455800002</v>
      </c>
      <c r="CI36" s="47">
        <v>175494.85039799998</v>
      </c>
      <c r="CJ36" s="47">
        <v>70664.751577999996</v>
      </c>
      <c r="CL36" s="47">
        <v>3313884.0759999999</v>
      </c>
      <c r="CM36" s="47">
        <v>1204173.9850679999</v>
      </c>
      <c r="CN36" s="47">
        <v>856860.25893800007</v>
      </c>
      <c r="CO36" s="47">
        <v>434193.29496799997</v>
      </c>
      <c r="CP36" s="47">
        <v>334184.233588</v>
      </c>
      <c r="CQ36" s="47">
        <v>183979.14517799998</v>
      </c>
      <c r="CR36" s="47">
        <v>74407.016577999995</v>
      </c>
      <c r="CS36" s="47"/>
      <c r="CT36" s="47">
        <v>3374033.0759999999</v>
      </c>
      <c r="CU36" s="47">
        <v>1231619.7097139999</v>
      </c>
      <c r="CV36" s="47">
        <v>878651.36454400013</v>
      </c>
      <c r="CW36" s="47">
        <v>447055.87531400006</v>
      </c>
      <c r="CX36" s="47">
        <v>344474.06841399998</v>
      </c>
      <c r="CY36" s="47">
        <v>190233.761444</v>
      </c>
      <c r="CZ36" s="47">
        <v>77210.938284000003</v>
      </c>
      <c r="DA36" s="47"/>
      <c r="DB36" s="47">
        <v>3374033.0759999999</v>
      </c>
      <c r="DC36" s="47">
        <v>1246121.974863</v>
      </c>
      <c r="DD36" s="47">
        <v>893212.07251299988</v>
      </c>
      <c r="DE36" s="47">
        <v>458811.972863</v>
      </c>
      <c r="DF36" s="47">
        <v>355010.38717299997</v>
      </c>
      <c r="DG36" s="47">
        <v>197398.995723</v>
      </c>
      <c r="DH36" s="47">
        <v>80856.950733000005</v>
      </c>
      <c r="DI36" s="47"/>
      <c r="DJ36" s="47">
        <v>3574941.077</v>
      </c>
      <c r="DK36" s="47">
        <v>1305726.964195</v>
      </c>
      <c r="DL36" s="47">
        <v>936876.60819499998</v>
      </c>
      <c r="DM36" s="47">
        <v>482356.04214499996</v>
      </c>
      <c r="DN36" s="47">
        <v>371717.12202499999</v>
      </c>
      <c r="DO36" s="47">
        <v>205732.237815</v>
      </c>
      <c r="DP36" s="47">
        <v>83916.462775000007</v>
      </c>
      <c r="DQ36" s="47"/>
      <c r="DR36" s="47">
        <v>3647702.076955108</v>
      </c>
      <c r="DS36" s="47">
        <v>1327461.6954916522</v>
      </c>
      <c r="DT36" s="47">
        <v>950548.03091659397</v>
      </c>
      <c r="DU36" s="47">
        <v>486180.22422722547</v>
      </c>
      <c r="DV36" s="47">
        <v>374346.39598178182</v>
      </c>
      <c r="DW36" s="47">
        <v>206562.55048169981</v>
      </c>
      <c r="DX36" s="47">
        <v>84098.157125306621</v>
      </c>
      <c r="DY36" s="297"/>
      <c r="DZ36" s="47">
        <v>3832335.0772300577</v>
      </c>
      <c r="EA36" s="47">
        <v>1365981.0613005678</v>
      </c>
      <c r="EB36" s="47">
        <v>968717.7762691892</v>
      </c>
      <c r="EC36" s="47">
        <v>489025.12857624254</v>
      </c>
      <c r="ED36" s="47">
        <v>375820.00182441482</v>
      </c>
      <c r="EE36" s="47">
        <v>206892.95935195155</v>
      </c>
      <c r="EF36" s="47">
        <v>84116.832228108658</v>
      </c>
      <c r="EG36" s="542"/>
      <c r="EH36" s="47">
        <v>4020240.0772300395</v>
      </c>
      <c r="EI36" s="47">
        <v>1409462.6743905493</v>
      </c>
      <c r="EJ36" s="47">
        <v>991001.43542507035</v>
      </c>
      <c r="EK36" s="47">
        <v>492263.83370029629</v>
      </c>
      <c r="EL36" s="47">
        <v>377360.73110453045</v>
      </c>
      <c r="EM36" s="47">
        <v>207247.26946173824</v>
      </c>
      <c r="EN36" s="47">
        <v>84176.500149675878</v>
      </c>
      <c r="EO36" s="47"/>
      <c r="EP36" s="47">
        <v>4204896.5432000002</v>
      </c>
      <c r="EQ36" s="47">
        <v>1461843.7737999998</v>
      </c>
      <c r="ER36" s="47">
        <v>1021415.0166699999</v>
      </c>
      <c r="ES36" s="47">
        <v>502834.32785999996</v>
      </c>
      <c r="ET36" s="47">
        <v>384695.39961999998</v>
      </c>
      <c r="EU36" s="47">
        <v>210261.74511999998</v>
      </c>
      <c r="EV36" s="47">
        <v>85044.608569999997</v>
      </c>
      <c r="EW36" s="47"/>
      <c r="EX36" s="47">
        <v>4493372.5432000002</v>
      </c>
      <c r="EY36" s="47">
        <v>1539043.5456009998</v>
      </c>
      <c r="EZ36" s="47">
        <v>1070178.6208009999</v>
      </c>
      <c r="FA36" s="47">
        <v>522058.80203100003</v>
      </c>
      <c r="FB36" s="47">
        <v>398342.94215100002</v>
      </c>
      <c r="FC36" s="47">
        <v>217367.060111</v>
      </c>
      <c r="FD36" s="47">
        <v>87711.912131000005</v>
      </c>
      <c r="FE36" s="47"/>
      <c r="FF36" s="47">
        <v>4713996.5427999999</v>
      </c>
      <c r="FG36" s="47">
        <v>1556256.3652300003</v>
      </c>
      <c r="FH36" s="47">
        <v>1080796.9321000001</v>
      </c>
      <c r="FI36" s="47">
        <v>524935.44682000007</v>
      </c>
      <c r="FJ36" s="47">
        <v>400192.86197999999</v>
      </c>
      <c r="FK36" s="47">
        <v>217736.43901999999</v>
      </c>
      <c r="FL36" s="47">
        <v>87754.049610000002</v>
      </c>
      <c r="FN36" s="47">
        <v>4727324.5431000004</v>
      </c>
      <c r="FO36" s="47">
        <v>1556896.5070969998</v>
      </c>
      <c r="FP36" s="47">
        <v>1081000.2395569999</v>
      </c>
      <c r="FQ36" s="47">
        <v>524932.73004699999</v>
      </c>
      <c r="FR36" s="47">
        <v>400178.38226700004</v>
      </c>
      <c r="FS36" s="47">
        <v>217737.20036700001</v>
      </c>
      <c r="FT36" s="47">
        <v>87754.098047000007</v>
      </c>
      <c r="FV36" s="44">
        <v>4786896.5431000004</v>
      </c>
      <c r="FW36" s="44">
        <v>1558568.8070970001</v>
      </c>
      <c r="FX36" s="44">
        <v>1081836.389557</v>
      </c>
      <c r="FY36" s="44">
        <v>525099.96004699997</v>
      </c>
      <c r="FZ36" s="44">
        <v>400261.99726699997</v>
      </c>
      <c r="GA36" s="44">
        <v>217753.92336700001</v>
      </c>
      <c r="GB36" s="44">
        <v>87755.770346999998</v>
      </c>
      <c r="GC36" s="44"/>
      <c r="GE36" s="47">
        <v>4864424.5431000004</v>
      </c>
      <c r="GF36" s="47">
        <v>1564312.551702</v>
      </c>
      <c r="GG36" s="47">
        <v>1084432.835152</v>
      </c>
      <c r="GH36" s="47">
        <v>525256.75477200001</v>
      </c>
      <c r="GI36" s="47">
        <v>400238.11640200001</v>
      </c>
      <c r="GJ36" s="47">
        <v>217780.90388200001</v>
      </c>
      <c r="GK36" s="47">
        <v>87757.032892000003</v>
      </c>
      <c r="GM36" s="47">
        <v>4961475.5431000004</v>
      </c>
      <c r="GN36" s="47">
        <v>1564312.551702</v>
      </c>
      <c r="GO36" s="47">
        <v>1084432.835152</v>
      </c>
      <c r="GP36" s="47">
        <v>525256.75477200001</v>
      </c>
      <c r="GQ36" s="47">
        <v>400238.11640200001</v>
      </c>
      <c r="GR36" s="47">
        <v>217780.90388200001</v>
      </c>
      <c r="GS36" s="47">
        <v>87757.032892000003</v>
      </c>
      <c r="GT36" s="187"/>
      <c r="GU36" s="480">
        <v>4545833.1590999998</v>
      </c>
      <c r="GV36" s="481">
        <v>1332971.096351</v>
      </c>
      <c r="GW36" s="481">
        <v>902559.69269100006</v>
      </c>
      <c r="GX36" s="481">
        <v>419035.75832099997</v>
      </c>
      <c r="GY36" s="481">
        <v>315714.53954099998</v>
      </c>
      <c r="GZ36" s="481">
        <v>169541.67392099998</v>
      </c>
      <c r="HA36" s="481">
        <v>68156.108601</v>
      </c>
      <c r="HB36" s="256"/>
      <c r="HC36" s="480">
        <v>4455234.1590999998</v>
      </c>
      <c r="HD36" s="481">
        <v>1287910.2712319999</v>
      </c>
      <c r="HE36" s="481">
        <v>867656.44624199998</v>
      </c>
      <c r="HF36" s="481">
        <v>399418.18109199998</v>
      </c>
      <c r="HG36" s="481">
        <v>299841.852036</v>
      </c>
      <c r="HH36" s="481">
        <v>160643.17225599999</v>
      </c>
      <c r="HI36" s="481">
        <v>64536.182473000001</v>
      </c>
      <c r="HJ36" s="481"/>
      <c r="HK36" s="480">
        <v>4330968.1590999998</v>
      </c>
      <c r="HL36" s="481">
        <v>1242600.530519</v>
      </c>
      <c r="HM36" s="481">
        <v>835087.6332889999</v>
      </c>
      <c r="HN36" s="481">
        <v>382572.751269</v>
      </c>
      <c r="HO36" s="481">
        <v>286474.251751</v>
      </c>
      <c r="HP36" s="481">
        <v>153034.61780100001</v>
      </c>
      <c r="HQ36" s="481">
        <v>61108.480370999998</v>
      </c>
      <c r="HR36" s="256"/>
      <c r="HS36" s="480">
        <v>4194472.1591999996</v>
      </c>
      <c r="HT36" s="481">
        <v>1192003.49024</v>
      </c>
      <c r="HU36" s="481">
        <v>800803.84218000004</v>
      </c>
      <c r="HV36" s="481">
        <v>365675.01350999996</v>
      </c>
      <c r="HW36" s="481">
        <v>274058.68476199999</v>
      </c>
      <c r="HX36" s="481">
        <v>146243.60817200001</v>
      </c>
      <c r="HY36" s="481">
        <v>58285.699316999999</v>
      </c>
      <c r="HZ36" s="47"/>
      <c r="IA36" s="480">
        <v>3841733.1597000002</v>
      </c>
      <c r="IB36" s="481">
        <v>1113203.7065770002</v>
      </c>
      <c r="IC36" s="481">
        <v>760262.14384699997</v>
      </c>
      <c r="ID36" s="481">
        <v>358636.62239700003</v>
      </c>
      <c r="IE36" s="481">
        <v>270510.82556700002</v>
      </c>
      <c r="IF36" s="481">
        <v>145436.74303700001</v>
      </c>
      <c r="IG36" s="481">
        <v>58200.017929000001</v>
      </c>
      <c r="IH36" s="47"/>
      <c r="II36" s="480">
        <v>3641728.1597000002</v>
      </c>
      <c r="IJ36" s="480">
        <v>1058399.3206759999</v>
      </c>
      <c r="IK36" s="480">
        <v>725888.94769599999</v>
      </c>
      <c r="IL36" s="480">
        <v>345557.38529599993</v>
      </c>
      <c r="IM36" s="480">
        <v>261008.47511699999</v>
      </c>
      <c r="IN36" s="480">
        <v>140496.601207</v>
      </c>
      <c r="IO36" s="480">
        <v>56273.730962000001</v>
      </c>
      <c r="IP36" s="757"/>
      <c r="IQ36" s="757">
        <v>3711562.0007000002</v>
      </c>
      <c r="IR36" s="757">
        <v>1084429.4052280001</v>
      </c>
      <c r="IS36" s="757">
        <v>744239.58916799992</v>
      </c>
      <c r="IT36" s="757">
        <v>354825.62363800005</v>
      </c>
      <c r="IU36" s="757">
        <v>268095.80134599999</v>
      </c>
      <c r="IV36" s="757">
        <v>144413.14557600001</v>
      </c>
      <c r="IW36" s="757">
        <v>57871.957218000003</v>
      </c>
      <c r="IX36" s="757"/>
      <c r="IY36" s="757">
        <v>4493372.0006999997</v>
      </c>
      <c r="IZ36" s="757">
        <v>1226003.538645</v>
      </c>
      <c r="JA36" s="757">
        <v>834738.16806499998</v>
      </c>
      <c r="JB36" s="757">
        <v>392989.19239500002</v>
      </c>
      <c r="JC36" s="757">
        <v>295677.17251</v>
      </c>
      <c r="JD36" s="757">
        <v>158590.59856000001</v>
      </c>
      <c r="JE36" s="757">
        <v>63421.565725</v>
      </c>
      <c r="JF36" s="256"/>
      <c r="JG36" s="47">
        <v>404528.38400000002</v>
      </c>
      <c r="JH36" s="47">
        <v>229118.2248</v>
      </c>
      <c r="JI36" s="47">
        <v>180185.59890000001</v>
      </c>
      <c r="JJ36" s="47">
        <v>105765.45020000001</v>
      </c>
      <c r="JK36" s="47">
        <v>83874.570370000001</v>
      </c>
      <c r="JL36" s="47">
        <v>48289.110569999997</v>
      </c>
      <c r="JM36" s="47">
        <v>20134.13092</v>
      </c>
      <c r="JN36" s="1034"/>
      <c r="JO36" s="47">
        <v>90599.000020000007</v>
      </c>
      <c r="JP36" s="47">
        <v>48185.180699999997</v>
      </c>
      <c r="JQ36" s="47">
        <v>37328.157709999999</v>
      </c>
      <c r="JR36" s="47">
        <v>21371.170829999999</v>
      </c>
      <c r="JS36" s="47">
        <v>17006.597709999998</v>
      </c>
      <c r="JT36" s="47">
        <v>9809.9811140000002</v>
      </c>
      <c r="JU36" s="47">
        <v>4157.08349</v>
      </c>
      <c r="JV36" s="77"/>
      <c r="JW36" s="47">
        <v>124266</v>
      </c>
      <c r="JX36" s="47">
        <v>44749.863319999997</v>
      </c>
      <c r="JY36" s="47">
        <v>32635.736529999998</v>
      </c>
      <c r="JZ36" s="47">
        <v>17526.083900000001</v>
      </c>
      <c r="KA36" s="47">
        <v>13835.36779</v>
      </c>
      <c r="KB36" s="47">
        <v>8238.0670160000009</v>
      </c>
      <c r="KC36" s="47">
        <v>3702.4471739999999</v>
      </c>
      <c r="KD36" s="77"/>
      <c r="KE36" s="47">
        <v>136495.9999</v>
      </c>
      <c r="KF36" s="47">
        <v>50971.309869999997</v>
      </c>
      <c r="KG36" s="47">
        <v>36043.146999999997</v>
      </c>
      <c r="KH36" s="47">
        <v>17223.719829999998</v>
      </c>
      <c r="KI36" s="47">
        <v>13037.752140000001</v>
      </c>
      <c r="KJ36" s="47">
        <v>7181.9679690000003</v>
      </c>
      <c r="KK36" s="47">
        <v>2994.96913</v>
      </c>
      <c r="KL36" s="77"/>
      <c r="KM36" s="47">
        <v>352738.99949999998</v>
      </c>
      <c r="KN36" s="47">
        <v>76767.25374</v>
      </c>
      <c r="KO36" s="47">
        <v>38468.024980000002</v>
      </c>
      <c r="KP36" s="47">
        <v>7012.4220329999998</v>
      </c>
      <c r="KQ36" s="47">
        <v>3532.8021840000001</v>
      </c>
      <c r="KR36" s="47">
        <v>740.74182140000005</v>
      </c>
      <c r="KS36" s="47">
        <v>76.712631099999996</v>
      </c>
      <c r="KT36" s="77"/>
      <c r="KU36" s="47">
        <v>241221</v>
      </c>
      <c r="KV36" s="47">
        <v>64475.743269999999</v>
      </c>
      <c r="KW36" s="47">
        <v>39803.012739999998</v>
      </c>
      <c r="KX36" s="47">
        <v>15413.207189999999</v>
      </c>
      <c r="KY36" s="47">
        <v>11280.38903</v>
      </c>
      <c r="KZ36" s="47">
        <v>5939.6860319999996</v>
      </c>
      <c r="LA36" s="47">
        <v>2265.348066</v>
      </c>
      <c r="LB36" s="77"/>
      <c r="LC36" s="1034">
        <v>288941.68969999999</v>
      </c>
      <c r="LD36" s="1034">
        <v>21198.131010000001</v>
      </c>
      <c r="LE36" s="1034">
        <v>11635.295480000001</v>
      </c>
      <c r="LF36" s="1034">
        <v>2608.5721309999999</v>
      </c>
      <c r="LG36" s="1034">
        <v>1347.450959</v>
      </c>
      <c r="LH36" s="1034">
        <v>298.43673589999997</v>
      </c>
      <c r="LI36" s="1034">
        <v>34.419054340000002</v>
      </c>
      <c r="LJ36" s="77"/>
      <c r="LK36" s="1034">
        <v>11114</v>
      </c>
      <c r="LL36" s="1034">
        <v>7117.5872384000004</v>
      </c>
      <c r="LM36" s="1034">
        <v>6005.3947543000004</v>
      </c>
      <c r="LN36" s="1034">
        <v>3664.5191891000004</v>
      </c>
      <c r="LO36" s="1034">
        <v>2814.3935841100001</v>
      </c>
      <c r="LP36" s="1034">
        <v>1534.1846059100001</v>
      </c>
      <c r="LQ36" s="1034">
        <v>664.05593838000004</v>
      </c>
    </row>
    <row r="37" spans="1:329" s="43" customFormat="1" ht="9.75" customHeight="1" x14ac:dyDescent="0.2">
      <c r="A37" s="48">
        <v>1989</v>
      </c>
      <c r="B37" s="47">
        <v>3132090.5409742319</v>
      </c>
      <c r="C37" s="47">
        <v>1216348.2997603065</v>
      </c>
      <c r="D37" s="47">
        <v>846065.26209039893</v>
      </c>
      <c r="E37" s="47">
        <v>402262.04396038968</v>
      </c>
      <c r="F37" s="47">
        <v>298926.1387614198</v>
      </c>
      <c r="G37" s="47">
        <v>151267.78874120017</v>
      </c>
      <c r="H37" s="47">
        <v>56299.120939369983</v>
      </c>
      <c r="I37" s="47"/>
      <c r="J37" s="47">
        <v>4782196.0384999998</v>
      </c>
      <c r="K37" s="47">
        <v>1623988.8070089999</v>
      </c>
      <c r="L37" s="47">
        <v>1121585.6818889999</v>
      </c>
      <c r="M37" s="47">
        <v>532091.52228899987</v>
      </c>
      <c r="N37" s="47">
        <v>400946.306499</v>
      </c>
      <c r="O37" s="47">
        <v>212337.30427899997</v>
      </c>
      <c r="P37" s="47">
        <v>84062.124748999995</v>
      </c>
      <c r="Q37" s="47"/>
      <c r="R37" s="47">
        <v>5291003.0393000003</v>
      </c>
      <c r="S37" s="47">
        <v>1651159.6473989999</v>
      </c>
      <c r="T37" s="47">
        <v>1136221.8482489998</v>
      </c>
      <c r="U37" s="47">
        <v>536186.92044899997</v>
      </c>
      <c r="V37" s="47">
        <v>402811.86431899999</v>
      </c>
      <c r="W37" s="47">
        <v>213113.52523900001</v>
      </c>
      <c r="X37" s="47">
        <v>84109.825639000002</v>
      </c>
      <c r="Y37" s="47"/>
      <c r="Z37" s="47">
        <v>4782193.9999000002</v>
      </c>
      <c r="AA37" s="47">
        <v>1282094.604427</v>
      </c>
      <c r="AB37" s="47">
        <v>865971.38655699999</v>
      </c>
      <c r="AC37" s="47">
        <v>395315.29440700001</v>
      </c>
      <c r="AD37" s="47">
        <v>293618.74482700002</v>
      </c>
      <c r="AE37" s="47">
        <v>153001.210747</v>
      </c>
      <c r="AF37" s="47">
        <v>59696.544841000003</v>
      </c>
      <c r="AG37" s="189"/>
      <c r="AH37" s="47">
        <v>3185796.3355999999</v>
      </c>
      <c r="AI37" s="47">
        <v>1217441.5495820001</v>
      </c>
      <c r="AJ37" s="47">
        <v>845168.87126200006</v>
      </c>
      <c r="AK37" s="47">
        <v>401194.395532</v>
      </c>
      <c r="AL37" s="47">
        <v>298232.63994200004</v>
      </c>
      <c r="AM37" s="47">
        <v>150872.406082</v>
      </c>
      <c r="AN37" s="47">
        <v>56191.460770999998</v>
      </c>
      <c r="AO37" s="189"/>
      <c r="AP37" s="47"/>
      <c r="AQ37" s="47"/>
      <c r="AR37" s="47"/>
      <c r="AS37" s="47"/>
      <c r="AT37" s="47"/>
      <c r="AU37" s="47"/>
      <c r="AV37" s="47"/>
      <c r="AW37" s="47"/>
      <c r="AX37" s="47">
        <v>3223117.9093999998</v>
      </c>
      <c r="AY37" s="47">
        <v>1244411.3387579999</v>
      </c>
      <c r="AZ37" s="47">
        <v>869078.93483799999</v>
      </c>
      <c r="BA37" s="47">
        <v>416698.68627799995</v>
      </c>
      <c r="BB37" s="47">
        <v>310457.47230799997</v>
      </c>
      <c r="BC37" s="47">
        <v>157522.17041799999</v>
      </c>
      <c r="BD37" s="47">
        <v>58459.635623000002</v>
      </c>
      <c r="BE37" s="47"/>
      <c r="BF37" s="44">
        <v>3220826.773</v>
      </c>
      <c r="BG37" s="44">
        <v>1228885.740128</v>
      </c>
      <c r="BH37" s="44">
        <v>856826.38508799998</v>
      </c>
      <c r="BI37" s="44">
        <v>410607.982258</v>
      </c>
      <c r="BJ37" s="44">
        <v>306563.24281800003</v>
      </c>
      <c r="BK37" s="44">
        <v>156317.23888799999</v>
      </c>
      <c r="BL37" s="44">
        <v>58125.606186999998</v>
      </c>
      <c r="BN37" s="44">
        <v>3220826.773</v>
      </c>
      <c r="BO37" s="44">
        <v>1137104.4253730001</v>
      </c>
      <c r="BP37" s="44">
        <v>792206.92105300003</v>
      </c>
      <c r="BQ37" s="44">
        <v>377489.65767300001</v>
      </c>
      <c r="BR37" s="44">
        <v>283529.48677399999</v>
      </c>
      <c r="BS37" s="44">
        <v>147215.97267400002</v>
      </c>
      <c r="BT37" s="44">
        <v>55640.220316999999</v>
      </c>
      <c r="BU37" s="44"/>
      <c r="BV37" s="47">
        <v>3236710.6129999999</v>
      </c>
      <c r="BW37" s="47">
        <v>1151720.8454</v>
      </c>
      <c r="BX37" s="47">
        <v>806028.00293000008</v>
      </c>
      <c r="BY37" s="47">
        <v>388942.28635999997</v>
      </c>
      <c r="BZ37" s="47">
        <v>294023.20644699998</v>
      </c>
      <c r="CA37" s="47">
        <v>154897.85841700001</v>
      </c>
      <c r="CB37" s="47">
        <v>60038.017060999999</v>
      </c>
      <c r="CC37" s="44"/>
      <c r="CD37" s="47">
        <v>3346909.6129999999</v>
      </c>
      <c r="CE37" s="47">
        <v>1204236.408759</v>
      </c>
      <c r="CF37" s="47">
        <v>848231.43719900004</v>
      </c>
      <c r="CG37" s="47">
        <v>415001.29980899999</v>
      </c>
      <c r="CH37" s="47">
        <v>315465.69003900001</v>
      </c>
      <c r="CI37" s="47">
        <v>167842.80570900001</v>
      </c>
      <c r="CJ37" s="47">
        <v>66058.732759000006</v>
      </c>
      <c r="CL37" s="47">
        <v>3471331.6129999999</v>
      </c>
      <c r="CM37" s="47">
        <v>1252180.9067619999</v>
      </c>
      <c r="CN37" s="47">
        <v>883077.37288199994</v>
      </c>
      <c r="CO37" s="47">
        <v>433373.68939199997</v>
      </c>
      <c r="CP37" s="47">
        <v>329930.78350199998</v>
      </c>
      <c r="CQ37" s="47">
        <v>175916.202322</v>
      </c>
      <c r="CR37" s="47">
        <v>69669.624171999996</v>
      </c>
      <c r="CS37" s="47"/>
      <c r="CT37" s="47">
        <v>3538145.6129999999</v>
      </c>
      <c r="CU37" s="47">
        <v>1282780.910623</v>
      </c>
      <c r="CV37" s="47">
        <v>906870.48664299992</v>
      </c>
      <c r="CW37" s="47">
        <v>447436.84165299998</v>
      </c>
      <c r="CX37" s="47">
        <v>341047.42220299999</v>
      </c>
      <c r="CY37" s="47">
        <v>182588.76264299999</v>
      </c>
      <c r="CZ37" s="47">
        <v>72623.357862999997</v>
      </c>
      <c r="DA37" s="47"/>
      <c r="DB37" s="47">
        <v>3538145.6140000001</v>
      </c>
      <c r="DC37" s="47">
        <v>1301186.0830059999</v>
      </c>
      <c r="DD37" s="47">
        <v>925381.22855600005</v>
      </c>
      <c r="DE37" s="47">
        <v>462611.587986</v>
      </c>
      <c r="DF37" s="47">
        <v>353009.85219599999</v>
      </c>
      <c r="DG37" s="47">
        <v>190803.58453600001</v>
      </c>
      <c r="DH37" s="47">
        <v>76787.197826000003</v>
      </c>
      <c r="DI37" s="47"/>
      <c r="DJ37" s="47">
        <v>3755465.0090000001</v>
      </c>
      <c r="DK37" s="47">
        <v>1363747.728722</v>
      </c>
      <c r="DL37" s="47">
        <v>971682.96564199997</v>
      </c>
      <c r="DM37" s="47">
        <v>487667.98462199996</v>
      </c>
      <c r="DN37" s="47">
        <v>371602.62185199995</v>
      </c>
      <c r="DO37" s="47">
        <v>200496.88667199999</v>
      </c>
      <c r="DP37" s="47">
        <v>80219.774611999994</v>
      </c>
      <c r="DQ37" s="47"/>
      <c r="DR37" s="47">
        <v>3835177.0091983373</v>
      </c>
      <c r="DS37" s="47">
        <v>1388176.8160714332</v>
      </c>
      <c r="DT37" s="47">
        <v>986430.95075872808</v>
      </c>
      <c r="DU37" s="47">
        <v>492335.77720278036</v>
      </c>
      <c r="DV37" s="47">
        <v>374347.53823713877</v>
      </c>
      <c r="DW37" s="47">
        <v>201503.53227947117</v>
      </c>
      <c r="DX37" s="47">
        <v>80465.195951864051</v>
      </c>
      <c r="DY37" s="297"/>
      <c r="DZ37" s="47">
        <v>4028850.0095253089</v>
      </c>
      <c r="EA37" s="47">
        <v>1427607.5926248657</v>
      </c>
      <c r="EB37" s="47">
        <v>1005654.0333376131</v>
      </c>
      <c r="EC37" s="47">
        <v>495440.34017890843</v>
      </c>
      <c r="ED37" s="47">
        <v>376101.45940500783</v>
      </c>
      <c r="EE37" s="47">
        <v>201873.55831969227</v>
      </c>
      <c r="EF37" s="47">
        <v>80516.538363920001</v>
      </c>
      <c r="EG37" s="542"/>
      <c r="EH37" s="47">
        <v>4236918.0095253466</v>
      </c>
      <c r="EI37" s="47">
        <v>1475299.8815080395</v>
      </c>
      <c r="EJ37" s="47">
        <v>1030644.4261758869</v>
      </c>
      <c r="EK37" s="47">
        <v>499180.77377568389</v>
      </c>
      <c r="EL37" s="47">
        <v>377688.95940452057</v>
      </c>
      <c r="EM37" s="47">
        <v>202285.75738830096</v>
      </c>
      <c r="EN37" s="47">
        <v>80559.165082173145</v>
      </c>
      <c r="EO37" s="47"/>
      <c r="EP37" s="47">
        <v>4464355.0384999998</v>
      </c>
      <c r="EQ37" s="47">
        <v>1539054.7256429999</v>
      </c>
      <c r="ER37" s="47">
        <v>1067763.3421829999</v>
      </c>
      <c r="ES37" s="47">
        <v>511498.44530300004</v>
      </c>
      <c r="ET37" s="47">
        <v>386329.22644300002</v>
      </c>
      <c r="EU37" s="47">
        <v>205422.95863299997</v>
      </c>
      <c r="EV37" s="47">
        <v>81374.662442999994</v>
      </c>
      <c r="EW37" s="47"/>
      <c r="EX37" s="47">
        <v>4782196.0384999998</v>
      </c>
      <c r="EY37" s="47">
        <v>1623988.8070089999</v>
      </c>
      <c r="EZ37" s="47">
        <v>1121585.6818889999</v>
      </c>
      <c r="FA37" s="47">
        <v>532091.52228899987</v>
      </c>
      <c r="FB37" s="47">
        <v>400946.306499</v>
      </c>
      <c r="FC37" s="47">
        <v>212337.30427899997</v>
      </c>
      <c r="FD37" s="47">
        <v>84062.124748999995</v>
      </c>
      <c r="FE37" s="47"/>
      <c r="FF37" s="47">
        <v>5016534.0389</v>
      </c>
      <c r="FG37" s="47">
        <v>1642229.2683869998</v>
      </c>
      <c r="FH37" s="47">
        <v>1132868.1736270001</v>
      </c>
      <c r="FI37" s="47">
        <v>535803.06567699998</v>
      </c>
      <c r="FJ37" s="47">
        <v>402602.83780700003</v>
      </c>
      <c r="FK37" s="47">
        <v>213113.64924699999</v>
      </c>
      <c r="FL37" s="47">
        <v>84104.262877000001</v>
      </c>
      <c r="FN37" s="47">
        <v>5030944.0393000003</v>
      </c>
      <c r="FO37" s="47">
        <v>1642955.4658840001</v>
      </c>
      <c r="FP37" s="47">
        <v>1133014.9669339999</v>
      </c>
      <c r="FQ37" s="47">
        <v>535800.03817399999</v>
      </c>
      <c r="FR37" s="47">
        <v>402606.67635400005</v>
      </c>
      <c r="FS37" s="47">
        <v>213114.46832400002</v>
      </c>
      <c r="FT37" s="47">
        <v>84104.287603999997</v>
      </c>
      <c r="FV37" s="44">
        <v>5095548.0393000003</v>
      </c>
      <c r="FW37" s="44">
        <v>1644675.6658840002</v>
      </c>
      <c r="FX37" s="44">
        <v>1133875.066934</v>
      </c>
      <c r="FY37" s="44">
        <v>535972.05817400001</v>
      </c>
      <c r="FZ37" s="44">
        <v>402692.686354</v>
      </c>
      <c r="GA37" s="44">
        <v>213131.67032400001</v>
      </c>
      <c r="GB37" s="44">
        <v>84106.007803999993</v>
      </c>
      <c r="GC37" s="44"/>
      <c r="GE37" s="47">
        <v>5181460.0393000003</v>
      </c>
      <c r="GF37" s="47">
        <v>1651159.6473989999</v>
      </c>
      <c r="GG37" s="47">
        <v>1136221.8482489998</v>
      </c>
      <c r="GH37" s="47">
        <v>536186.92044899997</v>
      </c>
      <c r="GI37" s="47">
        <v>402811.86431899999</v>
      </c>
      <c r="GJ37" s="47">
        <v>213113.52523900001</v>
      </c>
      <c r="GK37" s="47">
        <v>84109.825639000002</v>
      </c>
      <c r="GM37" s="47">
        <v>5291003.0393000003</v>
      </c>
      <c r="GN37" s="47">
        <v>1651159.6473989999</v>
      </c>
      <c r="GO37" s="47">
        <v>1136221.8482489998</v>
      </c>
      <c r="GP37" s="47">
        <v>536186.92044899997</v>
      </c>
      <c r="GQ37" s="47">
        <v>402811.86431899999</v>
      </c>
      <c r="GR37" s="47">
        <v>213113.52523900001</v>
      </c>
      <c r="GS37" s="47">
        <v>84109.825639000002</v>
      </c>
      <c r="GT37" s="187"/>
      <c r="GU37" s="480">
        <v>4824748.7999</v>
      </c>
      <c r="GV37" s="481">
        <v>1395478.181356</v>
      </c>
      <c r="GW37" s="481">
        <v>939874.28530599992</v>
      </c>
      <c r="GX37" s="481">
        <v>425026.61780599999</v>
      </c>
      <c r="GY37" s="481">
        <v>316053.58312599995</v>
      </c>
      <c r="GZ37" s="481">
        <v>165457.512666</v>
      </c>
      <c r="HA37" s="481">
        <v>64998.393755999998</v>
      </c>
      <c r="HB37" s="256"/>
      <c r="HC37" s="480">
        <v>4722478.7994999997</v>
      </c>
      <c r="HD37" s="481">
        <v>1344787.7149429999</v>
      </c>
      <c r="HE37" s="481">
        <v>900128.19263299997</v>
      </c>
      <c r="HF37" s="481">
        <v>402847.58200300002</v>
      </c>
      <c r="HG37" s="481">
        <v>298571.51713300002</v>
      </c>
      <c r="HH37" s="481">
        <v>155586.93725299998</v>
      </c>
      <c r="HI37" s="481">
        <v>61045.721296000003</v>
      </c>
      <c r="HJ37" s="481"/>
      <c r="HK37" s="480">
        <v>4598056.7994999997</v>
      </c>
      <c r="HL37" s="481">
        <v>1299818.7145530002</v>
      </c>
      <c r="HM37" s="481">
        <v>868311.98623300006</v>
      </c>
      <c r="HN37" s="481">
        <v>386649.00040299998</v>
      </c>
      <c r="HO37" s="481">
        <v>285569.58917299996</v>
      </c>
      <c r="HP37" s="481">
        <v>148224.607643</v>
      </c>
      <c r="HQ37" s="481">
        <v>57835.388245000002</v>
      </c>
      <c r="HR37" s="256"/>
      <c r="HS37" s="480">
        <v>4448192.7993000001</v>
      </c>
      <c r="HT37" s="481">
        <v>1245079.719694</v>
      </c>
      <c r="HU37" s="481">
        <v>830071.68475400005</v>
      </c>
      <c r="HV37" s="481">
        <v>368257.58373400004</v>
      </c>
      <c r="HW37" s="481">
        <v>271830.23650200001</v>
      </c>
      <c r="HX37" s="481">
        <v>140901.116542</v>
      </c>
      <c r="HY37" s="481">
        <v>54827.985697999997</v>
      </c>
      <c r="HZ37" s="47"/>
      <c r="IA37" s="480">
        <v>4075255.7988999998</v>
      </c>
      <c r="IB37" s="481">
        <v>1160885.9873560001</v>
      </c>
      <c r="IC37" s="481">
        <v>786689.29910599999</v>
      </c>
      <c r="ID37" s="481">
        <v>360436.114986</v>
      </c>
      <c r="IE37" s="481">
        <v>268315.18206499994</v>
      </c>
      <c r="IF37" s="481">
        <v>140060.85384499998</v>
      </c>
      <c r="IG37" s="481">
        <v>54752.579534999997</v>
      </c>
      <c r="IH37" s="47"/>
      <c r="II37" s="480">
        <v>3865398.7988999998</v>
      </c>
      <c r="IJ37" s="480">
        <v>1103660.321241</v>
      </c>
      <c r="IK37" s="480">
        <v>750807.95350100007</v>
      </c>
      <c r="IL37" s="480">
        <v>346898.14773099998</v>
      </c>
      <c r="IM37" s="480">
        <v>258616.368158</v>
      </c>
      <c r="IN37" s="480">
        <v>135209.213968</v>
      </c>
      <c r="IO37" s="480">
        <v>52872.240122000003</v>
      </c>
      <c r="IP37" s="757"/>
      <c r="IQ37" s="757">
        <v>3939851.9999000002</v>
      </c>
      <c r="IR37" s="757">
        <v>1131523.40188</v>
      </c>
      <c r="IS37" s="757">
        <v>770340.60907000001</v>
      </c>
      <c r="IT37" s="757">
        <v>356441.69000000006</v>
      </c>
      <c r="IU37" s="757">
        <v>265808.98747400002</v>
      </c>
      <c r="IV37" s="757">
        <v>139063.163894</v>
      </c>
      <c r="IW37" s="757">
        <v>54400.925714999998</v>
      </c>
      <c r="IX37" s="757"/>
      <c r="IY37" s="757">
        <v>4782193.9999000002</v>
      </c>
      <c r="IZ37" s="757">
        <v>1282094.604427</v>
      </c>
      <c r="JA37" s="757">
        <v>865971.38655699999</v>
      </c>
      <c r="JB37" s="757">
        <v>395315.29440700001</v>
      </c>
      <c r="JC37" s="757">
        <v>293618.74482700002</v>
      </c>
      <c r="JD37" s="757">
        <v>153001.210747</v>
      </c>
      <c r="JE37" s="757">
        <v>59696.544841000003</v>
      </c>
      <c r="JF37" s="256"/>
      <c r="JG37" s="47">
        <v>453819.23940000002</v>
      </c>
      <c r="JH37" s="47">
        <v>251508.75779999999</v>
      </c>
      <c r="JI37" s="47">
        <v>194802.46720000001</v>
      </c>
      <c r="JJ37" s="47">
        <v>109507.7773</v>
      </c>
      <c r="JK37" s="47">
        <v>85490.128410000005</v>
      </c>
      <c r="JL37" s="47">
        <v>47560.987309999997</v>
      </c>
      <c r="JM37" s="47">
        <v>19368.050329999998</v>
      </c>
      <c r="JN37" s="1034"/>
      <c r="JO37" s="47">
        <v>102270.0004</v>
      </c>
      <c r="JP37" s="47">
        <v>53316.320720000003</v>
      </c>
      <c r="JQ37" s="47">
        <v>41117.979729999999</v>
      </c>
      <c r="JR37" s="47">
        <v>23292.998780000002</v>
      </c>
      <c r="JS37" s="47">
        <v>18589.479029999999</v>
      </c>
      <c r="JT37" s="47">
        <v>10651.32969</v>
      </c>
      <c r="JU37" s="47">
        <v>4344.6446219999998</v>
      </c>
      <c r="JV37" s="77"/>
      <c r="JW37" s="47">
        <v>124422</v>
      </c>
      <c r="JX37" s="47">
        <v>45031.408219999998</v>
      </c>
      <c r="JY37" s="47">
        <v>32728.99641</v>
      </c>
      <c r="JZ37" s="47">
        <v>17536.787609999999</v>
      </c>
      <c r="KA37" s="47">
        <v>13704.124959999999</v>
      </c>
      <c r="KB37" s="47">
        <v>7944.95147</v>
      </c>
      <c r="KC37" s="47">
        <v>3543.4169489999999</v>
      </c>
      <c r="KD37" s="77"/>
      <c r="KE37" s="47">
        <v>149864.00020000001</v>
      </c>
      <c r="KF37" s="47">
        <v>55777.104800000001</v>
      </c>
      <c r="KG37" s="47">
        <v>39186.410490000002</v>
      </c>
      <c r="KH37" s="47">
        <v>18984.641149999999</v>
      </c>
      <c r="KI37" s="47">
        <v>14206.579110000001</v>
      </c>
      <c r="KJ37" s="47">
        <v>7724.0000790000004</v>
      </c>
      <c r="KK37" s="47">
        <v>3196.8338840000001</v>
      </c>
      <c r="KL37" s="77"/>
      <c r="KM37" s="47">
        <v>372937.00040000002</v>
      </c>
      <c r="KN37" s="47">
        <v>81884.801949999994</v>
      </c>
      <c r="KO37" s="47">
        <v>41439.064079999996</v>
      </c>
      <c r="KP37" s="47">
        <v>7491.5740699999997</v>
      </c>
      <c r="KQ37" s="47">
        <v>3800.3943420000001</v>
      </c>
      <c r="KR37" s="47">
        <v>806.95711429999994</v>
      </c>
      <c r="KS37" s="47">
        <v>83.23440918</v>
      </c>
      <c r="KT37" s="77"/>
      <c r="KU37" s="47">
        <v>259841</v>
      </c>
      <c r="KV37" s="47">
        <v>69388.577300000004</v>
      </c>
      <c r="KW37" s="47">
        <v>42720.253640000003</v>
      </c>
      <c r="KX37" s="47">
        <v>16246.1536</v>
      </c>
      <c r="KY37" s="47">
        <v>11663.16488</v>
      </c>
      <c r="KZ37" s="47">
        <v>5963.5677859999996</v>
      </c>
      <c r="LA37" s="47">
        <v>2236.42407</v>
      </c>
      <c r="LB37" s="77"/>
      <c r="LC37" s="1034">
        <v>309663.01199999999</v>
      </c>
      <c r="LD37" s="1034">
        <v>22149.968049999999</v>
      </c>
      <c r="LE37" s="1034">
        <v>11827.728450000001</v>
      </c>
      <c r="LF37" s="1034">
        <v>2856.458232</v>
      </c>
      <c r="LG37" s="1034">
        <v>1477.1001229999999</v>
      </c>
      <c r="LH37" s="1034">
        <v>339.30887689999997</v>
      </c>
      <c r="LI37" s="1034">
        <v>39.046748880000003</v>
      </c>
      <c r="LJ37" s="77"/>
      <c r="LK37" s="1034">
        <v>12435</v>
      </c>
      <c r="LL37" s="1034">
        <v>7979.6357019600009</v>
      </c>
      <c r="LM37" s="1034">
        <v>6724.9149718600002</v>
      </c>
      <c r="LN37" s="1034">
        <v>4050.8719865599996</v>
      </c>
      <c r="LO37" s="1034">
        <v>3118.8688399100001</v>
      </c>
      <c r="LP37" s="1034">
        <v>1699.48406101</v>
      </c>
      <c r="LQ37" s="1034">
        <v>732.81692099999998</v>
      </c>
    </row>
    <row r="38" spans="1:329" s="43" customFormat="1" ht="9.75" customHeight="1" x14ac:dyDescent="0.2">
      <c r="A38" s="48">
        <v>1990</v>
      </c>
      <c r="B38" s="47">
        <v>3320675.0669069085</v>
      </c>
      <c r="C38" s="47">
        <v>1301475.0135291079</v>
      </c>
      <c r="D38" s="47">
        <v>909252.56214239926</v>
      </c>
      <c r="E38" s="47">
        <v>436992.91971950023</v>
      </c>
      <c r="F38" s="47">
        <v>326448.58834422991</v>
      </c>
      <c r="G38" s="47">
        <v>163903.11880544029</v>
      </c>
      <c r="H38" s="47">
        <v>61062.799734780034</v>
      </c>
      <c r="I38" s="47"/>
      <c r="J38" s="47">
        <v>5036094.3466999996</v>
      </c>
      <c r="K38" s="47">
        <v>1734714.4650539998</v>
      </c>
      <c r="L38" s="47">
        <v>1200460.624204</v>
      </c>
      <c r="M38" s="47">
        <v>568466.31901400001</v>
      </c>
      <c r="N38" s="47">
        <v>426627.66008399997</v>
      </c>
      <c r="O38" s="47">
        <v>223920.551144</v>
      </c>
      <c r="P38" s="47">
        <v>88307.414984000003</v>
      </c>
      <c r="Q38" s="47"/>
      <c r="R38" s="47">
        <v>5599448.3460999997</v>
      </c>
      <c r="S38" s="47">
        <v>1763215.0739949998</v>
      </c>
      <c r="T38" s="47">
        <v>1216026.6909749999</v>
      </c>
      <c r="U38" s="47">
        <v>572058.69854499993</v>
      </c>
      <c r="V38" s="47">
        <v>428378.55166500004</v>
      </c>
      <c r="W38" s="47">
        <v>224595.77759499999</v>
      </c>
      <c r="X38" s="47">
        <v>88344.511184999996</v>
      </c>
      <c r="Y38" s="47"/>
      <c r="Z38" s="47">
        <v>5036094.9987000003</v>
      </c>
      <c r="AA38" s="47">
        <v>1359138.652128</v>
      </c>
      <c r="AB38" s="47">
        <v>920243.40654799994</v>
      </c>
      <c r="AC38" s="47">
        <v>419692.75188799994</v>
      </c>
      <c r="AD38" s="47">
        <v>311162.02916799998</v>
      </c>
      <c r="AE38" s="47">
        <v>160128.01789799999</v>
      </c>
      <c r="AF38" s="47">
        <v>62398.838581999997</v>
      </c>
      <c r="AG38" s="47"/>
      <c r="AH38" s="47">
        <v>3374199.8053000001</v>
      </c>
      <c r="AI38" s="47">
        <v>1301145.026389</v>
      </c>
      <c r="AJ38" s="47">
        <v>907249.05773899995</v>
      </c>
      <c r="AK38" s="47">
        <v>435060.53049900004</v>
      </c>
      <c r="AL38" s="47">
        <v>324823.67965900002</v>
      </c>
      <c r="AM38" s="47">
        <v>163046.77911900001</v>
      </c>
      <c r="AN38" s="47">
        <v>60698.397238999998</v>
      </c>
      <c r="AO38" s="47"/>
      <c r="AP38" s="47"/>
      <c r="AQ38" s="47"/>
      <c r="AR38" s="47"/>
      <c r="AS38" s="47"/>
      <c r="AT38" s="47"/>
      <c r="AU38" s="47"/>
      <c r="AV38" s="47"/>
      <c r="AW38" s="47"/>
      <c r="AX38" s="47">
        <v>3414198.7058000001</v>
      </c>
      <c r="AY38" s="47">
        <v>1329939.7891009999</v>
      </c>
      <c r="AZ38" s="47">
        <v>932334.72148099996</v>
      </c>
      <c r="BA38" s="47">
        <v>451686.16376099997</v>
      </c>
      <c r="BB38" s="47">
        <v>338233.63874099997</v>
      </c>
      <c r="BC38" s="47">
        <v>170078.24580099998</v>
      </c>
      <c r="BD38" s="47">
        <v>63145.116780999997</v>
      </c>
      <c r="BE38" s="47"/>
      <c r="BF38" s="44">
        <v>3414731.4478000002</v>
      </c>
      <c r="BG38" s="44">
        <v>1313620.4122360002</v>
      </c>
      <c r="BH38" s="44">
        <v>919418.24083600007</v>
      </c>
      <c r="BI38" s="44">
        <v>445326.308296</v>
      </c>
      <c r="BJ38" s="44">
        <v>334074.62642600003</v>
      </c>
      <c r="BK38" s="44">
        <v>168686.708266</v>
      </c>
      <c r="BL38" s="44">
        <v>62758.771346000001</v>
      </c>
      <c r="BN38" s="44">
        <v>3414731.4478000002</v>
      </c>
      <c r="BO38" s="44">
        <v>1216790.0225320002</v>
      </c>
      <c r="BP38" s="44">
        <v>851290.12093199999</v>
      </c>
      <c r="BQ38" s="44">
        <v>409149.26377199998</v>
      </c>
      <c r="BR38" s="44">
        <v>307396.55894200003</v>
      </c>
      <c r="BS38" s="44">
        <v>159085.08348199999</v>
      </c>
      <c r="BT38" s="44">
        <v>60135.087186999997</v>
      </c>
      <c r="BU38" s="44"/>
      <c r="BV38" s="47">
        <v>3431523.5957999998</v>
      </c>
      <c r="BW38" s="47">
        <v>1232035.4742909998</v>
      </c>
      <c r="BX38" s="47">
        <v>865879.68366099987</v>
      </c>
      <c r="BY38" s="47">
        <v>421628.33165100001</v>
      </c>
      <c r="BZ38" s="47">
        <v>318935.62500100001</v>
      </c>
      <c r="CA38" s="47">
        <v>167214.17731100001</v>
      </c>
      <c r="CB38" s="47">
        <v>65171.210400999997</v>
      </c>
      <c r="CC38" s="44"/>
      <c r="CD38" s="47">
        <v>3534189.5957999998</v>
      </c>
      <c r="CE38" s="47">
        <v>1281876.425204</v>
      </c>
      <c r="CF38" s="47">
        <v>905183.40191400005</v>
      </c>
      <c r="CG38" s="47">
        <v>444761.25252400001</v>
      </c>
      <c r="CH38" s="47">
        <v>337346.19871400006</v>
      </c>
      <c r="CI38" s="47">
        <v>178678.998204</v>
      </c>
      <c r="CJ38" s="47">
        <v>70462.789753999998</v>
      </c>
      <c r="CL38" s="47">
        <v>3656005.5957999998</v>
      </c>
      <c r="CM38" s="47">
        <v>1333210.6535959998</v>
      </c>
      <c r="CN38" s="47">
        <v>941845.10488599993</v>
      </c>
      <c r="CO38" s="47">
        <v>463175.82634599996</v>
      </c>
      <c r="CP38" s="47">
        <v>351300.48110600002</v>
      </c>
      <c r="CQ38" s="47">
        <v>186430.38116599998</v>
      </c>
      <c r="CR38" s="47">
        <v>73948.010085999995</v>
      </c>
      <c r="CS38" s="47"/>
      <c r="CT38" s="47">
        <v>3728803.5957999998</v>
      </c>
      <c r="CU38" s="47">
        <v>1368271.2028020003</v>
      </c>
      <c r="CV38" s="47">
        <v>968962.17648199992</v>
      </c>
      <c r="CW38" s="47">
        <v>478560.46327199996</v>
      </c>
      <c r="CX38" s="47">
        <v>363225.67671200004</v>
      </c>
      <c r="CY38" s="47">
        <v>193507.79048200001</v>
      </c>
      <c r="CZ38" s="47">
        <v>76993.012702000007</v>
      </c>
      <c r="DA38" s="47"/>
      <c r="DB38" s="47">
        <v>3728803.5957999998</v>
      </c>
      <c r="DC38" s="47">
        <v>1387045.8568750001</v>
      </c>
      <c r="DD38" s="47">
        <v>986642.99252499989</v>
      </c>
      <c r="DE38" s="47">
        <v>492130.08476499998</v>
      </c>
      <c r="DF38" s="47">
        <v>374523.08986499999</v>
      </c>
      <c r="DG38" s="47">
        <v>200359.048365</v>
      </c>
      <c r="DH38" s="47">
        <v>80301.399214999998</v>
      </c>
      <c r="DI38" s="47"/>
      <c r="DJ38" s="47">
        <v>3948735.0458</v>
      </c>
      <c r="DK38" s="47">
        <v>1446677.6834600002</v>
      </c>
      <c r="DL38" s="47">
        <v>1032463.8099000001</v>
      </c>
      <c r="DM38" s="47">
        <v>517478.38050000003</v>
      </c>
      <c r="DN38" s="47">
        <v>393716.74048000004</v>
      </c>
      <c r="DO38" s="47">
        <v>210024.52254999999</v>
      </c>
      <c r="DP38" s="47">
        <v>84027.792910000004</v>
      </c>
      <c r="DQ38" s="47"/>
      <c r="DR38" s="47">
        <v>4037402.0461949734</v>
      </c>
      <c r="DS38" s="47">
        <v>1474725.7737000547</v>
      </c>
      <c r="DT38" s="47">
        <v>1049332.6421077051</v>
      </c>
      <c r="DU38" s="47">
        <v>522844.48996267351</v>
      </c>
      <c r="DV38" s="47">
        <v>397189.1866101175</v>
      </c>
      <c r="DW38" s="47">
        <v>211205.35712975031</v>
      </c>
      <c r="DX38" s="47">
        <v>84231.475270986251</v>
      </c>
      <c r="DY38" s="297"/>
      <c r="DZ38" s="47">
        <v>4243853.0466513801</v>
      </c>
      <c r="EA38" s="47">
        <v>1516561.5636273569</v>
      </c>
      <c r="EB38" s="47">
        <v>1070002.9508021441</v>
      </c>
      <c r="EC38" s="47">
        <v>526103.65467171802</v>
      </c>
      <c r="ED38" s="47">
        <v>398873.60561920062</v>
      </c>
      <c r="EE38" s="47">
        <v>211569.84930664551</v>
      </c>
      <c r="EF38" s="47">
        <v>84281.084199101766</v>
      </c>
      <c r="EG38" s="542"/>
      <c r="EH38" s="47">
        <v>4475769.0466514444</v>
      </c>
      <c r="EI38" s="47">
        <v>1569881.6013455349</v>
      </c>
      <c r="EJ38" s="47">
        <v>1096789.9264314037</v>
      </c>
      <c r="EK38" s="47">
        <v>530109.23187818599</v>
      </c>
      <c r="EL38" s="47">
        <v>400649.7019591498</v>
      </c>
      <c r="EM38" s="47">
        <v>211963.40018594253</v>
      </c>
      <c r="EN38" s="47">
        <v>84336.05226712377</v>
      </c>
      <c r="EO38" s="47"/>
      <c r="EP38" s="47">
        <v>4702147.3466999996</v>
      </c>
      <c r="EQ38" s="47">
        <v>1644700.1371299999</v>
      </c>
      <c r="ER38" s="47">
        <v>1143279.7406200001</v>
      </c>
      <c r="ES38" s="47">
        <v>545680.79462000006</v>
      </c>
      <c r="ET38" s="47">
        <v>410585.24617</v>
      </c>
      <c r="EU38" s="47">
        <v>215859.84100000001</v>
      </c>
      <c r="EV38" s="47">
        <v>85269.261140000002</v>
      </c>
      <c r="EW38" s="47"/>
      <c r="EX38" s="47">
        <v>5036094.3466999996</v>
      </c>
      <c r="EY38" s="47">
        <v>1734714.4650539998</v>
      </c>
      <c r="EZ38" s="47">
        <v>1200460.624204</v>
      </c>
      <c r="FA38" s="47">
        <v>568466.31901400001</v>
      </c>
      <c r="FB38" s="47">
        <v>426627.66008399997</v>
      </c>
      <c r="FC38" s="47">
        <v>223920.551144</v>
      </c>
      <c r="FD38" s="47">
        <v>88307.414984000003</v>
      </c>
      <c r="FE38" s="47"/>
      <c r="FF38" s="47">
        <v>5287450.3461999996</v>
      </c>
      <c r="FG38" s="47">
        <v>1753704.9551119998</v>
      </c>
      <c r="FH38" s="47">
        <v>1211986.775752</v>
      </c>
      <c r="FI38" s="47">
        <v>571546.18697199994</v>
      </c>
      <c r="FJ38" s="47">
        <v>428219.10198199999</v>
      </c>
      <c r="FK38" s="47">
        <v>224548.76900199999</v>
      </c>
      <c r="FL38" s="47">
        <v>88340.978942000002</v>
      </c>
      <c r="FN38" s="47">
        <v>5305612.3460999997</v>
      </c>
      <c r="FO38" s="47">
        <v>1754851.021768</v>
      </c>
      <c r="FP38" s="47">
        <v>1212160.1199380001</v>
      </c>
      <c r="FQ38" s="47">
        <v>571572.84548799996</v>
      </c>
      <c r="FR38" s="47">
        <v>428226.713728</v>
      </c>
      <c r="FS38" s="47">
        <v>224553.146798</v>
      </c>
      <c r="FT38" s="47">
        <v>88340.998838</v>
      </c>
      <c r="FV38" s="44">
        <v>5376197.3460999997</v>
      </c>
      <c r="FW38" s="44">
        <v>1756618.521768</v>
      </c>
      <c r="FX38" s="44">
        <v>1213043.8699380001</v>
      </c>
      <c r="FY38" s="44">
        <v>571749.59548799996</v>
      </c>
      <c r="FZ38" s="44">
        <v>428315.088728</v>
      </c>
      <c r="GA38" s="44">
        <v>224570.82179800002</v>
      </c>
      <c r="GB38" s="44">
        <v>88342.766338000001</v>
      </c>
      <c r="GC38" s="44"/>
      <c r="GE38" s="47">
        <v>5472515.3460999997</v>
      </c>
      <c r="GF38" s="47">
        <v>1763215.0739949998</v>
      </c>
      <c r="GG38" s="47">
        <v>1216026.6909749999</v>
      </c>
      <c r="GH38" s="47">
        <v>572058.69854499993</v>
      </c>
      <c r="GI38" s="47">
        <v>428378.55166500004</v>
      </c>
      <c r="GJ38" s="47">
        <v>224595.77759499999</v>
      </c>
      <c r="GK38" s="47">
        <v>88344.511184999996</v>
      </c>
      <c r="GM38" s="47">
        <v>5599448.3460999997</v>
      </c>
      <c r="GN38" s="47">
        <v>1763215.0739949998</v>
      </c>
      <c r="GO38" s="47">
        <v>1216026.6909749999</v>
      </c>
      <c r="GP38" s="47">
        <v>572058.69854499993</v>
      </c>
      <c r="GQ38" s="47">
        <v>428378.55166500004</v>
      </c>
      <c r="GR38" s="47">
        <v>224595.77759499999</v>
      </c>
      <c r="GS38" s="47">
        <v>88344.511184999996</v>
      </c>
      <c r="GT38" s="187"/>
      <c r="GU38" s="480">
        <v>5110785.7065000003</v>
      </c>
      <c r="GV38" s="481">
        <v>1494310.6886450001</v>
      </c>
      <c r="GW38" s="481">
        <v>1009266.5030949999</v>
      </c>
      <c r="GX38" s="481">
        <v>455697.20278500003</v>
      </c>
      <c r="GY38" s="481">
        <v>337473.245895</v>
      </c>
      <c r="GZ38" s="481">
        <v>174389.398155</v>
      </c>
      <c r="HA38" s="481">
        <v>68284.882385000004</v>
      </c>
      <c r="HB38" s="256"/>
      <c r="HC38" s="480">
        <v>5001191.7061000001</v>
      </c>
      <c r="HD38" s="481">
        <v>1440198.9561049999</v>
      </c>
      <c r="HE38" s="481">
        <v>967787.89398499997</v>
      </c>
      <c r="HF38" s="481">
        <v>432722.29026499996</v>
      </c>
      <c r="HG38" s="481">
        <v>319666.01010499999</v>
      </c>
      <c r="HH38" s="481">
        <v>164588.623215</v>
      </c>
      <c r="HI38" s="481">
        <v>64378.296145</v>
      </c>
      <c r="HJ38" s="481"/>
      <c r="HK38" s="480">
        <v>4879375.7061000001</v>
      </c>
      <c r="HL38" s="481">
        <v>1393909.2125819998</v>
      </c>
      <c r="HM38" s="481">
        <v>934989.54283199995</v>
      </c>
      <c r="HN38" s="481">
        <v>416431.36322199996</v>
      </c>
      <c r="HO38" s="481">
        <v>307246.69285200001</v>
      </c>
      <c r="HP38" s="481">
        <v>157517.089852</v>
      </c>
      <c r="HQ38" s="481">
        <v>61324.780758000001</v>
      </c>
      <c r="HR38" s="256"/>
      <c r="HS38" s="480">
        <v>4717842.7057999996</v>
      </c>
      <c r="HT38" s="481">
        <v>1333256.6177979999</v>
      </c>
      <c r="HU38" s="481">
        <v>892749.56099800009</v>
      </c>
      <c r="HV38" s="481">
        <v>396220.78336799995</v>
      </c>
      <c r="HW38" s="481">
        <v>292477.93927799998</v>
      </c>
      <c r="HX38" s="481">
        <v>149736.14962799998</v>
      </c>
      <c r="HY38" s="481">
        <v>58213.457157999997</v>
      </c>
      <c r="HZ38" s="47"/>
      <c r="IA38" s="480">
        <v>4319062.7056999998</v>
      </c>
      <c r="IB38" s="481">
        <v>1244093.29241</v>
      </c>
      <c r="IC38" s="481">
        <v>846793.04191000003</v>
      </c>
      <c r="ID38" s="481">
        <v>387697.10489000008</v>
      </c>
      <c r="IE38" s="481">
        <v>288237.04188000003</v>
      </c>
      <c r="IF38" s="481">
        <v>148885.34077000001</v>
      </c>
      <c r="IG38" s="481">
        <v>58123.895017000003</v>
      </c>
      <c r="IH38" s="47"/>
      <c r="II38" s="480">
        <v>4097588.7056999998</v>
      </c>
      <c r="IJ38" s="480">
        <v>1183058.2321810001</v>
      </c>
      <c r="IK38" s="480">
        <v>808687.82039100002</v>
      </c>
      <c r="IL38" s="480">
        <v>373220.41060100001</v>
      </c>
      <c r="IM38" s="480">
        <v>277791.72116999998</v>
      </c>
      <c r="IN38" s="480">
        <v>143572.07468999998</v>
      </c>
      <c r="IO38" s="480">
        <v>56078.745695999998</v>
      </c>
      <c r="IP38" s="757"/>
      <c r="IQ38" s="757">
        <v>4130083.9986999999</v>
      </c>
      <c r="IR38" s="757">
        <v>1195242.764284</v>
      </c>
      <c r="IS38" s="757">
        <v>817263.16388399992</v>
      </c>
      <c r="IT38" s="757">
        <v>377412.24974399997</v>
      </c>
      <c r="IU38" s="757">
        <v>280949.336732</v>
      </c>
      <c r="IV38" s="757">
        <v>145242.28396199999</v>
      </c>
      <c r="IW38" s="757">
        <v>56745.880989999998</v>
      </c>
      <c r="IX38" s="757"/>
      <c r="IY38" s="757">
        <v>5036094.9987000003</v>
      </c>
      <c r="IZ38" s="757">
        <v>1359138.652128</v>
      </c>
      <c r="JA38" s="757">
        <v>920243.40654799994</v>
      </c>
      <c r="JB38" s="757">
        <v>419692.75188799994</v>
      </c>
      <c r="JC38" s="757">
        <v>311162.02916799998</v>
      </c>
      <c r="JD38" s="757">
        <v>160128.01789799999</v>
      </c>
      <c r="JE38" s="757">
        <v>62398.838581999997</v>
      </c>
      <c r="JF38" s="256"/>
      <c r="JG38" s="47">
        <v>472907.63959999999</v>
      </c>
      <c r="JH38" s="47">
        <v>260136.17800000001</v>
      </c>
      <c r="JI38" s="47">
        <v>201154.8524</v>
      </c>
      <c r="JJ38" s="47">
        <v>114160.405</v>
      </c>
      <c r="JK38" s="47">
        <v>89117.820609999995</v>
      </c>
      <c r="JL38" s="47">
        <v>49445.602460000002</v>
      </c>
      <c r="JM38" s="47">
        <v>20032.761200000001</v>
      </c>
      <c r="JN38" s="1034"/>
      <c r="JO38" s="47">
        <v>109594.0004</v>
      </c>
      <c r="JP38" s="47">
        <v>55744.97956</v>
      </c>
      <c r="JQ38" s="47">
        <v>42842.640449999999</v>
      </c>
      <c r="JR38" s="47">
        <v>24009.8701</v>
      </c>
      <c r="JS38" s="47">
        <v>18819.566480000001</v>
      </c>
      <c r="JT38" s="47">
        <v>10415.78505</v>
      </c>
      <c r="JU38" s="47">
        <v>4254.6042649999999</v>
      </c>
      <c r="JV38" s="77"/>
      <c r="JW38" s="47">
        <v>121816</v>
      </c>
      <c r="JX38" s="47">
        <v>48001.111239999998</v>
      </c>
      <c r="JY38" s="47">
        <v>34633.354619999998</v>
      </c>
      <c r="JZ38" s="47">
        <v>16800.50099</v>
      </c>
      <c r="KA38" s="47">
        <v>13029.09865</v>
      </c>
      <c r="KB38" s="47">
        <v>7523.7041920000001</v>
      </c>
      <c r="KC38" s="47">
        <v>3285.7650840000001</v>
      </c>
      <c r="KD38" s="77"/>
      <c r="KE38" s="47">
        <v>161533.00039999999</v>
      </c>
      <c r="KF38" s="47">
        <v>62551.503409999998</v>
      </c>
      <c r="KG38" s="47">
        <v>44156.534070000002</v>
      </c>
      <c r="KH38" s="47">
        <v>20573.064180000001</v>
      </c>
      <c r="KI38" s="47">
        <v>15309.218699999999</v>
      </c>
      <c r="KJ38" s="47">
        <v>8074.4396210000004</v>
      </c>
      <c r="KK38" s="47">
        <v>3292.0987239999999</v>
      </c>
      <c r="KL38" s="77"/>
      <c r="KM38" s="47">
        <v>398780.0001</v>
      </c>
      <c r="KN38" s="47">
        <v>84251.098719999995</v>
      </c>
      <c r="KO38" s="47">
        <v>42870.014470000002</v>
      </c>
      <c r="KP38" s="47">
        <v>8117.1601270000001</v>
      </c>
      <c r="KQ38" s="47">
        <v>4000.9293640000001</v>
      </c>
      <c r="KR38" s="47">
        <v>835.35310849999996</v>
      </c>
      <c r="KS38" s="47">
        <v>87.232139520000004</v>
      </c>
      <c r="KT38" s="77"/>
      <c r="KU38" s="47">
        <v>275643</v>
      </c>
      <c r="KV38" s="47">
        <v>73890.442249999993</v>
      </c>
      <c r="KW38" s="47">
        <v>45736.270539999998</v>
      </c>
      <c r="KX38" s="47">
        <v>17809.567719999999</v>
      </c>
      <c r="KY38" s="47">
        <v>12863.44139</v>
      </c>
      <c r="KZ38" s="47">
        <v>6609.3750410000002</v>
      </c>
      <c r="LA38" s="47">
        <v>2511.7608329999998</v>
      </c>
      <c r="LB38" s="77"/>
      <c r="LC38" s="1034">
        <v>337607.1863</v>
      </c>
      <c r="LD38" s="1034">
        <v>23608.45736</v>
      </c>
      <c r="LE38" s="1034">
        <v>12383.385979999999</v>
      </c>
      <c r="LF38" s="1034">
        <v>2842.5802450000001</v>
      </c>
      <c r="LG38" s="1034">
        <v>1511.042019</v>
      </c>
      <c r="LH38" s="1034">
        <v>347.19342899999998</v>
      </c>
      <c r="LI38" s="1034">
        <v>41.061539510000003</v>
      </c>
      <c r="LJ38" s="77"/>
      <c r="LK38" s="1034">
        <v>15755</v>
      </c>
      <c r="LL38" s="1034">
        <v>10188.87746365</v>
      </c>
      <c r="LM38" s="1034">
        <v>8562.0686532500004</v>
      </c>
      <c r="LN38" s="1034">
        <v>5125.1227337499995</v>
      </c>
      <c r="LO38" s="1034">
        <v>3937.1942749500004</v>
      </c>
      <c r="LP38" s="1034">
        <v>2140.8510425499999</v>
      </c>
      <c r="LQ38" s="1034">
        <v>941.44667185000003</v>
      </c>
    </row>
    <row r="39" spans="1:329" s="43" customFormat="1" ht="9.75" customHeight="1" x14ac:dyDescent="0.2">
      <c r="A39" s="48">
        <v>1991</v>
      </c>
      <c r="B39" s="47">
        <v>3384899.4207743928</v>
      </c>
      <c r="C39" s="47">
        <v>1322186.8312943333</v>
      </c>
      <c r="D39" s="47">
        <v>914814.49240930215</v>
      </c>
      <c r="E39" s="47">
        <v>423320.03750692937</v>
      </c>
      <c r="F39" s="47">
        <v>309396.2892038892</v>
      </c>
      <c r="G39" s="47">
        <v>150621.81843549942</v>
      </c>
      <c r="H39" s="47">
        <v>54500.768562940073</v>
      </c>
      <c r="I39" s="47"/>
      <c r="J39" s="47">
        <v>5186123.0979000004</v>
      </c>
      <c r="K39" s="47">
        <v>1789548.7625400003</v>
      </c>
      <c r="L39" s="47">
        <v>1232411.3518100001</v>
      </c>
      <c r="M39" s="47">
        <v>566548.12113999994</v>
      </c>
      <c r="N39" s="47">
        <v>420094.76462999999</v>
      </c>
      <c r="O39" s="47">
        <v>216849.35141</v>
      </c>
      <c r="P39" s="47">
        <v>83846.629749999993</v>
      </c>
      <c r="Q39" s="47"/>
      <c r="R39" s="47">
        <v>5824696.0979000004</v>
      </c>
      <c r="S39" s="47">
        <v>1820162.280551</v>
      </c>
      <c r="T39" s="47">
        <v>1248776.8997510001</v>
      </c>
      <c r="U39" s="47">
        <v>570459.02297099994</v>
      </c>
      <c r="V39" s="47">
        <v>422346.35055099998</v>
      </c>
      <c r="W39" s="47">
        <v>217386.86384100001</v>
      </c>
      <c r="X39" s="47">
        <v>83931.792300999994</v>
      </c>
      <c r="Y39" s="47"/>
      <c r="Z39" s="47">
        <v>5186125.0011</v>
      </c>
      <c r="AA39" s="47">
        <v>1372868.0740359998</v>
      </c>
      <c r="AB39" s="47">
        <v>919853.712696</v>
      </c>
      <c r="AC39" s="47">
        <v>402149.74048600002</v>
      </c>
      <c r="AD39" s="47">
        <v>294196.29175600002</v>
      </c>
      <c r="AE39" s="47">
        <v>147003.358916</v>
      </c>
      <c r="AF39" s="47">
        <v>55973.041151999998</v>
      </c>
      <c r="AG39" s="189"/>
      <c r="AH39" s="47">
        <v>3432419.1427000002</v>
      </c>
      <c r="AI39" s="47">
        <v>1319119.204801</v>
      </c>
      <c r="AJ39" s="47">
        <v>910968.73619100009</v>
      </c>
      <c r="AK39" s="47">
        <v>420697.58647099999</v>
      </c>
      <c r="AL39" s="47">
        <v>307464.03902100003</v>
      </c>
      <c r="AM39" s="47">
        <v>149674.19395099999</v>
      </c>
      <c r="AN39" s="47">
        <v>54233.583972</v>
      </c>
      <c r="AO39" s="189"/>
      <c r="AP39" s="47"/>
      <c r="AQ39" s="47"/>
      <c r="AR39" s="47"/>
      <c r="AS39" s="47"/>
      <c r="AT39" s="47"/>
      <c r="AU39" s="47"/>
      <c r="AV39" s="47"/>
      <c r="AW39" s="47"/>
      <c r="AX39" s="47">
        <v>3475250.3953</v>
      </c>
      <c r="AY39" s="47">
        <v>1349789.3255070001</v>
      </c>
      <c r="AZ39" s="47">
        <v>937833.05045700003</v>
      </c>
      <c r="BA39" s="47">
        <v>439114.24956699996</v>
      </c>
      <c r="BB39" s="47">
        <v>322338.44758699997</v>
      </c>
      <c r="BC39" s="47">
        <v>157951.22116700001</v>
      </c>
      <c r="BD39" s="47">
        <v>57209.603707000002</v>
      </c>
      <c r="BE39" s="47"/>
      <c r="BF39" s="44">
        <v>3483953.8665999998</v>
      </c>
      <c r="BG39" s="44">
        <v>1334853.9636299999</v>
      </c>
      <c r="BH39" s="44">
        <v>925913.04048000008</v>
      </c>
      <c r="BI39" s="44">
        <v>433136.41773999995</v>
      </c>
      <c r="BJ39" s="44">
        <v>318525.45903999999</v>
      </c>
      <c r="BK39" s="44">
        <v>156822.05592000001</v>
      </c>
      <c r="BL39" s="44">
        <v>56966.889085000003</v>
      </c>
      <c r="BN39" s="44">
        <v>3483953.8665999998</v>
      </c>
      <c r="BO39" s="44">
        <v>1232488.2874660001</v>
      </c>
      <c r="BP39" s="44">
        <v>856824.64671599993</v>
      </c>
      <c r="BQ39" s="44">
        <v>397769.17463600001</v>
      </c>
      <c r="BR39" s="44">
        <v>294211.06523599999</v>
      </c>
      <c r="BS39" s="44">
        <v>148501.93257599999</v>
      </c>
      <c r="BT39" s="44">
        <v>55112.941289000002</v>
      </c>
      <c r="BU39" s="44"/>
      <c r="BV39" s="47">
        <v>3501654.3215999999</v>
      </c>
      <c r="BW39" s="47">
        <v>1248588.687622</v>
      </c>
      <c r="BX39" s="47">
        <v>872059.54070199991</v>
      </c>
      <c r="BY39" s="47">
        <v>410988.88381200004</v>
      </c>
      <c r="BZ39" s="47">
        <v>306251.22128200001</v>
      </c>
      <c r="CA39" s="47">
        <v>157724.60619200001</v>
      </c>
      <c r="CB39" s="47">
        <v>59955.699809999998</v>
      </c>
      <c r="CC39" s="44"/>
      <c r="CD39" s="47">
        <v>3633879.3215999999</v>
      </c>
      <c r="CE39" s="47">
        <v>1317694.51409</v>
      </c>
      <c r="CF39" s="47">
        <v>925745.97317000001</v>
      </c>
      <c r="CG39" s="47">
        <v>443229.28820000001</v>
      </c>
      <c r="CH39" s="47">
        <v>332544.18820000003</v>
      </c>
      <c r="CI39" s="47">
        <v>173702.65134000001</v>
      </c>
      <c r="CJ39" s="47">
        <v>67184.207500000004</v>
      </c>
      <c r="CL39" s="47">
        <v>3751692.3215999999</v>
      </c>
      <c r="CM39" s="47">
        <v>1369421.631843</v>
      </c>
      <c r="CN39" s="47">
        <v>963771.79219299997</v>
      </c>
      <c r="CO39" s="47">
        <v>462265.76904300001</v>
      </c>
      <c r="CP39" s="47">
        <v>347110.03425299999</v>
      </c>
      <c r="CQ39" s="47">
        <v>182085.174253</v>
      </c>
      <c r="CR39" s="47">
        <v>70776.934963000007</v>
      </c>
      <c r="CS39" s="47"/>
      <c r="CT39" s="47">
        <v>3832370.3215999999</v>
      </c>
      <c r="CU39" s="47">
        <v>1410086.9529240001</v>
      </c>
      <c r="CV39" s="47">
        <v>994029.67784400005</v>
      </c>
      <c r="CW39" s="47">
        <v>479320.27447399998</v>
      </c>
      <c r="CX39" s="47">
        <v>360565.36457400001</v>
      </c>
      <c r="CY39" s="47">
        <v>189905.93016400002</v>
      </c>
      <c r="CZ39" s="47">
        <v>74206.933294000002</v>
      </c>
      <c r="DA39" s="47"/>
      <c r="DB39" s="47">
        <v>3832370.3226000001</v>
      </c>
      <c r="DC39" s="47">
        <v>1423469.0084929999</v>
      </c>
      <c r="DD39" s="47">
        <v>1005535.2009929999</v>
      </c>
      <c r="DE39" s="47">
        <v>486521.77804300003</v>
      </c>
      <c r="DF39" s="47">
        <v>366245.31043299998</v>
      </c>
      <c r="DG39" s="47">
        <v>193411.358183</v>
      </c>
      <c r="DH39" s="47">
        <v>75994.930863000001</v>
      </c>
      <c r="DI39" s="47"/>
      <c r="DJ39" s="47">
        <v>4056701.3245999999</v>
      </c>
      <c r="DK39" s="47">
        <v>1488228.9328269998</v>
      </c>
      <c r="DL39" s="47">
        <v>1054527.4837869999</v>
      </c>
      <c r="DM39" s="47">
        <v>513494.00584700005</v>
      </c>
      <c r="DN39" s="47">
        <v>386588.536257</v>
      </c>
      <c r="DO39" s="47">
        <v>203340.10856700002</v>
      </c>
      <c r="DP39" s="47">
        <v>79848.981157000002</v>
      </c>
      <c r="DQ39" s="47"/>
      <c r="DR39" s="47">
        <v>4157896.3245039457</v>
      </c>
      <c r="DS39" s="47">
        <v>1520888.6783037777</v>
      </c>
      <c r="DT39" s="47">
        <v>1075113.9884916875</v>
      </c>
      <c r="DU39" s="47">
        <v>520168.424812996</v>
      </c>
      <c r="DV39" s="47">
        <v>391088.79119441455</v>
      </c>
      <c r="DW39" s="47">
        <v>205030.39446415595</v>
      </c>
      <c r="DX39" s="47">
        <v>80182.656112937475</v>
      </c>
      <c r="DY39" s="297"/>
      <c r="DZ39" s="47">
        <v>4373028.3248510882</v>
      </c>
      <c r="EA39" s="47">
        <v>1564731.0505211318</v>
      </c>
      <c r="EB39" s="47">
        <v>1097060.9392691283</v>
      </c>
      <c r="EC39" s="47">
        <v>524401.61325184826</v>
      </c>
      <c r="ED39" s="47">
        <v>393143.09648193442</v>
      </c>
      <c r="EE39" s="47">
        <v>205493.36966465379</v>
      </c>
      <c r="EF39" s="47">
        <v>80234.621887842222</v>
      </c>
      <c r="EG39" s="542"/>
      <c r="EH39" s="47">
        <v>4625168.324851092</v>
      </c>
      <c r="EI39" s="47">
        <v>1621536.4856812803</v>
      </c>
      <c r="EJ39" s="47">
        <v>1126297.4290658482</v>
      </c>
      <c r="EK39" s="47">
        <v>528475.30247715826</v>
      </c>
      <c r="EL39" s="47">
        <v>395118.27269288409</v>
      </c>
      <c r="EM39" s="47">
        <v>205942.99707221054</v>
      </c>
      <c r="EN39" s="47">
        <v>80307.180162637247</v>
      </c>
      <c r="EO39" s="47"/>
      <c r="EP39" s="47">
        <v>4836851.0979000004</v>
      </c>
      <c r="EQ39" s="47">
        <v>1696510.6907500001</v>
      </c>
      <c r="ER39" s="47">
        <v>1173848.65658</v>
      </c>
      <c r="ES39" s="47">
        <v>544502.60684999998</v>
      </c>
      <c r="ET39" s="47">
        <v>404657.24443000002</v>
      </c>
      <c r="EU39" s="47">
        <v>209411.98178999999</v>
      </c>
      <c r="EV39" s="47">
        <v>81177.415150000001</v>
      </c>
      <c r="EW39" s="47"/>
      <c r="EX39" s="47">
        <v>5186123.0979000004</v>
      </c>
      <c r="EY39" s="47">
        <v>1789548.7625400003</v>
      </c>
      <c r="EZ39" s="47">
        <v>1232411.3518100001</v>
      </c>
      <c r="FA39" s="47">
        <v>566548.12113999994</v>
      </c>
      <c r="FB39" s="47">
        <v>420094.76462999999</v>
      </c>
      <c r="FC39" s="47">
        <v>216849.35141</v>
      </c>
      <c r="FD39" s="47">
        <v>83846.629749999993</v>
      </c>
      <c r="FE39" s="47"/>
      <c r="FF39" s="47">
        <v>5457840.0975000001</v>
      </c>
      <c r="FG39" s="47">
        <v>1810415.528528</v>
      </c>
      <c r="FH39" s="47">
        <v>1244489.3027979999</v>
      </c>
      <c r="FI39" s="47">
        <v>570202.94526800001</v>
      </c>
      <c r="FJ39" s="47">
        <v>422119.97683799994</v>
      </c>
      <c r="FK39" s="47">
        <v>217389.40775800002</v>
      </c>
      <c r="FL39" s="47">
        <v>83927.691558000006</v>
      </c>
      <c r="FN39" s="47">
        <v>5484627.0979000004</v>
      </c>
      <c r="FO39" s="47">
        <v>1811434.871545</v>
      </c>
      <c r="FP39" s="47">
        <v>1244722.5933650001</v>
      </c>
      <c r="FQ39" s="47">
        <v>570053.80532500008</v>
      </c>
      <c r="FR39" s="47">
        <v>422151.276755</v>
      </c>
      <c r="FS39" s="47">
        <v>217390.792755</v>
      </c>
      <c r="FT39" s="47">
        <v>83927.810375000001</v>
      </c>
      <c r="FV39" s="44">
        <v>5561839.0979000004</v>
      </c>
      <c r="FW39" s="44">
        <v>1813246.6715449998</v>
      </c>
      <c r="FX39" s="44">
        <v>1245628.4933649998</v>
      </c>
      <c r="FY39" s="44">
        <v>570234.98532500002</v>
      </c>
      <c r="FZ39" s="44">
        <v>422241.86675499997</v>
      </c>
      <c r="GA39" s="44">
        <v>217408.91075499999</v>
      </c>
      <c r="GB39" s="44">
        <v>83929.622174999997</v>
      </c>
      <c r="GC39" s="44"/>
      <c r="GE39" s="47">
        <v>5667392.0979000004</v>
      </c>
      <c r="GF39" s="47">
        <v>1820162.280551</v>
      </c>
      <c r="GG39" s="47">
        <v>1248776.8997510001</v>
      </c>
      <c r="GH39" s="47">
        <v>570459.02297099994</v>
      </c>
      <c r="GI39" s="47">
        <v>422346.35055099998</v>
      </c>
      <c r="GJ39" s="47">
        <v>217386.86384100001</v>
      </c>
      <c r="GK39" s="47">
        <v>83931.792300999994</v>
      </c>
      <c r="GM39" s="47">
        <v>5824696.0979000004</v>
      </c>
      <c r="GN39" s="47">
        <v>1820162.280551</v>
      </c>
      <c r="GO39" s="47">
        <v>1248776.8997510001</v>
      </c>
      <c r="GP39" s="47">
        <v>570459.02297099994</v>
      </c>
      <c r="GQ39" s="47">
        <v>422346.35055099998</v>
      </c>
      <c r="GR39" s="47">
        <v>217386.86384100001</v>
      </c>
      <c r="GS39" s="47">
        <v>83931.792300999994</v>
      </c>
      <c r="GT39" s="187"/>
      <c r="GU39" s="480">
        <v>5344646.0426000003</v>
      </c>
      <c r="GV39" s="481">
        <v>1555021.2706910002</v>
      </c>
      <c r="GW39" s="481">
        <v>1043933.8257510001</v>
      </c>
      <c r="GX39" s="481">
        <v>457308.74576099997</v>
      </c>
      <c r="GY39" s="481">
        <v>334268.55559099995</v>
      </c>
      <c r="GZ39" s="481">
        <v>168793.02559100001</v>
      </c>
      <c r="HA39" s="481">
        <v>64717.200560999998</v>
      </c>
      <c r="HB39" s="256"/>
      <c r="HC39" s="480">
        <v>5232926.0427999999</v>
      </c>
      <c r="HD39" s="481">
        <v>1499627.3389659999</v>
      </c>
      <c r="HE39" s="481">
        <v>1001072.0708359999</v>
      </c>
      <c r="HF39" s="481">
        <v>433847.45308599999</v>
      </c>
      <c r="HG39" s="481">
        <v>316504.53813599999</v>
      </c>
      <c r="HH39" s="481">
        <v>158912.47680599999</v>
      </c>
      <c r="HI39" s="481">
        <v>60836.864075999998</v>
      </c>
      <c r="HJ39" s="481"/>
      <c r="HK39" s="480">
        <v>5115113.0427999999</v>
      </c>
      <c r="HL39" s="481">
        <v>1451578.602775</v>
      </c>
      <c r="HM39" s="481">
        <v>965943.59326500015</v>
      </c>
      <c r="HN39" s="481">
        <v>416022.33736499998</v>
      </c>
      <c r="HO39" s="481">
        <v>302546.50529499998</v>
      </c>
      <c r="HP39" s="481">
        <v>151013.536995</v>
      </c>
      <c r="HQ39" s="481">
        <v>57424.203466999999</v>
      </c>
      <c r="HR39" s="256"/>
      <c r="HS39" s="480">
        <v>4939042.0428999998</v>
      </c>
      <c r="HT39" s="481">
        <v>1381051.4872609999</v>
      </c>
      <c r="HU39" s="481">
        <v>917132.67054100009</v>
      </c>
      <c r="HV39" s="481">
        <v>393039.14597099996</v>
      </c>
      <c r="HW39" s="481">
        <v>285353.47889099998</v>
      </c>
      <c r="HX39" s="481">
        <v>141952.60592100001</v>
      </c>
      <c r="HY39" s="481">
        <v>53846.076271999998</v>
      </c>
      <c r="HZ39" s="47"/>
      <c r="IA39" s="480">
        <v>4520776.0431000004</v>
      </c>
      <c r="IB39" s="481">
        <v>1287836.8399209999</v>
      </c>
      <c r="IC39" s="481">
        <v>867299.07715100003</v>
      </c>
      <c r="ID39" s="481">
        <v>382677.91964099999</v>
      </c>
      <c r="IE39" s="481">
        <v>280429.584921</v>
      </c>
      <c r="IF39" s="481">
        <v>140910.08222099999</v>
      </c>
      <c r="IG39" s="481">
        <v>53751.049872000003</v>
      </c>
      <c r="IH39" s="47"/>
      <c r="II39" s="480">
        <v>4288959.0431000004</v>
      </c>
      <c r="IJ39" s="480">
        <v>1224903.0951169999</v>
      </c>
      <c r="IK39" s="480">
        <v>828520.18043700012</v>
      </c>
      <c r="IL39" s="480">
        <v>368171.11330699996</v>
      </c>
      <c r="IM39" s="480">
        <v>270372.89048599999</v>
      </c>
      <c r="IN39" s="480">
        <v>135960.207306</v>
      </c>
      <c r="IO39" s="480">
        <v>51922.772954</v>
      </c>
      <c r="IP39" s="757"/>
      <c r="IQ39" s="757">
        <v>4231257.0011</v>
      </c>
      <c r="IR39" s="757">
        <v>1202761.7912419997</v>
      </c>
      <c r="IS39" s="757">
        <v>812894.66019199998</v>
      </c>
      <c r="IT39" s="757">
        <v>360626.21722199995</v>
      </c>
      <c r="IU39" s="757">
        <v>264722.4534</v>
      </c>
      <c r="IV39" s="757">
        <v>132977.72390000001</v>
      </c>
      <c r="IW39" s="757">
        <v>50768.418138000001</v>
      </c>
      <c r="IX39" s="757"/>
      <c r="IY39" s="757">
        <v>5186125.0011</v>
      </c>
      <c r="IZ39" s="757">
        <v>1372868.0740359998</v>
      </c>
      <c r="JA39" s="757">
        <v>919853.712696</v>
      </c>
      <c r="JB39" s="757">
        <v>402149.74048600002</v>
      </c>
      <c r="JC39" s="757">
        <v>294196.29175600002</v>
      </c>
      <c r="JD39" s="757">
        <v>147003.358916</v>
      </c>
      <c r="JE39" s="757">
        <v>55973.041151999998</v>
      </c>
      <c r="JF39" s="256"/>
      <c r="JG39" s="47">
        <v>464453.05530000001</v>
      </c>
      <c r="JH39" s="47">
        <v>255530.36910000001</v>
      </c>
      <c r="JI39" s="47">
        <v>197625.8242</v>
      </c>
      <c r="JJ39" s="47">
        <v>111003.5474</v>
      </c>
      <c r="JK39" s="47">
        <v>86324.049979999996</v>
      </c>
      <c r="JL39" s="47">
        <v>47579.58165</v>
      </c>
      <c r="JM39" s="47">
        <v>18843.106459999999</v>
      </c>
      <c r="JN39" s="1034"/>
      <c r="JO39" s="47">
        <v>111719.9999</v>
      </c>
      <c r="JP39" s="47">
        <v>57451.171629999997</v>
      </c>
      <c r="JQ39" s="47">
        <v>43960.838750000003</v>
      </c>
      <c r="JR39" s="47">
        <v>24078.81367</v>
      </c>
      <c r="JS39" s="47">
        <v>18645.65855</v>
      </c>
      <c r="JT39" s="47">
        <v>10398.9036</v>
      </c>
      <c r="JU39" s="47">
        <v>4172.1490659999999</v>
      </c>
      <c r="JV39" s="77"/>
      <c r="JW39" s="47">
        <v>117813</v>
      </c>
      <c r="JX39" s="47">
        <v>50718.04795</v>
      </c>
      <c r="JY39" s="47">
        <v>36966.363649999999</v>
      </c>
      <c r="JZ39" s="47">
        <v>18018.675179999998</v>
      </c>
      <c r="KA39" s="47">
        <v>13985.953680000001</v>
      </c>
      <c r="KB39" s="47">
        <v>8090.1629999999996</v>
      </c>
      <c r="KC39" s="47">
        <v>3562.425463</v>
      </c>
      <c r="KD39" s="77"/>
      <c r="KE39" s="47">
        <v>176070.9999</v>
      </c>
      <c r="KF39" s="47">
        <v>70990.699179999996</v>
      </c>
      <c r="KG39" s="47">
        <v>50311.637779999997</v>
      </c>
      <c r="KH39" s="47">
        <v>23499.791160000001</v>
      </c>
      <c r="KI39" s="47">
        <v>17597.639230000001</v>
      </c>
      <c r="KJ39" s="47">
        <v>9391.0973479999993</v>
      </c>
      <c r="KK39" s="47">
        <v>3764.9361709999998</v>
      </c>
      <c r="KL39" s="77"/>
      <c r="KM39" s="47">
        <v>418265.99969999999</v>
      </c>
      <c r="KN39" s="47">
        <v>91151.529269999999</v>
      </c>
      <c r="KO39" s="47">
        <v>48154.61406</v>
      </c>
      <c r="KP39" s="47">
        <v>9778.6211810000004</v>
      </c>
      <c r="KQ39" s="47">
        <v>4865.9177149999996</v>
      </c>
      <c r="KR39" s="47">
        <v>1006.6886050000001</v>
      </c>
      <c r="KS39" s="47">
        <v>102.50133599999999</v>
      </c>
      <c r="KT39" s="77"/>
      <c r="KU39" s="47">
        <v>292421</v>
      </c>
      <c r="KV39" s="47">
        <v>77296.840419999993</v>
      </c>
      <c r="KW39" s="47">
        <v>47381.551460000002</v>
      </c>
      <c r="KX39" s="47">
        <v>17711.423940000001</v>
      </c>
      <c r="KY39" s="47">
        <v>12476.39669</v>
      </c>
      <c r="KZ39" s="47">
        <v>6169.4423100000004</v>
      </c>
      <c r="LA39" s="47">
        <v>2277.6684660000001</v>
      </c>
      <c r="LB39" s="77"/>
      <c r="LC39" s="1034">
        <v>372491.8553</v>
      </c>
      <c r="LD39" s="1034">
        <v>26590.196810000001</v>
      </c>
      <c r="LE39" s="1034">
        <v>13600.12557</v>
      </c>
      <c r="LF39" s="1034">
        <v>3342.2987400000002</v>
      </c>
      <c r="LG39" s="1034">
        <v>1804.8605359999999</v>
      </c>
      <c r="LH39" s="1034">
        <v>420.37953140000002</v>
      </c>
      <c r="LI39" s="1034">
        <v>48.914337619999998</v>
      </c>
      <c r="LJ39" s="77"/>
      <c r="LK39" s="1034">
        <v>15597</v>
      </c>
      <c r="LL39" s="1034">
        <v>10144.973554690001</v>
      </c>
      <c r="LM39" s="1034">
        <v>8513.8101680899999</v>
      </c>
      <c r="LN39" s="1034">
        <v>5069.5464346899998</v>
      </c>
      <c r="LO39" s="1034">
        <v>3879.2009933899999</v>
      </c>
      <c r="LP39" s="1034">
        <v>2111.8569095900002</v>
      </c>
      <c r="LQ39" s="1034">
        <v>919.33640689000003</v>
      </c>
    </row>
    <row r="40" spans="1:329" s="43" customFormat="1" ht="9.75" customHeight="1" x14ac:dyDescent="0.2">
      <c r="A40" s="48">
        <v>1992</v>
      </c>
      <c r="B40" s="47">
        <v>3541513.0798304193</v>
      </c>
      <c r="C40" s="47">
        <v>1428699.6621368809</v>
      </c>
      <c r="D40" s="47">
        <v>1003543.088818601</v>
      </c>
      <c r="E40" s="47">
        <v>485648.04742550012</v>
      </c>
      <c r="F40" s="47">
        <v>363461.11320005014</v>
      </c>
      <c r="G40" s="47">
        <v>186213.9416717799</v>
      </c>
      <c r="H40" s="47">
        <v>71817.685261359919</v>
      </c>
      <c r="I40" s="47"/>
      <c r="J40" s="47">
        <v>5499747.9360999996</v>
      </c>
      <c r="K40" s="47">
        <v>1951580.8791799997</v>
      </c>
      <c r="L40" s="47">
        <v>1356716.4248699998</v>
      </c>
      <c r="M40" s="47">
        <v>637846.28862999997</v>
      </c>
      <c r="N40" s="47">
        <v>478674.99063999997</v>
      </c>
      <c r="O40" s="47">
        <v>254121.84255999999</v>
      </c>
      <c r="P40" s="47">
        <v>102346.28289</v>
      </c>
      <c r="Q40" s="47"/>
      <c r="R40" s="47">
        <v>6217420.9360999996</v>
      </c>
      <c r="S40" s="47">
        <v>1984931.70842</v>
      </c>
      <c r="T40" s="47">
        <v>1374606.7876900001</v>
      </c>
      <c r="U40" s="47">
        <v>641729.57686999999</v>
      </c>
      <c r="V40" s="47">
        <v>480653.80362999998</v>
      </c>
      <c r="W40" s="47">
        <v>254724.99896</v>
      </c>
      <c r="X40" s="47">
        <v>102400.97205</v>
      </c>
      <c r="Y40" s="47"/>
      <c r="Z40" s="47">
        <v>5499748.0001999997</v>
      </c>
      <c r="AA40" s="47">
        <v>1472112.0930819998</v>
      </c>
      <c r="AB40" s="47">
        <v>991192.19367200008</v>
      </c>
      <c r="AC40" s="47">
        <v>438527.477052</v>
      </c>
      <c r="AD40" s="47">
        <v>322916.46844199998</v>
      </c>
      <c r="AE40" s="47">
        <v>165574.954982</v>
      </c>
      <c r="AF40" s="47">
        <v>64926.358752</v>
      </c>
      <c r="AG40" s="189"/>
      <c r="AH40" s="47">
        <v>3588941.2776000001</v>
      </c>
      <c r="AI40" s="47">
        <v>1425566.128338</v>
      </c>
      <c r="AJ40" s="47">
        <v>999390.68875800003</v>
      </c>
      <c r="AK40" s="47">
        <v>482592.57052800001</v>
      </c>
      <c r="AL40" s="47">
        <v>360897.387108</v>
      </c>
      <c r="AM40" s="47">
        <v>184808.46140799997</v>
      </c>
      <c r="AN40" s="47">
        <v>71418.672137999994</v>
      </c>
      <c r="AO40" s="189"/>
      <c r="AP40" s="47"/>
      <c r="AQ40" s="47"/>
      <c r="AR40" s="47"/>
      <c r="AS40" s="47"/>
      <c r="AT40" s="47"/>
      <c r="AU40" s="47"/>
      <c r="AV40" s="47"/>
      <c r="AW40" s="47"/>
      <c r="AX40" s="47">
        <v>3634373.5983000002</v>
      </c>
      <c r="AY40" s="47">
        <v>1456884.0420519998</v>
      </c>
      <c r="AZ40" s="47">
        <v>1025855.2961120001</v>
      </c>
      <c r="BA40" s="47">
        <v>500306.60435199999</v>
      </c>
      <c r="BB40" s="47">
        <v>375343.77090200002</v>
      </c>
      <c r="BC40" s="47">
        <v>192446.12322200002</v>
      </c>
      <c r="BD40" s="47">
        <v>73963.117282000007</v>
      </c>
      <c r="BE40" s="47"/>
      <c r="BF40" s="44">
        <v>3644265.6688000001</v>
      </c>
      <c r="BG40" s="44">
        <v>1441474.3537440002</v>
      </c>
      <c r="BH40" s="44">
        <v>1013879.5732339999</v>
      </c>
      <c r="BI40" s="44">
        <v>494905.74075399997</v>
      </c>
      <c r="BJ40" s="44">
        <v>372003.09638399997</v>
      </c>
      <c r="BK40" s="44">
        <v>191683.85443400001</v>
      </c>
      <c r="BL40" s="44">
        <v>73739.094574000002</v>
      </c>
      <c r="BN40" s="44">
        <v>3644265.6688000001</v>
      </c>
      <c r="BO40" s="44">
        <v>1336430.8092</v>
      </c>
      <c r="BP40" s="44">
        <v>940221.10912999988</v>
      </c>
      <c r="BQ40" s="44">
        <v>456522.68646999996</v>
      </c>
      <c r="BR40" s="44">
        <v>345062.07120000001</v>
      </c>
      <c r="BS40" s="44">
        <v>180938.15906999999</v>
      </c>
      <c r="BT40" s="44">
        <v>70457.663109999994</v>
      </c>
      <c r="BU40" s="44"/>
      <c r="BV40" s="47">
        <v>3662874.4328000001</v>
      </c>
      <c r="BW40" s="47">
        <v>1353072.698508</v>
      </c>
      <c r="BX40" s="47">
        <v>956783.2533979998</v>
      </c>
      <c r="BY40" s="47">
        <v>470164.17970800004</v>
      </c>
      <c r="BZ40" s="47">
        <v>357758.86525799998</v>
      </c>
      <c r="CA40" s="47">
        <v>191051.37926800002</v>
      </c>
      <c r="CB40" s="47">
        <v>76059.925308000005</v>
      </c>
      <c r="CC40" s="44"/>
      <c r="CD40" s="47">
        <v>3799941.4328000001</v>
      </c>
      <c r="CE40" s="47">
        <v>1426086.7545769999</v>
      </c>
      <c r="CF40" s="47">
        <v>1015792.988057</v>
      </c>
      <c r="CG40" s="47">
        <v>505502.689227</v>
      </c>
      <c r="CH40" s="47">
        <v>385835.80514700001</v>
      </c>
      <c r="CI40" s="47">
        <v>209026.52448700002</v>
      </c>
      <c r="CJ40" s="47">
        <v>84509.417046999995</v>
      </c>
      <c r="CL40" s="47">
        <v>3931855.4328000001</v>
      </c>
      <c r="CM40" s="47">
        <v>1487045.1494199999</v>
      </c>
      <c r="CN40" s="47">
        <v>1061364.4053</v>
      </c>
      <c r="CO40" s="47">
        <v>528878.39605999994</v>
      </c>
      <c r="CP40" s="47">
        <v>403400.65951999999</v>
      </c>
      <c r="CQ40" s="47">
        <v>219527.80093999999</v>
      </c>
      <c r="CR40" s="47">
        <v>89187.049969999993</v>
      </c>
      <c r="CS40" s="47"/>
      <c r="CT40" s="47">
        <v>4017762.4328000001</v>
      </c>
      <c r="CU40" s="47">
        <v>1531485.7437549999</v>
      </c>
      <c r="CV40" s="47">
        <v>1095850.1165150001</v>
      </c>
      <c r="CW40" s="47">
        <v>548511.57977499999</v>
      </c>
      <c r="CX40" s="47">
        <v>418807.517735</v>
      </c>
      <c r="CY40" s="47">
        <v>228841.69007499999</v>
      </c>
      <c r="CZ40" s="47">
        <v>93309.904114999998</v>
      </c>
      <c r="DA40" s="47"/>
      <c r="DB40" s="47">
        <v>4017762.4338000002</v>
      </c>
      <c r="DC40" s="47">
        <v>1540909.2003390002</v>
      </c>
      <c r="DD40" s="47">
        <v>1103966.838639</v>
      </c>
      <c r="DE40" s="47">
        <v>554320.23528899997</v>
      </c>
      <c r="DF40" s="47">
        <v>423218.96622900001</v>
      </c>
      <c r="DG40" s="47">
        <v>231526.10138899999</v>
      </c>
      <c r="DH40" s="47">
        <v>94954.720258999994</v>
      </c>
      <c r="DI40" s="47"/>
      <c r="DJ40" s="47">
        <v>4258314.4667999996</v>
      </c>
      <c r="DK40" s="47">
        <v>1601315.2827079999</v>
      </c>
      <c r="DL40" s="47">
        <v>1147679.0609480001</v>
      </c>
      <c r="DM40" s="47">
        <v>571980.12989799993</v>
      </c>
      <c r="DN40" s="47">
        <v>435760.006658</v>
      </c>
      <c r="DO40" s="47">
        <v>236243.40142800001</v>
      </c>
      <c r="DP40" s="47">
        <v>96566.934657999998</v>
      </c>
      <c r="DQ40" s="47"/>
      <c r="DR40" s="47">
        <v>4376900.4665369047</v>
      </c>
      <c r="DS40" s="47">
        <v>1640828.3610924527</v>
      </c>
      <c r="DT40" s="47">
        <v>1173222.7238358122</v>
      </c>
      <c r="DU40" s="47">
        <v>580850.5387853086</v>
      </c>
      <c r="DV40" s="47">
        <v>441664.79474839341</v>
      </c>
      <c r="DW40" s="47">
        <v>238362.27701873274</v>
      </c>
      <c r="DX40" s="47">
        <v>97018.216061840372</v>
      </c>
      <c r="DY40" s="297"/>
      <c r="DZ40" s="47">
        <v>4605298.4661076916</v>
      </c>
      <c r="EA40" s="47">
        <v>1689297.1751849516</v>
      </c>
      <c r="EB40" s="47">
        <v>1198111.5485608496</v>
      </c>
      <c r="EC40" s="47">
        <v>585862.75972092804</v>
      </c>
      <c r="ED40" s="47">
        <v>444242.52117482817</v>
      </c>
      <c r="EE40" s="47">
        <v>238917.16683942731</v>
      </c>
      <c r="EF40" s="47">
        <v>97075.984620381365</v>
      </c>
      <c r="EG40" s="542"/>
      <c r="EH40" s="47">
        <v>4889041.4661076237</v>
      </c>
      <c r="EI40" s="47">
        <v>1754985.9570765493</v>
      </c>
      <c r="EJ40" s="47">
        <v>1230554.5761963432</v>
      </c>
      <c r="EK40" s="47">
        <v>591146.89952923602</v>
      </c>
      <c r="EL40" s="47">
        <v>446488.81633053499</v>
      </c>
      <c r="EM40" s="47">
        <v>239435.75083738228</v>
      </c>
      <c r="EN40" s="47">
        <v>97132.768043186035</v>
      </c>
      <c r="EO40" s="47"/>
      <c r="EP40" s="47">
        <v>5137021.9360999996</v>
      </c>
      <c r="EQ40" s="47">
        <v>1851283.704106</v>
      </c>
      <c r="ER40" s="47">
        <v>1293889.3025360003</v>
      </c>
      <c r="ES40" s="47">
        <v>613182.42778599996</v>
      </c>
      <c r="ET40" s="47">
        <v>460674.54785600002</v>
      </c>
      <c r="EU40" s="47">
        <v>245231.91467600001</v>
      </c>
      <c r="EV40" s="47">
        <v>98899.431796000004</v>
      </c>
      <c r="EW40" s="47"/>
      <c r="EX40" s="47">
        <v>5499747.9360999996</v>
      </c>
      <c r="EY40" s="47">
        <v>1951580.8791799997</v>
      </c>
      <c r="EZ40" s="47">
        <v>1356716.4248699998</v>
      </c>
      <c r="FA40" s="47">
        <v>637846.28862999997</v>
      </c>
      <c r="FB40" s="47">
        <v>478674.99063999997</v>
      </c>
      <c r="FC40" s="47">
        <v>254121.84255999999</v>
      </c>
      <c r="FD40" s="47">
        <v>102346.28289</v>
      </c>
      <c r="FE40" s="47"/>
      <c r="FF40" s="47">
        <v>5789267.9364999998</v>
      </c>
      <c r="FG40" s="47">
        <v>1973651.7954899999</v>
      </c>
      <c r="FH40" s="47">
        <v>1369561.86158</v>
      </c>
      <c r="FI40" s="47">
        <v>641226.50512999995</v>
      </c>
      <c r="FJ40" s="47">
        <v>480344.79707999993</v>
      </c>
      <c r="FK40" s="47">
        <v>254671.75407</v>
      </c>
      <c r="FL40" s="47">
        <v>102394.36778</v>
      </c>
      <c r="FN40" s="47">
        <v>5828884.9360999996</v>
      </c>
      <c r="FO40" s="47">
        <v>1975218.2431699999</v>
      </c>
      <c r="FP40" s="47">
        <v>1369819.54128</v>
      </c>
      <c r="FQ40" s="47">
        <v>641265.81002999994</v>
      </c>
      <c r="FR40" s="47">
        <v>480361.77619</v>
      </c>
      <c r="FS40" s="47">
        <v>254675.01569999999</v>
      </c>
      <c r="FT40" s="47">
        <v>102394.44435999999</v>
      </c>
      <c r="FV40" s="44">
        <v>5915877.9360999996</v>
      </c>
      <c r="FW40" s="44">
        <v>1977078.8431699998</v>
      </c>
      <c r="FX40" s="44">
        <v>1370749.8412799998</v>
      </c>
      <c r="FY40" s="44">
        <v>641451.87002999999</v>
      </c>
      <c r="FZ40" s="44">
        <v>480454.80619000003</v>
      </c>
      <c r="GA40" s="44">
        <v>254693.62170000002</v>
      </c>
      <c r="GB40" s="44">
        <v>102396.30495999999</v>
      </c>
      <c r="GC40" s="44"/>
      <c r="GE40" s="47">
        <v>6034396.9360999996</v>
      </c>
      <c r="GF40" s="47">
        <v>1984931.70842</v>
      </c>
      <c r="GG40" s="47">
        <v>1374606.7876900001</v>
      </c>
      <c r="GH40" s="47">
        <v>641729.57686999999</v>
      </c>
      <c r="GI40" s="47">
        <v>480653.80362999998</v>
      </c>
      <c r="GJ40" s="47">
        <v>254724.99896</v>
      </c>
      <c r="GK40" s="47">
        <v>102400.97205</v>
      </c>
      <c r="GM40" s="47">
        <v>6217420.9360999996</v>
      </c>
      <c r="GN40" s="47">
        <v>1984931.70842</v>
      </c>
      <c r="GO40" s="47">
        <v>1374606.7876900001</v>
      </c>
      <c r="GP40" s="47">
        <v>641729.57686999999</v>
      </c>
      <c r="GQ40" s="47">
        <v>480653.80362999998</v>
      </c>
      <c r="GR40" s="47">
        <v>254724.99896</v>
      </c>
      <c r="GS40" s="47">
        <v>102400.97205</v>
      </c>
      <c r="GT40" s="187"/>
      <c r="GU40" s="480">
        <v>5723127.0403000005</v>
      </c>
      <c r="GV40" s="481">
        <v>1698088.5367399999</v>
      </c>
      <c r="GW40" s="481">
        <v>1149840.1999499998</v>
      </c>
      <c r="GX40" s="481">
        <v>511487.51105999999</v>
      </c>
      <c r="GY40" s="481">
        <v>377055.08490000002</v>
      </c>
      <c r="GZ40" s="481">
        <v>195701.37666000001</v>
      </c>
      <c r="HA40" s="481">
        <v>77627.528359999997</v>
      </c>
      <c r="HB40" s="256"/>
      <c r="HC40" s="480">
        <v>5602750.0403000005</v>
      </c>
      <c r="HD40" s="481">
        <v>1636186.9423469999</v>
      </c>
      <c r="HE40" s="481">
        <v>1101527.8251670001</v>
      </c>
      <c r="HF40" s="481">
        <v>484228.24288699997</v>
      </c>
      <c r="HG40" s="481">
        <v>355738.250527</v>
      </c>
      <c r="HH40" s="481">
        <v>183628.62701699999</v>
      </c>
      <c r="HI40" s="481">
        <v>72771.553186999998</v>
      </c>
      <c r="HJ40" s="481"/>
      <c r="HK40" s="480">
        <v>5470836.0403000005</v>
      </c>
      <c r="HL40" s="481">
        <v>1578274.955848</v>
      </c>
      <c r="HM40" s="481">
        <v>1058491.9336579998</v>
      </c>
      <c r="HN40" s="481">
        <v>462375.149798</v>
      </c>
      <c r="HO40" s="481">
        <v>339054.72530799999</v>
      </c>
      <c r="HP40" s="481">
        <v>173676.12475799999</v>
      </c>
      <c r="HQ40" s="481">
        <v>68228.459157999998</v>
      </c>
      <c r="HR40" s="256"/>
      <c r="HS40" s="480">
        <v>5286158.0405000001</v>
      </c>
      <c r="HT40" s="481">
        <v>1502757.7958279999</v>
      </c>
      <c r="HU40" s="481">
        <v>1003812.6682679999</v>
      </c>
      <c r="HV40" s="481">
        <v>436576.01452799997</v>
      </c>
      <c r="HW40" s="481">
        <v>319717.13146800001</v>
      </c>
      <c r="HX40" s="481">
        <v>163205.037618</v>
      </c>
      <c r="HY40" s="481">
        <v>63976.237243000003</v>
      </c>
      <c r="HZ40" s="47"/>
      <c r="IA40" s="480">
        <v>4845235.0401999997</v>
      </c>
      <c r="IB40" s="481">
        <v>1399038.823907</v>
      </c>
      <c r="IC40" s="481">
        <v>948898.43091700017</v>
      </c>
      <c r="ID40" s="481">
        <v>424959.53120699996</v>
      </c>
      <c r="IE40" s="481">
        <v>313940.42904700001</v>
      </c>
      <c r="IF40" s="481">
        <v>162048.542927</v>
      </c>
      <c r="IG40" s="481">
        <v>63873.960071000001</v>
      </c>
      <c r="IH40" s="47"/>
      <c r="II40" s="480">
        <v>4598895.0401999997</v>
      </c>
      <c r="IJ40" s="480">
        <v>1329737.1635159999</v>
      </c>
      <c r="IK40" s="480">
        <v>905536.199456</v>
      </c>
      <c r="IL40" s="480">
        <v>408502.58602600003</v>
      </c>
      <c r="IM40" s="480">
        <v>301782.53534599999</v>
      </c>
      <c r="IN40" s="480">
        <v>155915.480366</v>
      </c>
      <c r="IO40" s="480">
        <v>61443.822209999998</v>
      </c>
      <c r="IP40" s="757"/>
      <c r="IQ40" s="757">
        <v>4502853.0001999997</v>
      </c>
      <c r="IR40" s="757">
        <v>1291109.266758</v>
      </c>
      <c r="IS40" s="757">
        <v>877837.68363800005</v>
      </c>
      <c r="IT40" s="757">
        <v>394589.76416799997</v>
      </c>
      <c r="IU40" s="757">
        <v>291201.61016799998</v>
      </c>
      <c r="IV40" s="757">
        <v>150024.80999800001</v>
      </c>
      <c r="IW40" s="757">
        <v>59028.371709999999</v>
      </c>
      <c r="IX40" s="757"/>
      <c r="IY40" s="757">
        <v>5499748.0001999997</v>
      </c>
      <c r="IZ40" s="757">
        <v>1472112.0930819998</v>
      </c>
      <c r="JA40" s="757">
        <v>991192.19367200008</v>
      </c>
      <c r="JB40" s="757">
        <v>438527.477052</v>
      </c>
      <c r="JC40" s="757">
        <v>322916.46844199998</v>
      </c>
      <c r="JD40" s="757">
        <v>165574.954982</v>
      </c>
      <c r="JE40" s="757">
        <v>64926.358752</v>
      </c>
      <c r="JF40" s="256"/>
      <c r="JG40" s="47">
        <v>478498.8958</v>
      </c>
      <c r="JH40" s="47">
        <v>275461.1703</v>
      </c>
      <c r="JI40" s="47">
        <v>217329.91329999999</v>
      </c>
      <c r="JJ40" s="47">
        <v>128100.99860000001</v>
      </c>
      <c r="JK40" s="47">
        <v>101819.02589999999</v>
      </c>
      <c r="JL40" s="47">
        <v>58536.344579999997</v>
      </c>
      <c r="JM40" s="47">
        <v>24570.824369999998</v>
      </c>
      <c r="JN40" s="1034"/>
      <c r="JO40" s="47">
        <v>120377</v>
      </c>
      <c r="JP40" s="47">
        <v>64582.144099999998</v>
      </c>
      <c r="JQ40" s="47">
        <v>50415.018839999997</v>
      </c>
      <c r="JR40" s="47">
        <v>28157.877769999999</v>
      </c>
      <c r="JS40" s="47">
        <v>22085.84663</v>
      </c>
      <c r="JT40" s="47">
        <v>12624.110489999999</v>
      </c>
      <c r="JU40" s="47">
        <v>5160.524375</v>
      </c>
      <c r="JV40" s="77"/>
      <c r="JW40" s="47">
        <v>131914</v>
      </c>
      <c r="JX40" s="47">
        <v>60720.958930000001</v>
      </c>
      <c r="JY40" s="47">
        <v>44784.501779999999</v>
      </c>
      <c r="JZ40" s="47">
        <v>21980.493539999999</v>
      </c>
      <c r="KA40" s="47">
        <v>17148.467049999999</v>
      </c>
      <c r="KB40" s="47">
        <v>10269.348889999999</v>
      </c>
      <c r="KC40" s="47">
        <v>4652.3573340000003</v>
      </c>
      <c r="KD40" s="77"/>
      <c r="KE40" s="47">
        <v>184677.99979999999</v>
      </c>
      <c r="KF40" s="47">
        <v>77540.402300000002</v>
      </c>
      <c r="KG40" s="47">
        <v>55391.391629999998</v>
      </c>
      <c r="KH40" s="47">
        <v>26517.246019999999</v>
      </c>
      <c r="KI40" s="47">
        <v>20016.052169999999</v>
      </c>
      <c r="KJ40" s="47">
        <v>10880.282450000001</v>
      </c>
      <c r="KK40" s="47">
        <v>4510.418216</v>
      </c>
      <c r="KL40" s="77"/>
      <c r="KM40" s="47">
        <v>440923.00030000001</v>
      </c>
      <c r="KN40" s="47">
        <v>102228.7859</v>
      </c>
      <c r="KO40" s="47">
        <v>54761.619639999997</v>
      </c>
      <c r="KP40" s="47">
        <v>11239.166149999999</v>
      </c>
      <c r="KQ40" s="47">
        <v>5601.4573300000002</v>
      </c>
      <c r="KR40" s="47">
        <v>1159.6047940000001</v>
      </c>
      <c r="KS40" s="47">
        <v>118.5961357</v>
      </c>
      <c r="KT40" s="77"/>
      <c r="KU40" s="47">
        <v>308329</v>
      </c>
      <c r="KV40" s="47">
        <v>83897.117889999994</v>
      </c>
      <c r="KW40" s="47">
        <v>51986.715069999998</v>
      </c>
      <c r="KX40" s="47">
        <v>20360.85901</v>
      </c>
      <c r="KY40" s="47">
        <v>14729.559160000001</v>
      </c>
      <c r="KZ40" s="47">
        <v>7620.0160310000001</v>
      </c>
      <c r="LA40" s="47">
        <v>2964.6570240000001</v>
      </c>
      <c r="LB40" s="77"/>
      <c r="LC40" s="1034">
        <v>414297.47519999999</v>
      </c>
      <c r="LD40" s="1034">
        <v>28810.647970000002</v>
      </c>
      <c r="LE40" s="1034">
        <v>13965.5286</v>
      </c>
      <c r="LF40" s="1034">
        <v>3255.818894</v>
      </c>
      <c r="LG40" s="1034">
        <v>1707.8594499999999</v>
      </c>
      <c r="LH40" s="1034">
        <v>387.26565599999998</v>
      </c>
      <c r="LI40" s="1034">
        <v>42.746370550000002</v>
      </c>
      <c r="LJ40" s="77"/>
      <c r="LK40" s="1034">
        <v>15795</v>
      </c>
      <c r="LL40" s="1034">
        <v>10323.168885929999</v>
      </c>
      <c r="LM40" s="1034">
        <v>8693.0850381300006</v>
      </c>
      <c r="LN40" s="1034">
        <v>5163.7820456299996</v>
      </c>
      <c r="LO40" s="1034">
        <v>3976.6799108299997</v>
      </c>
      <c r="LP40" s="1034">
        <v>2170.8377599300002</v>
      </c>
      <c r="LQ40" s="1034">
        <v>957.68789332999995</v>
      </c>
    </row>
    <row r="41" spans="1:329" s="43" customFormat="1" ht="9.75" customHeight="1" x14ac:dyDescent="0.2">
      <c r="A41" s="48">
        <v>1993</v>
      </c>
      <c r="B41" s="47">
        <v>3616977.8003427451</v>
      </c>
      <c r="C41" s="47">
        <v>1447029.0527182394</v>
      </c>
      <c r="D41" s="47">
        <v>1007971.7180789688</v>
      </c>
      <c r="E41" s="47">
        <v>472375.68342034996</v>
      </c>
      <c r="F41" s="47">
        <v>347576.53835185961</v>
      </c>
      <c r="G41" s="47">
        <v>172807.1446910903</v>
      </c>
      <c r="H41" s="47">
        <v>63879.606802000184</v>
      </c>
      <c r="I41" s="47"/>
      <c r="J41" s="47">
        <v>5754784.1842999998</v>
      </c>
      <c r="K41" s="47">
        <v>2015886.8654170001</v>
      </c>
      <c r="L41" s="47">
        <v>1389589.4986970001</v>
      </c>
      <c r="M41" s="47">
        <v>630383.38549699995</v>
      </c>
      <c r="N41" s="47">
        <v>466280.03256700002</v>
      </c>
      <c r="O41" s="47">
        <v>241972.52956699999</v>
      </c>
      <c r="P41" s="47">
        <v>95734.795926999999</v>
      </c>
      <c r="Q41" s="47"/>
      <c r="R41" s="47">
        <v>6519526.1840000004</v>
      </c>
      <c r="S41" s="47">
        <v>2049174.8708089998</v>
      </c>
      <c r="T41" s="47">
        <v>1406327.9364689998</v>
      </c>
      <c r="U41" s="47">
        <v>634316.0082390001</v>
      </c>
      <c r="V41" s="47">
        <v>468292.622729</v>
      </c>
      <c r="W41" s="47">
        <v>242516.07912900002</v>
      </c>
      <c r="X41" s="47">
        <v>95777.938469000001</v>
      </c>
      <c r="Y41" s="47"/>
      <c r="Z41" s="47">
        <v>5754783.9995999997</v>
      </c>
      <c r="AA41" s="47">
        <v>1508828.481622</v>
      </c>
      <c r="AB41" s="47">
        <v>1001961.2610919999</v>
      </c>
      <c r="AC41" s="47">
        <v>419003.99180199997</v>
      </c>
      <c r="AD41" s="47">
        <v>299086.21841199999</v>
      </c>
      <c r="AE41" s="47">
        <v>146200.60873199999</v>
      </c>
      <c r="AF41" s="47">
        <v>55657.575238999998</v>
      </c>
      <c r="AG41" s="47"/>
      <c r="AH41" s="47">
        <v>3663157.9832000001</v>
      </c>
      <c r="AI41" s="47">
        <v>1443367.1662629999</v>
      </c>
      <c r="AJ41" s="47">
        <v>1003309.691163</v>
      </c>
      <c r="AK41" s="47">
        <v>469230.035653</v>
      </c>
      <c r="AL41" s="47">
        <v>344994.92035299999</v>
      </c>
      <c r="AM41" s="47">
        <v>171420.43307299999</v>
      </c>
      <c r="AN41" s="47">
        <v>63367.824063</v>
      </c>
      <c r="AO41" s="47"/>
      <c r="AP41" s="47"/>
      <c r="AQ41" s="47"/>
      <c r="AR41" s="47"/>
      <c r="AS41" s="47"/>
      <c r="AT41" s="47"/>
      <c r="AU41" s="47"/>
      <c r="AV41" s="47"/>
      <c r="AW41" s="47"/>
      <c r="AX41" s="47">
        <v>3709328.29</v>
      </c>
      <c r="AY41" s="47">
        <v>1474213.2460210002</v>
      </c>
      <c r="AZ41" s="47">
        <v>1030276.4923709999</v>
      </c>
      <c r="BA41" s="47">
        <v>486687.72448099998</v>
      </c>
      <c r="BB41" s="47">
        <v>359160.32906100003</v>
      </c>
      <c r="BC41" s="47">
        <v>179145.21322099998</v>
      </c>
      <c r="BD41" s="47">
        <v>66039.198350999999</v>
      </c>
      <c r="BE41" s="47"/>
      <c r="BF41" s="44">
        <v>3720460.8247000002</v>
      </c>
      <c r="BG41" s="44">
        <v>1458511.877787</v>
      </c>
      <c r="BH41" s="44">
        <v>1018218.0916269999</v>
      </c>
      <c r="BI41" s="44">
        <v>481049.99857699999</v>
      </c>
      <c r="BJ41" s="44">
        <v>355820.14319699997</v>
      </c>
      <c r="BK41" s="44">
        <v>178333.75846699998</v>
      </c>
      <c r="BL41" s="44">
        <v>65882.247216999996</v>
      </c>
      <c r="BN41" s="44">
        <v>3720460.8247000002</v>
      </c>
      <c r="BO41" s="44">
        <v>1344283.0635609999</v>
      </c>
      <c r="BP41" s="44">
        <v>939918.25411099999</v>
      </c>
      <c r="BQ41" s="44">
        <v>438794.563211</v>
      </c>
      <c r="BR41" s="44">
        <v>326983.05298100004</v>
      </c>
      <c r="BS41" s="44">
        <v>167433.059871</v>
      </c>
      <c r="BT41" s="44">
        <v>63221.052451000003</v>
      </c>
      <c r="BU41" s="44"/>
      <c r="BV41" s="47">
        <v>3739977.8977000001</v>
      </c>
      <c r="BW41" s="47">
        <v>1362077.9323219999</v>
      </c>
      <c r="BX41" s="47">
        <v>956734.12909199996</v>
      </c>
      <c r="BY41" s="47">
        <v>452778.15331200004</v>
      </c>
      <c r="BZ41" s="47">
        <v>339889.10766199999</v>
      </c>
      <c r="CA41" s="47">
        <v>176864.535152</v>
      </c>
      <c r="CB41" s="47">
        <v>69018.623951999994</v>
      </c>
      <c r="CC41" s="44"/>
      <c r="CD41" s="47">
        <v>3885621.8977000001</v>
      </c>
      <c r="CE41" s="47">
        <v>1438585.006641</v>
      </c>
      <c r="CF41" s="47">
        <v>1017379.9658910001</v>
      </c>
      <c r="CG41" s="47">
        <v>488518.24838099995</v>
      </c>
      <c r="CH41" s="47">
        <v>367862.19005099998</v>
      </c>
      <c r="CI41" s="47">
        <v>194501.63956099999</v>
      </c>
      <c r="CJ41" s="47">
        <v>77175.157630999995</v>
      </c>
      <c r="CL41" s="47">
        <v>4040668.8977000001</v>
      </c>
      <c r="CM41" s="47">
        <v>1509847.8974329999</v>
      </c>
      <c r="CN41" s="47">
        <v>1069654.6114330001</v>
      </c>
      <c r="CO41" s="47">
        <v>514884.38922299998</v>
      </c>
      <c r="CP41" s="47">
        <v>388284.55637299997</v>
      </c>
      <c r="CQ41" s="47">
        <v>206295.31895300001</v>
      </c>
      <c r="CR41" s="47">
        <v>82547.579843</v>
      </c>
      <c r="CS41" s="47"/>
      <c r="CT41" s="47">
        <v>4129092.8977000001</v>
      </c>
      <c r="CU41" s="47">
        <v>1555587.4404560002</v>
      </c>
      <c r="CV41" s="47">
        <v>1104971.580206</v>
      </c>
      <c r="CW41" s="47">
        <v>534454.46929599997</v>
      </c>
      <c r="CX41" s="47">
        <v>403695.44879599998</v>
      </c>
      <c r="CY41" s="47">
        <v>215543.41331600002</v>
      </c>
      <c r="CZ41" s="47">
        <v>86701.018446000002</v>
      </c>
      <c r="DA41" s="47"/>
      <c r="DB41" s="47">
        <v>4129092.8966999999</v>
      </c>
      <c r="DC41" s="47">
        <v>1564205.8090849996</v>
      </c>
      <c r="DD41" s="47">
        <v>1112086.7780849999</v>
      </c>
      <c r="DE41" s="47">
        <v>539188.94863500004</v>
      </c>
      <c r="DF41" s="47">
        <v>406852.55077500001</v>
      </c>
      <c r="DG41" s="47">
        <v>217791.98853500001</v>
      </c>
      <c r="DH41" s="47">
        <v>88013.211274999994</v>
      </c>
      <c r="DI41" s="47"/>
      <c r="DJ41" s="47">
        <v>4422943.8627000004</v>
      </c>
      <c r="DK41" s="47">
        <v>1642404.595772</v>
      </c>
      <c r="DL41" s="47">
        <v>1168167.3091820001</v>
      </c>
      <c r="DM41" s="47">
        <v>564654.75499199994</v>
      </c>
      <c r="DN41" s="47">
        <v>424366.87488200003</v>
      </c>
      <c r="DO41" s="47">
        <v>225622.529672</v>
      </c>
      <c r="DP41" s="47">
        <v>90808.204872000002</v>
      </c>
      <c r="DQ41" s="47"/>
      <c r="DR41" s="47">
        <v>4564378.86258874</v>
      </c>
      <c r="DS41" s="47">
        <v>1690226.6848536469</v>
      </c>
      <c r="DT41" s="47">
        <v>1199112.8815128224</v>
      </c>
      <c r="DU41" s="47">
        <v>575261.77348698792</v>
      </c>
      <c r="DV41" s="47">
        <v>431287.1945207087</v>
      </c>
      <c r="DW41" s="47">
        <v>228058.13967544629</v>
      </c>
      <c r="DX41" s="47">
        <v>91348.610217175155</v>
      </c>
      <c r="DY41" s="297"/>
      <c r="DZ41" s="47">
        <v>4804057.8622549269</v>
      </c>
      <c r="EA41" s="47">
        <v>1742136.8429841066</v>
      </c>
      <c r="EB41" s="47">
        <v>1224879.562284407</v>
      </c>
      <c r="EC41" s="47">
        <v>580549.15462171938</v>
      </c>
      <c r="ED41" s="47">
        <v>433643.87545868801</v>
      </c>
      <c r="EE41" s="47">
        <v>228640.83489814756</v>
      </c>
      <c r="EF41" s="47">
        <v>91395.344566133062</v>
      </c>
      <c r="EG41" s="541"/>
      <c r="EH41" s="47">
        <v>5108489.8622549977</v>
      </c>
      <c r="EI41" s="47">
        <v>1812222.8700592695</v>
      </c>
      <c r="EJ41" s="47">
        <v>1259975.6310729585</v>
      </c>
      <c r="EK41" s="47">
        <v>585942.14214502589</v>
      </c>
      <c r="EL41" s="47">
        <v>436577.3549673903</v>
      </c>
      <c r="EM41" s="47">
        <v>229214.16797715897</v>
      </c>
      <c r="EN41" s="47">
        <v>91481.163173106863</v>
      </c>
      <c r="EO41" s="47"/>
      <c r="EP41" s="47">
        <v>5381288.1842999998</v>
      </c>
      <c r="EQ41" s="47">
        <v>1915562.3948489998</v>
      </c>
      <c r="ER41" s="47">
        <v>1326660.9230089998</v>
      </c>
      <c r="ES41" s="47">
        <v>607833.84366900008</v>
      </c>
      <c r="ET41" s="47">
        <v>450331.57592900004</v>
      </c>
      <c r="EU41" s="47">
        <v>234436.05736899999</v>
      </c>
      <c r="EV41" s="47">
        <v>92906.929048999998</v>
      </c>
      <c r="EW41" s="47"/>
      <c r="EX41" s="47">
        <v>5754784.1842999998</v>
      </c>
      <c r="EY41" s="47">
        <v>2015886.8654170001</v>
      </c>
      <c r="EZ41" s="47">
        <v>1389589.4986970001</v>
      </c>
      <c r="FA41" s="47">
        <v>630383.38549699995</v>
      </c>
      <c r="FB41" s="47">
        <v>466280.03256700002</v>
      </c>
      <c r="FC41" s="47">
        <v>241972.52956699999</v>
      </c>
      <c r="FD41" s="47">
        <v>95734.795926999999</v>
      </c>
      <c r="FE41" s="47"/>
      <c r="FF41" s="47">
        <v>6060544.1842</v>
      </c>
      <c r="FG41" s="47">
        <v>2037359.6585669999</v>
      </c>
      <c r="FH41" s="47">
        <v>1401576.1288370001</v>
      </c>
      <c r="FI41" s="47">
        <v>633963.744037</v>
      </c>
      <c r="FJ41" s="47">
        <v>467955.58776699996</v>
      </c>
      <c r="FK41" s="47">
        <v>242468.16609700001</v>
      </c>
      <c r="FL41" s="47">
        <v>95757.581346999999</v>
      </c>
      <c r="FN41" s="47">
        <v>6095392.1840000004</v>
      </c>
      <c r="FO41" s="47">
        <v>2038858.8323029999</v>
      </c>
      <c r="FP41" s="47">
        <v>1402397.4725530001</v>
      </c>
      <c r="FQ41" s="47">
        <v>633924.23802299995</v>
      </c>
      <c r="FR41" s="47">
        <v>468018.450893</v>
      </c>
      <c r="FS41" s="47">
        <v>242479.93368299998</v>
      </c>
      <c r="FT41" s="47">
        <v>95757.715473000004</v>
      </c>
      <c r="FV41" s="44">
        <v>6187020.1840000004</v>
      </c>
      <c r="FW41" s="44">
        <v>2040788.2323030001</v>
      </c>
      <c r="FX41" s="44">
        <v>1403362.172553</v>
      </c>
      <c r="FY41" s="44">
        <v>634117.17802300001</v>
      </c>
      <c r="FZ41" s="44">
        <v>468114.92089299997</v>
      </c>
      <c r="GA41" s="44">
        <v>242499.22768299998</v>
      </c>
      <c r="GB41" s="44">
        <v>95759.644872999997</v>
      </c>
      <c r="GC41" s="44"/>
      <c r="GE41" s="47">
        <v>6319612.1840000004</v>
      </c>
      <c r="GF41" s="47">
        <v>2049174.8708089998</v>
      </c>
      <c r="GG41" s="47">
        <v>1406327.9364689998</v>
      </c>
      <c r="GH41" s="47">
        <v>634316.0082390001</v>
      </c>
      <c r="GI41" s="47">
        <v>468292.622729</v>
      </c>
      <c r="GJ41" s="47">
        <v>242516.07912900002</v>
      </c>
      <c r="GK41" s="47">
        <v>95777.938469000001</v>
      </c>
      <c r="GM41" s="47">
        <v>6519526.1840000004</v>
      </c>
      <c r="GN41" s="47">
        <v>2049174.8708089998</v>
      </c>
      <c r="GO41" s="47">
        <v>1406327.9364689998</v>
      </c>
      <c r="GP41" s="47">
        <v>634316.0082390001</v>
      </c>
      <c r="GQ41" s="47">
        <v>468292.622729</v>
      </c>
      <c r="GR41" s="47">
        <v>242516.07912900002</v>
      </c>
      <c r="GS41" s="47">
        <v>95777.938469000001</v>
      </c>
      <c r="GT41" s="187"/>
      <c r="GU41" s="480">
        <v>5993183.5828999998</v>
      </c>
      <c r="GV41" s="481">
        <v>1739513.6320689998</v>
      </c>
      <c r="GW41" s="481">
        <v>1163795.588619</v>
      </c>
      <c r="GX41" s="481">
        <v>492729.4585089999</v>
      </c>
      <c r="GY41" s="481">
        <v>354241.35002899996</v>
      </c>
      <c r="GZ41" s="481">
        <v>176673.99500900001</v>
      </c>
      <c r="HA41" s="481">
        <v>68608.794118999998</v>
      </c>
      <c r="HB41" s="256"/>
      <c r="HC41" s="480">
        <v>5866958.5826000003</v>
      </c>
      <c r="HD41" s="481">
        <v>1673680.911236</v>
      </c>
      <c r="HE41" s="481">
        <v>1114038.1918159998</v>
      </c>
      <c r="HF41" s="481">
        <v>465011.14747600001</v>
      </c>
      <c r="HG41" s="481">
        <v>331903.52718600002</v>
      </c>
      <c r="HH41" s="481">
        <v>164482.982346</v>
      </c>
      <c r="HI41" s="481">
        <v>63619.918985999997</v>
      </c>
      <c r="HJ41" s="481"/>
      <c r="HK41" s="480">
        <v>5711911.5826000003</v>
      </c>
      <c r="HL41" s="481">
        <v>1606529.9848550002</v>
      </c>
      <c r="HM41" s="481">
        <v>1065036.1145550001</v>
      </c>
      <c r="HN41" s="481">
        <v>440076.46635500004</v>
      </c>
      <c r="HO41" s="481">
        <v>312931.87456500001</v>
      </c>
      <c r="HP41" s="481">
        <v>153474.058105</v>
      </c>
      <c r="HQ41" s="481">
        <v>58579.401727999997</v>
      </c>
      <c r="HR41" s="256"/>
      <c r="HS41" s="480">
        <v>5524653.5827000001</v>
      </c>
      <c r="HT41" s="481">
        <v>1531555.7541999999</v>
      </c>
      <c r="HU41" s="481">
        <v>1010239.7390800001</v>
      </c>
      <c r="HV41" s="481">
        <v>414630.07951000001</v>
      </c>
      <c r="HW41" s="481">
        <v>294344.88324</v>
      </c>
      <c r="HX41" s="481">
        <v>143286.64189999999</v>
      </c>
      <c r="HY41" s="481">
        <v>54477.720529999999</v>
      </c>
      <c r="HZ41" s="47"/>
      <c r="IA41" s="480">
        <v>5061446.5826000003</v>
      </c>
      <c r="IB41" s="481">
        <v>1423309.9119829996</v>
      </c>
      <c r="IC41" s="481">
        <v>951477.46498300019</v>
      </c>
      <c r="ID41" s="481">
        <v>402238.42348300002</v>
      </c>
      <c r="IE41" s="481">
        <v>288338.97636299999</v>
      </c>
      <c r="IF41" s="481">
        <v>142002.699983</v>
      </c>
      <c r="IG41" s="481">
        <v>54331.910669999997</v>
      </c>
      <c r="IH41" s="47"/>
      <c r="II41" s="480">
        <v>4800035.5826000003</v>
      </c>
      <c r="IJ41" s="480">
        <v>1352761.0850260002</v>
      </c>
      <c r="IK41" s="480">
        <v>907118.02182599995</v>
      </c>
      <c r="IL41" s="480">
        <v>386251.32744600001</v>
      </c>
      <c r="IM41" s="480">
        <v>277443.13553600002</v>
      </c>
      <c r="IN41" s="480">
        <v>136755.30998600001</v>
      </c>
      <c r="IO41" s="480">
        <v>52328.867431999999</v>
      </c>
      <c r="IP41" s="757"/>
      <c r="IQ41" s="757">
        <v>4735063.9995999997</v>
      </c>
      <c r="IR41" s="757">
        <v>1326610.9279509999</v>
      </c>
      <c r="IS41" s="757">
        <v>888215.31684099999</v>
      </c>
      <c r="IT41" s="757">
        <v>376690.84714099998</v>
      </c>
      <c r="IU41" s="757">
        <v>270203.34714099998</v>
      </c>
      <c r="IV41" s="757">
        <v>132722.46306099999</v>
      </c>
      <c r="IW41" s="757">
        <v>50684.236076000001</v>
      </c>
      <c r="IX41" s="757"/>
      <c r="IY41" s="757">
        <v>5754783.9995999997</v>
      </c>
      <c r="IZ41" s="757">
        <v>1508828.481622</v>
      </c>
      <c r="JA41" s="757">
        <v>1001961.2610919999</v>
      </c>
      <c r="JB41" s="757">
        <v>419003.99180199997</v>
      </c>
      <c r="JC41" s="757">
        <v>299086.21841199999</v>
      </c>
      <c r="JD41" s="757">
        <v>146200.60873199999</v>
      </c>
      <c r="JE41" s="757">
        <v>55657.575238999998</v>
      </c>
      <c r="JF41" s="256"/>
      <c r="JG41" s="47">
        <v>508705.60110000003</v>
      </c>
      <c r="JH41" s="47">
        <v>297666.64270000003</v>
      </c>
      <c r="JI41" s="47">
        <v>236757.96840000001</v>
      </c>
      <c r="JJ41" s="47">
        <v>141713.58720000001</v>
      </c>
      <c r="JK41" s="47">
        <v>112990.14019999999</v>
      </c>
      <c r="JL41" s="47">
        <v>65871.043659999996</v>
      </c>
      <c r="JM41" s="47">
        <v>27260.294269999999</v>
      </c>
      <c r="JN41" s="1034"/>
      <c r="JO41" s="47">
        <v>126225.0003</v>
      </c>
      <c r="JP41" s="47">
        <v>67590.581890000001</v>
      </c>
      <c r="JQ41" s="47">
        <v>52700.511149999998</v>
      </c>
      <c r="JR41" s="47">
        <v>29270.55918</v>
      </c>
      <c r="JS41" s="47">
        <v>22925.559099999999</v>
      </c>
      <c r="JT41" s="47">
        <v>13284.80276</v>
      </c>
      <c r="JU41" s="47">
        <v>5563.0848210000004</v>
      </c>
      <c r="JV41" s="77"/>
      <c r="JW41" s="47">
        <v>155047</v>
      </c>
      <c r="JX41" s="47">
        <v>70044.946979999993</v>
      </c>
      <c r="JY41" s="47">
        <v>51628.928930000002</v>
      </c>
      <c r="JZ41" s="47">
        <v>25095.31782</v>
      </c>
      <c r="KA41" s="47">
        <v>19512.43535</v>
      </c>
      <c r="KB41" s="47">
        <v>11691.24704</v>
      </c>
      <c r="KC41" s="47">
        <v>5362.5710310000004</v>
      </c>
      <c r="KD41" s="77"/>
      <c r="KE41" s="47">
        <v>187257.9999</v>
      </c>
      <c r="KF41" s="47">
        <v>78735.628840000005</v>
      </c>
      <c r="KG41" s="47">
        <v>56246.616450000001</v>
      </c>
      <c r="KH41" s="47">
        <v>26395.559519999999</v>
      </c>
      <c r="KI41" s="47">
        <v>19772.907080000001</v>
      </c>
      <c r="KJ41" s="47">
        <v>10774.698249999999</v>
      </c>
      <c r="KK41" s="47">
        <v>4509.6378560000003</v>
      </c>
      <c r="KL41" s="77"/>
      <c r="KM41" s="47">
        <v>463207.0001</v>
      </c>
      <c r="KN41" s="47">
        <v>106871.1247</v>
      </c>
      <c r="KO41" s="47">
        <v>57513.20089</v>
      </c>
      <c r="KP41" s="47">
        <v>11768.91294</v>
      </c>
      <c r="KQ41" s="47">
        <v>5808.1539240000002</v>
      </c>
      <c r="KR41" s="47">
        <v>1195.765678</v>
      </c>
      <c r="KS41" s="47">
        <v>125.4532275</v>
      </c>
      <c r="KT41" s="77"/>
      <c r="KU41" s="47">
        <v>318575</v>
      </c>
      <c r="KV41" s="47">
        <v>85118.68045</v>
      </c>
      <c r="KW41" s="47">
        <v>51721.900350000004</v>
      </c>
      <c r="KX41" s="47">
        <v>18647.230200000002</v>
      </c>
      <c r="KY41" s="47">
        <v>12954.66229</v>
      </c>
      <c r="KZ41" s="47">
        <v>6355.4657239999997</v>
      </c>
      <c r="LA41" s="47">
        <v>2379.0809949999998</v>
      </c>
      <c r="LB41" s="77"/>
      <c r="LC41" s="1034">
        <v>436637.72960000002</v>
      </c>
      <c r="LD41" s="1034">
        <v>29766.77133</v>
      </c>
      <c r="LE41" s="1034">
        <v>14267.3405</v>
      </c>
      <c r="LF41" s="1034">
        <v>3296.1856560000001</v>
      </c>
      <c r="LG41" s="1034">
        <v>1778.6442</v>
      </c>
      <c r="LH41" s="1034">
        <v>391.7995512</v>
      </c>
      <c r="LI41" s="1034">
        <v>44.498483100000001</v>
      </c>
      <c r="LJ41" s="77"/>
      <c r="LK41" s="1034">
        <v>17637</v>
      </c>
      <c r="LL41" s="1034">
        <v>11493.542707500001</v>
      </c>
      <c r="LM41" s="1034">
        <v>9670.8745524999995</v>
      </c>
      <c r="LN41" s="1034">
        <v>5667.4144411000007</v>
      </c>
      <c r="LO41" s="1034">
        <v>4328.3209216000005</v>
      </c>
      <c r="LP41" s="1034">
        <v>2379.4665648999999</v>
      </c>
      <c r="LQ41" s="1034">
        <v>1045.7606174</v>
      </c>
    </row>
    <row r="42" spans="1:329" s="43" customFormat="1" ht="9.75" customHeight="1" x14ac:dyDescent="0.2">
      <c r="A42" s="48">
        <v>1994</v>
      </c>
      <c r="B42" s="47">
        <v>3800951.16424686</v>
      </c>
      <c r="C42" s="47">
        <v>1520407.8381351181</v>
      </c>
      <c r="D42" s="47">
        <v>1059978.3980234689</v>
      </c>
      <c r="E42" s="47">
        <v>496359.77825701924</v>
      </c>
      <c r="F42" s="47">
        <v>364049.74672785902</v>
      </c>
      <c r="G42" s="47">
        <v>180254.97035238921</v>
      </c>
      <c r="H42" s="47">
        <v>66278.829036309879</v>
      </c>
      <c r="I42" s="47"/>
      <c r="J42" s="47">
        <v>6140229.0157000003</v>
      </c>
      <c r="K42" s="47">
        <v>2135311.2091100002</v>
      </c>
      <c r="L42" s="47">
        <v>1474301.1920699999</v>
      </c>
      <c r="M42" s="47">
        <v>672205.60481999989</v>
      </c>
      <c r="N42" s="47">
        <v>496489.98145999998</v>
      </c>
      <c r="O42" s="47">
        <v>258399.02944000001</v>
      </c>
      <c r="P42" s="47">
        <v>102094.86871</v>
      </c>
      <c r="Q42" s="47"/>
      <c r="R42" s="47">
        <v>6938551.0152000003</v>
      </c>
      <c r="S42" s="47">
        <v>2170380.38515</v>
      </c>
      <c r="T42" s="47">
        <v>1493010.6547300001</v>
      </c>
      <c r="U42" s="47">
        <v>676485.17246000003</v>
      </c>
      <c r="V42" s="47">
        <v>499314.98791999999</v>
      </c>
      <c r="W42" s="47">
        <v>259075.57954000001</v>
      </c>
      <c r="X42" s="47">
        <v>102166.98046000001</v>
      </c>
      <c r="Y42" s="47"/>
      <c r="Z42" s="47">
        <v>6140228.9994000001</v>
      </c>
      <c r="AA42" s="47">
        <v>1608870.5844010001</v>
      </c>
      <c r="AB42" s="47">
        <v>1071410.9092410002</v>
      </c>
      <c r="AC42" s="47">
        <v>452348.55437100003</v>
      </c>
      <c r="AD42" s="47">
        <v>323900.29487100005</v>
      </c>
      <c r="AE42" s="47">
        <v>159794.39243099999</v>
      </c>
      <c r="AF42" s="47">
        <v>61334.353637</v>
      </c>
      <c r="AG42" s="47"/>
      <c r="AH42" s="47">
        <v>3851172.8412000001</v>
      </c>
      <c r="AI42" s="47">
        <v>1517108.7629460003</v>
      </c>
      <c r="AJ42" s="47">
        <v>1055459.724746</v>
      </c>
      <c r="AK42" s="47">
        <v>493075.450496</v>
      </c>
      <c r="AL42" s="47">
        <v>361407.75027600001</v>
      </c>
      <c r="AM42" s="47">
        <v>178941.187706</v>
      </c>
      <c r="AN42" s="47">
        <v>65811.967596000002</v>
      </c>
      <c r="AO42" s="47"/>
      <c r="AP42" s="47"/>
      <c r="AQ42" s="47"/>
      <c r="AR42" s="47"/>
      <c r="AS42" s="47"/>
      <c r="AT42" s="47"/>
      <c r="AU42" s="47"/>
      <c r="AV42" s="47"/>
      <c r="AW42" s="47"/>
      <c r="AX42" s="47">
        <v>3899079.8868</v>
      </c>
      <c r="AY42" s="47">
        <v>1548270.3478739997</v>
      </c>
      <c r="AZ42" s="47">
        <v>1082970.376554</v>
      </c>
      <c r="BA42" s="47">
        <v>511349.84166399995</v>
      </c>
      <c r="BB42" s="47">
        <v>376028.03874400002</v>
      </c>
      <c r="BC42" s="47">
        <v>187081.96778399998</v>
      </c>
      <c r="BD42" s="47">
        <v>68630.386083999998</v>
      </c>
      <c r="BE42" s="47"/>
      <c r="BF42" s="44">
        <v>3911216.7437999998</v>
      </c>
      <c r="BG42" s="44">
        <v>1531919.592992</v>
      </c>
      <c r="BH42" s="44">
        <v>1069815.145032</v>
      </c>
      <c r="BI42" s="44">
        <v>505396.91725199996</v>
      </c>
      <c r="BJ42" s="44">
        <v>372520.28080199996</v>
      </c>
      <c r="BK42" s="44">
        <v>186118.093482</v>
      </c>
      <c r="BL42" s="44">
        <v>68382.658691999997</v>
      </c>
      <c r="BN42" s="44">
        <v>3911216.7437999998</v>
      </c>
      <c r="BO42" s="44">
        <v>1404236.9422100002</v>
      </c>
      <c r="BP42" s="44">
        <v>980318.42955</v>
      </c>
      <c r="BQ42" s="44">
        <v>459214.88012000005</v>
      </c>
      <c r="BR42" s="44">
        <v>341119.58526999998</v>
      </c>
      <c r="BS42" s="44">
        <v>174553.59286999999</v>
      </c>
      <c r="BT42" s="44">
        <v>65491.619169999998</v>
      </c>
      <c r="BU42" s="44"/>
      <c r="BV42" s="47">
        <v>3931642.1247999999</v>
      </c>
      <c r="BW42" s="47">
        <v>1423194.1300529998</v>
      </c>
      <c r="BX42" s="47">
        <v>998244.47048300016</v>
      </c>
      <c r="BY42" s="47">
        <v>474475.75656299997</v>
      </c>
      <c r="BZ42" s="47">
        <v>354602.49111299997</v>
      </c>
      <c r="CA42" s="47">
        <v>184608.46389299998</v>
      </c>
      <c r="CB42" s="47">
        <v>71606.597102999993</v>
      </c>
      <c r="CC42" s="44"/>
      <c r="CD42" s="47">
        <v>4124442.1247999999</v>
      </c>
      <c r="CE42" s="47">
        <v>1520579.8867550001</v>
      </c>
      <c r="CF42" s="47">
        <v>1076088.5428350002</v>
      </c>
      <c r="CG42" s="47">
        <v>519070.52817499998</v>
      </c>
      <c r="CH42" s="47">
        <v>391261.706175</v>
      </c>
      <c r="CI42" s="47">
        <v>206765.569395</v>
      </c>
      <c r="CJ42" s="47">
        <v>82016.014135000005</v>
      </c>
      <c r="CL42" s="47">
        <v>4297113.1248000003</v>
      </c>
      <c r="CM42" s="47">
        <v>1599566.2183489997</v>
      </c>
      <c r="CN42" s="47">
        <v>1133056.979849</v>
      </c>
      <c r="CO42" s="47">
        <v>549003.80288899993</v>
      </c>
      <c r="CP42" s="47">
        <v>413723.65077900002</v>
      </c>
      <c r="CQ42" s="47">
        <v>220138.28816900001</v>
      </c>
      <c r="CR42" s="47">
        <v>88086.319038999995</v>
      </c>
      <c r="CS42" s="47"/>
      <c r="CT42" s="47">
        <v>4392679.1248000003</v>
      </c>
      <c r="CU42" s="47">
        <v>1647851.6420839997</v>
      </c>
      <c r="CV42" s="47">
        <v>1170023.4352239999</v>
      </c>
      <c r="CW42" s="47">
        <v>570157.69850399997</v>
      </c>
      <c r="CX42" s="47">
        <v>430345.95215400006</v>
      </c>
      <c r="CY42" s="47">
        <v>230256.66320400001</v>
      </c>
      <c r="CZ42" s="47">
        <v>92731.412324000004</v>
      </c>
      <c r="DA42" s="47"/>
      <c r="DB42" s="47">
        <v>4392679.1248000003</v>
      </c>
      <c r="DC42" s="47">
        <v>1654069.2993130002</v>
      </c>
      <c r="DD42" s="47">
        <v>1174915.0249330001</v>
      </c>
      <c r="DE42" s="47">
        <v>572628.07102299994</v>
      </c>
      <c r="DF42" s="47">
        <v>432310.14473299996</v>
      </c>
      <c r="DG42" s="47">
        <v>231402.706683</v>
      </c>
      <c r="DH42" s="47">
        <v>93341.747963000002</v>
      </c>
      <c r="DI42" s="47"/>
      <c r="DJ42" s="47">
        <v>4717823.9708000002</v>
      </c>
      <c r="DK42" s="47">
        <v>1739866.415571</v>
      </c>
      <c r="DL42" s="47">
        <v>1240195.514251</v>
      </c>
      <c r="DM42" s="47">
        <v>601130.97479100002</v>
      </c>
      <c r="DN42" s="47">
        <v>451978.69187100005</v>
      </c>
      <c r="DO42" s="47">
        <v>240640.28863100003</v>
      </c>
      <c r="DP42" s="47">
        <v>96903.074741000004</v>
      </c>
      <c r="DQ42" s="47"/>
      <c r="DR42" s="47">
        <v>4883791.9706876352</v>
      </c>
      <c r="DS42" s="47">
        <v>1797312.3081618005</v>
      </c>
      <c r="DT42" s="47">
        <v>1276417.2404913465</v>
      </c>
      <c r="DU42" s="47">
        <v>613742.15906114865</v>
      </c>
      <c r="DV42" s="47">
        <v>460185.193256194</v>
      </c>
      <c r="DW42" s="47">
        <v>243808.94670720652</v>
      </c>
      <c r="DX42" s="47">
        <v>97454.477173746127</v>
      </c>
      <c r="DY42" s="297"/>
      <c r="DZ42" s="47">
        <v>5137930.9706809921</v>
      </c>
      <c r="EA42" s="47">
        <v>1852839.9476510235</v>
      </c>
      <c r="EB42" s="47">
        <v>1306212.5683903773</v>
      </c>
      <c r="EC42" s="47">
        <v>620474.26094948023</v>
      </c>
      <c r="ED42" s="47">
        <v>464231.79006691411</v>
      </c>
      <c r="EE42" s="47">
        <v>245042.79187532651</v>
      </c>
      <c r="EF42" s="47">
        <v>97742.24965920148</v>
      </c>
      <c r="EG42" s="541"/>
      <c r="EH42" s="47">
        <v>5454715.9706812017</v>
      </c>
      <c r="EI42" s="47">
        <v>1924181.5616363776</v>
      </c>
      <c r="EJ42" s="47">
        <v>1341960.5734101827</v>
      </c>
      <c r="EK42" s="47">
        <v>626350.1878754131</v>
      </c>
      <c r="EL42" s="47">
        <v>466829.33407564717</v>
      </c>
      <c r="EM42" s="47">
        <v>245619.86013105494</v>
      </c>
      <c r="EN42" s="47">
        <v>97828.280425893507</v>
      </c>
      <c r="EO42" s="47"/>
      <c r="EP42" s="47">
        <v>5723491.0157000003</v>
      </c>
      <c r="EQ42" s="47">
        <v>2023855.6118749999</v>
      </c>
      <c r="ER42" s="47">
        <v>1404331.2554950002</v>
      </c>
      <c r="ES42" s="47">
        <v>646691.38250499999</v>
      </c>
      <c r="ET42" s="47">
        <v>478783.98904499994</v>
      </c>
      <c r="EU42" s="47">
        <v>249957.301725</v>
      </c>
      <c r="EV42" s="47">
        <v>98947.459895000007</v>
      </c>
      <c r="EW42" s="47"/>
      <c r="EX42" s="47">
        <v>6140229.0157000003</v>
      </c>
      <c r="EY42" s="47">
        <v>2135311.2091100002</v>
      </c>
      <c r="EZ42" s="47">
        <v>1474301.1920699999</v>
      </c>
      <c r="FA42" s="47">
        <v>672205.60481999989</v>
      </c>
      <c r="FB42" s="47">
        <v>496489.98145999998</v>
      </c>
      <c r="FC42" s="47">
        <v>258399.02944000001</v>
      </c>
      <c r="FD42" s="47">
        <v>102094.86871</v>
      </c>
      <c r="FE42" s="47"/>
      <c r="FF42" s="47">
        <v>6460351.0154999997</v>
      </c>
      <c r="FG42" s="47">
        <v>2158482.32956</v>
      </c>
      <c r="FH42" s="47">
        <v>1487812.38393</v>
      </c>
      <c r="FI42" s="47">
        <v>675851.46060999995</v>
      </c>
      <c r="FJ42" s="47">
        <v>499255.81158000004</v>
      </c>
      <c r="FK42" s="47">
        <v>259037.43169</v>
      </c>
      <c r="FL42" s="47">
        <v>102162.50900000001</v>
      </c>
      <c r="FN42" s="47">
        <v>6484293.0152000003</v>
      </c>
      <c r="FO42" s="47">
        <v>2159408.6406299998</v>
      </c>
      <c r="FP42" s="47">
        <v>1488414.6657099999</v>
      </c>
      <c r="FQ42" s="47">
        <v>675891.47070000006</v>
      </c>
      <c r="FR42" s="47">
        <v>498798.65568999999</v>
      </c>
      <c r="FS42" s="47">
        <v>259038.98560999997</v>
      </c>
      <c r="FT42" s="47">
        <v>102162.5609</v>
      </c>
      <c r="FV42" s="44">
        <v>6580246.0152000003</v>
      </c>
      <c r="FW42" s="44">
        <v>2161377.7406299999</v>
      </c>
      <c r="FX42" s="44">
        <v>1489399.2157099999</v>
      </c>
      <c r="FY42" s="44">
        <v>676088.3807000001</v>
      </c>
      <c r="FZ42" s="44">
        <v>498897.11069</v>
      </c>
      <c r="GA42" s="44">
        <v>259058.67660999999</v>
      </c>
      <c r="GB42" s="44">
        <v>102164.53</v>
      </c>
      <c r="GC42" s="44"/>
      <c r="GE42" s="47">
        <v>6727283.0152000003</v>
      </c>
      <c r="GF42" s="47">
        <v>2170380.38515</v>
      </c>
      <c r="GG42" s="47">
        <v>1493010.6547300001</v>
      </c>
      <c r="GH42" s="47">
        <v>676485.17246000003</v>
      </c>
      <c r="GI42" s="47">
        <v>499314.98791999999</v>
      </c>
      <c r="GJ42" s="47">
        <v>259075.57954000001</v>
      </c>
      <c r="GK42" s="47">
        <v>102166.98046000001</v>
      </c>
      <c r="GM42" s="47">
        <v>6938551.0152000003</v>
      </c>
      <c r="GN42" s="47">
        <v>2170380.38515</v>
      </c>
      <c r="GO42" s="47">
        <v>1493010.6547300001</v>
      </c>
      <c r="GP42" s="47">
        <v>676485.17246000003</v>
      </c>
      <c r="GQ42" s="47">
        <v>499314.98791999999</v>
      </c>
      <c r="GR42" s="47">
        <v>259075.57954000001</v>
      </c>
      <c r="GS42" s="47">
        <v>102166.98046000001</v>
      </c>
      <c r="GT42" s="187"/>
      <c r="GU42" s="480">
        <v>6372058.7609000001</v>
      </c>
      <c r="GV42" s="481">
        <v>1839198.0893349999</v>
      </c>
      <c r="GW42" s="481">
        <v>1232490.9531150002</v>
      </c>
      <c r="GX42" s="481">
        <v>524923.11124500004</v>
      </c>
      <c r="GY42" s="481">
        <v>377658.93233500002</v>
      </c>
      <c r="GZ42" s="481">
        <v>189713.67013499999</v>
      </c>
      <c r="HA42" s="481">
        <v>73857.434024999995</v>
      </c>
      <c r="HB42" s="256"/>
      <c r="HC42" s="480">
        <v>6239817.7609999999</v>
      </c>
      <c r="HD42" s="481">
        <v>1772136.6478149998</v>
      </c>
      <c r="HE42" s="481">
        <v>1181861.0779049997</v>
      </c>
      <c r="HF42" s="481">
        <v>498233.119405</v>
      </c>
      <c r="HG42" s="481">
        <v>356447.47777500004</v>
      </c>
      <c r="HH42" s="481">
        <v>177823.274485</v>
      </c>
      <c r="HI42" s="481">
        <v>69120.391774999996</v>
      </c>
      <c r="HJ42" s="481"/>
      <c r="HK42" s="480">
        <v>6067146.7609999999</v>
      </c>
      <c r="HL42" s="481">
        <v>1700413.504954</v>
      </c>
      <c r="HM42" s="481">
        <v>1129134.5153940001</v>
      </c>
      <c r="HN42" s="481">
        <v>470753.72872400004</v>
      </c>
      <c r="HO42" s="481">
        <v>335720.476524</v>
      </c>
      <c r="HP42" s="481">
        <v>165586.52024400001</v>
      </c>
      <c r="HQ42" s="481">
        <v>63544.798563999997</v>
      </c>
      <c r="HR42" s="256"/>
      <c r="HS42" s="480">
        <v>5867777.7610999998</v>
      </c>
      <c r="HT42" s="481">
        <v>1618031.8238969999</v>
      </c>
      <c r="HU42" s="481">
        <v>1071848.3887970001</v>
      </c>
      <c r="HV42" s="481">
        <v>443237.118227</v>
      </c>
      <c r="HW42" s="481">
        <v>315182.49543700001</v>
      </c>
      <c r="HX42" s="481">
        <v>154377.351627</v>
      </c>
      <c r="HY42" s="481">
        <v>58949.793109999999</v>
      </c>
      <c r="HZ42" s="47"/>
      <c r="IA42" s="480">
        <v>5376963.7614000002</v>
      </c>
      <c r="IB42" s="481">
        <v>1500235.1071559999</v>
      </c>
      <c r="IC42" s="481">
        <v>1003574.6176359999</v>
      </c>
      <c r="ID42" s="481">
        <v>426222.49849600001</v>
      </c>
      <c r="IE42" s="481">
        <v>305650.07550600002</v>
      </c>
      <c r="IF42" s="481">
        <v>151429.38232599999</v>
      </c>
      <c r="IG42" s="481">
        <v>58264.052776999997</v>
      </c>
      <c r="IH42" s="47"/>
      <c r="II42" s="480">
        <v>5092923.7614000002</v>
      </c>
      <c r="IJ42" s="480">
        <v>1423109.1465670001</v>
      </c>
      <c r="IK42" s="480">
        <v>955639.59328700008</v>
      </c>
      <c r="IL42" s="480">
        <v>408753.24197699997</v>
      </c>
      <c r="IM42" s="480">
        <v>293825.545377</v>
      </c>
      <c r="IN42" s="480">
        <v>145677.603527</v>
      </c>
      <c r="IO42" s="480">
        <v>56066.246012000003</v>
      </c>
      <c r="IP42" s="757"/>
      <c r="IQ42" s="757">
        <v>5092499.9994000001</v>
      </c>
      <c r="IR42" s="757">
        <v>1422937.578608</v>
      </c>
      <c r="IS42" s="757">
        <v>955515.41059800005</v>
      </c>
      <c r="IT42" s="757">
        <v>408689.82049800002</v>
      </c>
      <c r="IU42" s="757">
        <v>293777.53490800003</v>
      </c>
      <c r="IV42" s="757">
        <v>145651.14233800001</v>
      </c>
      <c r="IW42" s="757">
        <v>56055.539332</v>
      </c>
      <c r="IX42" s="757"/>
      <c r="IY42" s="757">
        <v>6140228.9994000001</v>
      </c>
      <c r="IZ42" s="757">
        <v>1608870.5844010001</v>
      </c>
      <c r="JA42" s="757">
        <v>1071410.9092410002</v>
      </c>
      <c r="JB42" s="757">
        <v>452348.55437100003</v>
      </c>
      <c r="JC42" s="757">
        <v>323900.29487100005</v>
      </c>
      <c r="JD42" s="757">
        <v>159794.39243099999</v>
      </c>
      <c r="JE42" s="757">
        <v>61334.353637</v>
      </c>
      <c r="JF42" s="256"/>
      <c r="JG42" s="47">
        <v>546264.25430000003</v>
      </c>
      <c r="JH42" s="47">
        <v>319252.34980000003</v>
      </c>
      <c r="JI42" s="47">
        <v>253568.05429999999</v>
      </c>
      <c r="JJ42" s="47">
        <v>150957.72229999999</v>
      </c>
      <c r="JK42" s="47">
        <v>120096.8109</v>
      </c>
      <c r="JL42" s="47">
        <v>69396.79797</v>
      </c>
      <c r="JM42" s="47">
        <v>28457.62888</v>
      </c>
      <c r="JN42" s="1034"/>
      <c r="JO42" s="47">
        <v>132240.9999</v>
      </c>
      <c r="JP42" s="47">
        <v>68640.429199999999</v>
      </c>
      <c r="JQ42" s="47">
        <v>52881.766020000003</v>
      </c>
      <c r="JR42" s="47">
        <v>28911.993699999999</v>
      </c>
      <c r="JS42" s="47">
        <v>22308.967069999999</v>
      </c>
      <c r="JT42" s="47">
        <v>12662.9529</v>
      </c>
      <c r="JU42" s="47">
        <v>5196.5377559999997</v>
      </c>
      <c r="JV42" s="77"/>
      <c r="JW42" s="47">
        <v>172671</v>
      </c>
      <c r="JX42" s="47">
        <v>76209.329440000001</v>
      </c>
      <c r="JY42" s="47">
        <v>56647.435449999997</v>
      </c>
      <c r="JZ42" s="47">
        <v>27853.715329999999</v>
      </c>
      <c r="KA42" s="47">
        <v>21916.117750000001</v>
      </c>
      <c r="KB42" s="47">
        <v>13201.820159999999</v>
      </c>
      <c r="KC42" s="47">
        <v>6099.8118119999999</v>
      </c>
      <c r="KD42" s="77"/>
      <c r="KE42" s="47">
        <v>199368.9999</v>
      </c>
      <c r="KF42" s="47">
        <v>83473.804059999995</v>
      </c>
      <c r="KG42" s="47">
        <v>60084.294629999997</v>
      </c>
      <c r="KH42" s="47">
        <v>28465.204099999999</v>
      </c>
      <c r="KI42" s="47">
        <v>21614.58682</v>
      </c>
      <c r="KJ42" s="47">
        <v>11922.90273</v>
      </c>
      <c r="KK42" s="47">
        <v>4956.7285670000001</v>
      </c>
      <c r="KL42" s="77"/>
      <c r="KM42" s="47">
        <v>490813.99969999999</v>
      </c>
      <c r="KN42" s="47">
        <v>117230.6753</v>
      </c>
      <c r="KO42" s="47">
        <v>65284.741390000003</v>
      </c>
      <c r="KP42" s="47">
        <v>16796.871650000001</v>
      </c>
      <c r="KQ42" s="47">
        <v>9653.4421299999995</v>
      </c>
      <c r="KR42" s="47">
        <v>3067.6748510000002</v>
      </c>
      <c r="KS42" s="47">
        <v>699.75785189999999</v>
      </c>
      <c r="KT42" s="77"/>
      <c r="KU42" s="47">
        <v>354070</v>
      </c>
      <c r="KV42" s="47">
        <v>94128.133230000007</v>
      </c>
      <c r="KW42" s="47">
        <v>57416.216829999998</v>
      </c>
      <c r="KX42" s="47">
        <v>20833.49224</v>
      </c>
      <c r="KY42" s="47">
        <v>14434.26756</v>
      </c>
      <c r="KZ42" s="47">
        <v>7102.5965390000001</v>
      </c>
      <c r="LA42" s="47">
        <v>2660.9631829999998</v>
      </c>
      <c r="LB42" s="77"/>
      <c r="LC42" s="1034">
        <v>450581.9057</v>
      </c>
      <c r="LD42" s="1034">
        <v>30942.45217</v>
      </c>
      <c r="LE42" s="1034">
        <v>15107.34359</v>
      </c>
      <c r="LF42" s="1034">
        <v>3487.8192210000002</v>
      </c>
      <c r="LG42" s="1034">
        <v>1980.031614</v>
      </c>
      <c r="LH42" s="1034">
        <v>451.63423590000002</v>
      </c>
      <c r="LI42" s="1034">
        <v>49.269296789999999</v>
      </c>
      <c r="LJ42" s="77"/>
      <c r="LK42" s="1034">
        <v>20228</v>
      </c>
      <c r="LL42" s="1034">
        <v>13122.328874799998</v>
      </c>
      <c r="LM42" s="1034">
        <v>11018.3582852</v>
      </c>
      <c r="LN42" s="1034">
        <v>6452.8912018000001</v>
      </c>
      <c r="LO42" s="1034">
        <v>4917.4105823999998</v>
      </c>
      <c r="LP42" s="1034">
        <v>2699.1013573999999</v>
      </c>
      <c r="LQ42" s="1034">
        <v>1179.1229350000001</v>
      </c>
    </row>
    <row r="43" spans="1:329" s="43" customFormat="1" ht="9.75" customHeight="1" x14ac:dyDescent="0.2">
      <c r="A43" s="48">
        <v>1995</v>
      </c>
      <c r="B43" s="47">
        <v>4048343.5255244067</v>
      </c>
      <c r="C43" s="47">
        <v>1646517.0853684605</v>
      </c>
      <c r="D43" s="47">
        <v>1156652.3625305186</v>
      </c>
      <c r="E43" s="47">
        <v>551517.18287866923</v>
      </c>
      <c r="F43" s="47">
        <v>407781.49699944933</v>
      </c>
      <c r="G43" s="47">
        <v>204451.72764732962</v>
      </c>
      <c r="H43" s="47">
        <v>75705.982232899973</v>
      </c>
      <c r="I43" s="47"/>
      <c r="J43" s="47">
        <v>6479476.4874999998</v>
      </c>
      <c r="K43" s="47">
        <v>2293345.7571999999</v>
      </c>
      <c r="L43" s="47">
        <v>1595901.5654100003</v>
      </c>
      <c r="M43" s="47">
        <v>745925.77271000005</v>
      </c>
      <c r="N43" s="47">
        <v>557500.57157000003</v>
      </c>
      <c r="O43" s="47">
        <v>292153.43403</v>
      </c>
      <c r="P43" s="47">
        <v>115676.17368000001</v>
      </c>
      <c r="Q43" s="47"/>
      <c r="R43" s="47">
        <v>7324486.4874</v>
      </c>
      <c r="S43" s="47">
        <v>2330605.0334899998</v>
      </c>
      <c r="T43" s="47">
        <v>1616800.9849100001</v>
      </c>
      <c r="U43" s="47">
        <v>750672.31366999994</v>
      </c>
      <c r="V43" s="47">
        <v>559849.57345000003</v>
      </c>
      <c r="W43" s="47">
        <v>292773.30333999998</v>
      </c>
      <c r="X43" s="47">
        <v>115727.88658999999</v>
      </c>
      <c r="Y43" s="47"/>
      <c r="Z43" s="47">
        <v>6479475.9994000001</v>
      </c>
      <c r="AA43" s="47">
        <v>1730434.4474239997</v>
      </c>
      <c r="AB43" s="47">
        <v>1161211.7009739997</v>
      </c>
      <c r="AC43" s="47">
        <v>502839.48377400002</v>
      </c>
      <c r="AD43" s="47">
        <v>364718.42157399998</v>
      </c>
      <c r="AE43" s="47">
        <v>182695.85336399998</v>
      </c>
      <c r="AF43" s="47">
        <v>70851.729353999996</v>
      </c>
      <c r="AG43" s="47"/>
      <c r="AH43" s="47">
        <v>4103169.5504000001</v>
      </c>
      <c r="AI43" s="47">
        <v>1641854.740335</v>
      </c>
      <c r="AJ43" s="47">
        <v>1150787.9468350001</v>
      </c>
      <c r="AK43" s="47">
        <v>547565.04766500008</v>
      </c>
      <c r="AL43" s="47">
        <v>404726.99254499999</v>
      </c>
      <c r="AM43" s="47">
        <v>202991.18992500001</v>
      </c>
      <c r="AN43" s="47">
        <v>75296.832045000003</v>
      </c>
      <c r="AO43" s="47"/>
      <c r="AP43" s="47"/>
      <c r="AQ43" s="47"/>
      <c r="AR43" s="47"/>
      <c r="AS43" s="47"/>
      <c r="AT43" s="47"/>
      <c r="AU43" s="47"/>
      <c r="AV43" s="47"/>
      <c r="AW43" s="47"/>
      <c r="AX43" s="47">
        <v>4151224.1934000002</v>
      </c>
      <c r="AY43" s="47">
        <v>1673842.9200280001</v>
      </c>
      <c r="AZ43" s="47">
        <v>1179062.6024880002</v>
      </c>
      <c r="BA43" s="47">
        <v>566833.18966799998</v>
      </c>
      <c r="BB43" s="47">
        <v>420259.52726800001</v>
      </c>
      <c r="BC43" s="47">
        <v>211747.11978800001</v>
      </c>
      <c r="BD43" s="47">
        <v>78327.424788000004</v>
      </c>
      <c r="BE43" s="47"/>
      <c r="BF43" s="44">
        <v>4174603.6200999999</v>
      </c>
      <c r="BG43" s="44">
        <v>1656178.8789259999</v>
      </c>
      <c r="BH43" s="44">
        <v>1165246.281246</v>
      </c>
      <c r="BI43" s="44">
        <v>560665.33094600006</v>
      </c>
      <c r="BJ43" s="44">
        <v>416777.81276599993</v>
      </c>
      <c r="BK43" s="44">
        <v>210936.246426</v>
      </c>
      <c r="BL43" s="44">
        <v>78312.150406000001</v>
      </c>
      <c r="BN43" s="44">
        <v>4174603.6200999999</v>
      </c>
      <c r="BO43" s="44">
        <v>1521412.7351700002</v>
      </c>
      <c r="BP43" s="44">
        <v>1070055.0671699999</v>
      </c>
      <c r="BQ43" s="44">
        <v>511323.75641000003</v>
      </c>
      <c r="BR43" s="44">
        <v>382909.5711</v>
      </c>
      <c r="BS43" s="44">
        <v>198591.66778999998</v>
      </c>
      <c r="BT43" s="44">
        <v>75136.917319999993</v>
      </c>
      <c r="BU43" s="44"/>
      <c r="BV43" s="47">
        <v>4195937.3091000002</v>
      </c>
      <c r="BW43" s="47">
        <v>1541221.0825100001</v>
      </c>
      <c r="BX43" s="47">
        <v>1088302.79415</v>
      </c>
      <c r="BY43" s="47">
        <v>527134.99838</v>
      </c>
      <c r="BZ43" s="47">
        <v>397524.52239</v>
      </c>
      <c r="CA43" s="47">
        <v>208495.58351999999</v>
      </c>
      <c r="CB43" s="47">
        <v>80814.146710000001</v>
      </c>
      <c r="CC43" s="44"/>
      <c r="CD43" s="47">
        <v>4422165.3091000002</v>
      </c>
      <c r="CE43" s="47">
        <v>1660422.1312539997</v>
      </c>
      <c r="CF43" s="47">
        <v>1182509.0501939999</v>
      </c>
      <c r="CG43" s="47">
        <v>583212.23268400005</v>
      </c>
      <c r="CH43" s="47">
        <v>442955.56506400002</v>
      </c>
      <c r="CI43" s="47">
        <v>236219.27608400001</v>
      </c>
      <c r="CJ43" s="47">
        <v>93750.149323999998</v>
      </c>
      <c r="CL43" s="47">
        <v>4616614.3091000002</v>
      </c>
      <c r="CM43" s="47">
        <v>1750537.1812999998</v>
      </c>
      <c r="CN43" s="47">
        <v>1247493.2728999997</v>
      </c>
      <c r="CO43" s="47">
        <v>617310.25352000003</v>
      </c>
      <c r="CP43" s="47">
        <v>469696.50255000003</v>
      </c>
      <c r="CQ43" s="47">
        <v>251934.41141</v>
      </c>
      <c r="CR43" s="47">
        <v>100915.12596999999</v>
      </c>
      <c r="CS43" s="47"/>
      <c r="CT43" s="47">
        <v>4715038.3091000002</v>
      </c>
      <c r="CU43" s="47">
        <v>1800216.6102700001</v>
      </c>
      <c r="CV43" s="47">
        <v>1287164.2422200001</v>
      </c>
      <c r="CW43" s="47">
        <v>639960.65677</v>
      </c>
      <c r="CX43" s="47">
        <v>488078.36241999996</v>
      </c>
      <c r="CY43" s="47">
        <v>262682.34779000003</v>
      </c>
      <c r="CZ43" s="47">
        <v>105748.31379</v>
      </c>
      <c r="DA43" s="47"/>
      <c r="DB43" s="47">
        <v>4715038.3101000004</v>
      </c>
      <c r="DC43" s="47">
        <v>1807951.9751000002</v>
      </c>
      <c r="DD43" s="47">
        <v>1293895.9361700001</v>
      </c>
      <c r="DE43" s="47">
        <v>643732.34260999993</v>
      </c>
      <c r="DF43" s="47">
        <v>490844.91779000004</v>
      </c>
      <c r="DG43" s="47">
        <v>264409.19128000003</v>
      </c>
      <c r="DH43" s="47">
        <v>106536.71781</v>
      </c>
      <c r="DI43" s="47"/>
      <c r="DJ43" s="47">
        <v>5052519.2741</v>
      </c>
      <c r="DK43" s="47">
        <v>1899062.5264900001</v>
      </c>
      <c r="DL43" s="47">
        <v>1360068.6222100002</v>
      </c>
      <c r="DM43" s="47">
        <v>672895.35047999991</v>
      </c>
      <c r="DN43" s="47">
        <v>511232.16018000001</v>
      </c>
      <c r="DO43" s="47">
        <v>273364.38967</v>
      </c>
      <c r="DP43" s="47">
        <v>109884.22249</v>
      </c>
      <c r="DQ43" s="47"/>
      <c r="DR43" s="47">
        <v>5225207.2748412127</v>
      </c>
      <c r="DS43" s="47">
        <v>1958750.8000922848</v>
      </c>
      <c r="DT43" s="47">
        <v>1397874.3046989369</v>
      </c>
      <c r="DU43" s="47">
        <v>686345.88370231807</v>
      </c>
      <c r="DV43" s="47">
        <v>520179.23268201714</v>
      </c>
      <c r="DW43" s="47">
        <v>276494.02785289154</v>
      </c>
      <c r="DX43" s="47">
        <v>110574.10799127804</v>
      </c>
      <c r="DY43" s="297"/>
      <c r="DZ43" s="47">
        <v>5489327.2744663339</v>
      </c>
      <c r="EA43" s="47">
        <v>2016271.5873954406</v>
      </c>
      <c r="EB43" s="47">
        <v>1428287.453513819</v>
      </c>
      <c r="EC43" s="47">
        <v>694069.79071172164</v>
      </c>
      <c r="ED43" s="47">
        <v>524314.29962507274</v>
      </c>
      <c r="EE43" s="47">
        <v>277926.69286796963</v>
      </c>
      <c r="EF43" s="47">
        <v>110897.59854264118</v>
      </c>
      <c r="EG43" s="541"/>
      <c r="EH43" s="47">
        <v>5800892.2744664429</v>
      </c>
      <c r="EI43" s="47">
        <v>2086575.1146724925</v>
      </c>
      <c r="EJ43" s="47">
        <v>1465304.6527791498</v>
      </c>
      <c r="EK43" s="47">
        <v>699759.60223971133</v>
      </c>
      <c r="EL43" s="47">
        <v>527057.01733067096</v>
      </c>
      <c r="EM43" s="47">
        <v>278498.34715790418</v>
      </c>
      <c r="EN43" s="47">
        <v>111010.08483223263</v>
      </c>
      <c r="EO43" s="47"/>
      <c r="EP43" s="47">
        <v>6042969.4874999998</v>
      </c>
      <c r="EQ43" s="47">
        <v>2175541.4024</v>
      </c>
      <c r="ER43" s="47">
        <v>1521252.4140300001</v>
      </c>
      <c r="ES43" s="47">
        <v>718374.76258999994</v>
      </c>
      <c r="ET43" s="47">
        <v>537880.02055000002</v>
      </c>
      <c r="EU43" s="47">
        <v>282804.35568000004</v>
      </c>
      <c r="EV43" s="47">
        <v>112203.4117</v>
      </c>
      <c r="EW43" s="47"/>
      <c r="EX43" s="47">
        <v>6479476.4874999998</v>
      </c>
      <c r="EY43" s="47">
        <v>2293345.7571999999</v>
      </c>
      <c r="EZ43" s="47">
        <v>1595901.5654100003</v>
      </c>
      <c r="FA43" s="47">
        <v>745925.77271000005</v>
      </c>
      <c r="FB43" s="47">
        <v>557500.57157000003</v>
      </c>
      <c r="FC43" s="47">
        <v>292153.43403</v>
      </c>
      <c r="FD43" s="47">
        <v>115676.17368000001</v>
      </c>
      <c r="FE43" s="47"/>
      <c r="FF43" s="47">
        <v>6815176.4874</v>
      </c>
      <c r="FG43" s="47">
        <v>2317909.9021000001</v>
      </c>
      <c r="FH43" s="47">
        <v>1610603.5808299999</v>
      </c>
      <c r="FI43" s="47">
        <v>749970.30374</v>
      </c>
      <c r="FJ43" s="47">
        <v>559515.85841999995</v>
      </c>
      <c r="FK43" s="47">
        <v>292722.26458000002</v>
      </c>
      <c r="FL43" s="47">
        <v>115722.98166999999</v>
      </c>
      <c r="FN43" s="47">
        <v>6836910.4874</v>
      </c>
      <c r="FO43" s="47">
        <v>2319321.9590399996</v>
      </c>
      <c r="FP43" s="47">
        <v>1611640.25893</v>
      </c>
      <c r="FQ43" s="47">
        <v>749918.19393000007</v>
      </c>
      <c r="FR43" s="47">
        <v>559555.95114000002</v>
      </c>
      <c r="FS43" s="47">
        <v>292725.96778000001</v>
      </c>
      <c r="FT43" s="47">
        <v>115723.00609</v>
      </c>
      <c r="FV43" s="44">
        <v>6940363.4874</v>
      </c>
      <c r="FW43" s="44">
        <v>2321375.1590400003</v>
      </c>
      <c r="FX43" s="44">
        <v>1612666.8589299999</v>
      </c>
      <c r="FY43" s="44">
        <v>750123.5139299999</v>
      </c>
      <c r="FZ43" s="44">
        <v>559658.61113999994</v>
      </c>
      <c r="GA43" s="44">
        <v>292746.49978000001</v>
      </c>
      <c r="GB43" s="44">
        <v>115725.05929</v>
      </c>
      <c r="GC43" s="44"/>
      <c r="GE43" s="47">
        <v>7101866.4874</v>
      </c>
      <c r="GF43" s="47">
        <v>2330605.0334899998</v>
      </c>
      <c r="GG43" s="47">
        <v>1616800.9849100001</v>
      </c>
      <c r="GH43" s="47">
        <v>750672.31366999994</v>
      </c>
      <c r="GI43" s="47">
        <v>559849.57345000003</v>
      </c>
      <c r="GJ43" s="47">
        <v>292773.30333999998</v>
      </c>
      <c r="GK43" s="47">
        <v>115727.88658999999</v>
      </c>
      <c r="GM43" s="47">
        <v>7324486.4874</v>
      </c>
      <c r="GN43" s="47">
        <v>2330605.0334899998</v>
      </c>
      <c r="GO43" s="47">
        <v>1616800.9849100001</v>
      </c>
      <c r="GP43" s="47">
        <v>750672.31366999994</v>
      </c>
      <c r="GQ43" s="47">
        <v>559849.57345000003</v>
      </c>
      <c r="GR43" s="47">
        <v>292773.30333999998</v>
      </c>
      <c r="GS43" s="47">
        <v>115727.88658999999</v>
      </c>
      <c r="GT43" s="187"/>
      <c r="GU43" s="480">
        <v>6712894.4167999998</v>
      </c>
      <c r="GV43" s="481">
        <v>1965837.3965400001</v>
      </c>
      <c r="GW43" s="481">
        <v>1325537.0831900002</v>
      </c>
      <c r="GX43" s="481">
        <v>579082.71950000001</v>
      </c>
      <c r="GY43" s="481">
        <v>422219.36296</v>
      </c>
      <c r="GZ43" s="481">
        <v>214009.91357999999</v>
      </c>
      <c r="HA43" s="481">
        <v>84083.210990000007</v>
      </c>
      <c r="HB43" s="256"/>
      <c r="HC43" s="480">
        <v>6571157.4171000002</v>
      </c>
      <c r="HD43" s="481">
        <v>1893437.147042</v>
      </c>
      <c r="HE43" s="481">
        <v>1269126.843172</v>
      </c>
      <c r="HF43" s="481">
        <v>548409.44387200009</v>
      </c>
      <c r="HG43" s="481">
        <v>397993.03578199999</v>
      </c>
      <c r="HH43" s="481">
        <v>200666.43116199999</v>
      </c>
      <c r="HI43" s="481">
        <v>78809.760152000003</v>
      </c>
      <c r="HJ43" s="481"/>
      <c r="HK43" s="480">
        <v>6376708.4171000002</v>
      </c>
      <c r="HL43" s="481">
        <v>1810374.5524489998</v>
      </c>
      <c r="HM43" s="481">
        <v>1207752.866159</v>
      </c>
      <c r="HN43" s="481">
        <v>516157.231119</v>
      </c>
      <c r="HO43" s="481">
        <v>372745.81759899994</v>
      </c>
      <c r="HP43" s="481">
        <v>186013.204979</v>
      </c>
      <c r="HQ43" s="481">
        <v>72149.385699000006</v>
      </c>
      <c r="HR43" s="256"/>
      <c r="HS43" s="480">
        <v>6174129.4166000001</v>
      </c>
      <c r="HT43" s="481">
        <v>1727321.9815809999</v>
      </c>
      <c r="HU43" s="481">
        <v>1148707.2407010002</v>
      </c>
      <c r="HV43" s="481">
        <v>487730.79866099998</v>
      </c>
      <c r="HW43" s="481">
        <v>350852.66483100003</v>
      </c>
      <c r="HX43" s="481">
        <v>174496.84653099999</v>
      </c>
      <c r="HY43" s="481">
        <v>67271.514190999995</v>
      </c>
      <c r="HZ43" s="47"/>
      <c r="IA43" s="480">
        <v>5661046.4164000005</v>
      </c>
      <c r="IB43" s="481">
        <v>1602376.176157</v>
      </c>
      <c r="IC43" s="481">
        <v>1079747.976607</v>
      </c>
      <c r="ID43" s="481">
        <v>469592.05284700007</v>
      </c>
      <c r="IE43" s="481">
        <v>340732.78836700006</v>
      </c>
      <c r="IF43" s="481">
        <v>171161.754617</v>
      </c>
      <c r="IG43" s="481">
        <v>66473.923926999996</v>
      </c>
      <c r="IH43" s="47"/>
      <c r="II43" s="480">
        <v>5367745.4164000005</v>
      </c>
      <c r="IJ43" s="480">
        <v>1522277.233307</v>
      </c>
      <c r="IK43" s="480">
        <v>1028636.413877</v>
      </c>
      <c r="IL43" s="480">
        <v>451213.22896700003</v>
      </c>
      <c r="IM43" s="480">
        <v>328028.18357700005</v>
      </c>
      <c r="IN43" s="480">
        <v>164920.36842700001</v>
      </c>
      <c r="IO43" s="480">
        <v>64081.253717</v>
      </c>
      <c r="IP43" s="757"/>
      <c r="IQ43" s="757">
        <v>5397016.9994000001</v>
      </c>
      <c r="IR43" s="757">
        <v>1534411.4030599997</v>
      </c>
      <c r="IS43" s="757">
        <v>1037527.0860400001</v>
      </c>
      <c r="IT43" s="757">
        <v>455838.76595999999</v>
      </c>
      <c r="IU43" s="757">
        <v>331561.16903999995</v>
      </c>
      <c r="IV43" s="757">
        <v>166875.28207000002</v>
      </c>
      <c r="IW43" s="757">
        <v>64870.844060000003</v>
      </c>
      <c r="IX43" s="757"/>
      <c r="IY43" s="757">
        <v>6479475.9994000001</v>
      </c>
      <c r="IZ43" s="757">
        <v>1730434.4474239997</v>
      </c>
      <c r="JA43" s="757">
        <v>1161211.7009739997</v>
      </c>
      <c r="JB43" s="757">
        <v>502839.48377400002</v>
      </c>
      <c r="JC43" s="757">
        <v>364718.42157399998</v>
      </c>
      <c r="JD43" s="757">
        <v>182695.85336399998</v>
      </c>
      <c r="JE43" s="757">
        <v>70851.729353999996</v>
      </c>
      <c r="JF43" s="256"/>
      <c r="JG43" s="47">
        <v>591553.07059999998</v>
      </c>
      <c r="JH43" s="47">
        <v>353210.45390000002</v>
      </c>
      <c r="JI43" s="47">
        <v>283054.35029999999</v>
      </c>
      <c r="JJ43" s="47">
        <v>171077.99059999999</v>
      </c>
      <c r="JK43" s="47">
        <v>137031.64290000001</v>
      </c>
      <c r="JL43" s="47">
        <v>79215.268559999997</v>
      </c>
      <c r="JM43" s="47">
        <v>31982.950270000001</v>
      </c>
      <c r="JN43" s="1034"/>
      <c r="JO43" s="47">
        <v>141736.99969999999</v>
      </c>
      <c r="JP43" s="47">
        <v>74873.200870000001</v>
      </c>
      <c r="JQ43" s="47">
        <v>58340.818659999997</v>
      </c>
      <c r="JR43" s="47">
        <v>32350.277010000002</v>
      </c>
      <c r="JS43" s="47">
        <v>25318.144649999998</v>
      </c>
      <c r="JT43" s="47">
        <v>14400.22746</v>
      </c>
      <c r="JU43" s="47">
        <v>5786.9883929999996</v>
      </c>
      <c r="JV43" s="77"/>
      <c r="JW43" s="47">
        <v>194449</v>
      </c>
      <c r="JX43" s="47">
        <v>87097.270449999996</v>
      </c>
      <c r="JY43" s="47">
        <v>65152.695970000001</v>
      </c>
      <c r="JZ43" s="47">
        <v>32636.981400000001</v>
      </c>
      <c r="KA43" s="47">
        <v>25732.855459999999</v>
      </c>
      <c r="KB43" s="47">
        <v>15543.037469999999</v>
      </c>
      <c r="KC43" s="47">
        <v>7140.5611840000001</v>
      </c>
      <c r="KD43" s="77"/>
      <c r="KE43" s="47">
        <v>202579.00039999999</v>
      </c>
      <c r="KF43" s="47">
        <v>86754.785090000005</v>
      </c>
      <c r="KG43" s="47">
        <v>62332.374470000002</v>
      </c>
      <c r="KH43" s="47">
        <v>29947.573079999998</v>
      </c>
      <c r="KI43" s="47">
        <v>22857.35828</v>
      </c>
      <c r="KJ43" s="47">
        <v>12553.891299999999</v>
      </c>
      <c r="KK43" s="47">
        <v>5243.2622229999997</v>
      </c>
      <c r="KL43" s="77"/>
      <c r="KM43" s="47">
        <v>513083.00020000001</v>
      </c>
      <c r="KN43" s="47">
        <v>122142.6259</v>
      </c>
      <c r="KO43" s="47">
        <v>68252.109840000005</v>
      </c>
      <c r="KP43" s="47">
        <v>17926.290710000001</v>
      </c>
      <c r="KQ43" s="47">
        <v>10507.470740000001</v>
      </c>
      <c r="KR43" s="47">
        <v>3470.1272300000001</v>
      </c>
      <c r="KS43" s="47">
        <v>849.6085511</v>
      </c>
      <c r="KT43" s="77"/>
      <c r="KU43" s="47">
        <v>365477</v>
      </c>
      <c r="KV43" s="47">
        <v>98684.568140000003</v>
      </c>
      <c r="KW43" s="47">
        <v>60462.185369999999</v>
      </c>
      <c r="KX43" s="47">
        <v>22209.427739999999</v>
      </c>
      <c r="KY43" s="47">
        <v>15551.32294</v>
      </c>
      <c r="KZ43" s="47">
        <v>7674.6749920000002</v>
      </c>
      <c r="LA43" s="47">
        <v>2881.5280790000002</v>
      </c>
      <c r="LB43" s="77"/>
      <c r="LC43" s="1034">
        <v>473424.18479999999</v>
      </c>
      <c r="LD43" s="1034">
        <v>32958.860249999998</v>
      </c>
      <c r="LE43" s="1034">
        <v>16469.61939</v>
      </c>
      <c r="LF43" s="1034">
        <v>3802.2538960000002</v>
      </c>
      <c r="LG43" s="1034">
        <v>2079.1242940000002</v>
      </c>
      <c r="LH43" s="1034">
        <v>463.7371842</v>
      </c>
      <c r="LI43" s="1034">
        <v>51.32997065</v>
      </c>
      <c r="LJ43" s="77"/>
      <c r="LK43" s="1034">
        <v>20039</v>
      </c>
      <c r="LL43" s="1034">
        <v>13027.544418599999</v>
      </c>
      <c r="LM43" s="1034">
        <v>10937.5222454</v>
      </c>
      <c r="LN43" s="1034">
        <v>6411.6875959999998</v>
      </c>
      <c r="LO43" s="1034">
        <v>4890.4848314999999</v>
      </c>
      <c r="LP43" s="1034">
        <v>2668.4278795999999</v>
      </c>
      <c r="LQ43" s="1034">
        <v>1159.6490655</v>
      </c>
    </row>
    <row r="44" spans="1:329" s="43" customFormat="1" ht="9.75" customHeight="1" x14ac:dyDescent="0.2">
      <c r="A44" s="48">
        <v>1996</v>
      </c>
      <c r="B44" s="47">
        <v>4308794.9973373692</v>
      </c>
      <c r="C44" s="47">
        <v>1778434.1303049286</v>
      </c>
      <c r="D44" s="47">
        <v>1261222.0136981693</v>
      </c>
      <c r="E44" s="47">
        <v>612350.01515654032</v>
      </c>
      <c r="F44" s="47">
        <v>456249.65386818064</v>
      </c>
      <c r="G44" s="47">
        <v>233440.79259725014</v>
      </c>
      <c r="H44" s="47">
        <v>88669.243406450201</v>
      </c>
      <c r="I44" s="47"/>
      <c r="J44" s="47">
        <v>6899394.8994000005</v>
      </c>
      <c r="K44" s="47">
        <v>2477519.6098100003</v>
      </c>
      <c r="L44" s="47">
        <v>1737027.61228</v>
      </c>
      <c r="M44" s="47">
        <v>823168.09763000009</v>
      </c>
      <c r="N44" s="47">
        <v>617910.20122000005</v>
      </c>
      <c r="O44" s="47">
        <v>325759.62595999998</v>
      </c>
      <c r="P44" s="47">
        <v>130544.43336</v>
      </c>
      <c r="Q44" s="47"/>
      <c r="R44" s="47">
        <v>7786956.8992999997</v>
      </c>
      <c r="S44" s="47">
        <v>2519753.0671600001</v>
      </c>
      <c r="T44" s="47">
        <v>1759093.9264499999</v>
      </c>
      <c r="U44" s="47">
        <v>828281.91464999993</v>
      </c>
      <c r="V44" s="47">
        <v>620491.13419999997</v>
      </c>
      <c r="W44" s="47">
        <v>326386.62904000003</v>
      </c>
      <c r="X44" s="47">
        <v>130591.15719</v>
      </c>
      <c r="Y44" s="47"/>
      <c r="Z44" s="47">
        <v>6899393.9992000004</v>
      </c>
      <c r="AA44" s="47">
        <v>1879867.8655020003</v>
      </c>
      <c r="AB44" s="47">
        <v>1273226.6597920002</v>
      </c>
      <c r="AC44" s="47">
        <v>559562.86909199995</v>
      </c>
      <c r="AD44" s="47">
        <v>404948.92431199999</v>
      </c>
      <c r="AE44" s="47">
        <v>203848.46735200001</v>
      </c>
      <c r="AF44" s="47">
        <v>79809.033051999999</v>
      </c>
      <c r="AG44" s="47"/>
      <c r="AH44" s="47">
        <v>4368220.2103000004</v>
      </c>
      <c r="AI44" s="47">
        <v>1773721.8111070001</v>
      </c>
      <c r="AJ44" s="47">
        <v>1255674.549407</v>
      </c>
      <c r="AK44" s="47">
        <v>608213.33717700012</v>
      </c>
      <c r="AL44" s="47">
        <v>453019.27799699997</v>
      </c>
      <c r="AM44" s="47">
        <v>231869.86259700003</v>
      </c>
      <c r="AN44" s="47">
        <v>88194.482027000005</v>
      </c>
      <c r="AO44" s="47"/>
      <c r="AP44" s="47"/>
      <c r="AQ44" s="47"/>
      <c r="AR44" s="47"/>
      <c r="AS44" s="47"/>
      <c r="AT44" s="47"/>
      <c r="AU44" s="47"/>
      <c r="AV44" s="47"/>
      <c r="AW44" s="47"/>
      <c r="AX44" s="47">
        <v>4416029.1796000004</v>
      </c>
      <c r="AY44" s="47">
        <v>1807540.5504190002</v>
      </c>
      <c r="AZ44" s="47">
        <v>1285312.454079</v>
      </c>
      <c r="BA44" s="47">
        <v>628089.98427899997</v>
      </c>
      <c r="BB44" s="47">
        <v>468896.02340900002</v>
      </c>
      <c r="BC44" s="47">
        <v>240742.09411900002</v>
      </c>
      <c r="BD44" s="47">
        <v>91303.088319000002</v>
      </c>
      <c r="BE44" s="47"/>
      <c r="BF44" s="44">
        <v>4436251.8344999999</v>
      </c>
      <c r="BG44" s="44">
        <v>1789183.6429959999</v>
      </c>
      <c r="BH44" s="44">
        <v>1271630.2505359999</v>
      </c>
      <c r="BI44" s="44">
        <v>622140.59936600004</v>
      </c>
      <c r="BJ44" s="44">
        <v>465663.99056599999</v>
      </c>
      <c r="BK44" s="44">
        <v>240006.04679599998</v>
      </c>
      <c r="BL44" s="44">
        <v>91335.030446000004</v>
      </c>
      <c r="BN44" s="44">
        <v>4436251.8344999999</v>
      </c>
      <c r="BO44" s="44">
        <v>1646690.2635089997</v>
      </c>
      <c r="BP44" s="44">
        <v>1168822.228989</v>
      </c>
      <c r="BQ44" s="44">
        <v>567579.81471900002</v>
      </c>
      <c r="BR44" s="44">
        <v>427420.72461899999</v>
      </c>
      <c r="BS44" s="44">
        <v>224933.17791900001</v>
      </c>
      <c r="BT44" s="44">
        <v>87087.531789000001</v>
      </c>
      <c r="BU44" s="44"/>
      <c r="BV44" s="47">
        <v>4458493.8315000003</v>
      </c>
      <c r="BW44" s="47">
        <v>1666960.9037000001</v>
      </c>
      <c r="BX44" s="47">
        <v>1187926.12225</v>
      </c>
      <c r="BY44" s="47">
        <v>583565.25359000009</v>
      </c>
      <c r="BZ44" s="47">
        <v>441538.81656999997</v>
      </c>
      <c r="CA44" s="47">
        <v>234537.25945000001</v>
      </c>
      <c r="CB44" s="47">
        <v>92568.740940000003</v>
      </c>
      <c r="CC44" s="44"/>
      <c r="CD44" s="47">
        <v>4709549.8315000003</v>
      </c>
      <c r="CE44" s="47">
        <v>1798539.3621399999</v>
      </c>
      <c r="CF44" s="47">
        <v>1291172.8986899999</v>
      </c>
      <c r="CG44" s="47">
        <v>644164.33426000003</v>
      </c>
      <c r="CH44" s="47">
        <v>490747.33175000001</v>
      </c>
      <c r="CI44" s="47">
        <v>264091.21969</v>
      </c>
      <c r="CJ44" s="47">
        <v>106345.32313</v>
      </c>
      <c r="CL44" s="47">
        <v>4920935.8315000003</v>
      </c>
      <c r="CM44" s="47">
        <v>1895052.1361399998</v>
      </c>
      <c r="CN44" s="47">
        <v>1362628.3353899999</v>
      </c>
      <c r="CO44" s="47">
        <v>681494.24962000002</v>
      </c>
      <c r="CP44" s="47">
        <v>519358.08322999999</v>
      </c>
      <c r="CQ44" s="47">
        <v>280927.73080999998</v>
      </c>
      <c r="CR44" s="47">
        <v>113954.68746</v>
      </c>
      <c r="CS44" s="47"/>
      <c r="CT44" s="47">
        <v>5025642.8315000003</v>
      </c>
      <c r="CU44" s="47">
        <v>1948742.2236700002</v>
      </c>
      <c r="CV44" s="47">
        <v>1404290.9450000001</v>
      </c>
      <c r="CW44" s="47">
        <v>705208.74504000007</v>
      </c>
      <c r="CX44" s="47">
        <v>538404.78878000006</v>
      </c>
      <c r="CY44" s="47">
        <v>292308.63387000002</v>
      </c>
      <c r="CZ44" s="47">
        <v>119124.67143</v>
      </c>
      <c r="DA44" s="47"/>
      <c r="DB44" s="47">
        <v>5025642.8305000002</v>
      </c>
      <c r="DC44" s="47">
        <v>1957514.0998200001</v>
      </c>
      <c r="DD44" s="47">
        <v>1412055.8381099999</v>
      </c>
      <c r="DE44" s="47">
        <v>710457.83855999995</v>
      </c>
      <c r="DF44" s="47">
        <v>542532.91865999997</v>
      </c>
      <c r="DG44" s="47">
        <v>295019.40964999999</v>
      </c>
      <c r="DH44" s="47">
        <v>120434.09434</v>
      </c>
      <c r="DI44" s="47"/>
      <c r="DJ44" s="47">
        <v>5423914.1464999998</v>
      </c>
      <c r="DK44" s="47">
        <v>2069257.7885199999</v>
      </c>
      <c r="DL44" s="47">
        <v>1493916.6048499998</v>
      </c>
      <c r="DM44" s="47">
        <v>746722.14170000004</v>
      </c>
      <c r="DN44" s="47">
        <v>567456.07577</v>
      </c>
      <c r="DO44" s="47">
        <v>304995.68943000003</v>
      </c>
      <c r="DP44" s="47">
        <v>123984.95088</v>
      </c>
      <c r="DQ44" s="47"/>
      <c r="DR44" s="47">
        <v>5614271.1459476324</v>
      </c>
      <c r="DS44" s="47">
        <v>2134560.0803027917</v>
      </c>
      <c r="DT44" s="47">
        <v>1535893.4523463442</v>
      </c>
      <c r="DU44" s="47">
        <v>761172.93048098567</v>
      </c>
      <c r="DV44" s="47">
        <v>577361.55340699025</v>
      </c>
      <c r="DW44" s="47">
        <v>308694.28551511891</v>
      </c>
      <c r="DX44" s="47">
        <v>124800.61898999767</v>
      </c>
      <c r="DY44" s="297"/>
      <c r="DZ44" s="47">
        <v>5889076.1464046352</v>
      </c>
      <c r="EA44" s="47">
        <v>2195409.1135509959</v>
      </c>
      <c r="EB44" s="47">
        <v>1567977.3243049379</v>
      </c>
      <c r="EC44" s="47">
        <v>769260.32287015778</v>
      </c>
      <c r="ED44" s="47">
        <v>582121.68639524491</v>
      </c>
      <c r="EE44" s="47">
        <v>310453.82697219844</v>
      </c>
      <c r="EF44" s="47">
        <v>125200.33436685723</v>
      </c>
      <c r="EG44" s="541"/>
      <c r="EH44" s="47">
        <v>6199982.1464046445</v>
      </c>
      <c r="EI44" s="47">
        <v>2263563.7539388435</v>
      </c>
      <c r="EJ44" s="47">
        <v>1601660.7103469204</v>
      </c>
      <c r="EK44" s="47">
        <v>774581.21002783591</v>
      </c>
      <c r="EL44" s="47">
        <v>585161.12748529471</v>
      </c>
      <c r="EM44" s="47">
        <v>310831.61974547768</v>
      </c>
      <c r="EN44" s="47">
        <v>125275.27688739273</v>
      </c>
      <c r="EO44" s="47"/>
      <c r="EP44" s="47">
        <v>6439897.8994000005</v>
      </c>
      <c r="EQ44" s="47">
        <v>2352201.9484600001</v>
      </c>
      <c r="ER44" s="47">
        <v>1657900.66628</v>
      </c>
      <c r="ES44" s="47">
        <v>793287.8743400001</v>
      </c>
      <c r="ET44" s="47">
        <v>597236.67527000001</v>
      </c>
      <c r="EU44" s="47">
        <v>315780.14643000002</v>
      </c>
      <c r="EV44" s="47">
        <v>126677.55657</v>
      </c>
      <c r="EW44" s="47"/>
      <c r="EX44" s="47">
        <v>6899394.8994000005</v>
      </c>
      <c r="EY44" s="47">
        <v>2477519.6098100003</v>
      </c>
      <c r="EZ44" s="47">
        <v>1737027.61228</v>
      </c>
      <c r="FA44" s="47">
        <v>823168.09763000009</v>
      </c>
      <c r="FB44" s="47">
        <v>617910.20122000005</v>
      </c>
      <c r="FC44" s="47">
        <v>325759.62595999998</v>
      </c>
      <c r="FD44" s="47">
        <v>130544.43336</v>
      </c>
      <c r="FE44" s="47"/>
      <c r="FF44" s="47">
        <v>7249486.8991</v>
      </c>
      <c r="FG44" s="47">
        <v>2506127.4637500001</v>
      </c>
      <c r="FH44" s="47">
        <v>1753657.3463900001</v>
      </c>
      <c r="FI44" s="47">
        <v>827419.52285999991</v>
      </c>
      <c r="FJ44" s="47">
        <v>620224.1050199999</v>
      </c>
      <c r="FK44" s="47">
        <v>326342.70309999998</v>
      </c>
      <c r="FL44" s="47">
        <v>130585.91310999999</v>
      </c>
      <c r="FN44" s="47">
        <v>7271760.8992999997</v>
      </c>
      <c r="FO44" s="47">
        <v>2507611.5979499999</v>
      </c>
      <c r="FP44" s="47">
        <v>1754593.9496099998</v>
      </c>
      <c r="FQ44" s="47">
        <v>827440.81125000003</v>
      </c>
      <c r="FR44" s="47">
        <v>620233.34687999997</v>
      </c>
      <c r="FS44" s="47">
        <v>326343.81323999999</v>
      </c>
      <c r="FT44" s="47">
        <v>130586.00971</v>
      </c>
      <c r="FV44" s="44">
        <v>7379669.8992999997</v>
      </c>
      <c r="FW44" s="44">
        <v>2509753.0979499999</v>
      </c>
      <c r="FX44" s="44">
        <v>1755664.69961</v>
      </c>
      <c r="FY44" s="44">
        <v>827654.96125000005</v>
      </c>
      <c r="FZ44" s="44">
        <v>620340.42188000004</v>
      </c>
      <c r="GA44" s="44">
        <v>326365.22823999997</v>
      </c>
      <c r="GB44" s="44">
        <v>130588.15121</v>
      </c>
      <c r="GC44" s="44"/>
      <c r="GE44" s="47">
        <v>7555774.8992999997</v>
      </c>
      <c r="GF44" s="47">
        <v>2519753.0671600001</v>
      </c>
      <c r="GG44" s="47">
        <v>1759093.9264499999</v>
      </c>
      <c r="GH44" s="47">
        <v>828281.91464999993</v>
      </c>
      <c r="GI44" s="47">
        <v>620491.13419999997</v>
      </c>
      <c r="GJ44" s="47">
        <v>326386.62904000003</v>
      </c>
      <c r="GK44" s="47">
        <v>130591.15719</v>
      </c>
      <c r="GM44" s="47">
        <v>7786956.8992999997</v>
      </c>
      <c r="GN44" s="47">
        <v>2519753.0671600001</v>
      </c>
      <c r="GO44" s="47">
        <v>1759093.9264499999</v>
      </c>
      <c r="GP44" s="47">
        <v>828281.91464999993</v>
      </c>
      <c r="GQ44" s="47">
        <v>620491.13419999997</v>
      </c>
      <c r="GR44" s="47">
        <v>326386.62904000003</v>
      </c>
      <c r="GS44" s="47">
        <v>130591.15719</v>
      </c>
      <c r="GT44" s="187"/>
      <c r="GU44" s="480">
        <v>7093812.9071000004</v>
      </c>
      <c r="GV44" s="481">
        <v>2099232.6480439999</v>
      </c>
      <c r="GW44" s="481">
        <v>1421976.884974</v>
      </c>
      <c r="GX44" s="481">
        <v>625634.62287399988</v>
      </c>
      <c r="GY44" s="481">
        <v>455278.930054</v>
      </c>
      <c r="GZ44" s="481">
        <v>231545.021194</v>
      </c>
      <c r="HA44" s="481">
        <v>91444.783154000004</v>
      </c>
      <c r="HB44" s="256"/>
      <c r="HC44" s="480">
        <v>6941486.9068</v>
      </c>
      <c r="HD44" s="481">
        <v>2021472.1476050001</v>
      </c>
      <c r="HE44" s="481">
        <v>1362309.7298250003</v>
      </c>
      <c r="HF44" s="481">
        <v>591965.41812499997</v>
      </c>
      <c r="HG44" s="481">
        <v>428785.53746499994</v>
      </c>
      <c r="HH44" s="481">
        <v>216615.23024499998</v>
      </c>
      <c r="HI44" s="481">
        <v>85384.953445000006</v>
      </c>
      <c r="HJ44" s="481"/>
      <c r="HK44" s="480">
        <v>6730100.9068</v>
      </c>
      <c r="HL44" s="481">
        <v>1931875.3365099998</v>
      </c>
      <c r="HM44" s="481">
        <v>1296474.4394799999</v>
      </c>
      <c r="HN44" s="481">
        <v>558678.78353000002</v>
      </c>
      <c r="HO44" s="481">
        <v>403320.29443000001</v>
      </c>
      <c r="HP44" s="481">
        <v>201845.29428999999</v>
      </c>
      <c r="HQ44" s="481">
        <v>78759.995039999994</v>
      </c>
      <c r="HR44" s="256"/>
      <c r="HS44" s="480">
        <v>6517748.9071000004</v>
      </c>
      <c r="HT44" s="481">
        <v>1844616.1813660001</v>
      </c>
      <c r="HU44" s="481">
        <v>1234996.3448360001</v>
      </c>
      <c r="HV44" s="481">
        <v>529633.04432599992</v>
      </c>
      <c r="HW44" s="481">
        <v>380997.09391599998</v>
      </c>
      <c r="HX44" s="481">
        <v>189878.044566</v>
      </c>
      <c r="HY44" s="481">
        <v>73876.709705999994</v>
      </c>
      <c r="HZ44" s="47"/>
      <c r="IA44" s="480">
        <v>5981411.9072000002</v>
      </c>
      <c r="IB44" s="481">
        <v>1716022.7048469998</v>
      </c>
      <c r="IC44" s="481">
        <v>1164039.7954969998</v>
      </c>
      <c r="ID44" s="481">
        <v>510532.36821699998</v>
      </c>
      <c r="IE44" s="481">
        <v>369811.11508700001</v>
      </c>
      <c r="IF44" s="481">
        <v>186043.308857</v>
      </c>
      <c r="IG44" s="481">
        <v>72897.777046999996</v>
      </c>
      <c r="IH44" s="47"/>
      <c r="II44" s="480">
        <v>5678307.9072000002</v>
      </c>
      <c r="IJ44" s="480">
        <v>1631794.8266089996</v>
      </c>
      <c r="IK44" s="480">
        <v>1111173.6008189998</v>
      </c>
      <c r="IL44" s="480">
        <v>491094.79230899992</v>
      </c>
      <c r="IM44" s="480">
        <v>355927.73000900005</v>
      </c>
      <c r="IN44" s="480">
        <v>179279.318749</v>
      </c>
      <c r="IO44" s="480">
        <v>70256.246809000004</v>
      </c>
      <c r="IP44" s="757"/>
      <c r="IQ44" s="757">
        <v>5788193.9992000004</v>
      </c>
      <c r="IR44" s="757">
        <v>1677629.3082369999</v>
      </c>
      <c r="IS44" s="757">
        <v>1145019.055497</v>
      </c>
      <c r="IT44" s="757">
        <v>508956.63794700004</v>
      </c>
      <c r="IU44" s="757">
        <v>369550.79437700001</v>
      </c>
      <c r="IV44" s="757">
        <v>186914.510297</v>
      </c>
      <c r="IW44" s="757">
        <v>73342.866477000003</v>
      </c>
      <c r="IX44" s="757"/>
      <c r="IY44" s="757">
        <v>6899393.9992000004</v>
      </c>
      <c r="IZ44" s="757">
        <v>1879867.8655020003</v>
      </c>
      <c r="JA44" s="757">
        <v>1273226.6597920002</v>
      </c>
      <c r="JB44" s="757">
        <v>559562.86909199995</v>
      </c>
      <c r="JC44" s="757">
        <v>404948.92431199999</v>
      </c>
      <c r="JD44" s="757">
        <v>203848.46735200001</v>
      </c>
      <c r="JE44" s="757">
        <v>79809.033051999999</v>
      </c>
      <c r="JF44" s="256"/>
      <c r="JG44" s="47">
        <v>670033.99219999998</v>
      </c>
      <c r="JH44" s="47">
        <v>409298.946</v>
      </c>
      <c r="JI44" s="47">
        <v>331618.49089999998</v>
      </c>
      <c r="JJ44" s="47">
        <v>204602.2966</v>
      </c>
      <c r="JK44" s="47">
        <v>165233.1501</v>
      </c>
      <c r="JL44" s="47">
        <v>97238.324710000001</v>
      </c>
      <c r="JM44" s="47">
        <v>40568.197820000001</v>
      </c>
      <c r="JN44" s="1034"/>
      <c r="JO44" s="47">
        <v>152326.00030000001</v>
      </c>
      <c r="JP44" s="47">
        <v>81636.944329999998</v>
      </c>
      <c r="JQ44" s="47">
        <v>64327.54825</v>
      </c>
      <c r="JR44" s="47">
        <v>36734.493640000001</v>
      </c>
      <c r="JS44" s="47">
        <v>28976.873380000001</v>
      </c>
      <c r="JT44" s="47">
        <v>16709.064719999998</v>
      </c>
      <c r="JU44" s="47">
        <v>6932.8793770000002</v>
      </c>
      <c r="JV44" s="77"/>
      <c r="JW44" s="47">
        <v>211386</v>
      </c>
      <c r="JX44" s="47">
        <v>94998.411609999996</v>
      </c>
      <c r="JY44" s="47">
        <v>70224.615659999996</v>
      </c>
      <c r="JZ44" s="47">
        <v>35062.011189999997</v>
      </c>
      <c r="KA44" s="47">
        <v>27712.284589999999</v>
      </c>
      <c r="KB44" s="47">
        <v>16583.177319999999</v>
      </c>
      <c r="KC44" s="47">
        <v>7587.0617830000001</v>
      </c>
      <c r="KD44" s="77"/>
      <c r="KE44" s="47">
        <v>212351.99969999999</v>
      </c>
      <c r="KF44" s="47">
        <v>91470.420570000002</v>
      </c>
      <c r="KG44" s="47">
        <v>65586.850099999996</v>
      </c>
      <c r="KH44" s="47">
        <v>31350.810959999999</v>
      </c>
      <c r="KI44" s="47">
        <v>23928.648720000001</v>
      </c>
      <c r="KJ44" s="47">
        <v>13171.41051</v>
      </c>
      <c r="KK44" s="47">
        <v>5509.6692890000004</v>
      </c>
      <c r="KL44" s="77"/>
      <c r="KM44" s="47">
        <v>536336.99990000005</v>
      </c>
      <c r="KN44" s="47">
        <v>126418.29519999999</v>
      </c>
      <c r="KO44" s="47">
        <v>71086.746459999995</v>
      </c>
      <c r="KP44" s="47">
        <v>19118.524140000001</v>
      </c>
      <c r="KQ44" s="47">
        <v>11448.14788</v>
      </c>
      <c r="KR44" s="47">
        <v>3960.3850040000002</v>
      </c>
      <c r="KS44" s="47">
        <v>1045.910179</v>
      </c>
      <c r="KT44" s="77"/>
      <c r="KU44" s="47">
        <v>385817</v>
      </c>
      <c r="KV44" s="47">
        <v>105285.02710000001</v>
      </c>
      <c r="KW44" s="47">
        <v>64948.686849999998</v>
      </c>
      <c r="KX44" s="47">
        <v>24078.522730000001</v>
      </c>
      <c r="KY44" s="47">
        <v>16908.695759999999</v>
      </c>
      <c r="KZ44" s="47">
        <v>8408.280616</v>
      </c>
      <c r="LA44" s="47">
        <v>3225.5180810000002</v>
      </c>
      <c r="LB44" s="77"/>
      <c r="LC44" s="1034">
        <v>498176.42930000002</v>
      </c>
      <c r="LD44" s="1034">
        <v>36388.481319999999</v>
      </c>
      <c r="LE44" s="1034">
        <v>17868.281999999999</v>
      </c>
      <c r="LF44" s="1034">
        <v>4062.4496469999999</v>
      </c>
      <c r="LG44" s="1034">
        <v>2151.8232130000001</v>
      </c>
      <c r="LH44" s="1034">
        <v>460.35549639999999</v>
      </c>
      <c r="LI44" s="1034">
        <v>51.093342669999998</v>
      </c>
      <c r="LJ44" s="77"/>
      <c r="LK44" s="1034">
        <v>23110</v>
      </c>
      <c r="LL44" s="1034">
        <v>15007.458383100002</v>
      </c>
      <c r="LM44" s="1034">
        <v>12567.211947600001</v>
      </c>
      <c r="LN44" s="1034">
        <v>7340.7973422000005</v>
      </c>
      <c r="LO44" s="1034">
        <v>5597.3936955000008</v>
      </c>
      <c r="LP44" s="1034">
        <v>3037.7029706000003</v>
      </c>
      <c r="LQ44" s="1034">
        <v>1318.4514753000001</v>
      </c>
    </row>
    <row r="45" spans="1:329" s="43" customFormat="1" ht="9.75" customHeight="1" x14ac:dyDescent="0.2">
      <c r="A45" s="48">
        <v>1997</v>
      </c>
      <c r="B45" s="47">
        <v>4630702.1841429537</v>
      </c>
      <c r="C45" s="47">
        <v>1936309.2545092581</v>
      </c>
      <c r="D45" s="47">
        <v>1386352.3396995985</v>
      </c>
      <c r="E45" s="47">
        <v>687742.26774118154</v>
      </c>
      <c r="F45" s="47">
        <v>518342.65067300096</v>
      </c>
      <c r="G45" s="47">
        <v>271511.02679479052</v>
      </c>
      <c r="H45" s="47">
        <v>103960.13901728009</v>
      </c>
      <c r="I45" s="47"/>
      <c r="J45" s="47">
        <v>7380370.9369000001</v>
      </c>
      <c r="K45" s="47">
        <v>2690506.0687099998</v>
      </c>
      <c r="L45" s="47">
        <v>1902893.1697899997</v>
      </c>
      <c r="M45" s="47">
        <v>921830.07778999989</v>
      </c>
      <c r="N45" s="47">
        <v>698151.72061999992</v>
      </c>
      <c r="O45" s="47">
        <v>375790.24854</v>
      </c>
      <c r="P45" s="47">
        <v>150452.28469</v>
      </c>
      <c r="Q45" s="47"/>
      <c r="R45" s="47">
        <v>8296499.9369000001</v>
      </c>
      <c r="S45" s="47">
        <v>2735912.9222899997</v>
      </c>
      <c r="T45" s="47">
        <v>1925635.88803</v>
      </c>
      <c r="U45" s="47">
        <v>927451.34127999994</v>
      </c>
      <c r="V45" s="47">
        <v>700904.17802999995</v>
      </c>
      <c r="W45" s="47">
        <v>376284.81942000001</v>
      </c>
      <c r="X45" s="47">
        <v>150531.40403000001</v>
      </c>
      <c r="Y45" s="47"/>
      <c r="Z45" s="47">
        <v>7380370.0009000003</v>
      </c>
      <c r="AA45" s="47">
        <v>2053110.1274999999</v>
      </c>
      <c r="AB45" s="47">
        <v>1401528.5449799998</v>
      </c>
      <c r="AC45" s="47">
        <v>631055.48638999998</v>
      </c>
      <c r="AD45" s="47">
        <v>464628.44881999999</v>
      </c>
      <c r="AE45" s="47">
        <v>238962.35683</v>
      </c>
      <c r="AF45" s="47">
        <v>94076.346290000001</v>
      </c>
      <c r="AG45" s="47"/>
      <c r="AH45" s="47">
        <v>4694564.0982999997</v>
      </c>
      <c r="AI45" s="47">
        <v>1931262.3739900002</v>
      </c>
      <c r="AJ45" s="47">
        <v>1380270.18034</v>
      </c>
      <c r="AK45" s="47">
        <v>683416.39523000002</v>
      </c>
      <c r="AL45" s="47">
        <v>515093.98883000005</v>
      </c>
      <c r="AM45" s="47">
        <v>269898.95396000001</v>
      </c>
      <c r="AN45" s="47">
        <v>103465.35988</v>
      </c>
      <c r="AO45" s="47"/>
      <c r="AP45" s="47"/>
      <c r="AQ45" s="47"/>
      <c r="AR45" s="47"/>
      <c r="AS45" s="47"/>
      <c r="AT45" s="47"/>
      <c r="AU45" s="47"/>
      <c r="AV45" s="47"/>
      <c r="AW45" s="47"/>
      <c r="AX45" s="47">
        <v>4743083.4430999998</v>
      </c>
      <c r="AY45" s="47">
        <v>1965420.3561800001</v>
      </c>
      <c r="AZ45" s="47">
        <v>1410002.4537899999</v>
      </c>
      <c r="BA45" s="47">
        <v>703447.07260000007</v>
      </c>
      <c r="BB45" s="47">
        <v>531314.80825999996</v>
      </c>
      <c r="BC45" s="47">
        <v>279035.93352000002</v>
      </c>
      <c r="BD45" s="47">
        <v>106779.73453</v>
      </c>
      <c r="BE45" s="47"/>
      <c r="BF45" s="44">
        <v>4765488.4025999997</v>
      </c>
      <c r="BG45" s="44">
        <v>1945476.3455499997</v>
      </c>
      <c r="BH45" s="44">
        <v>1394258.2218899999</v>
      </c>
      <c r="BI45" s="44">
        <v>696575.35669000004</v>
      </c>
      <c r="BJ45" s="44">
        <v>527006.21281000006</v>
      </c>
      <c r="BK45" s="44">
        <v>277739.01066999999</v>
      </c>
      <c r="BL45" s="44">
        <v>106380.3462</v>
      </c>
      <c r="BN45" s="44">
        <v>4765488.4025999997</v>
      </c>
      <c r="BO45" s="44">
        <v>1797319.5694400002</v>
      </c>
      <c r="BP45" s="44">
        <v>1283678.6431400001</v>
      </c>
      <c r="BQ45" s="44">
        <v>637676.39094999991</v>
      </c>
      <c r="BR45" s="44">
        <v>486221.69159</v>
      </c>
      <c r="BS45" s="44">
        <v>260040.81581</v>
      </c>
      <c r="BT45" s="44">
        <v>100803.9397</v>
      </c>
      <c r="BU45" s="44"/>
      <c r="BV45" s="47">
        <v>4788638.7085999995</v>
      </c>
      <c r="BW45" s="47">
        <v>1818828.9752500001</v>
      </c>
      <c r="BX45" s="47">
        <v>1304631.03049</v>
      </c>
      <c r="BY45" s="47">
        <v>655523.58458999998</v>
      </c>
      <c r="BZ45" s="47">
        <v>501141.99553999997</v>
      </c>
      <c r="CA45" s="47">
        <v>271232.55475000001</v>
      </c>
      <c r="CB45" s="47">
        <v>107387.89167</v>
      </c>
      <c r="CC45" s="44"/>
      <c r="CD45" s="47">
        <v>5069534.7085999995</v>
      </c>
      <c r="CE45" s="47">
        <v>1966845.6744400002</v>
      </c>
      <c r="CF45" s="47">
        <v>1423931.1248399999</v>
      </c>
      <c r="CG45" s="47">
        <v>725198.40333</v>
      </c>
      <c r="CH45" s="47">
        <v>557886.83828999999</v>
      </c>
      <c r="CI45" s="47">
        <v>305329.08108999999</v>
      </c>
      <c r="CJ45" s="47">
        <v>123129.21144</v>
      </c>
      <c r="CL45" s="47">
        <v>5294296.7085999995</v>
      </c>
      <c r="CM45" s="47">
        <v>2071635.3217200001</v>
      </c>
      <c r="CN45" s="47">
        <v>1502927.4932200001</v>
      </c>
      <c r="CO45" s="47">
        <v>765696.60131000006</v>
      </c>
      <c r="CP45" s="47">
        <v>589955.99500999996</v>
      </c>
      <c r="CQ45" s="47">
        <v>324210.43174999999</v>
      </c>
      <c r="CR45" s="47">
        <v>131636.62044999999</v>
      </c>
      <c r="CS45" s="47"/>
      <c r="CT45" s="47">
        <v>5406169.7085999995</v>
      </c>
      <c r="CU45" s="47">
        <v>2129521.7185499999</v>
      </c>
      <c r="CV45" s="47">
        <v>1548730.23921</v>
      </c>
      <c r="CW45" s="47">
        <v>792126.00066000002</v>
      </c>
      <c r="CX45" s="47">
        <v>610741.94760000007</v>
      </c>
      <c r="CY45" s="47">
        <v>336882.11072</v>
      </c>
      <c r="CZ45" s="47">
        <v>137461.62961999999</v>
      </c>
      <c r="DA45" s="47"/>
      <c r="DB45" s="47">
        <v>5406169.7085999995</v>
      </c>
      <c r="DC45" s="47">
        <v>2139340.1113900002</v>
      </c>
      <c r="DD45" s="47">
        <v>1556041.60011</v>
      </c>
      <c r="DE45" s="47">
        <v>797908.59034</v>
      </c>
      <c r="DF45" s="47">
        <v>615519.08412000001</v>
      </c>
      <c r="DG45" s="47">
        <v>339873.55325</v>
      </c>
      <c r="DH45" s="47">
        <v>138665.26902000001</v>
      </c>
      <c r="DI45" s="47"/>
      <c r="DJ45" s="47">
        <v>5836336.9245999996</v>
      </c>
      <c r="DK45" s="47">
        <v>2256669.2116299998</v>
      </c>
      <c r="DL45" s="47">
        <v>1641531.3050800003</v>
      </c>
      <c r="DM45" s="47">
        <v>838265.87087999994</v>
      </c>
      <c r="DN45" s="47">
        <v>642885.60227999999</v>
      </c>
      <c r="DO45" s="47">
        <v>351592.56429000001</v>
      </c>
      <c r="DP45" s="47">
        <v>142703.49948999999</v>
      </c>
      <c r="DQ45" s="47"/>
      <c r="DR45" s="47">
        <v>6032946.9239961738</v>
      </c>
      <c r="DS45" s="47">
        <v>2326249.3115280578</v>
      </c>
      <c r="DT45" s="47">
        <v>1686090.0038936874</v>
      </c>
      <c r="DU45" s="47">
        <v>854111.85022206372</v>
      </c>
      <c r="DV45" s="47">
        <v>653204.8656976372</v>
      </c>
      <c r="DW45" s="47">
        <v>355166.91199689033</v>
      </c>
      <c r="DX45" s="47">
        <v>143537.48459771258</v>
      </c>
      <c r="DY45" s="297"/>
      <c r="DZ45" s="47">
        <v>6322539.9239360327</v>
      </c>
      <c r="EA45" s="47">
        <v>2390080.695834219</v>
      </c>
      <c r="EB45" s="47">
        <v>1719566.2115163244</v>
      </c>
      <c r="EC45" s="47">
        <v>862383.81364757987</v>
      </c>
      <c r="ED45" s="47">
        <v>658534.75478526368</v>
      </c>
      <c r="EE45" s="47">
        <v>357183.99913795851</v>
      </c>
      <c r="EF45" s="47">
        <v>144097.11112559692</v>
      </c>
      <c r="EG45" s="541"/>
      <c r="EH45" s="47">
        <v>6635467.9239359861</v>
      </c>
      <c r="EI45" s="47">
        <v>2459986.9152904996</v>
      </c>
      <c r="EJ45" s="47">
        <v>1753991.2398381103</v>
      </c>
      <c r="EK45" s="47">
        <v>867782.68628483836</v>
      </c>
      <c r="EL45" s="47">
        <v>661221.29034831026</v>
      </c>
      <c r="EM45" s="47">
        <v>357883.30864822434</v>
      </c>
      <c r="EN45" s="47">
        <v>144187.57519816014</v>
      </c>
      <c r="EO45" s="47"/>
      <c r="EP45" s="47">
        <v>6897398.9369000001</v>
      </c>
      <c r="EQ45" s="47">
        <v>2557712.1755500003</v>
      </c>
      <c r="ER45" s="47">
        <v>1817511.56492</v>
      </c>
      <c r="ES45" s="47">
        <v>889598.47581999993</v>
      </c>
      <c r="ET45" s="47">
        <v>675308.69646000001</v>
      </c>
      <c r="EU45" s="47">
        <v>364157.3518</v>
      </c>
      <c r="EV45" s="47">
        <v>146064.62648000001</v>
      </c>
      <c r="EW45" s="47"/>
      <c r="EX45" s="47">
        <v>7380370.9369000001</v>
      </c>
      <c r="EY45" s="47">
        <v>2690506.0687099998</v>
      </c>
      <c r="EZ45" s="47">
        <v>1902893.1697899997</v>
      </c>
      <c r="FA45" s="47">
        <v>921830.07778999989</v>
      </c>
      <c r="FB45" s="47">
        <v>698151.72061999992</v>
      </c>
      <c r="FC45" s="47">
        <v>375790.24854</v>
      </c>
      <c r="FD45" s="47">
        <v>150452.28469</v>
      </c>
      <c r="FE45" s="47"/>
      <c r="FF45" s="47">
        <v>7745160.9364999998</v>
      </c>
      <c r="FG45" s="47">
        <v>2720598.8819400002</v>
      </c>
      <c r="FH45" s="47">
        <v>1920008.4417900001</v>
      </c>
      <c r="FI45" s="47">
        <v>926692.42350999988</v>
      </c>
      <c r="FJ45" s="47">
        <v>700571.93975999998</v>
      </c>
      <c r="FK45" s="47">
        <v>376213.65184000001</v>
      </c>
      <c r="FL45" s="47">
        <v>150526.31679000001</v>
      </c>
      <c r="FN45" s="47">
        <v>7765263.9369000001</v>
      </c>
      <c r="FO45" s="47">
        <v>2721523.8907399997</v>
      </c>
      <c r="FP45" s="47">
        <v>1920267.24428</v>
      </c>
      <c r="FQ45" s="47">
        <v>926714.40133999987</v>
      </c>
      <c r="FR45" s="47">
        <v>700578.86181999999</v>
      </c>
      <c r="FS45" s="47">
        <v>376215.24301999999</v>
      </c>
      <c r="FT45" s="47">
        <v>150526.35144999999</v>
      </c>
      <c r="FV45" s="44">
        <v>7874651.9369000001</v>
      </c>
      <c r="FW45" s="44">
        <v>2723753.5907400004</v>
      </c>
      <c r="FX45" s="44">
        <v>1921382.0942800001</v>
      </c>
      <c r="FY45" s="44">
        <v>926937.37133999995</v>
      </c>
      <c r="FZ45" s="44">
        <v>700690.34681999998</v>
      </c>
      <c r="GA45" s="44">
        <v>376237.54002000001</v>
      </c>
      <c r="GB45" s="44">
        <v>150528.58115000001</v>
      </c>
      <c r="GC45" s="44"/>
      <c r="GE45" s="47">
        <v>8062279.9369000001</v>
      </c>
      <c r="GF45" s="47">
        <v>2735912.9222899997</v>
      </c>
      <c r="GG45" s="47">
        <v>1925635.88803</v>
      </c>
      <c r="GH45" s="47">
        <v>927451.34127999994</v>
      </c>
      <c r="GI45" s="47">
        <v>700904.17802999995</v>
      </c>
      <c r="GJ45" s="47">
        <v>376284.81942000001</v>
      </c>
      <c r="GK45" s="47">
        <v>150531.40403000001</v>
      </c>
      <c r="GM45" s="47">
        <v>8296499.9369000001</v>
      </c>
      <c r="GN45" s="47">
        <v>2735912.9222899997</v>
      </c>
      <c r="GO45" s="47">
        <v>1925635.88803</v>
      </c>
      <c r="GP45" s="47">
        <v>927451.34127999994</v>
      </c>
      <c r="GQ45" s="47">
        <v>700904.17802999995</v>
      </c>
      <c r="GR45" s="47">
        <v>376284.81942000001</v>
      </c>
      <c r="GS45" s="47">
        <v>150531.40403000001</v>
      </c>
      <c r="GT45" s="187"/>
      <c r="GU45" s="480">
        <v>7517912.6323999995</v>
      </c>
      <c r="GV45" s="481">
        <v>2256187.47162</v>
      </c>
      <c r="GW45" s="481">
        <v>1538730.2402599999</v>
      </c>
      <c r="GX45" s="481">
        <v>691781.74363000004</v>
      </c>
      <c r="GY45" s="481">
        <v>509503.59628000006</v>
      </c>
      <c r="GZ45" s="481">
        <v>263683.94269</v>
      </c>
      <c r="HA45" s="481">
        <v>104553.61476</v>
      </c>
      <c r="HB45" s="256"/>
      <c r="HC45" s="480">
        <v>7353245.6326000001</v>
      </c>
      <c r="HD45" s="481">
        <v>2168751.1708769999</v>
      </c>
      <c r="HE45" s="481">
        <v>1470975.2094669999</v>
      </c>
      <c r="HF45" s="481">
        <v>652248.87044699991</v>
      </c>
      <c r="HG45" s="481">
        <v>478637.31093699997</v>
      </c>
      <c r="HH45" s="481">
        <v>246276.46709700002</v>
      </c>
      <c r="HI45" s="481">
        <v>97439.978027000005</v>
      </c>
      <c r="HJ45" s="481"/>
      <c r="HK45" s="480">
        <v>7128483.6326000001</v>
      </c>
      <c r="HL45" s="481">
        <v>2070355.6410490002</v>
      </c>
      <c r="HM45" s="481">
        <v>1398440.915359</v>
      </c>
      <c r="HN45" s="481">
        <v>615074.21991900005</v>
      </c>
      <c r="HO45" s="481">
        <v>449776.92052899994</v>
      </c>
      <c r="HP45" s="481">
        <v>229403.857709</v>
      </c>
      <c r="HQ45" s="481">
        <v>89960.796239000003</v>
      </c>
      <c r="HR45" s="256"/>
      <c r="HS45" s="480">
        <v>6904953.6328999996</v>
      </c>
      <c r="HT45" s="481">
        <v>1978327.7128860001</v>
      </c>
      <c r="HU45" s="481">
        <v>1331181.596046</v>
      </c>
      <c r="HV45" s="481">
        <v>582370.69556599995</v>
      </c>
      <c r="HW45" s="481">
        <v>425156.77035600005</v>
      </c>
      <c r="HX45" s="481">
        <v>216478.74094600001</v>
      </c>
      <c r="HY45" s="481">
        <v>84538.775506000005</v>
      </c>
      <c r="HZ45" s="47"/>
      <c r="IA45" s="480">
        <v>6337042.6328999996</v>
      </c>
      <c r="IB45" s="481">
        <v>1841691.4110989999</v>
      </c>
      <c r="IC45" s="481">
        <v>1255331.3684089999</v>
      </c>
      <c r="ID45" s="481">
        <v>561716.41002900002</v>
      </c>
      <c r="IE45" s="481">
        <v>413127.83562899998</v>
      </c>
      <c r="IF45" s="481">
        <v>211931.88000900001</v>
      </c>
      <c r="IG45" s="481">
        <v>83314.047508999996</v>
      </c>
      <c r="IH45" s="47"/>
      <c r="II45" s="480">
        <v>6015603.6328999996</v>
      </c>
      <c r="IJ45" s="480">
        <v>1750764.0941000001</v>
      </c>
      <c r="IK45" s="480">
        <v>1198960.5453000001</v>
      </c>
      <c r="IL45" s="480">
        <v>540446.79601000005</v>
      </c>
      <c r="IM45" s="480">
        <v>397875.96525999997</v>
      </c>
      <c r="IN45" s="480">
        <v>204425.18442999999</v>
      </c>
      <c r="IO45" s="480">
        <v>80330.276729999998</v>
      </c>
      <c r="IP45" s="757"/>
      <c r="IQ45" s="757">
        <v>6222389.0009000003</v>
      </c>
      <c r="IR45" s="757">
        <v>1839251.674011</v>
      </c>
      <c r="IS45" s="757">
        <v>1264942.4672409999</v>
      </c>
      <c r="IT45" s="757">
        <v>576176.21766099997</v>
      </c>
      <c r="IU45" s="757">
        <v>425500.24099099997</v>
      </c>
      <c r="IV45" s="757">
        <v>220040.775651</v>
      </c>
      <c r="IW45" s="757">
        <v>86631.911131000001</v>
      </c>
      <c r="IX45" s="757"/>
      <c r="IY45" s="757">
        <v>7380370.0009000003</v>
      </c>
      <c r="IZ45" s="757">
        <v>2053110.1274999999</v>
      </c>
      <c r="JA45" s="757">
        <v>1401528.5449799998</v>
      </c>
      <c r="JB45" s="757">
        <v>631055.48638999998</v>
      </c>
      <c r="JC45" s="757">
        <v>464628.44881999999</v>
      </c>
      <c r="JD45" s="757">
        <v>238962.35683</v>
      </c>
      <c r="JE45" s="757">
        <v>94076.346290000001</v>
      </c>
      <c r="JF45" s="256"/>
      <c r="JG45" s="47">
        <v>751613.30449999997</v>
      </c>
      <c r="JH45" s="47">
        <v>465720.26750000002</v>
      </c>
      <c r="JI45" s="47">
        <v>380309.69339999999</v>
      </c>
      <c r="JJ45" s="47">
        <v>237668.69579999999</v>
      </c>
      <c r="JK45" s="47">
        <v>192055.56299999999</v>
      </c>
      <c r="JL45" s="47">
        <v>114337.29240000001</v>
      </c>
      <c r="JM45" s="47">
        <v>47258.400450000001</v>
      </c>
      <c r="JN45" s="1034"/>
      <c r="JO45" s="47">
        <v>164666.99979999999</v>
      </c>
      <c r="JP45" s="47">
        <v>90768.433199999999</v>
      </c>
      <c r="JQ45" s="47">
        <v>71904.17916</v>
      </c>
      <c r="JR45" s="47">
        <v>41848.00995</v>
      </c>
      <c r="JS45" s="47">
        <v>33214.141589999999</v>
      </c>
      <c r="JT45" s="47">
        <v>19499.352910000001</v>
      </c>
      <c r="JU45" s="47">
        <v>8181.866497</v>
      </c>
      <c r="JV45" s="77"/>
      <c r="JW45" s="47">
        <v>224762</v>
      </c>
      <c r="JX45" s="47">
        <v>103905.95729999999</v>
      </c>
      <c r="JY45" s="47">
        <v>77030.342210000003</v>
      </c>
      <c r="JZ45" s="47">
        <v>39274.713689999997</v>
      </c>
      <c r="KA45" s="47">
        <v>30774.111379999998</v>
      </c>
      <c r="KB45" s="47">
        <v>18659.580099999999</v>
      </c>
      <c r="KC45" s="47">
        <v>8456.7974859999995</v>
      </c>
      <c r="KD45" s="77"/>
      <c r="KE45" s="47">
        <v>223529.99969999999</v>
      </c>
      <c r="KF45" s="47">
        <v>98069.583559999999</v>
      </c>
      <c r="KG45" s="47">
        <v>70846.581789999997</v>
      </c>
      <c r="KH45" s="47">
        <v>34741.659299999999</v>
      </c>
      <c r="KI45" s="47">
        <v>26465.15799</v>
      </c>
      <c r="KJ45" s="47">
        <v>14693.997869999999</v>
      </c>
      <c r="KK45" s="47">
        <v>6101.7117930000004</v>
      </c>
      <c r="KL45" s="77"/>
      <c r="KM45" s="47">
        <v>567911</v>
      </c>
      <c r="KN45" s="47">
        <v>134123.40669999999</v>
      </c>
      <c r="KO45" s="47">
        <v>75749.49755</v>
      </c>
      <c r="KP45" s="47">
        <v>20738.785100000001</v>
      </c>
      <c r="KQ45" s="47">
        <v>12622.151980000001</v>
      </c>
      <c r="KR45" s="47">
        <v>4610.9362179999998</v>
      </c>
      <c r="KS45" s="47">
        <v>1288.4481000000001</v>
      </c>
      <c r="KT45" s="77"/>
      <c r="KU45" s="47">
        <v>404336</v>
      </c>
      <c r="KV45" s="47">
        <v>111326.5045</v>
      </c>
      <c r="KW45" s="47">
        <v>69301.073919999995</v>
      </c>
      <c r="KX45" s="47">
        <v>26175.497859999999</v>
      </c>
      <c r="KY45" s="47">
        <v>18535.0762</v>
      </c>
      <c r="KZ45" s="47">
        <v>9456.6787970000005</v>
      </c>
      <c r="LA45" s="47">
        <v>3636.7989699999998</v>
      </c>
      <c r="LB45" s="77"/>
      <c r="LC45" s="1034">
        <v>519250.79070000001</v>
      </c>
      <c r="LD45" s="1034">
        <v>37969.792220000003</v>
      </c>
      <c r="LE45" s="1034">
        <v>18666.15281</v>
      </c>
      <c r="LF45" s="1034">
        <v>4242.6660300000003</v>
      </c>
      <c r="LG45" s="1034">
        <v>2237.3256620000002</v>
      </c>
      <c r="LH45" s="1034">
        <v>487.730771</v>
      </c>
      <c r="LI45" s="1034">
        <v>52.290457689999997</v>
      </c>
      <c r="LJ45" s="77"/>
      <c r="LK45" s="1034">
        <v>26974</v>
      </c>
      <c r="LL45" s="1034">
        <v>17470.929908800001</v>
      </c>
      <c r="LM45" s="1034">
        <v>14624.5026105</v>
      </c>
      <c r="LN45" s="1034">
        <v>8549.4134293999996</v>
      </c>
      <c r="LO45" s="1034">
        <v>6494.9552444000001</v>
      </c>
      <c r="LP45" s="1034">
        <v>3542.8904772000001</v>
      </c>
      <c r="LQ45" s="1034">
        <v>1508.3881375000001</v>
      </c>
    </row>
    <row r="46" spans="1:329" s="43" customFormat="1" ht="9.75" customHeight="1" x14ac:dyDescent="0.2">
      <c r="A46" s="48">
        <v>1998</v>
      </c>
      <c r="B46" s="47">
        <v>4982618.5603226759</v>
      </c>
      <c r="C46" s="47">
        <v>2101773.365401031</v>
      </c>
      <c r="D46" s="47">
        <v>1514078.6502794295</v>
      </c>
      <c r="E46" s="47">
        <v>762003.39369419927</v>
      </c>
      <c r="F46" s="47">
        <v>578218.07370737905</v>
      </c>
      <c r="G46" s="47">
        <v>308147.54884637857</v>
      </c>
      <c r="H46" s="47">
        <v>119405.94045322</v>
      </c>
      <c r="I46" s="47"/>
      <c r="J46" s="47">
        <v>7857277.2644999996</v>
      </c>
      <c r="K46" s="47">
        <v>2862182.9109699996</v>
      </c>
      <c r="L46" s="47">
        <v>2032760.1502100001</v>
      </c>
      <c r="M46" s="47">
        <v>992977.21530999988</v>
      </c>
      <c r="N46" s="47">
        <v>753576.54368000012</v>
      </c>
      <c r="O46" s="47">
        <v>409907.40046000003</v>
      </c>
      <c r="P46" s="47">
        <v>163397.2671</v>
      </c>
      <c r="Q46" s="47"/>
      <c r="R46" s="47">
        <v>8794259.2651000004</v>
      </c>
      <c r="S46" s="47">
        <v>2909380.9704900002</v>
      </c>
      <c r="T46" s="47">
        <v>2056613.8077299998</v>
      </c>
      <c r="U46" s="47">
        <v>998102.14062999992</v>
      </c>
      <c r="V46" s="47">
        <v>756723.16593999998</v>
      </c>
      <c r="W46" s="47">
        <v>409836.18622999999</v>
      </c>
      <c r="X46" s="47">
        <v>163477.95134999999</v>
      </c>
      <c r="Y46" s="47"/>
      <c r="Z46" s="47">
        <v>7857280.0003000004</v>
      </c>
      <c r="AA46" s="47">
        <v>2196777.1931599998</v>
      </c>
      <c r="AB46" s="47">
        <v>1504506.99055</v>
      </c>
      <c r="AC46" s="47">
        <v>682036.13089999999</v>
      </c>
      <c r="AD46" s="47">
        <v>502784.45129</v>
      </c>
      <c r="AE46" s="47">
        <v>262470.96828000003</v>
      </c>
      <c r="AF46" s="47">
        <v>103126.23976</v>
      </c>
      <c r="AG46" s="47"/>
      <c r="AH46" s="47">
        <v>5050532.8165999996</v>
      </c>
      <c r="AI46" s="47">
        <v>2094317.0868599999</v>
      </c>
      <c r="AJ46" s="47">
        <v>1505811.4807</v>
      </c>
      <c r="AK46" s="47">
        <v>756137.75194999995</v>
      </c>
      <c r="AL46" s="47">
        <v>573380.69944</v>
      </c>
      <c r="AM46" s="47">
        <v>305834.31497000001</v>
      </c>
      <c r="AN46" s="47">
        <v>118626.34702</v>
      </c>
      <c r="AO46" s="47"/>
      <c r="AP46" s="47"/>
      <c r="AQ46" s="47"/>
      <c r="AR46" s="47"/>
      <c r="AS46" s="47"/>
      <c r="AT46" s="47"/>
      <c r="AU46" s="47"/>
      <c r="AV46" s="47"/>
      <c r="AW46" s="47"/>
      <c r="AX46" s="47">
        <v>5100251.9499000004</v>
      </c>
      <c r="AY46" s="47">
        <v>2129906.7471799999</v>
      </c>
      <c r="AZ46" s="47">
        <v>1537373.66163</v>
      </c>
      <c r="BA46" s="47">
        <v>777772.54006999999</v>
      </c>
      <c r="BB46" s="47">
        <v>590859.66185999999</v>
      </c>
      <c r="BC46" s="47">
        <v>315581.51672999997</v>
      </c>
      <c r="BD46" s="47">
        <v>122092.89073</v>
      </c>
      <c r="BE46" s="47"/>
      <c r="BF46" s="44">
        <v>5117972.1292000003</v>
      </c>
      <c r="BG46" s="44">
        <v>2107887.77501</v>
      </c>
      <c r="BH46" s="44">
        <v>1520015.3960599999</v>
      </c>
      <c r="BI46" s="44">
        <v>770100.10432000004</v>
      </c>
      <c r="BJ46" s="44">
        <v>586114.71317999996</v>
      </c>
      <c r="BK46" s="44">
        <v>314133.50578000001</v>
      </c>
      <c r="BL46" s="44">
        <v>121938.37521</v>
      </c>
      <c r="BN46" s="44">
        <v>5117972.1292000003</v>
      </c>
      <c r="BO46" s="44">
        <v>1948954.0490900003</v>
      </c>
      <c r="BP46" s="44">
        <v>1402336.6483000002</v>
      </c>
      <c r="BQ46" s="44">
        <v>708883.74869000004</v>
      </c>
      <c r="BR46" s="44">
        <v>542492.43504999997</v>
      </c>
      <c r="BS46" s="44">
        <v>294114.19192000001</v>
      </c>
      <c r="BT46" s="44">
        <v>114988.43668</v>
      </c>
      <c r="BU46" s="44"/>
      <c r="BV46" s="47">
        <v>5142469.1332</v>
      </c>
      <c r="BW46" s="47">
        <v>1971783.7382799999</v>
      </c>
      <c r="BX46" s="47">
        <v>1423813.9258399999</v>
      </c>
      <c r="BY46" s="47">
        <v>727246.77509999997</v>
      </c>
      <c r="BZ46" s="47">
        <v>558993.85820999998</v>
      </c>
      <c r="CA46" s="47">
        <v>306416.11424000002</v>
      </c>
      <c r="CB46" s="47">
        <v>121907.87143</v>
      </c>
      <c r="CC46" s="44"/>
      <c r="CD46" s="47">
        <v>5341141.1332</v>
      </c>
      <c r="CE46" s="47">
        <v>2077710.9856499999</v>
      </c>
      <c r="CF46" s="47">
        <v>1507812.5897199998</v>
      </c>
      <c r="CG46" s="47">
        <v>777803.87259000004</v>
      </c>
      <c r="CH46" s="47">
        <v>599787.65351000009</v>
      </c>
      <c r="CI46" s="47">
        <v>331290.82490000001</v>
      </c>
      <c r="CJ46" s="47">
        <v>132929.67217999999</v>
      </c>
      <c r="CL46" s="47">
        <v>5562946.1332</v>
      </c>
      <c r="CM46" s="47">
        <v>2180087.5279399999</v>
      </c>
      <c r="CN46" s="47">
        <v>1585613.76379</v>
      </c>
      <c r="CO46" s="47">
        <v>819515.87867999997</v>
      </c>
      <c r="CP46" s="47">
        <v>632467.03807000001</v>
      </c>
      <c r="CQ46" s="47">
        <v>350807.53266000003</v>
      </c>
      <c r="CR46" s="47">
        <v>141501.85376</v>
      </c>
      <c r="CS46" s="47"/>
      <c r="CT46" s="47">
        <v>5680167.1332</v>
      </c>
      <c r="CU46" s="47">
        <v>2241964.0959900003</v>
      </c>
      <c r="CV46" s="47">
        <v>1634677.5338999999</v>
      </c>
      <c r="CW46" s="47">
        <v>848094.97376999992</v>
      </c>
      <c r="CX46" s="47">
        <v>655420.48486999993</v>
      </c>
      <c r="CY46" s="47">
        <v>364597.10332999995</v>
      </c>
      <c r="CZ46" s="47">
        <v>147494.71033999999</v>
      </c>
      <c r="DA46" s="47"/>
      <c r="DB46" s="47">
        <v>5680167.1332</v>
      </c>
      <c r="DC46" s="47">
        <v>2247381.4016700001</v>
      </c>
      <c r="DD46" s="47">
        <v>1640276.8929900001</v>
      </c>
      <c r="DE46" s="47">
        <v>851709.47471999994</v>
      </c>
      <c r="DF46" s="47">
        <v>658944.51769000001</v>
      </c>
      <c r="DG46" s="47">
        <v>366629.22450000001</v>
      </c>
      <c r="DH46" s="47">
        <v>148342.67287000001</v>
      </c>
      <c r="DI46" s="47"/>
      <c r="DJ46" s="47">
        <v>6188834.1211999999</v>
      </c>
      <c r="DK46" s="47">
        <v>2393990.0491900002</v>
      </c>
      <c r="DL46" s="47">
        <v>1748238.9517900001</v>
      </c>
      <c r="DM46" s="47">
        <v>898765.81557000009</v>
      </c>
      <c r="DN46" s="47">
        <v>691080.24854000006</v>
      </c>
      <c r="DO46" s="47">
        <v>381171.00876</v>
      </c>
      <c r="DP46" s="47">
        <v>153983.45567</v>
      </c>
      <c r="DQ46" s="47"/>
      <c r="DR46" s="47">
        <v>6403911.1207888359</v>
      </c>
      <c r="DS46" s="47">
        <v>2470454.4413564089</v>
      </c>
      <c r="DT46" s="47">
        <v>1797361.2890562168</v>
      </c>
      <c r="DU46" s="47">
        <v>916333.5900673084</v>
      </c>
      <c r="DV46" s="47">
        <v>702606.71811989718</v>
      </c>
      <c r="DW46" s="47">
        <v>385381.41777230741</v>
      </c>
      <c r="DX46" s="47">
        <v>154964.8355269726</v>
      </c>
      <c r="DY46" s="297"/>
      <c r="DZ46" s="47">
        <v>6711148.1205103677</v>
      </c>
      <c r="EA46" s="47">
        <v>2537165.1742759901</v>
      </c>
      <c r="EB46" s="47">
        <v>1833660.5910827802</v>
      </c>
      <c r="EC46" s="47">
        <v>925990.4779610167</v>
      </c>
      <c r="ED46" s="47">
        <v>708364.13722253405</v>
      </c>
      <c r="EE46" s="47">
        <v>387764.51056327496</v>
      </c>
      <c r="EF46" s="47">
        <v>155720.36478103002</v>
      </c>
      <c r="EG46" s="541"/>
      <c r="EH46" s="47">
        <v>7046266.1205103304</v>
      </c>
      <c r="EI46" s="47">
        <v>2611403.2315619956</v>
      </c>
      <c r="EJ46" s="47">
        <v>1870154.1369920117</v>
      </c>
      <c r="EK46" s="47">
        <v>932070.3164730022</v>
      </c>
      <c r="EL46" s="47">
        <v>711670.92091159639</v>
      </c>
      <c r="EM46" s="47">
        <v>388449.37884476176</v>
      </c>
      <c r="EN46" s="47">
        <v>155838.82792808863</v>
      </c>
      <c r="EO46" s="47"/>
      <c r="EP46" s="47">
        <v>7334507.2644999996</v>
      </c>
      <c r="EQ46" s="47">
        <v>2718074.5953699998</v>
      </c>
      <c r="ER46" s="47">
        <v>1940940.4194400001</v>
      </c>
      <c r="ES46" s="47">
        <v>956673.75476000004</v>
      </c>
      <c r="ET46" s="47">
        <v>727878.00682000001</v>
      </c>
      <c r="EU46" s="47">
        <v>396206.09891</v>
      </c>
      <c r="EV46" s="47">
        <v>158296.76152999999</v>
      </c>
      <c r="EW46" s="47"/>
      <c r="EX46" s="47">
        <v>7857277.2644999996</v>
      </c>
      <c r="EY46" s="47">
        <v>2862182.9109699996</v>
      </c>
      <c r="EZ46" s="47">
        <v>2032760.1502100001</v>
      </c>
      <c r="FA46" s="47">
        <v>992977.21530999988</v>
      </c>
      <c r="FB46" s="47">
        <v>753576.54368000012</v>
      </c>
      <c r="FC46" s="47">
        <v>409907.40046000003</v>
      </c>
      <c r="FD46" s="47">
        <v>163397.2671</v>
      </c>
      <c r="FE46" s="47"/>
      <c r="FF46" s="47">
        <v>8234688.2647000002</v>
      </c>
      <c r="FG46" s="47">
        <v>2895446.0943299998</v>
      </c>
      <c r="FH46" s="47">
        <v>2051202.60577</v>
      </c>
      <c r="FI46" s="47">
        <v>997793.61346999998</v>
      </c>
      <c r="FJ46" s="47">
        <v>756270.27948999999</v>
      </c>
      <c r="FK46" s="47">
        <v>409733.06779</v>
      </c>
      <c r="FL46" s="47">
        <v>163473.11293999999</v>
      </c>
      <c r="FN46" s="47">
        <v>8254381.2651000004</v>
      </c>
      <c r="FO46" s="47">
        <v>2896127.1293200003</v>
      </c>
      <c r="FP46" s="47">
        <v>2051631.99621</v>
      </c>
      <c r="FQ46" s="47">
        <v>997636.16431000002</v>
      </c>
      <c r="FR46" s="47">
        <v>756286.66444000008</v>
      </c>
      <c r="FS46" s="47">
        <v>409722.07010000001</v>
      </c>
      <c r="FT46" s="47">
        <v>163473.15789</v>
      </c>
      <c r="FV46" s="44">
        <v>8366939.2651000004</v>
      </c>
      <c r="FW46" s="44">
        <v>2898452.9293200001</v>
      </c>
      <c r="FX46" s="44">
        <v>2052794.8962099997</v>
      </c>
      <c r="FY46" s="44">
        <v>997868.7443100001</v>
      </c>
      <c r="FZ46" s="44">
        <v>756402.95444</v>
      </c>
      <c r="GA46" s="44">
        <v>409745.32809999998</v>
      </c>
      <c r="GB46" s="44">
        <v>163475.48368999999</v>
      </c>
      <c r="GC46" s="44"/>
      <c r="GE46" s="47">
        <v>8551564.2651000004</v>
      </c>
      <c r="GF46" s="47">
        <v>2909380.9704900002</v>
      </c>
      <c r="GG46" s="47">
        <v>2056613.8077299998</v>
      </c>
      <c r="GH46" s="47">
        <v>998102.14062999992</v>
      </c>
      <c r="GI46" s="47">
        <v>756723.16593999998</v>
      </c>
      <c r="GJ46" s="47">
        <v>409836.18622999999</v>
      </c>
      <c r="GK46" s="47">
        <v>163477.95134999999</v>
      </c>
      <c r="GM46" s="47">
        <v>8794259.2651000004</v>
      </c>
      <c r="GN46" s="47">
        <v>2909380.9704900002</v>
      </c>
      <c r="GO46" s="47">
        <v>2056613.8077299998</v>
      </c>
      <c r="GP46" s="47">
        <v>998102.14062999992</v>
      </c>
      <c r="GQ46" s="47">
        <v>756723.16593999998</v>
      </c>
      <c r="GR46" s="47">
        <v>409836.18622999999</v>
      </c>
      <c r="GS46" s="47">
        <v>163477.95134999999</v>
      </c>
      <c r="GT46" s="187"/>
      <c r="GU46" s="480">
        <v>7928612.2654999997</v>
      </c>
      <c r="GV46" s="481">
        <v>2370204.57791</v>
      </c>
      <c r="GW46" s="481">
        <v>1620582.2126599997</v>
      </c>
      <c r="GX46" s="481">
        <v>729719.33866000001</v>
      </c>
      <c r="GY46" s="481">
        <v>538074.30463000003</v>
      </c>
      <c r="GZ46" s="481">
        <v>281436.70134999999</v>
      </c>
      <c r="HA46" s="481">
        <v>111379.55111</v>
      </c>
      <c r="HB46" s="256"/>
      <c r="HC46" s="480">
        <v>7745592.2652000003</v>
      </c>
      <c r="HD46" s="481">
        <v>2274079.70475</v>
      </c>
      <c r="HE46" s="481">
        <v>1545623.2701999999</v>
      </c>
      <c r="HF46" s="481">
        <v>685948.81568999996</v>
      </c>
      <c r="HG46" s="481">
        <v>503470.55687999993</v>
      </c>
      <c r="HH46" s="481">
        <v>261647.23092</v>
      </c>
      <c r="HI46" s="481">
        <v>103444.08202</v>
      </c>
      <c r="HJ46" s="481"/>
      <c r="HK46" s="480">
        <v>7523787.2652000003</v>
      </c>
      <c r="HL46" s="481">
        <v>2178927.5213350002</v>
      </c>
      <c r="HM46" s="481">
        <v>1475290.4867149999</v>
      </c>
      <c r="HN46" s="481">
        <v>649469.94457499997</v>
      </c>
      <c r="HO46" s="481">
        <v>475066.59567499999</v>
      </c>
      <c r="HP46" s="481">
        <v>245293.29801500001</v>
      </c>
      <c r="HQ46" s="481">
        <v>95979.485035000005</v>
      </c>
      <c r="HR46" s="256"/>
      <c r="HS46" s="480">
        <v>7292779.2653999999</v>
      </c>
      <c r="HT46" s="481">
        <v>2082989.8883400001</v>
      </c>
      <c r="HU46" s="481">
        <v>1406333.53568</v>
      </c>
      <c r="HV46" s="481">
        <v>616018.06431000005</v>
      </c>
      <c r="HW46" s="481">
        <v>449454.23483000003</v>
      </c>
      <c r="HX46" s="481">
        <v>231440.49604999999</v>
      </c>
      <c r="HY46" s="481">
        <v>90333.755160000001</v>
      </c>
      <c r="HZ46" s="47"/>
      <c r="IA46" s="480">
        <v>6689012.2653000001</v>
      </c>
      <c r="IB46" s="481">
        <v>1939112.1102690001</v>
      </c>
      <c r="IC46" s="481">
        <v>1324418.8294890001</v>
      </c>
      <c r="ID46" s="481">
        <v>593217.928999</v>
      </c>
      <c r="IE46" s="481">
        <v>435947.02717899997</v>
      </c>
      <c r="IF46" s="481">
        <v>226226.95360899999</v>
      </c>
      <c r="IG46" s="481">
        <v>88719.184469</v>
      </c>
      <c r="IH46" s="47"/>
      <c r="II46" s="480">
        <v>6349660.2653000001</v>
      </c>
      <c r="IJ46" s="480">
        <v>1843993.4826850002</v>
      </c>
      <c r="IK46" s="480">
        <v>1263523.8007450001</v>
      </c>
      <c r="IL46" s="480">
        <v>570383.19183499995</v>
      </c>
      <c r="IM46" s="480">
        <v>419677.505825</v>
      </c>
      <c r="IN46" s="480">
        <v>217818.21883500001</v>
      </c>
      <c r="IO46" s="480">
        <v>85362.335535000006</v>
      </c>
      <c r="IP46" s="757"/>
      <c r="IQ46" s="757">
        <v>6654280.0003000004</v>
      </c>
      <c r="IR46" s="757">
        <v>1974993.4698900001</v>
      </c>
      <c r="IS46" s="757">
        <v>1361781.8177400001</v>
      </c>
      <c r="IT46" s="757">
        <v>624211.63591999991</v>
      </c>
      <c r="IU46" s="757">
        <v>461401.70955000003</v>
      </c>
      <c r="IV46" s="757">
        <v>241831.12304999999</v>
      </c>
      <c r="IW46" s="757">
        <v>95164.453229999999</v>
      </c>
      <c r="IX46" s="757"/>
      <c r="IY46" s="757">
        <v>7857280.0003000004</v>
      </c>
      <c r="IZ46" s="757">
        <v>2196777.1931599998</v>
      </c>
      <c r="JA46" s="757">
        <v>1504506.99055</v>
      </c>
      <c r="JB46" s="757">
        <v>682036.13089999999</v>
      </c>
      <c r="JC46" s="757">
        <v>502784.45129</v>
      </c>
      <c r="JD46" s="757">
        <v>262470.96828000003</v>
      </c>
      <c r="JE46" s="757">
        <v>103126.23976</v>
      </c>
      <c r="JF46" s="256"/>
      <c r="JG46" s="47">
        <v>833253.99959999998</v>
      </c>
      <c r="JH46" s="47">
        <v>528047.13399999996</v>
      </c>
      <c r="JI46" s="47">
        <v>433667.32120000001</v>
      </c>
      <c r="JJ46" s="47">
        <v>273013.9558</v>
      </c>
      <c r="JK46" s="47">
        <v>222006.09030000001</v>
      </c>
      <c r="JL46" s="47">
        <v>133043.23550000001</v>
      </c>
      <c r="JM46" s="47">
        <v>54487.940719999999</v>
      </c>
      <c r="JN46" s="1034"/>
      <c r="JO46" s="47">
        <v>183020.00030000001</v>
      </c>
      <c r="JP46" s="47">
        <v>102068.5986</v>
      </c>
      <c r="JQ46" s="47">
        <v>81535.655480000001</v>
      </c>
      <c r="JR46" s="47">
        <v>48341.095860000001</v>
      </c>
      <c r="JS46" s="47">
        <v>38484.068899999998</v>
      </c>
      <c r="JT46" s="47">
        <v>22651.58149</v>
      </c>
      <c r="JU46" s="47">
        <v>9121.273459</v>
      </c>
      <c r="JV46" s="77"/>
      <c r="JW46" s="47">
        <v>221805</v>
      </c>
      <c r="JX46" s="47">
        <v>102993.51270000001</v>
      </c>
      <c r="JY46" s="47">
        <v>76420.356390000001</v>
      </c>
      <c r="JZ46" s="47">
        <v>39923.871079999997</v>
      </c>
      <c r="KA46" s="47">
        <v>31717.837790000001</v>
      </c>
      <c r="KB46" s="47">
        <v>19361.443940000001</v>
      </c>
      <c r="KC46" s="47">
        <v>8514.4020500000006</v>
      </c>
      <c r="KD46" s="77"/>
      <c r="KE46" s="47">
        <v>231007.99979999999</v>
      </c>
      <c r="KF46" s="47">
        <v>102783.0024</v>
      </c>
      <c r="KG46" s="47">
        <v>74754.012780000005</v>
      </c>
      <c r="KH46" s="47">
        <v>37018.178269999997</v>
      </c>
      <c r="KI46" s="47">
        <v>28470.635539999999</v>
      </c>
      <c r="KJ46" s="47">
        <v>15857.28471</v>
      </c>
      <c r="KK46" s="47">
        <v>6416.094924</v>
      </c>
      <c r="KL46" s="77"/>
      <c r="KM46" s="47">
        <v>603767.00020000001</v>
      </c>
      <c r="KN46" s="47">
        <v>142565.68549999999</v>
      </c>
      <c r="KO46" s="47">
        <v>81252.670469999997</v>
      </c>
      <c r="KP46" s="47">
        <v>22675.17253</v>
      </c>
      <c r="KQ46" s="47">
        <v>14051.85029</v>
      </c>
      <c r="KR46" s="47">
        <v>5434.7360529999996</v>
      </c>
      <c r="KS46" s="47">
        <v>1672.4072920000001</v>
      </c>
      <c r="KT46" s="77"/>
      <c r="KU46" s="47">
        <v>436176</v>
      </c>
      <c r="KV46" s="47">
        <v>119539.26420000001</v>
      </c>
      <c r="KW46" s="47">
        <v>75020.412930000006</v>
      </c>
      <c r="KX46" s="47">
        <v>28708.486819999998</v>
      </c>
      <c r="KY46" s="47">
        <v>20588.14086</v>
      </c>
      <c r="KZ46" s="47">
        <v>10711.47819</v>
      </c>
      <c r="LA46" s="47">
        <v>4165.5523199999998</v>
      </c>
      <c r="LB46" s="77"/>
      <c r="LC46" s="1034">
        <v>527355.26170000003</v>
      </c>
      <c r="LD46" s="1034">
        <v>37817.897689999998</v>
      </c>
      <c r="LE46" s="1034">
        <v>18842.50056</v>
      </c>
      <c r="LF46" s="1034">
        <v>4258.430394</v>
      </c>
      <c r="LG46" s="1034">
        <v>2302.6556390000001</v>
      </c>
      <c r="LH46" s="1034">
        <v>486.58659899999998</v>
      </c>
      <c r="LI46" s="1034">
        <v>52.29304003</v>
      </c>
      <c r="LJ46" s="77"/>
      <c r="LK46" s="1034">
        <v>32393</v>
      </c>
      <c r="LL46" s="1034">
        <v>20788.455262700001</v>
      </c>
      <c r="LM46" s="1034">
        <v>17380.9792763</v>
      </c>
      <c r="LN46" s="1034">
        <v>10142.753231299999</v>
      </c>
      <c r="LO46" s="1034">
        <v>7734.6761003000001</v>
      </c>
      <c r="LP46" s="1034">
        <v>4139.8605121999999</v>
      </c>
      <c r="LQ46" s="1034">
        <v>1714.0799402</v>
      </c>
    </row>
    <row r="47" spans="1:329" s="43" customFormat="1" ht="9.75" customHeight="1" x14ac:dyDescent="0.2">
      <c r="A47" s="48">
        <v>1999</v>
      </c>
      <c r="B47" s="47">
        <v>5377195.6640725397</v>
      </c>
      <c r="C47" s="47">
        <v>2290309.5316277579</v>
      </c>
      <c r="D47" s="47">
        <v>1661073.9688918076</v>
      </c>
      <c r="E47" s="47">
        <v>851032.11021233024</v>
      </c>
      <c r="F47" s="47">
        <v>651251.99334035034</v>
      </c>
      <c r="G47" s="47">
        <v>355481.18862531031</v>
      </c>
      <c r="H47" s="47">
        <v>141844.57844695981</v>
      </c>
      <c r="I47" s="47"/>
      <c r="J47" s="47">
        <v>8324398.7141000004</v>
      </c>
      <c r="K47" s="47">
        <v>3054826.4855299997</v>
      </c>
      <c r="L47" s="47">
        <v>2189032.8727000002</v>
      </c>
      <c r="M47" s="47">
        <v>1095660.3317</v>
      </c>
      <c r="N47" s="47">
        <v>839121.99257</v>
      </c>
      <c r="O47" s="47">
        <v>458723.79220999999</v>
      </c>
      <c r="P47" s="47">
        <v>185303.50494000001</v>
      </c>
      <c r="Q47" s="47"/>
      <c r="R47" s="47">
        <v>9297633.7148000002</v>
      </c>
      <c r="S47" s="47">
        <v>3101362.76162</v>
      </c>
      <c r="T47" s="47">
        <v>2211506.9594700001</v>
      </c>
      <c r="U47" s="47">
        <v>1100959.15347</v>
      </c>
      <c r="V47" s="47">
        <v>841821.97814999998</v>
      </c>
      <c r="W47" s="47">
        <v>459323.36369000003</v>
      </c>
      <c r="X47" s="47">
        <v>185355.4584</v>
      </c>
      <c r="Y47" s="47"/>
      <c r="Z47" s="47">
        <v>8324398.9998000003</v>
      </c>
      <c r="AA47" s="47">
        <v>2340053.2744</v>
      </c>
      <c r="AB47" s="47">
        <v>1613156.9346300003</v>
      </c>
      <c r="AC47" s="47">
        <v>754263.01387999998</v>
      </c>
      <c r="AD47" s="47">
        <v>562184.20039999997</v>
      </c>
      <c r="AE47" s="47">
        <v>296327.52717000002</v>
      </c>
      <c r="AF47" s="47">
        <v>118121.31245</v>
      </c>
      <c r="AG47" s="47"/>
      <c r="AH47" s="47">
        <v>5454364.1018000003</v>
      </c>
      <c r="AI47" s="47">
        <v>2281551.7911900003</v>
      </c>
      <c r="AJ47" s="47">
        <v>1651579.7882099997</v>
      </c>
      <c r="AK47" s="47">
        <v>843646.12623000005</v>
      </c>
      <c r="AL47" s="47">
        <v>645215.80511000007</v>
      </c>
      <c r="AM47" s="47">
        <v>352085.72774999996</v>
      </c>
      <c r="AN47" s="47">
        <v>140577.75839999999</v>
      </c>
      <c r="AO47" s="47"/>
      <c r="AP47" s="47"/>
      <c r="AQ47" s="47"/>
      <c r="AR47" s="47"/>
      <c r="AS47" s="47"/>
      <c r="AT47" s="47"/>
      <c r="AU47" s="47"/>
      <c r="AV47" s="47"/>
      <c r="AW47" s="47"/>
      <c r="AX47" s="47">
        <v>5506927.5169000002</v>
      </c>
      <c r="AY47" s="47">
        <v>2318963.5839200001</v>
      </c>
      <c r="AZ47" s="47">
        <v>1684687.0137400001</v>
      </c>
      <c r="BA47" s="47">
        <v>866694.63297999999</v>
      </c>
      <c r="BB47" s="47">
        <v>664090.56229999999</v>
      </c>
      <c r="BC47" s="47">
        <v>362650.43966999999</v>
      </c>
      <c r="BD47" s="47">
        <v>144253.43557</v>
      </c>
      <c r="BE47" s="47"/>
      <c r="BF47" s="44">
        <v>5509992.5098000001</v>
      </c>
      <c r="BG47" s="44">
        <v>2288548.1611500001</v>
      </c>
      <c r="BH47" s="44">
        <v>1662324.4046899998</v>
      </c>
      <c r="BI47" s="44">
        <v>857105.03306000005</v>
      </c>
      <c r="BJ47" s="44">
        <v>658470.32096000004</v>
      </c>
      <c r="BK47" s="44">
        <v>360996.64504999999</v>
      </c>
      <c r="BL47" s="44">
        <v>144101.56763999999</v>
      </c>
      <c r="BN47" s="44">
        <v>5509992.5098000001</v>
      </c>
      <c r="BO47" s="44">
        <v>2116376.9671900002</v>
      </c>
      <c r="BP47" s="44">
        <v>1533718.5154099998</v>
      </c>
      <c r="BQ47" s="44">
        <v>789655.91024</v>
      </c>
      <c r="BR47" s="44">
        <v>610589.03610999999</v>
      </c>
      <c r="BS47" s="44">
        <v>336325.90295999998</v>
      </c>
      <c r="BT47" s="44">
        <v>134527.77650000001</v>
      </c>
      <c r="BU47" s="44"/>
      <c r="BV47" s="47">
        <v>5535836.2098000003</v>
      </c>
      <c r="BW47" s="47">
        <v>2140259.2183099999</v>
      </c>
      <c r="BX47" s="47">
        <v>1556830.0731199998</v>
      </c>
      <c r="BY47" s="47">
        <v>808443.17418000009</v>
      </c>
      <c r="BZ47" s="47">
        <v>627045.90558000002</v>
      </c>
      <c r="CA47" s="47">
        <v>348402.32588000002</v>
      </c>
      <c r="CB47" s="47">
        <v>140924.30606999999</v>
      </c>
      <c r="CC47" s="44"/>
      <c r="CD47" s="47">
        <v>5759385.2098000003</v>
      </c>
      <c r="CE47" s="47">
        <v>2259419.9663</v>
      </c>
      <c r="CF47" s="47">
        <v>1652325.1794199999</v>
      </c>
      <c r="CG47" s="47">
        <v>867090.75024999992</v>
      </c>
      <c r="CH47" s="47">
        <v>674381.88538999995</v>
      </c>
      <c r="CI47" s="47">
        <v>376402.61161000002</v>
      </c>
      <c r="CJ47" s="47">
        <v>153226.89079</v>
      </c>
      <c r="CL47" s="47">
        <v>5992759.2098000003</v>
      </c>
      <c r="CM47" s="47">
        <v>2367724.7719099997</v>
      </c>
      <c r="CN47" s="47">
        <v>1735873.6135499999</v>
      </c>
      <c r="CO47" s="47">
        <v>913558.68379000004</v>
      </c>
      <c r="CP47" s="47">
        <v>711223.08695000003</v>
      </c>
      <c r="CQ47" s="47">
        <v>397868.59940000001</v>
      </c>
      <c r="CR47" s="47">
        <v>162602.87523000001</v>
      </c>
      <c r="CS47" s="47"/>
      <c r="CT47" s="47">
        <v>6117767.2098000003</v>
      </c>
      <c r="CU47" s="47">
        <v>2433874.9826400001</v>
      </c>
      <c r="CV47" s="47">
        <v>1788384.5266800001</v>
      </c>
      <c r="CW47" s="47">
        <v>944913.32076000003</v>
      </c>
      <c r="CX47" s="47">
        <v>736548.55391999998</v>
      </c>
      <c r="CY47" s="47">
        <v>412847.04862000002</v>
      </c>
      <c r="CZ47" s="47">
        <v>169063.39954000001</v>
      </c>
      <c r="DA47" s="47"/>
      <c r="DB47" s="47">
        <v>6117767.2098000003</v>
      </c>
      <c r="DC47" s="47">
        <v>2443636.7419500002</v>
      </c>
      <c r="DD47" s="47">
        <v>1796980.6191400001</v>
      </c>
      <c r="DE47" s="47">
        <v>951314.35942999995</v>
      </c>
      <c r="DF47" s="47">
        <v>742066.02373000002</v>
      </c>
      <c r="DG47" s="47">
        <v>416256.13350999996</v>
      </c>
      <c r="DH47" s="47">
        <v>170641.89489</v>
      </c>
      <c r="DI47" s="47"/>
      <c r="DJ47" s="47">
        <v>6609692.5378</v>
      </c>
      <c r="DK47" s="47">
        <v>2581894.2996200002</v>
      </c>
      <c r="DL47" s="47">
        <v>1897549.8489999999</v>
      </c>
      <c r="DM47" s="47">
        <v>996847.85605000006</v>
      </c>
      <c r="DN47" s="47">
        <v>772433.32941000001</v>
      </c>
      <c r="DO47" s="47">
        <v>428334.71762999997</v>
      </c>
      <c r="DP47" s="47">
        <v>174760.17748000001</v>
      </c>
      <c r="DQ47" s="47"/>
      <c r="DR47" s="47">
        <v>6842675.5386838745</v>
      </c>
      <c r="DS47" s="47">
        <v>2663586.8251565602</v>
      </c>
      <c r="DT47" s="47">
        <v>1951050.9146164278</v>
      </c>
      <c r="DU47" s="47">
        <v>1015323.1243796578</v>
      </c>
      <c r="DV47" s="47">
        <v>784554.89739755599</v>
      </c>
      <c r="DW47" s="47">
        <v>432789.28309892386</v>
      </c>
      <c r="DX47" s="47">
        <v>175759.14682197757</v>
      </c>
      <c r="DY47" s="297"/>
      <c r="DZ47" s="47">
        <v>7166014.5390717024</v>
      </c>
      <c r="EA47" s="47">
        <v>2734897.8015285097</v>
      </c>
      <c r="EB47" s="47">
        <v>1989118.7398190508</v>
      </c>
      <c r="EC47" s="47">
        <v>1026327.6056043971</v>
      </c>
      <c r="ED47" s="47">
        <v>791105.7465662472</v>
      </c>
      <c r="EE47" s="47">
        <v>435550.5314848026</v>
      </c>
      <c r="EF47" s="47">
        <v>176675.0105646548</v>
      </c>
      <c r="EG47" s="541"/>
      <c r="EH47" s="47">
        <v>7528008.539072019</v>
      </c>
      <c r="EI47" s="47">
        <v>2813263.1699276194</v>
      </c>
      <c r="EJ47" s="47">
        <v>2029067.0997290325</v>
      </c>
      <c r="EK47" s="47">
        <v>1033398.5081758279</v>
      </c>
      <c r="EL47" s="47">
        <v>794235.55955684884</v>
      </c>
      <c r="EM47" s="47">
        <v>436281.13576737838</v>
      </c>
      <c r="EN47" s="47">
        <v>176854.0849109783</v>
      </c>
      <c r="EO47" s="47"/>
      <c r="EP47" s="47">
        <v>7788250.7141000004</v>
      </c>
      <c r="EQ47" s="47">
        <v>2907784.7955999998</v>
      </c>
      <c r="ER47" s="47">
        <v>2094017.9187500002</v>
      </c>
      <c r="ES47" s="47">
        <v>1057994.2148500001</v>
      </c>
      <c r="ET47" s="47">
        <v>811508.48427999998</v>
      </c>
      <c r="EU47" s="47">
        <v>444322.91164000001</v>
      </c>
      <c r="EV47" s="47">
        <v>179568.05528999999</v>
      </c>
      <c r="EW47" s="47"/>
      <c r="EX47" s="47">
        <v>8324398.7141000004</v>
      </c>
      <c r="EY47" s="47">
        <v>3054826.4855299997</v>
      </c>
      <c r="EZ47" s="47">
        <v>2189032.8727000002</v>
      </c>
      <c r="FA47" s="47">
        <v>1095660.3317</v>
      </c>
      <c r="FB47" s="47">
        <v>839121.99257</v>
      </c>
      <c r="FC47" s="47">
        <v>458723.79220999999</v>
      </c>
      <c r="FD47" s="47">
        <v>185303.50494000001</v>
      </c>
      <c r="FE47" s="47"/>
      <c r="FF47" s="47">
        <v>8712468.7145000007</v>
      </c>
      <c r="FG47" s="47">
        <v>3086548.5291300002</v>
      </c>
      <c r="FH47" s="47">
        <v>2205623.45315</v>
      </c>
      <c r="FI47" s="47">
        <v>1100347.8875500001</v>
      </c>
      <c r="FJ47" s="47">
        <v>841505.57354999997</v>
      </c>
      <c r="FK47" s="47">
        <v>459269.46314000001</v>
      </c>
      <c r="FL47" s="47">
        <v>185344.59951</v>
      </c>
      <c r="FN47" s="47">
        <v>8732977.7148000002</v>
      </c>
      <c r="FO47" s="47">
        <v>3087340.0373900002</v>
      </c>
      <c r="FP47" s="47">
        <v>2206384.2607300002</v>
      </c>
      <c r="FQ47" s="47">
        <v>1100463.1078300001</v>
      </c>
      <c r="FR47" s="47">
        <v>841525.32060999994</v>
      </c>
      <c r="FS47" s="47">
        <v>459271.77853000001</v>
      </c>
      <c r="FT47" s="47">
        <v>185344.66555999999</v>
      </c>
      <c r="FV47" s="44">
        <v>8849452.7148000002</v>
      </c>
      <c r="FW47" s="44">
        <v>3089753.0373899997</v>
      </c>
      <c r="FX47" s="44">
        <v>2207590.7607300002</v>
      </c>
      <c r="FY47" s="44">
        <v>1100704.4078300002</v>
      </c>
      <c r="FZ47" s="44">
        <v>841645.97060999996</v>
      </c>
      <c r="GA47" s="44">
        <v>459295.90853000002</v>
      </c>
      <c r="GB47" s="44">
        <v>185347.07855999999</v>
      </c>
      <c r="GC47" s="44"/>
      <c r="GE47" s="47">
        <v>9039221.7148000002</v>
      </c>
      <c r="GF47" s="47">
        <v>3101362.76162</v>
      </c>
      <c r="GG47" s="47">
        <v>2211506.9594700001</v>
      </c>
      <c r="GH47" s="47">
        <v>1100959.15347</v>
      </c>
      <c r="GI47" s="47">
        <v>841821.97814999998</v>
      </c>
      <c r="GJ47" s="47">
        <v>459323.36369000003</v>
      </c>
      <c r="GK47" s="47">
        <v>185355.4584</v>
      </c>
      <c r="GM47" s="47">
        <v>9297633.7148000002</v>
      </c>
      <c r="GN47" s="47">
        <v>3101362.76162</v>
      </c>
      <c r="GO47" s="47">
        <v>2211506.9594700001</v>
      </c>
      <c r="GP47" s="47">
        <v>1100959.15347</v>
      </c>
      <c r="GQ47" s="47">
        <v>841821.97814999998</v>
      </c>
      <c r="GR47" s="47">
        <v>459323.36369000003</v>
      </c>
      <c r="GS47" s="47">
        <v>185355.4584</v>
      </c>
      <c r="GT47" s="187"/>
      <c r="GU47" s="480">
        <v>8361012.2260999996</v>
      </c>
      <c r="GV47" s="481">
        <v>2511685.0820700005</v>
      </c>
      <c r="GW47" s="481">
        <v>1730655.8747699999</v>
      </c>
      <c r="GX47" s="481">
        <v>801794.40006999997</v>
      </c>
      <c r="GY47" s="481">
        <v>597718.43013999995</v>
      </c>
      <c r="GZ47" s="481">
        <v>315197.96866999997</v>
      </c>
      <c r="HA47" s="481">
        <v>126297.83594999999</v>
      </c>
      <c r="HB47" s="256"/>
      <c r="HC47" s="480">
        <v>8165480.2258000001</v>
      </c>
      <c r="HD47" s="481">
        <v>2404743.7825999996</v>
      </c>
      <c r="HE47" s="481">
        <v>1644895.3271699999</v>
      </c>
      <c r="HF47" s="481">
        <v>752443.44940000004</v>
      </c>
      <c r="HG47" s="481">
        <v>557970.84425999993</v>
      </c>
      <c r="HH47" s="481">
        <v>292527.25824</v>
      </c>
      <c r="HI47" s="481">
        <v>117017.90820000001</v>
      </c>
      <c r="HJ47" s="481"/>
      <c r="HK47" s="480">
        <v>7932106.2258000001</v>
      </c>
      <c r="HL47" s="481">
        <v>2306251.9614599999</v>
      </c>
      <c r="HM47" s="481">
        <v>1569779.5651699998</v>
      </c>
      <c r="HN47" s="481">
        <v>712104.37265000003</v>
      </c>
      <c r="HO47" s="481">
        <v>526305.37821</v>
      </c>
      <c r="HP47" s="481">
        <v>274265.77776999999</v>
      </c>
      <c r="HQ47" s="481">
        <v>108776.07668</v>
      </c>
      <c r="HR47" s="256"/>
      <c r="HS47" s="480">
        <v>7689304.2253999999</v>
      </c>
      <c r="HT47" s="481">
        <v>2205516.3908700002</v>
      </c>
      <c r="HU47" s="481">
        <v>1497749.3202200001</v>
      </c>
      <c r="HV47" s="481">
        <v>675798.90798000002</v>
      </c>
      <c r="HW47" s="481">
        <v>498888.22315000003</v>
      </c>
      <c r="HX47" s="481">
        <v>259621.69547999999</v>
      </c>
      <c r="HY47" s="481">
        <v>102864.54093</v>
      </c>
      <c r="HZ47" s="47"/>
      <c r="IA47" s="480">
        <v>7046971.2258000001</v>
      </c>
      <c r="IB47" s="481">
        <v>2050907.4606699997</v>
      </c>
      <c r="IC47" s="481">
        <v>1408759.1070399999</v>
      </c>
      <c r="ID47" s="481">
        <v>650716.51192000008</v>
      </c>
      <c r="IE47" s="481">
        <v>483333.55664000008</v>
      </c>
      <c r="IF47" s="481">
        <v>253312.18266000002</v>
      </c>
      <c r="IG47" s="481">
        <v>100767.03789000001</v>
      </c>
      <c r="IH47" s="47"/>
      <c r="II47" s="480">
        <v>6687086.2258000001</v>
      </c>
      <c r="IJ47" s="480">
        <v>1949567.6973839998</v>
      </c>
      <c r="IK47" s="480">
        <v>1344746.7642640001</v>
      </c>
      <c r="IL47" s="480">
        <v>625609.55356399994</v>
      </c>
      <c r="IM47" s="480">
        <v>465451.13038400002</v>
      </c>
      <c r="IN47" s="480">
        <v>243804.57875400002</v>
      </c>
      <c r="IO47" s="480">
        <v>96960.580014000006</v>
      </c>
      <c r="IP47" s="757"/>
      <c r="IQ47" s="757">
        <v>7037724.9998000003</v>
      </c>
      <c r="IR47" s="757">
        <v>2101691.3697700002</v>
      </c>
      <c r="IS47" s="757">
        <v>1459715.3782799998</v>
      </c>
      <c r="IT47" s="757">
        <v>689909.51340000005</v>
      </c>
      <c r="IU47" s="757">
        <v>515573.97875999997</v>
      </c>
      <c r="IV47" s="757">
        <v>272842.89006000001</v>
      </c>
      <c r="IW47" s="757">
        <v>108937.84484000001</v>
      </c>
      <c r="IX47" s="757"/>
      <c r="IY47" s="757">
        <v>8324398.9998000003</v>
      </c>
      <c r="IZ47" s="757">
        <v>2340053.2744</v>
      </c>
      <c r="JA47" s="757">
        <v>1613156.9346300003</v>
      </c>
      <c r="JB47" s="757">
        <v>754263.01387999998</v>
      </c>
      <c r="JC47" s="757">
        <v>562184.20039999997</v>
      </c>
      <c r="JD47" s="757">
        <v>296327.52717000002</v>
      </c>
      <c r="JE47" s="757">
        <v>118121.31245</v>
      </c>
      <c r="JF47" s="256"/>
      <c r="JG47" s="47">
        <v>899916.48880000005</v>
      </c>
      <c r="JH47" s="47">
        <v>579906.45420000004</v>
      </c>
      <c r="JI47" s="47">
        <v>478213.62459999998</v>
      </c>
      <c r="JJ47" s="47">
        <v>304104.67700000003</v>
      </c>
      <c r="JK47" s="47">
        <v>247926.09109999999</v>
      </c>
      <c r="JL47" s="47">
        <v>148932.37150000001</v>
      </c>
      <c r="JM47" s="47">
        <v>61443.206270000002</v>
      </c>
      <c r="JN47" s="1034"/>
      <c r="JO47" s="47">
        <v>195532.00030000001</v>
      </c>
      <c r="JP47" s="47">
        <v>113892.84359999999</v>
      </c>
      <c r="JQ47" s="47">
        <v>91589.15509</v>
      </c>
      <c r="JR47" s="47">
        <v>55035.445350000002</v>
      </c>
      <c r="JS47" s="47">
        <v>44341.736539999998</v>
      </c>
      <c r="JT47" s="47">
        <v>26360.975149999998</v>
      </c>
      <c r="JU47" s="47">
        <v>10707.174129999999</v>
      </c>
      <c r="JV47" s="77"/>
      <c r="JW47" s="47">
        <v>233374</v>
      </c>
      <c r="JX47" s="47">
        <v>108111.7208</v>
      </c>
      <c r="JY47" s="47">
        <v>81426.918520000007</v>
      </c>
      <c r="JZ47" s="47">
        <v>44673.428319999999</v>
      </c>
      <c r="KA47" s="47">
        <v>35627.306449999996</v>
      </c>
      <c r="KB47" s="47">
        <v>21235.787410000001</v>
      </c>
      <c r="KC47" s="47">
        <v>9303.5091150000007</v>
      </c>
      <c r="KD47" s="77"/>
      <c r="KE47" s="47">
        <v>242802.00039999999</v>
      </c>
      <c r="KF47" s="47">
        <v>107957.1963</v>
      </c>
      <c r="KG47" s="47">
        <v>78996.905209999997</v>
      </c>
      <c r="KH47" s="47">
        <v>40067.538659999998</v>
      </c>
      <c r="KI47" s="47">
        <v>30828.940770000001</v>
      </c>
      <c r="KJ47" s="47">
        <v>16997.073769999999</v>
      </c>
      <c r="KK47" s="47">
        <v>6849.5102530000004</v>
      </c>
      <c r="KL47" s="77"/>
      <c r="KM47" s="47">
        <v>642332.99959999998</v>
      </c>
      <c r="KN47" s="47">
        <v>153248.32339999999</v>
      </c>
      <c r="KO47" s="47">
        <v>87601.606660000005</v>
      </c>
      <c r="KP47" s="47">
        <v>25055.295170000001</v>
      </c>
      <c r="KQ47" s="47">
        <v>15812.733120000001</v>
      </c>
      <c r="KR47" s="47">
        <v>6423.887095</v>
      </c>
      <c r="KS47" s="47">
        <v>2191.7004109999998</v>
      </c>
      <c r="KT47" s="77"/>
      <c r="KU47" s="47">
        <v>453387</v>
      </c>
      <c r="KV47" s="47">
        <v>123933.6191</v>
      </c>
      <c r="KW47" s="47">
        <v>77968.334539999996</v>
      </c>
      <c r="KX47" s="47">
        <v>30427.34002</v>
      </c>
      <c r="KY47" s="47">
        <v>22079.49195</v>
      </c>
      <c r="KZ47" s="47">
        <v>11691.620720000001</v>
      </c>
      <c r="LA47" s="47">
        <v>4655.6163580000002</v>
      </c>
      <c r="LB47" s="77"/>
      <c r="LC47" s="1034">
        <v>539885.51769999997</v>
      </c>
      <c r="LD47" s="1034">
        <v>37812.892720000003</v>
      </c>
      <c r="LE47" s="1034">
        <v>18590.392520000001</v>
      </c>
      <c r="LF47" s="1034">
        <v>4161.8136219999997</v>
      </c>
      <c r="LG47" s="1034">
        <v>2184.5695329999999</v>
      </c>
      <c r="LH47" s="1034">
        <v>458.0745847</v>
      </c>
      <c r="LI47" s="1034">
        <v>45.634157610000003</v>
      </c>
      <c r="LJ47" s="77"/>
      <c r="LK47" s="1034">
        <v>36705</v>
      </c>
      <c r="LL47" s="1034">
        <v>23448.578623300004</v>
      </c>
      <c r="LM47" s="1034">
        <v>19635.638206700001</v>
      </c>
      <c r="LN47" s="1034">
        <v>11475.180731799999</v>
      </c>
      <c r="LO47" s="1034">
        <v>8729.2265738000006</v>
      </c>
      <c r="LP47" s="1034">
        <v>4667.7137794</v>
      </c>
      <c r="LQ47" s="1034">
        <v>1935.0777270000001</v>
      </c>
    </row>
    <row r="48" spans="1:329" s="43" customFormat="1" ht="9.75" customHeight="1" x14ac:dyDescent="0.2">
      <c r="A48" s="48">
        <v>2000</v>
      </c>
      <c r="B48" s="47">
        <v>5768355.9265302587</v>
      </c>
      <c r="C48" s="47">
        <v>2510880.9544253647</v>
      </c>
      <c r="D48" s="47">
        <v>1837852.6895250629</v>
      </c>
      <c r="E48" s="47">
        <v>961960.69562388863</v>
      </c>
      <c r="F48" s="47">
        <v>745341.82605889859</v>
      </c>
      <c r="G48" s="47">
        <v>417836.00935029087</v>
      </c>
      <c r="H48" s="47">
        <v>171433.48064507003</v>
      </c>
      <c r="I48" s="47"/>
      <c r="J48" s="47">
        <v>8907019.0170000009</v>
      </c>
      <c r="K48" s="47">
        <v>3327296.5304899998</v>
      </c>
      <c r="L48" s="47">
        <v>2397815.3032999998</v>
      </c>
      <c r="M48" s="47">
        <v>1217605.3988000001</v>
      </c>
      <c r="N48" s="47">
        <v>936672.02664000005</v>
      </c>
      <c r="O48" s="47">
        <v>519863.41885000002</v>
      </c>
      <c r="P48" s="47">
        <v>214530.4461</v>
      </c>
      <c r="Q48" s="47"/>
      <c r="R48" s="47">
        <v>9931340.0171000008</v>
      </c>
      <c r="S48" s="47">
        <v>3380202.8302399996</v>
      </c>
      <c r="T48" s="47">
        <v>2424582.58666</v>
      </c>
      <c r="U48" s="47">
        <v>1224011.2469600001</v>
      </c>
      <c r="V48" s="47">
        <v>939830.50591000007</v>
      </c>
      <c r="W48" s="47">
        <v>520499.14953</v>
      </c>
      <c r="X48" s="47">
        <v>214589.40169999999</v>
      </c>
      <c r="Y48" s="47"/>
      <c r="Z48" s="47">
        <v>8907019.0003999993</v>
      </c>
      <c r="AA48" s="47">
        <v>2562678.4238200001</v>
      </c>
      <c r="AB48" s="47">
        <v>1777402.6808</v>
      </c>
      <c r="AC48" s="47">
        <v>841798.85066</v>
      </c>
      <c r="AD48" s="47">
        <v>630398.95981000003</v>
      </c>
      <c r="AE48" s="47">
        <v>337739.77694000001</v>
      </c>
      <c r="AF48" s="47">
        <v>137332.53473000001</v>
      </c>
      <c r="AG48" s="47"/>
      <c r="AH48" s="47">
        <v>5848544.6982000005</v>
      </c>
      <c r="AI48" s="47">
        <v>2501188.2264200002</v>
      </c>
      <c r="AJ48" s="47">
        <v>1827054.3531699998</v>
      </c>
      <c r="AK48" s="47">
        <v>954164.95757999993</v>
      </c>
      <c r="AL48" s="47">
        <v>738864.93203999999</v>
      </c>
      <c r="AM48" s="47">
        <v>414241.67220000003</v>
      </c>
      <c r="AN48" s="47">
        <v>170364.22049000001</v>
      </c>
      <c r="AO48" s="47"/>
      <c r="AP48" s="47"/>
      <c r="AQ48" s="47"/>
      <c r="AR48" s="47"/>
      <c r="AS48" s="47"/>
      <c r="AT48" s="47"/>
      <c r="AU48" s="47"/>
      <c r="AV48" s="47"/>
      <c r="AW48" s="47"/>
      <c r="AX48" s="47">
        <v>5902681.1531999996</v>
      </c>
      <c r="AY48" s="47">
        <v>2540895.4001600002</v>
      </c>
      <c r="AZ48" s="47">
        <v>1862859.64527</v>
      </c>
      <c r="BA48" s="47">
        <v>979813.26163999992</v>
      </c>
      <c r="BB48" s="47">
        <v>760064.70693999995</v>
      </c>
      <c r="BC48" s="47">
        <v>426577.24731999997</v>
      </c>
      <c r="BD48" s="47">
        <v>175084.08919</v>
      </c>
      <c r="BE48" s="47"/>
      <c r="BF48" s="44">
        <v>5897344.8455999997</v>
      </c>
      <c r="BG48" s="44">
        <v>2508841.2238999996</v>
      </c>
      <c r="BH48" s="44">
        <v>1838521.98783</v>
      </c>
      <c r="BI48" s="44">
        <v>969262.76821000013</v>
      </c>
      <c r="BJ48" s="44">
        <v>753584.63268000004</v>
      </c>
      <c r="BK48" s="44">
        <v>424341.31767999998</v>
      </c>
      <c r="BL48" s="44">
        <v>174513.79785999999</v>
      </c>
      <c r="BN48" s="44">
        <v>5897344.8455999997</v>
      </c>
      <c r="BO48" s="44">
        <v>2331499.8515900001</v>
      </c>
      <c r="BP48" s="44">
        <v>1707541.9990500002</v>
      </c>
      <c r="BQ48" s="44">
        <v>900602.63699999999</v>
      </c>
      <c r="BR48" s="44">
        <v>700142.37780999998</v>
      </c>
      <c r="BS48" s="44">
        <v>394905.11057999998</v>
      </c>
      <c r="BT48" s="44">
        <v>162205.45297000001</v>
      </c>
      <c r="BU48" s="44"/>
      <c r="BV48" s="47">
        <v>5924535.2435999997</v>
      </c>
      <c r="BW48" s="47">
        <v>2356603.5603100001</v>
      </c>
      <c r="BX48" s="47">
        <v>1730942.52168</v>
      </c>
      <c r="BY48" s="47">
        <v>919589.48213999998</v>
      </c>
      <c r="BZ48" s="47">
        <v>716917.30215000012</v>
      </c>
      <c r="CA48" s="47">
        <v>407206.92483999999</v>
      </c>
      <c r="CB48" s="47">
        <v>169067.99134000001</v>
      </c>
      <c r="CC48" s="44"/>
      <c r="CD48" s="47">
        <v>6055961.2435999997</v>
      </c>
      <c r="CE48" s="47">
        <v>2424796.7764500002</v>
      </c>
      <c r="CF48" s="47">
        <v>1786360.3828299998</v>
      </c>
      <c r="CG48" s="47">
        <v>952915.70793000003</v>
      </c>
      <c r="CH48" s="47">
        <v>744131.64834999992</v>
      </c>
      <c r="CI48" s="47">
        <v>423223.51647000003</v>
      </c>
      <c r="CJ48" s="47">
        <v>176023.62955000001</v>
      </c>
      <c r="CL48" s="47">
        <v>6295709.2435999997</v>
      </c>
      <c r="CM48" s="47">
        <v>2535281.0116500002</v>
      </c>
      <c r="CN48" s="47">
        <v>1870751.9890600001</v>
      </c>
      <c r="CO48" s="47">
        <v>999887.14717000001</v>
      </c>
      <c r="CP48" s="47">
        <v>781266.61052999995</v>
      </c>
      <c r="CQ48" s="47">
        <v>444522.60080000001</v>
      </c>
      <c r="CR48" s="47">
        <v>185131.17933000001</v>
      </c>
      <c r="CS48" s="47"/>
      <c r="CT48" s="47">
        <v>6428516.2435999997</v>
      </c>
      <c r="CU48" s="47">
        <v>2604395.1222400004</v>
      </c>
      <c r="CV48" s="47">
        <v>1925927.90041</v>
      </c>
      <c r="CW48" s="47">
        <v>1033178.1399500001</v>
      </c>
      <c r="CX48" s="47">
        <v>807901.34328000003</v>
      </c>
      <c r="CY48" s="47">
        <v>460041.46224999998</v>
      </c>
      <c r="CZ48" s="47">
        <v>191789.96307999999</v>
      </c>
      <c r="DA48" s="47"/>
      <c r="DB48" s="47">
        <v>6428516.2435999997</v>
      </c>
      <c r="DC48" s="47">
        <v>2621093.5001300001</v>
      </c>
      <c r="DD48" s="47">
        <v>1943820.1847099999</v>
      </c>
      <c r="DE48" s="47">
        <v>1046337.8413699999</v>
      </c>
      <c r="DF48" s="47">
        <v>819271.22123999987</v>
      </c>
      <c r="DG48" s="47">
        <v>466622.86954999994</v>
      </c>
      <c r="DH48" s="47">
        <v>194777.21367</v>
      </c>
      <c r="DI48" s="47"/>
      <c r="DJ48" s="47">
        <v>7041277.4595999997</v>
      </c>
      <c r="DK48" s="47">
        <v>2800895.2500200002</v>
      </c>
      <c r="DL48" s="47">
        <v>2073339.6624499999</v>
      </c>
      <c r="DM48" s="47">
        <v>1102649.07103</v>
      </c>
      <c r="DN48" s="47">
        <v>857662.72775000008</v>
      </c>
      <c r="DO48" s="47">
        <v>482816.51747000002</v>
      </c>
      <c r="DP48" s="47">
        <v>201238.80653</v>
      </c>
      <c r="DQ48" s="47"/>
      <c r="DR48" s="47">
        <v>7283991.4588538529</v>
      </c>
      <c r="DS48" s="47">
        <v>2886260.6986069777</v>
      </c>
      <c r="DT48" s="47">
        <v>2128700.0081263962</v>
      </c>
      <c r="DU48" s="47">
        <v>1122502.0297620515</v>
      </c>
      <c r="DV48" s="47">
        <v>870389.59132002748</v>
      </c>
      <c r="DW48" s="47">
        <v>487590.97203641338</v>
      </c>
      <c r="DX48" s="47">
        <v>202341.48144205657</v>
      </c>
      <c r="DY48" s="297"/>
      <c r="DZ48" s="47">
        <v>7629211.4590234393</v>
      </c>
      <c r="EA48" s="47">
        <v>2964257.4714575717</v>
      </c>
      <c r="EB48" s="47">
        <v>2172185.4210449853</v>
      </c>
      <c r="EC48" s="47">
        <v>1135231.0439347082</v>
      </c>
      <c r="ED48" s="47">
        <v>878287.56994471687</v>
      </c>
      <c r="EE48" s="47">
        <v>491206.2927820374</v>
      </c>
      <c r="EF48" s="47">
        <v>203597.37835873206</v>
      </c>
      <c r="EG48" s="541"/>
      <c r="EH48" s="47">
        <v>8031903.4590232028</v>
      </c>
      <c r="EI48" s="47">
        <v>3055138.8646348435</v>
      </c>
      <c r="EJ48" s="47">
        <v>2216520.8388648313</v>
      </c>
      <c r="EK48" s="47">
        <v>1142133.0402415853</v>
      </c>
      <c r="EL48" s="47">
        <v>881995.77252056927</v>
      </c>
      <c r="EM48" s="47">
        <v>492001.19310790044</v>
      </c>
      <c r="EN48" s="47">
        <v>203749.48596309032</v>
      </c>
      <c r="EO48" s="47"/>
      <c r="EP48" s="47">
        <v>8330568.017</v>
      </c>
      <c r="EQ48" s="47">
        <v>3165078.5786599996</v>
      </c>
      <c r="ER48" s="47">
        <v>2292224.0623899996</v>
      </c>
      <c r="ES48" s="47">
        <v>1174843.13099</v>
      </c>
      <c r="ET48" s="47">
        <v>905154.60563999997</v>
      </c>
      <c r="EU48" s="47">
        <v>502842.72172000003</v>
      </c>
      <c r="EV48" s="47">
        <v>207621.72227</v>
      </c>
      <c r="EW48" s="47"/>
      <c r="EX48" s="47">
        <v>8907019.0170000009</v>
      </c>
      <c r="EY48" s="47">
        <v>3327296.5304899998</v>
      </c>
      <c r="EZ48" s="47">
        <v>2397815.3032999998</v>
      </c>
      <c r="FA48" s="47">
        <v>1217605.3988000001</v>
      </c>
      <c r="FB48" s="47">
        <v>936672.02664000005</v>
      </c>
      <c r="FC48" s="47">
        <v>519863.41885000002</v>
      </c>
      <c r="FD48" s="47">
        <v>214530.4461</v>
      </c>
      <c r="FE48" s="47"/>
      <c r="FF48" s="47">
        <v>9316679.0170000009</v>
      </c>
      <c r="FG48" s="47">
        <v>3363441.6377899996</v>
      </c>
      <c r="FH48" s="47">
        <v>2417813.9772999999</v>
      </c>
      <c r="FI48" s="47">
        <v>1223273.9797</v>
      </c>
      <c r="FJ48" s="47">
        <v>939508.75883000006</v>
      </c>
      <c r="FK48" s="47">
        <v>520439.63849000004</v>
      </c>
      <c r="FL48" s="47">
        <v>214584.35224000001</v>
      </c>
      <c r="FN48" s="47">
        <v>9337420.0171000008</v>
      </c>
      <c r="FO48" s="47">
        <v>3364403.2652600007</v>
      </c>
      <c r="FP48" s="47">
        <v>2418257.2702400004</v>
      </c>
      <c r="FQ48" s="47">
        <v>1223324.10464</v>
      </c>
      <c r="FR48" s="47">
        <v>939424.27935000008</v>
      </c>
      <c r="FS48" s="47">
        <v>520441.26613</v>
      </c>
      <c r="FT48" s="47">
        <v>214584.43960000001</v>
      </c>
      <c r="FV48" s="44">
        <v>9457352.0171000008</v>
      </c>
      <c r="FW48" s="44">
        <v>3366902.6652600002</v>
      </c>
      <c r="FX48" s="44">
        <v>2419506.9702399997</v>
      </c>
      <c r="FY48" s="44">
        <v>1223574.04464</v>
      </c>
      <c r="FZ48" s="44">
        <v>939549.24934999994</v>
      </c>
      <c r="GA48" s="44">
        <v>520466.26013000001</v>
      </c>
      <c r="GB48" s="44">
        <v>214586.93900000001</v>
      </c>
      <c r="GC48" s="44"/>
      <c r="GE48" s="47">
        <v>9655914.0171000008</v>
      </c>
      <c r="GF48" s="47">
        <v>3380202.8302399996</v>
      </c>
      <c r="GG48" s="47">
        <v>2424582.58666</v>
      </c>
      <c r="GH48" s="47">
        <v>1224011.2469600001</v>
      </c>
      <c r="GI48" s="47">
        <v>939830.50591000007</v>
      </c>
      <c r="GJ48" s="47">
        <v>520499.14953</v>
      </c>
      <c r="GK48" s="47">
        <v>214589.40169999999</v>
      </c>
      <c r="GM48" s="47">
        <v>9931340.0171000008</v>
      </c>
      <c r="GN48" s="47">
        <v>3380202.8302399996</v>
      </c>
      <c r="GO48" s="47">
        <v>2424582.58666</v>
      </c>
      <c r="GP48" s="47">
        <v>1224011.2469600001</v>
      </c>
      <c r="GQ48" s="47">
        <v>939830.50591000007</v>
      </c>
      <c r="GR48" s="47">
        <v>520499.14953</v>
      </c>
      <c r="GS48" s="47">
        <v>214589.40169999999</v>
      </c>
      <c r="GT48" s="187"/>
      <c r="GU48" s="480">
        <v>8893121.1868999992</v>
      </c>
      <c r="GV48" s="481">
        <v>2721060.1981700002</v>
      </c>
      <c r="GW48" s="481">
        <v>1885416.9078799998</v>
      </c>
      <c r="GX48" s="481">
        <v>882551.19637999986</v>
      </c>
      <c r="GY48" s="481">
        <v>659960.61129999999</v>
      </c>
      <c r="GZ48" s="481">
        <v>352667.33989</v>
      </c>
      <c r="HA48" s="481">
        <v>143867.85604000001</v>
      </c>
      <c r="HB48" s="256"/>
      <c r="HC48" s="480">
        <v>8675767.1871000007</v>
      </c>
      <c r="HD48" s="481">
        <v>2602455.75196</v>
      </c>
      <c r="HE48" s="481">
        <v>1790371.7170600002</v>
      </c>
      <c r="HF48" s="481">
        <v>825285.45116000006</v>
      </c>
      <c r="HG48" s="481">
        <v>614148.10204999999</v>
      </c>
      <c r="HH48" s="481">
        <v>325469.65437</v>
      </c>
      <c r="HI48" s="481">
        <v>132243.14064</v>
      </c>
      <c r="HJ48" s="481"/>
      <c r="HK48" s="480">
        <v>8436019.1871000007</v>
      </c>
      <c r="HL48" s="481">
        <v>2503312.8325300002</v>
      </c>
      <c r="HM48" s="481">
        <v>1716309.0046600001</v>
      </c>
      <c r="HN48" s="481">
        <v>785708.51135000004</v>
      </c>
      <c r="HO48" s="481">
        <v>583199.82634999999</v>
      </c>
      <c r="HP48" s="481">
        <v>307910.97756999999</v>
      </c>
      <c r="HQ48" s="481">
        <v>124613.29171</v>
      </c>
      <c r="HR48" s="256"/>
      <c r="HS48" s="480">
        <v>8181350.1874000002</v>
      </c>
      <c r="HT48" s="481">
        <v>2398279.2310199998</v>
      </c>
      <c r="HU48" s="481">
        <v>1640601.3910000001</v>
      </c>
      <c r="HV48" s="481">
        <v>747266.98521000007</v>
      </c>
      <c r="HW48" s="481">
        <v>554338.38690000004</v>
      </c>
      <c r="HX48" s="481">
        <v>293203.19050000003</v>
      </c>
      <c r="HY48" s="481">
        <v>118613.13025</v>
      </c>
      <c r="HZ48" s="47"/>
      <c r="IA48" s="480">
        <v>7496105.1874000002</v>
      </c>
      <c r="IB48" s="481">
        <v>2230414.5477099996</v>
      </c>
      <c r="IC48" s="481">
        <v>1541451.33865</v>
      </c>
      <c r="ID48" s="481">
        <v>719181.76860999991</v>
      </c>
      <c r="IE48" s="481">
        <v>536459.29790999996</v>
      </c>
      <c r="IF48" s="481">
        <v>285579.95964000002</v>
      </c>
      <c r="IG48" s="481">
        <v>115917.78380999999</v>
      </c>
      <c r="IH48" s="47"/>
      <c r="II48" s="480">
        <v>7114007.1874000002</v>
      </c>
      <c r="IJ48" s="480">
        <v>2120969.3587400001</v>
      </c>
      <c r="IK48" s="480">
        <v>1471056.4958500001</v>
      </c>
      <c r="IL48" s="480">
        <v>691392.82605000003</v>
      </c>
      <c r="IM48" s="480">
        <v>516531.22485</v>
      </c>
      <c r="IN48" s="480">
        <v>274656.19441</v>
      </c>
      <c r="IO48" s="480">
        <v>111346.74185999999</v>
      </c>
      <c r="IP48" s="757"/>
      <c r="IQ48" s="757">
        <v>7534635.0004000003</v>
      </c>
      <c r="IR48" s="757">
        <v>2303929.6711300001</v>
      </c>
      <c r="IS48" s="757">
        <v>1609813.9980200001</v>
      </c>
      <c r="IT48" s="757">
        <v>770445.80583000008</v>
      </c>
      <c r="IU48" s="757">
        <v>578528.76876000001</v>
      </c>
      <c r="IV48" s="757">
        <v>311040.91659000004</v>
      </c>
      <c r="IW48" s="757">
        <v>126681.37969</v>
      </c>
      <c r="IX48" s="757"/>
      <c r="IY48" s="757">
        <v>8907019.0003999993</v>
      </c>
      <c r="IZ48" s="757">
        <v>2562678.4238200001</v>
      </c>
      <c r="JA48" s="757">
        <v>1777402.6808</v>
      </c>
      <c r="JB48" s="757">
        <v>841798.85066</v>
      </c>
      <c r="JC48" s="757">
        <v>630398.95981000003</v>
      </c>
      <c r="JD48" s="757">
        <v>337739.77694000001</v>
      </c>
      <c r="JE48" s="757">
        <v>137332.53473000001</v>
      </c>
      <c r="JF48" s="256"/>
      <c r="JG48" s="47">
        <v>1002578.83</v>
      </c>
      <c r="JH48" s="47">
        <v>654828.07259999996</v>
      </c>
      <c r="JI48" s="47">
        <v>543976.78189999994</v>
      </c>
      <c r="JJ48" s="47">
        <v>351815.78940000001</v>
      </c>
      <c r="JK48" s="47">
        <v>287994.12449999998</v>
      </c>
      <c r="JL48" s="47">
        <v>176655.19289999999</v>
      </c>
      <c r="JM48" s="47">
        <v>75069.444780000005</v>
      </c>
      <c r="JN48" s="1034"/>
      <c r="JO48" s="47">
        <v>217353.99979999999</v>
      </c>
      <c r="JP48" s="47">
        <v>130015.73850000001</v>
      </c>
      <c r="JQ48" s="47">
        <v>105800.24400000001</v>
      </c>
      <c r="JR48" s="47">
        <v>65338.765670000001</v>
      </c>
      <c r="JS48" s="47">
        <v>53007.029260000003</v>
      </c>
      <c r="JT48" s="47">
        <v>32710.666290000001</v>
      </c>
      <c r="JU48" s="47">
        <v>14236.31119</v>
      </c>
      <c r="JV48" s="77"/>
      <c r="JW48" s="47">
        <v>239748</v>
      </c>
      <c r="JX48" s="47">
        <v>107917.95940000001</v>
      </c>
      <c r="JY48" s="47">
        <v>81792.048070000004</v>
      </c>
      <c r="JZ48" s="47">
        <v>45641.557500000003</v>
      </c>
      <c r="KA48" s="47">
        <v>36165.168689999999</v>
      </c>
      <c r="KB48" s="47">
        <v>21220.016759999999</v>
      </c>
      <c r="KC48" s="47">
        <v>9323.2021050000003</v>
      </c>
      <c r="KD48" s="77"/>
      <c r="KE48" s="47">
        <v>254668.99960000001</v>
      </c>
      <c r="KF48" s="47">
        <v>113272.2384</v>
      </c>
      <c r="KG48" s="47">
        <v>83417.468829999998</v>
      </c>
      <c r="KH48" s="47">
        <v>42801.844879999997</v>
      </c>
      <c r="KI48" s="47">
        <v>32642.983250000001</v>
      </c>
      <c r="KJ48" s="47">
        <v>17701.634709999998</v>
      </c>
      <c r="KK48" s="47">
        <v>7134.5695009999999</v>
      </c>
      <c r="KL48" s="77"/>
      <c r="KM48" s="47">
        <v>685245</v>
      </c>
      <c r="KN48" s="47">
        <v>166719.02309999999</v>
      </c>
      <c r="KO48" s="47">
        <v>95991.662800000006</v>
      </c>
      <c r="KP48" s="47">
        <v>28385.668229999999</v>
      </c>
      <c r="KQ48" s="47">
        <v>18227.161970000001</v>
      </c>
      <c r="KR48" s="47">
        <v>7932.765566</v>
      </c>
      <c r="KS48" s="47">
        <v>2861.0605799999998</v>
      </c>
      <c r="KT48" s="77"/>
      <c r="KU48" s="47">
        <v>493362</v>
      </c>
      <c r="KV48" s="47">
        <v>138205.68960000001</v>
      </c>
      <c r="KW48" s="47">
        <v>87630.315090000004</v>
      </c>
      <c r="KX48" s="47">
        <v>34997.647559999998</v>
      </c>
      <c r="KY48" s="47">
        <v>25509.88911</v>
      </c>
      <c r="KZ48" s="47">
        <v>13918.542960000001</v>
      </c>
      <c r="LA48" s="47">
        <v>5658.6568960000004</v>
      </c>
      <c r="LB48" s="77"/>
      <c r="LC48" s="1034">
        <v>567823.51699999999</v>
      </c>
      <c r="LD48" s="1034">
        <v>42613.259740000001</v>
      </c>
      <c r="LE48" s="1034">
        <v>21450.647819999998</v>
      </c>
      <c r="LF48" s="1034">
        <v>4866.5948859999999</v>
      </c>
      <c r="LG48" s="1034">
        <v>2483.1284219999998</v>
      </c>
      <c r="LH48" s="1034">
        <v>501.83456389999998</v>
      </c>
      <c r="LI48" s="1034">
        <v>53.314072719999999</v>
      </c>
      <c r="LJ48" s="77"/>
      <c r="LK48" s="1034">
        <v>35640</v>
      </c>
      <c r="LL48" s="1034">
        <v>22767.7683392</v>
      </c>
      <c r="LM48" s="1034">
        <v>19067.945072400002</v>
      </c>
      <c r="LN48" s="1034">
        <v>11185.381132800001</v>
      </c>
      <c r="LO48" s="1034">
        <v>8439.0742686000012</v>
      </c>
      <c r="LP48" s="1034">
        <v>4494.8194382000001</v>
      </c>
      <c r="LQ48" s="1034">
        <v>1868.6345151</v>
      </c>
    </row>
    <row r="49" spans="1:329" s="43" customFormat="1" ht="9.75" customHeight="1" x14ac:dyDescent="0.2">
      <c r="A49" s="48">
        <v>2001</v>
      </c>
      <c r="B49" s="47">
        <v>5842781.3120795237</v>
      </c>
      <c r="C49" s="47">
        <v>2502422.1773262518</v>
      </c>
      <c r="D49" s="47">
        <v>1804780.1179622184</v>
      </c>
      <c r="E49" s="47">
        <v>913102.85941514955</v>
      </c>
      <c r="F49" s="47">
        <v>694915.91382725956</v>
      </c>
      <c r="G49" s="47">
        <v>371928.31524098897</v>
      </c>
      <c r="H49" s="47">
        <v>144932.11613317995</v>
      </c>
      <c r="I49" s="47"/>
      <c r="J49" s="47">
        <v>9184632.3684999999</v>
      </c>
      <c r="K49" s="47">
        <v>3357435.4506199993</v>
      </c>
      <c r="L49" s="47">
        <v>2381027.6626199996</v>
      </c>
      <c r="M49" s="47">
        <v>1167681.5188199999</v>
      </c>
      <c r="N49" s="47">
        <v>886107.8763</v>
      </c>
      <c r="O49" s="47">
        <v>471767.20981000003</v>
      </c>
      <c r="P49" s="47">
        <v>187147.12418000001</v>
      </c>
      <c r="Q49" s="47"/>
      <c r="R49" s="47">
        <v>10307698.368000001</v>
      </c>
      <c r="S49" s="47">
        <v>3414420.1565899998</v>
      </c>
      <c r="T49" s="47">
        <v>2409864.3361900002</v>
      </c>
      <c r="U49" s="47">
        <v>1174034.0158899999</v>
      </c>
      <c r="V49" s="47">
        <v>889607.07348000002</v>
      </c>
      <c r="W49" s="47">
        <v>472568.03411000001</v>
      </c>
      <c r="X49" s="47">
        <v>187228.25956000001</v>
      </c>
      <c r="Y49" s="47"/>
      <c r="Z49" s="47">
        <v>9184632.9997000005</v>
      </c>
      <c r="AA49" s="47">
        <v>2547268.6655999999</v>
      </c>
      <c r="AB49" s="47">
        <v>1739691.7566799999</v>
      </c>
      <c r="AC49" s="47">
        <v>790069.01425000001</v>
      </c>
      <c r="AD49" s="47">
        <v>582516.30764000001</v>
      </c>
      <c r="AE49" s="47">
        <v>296124.45806999999</v>
      </c>
      <c r="AF49" s="47">
        <v>114399.59732</v>
      </c>
      <c r="AG49" s="47"/>
      <c r="AH49" s="47">
        <v>5914203.841</v>
      </c>
      <c r="AI49" s="47">
        <v>2486521.5615600003</v>
      </c>
      <c r="AJ49" s="47">
        <v>1788788.19411</v>
      </c>
      <c r="AK49" s="47">
        <v>901473.76208999986</v>
      </c>
      <c r="AL49" s="47">
        <v>685429.43845000002</v>
      </c>
      <c r="AM49" s="47">
        <v>366671.57683999999</v>
      </c>
      <c r="AN49" s="47">
        <v>143177.07352999999</v>
      </c>
      <c r="AO49" s="47"/>
      <c r="AP49" s="47"/>
      <c r="AQ49" s="47"/>
      <c r="AR49" s="47"/>
      <c r="AS49" s="47"/>
      <c r="AT49" s="47"/>
      <c r="AU49" s="47"/>
      <c r="AV49" s="47"/>
      <c r="AW49" s="47"/>
      <c r="AX49" s="47">
        <v>5969367.2369999997</v>
      </c>
      <c r="AY49" s="47">
        <v>2525579.5037500001</v>
      </c>
      <c r="AZ49" s="47">
        <v>1824357.8837800003</v>
      </c>
      <c r="BA49" s="47">
        <v>926054.27448000002</v>
      </c>
      <c r="BB49" s="47">
        <v>705939.57186999999</v>
      </c>
      <c r="BC49" s="47">
        <v>378473.78726999997</v>
      </c>
      <c r="BD49" s="47">
        <v>147619.45543</v>
      </c>
      <c r="BE49" s="47"/>
      <c r="BF49" s="44">
        <v>5980113.4084999999</v>
      </c>
      <c r="BG49" s="44">
        <v>2496348.4391699997</v>
      </c>
      <c r="BH49" s="44">
        <v>1801720.4450700001</v>
      </c>
      <c r="BI49" s="44">
        <v>915180.71632000001</v>
      </c>
      <c r="BJ49" s="44">
        <v>698789.38987000007</v>
      </c>
      <c r="BK49" s="44">
        <v>375835.70721000002</v>
      </c>
      <c r="BL49" s="44">
        <v>146994.26985000001</v>
      </c>
      <c r="BN49" s="44">
        <v>5980113.4084999999</v>
      </c>
      <c r="BO49" s="44">
        <v>2309497.3301700004</v>
      </c>
      <c r="BP49" s="44">
        <v>1663729.3633099999</v>
      </c>
      <c r="BQ49" s="44">
        <v>840385.8618500001</v>
      </c>
      <c r="BR49" s="44">
        <v>643067.82551</v>
      </c>
      <c r="BS49" s="44">
        <v>347768.01491000003</v>
      </c>
      <c r="BT49" s="44">
        <v>136530.08374</v>
      </c>
      <c r="BU49" s="44"/>
      <c r="BV49" s="47">
        <v>6003224.1955000004</v>
      </c>
      <c r="BW49" s="47">
        <v>2330856.1397800003</v>
      </c>
      <c r="BX49" s="47">
        <v>1683726.6112100002</v>
      </c>
      <c r="BY49" s="47">
        <v>857767.21905000007</v>
      </c>
      <c r="BZ49" s="47">
        <v>659007.33194000006</v>
      </c>
      <c r="CA49" s="47">
        <v>359935.04379999998</v>
      </c>
      <c r="CB49" s="47">
        <v>143248.15932000001</v>
      </c>
      <c r="CC49" s="44"/>
      <c r="CD49" s="47">
        <v>6183394.1955000004</v>
      </c>
      <c r="CE49" s="47">
        <v>2420389.5364399999</v>
      </c>
      <c r="CF49" s="47">
        <v>1755312.0933000001</v>
      </c>
      <c r="CG49" s="47">
        <v>901625.00328000006</v>
      </c>
      <c r="CH49" s="47">
        <v>694617.16039000009</v>
      </c>
      <c r="CI49" s="47">
        <v>381071.93559000001</v>
      </c>
      <c r="CJ49" s="47">
        <v>152774.61611</v>
      </c>
      <c r="CL49" s="47">
        <v>6359601.1955000004</v>
      </c>
      <c r="CM49" s="47">
        <v>2498081.31134</v>
      </c>
      <c r="CN49" s="47">
        <v>1814263.4561699999</v>
      </c>
      <c r="CO49" s="47">
        <v>934451.55676999991</v>
      </c>
      <c r="CP49" s="47">
        <v>720502.70369999995</v>
      </c>
      <c r="CQ49" s="47">
        <v>395620.2598</v>
      </c>
      <c r="CR49" s="47">
        <v>159215.28320000001</v>
      </c>
      <c r="CS49" s="47"/>
      <c r="CT49" s="47">
        <v>6498988.1955000004</v>
      </c>
      <c r="CU49" s="47">
        <v>2567719.8937799996</v>
      </c>
      <c r="CV49" s="47">
        <v>1870247.4062200002</v>
      </c>
      <c r="CW49" s="47">
        <v>968704.73809</v>
      </c>
      <c r="CX49" s="47">
        <v>747949.09016999998</v>
      </c>
      <c r="CY49" s="47">
        <v>411556.38202999998</v>
      </c>
      <c r="CZ49" s="47">
        <v>166098.93504000001</v>
      </c>
      <c r="DA49" s="47"/>
      <c r="DB49" s="47">
        <v>6498988.1955000004</v>
      </c>
      <c r="DC49" s="47">
        <v>2581035.0331100002</v>
      </c>
      <c r="DD49" s="47">
        <v>1883254.4322800001</v>
      </c>
      <c r="DE49" s="47">
        <v>978418.18478999997</v>
      </c>
      <c r="DF49" s="47">
        <v>756955.49365000008</v>
      </c>
      <c r="DG49" s="47">
        <v>417009.49023</v>
      </c>
      <c r="DH49" s="47">
        <v>168396.18221</v>
      </c>
      <c r="DI49" s="47"/>
      <c r="DJ49" s="47">
        <v>7216116.2805000003</v>
      </c>
      <c r="DK49" s="47">
        <v>2807496.1334600002</v>
      </c>
      <c r="DL49" s="47">
        <v>2048104.4936600002</v>
      </c>
      <c r="DM49" s="47">
        <v>1053217.38693</v>
      </c>
      <c r="DN49" s="47">
        <v>809121.21527000004</v>
      </c>
      <c r="DO49" s="47">
        <v>438940.65925000003</v>
      </c>
      <c r="DP49" s="47">
        <v>176293.65325</v>
      </c>
      <c r="DQ49" s="47"/>
      <c r="DR49" s="47">
        <v>7479525.2802663911</v>
      </c>
      <c r="DS49" s="47">
        <v>2902059.8674536338</v>
      </c>
      <c r="DT49" s="47">
        <v>2107227.1033138237</v>
      </c>
      <c r="DU49" s="47">
        <v>1074860.6647659482</v>
      </c>
      <c r="DV49" s="47">
        <v>823283.23664615629</v>
      </c>
      <c r="DW49" s="47">
        <v>444053.97991812881</v>
      </c>
      <c r="DX49" s="47">
        <v>177460.16240000093</v>
      </c>
      <c r="DY49" s="297"/>
      <c r="DZ49" s="47">
        <v>7837511.2805413026</v>
      </c>
      <c r="EA49" s="47">
        <v>2983446.4709254513</v>
      </c>
      <c r="EB49" s="47">
        <v>2151590.2383989291</v>
      </c>
      <c r="EC49" s="47">
        <v>1086496.5219839902</v>
      </c>
      <c r="ED49" s="47">
        <v>830808.70359368133</v>
      </c>
      <c r="EE49" s="47">
        <v>446979.05602037627</v>
      </c>
      <c r="EF49" s="47">
        <v>178364.84199830407</v>
      </c>
      <c r="EG49" s="541"/>
      <c r="EH49" s="47">
        <v>8275460.2805413585</v>
      </c>
      <c r="EI49" s="47">
        <v>3080130.0508641396</v>
      </c>
      <c r="EJ49" s="47">
        <v>2197708.1148417131</v>
      </c>
      <c r="EK49" s="47">
        <v>1093703.4012138522</v>
      </c>
      <c r="EL49" s="47">
        <v>834519.70586558385</v>
      </c>
      <c r="EM49" s="47">
        <v>447863.02930737205</v>
      </c>
      <c r="EN49" s="47">
        <v>178517.25151705716</v>
      </c>
      <c r="EO49" s="47"/>
      <c r="EP49" s="47">
        <v>8605761.3684999999</v>
      </c>
      <c r="EQ49" s="47">
        <v>3195219.7290299996</v>
      </c>
      <c r="ER49" s="47">
        <v>2277359.98685</v>
      </c>
      <c r="ES49" s="47">
        <v>1126683.11525</v>
      </c>
      <c r="ET49" s="47">
        <v>856839.82086999994</v>
      </c>
      <c r="EU49" s="47">
        <v>456657.50420999998</v>
      </c>
      <c r="EV49" s="47">
        <v>181297.51068000001</v>
      </c>
      <c r="EW49" s="47"/>
      <c r="EX49" s="47">
        <v>9184632.3684999999</v>
      </c>
      <c r="EY49" s="47">
        <v>3357435.4506199993</v>
      </c>
      <c r="EZ49" s="47">
        <v>2381027.6626199996</v>
      </c>
      <c r="FA49" s="47">
        <v>1167681.5188199999</v>
      </c>
      <c r="FB49" s="47">
        <v>886107.8763</v>
      </c>
      <c r="FC49" s="47">
        <v>471767.20981000003</v>
      </c>
      <c r="FD49" s="47">
        <v>187147.12418000001</v>
      </c>
      <c r="FE49" s="47"/>
      <c r="FF49" s="47">
        <v>9618128.3683000002</v>
      </c>
      <c r="FG49" s="47">
        <v>3395169.8382600001</v>
      </c>
      <c r="FH49" s="47">
        <v>2402240.9530099998</v>
      </c>
      <c r="FI49" s="47">
        <v>1173251.4957099999</v>
      </c>
      <c r="FJ49" s="47">
        <v>889324.42953999992</v>
      </c>
      <c r="FK49" s="47">
        <v>472477.37933999998</v>
      </c>
      <c r="FL49" s="47">
        <v>187222.14371</v>
      </c>
      <c r="FN49" s="47">
        <v>9650027.3684999999</v>
      </c>
      <c r="FO49" s="47">
        <v>3397092.8562500002</v>
      </c>
      <c r="FP49" s="47">
        <v>2402884.64634</v>
      </c>
      <c r="FQ49" s="47">
        <v>1173297.27954</v>
      </c>
      <c r="FR49" s="47">
        <v>889390.7713299999</v>
      </c>
      <c r="FS49" s="47">
        <v>472482.17651999998</v>
      </c>
      <c r="FT49" s="47">
        <v>187222.27895000001</v>
      </c>
      <c r="FV49" s="44">
        <v>9774103.3684999999</v>
      </c>
      <c r="FW49" s="44">
        <v>3399751.5562499999</v>
      </c>
      <c r="FX49" s="44">
        <v>2404213.9963400001</v>
      </c>
      <c r="FY49" s="44">
        <v>1173563.1495399999</v>
      </c>
      <c r="FZ49" s="44">
        <v>889523.70632999996</v>
      </c>
      <c r="GA49" s="44">
        <v>472508.76352000004</v>
      </c>
      <c r="GB49" s="44">
        <v>187224.93765000001</v>
      </c>
      <c r="GC49" s="44"/>
      <c r="GE49" s="47">
        <v>9993919.3684999999</v>
      </c>
      <c r="GF49" s="47">
        <v>3414420.1565899998</v>
      </c>
      <c r="GG49" s="47">
        <v>2409864.3361900002</v>
      </c>
      <c r="GH49" s="47">
        <v>1174034.0158899999</v>
      </c>
      <c r="GI49" s="47">
        <v>889607.07348000002</v>
      </c>
      <c r="GJ49" s="47">
        <v>472568.03411000001</v>
      </c>
      <c r="GK49" s="47">
        <v>187228.25956000001</v>
      </c>
      <c r="GM49" s="47">
        <v>10307698.368000001</v>
      </c>
      <c r="GN49" s="47">
        <v>3414420.1565899998</v>
      </c>
      <c r="GO49" s="47">
        <v>2409864.3361900002</v>
      </c>
      <c r="GP49" s="47">
        <v>1174034.0158899999</v>
      </c>
      <c r="GQ49" s="47">
        <v>889607.07348000002</v>
      </c>
      <c r="GR49" s="47">
        <v>472568.03411000001</v>
      </c>
      <c r="GS49" s="47">
        <v>187228.25956000001</v>
      </c>
      <c r="GT49" s="187"/>
      <c r="GU49" s="480">
        <v>9272898.2268000003</v>
      </c>
      <c r="GV49" s="481">
        <v>2773966.2562299999</v>
      </c>
      <c r="GW49" s="481">
        <v>1896404.5874799998</v>
      </c>
      <c r="GX49" s="481">
        <v>859670.76517999999</v>
      </c>
      <c r="GY49" s="481">
        <v>635745.38819999993</v>
      </c>
      <c r="GZ49" s="481">
        <v>325083.55027000001</v>
      </c>
      <c r="HA49" s="481">
        <v>126460.10933000001</v>
      </c>
      <c r="HB49" s="256"/>
      <c r="HC49" s="480">
        <v>9049562.2262999993</v>
      </c>
      <c r="HD49" s="481">
        <v>2652151.7162899999</v>
      </c>
      <c r="HE49" s="481">
        <v>1800182.4327400001</v>
      </c>
      <c r="HF49" s="481">
        <v>805254.36436999997</v>
      </c>
      <c r="HG49" s="481">
        <v>591955.21713</v>
      </c>
      <c r="HH49" s="481">
        <v>300217.87049</v>
      </c>
      <c r="HI49" s="481">
        <v>116439.93270999999</v>
      </c>
      <c r="HJ49" s="481"/>
      <c r="HK49" s="480">
        <v>8873355.2262999993</v>
      </c>
      <c r="HL49" s="481">
        <v>2581370.30223</v>
      </c>
      <c r="HM49" s="481">
        <v>1748737.4399799998</v>
      </c>
      <c r="HN49" s="481">
        <v>777522.97884</v>
      </c>
      <c r="HO49" s="481">
        <v>570211.36158999999</v>
      </c>
      <c r="HP49" s="481">
        <v>288121.12689000001</v>
      </c>
      <c r="HQ49" s="481">
        <v>110942.40491</v>
      </c>
      <c r="HR49" s="256"/>
      <c r="HS49" s="480">
        <v>8605337.2265000008</v>
      </c>
      <c r="HT49" s="481">
        <v>2471050.4711600002</v>
      </c>
      <c r="HU49" s="481">
        <v>1669161.0317200003</v>
      </c>
      <c r="HV49" s="481">
        <v>736889.39098999999</v>
      </c>
      <c r="HW49" s="481">
        <v>539950.33357000002</v>
      </c>
      <c r="HX49" s="481">
        <v>272048.43221</v>
      </c>
      <c r="HY49" s="481">
        <v>104591.4887</v>
      </c>
      <c r="HZ49" s="47"/>
      <c r="IA49" s="480">
        <v>7894901.2267000005</v>
      </c>
      <c r="IB49" s="481">
        <v>2295531.5387500003</v>
      </c>
      <c r="IC49" s="481">
        <v>1568752.1221899998</v>
      </c>
      <c r="ID49" s="481">
        <v>709876.18210000009</v>
      </c>
      <c r="IE49" s="481">
        <v>523027.29997999995</v>
      </c>
      <c r="IF49" s="481">
        <v>265783.54239000002</v>
      </c>
      <c r="IG49" s="481">
        <v>102643.64141</v>
      </c>
      <c r="IH49" s="47"/>
      <c r="II49" s="480">
        <v>7509859.2267000005</v>
      </c>
      <c r="IJ49" s="480">
        <v>2186730.94698</v>
      </c>
      <c r="IK49" s="480">
        <v>1500405.30076</v>
      </c>
      <c r="IL49" s="480">
        <v>683433.54601000005</v>
      </c>
      <c r="IM49" s="480">
        <v>504301.59096</v>
      </c>
      <c r="IN49" s="480">
        <v>256128.41042000003</v>
      </c>
      <c r="IO49" s="480">
        <v>98804.149560000005</v>
      </c>
      <c r="IP49" s="757"/>
      <c r="IQ49" s="757">
        <v>7714131.9996999996</v>
      </c>
      <c r="IR49" s="757">
        <v>2275290.1549099996</v>
      </c>
      <c r="IS49" s="757">
        <v>1566015.3979800001</v>
      </c>
      <c r="IT49" s="757">
        <v>719754.38816999993</v>
      </c>
      <c r="IU49" s="757">
        <v>532377.35196</v>
      </c>
      <c r="IV49" s="757">
        <v>271727.62387999997</v>
      </c>
      <c r="IW49" s="757">
        <v>105175.17230999999</v>
      </c>
      <c r="IX49" s="757"/>
      <c r="IY49" s="757">
        <v>9184632.9997000005</v>
      </c>
      <c r="IZ49" s="757">
        <v>2547268.6655999999</v>
      </c>
      <c r="JA49" s="757">
        <v>1739691.7566799999</v>
      </c>
      <c r="JB49" s="757">
        <v>790069.01425000001</v>
      </c>
      <c r="JC49" s="757">
        <v>582516.30764000001</v>
      </c>
      <c r="JD49" s="757">
        <v>296124.45806999999</v>
      </c>
      <c r="JE49" s="757">
        <v>114399.59732</v>
      </c>
      <c r="JF49" s="256"/>
      <c r="JG49" s="47">
        <v>999103.14170000004</v>
      </c>
      <c r="JH49" s="47">
        <v>628457.09389999998</v>
      </c>
      <c r="JI49" s="47">
        <v>509434.94790000003</v>
      </c>
      <c r="JJ49" s="47">
        <v>316422.96159999998</v>
      </c>
      <c r="JK49" s="47">
        <v>254879.8602</v>
      </c>
      <c r="JL49" s="47">
        <v>151474.1042</v>
      </c>
      <c r="JM49" s="47">
        <v>62770.04999</v>
      </c>
      <c r="JN49" s="1034"/>
      <c r="JO49" s="47">
        <v>223336.00039999999</v>
      </c>
      <c r="JP49" s="47">
        <v>129342.86010000001</v>
      </c>
      <c r="JQ49" s="47">
        <v>103367.9047</v>
      </c>
      <c r="JR49" s="47">
        <v>61252.232859999996</v>
      </c>
      <c r="JS49" s="47">
        <v>49129.776870000002</v>
      </c>
      <c r="JT49" s="47">
        <v>29367.01928</v>
      </c>
      <c r="JU49" s="47">
        <v>11982.628049999999</v>
      </c>
      <c r="JV49" s="77"/>
      <c r="JW49" s="47">
        <v>176207</v>
      </c>
      <c r="JX49" s="47">
        <v>74908.942060000001</v>
      </c>
      <c r="JY49" s="47">
        <v>56198.734389999998</v>
      </c>
      <c r="JZ49" s="47">
        <v>31649.186030000001</v>
      </c>
      <c r="KA49" s="47">
        <v>24694.0291</v>
      </c>
      <c r="KB49" s="47">
        <v>14301.585080000001</v>
      </c>
      <c r="KC49" s="47">
        <v>6479.648287</v>
      </c>
      <c r="KD49" s="77"/>
      <c r="KE49" s="47">
        <v>268017.9999</v>
      </c>
      <c r="KF49" s="47">
        <v>117159.6103</v>
      </c>
      <c r="KG49" s="47">
        <v>85998.948090000005</v>
      </c>
      <c r="KH49" s="47">
        <v>44306.971039999997</v>
      </c>
      <c r="KI49" s="47">
        <v>33699.369449999998</v>
      </c>
      <c r="KJ49" s="47">
        <v>18230.55271</v>
      </c>
      <c r="KK49" s="47">
        <v>7405.7772850000001</v>
      </c>
      <c r="KL49" s="77"/>
      <c r="KM49" s="47">
        <v>710435.99979999999</v>
      </c>
      <c r="KN49" s="47">
        <v>176899.7922</v>
      </c>
      <c r="KO49" s="47">
        <v>100350.0791</v>
      </c>
      <c r="KP49" s="47">
        <v>27667.553670000001</v>
      </c>
      <c r="KQ49" s="47">
        <v>17130.076239999999</v>
      </c>
      <c r="KR49" s="47">
        <v>6650.1763259999998</v>
      </c>
      <c r="KS49" s="47">
        <v>2105.6009180000001</v>
      </c>
      <c r="KT49" s="77"/>
      <c r="KU49" s="47">
        <v>500095</v>
      </c>
      <c r="KV49" s="47">
        <v>139505.52960000001</v>
      </c>
      <c r="KW49" s="47">
        <v>87402.200490000003</v>
      </c>
      <c r="KX49" s="47">
        <v>33609.471949999999</v>
      </c>
      <c r="KY49" s="47">
        <v>24108.751059999999</v>
      </c>
      <c r="KZ49" s="47">
        <v>12669.157520000001</v>
      </c>
      <c r="LA49" s="47">
        <v>4926.015684</v>
      </c>
      <c r="LB49" s="77"/>
      <c r="LC49" s="1034">
        <v>617324.64509999997</v>
      </c>
      <c r="LD49" s="1034">
        <v>46612.38869</v>
      </c>
      <c r="LE49" s="1034">
        <v>23071.47118</v>
      </c>
      <c r="LF49" s="1034">
        <v>5123.8282769999996</v>
      </c>
      <c r="LG49" s="1034">
        <v>2670.6027859999999</v>
      </c>
      <c r="LH49" s="1034">
        <v>615.10360519999995</v>
      </c>
      <c r="LI49" s="1034">
        <v>68.651512159999996</v>
      </c>
      <c r="LJ49" s="77"/>
      <c r="LK49" s="1034">
        <v>35697</v>
      </c>
      <c r="LL49" s="1034">
        <v>22809.748925600004</v>
      </c>
      <c r="LM49" s="1034">
        <v>19026.720852999999</v>
      </c>
      <c r="LN49" s="1034">
        <v>11254.6788466</v>
      </c>
      <c r="LO49" s="1034">
        <v>8477.5358429999997</v>
      </c>
      <c r="LP49" s="1034">
        <v>4580.5448041</v>
      </c>
      <c r="LQ49" s="1034">
        <v>1954.6003929000001</v>
      </c>
    </row>
    <row r="50" spans="1:329" s="43" customFormat="1" ht="9.75" customHeight="1" x14ac:dyDescent="0.2">
      <c r="A50" s="48">
        <v>2002</v>
      </c>
      <c r="B50" s="47">
        <v>5814392.7432524385</v>
      </c>
      <c r="C50" s="47">
        <v>2471445.2330430308</v>
      </c>
      <c r="D50" s="47">
        <v>1767471.8759411536</v>
      </c>
      <c r="E50" s="47">
        <v>873612.46126730263</v>
      </c>
      <c r="F50" s="47">
        <v>658130.68988405261</v>
      </c>
      <c r="G50" s="47">
        <v>344006.20876986999</v>
      </c>
      <c r="H50" s="47">
        <v>132178.73368325003</v>
      </c>
      <c r="I50" s="47"/>
      <c r="J50" s="47">
        <v>9436822.1164999995</v>
      </c>
      <c r="K50" s="47">
        <v>3403595.1047</v>
      </c>
      <c r="L50" s="47">
        <v>2395663.0606999998</v>
      </c>
      <c r="M50" s="47">
        <v>1138854.3372</v>
      </c>
      <c r="N50" s="47">
        <v>852625.93173000007</v>
      </c>
      <c r="O50" s="47">
        <v>446971.16671999998</v>
      </c>
      <c r="P50" s="47">
        <v>176255.28682000001</v>
      </c>
      <c r="Q50" s="47"/>
      <c r="R50" s="47">
        <v>10662241.117000001</v>
      </c>
      <c r="S50" s="47">
        <v>3465981.20254</v>
      </c>
      <c r="T50" s="47">
        <v>2425129.2357400004</v>
      </c>
      <c r="U50" s="47">
        <v>1145714.9239399999</v>
      </c>
      <c r="V50" s="47">
        <v>856604.0956</v>
      </c>
      <c r="W50" s="47">
        <v>447304.45397000003</v>
      </c>
      <c r="X50" s="47">
        <v>176323.41654999999</v>
      </c>
      <c r="Y50" s="47"/>
      <c r="Z50" s="47">
        <v>9436823.0003999993</v>
      </c>
      <c r="AA50" s="47">
        <v>2541478.9195799995</v>
      </c>
      <c r="AB50" s="47">
        <v>1719956.0127399999</v>
      </c>
      <c r="AC50" s="47">
        <v>758406.56209999998</v>
      </c>
      <c r="AD50" s="47">
        <v>552560.60921999998</v>
      </c>
      <c r="AE50" s="47">
        <v>275106.79483999999</v>
      </c>
      <c r="AF50" s="47">
        <v>104599.57256</v>
      </c>
      <c r="AG50" s="47"/>
      <c r="AH50" s="47">
        <v>5874369.6978000002</v>
      </c>
      <c r="AI50" s="47">
        <v>2453659.80485</v>
      </c>
      <c r="AJ50" s="47">
        <v>1750016.7785800002</v>
      </c>
      <c r="AK50" s="47">
        <v>861377.73910999997</v>
      </c>
      <c r="AL50" s="47">
        <v>648086.36201999988</v>
      </c>
      <c r="AM50" s="47">
        <v>338440.38471000001</v>
      </c>
      <c r="AN50" s="47">
        <v>130242.97845</v>
      </c>
      <c r="AO50" s="47"/>
      <c r="AP50" s="47"/>
      <c r="AQ50" s="47"/>
      <c r="AR50" s="47"/>
      <c r="AS50" s="47"/>
      <c r="AT50" s="47"/>
      <c r="AU50" s="47"/>
      <c r="AV50" s="47"/>
      <c r="AW50" s="47"/>
      <c r="AX50" s="47">
        <v>5928379.3723999998</v>
      </c>
      <c r="AY50" s="47">
        <v>2491463.0004499997</v>
      </c>
      <c r="AZ50" s="47">
        <v>1783595.4496800001</v>
      </c>
      <c r="BA50" s="47">
        <v>884832.58097999997</v>
      </c>
      <c r="BB50" s="47">
        <v>667519.98130999994</v>
      </c>
      <c r="BC50" s="47">
        <v>349766.57264000003</v>
      </c>
      <c r="BD50" s="47">
        <v>134501.06539</v>
      </c>
      <c r="BE50" s="47"/>
      <c r="BF50" s="44">
        <v>5933868.3783999998</v>
      </c>
      <c r="BG50" s="44">
        <v>2456181.0628500003</v>
      </c>
      <c r="BH50" s="44">
        <v>1756160.4481500001</v>
      </c>
      <c r="BI50" s="44">
        <v>871692.57290000003</v>
      </c>
      <c r="BJ50" s="44">
        <v>658894.93094999995</v>
      </c>
      <c r="BK50" s="44">
        <v>346523.65691999998</v>
      </c>
      <c r="BL50" s="44">
        <v>133666.27956</v>
      </c>
      <c r="BN50" s="44">
        <v>5933868.3783999998</v>
      </c>
      <c r="BO50" s="44">
        <v>2267668.46202</v>
      </c>
      <c r="BP50" s="44">
        <v>1618645.07592</v>
      </c>
      <c r="BQ50" s="44">
        <v>796391.92758000002</v>
      </c>
      <c r="BR50" s="44">
        <v>601197.89489999996</v>
      </c>
      <c r="BS50" s="44">
        <v>320421.47970000003</v>
      </c>
      <c r="BT50" s="44">
        <v>124234.05145</v>
      </c>
      <c r="BU50" s="44"/>
      <c r="BV50" s="47">
        <v>5949898.9863999998</v>
      </c>
      <c r="BW50" s="47">
        <v>2282385.0038000001</v>
      </c>
      <c r="BX50" s="47">
        <v>1632643.18738</v>
      </c>
      <c r="BY50" s="47">
        <v>808188.54651999997</v>
      </c>
      <c r="BZ50" s="47">
        <v>612057.14601999999</v>
      </c>
      <c r="CA50" s="47">
        <v>328351.72002000001</v>
      </c>
      <c r="CB50" s="47">
        <v>128779.32094000001</v>
      </c>
      <c r="CC50" s="44"/>
      <c r="CD50" s="47">
        <v>6264551.9863999998</v>
      </c>
      <c r="CE50" s="47">
        <v>2432694.4650499998</v>
      </c>
      <c r="CF50" s="47">
        <v>1750501.6794399999</v>
      </c>
      <c r="CG50" s="47">
        <v>876042.08636999992</v>
      </c>
      <c r="CH50" s="47">
        <v>667537.44482999993</v>
      </c>
      <c r="CI50" s="47">
        <v>361193.53709999996</v>
      </c>
      <c r="CJ50" s="47">
        <v>144165.63446</v>
      </c>
      <c r="CL50" s="47">
        <v>6432392.9863999998</v>
      </c>
      <c r="CM50" s="47">
        <v>2504635.43243</v>
      </c>
      <c r="CN50" s="47">
        <v>1804232.74123</v>
      </c>
      <c r="CO50" s="47">
        <v>903733.17721999995</v>
      </c>
      <c r="CP50" s="47">
        <v>689483.25655000005</v>
      </c>
      <c r="CQ50" s="47">
        <v>373468.74595000001</v>
      </c>
      <c r="CR50" s="47">
        <v>149591.67717000001</v>
      </c>
      <c r="CS50" s="47"/>
      <c r="CT50" s="47">
        <v>6583194.9863999998</v>
      </c>
      <c r="CU50" s="47">
        <v>2578878.1028299998</v>
      </c>
      <c r="CV50" s="47">
        <v>1862776.6589200001</v>
      </c>
      <c r="CW50" s="47">
        <v>938606.66149999993</v>
      </c>
      <c r="CX50" s="47">
        <v>716998.33282999997</v>
      </c>
      <c r="CY50" s="47">
        <v>389407.81718999997</v>
      </c>
      <c r="CZ50" s="47">
        <v>156644.50982000001</v>
      </c>
      <c r="DA50" s="47"/>
      <c r="DB50" s="47">
        <v>6583194.9874</v>
      </c>
      <c r="DC50" s="47">
        <v>2586910.5929799997</v>
      </c>
      <c r="DD50" s="47">
        <v>1870623.7617600001</v>
      </c>
      <c r="DE50" s="47">
        <v>943995.27561000001</v>
      </c>
      <c r="DF50" s="47">
        <v>721591.35268000001</v>
      </c>
      <c r="DG50" s="47">
        <v>392214.39142</v>
      </c>
      <c r="DH50" s="47">
        <v>157852.63521000001</v>
      </c>
      <c r="DI50" s="47"/>
      <c r="DJ50" s="47">
        <v>7362121.4094000002</v>
      </c>
      <c r="DK50" s="47">
        <v>2818777.5215000003</v>
      </c>
      <c r="DL50" s="47">
        <v>2040450.3385500002</v>
      </c>
      <c r="DM50" s="47">
        <v>1024614.85515</v>
      </c>
      <c r="DN50" s="47">
        <v>776457.88309999998</v>
      </c>
      <c r="DO50" s="47">
        <v>415615.13856999995</v>
      </c>
      <c r="DP50" s="47">
        <v>166191.47618999999</v>
      </c>
      <c r="DQ50" s="47"/>
      <c r="DR50" s="47">
        <v>7646888.4102085056</v>
      </c>
      <c r="DS50" s="47">
        <v>2920471.5756495115</v>
      </c>
      <c r="DT50" s="47">
        <v>2106584.7205630806</v>
      </c>
      <c r="DU50" s="47">
        <v>1048390.1722198662</v>
      </c>
      <c r="DV50" s="47">
        <v>792062.83776369144</v>
      </c>
      <c r="DW50" s="47">
        <v>421158.14947368612</v>
      </c>
      <c r="DX50" s="47">
        <v>167471.41773426978</v>
      </c>
      <c r="DY50" s="297"/>
      <c r="DZ50" s="47">
        <v>8012933.4104580572</v>
      </c>
      <c r="EA50" s="47">
        <v>3006485.7792268135</v>
      </c>
      <c r="EB50" s="47">
        <v>2152196.5790620521</v>
      </c>
      <c r="EC50" s="47">
        <v>1059136.688316135</v>
      </c>
      <c r="ED50" s="47">
        <v>799030.39543447166</v>
      </c>
      <c r="EE50" s="47">
        <v>423736.94827099441</v>
      </c>
      <c r="EF50" s="47">
        <v>168166.47063833071</v>
      </c>
      <c r="EG50" s="541"/>
      <c r="EH50" s="47">
        <v>8485377.4104579985</v>
      </c>
      <c r="EI50" s="47">
        <v>3111230.3809151649</v>
      </c>
      <c r="EJ50" s="47">
        <v>2205887.8647140888</v>
      </c>
      <c r="EK50" s="47">
        <v>1067537.4262321875</v>
      </c>
      <c r="EL50" s="47">
        <v>803033.66769272508</v>
      </c>
      <c r="EM50" s="47">
        <v>424568.61556212616</v>
      </c>
      <c r="EN50" s="47">
        <v>168317.15176261935</v>
      </c>
      <c r="EO50" s="47"/>
      <c r="EP50" s="47">
        <v>8847328.1164999995</v>
      </c>
      <c r="EQ50" s="47">
        <v>3239496.4102600003</v>
      </c>
      <c r="ER50" s="47">
        <v>2291290.0473600002</v>
      </c>
      <c r="ES50" s="47">
        <v>1099265.52926</v>
      </c>
      <c r="ET50" s="47">
        <v>824572.5792700001</v>
      </c>
      <c r="EU50" s="47">
        <v>432837.93790999998</v>
      </c>
      <c r="EV50" s="47">
        <v>170800.87213</v>
      </c>
      <c r="EW50" s="47"/>
      <c r="EX50" s="47">
        <v>9436822.1164999995</v>
      </c>
      <c r="EY50" s="47">
        <v>3403595.1047</v>
      </c>
      <c r="EZ50" s="47">
        <v>2395663.0606999998</v>
      </c>
      <c r="FA50" s="47">
        <v>1138854.3372</v>
      </c>
      <c r="FB50" s="47">
        <v>852625.93173000007</v>
      </c>
      <c r="FC50" s="47">
        <v>446971.16671999998</v>
      </c>
      <c r="FD50" s="47">
        <v>176255.28682000001</v>
      </c>
      <c r="FE50" s="47"/>
      <c r="FF50" s="47">
        <v>9892431.1165999994</v>
      </c>
      <c r="FG50" s="47">
        <v>3444672.9098599995</v>
      </c>
      <c r="FH50" s="47">
        <v>2416139.8293599999</v>
      </c>
      <c r="FI50" s="47">
        <v>1144744.4226599999</v>
      </c>
      <c r="FJ50" s="47">
        <v>855833.40996000008</v>
      </c>
      <c r="FK50" s="47">
        <v>447290.06053999998</v>
      </c>
      <c r="FL50" s="47">
        <v>176333.19850999999</v>
      </c>
      <c r="FN50" s="47">
        <v>9945912.1169000007</v>
      </c>
      <c r="FO50" s="47">
        <v>3448337.6034300001</v>
      </c>
      <c r="FP50" s="47">
        <v>2417768.0027299998</v>
      </c>
      <c r="FQ50" s="47">
        <v>1144918.3655299998</v>
      </c>
      <c r="FR50" s="47">
        <v>856122.63143999991</v>
      </c>
      <c r="FS50" s="47">
        <v>447297.71094000002</v>
      </c>
      <c r="FT50" s="47">
        <v>176333.37969999999</v>
      </c>
      <c r="FV50" s="44">
        <v>10081588.117000001</v>
      </c>
      <c r="FW50" s="44">
        <v>3451290.6034300001</v>
      </c>
      <c r="FX50" s="44">
        <v>2419244.5027299998</v>
      </c>
      <c r="FY50" s="44">
        <v>1145213.6655299999</v>
      </c>
      <c r="FZ50" s="44">
        <v>856270.28144000005</v>
      </c>
      <c r="GA50" s="44">
        <v>447327.24094000005</v>
      </c>
      <c r="GB50" s="44">
        <v>176336.3327</v>
      </c>
      <c r="GC50" s="44"/>
      <c r="GE50" s="47">
        <v>10315711.117000001</v>
      </c>
      <c r="GF50" s="47">
        <v>3465981.20254</v>
      </c>
      <c r="GG50" s="47">
        <v>2425129.2357400004</v>
      </c>
      <c r="GH50" s="47">
        <v>1145714.9239399999</v>
      </c>
      <c r="GI50" s="47">
        <v>856604.0956</v>
      </c>
      <c r="GJ50" s="47">
        <v>447304.45397000003</v>
      </c>
      <c r="GK50" s="47">
        <v>176323.41654999999</v>
      </c>
      <c r="GM50" s="47">
        <v>10662241.117000001</v>
      </c>
      <c r="GN50" s="47">
        <v>3465981.20254</v>
      </c>
      <c r="GO50" s="47">
        <v>2425129.2357400004</v>
      </c>
      <c r="GP50" s="47">
        <v>1145714.9239399999</v>
      </c>
      <c r="GQ50" s="47">
        <v>856604.0956</v>
      </c>
      <c r="GR50" s="47">
        <v>447304.45397000003</v>
      </c>
      <c r="GS50" s="47">
        <v>176323.41654999999</v>
      </c>
      <c r="GT50" s="187"/>
      <c r="GU50" s="480">
        <v>9794104.5714999996</v>
      </c>
      <c r="GV50" s="481">
        <v>2913597.5629400006</v>
      </c>
      <c r="GW50" s="481">
        <v>1982632.4257699999</v>
      </c>
      <c r="GX50" s="481">
        <v>882472.00196999998</v>
      </c>
      <c r="GY50" s="481">
        <v>644855.33343999996</v>
      </c>
      <c r="GZ50" s="481">
        <v>326195.50206999999</v>
      </c>
      <c r="HA50" s="481">
        <v>125827.70526</v>
      </c>
      <c r="HB50" s="256"/>
      <c r="HC50" s="480">
        <v>9592776.5713</v>
      </c>
      <c r="HD50" s="481">
        <v>2804395.99615</v>
      </c>
      <c r="HE50" s="481">
        <v>1897350.9490399999</v>
      </c>
      <c r="HF50" s="481">
        <v>835082.68474000006</v>
      </c>
      <c r="HG50" s="481">
        <v>607937.70146999997</v>
      </c>
      <c r="HH50" s="481">
        <v>304886.62896</v>
      </c>
      <c r="HI50" s="481">
        <v>117283.51023</v>
      </c>
      <c r="HJ50" s="481"/>
      <c r="HK50" s="480">
        <v>9424935.5713</v>
      </c>
      <c r="HL50" s="481">
        <v>2736811.2265900001</v>
      </c>
      <c r="HM50" s="481">
        <v>1847945.6388399999</v>
      </c>
      <c r="HN50" s="481">
        <v>810133.42154000001</v>
      </c>
      <c r="HO50" s="481">
        <v>588922.95611999999</v>
      </c>
      <c r="HP50" s="481">
        <v>294077.50231999997</v>
      </c>
      <c r="HQ50" s="481">
        <v>112263.53727</v>
      </c>
      <c r="HR50" s="256"/>
      <c r="HS50" s="480">
        <v>9135667.5709000006</v>
      </c>
      <c r="HT50" s="481">
        <v>2617660.55296</v>
      </c>
      <c r="HU50" s="481">
        <v>1761885.74988</v>
      </c>
      <c r="HV50" s="481">
        <v>766637.64209999994</v>
      </c>
      <c r="HW50" s="481">
        <v>556198.53078999999</v>
      </c>
      <c r="HX50" s="481">
        <v>277038.17319999996</v>
      </c>
      <c r="HY50" s="481">
        <v>105308.88498</v>
      </c>
      <c r="HZ50" s="47"/>
      <c r="IA50" s="480">
        <v>8409233.5713999998</v>
      </c>
      <c r="IB50" s="481">
        <v>2433970.7888000002</v>
      </c>
      <c r="IC50" s="481">
        <v>1657910.7076499998</v>
      </c>
      <c r="ID50" s="481">
        <v>739120.34527000005</v>
      </c>
      <c r="IE50" s="481">
        <v>539911.36870999995</v>
      </c>
      <c r="IF50" s="481">
        <v>271250.28787</v>
      </c>
      <c r="IG50" s="481">
        <v>103785.14801999999</v>
      </c>
      <c r="IH50" s="47"/>
      <c r="II50" s="480">
        <v>8012293.5713999998</v>
      </c>
      <c r="IJ50" s="480">
        <v>2321505.2155499998</v>
      </c>
      <c r="IK50" s="480">
        <v>1588163.4660700001</v>
      </c>
      <c r="IL50" s="480">
        <v>713036.37263</v>
      </c>
      <c r="IM50" s="480">
        <v>521950.92064000003</v>
      </c>
      <c r="IN50" s="480">
        <v>262042.23543</v>
      </c>
      <c r="IO50" s="480">
        <v>100898.25563</v>
      </c>
      <c r="IP50" s="757"/>
      <c r="IQ50" s="757">
        <v>7861853.0004000003</v>
      </c>
      <c r="IR50" s="757">
        <v>2256438.2766260002</v>
      </c>
      <c r="IS50" s="757">
        <v>1540231.157746</v>
      </c>
      <c r="IT50" s="757">
        <v>687422.78039600002</v>
      </c>
      <c r="IU50" s="757">
        <v>502463.85659599997</v>
      </c>
      <c r="IV50" s="757">
        <v>251352.05512600002</v>
      </c>
      <c r="IW50" s="757">
        <v>96559.856186000005</v>
      </c>
      <c r="IX50" s="757"/>
      <c r="IY50" s="757">
        <v>9436823.0003999993</v>
      </c>
      <c r="IZ50" s="757">
        <v>2541478.9195799995</v>
      </c>
      <c r="JA50" s="757">
        <v>1719956.0127399999</v>
      </c>
      <c r="JB50" s="757">
        <v>758406.56209999998</v>
      </c>
      <c r="JC50" s="757">
        <v>552560.60921999998</v>
      </c>
      <c r="JD50" s="757">
        <v>275106.79483999999</v>
      </c>
      <c r="JE50" s="757">
        <v>104599.57256</v>
      </c>
      <c r="JF50" s="256"/>
      <c r="JG50" s="47">
        <v>835487.5453</v>
      </c>
      <c r="JH50" s="47">
        <v>535884.88769999996</v>
      </c>
      <c r="JI50" s="47">
        <v>433801.45010000002</v>
      </c>
      <c r="JJ50" s="47">
        <v>263160.88270000002</v>
      </c>
      <c r="JK50" s="47">
        <v>208945.25339999999</v>
      </c>
      <c r="JL50" s="47">
        <v>122380.588</v>
      </c>
      <c r="JM50" s="47">
        <v>50512.234400000001</v>
      </c>
      <c r="JN50" s="1034"/>
      <c r="JO50" s="47">
        <v>201328.00020000001</v>
      </c>
      <c r="JP50" s="47">
        <v>115301.6186</v>
      </c>
      <c r="JQ50" s="47">
        <v>90051.048429999995</v>
      </c>
      <c r="JR50" s="47">
        <v>50953.993000000002</v>
      </c>
      <c r="JS50" s="47">
        <v>39789.488279999998</v>
      </c>
      <c r="JT50" s="47">
        <v>23151.1548</v>
      </c>
      <c r="JU50" s="47">
        <v>9542.9547949999996</v>
      </c>
      <c r="JV50" s="77"/>
      <c r="JW50" s="47">
        <v>167841</v>
      </c>
      <c r="JX50" s="47">
        <v>70411.841660000006</v>
      </c>
      <c r="JY50" s="47">
        <v>51241.794650000003</v>
      </c>
      <c r="JZ50" s="47">
        <v>26826.082350000001</v>
      </c>
      <c r="KA50" s="47">
        <v>20623.858609999999</v>
      </c>
      <c r="KB50" s="47">
        <v>11888.64733</v>
      </c>
      <c r="KC50" s="47">
        <v>5488.27999</v>
      </c>
      <c r="KD50" s="77"/>
      <c r="KE50" s="47">
        <v>289268.00040000002</v>
      </c>
      <c r="KF50" s="47">
        <v>125927.8388</v>
      </c>
      <c r="KG50" s="47">
        <v>91548.77536</v>
      </c>
      <c r="KH50" s="47">
        <v>45613.91762</v>
      </c>
      <c r="KI50" s="47">
        <v>34330.320699999997</v>
      </c>
      <c r="KJ50" s="47">
        <v>18540.477149999999</v>
      </c>
      <c r="KK50" s="47">
        <v>7631.6343219999999</v>
      </c>
      <c r="KL50" s="77"/>
      <c r="KM50" s="47">
        <v>726433.99950000003</v>
      </c>
      <c r="KN50" s="47">
        <v>183809.15179999999</v>
      </c>
      <c r="KO50" s="47">
        <v>105125.4863</v>
      </c>
      <c r="KP50" s="47">
        <v>27700.11248</v>
      </c>
      <c r="KQ50" s="47">
        <v>16619.35614</v>
      </c>
      <c r="KR50" s="47">
        <v>5938.8650820000003</v>
      </c>
      <c r="KS50" s="47">
        <v>1673.791387</v>
      </c>
      <c r="KT50" s="77"/>
      <c r="KU50" s="47">
        <v>512607</v>
      </c>
      <c r="KV50" s="47">
        <v>142043.17850000001</v>
      </c>
      <c r="KW50" s="47">
        <v>88981.294529999999</v>
      </c>
      <c r="KX50" s="47">
        <v>33184.451760000004</v>
      </c>
      <c r="KY50" s="47">
        <v>23433.697090000001</v>
      </c>
      <c r="KZ50" s="47">
        <v>12064.43924</v>
      </c>
      <c r="LA50" s="47">
        <v>4641.8146649999999</v>
      </c>
      <c r="LB50" s="77"/>
      <c r="LC50" s="1034">
        <v>672745.32030000002</v>
      </c>
      <c r="LD50" s="1034">
        <v>50204.312330000001</v>
      </c>
      <c r="LE50" s="1034">
        <v>25114.411840000001</v>
      </c>
      <c r="LF50" s="1034">
        <v>5593.8527350000004</v>
      </c>
      <c r="LG50" s="1034">
        <v>2939.3371579999998</v>
      </c>
      <c r="LH50" s="1034">
        <v>699.31630489999998</v>
      </c>
      <c r="LI50" s="1034">
        <v>81.054118349999996</v>
      </c>
      <c r="LJ50" s="77"/>
      <c r="LK50" s="1034">
        <v>32649</v>
      </c>
      <c r="LL50" s="1034">
        <v>21354.861641900003</v>
      </c>
      <c r="LM50" s="1034">
        <v>18056.684352900003</v>
      </c>
      <c r="LN50" s="1034">
        <v>11100.5117476</v>
      </c>
      <c r="LO50" s="1034">
        <v>8520.3849259999988</v>
      </c>
      <c r="LP50" s="1034">
        <v>4742.4627775999998</v>
      </c>
      <c r="LQ50" s="1034">
        <v>2046.6870888000001</v>
      </c>
    </row>
    <row r="51" spans="1:329" s="43" customFormat="1" ht="9.75" customHeight="1" x14ac:dyDescent="0.2">
      <c r="A51" s="48">
        <v>2003</v>
      </c>
      <c r="B51" s="47">
        <v>5952854.7822524505</v>
      </c>
      <c r="C51" s="47">
        <v>2554407.1715489747</v>
      </c>
      <c r="D51" s="47">
        <v>1828787.0374287856</v>
      </c>
      <c r="E51" s="47">
        <v>909935.49040357978</v>
      </c>
      <c r="F51" s="47">
        <v>687349.2605270705</v>
      </c>
      <c r="G51" s="47">
        <v>364341.88530981075</v>
      </c>
      <c r="H51" s="47">
        <v>144221.02358361005</v>
      </c>
      <c r="I51" s="47"/>
      <c r="J51" s="47">
        <v>9864187.9810000006</v>
      </c>
      <c r="K51" s="47">
        <v>3600704.4653999996</v>
      </c>
      <c r="L51" s="47">
        <v>2535496.3455999997</v>
      </c>
      <c r="M51" s="47">
        <v>1220937.7100000002</v>
      </c>
      <c r="N51" s="47">
        <v>922403.93474000006</v>
      </c>
      <c r="O51" s="47">
        <v>494022.84903000004</v>
      </c>
      <c r="P51" s="47">
        <v>203473.96664999999</v>
      </c>
      <c r="Q51" s="47"/>
      <c r="R51" s="47">
        <v>11157848.98</v>
      </c>
      <c r="S51" s="47">
        <v>3665247.3465199997</v>
      </c>
      <c r="T51" s="47">
        <v>2567503.0715199998</v>
      </c>
      <c r="U51" s="47">
        <v>1228275.4522200001</v>
      </c>
      <c r="V51" s="47">
        <v>925940.58555999992</v>
      </c>
      <c r="W51" s="47">
        <v>494939.73317000002</v>
      </c>
      <c r="X51" s="47">
        <v>203587.58147</v>
      </c>
      <c r="Y51" s="47"/>
      <c r="Z51" s="47">
        <v>9864187.9997000005</v>
      </c>
      <c r="AA51" s="47">
        <v>2694686.0872299997</v>
      </c>
      <c r="AB51" s="47">
        <v>1830692.4704399998</v>
      </c>
      <c r="AC51" s="47">
        <v>819616.13933999999</v>
      </c>
      <c r="AD51" s="47">
        <v>602567.84609000001</v>
      </c>
      <c r="AE51" s="47">
        <v>308890.01086000004</v>
      </c>
      <c r="AF51" s="47">
        <v>123538.16547000001</v>
      </c>
      <c r="AG51" s="47"/>
      <c r="AH51" s="47">
        <v>6010091.2644999996</v>
      </c>
      <c r="AI51" s="47">
        <v>2537128.6552099995</v>
      </c>
      <c r="AJ51" s="47">
        <v>1812130.7898600001</v>
      </c>
      <c r="AK51" s="47">
        <v>898703.62503999996</v>
      </c>
      <c r="AL51" s="47">
        <v>678324.98265999998</v>
      </c>
      <c r="AM51" s="47">
        <v>359558.38083000004</v>
      </c>
      <c r="AN51" s="47">
        <v>142610.1059</v>
      </c>
      <c r="AO51" s="47"/>
      <c r="AP51" s="47"/>
      <c r="AQ51" s="47"/>
      <c r="AR51" s="47"/>
      <c r="AS51" s="47"/>
      <c r="AT51" s="47"/>
      <c r="AU51" s="47"/>
      <c r="AV51" s="47"/>
      <c r="AW51" s="47"/>
      <c r="AX51" s="47">
        <v>6063338.4287</v>
      </c>
      <c r="AY51" s="47">
        <v>2573469.2201899998</v>
      </c>
      <c r="AZ51" s="47">
        <v>1845013.5724899999</v>
      </c>
      <c r="BA51" s="47">
        <v>922141.12864000001</v>
      </c>
      <c r="BB51" s="47">
        <v>697651.71002999996</v>
      </c>
      <c r="BC51" s="47">
        <v>370643.61254999996</v>
      </c>
      <c r="BD51" s="47">
        <v>146826.17066</v>
      </c>
      <c r="BE51" s="47"/>
      <c r="BF51" s="44">
        <v>6069614.4648000002</v>
      </c>
      <c r="BG51" s="44">
        <v>2536832.0698699998</v>
      </c>
      <c r="BH51" s="44">
        <v>1816024.9733900002</v>
      </c>
      <c r="BI51" s="44">
        <v>907416.41855000006</v>
      </c>
      <c r="BJ51" s="44">
        <v>687722.70627000008</v>
      </c>
      <c r="BK51" s="44">
        <v>366767.98852000001</v>
      </c>
      <c r="BL51" s="44">
        <v>145608.57495000001</v>
      </c>
      <c r="BN51" s="44">
        <v>6069614.4648000002</v>
      </c>
      <c r="BO51" s="44">
        <v>2332006.0960999997</v>
      </c>
      <c r="BP51" s="44">
        <v>1663056.4964400001</v>
      </c>
      <c r="BQ51" s="44">
        <v>828671.26792000001</v>
      </c>
      <c r="BR51" s="44">
        <v>629257.43286000006</v>
      </c>
      <c r="BS51" s="44">
        <v>338513.35265999998</v>
      </c>
      <c r="BT51" s="44">
        <v>135683.37109</v>
      </c>
      <c r="BU51" s="44"/>
      <c r="BV51" s="47">
        <v>6089554.4447999997</v>
      </c>
      <c r="BW51" s="47">
        <v>2350337.4112699996</v>
      </c>
      <c r="BX51" s="47">
        <v>1680750.9998699999</v>
      </c>
      <c r="BY51" s="47">
        <v>843272.66128</v>
      </c>
      <c r="BZ51" s="47">
        <v>642546.21950999997</v>
      </c>
      <c r="CA51" s="47">
        <v>348949.15779999999</v>
      </c>
      <c r="CB51" s="47">
        <v>141431.82019</v>
      </c>
      <c r="CC51" s="44"/>
      <c r="CD51" s="47">
        <v>6468179.4447999997</v>
      </c>
      <c r="CE51" s="47">
        <v>2539019.4311799998</v>
      </c>
      <c r="CF51" s="47">
        <v>1830987.02144</v>
      </c>
      <c r="CG51" s="47">
        <v>933620.08331000002</v>
      </c>
      <c r="CH51" s="47">
        <v>716803.05106999993</v>
      </c>
      <c r="CI51" s="47">
        <v>395890.54472999997</v>
      </c>
      <c r="CJ51" s="47">
        <v>164564.37179999999</v>
      </c>
      <c r="CL51" s="47">
        <v>6689924.4447999997</v>
      </c>
      <c r="CM51" s="47">
        <v>2637118.9013300003</v>
      </c>
      <c r="CN51" s="47">
        <v>1906075.86411</v>
      </c>
      <c r="CO51" s="47">
        <v>973807.31433999992</v>
      </c>
      <c r="CP51" s="47">
        <v>748558.59674000007</v>
      </c>
      <c r="CQ51" s="47">
        <v>414822.9633</v>
      </c>
      <c r="CR51" s="47">
        <v>173654.73652999999</v>
      </c>
      <c r="CS51" s="47"/>
      <c r="CT51" s="47">
        <v>6850221.4447999997</v>
      </c>
      <c r="CU51" s="47">
        <v>2717927.1451099999</v>
      </c>
      <c r="CV51" s="47">
        <v>1970577.14353</v>
      </c>
      <c r="CW51" s="47">
        <v>1012603.3464</v>
      </c>
      <c r="CX51" s="47">
        <v>779960.38403000007</v>
      </c>
      <c r="CY51" s="47">
        <v>434138.45181</v>
      </c>
      <c r="CZ51" s="47">
        <v>182656.46226999999</v>
      </c>
      <c r="DA51" s="47"/>
      <c r="DB51" s="47">
        <v>6850221.4447999997</v>
      </c>
      <c r="DC51" s="47">
        <v>2730531.0344699998</v>
      </c>
      <c r="DD51" s="47">
        <v>1981811.3477400001</v>
      </c>
      <c r="DE51" s="47">
        <v>1019842.65043</v>
      </c>
      <c r="DF51" s="47">
        <v>785821.2599399999</v>
      </c>
      <c r="DG51" s="47">
        <v>437674.16312000004</v>
      </c>
      <c r="DH51" s="47">
        <v>184292.09951</v>
      </c>
      <c r="DI51" s="47"/>
      <c r="DJ51" s="47">
        <v>7677618.8228000002</v>
      </c>
      <c r="DK51" s="47">
        <v>2981463.7794800005</v>
      </c>
      <c r="DL51" s="47">
        <v>2161688.5868900004</v>
      </c>
      <c r="DM51" s="47">
        <v>1099971.5084899999</v>
      </c>
      <c r="DN51" s="47">
        <v>841046.51245000004</v>
      </c>
      <c r="DO51" s="47">
        <v>460412.33553000004</v>
      </c>
      <c r="DP51" s="47">
        <v>192277.16274999999</v>
      </c>
      <c r="DQ51" s="47"/>
      <c r="DR51" s="47">
        <v>7989651.8218778502</v>
      </c>
      <c r="DS51" s="47">
        <v>3096266.2021592548</v>
      </c>
      <c r="DT51" s="47">
        <v>2234164.3501360826</v>
      </c>
      <c r="DU51" s="47">
        <v>1126578.5162631918</v>
      </c>
      <c r="DV51" s="47">
        <v>858707.80859315745</v>
      </c>
      <c r="DW51" s="47">
        <v>466601.50744443416</v>
      </c>
      <c r="DX51" s="47">
        <v>193693.07784188353</v>
      </c>
      <c r="DY51" s="297"/>
      <c r="DZ51" s="47">
        <v>8372168.8220184157</v>
      </c>
      <c r="EA51" s="47">
        <v>3183804.8050885862</v>
      </c>
      <c r="EB51" s="47">
        <v>2282422.0598728624</v>
      </c>
      <c r="EC51" s="47">
        <v>1138348.7972444766</v>
      </c>
      <c r="ED51" s="47">
        <v>865390.15211443917</v>
      </c>
      <c r="EE51" s="47">
        <v>469157.35245557479</v>
      </c>
      <c r="EF51" s="47">
        <v>194424.4879966396</v>
      </c>
      <c r="EG51" s="541"/>
      <c r="EH51" s="47">
        <v>8897634.8220180385</v>
      </c>
      <c r="EI51" s="47">
        <v>3300748.4904882531</v>
      </c>
      <c r="EJ51" s="47">
        <v>2340579.1481238608</v>
      </c>
      <c r="EK51" s="47">
        <v>1147694.3146415981</v>
      </c>
      <c r="EL51" s="47">
        <v>870331.31706900883</v>
      </c>
      <c r="EM51" s="47">
        <v>470244.60476070549</v>
      </c>
      <c r="EN51" s="47">
        <v>194556.19173579605</v>
      </c>
      <c r="EO51" s="47"/>
      <c r="EP51" s="47">
        <v>9264272.9810000006</v>
      </c>
      <c r="EQ51" s="47">
        <v>3432360.78663</v>
      </c>
      <c r="ER51" s="47">
        <v>2427345.8582299999</v>
      </c>
      <c r="ES51" s="47">
        <v>1179125.76663</v>
      </c>
      <c r="ET51" s="47">
        <v>892415.71733999997</v>
      </c>
      <c r="EU51" s="47">
        <v>478690.93011999998</v>
      </c>
      <c r="EV51" s="47">
        <v>197383.61877</v>
      </c>
      <c r="EW51" s="47"/>
      <c r="EX51" s="47">
        <v>9864187.9810000006</v>
      </c>
      <c r="EY51" s="47">
        <v>3600704.4653999996</v>
      </c>
      <c r="EZ51" s="47">
        <v>2535496.3455999997</v>
      </c>
      <c r="FA51" s="47">
        <v>1220937.7100000002</v>
      </c>
      <c r="FB51" s="47">
        <v>922403.93474000006</v>
      </c>
      <c r="FC51" s="47">
        <v>494022.84903000004</v>
      </c>
      <c r="FD51" s="47">
        <v>203473.96664999999</v>
      </c>
      <c r="FE51" s="47"/>
      <c r="FF51" s="47">
        <v>10336572.981000001</v>
      </c>
      <c r="FG51" s="47">
        <v>3641584.94087</v>
      </c>
      <c r="FH51" s="47">
        <v>2558400.0824699998</v>
      </c>
      <c r="FI51" s="47">
        <v>1226938.21667</v>
      </c>
      <c r="FJ51" s="47">
        <v>925539.36667000002</v>
      </c>
      <c r="FK51" s="47">
        <v>494827.40659000003</v>
      </c>
      <c r="FL51" s="47">
        <v>203598.14786</v>
      </c>
      <c r="FN51" s="47">
        <v>10389746.98</v>
      </c>
      <c r="FO51" s="47">
        <v>3644291.1642000005</v>
      </c>
      <c r="FP51" s="47">
        <v>2559217.0026000002</v>
      </c>
      <c r="FQ51" s="47">
        <v>1227193.0778000001</v>
      </c>
      <c r="FR51" s="47">
        <v>925602.86180999991</v>
      </c>
      <c r="FS51" s="47">
        <v>494818.59410999995</v>
      </c>
      <c r="FT51" s="47">
        <v>203599.34878999999</v>
      </c>
      <c r="FV51" s="44">
        <v>10536648.98</v>
      </c>
      <c r="FW51" s="44">
        <v>3647472.9641999998</v>
      </c>
      <c r="FX51" s="44">
        <v>2560807.9026000001</v>
      </c>
      <c r="FY51" s="44">
        <v>1227511.2578000003</v>
      </c>
      <c r="FZ51" s="44">
        <v>925761.95181</v>
      </c>
      <c r="GA51" s="44">
        <v>494850.41211000003</v>
      </c>
      <c r="GB51" s="44">
        <v>203602.53059000001</v>
      </c>
      <c r="GC51" s="44"/>
      <c r="GE51" s="47">
        <v>10785981.98</v>
      </c>
      <c r="GF51" s="47">
        <v>3665247.3465199997</v>
      </c>
      <c r="GG51" s="47">
        <v>2567503.0715199998</v>
      </c>
      <c r="GH51" s="47">
        <v>1228275.4522200001</v>
      </c>
      <c r="GI51" s="47">
        <v>925940.58555999992</v>
      </c>
      <c r="GJ51" s="47">
        <v>494939.73317000002</v>
      </c>
      <c r="GK51" s="47">
        <v>203587.58147</v>
      </c>
      <c r="GM51" s="47">
        <v>11157848.98</v>
      </c>
      <c r="GN51" s="47">
        <v>3665247.3465199997</v>
      </c>
      <c r="GO51" s="47">
        <v>2567503.0715199998</v>
      </c>
      <c r="GP51" s="47">
        <v>1228275.4522200001</v>
      </c>
      <c r="GQ51" s="47">
        <v>925940.58555999992</v>
      </c>
      <c r="GR51" s="47">
        <v>494939.73317000002</v>
      </c>
      <c r="GS51" s="47">
        <v>203587.58147</v>
      </c>
      <c r="GT51" s="187"/>
      <c r="GU51" s="480">
        <v>10348617.914000001</v>
      </c>
      <c r="GV51" s="481">
        <v>3144943.1242099996</v>
      </c>
      <c r="GW51" s="481">
        <v>2153091.2788300002</v>
      </c>
      <c r="GX51" s="481">
        <v>976998.44263000006</v>
      </c>
      <c r="GY51" s="481">
        <v>723105.22210000001</v>
      </c>
      <c r="GZ51" s="481">
        <v>377411.84126000002</v>
      </c>
      <c r="HA51" s="481">
        <v>153694.82141</v>
      </c>
      <c r="HB51" s="256"/>
      <c r="HC51" s="480">
        <v>10143919.914999999</v>
      </c>
      <c r="HD51" s="481">
        <v>3030951.6044899998</v>
      </c>
      <c r="HE51" s="481">
        <v>2065728.28119</v>
      </c>
      <c r="HF51" s="481">
        <v>927198.85218999989</v>
      </c>
      <c r="HG51" s="481">
        <v>683451.28247999994</v>
      </c>
      <c r="HH51" s="481">
        <v>354936.22951999999</v>
      </c>
      <c r="HI51" s="481">
        <v>144090.80007999999</v>
      </c>
      <c r="HJ51" s="481"/>
      <c r="HK51" s="480">
        <v>9922174.9146999996</v>
      </c>
      <c r="HL51" s="481">
        <v>2938290.3084900002</v>
      </c>
      <c r="HM51" s="481">
        <v>1995916.53996</v>
      </c>
      <c r="HN51" s="481">
        <v>890472.62335999997</v>
      </c>
      <c r="HO51" s="481">
        <v>654392.46924999997</v>
      </c>
      <c r="HP51" s="481">
        <v>337413.79454000003</v>
      </c>
      <c r="HQ51" s="481">
        <v>135528.44643000001</v>
      </c>
      <c r="HR51" s="256"/>
      <c r="HS51" s="480">
        <v>9615192.9151000008</v>
      </c>
      <c r="HT51" s="481">
        <v>2807203.2768700002</v>
      </c>
      <c r="HU51" s="481">
        <v>1900472.52936</v>
      </c>
      <c r="HV51" s="481">
        <v>841637.72205999994</v>
      </c>
      <c r="HW51" s="481">
        <v>617571.52991000004</v>
      </c>
      <c r="HX51" s="481">
        <v>316712.39676999999</v>
      </c>
      <c r="HY51" s="481">
        <v>126718.68414</v>
      </c>
      <c r="HZ51" s="47"/>
      <c r="IA51" s="480">
        <v>8863294.9146999996</v>
      </c>
      <c r="IB51" s="481">
        <v>2618288.2625899999</v>
      </c>
      <c r="IC51" s="481">
        <v>1791392.44294</v>
      </c>
      <c r="ID51" s="481">
        <v>813818.75296000007</v>
      </c>
      <c r="IE51" s="481">
        <v>600489.07928000006</v>
      </c>
      <c r="IF51" s="481">
        <v>310780.20640000002</v>
      </c>
      <c r="IG51" s="481">
        <v>125102.59102000001</v>
      </c>
      <c r="IH51" s="47"/>
      <c r="II51" s="480">
        <v>8440195.9146999996</v>
      </c>
      <c r="IJ51" s="480">
        <v>2497453.6646400001</v>
      </c>
      <c r="IK51" s="480">
        <v>1715454.4426600002</v>
      </c>
      <c r="IL51" s="480">
        <v>784754.41354999994</v>
      </c>
      <c r="IM51" s="480">
        <v>579894.01318999997</v>
      </c>
      <c r="IN51" s="480">
        <v>300389.47933</v>
      </c>
      <c r="IO51" s="480">
        <v>120734.12003999999</v>
      </c>
      <c r="IP51" s="757"/>
      <c r="IQ51" s="757">
        <v>8186518.9996999996</v>
      </c>
      <c r="IR51" s="757">
        <v>2387769.5773300002</v>
      </c>
      <c r="IS51" s="757">
        <v>1634856.1643100001</v>
      </c>
      <c r="IT51" s="757">
        <v>741660.97274</v>
      </c>
      <c r="IU51" s="757">
        <v>547010.52421000006</v>
      </c>
      <c r="IV51" s="757">
        <v>281891.25965999998</v>
      </c>
      <c r="IW51" s="757">
        <v>112950.21231</v>
      </c>
      <c r="IX51" s="757"/>
      <c r="IY51" s="757">
        <v>9864187.9997000005</v>
      </c>
      <c r="IZ51" s="757">
        <v>2694686.0872299997</v>
      </c>
      <c r="JA51" s="757">
        <v>1830692.4704399998</v>
      </c>
      <c r="JB51" s="757">
        <v>819616.13933999999</v>
      </c>
      <c r="JC51" s="757">
        <v>602567.84609000001</v>
      </c>
      <c r="JD51" s="757">
        <v>308890.01086000004</v>
      </c>
      <c r="JE51" s="757">
        <v>123538.16547000001</v>
      </c>
      <c r="JF51" s="256"/>
      <c r="JG51" s="47">
        <v>781265.0662</v>
      </c>
      <c r="JH51" s="47">
        <v>505231.20010000002</v>
      </c>
      <c r="JI51" s="47">
        <v>410276.78720000002</v>
      </c>
      <c r="JJ51" s="47">
        <v>251844.40710000001</v>
      </c>
      <c r="JK51" s="47">
        <v>200022.16750000001</v>
      </c>
      <c r="JL51" s="47">
        <v>118058.62209999999</v>
      </c>
      <c r="JM51" s="47">
        <v>49870.374960000001</v>
      </c>
      <c r="JN51" s="1034"/>
      <c r="JO51" s="47">
        <v>204697.99960000001</v>
      </c>
      <c r="JP51" s="47">
        <v>117717.1695</v>
      </c>
      <c r="JQ51" s="47">
        <v>92083.42899</v>
      </c>
      <c r="JR51" s="47">
        <v>52868.074780000003</v>
      </c>
      <c r="JS51" s="47">
        <v>41581.228060000001</v>
      </c>
      <c r="JT51" s="47">
        <v>24554.912349999999</v>
      </c>
      <c r="JU51" s="47">
        <v>10453.69766</v>
      </c>
      <c r="JV51" s="77"/>
      <c r="JW51" s="47">
        <v>221745</v>
      </c>
      <c r="JX51" s="47">
        <v>97644.662790000002</v>
      </c>
      <c r="JY51" s="47">
        <v>71403.077910000007</v>
      </c>
      <c r="JZ51" s="47">
        <v>38459.861629999999</v>
      </c>
      <c r="KA51" s="47">
        <v>30216.406920000001</v>
      </c>
      <c r="KB51" s="47">
        <v>18640.360970000002</v>
      </c>
      <c r="KC51" s="47">
        <v>9099.720061</v>
      </c>
      <c r="KD51" s="77"/>
      <c r="KE51" s="47">
        <v>306981.99949999998</v>
      </c>
      <c r="KF51" s="47">
        <v>137546.21669999999</v>
      </c>
      <c r="KG51" s="47">
        <v>100041.71679999999</v>
      </c>
      <c r="KH51" s="47">
        <v>50589.722629999997</v>
      </c>
      <c r="KI51" s="47">
        <v>38726.577169999997</v>
      </c>
      <c r="KJ51" s="47">
        <v>21807.755679999998</v>
      </c>
      <c r="KK51" s="47">
        <v>9507.8694790000009</v>
      </c>
      <c r="KL51" s="77"/>
      <c r="KM51" s="47">
        <v>751898.00049999997</v>
      </c>
      <c r="KN51" s="47">
        <v>190247.899</v>
      </c>
      <c r="KO51" s="47">
        <v>108578.95110000001</v>
      </c>
      <c r="KP51" s="47">
        <v>28605.735140000001</v>
      </c>
      <c r="KQ51" s="47">
        <v>17121.90956</v>
      </c>
      <c r="KR51" s="47">
        <v>6157.9884830000001</v>
      </c>
      <c r="KS51" s="47">
        <v>1727.1935430000001</v>
      </c>
      <c r="KT51" s="77"/>
      <c r="KU51" s="47">
        <v>528224</v>
      </c>
      <c r="KV51" s="47">
        <v>148874.26610000001</v>
      </c>
      <c r="KW51" s="47">
        <v>93580.949479999996</v>
      </c>
      <c r="KX51" s="47">
        <v>35805.641259999997</v>
      </c>
      <c r="KY51" s="47">
        <v>25625.26712</v>
      </c>
      <c r="KZ51" s="47">
        <v>13427.94774</v>
      </c>
      <c r="LA51" s="47">
        <v>5357.9534549999998</v>
      </c>
      <c r="LB51" s="77"/>
      <c r="LC51" s="1034">
        <v>700423.31420000002</v>
      </c>
      <c r="LD51" s="1034">
        <v>51182.018889999999</v>
      </c>
      <c r="LE51" s="1034">
        <v>25660.262790000001</v>
      </c>
      <c r="LF51" s="1034">
        <v>5730.4827089999999</v>
      </c>
      <c r="LG51" s="1034">
        <v>3122.6494240000002</v>
      </c>
      <c r="LH51" s="1034">
        <v>773.7051682</v>
      </c>
      <c r="LI51" s="1034">
        <v>85.240994200000003</v>
      </c>
      <c r="LJ51" s="77"/>
      <c r="LK51" s="1034">
        <v>27966</v>
      </c>
      <c r="LL51" s="1034">
        <v>18297.774966699999</v>
      </c>
      <c r="LM51" s="1034">
        <v>15412.130795100002</v>
      </c>
      <c r="LN51" s="1034">
        <v>9516.1837847000006</v>
      </c>
      <c r="LO51" s="1034">
        <v>7312.8748306999996</v>
      </c>
      <c r="LP51" s="1034">
        <v>4069.6185923000003</v>
      </c>
      <c r="LQ51" s="1034">
        <v>1775.1878982999999</v>
      </c>
    </row>
    <row r="52" spans="1:329" s="43" customFormat="1" ht="9.75" customHeight="1" x14ac:dyDescent="0.2">
      <c r="A52" s="48">
        <v>2004</v>
      </c>
      <c r="B52" s="47">
        <v>6374354.016354721</v>
      </c>
      <c r="C52" s="47">
        <v>2803226.0839502085</v>
      </c>
      <c r="D52" s="47">
        <v>2036112.7489426131</v>
      </c>
      <c r="E52" s="47">
        <v>1049560.9480470463</v>
      </c>
      <c r="F52" s="47">
        <v>806347.20224195614</v>
      </c>
      <c r="G52" s="47">
        <v>443114.99574905925</v>
      </c>
      <c r="H52" s="47">
        <v>183790.20189697007</v>
      </c>
      <c r="I52" s="47"/>
      <c r="J52" s="47">
        <v>10540945.784</v>
      </c>
      <c r="K52" s="47">
        <v>3929031.6462900005</v>
      </c>
      <c r="L52" s="47">
        <v>2806867.6949899998</v>
      </c>
      <c r="M52" s="47">
        <v>1397826.83399</v>
      </c>
      <c r="N52" s="47">
        <v>1069941.35733</v>
      </c>
      <c r="O52" s="47">
        <v>597023.21927999996</v>
      </c>
      <c r="P52" s="47">
        <v>257452.08504000001</v>
      </c>
      <c r="Q52" s="47"/>
      <c r="R52" s="47">
        <v>11914068.785</v>
      </c>
      <c r="S52" s="47">
        <v>3998767.4977800003</v>
      </c>
      <c r="T52" s="47">
        <v>2840857.2782800002</v>
      </c>
      <c r="U52" s="47">
        <v>1405184.5925799999</v>
      </c>
      <c r="V52" s="47">
        <v>1074101.3777300001</v>
      </c>
      <c r="W52" s="47">
        <v>597914.81908000004</v>
      </c>
      <c r="X52" s="47">
        <v>257551.38516999999</v>
      </c>
      <c r="Y52" s="47"/>
      <c r="Z52" s="47">
        <v>10540946.001</v>
      </c>
      <c r="AA52" s="47">
        <v>2947978.2688899995</v>
      </c>
      <c r="AB52" s="47">
        <v>2027164.73804</v>
      </c>
      <c r="AC52" s="47">
        <v>940042.52904000005</v>
      </c>
      <c r="AD52" s="47">
        <v>702423.99745000002</v>
      </c>
      <c r="AE52" s="47">
        <v>375384.57686000003</v>
      </c>
      <c r="AF52" s="47">
        <v>159827.65982999999</v>
      </c>
      <c r="AG52" s="47"/>
      <c r="AH52" s="47">
        <v>6433428.7538000001</v>
      </c>
      <c r="AI52" s="47">
        <v>2783540.6730999998</v>
      </c>
      <c r="AJ52" s="47">
        <v>2017145.0144200001</v>
      </c>
      <c r="AK52" s="47">
        <v>1036738.8983100001</v>
      </c>
      <c r="AL52" s="47">
        <v>796343.96035000007</v>
      </c>
      <c r="AM52" s="47">
        <v>437767.34872999997</v>
      </c>
      <c r="AN52" s="47">
        <v>181829.32899000001</v>
      </c>
      <c r="AO52" s="47"/>
      <c r="AP52" s="47"/>
      <c r="AQ52" s="47"/>
      <c r="AR52" s="47"/>
      <c r="AS52" s="47"/>
      <c r="AT52" s="47"/>
      <c r="AU52" s="47"/>
      <c r="AV52" s="47"/>
      <c r="AW52" s="47"/>
      <c r="AX52" s="47">
        <v>6484956.4682</v>
      </c>
      <c r="AY52" s="47">
        <v>2819919.0367499995</v>
      </c>
      <c r="AZ52" s="47">
        <v>2050004.6486699996</v>
      </c>
      <c r="BA52" s="47">
        <v>1060278.7458499998</v>
      </c>
      <c r="BB52" s="47">
        <v>815482.02644000005</v>
      </c>
      <c r="BC52" s="47">
        <v>448699.09537999996</v>
      </c>
      <c r="BD52" s="47">
        <v>186055.02335</v>
      </c>
      <c r="BE52" s="47"/>
      <c r="BF52" s="44">
        <v>6494157.3387000002</v>
      </c>
      <c r="BG52" s="44">
        <v>2780947.8221499999</v>
      </c>
      <c r="BH52" s="44">
        <v>2019855.77917</v>
      </c>
      <c r="BI52" s="44">
        <v>1045637.80113</v>
      </c>
      <c r="BJ52" s="44">
        <v>805743.84658999997</v>
      </c>
      <c r="BK52" s="44">
        <v>445476.84487999999</v>
      </c>
      <c r="BL52" s="44">
        <v>185746.39470999999</v>
      </c>
      <c r="BN52" s="44">
        <v>6494157.3387000002</v>
      </c>
      <c r="BO52" s="44">
        <v>2554716.4405199997</v>
      </c>
      <c r="BP52" s="44">
        <v>1849194.1994700001</v>
      </c>
      <c r="BQ52" s="44">
        <v>954506.26810999983</v>
      </c>
      <c r="BR52" s="44">
        <v>736883.4095699999</v>
      </c>
      <c r="BS52" s="44">
        <v>410252.76332000003</v>
      </c>
      <c r="BT52" s="44">
        <v>172716.06052</v>
      </c>
      <c r="BU52" s="44"/>
      <c r="BV52" s="47">
        <v>6520987.7527000001</v>
      </c>
      <c r="BW52" s="47">
        <v>2579296.01559</v>
      </c>
      <c r="BX52" s="47">
        <v>1872942.7876200001</v>
      </c>
      <c r="BY52" s="47">
        <v>973873.73165999993</v>
      </c>
      <c r="BZ52" s="47">
        <v>754884.70945000008</v>
      </c>
      <c r="CA52" s="47">
        <v>424308.75958000001</v>
      </c>
      <c r="CB52" s="47">
        <v>180753.36251000001</v>
      </c>
      <c r="CC52" s="44"/>
      <c r="CD52" s="47">
        <v>6934149.7527000001</v>
      </c>
      <c r="CE52" s="47">
        <v>2790493.1760400003</v>
      </c>
      <c r="CF52" s="47">
        <v>2043742.96316</v>
      </c>
      <c r="CG52" s="47">
        <v>1077124.3594199999</v>
      </c>
      <c r="CH52" s="47">
        <v>840978.00912000006</v>
      </c>
      <c r="CI52" s="47">
        <v>481118.81930999999</v>
      </c>
      <c r="CJ52" s="47">
        <v>209514.96875</v>
      </c>
      <c r="CL52" s="47">
        <v>7222164.7527000001</v>
      </c>
      <c r="CM52" s="47">
        <v>2923677.4868100001</v>
      </c>
      <c r="CN52" s="47">
        <v>2146277.5091400002</v>
      </c>
      <c r="CO52" s="47">
        <v>1132769.52574</v>
      </c>
      <c r="CP52" s="47">
        <v>886202.33585999999</v>
      </c>
      <c r="CQ52" s="47">
        <v>509340.21071000001</v>
      </c>
      <c r="CR52" s="47">
        <v>223768.29433</v>
      </c>
      <c r="CS52" s="47"/>
      <c r="CT52" s="47">
        <v>7392709.7527000001</v>
      </c>
      <c r="CU52" s="47">
        <v>3013316.9760499997</v>
      </c>
      <c r="CV52" s="47">
        <v>2218290.3474400002</v>
      </c>
      <c r="CW52" s="47">
        <v>1176629.7289399998</v>
      </c>
      <c r="CX52" s="47">
        <v>922464.81813999999</v>
      </c>
      <c r="CY52" s="47">
        <v>532214.33801000006</v>
      </c>
      <c r="CZ52" s="47">
        <v>234713.65284</v>
      </c>
      <c r="DA52" s="47"/>
      <c r="DB52" s="47">
        <v>7392709.7527000001</v>
      </c>
      <c r="DC52" s="47">
        <v>3027642.7672499996</v>
      </c>
      <c r="DD52" s="47">
        <v>2231389.2144300002</v>
      </c>
      <c r="DE52" s="47">
        <v>1185142.9444300001</v>
      </c>
      <c r="DF52" s="47">
        <v>928957.27811000007</v>
      </c>
      <c r="DG52" s="47">
        <v>535996.78185999999</v>
      </c>
      <c r="DH52" s="47">
        <v>236331.64009999999</v>
      </c>
      <c r="DI52" s="47"/>
      <c r="DJ52" s="47">
        <v>8230710.1407000003</v>
      </c>
      <c r="DK52" s="47">
        <v>3270335.8619200001</v>
      </c>
      <c r="DL52" s="47">
        <v>2405080.1417100001</v>
      </c>
      <c r="DM52" s="47">
        <v>1265524.21251</v>
      </c>
      <c r="DN52" s="47">
        <v>980596.64211999997</v>
      </c>
      <c r="DO52" s="47">
        <v>557016.79460000002</v>
      </c>
      <c r="DP52" s="47">
        <v>243431.38532999999</v>
      </c>
      <c r="DQ52" s="47"/>
      <c r="DR52" s="47">
        <v>8566540.1398058645</v>
      </c>
      <c r="DS52" s="47">
        <v>3395066.93989413</v>
      </c>
      <c r="DT52" s="47">
        <v>2484552.0680885883</v>
      </c>
      <c r="DU52" s="47">
        <v>1294836.3484076851</v>
      </c>
      <c r="DV52" s="47">
        <v>999841.95432608959</v>
      </c>
      <c r="DW52" s="47">
        <v>564074.65889985929</v>
      </c>
      <c r="DX52" s="47">
        <v>245084.2056653602</v>
      </c>
      <c r="DY52" s="297"/>
      <c r="DZ52" s="47">
        <v>8975229.1401823778</v>
      </c>
      <c r="EA52" s="47">
        <v>3486083.1786106201</v>
      </c>
      <c r="EB52" s="47">
        <v>2534206.2820297512</v>
      </c>
      <c r="EC52" s="47">
        <v>1307625.6727466369</v>
      </c>
      <c r="ED52" s="47">
        <v>1007789.7889493214</v>
      </c>
      <c r="EE52" s="47">
        <v>567042.69563105085</v>
      </c>
      <c r="EF52" s="47">
        <v>245940.43906378435</v>
      </c>
      <c r="EG52" s="541"/>
      <c r="EH52" s="47">
        <v>9539675.1401822641</v>
      </c>
      <c r="EI52" s="47">
        <v>3613877.0504202321</v>
      </c>
      <c r="EJ52" s="47">
        <v>2597689.1876204032</v>
      </c>
      <c r="EK52" s="47">
        <v>1318276.7113355154</v>
      </c>
      <c r="EL52" s="47">
        <v>1012870.2609085985</v>
      </c>
      <c r="EM52" s="47">
        <v>568238.03510700469</v>
      </c>
      <c r="EN52" s="47">
        <v>246122.06416110252</v>
      </c>
      <c r="EO52" s="47"/>
      <c r="EP52" s="47">
        <v>9903161.7841999996</v>
      </c>
      <c r="EQ52" s="47">
        <v>3747010.2939299997</v>
      </c>
      <c r="ER52" s="47">
        <v>2689249.7593299998</v>
      </c>
      <c r="ES52" s="47">
        <v>1350315.9964300001</v>
      </c>
      <c r="ET52" s="47">
        <v>1035470.8935799999</v>
      </c>
      <c r="EU52" s="47">
        <v>578567.96007000003</v>
      </c>
      <c r="EV52" s="47">
        <v>249589.76595999999</v>
      </c>
      <c r="EW52" s="47"/>
      <c r="EX52" s="47">
        <v>10540945.784</v>
      </c>
      <c r="EY52" s="47">
        <v>3929031.6462900005</v>
      </c>
      <c r="EZ52" s="47">
        <v>2806867.6949899998</v>
      </c>
      <c r="FA52" s="47">
        <v>1397826.83399</v>
      </c>
      <c r="FB52" s="47">
        <v>1069941.35733</v>
      </c>
      <c r="FC52" s="47">
        <v>597023.21927999996</v>
      </c>
      <c r="FD52" s="47">
        <v>257452.08504000001</v>
      </c>
      <c r="FE52" s="47"/>
      <c r="FF52" s="47">
        <v>11035466.784</v>
      </c>
      <c r="FG52" s="47">
        <v>3973702.9254699992</v>
      </c>
      <c r="FH52" s="47">
        <v>2831783.6256699995</v>
      </c>
      <c r="FI52" s="47">
        <v>1403960.5518699999</v>
      </c>
      <c r="FJ52" s="47">
        <v>1073485.5854499999</v>
      </c>
      <c r="FK52" s="47">
        <v>597825.07487999997</v>
      </c>
      <c r="FL52" s="47">
        <v>257543.11869</v>
      </c>
      <c r="FN52" s="47">
        <v>11071890.785</v>
      </c>
      <c r="FO52" s="47">
        <v>3975343.78847</v>
      </c>
      <c r="FP52" s="47">
        <v>2832486.3692700001</v>
      </c>
      <c r="FQ52" s="47">
        <v>1404043.74177</v>
      </c>
      <c r="FR52" s="47">
        <v>1073574.24027</v>
      </c>
      <c r="FS52" s="47">
        <v>597827.73190000001</v>
      </c>
      <c r="FT52" s="47">
        <v>257543.30650999999</v>
      </c>
      <c r="FV52" s="44">
        <v>11227395.785</v>
      </c>
      <c r="FW52" s="44">
        <v>3978747.3884700001</v>
      </c>
      <c r="FX52" s="44">
        <v>2834188.16927</v>
      </c>
      <c r="FY52" s="44">
        <v>1404384.1017700001</v>
      </c>
      <c r="FZ52" s="44">
        <v>1073744.4202700001</v>
      </c>
      <c r="GA52" s="44">
        <v>597861.76789999998</v>
      </c>
      <c r="GB52" s="44">
        <v>257546.71011000001</v>
      </c>
      <c r="GC52" s="44"/>
      <c r="GE52" s="47">
        <v>11500357.785</v>
      </c>
      <c r="GF52" s="47">
        <v>3998767.4977800003</v>
      </c>
      <c r="GG52" s="47">
        <v>2840857.2782800002</v>
      </c>
      <c r="GH52" s="47">
        <v>1405184.5925799999</v>
      </c>
      <c r="GI52" s="47">
        <v>1074101.3777300001</v>
      </c>
      <c r="GJ52" s="47">
        <v>597914.81908000004</v>
      </c>
      <c r="GK52" s="47">
        <v>257551.38516999999</v>
      </c>
      <c r="GM52" s="47">
        <v>11914068.785</v>
      </c>
      <c r="GN52" s="47">
        <v>3998767.4977800003</v>
      </c>
      <c r="GO52" s="47">
        <v>2840857.2782800002</v>
      </c>
      <c r="GP52" s="47">
        <v>1405184.5925799999</v>
      </c>
      <c r="GQ52" s="47">
        <v>1074101.3777300001</v>
      </c>
      <c r="GR52" s="47">
        <v>597914.81908000004</v>
      </c>
      <c r="GS52" s="47">
        <v>257551.38516999999</v>
      </c>
      <c r="GT52" s="187"/>
      <c r="GU52" s="480">
        <v>11077322.709000001</v>
      </c>
      <c r="GV52" s="481">
        <v>3441972.1498199995</v>
      </c>
      <c r="GW52" s="481">
        <v>2390297.73202</v>
      </c>
      <c r="GX52" s="481">
        <v>1124122.9829199999</v>
      </c>
      <c r="GY52" s="481">
        <v>845797.20745999995</v>
      </c>
      <c r="GZ52" s="481">
        <v>461329.72431000002</v>
      </c>
      <c r="HA52" s="481">
        <v>198873.12622999999</v>
      </c>
      <c r="HB52" s="256"/>
      <c r="HC52" s="480">
        <v>10853678.709000001</v>
      </c>
      <c r="HD52" s="481">
        <v>3314022.9723199992</v>
      </c>
      <c r="HE52" s="481">
        <v>2288658.3861199999</v>
      </c>
      <c r="HF52" s="481">
        <v>1063672.7933200002</v>
      </c>
      <c r="HG52" s="481">
        <v>796980.04279999994</v>
      </c>
      <c r="HH52" s="481">
        <v>432414.20091000001</v>
      </c>
      <c r="HI52" s="481">
        <v>186356.81633</v>
      </c>
      <c r="HJ52" s="481"/>
      <c r="HK52" s="480">
        <v>10565663.709000001</v>
      </c>
      <c r="HL52" s="481">
        <v>3189160.0244</v>
      </c>
      <c r="HM52" s="481">
        <v>2193827.4830199997</v>
      </c>
      <c r="HN52" s="481">
        <v>1011735.1990200001</v>
      </c>
      <c r="HO52" s="481">
        <v>755586.60074999998</v>
      </c>
      <c r="HP52" s="481">
        <v>405918.82559000002</v>
      </c>
      <c r="HQ52" s="481">
        <v>173023.32623999999</v>
      </c>
      <c r="HR52" s="256"/>
      <c r="HS52" s="480">
        <v>10239482.709000001</v>
      </c>
      <c r="HT52" s="481">
        <v>3045776.60445</v>
      </c>
      <c r="HU52" s="481">
        <v>2089138.2248399998</v>
      </c>
      <c r="HV52" s="481">
        <v>957781.32773999998</v>
      </c>
      <c r="HW52" s="481">
        <v>713844.16084000003</v>
      </c>
      <c r="HX52" s="481">
        <v>381882.62077000004</v>
      </c>
      <c r="HY52" s="481">
        <v>162273.41807000001</v>
      </c>
      <c r="HZ52" s="47"/>
      <c r="IA52" s="480">
        <v>9441717.7087999992</v>
      </c>
      <c r="IB52" s="481">
        <v>2847649.8032300002</v>
      </c>
      <c r="IC52" s="481">
        <v>1974486.55535</v>
      </c>
      <c r="ID52" s="481">
        <v>927137.29554999992</v>
      </c>
      <c r="IE52" s="481">
        <v>695179.12125999993</v>
      </c>
      <c r="IF52" s="481">
        <v>374969.35397</v>
      </c>
      <c r="IG52" s="481">
        <v>160116.9852</v>
      </c>
      <c r="IH52" s="47"/>
      <c r="II52" s="480">
        <v>8984004.7087999992</v>
      </c>
      <c r="IJ52" s="480">
        <v>2714442.6022999999</v>
      </c>
      <c r="IK52" s="480">
        <v>1888624.9056699998</v>
      </c>
      <c r="IL52" s="480">
        <v>893283.6709400001</v>
      </c>
      <c r="IM52" s="480">
        <v>670730.70276999997</v>
      </c>
      <c r="IN52" s="480">
        <v>361681.10134000005</v>
      </c>
      <c r="IO52" s="480">
        <v>154406.99858000001</v>
      </c>
      <c r="IP52" s="757"/>
      <c r="IQ52" s="757">
        <v>8752051.0008000005</v>
      </c>
      <c r="IR52" s="757">
        <v>2613026.5086600003</v>
      </c>
      <c r="IS52" s="757">
        <v>1812873.3870200003</v>
      </c>
      <c r="IT52" s="757">
        <v>851595.83357999998</v>
      </c>
      <c r="IU52" s="757">
        <v>638392.19741999998</v>
      </c>
      <c r="IV52" s="757">
        <v>342651.52202999999</v>
      </c>
      <c r="IW52" s="757">
        <v>146158.38544000001</v>
      </c>
      <c r="IX52" s="757"/>
      <c r="IY52" s="757">
        <v>10540946.001</v>
      </c>
      <c r="IZ52" s="757">
        <v>2947978.2688899995</v>
      </c>
      <c r="JA52" s="757">
        <v>2027164.73804</v>
      </c>
      <c r="JB52" s="757">
        <v>940042.52904000005</v>
      </c>
      <c r="JC52" s="757">
        <v>702423.99745000002</v>
      </c>
      <c r="JD52" s="757">
        <v>375384.57686000003</v>
      </c>
      <c r="JE52" s="757">
        <v>159827.65982999999</v>
      </c>
      <c r="JF52" s="256"/>
      <c r="JG52" s="47">
        <v>806488.07579999999</v>
      </c>
      <c r="JH52" s="47">
        <v>538439.49010000005</v>
      </c>
      <c r="JI52" s="47">
        <v>445071.93829999998</v>
      </c>
      <c r="JJ52" s="47">
        <v>279722.54969999997</v>
      </c>
      <c r="JK52" s="47">
        <v>225093.10759999999</v>
      </c>
      <c r="JL52" s="47">
        <v>135952.01759999999</v>
      </c>
      <c r="JM52" s="47">
        <v>58624.438670000003</v>
      </c>
      <c r="JN52" s="1034"/>
      <c r="JO52" s="47">
        <v>223644.00039999999</v>
      </c>
      <c r="JP52" s="47">
        <v>133954.40100000001</v>
      </c>
      <c r="JQ52" s="47">
        <v>107328.6286</v>
      </c>
      <c r="JR52" s="47">
        <v>64322.774129999998</v>
      </c>
      <c r="JS52" s="47">
        <v>51575.815459999998</v>
      </c>
      <c r="JT52" s="47">
        <v>31523.087650000001</v>
      </c>
      <c r="JU52" s="47">
        <v>13845.757680000001</v>
      </c>
      <c r="JV52" s="77"/>
      <c r="JW52" s="47">
        <v>288015</v>
      </c>
      <c r="JX52" s="47">
        <v>132736.44690000001</v>
      </c>
      <c r="JY52" s="47">
        <v>98087.077290000001</v>
      </c>
      <c r="JZ52" s="47">
        <v>53965.444069999998</v>
      </c>
      <c r="KA52" s="47">
        <v>43330.946409999997</v>
      </c>
      <c r="KB52" s="47">
        <v>28062.756979999998</v>
      </c>
      <c r="KC52" s="47">
        <v>14063.37808</v>
      </c>
      <c r="KD52" s="77"/>
      <c r="KE52" s="47">
        <v>326180.99959999998</v>
      </c>
      <c r="KF52" s="47">
        <v>150899.92869999999</v>
      </c>
      <c r="KG52" s="47">
        <v>110719.747</v>
      </c>
      <c r="KH52" s="47">
        <v>56946.609320000003</v>
      </c>
      <c r="KI52" s="47">
        <v>44130.272879999997</v>
      </c>
      <c r="KJ52" s="47">
        <v>25767.264729999999</v>
      </c>
      <c r="KK52" s="47">
        <v>11560.816720000001</v>
      </c>
      <c r="KL52" s="77"/>
      <c r="KM52" s="47">
        <v>797765.00020000001</v>
      </c>
      <c r="KN52" s="47">
        <v>198018.13130000001</v>
      </c>
      <c r="KO52" s="47">
        <v>113475.8361</v>
      </c>
      <c r="KP52" s="47">
        <v>30861.193380000001</v>
      </c>
      <c r="KQ52" s="47">
        <v>18891.1145</v>
      </c>
      <c r="KR52" s="47">
        <v>7134.204608</v>
      </c>
      <c r="KS52" s="47">
        <v>2207.7980980000002</v>
      </c>
      <c r="KT52" s="77"/>
      <c r="KU52" s="47">
        <v>572723</v>
      </c>
      <c r="KV52" s="47">
        <v>163650.31210000001</v>
      </c>
      <c r="KW52" s="47">
        <v>104497.8515</v>
      </c>
      <c r="KX52" s="47">
        <v>41682.248590000003</v>
      </c>
      <c r="KY52" s="47">
        <v>30413.595450000001</v>
      </c>
      <c r="KZ52" s="47">
        <v>16606.80387</v>
      </c>
      <c r="LA52" s="47">
        <v>7022.2817409999998</v>
      </c>
      <c r="LB52" s="77"/>
      <c r="LC52" s="1034">
        <v>720630.63489999995</v>
      </c>
      <c r="LD52" s="1034">
        <v>54048.74583</v>
      </c>
      <c r="LE52" s="1034">
        <v>26882.431860000001</v>
      </c>
      <c r="LF52" s="1034">
        <v>6003.0483709999999</v>
      </c>
      <c r="LG52" s="1034">
        <v>3230.128577</v>
      </c>
      <c r="LH52" s="1034">
        <v>736.04798029999995</v>
      </c>
      <c r="LI52" s="1034">
        <v>85.332950990000001</v>
      </c>
      <c r="LJ52" s="77"/>
      <c r="LK52" s="1034">
        <v>30258</v>
      </c>
      <c r="LL52" s="1034">
        <v>20210.924712200002</v>
      </c>
      <c r="LM52" s="1034">
        <v>17348.0611341</v>
      </c>
      <c r="LN52" s="1034">
        <v>11186.9738146</v>
      </c>
      <c r="LO52" s="1034">
        <v>8787.5907011999989</v>
      </c>
      <c r="LP52" s="1034">
        <v>4976.9915808999995</v>
      </c>
      <c r="LQ52" s="1034">
        <v>2097.5130214000001</v>
      </c>
    </row>
    <row r="53" spans="1:329" s="43" customFormat="1" ht="9.75" customHeight="1" x14ac:dyDescent="0.2">
      <c r="A53" s="48">
        <v>2005</v>
      </c>
      <c r="B53" s="47">
        <v>6821578.7726555057</v>
      </c>
      <c r="C53" s="47">
        <v>3083764.1973776468</v>
      </c>
      <c r="D53" s="47">
        <v>2272615.6228351067</v>
      </c>
      <c r="E53" s="47">
        <v>1213933.1364083036</v>
      </c>
      <c r="F53" s="47">
        <v>945003.93642617366</v>
      </c>
      <c r="G53" s="47">
        <v>532913.70435993245</v>
      </c>
      <c r="H53" s="47">
        <v>225533.83673788005</v>
      </c>
      <c r="I53" s="47"/>
      <c r="J53" s="47">
        <v>11239819.791999999</v>
      </c>
      <c r="K53" s="47">
        <v>4285720.6076699998</v>
      </c>
      <c r="L53" s="47">
        <v>3104096.9985699998</v>
      </c>
      <c r="M53" s="47">
        <v>1602514.8525700001</v>
      </c>
      <c r="N53" s="47">
        <v>1246414.9953600001</v>
      </c>
      <c r="O53" s="47">
        <v>711705.74554999999</v>
      </c>
      <c r="P53" s="47">
        <v>312137.76754999999</v>
      </c>
      <c r="Q53" s="47"/>
      <c r="R53" s="47">
        <v>12693303.791999999</v>
      </c>
      <c r="S53" s="47">
        <v>4355783.4313500002</v>
      </c>
      <c r="T53" s="47">
        <v>3139247.30455</v>
      </c>
      <c r="U53" s="47">
        <v>1610341.2622500001</v>
      </c>
      <c r="V53" s="47">
        <v>1250594.67435</v>
      </c>
      <c r="W53" s="47">
        <v>712515.36526999995</v>
      </c>
      <c r="X53" s="47">
        <v>312203.51792999997</v>
      </c>
      <c r="Y53" s="47"/>
      <c r="Z53" s="47">
        <v>11239820</v>
      </c>
      <c r="AA53" s="47">
        <v>3201880.6466399999</v>
      </c>
      <c r="AB53" s="47">
        <v>2228606.4124199999</v>
      </c>
      <c r="AC53" s="47">
        <v>1069170.0117200001</v>
      </c>
      <c r="AD53" s="47">
        <v>811906.32219999994</v>
      </c>
      <c r="AE53" s="47">
        <v>446650.03162000002</v>
      </c>
      <c r="AF53" s="47">
        <v>194157.98843999999</v>
      </c>
      <c r="AG53" s="47"/>
      <c r="AH53" s="47">
        <v>6879792.1725000003</v>
      </c>
      <c r="AI53" s="47">
        <v>3058339.19643</v>
      </c>
      <c r="AJ53" s="47">
        <v>2248399.2698300001</v>
      </c>
      <c r="AK53" s="47">
        <v>1196534.59393</v>
      </c>
      <c r="AL53" s="47">
        <v>930716.09000999993</v>
      </c>
      <c r="AM53" s="47">
        <v>524682.16243000003</v>
      </c>
      <c r="AN53" s="47">
        <v>222278.92752999999</v>
      </c>
      <c r="AO53" s="47"/>
      <c r="AP53" s="47"/>
      <c r="AQ53" s="47"/>
      <c r="AR53" s="47"/>
      <c r="AS53" s="47"/>
      <c r="AT53" s="47"/>
      <c r="AU53" s="47"/>
      <c r="AV53" s="47"/>
      <c r="AW53" s="47"/>
      <c r="AX53" s="47">
        <v>6936802.6012000004</v>
      </c>
      <c r="AY53" s="47">
        <v>3099961.4177499996</v>
      </c>
      <c r="AZ53" s="47">
        <v>2285838.5048199999</v>
      </c>
      <c r="BA53" s="47">
        <v>1223807.9301199999</v>
      </c>
      <c r="BB53" s="47">
        <v>953029.41675999993</v>
      </c>
      <c r="BC53" s="47">
        <v>538097.78206</v>
      </c>
      <c r="BD53" s="47">
        <v>227686.33603999999</v>
      </c>
      <c r="BE53" s="47"/>
      <c r="BF53" s="44">
        <v>6940151.9780999999</v>
      </c>
      <c r="BG53" s="44">
        <v>3055470.0364199998</v>
      </c>
      <c r="BH53" s="44">
        <v>2251448.0072400002</v>
      </c>
      <c r="BI53" s="44">
        <v>1207013.62014</v>
      </c>
      <c r="BJ53" s="44">
        <v>941453.85437000007</v>
      </c>
      <c r="BK53" s="44">
        <v>533608.98389000003</v>
      </c>
      <c r="BL53" s="44">
        <v>226122.10167</v>
      </c>
      <c r="BN53" s="44">
        <v>6940151.9780999999</v>
      </c>
      <c r="BO53" s="44">
        <v>2806140.90228</v>
      </c>
      <c r="BP53" s="44">
        <v>2061940.2822899998</v>
      </c>
      <c r="BQ53" s="44">
        <v>1102637.55975</v>
      </c>
      <c r="BR53" s="44">
        <v>861751.26584000001</v>
      </c>
      <c r="BS53" s="44">
        <v>491464.46100000001</v>
      </c>
      <c r="BT53" s="44">
        <v>209468.73418999999</v>
      </c>
      <c r="BU53" s="44"/>
      <c r="BV53" s="47">
        <v>6972953.9581000004</v>
      </c>
      <c r="BW53" s="47">
        <v>2836278.8412700002</v>
      </c>
      <c r="BX53" s="47">
        <v>2091197.8882299999</v>
      </c>
      <c r="BY53" s="47">
        <v>1127455.2355599999</v>
      </c>
      <c r="BZ53" s="47">
        <v>884225.96383999998</v>
      </c>
      <c r="CA53" s="47">
        <v>509488.08104999998</v>
      </c>
      <c r="CB53" s="47">
        <v>220431.46924000001</v>
      </c>
      <c r="CC53" s="44"/>
      <c r="CD53" s="47">
        <v>7457770.9581000004</v>
      </c>
      <c r="CE53" s="47">
        <v>3088185.9659500001</v>
      </c>
      <c r="CF53" s="47">
        <v>2294619.09601</v>
      </c>
      <c r="CG53" s="47">
        <v>1252321.0341099999</v>
      </c>
      <c r="CH53" s="47">
        <v>988333.37738000008</v>
      </c>
      <c r="CI53" s="47">
        <v>576679.23314000003</v>
      </c>
      <c r="CJ53" s="47">
        <v>254196.89522999999</v>
      </c>
      <c r="CL53" s="47">
        <v>7848686.9581000004</v>
      </c>
      <c r="CM53" s="47">
        <v>3271282.24663</v>
      </c>
      <c r="CN53" s="47">
        <v>2436992.3980799997</v>
      </c>
      <c r="CO53" s="47">
        <v>1331993.3175799998</v>
      </c>
      <c r="CP53" s="47">
        <v>1053208.1376499999</v>
      </c>
      <c r="CQ53" s="47">
        <v>617095.21933999995</v>
      </c>
      <c r="CR53" s="47">
        <v>274255.77652999997</v>
      </c>
      <c r="CS53" s="47"/>
      <c r="CT53" s="47">
        <v>8032589.9581000004</v>
      </c>
      <c r="CU53" s="47">
        <v>3370426.6035099998</v>
      </c>
      <c r="CV53" s="47">
        <v>2517284.17967</v>
      </c>
      <c r="CW53" s="47">
        <v>1382413.78357</v>
      </c>
      <c r="CX53" s="47">
        <v>1094448.93616</v>
      </c>
      <c r="CY53" s="47">
        <v>643397.25378999999</v>
      </c>
      <c r="CZ53" s="47">
        <v>286947.00932000001</v>
      </c>
      <c r="DA53" s="47"/>
      <c r="DB53" s="47">
        <v>8032589.9581000004</v>
      </c>
      <c r="DC53" s="47">
        <v>3390522.8008500002</v>
      </c>
      <c r="DD53" s="47">
        <v>2536885.7016699999</v>
      </c>
      <c r="DE53" s="47">
        <v>1395924.5255700001</v>
      </c>
      <c r="DF53" s="47">
        <v>1105857.5931899999</v>
      </c>
      <c r="DG53" s="47">
        <v>650193.25757999998</v>
      </c>
      <c r="DH53" s="47">
        <v>289610.01209999999</v>
      </c>
      <c r="DI53" s="47"/>
      <c r="DJ53" s="47">
        <v>8841734.8160999995</v>
      </c>
      <c r="DK53" s="47">
        <v>3600497.4609099999</v>
      </c>
      <c r="DL53" s="47">
        <v>2684448.8815199998</v>
      </c>
      <c r="DM53" s="47">
        <v>1460444.02422</v>
      </c>
      <c r="DN53" s="47">
        <v>1149512.8659999999</v>
      </c>
      <c r="DO53" s="47">
        <v>667195.17116999999</v>
      </c>
      <c r="DP53" s="47">
        <v>296305.46545000002</v>
      </c>
      <c r="DQ53" s="47"/>
      <c r="DR53" s="47">
        <v>9167203.8157729544</v>
      </c>
      <c r="DS53" s="47">
        <v>3721608.0442281901</v>
      </c>
      <c r="DT53" s="47">
        <v>2763284.9362193919</v>
      </c>
      <c r="DU53" s="47">
        <v>1489682.5068425175</v>
      </c>
      <c r="DV53" s="47">
        <v>1168448.4054979612</v>
      </c>
      <c r="DW53" s="47">
        <v>674183.18280248088</v>
      </c>
      <c r="DX53" s="47">
        <v>297855.60487619898</v>
      </c>
      <c r="DY53" s="297"/>
      <c r="DZ53" s="47">
        <v>9595256.8159016147</v>
      </c>
      <c r="EA53" s="47">
        <v>3817126.3044816507</v>
      </c>
      <c r="EB53" s="47">
        <v>2815265.7959130332</v>
      </c>
      <c r="EC53" s="47">
        <v>1503393.20752142</v>
      </c>
      <c r="ED53" s="47">
        <v>1176763.0218914086</v>
      </c>
      <c r="EE53" s="47">
        <v>677498.45455488923</v>
      </c>
      <c r="EF53" s="47">
        <v>298850.10727966193</v>
      </c>
      <c r="EG53" s="541"/>
      <c r="EH53" s="47">
        <v>10202770.815901656</v>
      </c>
      <c r="EI53" s="47">
        <v>3954841.6724383244</v>
      </c>
      <c r="EJ53" s="47">
        <v>2885483.8363489881</v>
      </c>
      <c r="EK53" s="47">
        <v>1514783.9766588975</v>
      </c>
      <c r="EL53" s="47">
        <v>1182207.7059463211</v>
      </c>
      <c r="EM53" s="47">
        <v>678793.02581297932</v>
      </c>
      <c r="EN53" s="47">
        <v>299020.87351386237</v>
      </c>
      <c r="EO53" s="47"/>
      <c r="EP53" s="47">
        <v>10557645.791999999</v>
      </c>
      <c r="EQ53" s="47">
        <v>4087094.0239499998</v>
      </c>
      <c r="ER53" s="47">
        <v>2973792.7648499999</v>
      </c>
      <c r="ES53" s="47">
        <v>1548026.5169500001</v>
      </c>
      <c r="ET53" s="47">
        <v>1205503.43166</v>
      </c>
      <c r="EU53" s="47">
        <v>689308.61074000003</v>
      </c>
      <c r="EV53" s="47">
        <v>302523.48923000001</v>
      </c>
      <c r="EW53" s="47"/>
      <c r="EX53" s="47">
        <v>11239819.791999999</v>
      </c>
      <c r="EY53" s="47">
        <v>4285720.6076699998</v>
      </c>
      <c r="EZ53" s="47">
        <v>3104096.9985699998</v>
      </c>
      <c r="FA53" s="47">
        <v>1602514.8525700001</v>
      </c>
      <c r="FB53" s="47">
        <v>1246414.9953600001</v>
      </c>
      <c r="FC53" s="47">
        <v>711705.74554999999</v>
      </c>
      <c r="FD53" s="47">
        <v>312137.76754999999</v>
      </c>
      <c r="FE53" s="47"/>
      <c r="FF53" s="47">
        <v>11761741.791999999</v>
      </c>
      <c r="FG53" s="47">
        <v>4329669.2566499999</v>
      </c>
      <c r="FH53" s="47">
        <v>3129147.64255</v>
      </c>
      <c r="FI53" s="47">
        <v>1608997.9766500001</v>
      </c>
      <c r="FJ53" s="47">
        <v>1249999.47642</v>
      </c>
      <c r="FK53" s="47">
        <v>712416.51295999996</v>
      </c>
      <c r="FL53" s="47">
        <v>312188.63824</v>
      </c>
      <c r="FN53" s="47">
        <v>11793515.791999999</v>
      </c>
      <c r="FO53" s="47">
        <v>4331268.5933100004</v>
      </c>
      <c r="FP53" s="47">
        <v>3129687.84241</v>
      </c>
      <c r="FQ53" s="47">
        <v>1608966.6236100001</v>
      </c>
      <c r="FR53" s="47">
        <v>1249918.0239800001</v>
      </c>
      <c r="FS53" s="47">
        <v>712419.91605</v>
      </c>
      <c r="FT53" s="47">
        <v>312188.74008999998</v>
      </c>
      <c r="FV53" s="44">
        <v>11959988.791999999</v>
      </c>
      <c r="FW53" s="44">
        <v>4334904.19331</v>
      </c>
      <c r="FX53" s="44">
        <v>3131505.6424100003</v>
      </c>
      <c r="FY53" s="44">
        <v>1609330.1836100002</v>
      </c>
      <c r="FZ53" s="44">
        <v>1250099.8039800001</v>
      </c>
      <c r="GA53" s="44">
        <v>712456.27205000003</v>
      </c>
      <c r="GB53" s="44">
        <v>312192.37569000002</v>
      </c>
      <c r="GC53" s="44"/>
      <c r="GE53" s="47">
        <v>12254614.791999999</v>
      </c>
      <c r="GF53" s="47">
        <v>4355783.4313500002</v>
      </c>
      <c r="GG53" s="47">
        <v>3139247.30455</v>
      </c>
      <c r="GH53" s="47">
        <v>1610341.2622500001</v>
      </c>
      <c r="GI53" s="47">
        <v>1250594.67435</v>
      </c>
      <c r="GJ53" s="47">
        <v>712515.36526999995</v>
      </c>
      <c r="GK53" s="47">
        <v>312203.51792999997</v>
      </c>
      <c r="GM53" s="47">
        <v>12693303.791999999</v>
      </c>
      <c r="GN53" s="47">
        <v>4355783.4313500002</v>
      </c>
      <c r="GO53" s="47">
        <v>3139247.30455</v>
      </c>
      <c r="GP53" s="47">
        <v>1610341.2622500001</v>
      </c>
      <c r="GQ53" s="47">
        <v>1250594.67435</v>
      </c>
      <c r="GR53" s="47">
        <v>712515.36526999995</v>
      </c>
      <c r="GS53" s="47">
        <v>312203.51792999997</v>
      </c>
      <c r="GT53" s="187"/>
      <c r="GU53" s="480">
        <v>11721493.126</v>
      </c>
      <c r="GV53" s="481">
        <v>3692714.6708900002</v>
      </c>
      <c r="GW53" s="481">
        <v>2592554.45199</v>
      </c>
      <c r="GX53" s="481">
        <v>1258977.65949</v>
      </c>
      <c r="GY53" s="481">
        <v>962215.49057999998</v>
      </c>
      <c r="GZ53" s="481">
        <v>537550.3591</v>
      </c>
      <c r="HA53" s="481">
        <v>236085.09177</v>
      </c>
      <c r="HB53" s="256"/>
      <c r="HC53" s="480">
        <v>11469982.126</v>
      </c>
      <c r="HD53" s="481">
        <v>3544030.0910400003</v>
      </c>
      <c r="HE53" s="481">
        <v>2474863.2160399999</v>
      </c>
      <c r="HF53" s="481">
        <v>1185775.1357400001</v>
      </c>
      <c r="HG53" s="481">
        <v>902390.40969</v>
      </c>
      <c r="HH53" s="481">
        <v>501073.62878999999</v>
      </c>
      <c r="HI53" s="481">
        <v>220092.81140000001</v>
      </c>
      <c r="HJ53" s="481"/>
      <c r="HK53" s="480">
        <v>11079066.126</v>
      </c>
      <c r="HL53" s="481">
        <v>3373282.7462800001</v>
      </c>
      <c r="HM53" s="481">
        <v>2344375.7733800001</v>
      </c>
      <c r="HN53" s="481">
        <v>1112613.8580799999</v>
      </c>
      <c r="HO53" s="481">
        <v>843391.25355000002</v>
      </c>
      <c r="HP53" s="481">
        <v>463896.95530000003</v>
      </c>
      <c r="HQ53" s="481">
        <v>201439.93645000001</v>
      </c>
      <c r="HR53" s="256"/>
      <c r="HS53" s="480">
        <v>10727748.126</v>
      </c>
      <c r="HT53" s="481">
        <v>3217805.3156999997</v>
      </c>
      <c r="HU53" s="481">
        <v>2230288.2623100001</v>
      </c>
      <c r="HV53" s="481">
        <v>1051964.78471</v>
      </c>
      <c r="HW53" s="481">
        <v>796008.50174999994</v>
      </c>
      <c r="HX53" s="481">
        <v>436360.32111000002</v>
      </c>
      <c r="HY53" s="481">
        <v>189182.33377999999</v>
      </c>
      <c r="HZ53" s="47"/>
      <c r="IA53" s="480">
        <v>9891983.1257000007</v>
      </c>
      <c r="IB53" s="481">
        <v>3012658.5977800004</v>
      </c>
      <c r="IC53" s="481">
        <v>2110457.4596099998</v>
      </c>
      <c r="ID53" s="481">
        <v>1019133.6001099999</v>
      </c>
      <c r="IE53" s="481">
        <v>775719.20807999989</v>
      </c>
      <c r="IF53" s="481">
        <v>428829.62066999997</v>
      </c>
      <c r="IG53" s="481">
        <v>186828.84474</v>
      </c>
      <c r="IH53" s="47"/>
      <c r="II53" s="480">
        <v>9393413.1257000007</v>
      </c>
      <c r="IJ53" s="480">
        <v>2865093.3180800001</v>
      </c>
      <c r="IK53" s="480">
        <v>2013428.6733299999</v>
      </c>
      <c r="IL53" s="480">
        <v>979320.18533000001</v>
      </c>
      <c r="IM53" s="480">
        <v>746217.88696999988</v>
      </c>
      <c r="IN53" s="480">
        <v>412666.34242</v>
      </c>
      <c r="IO53" s="480">
        <v>179671.96335999999</v>
      </c>
      <c r="IP53" s="757"/>
      <c r="IQ53" s="757">
        <v>9344413.9997000005</v>
      </c>
      <c r="IR53" s="757">
        <v>2842967.8274099999</v>
      </c>
      <c r="IS53" s="757">
        <v>1996574.9470300002</v>
      </c>
      <c r="IT53" s="757">
        <v>969760.36063000001</v>
      </c>
      <c r="IU53" s="757">
        <v>738666.03107000003</v>
      </c>
      <c r="IV53" s="757">
        <v>408123.35663000005</v>
      </c>
      <c r="IW53" s="757">
        <v>177684.41132000001</v>
      </c>
      <c r="IX53" s="757"/>
      <c r="IY53" s="757">
        <v>11239820</v>
      </c>
      <c r="IZ53" s="757">
        <v>3201880.6466399999</v>
      </c>
      <c r="JA53" s="757">
        <v>2228606.4124199999</v>
      </c>
      <c r="JB53" s="757">
        <v>1069170.0117200001</v>
      </c>
      <c r="JC53" s="757">
        <v>811906.32219999994</v>
      </c>
      <c r="JD53" s="757">
        <v>446650.03162000002</v>
      </c>
      <c r="JE53" s="757">
        <v>194157.98843999999</v>
      </c>
      <c r="JF53" s="256"/>
      <c r="JG53" s="47">
        <v>941505.66619999998</v>
      </c>
      <c r="JH53" s="47">
        <v>647106.97169999999</v>
      </c>
      <c r="JI53" s="47">
        <v>542502.70169999998</v>
      </c>
      <c r="JJ53" s="47">
        <v>349912.33559999999</v>
      </c>
      <c r="JK53" s="47">
        <v>286510.5588</v>
      </c>
      <c r="JL53" s="47">
        <v>175658.18100000001</v>
      </c>
      <c r="JM53" s="47">
        <v>76743.084459999998</v>
      </c>
      <c r="JN53" s="1034"/>
      <c r="JO53" s="47">
        <v>251511.0001</v>
      </c>
      <c r="JP53" s="47">
        <v>154987.9558</v>
      </c>
      <c r="JQ53" s="47">
        <v>125496.43580000001</v>
      </c>
      <c r="JR53" s="47">
        <v>77913.934120000005</v>
      </c>
      <c r="JS53" s="47">
        <v>63695.256650000003</v>
      </c>
      <c r="JT53" s="47">
        <v>39594.320350000002</v>
      </c>
      <c r="JU53" s="47">
        <v>17801.950929999999</v>
      </c>
      <c r="JV53" s="77"/>
      <c r="JW53" s="47">
        <v>390916</v>
      </c>
      <c r="JX53" s="47">
        <v>180545.90299999999</v>
      </c>
      <c r="JY53" s="47">
        <v>135770.3559</v>
      </c>
      <c r="JZ53" s="47">
        <v>76737.920840000006</v>
      </c>
      <c r="KA53" s="47">
        <v>62349.439059999997</v>
      </c>
      <c r="KB53" s="47">
        <v>39842.609420000001</v>
      </c>
      <c r="KC53" s="47">
        <v>19908.099460000001</v>
      </c>
      <c r="KD53" s="77"/>
      <c r="KE53" s="47">
        <v>351317.99979999999</v>
      </c>
      <c r="KF53" s="47">
        <v>163399.1649</v>
      </c>
      <c r="KG53" s="47">
        <v>121244.33779999999</v>
      </c>
      <c r="KH53" s="47">
        <v>63985.389199999998</v>
      </c>
      <c r="KI53" s="47">
        <v>50395.615960000003</v>
      </c>
      <c r="KJ53" s="47">
        <v>29329.652310000001</v>
      </c>
      <c r="KK53" s="47">
        <v>13250.23559</v>
      </c>
      <c r="KL53" s="77"/>
      <c r="KM53" s="47">
        <v>835765.00009999995</v>
      </c>
      <c r="KN53" s="47">
        <v>206909.2776</v>
      </c>
      <c r="KO53" s="47">
        <v>118418.11810000001</v>
      </c>
      <c r="KP53" s="47">
        <v>32730.888459999998</v>
      </c>
      <c r="KQ53" s="47">
        <v>20416.630570000001</v>
      </c>
      <c r="KR53" s="47">
        <v>7887.7521740000002</v>
      </c>
      <c r="KS53" s="47">
        <v>2447.4690569999998</v>
      </c>
      <c r="KT53" s="77"/>
      <c r="KU53" s="47">
        <v>616210</v>
      </c>
      <c r="KV53" s="47">
        <v>179175.7738</v>
      </c>
      <c r="KW53" s="47">
        <v>115568.2934</v>
      </c>
      <c r="KX53" s="47">
        <v>48118.104700000004</v>
      </c>
      <c r="KY53" s="47">
        <v>35978.916649999999</v>
      </c>
      <c r="KZ53" s="47">
        <v>20045.328379999999</v>
      </c>
      <c r="LA53" s="47">
        <v>8604.7782559999996</v>
      </c>
      <c r="LB53" s="77"/>
      <c r="LC53" s="1034">
        <v>756105.46710000001</v>
      </c>
      <c r="LD53" s="1034">
        <v>55963.06796</v>
      </c>
      <c r="LE53" s="1034">
        <v>27861.320380000001</v>
      </c>
      <c r="LF53" s="1034">
        <v>6011.1944439999997</v>
      </c>
      <c r="LG53" s="1034">
        <v>3347.1112589999998</v>
      </c>
      <c r="LH53" s="1034">
        <v>755.55190340000001</v>
      </c>
      <c r="LI53" s="1034">
        <v>88.494871759999995</v>
      </c>
      <c r="LJ53" s="77"/>
      <c r="LK53" s="1034">
        <v>30305</v>
      </c>
      <c r="LL53" s="1034">
        <v>20175.104473800002</v>
      </c>
      <c r="LM53" s="1034">
        <v>17316.544279500002</v>
      </c>
      <c r="LN53" s="1034">
        <v>11112.919096299998</v>
      </c>
      <c r="LO53" s="1034">
        <v>8801.0980178999998</v>
      </c>
      <c r="LP53" s="1034">
        <v>4948.8237121000002</v>
      </c>
      <c r="LQ53" s="1034">
        <v>2064.1182420999999</v>
      </c>
    </row>
    <row r="54" spans="1:329" s="43" customFormat="1" ht="9.75" customHeight="1" x14ac:dyDescent="0.2">
      <c r="A54" s="48">
        <v>2006</v>
      </c>
      <c r="B54" s="47">
        <v>7298695.5062816264</v>
      </c>
      <c r="C54" s="47">
        <v>3341605.3968722699</v>
      </c>
      <c r="D54" s="47">
        <v>2474461.5421260507</v>
      </c>
      <c r="E54" s="47">
        <v>1330353.3444550666</v>
      </c>
      <c r="F54" s="47">
        <v>1037168.1792163372</v>
      </c>
      <c r="G54" s="47">
        <v>583991.76828699862</v>
      </c>
      <c r="H54" s="47">
        <v>243306.39743961004</v>
      </c>
      <c r="I54" s="47"/>
      <c r="J54" s="47">
        <v>12004750.65</v>
      </c>
      <c r="K54" s="47">
        <v>4630103.5245499993</v>
      </c>
      <c r="L54" s="47">
        <v>3366910.0862500002</v>
      </c>
      <c r="M54" s="47">
        <v>1764259.4575499999</v>
      </c>
      <c r="N54" s="47">
        <v>1373036.5578899998</v>
      </c>
      <c r="O54" s="47">
        <v>781092.07010999997</v>
      </c>
      <c r="P54" s="47">
        <v>335329.90064000001</v>
      </c>
      <c r="Q54" s="47"/>
      <c r="R54" s="47">
        <v>13551527.65</v>
      </c>
      <c r="S54" s="47">
        <v>4711680.1435900005</v>
      </c>
      <c r="T54" s="47">
        <v>3406808.6303899996</v>
      </c>
      <c r="U54" s="47">
        <v>1772970.7706899999</v>
      </c>
      <c r="V54" s="47">
        <v>1377632.4008200001</v>
      </c>
      <c r="W54" s="47">
        <v>782150.65345999994</v>
      </c>
      <c r="X54" s="47">
        <v>335462.28305999999</v>
      </c>
      <c r="Y54" s="47"/>
      <c r="Z54" s="47">
        <v>12004751.045</v>
      </c>
      <c r="AA54" s="47">
        <v>3473075.8101400002</v>
      </c>
      <c r="AB54" s="47">
        <v>2424201.6351399999</v>
      </c>
      <c r="AC54" s="47">
        <v>1179146.73884</v>
      </c>
      <c r="AD54" s="47">
        <v>896315.67712000001</v>
      </c>
      <c r="AE54" s="47">
        <v>490982.31371000002</v>
      </c>
      <c r="AF54" s="47">
        <v>207173.91946</v>
      </c>
      <c r="AG54" s="47"/>
      <c r="AH54" s="47">
        <v>7361607.9375</v>
      </c>
      <c r="AI54" s="47">
        <v>3315523.7471299996</v>
      </c>
      <c r="AJ54" s="47">
        <v>2449726.7948699999</v>
      </c>
      <c r="AK54" s="47">
        <v>1312825.7371700001</v>
      </c>
      <c r="AL54" s="47">
        <v>1022896.95527</v>
      </c>
      <c r="AM54" s="47">
        <v>575521.37987000006</v>
      </c>
      <c r="AN54" s="47">
        <v>239618.82488999999</v>
      </c>
      <c r="AO54" s="47"/>
      <c r="AP54" s="47"/>
      <c r="AQ54" s="47"/>
      <c r="AR54" s="47"/>
      <c r="AS54" s="47"/>
      <c r="AT54" s="47"/>
      <c r="AU54" s="47"/>
      <c r="AV54" s="47"/>
      <c r="AW54" s="47"/>
      <c r="AX54" s="47">
        <v>7433718.4112999998</v>
      </c>
      <c r="AY54" s="47">
        <v>3368914.4749099999</v>
      </c>
      <c r="AZ54" s="47">
        <v>2497757.7692499999</v>
      </c>
      <c r="BA54" s="47">
        <v>1348316.06335</v>
      </c>
      <c r="BB54" s="47">
        <v>1052260.92157</v>
      </c>
      <c r="BC54" s="47">
        <v>592865.97705999995</v>
      </c>
      <c r="BD54" s="47">
        <v>246430.4572</v>
      </c>
      <c r="BE54" s="47"/>
      <c r="BF54" s="44">
        <v>7427942.9742000001</v>
      </c>
      <c r="BG54" s="44">
        <v>3317735.7960799998</v>
      </c>
      <c r="BH54" s="44">
        <v>2457228.15735</v>
      </c>
      <c r="BI54" s="44">
        <v>1326771.71165</v>
      </c>
      <c r="BJ54" s="44">
        <v>1036613.6884399999</v>
      </c>
      <c r="BK54" s="44">
        <v>585310.07831000001</v>
      </c>
      <c r="BL54" s="44">
        <v>243091.79560000001</v>
      </c>
      <c r="BN54" s="44">
        <v>7427942.9742000001</v>
      </c>
      <c r="BO54" s="44">
        <v>3046422.9928899999</v>
      </c>
      <c r="BP54" s="44">
        <v>2250021.7120300001</v>
      </c>
      <c r="BQ54" s="44">
        <v>1210900.9640300001</v>
      </c>
      <c r="BR54" s="44">
        <v>947211.9588299999</v>
      </c>
      <c r="BS54" s="44">
        <v>539336.30813999998</v>
      </c>
      <c r="BT54" s="44">
        <v>224948.99544999999</v>
      </c>
      <c r="BU54" s="44"/>
      <c r="BV54" s="47">
        <v>7471817.5791999996</v>
      </c>
      <c r="BW54" s="47">
        <v>3087214.2869899999</v>
      </c>
      <c r="BX54" s="47">
        <v>2288895.28993</v>
      </c>
      <c r="BY54" s="47">
        <v>1243746.7542299998</v>
      </c>
      <c r="BZ54" s="47">
        <v>976645.01844000001</v>
      </c>
      <c r="CA54" s="47">
        <v>561650.16495000001</v>
      </c>
      <c r="CB54" s="47">
        <v>237838.41078000001</v>
      </c>
      <c r="CC54" s="44"/>
      <c r="CD54" s="47">
        <v>7918957.5791999996</v>
      </c>
      <c r="CE54" s="47">
        <v>3328866.1891800002</v>
      </c>
      <c r="CF54" s="47">
        <v>2486041.1389700002</v>
      </c>
      <c r="CG54" s="47">
        <v>1369652.50507</v>
      </c>
      <c r="CH54" s="47">
        <v>1080844.8784400001</v>
      </c>
      <c r="CI54" s="47">
        <v>628784.71629999997</v>
      </c>
      <c r="CJ54" s="47">
        <v>271111.60441000003</v>
      </c>
      <c r="CL54" s="47">
        <v>8363265.5791999996</v>
      </c>
      <c r="CM54" s="47">
        <v>3541260.9558500005</v>
      </c>
      <c r="CN54" s="47">
        <v>2651788.9890000001</v>
      </c>
      <c r="CO54" s="47">
        <v>1464713.5926000001</v>
      </c>
      <c r="CP54" s="47">
        <v>1157829.53425</v>
      </c>
      <c r="CQ54" s="47">
        <v>676634.98090000008</v>
      </c>
      <c r="CR54" s="47">
        <v>294205.41191000002</v>
      </c>
      <c r="CS54" s="47"/>
      <c r="CT54" s="47">
        <v>8560027.5791999996</v>
      </c>
      <c r="CU54" s="47">
        <v>3649111.7806600002</v>
      </c>
      <c r="CV54" s="47">
        <v>2741124.4643399999</v>
      </c>
      <c r="CW54" s="47">
        <v>1521193.9150399999</v>
      </c>
      <c r="CX54" s="47">
        <v>1204087.6403399999</v>
      </c>
      <c r="CY54" s="47">
        <v>705790.52396999998</v>
      </c>
      <c r="CZ54" s="47">
        <v>308008.17960999999</v>
      </c>
      <c r="DA54" s="47"/>
      <c r="DB54" s="47">
        <v>8560027.5801999997</v>
      </c>
      <c r="DC54" s="47">
        <v>3670756.1090200003</v>
      </c>
      <c r="DD54" s="47">
        <v>2763510.4521400002</v>
      </c>
      <c r="DE54" s="47">
        <v>1538543.2734400001</v>
      </c>
      <c r="DF54" s="47">
        <v>1218945.9704200001</v>
      </c>
      <c r="DG54" s="47">
        <v>715098.49242000002</v>
      </c>
      <c r="DH54" s="47">
        <v>312036.19475999998</v>
      </c>
      <c r="DI54" s="47"/>
      <c r="DJ54" s="47">
        <v>9496446.4342</v>
      </c>
      <c r="DK54" s="47">
        <v>3918979.4066400002</v>
      </c>
      <c r="DL54" s="47">
        <v>2933419.1146800001</v>
      </c>
      <c r="DM54" s="47">
        <v>1613696.40888</v>
      </c>
      <c r="DN54" s="47">
        <v>1269644.9763199999</v>
      </c>
      <c r="DO54" s="47">
        <v>733868.65367999999</v>
      </c>
      <c r="DP54" s="47">
        <v>318844.10849000001</v>
      </c>
      <c r="DQ54" s="47"/>
      <c r="DR54" s="47">
        <v>9799044.4337292854</v>
      </c>
      <c r="DS54" s="47">
        <v>4031002.157064239</v>
      </c>
      <c r="DT54" s="47">
        <v>3005140.8222405324</v>
      </c>
      <c r="DU54" s="47">
        <v>1640125.1727330384</v>
      </c>
      <c r="DV54" s="47">
        <v>1287151.6467267568</v>
      </c>
      <c r="DW54" s="47">
        <v>740046.54011990619</v>
      </c>
      <c r="DX54" s="47">
        <v>320222.94094434014</v>
      </c>
      <c r="DY54" s="297"/>
      <c r="DZ54" s="47">
        <v>10246404.433635866</v>
      </c>
      <c r="EA54" s="47">
        <v>4131505.5401858683</v>
      </c>
      <c r="EB54" s="47">
        <v>3059525.6727742776</v>
      </c>
      <c r="EC54" s="47">
        <v>1654436.4216945947</v>
      </c>
      <c r="ED54" s="47">
        <v>1295940.4777549203</v>
      </c>
      <c r="EE54" s="47">
        <v>743496.89151005819</v>
      </c>
      <c r="EF54" s="47">
        <v>321252.79697021056</v>
      </c>
      <c r="EG54" s="541"/>
      <c r="EH54" s="47">
        <v>10861510.433635816</v>
      </c>
      <c r="EI54" s="47">
        <v>4267720.3823711872</v>
      </c>
      <c r="EJ54" s="47">
        <v>3126694.8494618316</v>
      </c>
      <c r="EK54" s="47">
        <v>1665494.2308536065</v>
      </c>
      <c r="EL54" s="47">
        <v>1301333.6058339062</v>
      </c>
      <c r="EM54" s="47">
        <v>744748.42280052812</v>
      </c>
      <c r="EN54" s="47">
        <v>321402.47985276103</v>
      </c>
      <c r="EO54" s="47"/>
      <c r="EP54" s="47">
        <v>11273708.65</v>
      </c>
      <c r="EQ54" s="47">
        <v>4417637.7371399999</v>
      </c>
      <c r="ER54" s="47">
        <v>3227396.7566400003</v>
      </c>
      <c r="ES54" s="47">
        <v>1704423.46004</v>
      </c>
      <c r="ET54" s="47">
        <v>1328464.5148700001</v>
      </c>
      <c r="EU54" s="47">
        <v>756780.54043000005</v>
      </c>
      <c r="EV54" s="47">
        <v>325203.66837999999</v>
      </c>
      <c r="EW54" s="47"/>
      <c r="EX54" s="47">
        <v>12004750.65</v>
      </c>
      <c r="EY54" s="47">
        <v>4630103.5245499993</v>
      </c>
      <c r="EZ54" s="47">
        <v>3366910.0862500002</v>
      </c>
      <c r="FA54" s="47">
        <v>1764259.4575499999</v>
      </c>
      <c r="FB54" s="47">
        <v>1373036.5578899998</v>
      </c>
      <c r="FC54" s="47">
        <v>781092.07010999997</v>
      </c>
      <c r="FD54" s="47">
        <v>335329.90064000001</v>
      </c>
      <c r="FE54" s="47"/>
      <c r="FF54" s="47">
        <v>12558365.65</v>
      </c>
      <c r="FG54" s="47">
        <v>4681371.0196899995</v>
      </c>
      <c r="FH54" s="47">
        <v>3395519.3309900006</v>
      </c>
      <c r="FI54" s="47">
        <v>1771470.9987899999</v>
      </c>
      <c r="FJ54" s="47">
        <v>1376960.33571</v>
      </c>
      <c r="FK54" s="47">
        <v>782033.65562999994</v>
      </c>
      <c r="FL54" s="47">
        <v>335451.73687999998</v>
      </c>
      <c r="FN54" s="47">
        <v>12588732.65</v>
      </c>
      <c r="FO54" s="47">
        <v>4682674.1653399998</v>
      </c>
      <c r="FP54" s="47">
        <v>3396296.7080399999</v>
      </c>
      <c r="FQ54" s="47">
        <v>1771613.6599399999</v>
      </c>
      <c r="FR54" s="47">
        <v>1376886.81219</v>
      </c>
      <c r="FS54" s="47">
        <v>782035.91613999999</v>
      </c>
      <c r="FT54" s="47">
        <v>335451.85638000001</v>
      </c>
      <c r="FV54" s="44">
        <v>12761706.65</v>
      </c>
      <c r="FW54" s="44">
        <v>4686557.6653399998</v>
      </c>
      <c r="FX54" s="44">
        <v>3398238.4580399999</v>
      </c>
      <c r="FY54" s="44">
        <v>1772002.00994</v>
      </c>
      <c r="FZ54" s="44">
        <v>1377080.98719</v>
      </c>
      <c r="GA54" s="44">
        <v>782074.75114000007</v>
      </c>
      <c r="GB54" s="44">
        <v>335455.73988000001</v>
      </c>
      <c r="GC54" s="44"/>
      <c r="GE54" s="47">
        <v>13114552.65</v>
      </c>
      <c r="GF54" s="47">
        <v>4711680.1435900005</v>
      </c>
      <c r="GG54" s="47">
        <v>3406808.6303899996</v>
      </c>
      <c r="GH54" s="47">
        <v>1772970.7706899999</v>
      </c>
      <c r="GI54" s="47">
        <v>1377632.4008200001</v>
      </c>
      <c r="GJ54" s="47">
        <v>782150.65345999994</v>
      </c>
      <c r="GK54" s="47">
        <v>335462.28305999999</v>
      </c>
      <c r="GM54" s="47">
        <v>13551527.65</v>
      </c>
      <c r="GN54" s="47">
        <v>4711680.1435900005</v>
      </c>
      <c r="GO54" s="47">
        <v>3406808.6303899996</v>
      </c>
      <c r="GP54" s="47">
        <v>1772970.7706899999</v>
      </c>
      <c r="GQ54" s="47">
        <v>1377632.4008200001</v>
      </c>
      <c r="GR54" s="47">
        <v>782150.65345999994</v>
      </c>
      <c r="GS54" s="47">
        <v>335462.28305999999</v>
      </c>
      <c r="GT54" s="187"/>
      <c r="GU54" s="480">
        <v>12458237.831</v>
      </c>
      <c r="GV54" s="481">
        <v>3964029.9612999996</v>
      </c>
      <c r="GW54" s="481">
        <v>2786710.1723999996</v>
      </c>
      <c r="GX54" s="481">
        <v>1372023.6454999999</v>
      </c>
      <c r="GY54" s="481">
        <v>1048621.60987</v>
      </c>
      <c r="GZ54" s="481">
        <v>582542.06623</v>
      </c>
      <c r="HA54" s="481">
        <v>250009.13389999999</v>
      </c>
      <c r="HB54" s="256"/>
      <c r="HC54" s="480">
        <v>12182085.832</v>
      </c>
      <c r="HD54" s="481">
        <v>3803169.2620100002</v>
      </c>
      <c r="HE54" s="481">
        <v>2657966.9882100001</v>
      </c>
      <c r="HF54" s="481">
        <v>1291373.6572099999</v>
      </c>
      <c r="HG54" s="481">
        <v>983171.98821999994</v>
      </c>
      <c r="HH54" s="481">
        <v>542812.32474999991</v>
      </c>
      <c r="HI54" s="481">
        <v>232208.01650999999</v>
      </c>
      <c r="HJ54" s="481"/>
      <c r="HK54" s="480">
        <v>11737777.832</v>
      </c>
      <c r="HL54" s="481">
        <v>3607437.8764199996</v>
      </c>
      <c r="HM54" s="481">
        <v>2508903.0246199998</v>
      </c>
      <c r="HN54" s="481">
        <v>1206028.4874199999</v>
      </c>
      <c r="HO54" s="481">
        <v>914435.08502</v>
      </c>
      <c r="HP54" s="481">
        <v>499995.63382999995</v>
      </c>
      <c r="HQ54" s="481">
        <v>211007.89827999999</v>
      </c>
      <c r="HR54" s="256"/>
      <c r="HS54" s="480">
        <v>11362757.832</v>
      </c>
      <c r="HT54" s="481">
        <v>3442472.8065999998</v>
      </c>
      <c r="HU54" s="481">
        <v>2386505.6507000001</v>
      </c>
      <c r="HV54" s="481">
        <v>1139776.9369999999</v>
      </c>
      <c r="HW54" s="481">
        <v>862543.35476000002</v>
      </c>
      <c r="HX54" s="481">
        <v>470549.54055999999</v>
      </c>
      <c r="HY54" s="481">
        <v>197858.80145999999</v>
      </c>
      <c r="HZ54" s="47"/>
      <c r="IA54" s="480">
        <v>10486494.832</v>
      </c>
      <c r="IB54" s="481">
        <v>3226304.24688</v>
      </c>
      <c r="IC54" s="481">
        <v>2261226.7357100002</v>
      </c>
      <c r="ID54" s="481">
        <v>1104927.9187099999</v>
      </c>
      <c r="IE54" s="481">
        <v>840965.36606999999</v>
      </c>
      <c r="IF54" s="481">
        <v>462037.69018999999</v>
      </c>
      <c r="IG54" s="481">
        <v>195416.14877999999</v>
      </c>
      <c r="IH54" s="47"/>
      <c r="II54" s="480">
        <v>9958459.8320000004</v>
      </c>
      <c r="IJ54" s="480">
        <v>3070615.3727200003</v>
      </c>
      <c r="IK54" s="480">
        <v>2159667.7034300002</v>
      </c>
      <c r="IL54" s="480">
        <v>1061989.55623</v>
      </c>
      <c r="IM54" s="480">
        <v>809263.81758999999</v>
      </c>
      <c r="IN54" s="480">
        <v>444728.96943</v>
      </c>
      <c r="IO54" s="480">
        <v>187940.94331999999</v>
      </c>
      <c r="IP54" s="757"/>
      <c r="IQ54" s="757">
        <v>10003795.045</v>
      </c>
      <c r="IR54" s="757">
        <v>3091346.5260800002</v>
      </c>
      <c r="IS54" s="757">
        <v>2175502.7888799999</v>
      </c>
      <c r="IT54" s="757">
        <v>1071135.83818</v>
      </c>
      <c r="IU54" s="757">
        <v>816478.29071999993</v>
      </c>
      <c r="IV54" s="757">
        <v>449043.90309000004</v>
      </c>
      <c r="IW54" s="757">
        <v>189804.69832</v>
      </c>
      <c r="IX54" s="757"/>
      <c r="IY54" s="757">
        <v>12004751.045</v>
      </c>
      <c r="IZ54" s="757">
        <v>3473075.8101400002</v>
      </c>
      <c r="JA54" s="757">
        <v>2424201.6351399999</v>
      </c>
      <c r="JB54" s="757">
        <v>1179146.73884</v>
      </c>
      <c r="JC54" s="757">
        <v>896315.67712000001</v>
      </c>
      <c r="JD54" s="757">
        <v>490982.31371000002</v>
      </c>
      <c r="JE54" s="757">
        <v>207173.91946</v>
      </c>
      <c r="JF54" s="256"/>
      <c r="JG54" s="47">
        <v>1060361.818</v>
      </c>
      <c r="JH54" s="47">
        <v>733315.31559999997</v>
      </c>
      <c r="JI54" s="47">
        <v>615433.8848</v>
      </c>
      <c r="JJ54" s="47">
        <v>399823.75270000001</v>
      </c>
      <c r="JK54" s="47">
        <v>326610.27419999999</v>
      </c>
      <c r="JL54" s="47">
        <v>200564.01800000001</v>
      </c>
      <c r="JM54" s="47">
        <v>86148.027340000001</v>
      </c>
      <c r="JN54" s="1034"/>
      <c r="JO54" s="47">
        <v>276151.99969999999</v>
      </c>
      <c r="JP54" s="47">
        <v>168757.9191</v>
      </c>
      <c r="JQ54" s="47">
        <v>137513.64499999999</v>
      </c>
      <c r="JR54" s="47">
        <v>86803.323480000006</v>
      </c>
      <c r="JS54" s="47">
        <v>71451.850900000005</v>
      </c>
      <c r="JT54" s="47">
        <v>44503.95117</v>
      </c>
      <c r="JU54" s="47">
        <v>19926.64069</v>
      </c>
      <c r="JV54" s="77"/>
      <c r="JW54" s="47">
        <v>444308</v>
      </c>
      <c r="JX54" s="47">
        <v>205491.33790000001</v>
      </c>
      <c r="JY54" s="47">
        <v>156666.155</v>
      </c>
      <c r="JZ54" s="47">
        <v>90747.63523</v>
      </c>
      <c r="KA54" s="47">
        <v>73422.377710000001</v>
      </c>
      <c r="KB54" s="47">
        <v>46614.575440000001</v>
      </c>
      <c r="KC54" s="47">
        <v>22990.102019999998</v>
      </c>
      <c r="KD54" s="77"/>
      <c r="KE54" s="47">
        <v>375019.99969999999</v>
      </c>
      <c r="KF54" s="47">
        <v>175345.36780000001</v>
      </c>
      <c r="KG54" s="47">
        <v>130888.07670000001</v>
      </c>
      <c r="KH54" s="47">
        <v>70426.115189999997</v>
      </c>
      <c r="KI54" s="47">
        <v>55246.243849999999</v>
      </c>
      <c r="KJ54" s="47">
        <v>32192.22035</v>
      </c>
      <c r="KK54" s="47">
        <v>14320.703530000001</v>
      </c>
      <c r="KL54" s="77"/>
      <c r="KM54" s="47">
        <v>876262.99990000005</v>
      </c>
      <c r="KN54" s="47">
        <v>218056.80499999999</v>
      </c>
      <c r="KO54" s="47">
        <v>124180.84329999999</v>
      </c>
      <c r="KP54" s="47">
        <v>34764.342750000003</v>
      </c>
      <c r="KQ54" s="47">
        <v>21697.129980000002</v>
      </c>
      <c r="KR54" s="47">
        <v>8500.0603200000005</v>
      </c>
      <c r="KS54" s="47">
        <v>2551.161411</v>
      </c>
      <c r="KT54" s="77"/>
      <c r="KU54" s="47">
        <v>648049</v>
      </c>
      <c r="KV54" s="47">
        <v>188620.74780000001</v>
      </c>
      <c r="KW54" s="47">
        <v>121575.53230000001</v>
      </c>
      <c r="KX54" s="47">
        <v>51431.048490000001</v>
      </c>
      <c r="KY54" s="47">
        <v>38373.270380000002</v>
      </c>
      <c r="KZ54" s="47">
        <v>21355.023990000002</v>
      </c>
      <c r="LA54" s="47">
        <v>8911.1355609999991</v>
      </c>
      <c r="LB54" s="77"/>
      <c r="LC54" s="1034">
        <v>819620.53810000001</v>
      </c>
      <c r="LD54" s="1034">
        <v>64974.888420000003</v>
      </c>
      <c r="LE54" s="1034">
        <v>31761.312409999999</v>
      </c>
      <c r="LF54" s="1034">
        <v>6833.5540540000002</v>
      </c>
      <c r="LG54" s="1034">
        <v>3734.0719720000002</v>
      </c>
      <c r="LH54" s="1034">
        <v>846.06408099999999</v>
      </c>
      <c r="LI54" s="1034">
        <v>99.804051329999993</v>
      </c>
      <c r="LJ54" s="77"/>
      <c r="LK54" s="1034">
        <v>32928</v>
      </c>
      <c r="LL54" s="1034">
        <v>22505.741903100003</v>
      </c>
      <c r="LM54" s="1034">
        <v>19589.043405700002</v>
      </c>
      <c r="LN54" s="1034">
        <v>13070.886874399999</v>
      </c>
      <c r="LO54" s="1034">
        <v>10451.2724378</v>
      </c>
      <c r="LP54" s="1034">
        <v>5989.4380132999995</v>
      </c>
      <c r="LQ54" s="1034">
        <v>2444.5023187000002</v>
      </c>
    </row>
    <row r="55" spans="1:329" s="43" customFormat="1" ht="9.75" customHeight="1" x14ac:dyDescent="0.2">
      <c r="A55" s="48">
        <v>2007</v>
      </c>
      <c r="B55" s="47">
        <v>7788520.7825665958</v>
      </c>
      <c r="C55" s="47">
        <v>3579050.1437334963</v>
      </c>
      <c r="D55" s="47">
        <v>2660667.4578971011</v>
      </c>
      <c r="E55" s="47">
        <v>1441426.0704352574</v>
      </c>
      <c r="F55" s="47">
        <v>1125413.885424708</v>
      </c>
      <c r="G55" s="47">
        <v>639949.96354942</v>
      </c>
      <c r="H55" s="47">
        <v>274132.05239570001</v>
      </c>
      <c r="I55" s="47"/>
      <c r="J55" s="47">
        <v>12321374.707</v>
      </c>
      <c r="K55" s="47">
        <v>4724555.3907900006</v>
      </c>
      <c r="L55" s="47">
        <v>3438503.3454899997</v>
      </c>
      <c r="M55" s="47">
        <v>1800226.09659</v>
      </c>
      <c r="N55" s="47">
        <v>1398491.82944</v>
      </c>
      <c r="O55" s="47">
        <v>795979.09479</v>
      </c>
      <c r="P55" s="47">
        <v>346801.85018000001</v>
      </c>
      <c r="Q55" s="47"/>
      <c r="R55" s="47">
        <v>13968011.708000001</v>
      </c>
      <c r="S55" s="47">
        <v>4809272.6675000004</v>
      </c>
      <c r="T55" s="47">
        <v>3479966.5902</v>
      </c>
      <c r="U55" s="47">
        <v>1808495.7243999999</v>
      </c>
      <c r="V55" s="47">
        <v>1402898.67536</v>
      </c>
      <c r="W55" s="47">
        <v>796948.07648000005</v>
      </c>
      <c r="X55" s="47">
        <v>346922.62254999997</v>
      </c>
      <c r="Y55" s="47"/>
      <c r="Z55" s="47">
        <v>12321373.021</v>
      </c>
      <c r="AA55" s="47">
        <v>3481162.21031</v>
      </c>
      <c r="AB55" s="47">
        <v>2418562.6820100001</v>
      </c>
      <c r="AC55" s="47">
        <v>1165149.9949100001</v>
      </c>
      <c r="AD55" s="47">
        <v>881010.78371000011</v>
      </c>
      <c r="AE55" s="47">
        <v>479367.72016000003</v>
      </c>
      <c r="AF55" s="47">
        <v>204816.02655000001</v>
      </c>
      <c r="AG55" s="47"/>
      <c r="AH55" s="47">
        <v>7849720.6177000003</v>
      </c>
      <c r="AI55" s="47">
        <v>3543290.9584099995</v>
      </c>
      <c r="AJ55" s="47">
        <v>2627203.76932</v>
      </c>
      <c r="AK55" s="47">
        <v>1417491.02602</v>
      </c>
      <c r="AL55" s="47">
        <v>1105688.52813</v>
      </c>
      <c r="AM55" s="47">
        <v>628098.64191000001</v>
      </c>
      <c r="AN55" s="47">
        <v>268639.85118</v>
      </c>
      <c r="AO55" s="47"/>
      <c r="AP55" s="47"/>
      <c r="AQ55" s="47"/>
      <c r="AR55" s="47"/>
      <c r="AS55" s="47"/>
      <c r="AT55" s="47"/>
      <c r="AU55" s="47"/>
      <c r="AV55" s="47"/>
      <c r="AW55" s="47"/>
      <c r="AX55" s="47">
        <v>7928231.9390000002</v>
      </c>
      <c r="AY55" s="47">
        <v>3604044.5907200002</v>
      </c>
      <c r="AZ55" s="47">
        <v>2682613.3137300001</v>
      </c>
      <c r="BA55" s="47">
        <v>1458111.2150300001</v>
      </c>
      <c r="BB55" s="47">
        <v>1139311.39381</v>
      </c>
      <c r="BC55" s="47">
        <v>648024.60904999997</v>
      </c>
      <c r="BD55" s="47">
        <v>276443.29109999997</v>
      </c>
      <c r="BE55" s="47"/>
      <c r="BF55" s="44">
        <v>7919646.1957</v>
      </c>
      <c r="BG55" s="44">
        <v>3546402.9429300004</v>
      </c>
      <c r="BH55" s="44">
        <v>2636502.2443500003</v>
      </c>
      <c r="BI55" s="44">
        <v>1432657.9482500001</v>
      </c>
      <c r="BJ55" s="44">
        <v>1120317.5148400001</v>
      </c>
      <c r="BK55" s="44">
        <v>638091.54926</v>
      </c>
      <c r="BL55" s="44">
        <v>271589.59350999998</v>
      </c>
      <c r="BN55" s="44">
        <v>7919646.1957</v>
      </c>
      <c r="BO55" s="44">
        <v>3266207.8797399998</v>
      </c>
      <c r="BP55" s="44">
        <v>2420983.8417899995</v>
      </c>
      <c r="BQ55" s="44">
        <v>1310192.8252900001</v>
      </c>
      <c r="BR55" s="44">
        <v>1027151.9484700001</v>
      </c>
      <c r="BS55" s="44">
        <v>586535.10057000001</v>
      </c>
      <c r="BT55" s="44">
        <v>250755.71715000001</v>
      </c>
      <c r="BU55" s="44"/>
      <c r="BV55" s="47">
        <v>7968133.5087000001</v>
      </c>
      <c r="BW55" s="47">
        <v>3311496.2526299995</v>
      </c>
      <c r="BX55" s="47">
        <v>2464091.6158600003</v>
      </c>
      <c r="BY55" s="47">
        <v>1346043.17466</v>
      </c>
      <c r="BZ55" s="47">
        <v>1059922.6062400001</v>
      </c>
      <c r="CA55" s="47">
        <v>611190.64124999999</v>
      </c>
      <c r="CB55" s="47">
        <v>265863.3591</v>
      </c>
      <c r="CC55" s="44"/>
      <c r="CD55" s="47">
        <v>8232685.5087000001</v>
      </c>
      <c r="CE55" s="47">
        <v>3448365.4204800003</v>
      </c>
      <c r="CF55" s="47">
        <v>2575065.0891399998</v>
      </c>
      <c r="CG55" s="47">
        <v>1415173.0675400002</v>
      </c>
      <c r="CH55" s="47">
        <v>1116478.04079</v>
      </c>
      <c r="CI55" s="47">
        <v>647253.64503999997</v>
      </c>
      <c r="CJ55" s="47">
        <v>283882.21239</v>
      </c>
      <c r="CL55" s="47">
        <v>8643617.5087000001</v>
      </c>
      <c r="CM55" s="47">
        <v>3641033.24119</v>
      </c>
      <c r="CN55" s="47">
        <v>2723855.2465900001</v>
      </c>
      <c r="CO55" s="47">
        <v>1500113.91289</v>
      </c>
      <c r="CP55" s="47">
        <v>1184788.38475</v>
      </c>
      <c r="CQ55" s="47">
        <v>689178.18558000005</v>
      </c>
      <c r="CR55" s="47">
        <v>304293.02383000002</v>
      </c>
      <c r="CS55" s="47"/>
      <c r="CT55" s="47">
        <v>8855883.5087000001</v>
      </c>
      <c r="CU55" s="47">
        <v>3755644.55125</v>
      </c>
      <c r="CV55" s="47">
        <v>2817835.3881200003</v>
      </c>
      <c r="CW55" s="47">
        <v>1559790.2082200001</v>
      </c>
      <c r="CX55" s="47">
        <v>1233178.40992</v>
      </c>
      <c r="CY55" s="47">
        <v>719135.53964000009</v>
      </c>
      <c r="CZ55" s="47">
        <v>318641.02</v>
      </c>
      <c r="DA55" s="47"/>
      <c r="DB55" s="47">
        <v>8855883.5097000003</v>
      </c>
      <c r="DC55" s="47">
        <v>3780025.01205</v>
      </c>
      <c r="DD55" s="47">
        <v>2843142.5289399996</v>
      </c>
      <c r="DE55" s="47">
        <v>1579939.59504</v>
      </c>
      <c r="DF55" s="47">
        <v>1250183.1449799999</v>
      </c>
      <c r="DG55" s="47">
        <v>729816.44803999993</v>
      </c>
      <c r="DH55" s="47">
        <v>323340.99930999998</v>
      </c>
      <c r="DI55" s="47"/>
      <c r="DJ55" s="47">
        <v>9731469.5506999996</v>
      </c>
      <c r="DK55" s="47">
        <v>3998295.7578799995</v>
      </c>
      <c r="DL55" s="47">
        <v>2993031.9680799996</v>
      </c>
      <c r="DM55" s="47">
        <v>1642673.5842800001</v>
      </c>
      <c r="DN55" s="47">
        <v>1290593.6329900001</v>
      </c>
      <c r="DO55" s="47">
        <v>745749.45674000005</v>
      </c>
      <c r="DP55" s="47">
        <v>328871.26889000001</v>
      </c>
      <c r="DQ55" s="47"/>
      <c r="DR55" s="47">
        <v>10019429.550722267</v>
      </c>
      <c r="DS55" s="47">
        <v>4102656.2573806262</v>
      </c>
      <c r="DT55" s="47">
        <v>3061293.3714954099</v>
      </c>
      <c r="DU55" s="47">
        <v>1667639.2967030453</v>
      </c>
      <c r="DV55" s="47">
        <v>1306825.2241368485</v>
      </c>
      <c r="DW55" s="47">
        <v>751571.1827370266</v>
      </c>
      <c r="DX55" s="47">
        <v>330167.36956539436</v>
      </c>
      <c r="DY55" s="297"/>
      <c r="DZ55" s="47">
        <v>10481099.550281927</v>
      </c>
      <c r="EA55" s="47">
        <v>4208128.2849612627</v>
      </c>
      <c r="EB55" s="47">
        <v>3118845.7815016564</v>
      </c>
      <c r="EC55" s="47">
        <v>1682916.0163020305</v>
      </c>
      <c r="ED55" s="47">
        <v>1316271.1676963617</v>
      </c>
      <c r="EE55" s="47">
        <v>755437.0041989868</v>
      </c>
      <c r="EF55" s="47">
        <v>331457.12863370724</v>
      </c>
      <c r="EG55" s="541"/>
      <c r="EH55" s="47">
        <v>11114892.550281329</v>
      </c>
      <c r="EI55" s="47">
        <v>4346416.0549051799</v>
      </c>
      <c r="EJ55" s="47">
        <v>3187297.5481199692</v>
      </c>
      <c r="EK55" s="47">
        <v>1694261.0944972292</v>
      </c>
      <c r="EL55" s="47">
        <v>1321536.0380293019</v>
      </c>
      <c r="EM55" s="47">
        <v>756715.64865612518</v>
      </c>
      <c r="EN55" s="47">
        <v>331631.20516651095</v>
      </c>
      <c r="EO55" s="47"/>
      <c r="EP55" s="47">
        <v>11553564.707</v>
      </c>
      <c r="EQ55" s="47">
        <v>4502087.5514300009</v>
      </c>
      <c r="ER55" s="47">
        <v>3291390.77373</v>
      </c>
      <c r="ES55" s="47">
        <v>1736842.6530300002</v>
      </c>
      <c r="ET55" s="47">
        <v>1351014.42891</v>
      </c>
      <c r="EU55" s="47">
        <v>769724.32484999998</v>
      </c>
      <c r="EV55" s="47">
        <v>335686.39857999998</v>
      </c>
      <c r="EW55" s="47"/>
      <c r="EX55" s="47">
        <v>12321374.707</v>
      </c>
      <c r="EY55" s="47">
        <v>4724555.3907900006</v>
      </c>
      <c r="EZ55" s="47">
        <v>3438503.3454899997</v>
      </c>
      <c r="FA55" s="47">
        <v>1800226.09659</v>
      </c>
      <c r="FB55" s="47">
        <v>1398491.82944</v>
      </c>
      <c r="FC55" s="47">
        <v>795979.09479</v>
      </c>
      <c r="FD55" s="47">
        <v>346801.85018000001</v>
      </c>
      <c r="FE55" s="47"/>
      <c r="FF55" s="47">
        <v>12906840.708000001</v>
      </c>
      <c r="FG55" s="47">
        <v>4778575.1506100008</v>
      </c>
      <c r="FH55" s="47">
        <v>3469686.41291</v>
      </c>
      <c r="FI55" s="47">
        <v>1807223.7246100002</v>
      </c>
      <c r="FJ55" s="47">
        <v>1402255.5432</v>
      </c>
      <c r="FK55" s="47">
        <v>796820.98105000006</v>
      </c>
      <c r="FL55" s="47">
        <v>346913.88125999999</v>
      </c>
      <c r="FN55" s="47">
        <v>12939579.708000001</v>
      </c>
      <c r="FO55" s="47">
        <v>4780205.0247999998</v>
      </c>
      <c r="FP55" s="47">
        <v>3470590.1669000001</v>
      </c>
      <c r="FQ55" s="47">
        <v>1807252.9786999999</v>
      </c>
      <c r="FR55" s="47">
        <v>1402279.2392699998</v>
      </c>
      <c r="FS55" s="47">
        <v>796822.92479000008</v>
      </c>
      <c r="FT55" s="47">
        <v>346913.95058</v>
      </c>
      <c r="FV55" s="44">
        <v>13121158.708000001</v>
      </c>
      <c r="FW55" s="44">
        <v>4784370.4248000002</v>
      </c>
      <c r="FX55" s="44">
        <v>3472672.8668999998</v>
      </c>
      <c r="FY55" s="44">
        <v>1807669.5186999999</v>
      </c>
      <c r="FZ55" s="44">
        <v>1402487.50927</v>
      </c>
      <c r="GA55" s="44">
        <v>796864.57878999994</v>
      </c>
      <c r="GB55" s="44">
        <v>346918.11598</v>
      </c>
      <c r="GC55" s="44"/>
      <c r="GE55" s="47">
        <v>13499358.708000001</v>
      </c>
      <c r="GF55" s="47">
        <v>4809272.6675000004</v>
      </c>
      <c r="GG55" s="47">
        <v>3479966.5902</v>
      </c>
      <c r="GH55" s="47">
        <v>1808495.7243999999</v>
      </c>
      <c r="GI55" s="47">
        <v>1402898.67536</v>
      </c>
      <c r="GJ55" s="47">
        <v>796948.07648000005</v>
      </c>
      <c r="GK55" s="47">
        <v>346922.62254999997</v>
      </c>
      <c r="GM55" s="47">
        <v>13968011.708000001</v>
      </c>
      <c r="GN55" s="47">
        <v>4809272.6675000004</v>
      </c>
      <c r="GO55" s="47">
        <v>3479966.5902</v>
      </c>
      <c r="GP55" s="47">
        <v>1808495.7243999999</v>
      </c>
      <c r="GQ55" s="47">
        <v>1402898.67536</v>
      </c>
      <c r="GR55" s="47">
        <v>796948.07648000005</v>
      </c>
      <c r="GS55" s="47">
        <v>346922.62254999997</v>
      </c>
      <c r="GT55" s="187"/>
      <c r="GU55" s="480">
        <v>12758420.104</v>
      </c>
      <c r="GV55" s="481">
        <v>3988518.3876099996</v>
      </c>
      <c r="GW55" s="481">
        <v>2794880.1910099997</v>
      </c>
      <c r="GX55" s="481">
        <v>1365291.7416099999</v>
      </c>
      <c r="GY55" s="481">
        <v>1038965.5475700001</v>
      </c>
      <c r="GZ55" s="481">
        <v>575027.28665999998</v>
      </c>
      <c r="HA55" s="481">
        <v>248624.84080000001</v>
      </c>
      <c r="HB55" s="256"/>
      <c r="HC55" s="480">
        <v>12462044.104</v>
      </c>
      <c r="HD55" s="481">
        <v>3813777.0089100003</v>
      </c>
      <c r="HE55" s="481">
        <v>2654302.2402100004</v>
      </c>
      <c r="HF55" s="481">
        <v>1276859.0052100001</v>
      </c>
      <c r="HG55" s="481">
        <v>966859.33068999997</v>
      </c>
      <c r="HH55" s="481">
        <v>530311.36329000001</v>
      </c>
      <c r="HI55" s="481">
        <v>228849.34005</v>
      </c>
      <c r="HJ55" s="481"/>
      <c r="HK55" s="480">
        <v>12051112.104</v>
      </c>
      <c r="HL55" s="481">
        <v>3640449.96728</v>
      </c>
      <c r="HM55" s="481">
        <v>2523997.1108800001</v>
      </c>
      <c r="HN55" s="481">
        <v>1203516.21838</v>
      </c>
      <c r="HO55" s="481">
        <v>908067.75616000011</v>
      </c>
      <c r="HP55" s="481">
        <v>493916.57348999998</v>
      </c>
      <c r="HQ55" s="481">
        <v>211077.52244999999</v>
      </c>
      <c r="HR55" s="256"/>
      <c r="HS55" s="480">
        <v>11647284.104</v>
      </c>
      <c r="HT55" s="481">
        <v>3467275.1774499998</v>
      </c>
      <c r="HU55" s="481">
        <v>2395399.06855</v>
      </c>
      <c r="HV55" s="481">
        <v>1134750.3287500001</v>
      </c>
      <c r="HW55" s="481">
        <v>855165.77163000009</v>
      </c>
      <c r="HX55" s="481">
        <v>463932.50303000002</v>
      </c>
      <c r="HY55" s="481">
        <v>197644.71964</v>
      </c>
      <c r="HZ55" s="47"/>
      <c r="IA55" s="480">
        <v>10736728.104</v>
      </c>
      <c r="IB55" s="481">
        <v>3240446.0581800006</v>
      </c>
      <c r="IC55" s="481">
        <v>2265100.0960300001</v>
      </c>
      <c r="ID55" s="481">
        <v>1097442.48493</v>
      </c>
      <c r="IE55" s="481">
        <v>831796.90223999997</v>
      </c>
      <c r="IF55" s="481">
        <v>454644.34412000002</v>
      </c>
      <c r="IG55" s="481">
        <v>194833.78693</v>
      </c>
      <c r="IH55" s="47"/>
      <c r="II55" s="480">
        <v>10193700.104</v>
      </c>
      <c r="IJ55" s="480">
        <v>3081041.8617500002</v>
      </c>
      <c r="IK55" s="480">
        <v>2160793.1486500003</v>
      </c>
      <c r="IL55" s="480">
        <v>1053421.7676500001</v>
      </c>
      <c r="IM55" s="480">
        <v>798885.42007999995</v>
      </c>
      <c r="IN55" s="480">
        <v>436500.92423</v>
      </c>
      <c r="IO55" s="480">
        <v>186839.88318999999</v>
      </c>
      <c r="IP55" s="757"/>
      <c r="IQ55" s="757">
        <v>10199358.021</v>
      </c>
      <c r="IR55" s="757">
        <v>3083614.9034299999</v>
      </c>
      <c r="IS55" s="757">
        <v>2162767.4922199999</v>
      </c>
      <c r="IT55" s="757">
        <v>1054561.7688199999</v>
      </c>
      <c r="IU55" s="757">
        <v>799783.02077000006</v>
      </c>
      <c r="IV55" s="757">
        <v>437039.37060000002</v>
      </c>
      <c r="IW55" s="757">
        <v>187077.08171</v>
      </c>
      <c r="IX55" s="757"/>
      <c r="IY55" s="757">
        <v>12321373.021</v>
      </c>
      <c r="IZ55" s="757">
        <v>3481162.21031</v>
      </c>
      <c r="JA55" s="757">
        <v>2418562.6820100001</v>
      </c>
      <c r="JB55" s="757">
        <v>1165149.9949100001</v>
      </c>
      <c r="JC55" s="757">
        <v>881010.78371000011</v>
      </c>
      <c r="JD55" s="757">
        <v>479367.72016000003</v>
      </c>
      <c r="JE55" s="757">
        <v>204816.02655000001</v>
      </c>
      <c r="JF55" s="256"/>
      <c r="JG55" s="47">
        <v>1178082.6040000001</v>
      </c>
      <c r="JH55" s="47">
        <v>815655.63399999996</v>
      </c>
      <c r="JI55" s="47">
        <v>686571.88740000001</v>
      </c>
      <c r="JJ55" s="47">
        <v>447536.19780000002</v>
      </c>
      <c r="JK55" s="47">
        <v>366484.13219999999</v>
      </c>
      <c r="JL55" s="47">
        <v>227014.1165</v>
      </c>
      <c r="JM55" s="47">
        <v>101928.8452</v>
      </c>
      <c r="JN55" s="1034"/>
      <c r="JO55" s="47">
        <v>296375.9999</v>
      </c>
      <c r="JP55" s="47">
        <v>185969.2585</v>
      </c>
      <c r="JQ55" s="47">
        <v>152904.01809999999</v>
      </c>
      <c r="JR55" s="47">
        <v>97615.418229999996</v>
      </c>
      <c r="JS55" s="47">
        <v>80506.498930000002</v>
      </c>
      <c r="JT55" s="47">
        <v>50477.90711</v>
      </c>
      <c r="JU55" s="47">
        <v>23193.332579999998</v>
      </c>
      <c r="JV55" s="77"/>
      <c r="JW55" s="47">
        <v>410932</v>
      </c>
      <c r="JX55" s="47">
        <v>182328.291</v>
      </c>
      <c r="JY55" s="47">
        <v>139737.52280000001</v>
      </c>
      <c r="JZ55" s="47">
        <v>80510.565279999995</v>
      </c>
      <c r="KA55" s="47">
        <v>65207.590080000002</v>
      </c>
      <c r="KB55" s="47">
        <v>40896.945220000001</v>
      </c>
      <c r="KC55" s="47">
        <v>20365.322080000002</v>
      </c>
      <c r="KD55" s="77"/>
      <c r="KE55" s="47">
        <v>403828</v>
      </c>
      <c r="KF55" s="47">
        <v>184486.39730000001</v>
      </c>
      <c r="KG55" s="47">
        <v>138340.70929999999</v>
      </c>
      <c r="KH55" s="47">
        <v>73884.549169999998</v>
      </c>
      <c r="KI55" s="47">
        <v>57837.888429999999</v>
      </c>
      <c r="KJ55" s="47">
        <v>33320.673900000002</v>
      </c>
      <c r="KK55" s="47">
        <v>14973.60052</v>
      </c>
      <c r="KL55" s="77"/>
      <c r="KM55" s="47">
        <v>910555.99959999998</v>
      </c>
      <c r="KN55" s="47">
        <v>227541.5632</v>
      </c>
      <c r="KO55" s="47">
        <v>129379.76760000001</v>
      </c>
      <c r="KP55" s="47">
        <v>37120.018190000003</v>
      </c>
      <c r="KQ55" s="47">
        <v>23401.364249999999</v>
      </c>
      <c r="KR55" s="47">
        <v>9431.9859739999993</v>
      </c>
      <c r="KS55" s="47">
        <v>3007.2570919999998</v>
      </c>
      <c r="KT55" s="77"/>
      <c r="KU55" s="47">
        <v>674710</v>
      </c>
      <c r="KV55" s="47">
        <v>194779.56469999999</v>
      </c>
      <c r="KW55" s="47">
        <v>125490.33869999999</v>
      </c>
      <c r="KX55" s="47">
        <v>53588.333789999997</v>
      </c>
      <c r="KY55" s="47">
        <v>40145.813679999999</v>
      </c>
      <c r="KZ55" s="47">
        <v>22466.469140000001</v>
      </c>
      <c r="LA55" s="47">
        <v>9643.7157599999991</v>
      </c>
      <c r="LB55" s="77"/>
      <c r="LC55" s="1034">
        <v>868115.66559999995</v>
      </c>
      <c r="LD55" s="1034">
        <v>69001.473670000007</v>
      </c>
      <c r="LE55" s="1034">
        <v>33183.794900000001</v>
      </c>
      <c r="LF55" s="1034">
        <v>6928.0939539999999</v>
      </c>
      <c r="LG55" s="1034">
        <v>3636.3416069999998</v>
      </c>
      <c r="LH55" s="1034">
        <v>814.26278479999996</v>
      </c>
      <c r="LI55" s="1034">
        <v>97.121732640000005</v>
      </c>
      <c r="LJ55" s="77"/>
      <c r="LK55" s="1034">
        <v>31509</v>
      </c>
      <c r="LL55" s="1034">
        <v>21367.943693500001</v>
      </c>
      <c r="LM55" s="1034">
        <v>18577.634799300002</v>
      </c>
      <c r="LN55" s="1034">
        <v>12271.6544037</v>
      </c>
      <c r="LO55" s="1034">
        <v>9756.3276932000008</v>
      </c>
      <c r="LP55" s="1034">
        <v>5513.2331434999996</v>
      </c>
      <c r="LQ55" s="1034">
        <v>2274.0425853000002</v>
      </c>
    </row>
    <row r="56" spans="1:329" s="43" customFormat="1" ht="9.75" customHeight="1" x14ac:dyDescent="0.2">
      <c r="A56" s="48">
        <v>2008</v>
      </c>
      <c r="B56" s="47">
        <v>7806496.4237344321</v>
      </c>
      <c r="C56" s="47">
        <v>3617715.3894396257</v>
      </c>
      <c r="D56" s="47">
        <v>2666029.575040536</v>
      </c>
      <c r="E56" s="47">
        <v>1412203.1871483547</v>
      </c>
      <c r="F56" s="47">
        <v>1096177.5017206348</v>
      </c>
      <c r="G56" s="47">
        <v>618504.12148924265</v>
      </c>
      <c r="H56" s="47">
        <v>267396.65808358998</v>
      </c>
      <c r="I56" s="47"/>
      <c r="J56" s="47">
        <v>12427821.880999999</v>
      </c>
      <c r="K56" s="47">
        <v>4746068.6138700005</v>
      </c>
      <c r="L56" s="47">
        <v>3412667.7444700003</v>
      </c>
      <c r="M56" s="47">
        <v>1734305.2143699999</v>
      </c>
      <c r="N56" s="47">
        <v>1334350.9840899999</v>
      </c>
      <c r="O56" s="47">
        <v>747455.50374000007</v>
      </c>
      <c r="P56" s="47">
        <v>326158.30329000001</v>
      </c>
      <c r="Q56" s="47"/>
      <c r="R56" s="47">
        <v>14375522.286</v>
      </c>
      <c r="S56" s="47">
        <v>4841208.7357200002</v>
      </c>
      <c r="T56" s="47">
        <v>3456290.6195200002</v>
      </c>
      <c r="U56" s="47">
        <v>1743377.0735200001</v>
      </c>
      <c r="V56" s="47">
        <v>1339253.1577600001</v>
      </c>
      <c r="W56" s="47">
        <v>748562.53888999997</v>
      </c>
      <c r="X56" s="47">
        <v>326282.24793000001</v>
      </c>
      <c r="Y56" s="47"/>
      <c r="Z56" s="47">
        <v>12427821.028999999</v>
      </c>
      <c r="AA56" s="47">
        <v>3335974.8675299999</v>
      </c>
      <c r="AB56" s="47">
        <v>2277334.19863</v>
      </c>
      <c r="AC56" s="47">
        <v>1052929.15793</v>
      </c>
      <c r="AD56" s="47">
        <v>786491.74176999996</v>
      </c>
      <c r="AE56" s="47">
        <v>415856.55989999999</v>
      </c>
      <c r="AF56" s="47">
        <v>176382.54754</v>
      </c>
      <c r="AG56" s="47"/>
      <c r="AH56" s="47">
        <v>7854017.0374999996</v>
      </c>
      <c r="AI56" s="47">
        <v>3575560.9503199994</v>
      </c>
      <c r="AJ56" s="47">
        <v>2626134.2779699997</v>
      </c>
      <c r="AK56" s="47">
        <v>1383141.18047</v>
      </c>
      <c r="AL56" s="47">
        <v>1072395.08715</v>
      </c>
      <c r="AM56" s="47">
        <v>604067.39793999994</v>
      </c>
      <c r="AN56" s="47">
        <v>261115.82084999999</v>
      </c>
      <c r="AO56" s="47"/>
      <c r="AP56" s="47"/>
      <c r="AQ56" s="47"/>
      <c r="AR56" s="47"/>
      <c r="AS56" s="47"/>
      <c r="AT56" s="47"/>
      <c r="AU56" s="47"/>
      <c r="AV56" s="47"/>
      <c r="AW56" s="47"/>
      <c r="AX56" s="47">
        <v>7933072.1834000004</v>
      </c>
      <c r="AY56" s="47">
        <v>3634415.7254899996</v>
      </c>
      <c r="AZ56" s="47">
        <v>2678830.2102999999</v>
      </c>
      <c r="BA56" s="47">
        <v>1422144.1362999999</v>
      </c>
      <c r="BB56" s="47">
        <v>1104257.5437699999</v>
      </c>
      <c r="BC56" s="47">
        <v>622541.75854000007</v>
      </c>
      <c r="BD56" s="47">
        <v>267794.28992000001</v>
      </c>
      <c r="BE56" s="47"/>
      <c r="BF56" s="44">
        <v>7961721.6544000003</v>
      </c>
      <c r="BG56" s="44">
        <v>3586502.7276999997</v>
      </c>
      <c r="BH56" s="44">
        <v>2640442.7056799997</v>
      </c>
      <c r="BI56" s="44">
        <v>1400232.13368</v>
      </c>
      <c r="BJ56" s="44">
        <v>1087780.23196</v>
      </c>
      <c r="BK56" s="44">
        <v>614762.99786999996</v>
      </c>
      <c r="BL56" s="44">
        <v>264755.24284999998</v>
      </c>
      <c r="BN56" s="44">
        <v>7961721.6544000003</v>
      </c>
      <c r="BO56" s="44">
        <v>3281005.7122599999</v>
      </c>
      <c r="BP56" s="44">
        <v>2405343.9612199999</v>
      </c>
      <c r="BQ56" s="44">
        <v>1269323.1135200001</v>
      </c>
      <c r="BR56" s="44">
        <v>990327.85229000007</v>
      </c>
      <c r="BS56" s="44">
        <v>564454.59704000002</v>
      </c>
      <c r="BT56" s="44">
        <v>244237.15460000001</v>
      </c>
      <c r="BU56" s="44"/>
      <c r="BV56" s="47">
        <v>7998907.5153999999</v>
      </c>
      <c r="BW56" s="47">
        <v>3314925.7482999996</v>
      </c>
      <c r="BX56" s="47">
        <v>2437690.44098</v>
      </c>
      <c r="BY56" s="47">
        <v>1297180.3191799999</v>
      </c>
      <c r="BZ56" s="47">
        <v>1014807.97434</v>
      </c>
      <c r="CA56" s="47">
        <v>583117.04010999994</v>
      </c>
      <c r="CB56" s="47">
        <v>254888.05387999999</v>
      </c>
      <c r="CC56" s="44"/>
      <c r="CD56" s="47">
        <v>8166256.5153999999</v>
      </c>
      <c r="CE56" s="47">
        <v>3399622.9312100001</v>
      </c>
      <c r="CF56" s="47">
        <v>2504164.2945599998</v>
      </c>
      <c r="CG56" s="47">
        <v>1337756.9193599999</v>
      </c>
      <c r="CH56" s="47">
        <v>1048293.0074799999</v>
      </c>
      <c r="CI56" s="47">
        <v>604031.65130999999</v>
      </c>
      <c r="CJ56" s="47">
        <v>265467.74264999997</v>
      </c>
      <c r="CL56" s="47">
        <v>8443667.5153999999</v>
      </c>
      <c r="CM56" s="47">
        <v>3528222.4729699995</v>
      </c>
      <c r="CN56" s="47">
        <v>2602360.5208200002</v>
      </c>
      <c r="CO56" s="47">
        <v>1391946.83962</v>
      </c>
      <c r="CP56" s="47">
        <v>1091334.94102</v>
      </c>
      <c r="CQ56" s="47">
        <v>629714.33682999993</v>
      </c>
      <c r="CR56" s="47">
        <v>277916.74770000001</v>
      </c>
      <c r="CS56" s="47"/>
      <c r="CT56" s="47">
        <v>8661274.5153999999</v>
      </c>
      <c r="CU56" s="47">
        <v>3644470.0586800007</v>
      </c>
      <c r="CV56" s="47">
        <v>2696498.7930899998</v>
      </c>
      <c r="CW56" s="47">
        <v>1450416.90619</v>
      </c>
      <c r="CX56" s="47">
        <v>1139317.95961</v>
      </c>
      <c r="CY56" s="47">
        <v>659181.01645</v>
      </c>
      <c r="CZ56" s="47">
        <v>292112.93105999997</v>
      </c>
      <c r="DA56" s="47"/>
      <c r="DB56" s="47">
        <v>8661274.5153999999</v>
      </c>
      <c r="DC56" s="47">
        <v>3674938.1562899998</v>
      </c>
      <c r="DD56" s="47">
        <v>2730933.7689899998</v>
      </c>
      <c r="DE56" s="47">
        <v>1479351.8980899998</v>
      </c>
      <c r="DF56" s="47">
        <v>1164171.4495399999</v>
      </c>
      <c r="DG56" s="47">
        <v>676706.5499199999</v>
      </c>
      <c r="DH56" s="47">
        <v>300926.96159999998</v>
      </c>
      <c r="DI56" s="47"/>
      <c r="DJ56" s="47">
        <v>9655382.2664000001</v>
      </c>
      <c r="DK56" s="47">
        <v>3946346.8895500004</v>
      </c>
      <c r="DL56" s="47">
        <v>2925795.1513499999</v>
      </c>
      <c r="DM56" s="47">
        <v>1564506.19175</v>
      </c>
      <c r="DN56" s="47">
        <v>1219200.5033400001</v>
      </c>
      <c r="DO56" s="47">
        <v>696126.29729999998</v>
      </c>
      <c r="DP56" s="47">
        <v>307493.57452000002</v>
      </c>
      <c r="DQ56" s="47"/>
      <c r="DR56" s="47">
        <v>9998781.2655350696</v>
      </c>
      <c r="DS56" s="47">
        <v>4074477.8446047078</v>
      </c>
      <c r="DT56" s="47">
        <v>3007168.3377775704</v>
      </c>
      <c r="DU56" s="47">
        <v>1593968.1798241085</v>
      </c>
      <c r="DV56" s="47">
        <v>1238460.8722693878</v>
      </c>
      <c r="DW56" s="47">
        <v>702958.05488028703</v>
      </c>
      <c r="DX56" s="47">
        <v>309032.15081127826</v>
      </c>
      <c r="DY56" s="297"/>
      <c r="DZ56" s="47">
        <v>10470094.265421212</v>
      </c>
      <c r="EA56" s="47">
        <v>4183807.2646880019</v>
      </c>
      <c r="EB56" s="47">
        <v>3066871.5645218338</v>
      </c>
      <c r="EC56" s="47">
        <v>1609373.4190286328</v>
      </c>
      <c r="ED56" s="47">
        <v>1247853.4884311492</v>
      </c>
      <c r="EE56" s="47">
        <v>706268.40402242681</v>
      </c>
      <c r="EF56" s="47">
        <v>310155.34086798044</v>
      </c>
      <c r="EG56" s="541"/>
      <c r="EH56" s="47">
        <v>11117838.265420958</v>
      </c>
      <c r="EI56" s="47">
        <v>4323123.4175604805</v>
      </c>
      <c r="EJ56" s="47">
        <v>3132695.0548715251</v>
      </c>
      <c r="EK56" s="47">
        <v>1620169.2788025695</v>
      </c>
      <c r="EL56" s="47">
        <v>1252954.1700604893</v>
      </c>
      <c r="EM56" s="47">
        <v>707494.46675765025</v>
      </c>
      <c r="EN56" s="47">
        <v>310323.85717199754</v>
      </c>
      <c r="EO56" s="47"/>
      <c r="EP56" s="47">
        <v>11637819.880999999</v>
      </c>
      <c r="EQ56" s="47">
        <v>4519235.2752</v>
      </c>
      <c r="ER56" s="47">
        <v>3265609.4415999996</v>
      </c>
      <c r="ES56" s="47">
        <v>1671706.0290000001</v>
      </c>
      <c r="ET56" s="47">
        <v>1287968.3796399999</v>
      </c>
      <c r="EU56" s="47">
        <v>721766.78203999996</v>
      </c>
      <c r="EV56" s="47">
        <v>315091.34493000002</v>
      </c>
      <c r="EW56" s="47"/>
      <c r="EX56" s="47">
        <v>12427821.880999999</v>
      </c>
      <c r="EY56" s="47">
        <v>4746068.6138700005</v>
      </c>
      <c r="EZ56" s="47">
        <v>3412667.7444700003</v>
      </c>
      <c r="FA56" s="47">
        <v>1734305.2143699999</v>
      </c>
      <c r="FB56" s="47">
        <v>1334350.9840899999</v>
      </c>
      <c r="FC56" s="47">
        <v>747455.50374000007</v>
      </c>
      <c r="FD56" s="47">
        <v>326158.30329000001</v>
      </c>
      <c r="FE56" s="47"/>
      <c r="FF56" s="47">
        <v>13043431.880999999</v>
      </c>
      <c r="FG56" s="47">
        <v>4801858.5654199999</v>
      </c>
      <c r="FH56" s="47">
        <v>3442689.9725199998</v>
      </c>
      <c r="FI56" s="47">
        <v>1741871.0775199998</v>
      </c>
      <c r="FJ56" s="47">
        <v>1338529.83476</v>
      </c>
      <c r="FK56" s="47">
        <v>748495.06300000008</v>
      </c>
      <c r="FL56" s="47">
        <v>326272.11468</v>
      </c>
      <c r="FN56" s="47">
        <v>13094578.880999999</v>
      </c>
      <c r="FO56" s="47">
        <v>4804603.6261900002</v>
      </c>
      <c r="FP56" s="47">
        <v>3444146.2590900003</v>
      </c>
      <c r="FQ56" s="47">
        <v>1741942.94469</v>
      </c>
      <c r="FR56" s="47">
        <v>1338705.1509400001</v>
      </c>
      <c r="FS56" s="47">
        <v>748499.55077999993</v>
      </c>
      <c r="FT56" s="47">
        <v>326272.1874</v>
      </c>
      <c r="FV56" s="44">
        <v>13382186.286</v>
      </c>
      <c r="FW56" s="44">
        <v>4813194.3800799996</v>
      </c>
      <c r="FX56" s="44">
        <v>3447565.0606799996</v>
      </c>
      <c r="FY56" s="44">
        <v>1742410.3420800001</v>
      </c>
      <c r="FZ56" s="44">
        <v>1338938.69013</v>
      </c>
      <c r="GA56" s="44">
        <v>748545.52179999999</v>
      </c>
      <c r="GB56" s="44">
        <v>326276.78185999999</v>
      </c>
      <c r="GC56" s="44"/>
      <c r="GE56" s="47">
        <v>13789853.286</v>
      </c>
      <c r="GF56" s="47">
        <v>4841208.7357200002</v>
      </c>
      <c r="GG56" s="47">
        <v>3456290.6195200002</v>
      </c>
      <c r="GH56" s="47">
        <v>1743377.0735200001</v>
      </c>
      <c r="GI56" s="47">
        <v>1339253.1577600001</v>
      </c>
      <c r="GJ56" s="47">
        <v>748562.53888999997</v>
      </c>
      <c r="GK56" s="47">
        <v>326282.24793000001</v>
      </c>
      <c r="GM56" s="47">
        <v>14375522.286</v>
      </c>
      <c r="GN56" s="47">
        <v>4841208.7357200002</v>
      </c>
      <c r="GO56" s="47">
        <v>3456290.6195200002</v>
      </c>
      <c r="GP56" s="47">
        <v>1743377.0735200001</v>
      </c>
      <c r="GQ56" s="47">
        <v>1339253.1577600001</v>
      </c>
      <c r="GR56" s="47">
        <v>748562.53888999997</v>
      </c>
      <c r="GS56" s="47">
        <v>326282.24793000001</v>
      </c>
      <c r="GT56" s="187"/>
      <c r="GU56" s="480">
        <v>13159070.677999999</v>
      </c>
      <c r="GV56" s="481">
        <v>4036228.6449200003</v>
      </c>
      <c r="GW56" s="481">
        <v>2799514.8902199999</v>
      </c>
      <c r="GX56" s="481">
        <v>1333284.6083199999</v>
      </c>
      <c r="GY56" s="481">
        <v>1006721.05736</v>
      </c>
      <c r="GZ56" s="481">
        <v>548101.85115</v>
      </c>
      <c r="HA56" s="481">
        <v>237174.52851999999</v>
      </c>
      <c r="HB56" s="256"/>
      <c r="HC56" s="480">
        <v>12852051.676999999</v>
      </c>
      <c r="HD56" s="481">
        <v>3858329.3675099993</v>
      </c>
      <c r="HE56" s="481">
        <v>2657641.8009099998</v>
      </c>
      <c r="HF56" s="481">
        <v>1246550.7511100001</v>
      </c>
      <c r="HG56" s="481">
        <v>935682.58112999995</v>
      </c>
      <c r="HH56" s="481">
        <v>504462.59152000002</v>
      </c>
      <c r="HI56" s="481">
        <v>216999.4614</v>
      </c>
      <c r="HJ56" s="481"/>
      <c r="HK56" s="480">
        <v>12574640.676999999</v>
      </c>
      <c r="HL56" s="481">
        <v>3741845.8840999999</v>
      </c>
      <c r="HM56" s="481">
        <v>2570722.8869999996</v>
      </c>
      <c r="HN56" s="481">
        <v>1198308.1155000001</v>
      </c>
      <c r="HO56" s="481">
        <v>897590.93698</v>
      </c>
      <c r="HP56" s="481">
        <v>481485.78917999996</v>
      </c>
      <c r="HQ56" s="481">
        <v>205583.26624</v>
      </c>
      <c r="HR56" s="256"/>
      <c r="HS56" s="480">
        <v>12160868.677999999</v>
      </c>
      <c r="HT56" s="481">
        <v>3562542.2524399995</v>
      </c>
      <c r="HU56" s="481">
        <v>2437805.1074399999</v>
      </c>
      <c r="HV56" s="481">
        <v>1128540.3093400002</v>
      </c>
      <c r="HW56" s="481">
        <v>843726.11667000002</v>
      </c>
      <c r="HX56" s="481">
        <v>450760.24695</v>
      </c>
      <c r="HY56" s="481">
        <v>191751.19086</v>
      </c>
      <c r="HZ56" s="47"/>
      <c r="IA56" s="480">
        <v>11227930.677999999</v>
      </c>
      <c r="IB56" s="481">
        <v>3326288.8734499998</v>
      </c>
      <c r="IC56" s="481">
        <v>2301912.42435</v>
      </c>
      <c r="ID56" s="481">
        <v>1091010.72915</v>
      </c>
      <c r="IE56" s="481">
        <v>820775.65197000001</v>
      </c>
      <c r="IF56" s="481">
        <v>441887.07412999996</v>
      </c>
      <c r="IG56" s="481">
        <v>188972.60764</v>
      </c>
      <c r="IH56" s="47"/>
      <c r="II56" s="480">
        <v>10684876.677999999</v>
      </c>
      <c r="IJ56" s="480">
        <v>3168966.0209300001</v>
      </c>
      <c r="IK56" s="480">
        <v>2199743.3573799999</v>
      </c>
      <c r="IL56" s="480">
        <v>1048899.29018</v>
      </c>
      <c r="IM56" s="480">
        <v>789287.57161999994</v>
      </c>
      <c r="IN56" s="480">
        <v>424572.17813999997</v>
      </c>
      <c r="IO56" s="480">
        <v>181195.27145999999</v>
      </c>
      <c r="IP56" s="757"/>
      <c r="IQ56" s="757">
        <v>10144347.028999999</v>
      </c>
      <c r="IR56" s="757">
        <v>2923457.7746300003</v>
      </c>
      <c r="IS56" s="757">
        <v>2014405.9399299999</v>
      </c>
      <c r="IT56" s="757">
        <v>945101.21653000009</v>
      </c>
      <c r="IU56" s="757">
        <v>708600.65823000006</v>
      </c>
      <c r="IV56" s="757">
        <v>376565.15968000004</v>
      </c>
      <c r="IW56" s="757">
        <v>160067.99028</v>
      </c>
      <c r="IX56" s="757"/>
      <c r="IY56" s="757">
        <v>12427821.028999999</v>
      </c>
      <c r="IZ56" s="757">
        <v>3335974.8675299999</v>
      </c>
      <c r="JA56" s="757">
        <v>2277334.19863</v>
      </c>
      <c r="JB56" s="757">
        <v>1052929.15793</v>
      </c>
      <c r="JC56" s="757">
        <v>786491.74176999996</v>
      </c>
      <c r="JD56" s="757">
        <v>415856.55989999999</v>
      </c>
      <c r="JE56" s="757">
        <v>176382.54754</v>
      </c>
      <c r="JF56" s="256"/>
      <c r="JG56" s="47">
        <v>1182588.6089999999</v>
      </c>
      <c r="JH56" s="47">
        <v>795798.03240000003</v>
      </c>
      <c r="JI56" s="47">
        <v>657967.5858</v>
      </c>
      <c r="JJ56" s="47">
        <v>413677.55160000001</v>
      </c>
      <c r="JK56" s="47">
        <v>334431.58679999999</v>
      </c>
      <c r="JL56" s="47">
        <v>205334.15530000001</v>
      </c>
      <c r="JM56" s="47">
        <v>91262.333400000003</v>
      </c>
      <c r="JN56" s="1034"/>
      <c r="JO56" s="47">
        <v>307019.00050000002</v>
      </c>
      <c r="JP56" s="47">
        <v>188840.04689999999</v>
      </c>
      <c r="JQ56" s="47">
        <v>153194.4516</v>
      </c>
      <c r="JR56" s="47">
        <v>95712.793940000003</v>
      </c>
      <c r="JS56" s="47">
        <v>78612.003779999999</v>
      </c>
      <c r="JT56" s="47">
        <v>49330.735509999999</v>
      </c>
      <c r="JU56" s="47">
        <v>23182.324250000001</v>
      </c>
      <c r="JV56" s="77"/>
      <c r="JW56" s="47">
        <v>277411</v>
      </c>
      <c r="JX56" s="47">
        <v>124141.9151</v>
      </c>
      <c r="JY56" s="47">
        <v>93717.623749999999</v>
      </c>
      <c r="JZ56" s="47">
        <v>51930.56998</v>
      </c>
      <c r="KA56" s="47">
        <v>41289.438150000002</v>
      </c>
      <c r="KB56" s="47">
        <v>25485.480729999999</v>
      </c>
      <c r="KC56" s="47">
        <v>12627.624449999999</v>
      </c>
      <c r="KD56" s="77"/>
      <c r="KE56" s="47">
        <v>413771.99949999998</v>
      </c>
      <c r="KF56" s="47">
        <v>190807.9687</v>
      </c>
      <c r="KG56" s="47">
        <v>142168.4607</v>
      </c>
      <c r="KH56" s="47">
        <v>74531.839840000001</v>
      </c>
      <c r="KI56" s="47">
        <v>58076.540489999999</v>
      </c>
      <c r="KJ56" s="47">
        <v>33251.175609999998</v>
      </c>
      <c r="KK56" s="47">
        <v>15042.28966</v>
      </c>
      <c r="KL56" s="77"/>
      <c r="KM56" s="47">
        <v>932937.99990000005</v>
      </c>
      <c r="KN56" s="47">
        <v>236888.88320000001</v>
      </c>
      <c r="KO56" s="47">
        <v>134274.14730000001</v>
      </c>
      <c r="KP56" s="47">
        <v>37700.984409999997</v>
      </c>
      <c r="KQ56" s="47">
        <v>23496.924889999998</v>
      </c>
      <c r="KR56" s="47">
        <v>9285.3963430000003</v>
      </c>
      <c r="KS56" s="47">
        <v>2950.4054839999999</v>
      </c>
      <c r="KT56" s="77"/>
      <c r="KU56" s="47">
        <v>689957</v>
      </c>
      <c r="KV56" s="47">
        <v>197427.30729999999</v>
      </c>
      <c r="KW56" s="47">
        <v>126262.13740000001</v>
      </c>
      <c r="KX56" s="47">
        <v>53033.30442</v>
      </c>
      <c r="KY56" s="47">
        <v>39533.795899999997</v>
      </c>
      <c r="KZ56" s="47">
        <v>22275.322069999998</v>
      </c>
      <c r="LA56" s="47">
        <v>9672.147637</v>
      </c>
      <c r="LB56" s="77"/>
      <c r="LC56" s="1034">
        <v>935373.06850000005</v>
      </c>
      <c r="LD56" s="1034">
        <v>73135.339229999998</v>
      </c>
      <c r="LE56" s="1034">
        <v>34018.134940000004</v>
      </c>
      <c r="LF56" s="1034">
        <v>7221.3188540000001</v>
      </c>
      <c r="LG56" s="1034">
        <v>3808.388293</v>
      </c>
      <c r="LH56" s="1034">
        <v>846.76565479999999</v>
      </c>
      <c r="LI56" s="1034">
        <v>99.501465699999997</v>
      </c>
      <c r="LJ56" s="77"/>
      <c r="LK56" s="1034">
        <v>33863</v>
      </c>
      <c r="LL56" s="1034">
        <v>22940.711117899998</v>
      </c>
      <c r="LM56" s="1034">
        <v>19873.049380800003</v>
      </c>
      <c r="LN56" s="1034">
        <v>13057.753532600002</v>
      </c>
      <c r="LO56" s="1034">
        <v>10342.1065789</v>
      </c>
      <c r="LP56" s="1034">
        <v>5889.7329884000001</v>
      </c>
      <c r="LQ56" s="1034">
        <v>2430.8601096000002</v>
      </c>
    </row>
    <row r="57" spans="1:329" s="43" customFormat="1" ht="9.75" customHeight="1" x14ac:dyDescent="0.2">
      <c r="A57" s="48">
        <v>2009</v>
      </c>
      <c r="B57" s="47">
        <v>7372716.9885212528</v>
      </c>
      <c r="C57" s="47">
        <v>3371751.8414832926</v>
      </c>
      <c r="D57" s="47">
        <v>2439336.1247809692</v>
      </c>
      <c r="E57" s="47">
        <v>1235301.4986363694</v>
      </c>
      <c r="F57" s="47">
        <v>943937.33879792877</v>
      </c>
      <c r="G57" s="47">
        <v>520446.01113210828</v>
      </c>
      <c r="H57" s="47">
        <v>223865.99244565007</v>
      </c>
      <c r="I57" s="47"/>
      <c r="J57" s="47">
        <v>12126078.895</v>
      </c>
      <c r="K57" s="47">
        <v>4576015.0844900003</v>
      </c>
      <c r="L57" s="47">
        <v>3243200.7943899999</v>
      </c>
      <c r="M57" s="47">
        <v>1587439.76679</v>
      </c>
      <c r="N57" s="47">
        <v>1204427.6288300001</v>
      </c>
      <c r="O57" s="47">
        <v>667699.49734</v>
      </c>
      <c r="P57" s="47">
        <v>299347.72275999998</v>
      </c>
      <c r="Q57" s="47"/>
      <c r="R57" s="47">
        <v>14172548.895</v>
      </c>
      <c r="S57" s="47">
        <v>4679061.2234700006</v>
      </c>
      <c r="T57" s="47">
        <v>3291001.73337</v>
      </c>
      <c r="U57" s="47">
        <v>1598017.85307</v>
      </c>
      <c r="V57" s="47">
        <v>1210062.02877</v>
      </c>
      <c r="W57" s="47">
        <v>668927.21525000001</v>
      </c>
      <c r="X57" s="47">
        <v>299472.35804000002</v>
      </c>
      <c r="Y57" s="47"/>
      <c r="Z57" s="47">
        <v>12126078.001</v>
      </c>
      <c r="AA57" s="47">
        <v>3137755.0174799999</v>
      </c>
      <c r="AB57" s="47">
        <v>2110127.9841800001</v>
      </c>
      <c r="AC57" s="47">
        <v>943469.11858000001</v>
      </c>
      <c r="AD57" s="47">
        <v>695548.18364000006</v>
      </c>
      <c r="AE57" s="47">
        <v>363301.59470999998</v>
      </c>
      <c r="AF57" s="47">
        <v>158225.09869000001</v>
      </c>
      <c r="AG57" s="47"/>
      <c r="AH57" s="47">
        <v>7404170.1551000001</v>
      </c>
      <c r="AI57" s="47">
        <v>3334601.1520600002</v>
      </c>
      <c r="AJ57" s="47">
        <v>2405234.3690200001</v>
      </c>
      <c r="AK57" s="47">
        <v>1211589.6101199999</v>
      </c>
      <c r="AL57" s="47">
        <v>924635.89410999999</v>
      </c>
      <c r="AM57" s="47">
        <v>509128.68215000001</v>
      </c>
      <c r="AN57" s="47">
        <v>219334.31000999999</v>
      </c>
      <c r="AO57" s="47"/>
      <c r="AP57" s="47"/>
      <c r="AQ57" s="47"/>
      <c r="AR57" s="47"/>
      <c r="AS57" s="47"/>
      <c r="AT57" s="47"/>
      <c r="AU57" s="47"/>
      <c r="AV57" s="47"/>
      <c r="AW57" s="47"/>
      <c r="AX57" s="47">
        <v>7477187.1485000001</v>
      </c>
      <c r="AY57" s="47">
        <v>3385705.1323799998</v>
      </c>
      <c r="AZ57" s="47">
        <v>2450865.0921299998</v>
      </c>
      <c r="BA57" s="47">
        <v>1244402.9058300001</v>
      </c>
      <c r="BB57" s="47">
        <v>951512.8679800001</v>
      </c>
      <c r="BC57" s="47">
        <v>524695.52451999998</v>
      </c>
      <c r="BD57" s="47">
        <v>225059.41028000001</v>
      </c>
      <c r="BE57" s="47"/>
      <c r="BF57" s="44">
        <v>7544612.5991000002</v>
      </c>
      <c r="BG57" s="44">
        <v>3345186.9510600003</v>
      </c>
      <c r="BH57" s="44">
        <v>2418039.5776</v>
      </c>
      <c r="BI57" s="44">
        <v>1225961.9532999999</v>
      </c>
      <c r="BJ57" s="44">
        <v>937863.04322999995</v>
      </c>
      <c r="BK57" s="44">
        <v>518119.63488000003</v>
      </c>
      <c r="BL57" s="44">
        <v>222676.29135000001</v>
      </c>
      <c r="BN57" s="44">
        <v>7544612.5991000002</v>
      </c>
      <c r="BO57" s="44">
        <v>3039050.9593000002</v>
      </c>
      <c r="BP57" s="44">
        <v>2188270.1598700001</v>
      </c>
      <c r="BQ57" s="44">
        <v>1103771.00547</v>
      </c>
      <c r="BR57" s="44">
        <v>847474.39153999998</v>
      </c>
      <c r="BS57" s="44">
        <v>474529.72475000005</v>
      </c>
      <c r="BT57" s="44">
        <v>205980.90741000001</v>
      </c>
      <c r="BU57" s="44"/>
      <c r="BV57" s="47">
        <v>7562356.4171000002</v>
      </c>
      <c r="BW57" s="47">
        <v>3054258.2715499997</v>
      </c>
      <c r="BX57" s="47">
        <v>2203180.2519700001</v>
      </c>
      <c r="BY57" s="47">
        <v>1115827.15787</v>
      </c>
      <c r="BZ57" s="47">
        <v>858292.32915000001</v>
      </c>
      <c r="CA57" s="47">
        <v>482998.22245999996</v>
      </c>
      <c r="CB57" s="47">
        <v>211422.72435</v>
      </c>
      <c r="CC57" s="44"/>
      <c r="CD57" s="47">
        <v>8115254.4171000002</v>
      </c>
      <c r="CE57" s="47">
        <v>3341064.2068400001</v>
      </c>
      <c r="CF57" s="47">
        <v>2430353.7707699998</v>
      </c>
      <c r="CG57" s="47">
        <v>1253946.0418700001</v>
      </c>
      <c r="CH57" s="47">
        <v>970894.94221000001</v>
      </c>
      <c r="CI57" s="47">
        <v>555181.93163999997</v>
      </c>
      <c r="CJ57" s="47">
        <v>251436.37487999999</v>
      </c>
      <c r="CL57" s="47">
        <v>8337268.4171000002</v>
      </c>
      <c r="CM57" s="47">
        <v>3446230.80449</v>
      </c>
      <c r="CN57" s="47">
        <v>2510312.28198</v>
      </c>
      <c r="CO57" s="47">
        <v>1297559.59858</v>
      </c>
      <c r="CP57" s="47">
        <v>1005156.76164</v>
      </c>
      <c r="CQ57" s="47">
        <v>575645.40263999999</v>
      </c>
      <c r="CR57" s="47">
        <v>262480.14908</v>
      </c>
      <c r="CS57" s="47"/>
      <c r="CT57" s="47">
        <v>8566301.4170999993</v>
      </c>
      <c r="CU57" s="47">
        <v>3568487.5786799993</v>
      </c>
      <c r="CV57" s="47">
        <v>2608434.1776400004</v>
      </c>
      <c r="CW57" s="47">
        <v>1357487.04804</v>
      </c>
      <c r="CX57" s="47">
        <v>1053820.45792</v>
      </c>
      <c r="CY57" s="47">
        <v>605935.2495899999</v>
      </c>
      <c r="CZ57" s="47">
        <v>278008.23320999998</v>
      </c>
      <c r="DA57" s="47"/>
      <c r="DB57" s="47">
        <v>8566301.4170999993</v>
      </c>
      <c r="DC57" s="47">
        <v>3567978.3854100001</v>
      </c>
      <c r="DD57" s="47">
        <v>2607832.40686</v>
      </c>
      <c r="DE57" s="47">
        <v>1357143.0189599998</v>
      </c>
      <c r="DF57" s="47">
        <v>1053520.9832299999</v>
      </c>
      <c r="DG57" s="47">
        <v>605673.53006999998</v>
      </c>
      <c r="DH57" s="47">
        <v>277862.95003000001</v>
      </c>
      <c r="DI57" s="47"/>
      <c r="DJ57" s="47">
        <v>9466655.5031000003</v>
      </c>
      <c r="DK57" s="47">
        <v>3800062.2215100001</v>
      </c>
      <c r="DL57" s="47">
        <v>2772066.2808099999</v>
      </c>
      <c r="DM57" s="47">
        <v>1431631.5116100002</v>
      </c>
      <c r="DN57" s="47">
        <v>1102135.09717</v>
      </c>
      <c r="DO57" s="47">
        <v>623667.12162999995</v>
      </c>
      <c r="DP57" s="47">
        <v>283945.06748999999</v>
      </c>
      <c r="DQ57" s="47"/>
      <c r="DR57" s="47">
        <v>9889478.5030172374</v>
      </c>
      <c r="DS57" s="47">
        <v>3957223.2360228356</v>
      </c>
      <c r="DT57" s="47">
        <v>2874271.2140290453</v>
      </c>
      <c r="DU57" s="47">
        <v>1468918.8657718012</v>
      </c>
      <c r="DV57" s="47">
        <v>1126757.6454236312</v>
      </c>
      <c r="DW57" s="47">
        <v>632576.40718580573</v>
      </c>
      <c r="DX57" s="47">
        <v>285986.75601863058</v>
      </c>
      <c r="DY57" s="297"/>
      <c r="DZ57" s="47">
        <v>10347582.503097875</v>
      </c>
      <c r="EA57" s="47">
        <v>4067708.9890176239</v>
      </c>
      <c r="EB57" s="47">
        <v>2935936.6456716359</v>
      </c>
      <c r="EC57" s="47">
        <v>1484261.5699102264</v>
      </c>
      <c r="ED57" s="47">
        <v>1135281.1758345678</v>
      </c>
      <c r="EE57" s="47">
        <v>635732.38154129218</v>
      </c>
      <c r="EF57" s="47">
        <v>286887.43278043234</v>
      </c>
      <c r="EG57" s="541"/>
      <c r="EH57" s="47">
        <v>11000133.503097987</v>
      </c>
      <c r="EI57" s="47">
        <v>4213179.9285617964</v>
      </c>
      <c r="EJ57" s="47">
        <v>3003371.497594066</v>
      </c>
      <c r="EK57" s="47">
        <v>1494894.4616279602</v>
      </c>
      <c r="EL57" s="47">
        <v>1140333.1028922372</v>
      </c>
      <c r="EM57" s="47">
        <v>636847.33005111059</v>
      </c>
      <c r="EN57" s="47">
        <v>287005.44940241886</v>
      </c>
      <c r="EO57" s="47"/>
      <c r="EP57" s="47">
        <v>11378846.895</v>
      </c>
      <c r="EQ57" s="47">
        <v>4359048.3700899994</v>
      </c>
      <c r="ER57" s="47">
        <v>3103603.9687900003</v>
      </c>
      <c r="ES57" s="47">
        <v>1531461.2239900001</v>
      </c>
      <c r="ET57" s="47">
        <v>1163603.2495800001</v>
      </c>
      <c r="EU57" s="47">
        <v>645735.72808000003</v>
      </c>
      <c r="EV57" s="47">
        <v>289857.34519000002</v>
      </c>
      <c r="EW57" s="47"/>
      <c r="EX57" s="47">
        <v>12126078.895</v>
      </c>
      <c r="EY57" s="47">
        <v>4576015.0844900003</v>
      </c>
      <c r="EZ57" s="47">
        <v>3243200.7943899999</v>
      </c>
      <c r="FA57" s="47">
        <v>1587439.76679</v>
      </c>
      <c r="FB57" s="47">
        <v>1204427.6288300001</v>
      </c>
      <c r="FC57" s="47">
        <v>667699.49734</v>
      </c>
      <c r="FD57" s="47">
        <v>299347.72275999998</v>
      </c>
      <c r="FE57" s="47"/>
      <c r="FF57" s="47">
        <v>12801178.896</v>
      </c>
      <c r="FG57" s="47">
        <v>4639206.6495899996</v>
      </c>
      <c r="FH57" s="47">
        <v>3277543.4429900004</v>
      </c>
      <c r="FI57" s="47">
        <v>1596321.4510900001</v>
      </c>
      <c r="FJ57" s="47">
        <v>1209359.64955</v>
      </c>
      <c r="FK57" s="47">
        <v>668786.19212000002</v>
      </c>
      <c r="FL57" s="47">
        <v>299474.33530999999</v>
      </c>
      <c r="FN57" s="47">
        <v>12932388.895</v>
      </c>
      <c r="FO57" s="47">
        <v>4644721.6599900005</v>
      </c>
      <c r="FP57" s="47">
        <v>3279266.1116899997</v>
      </c>
      <c r="FQ57" s="47">
        <v>1596652.48159</v>
      </c>
      <c r="FR57" s="47">
        <v>1209407.6748800001</v>
      </c>
      <c r="FS57" s="47">
        <v>668809.99944000004</v>
      </c>
      <c r="FT57" s="47">
        <v>299474.64737000002</v>
      </c>
      <c r="FV57" s="44">
        <v>13149392.895</v>
      </c>
      <c r="FW57" s="44">
        <v>4649868.9599899994</v>
      </c>
      <c r="FX57" s="44">
        <v>3281839.7616900001</v>
      </c>
      <c r="FY57" s="44">
        <v>1597167.21159</v>
      </c>
      <c r="FZ57" s="44">
        <v>1209665.0398800001</v>
      </c>
      <c r="GA57" s="44">
        <v>668861.47243999992</v>
      </c>
      <c r="GB57" s="44">
        <v>299479.79466999997</v>
      </c>
      <c r="GC57" s="44"/>
      <c r="GE57" s="47">
        <v>13581636.895</v>
      </c>
      <c r="GF57" s="47">
        <v>4679061.2234700006</v>
      </c>
      <c r="GG57" s="47">
        <v>3291001.73337</v>
      </c>
      <c r="GH57" s="47">
        <v>1598017.85307</v>
      </c>
      <c r="GI57" s="47">
        <v>1210062.02877</v>
      </c>
      <c r="GJ57" s="47">
        <v>668927.21525000001</v>
      </c>
      <c r="GK57" s="47">
        <v>299472.35804000002</v>
      </c>
      <c r="GM57" s="47">
        <v>14172548.895</v>
      </c>
      <c r="GN57" s="47">
        <v>4679061.2234700006</v>
      </c>
      <c r="GO57" s="47">
        <v>3291001.73337</v>
      </c>
      <c r="GP57" s="47">
        <v>1598017.85307</v>
      </c>
      <c r="GQ57" s="47">
        <v>1210062.02877</v>
      </c>
      <c r="GR57" s="47">
        <v>668927.21525000001</v>
      </c>
      <c r="GS57" s="47">
        <v>299472.35804000002</v>
      </c>
      <c r="GT57" s="187"/>
      <c r="GU57" s="480">
        <v>13276778.426000001</v>
      </c>
      <c r="GV57" s="481">
        <v>4082648.7189599997</v>
      </c>
      <c r="GW57" s="481">
        <v>2810946.9884600001</v>
      </c>
      <c r="GX57" s="481">
        <v>1308701.6242600002</v>
      </c>
      <c r="GY57" s="481">
        <v>977992.13270999992</v>
      </c>
      <c r="GZ57" s="481">
        <v>530140.23118</v>
      </c>
      <c r="HA57" s="481">
        <v>236492.38544000001</v>
      </c>
      <c r="HB57" s="256"/>
      <c r="HC57" s="480">
        <v>13017273.426000001</v>
      </c>
      <c r="HD57" s="481">
        <v>3926080.1536600003</v>
      </c>
      <c r="HE57" s="481">
        <v>2687494.49816</v>
      </c>
      <c r="HF57" s="481">
        <v>1236442.4814599999</v>
      </c>
      <c r="HG57" s="481">
        <v>919458.22141</v>
      </c>
      <c r="HH57" s="481">
        <v>494151.73510000005</v>
      </c>
      <c r="HI57" s="481">
        <v>219480.63787000001</v>
      </c>
      <c r="HJ57" s="481"/>
      <c r="HK57" s="480">
        <v>12795259.426000001</v>
      </c>
      <c r="HL57" s="481">
        <v>3826295.3827999998</v>
      </c>
      <c r="HM57" s="481">
        <v>2612553.2149</v>
      </c>
      <c r="HN57" s="481">
        <v>1195143.3799000001</v>
      </c>
      <c r="HO57" s="481">
        <v>886607.91989999986</v>
      </c>
      <c r="HP57" s="481">
        <v>474008.51963</v>
      </c>
      <c r="HQ57" s="481">
        <v>208613.27781999999</v>
      </c>
      <c r="HR57" s="256"/>
      <c r="HS57" s="480">
        <v>12360155.426000001</v>
      </c>
      <c r="HT57" s="481">
        <v>3632012.6692100004</v>
      </c>
      <c r="HU57" s="481">
        <v>2469144.0762100001</v>
      </c>
      <c r="HV57" s="481">
        <v>1119969.2515099999</v>
      </c>
      <c r="HW57" s="481">
        <v>828878.02032999997</v>
      </c>
      <c r="HX57" s="481">
        <v>440888.6997</v>
      </c>
      <c r="HY57" s="481">
        <v>192801.60519</v>
      </c>
      <c r="HZ57" s="47"/>
      <c r="IA57" s="480">
        <v>11458125.426000001</v>
      </c>
      <c r="IB57" s="481">
        <v>3396506.3371100007</v>
      </c>
      <c r="IC57" s="481">
        <v>2333345.1102100005</v>
      </c>
      <c r="ID57" s="481">
        <v>1084142.1113100001</v>
      </c>
      <c r="IE57" s="481">
        <v>807217.20424999995</v>
      </c>
      <c r="IF57" s="481">
        <v>433442.64870999998</v>
      </c>
      <c r="IG57" s="481">
        <v>190604.4075</v>
      </c>
      <c r="IH57" s="47"/>
      <c r="II57" s="480">
        <v>10952392.426000001</v>
      </c>
      <c r="IJ57" s="480">
        <v>3251193.8458899995</v>
      </c>
      <c r="IK57" s="480">
        <v>2240542.4991899999</v>
      </c>
      <c r="IL57" s="480">
        <v>1047658.22149</v>
      </c>
      <c r="IM57" s="480">
        <v>780859.77838999999</v>
      </c>
      <c r="IN57" s="480">
        <v>419281.58877000003</v>
      </c>
      <c r="IO57" s="480">
        <v>184403.4063</v>
      </c>
      <c r="IP57" s="757"/>
      <c r="IQ57" s="757">
        <v>9769325.0011999998</v>
      </c>
      <c r="IR57" s="757">
        <v>2720438.9594300003</v>
      </c>
      <c r="IS57" s="757">
        <v>1848760.9164499999</v>
      </c>
      <c r="IT57" s="757">
        <v>840290.6063499999</v>
      </c>
      <c r="IU57" s="757">
        <v>622100.56153999991</v>
      </c>
      <c r="IV57" s="757">
        <v>326816.64361999999</v>
      </c>
      <c r="IW57" s="757">
        <v>142721.38102</v>
      </c>
      <c r="IX57" s="757"/>
      <c r="IY57" s="757">
        <v>12126078.001</v>
      </c>
      <c r="IZ57" s="757">
        <v>3137755.0174799999</v>
      </c>
      <c r="JA57" s="757">
        <v>2110127.9841800001</v>
      </c>
      <c r="JB57" s="757">
        <v>943469.11858000001</v>
      </c>
      <c r="JC57" s="757">
        <v>695548.18364000006</v>
      </c>
      <c r="JD57" s="757">
        <v>363301.59470999998</v>
      </c>
      <c r="JE57" s="757">
        <v>158225.09869000001</v>
      </c>
      <c r="JF57" s="256"/>
      <c r="JG57" s="47">
        <v>870853.46959999995</v>
      </c>
      <c r="JH57" s="47">
        <v>579250.44979999994</v>
      </c>
      <c r="JI57" s="47">
        <v>471408.68410000001</v>
      </c>
      <c r="JJ57" s="47">
        <v>284996.24969999999</v>
      </c>
      <c r="JK57" s="47">
        <v>226588.5698</v>
      </c>
      <c r="JL57" s="47">
        <v>137159.1704</v>
      </c>
      <c r="JM57" s="47">
        <v>62048.924599999998</v>
      </c>
      <c r="JN57" s="1034"/>
      <c r="JO57" s="47">
        <v>259504.99950000001</v>
      </c>
      <c r="JP57" s="47">
        <v>161328.0595</v>
      </c>
      <c r="JQ57" s="47">
        <v>128573.2436</v>
      </c>
      <c r="JR57" s="47">
        <v>76368.813460000005</v>
      </c>
      <c r="JS57" s="47">
        <v>61852.888290000003</v>
      </c>
      <c r="JT57" s="47">
        <v>38857.216379999998</v>
      </c>
      <c r="JU57" s="47">
        <v>18544.45289</v>
      </c>
      <c r="JV57" s="77"/>
      <c r="JW57" s="47">
        <v>222014</v>
      </c>
      <c r="JX57" s="47">
        <v>103361.2972</v>
      </c>
      <c r="JY57" s="47">
        <v>77783.696949999998</v>
      </c>
      <c r="JZ57" s="47">
        <v>42205.845580000001</v>
      </c>
      <c r="KA57" s="47">
        <v>33198.2451</v>
      </c>
      <c r="KB57" s="47">
        <v>20734.792590000001</v>
      </c>
      <c r="KC57" s="47">
        <v>11239.789140000001</v>
      </c>
      <c r="KD57" s="77"/>
      <c r="KE57" s="47">
        <v>435104</v>
      </c>
      <c r="KF57" s="47">
        <v>201788.14379999999</v>
      </c>
      <c r="KG57" s="47">
        <v>149108.408</v>
      </c>
      <c r="KH57" s="47">
        <v>77311.717600000004</v>
      </c>
      <c r="KI57" s="47">
        <v>59634.069479999998</v>
      </c>
      <c r="KJ57" s="47">
        <v>34476.385970000003</v>
      </c>
      <c r="KK57" s="47">
        <v>16635.659830000001</v>
      </c>
      <c r="KL57" s="77"/>
      <c r="KM57" s="47">
        <v>902030</v>
      </c>
      <c r="KN57" s="47">
        <v>238050.02110000001</v>
      </c>
      <c r="KO57" s="47">
        <v>135120.8542</v>
      </c>
      <c r="KP57" s="47">
        <v>35835.625359999998</v>
      </c>
      <c r="KQ57" s="47">
        <v>21516.771349999999</v>
      </c>
      <c r="KR57" s="47">
        <v>7870.5423700000001</v>
      </c>
      <c r="KS57" s="47">
        <v>2231.1962239999998</v>
      </c>
      <c r="KT57" s="77"/>
      <c r="KU57" s="47">
        <v>657570</v>
      </c>
      <c r="KV57" s="47">
        <v>186306.3916</v>
      </c>
      <c r="KW57" s="47">
        <v>117230.7019</v>
      </c>
      <c r="KX57" s="47">
        <v>46340.382080000003</v>
      </c>
      <c r="KY57" s="47">
        <v>33697.049919999998</v>
      </c>
      <c r="KZ57" s="47">
        <v>18472.318210000001</v>
      </c>
      <c r="LA57" s="47">
        <v>7967.8266700000004</v>
      </c>
      <c r="LB57" s="77"/>
      <c r="LC57" s="1034">
        <v>1090884.7879999999</v>
      </c>
      <c r="LD57" s="1034">
        <v>82680.319619999995</v>
      </c>
      <c r="LE57" s="1034">
        <v>39197.93634</v>
      </c>
      <c r="LF57" s="1034">
        <v>8375.2162630000003</v>
      </c>
      <c r="LG57" s="1034">
        <v>4451.9679690000003</v>
      </c>
      <c r="LH57" s="1034">
        <v>976.0091013</v>
      </c>
      <c r="LI57" s="1034">
        <v>115.43905599999999</v>
      </c>
      <c r="LJ57" s="77"/>
      <c r="LK57" s="1034">
        <v>24917</v>
      </c>
      <c r="LL57" s="1034">
        <v>18419.514705199999</v>
      </c>
      <c r="LM57" s="1034">
        <v>16659.753712099999</v>
      </c>
      <c r="LN57" s="1034">
        <v>12316.920878200001</v>
      </c>
      <c r="LO57" s="1034">
        <v>10135.1691749</v>
      </c>
      <c r="LP57" s="1034">
        <v>6127.3783101999998</v>
      </c>
      <c r="LQ57" s="1034">
        <v>2540.7299054999999</v>
      </c>
    </row>
    <row r="58" spans="1:329" s="43" customFormat="1" ht="9.75" customHeight="1" x14ac:dyDescent="0.2">
      <c r="A58" s="48">
        <v>2010</v>
      </c>
      <c r="B58" s="47">
        <v>7661714.8202380808</v>
      </c>
      <c r="C58" s="47">
        <v>3569511.2360816887</v>
      </c>
      <c r="D58" s="47">
        <v>2604715.7879662109</v>
      </c>
      <c r="E58" s="47">
        <v>1346859.0291731514</v>
      </c>
      <c r="F58" s="47">
        <v>1037494.4711161901</v>
      </c>
      <c r="G58" s="47">
        <v>577709.96095999051</v>
      </c>
      <c r="H58" s="47">
        <v>250955.06605581002</v>
      </c>
      <c r="I58" s="47"/>
      <c r="J58" s="47">
        <v>12739542.267999999</v>
      </c>
      <c r="K58" s="47">
        <v>4979790.01664</v>
      </c>
      <c r="L58" s="47">
        <v>3592535.29874</v>
      </c>
      <c r="M58" s="47">
        <v>1821307.15344</v>
      </c>
      <c r="N58" s="47">
        <v>1404711.9375</v>
      </c>
      <c r="O58" s="47">
        <v>801151.84201999998</v>
      </c>
      <c r="P58" s="47">
        <v>368846.61076000001</v>
      </c>
      <c r="Q58" s="47"/>
      <c r="R58" s="47">
        <v>14962769.267999999</v>
      </c>
      <c r="S58" s="47">
        <v>5093312.4014599994</v>
      </c>
      <c r="T58" s="47">
        <v>3643989.6032599993</v>
      </c>
      <c r="U58" s="47">
        <v>1832084.7523599998</v>
      </c>
      <c r="V58" s="47">
        <v>1410518.6592399999</v>
      </c>
      <c r="W58" s="47">
        <v>802439.08259000001</v>
      </c>
      <c r="X58" s="47">
        <v>368978.50263</v>
      </c>
      <c r="Y58" s="47"/>
      <c r="Z58" s="47">
        <v>12739541.952</v>
      </c>
      <c r="AA58" s="47">
        <v>3411546.2377599999</v>
      </c>
      <c r="AB58" s="47">
        <v>2337564.38956</v>
      </c>
      <c r="AC58" s="47">
        <v>1092038.25716</v>
      </c>
      <c r="AD58" s="47">
        <v>821343.36660000007</v>
      </c>
      <c r="AE58" s="47">
        <v>445925.62873</v>
      </c>
      <c r="AF58" s="47">
        <v>203607.72576</v>
      </c>
      <c r="AG58" s="47"/>
      <c r="AH58" s="47">
        <v>7687362.9479</v>
      </c>
      <c r="AI58" s="47">
        <v>3527653.2731900001</v>
      </c>
      <c r="AJ58" s="47">
        <v>2566859.41732</v>
      </c>
      <c r="AK58" s="47">
        <v>1320672.64652</v>
      </c>
      <c r="AL58" s="47">
        <v>1016231.62437</v>
      </c>
      <c r="AM58" s="47">
        <v>565241.68121999991</v>
      </c>
      <c r="AN58" s="47">
        <v>245121.40474999999</v>
      </c>
      <c r="AO58" s="47"/>
      <c r="AP58" s="189"/>
      <c r="AQ58" s="47"/>
      <c r="AR58" s="47"/>
      <c r="AS58" s="47"/>
      <c r="AT58" s="47"/>
      <c r="AU58" s="47"/>
      <c r="AV58" s="47"/>
      <c r="AW58" s="47"/>
      <c r="AX58" s="47">
        <v>7761889.3683000002</v>
      </c>
      <c r="AY58" s="47">
        <v>3580790.9261000003</v>
      </c>
      <c r="AZ58" s="47">
        <v>2614484.40038</v>
      </c>
      <c r="BA58" s="47">
        <v>1354208.2260799999</v>
      </c>
      <c r="BB58" s="47">
        <v>1043772.9450900001</v>
      </c>
      <c r="BC58" s="47">
        <v>581155.91486999998</v>
      </c>
      <c r="BD58" s="47">
        <v>250836.44222999999</v>
      </c>
      <c r="BE58" s="47"/>
      <c r="BF58" s="44">
        <v>7853671.0755000003</v>
      </c>
      <c r="BG58" s="44">
        <v>3542659.7129300004</v>
      </c>
      <c r="BH58" s="44">
        <v>2583984.92729</v>
      </c>
      <c r="BI58" s="44">
        <v>1336591.3031899999</v>
      </c>
      <c r="BJ58" s="44">
        <v>1030343.5499400001</v>
      </c>
      <c r="BK58" s="44">
        <v>574205.72929000005</v>
      </c>
      <c r="BL58" s="44">
        <v>247255.74742</v>
      </c>
      <c r="BN58" s="44">
        <v>7853671.0755000003</v>
      </c>
      <c r="BO58" s="44">
        <v>3221750.6535500004</v>
      </c>
      <c r="BP58" s="44">
        <v>2340945.1630299999</v>
      </c>
      <c r="BQ58" s="44">
        <v>1202263.8659300001</v>
      </c>
      <c r="BR58" s="44">
        <v>928057.11982000002</v>
      </c>
      <c r="BS58" s="44">
        <v>522933.98449</v>
      </c>
      <c r="BT58" s="44">
        <v>226662.61387</v>
      </c>
      <c r="BU58" s="44"/>
      <c r="BV58" s="47">
        <v>7878731.0645000003</v>
      </c>
      <c r="BW58" s="47">
        <v>3244827.0374500006</v>
      </c>
      <c r="BX58" s="47">
        <v>2361982.3483300004</v>
      </c>
      <c r="BY58" s="47">
        <v>1219851.4133299999</v>
      </c>
      <c r="BZ58" s="47">
        <v>943757.45743000007</v>
      </c>
      <c r="CA58" s="47">
        <v>535124.84948000009</v>
      </c>
      <c r="CB58" s="47">
        <v>234097.06906000001</v>
      </c>
      <c r="CC58" s="44"/>
      <c r="CD58" s="47">
        <v>8690630.0645000003</v>
      </c>
      <c r="CE58" s="47">
        <v>3693004.10127</v>
      </c>
      <c r="CF58" s="47">
        <v>2726883.39426</v>
      </c>
      <c r="CG58" s="47">
        <v>1450963.4200600001</v>
      </c>
      <c r="CH58" s="47">
        <v>1135947.5052</v>
      </c>
      <c r="CI58" s="47">
        <v>663879.82154999999</v>
      </c>
      <c r="CJ58" s="47">
        <v>307802.08127999998</v>
      </c>
      <c r="CL58" s="47">
        <v>8981933.0645000003</v>
      </c>
      <c r="CM58" s="47">
        <v>3838942.9348000004</v>
      </c>
      <c r="CN58" s="47">
        <v>2839886.4715200001</v>
      </c>
      <c r="CO58" s="47">
        <v>1515146.7014199998</v>
      </c>
      <c r="CP58" s="47">
        <v>1187717.5737700001</v>
      </c>
      <c r="CQ58" s="47">
        <v>696203.24907999998</v>
      </c>
      <c r="CR58" s="47">
        <v>325641.37855999998</v>
      </c>
      <c r="CS58" s="47"/>
      <c r="CT58" s="47">
        <v>9210878.0645000003</v>
      </c>
      <c r="CU58" s="47">
        <v>3966654.4001100003</v>
      </c>
      <c r="CV58" s="47">
        <v>2944000.44111</v>
      </c>
      <c r="CW58" s="47">
        <v>1580537.0600099999</v>
      </c>
      <c r="CX58" s="47">
        <v>1241136.2064199999</v>
      </c>
      <c r="CY58" s="47">
        <v>730464.95524000004</v>
      </c>
      <c r="CZ58" s="47">
        <v>343686.29123999999</v>
      </c>
      <c r="DA58" s="47"/>
      <c r="DB58" s="47">
        <v>9210878.0645000003</v>
      </c>
      <c r="DC58" s="47">
        <v>3980725.49034</v>
      </c>
      <c r="DD58" s="47">
        <v>2956745.5266399998</v>
      </c>
      <c r="DE58" s="47">
        <v>1588676.9014399999</v>
      </c>
      <c r="DF58" s="47">
        <v>1247604.76189</v>
      </c>
      <c r="DG58" s="47">
        <v>734739.87650000001</v>
      </c>
      <c r="DH58" s="47">
        <v>346248.63034999999</v>
      </c>
      <c r="DI58" s="47"/>
      <c r="DJ58" s="47">
        <v>10100172.393999999</v>
      </c>
      <c r="DK58" s="47">
        <v>4214399.3861299995</v>
      </c>
      <c r="DL58" s="47">
        <v>3121332.5306299999</v>
      </c>
      <c r="DM58" s="47">
        <v>1661936.4979299998</v>
      </c>
      <c r="DN58" s="47">
        <v>1297891.0073199999</v>
      </c>
      <c r="DO58" s="47">
        <v>754331.5509899999</v>
      </c>
      <c r="DP58" s="47">
        <v>352454.31199999998</v>
      </c>
      <c r="DQ58" s="47"/>
      <c r="DR58" s="47">
        <v>10574339.393921066</v>
      </c>
      <c r="DS58" s="47">
        <v>4392413.2452646326</v>
      </c>
      <c r="DT58" s="47">
        <v>3236001.8134993156</v>
      </c>
      <c r="DU58" s="47">
        <v>1704047.3824741123</v>
      </c>
      <c r="DV58" s="47">
        <v>1324937.9618254064</v>
      </c>
      <c r="DW58" s="47">
        <v>764204.58374786051</v>
      </c>
      <c r="DX58" s="47">
        <v>354796.09765336191</v>
      </c>
      <c r="DY58" s="297"/>
      <c r="DZ58" s="47">
        <v>11043700.3941851</v>
      </c>
      <c r="EA58" s="47">
        <v>4505847.5606405614</v>
      </c>
      <c r="EB58" s="47">
        <v>3299614.8175624767</v>
      </c>
      <c r="EC58" s="47">
        <v>1719795.4214834608</v>
      </c>
      <c r="ED58" s="47">
        <v>1334522.7768629515</v>
      </c>
      <c r="EE58" s="47">
        <v>767687.65907293127</v>
      </c>
      <c r="EF58" s="47">
        <v>355746.05787041702</v>
      </c>
      <c r="EG58" s="541"/>
      <c r="EH58" s="47">
        <v>11703739.394185085</v>
      </c>
      <c r="EI58" s="47">
        <v>4646977.1774926214</v>
      </c>
      <c r="EJ58" s="47">
        <v>3370123.5396260535</v>
      </c>
      <c r="EK58" s="47">
        <v>1731406.5235714496</v>
      </c>
      <c r="EL58" s="47">
        <v>1339618.678940034</v>
      </c>
      <c r="EM58" s="47">
        <v>768885.87721078284</v>
      </c>
      <c r="EN58" s="47">
        <v>355917.91330707655</v>
      </c>
      <c r="EO58" s="47"/>
      <c r="EP58" s="47">
        <v>11931727.267999999</v>
      </c>
      <c r="EQ58" s="47">
        <v>4738955.1106899995</v>
      </c>
      <c r="ER58" s="47">
        <v>3435054.1698899996</v>
      </c>
      <c r="ES58" s="47">
        <v>1756069.49829</v>
      </c>
      <c r="ET58" s="47">
        <v>1355788.25477</v>
      </c>
      <c r="EU58" s="47">
        <v>774864.41916000005</v>
      </c>
      <c r="EV58" s="47">
        <v>357753.27412999998</v>
      </c>
      <c r="EW58" s="47"/>
      <c r="EX58" s="47">
        <v>12739542.267999999</v>
      </c>
      <c r="EY58" s="47">
        <v>4979790.01664</v>
      </c>
      <c r="EZ58" s="47">
        <v>3592535.29874</v>
      </c>
      <c r="FA58" s="47">
        <v>1821307.15344</v>
      </c>
      <c r="FB58" s="47">
        <v>1404711.9375</v>
      </c>
      <c r="FC58" s="47">
        <v>801151.84201999998</v>
      </c>
      <c r="FD58" s="47">
        <v>368846.61076000001</v>
      </c>
      <c r="FE58" s="47"/>
      <c r="FF58" s="47">
        <v>13440495.267999999</v>
      </c>
      <c r="FG58" s="47">
        <v>5050995.4108100003</v>
      </c>
      <c r="FH58" s="47">
        <v>3629994.9989100001</v>
      </c>
      <c r="FI58" s="47">
        <v>1830364.42701</v>
      </c>
      <c r="FJ58" s="47">
        <v>1409664.0858499999</v>
      </c>
      <c r="FK58" s="47">
        <v>802332.13086000003</v>
      </c>
      <c r="FL58" s="47">
        <v>368965.52250000002</v>
      </c>
      <c r="FN58" s="47">
        <v>13579349.267999999</v>
      </c>
      <c r="FO58" s="47">
        <v>5056069.2297600005</v>
      </c>
      <c r="FP58" s="47">
        <v>3632014.2736599999</v>
      </c>
      <c r="FQ58" s="47">
        <v>1830513.17756</v>
      </c>
      <c r="FR58" s="47">
        <v>1409687.7261100002</v>
      </c>
      <c r="FS58" s="47">
        <v>802313.47496000002</v>
      </c>
      <c r="FT58" s="47">
        <v>368965.83941000002</v>
      </c>
      <c r="FV58" s="44">
        <v>13873096.267999999</v>
      </c>
      <c r="FW58" s="44">
        <v>5061856.5297600012</v>
      </c>
      <c r="FX58" s="44">
        <v>3634907.9236599999</v>
      </c>
      <c r="FY58" s="44">
        <v>1831091.90756</v>
      </c>
      <c r="FZ58" s="44">
        <v>1409977.0911099999</v>
      </c>
      <c r="GA58" s="44">
        <v>802371.34795999993</v>
      </c>
      <c r="GB58" s="44">
        <v>368971.62670999998</v>
      </c>
      <c r="GC58" s="44"/>
      <c r="GE58" s="47">
        <v>14328403.267999999</v>
      </c>
      <c r="GF58" s="47">
        <v>5093312.4014599994</v>
      </c>
      <c r="GG58" s="47">
        <v>3643989.6032599993</v>
      </c>
      <c r="GH58" s="47">
        <v>1832084.7523599998</v>
      </c>
      <c r="GI58" s="47">
        <v>1410518.6592399999</v>
      </c>
      <c r="GJ58" s="47">
        <v>802439.08259000001</v>
      </c>
      <c r="GK58" s="47">
        <v>368978.50263</v>
      </c>
      <c r="GM58" s="47">
        <v>14962769.267999999</v>
      </c>
      <c r="GN58" s="47">
        <v>5093312.4014599994</v>
      </c>
      <c r="GO58" s="47">
        <v>3643989.6032599993</v>
      </c>
      <c r="GP58" s="47">
        <v>1832084.7523599998</v>
      </c>
      <c r="GQ58" s="47">
        <v>1410518.6592399999</v>
      </c>
      <c r="GR58" s="47">
        <v>802439.08259000001</v>
      </c>
      <c r="GS58" s="47">
        <v>368978.50263</v>
      </c>
      <c r="GT58" s="187"/>
      <c r="GU58" s="480">
        <v>13993565.805</v>
      </c>
      <c r="GV58" s="481">
        <v>4439691.0034699999</v>
      </c>
      <c r="GW58" s="481">
        <v>3112738.5005700001</v>
      </c>
      <c r="GX58" s="481">
        <v>1505472.7797700001</v>
      </c>
      <c r="GY58" s="481">
        <v>1144916.5518700001</v>
      </c>
      <c r="GZ58" s="481">
        <v>642184.26324</v>
      </c>
      <c r="HA58" s="481">
        <v>296634.63785</v>
      </c>
      <c r="HB58" s="256"/>
      <c r="HC58" s="480">
        <v>13726416.805</v>
      </c>
      <c r="HD58" s="481">
        <v>4275499.0786300004</v>
      </c>
      <c r="HE58" s="481">
        <v>2981518.0834300001</v>
      </c>
      <c r="HF58" s="481">
        <v>1428416.7805300001</v>
      </c>
      <c r="HG58" s="481">
        <v>1082098.0600400001</v>
      </c>
      <c r="HH58" s="481">
        <v>603517.69152999995</v>
      </c>
      <c r="HI58" s="481">
        <v>278832.31300000002</v>
      </c>
      <c r="HJ58" s="481"/>
      <c r="HK58" s="480">
        <v>13435113.805</v>
      </c>
      <c r="HL58" s="481">
        <v>4136177.0630600001</v>
      </c>
      <c r="HM58" s="481">
        <v>2873320.9170600004</v>
      </c>
      <c r="HN58" s="481">
        <v>1366538.97196</v>
      </c>
      <c r="HO58" s="481">
        <v>1032419.52096</v>
      </c>
      <c r="HP58" s="481">
        <v>571570.77393999998</v>
      </c>
      <c r="HQ58" s="481">
        <v>261128.80841999999</v>
      </c>
      <c r="HR58" s="256"/>
      <c r="HS58" s="480">
        <v>13000071.805</v>
      </c>
      <c r="HT58" s="481">
        <v>3935887.6603300003</v>
      </c>
      <c r="HU58" s="481">
        <v>2723992.5433300002</v>
      </c>
      <c r="HV58" s="481">
        <v>1285325.89093</v>
      </c>
      <c r="HW58" s="481">
        <v>969055.53923000011</v>
      </c>
      <c r="HX58" s="481">
        <v>534239.65916000004</v>
      </c>
      <c r="HY58" s="481">
        <v>242826.79521000001</v>
      </c>
      <c r="HZ58" s="47"/>
      <c r="IA58" s="480">
        <v>12074484.805</v>
      </c>
      <c r="IB58" s="481">
        <v>3696590.45034</v>
      </c>
      <c r="IC58" s="481">
        <v>2584068.4931399999</v>
      </c>
      <c r="ID58" s="481">
        <v>1248433.4014400002</v>
      </c>
      <c r="IE58" s="481">
        <v>946582.48895999999</v>
      </c>
      <c r="IF58" s="481">
        <v>526119.11064000009</v>
      </c>
      <c r="IG58" s="481">
        <v>240622.98738000001</v>
      </c>
      <c r="IH58" s="47"/>
      <c r="II58" s="480">
        <v>11538827.805</v>
      </c>
      <c r="IJ58" s="480">
        <v>3540485.5066500003</v>
      </c>
      <c r="IK58" s="480">
        <v>2482970.0675500003</v>
      </c>
      <c r="IL58" s="480">
        <v>1208602.18585</v>
      </c>
      <c r="IM58" s="480">
        <v>917721.56534999993</v>
      </c>
      <c r="IN58" s="480">
        <v>510588.66992000001</v>
      </c>
      <c r="IO58" s="480">
        <v>233783.00125</v>
      </c>
      <c r="IP58" s="757"/>
      <c r="IQ58" s="757">
        <v>10303743.952</v>
      </c>
      <c r="IR58" s="757">
        <v>2969568.0783199999</v>
      </c>
      <c r="IS58" s="757">
        <v>2055239.3505900002</v>
      </c>
      <c r="IT58" s="757">
        <v>975768.46658999997</v>
      </c>
      <c r="IU58" s="757">
        <v>736609.51642</v>
      </c>
      <c r="IV58" s="757">
        <v>402245.04975000001</v>
      </c>
      <c r="IW58" s="757">
        <v>184023.05106</v>
      </c>
      <c r="IX58" s="757"/>
      <c r="IY58" s="757">
        <v>12739541.952</v>
      </c>
      <c r="IZ58" s="757">
        <v>3411546.2377599999</v>
      </c>
      <c r="JA58" s="757">
        <v>2337564.38956</v>
      </c>
      <c r="JB58" s="757">
        <v>1092038.25716</v>
      </c>
      <c r="JC58" s="757">
        <v>821343.36660000007</v>
      </c>
      <c r="JD58" s="757">
        <v>445925.62873</v>
      </c>
      <c r="JE58" s="757">
        <v>203607.72576</v>
      </c>
      <c r="JF58" s="256"/>
      <c r="JG58" s="47">
        <v>949678.46329999994</v>
      </c>
      <c r="JH58" s="47">
        <v>639104.57189999998</v>
      </c>
      <c r="JI58" s="47">
        <v>524631.32779999997</v>
      </c>
      <c r="JJ58" s="47">
        <v>322082.87550000002</v>
      </c>
      <c r="JK58" s="47">
        <v>259048.64050000001</v>
      </c>
      <c r="JL58" s="47">
        <v>158287.53460000001</v>
      </c>
      <c r="JM58" s="47">
        <v>72127.569449999995</v>
      </c>
      <c r="JN58" s="1034"/>
      <c r="JO58" s="47">
        <v>267149.0001</v>
      </c>
      <c r="JP58" s="47">
        <v>168755.29</v>
      </c>
      <c r="JQ58" s="47">
        <v>134928.14000000001</v>
      </c>
      <c r="JR58" s="47">
        <v>80695.762870000006</v>
      </c>
      <c r="JS58" s="47">
        <v>65449.978069999997</v>
      </c>
      <c r="JT58" s="47">
        <v>40882.481480000002</v>
      </c>
      <c r="JU58" s="47">
        <v>18870.779050000001</v>
      </c>
      <c r="JV58" s="77"/>
      <c r="JW58" s="47">
        <v>291303</v>
      </c>
      <c r="JX58" s="47">
        <v>144325.40460000001</v>
      </c>
      <c r="JY58" s="47">
        <v>110706.4967</v>
      </c>
      <c r="JZ58" s="47">
        <v>62532.504710000001</v>
      </c>
      <c r="KA58" s="47">
        <v>50287.238449999997</v>
      </c>
      <c r="KB58" s="47">
        <v>32298.78903</v>
      </c>
      <c r="KC58" s="47">
        <v>17973.729619999998</v>
      </c>
      <c r="KD58" s="77"/>
      <c r="KE58" s="47">
        <v>435042.00020000001</v>
      </c>
      <c r="KF58" s="47">
        <v>208841.01010000001</v>
      </c>
      <c r="KG58" s="47">
        <v>155846.9424</v>
      </c>
      <c r="KH58" s="47">
        <v>82693.811230000007</v>
      </c>
      <c r="KI58" s="47">
        <v>64698.40969</v>
      </c>
      <c r="KJ58" s="47">
        <v>38443.491889999998</v>
      </c>
      <c r="KK58" s="47">
        <v>19060.820830000001</v>
      </c>
      <c r="KL58" s="77"/>
      <c r="KM58" s="47">
        <v>925587.00009999995</v>
      </c>
      <c r="KN58" s="47">
        <v>243215.23809999999</v>
      </c>
      <c r="KO58" s="47">
        <v>139163.40040000001</v>
      </c>
      <c r="KP58" s="47">
        <v>37470.037510000002</v>
      </c>
      <c r="KQ58" s="47">
        <v>22793.944589999999</v>
      </c>
      <c r="KR58" s="47">
        <v>8389.8171089999996</v>
      </c>
      <c r="KS58" s="47">
        <v>2300.5790160000001</v>
      </c>
      <c r="KT58" s="77"/>
      <c r="KU58" s="47">
        <v>694671</v>
      </c>
      <c r="KV58" s="47">
        <v>199907.96890000001</v>
      </c>
      <c r="KW58" s="47">
        <v>126862.3334</v>
      </c>
      <c r="KX58" s="47">
        <v>50982.65468</v>
      </c>
      <c r="KY58" s="47">
        <v>37429.120940000001</v>
      </c>
      <c r="KZ58" s="47">
        <v>20533.464889999999</v>
      </c>
      <c r="LA58" s="47">
        <v>8732.1344219999992</v>
      </c>
      <c r="LB58" s="77"/>
      <c r="LC58" s="1034">
        <v>1137618.6089999999</v>
      </c>
      <c r="LD58" s="1034">
        <v>90930.439620000005</v>
      </c>
      <c r="LE58" s="1034">
        <v>42556.934370000003</v>
      </c>
      <c r="LF58" s="1034">
        <v>8588.7499650000009</v>
      </c>
      <c r="LG58" s="1034">
        <v>4692.5265220000001</v>
      </c>
      <c r="LH58" s="1034">
        <v>1045.448576</v>
      </c>
      <c r="LI58" s="1034">
        <v>116.064972</v>
      </c>
      <c r="LJ58" s="77"/>
      <c r="LK58" s="1034">
        <v>19525</v>
      </c>
      <c r="LL58" s="1034">
        <v>15409.2169008</v>
      </c>
      <c r="LM58" s="1034">
        <v>14397.571593999999</v>
      </c>
      <c r="LN58" s="1034">
        <v>11476.504665299999</v>
      </c>
      <c r="LO58" s="1034">
        <v>9670.0395556999993</v>
      </c>
      <c r="LP58" s="1034">
        <v>5916.4937902000001</v>
      </c>
      <c r="LQ58" s="1034">
        <v>2360.7762051999998</v>
      </c>
    </row>
    <row r="59" spans="1:329" s="43" customFormat="1" ht="9.75" customHeight="1" x14ac:dyDescent="0.2">
      <c r="A59" s="48">
        <v>2011</v>
      </c>
      <c r="B59" s="47">
        <v>7957632.9593233867</v>
      </c>
      <c r="C59" s="47">
        <v>3725005.4388741176</v>
      </c>
      <c r="D59" s="47">
        <v>2718742.8670940287</v>
      </c>
      <c r="E59" s="47">
        <v>1391786.3099480381</v>
      </c>
      <c r="F59" s="47">
        <v>1062550.0829284487</v>
      </c>
      <c r="G59" s="47">
        <v>578477.38662057905</v>
      </c>
      <c r="H59" s="47">
        <v>237457.14616613995</v>
      </c>
      <c r="I59" s="47"/>
      <c r="J59" s="47">
        <v>13352255.159</v>
      </c>
      <c r="K59" s="47">
        <v>5204333.9808900002</v>
      </c>
      <c r="L59" s="47">
        <v>3730429.4427900002</v>
      </c>
      <c r="M59" s="47">
        <v>1848258.5668899999</v>
      </c>
      <c r="N59" s="47">
        <v>1404265.7176399999</v>
      </c>
      <c r="O59" s="47">
        <v>773868.05511999992</v>
      </c>
      <c r="P59" s="47">
        <v>334180.47619999998</v>
      </c>
      <c r="Q59" s="47"/>
      <c r="R59" s="47">
        <v>15597246.159</v>
      </c>
      <c r="S59" s="47">
        <v>5315332.6156100007</v>
      </c>
      <c r="T59" s="47">
        <v>3780753.9477099995</v>
      </c>
      <c r="U59" s="47">
        <v>1858481.6535100001</v>
      </c>
      <c r="V59" s="47">
        <v>1410625.9108799999</v>
      </c>
      <c r="W59" s="47">
        <v>775229.08688999992</v>
      </c>
      <c r="X59" s="47">
        <v>334352.11693999998</v>
      </c>
      <c r="Y59" s="47"/>
      <c r="Z59" s="47">
        <v>13352254.955</v>
      </c>
      <c r="AA59" s="47">
        <v>3562571.2353600007</v>
      </c>
      <c r="AB59" s="47">
        <v>2417901.7366599999</v>
      </c>
      <c r="AC59" s="47">
        <v>1086332.65606</v>
      </c>
      <c r="AD59" s="47">
        <v>801496.07048000011</v>
      </c>
      <c r="AE59" s="47">
        <v>414388.65026999998</v>
      </c>
      <c r="AF59" s="47">
        <v>174703.58371000001</v>
      </c>
      <c r="AG59" s="47"/>
      <c r="AH59" s="47">
        <v>7987852.9567</v>
      </c>
      <c r="AI59" s="47">
        <v>3680581.2718000002</v>
      </c>
      <c r="AJ59" s="47">
        <v>2679411.6992000001</v>
      </c>
      <c r="AK59" s="47">
        <v>1366025.7560000001</v>
      </c>
      <c r="AL59" s="47">
        <v>1042168.34238</v>
      </c>
      <c r="AM59" s="47">
        <v>567535.21840000001</v>
      </c>
      <c r="AN59" s="47">
        <v>233647.43651999999</v>
      </c>
      <c r="AO59" s="47"/>
      <c r="AP59" s="189"/>
      <c r="AQ59" s="47"/>
      <c r="AR59" s="47"/>
      <c r="AS59" s="47"/>
      <c r="AT59" s="47"/>
      <c r="AU59" s="47"/>
      <c r="AV59" s="47"/>
      <c r="AW59" s="47"/>
      <c r="AX59" s="47">
        <v>8060309.5080000004</v>
      </c>
      <c r="AY59" s="47">
        <v>3731739.7731399992</v>
      </c>
      <c r="AZ59" s="47">
        <v>2725211.7652399996</v>
      </c>
      <c r="BA59" s="47">
        <v>1398581.9468400001</v>
      </c>
      <c r="BB59" s="47">
        <v>1068931.8506</v>
      </c>
      <c r="BC59" s="47">
        <v>582692.63945000002</v>
      </c>
      <c r="BD59" s="47">
        <v>239004.68809000001</v>
      </c>
      <c r="BE59" s="47"/>
      <c r="BF59" s="44">
        <v>8169346.3372</v>
      </c>
      <c r="BG59" s="44">
        <v>3693949.0860699997</v>
      </c>
      <c r="BH59" s="44">
        <v>2694924.8976799999</v>
      </c>
      <c r="BI59" s="44">
        <v>1380722.0063799999</v>
      </c>
      <c r="BJ59" s="44">
        <v>1055464.0857299999</v>
      </c>
      <c r="BK59" s="44">
        <v>575465.10768999998</v>
      </c>
      <c r="BL59" s="44">
        <v>235336.70723</v>
      </c>
      <c r="BN59" s="44">
        <v>8169346.3372</v>
      </c>
      <c r="BO59" s="44">
        <v>3356228.3670299998</v>
      </c>
      <c r="BP59" s="44">
        <v>2434148.3727799999</v>
      </c>
      <c r="BQ59" s="44">
        <v>1237465.81978</v>
      </c>
      <c r="BR59" s="44">
        <v>945866.19623999996</v>
      </c>
      <c r="BS59" s="44">
        <v>521394.02871999994</v>
      </c>
      <c r="BT59" s="44">
        <v>215183.77755999999</v>
      </c>
      <c r="BU59" s="44"/>
      <c r="BV59" s="47">
        <v>8197494.5801999997</v>
      </c>
      <c r="BW59" s="47">
        <v>3381297.3934499999</v>
      </c>
      <c r="BX59" s="47">
        <v>2457913.1597600002</v>
      </c>
      <c r="BY59" s="47">
        <v>1256542.2901600001</v>
      </c>
      <c r="BZ59" s="47">
        <v>963448.61011999997</v>
      </c>
      <c r="CA59" s="47">
        <v>534814.30599000002</v>
      </c>
      <c r="CB59" s="47">
        <v>222967.6023</v>
      </c>
      <c r="CC59" s="44"/>
      <c r="CD59" s="47">
        <v>8931354.5801999997</v>
      </c>
      <c r="CE59" s="47">
        <v>3781467.94735</v>
      </c>
      <c r="CF59" s="47">
        <v>2777300.0054500001</v>
      </c>
      <c r="CG59" s="47">
        <v>1450272.58445</v>
      </c>
      <c r="CH59" s="47">
        <v>1121734.27807</v>
      </c>
      <c r="CI59" s="47">
        <v>636511.81912</v>
      </c>
      <c r="CJ59" s="47">
        <v>276672.16953999997</v>
      </c>
      <c r="CL59" s="47">
        <v>9235025.5801999997</v>
      </c>
      <c r="CM59" s="47">
        <v>3933140.4262100002</v>
      </c>
      <c r="CN59" s="47">
        <v>2893959.5019100001</v>
      </c>
      <c r="CO59" s="47">
        <v>1513170.2338100001</v>
      </c>
      <c r="CP59" s="47">
        <v>1171544.9775</v>
      </c>
      <c r="CQ59" s="47">
        <v>666922.64908999996</v>
      </c>
      <c r="CR59" s="47">
        <v>292167.04226000002</v>
      </c>
      <c r="CS59" s="47"/>
      <c r="CT59" s="47">
        <v>9466123.5801999997</v>
      </c>
      <c r="CU59" s="47">
        <v>4062459.1125699999</v>
      </c>
      <c r="CV59" s="47">
        <v>2999356.3233699999</v>
      </c>
      <c r="CW59" s="47">
        <v>1576915.61867</v>
      </c>
      <c r="CX59" s="47">
        <v>1222966.8774999999</v>
      </c>
      <c r="CY59" s="47">
        <v>698800.51303999999</v>
      </c>
      <c r="CZ59" s="47">
        <v>308021.59748</v>
      </c>
      <c r="DA59" s="47"/>
      <c r="DB59" s="47">
        <v>9466123.5791999996</v>
      </c>
      <c r="DC59" s="47">
        <v>4081924.88919</v>
      </c>
      <c r="DD59" s="47">
        <v>3014819.2695900002</v>
      </c>
      <c r="DE59" s="47">
        <v>1583541.46379</v>
      </c>
      <c r="DF59" s="47">
        <v>1227713.4326899999</v>
      </c>
      <c r="DG59" s="47">
        <v>701160.35499999998</v>
      </c>
      <c r="DH59" s="47">
        <v>309018.61339000001</v>
      </c>
      <c r="DI59" s="47"/>
      <c r="DJ59" s="47">
        <v>10479553.015000001</v>
      </c>
      <c r="DK59" s="47">
        <v>4359945.3946400005</v>
      </c>
      <c r="DL59" s="47">
        <v>3213693.0425400003</v>
      </c>
      <c r="DM59" s="47">
        <v>1673878.61784</v>
      </c>
      <c r="DN59" s="47">
        <v>1289899.0453699999</v>
      </c>
      <c r="DO59" s="47">
        <v>724560.92882000003</v>
      </c>
      <c r="DP59" s="47">
        <v>317756.14137999999</v>
      </c>
      <c r="DQ59" s="47"/>
      <c r="DR59" s="47">
        <v>11014592.016273251</v>
      </c>
      <c r="DS59" s="47">
        <v>4562980.8325789468</v>
      </c>
      <c r="DT59" s="47">
        <v>3343580.652052924</v>
      </c>
      <c r="DU59" s="47">
        <v>1721402.9828430405</v>
      </c>
      <c r="DV59" s="47">
        <v>1320827.8311013412</v>
      </c>
      <c r="DW59" s="47">
        <v>735528.47337972745</v>
      </c>
      <c r="DX59" s="47">
        <v>320347.32662253693</v>
      </c>
      <c r="DY59" s="297"/>
      <c r="DZ59" s="47">
        <v>11508478.015949208</v>
      </c>
      <c r="EA59" s="47">
        <v>4679291.1282423493</v>
      </c>
      <c r="EB59" s="47">
        <v>3408471.4238216565</v>
      </c>
      <c r="EC59" s="47">
        <v>1737500.5292696531</v>
      </c>
      <c r="ED59" s="47">
        <v>1330511.4911841229</v>
      </c>
      <c r="EE59" s="47">
        <v>738967.26274684537</v>
      </c>
      <c r="EF59" s="47">
        <v>321246.62372528017</v>
      </c>
      <c r="EG59" s="541"/>
      <c r="EH59" s="47">
        <v>12195688.015949178</v>
      </c>
      <c r="EI59" s="47">
        <v>4825883.4661888331</v>
      </c>
      <c r="EJ59" s="47">
        <v>3480260.5832262905</v>
      </c>
      <c r="EK59" s="47">
        <v>1749165.1267542732</v>
      </c>
      <c r="EL59" s="47">
        <v>1335619.6735615181</v>
      </c>
      <c r="EM59" s="47">
        <v>740124.02870776609</v>
      </c>
      <c r="EN59" s="47">
        <v>321407.44369547174</v>
      </c>
      <c r="EO59" s="47"/>
      <c r="EP59" s="47">
        <v>12498790.159</v>
      </c>
      <c r="EQ59" s="47">
        <v>4950842.8777599996</v>
      </c>
      <c r="ER59" s="47">
        <v>3565151.2932599997</v>
      </c>
      <c r="ES59" s="47">
        <v>1780553.61546</v>
      </c>
      <c r="ET59" s="47">
        <v>1355011.2351299999</v>
      </c>
      <c r="EU59" s="47">
        <v>748111.19828999997</v>
      </c>
      <c r="EV59" s="47">
        <v>323710.89179000002</v>
      </c>
      <c r="EW59" s="47"/>
      <c r="EX59" s="47">
        <v>13352255.159</v>
      </c>
      <c r="EY59" s="47">
        <v>5204333.9808900002</v>
      </c>
      <c r="EZ59" s="47">
        <v>3730429.4427900002</v>
      </c>
      <c r="FA59" s="47">
        <v>1848258.5668899999</v>
      </c>
      <c r="FB59" s="47">
        <v>1404265.7176399999</v>
      </c>
      <c r="FC59" s="47">
        <v>773868.05511999992</v>
      </c>
      <c r="FD59" s="47">
        <v>334180.47619999998</v>
      </c>
      <c r="FE59" s="47"/>
      <c r="FF59" s="47">
        <v>14076477.159</v>
      </c>
      <c r="FG59" s="47">
        <v>5272665.8797899997</v>
      </c>
      <c r="FH59" s="47">
        <v>3766901.00379</v>
      </c>
      <c r="FI59" s="47">
        <v>1856544.76049</v>
      </c>
      <c r="FJ59" s="47">
        <v>1409786.2706600002</v>
      </c>
      <c r="FK59" s="47">
        <v>775048.32355000009</v>
      </c>
      <c r="FL59" s="47">
        <v>334338.33627000003</v>
      </c>
      <c r="FN59" s="47">
        <v>14183638.159</v>
      </c>
      <c r="FO59" s="47">
        <v>5276381.2173700007</v>
      </c>
      <c r="FP59" s="47">
        <v>3768337.8267700002</v>
      </c>
      <c r="FQ59" s="47">
        <v>1856676.6096699999</v>
      </c>
      <c r="FR59" s="47">
        <v>1409946.93212</v>
      </c>
      <c r="FS59" s="47">
        <v>775051.83010000002</v>
      </c>
      <c r="FT59" s="47">
        <v>334338.70699999999</v>
      </c>
      <c r="FV59" s="44">
        <v>14489059.159</v>
      </c>
      <c r="FW59" s="44">
        <v>5282697.617370001</v>
      </c>
      <c r="FX59" s="44">
        <v>3771496.0267699999</v>
      </c>
      <c r="FY59" s="44">
        <v>1857308.24967</v>
      </c>
      <c r="FZ59" s="44">
        <v>1410262.7521200001</v>
      </c>
      <c r="GA59" s="44">
        <v>775114.99410000001</v>
      </c>
      <c r="GB59" s="44">
        <v>334345.02340000001</v>
      </c>
      <c r="GC59" s="44"/>
      <c r="GE59" s="47">
        <v>14959838.159</v>
      </c>
      <c r="GF59" s="47">
        <v>5315332.6156100007</v>
      </c>
      <c r="GG59" s="47">
        <v>3780753.9477099995</v>
      </c>
      <c r="GH59" s="47">
        <v>1858481.6535100001</v>
      </c>
      <c r="GI59" s="47">
        <v>1410625.9108799999</v>
      </c>
      <c r="GJ59" s="47">
        <v>775229.08688999992</v>
      </c>
      <c r="GK59" s="47">
        <v>334352.11693999998</v>
      </c>
      <c r="GM59" s="47">
        <v>15597246.159</v>
      </c>
      <c r="GN59" s="47">
        <v>5315332.6156100007</v>
      </c>
      <c r="GO59" s="47">
        <v>3780753.9477099995</v>
      </c>
      <c r="GP59" s="47">
        <v>1858481.6535100001</v>
      </c>
      <c r="GQ59" s="47">
        <v>1410625.9108799999</v>
      </c>
      <c r="GR59" s="47">
        <v>775229.08688999992</v>
      </c>
      <c r="GS59" s="47">
        <v>334352.11693999998</v>
      </c>
      <c r="GT59" s="187"/>
      <c r="GU59" s="480">
        <v>14444915.662</v>
      </c>
      <c r="GV59" s="481">
        <v>4545621.5197200002</v>
      </c>
      <c r="GW59" s="481">
        <v>3159729.6169199999</v>
      </c>
      <c r="GX59" s="481">
        <v>1484394.9833199999</v>
      </c>
      <c r="GY59" s="481">
        <v>1110757.7220000001</v>
      </c>
      <c r="GZ59" s="481">
        <v>597929.29359999998</v>
      </c>
      <c r="HA59" s="481">
        <v>258053.29329999999</v>
      </c>
      <c r="HB59" s="256"/>
      <c r="HC59" s="480">
        <v>14152041.662</v>
      </c>
      <c r="HD59" s="481">
        <v>4368246.5962899998</v>
      </c>
      <c r="HE59" s="481">
        <v>3018207.2046899996</v>
      </c>
      <c r="HF59" s="481">
        <v>1400144.3645899999</v>
      </c>
      <c r="HG59" s="481">
        <v>1042535.39662</v>
      </c>
      <c r="HH59" s="481">
        <v>556008.23803999997</v>
      </c>
      <c r="HI59" s="481">
        <v>238875.87492999999</v>
      </c>
      <c r="HJ59" s="481"/>
      <c r="HK59" s="480">
        <v>13848370.662</v>
      </c>
      <c r="HL59" s="481">
        <v>4227582.0359199997</v>
      </c>
      <c r="HM59" s="481">
        <v>2910794.02012</v>
      </c>
      <c r="HN59" s="481">
        <v>1341636.4078200001</v>
      </c>
      <c r="HO59" s="481">
        <v>996311.50153000001</v>
      </c>
      <c r="HP59" s="481">
        <v>527323.90703</v>
      </c>
      <c r="HQ59" s="481">
        <v>224135.57222999999</v>
      </c>
      <c r="HR59" s="256"/>
      <c r="HS59" s="480">
        <v>13409192.661</v>
      </c>
      <c r="HT59" s="481">
        <v>4023788.3908199994</v>
      </c>
      <c r="HU59" s="481">
        <v>2760882.8543199995</v>
      </c>
      <c r="HV59" s="481">
        <v>1263834.3644200002</v>
      </c>
      <c r="HW59" s="481">
        <v>936187.36045000004</v>
      </c>
      <c r="HX59" s="481">
        <v>493432.18483000004</v>
      </c>
      <c r="HY59" s="481">
        <v>208379.41722999999</v>
      </c>
      <c r="HZ59" s="47"/>
      <c r="IA59" s="480">
        <v>12556620.661</v>
      </c>
      <c r="IB59" s="481">
        <v>3804136.2128000003</v>
      </c>
      <c r="IC59" s="481">
        <v>2634479.4403999997</v>
      </c>
      <c r="ID59" s="481">
        <v>1228384.9974</v>
      </c>
      <c r="IE59" s="481">
        <v>914486.18610000005</v>
      </c>
      <c r="IF59" s="481">
        <v>485555.12566000002</v>
      </c>
      <c r="IG59" s="481">
        <v>206206.68114</v>
      </c>
      <c r="IH59" s="47"/>
      <c r="II59" s="480">
        <v>11980037.661</v>
      </c>
      <c r="IJ59" s="480">
        <v>3635681.83066</v>
      </c>
      <c r="IK59" s="480">
        <v>2525811.7710600002</v>
      </c>
      <c r="IL59" s="480">
        <v>1185800.6892599999</v>
      </c>
      <c r="IM59" s="480">
        <v>884269.25596999994</v>
      </c>
      <c r="IN59" s="480">
        <v>469586.88734999998</v>
      </c>
      <c r="IO59" s="480">
        <v>199586.47334999999</v>
      </c>
      <c r="IP59" s="757"/>
      <c r="IQ59" s="757">
        <v>10908258.955</v>
      </c>
      <c r="IR59" s="757">
        <v>3121154.3924699998</v>
      </c>
      <c r="IS59" s="757">
        <v>2137588.7283900003</v>
      </c>
      <c r="IT59" s="757">
        <v>974633.40779000008</v>
      </c>
      <c r="IU59" s="757">
        <v>721947.12941000005</v>
      </c>
      <c r="IV59" s="757">
        <v>375232.14294000005</v>
      </c>
      <c r="IW59" s="757">
        <v>158616.17326000001</v>
      </c>
      <c r="IX59" s="757"/>
      <c r="IY59" s="757">
        <v>13352254.955</v>
      </c>
      <c r="IZ59" s="757">
        <v>3562571.2353600007</v>
      </c>
      <c r="JA59" s="757">
        <v>2417901.7366599999</v>
      </c>
      <c r="JB59" s="757">
        <v>1086332.65606</v>
      </c>
      <c r="JC59" s="757">
        <v>801496.07048000011</v>
      </c>
      <c r="JD59" s="757">
        <v>414388.65026999998</v>
      </c>
      <c r="JE59" s="757">
        <v>174703.58371000001</v>
      </c>
      <c r="JF59" s="256"/>
      <c r="JG59" s="47">
        <v>1137951.497</v>
      </c>
      <c r="JH59" s="47">
        <v>761295.13809999998</v>
      </c>
      <c r="JI59" s="47">
        <v>621791.31220000004</v>
      </c>
      <c r="JJ59" s="47">
        <v>375398.04920000001</v>
      </c>
      <c r="JK59" s="47">
        <v>297726.14250000002</v>
      </c>
      <c r="JL59" s="47">
        <v>178421.58319999999</v>
      </c>
      <c r="JM59" s="47">
        <v>76782.652239999996</v>
      </c>
      <c r="JN59" s="1034"/>
      <c r="JO59" s="47">
        <v>292874.00020000001</v>
      </c>
      <c r="JP59" s="47">
        <v>183766.22150000001</v>
      </c>
      <c r="JQ59" s="47">
        <v>147328.42449999999</v>
      </c>
      <c r="JR59" s="47">
        <v>89150.452179999993</v>
      </c>
      <c r="JS59" s="47">
        <v>72449.634139999995</v>
      </c>
      <c r="JT59" s="47">
        <v>45612.060729999997</v>
      </c>
      <c r="JU59" s="47">
        <v>20817.864570000002</v>
      </c>
      <c r="JV59" s="77"/>
      <c r="JW59" s="47">
        <v>303671</v>
      </c>
      <c r="JX59" s="47">
        <v>147990.18290000001</v>
      </c>
      <c r="JY59" s="47">
        <v>111042.01609999999</v>
      </c>
      <c r="JZ59" s="47">
        <v>59942.78901</v>
      </c>
      <c r="KA59" s="47">
        <v>47660.171999999999</v>
      </c>
      <c r="KB59" s="47">
        <v>29758.053970000001</v>
      </c>
      <c r="KC59" s="47">
        <v>15348.639660000001</v>
      </c>
      <c r="KD59" s="77"/>
      <c r="KE59" s="47">
        <v>439178.00040000002</v>
      </c>
      <c r="KF59" s="47">
        <v>210513.91529999999</v>
      </c>
      <c r="KG59" s="47">
        <v>155791.95619999999</v>
      </c>
      <c r="KH59" s="47">
        <v>80365.426630000002</v>
      </c>
      <c r="KI59" s="47">
        <v>62071.213170000003</v>
      </c>
      <c r="KJ59" s="47">
        <v>35771.117389999999</v>
      </c>
      <c r="KK59" s="47">
        <v>16566.804319999999</v>
      </c>
      <c r="KL59" s="77"/>
      <c r="KM59" s="47">
        <v>852571.99970000004</v>
      </c>
      <c r="KN59" s="47">
        <v>224372.11780000001</v>
      </c>
      <c r="KO59" s="47">
        <v>129400.92539999999</v>
      </c>
      <c r="KP59" s="47">
        <v>36296.852319999998</v>
      </c>
      <c r="KQ59" s="47">
        <v>22061.193630000002</v>
      </c>
      <c r="KR59" s="47">
        <v>8390.7396119999994</v>
      </c>
      <c r="KS59" s="47">
        <v>2308.4131550000002</v>
      </c>
      <c r="KT59" s="77"/>
      <c r="KU59" s="47">
        <v>734907</v>
      </c>
      <c r="KV59" s="47">
        <v>211802.50570000001</v>
      </c>
      <c r="KW59" s="47">
        <v>134045.8585</v>
      </c>
      <c r="KX59" s="47">
        <v>52994.858070000002</v>
      </c>
      <c r="KY59" s="47">
        <v>38259.465109999997</v>
      </c>
      <c r="KZ59" s="47">
        <v>20462.827130000001</v>
      </c>
      <c r="LA59" s="47">
        <v>8303.1910520000001</v>
      </c>
      <c r="LB59" s="77"/>
      <c r="LC59" s="1034">
        <v>1139298.8970000001</v>
      </c>
      <c r="LD59" s="1034">
        <v>89040.100489999997</v>
      </c>
      <c r="LE59" s="1034">
        <v>42413.7287</v>
      </c>
      <c r="LF59" s="1034">
        <v>8664.5985939999991</v>
      </c>
      <c r="LG59" s="1034">
        <v>4767.8766960000003</v>
      </c>
      <c r="LH59" s="1034">
        <v>1036.579622</v>
      </c>
      <c r="LI59" s="1034">
        <v>119.21063580000001</v>
      </c>
      <c r="LJ59" s="77"/>
      <c r="LK59" s="1034">
        <v>14379</v>
      </c>
      <c r="LL59" s="1034">
        <v>11260.437447320001</v>
      </c>
      <c r="LM59" s="1034">
        <v>10483.1169374</v>
      </c>
      <c r="LN59" s="1034">
        <v>8297.9273807000009</v>
      </c>
      <c r="LO59" s="1034">
        <v>6941.7259193000009</v>
      </c>
      <c r="LP59" s="1034">
        <v>4253.5202681999999</v>
      </c>
      <c r="LQ59" s="1034">
        <v>1670.4430823</v>
      </c>
    </row>
    <row r="60" spans="1:329" s="43" customFormat="1" ht="9.75" customHeight="1" x14ac:dyDescent="0.2">
      <c r="A60" s="48">
        <v>2012</v>
      </c>
      <c r="B60" s="47">
        <v>8481527.7978597097</v>
      </c>
      <c r="C60" s="47">
        <v>4092162.8248447487</v>
      </c>
      <c r="D60" s="47">
        <v>3040943.8908502134</v>
      </c>
      <c r="E60" s="47">
        <v>1632521.6380887209</v>
      </c>
      <c r="F60" s="47">
        <v>1272116.39007359</v>
      </c>
      <c r="G60" s="47">
        <v>723310.27324034972</v>
      </c>
      <c r="H60" s="47">
        <v>316339.30432657001</v>
      </c>
      <c r="I60" s="47"/>
      <c r="J60" s="47">
        <v>14061877.435000001</v>
      </c>
      <c r="K60" s="47">
        <v>5663262.6709400006</v>
      </c>
      <c r="L60" s="47">
        <v>4126094.2177399998</v>
      </c>
      <c r="M60" s="47">
        <v>2141500.5236400003</v>
      </c>
      <c r="N60" s="47">
        <v>1667877.8835</v>
      </c>
      <c r="O60" s="47">
        <v>968473.39145</v>
      </c>
      <c r="P60" s="47">
        <v>442259.1642</v>
      </c>
      <c r="Q60" s="47"/>
      <c r="R60" s="47">
        <v>16319117.435000001</v>
      </c>
      <c r="S60" s="47">
        <v>5781354.9598599998</v>
      </c>
      <c r="T60" s="47">
        <v>4180160.4969600001</v>
      </c>
      <c r="U60" s="47">
        <v>2152831.7241600002</v>
      </c>
      <c r="V60" s="47">
        <v>1674620.9140600001</v>
      </c>
      <c r="W60" s="47">
        <v>969817.67345999996</v>
      </c>
      <c r="X60" s="47">
        <v>442430.97544000001</v>
      </c>
      <c r="Y60" s="47"/>
      <c r="Z60" s="47">
        <v>14061878.024</v>
      </c>
      <c r="AA60" s="47">
        <v>3986544.60201</v>
      </c>
      <c r="AB60" s="47">
        <v>2758252.5205099997</v>
      </c>
      <c r="AC60" s="47">
        <v>1313836.2002100002</v>
      </c>
      <c r="AD60" s="47">
        <v>998340.84647999995</v>
      </c>
      <c r="AE60" s="47">
        <v>555786.75769999996</v>
      </c>
      <c r="AF60" s="47">
        <v>253829.43643999999</v>
      </c>
      <c r="AG60" s="47"/>
      <c r="AH60" s="47">
        <v>8507439.1582999993</v>
      </c>
      <c r="AI60" s="47">
        <v>4041245.3363799998</v>
      </c>
      <c r="AJ60" s="47">
        <v>2995958.5980800004</v>
      </c>
      <c r="AK60" s="47">
        <v>1602608.6822799998</v>
      </c>
      <c r="AL60" s="47">
        <v>1248217.7790099999</v>
      </c>
      <c r="AM60" s="47">
        <v>709706.89413999999</v>
      </c>
      <c r="AN60" s="47">
        <v>310493.27692999999</v>
      </c>
      <c r="AO60" s="47"/>
      <c r="AP60" s="189"/>
      <c r="AQ60" s="47"/>
      <c r="AR60" s="47"/>
      <c r="AS60" s="47"/>
      <c r="AT60" s="47"/>
      <c r="AU60" s="47"/>
      <c r="AV60" s="47"/>
      <c r="AW60" s="47"/>
      <c r="AX60" s="47">
        <v>8577934.5887000002</v>
      </c>
      <c r="AY60" s="47">
        <v>4091700.4917399995</v>
      </c>
      <c r="AZ60" s="47">
        <v>3040582.6213399996</v>
      </c>
      <c r="BA60" s="47">
        <v>1634505.0710400001</v>
      </c>
      <c r="BB60" s="47">
        <v>1274204.65334</v>
      </c>
      <c r="BC60" s="47">
        <v>724220.57397000003</v>
      </c>
      <c r="BD60" s="47">
        <v>315675.09074999997</v>
      </c>
      <c r="BE60" s="47"/>
      <c r="BF60" s="44">
        <v>8696486.9951000009</v>
      </c>
      <c r="BG60" s="44">
        <v>4051105.5554999998</v>
      </c>
      <c r="BH60" s="44">
        <v>3008106.7154000001</v>
      </c>
      <c r="BI60" s="44">
        <v>1615905.7139000001</v>
      </c>
      <c r="BJ60" s="44">
        <v>1260009.0795</v>
      </c>
      <c r="BK60" s="44">
        <v>715997.17010999995</v>
      </c>
      <c r="BL60" s="44">
        <v>310975.59246999997</v>
      </c>
      <c r="BN60" s="44">
        <v>8696486.9951000009</v>
      </c>
      <c r="BO60" s="44">
        <v>3698105.6660699998</v>
      </c>
      <c r="BP60" s="44">
        <v>2733309.6924100001</v>
      </c>
      <c r="BQ60" s="44">
        <v>1455868.9420100001</v>
      </c>
      <c r="BR60" s="44">
        <v>1137326.7756000001</v>
      </c>
      <c r="BS60" s="44">
        <v>653685.26491000003</v>
      </c>
      <c r="BT60" s="44">
        <v>286925.37241000001</v>
      </c>
      <c r="BU60" s="44"/>
      <c r="BV60" s="47">
        <v>8739340.8960999995</v>
      </c>
      <c r="BW60" s="47">
        <v>3737595.8779500001</v>
      </c>
      <c r="BX60" s="47">
        <v>2770147.2897799998</v>
      </c>
      <c r="BY60" s="47">
        <v>1487199.95438</v>
      </c>
      <c r="BZ60" s="47">
        <v>1165739.2393399999</v>
      </c>
      <c r="CA60" s="47">
        <v>675766.95212000003</v>
      </c>
      <c r="CB60" s="47">
        <v>300249.10976000002</v>
      </c>
      <c r="CC60" s="44"/>
      <c r="CD60" s="47">
        <v>9430502.8960999995</v>
      </c>
      <c r="CE60" s="47">
        <v>4135589.3999799998</v>
      </c>
      <c r="CF60" s="47">
        <v>3094778.4244799996</v>
      </c>
      <c r="CG60" s="47">
        <v>1695077.8653800001</v>
      </c>
      <c r="CH60" s="47">
        <v>1341680.5406299999</v>
      </c>
      <c r="CI60" s="47">
        <v>796525.79847000004</v>
      </c>
      <c r="CJ60" s="47">
        <v>366698.73547999997</v>
      </c>
      <c r="CL60" s="47">
        <v>9789707.8960999995</v>
      </c>
      <c r="CM60" s="47">
        <v>4322702.1363300011</v>
      </c>
      <c r="CN60" s="47">
        <v>3240913.6525300001</v>
      </c>
      <c r="CO60" s="47">
        <v>1776979.3722300001</v>
      </c>
      <c r="CP60" s="47">
        <v>1408780.22744</v>
      </c>
      <c r="CQ60" s="47">
        <v>840155.78862000001</v>
      </c>
      <c r="CR60" s="47">
        <v>389356.98317999998</v>
      </c>
      <c r="CS60" s="47"/>
      <c r="CT60" s="47">
        <v>10022332.896</v>
      </c>
      <c r="CU60" s="47">
        <v>4458436.5083500007</v>
      </c>
      <c r="CV60" s="47">
        <v>3353128.4147500005</v>
      </c>
      <c r="CW60" s="47">
        <v>1847457.8375499998</v>
      </c>
      <c r="CX60" s="47">
        <v>1466641.7374100001</v>
      </c>
      <c r="CY60" s="47">
        <v>877673.26594000007</v>
      </c>
      <c r="CZ60" s="47">
        <v>408509.12109999999</v>
      </c>
      <c r="DA60" s="47"/>
      <c r="DB60" s="47">
        <v>10022332.896</v>
      </c>
      <c r="DC60" s="47">
        <v>4479615.4985499997</v>
      </c>
      <c r="DD60" s="47">
        <v>3371158.04165</v>
      </c>
      <c r="DE60" s="47">
        <v>1858549.4951500001</v>
      </c>
      <c r="DF60" s="47">
        <v>1475662.0558499999</v>
      </c>
      <c r="DG60" s="47">
        <v>884725.32495000004</v>
      </c>
      <c r="DH60" s="47">
        <v>412556.41502000001</v>
      </c>
      <c r="DI60" s="47"/>
      <c r="DJ60" s="47">
        <v>11054666.634</v>
      </c>
      <c r="DK60" s="47">
        <v>4758126.3084100001</v>
      </c>
      <c r="DL60" s="47">
        <v>3566240.5930100004</v>
      </c>
      <c r="DM60" s="47">
        <v>1947477.9179100001</v>
      </c>
      <c r="DN60" s="47">
        <v>1536577.6753299998</v>
      </c>
      <c r="DO60" s="47">
        <v>908048.83654000005</v>
      </c>
      <c r="DP60" s="47">
        <v>420702.82604000001</v>
      </c>
      <c r="DQ60" s="47"/>
      <c r="DR60" s="259">
        <v>11619624.634922909</v>
      </c>
      <c r="DS60" s="259">
        <v>4975221.1497050319</v>
      </c>
      <c r="DT60" s="259">
        <v>3706967.8086259351</v>
      </c>
      <c r="DU60" s="259">
        <v>1998245.8300170815</v>
      </c>
      <c r="DV60" s="259">
        <v>1569703.8488732399</v>
      </c>
      <c r="DW60" s="259">
        <v>919966.16286137444</v>
      </c>
      <c r="DX60" s="259">
        <v>423549.18704039732</v>
      </c>
      <c r="DY60" s="297"/>
      <c r="DZ60" s="47">
        <v>12133957.635051133</v>
      </c>
      <c r="EA60" s="47">
        <v>5097592.9676663689</v>
      </c>
      <c r="EB60" s="47">
        <v>3774862.6464331839</v>
      </c>
      <c r="EC60" s="47">
        <v>2015491.7672416912</v>
      </c>
      <c r="ED60" s="47">
        <v>1580246.125301349</v>
      </c>
      <c r="EE60" s="47">
        <v>924183.90003471111</v>
      </c>
      <c r="EF60" s="47">
        <v>424738.08603017859</v>
      </c>
      <c r="EG60" s="541"/>
      <c r="EH60" s="47">
        <v>12839521.635050764</v>
      </c>
      <c r="EI60" s="47">
        <v>5251682.7578508258</v>
      </c>
      <c r="EJ60" s="47">
        <v>3850481.5328538148</v>
      </c>
      <c r="EK60" s="47">
        <v>2027584.1274969371</v>
      </c>
      <c r="EL60" s="47">
        <v>1585978.1223055278</v>
      </c>
      <c r="EM60" s="259">
        <v>925498.85323322506</v>
      </c>
      <c r="EN60" s="259">
        <v>424924.30409597052</v>
      </c>
      <c r="EO60" s="259"/>
      <c r="EP60" s="47">
        <v>13180470.435000001</v>
      </c>
      <c r="EQ60" s="47">
        <v>5393106.7496600002</v>
      </c>
      <c r="ER60" s="47">
        <v>3946524.8713600002</v>
      </c>
      <c r="ES60" s="47">
        <v>2063591.9935600001</v>
      </c>
      <c r="ET60" s="47">
        <v>1609392.6018100001</v>
      </c>
      <c r="EU60" s="259">
        <v>935873.90067</v>
      </c>
      <c r="EV60" s="259">
        <v>428041.41171999997</v>
      </c>
      <c r="EW60" s="259"/>
      <c r="EX60" s="47">
        <v>14061877.435000001</v>
      </c>
      <c r="EY60" s="47">
        <v>5663262.6709400006</v>
      </c>
      <c r="EZ60" s="47">
        <v>4126094.2177399998</v>
      </c>
      <c r="FA60" s="47">
        <v>2141500.5236400003</v>
      </c>
      <c r="FB60" s="47">
        <v>1667877.8835</v>
      </c>
      <c r="FC60" s="259">
        <v>968473.39145</v>
      </c>
      <c r="FD60" s="259">
        <v>442259.1642</v>
      </c>
      <c r="FE60" s="259"/>
      <c r="FF60" s="259">
        <v>14835426.435000001</v>
      </c>
      <c r="FG60" s="259">
        <v>5739046.6206299998</v>
      </c>
      <c r="FH60" s="259">
        <v>4165904.6171299997</v>
      </c>
      <c r="FI60" s="259">
        <v>2150910.3897299999</v>
      </c>
      <c r="FJ60" s="259">
        <v>1673645.7029499998</v>
      </c>
      <c r="FK60" s="259">
        <v>969632.35438999999</v>
      </c>
      <c r="FL60" s="259">
        <v>442408.46354999999</v>
      </c>
      <c r="FM60" s="201"/>
      <c r="FN60" s="259">
        <v>14919221.435000001</v>
      </c>
      <c r="FO60" s="259">
        <v>5742771.22786</v>
      </c>
      <c r="FP60" s="259">
        <v>4167298.6840599994</v>
      </c>
      <c r="FQ60" s="259">
        <v>2151028.9274599999</v>
      </c>
      <c r="FR60" s="259">
        <v>1673677.8696399999</v>
      </c>
      <c r="FS60" s="259">
        <v>969641.74881999998</v>
      </c>
      <c r="FT60" s="259">
        <v>442408.71661</v>
      </c>
      <c r="FU60" s="201"/>
      <c r="FV60" s="484">
        <v>15180021.435000001</v>
      </c>
      <c r="FW60" s="484">
        <v>5749773.1278599994</v>
      </c>
      <c r="FX60" s="484">
        <v>4170799.6340600005</v>
      </c>
      <c r="FY60" s="484">
        <v>2151729.1174599999</v>
      </c>
      <c r="FZ60" s="484">
        <v>1674027.9646399999</v>
      </c>
      <c r="GA60" s="484">
        <v>969711.76781999995</v>
      </c>
      <c r="GB60" s="484">
        <v>442415.71850999998</v>
      </c>
      <c r="GC60" s="484"/>
      <c r="GD60" s="201"/>
      <c r="GE60" s="259">
        <v>15669991.435000001</v>
      </c>
      <c r="GF60" s="259">
        <v>5781354.9598599998</v>
      </c>
      <c r="GG60" s="259">
        <v>4180160.4969600001</v>
      </c>
      <c r="GH60" s="259">
        <v>2152831.7241600002</v>
      </c>
      <c r="GI60" s="259">
        <v>1674620.9140600001</v>
      </c>
      <c r="GJ60" s="259">
        <v>969817.67345999996</v>
      </c>
      <c r="GK60" s="259">
        <v>442430.97544000001</v>
      </c>
      <c r="GL60" s="201"/>
      <c r="GM60" s="259">
        <v>16319117.435000001</v>
      </c>
      <c r="GN60" s="259">
        <v>5781354.9598599998</v>
      </c>
      <c r="GO60" s="259">
        <v>4180160.4969600001</v>
      </c>
      <c r="GP60" s="259">
        <v>2152831.7241600002</v>
      </c>
      <c r="GQ60" s="259">
        <v>1674620.9140600001</v>
      </c>
      <c r="GR60" s="259">
        <v>969817.67345999996</v>
      </c>
      <c r="GS60" s="259">
        <v>442430.97544000001</v>
      </c>
      <c r="GT60" s="485"/>
      <c r="GU60" s="486">
        <v>15124973.59</v>
      </c>
      <c r="GV60" s="487">
        <v>4957281.1192099992</v>
      </c>
      <c r="GW60" s="487">
        <v>3502292.3680099999</v>
      </c>
      <c r="GX60" s="487">
        <v>1724231.08311</v>
      </c>
      <c r="GY60" s="487">
        <v>1323986.9339099999</v>
      </c>
      <c r="GZ60" s="487">
        <v>754887.57165000006</v>
      </c>
      <c r="HA60" s="487">
        <v>346554.48576000001</v>
      </c>
      <c r="HB60" s="488"/>
      <c r="HC60" s="486">
        <v>14810692.59</v>
      </c>
      <c r="HD60" s="487">
        <v>4763335.0077999998</v>
      </c>
      <c r="HE60" s="487">
        <v>3346628.8033999996</v>
      </c>
      <c r="HF60" s="487">
        <v>1629517.3660000002</v>
      </c>
      <c r="HG60" s="487">
        <v>1246560.0393100001</v>
      </c>
      <c r="HH60" s="487">
        <v>706366.45522</v>
      </c>
      <c r="HI60" s="487">
        <v>324977.74255000002</v>
      </c>
      <c r="HJ60" s="487"/>
      <c r="HK60" s="486">
        <v>14451487.59</v>
      </c>
      <c r="HL60" s="487">
        <v>4590199.2839000002</v>
      </c>
      <c r="HM60" s="487">
        <v>3213806.4428000003</v>
      </c>
      <c r="HN60" s="487">
        <v>1554116.4566000002</v>
      </c>
      <c r="HO60" s="487">
        <v>1184264.2059200001</v>
      </c>
      <c r="HP60" s="487">
        <v>666748.13297000004</v>
      </c>
      <c r="HQ60" s="487">
        <v>303752.46730000002</v>
      </c>
      <c r="HR60" s="488"/>
      <c r="HS60" s="486">
        <v>14009289.59</v>
      </c>
      <c r="HT60" s="487">
        <v>4381189.0786600001</v>
      </c>
      <c r="HU60" s="487">
        <v>3057275.5579600004</v>
      </c>
      <c r="HV60" s="487">
        <v>1470126.6199600003</v>
      </c>
      <c r="HW60" s="487">
        <v>1118728.9363500001</v>
      </c>
      <c r="HX60" s="487">
        <v>628089.24500999996</v>
      </c>
      <c r="HY60" s="487">
        <v>285051.63572000002</v>
      </c>
      <c r="HZ60" s="259"/>
      <c r="IA60" s="486">
        <v>13124047.589</v>
      </c>
      <c r="IB60" s="487">
        <v>4149696.58341</v>
      </c>
      <c r="IC60" s="487">
        <v>2921818.0466100001</v>
      </c>
      <c r="ID60" s="487">
        <v>1430970.0988099999</v>
      </c>
      <c r="IE60" s="487">
        <v>1094637.2353300001</v>
      </c>
      <c r="IF60" s="487">
        <v>618742.14330000011</v>
      </c>
      <c r="IG60" s="487">
        <v>282266.61924000003</v>
      </c>
      <c r="IH60" s="259"/>
      <c r="II60" s="486">
        <v>12527833.589</v>
      </c>
      <c r="IJ60" s="486">
        <v>3969835.4813500005</v>
      </c>
      <c r="IK60" s="486">
        <v>2804485.3808500003</v>
      </c>
      <c r="IL60" s="486">
        <v>1382188.7775499998</v>
      </c>
      <c r="IM60" s="486">
        <v>1058444.9108600002</v>
      </c>
      <c r="IN60" s="486">
        <v>598690.87143000006</v>
      </c>
      <c r="IO60" s="486">
        <v>273222.2905</v>
      </c>
      <c r="IP60" s="758"/>
      <c r="IQ60" s="758">
        <v>11611370.024</v>
      </c>
      <c r="IR60" s="758">
        <v>3519931.9220199999</v>
      </c>
      <c r="IS60" s="758">
        <v>2459699.6732199998</v>
      </c>
      <c r="IT60" s="758">
        <v>1187253.6504200001</v>
      </c>
      <c r="IU60" s="758">
        <v>905119.67614</v>
      </c>
      <c r="IV60" s="758">
        <v>506207.06929000001</v>
      </c>
      <c r="IW60" s="758">
        <v>231579.95501000001</v>
      </c>
      <c r="IX60" s="758"/>
      <c r="IY60" s="758">
        <v>14061878.024</v>
      </c>
      <c r="IZ60" s="758">
        <v>3986544.60201</v>
      </c>
      <c r="JA60" s="758">
        <v>2758252.5205099997</v>
      </c>
      <c r="JB60" s="758">
        <v>1313836.2002100002</v>
      </c>
      <c r="JC60" s="758">
        <v>998340.84647999995</v>
      </c>
      <c r="JD60" s="758">
        <v>555786.75769999996</v>
      </c>
      <c r="JE60" s="758">
        <v>253829.43643999999</v>
      </c>
      <c r="JF60" s="488"/>
      <c r="JG60" s="47">
        <v>1175148.8459999999</v>
      </c>
      <c r="JH60" s="47">
        <v>813781.071</v>
      </c>
      <c r="JI60" s="47">
        <v>677230.45460000006</v>
      </c>
      <c r="JJ60" s="47">
        <v>427959.85840000003</v>
      </c>
      <c r="JK60" s="47">
        <v>346775.84720000002</v>
      </c>
      <c r="JL60" s="47">
        <v>214704.22260000001</v>
      </c>
      <c r="JM60" s="47">
        <v>96889.50387</v>
      </c>
      <c r="JN60" s="1034"/>
      <c r="JO60" s="47">
        <v>314280.9999</v>
      </c>
      <c r="JP60" s="47">
        <v>200462.8585</v>
      </c>
      <c r="JQ60" s="47">
        <v>161875.80220000001</v>
      </c>
      <c r="JR60" s="47">
        <v>100499.8048</v>
      </c>
      <c r="JS60" s="47">
        <v>82207.448449999996</v>
      </c>
      <c r="JT60" s="47">
        <v>51829.002860000001</v>
      </c>
      <c r="JU60" s="47">
        <v>23665.201209999999</v>
      </c>
      <c r="JV60" s="77"/>
      <c r="JW60" s="47">
        <v>359205</v>
      </c>
      <c r="JX60" s="47">
        <v>182194.05850000001</v>
      </c>
      <c r="JY60" s="47">
        <v>137952.65410000001</v>
      </c>
      <c r="JZ60" s="47">
        <v>77781.681649999999</v>
      </c>
      <c r="KA60" s="47">
        <v>64049.832170000001</v>
      </c>
      <c r="KB60" s="47">
        <v>42357.900930000003</v>
      </c>
      <c r="KC60" s="47">
        <v>22513.463739999999</v>
      </c>
      <c r="KD60" s="77"/>
      <c r="KE60" s="47">
        <v>442198.00030000001</v>
      </c>
      <c r="KF60" s="47">
        <v>218515.58369999999</v>
      </c>
      <c r="KG60" s="47">
        <v>162895.50260000001</v>
      </c>
      <c r="KH60" s="47">
        <v>86881.759409999999</v>
      </c>
      <c r="KI60" s="47">
        <v>68900.473370000007</v>
      </c>
      <c r="KJ60" s="47">
        <v>41521.366439999998</v>
      </c>
      <c r="KK60" s="47">
        <v>19975.415590000001</v>
      </c>
      <c r="KL60" s="77"/>
      <c r="KM60" s="47">
        <v>885242.00029999996</v>
      </c>
      <c r="KN60" s="47">
        <v>235315.32279999999</v>
      </c>
      <c r="KO60" s="47">
        <v>136853.64300000001</v>
      </c>
      <c r="KP60" s="47">
        <v>39195.37919</v>
      </c>
      <c r="KQ60" s="47">
        <v>24400.64632</v>
      </c>
      <c r="KR60" s="47">
        <v>9698.3676780000005</v>
      </c>
      <c r="KS60" s="47">
        <v>2957.9575629999999</v>
      </c>
      <c r="KT60" s="77"/>
      <c r="KU60" s="47">
        <v>736480</v>
      </c>
      <c r="KV60" s="47">
        <v>219063.9664</v>
      </c>
      <c r="KW60" s="47">
        <v>141331.0539</v>
      </c>
      <c r="KX60" s="47">
        <v>59374.518300000003</v>
      </c>
      <c r="KY60" s="47">
        <v>44174.55747</v>
      </c>
      <c r="KZ60" s="47">
        <v>24927.995309999998</v>
      </c>
      <c r="LA60" s="47">
        <v>10980.47457</v>
      </c>
      <c r="LB60" s="77"/>
      <c r="LC60" s="1034">
        <v>1179908.243</v>
      </c>
      <c r="LD60" s="1034">
        <v>94974.696230000001</v>
      </c>
      <c r="LE60" s="1034">
        <v>44189.663630000003</v>
      </c>
      <c r="LF60" s="1034">
        <v>9023.2008179999993</v>
      </c>
      <c r="LG60" s="1034">
        <v>4684.5939529999996</v>
      </c>
      <c r="LH60" s="1034">
        <v>1108.0356690000001</v>
      </c>
      <c r="LI60" s="1034">
        <v>126.41490570000001</v>
      </c>
      <c r="LJ60" s="77"/>
      <c r="LK60" s="1034">
        <v>18995</v>
      </c>
      <c r="LL60" s="1034">
        <v>14883.4962031</v>
      </c>
      <c r="LM60" s="1034">
        <v>13872.740985500001</v>
      </c>
      <c r="LN60" s="1034">
        <v>10996.927056</v>
      </c>
      <c r="LO60" s="1034">
        <v>9264.0204053000016</v>
      </c>
      <c r="LP60" s="1034">
        <v>5629.7850458000003</v>
      </c>
      <c r="LQ60" s="1034">
        <v>2222.4597862000001</v>
      </c>
    </row>
    <row r="61" spans="1:329" s="43" customFormat="1" ht="9.75" customHeight="1" x14ac:dyDescent="0.2">
      <c r="A61" s="48">
        <v>2013</v>
      </c>
      <c r="B61" s="47">
        <v>8614741.3425319418</v>
      </c>
      <c r="C61" s="47">
        <v>4064061.274982356</v>
      </c>
      <c r="D61" s="47">
        <v>2979309.6279124306</v>
      </c>
      <c r="E61" s="47">
        <v>1532829.5341678737</v>
      </c>
      <c r="F61" s="47">
        <v>1171450.015650284</v>
      </c>
      <c r="G61" s="47">
        <v>643206.89169441082</v>
      </c>
      <c r="H61" s="47">
        <v>271785.80458301009</v>
      </c>
      <c r="I61" s="47"/>
      <c r="J61" s="47">
        <v>14444822.515000001</v>
      </c>
      <c r="K61" s="47">
        <v>5656261.3383799996</v>
      </c>
      <c r="L61" s="47">
        <v>4046974.2130800001</v>
      </c>
      <c r="M61" s="47">
        <v>2007362.3261799999</v>
      </c>
      <c r="N61" s="47">
        <v>1531192.80938</v>
      </c>
      <c r="O61" s="47">
        <v>853808.86785000004</v>
      </c>
      <c r="P61" s="47">
        <v>372903.82295</v>
      </c>
      <c r="Q61" s="47"/>
      <c r="R61" s="47">
        <v>16758697.515000001</v>
      </c>
      <c r="S61" s="47">
        <v>5785042.5218799999</v>
      </c>
      <c r="T61" s="47">
        <v>4107949.3834800003</v>
      </c>
      <c r="U61" s="47">
        <v>2020173.48728</v>
      </c>
      <c r="V61" s="47">
        <v>1537605.5466799999</v>
      </c>
      <c r="W61" s="47">
        <v>855343.80771999992</v>
      </c>
      <c r="X61" s="47">
        <v>373059.91735</v>
      </c>
      <c r="Y61" s="47"/>
      <c r="Z61" s="47">
        <v>14444822.982999999</v>
      </c>
      <c r="AA61" s="47">
        <v>3998320.9516799999</v>
      </c>
      <c r="AB61" s="47">
        <v>2701790.3798799999</v>
      </c>
      <c r="AC61" s="47">
        <v>1196146.57198</v>
      </c>
      <c r="AD61" s="47">
        <v>874565.78356999997</v>
      </c>
      <c r="AE61" s="47">
        <v>451554.86356000003</v>
      </c>
      <c r="AF61" s="47">
        <v>190391.34246000001</v>
      </c>
      <c r="AG61" s="188"/>
      <c r="AH61" s="47">
        <v>8647261.7721999995</v>
      </c>
      <c r="AI61" s="47">
        <v>4016382.5423399997</v>
      </c>
      <c r="AJ61" s="47">
        <v>2936951.5484399996</v>
      </c>
      <c r="AK61" s="47">
        <v>1504999.34904</v>
      </c>
      <c r="AL61" s="47">
        <v>1149496.3640300001</v>
      </c>
      <c r="AM61" s="47">
        <v>631596.14513999992</v>
      </c>
      <c r="AN61" s="47">
        <v>267526.42297999997</v>
      </c>
      <c r="AO61" s="188"/>
      <c r="AP61" s="190"/>
      <c r="AQ61" s="47"/>
      <c r="AR61" s="47"/>
      <c r="AS61" s="47"/>
      <c r="AT61" s="47"/>
      <c r="AU61" s="47"/>
      <c r="AV61" s="47"/>
      <c r="AW61" s="47"/>
      <c r="AX61" s="47">
        <v>8714905.4461000003</v>
      </c>
      <c r="AY61" s="47">
        <v>4064449.9960399996</v>
      </c>
      <c r="AZ61" s="47">
        <v>2979537.3692399999</v>
      </c>
      <c r="BA61" s="47">
        <v>1534099.17034</v>
      </c>
      <c r="BB61" s="47">
        <v>1172985.3458100001</v>
      </c>
      <c r="BC61" s="47">
        <v>645130.36936000001</v>
      </c>
      <c r="BD61" s="47">
        <v>272443.35116000002</v>
      </c>
      <c r="BE61" s="47"/>
      <c r="BF61" s="44">
        <v>8812773.1575000007</v>
      </c>
      <c r="BG61" s="44">
        <v>4012757.7719299998</v>
      </c>
      <c r="BH61" s="44">
        <v>2936791.1787299998</v>
      </c>
      <c r="BI61" s="44">
        <v>1507806.1669300001</v>
      </c>
      <c r="BJ61" s="44">
        <v>1151774.7643200001</v>
      </c>
      <c r="BK61" s="44">
        <v>631994.90847000002</v>
      </c>
      <c r="BL61" s="44">
        <v>263649.11641000002</v>
      </c>
      <c r="BN61" s="44">
        <v>8812773.1575000007</v>
      </c>
      <c r="BO61" s="44">
        <v>3643694.3539100005</v>
      </c>
      <c r="BP61" s="44">
        <v>2647102.5269600004</v>
      </c>
      <c r="BQ61" s="44">
        <v>1352282.4118600001</v>
      </c>
      <c r="BR61" s="44">
        <v>1037155.2559199999</v>
      </c>
      <c r="BS61" s="44">
        <v>574576.89479000005</v>
      </c>
      <c r="BT61" s="44">
        <v>242896.79790999999</v>
      </c>
      <c r="BU61" s="44"/>
      <c r="BV61" s="47">
        <v>8851027.9894999992</v>
      </c>
      <c r="BW61" s="47">
        <v>3678279.2802000004</v>
      </c>
      <c r="BX61" s="47">
        <v>2680154.7650600001</v>
      </c>
      <c r="BY61" s="47">
        <v>1380170.6529599999</v>
      </c>
      <c r="BZ61" s="47">
        <v>1062400.63081</v>
      </c>
      <c r="CA61" s="47">
        <v>594245.90541000001</v>
      </c>
      <c r="CB61" s="47">
        <v>254061.35092999999</v>
      </c>
      <c r="CC61" s="44"/>
      <c r="CD61" s="47">
        <v>9486835.9894999992</v>
      </c>
      <c r="CE61" s="47">
        <v>4031010.1159299994</v>
      </c>
      <c r="CF61" s="47">
        <v>2964891.2705299994</v>
      </c>
      <c r="CG61" s="47">
        <v>1553140.7277299999</v>
      </c>
      <c r="CH61" s="47">
        <v>1204049.0716200001</v>
      </c>
      <c r="CI61" s="47">
        <v>688549.18912</v>
      </c>
      <c r="CJ61" s="47">
        <v>303334.82097</v>
      </c>
      <c r="CL61" s="47">
        <v>9874893.9894999992</v>
      </c>
      <c r="CM61" s="47">
        <v>4229655.9632899994</v>
      </c>
      <c r="CN61" s="47">
        <v>3116357.2505899994</v>
      </c>
      <c r="CO61" s="47">
        <v>1635764.6600899999</v>
      </c>
      <c r="CP61" s="47">
        <v>1270958.2286</v>
      </c>
      <c r="CQ61" s="47">
        <v>731585.67589000007</v>
      </c>
      <c r="CR61" s="47">
        <v>324868.94585000002</v>
      </c>
      <c r="CS61" s="47"/>
      <c r="CT61" s="47">
        <v>10111223.989</v>
      </c>
      <c r="CU61" s="47">
        <v>4366750.7868800005</v>
      </c>
      <c r="CV61" s="47">
        <v>3226846.67288</v>
      </c>
      <c r="CW61" s="47">
        <v>1702756.9622800001</v>
      </c>
      <c r="CX61" s="47">
        <v>1325875.3866099999</v>
      </c>
      <c r="CY61" s="47">
        <v>767062.34920000006</v>
      </c>
      <c r="CZ61" s="47">
        <v>342473.85444000002</v>
      </c>
      <c r="DA61" s="47"/>
      <c r="DB61" s="47">
        <v>10111223.988</v>
      </c>
      <c r="DC61" s="47">
        <v>4377880.2634499995</v>
      </c>
      <c r="DD61" s="47">
        <v>3235973.6218499998</v>
      </c>
      <c r="DE61" s="47">
        <v>1707244.6182500001</v>
      </c>
      <c r="DF61" s="47">
        <v>1329185.6864499999</v>
      </c>
      <c r="DG61" s="47">
        <v>768691.88742000004</v>
      </c>
      <c r="DH61" s="47">
        <v>343363.95</v>
      </c>
      <c r="DI61" s="47"/>
      <c r="DJ61" s="47">
        <v>11184141.433</v>
      </c>
      <c r="DK61" s="47">
        <v>4672784.9432399999</v>
      </c>
      <c r="DL61" s="47">
        <v>3446016.8807400004</v>
      </c>
      <c r="DM61" s="47">
        <v>1805603.1125400001</v>
      </c>
      <c r="DN61" s="47">
        <v>1397130.9342400001</v>
      </c>
      <c r="DO61" s="47">
        <v>795698.41729000001</v>
      </c>
      <c r="DP61" s="47">
        <v>353852.55884000001</v>
      </c>
      <c r="DQ61" s="47"/>
      <c r="DR61" s="259">
        <v>11788961.432107506</v>
      </c>
      <c r="DS61" s="259">
        <v>4912152.8844693601</v>
      </c>
      <c r="DT61" s="259">
        <v>3601335.962175759</v>
      </c>
      <c r="DU61" s="259">
        <v>1864454.9617761059</v>
      </c>
      <c r="DV61" s="259">
        <v>1435639.6363277857</v>
      </c>
      <c r="DW61" s="259">
        <v>809890.42654951336</v>
      </c>
      <c r="DX61" s="259">
        <v>357068.40814873233</v>
      </c>
      <c r="DY61" s="297"/>
      <c r="DZ61" s="47">
        <v>12315722.432433108</v>
      </c>
      <c r="EA61" s="47">
        <v>5036538.3349152235</v>
      </c>
      <c r="EB61" s="47">
        <v>3670001.7943654675</v>
      </c>
      <c r="EC61" s="47">
        <v>1881914.484137397</v>
      </c>
      <c r="ED61" s="47">
        <v>1446157.4370212948</v>
      </c>
      <c r="EE61" s="47">
        <v>813610.8841863831</v>
      </c>
      <c r="EF61" s="47">
        <v>358101.19830659119</v>
      </c>
      <c r="EG61" s="542"/>
      <c r="EH61" s="47">
        <v>13047221.432433024</v>
      </c>
      <c r="EI61" s="47">
        <v>5193987.4499461763</v>
      </c>
      <c r="EJ61" s="47">
        <v>3745859.4194852491</v>
      </c>
      <c r="EK61" s="47">
        <v>1894221.3349328865</v>
      </c>
      <c r="EL61" s="47">
        <v>1451838.1525936835</v>
      </c>
      <c r="EM61" s="259">
        <v>814903.35705958819</v>
      </c>
      <c r="EN61" s="259">
        <v>358280.01869125525</v>
      </c>
      <c r="EO61" s="259"/>
      <c r="EP61" s="47">
        <v>13522117.515000001</v>
      </c>
      <c r="EQ61" s="47">
        <v>5382619.3839100003</v>
      </c>
      <c r="ER61" s="47">
        <v>3869750.65491</v>
      </c>
      <c r="ES61" s="47">
        <v>1937188.27211</v>
      </c>
      <c r="ET61" s="47">
        <v>1479739.24453</v>
      </c>
      <c r="EU61" s="259">
        <v>827381.73757</v>
      </c>
      <c r="EV61" s="259">
        <v>361900.04678999999</v>
      </c>
      <c r="EW61" s="259"/>
      <c r="EX61" s="47">
        <v>14444822.515000001</v>
      </c>
      <c r="EY61" s="47">
        <v>5656261.3383799996</v>
      </c>
      <c r="EZ61" s="47">
        <v>4046974.2130800001</v>
      </c>
      <c r="FA61" s="47">
        <v>2007362.3261799999</v>
      </c>
      <c r="FB61" s="47">
        <v>1531192.80938</v>
      </c>
      <c r="FC61" s="259">
        <v>853808.86785000004</v>
      </c>
      <c r="FD61" s="259">
        <v>372903.82295</v>
      </c>
      <c r="FE61" s="259"/>
      <c r="FF61" s="259">
        <v>15255542.515000001</v>
      </c>
      <c r="FG61" s="259">
        <v>5741365.14922</v>
      </c>
      <c r="FH61" s="259">
        <v>4092113.9267200003</v>
      </c>
      <c r="FI61" s="259">
        <v>2018064.6915200003</v>
      </c>
      <c r="FJ61" s="259">
        <v>1536510.7404900002</v>
      </c>
      <c r="FK61" s="259">
        <v>855156.38119999995</v>
      </c>
      <c r="FL61" s="259">
        <v>373047.29582</v>
      </c>
      <c r="FM61" s="201"/>
      <c r="FN61" s="259">
        <v>15317872.515000001</v>
      </c>
      <c r="FO61" s="259">
        <v>5744000.7236700002</v>
      </c>
      <c r="FP61" s="259">
        <v>4093619.2235699999</v>
      </c>
      <c r="FQ61" s="259">
        <v>2018163.9861699999</v>
      </c>
      <c r="FR61" s="259">
        <v>1536600.5693299999</v>
      </c>
      <c r="FS61" s="259">
        <v>855160.04746999999</v>
      </c>
      <c r="FT61" s="259">
        <v>373047.40187</v>
      </c>
      <c r="FU61" s="201"/>
      <c r="FV61" s="484">
        <v>15588285.515000001</v>
      </c>
      <c r="FW61" s="484">
        <v>5751897.02367</v>
      </c>
      <c r="FX61" s="484">
        <v>4097567.3735700003</v>
      </c>
      <c r="FY61" s="484">
        <v>2018953.6161700003</v>
      </c>
      <c r="FZ61" s="484">
        <v>1536995.38433</v>
      </c>
      <c r="GA61" s="484">
        <v>855239.0104700001</v>
      </c>
      <c r="GB61" s="484">
        <v>373055.29817000002</v>
      </c>
      <c r="GC61" s="484"/>
      <c r="GD61" s="201"/>
      <c r="GE61" s="259">
        <v>16090288.515000001</v>
      </c>
      <c r="GF61" s="259">
        <v>5785042.5218799999</v>
      </c>
      <c r="GG61" s="259">
        <v>4107949.3834800003</v>
      </c>
      <c r="GH61" s="259">
        <v>2020173.48728</v>
      </c>
      <c r="GI61" s="259">
        <v>1537605.5466799999</v>
      </c>
      <c r="GJ61" s="259">
        <v>855343.80771999992</v>
      </c>
      <c r="GK61" s="259">
        <v>373059.91735</v>
      </c>
      <c r="GL61" s="201"/>
      <c r="GM61" s="259">
        <v>16758697.515000001</v>
      </c>
      <c r="GN61" s="259">
        <v>5785042.5218799999</v>
      </c>
      <c r="GO61" s="259">
        <v>4107949.3834800003</v>
      </c>
      <c r="GP61" s="259">
        <v>2020173.48728</v>
      </c>
      <c r="GQ61" s="259">
        <v>1537605.5466799999</v>
      </c>
      <c r="GR61" s="259">
        <v>855343.80771999992</v>
      </c>
      <c r="GS61" s="259">
        <v>373059.91735</v>
      </c>
      <c r="GT61" s="485"/>
      <c r="GU61" s="486">
        <v>15419301.786</v>
      </c>
      <c r="GV61" s="487">
        <v>4865644.0531099997</v>
      </c>
      <c r="GW61" s="487">
        <v>3353913.2296099998</v>
      </c>
      <c r="GX61" s="487">
        <v>1544270.7371100001</v>
      </c>
      <c r="GY61" s="487">
        <v>1148269.5694200001</v>
      </c>
      <c r="GZ61" s="487">
        <v>618497.51199000003</v>
      </c>
      <c r="HA61" s="487">
        <v>267546.29654000001</v>
      </c>
      <c r="HB61" s="488"/>
      <c r="HC61" s="486">
        <v>15076469.786</v>
      </c>
      <c r="HD61" s="487">
        <v>4653187.0322799999</v>
      </c>
      <c r="HE61" s="487">
        <v>3183216.5778799998</v>
      </c>
      <c r="HF61" s="487">
        <v>1437982.7861800001</v>
      </c>
      <c r="HG61" s="487">
        <v>1059980.50709</v>
      </c>
      <c r="HH61" s="487">
        <v>563088.59239999996</v>
      </c>
      <c r="HI61" s="487">
        <v>242181.32983999999</v>
      </c>
      <c r="HJ61" s="487"/>
      <c r="HK61" s="486">
        <v>14688411.786</v>
      </c>
      <c r="HL61" s="487">
        <v>4472790.6938199997</v>
      </c>
      <c r="HM61" s="487">
        <v>3046217.1467200005</v>
      </c>
      <c r="HN61" s="487">
        <v>1363551.0673200001</v>
      </c>
      <c r="HO61" s="487">
        <v>1001079.19167</v>
      </c>
      <c r="HP61" s="487">
        <v>525442.32655</v>
      </c>
      <c r="HQ61" s="487">
        <v>222961.63096000001</v>
      </c>
      <c r="HR61" s="488"/>
      <c r="HS61" s="486">
        <v>14239645.786</v>
      </c>
      <c r="HT61" s="487">
        <v>4263023.7726199999</v>
      </c>
      <c r="HU61" s="487">
        <v>2891186.3203199999</v>
      </c>
      <c r="HV61" s="487">
        <v>1282936.26712</v>
      </c>
      <c r="HW61" s="487">
        <v>939025.30731999991</v>
      </c>
      <c r="HX61" s="487">
        <v>489562.15502000001</v>
      </c>
      <c r="HY61" s="487">
        <v>206661.07555000001</v>
      </c>
      <c r="HZ61" s="259"/>
      <c r="IA61" s="486">
        <v>13208055.786</v>
      </c>
      <c r="IB61" s="487">
        <v>3995715.5387499998</v>
      </c>
      <c r="IC61" s="487">
        <v>2736881.0708500003</v>
      </c>
      <c r="ID61" s="487">
        <v>1241093.45655</v>
      </c>
      <c r="IE61" s="487">
        <v>914329.47717999993</v>
      </c>
      <c r="IF61" s="487">
        <v>480682.20733</v>
      </c>
      <c r="IG61" s="487">
        <v>204117.13318999999</v>
      </c>
      <c r="IH61" s="259"/>
      <c r="II61" s="486">
        <v>12575297.786</v>
      </c>
      <c r="IJ61" s="486">
        <v>3811178.2628699993</v>
      </c>
      <c r="IK61" s="486">
        <v>2618491.7345699999</v>
      </c>
      <c r="IL61" s="486">
        <v>1196205.3504699999</v>
      </c>
      <c r="IM61" s="486">
        <v>882454.13686000009</v>
      </c>
      <c r="IN61" s="486">
        <v>464016.81313999998</v>
      </c>
      <c r="IO61" s="486">
        <v>197146.23678000001</v>
      </c>
      <c r="IP61" s="758"/>
      <c r="IQ61" s="758">
        <v>12014483.982999999</v>
      </c>
      <c r="IR61" s="758">
        <v>3544292.5185099998</v>
      </c>
      <c r="IS61" s="758">
        <v>2416042.50911</v>
      </c>
      <c r="IT61" s="758">
        <v>1083761.61781</v>
      </c>
      <c r="IU61" s="758">
        <v>794877.89899999998</v>
      </c>
      <c r="IV61" s="758">
        <v>412314.34524</v>
      </c>
      <c r="IW61" s="758">
        <v>174256.45301</v>
      </c>
      <c r="IX61" s="758"/>
      <c r="IY61" s="758">
        <v>14444822.982999999</v>
      </c>
      <c r="IZ61" s="758">
        <v>3998320.9516799999</v>
      </c>
      <c r="JA61" s="758">
        <v>2701790.3798799999</v>
      </c>
      <c r="JB61" s="758">
        <v>1196146.57198</v>
      </c>
      <c r="JC61" s="758">
        <v>874565.78356999997</v>
      </c>
      <c r="JD61" s="758">
        <v>451554.86356000003</v>
      </c>
      <c r="JE61" s="758">
        <v>190391.34246000001</v>
      </c>
      <c r="JF61" s="488"/>
      <c r="JG61" s="47">
        <v>1313266.73</v>
      </c>
      <c r="JH61" s="47">
        <v>904382.28240000003</v>
      </c>
      <c r="JI61" s="47">
        <v>751465.27729999996</v>
      </c>
      <c r="JJ61" s="47">
        <v>477359.30839999998</v>
      </c>
      <c r="JK61" s="47">
        <v>386448.78899999999</v>
      </c>
      <c r="JL61" s="47">
        <v>238386.83290000001</v>
      </c>
      <c r="JM61" s="47">
        <v>107109.6204</v>
      </c>
      <c r="JN61" s="1034"/>
      <c r="JO61" s="47">
        <v>342832.00020000001</v>
      </c>
      <c r="JP61" s="47">
        <v>222908.92720000001</v>
      </c>
      <c r="JQ61" s="47">
        <v>182785.9466</v>
      </c>
      <c r="JR61" s="47">
        <v>116684.86719999999</v>
      </c>
      <c r="JS61" s="47">
        <v>96802.391709999996</v>
      </c>
      <c r="JT61" s="47">
        <v>62814.584360000001</v>
      </c>
      <c r="JU61" s="47">
        <v>30235.441320000002</v>
      </c>
      <c r="JV61" s="77"/>
      <c r="JW61" s="47">
        <v>388058</v>
      </c>
      <c r="JX61" s="47">
        <v>193241.9123</v>
      </c>
      <c r="JY61" s="47">
        <v>143799.50769999999</v>
      </c>
      <c r="JZ61" s="47">
        <v>78608.710340000005</v>
      </c>
      <c r="KA61" s="47">
        <v>64078.693550000004</v>
      </c>
      <c r="KB61" s="47">
        <v>42108.08842</v>
      </c>
      <c r="KC61" s="47">
        <v>21746.811300000001</v>
      </c>
      <c r="KD61" s="77"/>
      <c r="KE61" s="47">
        <v>448765.99949999998</v>
      </c>
      <c r="KF61" s="47">
        <v>221832.57370000001</v>
      </c>
      <c r="KG61" s="47">
        <v>163757.6017</v>
      </c>
      <c r="KH61" s="47">
        <v>85785.955499999996</v>
      </c>
      <c r="KI61" s="47">
        <v>67211.991909999997</v>
      </c>
      <c r="KJ61" s="47">
        <v>39881.995000000003</v>
      </c>
      <c r="KK61" s="47">
        <v>18532.939579999998</v>
      </c>
      <c r="KL61" s="77"/>
      <c r="KM61" s="47">
        <v>1031590</v>
      </c>
      <c r="KN61" s="47">
        <v>271194.70870000002</v>
      </c>
      <c r="KO61" s="47">
        <v>155502.7231</v>
      </c>
      <c r="KP61" s="47">
        <v>42501.582560000003</v>
      </c>
      <c r="KQ61" s="47">
        <v>25454.29737</v>
      </c>
      <c r="KR61" s="47">
        <v>9474.4062180000001</v>
      </c>
      <c r="KS61" s="47">
        <v>2662.7620270000002</v>
      </c>
      <c r="KT61" s="77"/>
      <c r="KU61" s="47">
        <v>785266</v>
      </c>
      <c r="KV61" s="47">
        <v>226340.2985</v>
      </c>
      <c r="KW61" s="47">
        <v>142468.1574</v>
      </c>
      <c r="KX61" s="47">
        <v>54687.924120000003</v>
      </c>
      <c r="KY61" s="47">
        <v>38722.900379999999</v>
      </c>
      <c r="KZ61" s="47">
        <v>20358.600279999999</v>
      </c>
      <c r="LA61" s="47">
        <v>8428.3935939999992</v>
      </c>
      <c r="LB61" s="77"/>
      <c r="LC61" s="1293">
        <v>1202201.1140000001</v>
      </c>
      <c r="LD61" s="1293">
        <v>101048.6007</v>
      </c>
      <c r="LE61" s="1293">
        <v>47571.320780000002</v>
      </c>
      <c r="LF61" s="1293">
        <v>9797.9098389999999</v>
      </c>
      <c r="LG61" s="1293">
        <v>5063.3664749999998</v>
      </c>
      <c r="LH61" s="1293">
        <v>1140.0329119999999</v>
      </c>
      <c r="LI61" s="1293">
        <v>135.22047319999999</v>
      </c>
      <c r="LJ61" s="77"/>
      <c r="LK61" s="1293">
        <v>26129</v>
      </c>
      <c r="LL61" s="1293">
        <v>20506.487631600001</v>
      </c>
      <c r="LM61" s="1293">
        <v>19121.078810000003</v>
      </c>
      <c r="LN61" s="1293">
        <v>15210.4920084</v>
      </c>
      <c r="LO61" s="1293">
        <v>12823.307999100001</v>
      </c>
      <c r="LP61" s="1293">
        <v>7858.0163639000002</v>
      </c>
      <c r="LQ61" s="1293">
        <v>3098.6095672000001</v>
      </c>
    </row>
    <row r="62" spans="1:329" s="43" customFormat="1" ht="9.75" customHeight="1" x14ac:dyDescent="0.2">
      <c r="A62" s="48">
        <v>2014</v>
      </c>
      <c r="B62" s="47">
        <v>9102287.1591671556</v>
      </c>
      <c r="C62" s="47">
        <v>4344110.9297830127</v>
      </c>
      <c r="D62" s="47">
        <v>3205066.5686357426</v>
      </c>
      <c r="E62" s="47">
        <v>1674471.2513236813</v>
      </c>
      <c r="F62" s="47">
        <v>1285926.0689720116</v>
      </c>
      <c r="G62" s="47">
        <v>713058.25806443917</v>
      </c>
      <c r="H62" s="47">
        <v>302425.29753920995</v>
      </c>
      <c r="I62" s="47"/>
      <c r="J62" s="47">
        <v>15144035.857000001</v>
      </c>
      <c r="K62" s="47">
        <v>5988877.8266500002</v>
      </c>
      <c r="L62" s="47">
        <v>4314474.4278499996</v>
      </c>
      <c r="M62" s="47">
        <v>2162263.1484499997</v>
      </c>
      <c r="N62" s="47">
        <v>1657300.4943300001</v>
      </c>
      <c r="O62" s="47">
        <v>928865.67277000006</v>
      </c>
      <c r="P62" s="47">
        <v>405836.07144000003</v>
      </c>
      <c r="Q62" s="47"/>
      <c r="R62" s="47">
        <v>17565794.857999999</v>
      </c>
      <c r="S62" s="47">
        <v>6116284.4074799996</v>
      </c>
      <c r="T62" s="47">
        <v>4375447.0226799995</v>
      </c>
      <c r="U62" s="47">
        <v>2175265.2502800003</v>
      </c>
      <c r="V62" s="47">
        <v>1663883.77088</v>
      </c>
      <c r="W62" s="47">
        <v>930332.11269999994</v>
      </c>
      <c r="X62" s="47">
        <v>405991.71289999998</v>
      </c>
      <c r="Y62" s="47"/>
      <c r="Z62" s="47">
        <v>15144032.994999999</v>
      </c>
      <c r="AA62" s="47">
        <v>4259182.1531400001</v>
      </c>
      <c r="AB62" s="47">
        <v>2907681.50844</v>
      </c>
      <c r="AC62" s="47">
        <v>1308162.5832400001</v>
      </c>
      <c r="AD62" s="47">
        <v>964411.27226999996</v>
      </c>
      <c r="AE62" s="47">
        <v>504034.71088000003</v>
      </c>
      <c r="AF62" s="47">
        <v>213338.40241000001</v>
      </c>
      <c r="AG62" s="188"/>
      <c r="AH62" s="47">
        <v>9140147.7954999991</v>
      </c>
      <c r="AI62" s="47">
        <v>4297989.078519999</v>
      </c>
      <c r="AJ62" s="47">
        <v>3164254.5079199998</v>
      </c>
      <c r="AK62" s="47">
        <v>1648060.86672</v>
      </c>
      <c r="AL62" s="47">
        <v>1265191.4518800001</v>
      </c>
      <c r="AM62" s="47">
        <v>702101.61828000005</v>
      </c>
      <c r="AN62" s="47">
        <v>298539.09431999997</v>
      </c>
      <c r="AO62" s="188"/>
      <c r="AP62" s="190"/>
      <c r="AQ62" s="47"/>
      <c r="AR62" s="47"/>
      <c r="AS62" s="47"/>
      <c r="AT62" s="47"/>
      <c r="AU62" s="47"/>
      <c r="AV62" s="47"/>
      <c r="AW62" s="47"/>
      <c r="AX62" s="47">
        <v>9202251.0423000008</v>
      </c>
      <c r="AY62" s="47">
        <v>4342504.0671800002</v>
      </c>
      <c r="AZ62" s="47">
        <v>3203477.1272800001</v>
      </c>
      <c r="BA62" s="47">
        <v>1674896.3982799998</v>
      </c>
      <c r="BB62" s="47">
        <v>1286812.5995999998</v>
      </c>
      <c r="BC62" s="47">
        <v>714436.76208000001</v>
      </c>
      <c r="BD62" s="47">
        <v>302912.82144999999</v>
      </c>
      <c r="BE62" s="47"/>
      <c r="BF62" s="44">
        <v>9287260.2468999997</v>
      </c>
      <c r="BG62" s="44">
        <v>4280180.1248400006</v>
      </c>
      <c r="BH62" s="44">
        <v>3152548.6738399998</v>
      </c>
      <c r="BI62" s="44">
        <v>1643049.3321400001</v>
      </c>
      <c r="BJ62" s="44">
        <v>1261175.06473</v>
      </c>
      <c r="BK62" s="44">
        <v>698942.76552999998</v>
      </c>
      <c r="BL62" s="44">
        <v>293290.60834999999</v>
      </c>
      <c r="BN62" s="44">
        <v>9287260.2468999997</v>
      </c>
      <c r="BO62" s="44">
        <v>3886868.6977299997</v>
      </c>
      <c r="BP62" s="44">
        <v>2841686.40313</v>
      </c>
      <c r="BQ62" s="44">
        <v>1475683.1143300002</v>
      </c>
      <c r="BR62" s="44">
        <v>1137539.0780799999</v>
      </c>
      <c r="BS62" s="44">
        <v>635511.10022999998</v>
      </c>
      <c r="BT62" s="44">
        <v>269937.46730000002</v>
      </c>
      <c r="BU62" s="44"/>
      <c r="BV62" s="47">
        <v>9320839.4879000001</v>
      </c>
      <c r="BW62" s="47">
        <v>3917831.0244799997</v>
      </c>
      <c r="BX62" s="47">
        <v>2870760.2517799996</v>
      </c>
      <c r="BY62" s="47">
        <v>1499774.6316800001</v>
      </c>
      <c r="BZ62" s="47">
        <v>1158990.3760199999</v>
      </c>
      <c r="CA62" s="47">
        <v>652469.61352999997</v>
      </c>
      <c r="CB62" s="47">
        <v>279895.93137000001</v>
      </c>
      <c r="CC62" s="44"/>
      <c r="CD62" s="47">
        <v>9969732.4879000001</v>
      </c>
      <c r="CE62" s="47">
        <v>4285593.9617800005</v>
      </c>
      <c r="CF62" s="47">
        <v>3168499.9311799998</v>
      </c>
      <c r="CG62" s="47">
        <v>1681306.6341800001</v>
      </c>
      <c r="CH62" s="47">
        <v>1309701.47267</v>
      </c>
      <c r="CI62" s="47">
        <v>752544.12824999995</v>
      </c>
      <c r="CJ62" s="47">
        <v>332516.86855999997</v>
      </c>
      <c r="CL62" s="47">
        <v>10378148.488</v>
      </c>
      <c r="CM62" s="47">
        <v>4495886.5916000009</v>
      </c>
      <c r="CN62" s="47">
        <v>3332304.0593000003</v>
      </c>
      <c r="CO62" s="47">
        <v>1771065.0556000001</v>
      </c>
      <c r="CP62" s="47">
        <v>1381788.75596</v>
      </c>
      <c r="CQ62" s="47">
        <v>798606.72082000005</v>
      </c>
      <c r="CR62" s="47">
        <v>356241.77091000002</v>
      </c>
      <c r="CS62" s="47"/>
      <c r="CT62" s="47">
        <v>10611599.488</v>
      </c>
      <c r="CU62" s="47">
        <v>4631182.8510999996</v>
      </c>
      <c r="CV62" s="47">
        <v>3444442.9378</v>
      </c>
      <c r="CW62" s="47">
        <v>1839350.6497</v>
      </c>
      <c r="CX62" s="47">
        <v>1437512.2215499999</v>
      </c>
      <c r="CY62" s="47">
        <v>834778.98979999998</v>
      </c>
      <c r="CZ62" s="47">
        <v>374216.80686999997</v>
      </c>
      <c r="DA62" s="47"/>
      <c r="DB62" s="47">
        <v>10611599.488</v>
      </c>
      <c r="DC62" s="47">
        <v>4644603.3727900004</v>
      </c>
      <c r="DD62" s="47">
        <v>3454795.7873900007</v>
      </c>
      <c r="DE62" s="47">
        <v>1844003.95679</v>
      </c>
      <c r="DF62" s="47">
        <v>1441680.1957099999</v>
      </c>
      <c r="DG62" s="47">
        <v>836887.08626999997</v>
      </c>
      <c r="DH62" s="47">
        <v>374858.19326999999</v>
      </c>
      <c r="DI62" s="47"/>
      <c r="DJ62" s="47">
        <v>11699207.079</v>
      </c>
      <c r="DK62" s="47">
        <v>4934894.1972599998</v>
      </c>
      <c r="DL62" s="47">
        <v>3662291.8331599999</v>
      </c>
      <c r="DM62" s="47">
        <v>1941402.2687600001</v>
      </c>
      <c r="DN62" s="47">
        <v>1509385.8709400001</v>
      </c>
      <c r="DO62" s="47">
        <v>863450.76160000009</v>
      </c>
      <c r="DP62" s="47">
        <v>383983.88305</v>
      </c>
      <c r="DQ62" s="47"/>
      <c r="DR62" s="259">
        <v>12339020.078120893</v>
      </c>
      <c r="DS62" s="259">
        <v>5191574.3514847904</v>
      </c>
      <c r="DT62" s="259">
        <v>3830467.4124476104</v>
      </c>
      <c r="DU62" s="259">
        <v>2003938.498976382</v>
      </c>
      <c r="DV62" s="259">
        <v>1550593.11542999</v>
      </c>
      <c r="DW62" s="259">
        <v>878807.817609797</v>
      </c>
      <c r="DX62" s="259">
        <v>387530.17704730213</v>
      </c>
      <c r="DY62" s="297"/>
      <c r="DZ62" s="47">
        <v>12886992.077804688</v>
      </c>
      <c r="EA62" s="47">
        <v>5322473.8811626872</v>
      </c>
      <c r="EB62" s="47">
        <v>3903719.5185382091</v>
      </c>
      <c r="EC62" s="47">
        <v>2022556.292527718</v>
      </c>
      <c r="ED62" s="47">
        <v>1561747.5485911593</v>
      </c>
      <c r="EE62" s="47">
        <v>882917.79097371281</v>
      </c>
      <c r="EF62" s="47">
        <v>388752.12724597467</v>
      </c>
      <c r="EG62" s="542"/>
      <c r="EH62" s="47">
        <v>13641358.077804495</v>
      </c>
      <c r="EI62" s="47">
        <v>5488393.554343421</v>
      </c>
      <c r="EJ62" s="47">
        <v>3983620.6011180016</v>
      </c>
      <c r="EK62" s="47">
        <v>2036251.9761399082</v>
      </c>
      <c r="EL62" s="47">
        <v>1568487.2987154927</v>
      </c>
      <c r="EM62" s="259">
        <v>884425.95736972429</v>
      </c>
      <c r="EN62" s="259">
        <v>388968.14591077669</v>
      </c>
      <c r="EO62" s="259"/>
      <c r="EP62" s="47">
        <v>14133443.857000001</v>
      </c>
      <c r="EQ62" s="47">
        <v>5684504.2973600002</v>
      </c>
      <c r="ER62" s="47">
        <v>4115391.6662599999</v>
      </c>
      <c r="ES62" s="47">
        <v>2081660.21756</v>
      </c>
      <c r="ET62" s="47">
        <v>1598494.5069299999</v>
      </c>
      <c r="EU62" s="259">
        <v>898143.29911000002</v>
      </c>
      <c r="EV62" s="259">
        <v>393018.08864999999</v>
      </c>
      <c r="EW62" s="259"/>
      <c r="EX62" s="47">
        <v>15144035.857000001</v>
      </c>
      <c r="EY62" s="47">
        <v>5988877.8266500002</v>
      </c>
      <c r="EZ62" s="47">
        <v>4314474.4278499996</v>
      </c>
      <c r="FA62" s="47">
        <v>2162263.1484499997</v>
      </c>
      <c r="FB62" s="47">
        <v>1657300.4943300001</v>
      </c>
      <c r="FC62" s="259">
        <v>928865.67277000006</v>
      </c>
      <c r="FD62" s="259">
        <v>405836.07144000003</v>
      </c>
      <c r="FE62" s="259"/>
      <c r="FF62" s="259">
        <v>15990630.857000001</v>
      </c>
      <c r="FG62" s="259">
        <v>6074018.8190000001</v>
      </c>
      <c r="FH62" s="259">
        <v>4360384.2421000004</v>
      </c>
      <c r="FI62" s="259">
        <v>2173286.3977999999</v>
      </c>
      <c r="FJ62" s="259">
        <v>1663275.5057400002</v>
      </c>
      <c r="FK62" s="259">
        <v>930170.49517000001</v>
      </c>
      <c r="FL62" s="259">
        <v>405975.40775000001</v>
      </c>
      <c r="FM62" s="201"/>
      <c r="FN62" s="259">
        <v>16026079.857999999</v>
      </c>
      <c r="FO62" s="259">
        <v>6075736.1735199997</v>
      </c>
      <c r="FP62" s="259">
        <v>4361310.27152</v>
      </c>
      <c r="FQ62" s="259">
        <v>2173113.5677199997</v>
      </c>
      <c r="FR62" s="259">
        <v>1663212.4277899999</v>
      </c>
      <c r="FS62" s="259">
        <v>930173.28575000004</v>
      </c>
      <c r="FT62" s="259">
        <v>405975.55102999997</v>
      </c>
      <c r="FU62" s="201"/>
      <c r="FV62" s="484">
        <v>16320276.857999999</v>
      </c>
      <c r="FW62" s="484">
        <v>6084097.6735199997</v>
      </c>
      <c r="FX62" s="484">
        <v>4365491.02152</v>
      </c>
      <c r="FY62" s="484">
        <v>2173949.7177200001</v>
      </c>
      <c r="FZ62" s="484">
        <v>1663630.5027899998</v>
      </c>
      <c r="GA62" s="484">
        <v>930256.90075000003</v>
      </c>
      <c r="GB62" s="484">
        <v>405983.91252999997</v>
      </c>
      <c r="GC62" s="484"/>
      <c r="GD62" s="201"/>
      <c r="GE62" s="259">
        <v>16844162.857999999</v>
      </c>
      <c r="GF62" s="259">
        <v>6116284.4074799996</v>
      </c>
      <c r="GG62" s="259">
        <v>4375447.0226799995</v>
      </c>
      <c r="GH62" s="259">
        <v>2175265.2502800003</v>
      </c>
      <c r="GI62" s="259">
        <v>1663883.77088</v>
      </c>
      <c r="GJ62" s="259">
        <v>930332.11269999994</v>
      </c>
      <c r="GK62" s="259">
        <v>405991.71289999998</v>
      </c>
      <c r="GL62" s="201"/>
      <c r="GM62" s="259">
        <v>17565794.857999999</v>
      </c>
      <c r="GN62" s="259">
        <v>6116284.4074799996</v>
      </c>
      <c r="GO62" s="259">
        <v>4375447.0226799995</v>
      </c>
      <c r="GP62" s="259">
        <v>2175265.2502800003</v>
      </c>
      <c r="GQ62" s="259">
        <v>1663883.77088</v>
      </c>
      <c r="GR62" s="259">
        <v>930332.11269999994</v>
      </c>
      <c r="GS62" s="259">
        <v>405991.71289999998</v>
      </c>
      <c r="GT62" s="485"/>
      <c r="GU62" s="486">
        <v>16126311.702</v>
      </c>
      <c r="GV62" s="487">
        <v>5122200.2337300004</v>
      </c>
      <c r="GW62" s="487">
        <v>3554451.3950300002</v>
      </c>
      <c r="GX62" s="487">
        <v>1648824.2255299999</v>
      </c>
      <c r="GY62" s="487">
        <v>1232590.9251600001</v>
      </c>
      <c r="GZ62" s="487">
        <v>665521.35129999998</v>
      </c>
      <c r="HA62" s="487">
        <v>287696.54473000002</v>
      </c>
      <c r="HB62" s="488"/>
      <c r="HC62" s="486">
        <v>15777818.702</v>
      </c>
      <c r="HD62" s="487">
        <v>4907318.5434699999</v>
      </c>
      <c r="HE62" s="487">
        <v>3381106.22597</v>
      </c>
      <c r="HF62" s="487">
        <v>1543734.4741700001</v>
      </c>
      <c r="HG62" s="487">
        <v>1146476.8191200001</v>
      </c>
      <c r="HH62" s="487">
        <v>611497.55356999999</v>
      </c>
      <c r="HI62" s="487">
        <v>263093.55684999999</v>
      </c>
      <c r="HJ62" s="487"/>
      <c r="HK62" s="486">
        <v>15369402.702</v>
      </c>
      <c r="HL62" s="487">
        <v>4715976.0313299987</v>
      </c>
      <c r="HM62" s="487">
        <v>3235963.4748300002</v>
      </c>
      <c r="HN62" s="487">
        <v>1465121.6961300001</v>
      </c>
      <c r="HO62" s="487">
        <v>1083521.7167100001</v>
      </c>
      <c r="HP62" s="487">
        <v>571902.64087</v>
      </c>
      <c r="HQ62" s="487">
        <v>242868.66957999999</v>
      </c>
      <c r="HR62" s="488"/>
      <c r="HS62" s="486">
        <v>14915849.702</v>
      </c>
      <c r="HT62" s="487">
        <v>4500564.0270499997</v>
      </c>
      <c r="HU62" s="487">
        <v>3076283.9161499999</v>
      </c>
      <c r="HV62" s="487">
        <v>1383353.9420500002</v>
      </c>
      <c r="HW62" s="487">
        <v>1019907.37595</v>
      </c>
      <c r="HX62" s="487">
        <v>536092.80040000007</v>
      </c>
      <c r="HY62" s="487">
        <v>226646.33653999999</v>
      </c>
      <c r="HZ62" s="259"/>
      <c r="IA62" s="486">
        <v>13837970.655999999</v>
      </c>
      <c r="IB62" s="487">
        <v>4224854.3514500009</v>
      </c>
      <c r="IC62" s="487">
        <v>2915315.6661499999</v>
      </c>
      <c r="ID62" s="487">
        <v>1338674.9767499999</v>
      </c>
      <c r="IE62" s="487">
        <v>992812.35478000005</v>
      </c>
      <c r="IF62" s="487">
        <v>525981.31232000003</v>
      </c>
      <c r="IG62" s="487">
        <v>223705.55226999999</v>
      </c>
      <c r="IH62" s="259"/>
      <c r="II62" s="486">
        <v>13164724.655999999</v>
      </c>
      <c r="IJ62" s="486">
        <v>4026117.0417800001</v>
      </c>
      <c r="IK62" s="486">
        <v>2787542.26768</v>
      </c>
      <c r="IL62" s="486">
        <v>1289445.68068</v>
      </c>
      <c r="IM62" s="486">
        <v>957970.04908000003</v>
      </c>
      <c r="IN62" s="486">
        <v>507682.58530999999</v>
      </c>
      <c r="IO62" s="486">
        <v>215878.1453</v>
      </c>
      <c r="IP62" s="758"/>
      <c r="IQ62" s="758">
        <v>12681321.994999999</v>
      </c>
      <c r="IR62" s="758">
        <v>3795274.2954899999</v>
      </c>
      <c r="IS62" s="758">
        <v>2611335.30589</v>
      </c>
      <c r="IT62" s="758">
        <v>1190299.0003899999</v>
      </c>
      <c r="IU62" s="758">
        <v>880377.33929999988</v>
      </c>
      <c r="IV62" s="758">
        <v>461870.90062999999</v>
      </c>
      <c r="IW62" s="758">
        <v>195859.27739</v>
      </c>
      <c r="IX62" s="758"/>
      <c r="IY62" s="758">
        <v>15144032.994999999</v>
      </c>
      <c r="IZ62" s="758">
        <v>4259182.1531400001</v>
      </c>
      <c r="JA62" s="758">
        <v>2907681.50844</v>
      </c>
      <c r="JB62" s="758">
        <v>1308162.5832400001</v>
      </c>
      <c r="JC62" s="758">
        <v>964411.27226999996</v>
      </c>
      <c r="JD62" s="758">
        <v>504034.71088000003</v>
      </c>
      <c r="JE62" s="758">
        <v>213338.40241000001</v>
      </c>
      <c r="JF62" s="488"/>
      <c r="JG62" s="47">
        <v>1415421.156</v>
      </c>
      <c r="JH62" s="47">
        <v>984865.62930000003</v>
      </c>
      <c r="JI62" s="47">
        <v>825806.43720000004</v>
      </c>
      <c r="JJ62" s="47">
        <v>533063.2733</v>
      </c>
      <c r="JK62" s="47">
        <v>435455.97509999998</v>
      </c>
      <c r="JL62" s="47">
        <v>270499.10979999998</v>
      </c>
      <c r="JM62" s="47">
        <v>122312.26880000001</v>
      </c>
      <c r="JN62" s="1034"/>
      <c r="JO62" s="47">
        <v>348492.99979999999</v>
      </c>
      <c r="JP62" s="47">
        <v>226361.6421</v>
      </c>
      <c r="JQ62" s="47">
        <v>184142.177</v>
      </c>
      <c r="JR62" s="47">
        <v>115340.12089999999</v>
      </c>
      <c r="JS62" s="47">
        <v>95710.516929999998</v>
      </c>
      <c r="JT62" s="47">
        <v>62394.714359999998</v>
      </c>
      <c r="JU62" s="47">
        <v>29984.38567</v>
      </c>
      <c r="JV62" s="77"/>
      <c r="JW62" s="47">
        <v>408416</v>
      </c>
      <c r="JX62" s="47">
        <v>204699.98929999999</v>
      </c>
      <c r="JY62" s="47">
        <v>153431.59299999999</v>
      </c>
      <c r="JZ62" s="47">
        <v>84325.630990000005</v>
      </c>
      <c r="KA62" s="47">
        <v>68765.248730000007</v>
      </c>
      <c r="KB62" s="47">
        <v>45154.882550000002</v>
      </c>
      <c r="KC62" s="47">
        <v>23487.202570000001</v>
      </c>
      <c r="KD62" s="77"/>
      <c r="KE62" s="47">
        <v>453552.99969999999</v>
      </c>
      <c r="KF62" s="47">
        <v>226725.67019999999</v>
      </c>
      <c r="KG62" s="47">
        <v>168186.40280000001</v>
      </c>
      <c r="KH62" s="47">
        <v>88191.351039999994</v>
      </c>
      <c r="KI62" s="47">
        <v>69009.037609999999</v>
      </c>
      <c r="KJ62" s="47">
        <v>40705.942320000002</v>
      </c>
      <c r="KK62" s="47">
        <v>18889.744890000002</v>
      </c>
      <c r="KL62" s="77"/>
      <c r="KM62" s="47">
        <v>1077879.0460000001</v>
      </c>
      <c r="KN62" s="47">
        <v>282378.90010000003</v>
      </c>
      <c r="KO62" s="47">
        <v>162515.19820000001</v>
      </c>
      <c r="KP62" s="47">
        <v>45308.111299999997</v>
      </c>
      <c r="KQ62" s="47">
        <v>27693.131850000002</v>
      </c>
      <c r="KR62" s="47">
        <v>10450.656290000001</v>
      </c>
      <c r="KS62" s="47">
        <v>3011.5800170000002</v>
      </c>
      <c r="KT62" s="77"/>
      <c r="KU62" s="47">
        <v>848890</v>
      </c>
      <c r="KV62" s="47">
        <v>246584.28409999999</v>
      </c>
      <c r="KW62" s="47">
        <v>156360.52170000001</v>
      </c>
      <c r="KX62" s="47">
        <v>61015.449699999997</v>
      </c>
      <c r="KY62" s="47">
        <v>43681.357100000001</v>
      </c>
      <c r="KZ62" s="47">
        <v>23052.858199999999</v>
      </c>
      <c r="LA62" s="47">
        <v>9582.5240680000006</v>
      </c>
      <c r="LB62" s="77"/>
      <c r="LC62" s="1293">
        <v>1228514.1100000001</v>
      </c>
      <c r="LD62" s="1293">
        <v>100941.8848</v>
      </c>
      <c r="LE62" s="1293">
        <v>48717.740960000003</v>
      </c>
      <c r="LF62" s="1293">
        <v>9920.0512429999999</v>
      </c>
      <c r="LG62" s="1293">
        <v>5208.1781529999998</v>
      </c>
      <c r="LH62" s="1293">
        <v>1130.210934</v>
      </c>
      <c r="LI62" s="1293">
        <v>133.0411656</v>
      </c>
      <c r="LJ62" s="77"/>
      <c r="LK62" s="1293">
        <v>24062</v>
      </c>
      <c r="LL62" s="1293">
        <v>18868.3866671</v>
      </c>
      <c r="LM62" s="1293">
        <v>17585.265845099999</v>
      </c>
      <c r="LN62" s="1293">
        <v>14001.3154586</v>
      </c>
      <c r="LO62" s="1293">
        <v>11830.0020924</v>
      </c>
      <c r="LP62" s="1293">
        <v>7190.2036803999999</v>
      </c>
      <c r="LQ62" s="1293">
        <v>2827.6431533999998</v>
      </c>
    </row>
    <row r="63" spans="1:329" s="43" customFormat="1" ht="9.75" customHeight="1" x14ac:dyDescent="0.2">
      <c r="A63" s="48">
        <v>2015</v>
      </c>
      <c r="B63" s="47">
        <v>9540630.1987738758</v>
      </c>
      <c r="C63" s="47">
        <v>4577138.8308733031</v>
      </c>
      <c r="D63" s="47">
        <v>3382747.2606990212</v>
      </c>
      <c r="E63" s="47">
        <v>1770990.5203263266</v>
      </c>
      <c r="F63" s="47">
        <v>1361009.5988086252</v>
      </c>
      <c r="G63" s="47">
        <v>756779.64961801935</v>
      </c>
      <c r="H63" s="47">
        <v>323289.8355585399</v>
      </c>
      <c r="I63" s="47"/>
      <c r="J63" s="47">
        <v>15739598.801000001</v>
      </c>
      <c r="K63" s="47">
        <v>6190145.2721799994</v>
      </c>
      <c r="L63" s="47">
        <v>4450995.4867799999</v>
      </c>
      <c r="M63" s="47">
        <v>2222174.4120800002</v>
      </c>
      <c r="N63" s="47">
        <v>1702403.8363699999</v>
      </c>
      <c r="O63" s="47">
        <v>952294.23817000003</v>
      </c>
      <c r="P63" s="47">
        <v>417899.54173</v>
      </c>
      <c r="Q63" s="47"/>
      <c r="R63" s="47">
        <v>18288640.800999999</v>
      </c>
      <c r="S63" s="47">
        <v>6324554.9047300005</v>
      </c>
      <c r="T63" s="47">
        <v>4514831.5723299999</v>
      </c>
      <c r="U63" s="47">
        <v>2236036.4712300003</v>
      </c>
      <c r="V63" s="47">
        <v>1709333.6034900001</v>
      </c>
      <c r="W63" s="47">
        <v>953806.52188999997</v>
      </c>
      <c r="X63" s="47">
        <v>418093.72635000001</v>
      </c>
      <c r="Y63" s="47"/>
      <c r="Z63" s="47">
        <v>15739597.964</v>
      </c>
      <c r="AA63" s="47">
        <v>4399061.4120199997</v>
      </c>
      <c r="AB63" s="47">
        <v>2995133.85782</v>
      </c>
      <c r="AC63" s="47">
        <v>1345304.33112</v>
      </c>
      <c r="AD63" s="47">
        <v>990622.29780000006</v>
      </c>
      <c r="AE63" s="47">
        <v>520853.35956999997</v>
      </c>
      <c r="AF63" s="47">
        <v>223536.23678000001</v>
      </c>
      <c r="AG63" s="188"/>
      <c r="AH63" s="47">
        <v>9583294.1567000002</v>
      </c>
      <c r="AI63" s="47">
        <v>4530514.9449699996</v>
      </c>
      <c r="AJ63" s="47">
        <v>3341399.2555699996</v>
      </c>
      <c r="AK63" s="47">
        <v>1743570.6425699999</v>
      </c>
      <c r="AL63" s="47">
        <v>1339137.71061</v>
      </c>
      <c r="AM63" s="47">
        <v>744975.17048999993</v>
      </c>
      <c r="AN63" s="47">
        <v>318967.51666999998</v>
      </c>
      <c r="AO63" s="188"/>
      <c r="AP63" s="190"/>
      <c r="AQ63" s="47"/>
      <c r="AR63" s="47"/>
      <c r="AS63" s="47"/>
      <c r="AT63" s="47"/>
      <c r="AU63" s="47"/>
      <c r="AV63" s="47"/>
      <c r="AW63" s="47"/>
      <c r="AX63" s="47">
        <v>9644624.5310999993</v>
      </c>
      <c r="AY63" s="47">
        <v>4573929.2861000001</v>
      </c>
      <c r="AZ63" s="47">
        <v>3379315.6547999997</v>
      </c>
      <c r="BA63" s="47">
        <v>1769474.7004999998</v>
      </c>
      <c r="BB63" s="47">
        <v>1360006.2999999998</v>
      </c>
      <c r="BC63" s="47">
        <v>756512.4715199999</v>
      </c>
      <c r="BD63" s="47">
        <v>323133.75468999997</v>
      </c>
      <c r="BE63" s="47"/>
      <c r="BF63" s="44">
        <v>9722544.2238999996</v>
      </c>
      <c r="BG63" s="44">
        <v>4505233.2289199997</v>
      </c>
      <c r="BH63" s="44">
        <v>3322687.6064200001</v>
      </c>
      <c r="BI63" s="44">
        <v>1733560.3443199999</v>
      </c>
      <c r="BJ63" s="44">
        <v>1331080.9678499999</v>
      </c>
      <c r="BK63" s="44">
        <v>738467.07336000004</v>
      </c>
      <c r="BL63" s="44">
        <v>312089.20666999999</v>
      </c>
      <c r="BN63" s="44">
        <v>9722544.2238999996</v>
      </c>
      <c r="BO63" s="44">
        <v>4082831.1068200003</v>
      </c>
      <c r="BP63" s="44">
        <v>2988080.5434200005</v>
      </c>
      <c r="BQ63" s="44">
        <v>1550802.1895199998</v>
      </c>
      <c r="BR63" s="44">
        <v>1197590.7911399999</v>
      </c>
      <c r="BS63" s="44">
        <v>670660.21909000003</v>
      </c>
      <c r="BT63" s="44">
        <v>287277.12654999999</v>
      </c>
      <c r="BU63" s="44"/>
      <c r="BV63" s="47">
        <v>9756223.1359000001</v>
      </c>
      <c r="BW63" s="47">
        <v>4113071.6121899998</v>
      </c>
      <c r="BX63" s="47">
        <v>3016891.3963900004</v>
      </c>
      <c r="BY63" s="47">
        <v>1574555.4348899997</v>
      </c>
      <c r="BZ63" s="47">
        <v>1219071.5008199997</v>
      </c>
      <c r="CA63" s="47">
        <v>687079.08418000001</v>
      </c>
      <c r="CB63" s="47">
        <v>296538.58201999997</v>
      </c>
      <c r="CC63" s="44"/>
      <c r="CD63" s="47">
        <v>10326332.136</v>
      </c>
      <c r="CE63" s="47">
        <v>4431495.6059700008</v>
      </c>
      <c r="CF63" s="47">
        <v>3274612.68077</v>
      </c>
      <c r="CG63" s="47">
        <v>1732691.8412700002</v>
      </c>
      <c r="CH63" s="47">
        <v>1350174.7894000001</v>
      </c>
      <c r="CI63" s="47">
        <v>773988.1047100001</v>
      </c>
      <c r="CJ63" s="47">
        <v>342449.64922000002</v>
      </c>
      <c r="CL63" s="47">
        <v>10723304.136</v>
      </c>
      <c r="CM63" s="47">
        <v>4631630.4952699998</v>
      </c>
      <c r="CN63" s="47">
        <v>3429789.2033699998</v>
      </c>
      <c r="CO63" s="47">
        <v>1817899.6184700001</v>
      </c>
      <c r="CP63" s="47">
        <v>1419275.66237</v>
      </c>
      <c r="CQ63" s="47">
        <v>818607.36901999998</v>
      </c>
      <c r="CR63" s="47">
        <v>365658.36501000001</v>
      </c>
      <c r="CS63" s="47"/>
      <c r="CT63" s="47">
        <v>10953043.136</v>
      </c>
      <c r="CU63" s="47">
        <v>4764831.43946</v>
      </c>
      <c r="CV63" s="47">
        <v>3539230.5270599998</v>
      </c>
      <c r="CW63" s="47">
        <v>1885250.6251599998</v>
      </c>
      <c r="CX63" s="47">
        <v>1474260.1839600001</v>
      </c>
      <c r="CY63" s="47">
        <v>853953.93998000002</v>
      </c>
      <c r="CZ63" s="47">
        <v>383450.33682999999</v>
      </c>
      <c r="DA63" s="47"/>
      <c r="DB63" s="47">
        <v>10953043.136</v>
      </c>
      <c r="DC63" s="47">
        <v>4767553.8423499996</v>
      </c>
      <c r="DD63" s="47">
        <v>3541928.2018499998</v>
      </c>
      <c r="DE63" s="47">
        <v>1886834.4725500001</v>
      </c>
      <c r="DF63" s="47">
        <v>1475458.9866000002</v>
      </c>
      <c r="DG63" s="47">
        <v>854744.72402000008</v>
      </c>
      <c r="DH63" s="47">
        <v>383683.73365000001</v>
      </c>
      <c r="DI63" s="47"/>
      <c r="DJ63" s="47">
        <v>12087827.363</v>
      </c>
      <c r="DK63" s="47">
        <v>5072215.0857899999</v>
      </c>
      <c r="DL63" s="47">
        <v>3758219.6247900003</v>
      </c>
      <c r="DM63" s="47">
        <v>1986221.22459</v>
      </c>
      <c r="DN63" s="47">
        <v>1543883.52972</v>
      </c>
      <c r="DO63" s="47">
        <v>881790.34268</v>
      </c>
      <c r="DP63" s="47">
        <v>393474.82523999998</v>
      </c>
      <c r="DQ63" s="47"/>
      <c r="DR63" s="259">
        <v>12769099.361892685</v>
      </c>
      <c r="DS63" s="259">
        <v>5347579.652380487</v>
      </c>
      <c r="DT63" s="259">
        <v>3939974.9350464433</v>
      </c>
      <c r="DU63" s="259">
        <v>2053460.0142403208</v>
      </c>
      <c r="DV63" s="259">
        <v>1589048.2304118695</v>
      </c>
      <c r="DW63" s="259">
        <v>898504.19818566332</v>
      </c>
      <c r="DX63" s="259">
        <v>397540.81823696906</v>
      </c>
      <c r="DY63" s="297"/>
      <c r="DZ63" s="47">
        <v>13340498.361681059</v>
      </c>
      <c r="EA63" s="47">
        <v>5482918.4679961707</v>
      </c>
      <c r="EB63" s="47">
        <v>4015568.9720652169</v>
      </c>
      <c r="EC63" s="47">
        <v>2073245.0141741945</v>
      </c>
      <c r="ED63" s="47">
        <v>1600893.0031919884</v>
      </c>
      <c r="EE63" s="47">
        <v>902790.33910556417</v>
      </c>
      <c r="EF63" s="47">
        <v>398836.78516961052</v>
      </c>
      <c r="EG63" s="542"/>
      <c r="EH63" s="47">
        <v>14129288.361681212</v>
      </c>
      <c r="EI63" s="47">
        <v>5654733.5759373605</v>
      </c>
      <c r="EJ63" s="47">
        <v>4099139.2451858213</v>
      </c>
      <c r="EK63" s="47">
        <v>2087274.3585359184</v>
      </c>
      <c r="EL63" s="47">
        <v>1607638.4070543409</v>
      </c>
      <c r="EM63" s="259">
        <v>904260.09508992895</v>
      </c>
      <c r="EN63" s="259">
        <v>399078.5204442105</v>
      </c>
      <c r="EO63" s="259"/>
      <c r="EP63" s="47">
        <v>14649356.801000001</v>
      </c>
      <c r="EQ63" s="47">
        <v>5860046.1354300007</v>
      </c>
      <c r="ER63" s="47">
        <v>4234427.8931300007</v>
      </c>
      <c r="ES63" s="47">
        <v>2133749.6574300001</v>
      </c>
      <c r="ET63" s="47">
        <v>1637928.1095400001</v>
      </c>
      <c r="EU63" s="259">
        <v>917843.93093999999</v>
      </c>
      <c r="EV63" s="259">
        <v>403370.99387000001</v>
      </c>
      <c r="EW63" s="259"/>
      <c r="EX63" s="47">
        <v>15739598.801000001</v>
      </c>
      <c r="EY63" s="47">
        <v>6190145.2721799994</v>
      </c>
      <c r="EZ63" s="47">
        <v>4450995.4867799999</v>
      </c>
      <c r="FA63" s="47">
        <v>2222174.4120800002</v>
      </c>
      <c r="FB63" s="47">
        <v>1702403.8363699999</v>
      </c>
      <c r="FC63" s="259">
        <v>952294.23817000003</v>
      </c>
      <c r="FD63" s="259">
        <v>417899.54173</v>
      </c>
      <c r="FE63" s="259"/>
      <c r="FF63" s="259">
        <v>16623619.801000001</v>
      </c>
      <c r="FG63" s="259">
        <v>6279922.5237799995</v>
      </c>
      <c r="FH63" s="259">
        <v>4499165.1478800001</v>
      </c>
      <c r="FI63" s="259">
        <v>2234013.0033800001</v>
      </c>
      <c r="FJ63" s="259">
        <v>1708257.449</v>
      </c>
      <c r="FK63" s="259">
        <v>953640.29796999996</v>
      </c>
      <c r="FL63" s="259">
        <v>418070.77441000001</v>
      </c>
      <c r="FM63" s="201"/>
      <c r="FN63" s="259">
        <v>16655769.801000001</v>
      </c>
      <c r="FO63" s="259">
        <v>6281948.5291299997</v>
      </c>
      <c r="FP63" s="259">
        <v>4500149.0611300003</v>
      </c>
      <c r="FQ63" s="259">
        <v>2234102.5603299998</v>
      </c>
      <c r="FR63" s="259">
        <v>1708279.4263899999</v>
      </c>
      <c r="FS63" s="259">
        <v>953642.8974299999</v>
      </c>
      <c r="FT63" s="259">
        <v>418070.95653999998</v>
      </c>
      <c r="FU63" s="201"/>
      <c r="FV63" s="484">
        <v>16968135.800999999</v>
      </c>
      <c r="FW63" s="484">
        <v>6290921.7291299999</v>
      </c>
      <c r="FX63" s="484">
        <v>4504635.6611299999</v>
      </c>
      <c r="FY63" s="484">
        <v>2234999.8803300001</v>
      </c>
      <c r="FZ63" s="484">
        <v>1708728.0863900001</v>
      </c>
      <c r="GA63" s="484">
        <v>953732.62942999997</v>
      </c>
      <c r="GB63" s="484">
        <v>418079.92973999999</v>
      </c>
      <c r="GC63" s="484"/>
      <c r="GD63" s="201"/>
      <c r="GE63" s="259">
        <v>17519587.800999999</v>
      </c>
      <c r="GF63" s="259">
        <v>6324554.9047300005</v>
      </c>
      <c r="GG63" s="259">
        <v>4514831.5723299999</v>
      </c>
      <c r="GH63" s="259">
        <v>2236036.4712300003</v>
      </c>
      <c r="GI63" s="259">
        <v>1709333.6034900001</v>
      </c>
      <c r="GJ63" s="259">
        <v>953806.52188999997</v>
      </c>
      <c r="GK63" s="259">
        <v>418093.72635000001</v>
      </c>
      <c r="GL63" s="201"/>
      <c r="GM63" s="259">
        <v>18288640.800999999</v>
      </c>
      <c r="GN63" s="259">
        <v>6324554.9047300005</v>
      </c>
      <c r="GO63" s="259">
        <v>4514831.5723299999</v>
      </c>
      <c r="GP63" s="259">
        <v>2236036.4712300003</v>
      </c>
      <c r="GQ63" s="259">
        <v>1709333.6034900001</v>
      </c>
      <c r="GR63" s="259">
        <v>953806.52188999997</v>
      </c>
      <c r="GS63" s="259">
        <v>418093.72635000001</v>
      </c>
      <c r="GT63" s="485"/>
      <c r="GU63" s="486">
        <v>16721588.332</v>
      </c>
      <c r="GV63" s="487">
        <v>5259199.1531299995</v>
      </c>
      <c r="GW63" s="487">
        <v>3639116.2988299998</v>
      </c>
      <c r="GX63" s="487">
        <v>1682834.0739300002</v>
      </c>
      <c r="GY63" s="487">
        <v>1255898.2681100001</v>
      </c>
      <c r="GZ63" s="487">
        <v>680348.22129000002</v>
      </c>
      <c r="HA63" s="487">
        <v>297699.69920999999</v>
      </c>
      <c r="HB63" s="488"/>
      <c r="HC63" s="486">
        <v>16347524.333000001</v>
      </c>
      <c r="HD63" s="487">
        <v>5029610.2043999992</v>
      </c>
      <c r="HE63" s="487">
        <v>3454058.6023999997</v>
      </c>
      <c r="HF63" s="487">
        <v>1569692.0429</v>
      </c>
      <c r="HG63" s="487">
        <v>1164016.2769800001</v>
      </c>
      <c r="HH63" s="487">
        <v>623102.04264999996</v>
      </c>
      <c r="HI63" s="487">
        <v>271418.37034999998</v>
      </c>
      <c r="HJ63" s="487"/>
      <c r="HK63" s="486">
        <v>15950552.333000001</v>
      </c>
      <c r="HL63" s="487">
        <v>4848512.8456800003</v>
      </c>
      <c r="HM63" s="487">
        <v>3316336.6759799998</v>
      </c>
      <c r="HN63" s="487">
        <v>1494437.3624799999</v>
      </c>
      <c r="HO63" s="487">
        <v>1103499.5094099999</v>
      </c>
      <c r="HP63" s="487">
        <v>584945.87797999999</v>
      </c>
      <c r="HQ63" s="487">
        <v>251490.20454999999</v>
      </c>
      <c r="HR63" s="488"/>
      <c r="HS63" s="486">
        <v>15493998.333000001</v>
      </c>
      <c r="HT63" s="487">
        <v>4634564.2374900002</v>
      </c>
      <c r="HU63" s="487">
        <v>3157227.3331899997</v>
      </c>
      <c r="HV63" s="487">
        <v>1412839.2749900001</v>
      </c>
      <c r="HW63" s="487">
        <v>1040427.5419600001</v>
      </c>
      <c r="HX63" s="487">
        <v>549148.71681999997</v>
      </c>
      <c r="HY63" s="487">
        <v>235248.48946000001</v>
      </c>
      <c r="HZ63" s="259"/>
      <c r="IA63" s="486">
        <v>14372702.323000001</v>
      </c>
      <c r="IB63" s="487">
        <v>4346930.0893200003</v>
      </c>
      <c r="IC63" s="487">
        <v>2990088.2496200004</v>
      </c>
      <c r="ID63" s="487">
        <v>1366925.4127199999</v>
      </c>
      <c r="IE63" s="487">
        <v>1012206.61313</v>
      </c>
      <c r="IF63" s="487">
        <v>538582.11223999993</v>
      </c>
      <c r="IG63" s="487">
        <v>232071.02114999999</v>
      </c>
      <c r="IH63" s="259"/>
      <c r="II63" s="486">
        <v>13670266.323000001</v>
      </c>
      <c r="IJ63" s="486">
        <v>4137301.82877</v>
      </c>
      <c r="IK63" s="486">
        <v>2856194.5438699997</v>
      </c>
      <c r="IL63" s="486">
        <v>1314453.3026699999</v>
      </c>
      <c r="IM63" s="486">
        <v>974679.96369999996</v>
      </c>
      <c r="IN63" s="486">
        <v>518628.66227999999</v>
      </c>
      <c r="IO63" s="486">
        <v>223411.63617000001</v>
      </c>
      <c r="IP63" s="758"/>
      <c r="IQ63" s="758">
        <v>13231472.964</v>
      </c>
      <c r="IR63" s="758">
        <v>3929107.1845300002</v>
      </c>
      <c r="IS63" s="758">
        <v>2697679.6917300001</v>
      </c>
      <c r="IT63" s="758">
        <v>1226001.13943</v>
      </c>
      <c r="IU63" s="758">
        <v>905617.95030999999</v>
      </c>
      <c r="IV63" s="758">
        <v>478075.01939999999</v>
      </c>
      <c r="IW63" s="758">
        <v>205619.07058999999</v>
      </c>
      <c r="IX63" s="758"/>
      <c r="IY63" s="758">
        <v>15739597.964</v>
      </c>
      <c r="IZ63" s="758">
        <v>4399061.4120199997</v>
      </c>
      <c r="JA63" s="758">
        <v>2995133.85782</v>
      </c>
      <c r="JB63" s="758">
        <v>1345304.33112</v>
      </c>
      <c r="JC63" s="758">
        <v>990622.29780000006</v>
      </c>
      <c r="JD63" s="758">
        <v>520853.35956999997</v>
      </c>
      <c r="JE63" s="758">
        <v>223536.23678000001</v>
      </c>
      <c r="JF63" s="488"/>
      <c r="JG63" s="47">
        <v>1541430.469</v>
      </c>
      <c r="JH63" s="47">
        <v>1065021.344</v>
      </c>
      <c r="JI63" s="47">
        <v>888736.20909999998</v>
      </c>
      <c r="JJ63" s="47">
        <v>568110.39659999998</v>
      </c>
      <c r="JK63" s="47">
        <v>463087.42790000001</v>
      </c>
      <c r="JL63" s="47">
        <v>284606.99449999997</v>
      </c>
      <c r="JM63" s="47">
        <v>127346.96120000001</v>
      </c>
      <c r="JN63" s="1034"/>
      <c r="JO63" s="47">
        <v>374063.99959999998</v>
      </c>
      <c r="JP63" s="47">
        <v>245226.76439999999</v>
      </c>
      <c r="JQ63" s="47">
        <v>201076.78229999999</v>
      </c>
      <c r="JR63" s="47">
        <v>127435.38800000001</v>
      </c>
      <c r="JS63" s="47">
        <v>105752.3452</v>
      </c>
      <c r="JT63" s="47">
        <v>68376.249630000006</v>
      </c>
      <c r="JU63" s="47">
        <v>32540.86016</v>
      </c>
      <c r="JV63" s="77"/>
      <c r="JW63" s="47">
        <v>396972</v>
      </c>
      <c r="JX63" s="47">
        <v>196310.16459999999</v>
      </c>
      <c r="JY63" s="47">
        <v>147973.3946</v>
      </c>
      <c r="JZ63" s="47">
        <v>82183.651060000004</v>
      </c>
      <c r="KA63" s="47">
        <v>67019.740479999993</v>
      </c>
      <c r="KB63" s="47">
        <v>44229.02046</v>
      </c>
      <c r="KC63" s="47">
        <v>23313.24037</v>
      </c>
      <c r="KD63" s="77"/>
      <c r="KE63" s="47">
        <v>456553.99969999999</v>
      </c>
      <c r="KF63" s="47">
        <v>227327.69140000001</v>
      </c>
      <c r="KG63" s="47">
        <v>168748.66279999999</v>
      </c>
      <c r="KH63" s="47">
        <v>88332.148950000003</v>
      </c>
      <c r="KI63" s="47">
        <v>69149.500700000004</v>
      </c>
      <c r="KJ63" s="47">
        <v>40622.947119999997</v>
      </c>
      <c r="KK63" s="47">
        <v>18873.980879999999</v>
      </c>
      <c r="KL63" s="77"/>
      <c r="KM63" s="47">
        <v>1121296.0090000001</v>
      </c>
      <c r="KN63" s="47">
        <v>294185.5049</v>
      </c>
      <c r="KO63" s="47">
        <v>168773.65429999999</v>
      </c>
      <c r="KP63" s="47">
        <v>47171.400309999997</v>
      </c>
      <c r="KQ63" s="47">
        <v>29049.444299999999</v>
      </c>
      <c r="KR63" s="47">
        <v>11053.422280000001</v>
      </c>
      <c r="KS63" s="47">
        <v>3321.5131200000001</v>
      </c>
      <c r="KT63" s="77"/>
      <c r="KU63" s="47">
        <v>906940</v>
      </c>
      <c r="KV63" s="47">
        <v>265617.00870000001</v>
      </c>
      <c r="KW63" s="47">
        <v>168386.97510000001</v>
      </c>
      <c r="KX63" s="47">
        <v>65974.983349999995</v>
      </c>
      <c r="KY63" s="47">
        <v>47639.667410000002</v>
      </c>
      <c r="KZ63" s="47">
        <v>25466.904020000002</v>
      </c>
      <c r="LA63" s="47">
        <v>10813.80467</v>
      </c>
      <c r="LB63" s="77"/>
      <c r="LC63" s="1293">
        <v>1276561.317</v>
      </c>
      <c r="LD63" s="1293">
        <v>105979.7555</v>
      </c>
      <c r="LE63" s="1293">
        <v>50816.93288</v>
      </c>
      <c r="LF63" s="1293">
        <v>10364.314249999999</v>
      </c>
      <c r="LG63" s="1293">
        <v>5564.7556299999997</v>
      </c>
      <c r="LH63" s="1293">
        <v>1222.2425800000001</v>
      </c>
      <c r="LI63" s="1293">
        <v>142.8630823</v>
      </c>
      <c r="LJ63" s="77"/>
      <c r="LK63" s="1293">
        <v>25622</v>
      </c>
      <c r="LL63" s="1293">
        <v>20076.781865800003</v>
      </c>
      <c r="LM63" s="1293">
        <v>18714.031130700001</v>
      </c>
      <c r="LN63" s="1293">
        <v>14852.653122900001</v>
      </c>
      <c r="LO63" s="1293">
        <v>12544.329195100001</v>
      </c>
      <c r="LP63" s="1293">
        <v>7561.3578436000007</v>
      </c>
      <c r="LQ63" s="1293">
        <v>2963.6623599</v>
      </c>
    </row>
    <row r="64" spans="1:329" s="43" customFormat="1" ht="9.75" customHeight="1" x14ac:dyDescent="0.2">
      <c r="A64" s="48"/>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188"/>
      <c r="AH64" s="188"/>
      <c r="AI64" s="188"/>
      <c r="AJ64" s="188"/>
      <c r="AK64" s="188"/>
      <c r="AL64" s="188"/>
      <c r="AM64" s="188"/>
      <c r="AN64" s="188"/>
      <c r="AO64" s="188"/>
      <c r="AP64" s="190"/>
      <c r="AQ64" s="47"/>
      <c r="AR64" s="47"/>
      <c r="AS64" s="47"/>
      <c r="AT64" s="47"/>
      <c r="AU64" s="47"/>
      <c r="AV64" s="47"/>
      <c r="AW64" s="47"/>
      <c r="AX64" s="47"/>
      <c r="AY64" s="47"/>
      <c r="AZ64" s="47"/>
      <c r="BA64" s="47"/>
      <c r="BB64" s="47"/>
      <c r="BC64" s="47"/>
      <c r="BD64" s="47"/>
      <c r="BE64" s="47"/>
      <c r="BF64" s="44"/>
      <c r="BG64" s="44"/>
      <c r="BH64" s="44"/>
      <c r="BI64" s="44"/>
      <c r="BJ64" s="44"/>
      <c r="BK64" s="44"/>
      <c r="BL64" s="44"/>
      <c r="BN64" s="44"/>
      <c r="BO64" s="44"/>
      <c r="BP64" s="44"/>
      <c r="BQ64" s="44"/>
      <c r="BR64" s="44"/>
      <c r="BS64" s="44"/>
      <c r="BT64" s="44"/>
      <c r="BU64" s="44"/>
      <c r="BV64" s="47"/>
      <c r="BW64" s="47"/>
      <c r="BX64" s="47"/>
      <c r="BY64" s="47"/>
      <c r="BZ64" s="47"/>
      <c r="CA64" s="47"/>
      <c r="CB64" s="47"/>
      <c r="CC64" s="44"/>
      <c r="CD64" s="47"/>
      <c r="CE64" s="47"/>
      <c r="CF64" s="47"/>
      <c r="CG64" s="47"/>
      <c r="CH64" s="47"/>
      <c r="CI64" s="47"/>
      <c r="CJ64" s="47"/>
      <c r="CL64" s="47"/>
      <c r="CM64" s="47"/>
      <c r="CN64" s="47"/>
      <c r="CO64" s="47"/>
      <c r="CP64" s="47"/>
      <c r="CQ64" s="47"/>
      <c r="CR64" s="47"/>
      <c r="CS64" s="47"/>
      <c r="CT64" s="47"/>
      <c r="CU64" s="47"/>
      <c r="CV64" s="47"/>
      <c r="CW64" s="47"/>
      <c r="CX64" s="47"/>
      <c r="CY64" s="47"/>
      <c r="CZ64" s="47"/>
      <c r="DA64" s="47"/>
      <c r="DB64" s="47"/>
      <c r="DC64" s="47"/>
      <c r="DD64" s="47"/>
      <c r="DE64" s="47"/>
      <c r="DF64" s="47"/>
      <c r="DG64" s="47"/>
      <c r="DH64" s="47"/>
      <c r="DI64" s="47"/>
      <c r="DJ64" s="47"/>
      <c r="DK64" s="47"/>
      <c r="DL64" s="47"/>
      <c r="DM64" s="47"/>
      <c r="DN64" s="47"/>
      <c r="DO64" s="47"/>
      <c r="DP64" s="47"/>
      <c r="DQ64" s="47"/>
      <c r="DR64" s="259"/>
      <c r="DS64" s="259"/>
      <c r="DT64" s="259"/>
      <c r="DU64" s="259"/>
      <c r="DV64" s="259"/>
      <c r="DW64" s="259"/>
      <c r="DX64" s="259"/>
      <c r="DY64" s="297"/>
      <c r="DZ64" s="47"/>
      <c r="EA64" s="47"/>
      <c r="EB64" s="47"/>
      <c r="EC64" s="47"/>
      <c r="ED64" s="47"/>
      <c r="EE64" s="47"/>
      <c r="EF64" s="47"/>
      <c r="EG64" s="542"/>
      <c r="EH64" s="47"/>
      <c r="EI64" s="47"/>
      <c r="EJ64" s="47"/>
      <c r="EK64" s="47"/>
      <c r="EL64" s="47"/>
      <c r="EM64" s="259"/>
      <c r="EN64" s="259"/>
      <c r="EO64" s="259"/>
      <c r="EP64" s="259"/>
      <c r="EQ64" s="259"/>
      <c r="ER64" s="259"/>
      <c r="ES64" s="259"/>
      <c r="ET64" s="259"/>
      <c r="EU64" s="259"/>
      <c r="EV64" s="259"/>
      <c r="EW64" s="259"/>
      <c r="EX64" s="259"/>
      <c r="EY64" s="259"/>
      <c r="EZ64" s="259"/>
      <c r="FA64" s="259"/>
      <c r="FB64" s="259"/>
      <c r="FC64" s="259"/>
      <c r="FD64" s="259"/>
      <c r="FE64" s="259"/>
      <c r="FF64" s="259"/>
      <c r="FG64" s="259"/>
      <c r="FH64" s="259"/>
      <c r="FI64" s="259"/>
      <c r="FJ64" s="259"/>
      <c r="FK64" s="259"/>
      <c r="FL64" s="259"/>
      <c r="FM64" s="201"/>
      <c r="FN64" s="259"/>
      <c r="FO64" s="259"/>
      <c r="FP64" s="259"/>
      <c r="FQ64" s="259"/>
      <c r="FR64" s="259"/>
      <c r="FS64" s="259"/>
      <c r="FT64" s="259"/>
      <c r="FU64" s="201"/>
      <c r="FV64" s="484"/>
      <c r="FW64" s="484"/>
      <c r="FX64" s="484"/>
      <c r="FY64" s="484"/>
      <c r="FZ64" s="484"/>
      <c r="GA64" s="484"/>
      <c r="GB64" s="484"/>
      <c r="GC64" s="484"/>
      <c r="GD64" s="201"/>
      <c r="GE64" s="259"/>
      <c r="GF64" s="259"/>
      <c r="GG64" s="259"/>
      <c r="GH64" s="259"/>
      <c r="GI64" s="259"/>
      <c r="GJ64" s="259"/>
      <c r="GK64" s="259"/>
      <c r="GL64" s="201"/>
      <c r="GM64" s="259"/>
      <c r="GN64" s="259"/>
      <c r="GO64" s="259"/>
      <c r="GP64" s="259"/>
      <c r="GQ64" s="259"/>
      <c r="GR64" s="259"/>
      <c r="GS64" s="259"/>
      <c r="GT64" s="485"/>
      <c r="GU64" s="486"/>
      <c r="GV64" s="487"/>
      <c r="GW64" s="487"/>
      <c r="GX64" s="487"/>
      <c r="GY64" s="487"/>
      <c r="GZ64" s="487"/>
      <c r="HA64" s="487"/>
      <c r="HB64" s="488"/>
      <c r="HC64" s="486"/>
      <c r="HD64" s="487"/>
      <c r="HE64" s="487"/>
      <c r="HF64" s="487"/>
      <c r="HG64" s="487"/>
      <c r="HH64" s="487"/>
      <c r="HI64" s="487"/>
      <c r="HJ64" s="487"/>
      <c r="HK64" s="486"/>
      <c r="HL64" s="487"/>
      <c r="HM64" s="487"/>
      <c r="HN64" s="487"/>
      <c r="HO64" s="487"/>
      <c r="HP64" s="487"/>
      <c r="HQ64" s="487"/>
      <c r="HR64" s="488"/>
      <c r="HS64" s="486"/>
      <c r="HT64" s="487"/>
      <c r="HU64" s="487"/>
      <c r="HV64" s="487"/>
      <c r="HW64" s="487"/>
      <c r="HX64" s="487"/>
      <c r="HY64" s="487"/>
      <c r="HZ64" s="259"/>
      <c r="IA64" s="486"/>
      <c r="IB64" s="487"/>
      <c r="IC64" s="487"/>
      <c r="ID64" s="487"/>
      <c r="IE64" s="487"/>
      <c r="IF64" s="487"/>
      <c r="IG64" s="487"/>
      <c r="IH64" s="259"/>
      <c r="II64" s="486"/>
      <c r="IJ64" s="486"/>
      <c r="IK64" s="486"/>
      <c r="IL64" s="486"/>
      <c r="IM64" s="486"/>
      <c r="IN64" s="486"/>
      <c r="IO64" s="486"/>
      <c r="IP64" s="488"/>
      <c r="IQ64" s="488"/>
      <c r="IR64" s="488"/>
      <c r="IS64" s="488"/>
      <c r="IT64" s="488"/>
      <c r="IU64" s="488"/>
      <c r="IV64" s="488"/>
      <c r="IW64" s="488"/>
      <c r="IX64" s="488"/>
      <c r="IY64" s="488"/>
      <c r="IZ64" s="488"/>
      <c r="JA64" s="488"/>
      <c r="JB64" s="488"/>
      <c r="JC64" s="488"/>
      <c r="JD64" s="488"/>
      <c r="JE64" s="488"/>
      <c r="JF64" s="488"/>
      <c r="JG64" s="44"/>
      <c r="JH64" s="44"/>
      <c r="JI64" s="44"/>
      <c r="JJ64" s="44"/>
      <c r="JK64" s="44"/>
      <c r="JL64" s="44"/>
      <c r="JM64" s="44"/>
      <c r="JN64" s="351"/>
      <c r="JO64" s="44"/>
      <c r="JP64" s="44"/>
      <c r="JQ64" s="44"/>
      <c r="JR64" s="44"/>
      <c r="JS64" s="44"/>
      <c r="JT64" s="44"/>
      <c r="JU64" s="44"/>
      <c r="JW64" s="44"/>
      <c r="JX64" s="44"/>
      <c r="JY64" s="44"/>
      <c r="JZ64" s="44"/>
      <c r="KA64" s="44"/>
      <c r="KB64" s="44"/>
      <c r="KC64" s="44"/>
      <c r="KE64" s="44"/>
      <c r="KF64" s="44"/>
      <c r="KG64" s="44"/>
      <c r="KH64" s="44"/>
      <c r="KI64" s="44"/>
      <c r="KJ64" s="44"/>
      <c r="KK64" s="44"/>
      <c r="KM64" s="44"/>
      <c r="KN64" s="44"/>
      <c r="KO64" s="44"/>
      <c r="KP64" s="44"/>
      <c r="KQ64" s="44"/>
      <c r="KR64" s="44"/>
      <c r="KS64" s="44"/>
      <c r="KU64" s="44"/>
      <c r="KV64" s="44"/>
      <c r="KW64" s="44"/>
      <c r="KX64" s="44"/>
      <c r="KY64" s="44"/>
      <c r="KZ64" s="44"/>
      <c r="LA64" s="44"/>
      <c r="LC64" s="201"/>
      <c r="LD64" s="201"/>
      <c r="LE64" s="201"/>
      <c r="LF64" s="201"/>
      <c r="LG64" s="201"/>
      <c r="LH64" s="201"/>
      <c r="LI64" s="201"/>
      <c r="LK64" s="201"/>
      <c r="LL64" s="201"/>
      <c r="LM64" s="201"/>
      <c r="LN64" s="201"/>
      <c r="LO64" s="201"/>
      <c r="LP64" s="201"/>
      <c r="LQ64" s="201"/>
    </row>
    <row r="65" spans="1:329" ht="3" customHeight="1" x14ac:dyDescent="0.3">
      <c r="A65" s="14"/>
      <c r="B65" s="14"/>
      <c r="C65" s="55"/>
      <c r="D65" s="55"/>
      <c r="E65" s="55"/>
      <c r="F65" s="55"/>
      <c r="G65" s="55"/>
      <c r="H65" s="55"/>
      <c r="I65" s="55"/>
      <c r="J65" s="14"/>
      <c r="K65" s="55"/>
      <c r="L65" s="55"/>
      <c r="M65" s="55"/>
      <c r="N65" s="55"/>
      <c r="O65" s="55"/>
      <c r="P65" s="55"/>
      <c r="Q65" s="55"/>
      <c r="R65" s="14"/>
      <c r="S65" s="55"/>
      <c r="T65" s="55"/>
      <c r="U65" s="55"/>
      <c r="V65" s="55"/>
      <c r="W65" s="55"/>
      <c r="X65" s="55"/>
      <c r="Y65" s="55"/>
      <c r="Z65" s="55"/>
      <c r="AA65" s="55"/>
      <c r="AB65" s="55"/>
      <c r="AC65" s="55"/>
      <c r="AD65" s="55"/>
      <c r="AE65" s="55"/>
      <c r="AF65" s="55"/>
      <c r="AG65" s="55"/>
      <c r="AH65" s="55"/>
      <c r="AI65" s="55"/>
      <c r="AJ65" s="55"/>
      <c r="AK65" s="55"/>
      <c r="AL65" s="55"/>
      <c r="AM65" s="55"/>
      <c r="AN65" s="55"/>
      <c r="AO65" s="55"/>
      <c r="AP65" s="55"/>
      <c r="AQ65" s="55"/>
      <c r="AR65" s="55"/>
      <c r="AS65" s="55"/>
      <c r="AT65" s="55"/>
      <c r="AU65" s="55"/>
      <c r="AV65" s="55"/>
      <c r="AW65" s="55"/>
      <c r="AX65" s="55"/>
      <c r="AY65" s="55"/>
      <c r="AZ65" s="55"/>
      <c r="BA65" s="55"/>
      <c r="BB65" s="55"/>
      <c r="BC65" s="55"/>
      <c r="BD65" s="55"/>
      <c r="BE65" s="55"/>
      <c r="BF65" s="125"/>
      <c r="BG65" s="125"/>
      <c r="BH65" s="125"/>
      <c r="BI65" s="125"/>
      <c r="BJ65" s="125"/>
      <c r="BK65" s="125"/>
      <c r="BL65" s="125"/>
      <c r="BM65" s="125"/>
      <c r="BN65" s="125"/>
      <c r="BO65" s="125"/>
      <c r="BP65" s="125"/>
      <c r="BQ65" s="125"/>
      <c r="BR65" s="125"/>
      <c r="BS65" s="125"/>
      <c r="BT65" s="125"/>
      <c r="BU65" s="125"/>
      <c r="BV65" s="191"/>
      <c r="BW65" s="125"/>
      <c r="BX65" s="125"/>
      <c r="BY65" s="125"/>
      <c r="BZ65" s="125"/>
      <c r="CA65" s="125"/>
      <c r="CB65" s="125"/>
      <c r="CC65" s="125"/>
      <c r="CD65" s="191"/>
      <c r="CE65" s="125"/>
      <c r="CF65" s="125"/>
      <c r="CG65" s="125"/>
      <c r="CH65" s="125"/>
      <c r="CI65" s="125"/>
      <c r="CJ65" s="125"/>
      <c r="CK65" s="125"/>
      <c r="CL65" s="191"/>
      <c r="CM65" s="125"/>
      <c r="CN65" s="125"/>
      <c r="CO65" s="125"/>
      <c r="CP65" s="125"/>
      <c r="CQ65" s="125"/>
      <c r="CR65" s="125"/>
      <c r="CS65" s="125"/>
      <c r="CT65" s="125"/>
      <c r="CU65" s="125"/>
      <c r="CV65" s="125"/>
      <c r="CW65" s="125"/>
      <c r="CX65" s="125"/>
      <c r="CY65" s="125"/>
      <c r="CZ65" s="125"/>
      <c r="DA65" s="125"/>
      <c r="DB65" s="125"/>
      <c r="DC65" s="125"/>
      <c r="DD65" s="125"/>
      <c r="DE65" s="125"/>
      <c r="DF65" s="125"/>
      <c r="DG65" s="125"/>
      <c r="DH65" s="125"/>
      <c r="DI65" s="125"/>
      <c r="DJ65" s="125"/>
      <c r="DK65" s="125"/>
      <c r="DL65" s="125"/>
      <c r="DM65" s="125"/>
      <c r="DN65" s="125"/>
      <c r="DO65" s="125"/>
      <c r="DP65" s="125"/>
      <c r="DQ65" s="125"/>
      <c r="DR65" s="191"/>
      <c r="DS65" s="125"/>
      <c r="DT65" s="125"/>
      <c r="DU65" s="125"/>
      <c r="DV65" s="125"/>
      <c r="DW65" s="125"/>
      <c r="DX65" s="125"/>
      <c r="DY65" s="514" t="e">
        <f>(CO65-CG65)/(CL65-CD65)</f>
        <v>#DIV/0!</v>
      </c>
      <c r="DZ65" s="191"/>
      <c r="EA65" s="125"/>
      <c r="EB65" s="125"/>
      <c r="EC65" s="125"/>
      <c r="ED65" s="125"/>
      <c r="EE65" s="125"/>
      <c r="EF65" s="125"/>
      <c r="EG65" s="125"/>
      <c r="EH65" s="191"/>
      <c r="EI65" s="125"/>
      <c r="EJ65" s="125"/>
      <c r="EK65" s="125"/>
      <c r="EL65" s="125"/>
      <c r="EM65" s="125"/>
      <c r="EN65" s="125"/>
      <c r="EO65" s="125"/>
      <c r="EP65" s="125"/>
      <c r="EQ65" s="125"/>
      <c r="ER65" s="125"/>
      <c r="ES65" s="125"/>
      <c r="ET65" s="125"/>
      <c r="EU65" s="125"/>
      <c r="EV65" s="125"/>
      <c r="EW65" s="125"/>
      <c r="EX65" s="125"/>
      <c r="EY65" s="125"/>
      <c r="EZ65" s="125"/>
      <c r="FA65" s="125"/>
      <c r="FB65" s="125"/>
      <c r="FC65" s="125"/>
      <c r="FD65" s="125"/>
      <c r="FE65" s="125"/>
      <c r="FF65" s="191"/>
      <c r="FG65" s="125"/>
      <c r="FH65" s="125"/>
      <c r="FI65" s="125"/>
      <c r="FJ65" s="125"/>
      <c r="FK65" s="125"/>
      <c r="FL65" s="125"/>
      <c r="FM65" s="125"/>
      <c r="FN65" s="191"/>
      <c r="FO65" s="125"/>
      <c r="FP65" s="125"/>
      <c r="FQ65" s="125"/>
      <c r="FR65" s="125"/>
      <c r="FS65" s="125"/>
      <c r="FT65" s="125"/>
      <c r="FU65" s="125"/>
      <c r="FV65" s="191"/>
      <c r="FW65" s="125"/>
      <c r="FX65" s="125"/>
      <c r="FY65" s="125"/>
      <c r="FZ65" s="125"/>
      <c r="GA65" s="125"/>
      <c r="GB65" s="125"/>
      <c r="GC65" s="125"/>
      <c r="GD65" s="125"/>
      <c r="GE65" s="460"/>
      <c r="GF65" s="55"/>
      <c r="GG65" s="55"/>
      <c r="GH65" s="55"/>
      <c r="GI65" s="55"/>
      <c r="GJ65" s="55"/>
      <c r="GK65" s="55"/>
      <c r="GL65" s="125"/>
      <c r="GM65" s="460"/>
      <c r="GN65" s="55"/>
      <c r="GO65" s="55"/>
      <c r="GP65" s="55"/>
      <c r="GQ65" s="55"/>
      <c r="GR65" s="55"/>
      <c r="GS65" s="55"/>
      <c r="GT65" s="125"/>
      <c r="GU65" s="482"/>
      <c r="GV65" s="11"/>
      <c r="GW65" s="11"/>
      <c r="GX65" s="11"/>
      <c r="GY65" s="11"/>
      <c r="GZ65" s="11"/>
      <c r="HA65" s="11"/>
      <c r="HB65" s="11"/>
      <c r="HC65" s="482"/>
      <c r="HD65" s="11"/>
      <c r="HE65" s="11"/>
      <c r="HF65" s="11"/>
      <c r="HG65" s="11"/>
      <c r="HH65" s="11"/>
      <c r="HI65" s="11"/>
      <c r="HJ65" s="11"/>
      <c r="HK65" s="482"/>
      <c r="HL65" s="11"/>
      <c r="HM65" s="11"/>
      <c r="HN65" s="11"/>
      <c r="HO65" s="11"/>
      <c r="HP65" s="11"/>
      <c r="HQ65" s="11"/>
      <c r="HR65" s="11"/>
      <c r="HS65" s="482"/>
      <c r="HT65" s="11"/>
      <c r="HU65" s="11"/>
      <c r="HV65" s="11"/>
      <c r="HW65" s="11"/>
      <c r="HX65" s="11"/>
      <c r="HY65" s="11"/>
      <c r="HZ65" s="125"/>
      <c r="IA65" s="482"/>
      <c r="IB65" s="11"/>
      <c r="IC65" s="11"/>
      <c r="ID65" s="11"/>
      <c r="IE65" s="11"/>
      <c r="IF65" s="11"/>
      <c r="IG65" s="11"/>
      <c r="IH65" s="125"/>
      <c r="II65" s="483" t="e">
        <f>II116+$B178+#REF!+$FJ178+$FQ178+$FV178+$GF178+$GN118-$GX178-$HF178-$HV178-$IF178</f>
        <v>#REF!</v>
      </c>
      <c r="IJ65" s="483">
        <f t="shared" ref="IJ65:IO65" si="0">IJ118+B178+GF178</f>
        <v>0</v>
      </c>
      <c r="IK65" s="483">
        <f t="shared" si="0"/>
        <v>0</v>
      </c>
      <c r="IL65" s="483">
        <f t="shared" si="0"/>
        <v>0</v>
      </c>
      <c r="IM65" s="483">
        <f t="shared" si="0"/>
        <v>0</v>
      </c>
      <c r="IN65" s="483">
        <f t="shared" si="0"/>
        <v>0</v>
      </c>
      <c r="IO65" s="483">
        <f t="shared" si="0"/>
        <v>0</v>
      </c>
      <c r="IP65" s="11"/>
      <c r="IQ65" s="11"/>
      <c r="IR65" s="11"/>
      <c r="IS65" s="11"/>
      <c r="IT65" s="11"/>
      <c r="IU65" s="11"/>
      <c r="IV65" s="11"/>
      <c r="IW65" s="11"/>
      <c r="IX65" s="11"/>
      <c r="IY65" s="11"/>
      <c r="IZ65" s="11"/>
      <c r="JA65" s="11"/>
      <c r="JB65" s="11"/>
      <c r="JC65" s="11"/>
      <c r="JD65" s="11"/>
      <c r="JE65" s="11"/>
      <c r="JF65" s="11"/>
      <c r="JG65" s="125"/>
      <c r="JH65" s="125"/>
      <c r="JI65" s="125"/>
      <c r="JJ65" s="125"/>
      <c r="JK65" s="125"/>
      <c r="JL65" s="125"/>
      <c r="JM65" s="125"/>
      <c r="JN65" s="125"/>
      <c r="JO65" s="125"/>
      <c r="JP65" s="125"/>
      <c r="JQ65" s="125"/>
      <c r="JR65" s="125"/>
      <c r="JS65" s="125"/>
      <c r="JT65" s="125"/>
      <c r="JU65" s="125"/>
      <c r="JV65" s="125"/>
      <c r="JW65" s="125"/>
      <c r="JX65" s="125"/>
      <c r="JY65" s="125"/>
      <c r="JZ65" s="125"/>
      <c r="KA65" s="125"/>
      <c r="KB65" s="125"/>
      <c r="KC65" s="125"/>
      <c r="KD65" s="125"/>
      <c r="KE65" s="125"/>
      <c r="KF65" s="125"/>
      <c r="KG65" s="125"/>
      <c r="KH65" s="125"/>
      <c r="KI65" s="125"/>
      <c r="KJ65" s="125"/>
      <c r="KK65" s="125"/>
      <c r="KL65" s="125"/>
      <c r="KM65" s="125"/>
      <c r="KN65" s="125"/>
      <c r="KO65" s="125"/>
      <c r="KP65" s="125"/>
      <c r="KQ65" s="125"/>
      <c r="KR65" s="125"/>
      <c r="KS65" s="125"/>
      <c r="KT65" s="125"/>
      <c r="KU65" s="125"/>
      <c r="KV65" s="125"/>
      <c r="KW65" s="125"/>
      <c r="KX65" s="125"/>
      <c r="KY65" s="125"/>
      <c r="KZ65" s="125"/>
      <c r="LA65" s="125"/>
      <c r="LB65" s="125"/>
      <c r="LC65" s="125"/>
      <c r="LD65" s="125"/>
      <c r="LE65" s="125"/>
      <c r="LF65" s="125"/>
      <c r="LG65" s="125"/>
      <c r="LH65" s="125"/>
      <c r="LI65" s="125"/>
      <c r="LJ65" s="125"/>
      <c r="LK65" s="125"/>
      <c r="LL65" s="125"/>
      <c r="LM65" s="125"/>
      <c r="LN65" s="125"/>
      <c r="LO65" s="125"/>
      <c r="LP65" s="125"/>
      <c r="LQ65" s="125"/>
    </row>
    <row r="66" spans="1:329" ht="8.25" customHeight="1" x14ac:dyDescent="0.3">
      <c r="BV66" s="47"/>
      <c r="BW66" s="47"/>
      <c r="BX66" s="47"/>
      <c r="BY66" s="761"/>
      <c r="BZ66" s="47"/>
      <c r="CA66" s="47"/>
      <c r="CB66" s="47"/>
      <c r="CC66" s="48"/>
      <c r="CD66" s="47"/>
      <c r="CE66" s="47"/>
      <c r="CF66" s="47"/>
      <c r="CG66" s="761"/>
      <c r="CH66" s="47"/>
      <c r="CI66" s="47"/>
      <c r="CJ66" s="47"/>
      <c r="CL66" s="47"/>
      <c r="CM66" s="47"/>
      <c r="CN66" s="47"/>
      <c r="CO66" s="47"/>
      <c r="CP66" s="47"/>
      <c r="CQ66" s="47"/>
      <c r="CR66" s="47"/>
      <c r="CS66" s="47"/>
      <c r="CT66" s="47"/>
      <c r="CU66" s="47"/>
      <c r="CV66" s="47"/>
      <c r="CW66" s="47"/>
      <c r="CX66" s="47"/>
      <c r="CY66" s="47"/>
      <c r="CZ66" s="47"/>
      <c r="DA66" s="47"/>
      <c r="DB66" s="47"/>
      <c r="DC66" s="47"/>
      <c r="DD66" s="47"/>
      <c r="DE66" s="47"/>
      <c r="DF66" s="47"/>
      <c r="DG66" s="47"/>
      <c r="DH66" s="47"/>
      <c r="DI66" s="47"/>
      <c r="DJ66" s="47"/>
      <c r="DK66" s="47"/>
      <c r="DL66" s="47"/>
      <c r="DM66" s="47"/>
      <c r="DN66" s="47"/>
      <c r="DO66" s="47"/>
      <c r="DP66" s="47"/>
      <c r="DQ66" s="47"/>
      <c r="DR66" s="47"/>
      <c r="DS66" s="47"/>
      <c r="DT66" s="47"/>
      <c r="DU66" s="47"/>
      <c r="DV66" s="47"/>
      <c r="DW66" s="47"/>
      <c r="DX66" s="47"/>
      <c r="FF66" s="248"/>
      <c r="FG66" s="286"/>
      <c r="FH66" s="286"/>
      <c r="FI66" s="286"/>
      <c r="FJ66" s="286"/>
      <c r="FK66" s="286"/>
      <c r="FL66" s="286"/>
      <c r="FN66" s="248"/>
      <c r="FO66" s="286"/>
      <c r="FP66" s="286"/>
      <c r="FQ66" s="283"/>
      <c r="FR66" s="283"/>
      <c r="FS66" s="283"/>
      <c r="FT66" s="283"/>
    </row>
    <row r="67" spans="1:329" x14ac:dyDescent="0.3">
      <c r="A67" s="264" t="s">
        <v>567</v>
      </c>
      <c r="J67" s="351"/>
      <c r="R67" s="351"/>
      <c r="S67" s="351"/>
      <c r="U67" s="647"/>
      <c r="AX67" s="47"/>
      <c r="AY67" s="47"/>
      <c r="AZ67" s="47"/>
      <c r="BA67" s="47"/>
      <c r="BB67" s="47"/>
      <c r="BC67" s="47"/>
      <c r="BD67" s="47"/>
      <c r="BY67" s="249"/>
      <c r="BZ67" s="249"/>
      <c r="CA67" s="249"/>
      <c r="CC67" s="48"/>
      <c r="CD67" s="47"/>
      <c r="CE67" s="47"/>
      <c r="CF67" s="47"/>
      <c r="CG67" s="761"/>
      <c r="CH67" s="47"/>
      <c r="CI67" s="47"/>
      <c r="CJ67" s="47"/>
      <c r="CL67" s="47"/>
      <c r="CM67" s="47"/>
      <c r="CN67" s="47"/>
      <c r="CO67" s="47"/>
      <c r="CP67" s="47"/>
      <c r="CQ67" s="47"/>
      <c r="CR67" s="47"/>
      <c r="CS67" s="47"/>
      <c r="CT67" s="228"/>
      <c r="CU67" s="47"/>
      <c r="CV67" s="47"/>
      <c r="CW67" s="549"/>
      <c r="CX67" s="47"/>
      <c r="CY67" s="47"/>
      <c r="CZ67" s="47"/>
      <c r="DA67" s="47"/>
      <c r="DB67" s="47"/>
      <c r="DC67" s="47"/>
      <c r="DD67" s="47"/>
      <c r="DE67" s="47"/>
      <c r="DF67" s="47"/>
      <c r="DG67" s="47"/>
      <c r="DH67" s="47"/>
      <c r="DI67" s="47"/>
      <c r="DJ67" s="334"/>
      <c r="DK67" s="334"/>
      <c r="DL67" s="334"/>
      <c r="DM67" s="334"/>
      <c r="DN67" s="334"/>
      <c r="DO67" s="525"/>
      <c r="DP67" s="47"/>
      <c r="DQ67" s="47"/>
      <c r="DR67" s="47"/>
      <c r="DS67" s="47"/>
      <c r="DT67" s="47"/>
      <c r="DU67" s="189"/>
      <c r="DV67" s="47"/>
      <c r="DW67" s="47"/>
      <c r="DX67" s="47"/>
      <c r="DZ67" s="56"/>
      <c r="FF67" s="248"/>
      <c r="FG67" s="286"/>
      <c r="FH67" s="286"/>
      <c r="FI67" s="286"/>
      <c r="FJ67" s="286"/>
      <c r="FK67" s="286"/>
      <c r="FL67" s="286"/>
      <c r="FN67" s="248"/>
      <c r="FO67" s="286"/>
      <c r="FP67" s="286"/>
      <c r="FQ67" s="283"/>
      <c r="FR67" s="283"/>
      <c r="FS67" s="283"/>
      <c r="FT67" s="283"/>
      <c r="GE67" s="34"/>
      <c r="HC67" s="34"/>
      <c r="HK67" s="34"/>
      <c r="HS67" s="34"/>
      <c r="IA67" s="34"/>
      <c r="II67" s="34"/>
      <c r="IQ67" s="34"/>
      <c r="IY67" s="34"/>
      <c r="KM67" s="34"/>
      <c r="KN67" s="34"/>
      <c r="LI67" s="34"/>
    </row>
    <row r="68" spans="1:329" x14ac:dyDescent="0.3">
      <c r="A68" s="264" t="s">
        <v>1666</v>
      </c>
      <c r="J68" s="297"/>
      <c r="R68" s="34"/>
      <c r="U68" s="248"/>
      <c r="AC68" s="284"/>
      <c r="AX68" s="34"/>
      <c r="AY68" s="34"/>
      <c r="AZ68" s="34"/>
      <c r="BA68" s="34"/>
      <c r="BB68" s="34"/>
      <c r="BC68" s="34"/>
      <c r="BD68" s="34"/>
      <c r="BF68" s="56"/>
      <c r="BG68" s="56"/>
      <c r="BH68" s="56"/>
      <c r="BI68" s="56"/>
      <c r="BJ68" s="43"/>
      <c r="BP68" s="452"/>
      <c r="BQ68" s="452"/>
      <c r="BR68" s="452"/>
      <c r="BS68" s="452"/>
      <c r="BT68" s="452"/>
      <c r="BV68" s="56"/>
      <c r="BW68" s="56"/>
      <c r="BX68" s="56"/>
      <c r="BY68" s="56"/>
      <c r="BZ68" s="455"/>
      <c r="CA68" s="455"/>
      <c r="CB68" s="455"/>
      <c r="CC68" s="23"/>
      <c r="CD68" s="56"/>
      <c r="CE68" s="228"/>
      <c r="CF68" s="228"/>
      <c r="CG68" s="228"/>
      <c r="CH68" s="228"/>
      <c r="CI68" s="228"/>
      <c r="CJ68" s="228"/>
      <c r="CK68" s="61"/>
      <c r="CL68" s="56"/>
      <c r="CM68" s="1066"/>
      <c r="CN68" s="1066"/>
      <c r="CO68" s="1066"/>
      <c r="CP68" s="1066"/>
      <c r="CQ68" s="1066"/>
      <c r="CR68" s="1066"/>
      <c r="CS68" s="56"/>
      <c r="CT68" s="56"/>
      <c r="CU68" s="56"/>
      <c r="CV68" s="56"/>
      <c r="CW68" s="56"/>
      <c r="CX68" s="56"/>
      <c r="CY68" s="56"/>
      <c r="CZ68" s="56"/>
      <c r="DA68" s="56"/>
      <c r="DB68" s="56"/>
      <c r="DC68" s="56"/>
      <c r="DD68" s="56"/>
      <c r="DE68" s="56"/>
      <c r="DF68" s="56"/>
      <c r="DG68" s="56"/>
      <c r="DH68" s="56"/>
      <c r="DI68" s="56"/>
      <c r="DJ68" s="56"/>
      <c r="DK68" s="56"/>
      <c r="DL68" s="56"/>
      <c r="DM68" s="56"/>
      <c r="DN68" s="56"/>
      <c r="DO68" s="56"/>
      <c r="DP68" s="56"/>
      <c r="DQ68" s="56"/>
      <c r="DR68" s="56"/>
      <c r="DS68" s="56"/>
      <c r="DT68" s="56"/>
      <c r="DU68" s="56"/>
      <c r="DV68" s="56"/>
      <c r="DW68" s="56"/>
      <c r="DX68" s="56"/>
      <c r="DZ68" s="56"/>
      <c r="EH68" s="56"/>
      <c r="EP68" s="56"/>
      <c r="EQ68" s="56"/>
      <c r="ER68" s="56"/>
      <c r="ES68" s="56"/>
      <c r="EX68" s="56"/>
      <c r="EY68" s="56"/>
      <c r="EZ68" s="56"/>
      <c r="FA68" s="56"/>
      <c r="FF68" s="248"/>
      <c r="FG68" s="286"/>
      <c r="FH68" s="286"/>
      <c r="FI68" s="286"/>
      <c r="FJ68" s="286"/>
      <c r="FK68" s="286"/>
      <c r="FL68" s="286"/>
      <c r="FN68" s="248"/>
      <c r="FO68" s="286"/>
      <c r="FP68" s="286"/>
      <c r="FQ68" s="283"/>
      <c r="FR68" s="283"/>
      <c r="FS68" s="283"/>
      <c r="FT68" s="283"/>
      <c r="FV68" s="34"/>
      <c r="GE68" s="34"/>
      <c r="GM68" s="34"/>
      <c r="GU68" s="44"/>
      <c r="GV68" s="34"/>
      <c r="GW68" s="34"/>
      <c r="GX68" s="34"/>
      <c r="GY68" s="34"/>
      <c r="GZ68" s="34"/>
      <c r="HA68" s="34"/>
      <c r="HC68" s="34"/>
      <c r="IQ68" s="34"/>
      <c r="IY68" s="351"/>
      <c r="KM68" s="34"/>
      <c r="KN68" s="34"/>
    </row>
    <row r="69" spans="1:329" x14ac:dyDescent="0.3">
      <c r="B69" s="49"/>
      <c r="C69" s="48"/>
      <c r="D69" s="48"/>
      <c r="E69" s="48"/>
      <c r="F69" s="48"/>
      <c r="G69" s="48"/>
      <c r="H69" s="49"/>
      <c r="J69" s="49"/>
      <c r="R69" s="34"/>
      <c r="U69" s="572"/>
      <c r="AC69" s="284"/>
      <c r="BW69" s="285"/>
      <c r="BX69" s="285"/>
      <c r="BY69" s="285"/>
      <c r="BZ69" s="285"/>
      <c r="CA69" s="285"/>
      <c r="CB69" s="34"/>
      <c r="CC69" s="23"/>
      <c r="CD69" s="228"/>
      <c r="CE69" s="228"/>
      <c r="CF69" s="228"/>
      <c r="CG69" s="228"/>
      <c r="CH69" s="228"/>
      <c r="CI69" s="228"/>
      <c r="CJ69" s="228"/>
      <c r="CK69" s="61"/>
      <c r="CL69" s="23"/>
      <c r="CM69" s="1066"/>
      <c r="CN69" s="1066"/>
      <c r="CO69" s="1066"/>
      <c r="DR69" s="34"/>
      <c r="DS69" s="34"/>
      <c r="DT69" s="34"/>
      <c r="DU69" s="34"/>
      <c r="DV69" s="34"/>
      <c r="DW69" s="34"/>
      <c r="DX69" s="34"/>
      <c r="DZ69" s="445"/>
      <c r="EA69" s="445"/>
      <c r="EB69" s="445"/>
      <c r="EC69" s="445"/>
      <c r="ED69" s="445"/>
      <c r="EE69" s="445"/>
      <c r="EF69" s="445"/>
      <c r="FF69" s="248"/>
      <c r="FG69" s="286"/>
      <c r="FH69" s="286"/>
      <c r="FI69" s="286"/>
      <c r="FJ69" s="286"/>
      <c r="FK69" s="286"/>
      <c r="FL69" s="286"/>
      <c r="FN69" s="248"/>
      <c r="FO69" s="286"/>
      <c r="FP69" s="286"/>
      <c r="FQ69" s="283"/>
      <c r="FR69" s="283"/>
      <c r="FS69" s="283"/>
      <c r="FT69" s="283"/>
      <c r="FV69" s="34"/>
      <c r="GM69" s="34"/>
      <c r="GU69" s="34"/>
      <c r="GV69" s="34"/>
      <c r="GW69" s="34"/>
      <c r="GX69" s="34"/>
      <c r="GY69" s="34"/>
      <c r="GZ69" s="34"/>
      <c r="HA69" s="34"/>
      <c r="KM69" s="34"/>
      <c r="KN69" s="831"/>
    </row>
    <row r="70" spans="1:329" x14ac:dyDescent="0.3">
      <c r="B70" s="49"/>
      <c r="C70" s="48"/>
      <c r="D70" s="48"/>
      <c r="E70" s="48"/>
      <c r="F70" s="48"/>
      <c r="G70" s="48"/>
      <c r="H70" s="49"/>
      <c r="J70" s="49"/>
      <c r="R70" s="34"/>
      <c r="U70" s="572"/>
      <c r="AC70" s="284"/>
      <c r="BW70" s="285"/>
      <c r="BX70" s="285"/>
      <c r="BY70" s="285"/>
      <c r="BZ70" s="285"/>
      <c r="CA70" s="285"/>
      <c r="CB70" s="34"/>
      <c r="CC70" s="23"/>
      <c r="CD70" s="228"/>
      <c r="CE70" s="228"/>
      <c r="CF70" s="228"/>
      <c r="CG70" s="228"/>
      <c r="CH70" s="228"/>
      <c r="CI70" s="228"/>
      <c r="CJ70" s="228"/>
      <c r="CK70" s="61"/>
      <c r="CL70" s="23"/>
      <c r="CM70" s="1066"/>
      <c r="CN70" s="1066"/>
      <c r="CO70" s="1066"/>
      <c r="DR70" s="34"/>
      <c r="DS70" s="34"/>
      <c r="DT70" s="34"/>
      <c r="DU70" s="34"/>
      <c r="DV70" s="34"/>
      <c r="DW70" s="34"/>
      <c r="DX70" s="34"/>
      <c r="DZ70" s="445"/>
      <c r="EA70" s="445"/>
      <c r="EB70" s="445"/>
      <c r="EC70" s="445"/>
      <c r="ED70" s="445"/>
      <c r="EE70" s="445"/>
      <c r="EF70" s="445"/>
      <c r="FF70" s="248"/>
      <c r="FG70" s="286"/>
      <c r="FH70" s="286"/>
      <c r="FI70" s="286"/>
      <c r="FJ70" s="286"/>
      <c r="FK70" s="286"/>
      <c r="FL70" s="286"/>
      <c r="FN70" s="248"/>
      <c r="FO70" s="286"/>
      <c r="FP70" s="286"/>
      <c r="FQ70" s="283"/>
      <c r="FR70" s="283"/>
      <c r="FS70" s="283"/>
      <c r="FT70" s="283"/>
      <c r="FV70" s="34"/>
      <c r="GM70" s="34"/>
      <c r="GU70" s="34"/>
      <c r="GV70" s="34"/>
      <c r="GW70" s="34"/>
      <c r="GX70" s="34"/>
      <c r="GY70" s="34"/>
      <c r="GZ70" s="34"/>
      <c r="HA70" s="34"/>
      <c r="KM70" s="34"/>
      <c r="KN70" s="831"/>
    </row>
    <row r="71" spans="1:329" x14ac:dyDescent="0.3">
      <c r="B71" s="49"/>
      <c r="C71" s="48"/>
      <c r="D71" s="48"/>
      <c r="E71" s="48"/>
      <c r="F71" s="48"/>
      <c r="G71" s="48"/>
      <c r="H71" s="49"/>
      <c r="J71" s="49"/>
      <c r="R71" s="34"/>
      <c r="U71" s="572"/>
      <c r="AC71" s="284"/>
      <c r="BW71" s="285"/>
      <c r="BX71" s="285"/>
      <c r="BY71" s="285"/>
      <c r="BZ71" s="285"/>
      <c r="CA71" s="285"/>
      <c r="CB71" s="34"/>
      <c r="CC71" s="23"/>
      <c r="CD71" s="228"/>
      <c r="CE71" s="228"/>
      <c r="CF71" s="228"/>
      <c r="CG71" s="228"/>
      <c r="CH71" s="228"/>
      <c r="CI71" s="228"/>
      <c r="CJ71" s="228"/>
      <c r="CK71" s="61"/>
      <c r="CL71" s="23"/>
      <c r="CM71" s="1066"/>
      <c r="CN71" s="1066"/>
      <c r="CO71" s="1066"/>
      <c r="DR71" s="34"/>
      <c r="DS71" s="34"/>
      <c r="DT71" s="34"/>
      <c r="DU71" s="34"/>
      <c r="DV71" s="34"/>
      <c r="DW71" s="34"/>
      <c r="DX71" s="34"/>
      <c r="DZ71" s="445"/>
      <c r="EA71" s="445"/>
      <c r="EB71" s="445"/>
      <c r="EC71" s="445"/>
      <c r="ED71" s="445"/>
      <c r="EE71" s="445"/>
      <c r="EF71" s="445"/>
      <c r="FF71" s="248"/>
      <c r="FG71" s="286"/>
      <c r="FH71" s="286"/>
      <c r="FI71" s="286"/>
      <c r="FJ71" s="286"/>
      <c r="FK71" s="286"/>
      <c r="FL71" s="286"/>
      <c r="FN71" s="248"/>
      <c r="FO71" s="286"/>
      <c r="FP71" s="286"/>
      <c r="FQ71" s="283"/>
      <c r="FR71" s="283"/>
      <c r="FS71" s="283"/>
      <c r="FT71" s="283"/>
      <c r="FV71" s="34"/>
      <c r="GM71" s="34"/>
      <c r="GU71" s="34"/>
      <c r="GV71" s="34"/>
      <c r="GW71" s="34"/>
      <c r="GX71" s="34"/>
      <c r="GY71" s="34"/>
      <c r="GZ71" s="34"/>
      <c r="HA71" s="34"/>
      <c r="KM71" s="34"/>
      <c r="KN71" s="831"/>
    </row>
    <row r="72" spans="1:329" x14ac:dyDescent="0.3">
      <c r="B72" s="49"/>
      <c r="C72" s="48"/>
      <c r="D72" s="48"/>
      <c r="E72" s="48"/>
      <c r="F72" s="48"/>
      <c r="G72" s="48"/>
      <c r="H72" s="49"/>
      <c r="J72" s="49"/>
      <c r="R72" s="34"/>
      <c r="U72" s="572"/>
      <c r="AC72" s="284"/>
      <c r="BW72" s="285"/>
      <c r="BX72" s="285"/>
      <c r="BY72" s="285"/>
      <c r="BZ72" s="285"/>
      <c r="CA72" s="285"/>
      <c r="CB72" s="34"/>
      <c r="CC72" s="23"/>
      <c r="CD72" s="228"/>
      <c r="CE72" s="228"/>
      <c r="CF72" s="228"/>
      <c r="CG72" s="228"/>
      <c r="CH72" s="228"/>
      <c r="CI72" s="228"/>
      <c r="CJ72" s="228"/>
      <c r="CK72" s="61"/>
      <c r="CL72" s="23"/>
      <c r="CM72" s="1066"/>
      <c r="CN72" s="1066"/>
      <c r="CO72" s="1066"/>
      <c r="DR72" s="34"/>
      <c r="DS72" s="34"/>
      <c r="DT72" s="34"/>
      <c r="DU72" s="34"/>
      <c r="DV72" s="34"/>
      <c r="DW72" s="34"/>
      <c r="DX72" s="34"/>
      <c r="DZ72" s="445"/>
      <c r="EA72" s="445"/>
      <c r="EB72" s="445"/>
      <c r="EC72" s="445"/>
      <c r="ED72" s="445"/>
      <c r="EE72" s="445"/>
      <c r="EF72" s="445"/>
      <c r="FF72" s="248"/>
      <c r="FG72" s="286"/>
      <c r="FH72" s="286"/>
      <c r="FI72" s="286"/>
      <c r="FJ72" s="286"/>
      <c r="FK72" s="286"/>
      <c r="FL72" s="286"/>
      <c r="FN72" s="248"/>
      <c r="FO72" s="286"/>
      <c r="FP72" s="286"/>
      <c r="FQ72" s="283"/>
      <c r="FR72" s="283"/>
      <c r="FS72" s="283"/>
      <c r="FT72" s="283"/>
      <c r="FV72" s="34"/>
      <c r="GM72" s="34"/>
      <c r="GU72" s="34"/>
      <c r="GV72" s="34"/>
      <c r="GW72" s="34"/>
      <c r="GX72" s="34"/>
      <c r="GY72" s="34"/>
      <c r="GZ72" s="34"/>
      <c r="HA72" s="34"/>
      <c r="KM72" s="34"/>
      <c r="KN72" s="831"/>
    </row>
    <row r="73" spans="1:329" x14ac:dyDescent="0.3">
      <c r="C73" s="286"/>
      <c r="D73" s="286"/>
      <c r="E73" s="286"/>
      <c r="F73" s="286"/>
      <c r="G73" s="286"/>
      <c r="H73" s="286"/>
      <c r="R73" s="34"/>
      <c r="U73" s="284"/>
      <c r="V73" s="284"/>
      <c r="AC73" s="284"/>
      <c r="AD73" s="284"/>
      <c r="BV73" s="790"/>
      <c r="CB73" s="34"/>
      <c r="CC73" s="23"/>
      <c r="CD73" s="228"/>
      <c r="CE73" s="228"/>
      <c r="CF73" s="228"/>
      <c r="CG73" s="228"/>
      <c r="CH73" s="228"/>
      <c r="CI73" s="228"/>
      <c r="CJ73" s="228"/>
      <c r="CK73" s="61"/>
      <c r="CL73" s="23"/>
      <c r="CM73" s="1066"/>
      <c r="CN73" s="1066"/>
      <c r="CO73" s="1066"/>
      <c r="CU73" s="34"/>
      <c r="DK73" s="248"/>
      <c r="DS73" s="248"/>
      <c r="DT73" s="34"/>
      <c r="DU73" s="34"/>
      <c r="DV73" s="34"/>
      <c r="DW73" s="34"/>
      <c r="DX73" s="34"/>
      <c r="DZ73" s="248"/>
      <c r="EA73" s="248"/>
      <c r="EB73" s="790"/>
      <c r="EC73" s="445"/>
      <c r="ED73" s="445"/>
      <c r="EE73" s="445"/>
      <c r="EF73" s="445"/>
      <c r="EH73" s="790"/>
      <c r="EP73" s="56"/>
      <c r="EQ73" s="56"/>
      <c r="ER73" s="56"/>
      <c r="ES73" s="56"/>
      <c r="FF73" s="248"/>
      <c r="FG73" s="286"/>
      <c r="FH73" s="286"/>
      <c r="FI73" s="286"/>
      <c r="FJ73" s="286"/>
      <c r="FK73" s="286"/>
      <c r="FL73" s="286"/>
      <c r="FN73" s="248"/>
      <c r="FO73" s="286"/>
      <c r="FP73" s="286"/>
      <c r="FQ73" s="283"/>
      <c r="FR73" s="283"/>
      <c r="FS73" s="283"/>
      <c r="FT73" s="283"/>
      <c r="FV73" s="34"/>
      <c r="GM73" s="34"/>
      <c r="GU73" s="34"/>
      <c r="GV73" s="34"/>
      <c r="GW73" s="34"/>
      <c r="GX73" s="249"/>
      <c r="GY73" s="249"/>
      <c r="GZ73" s="249"/>
      <c r="HA73" s="34"/>
      <c r="KM73" s="34"/>
      <c r="KN73" s="34"/>
    </row>
    <row r="74" spans="1:329" x14ac:dyDescent="0.3">
      <c r="B74" s="47"/>
      <c r="C74" s="47"/>
      <c r="D74" s="47"/>
      <c r="E74" s="47"/>
      <c r="F74" s="47"/>
      <c r="G74" s="47"/>
      <c r="H74" s="47"/>
      <c r="J74" s="34"/>
      <c r="R74" s="34"/>
      <c r="S74" s="284"/>
      <c r="CB74" s="34"/>
      <c r="CC74" s="23"/>
      <c r="CD74" s="228"/>
      <c r="CE74" s="228"/>
      <c r="CF74" s="228"/>
      <c r="CG74" s="228"/>
      <c r="CH74" s="228"/>
      <c r="CI74" s="228"/>
      <c r="CJ74" s="228"/>
      <c r="CK74" s="61"/>
      <c r="CL74" s="23"/>
      <c r="CM74" s="1066"/>
      <c r="CN74" s="1066"/>
      <c r="CO74" s="1066"/>
      <c r="DR74" s="34"/>
      <c r="DS74" s="34"/>
      <c r="DT74" s="34"/>
      <c r="DU74" s="34"/>
      <c r="DV74" s="34"/>
      <c r="DW74" s="34"/>
      <c r="DX74" s="34"/>
      <c r="DZ74" s="445"/>
      <c r="EA74" s="445"/>
      <c r="EB74" s="445"/>
      <c r="EC74" s="445"/>
      <c r="ED74" s="445"/>
      <c r="EE74" s="445"/>
      <c r="EF74" s="445"/>
      <c r="FF74" s="248"/>
      <c r="FG74" s="286"/>
      <c r="FH74" s="286"/>
      <c r="FI74" s="286"/>
      <c r="FJ74" s="286"/>
      <c r="FK74" s="286"/>
      <c r="FL74" s="286"/>
      <c r="FN74" s="248"/>
      <c r="FO74" s="286"/>
      <c r="FP74" s="286"/>
      <c r="FQ74" s="283"/>
      <c r="FR74" s="283"/>
      <c r="FS74" s="283"/>
      <c r="FT74" s="283"/>
    </row>
    <row r="75" spans="1:329" ht="19.5" customHeight="1" x14ac:dyDescent="0.3">
      <c r="B75" s="647"/>
      <c r="C75" s="283"/>
      <c r="D75" s="283"/>
      <c r="E75" s="283"/>
      <c r="F75" s="283"/>
      <c r="G75" s="283"/>
      <c r="H75" s="283"/>
      <c r="J75" s="283"/>
      <c r="R75" s="34"/>
      <c r="V75" s="495"/>
      <c r="AB75" s="1249"/>
      <c r="AC75" s="1249"/>
      <c r="AD75" s="1249"/>
      <c r="AE75" s="1249"/>
      <c r="CB75" s="34"/>
      <c r="CC75" s="23"/>
      <c r="CD75" s="228"/>
      <c r="CE75" s="228"/>
      <c r="CF75" s="228"/>
      <c r="CG75" s="228"/>
      <c r="CH75" s="228"/>
      <c r="CI75" s="228"/>
      <c r="CJ75" s="228"/>
      <c r="CK75" s="61"/>
      <c r="CL75" s="23"/>
      <c r="CM75" s="1066"/>
      <c r="CN75" s="1066"/>
      <c r="CO75" s="1066"/>
      <c r="DR75" s="34"/>
      <c r="DS75" s="34"/>
      <c r="DT75" s="34"/>
      <c r="DU75" s="34"/>
      <c r="DV75" s="34"/>
      <c r="DW75" s="34"/>
      <c r="DX75" s="34"/>
      <c r="DZ75" s="445"/>
      <c r="EA75" s="445"/>
      <c r="EB75" s="445"/>
      <c r="EC75" s="445"/>
      <c r="ED75" s="445"/>
      <c r="EE75" s="445"/>
      <c r="EF75" s="445"/>
      <c r="FF75" s="248"/>
      <c r="FG75" s="286"/>
      <c r="FH75" s="286"/>
      <c r="FI75" s="286"/>
      <c r="FJ75" s="286"/>
      <c r="FK75" s="286"/>
      <c r="FL75" s="286"/>
      <c r="FN75" s="248"/>
      <c r="FO75" s="286"/>
      <c r="FP75" s="286"/>
      <c r="FQ75" s="283"/>
      <c r="FR75" s="283"/>
      <c r="FS75" s="283"/>
      <c r="FT75" s="283"/>
    </row>
    <row r="76" spans="1:329" x14ac:dyDescent="0.3">
      <c r="R76" s="34"/>
      <c r="S76" s="34"/>
      <c r="V76" s="1250"/>
      <c r="W76" s="1250"/>
      <c r="X76" s="1250"/>
      <c r="Y76" s="1250"/>
      <c r="Z76" s="1250"/>
      <c r="AB76" s="1249"/>
      <c r="AC76" s="1249"/>
      <c r="AD76" s="1249"/>
      <c r="AE76" s="1249"/>
      <c r="CB76" s="34"/>
      <c r="CC76" s="23"/>
      <c r="CD76" s="228"/>
      <c r="CE76" s="228"/>
      <c r="CF76" s="228"/>
      <c r="CG76" s="228"/>
      <c r="CH76" s="228"/>
      <c r="CI76" s="228"/>
      <c r="CJ76" s="228"/>
      <c r="CK76" s="61"/>
      <c r="CL76" s="23"/>
      <c r="CM76" s="1066"/>
      <c r="CN76" s="1066"/>
      <c r="CO76" s="1066"/>
      <c r="DR76" s="34"/>
      <c r="DS76" s="34"/>
      <c r="DT76" s="34"/>
      <c r="DU76" s="34"/>
      <c r="DV76" s="34"/>
      <c r="DW76" s="34"/>
      <c r="DX76" s="34"/>
      <c r="DZ76" s="445"/>
      <c r="EA76" s="445"/>
      <c r="EB76" s="445"/>
      <c r="EC76" s="445"/>
      <c r="ED76" s="445"/>
      <c r="EE76" s="445"/>
      <c r="EF76" s="445"/>
      <c r="FF76" s="248"/>
      <c r="FG76" s="286"/>
      <c r="FH76" s="286"/>
      <c r="FI76" s="286"/>
      <c r="FJ76" s="286"/>
      <c r="FK76" s="286"/>
      <c r="FL76" s="286"/>
      <c r="FN76" s="248"/>
      <c r="FO76" s="286"/>
      <c r="FP76" s="286"/>
      <c r="FQ76" s="283"/>
      <c r="FR76" s="283"/>
      <c r="FS76" s="283"/>
      <c r="FT76" s="283"/>
    </row>
    <row r="77" spans="1:329" x14ac:dyDescent="0.3">
      <c r="G77" s="1180"/>
      <c r="R77" s="34"/>
      <c r="V77" s="1222"/>
      <c r="W77" s="1222"/>
      <c r="X77" s="1222"/>
      <c r="Y77" s="1222"/>
      <c r="Z77" s="1156"/>
      <c r="AB77" s="1249"/>
      <c r="AC77" s="1249"/>
      <c r="AD77" s="1249"/>
      <c r="AE77" s="1249"/>
      <c r="CB77" s="34"/>
      <c r="CC77" s="23"/>
      <c r="CD77" s="228"/>
      <c r="CE77" s="228"/>
      <c r="CF77" s="228"/>
      <c r="CG77" s="228"/>
      <c r="CH77" s="228"/>
      <c r="CI77" s="228"/>
      <c r="CJ77" s="228"/>
      <c r="CK77" s="61"/>
      <c r="CL77" s="23"/>
      <c r="CM77" s="1066"/>
      <c r="CN77" s="1066"/>
      <c r="CO77" s="1066"/>
      <c r="DR77" s="34"/>
      <c r="DS77" s="34"/>
      <c r="DT77" s="34"/>
      <c r="DU77" s="34"/>
      <c r="DV77" s="34"/>
      <c r="DW77" s="34"/>
      <c r="DX77" s="34"/>
      <c r="DZ77" s="445"/>
      <c r="EA77" s="445"/>
      <c r="EB77" s="445"/>
      <c r="EC77" s="445"/>
      <c r="ED77" s="445"/>
      <c r="EE77" s="445"/>
      <c r="EF77" s="445"/>
      <c r="FF77" s="248"/>
      <c r="FG77" s="286"/>
      <c r="FH77" s="286"/>
      <c r="FI77" s="286"/>
      <c r="FJ77" s="286"/>
      <c r="FK77" s="286"/>
      <c r="FL77" s="286"/>
      <c r="FN77" s="248"/>
      <c r="FO77" s="286"/>
      <c r="FP77" s="286"/>
      <c r="FQ77" s="283"/>
      <c r="FR77" s="283"/>
      <c r="FS77" s="283"/>
      <c r="FT77" s="283"/>
    </row>
    <row r="78" spans="1:329" x14ac:dyDescent="0.3">
      <c r="P78" s="34"/>
      <c r="V78" s="1154"/>
      <c r="W78" s="424"/>
      <c r="X78" s="1154"/>
      <c r="Y78" s="424"/>
      <c r="Z78" s="1154"/>
      <c r="AB78" s="8"/>
      <c r="AC78" s="697"/>
      <c r="AD78" s="8"/>
      <c r="CB78" s="34"/>
      <c r="CC78" s="23"/>
      <c r="CD78" s="228"/>
      <c r="CE78" s="228"/>
      <c r="CF78" s="228"/>
      <c r="CG78" s="228"/>
      <c r="CH78" s="228"/>
      <c r="CI78" s="228"/>
      <c r="CJ78" s="228"/>
      <c r="CK78" s="61"/>
      <c r="CL78" s="23"/>
      <c r="CM78" s="1066"/>
      <c r="CN78" s="1066"/>
      <c r="CO78" s="1066"/>
      <c r="DR78" s="34"/>
      <c r="DS78" s="34"/>
      <c r="DT78" s="34"/>
      <c r="DU78" s="34"/>
      <c r="DV78" s="34"/>
      <c r="DW78" s="34"/>
      <c r="DX78" s="34"/>
      <c r="DZ78" s="445"/>
      <c r="EA78" s="445"/>
      <c r="EB78" s="445"/>
      <c r="EC78" s="445"/>
      <c r="ED78" s="445"/>
      <c r="EE78" s="445"/>
      <c r="EF78" s="445"/>
    </row>
    <row r="79" spans="1:329" x14ac:dyDescent="0.3">
      <c r="P79" s="34"/>
      <c r="V79" s="1154"/>
      <c r="W79" s="1155"/>
      <c r="X79" s="1154"/>
      <c r="Y79" s="1154"/>
      <c r="Z79" s="1154"/>
      <c r="AD79" s="248"/>
      <c r="AG79" s="1154"/>
      <c r="AH79" s="1154"/>
      <c r="CB79" s="34"/>
      <c r="CC79" s="23"/>
      <c r="CD79" s="228"/>
      <c r="CE79" s="228"/>
      <c r="CF79" s="228"/>
      <c r="CG79" s="228"/>
      <c r="CH79" s="228"/>
      <c r="CI79" s="228"/>
      <c r="CJ79" s="228"/>
      <c r="CK79" s="61"/>
      <c r="CL79" s="23"/>
      <c r="CM79" s="1066"/>
      <c r="CN79" s="1066"/>
      <c r="CO79" s="1066"/>
      <c r="DR79" s="34"/>
      <c r="DS79" s="34"/>
      <c r="DT79" s="34"/>
      <c r="DU79" s="34"/>
      <c r="DV79" s="34"/>
      <c r="DW79" s="34"/>
      <c r="DX79" s="34"/>
      <c r="DZ79" s="445"/>
      <c r="EA79" s="445"/>
      <c r="EB79" s="445"/>
      <c r="EC79" s="445"/>
      <c r="ED79" s="445"/>
      <c r="EE79" s="445"/>
      <c r="EF79" s="445"/>
      <c r="FO79" s="284"/>
      <c r="FP79" s="284"/>
      <c r="FQ79" s="284"/>
      <c r="FR79" s="284"/>
      <c r="FS79" s="284"/>
      <c r="FT79" s="284"/>
    </row>
    <row r="80" spans="1:329" x14ac:dyDescent="0.3">
      <c r="P80" s="34"/>
      <c r="V80" s="1154"/>
      <c r="W80" s="1154"/>
      <c r="X80" s="1154"/>
      <c r="Y80" s="1154"/>
      <c r="Z80" s="1154"/>
      <c r="AD80" s="248"/>
      <c r="AG80" s="1154"/>
      <c r="AH80" s="1154"/>
      <c r="CB80" s="34"/>
      <c r="CC80" s="23"/>
      <c r="CD80" s="228"/>
      <c r="CE80" s="228"/>
      <c r="CF80" s="228"/>
      <c r="CG80" s="228"/>
      <c r="CH80" s="228"/>
      <c r="CI80" s="228"/>
      <c r="CJ80" s="228"/>
      <c r="CK80" s="61"/>
      <c r="CL80" s="23"/>
      <c r="CM80" s="1066"/>
      <c r="CN80" s="1066"/>
      <c r="CO80" s="1066"/>
      <c r="DR80" s="34"/>
      <c r="DS80" s="34"/>
      <c r="DT80" s="34"/>
      <c r="DU80" s="34"/>
      <c r="DV80" s="34"/>
      <c r="DW80" s="34"/>
      <c r="DX80" s="34"/>
      <c r="DZ80" s="445"/>
      <c r="EA80" s="445"/>
      <c r="EB80" s="445"/>
      <c r="EC80" s="445"/>
      <c r="ED80" s="445"/>
      <c r="EE80" s="445"/>
      <c r="EF80" s="445"/>
    </row>
    <row r="81" spans="16:136" x14ac:dyDescent="0.3">
      <c r="P81" s="34"/>
      <c r="V81" s="1154"/>
      <c r="X81" s="1154"/>
      <c r="Z81" s="1154"/>
      <c r="CB81" s="34"/>
      <c r="CC81" s="23"/>
      <c r="CD81" s="228"/>
      <c r="CE81" s="228"/>
      <c r="CF81" s="228"/>
      <c r="CG81" s="228"/>
      <c r="CH81" s="228"/>
      <c r="CI81" s="228"/>
      <c r="CJ81" s="228"/>
      <c r="CK81" s="61"/>
      <c r="CL81" s="23"/>
      <c r="CM81" s="1066"/>
      <c r="CN81" s="1066"/>
      <c r="CO81" s="1066"/>
      <c r="DR81" s="34"/>
      <c r="DS81" s="34"/>
      <c r="DT81" s="34"/>
      <c r="DU81" s="34"/>
      <c r="DV81" s="34"/>
      <c r="DW81" s="34"/>
      <c r="DX81" s="34"/>
      <c r="DZ81" s="445"/>
      <c r="EA81" s="445"/>
      <c r="EB81" s="445"/>
      <c r="EC81" s="445"/>
      <c r="ED81" s="445"/>
      <c r="EE81" s="445"/>
      <c r="EF81" s="445"/>
    </row>
    <row r="82" spans="16:136" x14ac:dyDescent="0.3">
      <c r="R82" s="34"/>
      <c r="CB82" s="34"/>
      <c r="CC82" s="23"/>
      <c r="CD82" s="228"/>
      <c r="CE82" s="228"/>
      <c r="CF82" s="228"/>
      <c r="CG82" s="228"/>
      <c r="CH82" s="228"/>
      <c r="CI82" s="228"/>
      <c r="CJ82" s="228"/>
      <c r="CK82" s="61"/>
      <c r="CL82" s="23"/>
      <c r="CM82" s="1066"/>
      <c r="CN82" s="1066"/>
      <c r="CO82" s="1066"/>
      <c r="DR82" s="34"/>
      <c r="DS82" s="34"/>
      <c r="DT82" s="34"/>
      <c r="DU82" s="34"/>
      <c r="DV82" s="34"/>
      <c r="DW82" s="34"/>
      <c r="DX82" s="34"/>
      <c r="DZ82" s="445"/>
      <c r="EA82" s="445"/>
      <c r="EB82" s="445"/>
      <c r="EC82" s="445"/>
      <c r="ED82" s="445"/>
      <c r="EE82" s="445"/>
      <c r="EF82" s="445"/>
    </row>
    <row r="83" spans="16:136" x14ac:dyDescent="0.3">
      <c r="P83" s="34"/>
      <c r="V83" s="1151"/>
      <c r="W83" s="1151"/>
      <c r="X83" s="1151"/>
      <c r="Y83" s="1151"/>
      <c r="Z83" s="1151"/>
      <c r="AG83" s="1151"/>
      <c r="AH83" s="1151"/>
      <c r="CB83" s="34"/>
      <c r="CC83" s="23"/>
      <c r="CD83" s="228"/>
      <c r="CE83" s="228"/>
      <c r="CF83" s="228"/>
      <c r="CG83" s="228"/>
      <c r="CH83" s="228"/>
      <c r="CI83" s="228"/>
      <c r="CJ83" s="228"/>
      <c r="CK83" s="61"/>
      <c r="CL83" s="23"/>
      <c r="CM83" s="1066"/>
      <c r="CN83" s="1066"/>
      <c r="CO83" s="1066"/>
      <c r="DR83" s="34"/>
      <c r="DS83" s="34"/>
      <c r="DT83" s="34"/>
      <c r="DU83" s="34"/>
      <c r="DV83" s="34"/>
      <c r="DW83" s="34"/>
      <c r="DX83" s="34"/>
      <c r="DZ83" s="445"/>
      <c r="EA83" s="445"/>
      <c r="EB83" s="445"/>
      <c r="EC83" s="445"/>
      <c r="ED83" s="445"/>
      <c r="EE83" s="445"/>
      <c r="EF83" s="445"/>
    </row>
    <row r="84" spans="16:136" x14ac:dyDescent="0.3">
      <c r="P84" s="34"/>
      <c r="CB84" s="34"/>
      <c r="CC84" s="23"/>
      <c r="CD84" s="228"/>
      <c r="CE84" s="228"/>
      <c r="CF84" s="228"/>
      <c r="CG84" s="228"/>
      <c r="CH84" s="228"/>
      <c r="CI84" s="228"/>
      <c r="CJ84" s="228"/>
      <c r="CK84" s="61"/>
      <c r="CL84" s="23"/>
      <c r="CM84" s="1066"/>
      <c r="CN84" s="1066"/>
      <c r="CO84" s="1066"/>
      <c r="DR84" s="34"/>
      <c r="DS84" s="34"/>
      <c r="DT84" s="34"/>
      <c r="DU84" s="34"/>
      <c r="DV84" s="34"/>
      <c r="DW84" s="34"/>
      <c r="DX84" s="34"/>
      <c r="DZ84" s="445"/>
      <c r="EA84" s="445"/>
      <c r="EB84" s="445"/>
      <c r="EC84" s="445"/>
      <c r="ED84" s="445"/>
      <c r="EE84" s="445"/>
      <c r="EF84" s="445"/>
    </row>
    <row r="85" spans="16:136" x14ac:dyDescent="0.3">
      <c r="P85" s="34"/>
      <c r="CB85" s="34"/>
      <c r="CC85" s="23"/>
      <c r="CD85" s="228"/>
      <c r="CE85" s="228"/>
      <c r="CF85" s="228"/>
      <c r="CG85" s="228"/>
      <c r="CH85" s="228"/>
      <c r="CI85" s="228"/>
      <c r="CJ85" s="228"/>
      <c r="CK85" s="61"/>
      <c r="CL85" s="23"/>
      <c r="CM85" s="1066"/>
      <c r="CN85" s="1066"/>
      <c r="CO85" s="1066"/>
      <c r="DR85" s="34"/>
      <c r="DS85" s="34"/>
      <c r="DT85" s="34"/>
      <c r="DU85" s="34"/>
      <c r="DV85" s="34"/>
      <c r="DW85" s="34"/>
      <c r="DX85" s="34"/>
      <c r="DZ85" s="445"/>
      <c r="EA85" s="445"/>
      <c r="EB85" s="445"/>
      <c r="EC85" s="445"/>
      <c r="ED85" s="445"/>
      <c r="EE85" s="445"/>
      <c r="EF85" s="445"/>
    </row>
    <row r="86" spans="16:136" x14ac:dyDescent="0.3">
      <c r="P86" s="34"/>
      <c r="V86" s="248"/>
      <c r="X86" s="248"/>
      <c r="Z86" s="248"/>
      <c r="CB86" s="34"/>
      <c r="CC86" s="23"/>
      <c r="CD86" s="228"/>
      <c r="CE86" s="228"/>
      <c r="CF86" s="228"/>
      <c r="CG86" s="228"/>
      <c r="CH86" s="228"/>
      <c r="CI86" s="228"/>
      <c r="CJ86" s="228"/>
      <c r="CK86" s="61"/>
      <c r="CL86" s="23"/>
      <c r="CM86" s="1066"/>
      <c r="CN86" s="1066"/>
      <c r="CO86" s="1066"/>
      <c r="DR86" s="34"/>
      <c r="DS86" s="34"/>
      <c r="DT86" s="34"/>
      <c r="DU86" s="34"/>
      <c r="DV86" s="34"/>
      <c r="DW86" s="34"/>
      <c r="DX86" s="34"/>
      <c r="DZ86" s="445"/>
      <c r="EA86" s="445"/>
      <c r="EB86" s="445"/>
      <c r="EC86" s="445"/>
      <c r="ED86" s="445"/>
      <c r="EE86" s="445"/>
      <c r="EF86" s="445"/>
    </row>
    <row r="87" spans="16:136" x14ac:dyDescent="0.3">
      <c r="R87" s="34"/>
      <c r="V87" s="248"/>
      <c r="X87" s="248"/>
      <c r="Z87" s="248"/>
      <c r="AA87" s="1151"/>
      <c r="AG87" s="248"/>
      <c r="AH87" s="248"/>
      <c r="CB87" s="34"/>
      <c r="CC87" s="23"/>
      <c r="CD87" s="228"/>
      <c r="CE87" s="228"/>
      <c r="CF87" s="228"/>
      <c r="CG87" s="228"/>
      <c r="CH87" s="228"/>
      <c r="CI87" s="228"/>
      <c r="CJ87" s="228"/>
      <c r="CK87" s="61"/>
      <c r="CL87" s="23"/>
      <c r="CM87" s="1066"/>
      <c r="CN87" s="1066"/>
      <c r="CO87" s="1066"/>
      <c r="DR87" s="34"/>
      <c r="DS87" s="34"/>
      <c r="DT87" s="34"/>
      <c r="DU87" s="34"/>
      <c r="DV87" s="34"/>
      <c r="DW87" s="34"/>
      <c r="DX87" s="34"/>
      <c r="DZ87" s="445"/>
      <c r="EA87" s="445"/>
      <c r="EB87" s="445"/>
      <c r="EC87" s="445"/>
      <c r="ED87" s="445"/>
      <c r="EE87" s="445"/>
      <c r="EF87" s="445"/>
    </row>
    <row r="88" spans="16:136" x14ac:dyDescent="0.3">
      <c r="R88" s="34"/>
      <c r="V88" s="248"/>
      <c r="X88" s="248"/>
      <c r="Z88" s="248"/>
      <c r="AA88" s="1151"/>
      <c r="AG88" s="248"/>
      <c r="AH88" s="248"/>
      <c r="CB88" s="34"/>
      <c r="CC88" s="23"/>
      <c r="CD88" s="228"/>
      <c r="CE88" s="228"/>
      <c r="CF88" s="228"/>
      <c r="CG88" s="228"/>
      <c r="CH88" s="228"/>
      <c r="CI88" s="228"/>
      <c r="CJ88" s="228"/>
      <c r="CK88" s="61"/>
      <c r="CL88" s="23"/>
      <c r="CM88" s="1066"/>
      <c r="CN88" s="1066"/>
      <c r="CO88" s="1066"/>
      <c r="DR88" s="34"/>
      <c r="DS88" s="34"/>
      <c r="DT88" s="34"/>
      <c r="DU88" s="34"/>
      <c r="DV88" s="34"/>
      <c r="DW88" s="34"/>
      <c r="DX88" s="34"/>
      <c r="DZ88" s="445"/>
      <c r="EA88" s="445"/>
      <c r="EB88" s="445"/>
      <c r="EC88" s="445"/>
      <c r="ED88" s="445"/>
      <c r="EE88" s="445"/>
      <c r="EF88" s="445"/>
    </row>
    <row r="89" spans="16:136" x14ac:dyDescent="0.3">
      <c r="R89" s="34"/>
      <c r="V89" s="445"/>
      <c r="X89" s="445"/>
      <c r="Z89" s="445"/>
      <c r="AB89" s="285"/>
      <c r="AD89" s="445"/>
      <c r="AE89" s="445"/>
      <c r="AG89" s="445"/>
      <c r="AH89" s="445"/>
      <c r="CB89" s="34"/>
      <c r="CC89" s="23"/>
      <c r="CD89" s="228"/>
      <c r="CE89" s="228"/>
      <c r="CF89" s="228"/>
      <c r="CG89" s="228"/>
      <c r="CH89" s="228"/>
      <c r="CI89" s="228"/>
      <c r="CJ89" s="228"/>
      <c r="CK89" s="61"/>
      <c r="CL89" s="23"/>
      <c r="CM89" s="1066"/>
      <c r="CN89" s="1066"/>
      <c r="CO89" s="1066"/>
      <c r="DR89" s="34"/>
      <c r="DS89" s="34"/>
      <c r="DT89" s="34"/>
      <c r="DU89" s="34"/>
      <c r="DV89" s="34"/>
      <c r="DW89" s="34"/>
      <c r="DX89" s="34"/>
      <c r="DZ89" s="445"/>
      <c r="EA89" s="445"/>
      <c r="EB89" s="445"/>
      <c r="EC89" s="445"/>
      <c r="ED89" s="445"/>
      <c r="EE89" s="445"/>
      <c r="EF89" s="445"/>
    </row>
    <row r="90" spans="16:136" x14ac:dyDescent="0.3">
      <c r="R90" s="34"/>
      <c r="CB90" s="34"/>
      <c r="CC90" s="23"/>
      <c r="CD90" s="228"/>
      <c r="CE90" s="228"/>
      <c r="CF90" s="228"/>
      <c r="CG90" s="228"/>
      <c r="CH90" s="228"/>
      <c r="CI90" s="228"/>
      <c r="CJ90" s="228"/>
      <c r="CK90" s="61"/>
      <c r="CL90" s="23"/>
      <c r="CM90" s="1066"/>
      <c r="CN90" s="1066"/>
      <c r="CO90" s="1066"/>
      <c r="DR90" s="34"/>
      <c r="DS90" s="34"/>
      <c r="DT90" s="34"/>
      <c r="DU90" s="34"/>
      <c r="DV90" s="34"/>
      <c r="DW90" s="34"/>
      <c r="DX90" s="34"/>
      <c r="DZ90" s="445"/>
      <c r="EA90" s="445"/>
      <c r="EB90" s="445"/>
      <c r="EC90" s="445"/>
      <c r="ED90" s="445"/>
      <c r="EE90" s="445"/>
      <c r="EF90" s="445"/>
    </row>
    <row r="91" spans="16:136" x14ac:dyDescent="0.3">
      <c r="R91" s="34"/>
      <c r="CB91" s="34"/>
      <c r="CC91" s="23"/>
      <c r="CD91" s="228"/>
      <c r="CE91" s="228"/>
      <c r="CF91" s="228"/>
      <c r="CG91" s="228"/>
      <c r="CH91" s="228"/>
      <c r="CI91" s="228"/>
      <c r="CJ91" s="228"/>
      <c r="CK91" s="61"/>
      <c r="CL91" s="23"/>
      <c r="CM91" s="1066"/>
      <c r="CN91" s="1066"/>
      <c r="CO91" s="1066"/>
      <c r="DR91" s="34"/>
      <c r="DS91" s="34"/>
      <c r="DT91" s="34"/>
      <c r="DU91" s="34"/>
      <c r="DV91" s="34"/>
      <c r="DW91" s="34"/>
      <c r="DX91" s="34"/>
      <c r="DZ91" s="445"/>
      <c r="EA91" s="445"/>
      <c r="EB91" s="445"/>
      <c r="EC91" s="445"/>
      <c r="ED91" s="445"/>
      <c r="EE91" s="445"/>
      <c r="EF91" s="445"/>
    </row>
    <row r="92" spans="16:136" x14ac:dyDescent="0.3">
      <c r="R92" s="34"/>
      <c r="CB92" s="34"/>
      <c r="CC92" s="23"/>
      <c r="CD92" s="228"/>
      <c r="CE92" s="228"/>
      <c r="CF92" s="228"/>
      <c r="CG92" s="228"/>
      <c r="CH92" s="228"/>
      <c r="CI92" s="228"/>
      <c r="CJ92" s="228"/>
      <c r="CK92" s="61"/>
      <c r="CL92" s="23"/>
      <c r="CM92" s="1066"/>
      <c r="CN92" s="1066"/>
      <c r="CO92" s="1066"/>
      <c r="DR92" s="34"/>
      <c r="DS92" s="34"/>
      <c r="DT92" s="34"/>
      <c r="DU92" s="34"/>
      <c r="DV92" s="34"/>
      <c r="DW92" s="34"/>
      <c r="DX92" s="34"/>
      <c r="DZ92" s="445"/>
      <c r="EA92" s="445"/>
      <c r="EB92" s="445"/>
      <c r="EC92" s="445"/>
      <c r="ED92" s="445"/>
      <c r="EE92" s="445"/>
      <c r="EF92" s="445"/>
    </row>
    <row r="93" spans="16:136" x14ac:dyDescent="0.3">
      <c r="R93" s="34"/>
      <c r="CB93" s="34"/>
      <c r="CC93" s="23"/>
      <c r="CD93" s="228"/>
      <c r="CE93" s="228"/>
      <c r="CF93" s="228"/>
      <c r="CG93" s="228"/>
      <c r="CH93" s="228"/>
      <c r="CI93" s="228"/>
      <c r="CJ93" s="228"/>
      <c r="CK93" s="61"/>
      <c r="CL93" s="23"/>
      <c r="CM93" s="1066"/>
      <c r="CN93" s="1066"/>
      <c r="CO93" s="1066"/>
      <c r="DR93" s="34"/>
      <c r="DS93" s="34"/>
      <c r="DT93" s="34"/>
      <c r="DU93" s="34"/>
      <c r="DV93" s="34"/>
      <c r="DW93" s="34"/>
      <c r="DX93" s="34"/>
      <c r="DZ93" s="445"/>
      <c r="EA93" s="445"/>
      <c r="EB93" s="445"/>
      <c r="EC93" s="445"/>
      <c r="ED93" s="445"/>
      <c r="EE93" s="445"/>
      <c r="EF93" s="445"/>
    </row>
    <row r="94" spans="16:136" x14ac:dyDescent="0.3">
      <c r="R94" s="34"/>
      <c r="CB94" s="34"/>
      <c r="CC94" s="23"/>
      <c r="CD94" s="228"/>
      <c r="CE94" s="228"/>
      <c r="CF94" s="228"/>
      <c r="CG94" s="228"/>
      <c r="CH94" s="228"/>
      <c r="CI94" s="228"/>
      <c r="CJ94" s="228"/>
      <c r="CK94" s="61"/>
      <c r="CL94" s="23"/>
      <c r="CM94" s="1066"/>
      <c r="CN94" s="1066"/>
      <c r="CO94" s="1066"/>
      <c r="DR94" s="34"/>
      <c r="DS94" s="34"/>
      <c r="DT94" s="34"/>
      <c r="DU94" s="34"/>
      <c r="DV94" s="34"/>
      <c r="DW94" s="34"/>
      <c r="DX94" s="34"/>
      <c r="DZ94" s="445"/>
      <c r="EA94" s="445"/>
      <c r="EB94" s="445"/>
      <c r="EC94" s="445"/>
      <c r="ED94" s="445"/>
      <c r="EE94" s="445"/>
      <c r="EF94" s="445"/>
    </row>
    <row r="95" spans="16:136" x14ac:dyDescent="0.3">
      <c r="R95" s="34"/>
      <c r="CB95" s="34"/>
      <c r="CC95" s="23"/>
      <c r="CD95" s="228"/>
      <c r="CE95" s="228"/>
      <c r="CF95" s="228"/>
      <c r="CG95" s="228"/>
      <c r="CH95" s="228"/>
      <c r="CI95" s="228"/>
      <c r="CJ95" s="228"/>
      <c r="CK95" s="61"/>
      <c r="CL95" s="23"/>
      <c r="CM95" s="1066"/>
      <c r="CN95" s="1066"/>
      <c r="CO95" s="1066"/>
      <c r="DR95" s="34"/>
      <c r="DS95" s="34"/>
      <c r="DT95" s="34"/>
      <c r="DU95" s="34"/>
      <c r="DV95" s="34"/>
      <c r="DW95" s="34"/>
      <c r="DX95" s="34"/>
      <c r="DZ95" s="445"/>
      <c r="EA95" s="445"/>
      <c r="EB95" s="445"/>
      <c r="EC95" s="445"/>
      <c r="ED95" s="445"/>
      <c r="EE95" s="445"/>
      <c r="EF95" s="445"/>
    </row>
    <row r="96" spans="16:136" x14ac:dyDescent="0.3">
      <c r="R96" s="34"/>
      <c r="CB96" s="34"/>
      <c r="CC96" s="23"/>
      <c r="CD96" s="228"/>
      <c r="CE96" s="228"/>
      <c r="CF96" s="228"/>
      <c r="CG96" s="228"/>
      <c r="CH96" s="228"/>
      <c r="CI96" s="228"/>
      <c r="CJ96" s="228"/>
      <c r="CK96" s="61"/>
      <c r="CL96" s="23"/>
      <c r="CM96" s="1066"/>
      <c r="CN96" s="1066"/>
      <c r="CO96" s="1066"/>
      <c r="DR96" s="34"/>
      <c r="DS96" s="34"/>
      <c r="DT96" s="34"/>
      <c r="DU96" s="34"/>
      <c r="DV96" s="34"/>
      <c r="DW96" s="34"/>
      <c r="DX96" s="34"/>
      <c r="DZ96" s="445"/>
      <c r="EA96" s="445"/>
      <c r="EB96" s="445"/>
      <c r="EC96" s="445"/>
      <c r="ED96" s="445"/>
      <c r="EE96" s="445"/>
      <c r="EF96" s="445"/>
    </row>
    <row r="97" spans="18:136" x14ac:dyDescent="0.3">
      <c r="R97" s="34"/>
      <c r="CB97" s="34"/>
      <c r="CC97" s="23"/>
      <c r="CD97" s="228"/>
      <c r="CE97" s="228"/>
      <c r="CF97" s="228"/>
      <c r="CG97" s="228"/>
      <c r="CH97" s="228"/>
      <c r="CI97" s="228"/>
      <c r="CJ97" s="228"/>
      <c r="CK97" s="61"/>
      <c r="CL97" s="23"/>
      <c r="CM97" s="1066"/>
      <c r="CN97" s="1066"/>
      <c r="CO97" s="1066"/>
      <c r="DR97" s="34"/>
      <c r="DS97" s="34"/>
      <c r="DT97" s="34"/>
      <c r="DU97" s="34"/>
      <c r="DV97" s="34"/>
      <c r="DW97" s="34"/>
      <c r="DX97" s="34"/>
      <c r="DZ97" s="445"/>
      <c r="EA97" s="445"/>
      <c r="EB97" s="445"/>
      <c r="EC97" s="445"/>
      <c r="ED97" s="445"/>
      <c r="EE97" s="445"/>
      <c r="EF97" s="445"/>
    </row>
    <row r="98" spans="18:136" x14ac:dyDescent="0.3">
      <c r="R98" s="34"/>
      <c r="CB98" s="34"/>
      <c r="CC98" s="23"/>
      <c r="CD98" s="228"/>
      <c r="CE98" s="228"/>
      <c r="CF98" s="228"/>
      <c r="CG98" s="228"/>
      <c r="CH98" s="228"/>
      <c r="CI98" s="228"/>
      <c r="CJ98" s="228"/>
      <c r="CK98" s="61"/>
      <c r="CL98" s="23"/>
      <c r="CM98" s="1066"/>
      <c r="CN98" s="1066"/>
      <c r="CO98" s="1066"/>
      <c r="DR98" s="34"/>
      <c r="DS98" s="34"/>
      <c r="DT98" s="34"/>
      <c r="DU98" s="34"/>
      <c r="DV98" s="34"/>
      <c r="DW98" s="34"/>
      <c r="DX98" s="34"/>
      <c r="DZ98" s="445"/>
      <c r="EA98" s="445"/>
      <c r="EB98" s="445"/>
      <c r="EC98" s="445"/>
      <c r="ED98" s="445"/>
      <c r="EE98" s="445"/>
      <c r="EF98" s="445"/>
    </row>
    <row r="99" spans="18:136" x14ac:dyDescent="0.3">
      <c r="R99" s="34"/>
      <c r="CB99" s="34"/>
      <c r="CC99" s="23"/>
      <c r="CD99" s="228"/>
      <c r="CE99" s="228"/>
      <c r="CF99" s="228"/>
      <c r="CG99" s="228"/>
      <c r="CH99" s="228"/>
      <c r="CI99" s="228"/>
      <c r="CJ99" s="228"/>
      <c r="CK99" s="61"/>
      <c r="CL99" s="23"/>
      <c r="CM99" s="1066"/>
      <c r="CN99" s="1066"/>
      <c r="CO99" s="1066"/>
      <c r="DR99" s="34"/>
      <c r="DS99" s="34"/>
      <c r="DT99" s="34"/>
      <c r="DU99" s="34"/>
      <c r="DV99" s="34"/>
      <c r="DW99" s="34"/>
      <c r="DX99" s="34"/>
      <c r="DZ99" s="445"/>
      <c r="EA99" s="445"/>
      <c r="EB99" s="445"/>
      <c r="EC99" s="445"/>
      <c r="ED99" s="445"/>
      <c r="EE99" s="445"/>
      <c r="EF99" s="445"/>
    </row>
    <row r="100" spans="18:136" x14ac:dyDescent="0.3">
      <c r="R100" s="34"/>
      <c r="CB100" s="34"/>
      <c r="CC100" s="23"/>
      <c r="CD100" s="228"/>
      <c r="CE100" s="228"/>
      <c r="CF100" s="228"/>
      <c r="CG100" s="228"/>
      <c r="CH100" s="228"/>
      <c r="CI100" s="228"/>
      <c r="CJ100" s="228"/>
      <c r="CK100" s="61"/>
      <c r="CL100" s="23"/>
      <c r="CM100" s="1066"/>
      <c r="CN100" s="1066"/>
      <c r="CO100" s="1066"/>
      <c r="DR100" s="34"/>
      <c r="DS100" s="34"/>
      <c r="DT100" s="34"/>
      <c r="DU100" s="34"/>
      <c r="DV100" s="34"/>
      <c r="DW100" s="34"/>
      <c r="DX100" s="34"/>
      <c r="DZ100" s="445"/>
      <c r="EA100" s="445"/>
      <c r="EB100" s="445"/>
      <c r="EC100" s="445"/>
      <c r="ED100" s="445"/>
      <c r="EE100" s="445"/>
      <c r="EF100" s="445"/>
    </row>
    <row r="101" spans="18:136" x14ac:dyDescent="0.3">
      <c r="R101" s="34"/>
      <c r="CB101" s="34"/>
      <c r="CC101" s="23"/>
      <c r="CD101" s="228"/>
      <c r="CE101" s="228"/>
      <c r="CF101" s="228"/>
      <c r="CG101" s="228"/>
      <c r="CH101" s="228"/>
      <c r="CI101" s="228"/>
      <c r="CJ101" s="228"/>
      <c r="CK101" s="61"/>
      <c r="CL101" s="23"/>
      <c r="CM101" s="1066"/>
      <c r="CN101" s="1066"/>
      <c r="CO101" s="1066"/>
      <c r="DR101" s="34"/>
      <c r="DS101" s="34"/>
      <c r="DT101" s="34"/>
      <c r="DU101" s="34"/>
      <c r="DV101" s="34"/>
      <c r="DW101" s="34"/>
      <c r="DX101" s="34"/>
      <c r="DZ101" s="445"/>
      <c r="EA101" s="445"/>
      <c r="EB101" s="445"/>
      <c r="EC101" s="445"/>
      <c r="ED101" s="445"/>
      <c r="EE101" s="445"/>
      <c r="EF101" s="445"/>
    </row>
    <row r="102" spans="18:136" x14ac:dyDescent="0.3">
      <c r="R102" s="34"/>
      <c r="CB102" s="34"/>
      <c r="CC102" s="23"/>
      <c r="CD102" s="228"/>
      <c r="CE102" s="228"/>
      <c r="CF102" s="228"/>
      <c r="CG102" s="228"/>
      <c r="CH102" s="228"/>
      <c r="CI102" s="228"/>
      <c r="CJ102" s="228"/>
      <c r="CK102" s="61"/>
      <c r="CL102" s="23"/>
      <c r="CM102" s="1066"/>
      <c r="CN102" s="1066"/>
      <c r="CO102" s="1066"/>
      <c r="DR102" s="34"/>
      <c r="DS102" s="34"/>
      <c r="DT102" s="34"/>
      <c r="DU102" s="34"/>
      <c r="DV102" s="34"/>
      <c r="DW102" s="34"/>
      <c r="DX102" s="34"/>
      <c r="DZ102" s="445"/>
      <c r="EA102" s="445"/>
      <c r="EB102" s="445"/>
      <c r="EC102" s="445"/>
      <c r="ED102" s="445"/>
      <c r="EE102" s="445"/>
      <c r="EF102" s="445"/>
    </row>
    <row r="103" spans="18:136" x14ac:dyDescent="0.3">
      <c r="R103" s="34"/>
      <c r="CB103" s="34"/>
      <c r="CC103" s="23"/>
      <c r="CD103" s="228"/>
      <c r="CE103" s="228"/>
      <c r="CF103" s="228"/>
      <c r="CG103" s="228"/>
      <c r="CH103" s="228"/>
      <c r="CI103" s="228"/>
      <c r="CJ103" s="228"/>
      <c r="CK103" s="61"/>
      <c r="CL103" s="23"/>
      <c r="CM103" s="1066"/>
      <c r="CN103" s="1066"/>
      <c r="CO103" s="1066"/>
      <c r="DR103" s="34"/>
      <c r="DS103" s="34"/>
      <c r="DT103" s="34"/>
      <c r="DU103" s="34"/>
      <c r="DV103" s="34"/>
      <c r="DW103" s="34"/>
      <c r="DX103" s="34"/>
      <c r="DZ103" s="445"/>
      <c r="EA103" s="445"/>
      <c r="EB103" s="445"/>
      <c r="EC103" s="445"/>
      <c r="ED103" s="445"/>
      <c r="EE103" s="445"/>
      <c r="EF103" s="445"/>
    </row>
    <row r="104" spans="18:136" x14ac:dyDescent="0.3">
      <c r="R104" s="34"/>
      <c r="CB104" s="34"/>
      <c r="CC104" s="23"/>
      <c r="CD104" s="228"/>
      <c r="CE104" s="228"/>
      <c r="CF104" s="228"/>
      <c r="CG104" s="228"/>
      <c r="CH104" s="228"/>
      <c r="CI104" s="228"/>
      <c r="CJ104" s="228"/>
      <c r="CK104" s="61"/>
      <c r="CL104" s="23"/>
      <c r="CM104" s="1066"/>
      <c r="CN104" s="1066"/>
      <c r="CO104" s="1066"/>
      <c r="DR104" s="34"/>
      <c r="DS104" s="34"/>
      <c r="DT104" s="34"/>
      <c r="DU104" s="34"/>
      <c r="DV104" s="34"/>
      <c r="DW104" s="34"/>
      <c r="DX104" s="34"/>
      <c r="DZ104" s="445"/>
      <c r="EA104" s="445"/>
      <c r="EB104" s="445"/>
      <c r="EC104" s="445"/>
      <c r="ED104" s="445"/>
      <c r="EE104" s="445"/>
      <c r="EF104" s="445"/>
    </row>
    <row r="105" spans="18:136" x14ac:dyDescent="0.3">
      <c r="R105" s="34"/>
      <c r="DR105" s="34"/>
      <c r="DS105" s="34"/>
      <c r="DT105" s="34"/>
      <c r="DU105" s="34"/>
      <c r="DV105" s="34"/>
      <c r="DW105" s="34"/>
      <c r="DX105" s="34"/>
      <c r="DZ105" s="445"/>
      <c r="EA105" s="445"/>
      <c r="EB105" s="445"/>
      <c r="EC105" s="445"/>
      <c r="ED105" s="445"/>
      <c r="EE105" s="445"/>
      <c r="EF105" s="445"/>
    </row>
    <row r="106" spans="18:136" x14ac:dyDescent="0.3">
      <c r="R106" s="34"/>
      <c r="DR106" s="34"/>
      <c r="DS106" s="34"/>
      <c r="DT106" s="34"/>
      <c r="DU106" s="34"/>
      <c r="DV106" s="34"/>
      <c r="DW106" s="34"/>
      <c r="DX106" s="34"/>
      <c r="DZ106" s="445"/>
      <c r="EA106" s="445"/>
      <c r="EB106" s="445"/>
      <c r="EC106" s="445"/>
      <c r="ED106" s="445"/>
      <c r="EE106" s="445"/>
      <c r="EF106" s="445"/>
    </row>
    <row r="107" spans="18:136" x14ac:dyDescent="0.3">
      <c r="R107" s="34"/>
      <c r="DR107" s="34"/>
      <c r="DS107" s="34"/>
      <c r="DT107" s="34"/>
      <c r="DU107" s="34"/>
      <c r="DV107" s="34"/>
      <c r="DW107" s="34"/>
      <c r="DX107" s="34"/>
      <c r="DZ107" s="445"/>
      <c r="EA107" s="445"/>
      <c r="EB107" s="445"/>
      <c r="EC107" s="445"/>
      <c r="ED107" s="445"/>
      <c r="EE107" s="445"/>
      <c r="EF107" s="445"/>
    </row>
    <row r="108" spans="18:136" x14ac:dyDescent="0.3">
      <c r="R108" s="34"/>
      <c r="DR108" s="34"/>
      <c r="DS108" s="34"/>
      <c r="DT108" s="34"/>
      <c r="DU108" s="34"/>
      <c r="DV108" s="34"/>
      <c r="DW108" s="34"/>
      <c r="DX108" s="34"/>
      <c r="DZ108" s="445"/>
      <c r="EA108" s="445"/>
      <c r="EB108" s="445"/>
      <c r="EC108" s="445"/>
      <c r="ED108" s="445"/>
      <c r="EE108" s="445"/>
      <c r="EF108" s="445"/>
    </row>
    <row r="109" spans="18:136" x14ac:dyDescent="0.3">
      <c r="R109" s="34"/>
      <c r="DR109" s="34"/>
      <c r="DS109" s="34"/>
      <c r="DT109" s="34"/>
      <c r="DU109" s="34"/>
      <c r="DV109" s="34"/>
      <c r="DW109" s="34"/>
      <c r="DX109" s="34"/>
      <c r="DZ109" s="445"/>
      <c r="EA109" s="445"/>
      <c r="EB109" s="445"/>
      <c r="EC109" s="445"/>
      <c r="ED109" s="445"/>
      <c r="EE109" s="445"/>
      <c r="EF109" s="445"/>
    </row>
    <row r="110" spans="18:136" x14ac:dyDescent="0.3">
      <c r="R110" s="34"/>
      <c r="DR110" s="34"/>
      <c r="DS110" s="34"/>
      <c r="DT110" s="34"/>
      <c r="DU110" s="34"/>
      <c r="DV110" s="34"/>
      <c r="DW110" s="34"/>
      <c r="DX110" s="34"/>
      <c r="DZ110" s="445"/>
      <c r="EA110" s="445"/>
      <c r="EB110" s="445"/>
      <c r="EC110" s="445"/>
      <c r="ED110" s="445"/>
      <c r="EE110" s="445"/>
      <c r="EF110" s="445"/>
    </row>
    <row r="111" spans="18:136" x14ac:dyDescent="0.3">
      <c r="DR111" s="34"/>
      <c r="DS111" s="34"/>
      <c r="DT111" s="34"/>
      <c r="DU111" s="34"/>
      <c r="DV111" s="34"/>
      <c r="DW111" s="34"/>
      <c r="DX111" s="34"/>
      <c r="DZ111" s="445"/>
      <c r="EA111" s="445"/>
      <c r="EB111" s="445"/>
      <c r="EC111" s="445"/>
      <c r="ED111" s="445"/>
      <c r="EE111" s="445"/>
      <c r="EF111" s="445"/>
    </row>
    <row r="112" spans="18:136" x14ac:dyDescent="0.3">
      <c r="DR112" s="34"/>
      <c r="DS112" s="34"/>
      <c r="DT112" s="34"/>
      <c r="DU112" s="34"/>
      <c r="DV112" s="34"/>
      <c r="DW112" s="34"/>
      <c r="DX112" s="34"/>
      <c r="DZ112" s="445"/>
      <c r="EA112" s="445"/>
      <c r="EB112" s="445"/>
      <c r="EC112" s="445"/>
      <c r="ED112" s="445"/>
      <c r="EE112" s="445"/>
      <c r="EF112" s="445"/>
    </row>
    <row r="113" spans="122:128" x14ac:dyDescent="0.3">
      <c r="DR113" s="34"/>
      <c r="DS113" s="34"/>
      <c r="DT113" s="34"/>
      <c r="DU113" s="34"/>
      <c r="DV113" s="34"/>
      <c r="DW113" s="34"/>
      <c r="DX113" s="34"/>
    </row>
  </sheetData>
  <mergeCells count="45">
    <mergeCell ref="LK3:LQ3"/>
    <mergeCell ref="LC3:LI3"/>
    <mergeCell ref="CT3:CZ3"/>
    <mergeCell ref="Z3:AF3"/>
    <mergeCell ref="CD3:CJ3"/>
    <mergeCell ref="CL3:CR3"/>
    <mergeCell ref="DZ3:EF3"/>
    <mergeCell ref="EH3:EN3"/>
    <mergeCell ref="KU3:LA3"/>
    <mergeCell ref="JG3:JM3"/>
    <mergeCell ref="JO3:JU3"/>
    <mergeCell ref="JW3:KC3"/>
    <mergeCell ref="KE3:KK3"/>
    <mergeCell ref="KM3:KS3"/>
    <mergeCell ref="BN3:BT3"/>
    <mergeCell ref="BF3:BL3"/>
    <mergeCell ref="BV3:CB3"/>
    <mergeCell ref="IY3:JE3"/>
    <mergeCell ref="B3:H3"/>
    <mergeCell ref="AP3:AV3"/>
    <mergeCell ref="AX3:BD3"/>
    <mergeCell ref="R3:X3"/>
    <mergeCell ref="J3:P3"/>
    <mergeCell ref="EP3:EV3"/>
    <mergeCell ref="GU3:HA3"/>
    <mergeCell ref="HC3:HI3"/>
    <mergeCell ref="HK3:HQ3"/>
    <mergeCell ref="HS3:HY3"/>
    <mergeCell ref="IQ3:IW3"/>
    <mergeCell ref="AH3:AN3"/>
    <mergeCell ref="IY2:JE2"/>
    <mergeCell ref="EX2:FD2"/>
    <mergeCell ref="EX3:FD3"/>
    <mergeCell ref="DB3:DH3"/>
    <mergeCell ref="DJ3:DP3"/>
    <mergeCell ref="EH2:EN2"/>
    <mergeCell ref="DR3:DX3"/>
    <mergeCell ref="GM2:GS2"/>
    <mergeCell ref="GE3:GK3"/>
    <mergeCell ref="FV3:GB3"/>
    <mergeCell ref="GM3:GS3"/>
    <mergeCell ref="FF3:FL3"/>
    <mergeCell ref="FN3:FT3"/>
    <mergeCell ref="IA3:IG3"/>
    <mergeCell ref="II3:IO3"/>
  </mergeCells>
  <hyperlinks>
    <hyperlink ref="H1" location="Index!A1" display="Index"/>
  </hyperlink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PB122"/>
  <sheetViews>
    <sheetView zoomScaleNormal="100" workbookViewId="0"/>
  </sheetViews>
  <sheetFormatPr defaultColWidth="9.109375" defaultRowHeight="14.4" x14ac:dyDescent="0.3"/>
  <cols>
    <col min="1" max="1" width="8" style="24" customWidth="1"/>
    <col min="2" max="5" width="7.88671875" style="24" customWidth="1"/>
    <col min="6" max="6" width="9" style="24" customWidth="1"/>
    <col min="7" max="7" width="9.44140625" style="24" customWidth="1"/>
    <col min="8" max="8" width="1.88671875" style="24" customWidth="1"/>
    <col min="9" max="9" width="1.44140625" style="24" customWidth="1"/>
    <col min="10" max="15" width="7.88671875" style="24" customWidth="1"/>
    <col min="16" max="16" width="1.21875" style="24" customWidth="1"/>
    <col min="17" max="17" width="1.5546875" style="24" customWidth="1"/>
    <col min="18" max="23" width="7.88671875" style="24" customWidth="1"/>
    <col min="24" max="25" width="1.88671875" style="24" customWidth="1"/>
    <col min="26" max="28" width="7.44140625" style="24" customWidth="1"/>
    <col min="29" max="30" width="7.88671875" style="24" customWidth="1"/>
    <col min="31" max="31" width="8.109375" style="24" customWidth="1"/>
    <col min="32" max="32" width="2.5546875" style="24" customWidth="1"/>
    <col min="33" max="33" width="1.5546875" style="24" customWidth="1"/>
    <col min="34" max="34" width="8.77734375" style="24" customWidth="1"/>
    <col min="35" max="35" width="8.109375" style="24" customWidth="1"/>
    <col min="36" max="36" width="7.88671875" style="24" customWidth="1"/>
    <col min="37" max="37" width="9.44140625" style="24" customWidth="1"/>
    <col min="38" max="38" width="8.77734375" style="24" customWidth="1"/>
    <col min="39" max="39" width="10.109375" style="24" customWidth="1"/>
    <col min="40" max="41" width="1.5546875" style="24" customWidth="1"/>
    <col min="42" max="44" width="7" style="24" customWidth="1"/>
    <col min="45" max="45" width="9.109375" style="24"/>
    <col min="46" max="46" width="8.109375" style="24" customWidth="1"/>
    <col min="47" max="47" width="9" style="24" customWidth="1"/>
    <col min="48" max="48" width="1.5546875" style="24" customWidth="1"/>
    <col min="49" max="49" width="1" style="24" customWidth="1"/>
    <col min="50" max="54" width="7.44140625" style="24" customWidth="1"/>
    <col min="55" max="55" width="7.88671875" style="24" customWidth="1"/>
    <col min="56" max="57" width="1.77734375" style="24" customWidth="1"/>
    <col min="58" max="63" width="7.5546875" style="24" customWidth="1"/>
    <col min="64" max="65" width="1.5546875" style="24" customWidth="1"/>
    <col min="66" max="66" width="7.44140625" style="24" customWidth="1"/>
    <col min="67" max="68" width="6.88671875" style="24" customWidth="1"/>
    <col min="69" max="69" width="8.109375" style="24" customWidth="1"/>
    <col min="70" max="70" width="8" style="24" customWidth="1"/>
    <col min="71" max="71" width="8.88671875" style="24" customWidth="1"/>
    <col min="72" max="73" width="1.44140625" style="24" customWidth="1"/>
    <col min="74" max="79" width="8.88671875" style="24" customWidth="1"/>
    <col min="80" max="80" width="1.109375" style="24" customWidth="1"/>
    <col min="81" max="81" width="1.88671875" style="24" customWidth="1"/>
    <col min="82" max="87" width="9.109375" style="24"/>
    <col min="88" max="89" width="1.5546875" style="24" customWidth="1"/>
    <col min="90" max="92" width="7.5546875" style="24" customWidth="1"/>
    <col min="93" max="95" width="9.109375" style="24"/>
    <col min="96" max="97" width="1.44140625" style="24" customWidth="1"/>
    <col min="98" max="102" width="7.88671875" style="24" customWidth="1"/>
    <col min="103" max="103" width="9.109375" style="24"/>
    <col min="104" max="104" width="2.77734375" style="24" customWidth="1"/>
    <col min="105" max="105" width="2.88671875" style="24" customWidth="1"/>
    <col min="106" max="111" width="7" style="24" customWidth="1"/>
    <col min="112" max="112" width="1.5546875" style="24" customWidth="1"/>
    <col min="113" max="113" width="2.5546875" style="24" customWidth="1"/>
    <col min="114" max="118" width="7.109375" style="24" customWidth="1"/>
    <col min="119" max="119" width="7.88671875" style="24" customWidth="1"/>
    <col min="120" max="121" width="2.44140625" style="24" customWidth="1"/>
    <col min="122" max="122" width="12.44140625" style="24" customWidth="1"/>
    <col min="123" max="126" width="8.109375" style="24" customWidth="1"/>
    <col min="127" max="127" width="9.109375" style="24"/>
    <col min="128" max="128" width="2" style="24" customWidth="1"/>
    <col min="129" max="129" width="1.88671875" style="24" customWidth="1"/>
    <col min="130" max="130" width="8.109375" style="24" customWidth="1"/>
    <col min="131" max="131" width="7.5546875" style="24" customWidth="1"/>
    <col min="132" max="132" width="6.88671875" style="24" customWidth="1"/>
    <col min="133" max="135" width="9.109375" style="24"/>
    <col min="136" max="137" width="1.77734375" style="24" customWidth="1"/>
    <col min="138" max="138" width="8.109375" style="24" customWidth="1"/>
    <col min="139" max="139" width="7.5546875" style="24" customWidth="1"/>
    <col min="140" max="140" width="6.88671875" style="24" customWidth="1"/>
    <col min="141" max="143" width="9.109375" style="24"/>
    <col min="144" max="145" width="1.77734375" style="24" customWidth="1"/>
    <col min="146" max="147" width="8.21875" style="24" customWidth="1"/>
    <col min="148" max="148" width="8" style="24" customWidth="1"/>
    <col min="149" max="149" width="8.88671875" style="24" customWidth="1"/>
    <col min="150" max="150" width="8.5546875" style="24" customWidth="1"/>
    <col min="151" max="151" width="9.109375" style="24"/>
    <col min="152" max="153" width="1.88671875" style="24" customWidth="1"/>
    <col min="154" max="154" width="9.109375" style="24" customWidth="1"/>
    <col min="155" max="155" width="8.21875" style="24" customWidth="1"/>
    <col min="156" max="156" width="8" style="24" customWidth="1"/>
    <col min="157" max="157" width="8.88671875" style="24" customWidth="1"/>
    <col min="158" max="158" width="8.5546875" style="24" customWidth="1"/>
    <col min="159" max="159" width="9.109375" style="24"/>
    <col min="160" max="161" width="1.88671875" style="24" customWidth="1"/>
    <col min="162" max="162" width="7.44140625" style="24" customWidth="1"/>
    <col min="163" max="164" width="7.109375" style="24" customWidth="1"/>
    <col min="165" max="167" width="9.109375" style="24"/>
    <col min="168" max="169" width="2.21875" style="24" customWidth="1"/>
    <col min="170" max="172" width="6.77734375" style="24" customWidth="1"/>
    <col min="173" max="175" width="9.109375" style="24"/>
    <col min="176" max="177" width="1.109375" style="24" customWidth="1"/>
    <col min="178" max="180" width="6.44140625" style="24" customWidth="1"/>
    <col min="181" max="182" width="9.109375" style="24"/>
    <col min="183" max="183" width="8.44140625" style="24" customWidth="1"/>
    <col min="184" max="184" width="2.77734375" style="24" customWidth="1"/>
    <col min="185" max="185" width="1.77734375" style="24" customWidth="1"/>
    <col min="186" max="186" width="1.88671875" style="24" customWidth="1"/>
    <col min="187" max="191" width="8" style="24" customWidth="1"/>
    <col min="192" max="192" width="9.109375" style="24"/>
    <col min="193" max="193" width="1.88671875" style="24" customWidth="1"/>
    <col min="194" max="194" width="2" style="24" customWidth="1"/>
    <col min="195" max="199" width="7.88671875" style="24" customWidth="1"/>
    <col min="200" max="200" width="9.109375" style="24"/>
    <col min="201" max="202" width="2.44140625" style="24" customWidth="1"/>
    <col min="203" max="205" width="6.5546875" style="24" customWidth="1"/>
    <col min="206" max="206" width="7.5546875" style="24" customWidth="1"/>
    <col min="207" max="207" width="8.44140625" style="24" customWidth="1"/>
    <col min="208" max="208" width="8.77734375" style="24" customWidth="1"/>
    <col min="209" max="209" width="1.44140625" style="24" customWidth="1"/>
    <col min="210" max="210" width="2.44140625" style="24" customWidth="1"/>
    <col min="211" max="215" width="7" style="24" customWidth="1"/>
    <col min="216" max="216" width="9.44140625" style="24" customWidth="1"/>
    <col min="217" max="218" width="2.44140625" style="24" customWidth="1"/>
    <col min="219" max="223" width="6.5546875" style="24" customWidth="1"/>
    <col min="224" max="224" width="7.88671875" style="24" customWidth="1"/>
    <col min="225" max="226" width="2.44140625" style="24" customWidth="1"/>
    <col min="227" max="231" width="6.88671875" style="24" customWidth="1"/>
    <col min="232" max="232" width="8.109375" style="24" customWidth="1"/>
    <col min="233" max="234" width="2.44140625" style="24" customWidth="1"/>
    <col min="235" max="239" width="6.77734375" style="24" customWidth="1"/>
    <col min="240" max="240" width="8.5546875" style="24" customWidth="1"/>
    <col min="241" max="242" width="2.44140625" style="24" customWidth="1"/>
    <col min="243" max="247" width="7.44140625" style="24" customWidth="1"/>
    <col min="248" max="248" width="8.109375" style="24" customWidth="1"/>
    <col min="249" max="250" width="2.44140625" style="24" customWidth="1"/>
    <col min="251" max="251" width="9.21875" style="24" customWidth="1"/>
    <col min="252" max="252" width="7.44140625" style="24" customWidth="1"/>
    <col min="253" max="255" width="8.77734375" style="24" customWidth="1"/>
    <col min="256" max="256" width="9.88671875" style="24" customWidth="1"/>
    <col min="257" max="258" width="2.44140625" style="24" customWidth="1"/>
    <col min="259" max="418" width="9.109375" style="61"/>
    <col min="419" max="16384" width="9.109375" style="24"/>
  </cols>
  <sheetData>
    <row r="1" spans="1:418" ht="15.6" x14ac:dyDescent="0.3">
      <c r="A1" s="178" t="s">
        <v>472</v>
      </c>
      <c r="B1" s="51"/>
      <c r="C1" s="51"/>
      <c r="D1" s="51"/>
      <c r="E1" s="51"/>
      <c r="F1" s="51"/>
      <c r="G1" s="51"/>
      <c r="H1" s="51"/>
      <c r="J1" s="463" t="s">
        <v>504</v>
      </c>
      <c r="DA1" s="61"/>
      <c r="DB1" s="1208"/>
      <c r="DC1" s="1208"/>
      <c r="DD1" s="1208"/>
      <c r="DE1" s="1208"/>
      <c r="DF1" s="1208"/>
      <c r="DG1" s="1208"/>
      <c r="DH1" s="1208"/>
      <c r="DI1" s="1208"/>
      <c r="DJ1" s="61"/>
      <c r="DK1" s="61"/>
      <c r="DL1" s="61"/>
      <c r="DM1" s="61"/>
      <c r="DN1" s="61"/>
      <c r="DO1" s="61"/>
      <c r="DP1" s="61"/>
      <c r="DQ1" s="61"/>
      <c r="DR1" s="61"/>
      <c r="DS1" s="61"/>
      <c r="DT1" s="61"/>
      <c r="DU1" s="61"/>
      <c r="DV1" s="61"/>
      <c r="DW1" s="61"/>
      <c r="DX1" s="61"/>
      <c r="DY1" s="61"/>
      <c r="DZ1" s="61"/>
      <c r="EA1" s="61"/>
      <c r="EB1" s="61"/>
      <c r="EC1" s="61"/>
      <c r="ED1" s="61"/>
      <c r="EE1" s="61"/>
      <c r="EF1" s="61"/>
      <c r="EG1" s="61"/>
      <c r="EH1" s="61"/>
      <c r="EI1" s="61"/>
      <c r="EJ1" s="61"/>
      <c r="EK1" s="61"/>
      <c r="EL1" s="61"/>
      <c r="EM1" s="61"/>
      <c r="EN1" s="61"/>
    </row>
    <row r="2" spans="1:418" ht="15.6" x14ac:dyDescent="0.3">
      <c r="A2" s="180"/>
      <c r="B2" s="52"/>
      <c r="C2" s="52"/>
      <c r="D2" s="52"/>
      <c r="E2" s="52"/>
      <c r="F2" s="52"/>
      <c r="G2" s="52"/>
      <c r="H2" s="52"/>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989"/>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07"/>
      <c r="DC2" s="1207"/>
      <c r="DD2" s="1207"/>
      <c r="DE2" s="1207"/>
      <c r="DF2" s="1207"/>
      <c r="DG2" s="1207"/>
      <c r="DH2" s="1207"/>
      <c r="DI2" s="1207"/>
      <c r="DJ2" s="125"/>
      <c r="DK2" s="125"/>
      <c r="DL2" s="125"/>
      <c r="DM2" s="125"/>
      <c r="DN2" s="125"/>
      <c r="DO2" s="1207"/>
      <c r="DP2" s="1207"/>
      <c r="DQ2" s="1207"/>
      <c r="DR2" s="1207"/>
      <c r="DS2" s="1207"/>
      <c r="DT2" s="1207"/>
      <c r="DU2" s="1207"/>
      <c r="DV2" s="1207"/>
      <c r="DW2" s="125"/>
      <c r="DX2" s="125"/>
      <c r="DY2" s="125"/>
      <c r="DZ2" s="125"/>
      <c r="EA2" s="125"/>
      <c r="EB2" s="125"/>
      <c r="EC2" s="125"/>
      <c r="ED2" s="125"/>
      <c r="EE2" s="125"/>
      <c r="EF2" s="125"/>
      <c r="EG2" s="125"/>
      <c r="EH2" s="125"/>
      <c r="EI2" s="125"/>
      <c r="EJ2" s="125"/>
      <c r="EK2" s="125"/>
      <c r="EL2" s="125"/>
      <c r="EM2" s="125"/>
      <c r="EN2" s="125"/>
      <c r="EO2" s="125"/>
      <c r="EP2" s="125"/>
      <c r="EQ2" s="125"/>
      <c r="ER2" s="125"/>
      <c r="ES2" s="125"/>
      <c r="ET2" s="125"/>
      <c r="EU2" s="125"/>
      <c r="EV2" s="125"/>
      <c r="EW2" s="125"/>
      <c r="EX2" s="1442" t="s">
        <v>663</v>
      </c>
      <c r="EY2" s="1442"/>
      <c r="EZ2" s="1442"/>
      <c r="FA2" s="1442"/>
      <c r="FB2" s="1442"/>
      <c r="FC2" s="1442"/>
      <c r="FD2" s="125"/>
      <c r="FE2" s="125"/>
      <c r="FF2" s="125"/>
      <c r="FG2" s="125"/>
      <c r="FH2" s="125"/>
      <c r="FI2" s="125"/>
      <c r="FJ2" s="125"/>
      <c r="FK2" s="125"/>
      <c r="FL2" s="125"/>
      <c r="FM2" s="125"/>
      <c r="FN2" s="125"/>
      <c r="FO2" s="125"/>
      <c r="FP2" s="125"/>
      <c r="FQ2" s="125"/>
      <c r="FR2" s="125"/>
      <c r="FS2" s="125"/>
      <c r="FT2" s="125"/>
      <c r="FU2" s="125"/>
      <c r="FV2" s="125"/>
      <c r="FW2" s="125"/>
      <c r="FX2" s="125"/>
      <c r="FY2" s="125"/>
      <c r="FZ2" s="125"/>
      <c r="GA2" s="125"/>
      <c r="GB2" s="125"/>
      <c r="GC2" s="125"/>
      <c r="GD2" s="125"/>
      <c r="GE2" s="125"/>
      <c r="GF2" s="125"/>
      <c r="GG2" s="125"/>
      <c r="GH2" s="125"/>
      <c r="GI2" s="125"/>
      <c r="GJ2" s="125"/>
      <c r="GK2" s="125"/>
      <c r="GL2" s="125"/>
      <c r="GM2" s="1443" t="s">
        <v>1720</v>
      </c>
      <c r="GN2" s="1443"/>
      <c r="GO2" s="1443"/>
      <c r="GP2" s="1443"/>
      <c r="GQ2" s="1443"/>
      <c r="GR2" s="1443"/>
      <c r="GS2" s="489"/>
      <c r="GT2" s="125"/>
      <c r="GU2" s="125"/>
      <c r="GV2" s="125"/>
      <c r="GW2" s="125"/>
      <c r="GX2" s="125"/>
      <c r="GY2" s="125"/>
      <c r="GZ2" s="125"/>
      <c r="HA2" s="125"/>
      <c r="HB2" s="125"/>
      <c r="HC2" s="125"/>
      <c r="HD2" s="125"/>
      <c r="HE2" s="125"/>
      <c r="HF2" s="125"/>
      <c r="HG2" s="125"/>
      <c r="HH2" s="125"/>
      <c r="HI2" s="125"/>
      <c r="HJ2" s="125"/>
      <c r="HK2" s="125"/>
      <c r="HL2" s="125"/>
      <c r="HM2" s="125"/>
      <c r="HN2" s="125"/>
      <c r="HO2" s="125"/>
      <c r="HP2" s="125"/>
      <c r="HQ2" s="125"/>
      <c r="HR2" s="125"/>
      <c r="HS2" s="125"/>
      <c r="HT2" s="125"/>
      <c r="HU2" s="125"/>
      <c r="HV2" s="125"/>
      <c r="HW2" s="125"/>
      <c r="HX2" s="125"/>
      <c r="HY2" s="125"/>
      <c r="HZ2" s="125"/>
      <c r="IA2" s="125"/>
      <c r="IB2" s="125"/>
      <c r="IC2" s="125"/>
      <c r="ID2" s="125"/>
      <c r="IE2" s="125"/>
      <c r="IF2" s="125"/>
      <c r="IG2" s="125"/>
      <c r="IH2" s="125"/>
      <c r="II2" s="125"/>
      <c r="IJ2" s="125"/>
      <c r="IK2" s="125"/>
      <c r="IL2" s="125"/>
      <c r="IM2" s="125"/>
      <c r="IN2" s="125"/>
      <c r="IO2" s="489"/>
      <c r="IP2" s="125"/>
      <c r="IQ2" s="1350"/>
      <c r="IR2" s="1350"/>
      <c r="IS2" s="1350"/>
      <c r="IT2" s="1350"/>
      <c r="IU2" s="1350"/>
      <c r="IV2" s="1350"/>
      <c r="IW2" s="490"/>
      <c r="IX2" s="125"/>
      <c r="IY2" s="1444" t="s">
        <v>1721</v>
      </c>
      <c r="IZ2" s="1444"/>
      <c r="JA2" s="1444"/>
      <c r="JB2" s="1444"/>
      <c r="JC2" s="1444"/>
      <c r="JD2" s="1444"/>
    </row>
    <row r="3" spans="1:418" x14ac:dyDescent="0.3">
      <c r="A3" s="181"/>
      <c r="B3" s="1437" t="str">
        <f>'C1-Incomes'!B3:H3</f>
        <v>1. Piketty-Saez income replication (excluding capital gains)</v>
      </c>
      <c r="C3" s="1437"/>
      <c r="D3" s="1437"/>
      <c r="E3" s="1437"/>
      <c r="F3" s="1437"/>
      <c r="G3" s="1437"/>
      <c r="H3" s="23"/>
      <c r="I3" s="179"/>
      <c r="J3" s="1437" t="str">
        <f>'C1-Incomes'!J3:P3</f>
        <v>2. Pre-tax National Income</v>
      </c>
      <c r="K3" s="1437"/>
      <c r="L3" s="1437"/>
      <c r="M3" s="1437"/>
      <c r="N3" s="1437"/>
      <c r="O3" s="1437"/>
      <c r="P3" s="23"/>
      <c r="Q3" s="179"/>
      <c r="R3" s="1437" t="str">
        <f>'C1-Incomes'!R3</f>
        <v>3. Pre-tax/After-transfer Income</v>
      </c>
      <c r="S3" s="1437"/>
      <c r="T3" s="1437"/>
      <c r="U3" s="1437"/>
      <c r="V3" s="1437"/>
      <c r="W3" s="1437"/>
      <c r="X3" s="23"/>
      <c r="Y3" s="23"/>
      <c r="Z3" s="1437" t="str">
        <f>'C1-Incomes'!Z3</f>
        <v>4. After-tax National Income</v>
      </c>
      <c r="AA3" s="1437"/>
      <c r="AB3" s="1437"/>
      <c r="AC3" s="1437"/>
      <c r="AD3" s="1437"/>
      <c r="AE3" s="1437"/>
      <c r="AF3" s="179"/>
      <c r="AG3" s="179"/>
      <c r="AH3" s="1441" t="str">
        <f>'C1-Incomes'!AH3</f>
        <v>Cd1. Correct Sample, Remove &lt;20 filers, dept filers &amp; non-residents and MFS fix</v>
      </c>
      <c r="AI3" s="1441"/>
      <c r="AJ3" s="1441"/>
      <c r="AK3" s="1441"/>
      <c r="AL3" s="1441"/>
      <c r="AM3" s="1441"/>
      <c r="AN3" s="179"/>
      <c r="AO3" s="179"/>
      <c r="AP3" s="1437" t="str">
        <f>'C1-Incomes'!AP3</f>
        <v>Ci1: Remove non-deductible losses (before 1987)</v>
      </c>
      <c r="AQ3" s="1437"/>
      <c r="AR3" s="1437"/>
      <c r="AS3" s="1437"/>
      <c r="AT3" s="1437"/>
      <c r="AU3" s="1437"/>
      <c r="AV3" s="179"/>
      <c r="AW3" s="179"/>
      <c r="AX3" s="1437" t="str">
        <f>'C1-Incomes'!AX3</f>
        <v>Ci2. Include tax-exempt interest</v>
      </c>
      <c r="AY3" s="1437"/>
      <c r="AZ3" s="1437"/>
      <c r="BA3" s="1437"/>
      <c r="BB3" s="1437"/>
      <c r="BC3" s="1437"/>
      <c r="BD3" s="193"/>
      <c r="BE3" s="193"/>
      <c r="BF3" s="1390" t="str">
        <f>'C1-Incomes'!BF3</f>
        <v>Cd3. Correct income definition</v>
      </c>
      <c r="BG3" s="1390"/>
      <c r="BH3" s="1390"/>
      <c r="BI3" s="1390"/>
      <c r="BJ3" s="1390"/>
      <c r="BK3" s="1390"/>
      <c r="BL3" s="23"/>
      <c r="BM3" s="23"/>
      <c r="BN3" s="1437" t="str">
        <f>'C1-Incomes'!BN3</f>
        <v>Cd4: Group by size-adjusted income and number of indivs.</v>
      </c>
      <c r="BO3" s="1437"/>
      <c r="BP3" s="1437"/>
      <c r="BQ3" s="1437"/>
      <c r="BR3" s="1437"/>
      <c r="BS3" s="1437"/>
      <c r="BT3" s="23"/>
      <c r="BU3" s="23"/>
      <c r="BV3" s="1437" t="str">
        <f>'C1-Incomes'!BV3</f>
        <v>Ei0: Add undistributed fiduciary income</v>
      </c>
      <c r="BW3" s="1437"/>
      <c r="BX3" s="1437"/>
      <c r="BY3" s="1437"/>
      <c r="BZ3" s="1437"/>
      <c r="CA3" s="1437"/>
      <c r="CB3" s="193"/>
      <c r="CC3" s="179"/>
      <c r="CD3" s="1437" t="str">
        <f>'C1-Incomes'!CD3</f>
        <v>Ei1. Add C corp retained earnings</v>
      </c>
      <c r="CE3" s="1437"/>
      <c r="CF3" s="1437"/>
      <c r="CG3" s="1437"/>
      <c r="CH3" s="1437"/>
      <c r="CI3" s="1437"/>
      <c r="CL3" s="1437" t="str">
        <f>'C1-Incomes'!CL3</f>
        <v>Ei2. Add C corp taxes</v>
      </c>
      <c r="CM3" s="1437"/>
      <c r="CN3" s="1437"/>
      <c r="CO3" s="1437"/>
      <c r="CP3" s="1437"/>
      <c r="CQ3" s="1437"/>
      <c r="CR3" s="23"/>
      <c r="CS3" s="23"/>
      <c r="CT3" s="1437" t="str">
        <f>'C1-Incomes'!CT3</f>
        <v>Ei3. Add business property taxes</v>
      </c>
      <c r="CU3" s="1437"/>
      <c r="CV3" s="1437"/>
      <c r="CW3" s="1437"/>
      <c r="CX3" s="1437"/>
      <c r="CY3" s="1437"/>
      <c r="CZ3" s="23"/>
      <c r="DA3" s="23"/>
      <c r="DB3" s="1437" t="str">
        <f>'C1-Incomes'!DB3</f>
        <v>Ei4. Inflation adjustment of inflation</v>
      </c>
      <c r="DC3" s="1437"/>
      <c r="DD3" s="1437"/>
      <c r="DE3" s="1437"/>
      <c r="DF3" s="1437"/>
      <c r="DG3" s="1437"/>
      <c r="DH3" s="23"/>
      <c r="DI3" s="23"/>
      <c r="DJ3" s="1437" t="str">
        <f>'C1-Incomes'!DJ3</f>
        <v>Ed1. Add underreported income</v>
      </c>
      <c r="DK3" s="1437"/>
      <c r="DL3" s="1437"/>
      <c r="DM3" s="1437"/>
      <c r="DN3" s="1437"/>
      <c r="DO3" s="1437"/>
      <c r="DP3" s="23"/>
      <c r="DQ3" s="23"/>
      <c r="DR3" s="1437" t="str">
        <f>'C1-Incomes'!DR3</f>
        <v>Ed2: Add imputed rent</v>
      </c>
      <c r="DS3" s="1437"/>
      <c r="DT3" s="1437"/>
      <c r="DU3" s="1437"/>
      <c r="DV3" s="1437"/>
      <c r="DW3" s="1437"/>
      <c r="DZ3" s="1437" t="str">
        <f>'C1-Incomes'!DZ3</f>
        <v>Ed3. Add employer payroll taxes</v>
      </c>
      <c r="EA3" s="1437"/>
      <c r="EB3" s="1437"/>
      <c r="EC3" s="1437"/>
      <c r="ED3" s="1437"/>
      <c r="EE3" s="1437"/>
      <c r="EF3" s="23"/>
      <c r="EH3" s="1437" t="str">
        <f>'C1-Incomes'!EH3</f>
        <v>Ed4. Add employer sponsored health insurance</v>
      </c>
      <c r="EI3" s="1437"/>
      <c r="EJ3" s="1437"/>
      <c r="EK3" s="1437"/>
      <c r="EL3" s="1437"/>
      <c r="EM3" s="1437"/>
      <c r="EN3" s="23"/>
      <c r="EO3" s="23"/>
      <c r="EP3" s="1437" t="str">
        <f>'C1-Incomes'!EP3</f>
        <v>Ed5. Add retirement account income</v>
      </c>
      <c r="EQ3" s="1437"/>
      <c r="ER3" s="1437"/>
      <c r="ES3" s="1437"/>
      <c r="ET3" s="1437"/>
      <c r="EU3" s="1437"/>
      <c r="EV3" s="23"/>
      <c r="EW3" s="23"/>
      <c r="EX3" s="1437" t="str">
        <f>'C1-Incomes'!EX3</f>
        <v>Ed6. Add remaining indirect taxes, non-profit/govt. income, etc.</v>
      </c>
      <c r="EY3" s="1437"/>
      <c r="EZ3" s="1437"/>
      <c r="FA3" s="1437"/>
      <c r="FB3" s="1437"/>
      <c r="FC3" s="1437"/>
      <c r="FD3" s="23"/>
      <c r="FF3" s="1437" t="str">
        <f>'C1-Incomes'!FF3</f>
        <v>Bd1. Add Social Security benefits</v>
      </c>
      <c r="FG3" s="1437"/>
      <c r="FH3" s="1437"/>
      <c r="FI3" s="1437"/>
      <c r="FJ3" s="1437"/>
      <c r="FK3" s="1437"/>
      <c r="FN3" s="1437" t="str">
        <f>'C1-Incomes'!FN3</f>
        <v>Bd2. Add UI benefits</v>
      </c>
      <c r="FO3" s="1437"/>
      <c r="FP3" s="1437"/>
      <c r="FQ3" s="1437"/>
      <c r="FR3" s="1437"/>
      <c r="FS3" s="1437"/>
      <c r="FV3" s="1437" t="str">
        <f>'C1-Incomes'!FV3</f>
        <v>Bd3. Add cash welfare and tax credits</v>
      </c>
      <c r="FW3" s="1437"/>
      <c r="FX3" s="1437"/>
      <c r="FY3" s="1437"/>
      <c r="FZ3" s="1437"/>
      <c r="GA3" s="1437"/>
      <c r="GE3" s="1437" t="str">
        <f>'C1-Incomes'!GE3</f>
        <v xml:space="preserve">Bd4. Add Medicare </v>
      </c>
      <c r="GF3" s="1437"/>
      <c r="GG3" s="1437"/>
      <c r="GH3" s="1437"/>
      <c r="GI3" s="1437"/>
      <c r="GJ3" s="1437"/>
      <c r="GM3" s="1437" t="str">
        <f>'C1-Incomes'!GM3</f>
        <v>Bd5. Add other transfers</v>
      </c>
      <c r="GN3" s="1437"/>
      <c r="GO3" s="1437"/>
      <c r="GP3" s="1437"/>
      <c r="GQ3" s="1437"/>
      <c r="GR3" s="1437"/>
      <c r="GU3" s="1437" t="str">
        <f>'C1-Incomes'!GU3</f>
        <v>AT1: Remove Fed Income and Estate Taxes</v>
      </c>
      <c r="GV3" s="1437"/>
      <c r="GW3" s="1437"/>
      <c r="GX3" s="1437"/>
      <c r="GY3" s="1437"/>
      <c r="GZ3" s="1437"/>
      <c r="HC3" s="1437" t="str">
        <f>'C1-Incomes'!HC3</f>
        <v>AT2: Remove State/Local Income Taxes</v>
      </c>
      <c r="HD3" s="1437"/>
      <c r="HE3" s="1437"/>
      <c r="HF3" s="1437"/>
      <c r="HG3" s="1437"/>
      <c r="HH3" s="1437"/>
      <c r="HK3" s="1437" t="str">
        <f>'C1-Incomes'!HK3</f>
        <v>AT3: Remove Corporate Income Taxes</v>
      </c>
      <c r="HL3" s="1437"/>
      <c r="HM3" s="1437"/>
      <c r="HN3" s="1437"/>
      <c r="HO3" s="1437"/>
      <c r="HP3" s="1437"/>
      <c r="HS3" s="1437" t="str">
        <f>'C1-Incomes'!HS3</f>
        <v>AT4: Remove Property Taxes</v>
      </c>
      <c r="HT3" s="1437"/>
      <c r="HU3" s="1437"/>
      <c r="HV3" s="1437"/>
      <c r="HW3" s="1437"/>
      <c r="HX3" s="1437"/>
      <c r="IA3" s="1437" t="str">
        <f>'C1-Incomes'!IA3</f>
        <v>AT5: Remove Payroll Taxes</v>
      </c>
      <c r="IB3" s="1437"/>
      <c r="IC3" s="1437"/>
      <c r="ID3" s="1437"/>
      <c r="IE3" s="1437"/>
      <c r="IF3" s="1437"/>
      <c r="II3" s="1437" t="str">
        <f>'C1-Incomes'!II3</f>
        <v>AT6: Remove Sales and other taxes</v>
      </c>
      <c r="IJ3" s="1437"/>
      <c r="IK3" s="1437"/>
      <c r="IL3" s="1437"/>
      <c r="IM3" s="1437"/>
      <c r="IN3" s="1437"/>
      <c r="IQ3" s="1437" t="str">
        <f>'C1-Incomes'!IQ3</f>
        <v>NAT1: Add government surplus (deficit)</v>
      </c>
      <c r="IR3" s="1437"/>
      <c r="IS3" s="1437"/>
      <c r="IT3" s="1437"/>
      <c r="IU3" s="1437"/>
      <c r="IV3" s="1437"/>
      <c r="IY3" s="1437" t="s">
        <v>1722</v>
      </c>
      <c r="IZ3" s="1437"/>
      <c r="JA3" s="1437"/>
      <c r="JB3" s="1437"/>
      <c r="JC3" s="1437"/>
      <c r="JD3" s="1437"/>
    </row>
    <row r="4" spans="1:418" s="43" customFormat="1" ht="10.199999999999999" x14ac:dyDescent="0.2">
      <c r="A4" s="182"/>
      <c r="B4" s="49" t="s">
        <v>24</v>
      </c>
      <c r="C4" s="49" t="s">
        <v>25</v>
      </c>
      <c r="D4" s="49" t="s">
        <v>26</v>
      </c>
      <c r="E4" s="49" t="s">
        <v>28</v>
      </c>
      <c r="F4" s="49" t="s">
        <v>27</v>
      </c>
      <c r="G4" s="49" t="s">
        <v>23</v>
      </c>
      <c r="H4" s="49"/>
      <c r="I4" s="183"/>
      <c r="J4" s="49" t="s">
        <v>24</v>
      </c>
      <c r="K4" s="49" t="s">
        <v>25</v>
      </c>
      <c r="L4" s="49" t="s">
        <v>26</v>
      </c>
      <c r="M4" s="49" t="s">
        <v>28</v>
      </c>
      <c r="N4" s="49" t="s">
        <v>27</v>
      </c>
      <c r="O4" s="49" t="s">
        <v>23</v>
      </c>
      <c r="P4" s="49"/>
      <c r="Q4" s="183"/>
      <c r="R4" s="49" t="s">
        <v>24</v>
      </c>
      <c r="S4" s="49" t="s">
        <v>25</v>
      </c>
      <c r="T4" s="49" t="s">
        <v>26</v>
      </c>
      <c r="U4" s="49" t="s">
        <v>28</v>
      </c>
      <c r="V4" s="49" t="s">
        <v>27</v>
      </c>
      <c r="W4" s="49" t="s">
        <v>23</v>
      </c>
      <c r="X4" s="49"/>
      <c r="Y4" s="49"/>
      <c r="Z4" s="49" t="s">
        <v>24</v>
      </c>
      <c r="AA4" s="49" t="s">
        <v>25</v>
      </c>
      <c r="AB4" s="49" t="s">
        <v>26</v>
      </c>
      <c r="AC4" s="49" t="s">
        <v>28</v>
      </c>
      <c r="AD4" s="49" t="s">
        <v>27</v>
      </c>
      <c r="AE4" s="49" t="s">
        <v>23</v>
      </c>
      <c r="AF4" s="183"/>
      <c r="AG4" s="49"/>
      <c r="AH4" s="49" t="s">
        <v>24</v>
      </c>
      <c r="AI4" s="49" t="s">
        <v>25</v>
      </c>
      <c r="AJ4" s="49" t="s">
        <v>26</v>
      </c>
      <c r="AK4" s="49" t="s">
        <v>28</v>
      </c>
      <c r="AL4" s="49" t="s">
        <v>27</v>
      </c>
      <c r="AM4" s="49" t="s">
        <v>23</v>
      </c>
      <c r="AN4" s="49"/>
      <c r="AO4" s="49"/>
      <c r="AP4" s="49" t="s">
        <v>24</v>
      </c>
      <c r="AQ4" s="49" t="s">
        <v>25</v>
      </c>
      <c r="AR4" s="49" t="s">
        <v>26</v>
      </c>
      <c r="AS4" s="49" t="s">
        <v>28</v>
      </c>
      <c r="AT4" s="49" t="s">
        <v>27</v>
      </c>
      <c r="AU4" s="49" t="s">
        <v>23</v>
      </c>
      <c r="AV4" s="183"/>
      <c r="AW4" s="49"/>
      <c r="AX4" s="49" t="s">
        <v>24</v>
      </c>
      <c r="AY4" s="49" t="s">
        <v>25</v>
      </c>
      <c r="AZ4" s="49" t="s">
        <v>26</v>
      </c>
      <c r="BA4" s="49" t="s">
        <v>28</v>
      </c>
      <c r="BB4" s="49" t="s">
        <v>27</v>
      </c>
      <c r="BC4" s="49" t="s">
        <v>23</v>
      </c>
      <c r="BD4" s="49"/>
      <c r="BE4" s="49"/>
      <c r="BF4" s="49" t="s">
        <v>24</v>
      </c>
      <c r="BG4" s="49" t="s">
        <v>25</v>
      </c>
      <c r="BH4" s="49" t="s">
        <v>26</v>
      </c>
      <c r="BI4" s="49" t="s">
        <v>28</v>
      </c>
      <c r="BJ4" s="49" t="s">
        <v>27</v>
      </c>
      <c r="BK4" s="49" t="s">
        <v>23</v>
      </c>
      <c r="BL4" s="49"/>
      <c r="BM4" s="49"/>
      <c r="BN4" s="49" t="s">
        <v>24</v>
      </c>
      <c r="BO4" s="49" t="s">
        <v>25</v>
      </c>
      <c r="BP4" s="49" t="s">
        <v>26</v>
      </c>
      <c r="BQ4" s="49" t="s">
        <v>28</v>
      </c>
      <c r="BR4" s="49" t="s">
        <v>27</v>
      </c>
      <c r="BS4" s="49" t="s">
        <v>23</v>
      </c>
      <c r="BT4" s="49"/>
      <c r="BU4" s="49"/>
      <c r="BV4" s="49" t="s">
        <v>24</v>
      </c>
      <c r="BW4" s="49" t="s">
        <v>25</v>
      </c>
      <c r="BX4" s="49" t="s">
        <v>26</v>
      </c>
      <c r="BY4" s="49" t="s">
        <v>28</v>
      </c>
      <c r="BZ4" s="49" t="s">
        <v>27</v>
      </c>
      <c r="CA4" s="49" t="s">
        <v>23</v>
      </c>
      <c r="CB4" s="49"/>
      <c r="CC4" s="49"/>
      <c r="CD4" s="49" t="s">
        <v>24</v>
      </c>
      <c r="CE4" s="49" t="s">
        <v>25</v>
      </c>
      <c r="CF4" s="49" t="s">
        <v>26</v>
      </c>
      <c r="CG4" s="49" t="s">
        <v>28</v>
      </c>
      <c r="CH4" s="49" t="s">
        <v>27</v>
      </c>
      <c r="CI4" s="49" t="s">
        <v>23</v>
      </c>
      <c r="CL4" s="49" t="s">
        <v>24</v>
      </c>
      <c r="CM4" s="49" t="s">
        <v>25</v>
      </c>
      <c r="CN4" s="49" t="s">
        <v>26</v>
      </c>
      <c r="CO4" s="49" t="s">
        <v>28</v>
      </c>
      <c r="CP4" s="49" t="s">
        <v>27</v>
      </c>
      <c r="CQ4" s="49" t="s">
        <v>23</v>
      </c>
      <c r="CR4" s="49"/>
      <c r="CS4" s="49"/>
      <c r="CT4" s="49" t="s">
        <v>24</v>
      </c>
      <c r="CU4" s="49" t="s">
        <v>25</v>
      </c>
      <c r="CV4" s="49" t="s">
        <v>26</v>
      </c>
      <c r="CW4" s="49" t="s">
        <v>28</v>
      </c>
      <c r="CX4" s="49" t="s">
        <v>27</v>
      </c>
      <c r="CY4" s="49" t="s">
        <v>23</v>
      </c>
      <c r="CZ4" s="49"/>
      <c r="DA4" s="49"/>
      <c r="DB4" s="49" t="s">
        <v>24</v>
      </c>
      <c r="DC4" s="49" t="s">
        <v>25</v>
      </c>
      <c r="DD4" s="49" t="s">
        <v>26</v>
      </c>
      <c r="DE4" s="49" t="s">
        <v>28</v>
      </c>
      <c r="DF4" s="49" t="s">
        <v>27</v>
      </c>
      <c r="DG4" s="49" t="s">
        <v>23</v>
      </c>
      <c r="DH4" s="49"/>
      <c r="DI4" s="49"/>
      <c r="DJ4" s="49" t="s">
        <v>24</v>
      </c>
      <c r="DK4" s="49" t="s">
        <v>25</v>
      </c>
      <c r="DL4" s="49" t="s">
        <v>26</v>
      </c>
      <c r="DM4" s="49" t="s">
        <v>28</v>
      </c>
      <c r="DN4" s="49" t="s">
        <v>27</v>
      </c>
      <c r="DO4" s="49" t="s">
        <v>23</v>
      </c>
      <c r="DP4" s="49"/>
      <c r="DQ4" s="49"/>
      <c r="DR4" s="49" t="s">
        <v>24</v>
      </c>
      <c r="DS4" s="49" t="s">
        <v>25</v>
      </c>
      <c r="DT4" s="49" t="s">
        <v>26</v>
      </c>
      <c r="DU4" s="49" t="s">
        <v>28</v>
      </c>
      <c r="DV4" s="49" t="s">
        <v>27</v>
      </c>
      <c r="DW4" s="49" t="s">
        <v>23</v>
      </c>
      <c r="DZ4" s="49" t="s">
        <v>24</v>
      </c>
      <c r="EA4" s="49" t="s">
        <v>25</v>
      </c>
      <c r="EB4" s="49" t="s">
        <v>26</v>
      </c>
      <c r="EC4" s="49" t="s">
        <v>28</v>
      </c>
      <c r="ED4" s="49" t="s">
        <v>27</v>
      </c>
      <c r="EE4" s="49" t="s">
        <v>23</v>
      </c>
      <c r="EF4" s="49"/>
      <c r="EH4" s="49" t="s">
        <v>24</v>
      </c>
      <c r="EI4" s="49" t="s">
        <v>25</v>
      </c>
      <c r="EJ4" s="49" t="s">
        <v>26</v>
      </c>
      <c r="EK4" s="49" t="s">
        <v>28</v>
      </c>
      <c r="EL4" s="49" t="s">
        <v>27</v>
      </c>
      <c r="EM4" s="49" t="s">
        <v>23</v>
      </c>
      <c r="EN4" s="49"/>
      <c r="EO4" s="49"/>
      <c r="EP4" s="49" t="s">
        <v>24</v>
      </c>
      <c r="EQ4" s="49" t="s">
        <v>25</v>
      </c>
      <c r="ER4" s="49" t="s">
        <v>26</v>
      </c>
      <c r="ES4" s="49" t="s">
        <v>28</v>
      </c>
      <c r="ET4" s="49" t="s">
        <v>27</v>
      </c>
      <c r="EU4" s="49" t="s">
        <v>23</v>
      </c>
      <c r="EV4" s="49"/>
      <c r="EW4" s="49"/>
      <c r="EX4" s="49" t="s">
        <v>24</v>
      </c>
      <c r="EY4" s="49" t="s">
        <v>25</v>
      </c>
      <c r="EZ4" s="49" t="s">
        <v>26</v>
      </c>
      <c r="FA4" s="49" t="s">
        <v>28</v>
      </c>
      <c r="FB4" s="49" t="s">
        <v>27</v>
      </c>
      <c r="FC4" s="49" t="s">
        <v>23</v>
      </c>
      <c r="FD4" s="49"/>
      <c r="FF4" s="49" t="s">
        <v>24</v>
      </c>
      <c r="FG4" s="49" t="s">
        <v>25</v>
      </c>
      <c r="FH4" s="49" t="s">
        <v>26</v>
      </c>
      <c r="FI4" s="49" t="s">
        <v>28</v>
      </c>
      <c r="FJ4" s="49" t="s">
        <v>27</v>
      </c>
      <c r="FK4" s="49" t="s">
        <v>23</v>
      </c>
      <c r="FN4" s="49" t="s">
        <v>24</v>
      </c>
      <c r="FO4" s="49" t="s">
        <v>25</v>
      </c>
      <c r="FP4" s="49" t="s">
        <v>26</v>
      </c>
      <c r="FQ4" s="49" t="s">
        <v>28</v>
      </c>
      <c r="FR4" s="49" t="s">
        <v>27</v>
      </c>
      <c r="FS4" s="49" t="s">
        <v>23</v>
      </c>
      <c r="FV4" s="49" t="s">
        <v>24</v>
      </c>
      <c r="FW4" s="49" t="s">
        <v>25</v>
      </c>
      <c r="FX4" s="49" t="s">
        <v>26</v>
      </c>
      <c r="FY4" s="49" t="s">
        <v>28</v>
      </c>
      <c r="FZ4" s="49" t="s">
        <v>27</v>
      </c>
      <c r="GA4" s="49" t="s">
        <v>23</v>
      </c>
      <c r="GE4" s="49" t="s">
        <v>24</v>
      </c>
      <c r="GF4" s="49" t="s">
        <v>25</v>
      </c>
      <c r="GG4" s="49" t="s">
        <v>26</v>
      </c>
      <c r="GH4" s="49" t="s">
        <v>28</v>
      </c>
      <c r="GI4" s="49" t="s">
        <v>27</v>
      </c>
      <c r="GJ4" s="49" t="s">
        <v>23</v>
      </c>
      <c r="GM4" s="49" t="s">
        <v>24</v>
      </c>
      <c r="GN4" s="49" t="s">
        <v>25</v>
      </c>
      <c r="GO4" s="49" t="s">
        <v>26</v>
      </c>
      <c r="GP4" s="49" t="s">
        <v>28</v>
      </c>
      <c r="GQ4" s="49" t="s">
        <v>27</v>
      </c>
      <c r="GR4" s="49" t="s">
        <v>23</v>
      </c>
      <c r="GU4" s="49" t="s">
        <v>24</v>
      </c>
      <c r="GV4" s="49" t="s">
        <v>25</v>
      </c>
      <c r="GW4" s="49" t="s">
        <v>26</v>
      </c>
      <c r="GX4" s="49" t="s">
        <v>28</v>
      </c>
      <c r="GY4" s="49" t="s">
        <v>27</v>
      </c>
      <c r="GZ4" s="49" t="s">
        <v>23</v>
      </c>
      <c r="HC4" s="49" t="s">
        <v>24</v>
      </c>
      <c r="HD4" s="49" t="s">
        <v>25</v>
      </c>
      <c r="HE4" s="49" t="s">
        <v>26</v>
      </c>
      <c r="HF4" s="49" t="s">
        <v>28</v>
      </c>
      <c r="HG4" s="49" t="s">
        <v>27</v>
      </c>
      <c r="HH4" s="49" t="s">
        <v>23</v>
      </c>
      <c r="HK4" s="49" t="s">
        <v>24</v>
      </c>
      <c r="HL4" s="49" t="s">
        <v>25</v>
      </c>
      <c r="HM4" s="49" t="s">
        <v>26</v>
      </c>
      <c r="HN4" s="49" t="s">
        <v>28</v>
      </c>
      <c r="HO4" s="49" t="s">
        <v>27</v>
      </c>
      <c r="HP4" s="49" t="s">
        <v>23</v>
      </c>
      <c r="HS4" s="49" t="s">
        <v>24</v>
      </c>
      <c r="HT4" s="49" t="s">
        <v>25</v>
      </c>
      <c r="HU4" s="49" t="s">
        <v>26</v>
      </c>
      <c r="HV4" s="49" t="s">
        <v>28</v>
      </c>
      <c r="HW4" s="49" t="s">
        <v>27</v>
      </c>
      <c r="HX4" s="49" t="s">
        <v>23</v>
      </c>
      <c r="IA4" s="49" t="s">
        <v>24</v>
      </c>
      <c r="IB4" s="49" t="s">
        <v>25</v>
      </c>
      <c r="IC4" s="49" t="s">
        <v>26</v>
      </c>
      <c r="ID4" s="49" t="s">
        <v>28</v>
      </c>
      <c r="IE4" s="49" t="s">
        <v>27</v>
      </c>
      <c r="IF4" s="49" t="s">
        <v>23</v>
      </c>
      <c r="II4" s="49" t="s">
        <v>24</v>
      </c>
      <c r="IJ4" s="49" t="s">
        <v>25</v>
      </c>
      <c r="IK4" s="49" t="s">
        <v>26</v>
      </c>
      <c r="IL4" s="49" t="s">
        <v>28</v>
      </c>
      <c r="IM4" s="49" t="s">
        <v>27</v>
      </c>
      <c r="IN4" s="49" t="s">
        <v>23</v>
      </c>
      <c r="IQ4" s="49" t="s">
        <v>24</v>
      </c>
      <c r="IR4" s="49" t="s">
        <v>25</v>
      </c>
      <c r="IS4" s="49" t="s">
        <v>26</v>
      </c>
      <c r="IT4" s="49" t="s">
        <v>28</v>
      </c>
      <c r="IU4" s="49" t="s">
        <v>27</v>
      </c>
      <c r="IV4" s="49" t="s">
        <v>23</v>
      </c>
      <c r="IY4" s="49" t="s">
        <v>24</v>
      </c>
      <c r="IZ4" s="49" t="s">
        <v>25</v>
      </c>
      <c r="JA4" s="49" t="s">
        <v>26</v>
      </c>
      <c r="JB4" s="49" t="s">
        <v>28</v>
      </c>
      <c r="JC4" s="49" t="s">
        <v>27</v>
      </c>
      <c r="JD4" s="49" t="s">
        <v>23</v>
      </c>
      <c r="JE4" s="201"/>
      <c r="JF4" s="201"/>
      <c r="JG4" s="201"/>
      <c r="JH4" s="201"/>
      <c r="JI4" s="201"/>
      <c r="JJ4" s="201"/>
      <c r="JK4" s="201"/>
      <c r="JL4" s="201"/>
      <c r="JM4" s="201"/>
      <c r="JN4" s="201"/>
      <c r="JO4" s="201"/>
      <c r="JP4" s="201"/>
      <c r="JQ4" s="201"/>
      <c r="JR4" s="201"/>
      <c r="JS4" s="201"/>
      <c r="JT4" s="201"/>
      <c r="JU4" s="201"/>
      <c r="JV4" s="201"/>
      <c r="JW4" s="201"/>
      <c r="JX4" s="201"/>
      <c r="JY4" s="201"/>
      <c r="JZ4" s="201"/>
      <c r="KA4" s="201"/>
      <c r="KB4" s="201"/>
      <c r="KC4" s="201"/>
      <c r="KD4" s="201"/>
      <c r="KE4" s="201"/>
      <c r="KF4" s="201"/>
      <c r="KG4" s="201"/>
      <c r="KH4" s="201"/>
      <c r="KI4" s="201"/>
      <c r="KJ4" s="201"/>
      <c r="KK4" s="201"/>
      <c r="KL4" s="201"/>
      <c r="KM4" s="201"/>
      <c r="KN4" s="201"/>
      <c r="KO4" s="201"/>
      <c r="KP4" s="201"/>
      <c r="KQ4" s="201"/>
      <c r="KR4" s="201"/>
      <c r="KS4" s="201"/>
      <c r="KT4" s="201"/>
      <c r="KU4" s="201"/>
      <c r="KV4" s="201"/>
      <c r="KW4" s="201"/>
      <c r="KX4" s="201"/>
      <c r="KY4" s="201"/>
      <c r="KZ4" s="201"/>
      <c r="LA4" s="201"/>
      <c r="LB4" s="201"/>
      <c r="LC4" s="201"/>
      <c r="LD4" s="201"/>
      <c r="LE4" s="201"/>
      <c r="LF4" s="201"/>
      <c r="LG4" s="201"/>
      <c r="LH4" s="201"/>
      <c r="LI4" s="201"/>
      <c r="LJ4" s="201"/>
      <c r="LK4" s="201"/>
      <c r="LL4" s="201"/>
      <c r="LM4" s="201"/>
      <c r="LN4" s="201"/>
      <c r="LO4" s="201"/>
      <c r="LP4" s="201"/>
      <c r="LQ4" s="201"/>
      <c r="LR4" s="201"/>
      <c r="LS4" s="201"/>
      <c r="LT4" s="201"/>
      <c r="LU4" s="201"/>
      <c r="LV4" s="201"/>
      <c r="LW4" s="201"/>
      <c r="LX4" s="201"/>
      <c r="LY4" s="201"/>
      <c r="LZ4" s="201"/>
      <c r="MA4" s="201"/>
      <c r="MB4" s="201"/>
      <c r="MC4" s="201"/>
      <c r="MD4" s="201"/>
      <c r="ME4" s="201"/>
      <c r="MF4" s="201"/>
      <c r="MG4" s="201"/>
      <c r="MH4" s="201"/>
      <c r="MI4" s="201"/>
      <c r="MJ4" s="201"/>
      <c r="MK4" s="201"/>
      <c r="ML4" s="201"/>
      <c r="MM4" s="201"/>
      <c r="MN4" s="201"/>
      <c r="MO4" s="201"/>
      <c r="MP4" s="201"/>
      <c r="MQ4" s="201"/>
      <c r="MR4" s="201"/>
      <c r="MS4" s="201"/>
      <c r="MT4" s="201"/>
      <c r="MU4" s="201"/>
      <c r="MV4" s="201"/>
      <c r="MW4" s="201"/>
      <c r="MX4" s="201"/>
      <c r="MY4" s="201"/>
      <c r="MZ4" s="201"/>
      <c r="NA4" s="201"/>
      <c r="NB4" s="201"/>
      <c r="NC4" s="201"/>
      <c r="ND4" s="201"/>
      <c r="NE4" s="201"/>
      <c r="NF4" s="201"/>
      <c r="NG4" s="201"/>
      <c r="NH4" s="201"/>
      <c r="NI4" s="201"/>
      <c r="NJ4" s="201"/>
      <c r="NK4" s="201"/>
      <c r="NL4" s="201"/>
      <c r="NM4" s="201"/>
      <c r="NN4" s="201"/>
      <c r="NO4" s="201"/>
      <c r="NP4" s="201"/>
      <c r="NQ4" s="201"/>
      <c r="NR4" s="201"/>
      <c r="NS4" s="201"/>
      <c r="NT4" s="201"/>
      <c r="NU4" s="201"/>
      <c r="NV4" s="201"/>
      <c r="NW4" s="201"/>
      <c r="NX4" s="201"/>
      <c r="NY4" s="201"/>
      <c r="NZ4" s="201"/>
      <c r="OA4" s="201"/>
      <c r="OB4" s="201"/>
      <c r="OC4" s="201"/>
      <c r="OD4" s="201"/>
      <c r="OE4" s="201"/>
      <c r="OF4" s="201"/>
      <c r="OG4" s="201"/>
      <c r="OH4" s="201"/>
      <c r="OI4" s="201"/>
      <c r="OJ4" s="201"/>
      <c r="OK4" s="201"/>
      <c r="OL4" s="201"/>
      <c r="OM4" s="201"/>
      <c r="ON4" s="201"/>
      <c r="OO4" s="201"/>
      <c r="OP4" s="201"/>
      <c r="OQ4" s="201"/>
      <c r="OR4" s="201"/>
      <c r="OS4" s="201"/>
      <c r="OT4" s="201"/>
      <c r="OU4" s="201"/>
      <c r="OV4" s="201"/>
      <c r="OW4" s="201"/>
      <c r="OX4" s="201"/>
      <c r="OY4" s="201"/>
      <c r="OZ4" s="201"/>
      <c r="PA4" s="201"/>
      <c r="PB4" s="201"/>
    </row>
    <row r="5" spans="1:418" s="43" customFormat="1" ht="10.199999999999999" x14ac:dyDescent="0.2">
      <c r="A5" s="184"/>
      <c r="B5" s="53" t="s">
        <v>13</v>
      </c>
      <c r="C5" s="53" t="s">
        <v>14</v>
      </c>
      <c r="D5" s="53" t="s">
        <v>15</v>
      </c>
      <c r="E5" s="53" t="s">
        <v>16</v>
      </c>
      <c r="F5" s="53" t="s">
        <v>17</v>
      </c>
      <c r="G5" s="53" t="s">
        <v>18</v>
      </c>
      <c r="H5" s="53"/>
      <c r="I5" s="184"/>
      <c r="J5" s="53" t="s">
        <v>13</v>
      </c>
      <c r="K5" s="53" t="s">
        <v>14</v>
      </c>
      <c r="L5" s="53" t="s">
        <v>15</v>
      </c>
      <c r="M5" s="53" t="s">
        <v>16</v>
      </c>
      <c r="N5" s="53" t="s">
        <v>17</v>
      </c>
      <c r="O5" s="53" t="s">
        <v>18</v>
      </c>
      <c r="P5" s="53"/>
      <c r="Q5" s="184"/>
      <c r="R5" s="53" t="s">
        <v>13</v>
      </c>
      <c r="S5" s="53" t="s">
        <v>14</v>
      </c>
      <c r="T5" s="53" t="s">
        <v>15</v>
      </c>
      <c r="U5" s="53" t="s">
        <v>16</v>
      </c>
      <c r="V5" s="53" t="s">
        <v>17</v>
      </c>
      <c r="W5" s="53" t="s">
        <v>18</v>
      </c>
      <c r="X5" s="49"/>
      <c r="Y5" s="49"/>
      <c r="Z5" s="53" t="s">
        <v>13</v>
      </c>
      <c r="AA5" s="53" t="s">
        <v>14</v>
      </c>
      <c r="AB5" s="53" t="s">
        <v>15</v>
      </c>
      <c r="AC5" s="53" t="s">
        <v>16</v>
      </c>
      <c r="AD5" s="53" t="s">
        <v>17</v>
      </c>
      <c r="AE5" s="53" t="s">
        <v>18</v>
      </c>
      <c r="AF5" s="194"/>
      <c r="AG5" s="49"/>
      <c r="AH5" s="53" t="s">
        <v>13</v>
      </c>
      <c r="AI5" s="53" t="s">
        <v>14</v>
      </c>
      <c r="AJ5" s="53" t="s">
        <v>15</v>
      </c>
      <c r="AK5" s="53" t="s">
        <v>16</v>
      </c>
      <c r="AL5" s="53" t="s">
        <v>17</v>
      </c>
      <c r="AM5" s="53" t="s">
        <v>18</v>
      </c>
      <c r="AN5" s="49"/>
      <c r="AO5" s="49"/>
      <c r="AP5" s="53" t="s">
        <v>13</v>
      </c>
      <c r="AQ5" s="53" t="s">
        <v>14</v>
      </c>
      <c r="AR5" s="53" t="s">
        <v>15</v>
      </c>
      <c r="AS5" s="53" t="s">
        <v>16</v>
      </c>
      <c r="AT5" s="53" t="s">
        <v>17</v>
      </c>
      <c r="AU5" s="53" t="s">
        <v>18</v>
      </c>
      <c r="AV5" s="194"/>
      <c r="AW5" s="49"/>
      <c r="AX5" s="53" t="s">
        <v>13</v>
      </c>
      <c r="AY5" s="53" t="s">
        <v>14</v>
      </c>
      <c r="AZ5" s="53" t="s">
        <v>15</v>
      </c>
      <c r="BA5" s="53" t="s">
        <v>16</v>
      </c>
      <c r="BB5" s="53" t="s">
        <v>17</v>
      </c>
      <c r="BC5" s="53" t="s">
        <v>18</v>
      </c>
      <c r="BD5" s="49"/>
      <c r="BE5" s="49"/>
      <c r="BF5" s="53" t="s">
        <v>13</v>
      </c>
      <c r="BG5" s="53" t="s">
        <v>14</v>
      </c>
      <c r="BH5" s="53" t="s">
        <v>15</v>
      </c>
      <c r="BI5" s="53" t="s">
        <v>16</v>
      </c>
      <c r="BJ5" s="53" t="s">
        <v>17</v>
      </c>
      <c r="BK5" s="53" t="s">
        <v>18</v>
      </c>
      <c r="BL5" s="49"/>
      <c r="BM5" s="49"/>
      <c r="BN5" s="53" t="s">
        <v>13</v>
      </c>
      <c r="BO5" s="53" t="s">
        <v>14</v>
      </c>
      <c r="BP5" s="53" t="s">
        <v>15</v>
      </c>
      <c r="BQ5" s="53" t="s">
        <v>16</v>
      </c>
      <c r="BR5" s="53" t="s">
        <v>17</v>
      </c>
      <c r="BS5" s="53" t="s">
        <v>18</v>
      </c>
      <c r="BT5" s="49"/>
      <c r="BU5" s="49"/>
      <c r="BV5" s="53" t="s">
        <v>13</v>
      </c>
      <c r="BW5" s="53" t="s">
        <v>14</v>
      </c>
      <c r="BX5" s="53" t="s">
        <v>15</v>
      </c>
      <c r="BY5" s="53" t="s">
        <v>16</v>
      </c>
      <c r="BZ5" s="53" t="s">
        <v>17</v>
      </c>
      <c r="CA5" s="53" t="s">
        <v>18</v>
      </c>
      <c r="CB5" s="49"/>
      <c r="CC5" s="49"/>
      <c r="CD5" s="53" t="s">
        <v>13</v>
      </c>
      <c r="CE5" s="53" t="s">
        <v>14</v>
      </c>
      <c r="CF5" s="53" t="s">
        <v>15</v>
      </c>
      <c r="CG5" s="53" t="s">
        <v>16</v>
      </c>
      <c r="CH5" s="53" t="s">
        <v>17</v>
      </c>
      <c r="CI5" s="53" t="s">
        <v>18</v>
      </c>
      <c r="CL5" s="53" t="s">
        <v>13</v>
      </c>
      <c r="CM5" s="53" t="s">
        <v>14</v>
      </c>
      <c r="CN5" s="53" t="s">
        <v>15</v>
      </c>
      <c r="CO5" s="53" t="s">
        <v>16</v>
      </c>
      <c r="CP5" s="53" t="s">
        <v>17</v>
      </c>
      <c r="CQ5" s="53" t="s">
        <v>18</v>
      </c>
      <c r="CR5" s="49"/>
      <c r="CS5" s="49"/>
      <c r="CT5" s="53" t="s">
        <v>13</v>
      </c>
      <c r="CU5" s="53" t="s">
        <v>14</v>
      </c>
      <c r="CV5" s="53" t="s">
        <v>15</v>
      </c>
      <c r="CW5" s="53" t="s">
        <v>16</v>
      </c>
      <c r="CX5" s="53" t="s">
        <v>17</v>
      </c>
      <c r="CY5" s="53" t="s">
        <v>18</v>
      </c>
      <c r="CZ5" s="49"/>
      <c r="DA5" s="49"/>
      <c r="DB5" s="53" t="s">
        <v>13</v>
      </c>
      <c r="DC5" s="53" t="s">
        <v>14</v>
      </c>
      <c r="DD5" s="53" t="s">
        <v>15</v>
      </c>
      <c r="DE5" s="53" t="s">
        <v>16</v>
      </c>
      <c r="DF5" s="53" t="s">
        <v>17</v>
      </c>
      <c r="DG5" s="53" t="s">
        <v>18</v>
      </c>
      <c r="DH5" s="49"/>
      <c r="DI5" s="49"/>
      <c r="DJ5" s="53" t="s">
        <v>13</v>
      </c>
      <c r="DK5" s="53" t="s">
        <v>14</v>
      </c>
      <c r="DL5" s="53" t="s">
        <v>15</v>
      </c>
      <c r="DM5" s="53" t="s">
        <v>16</v>
      </c>
      <c r="DN5" s="53" t="s">
        <v>17</v>
      </c>
      <c r="DO5" s="53" t="s">
        <v>18</v>
      </c>
      <c r="DP5" s="49"/>
      <c r="DQ5" s="49"/>
      <c r="DR5" s="53" t="s">
        <v>13</v>
      </c>
      <c r="DS5" s="53" t="s">
        <v>14</v>
      </c>
      <c r="DT5" s="53" t="s">
        <v>15</v>
      </c>
      <c r="DU5" s="53" t="s">
        <v>16</v>
      </c>
      <c r="DV5" s="53" t="s">
        <v>17</v>
      </c>
      <c r="DW5" s="53" t="s">
        <v>18</v>
      </c>
      <c r="DZ5" s="53" t="s">
        <v>13</v>
      </c>
      <c r="EA5" s="53" t="s">
        <v>14</v>
      </c>
      <c r="EB5" s="53" t="s">
        <v>15</v>
      </c>
      <c r="EC5" s="53" t="s">
        <v>16</v>
      </c>
      <c r="ED5" s="53" t="s">
        <v>17</v>
      </c>
      <c r="EE5" s="53" t="s">
        <v>18</v>
      </c>
      <c r="EF5" s="49"/>
      <c r="EH5" s="53" t="s">
        <v>13</v>
      </c>
      <c r="EI5" s="53" t="s">
        <v>14</v>
      </c>
      <c r="EJ5" s="53" t="s">
        <v>15</v>
      </c>
      <c r="EK5" s="53" t="s">
        <v>16</v>
      </c>
      <c r="EL5" s="53" t="s">
        <v>17</v>
      </c>
      <c r="EM5" s="53" t="s">
        <v>18</v>
      </c>
      <c r="EN5" s="49"/>
      <c r="EO5" s="49"/>
      <c r="EP5" s="53" t="s">
        <v>13</v>
      </c>
      <c r="EQ5" s="53" t="s">
        <v>14</v>
      </c>
      <c r="ER5" s="53" t="s">
        <v>15</v>
      </c>
      <c r="ES5" s="53" t="s">
        <v>16</v>
      </c>
      <c r="ET5" s="53" t="s">
        <v>17</v>
      </c>
      <c r="EU5" s="53" t="s">
        <v>18</v>
      </c>
      <c r="EV5" s="49"/>
      <c r="EW5" s="49"/>
      <c r="EX5" s="53" t="s">
        <v>13</v>
      </c>
      <c r="EY5" s="53" t="s">
        <v>14</v>
      </c>
      <c r="EZ5" s="53" t="s">
        <v>15</v>
      </c>
      <c r="FA5" s="53" t="s">
        <v>16</v>
      </c>
      <c r="FB5" s="53" t="s">
        <v>17</v>
      </c>
      <c r="FC5" s="53" t="s">
        <v>18</v>
      </c>
      <c r="FD5" s="49"/>
      <c r="FF5" s="53" t="s">
        <v>13</v>
      </c>
      <c r="FG5" s="53" t="s">
        <v>14</v>
      </c>
      <c r="FH5" s="53" t="s">
        <v>15</v>
      </c>
      <c r="FI5" s="53" t="s">
        <v>16</v>
      </c>
      <c r="FJ5" s="53" t="s">
        <v>17</v>
      </c>
      <c r="FK5" s="53" t="s">
        <v>18</v>
      </c>
      <c r="FN5" s="53" t="s">
        <v>13</v>
      </c>
      <c r="FO5" s="53" t="s">
        <v>14</v>
      </c>
      <c r="FP5" s="53" t="s">
        <v>15</v>
      </c>
      <c r="FQ5" s="53" t="s">
        <v>16</v>
      </c>
      <c r="FR5" s="53" t="s">
        <v>17</v>
      </c>
      <c r="FS5" s="53" t="s">
        <v>18</v>
      </c>
      <c r="FV5" s="53" t="s">
        <v>13</v>
      </c>
      <c r="FW5" s="53" t="s">
        <v>14</v>
      </c>
      <c r="FX5" s="53" t="s">
        <v>15</v>
      </c>
      <c r="FY5" s="53" t="s">
        <v>16</v>
      </c>
      <c r="FZ5" s="53" t="s">
        <v>17</v>
      </c>
      <c r="GA5" s="53" t="s">
        <v>18</v>
      </c>
      <c r="GE5" s="53" t="s">
        <v>13</v>
      </c>
      <c r="GF5" s="53" t="s">
        <v>14</v>
      </c>
      <c r="GG5" s="53" t="s">
        <v>15</v>
      </c>
      <c r="GH5" s="53" t="s">
        <v>16</v>
      </c>
      <c r="GI5" s="53" t="s">
        <v>17</v>
      </c>
      <c r="GJ5" s="53" t="s">
        <v>18</v>
      </c>
      <c r="GM5" s="53" t="s">
        <v>13</v>
      </c>
      <c r="GN5" s="53" t="s">
        <v>14</v>
      </c>
      <c r="GO5" s="53" t="s">
        <v>15</v>
      </c>
      <c r="GP5" s="53" t="s">
        <v>16</v>
      </c>
      <c r="GQ5" s="53" t="s">
        <v>17</v>
      </c>
      <c r="GR5" s="53" t="s">
        <v>18</v>
      </c>
      <c r="GU5" s="53" t="s">
        <v>13</v>
      </c>
      <c r="GV5" s="53" t="s">
        <v>14</v>
      </c>
      <c r="GW5" s="53" t="s">
        <v>15</v>
      </c>
      <c r="GX5" s="53" t="s">
        <v>16</v>
      </c>
      <c r="GY5" s="53" t="s">
        <v>17</v>
      </c>
      <c r="GZ5" s="53" t="s">
        <v>18</v>
      </c>
      <c r="HC5" s="53" t="s">
        <v>13</v>
      </c>
      <c r="HD5" s="53" t="s">
        <v>14</v>
      </c>
      <c r="HE5" s="53" t="s">
        <v>15</v>
      </c>
      <c r="HF5" s="53" t="s">
        <v>16</v>
      </c>
      <c r="HG5" s="53" t="s">
        <v>17</v>
      </c>
      <c r="HH5" s="53" t="s">
        <v>18</v>
      </c>
      <c r="HK5" s="53" t="s">
        <v>13</v>
      </c>
      <c r="HL5" s="53" t="s">
        <v>14</v>
      </c>
      <c r="HM5" s="53" t="s">
        <v>15</v>
      </c>
      <c r="HN5" s="53" t="s">
        <v>16</v>
      </c>
      <c r="HO5" s="53" t="s">
        <v>17</v>
      </c>
      <c r="HP5" s="53" t="s">
        <v>18</v>
      </c>
      <c r="HS5" s="53" t="s">
        <v>13</v>
      </c>
      <c r="HT5" s="53" t="s">
        <v>14</v>
      </c>
      <c r="HU5" s="53" t="s">
        <v>15</v>
      </c>
      <c r="HV5" s="53" t="s">
        <v>16</v>
      </c>
      <c r="HW5" s="53" t="s">
        <v>17</v>
      </c>
      <c r="HX5" s="53" t="s">
        <v>18</v>
      </c>
      <c r="IA5" s="53" t="s">
        <v>13</v>
      </c>
      <c r="IB5" s="53" t="s">
        <v>14</v>
      </c>
      <c r="IC5" s="53" t="s">
        <v>15</v>
      </c>
      <c r="ID5" s="53" t="s">
        <v>16</v>
      </c>
      <c r="IE5" s="53" t="s">
        <v>17</v>
      </c>
      <c r="IF5" s="53" t="s">
        <v>18</v>
      </c>
      <c r="II5" s="53" t="s">
        <v>13</v>
      </c>
      <c r="IJ5" s="53" t="s">
        <v>14</v>
      </c>
      <c r="IK5" s="53" t="s">
        <v>15</v>
      </c>
      <c r="IL5" s="53" t="s">
        <v>16</v>
      </c>
      <c r="IM5" s="53" t="s">
        <v>17</v>
      </c>
      <c r="IN5" s="53" t="s">
        <v>18</v>
      </c>
      <c r="IQ5" s="53" t="s">
        <v>13</v>
      </c>
      <c r="IR5" s="53" t="s">
        <v>14</v>
      </c>
      <c r="IS5" s="53" t="s">
        <v>15</v>
      </c>
      <c r="IT5" s="53" t="s">
        <v>16</v>
      </c>
      <c r="IU5" s="53" t="s">
        <v>17</v>
      </c>
      <c r="IV5" s="53" t="s">
        <v>18</v>
      </c>
      <c r="IY5" s="53" t="s">
        <v>13</v>
      </c>
      <c r="IZ5" s="53" t="s">
        <v>14</v>
      </c>
      <c r="JA5" s="53" t="s">
        <v>15</v>
      </c>
      <c r="JB5" s="53" t="s">
        <v>16</v>
      </c>
      <c r="JC5" s="53" t="s">
        <v>17</v>
      </c>
      <c r="JD5" s="53" t="s">
        <v>18</v>
      </c>
      <c r="JE5" s="201"/>
      <c r="JF5" s="201"/>
      <c r="JG5" s="201"/>
      <c r="JH5" s="201"/>
      <c r="JI5" s="201"/>
      <c r="JJ5" s="201"/>
      <c r="JK5" s="201"/>
      <c r="JL5" s="201"/>
      <c r="JM5" s="201"/>
      <c r="JN5" s="201"/>
      <c r="JO5" s="201"/>
      <c r="JP5" s="201"/>
      <c r="JQ5" s="201"/>
      <c r="JR5" s="201"/>
      <c r="JS5" s="201"/>
      <c r="JT5" s="201"/>
      <c r="JU5" s="201"/>
      <c r="JV5" s="201"/>
      <c r="JW5" s="201"/>
      <c r="JX5" s="201"/>
      <c r="JY5" s="201"/>
      <c r="JZ5" s="201"/>
      <c r="KA5" s="201"/>
      <c r="KB5" s="201"/>
      <c r="KC5" s="201"/>
      <c r="KD5" s="201"/>
      <c r="KE5" s="201"/>
      <c r="KF5" s="201"/>
      <c r="KG5" s="201"/>
      <c r="KH5" s="201"/>
      <c r="KI5" s="201"/>
      <c r="KJ5" s="201"/>
      <c r="KK5" s="201"/>
      <c r="KL5" s="201"/>
      <c r="KM5" s="201"/>
      <c r="KN5" s="201"/>
      <c r="KO5" s="201"/>
      <c r="KP5" s="201"/>
      <c r="KQ5" s="201"/>
      <c r="KR5" s="201"/>
      <c r="KS5" s="201"/>
      <c r="KT5" s="201"/>
      <c r="KU5" s="201"/>
      <c r="KV5" s="201"/>
      <c r="KW5" s="201"/>
      <c r="KX5" s="201"/>
      <c r="KY5" s="201"/>
      <c r="KZ5" s="201"/>
      <c r="LA5" s="201"/>
      <c r="LB5" s="201"/>
      <c r="LC5" s="201"/>
      <c r="LD5" s="201"/>
      <c r="LE5" s="201"/>
      <c r="LF5" s="201"/>
      <c r="LG5" s="201"/>
      <c r="LH5" s="201"/>
      <c r="LI5" s="201"/>
      <c r="LJ5" s="201"/>
      <c r="LK5" s="201"/>
      <c r="LL5" s="201"/>
      <c r="LM5" s="201"/>
      <c r="LN5" s="201"/>
      <c r="LO5" s="201"/>
      <c r="LP5" s="201"/>
      <c r="LQ5" s="201"/>
      <c r="LR5" s="201"/>
      <c r="LS5" s="201"/>
      <c r="LT5" s="201"/>
      <c r="LU5" s="201"/>
      <c r="LV5" s="201"/>
      <c r="LW5" s="201"/>
      <c r="LX5" s="201"/>
      <c r="LY5" s="201"/>
      <c r="LZ5" s="201"/>
      <c r="MA5" s="201"/>
      <c r="MB5" s="201"/>
      <c r="MC5" s="201"/>
      <c r="MD5" s="201"/>
      <c r="ME5" s="201"/>
      <c r="MF5" s="201"/>
      <c r="MG5" s="201"/>
      <c r="MH5" s="201"/>
      <c r="MI5" s="201"/>
      <c r="MJ5" s="201"/>
      <c r="MK5" s="201"/>
      <c r="ML5" s="201"/>
      <c r="MM5" s="201"/>
      <c r="MN5" s="201"/>
      <c r="MO5" s="201"/>
      <c r="MP5" s="201"/>
      <c r="MQ5" s="201"/>
      <c r="MR5" s="201"/>
      <c r="MS5" s="201"/>
      <c r="MT5" s="201"/>
      <c r="MU5" s="201"/>
      <c r="MV5" s="201"/>
      <c r="MW5" s="201"/>
      <c r="MX5" s="201"/>
      <c r="MY5" s="201"/>
      <c r="MZ5" s="201"/>
      <c r="NA5" s="201"/>
      <c r="NB5" s="201"/>
      <c r="NC5" s="201"/>
      <c r="ND5" s="201"/>
      <c r="NE5" s="201"/>
      <c r="NF5" s="201"/>
      <c r="NG5" s="201"/>
      <c r="NH5" s="201"/>
      <c r="NI5" s="201"/>
      <c r="NJ5" s="201"/>
      <c r="NK5" s="201"/>
      <c r="NL5" s="201"/>
      <c r="NM5" s="201"/>
      <c r="NN5" s="201"/>
      <c r="NO5" s="201"/>
      <c r="NP5" s="201"/>
      <c r="NQ5" s="201"/>
      <c r="NR5" s="201"/>
      <c r="NS5" s="201"/>
      <c r="NT5" s="201"/>
      <c r="NU5" s="201"/>
      <c r="NV5" s="201"/>
      <c r="NW5" s="201"/>
      <c r="NX5" s="201"/>
      <c r="NY5" s="201"/>
      <c r="NZ5" s="201"/>
      <c r="OA5" s="201"/>
      <c r="OB5" s="201"/>
      <c r="OC5" s="201"/>
      <c r="OD5" s="201"/>
      <c r="OE5" s="201"/>
      <c r="OF5" s="201"/>
      <c r="OG5" s="201"/>
      <c r="OH5" s="201"/>
      <c r="OI5" s="201"/>
      <c r="OJ5" s="201"/>
      <c r="OK5" s="201"/>
      <c r="OL5" s="201"/>
      <c r="OM5" s="201"/>
      <c r="ON5" s="201"/>
      <c r="OO5" s="201"/>
      <c r="OP5" s="201"/>
      <c r="OQ5" s="201"/>
      <c r="OR5" s="201"/>
      <c r="OS5" s="201"/>
      <c r="OT5" s="201"/>
      <c r="OU5" s="201"/>
      <c r="OV5" s="201"/>
      <c r="OW5" s="201"/>
      <c r="OX5" s="201"/>
      <c r="OY5" s="201"/>
      <c r="OZ5" s="201"/>
      <c r="PA5" s="201"/>
      <c r="PB5" s="201"/>
    </row>
    <row r="6" spans="1:418" s="77" customFormat="1" ht="12" customHeight="1" x14ac:dyDescent="0.2">
      <c r="A6" s="48">
        <v>1960</v>
      </c>
      <c r="B6" s="59">
        <f>'C1-Incomes'!C8/'C1-Incomes'!$B8</f>
        <v>0.31720703823819152</v>
      </c>
      <c r="C6" s="59">
        <f>'C1-Incomes'!D8/'C1-Incomes'!$B8</f>
        <v>0.20826534164360994</v>
      </c>
      <c r="D6" s="59">
        <f>'C1-Incomes'!E8/'C1-Incomes'!$B8</f>
        <v>8.3104745159463742E-2</v>
      </c>
      <c r="E6" s="59">
        <f>'C1-Incomes'!F8/'C1-Incomes'!$B8</f>
        <v>5.5574202776970068E-2</v>
      </c>
      <c r="F6" s="59">
        <f>'C1-Incomes'!G8/'C1-Incomes'!$B8</f>
        <v>2.1465971104204829E-2</v>
      </c>
      <c r="G6" s="59">
        <f>'C1-Incomes'!H8/'C1-Incomes'!$B8</f>
        <v>5.9220749050376683E-3</v>
      </c>
      <c r="H6" s="59"/>
      <c r="J6" s="59">
        <f>'C1-Incomes'!K8/'C1-Incomes'!$J8</f>
        <v>0.34504687012307472</v>
      </c>
      <c r="K6" s="59">
        <f>'C1-Incomes'!L8/'C1-Incomes'!$J8</f>
        <v>0.24068323152221274</v>
      </c>
      <c r="L6" s="59">
        <f>'C1-Incomes'!M8/'C1-Incomes'!$J8</f>
        <v>0.1103860864630547</v>
      </c>
      <c r="M6" s="59">
        <f>'C1-Incomes'!N8/'C1-Incomes'!$J8</f>
        <v>8.1084208410910838E-2</v>
      </c>
      <c r="N6" s="59">
        <f>'C1-Incomes'!O8/'C1-Incomes'!$J8</f>
        <v>4.0069490722777414E-2</v>
      </c>
      <c r="O6" s="59">
        <f>'C1-Incomes'!P8/'C1-Incomes'!$J8</f>
        <v>1.4819503745896004E-2</v>
      </c>
      <c r="P6" s="59"/>
      <c r="R6" s="59">
        <f>'C1-Incomes'!S8/'C1-Incomes'!$R8</f>
        <v>0.33087556367350091</v>
      </c>
      <c r="S6" s="59">
        <f>'C1-Incomes'!T8/'C1-Incomes'!$R8</f>
        <v>0.23050938084177869</v>
      </c>
      <c r="T6" s="59">
        <f>'C1-Incomes'!U8/'C1-Incomes'!$R8</f>
        <v>0.10547561256553753</v>
      </c>
      <c r="U6" s="59">
        <f>'C1-Incomes'!V8/'C1-Incomes'!$R8</f>
        <v>7.7395939407315817E-2</v>
      </c>
      <c r="V6" s="59">
        <f>'C1-Incomes'!W8/'C1-Incomes'!$R8</f>
        <v>3.8171306462410848E-2</v>
      </c>
      <c r="W6" s="59">
        <f>'C1-Incomes'!X8/'C1-Incomes'!$R8</f>
        <v>1.4106821971781244E-2</v>
      </c>
      <c r="X6" s="59"/>
      <c r="Y6" s="59"/>
      <c r="Z6" s="59">
        <f>'C1-Incomes'!AA8/'C1-Incomes'!$Z8</f>
        <v>0.2785484204605238</v>
      </c>
      <c r="AA6" s="59">
        <f>'C1-Incomes'!AB8/'C1-Incomes'!$Z8</f>
        <v>0.18587811053555264</v>
      </c>
      <c r="AB6" s="59">
        <f>'C1-Incomes'!AC8/'C1-Incomes'!$Z8</f>
        <v>7.8989479518218247E-2</v>
      </c>
      <c r="AC6" s="59">
        <f>'C1-Incomes'!AD8/'C1-Incomes'!$Z8</f>
        <v>5.5852501612961847E-2</v>
      </c>
      <c r="AD6" s="59">
        <f>'C1-Incomes'!AE8/'C1-Incomes'!$Z8</f>
        <v>2.5600823370329828E-2</v>
      </c>
      <c r="AE6" s="59">
        <f>'C1-Incomes'!AF8/'C1-Incomes'!$Z8</f>
        <v>8.7948142262866749E-3</v>
      </c>
      <c r="AF6" s="196"/>
      <c r="AG6" s="195"/>
      <c r="AH6" s="59">
        <f>'C1-Incomes'!AI8/'C1-Incomes'!$AH8</f>
        <v>0.31911124323030554</v>
      </c>
      <c r="AI6" s="59">
        <f>'C1-Incomes'!AJ8/'C1-Incomes'!$AH8</f>
        <v>0.20895398592074732</v>
      </c>
      <c r="AJ6" s="59">
        <f>'C1-Incomes'!AK8/'C1-Incomes'!$AH8</f>
        <v>8.3164274487250237E-2</v>
      </c>
      <c r="AK6" s="59">
        <f>'C1-Incomes'!AL8/'C1-Incomes'!$AH8</f>
        <v>5.5626859609937775E-2</v>
      </c>
      <c r="AL6" s="59">
        <f>'C1-Incomes'!AM8/'C1-Incomes'!$AH8</f>
        <v>2.1516294902939107E-2</v>
      </c>
      <c r="AM6" s="59">
        <f>'C1-Incomes'!AN8/'C1-Incomes'!$AH8</f>
        <v>5.9583337746960379E-3</v>
      </c>
      <c r="AN6" s="195"/>
      <c r="AO6" s="195"/>
      <c r="AP6" s="59">
        <f>'C1-Incomes'!AQ8/'C1-Incomes'!$AP8</f>
        <v>0.319345186823072</v>
      </c>
      <c r="AQ6" s="59">
        <f>'C1-Incomes'!AR8/'C1-Incomes'!$AP8</f>
        <v>0.20929491078109086</v>
      </c>
      <c r="AR6" s="59">
        <f>'C1-Incomes'!AS8/'C1-Incomes'!$AP8</f>
        <v>8.3559380562637509E-2</v>
      </c>
      <c r="AS6" s="59">
        <f>'C1-Incomes'!AT8/'C1-Incomes'!$AP8</f>
        <v>5.5990439042504822E-2</v>
      </c>
      <c r="AT6" s="59">
        <f>'C1-Incomes'!AU8/'C1-Incomes'!$AP8</f>
        <v>2.1757614470916706E-2</v>
      </c>
      <c r="AU6" s="59">
        <f>'C1-Incomes'!AV8/'C1-Incomes'!$AP8</f>
        <v>6.0787991440168134E-3</v>
      </c>
      <c r="AV6" s="197"/>
      <c r="AW6" s="60"/>
      <c r="AX6" s="59">
        <f>'C1-Incomes'!AY8/'C1-Incomes'!$AX8</f>
        <v>0.32183883496841448</v>
      </c>
      <c r="AY6" s="59">
        <f>'C1-Incomes'!AZ8/'C1-Incomes'!$AX8</f>
        <v>0.21224219060398847</v>
      </c>
      <c r="AZ6" s="59">
        <f>'C1-Incomes'!BA8/'C1-Incomes'!$AX8</f>
        <v>8.6599140546202352E-2</v>
      </c>
      <c r="BA6" s="59">
        <f>'C1-Incomes'!BB8/'C1-Incomes'!$AX8</f>
        <v>5.8418360214926447E-2</v>
      </c>
      <c r="BB6" s="59">
        <f>'C1-Incomes'!BC8/'C1-Incomes'!$AX8</f>
        <v>2.2932570683407743E-2</v>
      </c>
      <c r="BC6" s="59">
        <f>'C1-Incomes'!BD8/'C1-Incomes'!$AX8</f>
        <v>6.482846488371565E-3</v>
      </c>
      <c r="BD6" s="60"/>
      <c r="BE6" s="60"/>
      <c r="BF6" s="59">
        <f>'C1-Incomes'!BG8/'C1-Incomes'!$BF8</f>
        <v>0.32239453067920726</v>
      </c>
      <c r="BG6" s="59">
        <f>'C1-Incomes'!BH8/'C1-Incomes'!$BF8</f>
        <v>0.21283118321550157</v>
      </c>
      <c r="BH6" s="59">
        <f>'C1-Incomes'!BI8/'C1-Incomes'!$BF8</f>
        <v>8.6920610846777532E-2</v>
      </c>
      <c r="BI6" s="59">
        <f>'C1-Incomes'!BJ8/'C1-Incomes'!$BF8</f>
        <v>5.8599006044602567E-2</v>
      </c>
      <c r="BJ6" s="59">
        <f>'C1-Incomes'!BK8/'C1-Incomes'!$BF8</f>
        <v>2.2920208716019685E-2</v>
      </c>
      <c r="BK6" s="59">
        <f>'C1-Incomes'!BL8/'C1-Incomes'!$BF8</f>
        <v>6.4435939627621895E-3</v>
      </c>
      <c r="BL6" s="59"/>
      <c r="BM6" s="59"/>
      <c r="BN6" s="59">
        <f>'C1-Incomes'!BO8/'C1-Incomes'!$BN8</f>
        <v>0.30817059533752605</v>
      </c>
      <c r="BO6" s="59">
        <f>'C1-Incomes'!BP8/'C1-Incomes'!$BN8</f>
        <v>0.20064371587471491</v>
      </c>
      <c r="BP6" s="59">
        <f>'C1-Incomes'!BQ8/'C1-Incomes'!$BN8</f>
        <v>7.8734821284945827E-2</v>
      </c>
      <c r="BQ6" s="59">
        <f>'C1-Incomes'!BR8/'C1-Incomes'!$BN8</f>
        <v>5.3664469449002467E-2</v>
      </c>
      <c r="BR6" s="59">
        <f>'C1-Incomes'!BS8/'C1-Incomes'!$BN8</f>
        <v>2.2005514717146415E-2</v>
      </c>
      <c r="BS6" s="59">
        <f>'C1-Incomes'!BT8/'C1-Incomes'!$BN8</f>
        <v>6.4779819231567844E-3</v>
      </c>
      <c r="BT6" s="59"/>
      <c r="BU6" s="59"/>
      <c r="BV6" s="59">
        <f>'C1-Incomes'!BW8/'C1-Incomes'!$BV8</f>
        <v>0.31049472417579987</v>
      </c>
      <c r="BW6" s="59">
        <f>'C1-Incomes'!BX8/'C1-Incomes'!$BV8</f>
        <v>0.20307262895578068</v>
      </c>
      <c r="BX6" s="59">
        <f>'C1-Incomes'!BY8/'C1-Incomes'!$BV8</f>
        <v>8.0704586205879808E-2</v>
      </c>
      <c r="BY6" s="59">
        <f>'C1-Incomes'!BZ8/'C1-Incomes'!$BV8</f>
        <v>5.5327234837754508E-2</v>
      </c>
      <c r="BZ6" s="59">
        <f>'C1-Incomes'!CA8/'C1-Incomes'!$BV8</f>
        <v>2.3034320184855454E-2</v>
      </c>
      <c r="CA6" s="59">
        <f>'C1-Incomes'!CB8/'C1-Incomes'!$BV8</f>
        <v>6.8455192836261542E-3</v>
      </c>
      <c r="CB6" s="60"/>
      <c r="CC6" s="198"/>
      <c r="CD6" s="59">
        <f>'C1-Incomes'!CE8/'C1-Incomes'!$CD8</f>
        <v>0.33452947393021182</v>
      </c>
      <c r="CE6" s="59">
        <f>'C1-Incomes'!CF8/'C1-Incomes'!$CD8</f>
        <v>0.22929613404616608</v>
      </c>
      <c r="CF6" s="59">
        <f>'C1-Incomes'!CG8/'C1-Incomes'!$CD8</f>
        <v>0.10435240750969214</v>
      </c>
      <c r="CG6" s="59">
        <f>'C1-Incomes'!CH8/'C1-Incomes'!$CD8</f>
        <v>7.5919040649366207E-2</v>
      </c>
      <c r="CH6" s="59">
        <f>'C1-Incomes'!CI8/'C1-Incomes'!$CD8</f>
        <v>3.6466358282965891E-2</v>
      </c>
      <c r="CI6" s="59">
        <f>'C1-Incomes'!CJ8/'C1-Incomes'!$CD8</f>
        <v>1.3173085461601388E-2</v>
      </c>
      <c r="CL6" s="59">
        <f>'C1-Incomes'!CM8/'C1-Incomes'!$CL8</f>
        <v>0.35193329057332545</v>
      </c>
      <c r="CM6" s="59">
        <f>'C1-Incomes'!CN8/'C1-Incomes'!$CL8</f>
        <v>0.24725127694688551</v>
      </c>
      <c r="CN6" s="59">
        <f>'C1-Incomes'!CO8/'C1-Incomes'!$CL8</f>
        <v>0.11794533236698555</v>
      </c>
      <c r="CO6" s="59">
        <f>'C1-Incomes'!CP8/'C1-Incomes'!$CL8</f>
        <v>8.7567399380568928E-2</v>
      </c>
      <c r="CP6" s="59">
        <f>'C1-Incomes'!CQ8/'C1-Incomes'!$CL8</f>
        <v>4.4021730448695444E-2</v>
      </c>
      <c r="CQ6" s="59">
        <f>'C1-Incomes'!CR8/'C1-Incomes'!$CL8</f>
        <v>1.6446821508159893E-2</v>
      </c>
      <c r="CR6" s="59"/>
      <c r="CS6" s="59"/>
      <c r="CT6" s="59">
        <f>'C1-Incomes'!CU8/'C1-Incomes'!$CT8</f>
        <v>0.36058573060880733</v>
      </c>
      <c r="CU6" s="59">
        <f>'C1-Incomes'!CV8/'C1-Incomes'!$CT8</f>
        <v>0.25620103548774648</v>
      </c>
      <c r="CV6" s="59">
        <f>'C1-Incomes'!CW8/'C1-Incomes'!$CT8</f>
        <v>0.12401863814167412</v>
      </c>
      <c r="CW6" s="59">
        <f>'C1-Incomes'!CX8/'C1-Incomes'!$CT8</f>
        <v>9.2336695372765315E-2</v>
      </c>
      <c r="CX6" s="59">
        <f>'C1-Incomes'!CY8/'C1-Incomes'!$CT8</f>
        <v>4.6764181709930588E-2</v>
      </c>
      <c r="CY6" s="59">
        <f>'C1-Incomes'!CZ8/'C1-Incomes'!$CT8</f>
        <v>1.7585107500102379E-2</v>
      </c>
      <c r="CZ6" s="59"/>
      <c r="DA6" s="59"/>
      <c r="DB6" s="59">
        <f>'C1-Incomes'!DC8/'C1-Incomes'!$DB8</f>
        <v>0.36165389098594342</v>
      </c>
      <c r="DC6" s="59">
        <f>'C1-Incomes'!DD8/'C1-Incomes'!$DB8</f>
        <v>0.25715089623718279</v>
      </c>
      <c r="DD6" s="59">
        <f>'C1-Incomes'!DE8/'C1-Incomes'!$DB8</f>
        <v>0.12489815857193759</v>
      </c>
      <c r="DE6" s="59">
        <f>'C1-Incomes'!DF8/'C1-Incomes'!$DB8</f>
        <v>9.3126158879239307E-2</v>
      </c>
      <c r="DF6" s="59">
        <f>'C1-Incomes'!DG8/'C1-Incomes'!$DB8</f>
        <v>4.7369534759781728E-2</v>
      </c>
      <c r="DG6" s="59">
        <f>'C1-Incomes'!DH8/'C1-Incomes'!$DB8</f>
        <v>1.7839025394692221E-2</v>
      </c>
      <c r="DH6" s="59"/>
      <c r="DI6" s="1039"/>
      <c r="DJ6" s="59">
        <f>'C1-Incomes'!DK8/'C1-Incomes'!$DJ8</f>
        <v>0.35848506926246876</v>
      </c>
      <c r="DK6" s="59">
        <f>'C1-Incomes'!DL8/'C1-Incomes'!$DJ8</f>
        <v>0.25617833519692196</v>
      </c>
      <c r="DL6" s="59">
        <f>'C1-Incomes'!DM8/'C1-Incomes'!$DJ8</f>
        <v>0.12450748523691885</v>
      </c>
      <c r="DM6" s="59">
        <f>'C1-Incomes'!DN8/'C1-Incomes'!$DJ8</f>
        <v>9.2559328261480237E-2</v>
      </c>
      <c r="DN6" s="59">
        <f>'C1-Incomes'!DO8/'C1-Incomes'!$DJ8</f>
        <v>4.6561469238475303E-2</v>
      </c>
      <c r="DO6" s="59">
        <f>'C1-Incomes'!DP8/'C1-Incomes'!$DJ8</f>
        <v>1.6712187141138698E-2</v>
      </c>
      <c r="DP6" s="696"/>
      <c r="DQ6" s="503"/>
      <c r="DR6" s="59">
        <f>'C1-Incomes'!DS8/'C1-Incomes'!$DR8</f>
        <v>0.35983778344426809</v>
      </c>
      <c r="DS6" s="59">
        <f>'C1-Incomes'!DT8/'C1-Incomes'!$DR8</f>
        <v>0.25611113306787098</v>
      </c>
      <c r="DT6" s="59">
        <f>'C1-Incomes'!DU8/'C1-Incomes'!$DR8</f>
        <v>0.1223245972428688</v>
      </c>
      <c r="DU6" s="59">
        <f>'C1-Incomes'!DV8/'C1-Incomes'!$DR8</f>
        <v>9.0449199671743113E-2</v>
      </c>
      <c r="DV6" s="59">
        <f>'C1-Incomes'!DW8/'C1-Incomes'!$DR8</f>
        <v>4.5220287804037196E-2</v>
      </c>
      <c r="DW6" s="59">
        <f>'C1-Incomes'!DX8/'C1-Incomes'!$DR8</f>
        <v>1.6257739649903662E-2</v>
      </c>
      <c r="DX6" s="333"/>
      <c r="DZ6" s="59">
        <f>'C1-Incomes'!EA8/'C1-Incomes'!$DZ8</f>
        <v>0.35592629791300612</v>
      </c>
      <c r="EA6" s="59">
        <f>'C1-Incomes'!EB8/'C1-Incomes'!$DZ8</f>
        <v>0.25234296289431801</v>
      </c>
      <c r="EB6" s="59">
        <f>'C1-Incomes'!EC8/'C1-Incomes'!$DZ8</f>
        <v>0.11989341780115349</v>
      </c>
      <c r="EC6" s="59">
        <f>'C1-Incomes'!ED8/'C1-Incomes'!$DZ8</f>
        <v>8.8632665453049139E-2</v>
      </c>
      <c r="ED6" s="59">
        <f>'C1-Incomes'!EE8/'C1-Incomes'!$DZ8</f>
        <v>4.4265198973754298E-2</v>
      </c>
      <c r="EE6" s="59">
        <f>'C1-Incomes'!EF8/'C1-Incomes'!$DZ8</f>
        <v>1.5906416166272374E-2</v>
      </c>
      <c r="EF6" s="59"/>
      <c r="EH6" s="59">
        <f>'C1-Incomes'!EI8/'C1-Incomes'!$EH8</f>
        <v>0.35543026928555665</v>
      </c>
      <c r="EI6" s="59">
        <f>'C1-Incomes'!EJ8/'C1-Incomes'!$EH8</f>
        <v>0.2511293533684521</v>
      </c>
      <c r="EJ6" s="59">
        <f>'C1-Incomes'!EK8/'C1-Incomes'!$EH8</f>
        <v>0.11847203583538561</v>
      </c>
      <c r="EK6" s="59">
        <f>'C1-Incomes'!EL8/'C1-Incomes'!$EH8</f>
        <v>8.7505650736022109E-2</v>
      </c>
      <c r="EL6" s="59">
        <f>'C1-Incomes'!EM8/'C1-Incomes'!$EH8</f>
        <v>4.3679701936699268E-2</v>
      </c>
      <c r="EM6" s="59">
        <f>'C1-Incomes'!EN8/'C1-Incomes'!$EH8</f>
        <v>1.6210553899186603E-2</v>
      </c>
      <c r="EN6" s="59"/>
      <c r="EO6" s="59"/>
      <c r="EP6" s="59">
        <f>'C1-Incomes'!EQ8/'C1-Incomes'!$EH8</f>
        <v>0.36424988786889556</v>
      </c>
      <c r="EQ6" s="59">
        <f>'C1-Incomes'!ER8/'C1-Incomes'!$EH8</f>
        <v>0.25612150288495811</v>
      </c>
      <c r="ER6" s="59">
        <f>'C1-Incomes'!ES8/'C1-Incomes'!$EH8</f>
        <v>0.11958385844368358</v>
      </c>
      <c r="ES6" s="59">
        <f>'C1-Incomes'!ET8/'C1-Incomes'!$EH8</f>
        <v>8.8308297523442408E-2</v>
      </c>
      <c r="ET6" s="59">
        <f>'C1-Incomes'!EU8/'C1-Incomes'!$EH8</f>
        <v>4.3833998785685141E-2</v>
      </c>
      <c r="EU6" s="59">
        <f>'C1-Incomes'!EV8/'C1-Incomes'!$EH8</f>
        <v>1.621128540545284E-2</v>
      </c>
      <c r="EV6" s="59"/>
      <c r="EW6" s="59"/>
      <c r="EX6" s="59">
        <f>'C1-Incomes'!EY8/'C1-Incomes'!$EX8</f>
        <v>0.34504687012307472</v>
      </c>
      <c r="EY6" s="59">
        <f>'C1-Incomes'!EZ8/'C1-Incomes'!$EX8</f>
        <v>0.24068323152221274</v>
      </c>
      <c r="EZ6" s="59">
        <f>'C1-Incomes'!FA8/'C1-Incomes'!$EX8</f>
        <v>0.1103860864630547</v>
      </c>
      <c r="FA6" s="59">
        <f>'C1-Incomes'!FB8/'C1-Incomes'!$EX8</f>
        <v>8.1084208410910838E-2</v>
      </c>
      <c r="FB6" s="59">
        <f>'C1-Incomes'!FC8/'C1-Incomes'!$EX8</f>
        <v>4.0069490722777414E-2</v>
      </c>
      <c r="FC6" s="59">
        <f>'C1-Incomes'!FD8/'C1-Incomes'!$EX8</f>
        <v>1.4819503745896004E-2</v>
      </c>
      <c r="FD6" s="59"/>
      <c r="FF6" s="59">
        <f>'C1-Incomes'!FG8/'C1-Incomes'!$FF8</f>
        <v>0.33814950818781825</v>
      </c>
      <c r="FG6" s="59">
        <f>'C1-Incomes'!FH8/'C1-Incomes'!$FF8</f>
        <v>0.23581804049918356</v>
      </c>
      <c r="FH6" s="59">
        <f>'C1-Incomes'!FI8/'C1-Incomes'!$FF8</f>
        <v>0.10803048045492174</v>
      </c>
      <c r="FI6" s="59">
        <f>'C1-Incomes'!FJ8/'C1-Incomes'!$FF8</f>
        <v>7.9293142901297659E-2</v>
      </c>
      <c r="FJ6" s="59">
        <f>'C1-Incomes'!FK8/'C1-Incomes'!$FF8</f>
        <v>3.9120494615948367E-2</v>
      </c>
      <c r="FK6" s="59">
        <f>'C1-Incomes'!FL8/'C1-Incomes'!$FF8</f>
        <v>1.4460046692233533E-2</v>
      </c>
      <c r="FN6" s="59">
        <f>'C1-Incomes'!FO8/'C1-Incomes'!$FN8</f>
        <v>0.33618187991246484</v>
      </c>
      <c r="FO6" s="59">
        <f>'C1-Incomes'!FP8/'C1-Incomes'!$FN8</f>
        <v>0.23438111081813637</v>
      </c>
      <c r="FP6" s="59">
        <f>'C1-Incomes'!FQ8/'C1-Incomes'!$FN8</f>
        <v>0.10736182864418553</v>
      </c>
      <c r="FQ6" s="59">
        <f>'C1-Incomes'!FR8/'C1-Incomes'!$FN8</f>
        <v>7.8800811219593148E-2</v>
      </c>
      <c r="FR6" s="59">
        <f>'C1-Incomes'!FS8/'C1-Incomes'!$FN8</f>
        <v>3.8877227767901971E-2</v>
      </c>
      <c r="FS6" s="59">
        <f>'C1-Incomes'!FT8/'C1-Incomes'!$FN8</f>
        <v>1.4370105360221104E-2</v>
      </c>
      <c r="FV6" s="59">
        <f>'C1-Incomes'!FW8/'C1-Incomes'!$FV8</f>
        <v>0.33181979076614304</v>
      </c>
      <c r="FW6" s="59">
        <f>'C1-Incomes'!FX8/'C1-Incomes'!$FV8</f>
        <v>0.23116719068449573</v>
      </c>
      <c r="FX6" s="59">
        <f>'C1-Incomes'!FY8/'C1-Incomes'!$FV8</f>
        <v>0.10577661071085745</v>
      </c>
      <c r="FY6" s="59">
        <f>'C1-Incomes'!FZ8/'C1-Incomes'!$FV8</f>
        <v>7.7616805953148099E-2</v>
      </c>
      <c r="FZ6" s="59">
        <f>'C1-Incomes'!GA8/'C1-Incomes'!$FV8</f>
        <v>3.828023678450293E-2</v>
      </c>
      <c r="GA6" s="59">
        <f>'C1-Incomes'!GB8/'C1-Incomes'!$FV8</f>
        <v>1.41470789292578E-2</v>
      </c>
      <c r="GE6" s="59">
        <f>'C1-Incomes'!GF8/'C1-Incomes'!$GE8</f>
        <v>0.33181979076614304</v>
      </c>
      <c r="GF6" s="59">
        <f>'C1-Incomes'!GG8/'C1-Incomes'!$GE8</f>
        <v>0.23116719068449573</v>
      </c>
      <c r="GG6" s="59">
        <f>'C1-Incomes'!GH8/'C1-Incomes'!$GE8</f>
        <v>0.10577661071085745</v>
      </c>
      <c r="GH6" s="59">
        <f>'C1-Incomes'!GI8/'C1-Incomes'!$GE8</f>
        <v>7.7616805953148099E-2</v>
      </c>
      <c r="GI6" s="59">
        <f>'C1-Incomes'!GJ8/'C1-Incomes'!$GE8</f>
        <v>3.828023678450293E-2</v>
      </c>
      <c r="GJ6" s="59">
        <f>'C1-Incomes'!GK8/'C1-Incomes'!$GE8</f>
        <v>1.41470789292578E-2</v>
      </c>
      <c r="GM6" s="59">
        <f>'C1-Incomes'!GN8/'C1-Incomes'!$GM8</f>
        <v>0.33087556367350091</v>
      </c>
      <c r="GN6" s="59">
        <f>'C1-Incomes'!GO8/'C1-Incomes'!$GM8</f>
        <v>0.23050938084177869</v>
      </c>
      <c r="GO6" s="59">
        <f>'C1-Incomes'!GP8/'C1-Incomes'!$GM8</f>
        <v>0.10547561256553753</v>
      </c>
      <c r="GP6" s="59">
        <f>'C1-Incomes'!GQ8/'C1-Incomes'!$GM8</f>
        <v>7.7395939407315817E-2</v>
      </c>
      <c r="GQ6" s="59">
        <f>'C1-Incomes'!GR8/'C1-Incomes'!$GM8</f>
        <v>3.8171306462410848E-2</v>
      </c>
      <c r="GR6" s="59">
        <f>'C1-Incomes'!GS8/'C1-Incomes'!$GM8</f>
        <v>1.4106821971781244E-2</v>
      </c>
      <c r="GU6" s="59">
        <f>'C1-Incomes'!GV8/'C1-Incomes'!$GU8</f>
        <v>0.31226364595638267</v>
      </c>
      <c r="GV6" s="59">
        <f>'C1-Incomes'!GW8/'C1-Incomes'!$GU8</f>
        <v>0.21510813512491903</v>
      </c>
      <c r="GW6" s="59">
        <f>'C1-Incomes'!GX8/'C1-Incomes'!$GU8</f>
        <v>9.6191811579473874E-2</v>
      </c>
      <c r="GX6" s="59">
        <f>'C1-Incomes'!GY8/'C1-Incomes'!$GU8</f>
        <v>6.9856502672596132E-2</v>
      </c>
      <c r="GY6" s="59">
        <f>'C1-Incomes'!GZ8/'C1-Incomes'!$GU8</f>
        <v>3.4149602179414193E-2</v>
      </c>
      <c r="GZ6" s="59">
        <f>'C1-Incomes'!HA8/'C1-Incomes'!$GU8</f>
        <v>1.2424487414152658E-2</v>
      </c>
      <c r="HC6" s="59">
        <f>'C1-Incomes'!HD8/'C1-Incomes'!$HC8</f>
        <v>0.31088889808285114</v>
      </c>
      <c r="HD6" s="59">
        <f>'C1-Incomes'!HE8/'C1-Incomes'!$HC8</f>
        <v>0.21377804104361894</v>
      </c>
      <c r="HE6" s="59">
        <f>'C1-Incomes'!HF8/'C1-Incomes'!$HC8</f>
        <v>9.5312492097992141E-2</v>
      </c>
      <c r="HF6" s="59">
        <f>'C1-Incomes'!HG8/'C1-Incomes'!$HC8</f>
        <v>6.9090093680811079E-2</v>
      </c>
      <c r="HG6" s="59">
        <f>'C1-Incomes'!HH8/'C1-Incomes'!$HC8</f>
        <v>3.3727604117914131E-2</v>
      </c>
      <c r="HH6" s="59">
        <f>'C1-Incomes'!HI8/'C1-Incomes'!$HC8</f>
        <v>1.2269920120574049E-2</v>
      </c>
      <c r="HK6" s="59">
        <f>'C1-Incomes'!HL8/'C1-Incomes'!$HK8</f>
        <v>0.29506298965337319</v>
      </c>
      <c r="HL6" s="59">
        <f>'C1-Incomes'!HM8/'C1-Incomes'!$HK8</f>
        <v>0.19789634174649406</v>
      </c>
      <c r="HM6" s="59">
        <f>'C1-Incomes'!HN8/'C1-Incomes'!$HK8</f>
        <v>8.342527262629168E-2</v>
      </c>
      <c r="HN6" s="59">
        <f>'C1-Incomes'!HO8/'C1-Incomes'!$HK8</f>
        <v>5.8949518915368142E-2</v>
      </c>
      <c r="HO6" s="59">
        <f>'C1-Incomes'!HP8/'C1-Incomes'!$HK8</f>
        <v>2.723512230041528E-2</v>
      </c>
      <c r="HP6" s="59">
        <f>'C1-Incomes'!HQ8/'C1-Incomes'!$HK8</f>
        <v>9.4709735408652074E-3</v>
      </c>
      <c r="HS6" s="59">
        <f>'C1-Incomes'!HT8/'C1-Incomes'!$HS8</f>
        <v>0.28461467191149326</v>
      </c>
      <c r="HT6" s="59">
        <f>'C1-Incomes'!HU8/'C1-Incomes'!$HS8</f>
        <v>0.18788054818690905</v>
      </c>
      <c r="HU6" s="59">
        <f>'C1-Incomes'!HV8/'C1-Incomes'!$HS8</f>
        <v>7.7361626969973077E-2</v>
      </c>
      <c r="HV6" s="59">
        <f>'C1-Incomes'!HW8/'C1-Incomes'!$HS8</f>
        <v>5.4273935752992511E-2</v>
      </c>
      <c r="HW6" s="59">
        <f>'C1-Incomes'!HX8/'C1-Incomes'!$HS8</f>
        <v>2.4587728745481371E-2</v>
      </c>
      <c r="HX6" s="59">
        <f>'C1-Incomes'!HY8/'C1-Incomes'!$HS8</f>
        <v>8.4120415731279794E-3</v>
      </c>
      <c r="IA6" s="59">
        <f>'C1-Incomes'!IB8/'C1-Incomes'!$IA8</f>
        <v>0.28942486690069774</v>
      </c>
      <c r="IB6" s="59">
        <f>'C1-Incomes'!IC8/'C1-Incomes'!$IA8</f>
        <v>0.19225110569649637</v>
      </c>
      <c r="IC6" s="59">
        <f>'C1-Incomes'!ID8/'C1-Incomes'!$IA8</f>
        <v>8.0125104753880252E-2</v>
      </c>
      <c r="ID6" s="59">
        <f>'C1-Incomes'!IE8/'C1-Incomes'!$IA8</f>
        <v>5.6326228777062698E-2</v>
      </c>
      <c r="IE6" s="59">
        <f>'C1-Incomes'!IF8/'C1-Incomes'!$IA8</f>
        <v>2.5563636402161687E-2</v>
      </c>
      <c r="IF6" s="59">
        <f>'C1-Incomes'!IG8/'C1-Incomes'!$IA8</f>
        <v>8.7506624814284589E-3</v>
      </c>
      <c r="II6" s="59">
        <f>'C1-Incomes'!IJ8/'C1-Incomes'!$II8</f>
        <v>0.29177644492383625</v>
      </c>
      <c r="IJ6" s="59">
        <f>'C1-Incomes'!IK8/'C1-Incomes'!$II8</f>
        <v>0.19504101918089367</v>
      </c>
      <c r="IK6" s="59">
        <f>'C1-Incomes'!IL8/'C1-Incomes'!$II8</f>
        <v>8.2667392720965266E-2</v>
      </c>
      <c r="IL6" s="59">
        <f>'C1-Incomes'!IM8/'C1-Incomes'!$II8</f>
        <v>5.8372139832717239E-2</v>
      </c>
      <c r="IM6" s="59">
        <f>'C1-Incomes'!IN8/'C1-Incomes'!$II8</f>
        <v>2.670418201848963E-2</v>
      </c>
      <c r="IN6" s="59">
        <f>'C1-Incomes'!IO8/'C1-Incomes'!$II8</f>
        <v>9.1729462648174366E-3</v>
      </c>
      <c r="IQ6" s="59">
        <f>'C1-Incomes'!IR8/'C1-Incomes'!$IQ8</f>
        <v>0.29725498632466263</v>
      </c>
      <c r="IR6" s="59">
        <f>'C1-Incomes'!IS8/'C1-Incomes'!$IQ8</f>
        <v>0.19981245988923702</v>
      </c>
      <c r="IS6" s="59">
        <f>'C1-Incomes'!IT8/'C1-Incomes'!$IQ8</f>
        <v>8.5802663531237722E-2</v>
      </c>
      <c r="IT6" s="59">
        <f>'C1-Incomes'!IU8/'C1-Incomes'!$IQ8</f>
        <v>6.0832160838597722E-2</v>
      </c>
      <c r="IU6" s="59">
        <f>'C1-Incomes'!IV8/'C1-Incomes'!$IQ8</f>
        <v>2.8004397659012369E-2</v>
      </c>
      <c r="IV6" s="59">
        <f>'C1-Incomes'!IW8/'C1-Incomes'!$IQ8</f>
        <v>9.6452158067737749E-3</v>
      </c>
      <c r="IY6" s="59">
        <f>'C1-Incomes'!IZ8/'C1-Incomes'!$IY8</f>
        <v>0.2785484204605238</v>
      </c>
      <c r="IZ6" s="59">
        <f>'C1-Incomes'!JA8/'C1-Incomes'!$IY8</f>
        <v>0.18587811053555264</v>
      </c>
      <c r="JA6" s="59">
        <f>'C1-Incomes'!JB8/'C1-Incomes'!$IY8</f>
        <v>7.8989479518218247E-2</v>
      </c>
      <c r="JB6" s="59">
        <f>'C1-Incomes'!JC8/'C1-Incomes'!$IY8</f>
        <v>5.5852501612961847E-2</v>
      </c>
      <c r="JC6" s="59">
        <f>'C1-Incomes'!JD8/'C1-Incomes'!$IY8</f>
        <v>2.5600823370329828E-2</v>
      </c>
      <c r="JD6" s="59">
        <f>'C1-Incomes'!JE8/'C1-Incomes'!$IY8</f>
        <v>8.7948142262866749E-3</v>
      </c>
      <c r="JE6" s="197"/>
      <c r="JF6" s="197"/>
      <c r="JG6" s="197"/>
      <c r="JH6" s="197"/>
      <c r="JI6" s="197"/>
      <c r="JJ6" s="197"/>
      <c r="JK6" s="197"/>
      <c r="JL6" s="197"/>
      <c r="JM6" s="197"/>
      <c r="JN6" s="197"/>
      <c r="JO6" s="197"/>
      <c r="JP6" s="197"/>
      <c r="JQ6" s="197"/>
      <c r="JR6" s="197"/>
      <c r="JS6" s="197"/>
      <c r="JT6" s="197"/>
      <c r="JU6" s="197"/>
      <c r="JV6" s="197"/>
      <c r="JW6" s="197"/>
      <c r="JX6" s="197"/>
      <c r="JY6" s="197"/>
      <c r="JZ6" s="197"/>
      <c r="KA6" s="197"/>
      <c r="KB6" s="197"/>
      <c r="KC6" s="197"/>
      <c r="KD6" s="197"/>
      <c r="KE6" s="197"/>
      <c r="KF6" s="197"/>
      <c r="KG6" s="197"/>
      <c r="KH6" s="197"/>
      <c r="KI6" s="197"/>
      <c r="KJ6" s="197"/>
      <c r="KK6" s="197"/>
      <c r="KL6" s="197"/>
      <c r="KM6" s="197"/>
      <c r="KN6" s="197"/>
      <c r="KO6" s="197"/>
      <c r="KP6" s="197"/>
      <c r="KQ6" s="197"/>
      <c r="KR6" s="197"/>
      <c r="KS6" s="197"/>
      <c r="KT6" s="197"/>
      <c r="KU6" s="197"/>
      <c r="KV6" s="197"/>
      <c r="KW6" s="197"/>
      <c r="KX6" s="197"/>
      <c r="KY6" s="197"/>
      <c r="KZ6" s="197"/>
      <c r="LA6" s="197"/>
      <c r="LB6" s="197"/>
      <c r="LC6" s="197"/>
      <c r="LD6" s="197"/>
      <c r="LE6" s="197"/>
      <c r="LF6" s="197"/>
      <c r="LG6" s="197"/>
      <c r="LH6" s="197"/>
      <c r="LI6" s="197"/>
      <c r="LJ6" s="197"/>
      <c r="LK6" s="197"/>
      <c r="LL6" s="197"/>
      <c r="LM6" s="197"/>
      <c r="LN6" s="197"/>
      <c r="LO6" s="197"/>
      <c r="LP6" s="197"/>
      <c r="LQ6" s="197"/>
      <c r="LR6" s="197"/>
      <c r="LS6" s="197"/>
      <c r="LT6" s="197"/>
      <c r="LU6" s="197"/>
      <c r="LV6" s="197"/>
      <c r="LW6" s="197"/>
      <c r="LX6" s="197"/>
      <c r="LY6" s="197"/>
      <c r="LZ6" s="197"/>
      <c r="MA6" s="197"/>
      <c r="MB6" s="197"/>
      <c r="MC6" s="197"/>
      <c r="MD6" s="197"/>
      <c r="ME6" s="197"/>
      <c r="MF6" s="197"/>
      <c r="MG6" s="197"/>
      <c r="MH6" s="197"/>
      <c r="MI6" s="197"/>
      <c r="MJ6" s="197"/>
      <c r="MK6" s="197"/>
      <c r="ML6" s="197"/>
      <c r="MM6" s="197"/>
      <c r="MN6" s="197"/>
      <c r="MO6" s="197"/>
      <c r="MP6" s="197"/>
      <c r="MQ6" s="197"/>
      <c r="MR6" s="197"/>
      <c r="MS6" s="197"/>
      <c r="MT6" s="197"/>
      <c r="MU6" s="197"/>
      <c r="MV6" s="197"/>
      <c r="MW6" s="197"/>
      <c r="MX6" s="197"/>
      <c r="MY6" s="197"/>
      <c r="MZ6" s="197"/>
      <c r="NA6" s="197"/>
      <c r="NB6" s="197"/>
      <c r="NC6" s="197"/>
      <c r="ND6" s="197"/>
      <c r="NE6" s="197"/>
      <c r="NF6" s="197"/>
      <c r="NG6" s="197"/>
      <c r="NH6" s="197"/>
      <c r="NI6" s="197"/>
      <c r="NJ6" s="197"/>
      <c r="NK6" s="197"/>
      <c r="NL6" s="197"/>
      <c r="NM6" s="197"/>
      <c r="NN6" s="197"/>
      <c r="NO6" s="197"/>
      <c r="NP6" s="197"/>
      <c r="NQ6" s="197"/>
      <c r="NR6" s="197"/>
      <c r="NS6" s="197"/>
      <c r="NT6" s="197"/>
      <c r="NU6" s="197"/>
      <c r="NV6" s="197"/>
      <c r="NW6" s="197"/>
      <c r="NX6" s="197"/>
      <c r="NY6" s="197"/>
      <c r="NZ6" s="197"/>
      <c r="OA6" s="197"/>
      <c r="OB6" s="197"/>
      <c r="OC6" s="197"/>
      <c r="OD6" s="197"/>
      <c r="OE6" s="197"/>
      <c r="OF6" s="197"/>
      <c r="OG6" s="197"/>
      <c r="OH6" s="197"/>
      <c r="OI6" s="197"/>
      <c r="OJ6" s="197"/>
      <c r="OK6" s="197"/>
      <c r="OL6" s="197"/>
      <c r="OM6" s="197"/>
      <c r="ON6" s="197"/>
      <c r="OO6" s="197"/>
      <c r="OP6" s="197"/>
      <c r="OQ6" s="197"/>
      <c r="OR6" s="197"/>
      <c r="OS6" s="197"/>
      <c r="OT6" s="197"/>
      <c r="OU6" s="197"/>
      <c r="OV6" s="197"/>
      <c r="OW6" s="197"/>
      <c r="OX6" s="197"/>
      <c r="OY6" s="197"/>
      <c r="OZ6" s="197"/>
      <c r="PA6" s="197"/>
      <c r="PB6" s="197"/>
    </row>
    <row r="7" spans="1:418" s="77" customFormat="1" ht="10.5" customHeight="1" x14ac:dyDescent="0.2">
      <c r="A7" s="48">
        <v>1961</v>
      </c>
      <c r="B7" s="59">
        <f>'C1-Incomes'!C9/'C1-Incomes'!$B9</f>
        <v>0.31983673140873847</v>
      </c>
      <c r="C7" s="59">
        <f>'C1-Incomes'!D9/'C1-Incomes'!$B9</f>
        <v>0.20961154924860703</v>
      </c>
      <c r="D7" s="59">
        <f>'C1-Incomes'!E9/'C1-Incomes'!$B9</f>
        <v>8.3249493264220153E-2</v>
      </c>
      <c r="E7" s="59">
        <f>'C1-Incomes'!F9/'C1-Incomes'!$B9</f>
        <v>5.5442563826947469E-2</v>
      </c>
      <c r="F7" s="59">
        <f>'C1-Incomes'!G9/'C1-Incomes'!$B9</f>
        <v>2.1113171422338727E-2</v>
      </c>
      <c r="G7" s="59">
        <f>'C1-Incomes'!H9/'C1-Incomes'!$B9</f>
        <v>5.7502892995798232E-3</v>
      </c>
      <c r="H7" s="199"/>
      <c r="J7" s="59">
        <f>'C1-Incomes'!K9/'C1-Incomes'!$J9</f>
        <v>0.34266318569439302</v>
      </c>
      <c r="K7" s="59">
        <f>'C1-Incomes'!L9/'C1-Incomes'!$J9</f>
        <v>0.23866775963790779</v>
      </c>
      <c r="L7" s="59">
        <f>'C1-Incomes'!M9/'C1-Incomes'!$J9</f>
        <v>0.11081719513306594</v>
      </c>
      <c r="M7" s="59">
        <f>'C1-Incomes'!N9/'C1-Incomes'!$J9</f>
        <v>8.1839696404411647E-2</v>
      </c>
      <c r="N7" s="59">
        <f>'C1-Incomes'!O9/'C1-Incomes'!$J9</f>
        <v>4.0496310282309045E-2</v>
      </c>
      <c r="O7" s="59">
        <f>'C1-Incomes'!P9/'C1-Incomes'!$J9</f>
        <v>1.4972242276282501E-2</v>
      </c>
      <c r="P7" s="59"/>
      <c r="R7" s="59">
        <f>'C1-Incomes'!S9/'C1-Incomes'!$R9</f>
        <v>0.32818656537841823</v>
      </c>
      <c r="S7" s="59">
        <f>'C1-Incomes'!T9/'C1-Incomes'!$R9</f>
        <v>0.22830469369570455</v>
      </c>
      <c r="T7" s="59">
        <f>'C1-Incomes'!U9/'C1-Incomes'!$R9</f>
        <v>0.10574892929572076</v>
      </c>
      <c r="U7" s="59">
        <f>'C1-Incomes'!V9/'C1-Incomes'!$R9</f>
        <v>7.8010343016868017E-2</v>
      </c>
      <c r="V7" s="59">
        <f>'C1-Incomes'!W9/'C1-Incomes'!$R9</f>
        <v>3.8521849955839675E-2</v>
      </c>
      <c r="W7" s="59">
        <f>'C1-Incomes'!X9/'C1-Incomes'!$R9</f>
        <v>1.4231116436024684E-2</v>
      </c>
      <c r="X7" s="59"/>
      <c r="Y7" s="59"/>
      <c r="Z7" s="59">
        <f>'C1-Incomes'!AA9/'C1-Incomes'!$Z9</f>
        <v>0.27927768443373591</v>
      </c>
      <c r="AA7" s="59">
        <f>'C1-Incomes'!AB9/'C1-Incomes'!$Z9</f>
        <v>0.18730134899299769</v>
      </c>
      <c r="AB7" s="59">
        <f>'C1-Incomes'!AC9/'C1-Incomes'!$Z9</f>
        <v>8.1199464095742274E-2</v>
      </c>
      <c r="AC7" s="59">
        <f>'C1-Incomes'!AD9/'C1-Incomes'!$Z9</f>
        <v>5.822971518751166E-2</v>
      </c>
      <c r="AD7" s="59">
        <f>'C1-Incomes'!AE9/'C1-Incomes'!$Z9</f>
        <v>2.7420155076939408E-2</v>
      </c>
      <c r="AE7" s="59">
        <f>'C1-Incomes'!AF9/'C1-Incomes'!$Z9</f>
        <v>9.6063535907038988E-3</v>
      </c>
      <c r="AF7" s="199"/>
      <c r="AG7" s="195"/>
      <c r="AH7" s="59">
        <f>'C1-Incomes'!AI9/'C1-Incomes'!$AH9</f>
        <v>0.32256093518144352</v>
      </c>
      <c r="AI7" s="59">
        <f>'C1-Incomes'!AJ9/'C1-Incomes'!$AH9</f>
        <v>0.21076534933464816</v>
      </c>
      <c r="AJ7" s="59">
        <f>'C1-Incomes'!AK9/'C1-Incomes'!$AH9</f>
        <v>8.3462164316174148E-2</v>
      </c>
      <c r="AK7" s="59">
        <f>'C1-Incomes'!AL9/'C1-Incomes'!$AH9</f>
        <v>5.5599908516031971E-2</v>
      </c>
      <c r="AL7" s="59">
        <f>'C1-Incomes'!AM9/'C1-Incomes'!$AH9</f>
        <v>2.1197082820906727E-2</v>
      </c>
      <c r="AM7" s="59">
        <f>'C1-Incomes'!AN9/'C1-Incomes'!$AH9</f>
        <v>5.7887313514489126E-3</v>
      </c>
      <c r="AN7" s="195"/>
      <c r="AO7" s="195"/>
      <c r="AP7" s="59">
        <f>'C1-Incomes'!AQ9/'C1-Incomes'!$AP9</f>
        <v>0.32284342255863646</v>
      </c>
      <c r="AQ7" s="59">
        <f>'C1-Incomes'!AR9/'C1-Incomes'!$AP9</f>
        <v>0.21112227181180965</v>
      </c>
      <c r="AR7" s="59">
        <f>'C1-Incomes'!AS9/'C1-Incomes'!$AP9</f>
        <v>8.3880614375959159E-2</v>
      </c>
      <c r="AS7" s="59">
        <f>'C1-Incomes'!AT9/'C1-Incomes'!$AP9</f>
        <v>5.5987302360276471E-2</v>
      </c>
      <c r="AT7" s="59">
        <f>'C1-Incomes'!AU9/'C1-Incomes'!$AP9</f>
        <v>2.1447174048321308E-2</v>
      </c>
      <c r="AU7" s="59">
        <f>'C1-Incomes'!AV9/'C1-Incomes'!$AP9</f>
        <v>5.914441346112154E-3</v>
      </c>
      <c r="AV7" s="197"/>
      <c r="AW7" s="60"/>
      <c r="AX7" s="59">
        <f>'C1-Incomes'!AY9/'C1-Incomes'!$AX9</f>
        <v>0.32542800868709376</v>
      </c>
      <c r="AY7" s="59">
        <f>'C1-Incomes'!AZ9/'C1-Incomes'!$AX9</f>
        <v>0.21418694735537297</v>
      </c>
      <c r="AZ7" s="59">
        <f>'C1-Incomes'!BA9/'C1-Incomes'!$AX9</f>
        <v>8.7048172285468503E-2</v>
      </c>
      <c r="BA7" s="59">
        <f>'C1-Incomes'!BB9/'C1-Incomes'!$AX9</f>
        <v>5.8518414505198062E-2</v>
      </c>
      <c r="BB7" s="59">
        <f>'C1-Incomes'!BC9/'C1-Incomes'!$AX9</f>
        <v>2.2673395496938985E-2</v>
      </c>
      <c r="BC7" s="59">
        <f>'C1-Incomes'!BD9/'C1-Incomes'!$AX9</f>
        <v>6.3363654590567874E-3</v>
      </c>
      <c r="BD7" s="60"/>
      <c r="BE7" s="60"/>
      <c r="BF7" s="59">
        <f>'C1-Incomes'!BG9/'C1-Incomes'!$BF9</f>
        <v>0.3257181581086932</v>
      </c>
      <c r="BG7" s="59">
        <f>'C1-Incomes'!BH9/'C1-Incomes'!$BF9</f>
        <v>0.21453790959139454</v>
      </c>
      <c r="BH7" s="59">
        <f>'C1-Incomes'!BI9/'C1-Incomes'!$BF9</f>
        <v>8.7249170335084308E-2</v>
      </c>
      <c r="BI7" s="59">
        <f>'C1-Incomes'!BJ9/'C1-Incomes'!$BF9</f>
        <v>5.8620140060814591E-2</v>
      </c>
      <c r="BJ7" s="59">
        <f>'C1-Incomes'!BK9/'C1-Incomes'!$BF9</f>
        <v>2.2669346067084054E-2</v>
      </c>
      <c r="BK7" s="59">
        <f>'C1-Incomes'!BL9/'C1-Incomes'!$BF9</f>
        <v>6.3203838830041444E-3</v>
      </c>
      <c r="BL7" s="59"/>
      <c r="BM7" s="59"/>
      <c r="BN7" s="59">
        <f>'C1-Incomes'!BO9/'C1-Incomes'!$BN9</f>
        <v>0.30905762916725232</v>
      </c>
      <c r="BO7" s="59">
        <f>'C1-Incomes'!BP9/'C1-Incomes'!$BN9</f>
        <v>0.20186291550712657</v>
      </c>
      <c r="BP7" s="59">
        <f>'C1-Incomes'!BQ9/'C1-Incomes'!$BN9</f>
        <v>7.950580993348802E-2</v>
      </c>
      <c r="BQ7" s="59">
        <f>'C1-Incomes'!BR9/'C1-Incomes'!$BN9</f>
        <v>5.4355220357899886E-2</v>
      </c>
      <c r="BR7" s="59">
        <f>'C1-Incomes'!BS9/'C1-Incomes'!$BN9</f>
        <v>2.2283424399597896E-2</v>
      </c>
      <c r="BS7" s="59">
        <f>'C1-Incomes'!BT9/'C1-Incomes'!$BN9</f>
        <v>6.5337728645621087E-3</v>
      </c>
      <c r="BT7" s="59"/>
      <c r="BU7" s="59"/>
      <c r="BV7" s="59">
        <f>'C1-Incomes'!BW9/'C1-Incomes'!$BV9</f>
        <v>0.31141017989310127</v>
      </c>
      <c r="BW7" s="59">
        <f>'C1-Incomes'!BX9/'C1-Incomes'!$BV9</f>
        <v>0.2043202124458238</v>
      </c>
      <c r="BX7" s="59">
        <f>'C1-Incomes'!BY9/'C1-Incomes'!$BV9</f>
        <v>8.149957649088807E-2</v>
      </c>
      <c r="BY7" s="59">
        <f>'C1-Incomes'!BZ9/'C1-Incomes'!$BV9</f>
        <v>5.6038066284656476E-2</v>
      </c>
      <c r="BZ7" s="59">
        <f>'C1-Incomes'!CA9/'C1-Incomes'!$BV9</f>
        <v>2.3325329373705583E-2</v>
      </c>
      <c r="CA7" s="59">
        <f>'C1-Incomes'!CB9/'C1-Incomes'!$BV9</f>
        <v>6.9061863854576458E-3</v>
      </c>
      <c r="CB7" s="60"/>
      <c r="CC7" s="198"/>
      <c r="CD7" s="59">
        <f>'C1-Incomes'!CE9/'C1-Incomes'!$CD9</f>
        <v>0.33742824784897518</v>
      </c>
      <c r="CE7" s="59">
        <f>'C1-Incomes'!CF9/'C1-Incomes'!$CD9</f>
        <v>0.23254867190507533</v>
      </c>
      <c r="CF7" s="59">
        <f>'C1-Incomes'!CG9/'C1-Incomes'!$CD9</f>
        <v>0.1072382155440879</v>
      </c>
      <c r="CG7" s="59">
        <f>'C1-Incomes'!CH9/'C1-Incomes'!$CD9</f>
        <v>7.8475645044968012E-2</v>
      </c>
      <c r="CH7" s="59">
        <f>'C1-Incomes'!CI9/'C1-Incomes'!$CD9</f>
        <v>3.8059457254591776E-2</v>
      </c>
      <c r="CI7" s="59">
        <f>'C1-Incomes'!CJ9/'C1-Incomes'!$CD9</f>
        <v>1.3661618263866479E-2</v>
      </c>
      <c r="CL7" s="59">
        <f>'C1-Incomes'!CM9/'C1-Incomes'!$CL9</f>
        <v>0.35180313913398731</v>
      </c>
      <c r="CM7" s="59">
        <f>'C1-Incomes'!CN9/'C1-Incomes'!$CL9</f>
        <v>0.24731754115996471</v>
      </c>
      <c r="CN7" s="59">
        <f>'C1-Incomes'!CO9/'C1-Incomes'!$CL9</f>
        <v>0.11931130623414278</v>
      </c>
      <c r="CO7" s="59">
        <f>'C1-Incomes'!CP9/'C1-Incomes'!$CL9</f>
        <v>8.8955061521264991E-2</v>
      </c>
      <c r="CP7" s="59">
        <f>'C1-Incomes'!CQ9/'C1-Incomes'!$CL9</f>
        <v>4.4784041534055817E-2</v>
      </c>
      <c r="CQ7" s="59">
        <f>'C1-Incomes'!CR9/'C1-Incomes'!$CL9</f>
        <v>1.6572152332774703E-2</v>
      </c>
      <c r="CR7" s="59"/>
      <c r="CS7" s="59"/>
      <c r="CT7" s="59">
        <f>'C1-Incomes'!CU9/'C1-Incomes'!$CT9</f>
        <v>0.3589804397085109</v>
      </c>
      <c r="CU7" s="59">
        <f>'C1-Incomes'!CV9/'C1-Incomes'!$CT9</f>
        <v>0.25486552437947624</v>
      </c>
      <c r="CV7" s="59">
        <f>'C1-Incomes'!CW9/'C1-Incomes'!$CT9</f>
        <v>0.12471109444208109</v>
      </c>
      <c r="CW7" s="59">
        <f>'C1-Incomes'!CX9/'C1-Incomes'!$CT9</f>
        <v>9.3325689422869118E-2</v>
      </c>
      <c r="CX7" s="59">
        <f>'C1-Incomes'!CY9/'C1-Incomes'!$CT9</f>
        <v>4.7320631995785893E-2</v>
      </c>
      <c r="CY7" s="59">
        <f>'C1-Incomes'!CZ9/'C1-Incomes'!$CT9</f>
        <v>1.7629183765209826E-2</v>
      </c>
      <c r="CZ7" s="59"/>
      <c r="DA7" s="59"/>
      <c r="DB7" s="59">
        <f>'C1-Incomes'!DC9/'C1-Incomes'!$DB9</f>
        <v>0.35958478673516253</v>
      </c>
      <c r="DC7" s="59">
        <f>'C1-Incomes'!DD9/'C1-Incomes'!$DB9</f>
        <v>0.25543415733358726</v>
      </c>
      <c r="DD7" s="59">
        <f>'C1-Incomes'!DE9/'C1-Incomes'!$DB9</f>
        <v>0.12539758349710639</v>
      </c>
      <c r="DE7" s="59">
        <f>'C1-Incomes'!DF9/'C1-Incomes'!$DB9</f>
        <v>9.3976801802613738E-2</v>
      </c>
      <c r="DF7" s="59">
        <f>'C1-Incomes'!DG9/'C1-Incomes'!$DB9</f>
        <v>4.7883936652593072E-2</v>
      </c>
      <c r="DG7" s="59">
        <f>'C1-Incomes'!DH9/'C1-Incomes'!$DB9</f>
        <v>1.7896494713720762E-2</v>
      </c>
      <c r="DH7" s="59"/>
      <c r="DI7" s="1039"/>
      <c r="DJ7" s="59">
        <f>'C1-Incomes'!DK9/'C1-Incomes'!$DJ9</f>
        <v>0.35652274355132596</v>
      </c>
      <c r="DK7" s="59">
        <f>'C1-Incomes'!DL9/'C1-Incomes'!$DJ9</f>
        <v>0.25442407654945287</v>
      </c>
      <c r="DL7" s="59">
        <f>'C1-Incomes'!DM9/'C1-Incomes'!$DJ9</f>
        <v>0.12507050084793686</v>
      </c>
      <c r="DM7" s="59">
        <f>'C1-Incomes'!DN9/'C1-Incomes'!$DJ9</f>
        <v>9.3539984381936586E-2</v>
      </c>
      <c r="DN7" s="59">
        <f>'C1-Incomes'!DO9/'C1-Incomes'!$DJ9</f>
        <v>4.7214595528437965E-2</v>
      </c>
      <c r="DO7" s="59">
        <f>'C1-Incomes'!DP9/'C1-Incomes'!$DJ9</f>
        <v>1.73163732631476E-2</v>
      </c>
      <c r="DP7" s="696"/>
      <c r="DQ7" s="503"/>
      <c r="DR7" s="59">
        <f>'C1-Incomes'!DS9/'C1-Incomes'!$DR9</f>
        <v>0.35738563534631235</v>
      </c>
      <c r="DS7" s="59">
        <f>'C1-Incomes'!DT9/'C1-Incomes'!$DR9</f>
        <v>0.2538163811085446</v>
      </c>
      <c r="DT7" s="59">
        <f>'C1-Incomes'!DU9/'C1-Incomes'!$DR9</f>
        <v>0.12261742586693777</v>
      </c>
      <c r="DU7" s="59">
        <f>'C1-Incomes'!DV9/'C1-Incomes'!$DR9</f>
        <v>9.12947476706992E-2</v>
      </c>
      <c r="DV7" s="59">
        <f>'C1-Incomes'!DW9/'C1-Incomes'!$DR9</f>
        <v>4.5735474120178407E-2</v>
      </c>
      <c r="DW7" s="59">
        <f>'C1-Incomes'!DX9/'C1-Incomes'!$DR9</f>
        <v>1.6752069610007067E-2</v>
      </c>
      <c r="DX7" s="333"/>
      <c r="DZ7" s="59">
        <f>'C1-Incomes'!EA9/'C1-Incomes'!$DZ9</f>
        <v>0.35316666805686658</v>
      </c>
      <c r="EA7" s="59">
        <f>'C1-Incomes'!EB9/'C1-Incomes'!$DZ9</f>
        <v>0.24982610093445126</v>
      </c>
      <c r="EB7" s="59">
        <f>'C1-Incomes'!EC9/'C1-Incomes'!$DZ9</f>
        <v>0.12005978278874152</v>
      </c>
      <c r="EC7" s="59">
        <f>'C1-Incomes'!ED9/'C1-Incomes'!$DZ9</f>
        <v>8.9378618947598909E-2</v>
      </c>
      <c r="ED7" s="59">
        <f>'C1-Incomes'!EE9/'C1-Incomes'!$DZ9</f>
        <v>4.4721080117321531E-2</v>
      </c>
      <c r="EE7" s="59">
        <f>'C1-Incomes'!EF9/'C1-Incomes'!$DZ9</f>
        <v>1.6375810816639167E-2</v>
      </c>
      <c r="EF7" s="59"/>
      <c r="EH7" s="59">
        <f>'C1-Incomes'!EI9/'C1-Incomes'!$EH9</f>
        <v>0.35251826006054232</v>
      </c>
      <c r="EI7" s="59">
        <f>'C1-Incomes'!EJ9/'C1-Incomes'!$EH9</f>
        <v>0.24860389410099837</v>
      </c>
      <c r="EJ7" s="59">
        <f>'C1-Incomes'!EK9/'C1-Incomes'!$EH9</f>
        <v>0.11857803484998797</v>
      </c>
      <c r="EK7" s="59">
        <f>'C1-Incomes'!EL9/'C1-Incomes'!$EH9</f>
        <v>8.8128620055441378E-2</v>
      </c>
      <c r="EL7" s="59">
        <f>'C1-Incomes'!EM9/'C1-Incomes'!$EH9</f>
        <v>4.4067567286640158E-2</v>
      </c>
      <c r="EM7" s="59">
        <f>'C1-Incomes'!EN9/'C1-Incomes'!$EH9</f>
        <v>1.6382229343580398E-2</v>
      </c>
      <c r="EN7" s="59"/>
      <c r="EO7" s="59"/>
      <c r="EP7" s="59">
        <f>'C1-Incomes'!EQ9/'C1-Incomes'!$EH9</f>
        <v>0.36122030432641344</v>
      </c>
      <c r="EQ7" s="59">
        <f>'C1-Incomes'!ER9/'C1-Incomes'!$EH9</f>
        <v>0.25351746969448463</v>
      </c>
      <c r="ER7" s="59">
        <f>'C1-Incomes'!ES9/'C1-Incomes'!$EH9</f>
        <v>0.11971068061930898</v>
      </c>
      <c r="ES7" s="59">
        <f>'C1-Incomes'!ET9/'C1-Incomes'!$EH9</f>
        <v>8.8889587233097908E-2</v>
      </c>
      <c r="ET7" s="59">
        <f>'C1-Incomes'!EU9/'C1-Incomes'!$EH9</f>
        <v>4.4246272788021034E-2</v>
      </c>
      <c r="EU7" s="59">
        <f>'C1-Incomes'!EV9/'C1-Incomes'!$EH9</f>
        <v>1.6395067479083737E-2</v>
      </c>
      <c r="EV7" s="59"/>
      <c r="EW7" s="59"/>
      <c r="EX7" s="59">
        <f>'C1-Incomes'!EY9/'C1-Incomes'!$EX9</f>
        <v>0.34266318569439302</v>
      </c>
      <c r="EY7" s="59">
        <f>'C1-Incomes'!EZ9/'C1-Incomes'!$EX9</f>
        <v>0.23866775963790779</v>
      </c>
      <c r="EZ7" s="59">
        <f>'C1-Incomes'!FA9/'C1-Incomes'!$EX9</f>
        <v>0.11081719513306594</v>
      </c>
      <c r="FA7" s="59">
        <f>'C1-Incomes'!FB9/'C1-Incomes'!$EX9</f>
        <v>8.1839696404411647E-2</v>
      </c>
      <c r="FB7" s="59">
        <f>'C1-Incomes'!FC9/'C1-Incomes'!$EX9</f>
        <v>4.0496310282309045E-2</v>
      </c>
      <c r="FC7" s="59">
        <f>'C1-Incomes'!FD9/'C1-Incomes'!$EX9</f>
        <v>1.4972242276282501E-2</v>
      </c>
      <c r="FD7" s="59"/>
      <c r="FF7" s="59">
        <f>'C1-Incomes'!FG9/'C1-Incomes'!$FF9</f>
        <v>0.33533797221967021</v>
      </c>
      <c r="FG7" s="59">
        <f>'C1-Incomes'!FH9/'C1-Incomes'!$FF9</f>
        <v>0.23350956175185039</v>
      </c>
      <c r="FH7" s="59">
        <f>'C1-Incomes'!FI9/'C1-Incomes'!$FF9</f>
        <v>0.10828271932434626</v>
      </c>
      <c r="FI7" s="59">
        <f>'C1-Incomes'!FJ9/'C1-Incomes'!$FF9</f>
        <v>7.9901380181873052E-2</v>
      </c>
      <c r="FJ7" s="59">
        <f>'C1-Incomes'!FK9/'C1-Incomes'!$FF9</f>
        <v>3.946859578913757E-2</v>
      </c>
      <c r="FK7" s="59">
        <f>'C1-Incomes'!FL9/'C1-Incomes'!$FF9</f>
        <v>1.45832034529133E-2</v>
      </c>
      <c r="FN7" s="59">
        <f>'C1-Incomes'!FO9/'C1-Incomes'!$FN9</f>
        <v>0.33346617653457794</v>
      </c>
      <c r="FO7" s="59">
        <f>'C1-Incomes'!FP9/'C1-Incomes'!$FN9</f>
        <v>0.23214414109162762</v>
      </c>
      <c r="FP7" s="59">
        <f>'C1-Incomes'!FQ9/'C1-Incomes'!$FN9</f>
        <v>0.10763942401113902</v>
      </c>
      <c r="FQ7" s="59">
        <f>'C1-Incomes'!FR9/'C1-Incomes'!$FN9</f>
        <v>7.9425196171226481E-2</v>
      </c>
      <c r="FR7" s="59">
        <f>'C1-Incomes'!FS9/'C1-Incomes'!$FN9</f>
        <v>3.923302373215324E-2</v>
      </c>
      <c r="FS7" s="59">
        <f>'C1-Incomes'!FT9/'C1-Incomes'!$FN9</f>
        <v>1.4496140161224408E-2</v>
      </c>
      <c r="FV7" s="59">
        <f>'C1-Incomes'!FW9/'C1-Incomes'!$FV9</f>
        <v>0.32923808797969267</v>
      </c>
      <c r="FW7" s="59">
        <f>'C1-Incomes'!FX9/'C1-Incomes'!$FV9</f>
        <v>0.22903619087055466</v>
      </c>
      <c r="FX7" s="59">
        <f>'C1-Incomes'!FY9/'C1-Incomes'!$FV9</f>
        <v>0.10608775300438418</v>
      </c>
      <c r="FY7" s="59">
        <f>'C1-Incomes'!FZ9/'C1-Incomes'!$FV9</f>
        <v>7.8260291209356708E-2</v>
      </c>
      <c r="FZ7" s="59">
        <f>'C1-Incomes'!GA9/'C1-Incomes'!$FV9</f>
        <v>3.8645275470911448E-2</v>
      </c>
      <c r="GA7" s="59">
        <f>'C1-Incomes'!GB9/'C1-Incomes'!$FV9</f>
        <v>1.4276713490116747E-2</v>
      </c>
      <c r="GE7" s="59">
        <f>'C1-Incomes'!GF9/'C1-Incomes'!$GE9</f>
        <v>0.32923808797969267</v>
      </c>
      <c r="GF7" s="59">
        <f>'C1-Incomes'!GG9/'C1-Incomes'!$GE9</f>
        <v>0.22903619087055466</v>
      </c>
      <c r="GG7" s="59">
        <f>'C1-Incomes'!GH9/'C1-Incomes'!$GE9</f>
        <v>0.10608775300438418</v>
      </c>
      <c r="GH7" s="59">
        <f>'C1-Incomes'!GI9/'C1-Incomes'!$GE9</f>
        <v>7.8260291209356708E-2</v>
      </c>
      <c r="GI7" s="59">
        <f>'C1-Incomes'!GJ9/'C1-Incomes'!$GE9</f>
        <v>3.8645275470911448E-2</v>
      </c>
      <c r="GJ7" s="59">
        <f>'C1-Incomes'!GK9/'C1-Incomes'!$GE9</f>
        <v>1.4276713490116747E-2</v>
      </c>
      <c r="GM7" s="59">
        <f>'C1-Incomes'!GN9/'C1-Incomes'!$GM9</f>
        <v>0.32818656537841823</v>
      </c>
      <c r="GN7" s="59">
        <f>'C1-Incomes'!GO9/'C1-Incomes'!$GM9</f>
        <v>0.22830469369570455</v>
      </c>
      <c r="GO7" s="59">
        <f>'C1-Incomes'!GP9/'C1-Incomes'!$GM9</f>
        <v>0.10574892929572076</v>
      </c>
      <c r="GP7" s="59">
        <f>'C1-Incomes'!GQ9/'C1-Incomes'!$GM9</f>
        <v>7.8010343016868017E-2</v>
      </c>
      <c r="GQ7" s="59">
        <f>'C1-Incomes'!GR9/'C1-Incomes'!$GM9</f>
        <v>3.8521849955839675E-2</v>
      </c>
      <c r="GR7" s="59">
        <f>'C1-Incomes'!GS9/'C1-Incomes'!$GM9</f>
        <v>1.4231116436024684E-2</v>
      </c>
      <c r="GU7" s="59">
        <f>'C1-Incomes'!GV9/'C1-Incomes'!$GU9</f>
        <v>0.30984485686479052</v>
      </c>
      <c r="GV7" s="59">
        <f>'C1-Incomes'!GW9/'C1-Incomes'!$GU9</f>
        <v>0.21297715168952461</v>
      </c>
      <c r="GW7" s="59">
        <f>'C1-Incomes'!GX9/'C1-Incomes'!$GU9</f>
        <v>9.6714033513160297E-2</v>
      </c>
      <c r="GX7" s="59">
        <f>'C1-Incomes'!GY9/'C1-Incomes'!$GU9</f>
        <v>7.080904220317473E-2</v>
      </c>
      <c r="GY7" s="59">
        <f>'C1-Incomes'!GZ9/'C1-Incomes'!$GU9</f>
        <v>3.4813093135700357E-2</v>
      </c>
      <c r="GZ7" s="59">
        <f>'C1-Incomes'!HA9/'C1-Incomes'!$GU9</f>
        <v>1.2693927508419588E-2</v>
      </c>
      <c r="HC7" s="59">
        <f>'C1-Incomes'!HD9/'C1-Incomes'!$HC9</f>
        <v>0.30831118469193053</v>
      </c>
      <c r="HD7" s="59">
        <f>'C1-Incomes'!HE9/'C1-Incomes'!$HC9</f>
        <v>0.21162643043679327</v>
      </c>
      <c r="HE7" s="59">
        <f>'C1-Incomes'!HF9/'C1-Incomes'!$HC9</f>
        <v>9.5777500548432509E-2</v>
      </c>
      <c r="HF7" s="59">
        <f>'C1-Incomes'!HG9/'C1-Incomes'!$HC9</f>
        <v>7.0061416534456078E-2</v>
      </c>
      <c r="HG7" s="59">
        <f>'C1-Incomes'!HH9/'C1-Incomes'!$HC9</f>
        <v>3.4425671089772562E-2</v>
      </c>
      <c r="HH7" s="59">
        <f>'C1-Incomes'!HI9/'C1-Incomes'!$HC9</f>
        <v>1.252488709067816E-2</v>
      </c>
      <c r="HK7" s="59">
        <f>'C1-Incomes'!HL9/'C1-Incomes'!$HK9</f>
        <v>0.29488256342172064</v>
      </c>
      <c r="HL7" s="59">
        <f>'C1-Incomes'!HM9/'C1-Incomes'!$HK9</f>
        <v>0.1981394585360845</v>
      </c>
      <c r="HM7" s="59">
        <f>'C1-Incomes'!HN9/'C1-Incomes'!$HK9</f>
        <v>8.4942727081414149E-2</v>
      </c>
      <c r="HN7" s="59">
        <f>'C1-Incomes'!HO9/'C1-Incomes'!$HK9</f>
        <v>6.0870065141942639E-2</v>
      </c>
      <c r="HO7" s="59">
        <f>'C1-Incomes'!HP9/'C1-Incomes'!$HK9</f>
        <v>2.8626485545020196E-2</v>
      </c>
      <c r="HP7" s="59">
        <f>'C1-Incomes'!HQ9/'C1-Incomes'!$HK9</f>
        <v>1.0074809159753869E-2</v>
      </c>
      <c r="HS7" s="59">
        <f>'C1-Incomes'!HT9/'C1-Incomes'!$HS9</f>
        <v>0.28598408845864409</v>
      </c>
      <c r="HT7" s="59">
        <f>'C1-Incomes'!HU9/'C1-Incomes'!$HS9</f>
        <v>0.18968124579037635</v>
      </c>
      <c r="HU7" s="59">
        <f>'C1-Incomes'!HV9/'C1-Incomes'!$HS9</f>
        <v>7.971861389776673E-2</v>
      </c>
      <c r="HV7" s="59">
        <f>'C1-Incomes'!HW9/'C1-Incomes'!$HS9</f>
        <v>5.6690509498029035E-2</v>
      </c>
      <c r="HW7" s="59">
        <f>'C1-Incomes'!HX9/'C1-Incomes'!$HS9</f>
        <v>2.6300571358380306E-2</v>
      </c>
      <c r="HX7" s="59">
        <f>'C1-Incomes'!HY9/'C1-Incomes'!$HS9</f>
        <v>9.143984746716672E-3</v>
      </c>
      <c r="IA7" s="59">
        <f>'C1-Incomes'!IB9/'C1-Incomes'!$IA9</f>
        <v>0.29087468761641327</v>
      </c>
      <c r="IB7" s="59">
        <f>'C1-Incomes'!IC9/'C1-Incomes'!$IA9</f>
        <v>0.19420157361907525</v>
      </c>
      <c r="IC7" s="59">
        <f>'C1-Incomes'!ID9/'C1-Incomes'!$IA9</f>
        <v>8.2473048422717091E-2</v>
      </c>
      <c r="ID7" s="59">
        <f>'C1-Incomes'!IE9/'C1-Incomes'!$IA9</f>
        <v>5.8832646439806423E-2</v>
      </c>
      <c r="IE7" s="59">
        <f>'C1-Incomes'!IF9/'C1-Incomes'!$IA9</f>
        <v>2.7357143063583961E-2</v>
      </c>
      <c r="IF7" s="59">
        <f>'C1-Incomes'!IG9/'C1-Incomes'!$IA9</f>
        <v>9.5204535927688825E-3</v>
      </c>
      <c r="II7" s="59">
        <f>'C1-Incomes'!IJ9/'C1-Incomes'!$II9</f>
        <v>0.29308674550578112</v>
      </c>
      <c r="IJ7" s="59">
        <f>'C1-Incomes'!IK9/'C1-Incomes'!$II9</f>
        <v>0.19685788186625738</v>
      </c>
      <c r="IK7" s="59">
        <f>'C1-Incomes'!IL9/'C1-Incomes'!$II9</f>
        <v>8.5018391324533552E-2</v>
      </c>
      <c r="IL7" s="59">
        <f>'C1-Incomes'!IM9/'C1-Incomes'!$II9</f>
        <v>6.0903423101352952E-2</v>
      </c>
      <c r="IM7" s="59">
        <f>'C1-Incomes'!IN9/'C1-Incomes'!$II9</f>
        <v>2.854974788913818E-2</v>
      </c>
      <c r="IN7" s="59">
        <f>'C1-Incomes'!IO9/'C1-Incomes'!$II9</f>
        <v>9.970050519414653E-3</v>
      </c>
      <c r="IQ7" s="59">
        <f>'C1-Incomes'!IR9/'C1-Incomes'!$IQ9</f>
        <v>0.29852166265940494</v>
      </c>
      <c r="IR7" s="59">
        <f>'C1-Incomes'!IS9/'C1-Incomes'!$IQ9</f>
        <v>0.20173365687189984</v>
      </c>
      <c r="IS7" s="59">
        <f>'C1-Incomes'!IT9/'C1-Incomes'!$IQ9</f>
        <v>8.8433683014709955E-2</v>
      </c>
      <c r="IT7" s="59">
        <f>'C1-Incomes'!IU9/'C1-Incomes'!$IQ9</f>
        <v>6.3628189578058214E-2</v>
      </c>
      <c r="IU7" s="59">
        <f>'C1-Incomes'!IV9/'C1-Incomes'!$IQ9</f>
        <v>3.0066217464671297E-2</v>
      </c>
      <c r="IV7" s="59">
        <f>'C1-Incomes'!IW9/'C1-Incomes'!$IQ9</f>
        <v>1.0559507315220427E-2</v>
      </c>
      <c r="IY7" s="59">
        <f>'C1-Incomes'!IZ9/'C1-Incomes'!$IY9</f>
        <v>0.27927768443373591</v>
      </c>
      <c r="IZ7" s="59">
        <f>'C1-Incomes'!JA9/'C1-Incomes'!$IY9</f>
        <v>0.18730134899299769</v>
      </c>
      <c r="JA7" s="59">
        <f>'C1-Incomes'!JB9/'C1-Incomes'!$IY9</f>
        <v>8.1199464095742274E-2</v>
      </c>
      <c r="JB7" s="59">
        <f>'C1-Incomes'!JC9/'C1-Incomes'!$IY9</f>
        <v>5.822971518751166E-2</v>
      </c>
      <c r="JC7" s="59">
        <f>'C1-Incomes'!JD9/'C1-Incomes'!$IY9</f>
        <v>2.7420155076939408E-2</v>
      </c>
      <c r="JD7" s="59">
        <f>'C1-Incomes'!JE9/'C1-Incomes'!$IY9</f>
        <v>9.6063535907038988E-3</v>
      </c>
      <c r="JE7" s="197"/>
      <c r="JF7" s="197"/>
      <c r="JG7" s="197"/>
      <c r="JH7" s="197"/>
      <c r="JI7" s="197"/>
      <c r="JJ7" s="197"/>
      <c r="JK7" s="197"/>
      <c r="JL7" s="197"/>
      <c r="JM7" s="197"/>
      <c r="JN7" s="197"/>
      <c r="JO7" s="197"/>
      <c r="JP7" s="197"/>
      <c r="JQ7" s="197"/>
      <c r="JR7" s="197"/>
      <c r="JS7" s="197"/>
      <c r="JT7" s="197"/>
      <c r="JU7" s="197"/>
      <c r="JV7" s="197"/>
      <c r="JW7" s="197"/>
      <c r="JX7" s="197"/>
      <c r="JY7" s="197"/>
      <c r="JZ7" s="197"/>
      <c r="KA7" s="197"/>
      <c r="KB7" s="197"/>
      <c r="KC7" s="197"/>
      <c r="KD7" s="197"/>
      <c r="KE7" s="197"/>
      <c r="KF7" s="197"/>
      <c r="KG7" s="197"/>
      <c r="KH7" s="197"/>
      <c r="KI7" s="197"/>
      <c r="KJ7" s="197"/>
      <c r="KK7" s="197"/>
      <c r="KL7" s="197"/>
      <c r="KM7" s="197"/>
      <c r="KN7" s="197"/>
      <c r="KO7" s="197"/>
      <c r="KP7" s="197"/>
      <c r="KQ7" s="197"/>
      <c r="KR7" s="197"/>
      <c r="KS7" s="197"/>
      <c r="KT7" s="197"/>
      <c r="KU7" s="197"/>
      <c r="KV7" s="197"/>
      <c r="KW7" s="197"/>
      <c r="KX7" s="197"/>
      <c r="KY7" s="197"/>
      <c r="KZ7" s="197"/>
      <c r="LA7" s="197"/>
      <c r="LB7" s="197"/>
      <c r="LC7" s="197"/>
      <c r="LD7" s="197"/>
      <c r="LE7" s="197"/>
      <c r="LF7" s="197"/>
      <c r="LG7" s="197"/>
      <c r="LH7" s="197"/>
      <c r="LI7" s="197"/>
      <c r="LJ7" s="197"/>
      <c r="LK7" s="197"/>
      <c r="LL7" s="197"/>
      <c r="LM7" s="197"/>
      <c r="LN7" s="197"/>
      <c r="LO7" s="197"/>
      <c r="LP7" s="197"/>
      <c r="LQ7" s="197"/>
      <c r="LR7" s="197"/>
      <c r="LS7" s="197"/>
      <c r="LT7" s="197"/>
      <c r="LU7" s="197"/>
      <c r="LV7" s="197"/>
      <c r="LW7" s="197"/>
      <c r="LX7" s="197"/>
      <c r="LY7" s="197"/>
      <c r="LZ7" s="197"/>
      <c r="MA7" s="197"/>
      <c r="MB7" s="197"/>
      <c r="MC7" s="197"/>
      <c r="MD7" s="197"/>
      <c r="ME7" s="197"/>
      <c r="MF7" s="197"/>
      <c r="MG7" s="197"/>
      <c r="MH7" s="197"/>
      <c r="MI7" s="197"/>
      <c r="MJ7" s="197"/>
      <c r="MK7" s="197"/>
      <c r="ML7" s="197"/>
      <c r="MM7" s="197"/>
      <c r="MN7" s="197"/>
      <c r="MO7" s="197"/>
      <c r="MP7" s="197"/>
      <c r="MQ7" s="197"/>
      <c r="MR7" s="197"/>
      <c r="MS7" s="197"/>
      <c r="MT7" s="197"/>
      <c r="MU7" s="197"/>
      <c r="MV7" s="197"/>
      <c r="MW7" s="197"/>
      <c r="MX7" s="197"/>
      <c r="MY7" s="197"/>
      <c r="MZ7" s="197"/>
      <c r="NA7" s="197"/>
      <c r="NB7" s="197"/>
      <c r="NC7" s="197"/>
      <c r="ND7" s="197"/>
      <c r="NE7" s="197"/>
      <c r="NF7" s="197"/>
      <c r="NG7" s="197"/>
      <c r="NH7" s="197"/>
      <c r="NI7" s="197"/>
      <c r="NJ7" s="197"/>
      <c r="NK7" s="197"/>
      <c r="NL7" s="197"/>
      <c r="NM7" s="197"/>
      <c r="NN7" s="197"/>
      <c r="NO7" s="197"/>
      <c r="NP7" s="197"/>
      <c r="NQ7" s="197"/>
      <c r="NR7" s="197"/>
      <c r="NS7" s="197"/>
      <c r="NT7" s="197"/>
      <c r="NU7" s="197"/>
      <c r="NV7" s="197"/>
      <c r="NW7" s="197"/>
      <c r="NX7" s="197"/>
      <c r="NY7" s="197"/>
      <c r="NZ7" s="197"/>
      <c r="OA7" s="197"/>
      <c r="OB7" s="197"/>
      <c r="OC7" s="197"/>
      <c r="OD7" s="197"/>
      <c r="OE7" s="197"/>
      <c r="OF7" s="197"/>
      <c r="OG7" s="197"/>
      <c r="OH7" s="197"/>
      <c r="OI7" s="197"/>
      <c r="OJ7" s="197"/>
      <c r="OK7" s="197"/>
      <c r="OL7" s="197"/>
      <c r="OM7" s="197"/>
      <c r="ON7" s="197"/>
      <c r="OO7" s="197"/>
      <c r="OP7" s="197"/>
      <c r="OQ7" s="197"/>
      <c r="OR7" s="197"/>
      <c r="OS7" s="197"/>
      <c r="OT7" s="197"/>
      <c r="OU7" s="197"/>
      <c r="OV7" s="197"/>
      <c r="OW7" s="197"/>
      <c r="OX7" s="197"/>
      <c r="OY7" s="197"/>
      <c r="OZ7" s="197"/>
      <c r="PA7" s="197"/>
      <c r="PB7" s="197"/>
    </row>
    <row r="8" spans="1:418" s="77" customFormat="1" ht="10.5" customHeight="1" x14ac:dyDescent="0.2">
      <c r="A8" s="48">
        <v>1962</v>
      </c>
      <c r="B8" s="59">
        <f>'C1-Incomes'!C10/'C1-Incomes'!$B10</f>
        <v>0.32220723389693673</v>
      </c>
      <c r="C8" s="59">
        <f>'C1-Incomes'!D10/'C1-Incomes'!$B10</f>
        <v>0.21082507047344765</v>
      </c>
      <c r="D8" s="59">
        <f>'C1-Incomes'!E10/'C1-Incomes'!$B10</f>
        <v>8.3379974548626307E-2</v>
      </c>
      <c r="E8" s="59">
        <f>'C1-Incomes'!F10/'C1-Incomes'!$B10</f>
        <v>5.5323899618488701E-2</v>
      </c>
      <c r="F8" s="59">
        <f>'C1-Incomes'!G10/'C1-Incomes'!$B10</f>
        <v>2.0795144766960823E-2</v>
      </c>
      <c r="G8" s="59">
        <f>'C1-Incomes'!H10/'C1-Incomes'!$B10</f>
        <v>5.5954354140636741E-3</v>
      </c>
      <c r="H8" s="59"/>
      <c r="J8" s="59">
        <f>'C1-Incomes'!K10/'C1-Incomes'!$J10</f>
        <v>0.34052593199362885</v>
      </c>
      <c r="K8" s="59">
        <f>'C1-Incomes'!L10/'C1-Incomes'!$J10</f>
        <v>0.23686065182964</v>
      </c>
      <c r="L8" s="59">
        <f>'C1-Incomes'!M10/'C1-Incomes'!$J10</f>
        <v>0.11120373480640794</v>
      </c>
      <c r="M8" s="59">
        <f>'C1-Incomes'!N10/'C1-Incomes'!$J10</f>
        <v>8.251708032762059E-2</v>
      </c>
      <c r="N8" s="59">
        <f>'C1-Incomes'!O10/'C1-Incomes'!$J10</f>
        <v>4.0879004263186386E-2</v>
      </c>
      <c r="O8" s="59">
        <f>'C1-Incomes'!P10/'C1-Incomes'!$J10</f>
        <v>1.5109190349353719E-2</v>
      </c>
      <c r="P8" s="59"/>
      <c r="R8" s="59">
        <f>'C1-Incomes'!S10/'C1-Incomes'!$R10</f>
        <v>0.32578239432471462</v>
      </c>
      <c r="S8" s="59">
        <f>'C1-Incomes'!T10/'C1-Incomes'!$R10</f>
        <v>0.22633353401562706</v>
      </c>
      <c r="T8" s="59">
        <f>'C1-Incomes'!U10/'C1-Incomes'!$R10</f>
        <v>0.10599329544961571</v>
      </c>
      <c r="U8" s="59">
        <f>'C1-Incomes'!V10/'C1-Incomes'!$R10</f>
        <v>7.8559667044360945E-2</v>
      </c>
      <c r="V8" s="59">
        <f>'C1-Incomes'!W10/'C1-Incomes'!$R10</f>
        <v>3.8835262768896095E-2</v>
      </c>
      <c r="W8" s="59">
        <f>'C1-Incomes'!X10/'C1-Incomes'!$R10</f>
        <v>1.434224523577742E-2</v>
      </c>
      <c r="X8" s="59"/>
      <c r="Y8" s="59"/>
      <c r="Z8" s="59">
        <f>'C1-Incomes'!AA10/'C1-Incomes'!$Z10</f>
        <v>0.27993155374396356</v>
      </c>
      <c r="AA8" s="59">
        <f>'C1-Incomes'!AB10/'C1-Incomes'!$Z10</f>
        <v>0.18857744651411892</v>
      </c>
      <c r="AB8" s="59">
        <f>'C1-Incomes'!AC10/'C1-Incomes'!$Z10</f>
        <v>8.3180970305290119E-2</v>
      </c>
      <c r="AC8" s="59">
        <f>'C1-Incomes'!AD10/'C1-Incomes'!$Z10</f>
        <v>6.0361161491390099E-2</v>
      </c>
      <c r="AD8" s="59">
        <f>'C1-Incomes'!AE10/'C1-Incomes'!$Z10</f>
        <v>2.9051395905738808E-2</v>
      </c>
      <c r="AE8" s="59">
        <f>'C1-Incomes'!AF10/'C1-Incomes'!$Z10</f>
        <v>1.0333992283860239E-2</v>
      </c>
      <c r="AF8" s="200"/>
      <c r="AG8" s="195"/>
      <c r="AH8" s="59">
        <f>'C1-Incomes'!AI10/'C1-Incomes'!$AH10</f>
        <v>0.3256625260512217</v>
      </c>
      <c r="AI8" s="59">
        <f>'C1-Incomes'!AJ10/'C1-Incomes'!$AH10</f>
        <v>0.21239393191708766</v>
      </c>
      <c r="AJ8" s="59">
        <f>'C1-Incomes'!AK10/'C1-Incomes'!$AH10</f>
        <v>8.3729994715721984E-2</v>
      </c>
      <c r="AK8" s="59">
        <f>'C1-Incomes'!AL10/'C1-Incomes'!$AH10</f>
        <v>5.5575676999718972E-2</v>
      </c>
      <c r="AL8" s="59">
        <f>'C1-Incomes'!AM10/'C1-Incomes'!$AH10</f>
        <v>2.0910081751484299E-2</v>
      </c>
      <c r="AM8" s="59">
        <f>'C1-Incomes'!AN10/'C1-Incomes'!$AH10</f>
        <v>5.6362431481871622E-3</v>
      </c>
      <c r="AN8" s="195"/>
      <c r="AO8" s="195"/>
      <c r="AP8" s="59">
        <f>'C1-Incomes'!AQ10/'C1-Incomes'!$AP10</f>
        <v>0.32598861429915504</v>
      </c>
      <c r="AQ8" s="59">
        <f>'C1-Incomes'!AR10/'C1-Incomes'!$AP10</f>
        <v>0.21276521449927124</v>
      </c>
      <c r="AR8" s="59">
        <f>'C1-Incomes'!AS10/'C1-Incomes'!$AP10</f>
        <v>8.4169429085088981E-2</v>
      </c>
      <c r="AS8" s="59">
        <f>'C1-Incomes'!AT10/'C1-Incomes'!$AP10</f>
        <v>5.5984482233851912E-2</v>
      </c>
      <c r="AT8" s="59">
        <f>'C1-Incomes'!AU10/'C1-Incomes'!$AP10</f>
        <v>2.1168063454617254E-2</v>
      </c>
      <c r="AU8" s="59">
        <f>'C1-Incomes'!AV10/'C1-Incomes'!$AP10</f>
        <v>5.7666706332341836E-3</v>
      </c>
      <c r="AV8" s="197"/>
      <c r="AW8" s="60"/>
      <c r="AX8" s="59">
        <f>'C1-Incomes'!AY10/'C1-Incomes'!$AX10</f>
        <v>0.32865388313276944</v>
      </c>
      <c r="AY8" s="59">
        <f>'C1-Incomes'!AZ10/'C1-Incomes'!$AX10</f>
        <v>0.21593485414369504</v>
      </c>
      <c r="AZ8" s="59">
        <f>'C1-Incomes'!BA10/'C1-Incomes'!$AX10</f>
        <v>8.7451752643102773E-2</v>
      </c>
      <c r="BA8" s="59">
        <f>'C1-Incomes'!BB10/'C1-Incomes'!$AX10</f>
        <v>5.8608341213534212E-2</v>
      </c>
      <c r="BB8" s="59">
        <f>'C1-Incomes'!BC10/'C1-Incomes'!$AX10</f>
        <v>2.2440454247360676E-2</v>
      </c>
      <c r="BC8" s="59">
        <f>'C1-Incomes'!BD10/'C1-Incomes'!$AX10</f>
        <v>6.2047113664215935E-3</v>
      </c>
      <c r="BD8" s="60"/>
      <c r="BE8" s="60"/>
      <c r="BF8" s="59">
        <f>'C1-Incomes'!BG10/'C1-Incomes'!$BF10</f>
        <v>0.32870710791578356</v>
      </c>
      <c r="BG8" s="59">
        <f>'C1-Incomes'!BH10/'C1-Incomes'!$BF10</f>
        <v>0.21607277460867191</v>
      </c>
      <c r="BH8" s="59">
        <f>'C1-Incomes'!BI10/'C1-Incomes'!$BF10</f>
        <v>8.754464503555158E-2</v>
      </c>
      <c r="BI8" s="59">
        <f>'C1-Incomes'!BJ10/'C1-Incomes'!$BF10</f>
        <v>5.8639145955735189E-2</v>
      </c>
      <c r="BJ8" s="59">
        <f>'C1-Incomes'!BK10/'C1-Incomes'!$BF10</f>
        <v>2.2443744406834703E-2</v>
      </c>
      <c r="BK8" s="59">
        <f>'C1-Incomes'!BL10/'C1-Incomes'!$BF10</f>
        <v>6.2095806260394045E-3</v>
      </c>
      <c r="BL8" s="59"/>
      <c r="BM8" s="59"/>
      <c r="BN8" s="59">
        <f>'C1-Incomes'!BO10/'C1-Incomes'!$BN10</f>
        <v>0.30985534180216495</v>
      </c>
      <c r="BO8" s="59">
        <f>'C1-Incomes'!BP10/'C1-Incomes'!$BN10</f>
        <v>0.2029593460136786</v>
      </c>
      <c r="BP8" s="59">
        <f>'C1-Incomes'!BQ10/'C1-Incomes'!$BN10</f>
        <v>8.01991627298589E-2</v>
      </c>
      <c r="BQ8" s="59">
        <f>'C1-Incomes'!BR10/'C1-Incomes'!$BN10</f>
        <v>5.4976415073522911E-2</v>
      </c>
      <c r="BR8" s="59">
        <f>'C1-Incomes'!BS10/'C1-Incomes'!$BN10</f>
        <v>2.2533349551972868E-2</v>
      </c>
      <c r="BS8" s="59">
        <f>'C1-Incomes'!BT10/'C1-Incomes'!$BN10</f>
        <v>6.5839458538904079E-3</v>
      </c>
      <c r="BT8" s="59"/>
      <c r="BU8" s="59"/>
      <c r="BV8" s="59">
        <f>'C1-Incomes'!BW10/'C1-Incomes'!$BV10</f>
        <v>0.31223335483349901</v>
      </c>
      <c r="BW8" s="59">
        <f>'C1-Incomes'!BX10/'C1-Incomes'!$BV10</f>
        <v>0.20544203564890015</v>
      </c>
      <c r="BX8" s="59">
        <f>'C1-Incomes'!BY10/'C1-Incomes'!$BV10</f>
        <v>8.2214429288364338E-2</v>
      </c>
      <c r="BY8" s="59">
        <f>'C1-Incomes'!BZ10/'C1-Incomes'!$BV10</f>
        <v>5.667724371604696E-2</v>
      </c>
      <c r="BZ8" s="59">
        <f>'C1-Incomes'!CA10/'C1-Incomes'!$BV10</f>
        <v>2.3587003933337021E-2</v>
      </c>
      <c r="CA8" s="59">
        <f>'C1-Incomes'!CB10/'C1-Incomes'!$BV10</f>
        <v>6.9607380551784488E-3</v>
      </c>
      <c r="CB8" s="60"/>
      <c r="CC8" s="198"/>
      <c r="CD8" s="59">
        <f>'C1-Incomes'!CE10/'C1-Incomes'!$CD10</f>
        <v>0.340005820528408</v>
      </c>
      <c r="CE8" s="59">
        <f>'C1-Incomes'!CF10/'C1-Incomes'!$CD10</f>
        <v>0.23544080939454259</v>
      </c>
      <c r="CF8" s="59">
        <f>'C1-Incomes'!CG10/'C1-Incomes'!$CD10</f>
        <v>0.10980425903557879</v>
      </c>
      <c r="CG8" s="59">
        <f>'C1-Incomes'!CH10/'C1-Incomes'!$CD10</f>
        <v>8.0748962601596364E-2</v>
      </c>
      <c r="CH8" s="59">
        <f>'C1-Incomes'!CI10/'C1-Incomes'!$CD10</f>
        <v>3.9476031468370837E-2</v>
      </c>
      <c r="CI8" s="59">
        <f>'C1-Incomes'!CJ10/'C1-Incomes'!$CD10</f>
        <v>1.4096018751594911E-2</v>
      </c>
      <c r="CL8" s="59">
        <f>'C1-Incomes'!CM10/'C1-Incomes'!$CL10</f>
        <v>0.35168703851997818</v>
      </c>
      <c r="CM8" s="59">
        <f>'C1-Incomes'!CN10/'C1-Incomes'!$CL10</f>
        <v>0.24737665165359002</v>
      </c>
      <c r="CN8" s="59">
        <f>'C1-Incomes'!CO10/'C1-Incomes'!$CL10</f>
        <v>0.12052981296371795</v>
      </c>
      <c r="CO8" s="59">
        <f>'C1-Incomes'!CP10/'C1-Incomes'!$CL10</f>
        <v>9.0192915112369015E-2</v>
      </c>
      <c r="CP8" s="59">
        <f>'C1-Incomes'!CQ10/'C1-Incomes'!$CL10</f>
        <v>4.5464055412706726E-2</v>
      </c>
      <c r="CQ8" s="59">
        <f>'C1-Incomes'!CR10/'C1-Incomes'!$CL10</f>
        <v>1.6683952753623291E-2</v>
      </c>
      <c r="CR8" s="59"/>
      <c r="CS8" s="59"/>
      <c r="CT8" s="59">
        <f>'C1-Incomes'!CU10/'C1-Incomes'!$CT10</f>
        <v>0.35754903758727635</v>
      </c>
      <c r="CU8" s="59">
        <f>'C1-Incomes'!CV10/'C1-Incomes'!$CT10</f>
        <v>0.25367467888663919</v>
      </c>
      <c r="CV8" s="59">
        <f>'C1-Incomes'!CW10/'C1-Incomes'!$CT10</f>
        <v>0.125328542293484</v>
      </c>
      <c r="CW8" s="59">
        <f>'C1-Incomes'!CX10/'C1-Incomes'!$CT10</f>
        <v>9.4207553377212497E-2</v>
      </c>
      <c r="CX8" s="59">
        <f>'C1-Incomes'!CY10/'C1-Incomes'!$CT10</f>
        <v>4.7816806314962407E-2</v>
      </c>
      <c r="CY8" s="59">
        <f>'C1-Incomes'!CZ10/'C1-Incomes'!$CT10</f>
        <v>1.7668485588548659E-2</v>
      </c>
      <c r="CZ8" s="59"/>
      <c r="DA8" s="59"/>
      <c r="DB8" s="59">
        <f>'C1-Incomes'!DC10/'C1-Incomes'!$DB10</f>
        <v>0.35773981258556992</v>
      </c>
      <c r="DC8" s="59">
        <f>'C1-Incomes'!DD10/'C1-Incomes'!$DB10</f>
        <v>0.25390337951147485</v>
      </c>
      <c r="DD8" s="59">
        <f>'C1-Incomes'!DE10/'C1-Incomes'!$DB10</f>
        <v>0.12584290957299207</v>
      </c>
      <c r="DE8" s="59">
        <f>'C1-Incomes'!DF10/'C1-Incomes'!$DB10</f>
        <v>9.4735301140463621E-2</v>
      </c>
      <c r="DF8" s="59">
        <f>'C1-Incomes'!DG10/'C1-Incomes'!$DB10</f>
        <v>4.8342617356757808E-2</v>
      </c>
      <c r="DG8" s="59">
        <f>'C1-Incomes'!DH10/'C1-Incomes'!$DB10</f>
        <v>1.7947738824771388E-2</v>
      </c>
      <c r="DH8" s="59"/>
      <c r="DI8" s="1039"/>
      <c r="DJ8" s="59">
        <f>'C1-Incomes'!DK10/'C1-Incomes'!$DJ10</f>
        <v>0.35475956430749411</v>
      </c>
      <c r="DK8" s="59">
        <f>'C1-Incomes'!DL10/'C1-Incomes'!$DJ10</f>
        <v>0.25284784870003602</v>
      </c>
      <c r="DL8" s="59">
        <f>'C1-Incomes'!DM10/'C1-Incomes'!$DJ10</f>
        <v>0.1255763788648549</v>
      </c>
      <c r="DM8" s="59">
        <f>'C1-Incomes'!DN10/'C1-Incomes'!$DJ10</f>
        <v>9.4421118694709899E-2</v>
      </c>
      <c r="DN8" s="59">
        <f>'C1-Incomes'!DO10/'C1-Incomes'!$DJ10</f>
        <v>4.7801439349279717E-2</v>
      </c>
      <c r="DO8" s="59">
        <f>'C1-Incomes'!DP10/'C1-Incomes'!$DJ10</f>
        <v>1.7859243605052737E-2</v>
      </c>
      <c r="DP8" s="696"/>
      <c r="DQ8" s="503"/>
      <c r="DR8" s="59">
        <f>'C1-Incomes'!DS10/'C1-Incomes'!$DR10</f>
        <v>0.35518645533578325</v>
      </c>
      <c r="DS8" s="59">
        <f>'C1-Incomes'!DT10/'C1-Incomes'!$DR10</f>
        <v>0.2517583599628071</v>
      </c>
      <c r="DT8" s="59">
        <f>'C1-Incomes'!DU10/'C1-Incomes'!$DR10</f>
        <v>0.12288004575400741</v>
      </c>
      <c r="DU8" s="59">
        <f>'C1-Incomes'!DV10/'C1-Incomes'!$DR10</f>
        <v>9.2053067389967852E-2</v>
      </c>
      <c r="DV8" s="59">
        <f>'C1-Incomes'!DW10/'C1-Incomes'!$DR10</f>
        <v>4.6197512872691075E-2</v>
      </c>
      <c r="DW8" s="59">
        <f>'C1-Incomes'!DX10/'C1-Incomes'!$DR10</f>
        <v>1.7195403586356735E-2</v>
      </c>
      <c r="DX8" s="333"/>
      <c r="DZ8" s="59">
        <f>'C1-Incomes'!EA10/'C1-Incomes'!$DZ10</f>
        <v>0.35069623133305833</v>
      </c>
      <c r="EA8" s="59">
        <f>'C1-Incomes'!EB10/'C1-Incomes'!$DZ10</f>
        <v>0.24757299144566328</v>
      </c>
      <c r="EB8" s="59">
        <f>'C1-Incomes'!EC10/'C1-Incomes'!$DZ10</f>
        <v>0.12020871369481177</v>
      </c>
      <c r="EC8" s="59">
        <f>'C1-Incomes'!ED10/'C1-Incomes'!$DZ10</f>
        <v>9.0046400861571563E-2</v>
      </c>
      <c r="ED8" s="59">
        <f>'C1-Incomes'!EE10/'C1-Incomes'!$DZ10</f>
        <v>4.5129187572839381E-2</v>
      </c>
      <c r="EE8" s="59">
        <f>'C1-Incomes'!EF10/'C1-Incomes'!$DZ10</f>
        <v>1.6796015642168722E-2</v>
      </c>
      <c r="EF8" s="59"/>
      <c r="EH8" s="59">
        <f>'C1-Incomes'!EI10/'C1-Incomes'!$EH10</f>
        <v>0.34991403474198135</v>
      </c>
      <c r="EI8" s="59">
        <f>'C1-Incomes'!EJ10/'C1-Incomes'!$EH10</f>
        <v>0.24634536246284228</v>
      </c>
      <c r="EJ8" s="59">
        <f>'C1-Incomes'!EK10/'C1-Incomes'!$EH10</f>
        <v>0.11867283033181501</v>
      </c>
      <c r="EK8" s="59">
        <f>'C1-Incomes'!EL10/'C1-Incomes'!$EH10</f>
        <v>8.8685744827019131E-2</v>
      </c>
      <c r="EL8" s="59">
        <f>'C1-Incomes'!EM10/'C1-Incomes'!$EH10</f>
        <v>4.4414437329438061E-2</v>
      </c>
      <c r="EM8" s="59">
        <f>'C1-Incomes'!EN10/'C1-Incomes'!$EH10</f>
        <v>1.6535759605443959E-2</v>
      </c>
      <c r="EN8" s="59"/>
      <c r="EO8" s="59"/>
      <c r="EP8" s="59">
        <f>'C1-Incomes'!EQ10/'C1-Incomes'!$EH10</f>
        <v>0.35851093167118475</v>
      </c>
      <c r="EQ8" s="59">
        <f>'C1-Incomes'!ER10/'C1-Incomes'!$EH10</f>
        <v>0.25118866897958625</v>
      </c>
      <c r="ER8" s="59">
        <f>'C1-Incomes'!ES10/'C1-Incomes'!$EH10</f>
        <v>0.11982409836465183</v>
      </c>
      <c r="ES8" s="59">
        <f>'C1-Incomes'!ET10/'C1-Incomes'!$EH10</f>
        <v>8.9409437708261291E-2</v>
      </c>
      <c r="ET8" s="59">
        <f>'C1-Incomes'!EU10/'C1-Incomes'!$EH10</f>
        <v>4.4614971618314868E-2</v>
      </c>
      <c r="EU8" s="59">
        <f>'C1-Incomes'!EV10/'C1-Incomes'!$EH10</f>
        <v>1.6559424763784605E-2</v>
      </c>
      <c r="EV8" s="59"/>
      <c r="EW8" s="59"/>
      <c r="EX8" s="59">
        <f>'C1-Incomes'!EY10/'C1-Incomes'!$EX10</f>
        <v>0.34052593199362885</v>
      </c>
      <c r="EY8" s="59">
        <f>'C1-Incomes'!EZ10/'C1-Incomes'!$EX10</f>
        <v>0.23686065182964</v>
      </c>
      <c r="EZ8" s="59">
        <f>'C1-Incomes'!FA10/'C1-Incomes'!$EX10</f>
        <v>0.11120373480640794</v>
      </c>
      <c r="FA8" s="59">
        <f>'C1-Incomes'!FB10/'C1-Incomes'!$EX10</f>
        <v>8.251708032762059E-2</v>
      </c>
      <c r="FB8" s="59">
        <f>'C1-Incomes'!FC10/'C1-Incomes'!$EX10</f>
        <v>4.0879004263186386E-2</v>
      </c>
      <c r="FC8" s="59">
        <f>'C1-Incomes'!FD10/'C1-Incomes'!$EX10</f>
        <v>1.5109190349353719E-2</v>
      </c>
      <c r="FD8" s="59"/>
      <c r="FF8" s="59">
        <f>'C1-Incomes'!FG10/'C1-Incomes'!$FF10</f>
        <v>0.33282564490580557</v>
      </c>
      <c r="FG8" s="59">
        <f>'C1-Incomes'!FH10/'C1-Incomes'!$FF10</f>
        <v>0.23144675541534759</v>
      </c>
      <c r="FH8" s="59">
        <f>'C1-Incomes'!FI10/'C1-Incomes'!$FF10</f>
        <v>0.10850811448501747</v>
      </c>
      <c r="FI8" s="59">
        <f>'C1-Incomes'!FJ10/'C1-Incomes'!$FF10</f>
        <v>8.0444887770113827E-2</v>
      </c>
      <c r="FJ8" s="59">
        <f>'C1-Incomes'!FK10/'C1-Incomes'!$FF10</f>
        <v>3.9779651416844031E-2</v>
      </c>
      <c r="FK8" s="59">
        <f>'C1-Incomes'!FL10/'C1-Incomes'!$FF10</f>
        <v>1.4693253652252092E-2</v>
      </c>
      <c r="FN8" s="59">
        <f>'C1-Incomes'!FO10/'C1-Incomes'!$FN10</f>
        <v>0.33103832745068401</v>
      </c>
      <c r="FO8" s="59">
        <f>'C1-Incomes'!FP10/'C1-Incomes'!$FN10</f>
        <v>0.23014428170145057</v>
      </c>
      <c r="FP8" s="59">
        <f>'C1-Incomes'!FQ10/'C1-Incomes'!$FN10</f>
        <v>0.10788759531837348</v>
      </c>
      <c r="FQ8" s="59">
        <f>'C1-Incomes'!FR10/'C1-Incomes'!$FN10</f>
        <v>7.9983398677863887E-2</v>
      </c>
      <c r="FR8" s="59">
        <f>'C1-Incomes'!FS10/'C1-Incomes'!$FN10</f>
        <v>3.9551106668932863E-2</v>
      </c>
      <c r="FS8" s="59">
        <f>'C1-Incomes'!FT10/'C1-Incomes'!$FN10</f>
        <v>1.4608815749672776E-2</v>
      </c>
      <c r="FV8" s="59">
        <f>'C1-Incomes'!FW10/'C1-Incomes'!$FV10</f>
        <v>0.32692831965620006</v>
      </c>
      <c r="FW8" s="59">
        <f>'C1-Incomes'!FX10/'C1-Incomes'!$FV10</f>
        <v>0.22712965232806914</v>
      </c>
      <c r="FX8" s="59">
        <f>'C1-Incomes'!FY10/'C1-Incomes'!$FV10</f>
        <v>0.10636612223319651</v>
      </c>
      <c r="FY8" s="59">
        <f>'C1-Incomes'!FZ10/'C1-Incomes'!$FV10</f>
        <v>7.8835997239200969E-2</v>
      </c>
      <c r="FZ8" s="59">
        <f>'C1-Incomes'!GA10/'C1-Incomes'!$FV10</f>
        <v>3.8971864108124435E-2</v>
      </c>
      <c r="GA8" s="59">
        <f>'C1-Incomes'!GB10/'C1-Incomes'!$FV10</f>
        <v>1.439269345646817E-2</v>
      </c>
      <c r="GE8" s="59">
        <f>'C1-Incomes'!GF10/'C1-Incomes'!$GE10</f>
        <v>0.32692831965620006</v>
      </c>
      <c r="GF8" s="59">
        <f>'C1-Incomes'!GG10/'C1-Incomes'!$GE10</f>
        <v>0.22712965232806914</v>
      </c>
      <c r="GG8" s="59">
        <f>'C1-Incomes'!GH10/'C1-Incomes'!$GE10</f>
        <v>0.10636612223319651</v>
      </c>
      <c r="GH8" s="59">
        <f>'C1-Incomes'!GI10/'C1-Incomes'!$GE10</f>
        <v>7.8835997239200969E-2</v>
      </c>
      <c r="GI8" s="59">
        <f>'C1-Incomes'!GJ10/'C1-Incomes'!$GE10</f>
        <v>3.8971864108124435E-2</v>
      </c>
      <c r="GJ8" s="59">
        <f>'C1-Incomes'!GK10/'C1-Incomes'!$GE10</f>
        <v>1.439269345646817E-2</v>
      </c>
      <c r="GM8" s="59">
        <f>'C1-Incomes'!GN10/'C1-Incomes'!$GM10</f>
        <v>0.32578239432471462</v>
      </c>
      <c r="GN8" s="59">
        <f>'C1-Incomes'!GO10/'C1-Incomes'!$GM10</f>
        <v>0.22633353401562706</v>
      </c>
      <c r="GO8" s="59">
        <f>'C1-Incomes'!GP10/'C1-Incomes'!$GM10</f>
        <v>0.10599329544961571</v>
      </c>
      <c r="GP8" s="59">
        <f>'C1-Incomes'!GQ10/'C1-Incomes'!$GM10</f>
        <v>7.8559667044360945E-2</v>
      </c>
      <c r="GQ8" s="59">
        <f>'C1-Incomes'!GR10/'C1-Incomes'!$GM10</f>
        <v>3.8835262768896095E-2</v>
      </c>
      <c r="GR8" s="59">
        <f>'C1-Incomes'!GS10/'C1-Incomes'!$GM10</f>
        <v>1.434224523577742E-2</v>
      </c>
      <c r="GU8" s="59">
        <f>'C1-Incomes'!GV10/'C1-Incomes'!$GU10</f>
        <v>0.30768281644066831</v>
      </c>
      <c r="GV8" s="59">
        <f>'C1-Incomes'!GW10/'C1-Incomes'!$GU10</f>
        <v>0.21107236704068005</v>
      </c>
      <c r="GW8" s="59">
        <f>'C1-Incomes'!GX10/'C1-Incomes'!$GU10</f>
        <v>9.7180822839653458E-2</v>
      </c>
      <c r="GX8" s="59">
        <f>'C1-Incomes'!GY10/'C1-Incomes'!$GU10</f>
        <v>7.1660471944545709E-2</v>
      </c>
      <c r="GY8" s="59">
        <f>'C1-Incomes'!GZ10/'C1-Incomes'!$GU10</f>
        <v>3.5406156116477211E-2</v>
      </c>
      <c r="GZ8" s="59">
        <f>'C1-Incomes'!HA10/'C1-Incomes'!$GU10</f>
        <v>1.2934767182167638E-2</v>
      </c>
      <c r="HC8" s="59">
        <f>'C1-Incomes'!HD10/'C1-Incomes'!$HC10</f>
        <v>0.30600554697887722</v>
      </c>
      <c r="HD8" s="59">
        <f>'C1-Incomes'!HE10/'C1-Incomes'!$HC10</f>
        <v>0.20970192068470989</v>
      </c>
      <c r="HE8" s="59">
        <f>'C1-Incomes'!HF10/'C1-Incomes'!$HC10</f>
        <v>9.6193427712406673E-2</v>
      </c>
      <c r="HF8" s="59">
        <f>'C1-Incomes'!HG10/'C1-Incomes'!$HC10</f>
        <v>7.0930217003430898E-2</v>
      </c>
      <c r="HG8" s="59">
        <f>'C1-Incomes'!HH10/'C1-Incomes'!$HC10</f>
        <v>3.5050057626391712E-2</v>
      </c>
      <c r="HH8" s="59">
        <f>'C1-Incomes'!HI10/'C1-Incomes'!$HC10</f>
        <v>1.2752942491998405E-2</v>
      </c>
      <c r="HK8" s="59">
        <f>'C1-Incomes'!HL10/'C1-Incomes'!$HK10</f>
        <v>0.29472156819232881</v>
      </c>
      <c r="HL8" s="59">
        <f>'C1-Incomes'!HM10/'C1-Incomes'!$HK10</f>
        <v>0.19835639286404033</v>
      </c>
      <c r="HM8" s="59">
        <f>'C1-Incomes'!HN10/'C1-Incomes'!$HK10</f>
        <v>8.6296759285360639E-2</v>
      </c>
      <c r="HN8" s="59">
        <f>'C1-Incomes'!HO10/'C1-Incomes'!$HK10</f>
        <v>6.2583778150706329E-2</v>
      </c>
      <c r="HO8" s="59">
        <f>'C1-Incomes'!HP10/'C1-Incomes'!$HK10</f>
        <v>2.986800593083664E-2</v>
      </c>
      <c r="HP8" s="59">
        <f>'C1-Incomes'!HQ10/'C1-Incomes'!$HK10</f>
        <v>1.0613614704200483E-2</v>
      </c>
      <c r="HS8" s="59">
        <f>'C1-Incomes'!HT10/'C1-Incomes'!$HS10</f>
        <v>0.28720800465269858</v>
      </c>
      <c r="HT8" s="59">
        <f>'C1-Incomes'!HU10/'C1-Incomes'!$HS10</f>
        <v>0.19129061947734113</v>
      </c>
      <c r="HU8" s="59">
        <f>'C1-Incomes'!HV10/'C1-Incomes'!$HS10</f>
        <v>8.1825171231328417E-2</v>
      </c>
      <c r="HV8" s="59">
        <f>'C1-Incomes'!HW10/'C1-Incomes'!$HS10</f>
        <v>5.885032255624767E-2</v>
      </c>
      <c r="HW8" s="59">
        <f>'C1-Incomes'!HX10/'C1-Incomes'!$HS10</f>
        <v>2.7831424637578091E-2</v>
      </c>
      <c r="HX8" s="59">
        <f>'C1-Incomes'!HY10/'C1-Incomes'!$HS10</f>
        <v>9.7981590409784644E-3</v>
      </c>
      <c r="IA8" s="59">
        <f>'C1-Incomes'!IB10/'C1-Incomes'!$IA10</f>
        <v>0.29217262430225821</v>
      </c>
      <c r="IB8" s="59">
        <f>'C1-Incomes'!IC10/'C1-Incomes'!$IA10</f>
        <v>0.1959477094301017</v>
      </c>
      <c r="IC8" s="59">
        <f>'C1-Incomes'!ID10/'C1-Incomes'!$IA10</f>
        <v>8.4575020198293951E-2</v>
      </c>
      <c r="ID8" s="59">
        <f>'C1-Incomes'!IE10/'C1-Incomes'!$IA10</f>
        <v>6.1076490384965702E-2</v>
      </c>
      <c r="IE8" s="59">
        <f>'C1-Incomes'!IF10/'C1-Incomes'!$IA10</f>
        <v>2.8962760963048419E-2</v>
      </c>
      <c r="IF8" s="59">
        <f>'C1-Incomes'!IG10/'C1-Incomes'!$IA10</f>
        <v>1.020960095631236E-2</v>
      </c>
      <c r="II8" s="59">
        <f>'C1-Incomes'!IJ10/'C1-Incomes'!$II10</f>
        <v>0.29425965992464603</v>
      </c>
      <c r="IJ8" s="59">
        <f>'C1-Incomes'!IK10/'C1-Incomes'!$II10</f>
        <v>0.19848424490854316</v>
      </c>
      <c r="IK8" s="59">
        <f>'C1-Incomes'!IL10/'C1-Incomes'!$II10</f>
        <v>8.7122885666407052E-2</v>
      </c>
      <c r="IL8" s="59">
        <f>'C1-Incomes'!IM10/'C1-Incomes'!$II10</f>
        <v>6.3169299103336782E-2</v>
      </c>
      <c r="IM8" s="59">
        <f>'C1-Incomes'!IN10/'C1-Incomes'!$II10</f>
        <v>3.0201804562604372E-2</v>
      </c>
      <c r="IN8" s="59">
        <f>'C1-Incomes'!IO10/'C1-Incomes'!$II10</f>
        <v>1.0683577695116525E-2</v>
      </c>
      <c r="IQ8" s="59">
        <f>'C1-Incomes'!IR10/'C1-Incomes'!$IQ10</f>
        <v>0.29966671570429648</v>
      </c>
      <c r="IR8" s="59">
        <f>'C1-Incomes'!IS10/'C1-Incomes'!$IQ10</f>
        <v>0.20347038502770143</v>
      </c>
      <c r="IS8" s="59">
        <f>'C1-Incomes'!IT10/'C1-Incomes'!$IQ10</f>
        <v>9.0812078180142475E-2</v>
      </c>
      <c r="IT8" s="59">
        <f>'C1-Incomes'!IU10/'C1-Incomes'!$IQ10</f>
        <v>6.6155750197855273E-2</v>
      </c>
      <c r="IU8" s="59">
        <f>'C1-Incomes'!IV10/'C1-Incomes'!$IQ10</f>
        <v>3.1930066169926982E-2</v>
      </c>
      <c r="IV8" s="59">
        <f>'C1-Incomes'!IW10/'C1-Incomes'!$IQ10</f>
        <v>1.1386010698089987E-2</v>
      </c>
      <c r="IY8" s="59">
        <f>'C1-Incomes'!IZ10/'C1-Incomes'!$IY10</f>
        <v>0.27993155374396356</v>
      </c>
      <c r="IZ8" s="59">
        <f>'C1-Incomes'!JA10/'C1-Incomes'!$IY10</f>
        <v>0.18857744651411892</v>
      </c>
      <c r="JA8" s="59">
        <f>'C1-Incomes'!JB10/'C1-Incomes'!$IY10</f>
        <v>8.3180970305290119E-2</v>
      </c>
      <c r="JB8" s="59">
        <f>'C1-Incomes'!JC10/'C1-Incomes'!$IY10</f>
        <v>6.0361161491390099E-2</v>
      </c>
      <c r="JC8" s="59">
        <f>'C1-Incomes'!JD10/'C1-Incomes'!$IY10</f>
        <v>2.9051395905738808E-2</v>
      </c>
      <c r="JD8" s="59">
        <f>'C1-Incomes'!JE10/'C1-Incomes'!$IY10</f>
        <v>1.0333992283860239E-2</v>
      </c>
      <c r="JE8" s="197"/>
      <c r="JF8" s="197"/>
      <c r="JG8" s="197"/>
      <c r="JH8" s="197"/>
      <c r="JI8" s="197"/>
      <c r="JJ8" s="197"/>
      <c r="JK8" s="197"/>
      <c r="JL8" s="197"/>
      <c r="JM8" s="197"/>
      <c r="JN8" s="197"/>
      <c r="JO8" s="197"/>
      <c r="JP8" s="197"/>
      <c r="JQ8" s="197"/>
      <c r="JR8" s="197"/>
      <c r="JS8" s="197"/>
      <c r="JT8" s="197"/>
      <c r="JU8" s="197"/>
      <c r="JV8" s="197"/>
      <c r="JW8" s="197"/>
      <c r="JX8" s="197"/>
      <c r="JY8" s="197"/>
      <c r="JZ8" s="197"/>
      <c r="KA8" s="197"/>
      <c r="KB8" s="197"/>
      <c r="KC8" s="197"/>
      <c r="KD8" s="197"/>
      <c r="KE8" s="197"/>
      <c r="KF8" s="197"/>
      <c r="KG8" s="197"/>
      <c r="KH8" s="197"/>
      <c r="KI8" s="197"/>
      <c r="KJ8" s="197"/>
      <c r="KK8" s="197"/>
      <c r="KL8" s="197"/>
      <c r="KM8" s="197"/>
      <c r="KN8" s="197"/>
      <c r="KO8" s="197"/>
      <c r="KP8" s="197"/>
      <c r="KQ8" s="197"/>
      <c r="KR8" s="197"/>
      <c r="KS8" s="197"/>
      <c r="KT8" s="197"/>
      <c r="KU8" s="197"/>
      <c r="KV8" s="197"/>
      <c r="KW8" s="197"/>
      <c r="KX8" s="197"/>
      <c r="KY8" s="197"/>
      <c r="KZ8" s="197"/>
      <c r="LA8" s="197"/>
      <c r="LB8" s="197"/>
      <c r="LC8" s="197"/>
      <c r="LD8" s="197"/>
      <c r="LE8" s="197"/>
      <c r="LF8" s="197"/>
      <c r="LG8" s="197"/>
      <c r="LH8" s="197"/>
      <c r="LI8" s="197"/>
      <c r="LJ8" s="197"/>
      <c r="LK8" s="197"/>
      <c r="LL8" s="197"/>
      <c r="LM8" s="197"/>
      <c r="LN8" s="197"/>
      <c r="LO8" s="197"/>
      <c r="LP8" s="197"/>
      <c r="LQ8" s="197"/>
      <c r="LR8" s="197"/>
      <c r="LS8" s="197"/>
      <c r="LT8" s="197"/>
      <c r="LU8" s="197"/>
      <c r="LV8" s="197"/>
      <c r="LW8" s="197"/>
      <c r="LX8" s="197"/>
      <c r="LY8" s="197"/>
      <c r="LZ8" s="197"/>
      <c r="MA8" s="197"/>
      <c r="MB8" s="197"/>
      <c r="MC8" s="197"/>
      <c r="MD8" s="197"/>
      <c r="ME8" s="197"/>
      <c r="MF8" s="197"/>
      <c r="MG8" s="197"/>
      <c r="MH8" s="197"/>
      <c r="MI8" s="197"/>
      <c r="MJ8" s="197"/>
      <c r="MK8" s="197"/>
      <c r="ML8" s="197"/>
      <c r="MM8" s="197"/>
      <c r="MN8" s="197"/>
      <c r="MO8" s="197"/>
      <c r="MP8" s="197"/>
      <c r="MQ8" s="197"/>
      <c r="MR8" s="197"/>
      <c r="MS8" s="197"/>
      <c r="MT8" s="197"/>
      <c r="MU8" s="197"/>
      <c r="MV8" s="197"/>
      <c r="MW8" s="197"/>
      <c r="MX8" s="197"/>
      <c r="MY8" s="197"/>
      <c r="MZ8" s="197"/>
      <c r="NA8" s="197"/>
      <c r="NB8" s="197"/>
      <c r="NC8" s="197"/>
      <c r="ND8" s="197"/>
      <c r="NE8" s="197"/>
      <c r="NF8" s="197"/>
      <c r="NG8" s="197"/>
      <c r="NH8" s="197"/>
      <c r="NI8" s="197"/>
      <c r="NJ8" s="197"/>
      <c r="NK8" s="197"/>
      <c r="NL8" s="197"/>
      <c r="NM8" s="197"/>
      <c r="NN8" s="197"/>
      <c r="NO8" s="197"/>
      <c r="NP8" s="197"/>
      <c r="NQ8" s="197"/>
      <c r="NR8" s="197"/>
      <c r="NS8" s="197"/>
      <c r="NT8" s="197"/>
      <c r="NU8" s="197"/>
      <c r="NV8" s="197"/>
      <c r="NW8" s="197"/>
      <c r="NX8" s="197"/>
      <c r="NY8" s="197"/>
      <c r="NZ8" s="197"/>
      <c r="OA8" s="197"/>
      <c r="OB8" s="197"/>
      <c r="OC8" s="197"/>
      <c r="OD8" s="197"/>
      <c r="OE8" s="197"/>
      <c r="OF8" s="197"/>
      <c r="OG8" s="197"/>
      <c r="OH8" s="197"/>
      <c r="OI8" s="197"/>
      <c r="OJ8" s="197"/>
      <c r="OK8" s="197"/>
      <c r="OL8" s="197"/>
      <c r="OM8" s="197"/>
      <c r="ON8" s="197"/>
      <c r="OO8" s="197"/>
      <c r="OP8" s="197"/>
      <c r="OQ8" s="197"/>
      <c r="OR8" s="197"/>
      <c r="OS8" s="197"/>
      <c r="OT8" s="197"/>
      <c r="OU8" s="197"/>
      <c r="OV8" s="197"/>
      <c r="OW8" s="197"/>
      <c r="OX8" s="197"/>
      <c r="OY8" s="197"/>
      <c r="OZ8" s="197"/>
      <c r="PA8" s="197"/>
      <c r="PB8" s="197"/>
    </row>
    <row r="9" spans="1:418" s="77" customFormat="1" ht="10.5" customHeight="1" x14ac:dyDescent="0.2">
      <c r="A9" s="48">
        <v>1963</v>
      </c>
      <c r="B9" s="59">
        <f>'C1-Incomes'!C11/'C1-Incomes'!$B11</f>
        <v>0.31144769343467549</v>
      </c>
      <c r="C9" s="59">
        <f>'C1-Incomes'!D11/'C1-Incomes'!$B11</f>
        <v>0.20395063264930885</v>
      </c>
      <c r="D9" s="59">
        <f>'C1-Incomes'!E11/'C1-Incomes'!$B11</f>
        <v>8.2278348725228073E-2</v>
      </c>
      <c r="E9" s="59">
        <f>'C1-Incomes'!F11/'C1-Incomes'!$B11</f>
        <v>5.4645440785778827E-2</v>
      </c>
      <c r="F9" s="59">
        <f>'C1-Incomes'!G11/'C1-Incomes'!$B11</f>
        <v>2.0558966153823209E-2</v>
      </c>
      <c r="G9" s="59">
        <f>'C1-Incomes'!H11/'C1-Incomes'!$B11</f>
        <v>5.599692626939312E-3</v>
      </c>
      <c r="H9" s="199"/>
      <c r="J9" s="59">
        <f>'C1-Incomes'!K11/'C1-Incomes'!$J11</f>
        <v>0.3377197837532987</v>
      </c>
      <c r="K9" s="59">
        <f>'C1-Incomes'!L11/'C1-Incomes'!$J11</f>
        <v>0.23626997387145812</v>
      </c>
      <c r="L9" s="59">
        <f>'C1-Incomes'!M11/'C1-Incomes'!$J11</f>
        <v>0.11305834004238841</v>
      </c>
      <c r="M9" s="59">
        <f>'C1-Incomes'!N11/'C1-Incomes'!$J11</f>
        <v>8.4759106576551502E-2</v>
      </c>
      <c r="N9" s="59">
        <f>'C1-Incomes'!O11/'C1-Incomes'!$J11</f>
        <v>4.2506153194381217E-2</v>
      </c>
      <c r="O9" s="59">
        <f>'C1-Incomes'!P11/'C1-Incomes'!$J11</f>
        <v>1.5845744290542071E-2</v>
      </c>
      <c r="P9" s="59"/>
      <c r="R9" s="59">
        <f>'C1-Incomes'!S11/'C1-Incomes'!$R11</f>
        <v>0.32339210632700965</v>
      </c>
      <c r="S9" s="59">
        <f>'C1-Incomes'!T11/'C1-Incomes'!$R11</f>
        <v>0.22600292757510407</v>
      </c>
      <c r="T9" s="59">
        <f>'C1-Incomes'!U11/'C1-Incomes'!$R11</f>
        <v>0.10787582966725633</v>
      </c>
      <c r="U9" s="59">
        <f>'C1-Incomes'!V11/'C1-Incomes'!$R11</f>
        <v>8.0789224719156824E-2</v>
      </c>
      <c r="V9" s="59">
        <f>'C1-Incomes'!W11/'C1-Incomes'!$R11</f>
        <v>4.0427774124271711E-2</v>
      </c>
      <c r="W9" s="59">
        <f>'C1-Incomes'!X11/'C1-Incomes'!$R11</f>
        <v>1.505939039675647E-2</v>
      </c>
      <c r="X9" s="59"/>
      <c r="Y9" s="59"/>
      <c r="Z9" s="59">
        <f>'C1-Incomes'!AA11/'C1-Incomes'!$Z11</f>
        <v>0.27719883030592074</v>
      </c>
      <c r="AA9" s="59">
        <f>'C1-Incomes'!AB11/'C1-Incomes'!$Z11</f>
        <v>0.18778619647935441</v>
      </c>
      <c r="AB9" s="59">
        <f>'C1-Incomes'!AC11/'C1-Incomes'!$Z11</f>
        <v>8.4699843262851141E-2</v>
      </c>
      <c r="AC9" s="59">
        <f>'C1-Incomes'!AD11/'C1-Incomes'!$Z11</f>
        <v>6.2045304149290478E-2</v>
      </c>
      <c r="AD9" s="59">
        <f>'C1-Incomes'!AE11/'C1-Incomes'!$Z11</f>
        <v>3.0102935624349892E-2</v>
      </c>
      <c r="AE9" s="59">
        <f>'C1-Incomes'!AF11/'C1-Incomes'!$Z11</f>
        <v>1.0819286381118858E-2</v>
      </c>
      <c r="AF9" s="200"/>
      <c r="AG9" s="195"/>
      <c r="AH9" s="59">
        <f>'C1-Incomes'!AI11/'C1-Incomes'!$AH11</f>
        <v>0.31474475359763465</v>
      </c>
      <c r="AI9" s="59">
        <f>'C1-Incomes'!AJ11/'C1-Incomes'!$AH11</f>
        <v>0.20545916347428472</v>
      </c>
      <c r="AJ9" s="59">
        <f>'C1-Incomes'!AK11/'C1-Incomes'!$AH11</f>
        <v>8.2599712745283563E-2</v>
      </c>
      <c r="AK9" s="59">
        <f>'C1-Incomes'!AL11/'C1-Incomes'!$AH11</f>
        <v>5.4882261676063679E-2</v>
      </c>
      <c r="AL9" s="59">
        <f>'C1-Incomes'!AM11/'C1-Incomes'!$AH11</f>
        <v>2.0674930758103349E-2</v>
      </c>
      <c r="AM9" s="59">
        <f>'C1-Incomes'!AN11/'C1-Incomes'!$AH11</f>
        <v>5.642125075243155E-3</v>
      </c>
      <c r="AN9" s="195"/>
      <c r="AO9" s="195"/>
      <c r="AP9" s="59">
        <f>'C1-Incomes'!AQ11/'C1-Incomes'!$AP11</f>
        <v>0.31509579989565439</v>
      </c>
      <c r="AQ9" s="59">
        <f>'C1-Incomes'!AR11/'C1-Incomes'!$AP11</f>
        <v>0.2059019950093581</v>
      </c>
      <c r="AR9" s="59">
        <f>'C1-Incomes'!AS11/'C1-Incomes'!$AP11</f>
        <v>8.3116060688026613E-2</v>
      </c>
      <c r="AS9" s="59">
        <f>'C1-Incomes'!AT11/'C1-Incomes'!$AP11</f>
        <v>5.5345418594839789E-2</v>
      </c>
      <c r="AT9" s="59">
        <f>'C1-Incomes'!AU11/'C1-Incomes'!$AP11</f>
        <v>2.0927927561921508E-2</v>
      </c>
      <c r="AU9" s="59">
        <f>'C1-Incomes'!AV11/'C1-Incomes'!$AP11</f>
        <v>5.7634309410067915E-3</v>
      </c>
      <c r="AV9" s="197"/>
      <c r="AW9" s="60"/>
      <c r="AX9" s="59">
        <f>'C1-Incomes'!AY11/'C1-Incomes'!$AX11</f>
        <v>0.31782720325361835</v>
      </c>
      <c r="AY9" s="59">
        <f>'C1-Incomes'!AZ11/'C1-Incomes'!$AX11</f>
        <v>0.2091090114265389</v>
      </c>
      <c r="AZ9" s="59">
        <f>'C1-Incomes'!BA11/'C1-Incomes'!$AX11</f>
        <v>8.6388602167318654E-2</v>
      </c>
      <c r="BA9" s="59">
        <f>'C1-Incomes'!BB11/'C1-Incomes'!$AX11</f>
        <v>5.7966178817670973E-2</v>
      </c>
      <c r="BB9" s="59">
        <f>'C1-Incomes'!BC11/'C1-Incomes'!$AX11</f>
        <v>2.2212051107966854E-2</v>
      </c>
      <c r="BC9" s="59">
        <f>'C1-Incomes'!BD11/'C1-Incomes'!$AX11</f>
        <v>6.2040969208977791E-3</v>
      </c>
      <c r="BD9" s="60"/>
      <c r="BE9" s="60"/>
      <c r="BF9" s="59">
        <f>'C1-Incomes'!BG11/'C1-Incomes'!$BF11</f>
        <v>0.31792212947891674</v>
      </c>
      <c r="BG9" s="59">
        <f>'C1-Incomes'!BH11/'C1-Incomes'!$BF11</f>
        <v>0.20931779899584552</v>
      </c>
      <c r="BH9" s="59">
        <f>'C1-Incomes'!BI11/'C1-Incomes'!$BF11</f>
        <v>8.6553258292552587E-2</v>
      </c>
      <c r="BI9" s="59">
        <f>'C1-Incomes'!BJ11/'C1-Incomes'!$BF11</f>
        <v>5.8064099275743339E-2</v>
      </c>
      <c r="BJ9" s="59">
        <f>'C1-Incomes'!BK11/'C1-Incomes'!$BF11</f>
        <v>2.2238177776422539E-2</v>
      </c>
      <c r="BK9" s="59">
        <f>'C1-Incomes'!BL11/'C1-Incomes'!$BF11</f>
        <v>6.2174585229438544E-3</v>
      </c>
      <c r="BL9" s="59"/>
      <c r="BM9" s="59"/>
      <c r="BN9" s="59">
        <f>'C1-Incomes'!BO11/'C1-Incomes'!$BN11</f>
        <v>0.30198419513456931</v>
      </c>
      <c r="BO9" s="59">
        <f>'C1-Incomes'!BP11/'C1-Incomes'!$BN11</f>
        <v>0.19797662587713277</v>
      </c>
      <c r="BP9" s="59">
        <f>'C1-Incomes'!BQ11/'C1-Incomes'!$BN11</f>
        <v>7.8654253251748574E-2</v>
      </c>
      <c r="BQ9" s="59">
        <f>'C1-Incomes'!BR11/'C1-Incomes'!$BN11</f>
        <v>5.4031573976128303E-2</v>
      </c>
      <c r="BR9" s="59">
        <f>'C1-Incomes'!BS11/'C1-Incomes'!$BN11</f>
        <v>2.2326664402976714E-2</v>
      </c>
      <c r="BS9" s="59">
        <f>'C1-Incomes'!BT11/'C1-Incomes'!$BN11</f>
        <v>6.5902665841777314E-3</v>
      </c>
      <c r="BT9" s="59"/>
      <c r="BU9" s="59"/>
      <c r="BV9" s="59">
        <f>'C1-Incomes'!BW11/'C1-Incomes'!$BV11</f>
        <v>0.30474576146740207</v>
      </c>
      <c r="BW9" s="59">
        <f>'C1-Incomes'!BX11/'C1-Incomes'!$BV11</f>
        <v>0.2008428334520436</v>
      </c>
      <c r="BX9" s="59">
        <f>'C1-Incomes'!BY11/'C1-Incomes'!$BV11</f>
        <v>8.0967758094705133E-2</v>
      </c>
      <c r="BY9" s="59">
        <f>'C1-Incomes'!BZ11/'C1-Incomes'!$BV11</f>
        <v>5.5982229693116781E-2</v>
      </c>
      <c r="BZ9" s="59">
        <f>'C1-Incomes'!CA11/'C1-Incomes'!$BV11</f>
        <v>2.3533105027552091E-2</v>
      </c>
      <c r="CA9" s="59">
        <f>'C1-Incomes'!CB11/'C1-Incomes'!$BV11</f>
        <v>7.0212763061984918E-3</v>
      </c>
      <c r="CB9" s="60"/>
      <c r="CC9" s="198"/>
      <c r="CD9" s="59">
        <f>'C1-Incomes'!CE11/'C1-Incomes'!$CD11</f>
        <v>0.33531068235839506</v>
      </c>
      <c r="CE9" s="59">
        <f>'C1-Incomes'!CF11/'C1-Incomes'!$CD11</f>
        <v>0.23387692661392187</v>
      </c>
      <c r="CF9" s="59">
        <f>'C1-Incomes'!CG11/'C1-Incomes'!$CD11</f>
        <v>0.11149078489602103</v>
      </c>
      <c r="CG9" s="59">
        <f>'C1-Incomes'!CH11/'C1-Incomes'!$CD11</f>
        <v>8.2887137799850796E-2</v>
      </c>
      <c r="CH9" s="59">
        <f>'C1-Incomes'!CI11/'C1-Incomes'!$CD11</f>
        <v>4.1172640816804905E-2</v>
      </c>
      <c r="CI9" s="59">
        <f>'C1-Incomes'!CJ11/'C1-Incomes'!$CD11</f>
        <v>1.4948787040891219E-2</v>
      </c>
      <c r="CL9" s="59">
        <f>'C1-Incomes'!CM11/'C1-Incomes'!$CL11</f>
        <v>0.34759863235717375</v>
      </c>
      <c r="CM9" s="59">
        <f>'C1-Incomes'!CN11/'C1-Incomes'!$CL11</f>
        <v>0.24660083323655646</v>
      </c>
      <c r="CN9" s="59">
        <f>'C1-Incomes'!CO11/'C1-Incomes'!$CL11</f>
        <v>0.1228059384618316</v>
      </c>
      <c r="CO9" s="59">
        <f>'C1-Incomes'!CP11/'C1-Incomes'!$CL11</f>
        <v>9.29775701632925E-2</v>
      </c>
      <c r="CP9" s="59">
        <f>'C1-Incomes'!CQ11/'C1-Incomes'!$CL11</f>
        <v>4.7526707487344701E-2</v>
      </c>
      <c r="CQ9" s="59">
        <f>'C1-Incomes'!CR11/'C1-Incomes'!$CL11</f>
        <v>1.7706448934687018E-2</v>
      </c>
      <c r="CR9" s="59"/>
      <c r="CS9" s="59"/>
      <c r="CT9" s="59">
        <f>'C1-Incomes'!CU11/'C1-Incomes'!$CT11</f>
        <v>0.35367220240137087</v>
      </c>
      <c r="CU9" s="59">
        <f>'C1-Incomes'!CV11/'C1-Incomes'!$CT11</f>
        <v>0.2531186465429025</v>
      </c>
      <c r="CV9" s="59">
        <f>'C1-Incomes'!CW11/'C1-Incomes'!$CT11</f>
        <v>0.12804585060152449</v>
      </c>
      <c r="CW9" s="59">
        <f>'C1-Incomes'!CX11/'C1-Incomes'!$CT11</f>
        <v>9.7340085497713572E-2</v>
      </c>
      <c r="CX9" s="59">
        <f>'C1-Incomes'!CY11/'C1-Incomes'!$CT11</f>
        <v>5.0060427981661625E-2</v>
      </c>
      <c r="CY9" s="59">
        <f>'C1-Incomes'!CZ11/'C1-Incomes'!$CT11</f>
        <v>1.8768888280488019E-2</v>
      </c>
      <c r="CZ9" s="59"/>
      <c r="DA9" s="59"/>
      <c r="DB9" s="59">
        <f>'C1-Incomes'!DC11/'C1-Incomes'!$DB11</f>
        <v>0.3542225169960323</v>
      </c>
      <c r="DC9" s="59">
        <f>'C1-Incomes'!DD11/'C1-Incomes'!$DB11</f>
        <v>0.25363095894620263</v>
      </c>
      <c r="DD9" s="59">
        <f>'C1-Incomes'!DE11/'C1-Incomes'!$DB11</f>
        <v>0.12900553892270014</v>
      </c>
      <c r="DE9" s="59">
        <f>'C1-Incomes'!DF11/'C1-Incomes'!$DB11</f>
        <v>9.8226759233621133E-2</v>
      </c>
      <c r="DF9" s="59">
        <f>'C1-Incomes'!DG11/'C1-Incomes'!$DB11</f>
        <v>5.0825317950176863E-2</v>
      </c>
      <c r="DG9" s="59">
        <f>'C1-Incomes'!DH11/'C1-Incomes'!$DB11</f>
        <v>1.9146114642822197E-2</v>
      </c>
      <c r="DH9" s="59"/>
      <c r="DI9" s="1039"/>
      <c r="DJ9" s="59">
        <f>'C1-Incomes'!DK11/'C1-Incomes'!$DJ11</f>
        <v>0.35108381588330906</v>
      </c>
      <c r="DK9" s="59">
        <f>'C1-Incomes'!DL11/'C1-Incomes'!$DJ11</f>
        <v>0.25209684341119326</v>
      </c>
      <c r="DL9" s="59">
        <f>'C1-Incomes'!DM11/'C1-Incomes'!$DJ11</f>
        <v>0.12834113229528404</v>
      </c>
      <c r="DM9" s="59">
        <f>'C1-Incomes'!DN11/'C1-Incomes'!$DJ11</f>
        <v>9.7543617375232788E-2</v>
      </c>
      <c r="DN9" s="59">
        <f>'C1-Incomes'!DO11/'C1-Incomes'!$DJ11</f>
        <v>4.9945349232877558E-2</v>
      </c>
      <c r="DO9" s="59">
        <f>'C1-Incomes'!DP11/'C1-Incomes'!$DJ11</f>
        <v>1.8823405693206362E-2</v>
      </c>
      <c r="DP9" s="696"/>
      <c r="DQ9" s="503"/>
      <c r="DR9" s="59">
        <f>'C1-Incomes'!DS11/'C1-Incomes'!$DR11</f>
        <v>0.35147622822334651</v>
      </c>
      <c r="DS9" s="59">
        <f>'C1-Incomes'!DT11/'C1-Incomes'!$DR11</f>
        <v>0.25095702971193418</v>
      </c>
      <c r="DT9" s="59">
        <f>'C1-Incomes'!DU11/'C1-Incomes'!$DR11</f>
        <v>0.12543817128675544</v>
      </c>
      <c r="DU9" s="59">
        <f>'C1-Incomes'!DV11/'C1-Incomes'!$DR11</f>
        <v>9.4935744550537521E-2</v>
      </c>
      <c r="DV9" s="59">
        <f>'C1-Incomes'!DW11/'C1-Incomes'!$DR11</f>
        <v>4.8247072892767889E-2</v>
      </c>
      <c r="DW9" s="59">
        <f>'C1-Incomes'!DX11/'C1-Incomes'!$DR11</f>
        <v>1.812165584620689E-2</v>
      </c>
      <c r="DX9" s="333"/>
      <c r="DZ9" s="59">
        <f>'C1-Incomes'!EA11/'C1-Incomes'!$DZ11</f>
        <v>0.34727696676959763</v>
      </c>
      <c r="EA9" s="59">
        <f>'C1-Incomes'!EB11/'C1-Incomes'!$DZ11</f>
        <v>0.24692051127713929</v>
      </c>
      <c r="EB9" s="59">
        <f>'C1-Incomes'!EC11/'C1-Incomes'!$DZ11</f>
        <v>0.12273784526473801</v>
      </c>
      <c r="EC9" s="59">
        <f>'C1-Incomes'!ED11/'C1-Incomes'!$DZ11</f>
        <v>9.2847533025278747E-2</v>
      </c>
      <c r="ED9" s="59">
        <f>'C1-Incomes'!EE11/'C1-Incomes'!$DZ11</f>
        <v>4.7142471953598587E-2</v>
      </c>
      <c r="EE9" s="59">
        <f>'C1-Incomes'!EF11/'C1-Incomes'!$DZ11</f>
        <v>1.7699425877251686E-2</v>
      </c>
      <c r="EF9" s="59"/>
      <c r="EH9" s="59">
        <f>'C1-Incomes'!EI11/'C1-Incomes'!$EH11</f>
        <v>0.3467036150655548</v>
      </c>
      <c r="EI9" s="59">
        <f>'C1-Incomes'!EJ11/'C1-Incomes'!$EH11</f>
        <v>0.24573763010134159</v>
      </c>
      <c r="EJ9" s="59">
        <f>'C1-Incomes'!EK11/'C1-Incomes'!$EH11</f>
        <v>0.12112094364290385</v>
      </c>
      <c r="EK9" s="59">
        <f>'C1-Incomes'!EL11/'C1-Incomes'!$EH11</f>
        <v>9.142892694120032E-2</v>
      </c>
      <c r="EL9" s="59">
        <f>'C1-Incomes'!EM11/'C1-Incomes'!$EH11</f>
        <v>4.6369481234171277E-2</v>
      </c>
      <c r="EM9" s="59">
        <f>'C1-Incomes'!EN11/'C1-Incomes'!$EH11</f>
        <v>1.7416366843045435E-2</v>
      </c>
      <c r="EN9" s="59"/>
      <c r="EO9" s="59"/>
      <c r="EP9" s="59">
        <f>'C1-Incomes'!EQ11/'C1-Incomes'!$EH11</f>
        <v>0.35618374892556648</v>
      </c>
      <c r="EQ9" s="59">
        <f>'C1-Incomes'!ER11/'C1-Incomes'!$EH11</f>
        <v>0.25110159910524521</v>
      </c>
      <c r="ER9" s="59">
        <f>'C1-Incomes'!ES11/'C1-Incomes'!$EH11</f>
        <v>0.12229402823599168</v>
      </c>
      <c r="ES9" s="59">
        <f>'C1-Incomes'!ET11/'C1-Incomes'!$EH11</f>
        <v>9.2139719791606955E-2</v>
      </c>
      <c r="ET9" s="59">
        <f>'C1-Incomes'!EU11/'C1-Incomes'!$EH11</f>
        <v>4.6540879344069849E-2</v>
      </c>
      <c r="EU9" s="59">
        <f>'C1-Incomes'!EV11/'C1-Incomes'!$EH11</f>
        <v>1.7432821745505041E-2</v>
      </c>
      <c r="EV9" s="59"/>
      <c r="EW9" s="59"/>
      <c r="EX9" s="59">
        <f>'C1-Incomes'!EY11/'C1-Incomes'!$EX11</f>
        <v>0.3377197837532987</v>
      </c>
      <c r="EY9" s="59">
        <f>'C1-Incomes'!EZ11/'C1-Incomes'!$EX11</f>
        <v>0.23626997387145812</v>
      </c>
      <c r="EZ9" s="59">
        <f>'C1-Incomes'!FA11/'C1-Incomes'!$EX11</f>
        <v>0.11305834004238841</v>
      </c>
      <c r="FA9" s="59">
        <f>'C1-Incomes'!FB11/'C1-Incomes'!$EX11</f>
        <v>8.4759106576551502E-2</v>
      </c>
      <c r="FB9" s="59">
        <f>'C1-Incomes'!FC11/'C1-Incomes'!$EX11</f>
        <v>4.2506153194381217E-2</v>
      </c>
      <c r="FC9" s="59">
        <f>'C1-Incomes'!FD11/'C1-Incomes'!$EX11</f>
        <v>1.5845744290542071E-2</v>
      </c>
      <c r="FD9" s="59"/>
      <c r="FF9" s="59">
        <f>'C1-Incomes'!FG11/'C1-Incomes'!$FF11</f>
        <v>0.330124086123049</v>
      </c>
      <c r="FG9" s="59">
        <f>'C1-Incomes'!FH11/'C1-Incomes'!$FF11</f>
        <v>0.23091496624497382</v>
      </c>
      <c r="FH9" s="59">
        <f>'C1-Incomes'!FI11/'C1-Incomes'!$FF11</f>
        <v>0.11033709187161125</v>
      </c>
      <c r="FI9" s="59">
        <f>'C1-Incomes'!FJ11/'C1-Incomes'!$FF11</f>
        <v>8.2653126188680315E-2</v>
      </c>
      <c r="FJ9" s="59">
        <f>'C1-Incomes'!FK11/'C1-Incomes'!$FF11</f>
        <v>4.1372463407992312E-2</v>
      </c>
      <c r="FK9" s="59">
        <f>'C1-Incomes'!FL11/'C1-Incomes'!$FF11</f>
        <v>1.5413424083385405E-2</v>
      </c>
      <c r="FN9" s="59">
        <f>'C1-Incomes'!FO11/'C1-Incomes'!$FN11</f>
        <v>0.32856991526852103</v>
      </c>
      <c r="FO9" s="59">
        <f>'C1-Incomes'!FP11/'C1-Incomes'!$FN11</f>
        <v>0.22977515036847748</v>
      </c>
      <c r="FP9" s="59">
        <f>'C1-Incomes'!FQ11/'C1-Incomes'!$FN11</f>
        <v>0.10978356872917779</v>
      </c>
      <c r="FQ9" s="59">
        <f>'C1-Incomes'!FR11/'C1-Incomes'!$FN11</f>
        <v>8.223718834603741E-2</v>
      </c>
      <c r="FR9" s="59">
        <f>'C1-Incomes'!FS11/'C1-Incomes'!$FN11</f>
        <v>4.116396065708483E-2</v>
      </c>
      <c r="FS9" s="59">
        <f>'C1-Incomes'!FT11/'C1-Incomes'!$FN11</f>
        <v>1.5335727034962788E-2</v>
      </c>
      <c r="FV9" s="59">
        <f>'C1-Incomes'!FW11/'C1-Incomes'!$FV11</f>
        <v>0.32461620494131627</v>
      </c>
      <c r="FW9" s="59">
        <f>'C1-Incomes'!FX11/'C1-Incomes'!$FV11</f>
        <v>0.22685839023192655</v>
      </c>
      <c r="FX9" s="59">
        <f>'C1-Incomes'!FY11/'C1-Incomes'!$FV11</f>
        <v>0.10828415952760033</v>
      </c>
      <c r="FY9" s="59">
        <f>'C1-Incomes'!FZ11/'C1-Incomes'!$FV11</f>
        <v>8.109502679686624E-2</v>
      </c>
      <c r="FZ9" s="59">
        <f>'C1-Incomes'!GA11/'C1-Incomes'!$FV11</f>
        <v>4.058080068650629E-2</v>
      </c>
      <c r="GA9" s="59">
        <f>'C1-Incomes'!GB11/'C1-Incomes'!$FV11</f>
        <v>1.5116392959763778E-2</v>
      </c>
      <c r="GE9" s="59">
        <f>'C1-Incomes'!GF11/'C1-Incomes'!$GE11</f>
        <v>0.32461620494131627</v>
      </c>
      <c r="GF9" s="59">
        <f>'C1-Incomes'!GG11/'C1-Incomes'!$GE11</f>
        <v>0.22685839023192655</v>
      </c>
      <c r="GG9" s="59">
        <f>'C1-Incomes'!GH11/'C1-Incomes'!$GE11</f>
        <v>0.10828415952760033</v>
      </c>
      <c r="GH9" s="59">
        <f>'C1-Incomes'!GI11/'C1-Incomes'!$GE11</f>
        <v>8.109502679686624E-2</v>
      </c>
      <c r="GI9" s="59">
        <f>'C1-Incomes'!GJ11/'C1-Incomes'!$GE11</f>
        <v>4.058080068650629E-2</v>
      </c>
      <c r="GJ9" s="59">
        <f>'C1-Incomes'!GK11/'C1-Incomes'!$GE11</f>
        <v>1.5116392959763778E-2</v>
      </c>
      <c r="GM9" s="59">
        <f>'C1-Incomes'!GN11/'C1-Incomes'!$GM11</f>
        <v>0.32339210632700965</v>
      </c>
      <c r="GN9" s="59">
        <f>'C1-Incomes'!GO11/'C1-Incomes'!$GM11</f>
        <v>0.22600292757510407</v>
      </c>
      <c r="GO9" s="59">
        <f>'C1-Incomes'!GP11/'C1-Incomes'!$GM11</f>
        <v>0.10787582966725633</v>
      </c>
      <c r="GP9" s="59">
        <f>'C1-Incomes'!GQ11/'C1-Incomes'!$GM11</f>
        <v>8.0789224719156824E-2</v>
      </c>
      <c r="GQ9" s="59">
        <f>'C1-Incomes'!GR11/'C1-Incomes'!$GM11</f>
        <v>4.0427774124271711E-2</v>
      </c>
      <c r="GR9" s="59">
        <f>'C1-Incomes'!GS11/'C1-Incomes'!$GM11</f>
        <v>1.505939039675647E-2</v>
      </c>
      <c r="GU9" s="59">
        <f>'C1-Incomes'!GV11/'C1-Incomes'!$GU11</f>
        <v>0.30537339694276255</v>
      </c>
      <c r="GV9" s="59">
        <f>'C1-Incomes'!GW11/'C1-Incomes'!$GU11</f>
        <v>0.21074550107549486</v>
      </c>
      <c r="GW9" s="59">
        <f>'C1-Incomes'!GX11/'C1-Incomes'!$GU11</f>
        <v>9.9028550178258165E-2</v>
      </c>
      <c r="GX9" s="59">
        <f>'C1-Incomes'!GY11/'C1-Incomes'!$GU11</f>
        <v>7.3910377396770366E-2</v>
      </c>
      <c r="GY9" s="59">
        <f>'C1-Incomes'!GZ11/'C1-Incomes'!$GU11</f>
        <v>3.6899835460378387E-2</v>
      </c>
      <c r="GZ9" s="59">
        <f>'C1-Incomes'!HA11/'C1-Incomes'!$GU11</f>
        <v>1.3573794954187035E-2</v>
      </c>
      <c r="HC9" s="59">
        <f>'C1-Incomes'!HD11/'C1-Incomes'!$HC11</f>
        <v>0.30380642691090387</v>
      </c>
      <c r="HD9" s="59">
        <f>'C1-Incomes'!HE11/'C1-Incomes'!$HC11</f>
        <v>0.20945558487557206</v>
      </c>
      <c r="HE9" s="59">
        <f>'C1-Incomes'!HF11/'C1-Incomes'!$HC11</f>
        <v>9.8117504776756084E-2</v>
      </c>
      <c r="HF9" s="59">
        <f>'C1-Incomes'!HG11/'C1-Incomes'!$HC11</f>
        <v>7.3226632631194957E-2</v>
      </c>
      <c r="HG9" s="59">
        <f>'C1-Incomes'!HH11/'C1-Incomes'!$HC11</f>
        <v>3.6398264338593944E-2</v>
      </c>
      <c r="HH9" s="59">
        <f>'C1-Incomes'!HI11/'C1-Incomes'!$HC11</f>
        <v>1.3411703178354576E-2</v>
      </c>
      <c r="HK9" s="59">
        <f>'C1-Incomes'!HL11/'C1-Incomes'!$HK11</f>
        <v>0.29207292312795208</v>
      </c>
      <c r="HL9" s="59">
        <f>'C1-Incomes'!HM11/'C1-Incomes'!$HK11</f>
        <v>0.19760147576040923</v>
      </c>
      <c r="HM9" s="59">
        <f>'C1-Incomes'!HN11/'C1-Incomes'!$HK11</f>
        <v>8.7714795437217261E-2</v>
      </c>
      <c r="HN9" s="59">
        <f>'C1-Incomes'!HO11/'C1-Incomes'!$HK11</f>
        <v>6.4277986277391244E-2</v>
      </c>
      <c r="HO9" s="59">
        <f>'C1-Incomes'!HP11/'C1-Incomes'!$HK11</f>
        <v>3.0952451705993211E-2</v>
      </c>
      <c r="HP9" s="59">
        <f>'C1-Incomes'!HQ11/'C1-Incomes'!$HK11</f>
        <v>1.1096998789720812E-2</v>
      </c>
      <c r="HS9" s="59">
        <f>'C1-Incomes'!HT11/'C1-Incomes'!$HS11</f>
        <v>0.28441267005781506</v>
      </c>
      <c r="HT9" s="59">
        <f>'C1-Incomes'!HU11/'C1-Incomes'!$HS11</f>
        <v>0.19041362320085434</v>
      </c>
      <c r="HU9" s="59">
        <f>'C1-Incomes'!HV11/'C1-Incomes'!$HS11</f>
        <v>8.2991120842296567E-2</v>
      </c>
      <c r="HV9" s="59">
        <f>'C1-Incomes'!HW11/'C1-Incomes'!$HS11</f>
        <v>6.0261319263656549E-2</v>
      </c>
      <c r="HW9" s="59">
        <f>'C1-Incomes'!HX11/'C1-Incomes'!$HS11</f>
        <v>2.8736524142796833E-2</v>
      </c>
      <c r="HX9" s="59">
        <f>'C1-Incomes'!HY11/'C1-Incomes'!$HS11</f>
        <v>1.0209844452159467E-2</v>
      </c>
      <c r="IA9" s="59">
        <f>'C1-Incomes'!IB11/'C1-Incomes'!$IA11</f>
        <v>0.28895438680654489</v>
      </c>
      <c r="IB9" s="59">
        <f>'C1-Incomes'!IC11/'C1-Incomes'!$IA11</f>
        <v>0.19489240717950293</v>
      </c>
      <c r="IC9" s="59">
        <f>'C1-Incomes'!ID11/'C1-Incomes'!$IA11</f>
        <v>8.5945725435180309E-2</v>
      </c>
      <c r="ID9" s="59">
        <f>'C1-Incomes'!IE11/'C1-Incomes'!$IA11</f>
        <v>6.2620523395759131E-2</v>
      </c>
      <c r="IE9" s="59">
        <f>'C1-Incomes'!IF11/'C1-Incomes'!$IA11</f>
        <v>2.9959450043154673E-2</v>
      </c>
      <c r="IF9" s="59">
        <f>'C1-Incomes'!IG11/'C1-Incomes'!$IA11</f>
        <v>1.0654657184042803E-2</v>
      </c>
      <c r="II9" s="59">
        <f>'C1-Incomes'!IJ11/'C1-Incomes'!$II11</f>
        <v>0.29075848679305505</v>
      </c>
      <c r="IJ9" s="59">
        <f>'C1-Incomes'!IK11/'C1-Incomes'!$II11</f>
        <v>0.19720591367747389</v>
      </c>
      <c r="IK9" s="59">
        <f>'C1-Incomes'!IL11/'C1-Incomes'!$II11</f>
        <v>8.847508702234691E-2</v>
      </c>
      <c r="IL9" s="59">
        <f>'C1-Incomes'!IM11/'C1-Incomes'!$II11</f>
        <v>6.475540103878033E-2</v>
      </c>
      <c r="IM9" s="59">
        <f>'C1-Incomes'!IN11/'C1-Incomes'!$II11</f>
        <v>3.1217434974223083E-2</v>
      </c>
      <c r="IN9" s="59">
        <f>'C1-Incomes'!IO11/'C1-Incomes'!$II11</f>
        <v>1.114215898737312E-2</v>
      </c>
      <c r="IQ9" s="59">
        <f>'C1-Incomes'!IR11/'C1-Incomes'!$IQ11</f>
        <v>0.29641787887266841</v>
      </c>
      <c r="IR9" s="59">
        <f>'C1-Incomes'!IS11/'C1-Incomes'!$IQ11</f>
        <v>0.20237776368903002</v>
      </c>
      <c r="IS9" s="59">
        <f>'C1-Incomes'!IT11/'C1-Incomes'!$IQ11</f>
        <v>9.2322821866886534E-2</v>
      </c>
      <c r="IT9" s="59">
        <f>'C1-Incomes'!IU11/'C1-Incomes'!$IQ11</f>
        <v>6.7909811603429987E-2</v>
      </c>
      <c r="IU9" s="59">
        <f>'C1-Incomes'!IV11/'C1-Incomes'!$IQ11</f>
        <v>3.3049745374636154E-2</v>
      </c>
      <c r="IV9" s="59">
        <f>'C1-Incomes'!IW11/'C1-Incomes'!$IQ11</f>
        <v>1.1906964033637809E-2</v>
      </c>
      <c r="IY9" s="59">
        <f>'C1-Incomes'!IZ11/'C1-Incomes'!$IY11</f>
        <v>0.27719883030592074</v>
      </c>
      <c r="IZ9" s="59">
        <f>'C1-Incomes'!JA11/'C1-Incomes'!$IY11</f>
        <v>0.18778619647935441</v>
      </c>
      <c r="JA9" s="59">
        <f>'C1-Incomes'!JB11/'C1-Incomes'!$IY11</f>
        <v>8.4699843262851141E-2</v>
      </c>
      <c r="JB9" s="59">
        <f>'C1-Incomes'!JC11/'C1-Incomes'!$IY11</f>
        <v>6.2045304149290478E-2</v>
      </c>
      <c r="JC9" s="59">
        <f>'C1-Incomes'!JD11/'C1-Incomes'!$IY11</f>
        <v>3.0102935624349892E-2</v>
      </c>
      <c r="JD9" s="59">
        <f>'C1-Incomes'!JE11/'C1-Incomes'!$IY11</f>
        <v>1.0819286381118858E-2</v>
      </c>
      <c r="JE9" s="197"/>
      <c r="JF9" s="197"/>
      <c r="JG9" s="197"/>
      <c r="JH9" s="197"/>
      <c r="JI9" s="197"/>
      <c r="JJ9" s="197"/>
      <c r="JK9" s="197"/>
      <c r="JL9" s="197"/>
      <c r="JM9" s="197"/>
      <c r="JN9" s="197"/>
      <c r="JO9" s="197"/>
      <c r="JP9" s="197"/>
      <c r="JQ9" s="197"/>
      <c r="JR9" s="197"/>
      <c r="JS9" s="197"/>
      <c r="JT9" s="197"/>
      <c r="JU9" s="197"/>
      <c r="JV9" s="197"/>
      <c r="JW9" s="197"/>
      <c r="JX9" s="197"/>
      <c r="JY9" s="197"/>
      <c r="JZ9" s="197"/>
      <c r="KA9" s="197"/>
      <c r="KB9" s="197"/>
      <c r="KC9" s="197"/>
      <c r="KD9" s="197"/>
      <c r="KE9" s="197"/>
      <c r="KF9" s="197"/>
      <c r="KG9" s="197"/>
      <c r="KH9" s="197"/>
      <c r="KI9" s="197"/>
      <c r="KJ9" s="197"/>
      <c r="KK9" s="197"/>
      <c r="KL9" s="197"/>
      <c r="KM9" s="197"/>
      <c r="KN9" s="197"/>
      <c r="KO9" s="197"/>
      <c r="KP9" s="197"/>
      <c r="KQ9" s="197"/>
      <c r="KR9" s="197"/>
      <c r="KS9" s="197"/>
      <c r="KT9" s="197"/>
      <c r="KU9" s="197"/>
      <c r="KV9" s="197"/>
      <c r="KW9" s="197"/>
      <c r="KX9" s="197"/>
      <c r="KY9" s="197"/>
      <c r="KZ9" s="197"/>
      <c r="LA9" s="197"/>
      <c r="LB9" s="197"/>
      <c r="LC9" s="197"/>
      <c r="LD9" s="197"/>
      <c r="LE9" s="197"/>
      <c r="LF9" s="197"/>
      <c r="LG9" s="197"/>
      <c r="LH9" s="197"/>
      <c r="LI9" s="197"/>
      <c r="LJ9" s="197"/>
      <c r="LK9" s="197"/>
      <c r="LL9" s="197"/>
      <c r="LM9" s="197"/>
      <c r="LN9" s="197"/>
      <c r="LO9" s="197"/>
      <c r="LP9" s="197"/>
      <c r="LQ9" s="197"/>
      <c r="LR9" s="197"/>
      <c r="LS9" s="197"/>
      <c r="LT9" s="197"/>
      <c r="LU9" s="197"/>
      <c r="LV9" s="197"/>
      <c r="LW9" s="197"/>
      <c r="LX9" s="197"/>
      <c r="LY9" s="197"/>
      <c r="LZ9" s="197"/>
      <c r="MA9" s="197"/>
      <c r="MB9" s="197"/>
      <c r="MC9" s="197"/>
      <c r="MD9" s="197"/>
      <c r="ME9" s="197"/>
      <c r="MF9" s="197"/>
      <c r="MG9" s="197"/>
      <c r="MH9" s="197"/>
      <c r="MI9" s="197"/>
      <c r="MJ9" s="197"/>
      <c r="MK9" s="197"/>
      <c r="ML9" s="197"/>
      <c r="MM9" s="197"/>
      <c r="MN9" s="197"/>
      <c r="MO9" s="197"/>
      <c r="MP9" s="197"/>
      <c r="MQ9" s="197"/>
      <c r="MR9" s="197"/>
      <c r="MS9" s="197"/>
      <c r="MT9" s="197"/>
      <c r="MU9" s="197"/>
      <c r="MV9" s="197"/>
      <c r="MW9" s="197"/>
      <c r="MX9" s="197"/>
      <c r="MY9" s="197"/>
      <c r="MZ9" s="197"/>
      <c r="NA9" s="197"/>
      <c r="NB9" s="197"/>
      <c r="NC9" s="197"/>
      <c r="ND9" s="197"/>
      <c r="NE9" s="197"/>
      <c r="NF9" s="197"/>
      <c r="NG9" s="197"/>
      <c r="NH9" s="197"/>
      <c r="NI9" s="197"/>
      <c r="NJ9" s="197"/>
      <c r="NK9" s="197"/>
      <c r="NL9" s="197"/>
      <c r="NM9" s="197"/>
      <c r="NN9" s="197"/>
      <c r="NO9" s="197"/>
      <c r="NP9" s="197"/>
      <c r="NQ9" s="197"/>
      <c r="NR9" s="197"/>
      <c r="NS9" s="197"/>
      <c r="NT9" s="197"/>
      <c r="NU9" s="197"/>
      <c r="NV9" s="197"/>
      <c r="NW9" s="197"/>
      <c r="NX9" s="197"/>
      <c r="NY9" s="197"/>
      <c r="NZ9" s="197"/>
      <c r="OA9" s="197"/>
      <c r="OB9" s="197"/>
      <c r="OC9" s="197"/>
      <c r="OD9" s="197"/>
      <c r="OE9" s="197"/>
      <c r="OF9" s="197"/>
      <c r="OG9" s="197"/>
      <c r="OH9" s="197"/>
      <c r="OI9" s="197"/>
      <c r="OJ9" s="197"/>
      <c r="OK9" s="197"/>
      <c r="OL9" s="197"/>
      <c r="OM9" s="197"/>
      <c r="ON9" s="197"/>
      <c r="OO9" s="197"/>
      <c r="OP9" s="197"/>
      <c r="OQ9" s="197"/>
      <c r="OR9" s="197"/>
      <c r="OS9" s="197"/>
      <c r="OT9" s="197"/>
      <c r="OU9" s="197"/>
      <c r="OV9" s="197"/>
      <c r="OW9" s="197"/>
      <c r="OX9" s="197"/>
      <c r="OY9" s="197"/>
      <c r="OZ9" s="197"/>
      <c r="PA9" s="197"/>
      <c r="PB9" s="197"/>
    </row>
    <row r="10" spans="1:418" s="77" customFormat="1" ht="10.5" customHeight="1" x14ac:dyDescent="0.2">
      <c r="A10" s="48">
        <v>1964</v>
      </c>
      <c r="B10" s="59">
        <f>'C1-Incomes'!C12/'C1-Incomes'!$B12</f>
        <v>0.30201049802937957</v>
      </c>
      <c r="C10" s="59">
        <f>'C1-Incomes'!D12/'C1-Incomes'!$B12</f>
        <v>0.19792106165828902</v>
      </c>
      <c r="D10" s="59">
        <f>'C1-Incomes'!E12/'C1-Incomes'!$B12</f>
        <v>8.1312112463057445E-2</v>
      </c>
      <c r="E10" s="59">
        <f>'C1-Incomes'!F12/'C1-Incomes'!$B12</f>
        <v>5.4050364388121372E-2</v>
      </c>
      <c r="F10" s="59">
        <f>'C1-Incomes'!G12/'C1-Incomes'!$B12</f>
        <v>2.0351813838113342E-2</v>
      </c>
      <c r="G10" s="59">
        <f>'C1-Incomes'!H12/'C1-Incomes'!$B12</f>
        <v>5.6034266293281919E-3</v>
      </c>
      <c r="H10" s="199"/>
      <c r="J10" s="59">
        <f>'C1-Incomes'!K12/'C1-Incomes'!$J12</f>
        <v>0.33525107215352262</v>
      </c>
      <c r="K10" s="59">
        <f>'C1-Incomes'!L12/'C1-Incomes'!$J12</f>
        <v>0.23575032437249788</v>
      </c>
      <c r="L10" s="59">
        <f>'C1-Incomes'!M12/'C1-Incomes'!$J12</f>
        <v>0.1146899307735081</v>
      </c>
      <c r="M10" s="59">
        <f>'C1-Incomes'!N12/'C1-Incomes'!$J12</f>
        <v>8.6731531314557173E-2</v>
      </c>
      <c r="N10" s="59">
        <f>'C1-Incomes'!O12/'C1-Incomes'!$J12</f>
        <v>4.3937639023701285E-2</v>
      </c>
      <c r="O10" s="59">
        <f>'C1-Incomes'!P12/'C1-Incomes'!$J12</f>
        <v>1.6493728325148376E-2</v>
      </c>
      <c r="P10" s="59"/>
      <c r="R10" s="59">
        <f>'C1-Incomes'!S12/'C1-Incomes'!$R12</f>
        <v>0.32128442079450731</v>
      </c>
      <c r="S10" s="59">
        <f>'C1-Incomes'!T12/'C1-Incomes'!$R12</f>
        <v>0.22571140855634508</v>
      </c>
      <c r="T10" s="59">
        <f>'C1-Incomes'!U12/'C1-Incomes'!$R12</f>
        <v>0.10953579287619661</v>
      </c>
      <c r="U10" s="59">
        <f>'C1-Incomes'!V12/'C1-Incomes'!$R12</f>
        <v>8.2755182988436038E-2</v>
      </c>
      <c r="V10" s="59">
        <f>'C1-Incomes'!W12/'C1-Incomes'!$R12</f>
        <v>4.1832003718066987E-2</v>
      </c>
      <c r="W10" s="59">
        <f>'C1-Incomes'!X12/'C1-Incomes'!$R12</f>
        <v>1.5691747870814378E-2</v>
      </c>
      <c r="X10" s="59"/>
      <c r="Y10" s="59"/>
      <c r="Z10" s="59">
        <f>'C1-Incomes'!AA12/'C1-Incomes'!$Z12</f>
        <v>0.27479470839343417</v>
      </c>
      <c r="AA10" s="59">
        <f>'C1-Incomes'!AB12/'C1-Incomes'!$Z12</f>
        <v>0.18709009180943012</v>
      </c>
      <c r="AB10" s="59">
        <f>'C1-Incomes'!AC12/'C1-Incomes'!$Z12</f>
        <v>8.6036076453784915E-2</v>
      </c>
      <c r="AC10" s="59">
        <f>'C1-Incomes'!AD12/'C1-Incomes'!$Z12</f>
        <v>6.3526933871217717E-2</v>
      </c>
      <c r="AD10" s="59">
        <f>'C1-Incomes'!AE12/'C1-Incomes'!$Z12</f>
        <v>3.1028030950195705E-2</v>
      </c>
      <c r="AE10" s="59">
        <f>'C1-Incomes'!AF12/'C1-Incomes'!$Z12</f>
        <v>1.1246225366959064E-2</v>
      </c>
      <c r="AF10" s="200"/>
      <c r="AG10" s="195"/>
      <c r="AH10" s="59">
        <f>'C1-Incomes'!AI12/'C1-Incomes'!$AH12</f>
        <v>0.30514377406050464</v>
      </c>
      <c r="AI10" s="59">
        <f>'C1-Incomes'!AJ12/'C1-Incomes'!$AH12</f>
        <v>0.19936079769526438</v>
      </c>
      <c r="AJ10" s="59">
        <f>'C1-Incomes'!AK12/'C1-Incomes'!$AH12</f>
        <v>8.1605754122725846E-2</v>
      </c>
      <c r="AK10" s="59">
        <f>'C1-Incomes'!AL12/'C1-Incomes'!$AH12</f>
        <v>5.4272479198781906E-2</v>
      </c>
      <c r="AL10" s="59">
        <f>'C1-Incomes'!AM12/'C1-Incomes'!$AH12</f>
        <v>2.0468141334236533E-2</v>
      </c>
      <c r="AM10" s="59">
        <f>'C1-Incomes'!AN12/'C1-Incomes'!$AH12</f>
        <v>5.6472975828717551E-3</v>
      </c>
      <c r="AN10" s="195"/>
      <c r="AO10" s="195"/>
      <c r="AP10" s="59">
        <f>'C1-Incomes'!AQ12/'C1-Incomes'!$AP12</f>
        <v>0.30551967183772255</v>
      </c>
      <c r="AQ10" s="59">
        <f>'C1-Incomes'!AR12/'C1-Incomes'!$AP12</f>
        <v>0.19986837814134459</v>
      </c>
      <c r="AR10" s="59">
        <f>'C1-Incomes'!AS12/'C1-Incomes'!$AP12</f>
        <v>8.219001987903185E-2</v>
      </c>
      <c r="AS10" s="59">
        <f>'C1-Incomes'!AT12/'C1-Incomes'!$AP12</f>
        <v>5.4783602794289538E-2</v>
      </c>
      <c r="AT10" s="59">
        <f>'C1-Incomes'!AU12/'C1-Incomes'!$AP12</f>
        <v>2.0716818478944642E-2</v>
      </c>
      <c r="AU10" s="59">
        <f>'C1-Incomes'!AV12/'C1-Incomes'!$AP12</f>
        <v>5.7605828517537675E-3</v>
      </c>
      <c r="AV10" s="197"/>
      <c r="AW10" s="60"/>
      <c r="AX10" s="59">
        <f>'C1-Incomes'!AY12/'C1-Incomes'!$AX12</f>
        <v>0.30831092227253248</v>
      </c>
      <c r="AY10" s="59">
        <f>'C1-Incomes'!AZ12/'C1-Incomes'!$AX12</f>
        <v>0.20310932934909573</v>
      </c>
      <c r="AZ10" s="59">
        <f>'C1-Incomes'!BA12/'C1-Incomes'!$AX12</f>
        <v>8.5454129294224898E-2</v>
      </c>
      <c r="BA10" s="59">
        <f>'C1-Incomes'!BB12/'C1-Incomes'!$AX12</f>
        <v>5.7401740055027795E-2</v>
      </c>
      <c r="BB10" s="59">
        <f>'C1-Incomes'!BC12/'C1-Incomes'!$AX12</f>
        <v>2.2011292567426715E-2</v>
      </c>
      <c r="BC10" s="59">
        <f>'C1-Incomes'!BD12/'C1-Incomes'!$AX12</f>
        <v>6.203556844316829E-3</v>
      </c>
      <c r="BD10" s="60"/>
      <c r="BE10" s="60"/>
      <c r="BF10" s="59">
        <f>'C1-Incomes'!BG12/'C1-Incomes'!$BF12</f>
        <v>0.30845193968062812</v>
      </c>
      <c r="BG10" s="59">
        <f>'C1-Incomes'!BH12/'C1-Incomes'!$BF12</f>
        <v>0.20338631739755109</v>
      </c>
      <c r="BH10" s="59">
        <f>'C1-Incomes'!BI12/'C1-Incomes'!$BF12</f>
        <v>8.5682730764410825E-2</v>
      </c>
      <c r="BI10" s="59">
        <f>'C1-Incomes'!BJ12/'C1-Incomes'!$BF12</f>
        <v>5.7559156105548119E-2</v>
      </c>
      <c r="BJ10" s="59">
        <f>'C1-Incomes'!BK12/'C1-Incomes'!$BF12</f>
        <v>2.2057671619864716E-2</v>
      </c>
      <c r="BK10" s="59">
        <f>'C1-Incomes'!BL12/'C1-Incomes'!$BF12</f>
        <v>6.2243760313406699E-3</v>
      </c>
      <c r="BL10" s="59"/>
      <c r="BM10" s="59"/>
      <c r="BN10" s="59">
        <f>'C1-Incomes'!BO12/'C1-Incomes'!$BN12</f>
        <v>0.29507261405829294</v>
      </c>
      <c r="BO10" s="59">
        <f>'C1-Incomes'!BP12/'C1-Incomes'!$BN12</f>
        <v>0.19360134541819915</v>
      </c>
      <c r="BP10" s="59">
        <f>'C1-Incomes'!BQ12/'C1-Incomes'!$BN12</f>
        <v>7.7297682530302586E-2</v>
      </c>
      <c r="BQ10" s="59">
        <f>'C1-Incomes'!BR12/'C1-Incomes'!$BN12</f>
        <v>5.3201917748818328E-2</v>
      </c>
      <c r="BR10" s="59">
        <f>'C1-Incomes'!BS12/'C1-Incomes'!$BN12</f>
        <v>2.2145176085597216E-2</v>
      </c>
      <c r="BS10" s="59">
        <f>'C1-Incomes'!BT12/'C1-Incomes'!$BN12</f>
        <v>6.5958167589727154E-3</v>
      </c>
      <c r="BT10" s="59"/>
      <c r="BU10" s="59"/>
      <c r="BV10" s="59">
        <f>'C1-Incomes'!BW12/'C1-Incomes'!$BV12</f>
        <v>0.29817913572226001</v>
      </c>
      <c r="BW10" s="59">
        <f>'C1-Incomes'!BX12/'C1-Incomes'!$BV12</f>
        <v>0.19680932921692582</v>
      </c>
      <c r="BX10" s="59">
        <f>'C1-Incomes'!BY12/'C1-Incomes'!$BV12</f>
        <v>7.9874426398425166E-2</v>
      </c>
      <c r="BY10" s="59">
        <f>'C1-Incomes'!BZ12/'C1-Incomes'!$BV12</f>
        <v>5.5372701804373127E-2</v>
      </c>
      <c r="BZ10" s="59">
        <f>'C1-Incomes'!CA12/'C1-Incomes'!$BV12</f>
        <v>2.3485835641374565E-2</v>
      </c>
      <c r="CA10" s="59">
        <f>'C1-Incomes'!CB12/'C1-Incomes'!$BV12</f>
        <v>7.0743684037894317E-3</v>
      </c>
      <c r="CB10" s="60"/>
      <c r="CC10" s="198"/>
      <c r="CD10" s="59">
        <f>'C1-Incomes'!CE12/'C1-Incomes'!$CD12</f>
        <v>0.3312202798881253</v>
      </c>
      <c r="CE10" s="59">
        <f>'C1-Incomes'!CF12/'C1-Incomes'!$CD12</f>
        <v>0.23251447256945532</v>
      </c>
      <c r="CF10" s="59">
        <f>'C1-Incomes'!CG12/'C1-Incomes'!$CD12</f>
        <v>0.11296008554190762</v>
      </c>
      <c r="CG10" s="59">
        <f>'C1-Incomes'!CH12/'C1-Incomes'!$CD12</f>
        <v>8.4749915165737197E-2</v>
      </c>
      <c r="CH10" s="59">
        <f>'C1-Incomes'!CI12/'C1-Incomes'!$CD12</f>
        <v>4.2650726193342064E-2</v>
      </c>
      <c r="CI10" s="59">
        <f>'C1-Incomes'!CJ12/'C1-Incomes'!$CD12</f>
        <v>1.5691718428807275E-2</v>
      </c>
      <c r="CL10" s="59">
        <f>'C1-Incomes'!CM12/'C1-Incomes'!$CL12</f>
        <v>0.34403555182209022</v>
      </c>
      <c r="CM10" s="59">
        <f>'C1-Incomes'!CN12/'C1-Incomes'!$CL12</f>
        <v>0.24592470092718841</v>
      </c>
      <c r="CN10" s="59">
        <f>'C1-Incomes'!CO12/'C1-Incomes'!$CL12</f>
        <v>0.12478960107625568</v>
      </c>
      <c r="CO10" s="59">
        <f>'C1-Incomes'!CP12/'C1-Incomes'!$CL12</f>
        <v>9.5404420582200403E-2</v>
      </c>
      <c r="CP10" s="59">
        <f>'C1-Incomes'!CQ12/'C1-Incomes'!$CL12</f>
        <v>4.9324326208462908E-2</v>
      </c>
      <c r="CQ10" s="59">
        <f>'C1-Incomes'!CR12/'C1-Incomes'!$CL12</f>
        <v>1.8597563000870301E-2</v>
      </c>
      <c r="CR10" s="59"/>
      <c r="CS10" s="59"/>
      <c r="CT10" s="59">
        <f>'C1-Incomes'!CU12/'C1-Incomes'!$CT12</f>
        <v>0.35028974224152915</v>
      </c>
      <c r="CU10" s="59">
        <f>'C1-Incomes'!CV12/'C1-Incomes'!$CT12</f>
        <v>0.25263351958751623</v>
      </c>
      <c r="CV10" s="59">
        <f>'C1-Incomes'!CW12/'C1-Incomes'!$CT12</f>
        <v>0.130416647051002</v>
      </c>
      <c r="CW10" s="59">
        <f>'C1-Incomes'!CX12/'C1-Incomes'!$CT12</f>
        <v>0.10007315631164475</v>
      </c>
      <c r="CX10" s="59">
        <f>'C1-Incomes'!CY12/'C1-Incomes'!$CT12</f>
        <v>5.2017942432871271E-2</v>
      </c>
      <c r="CY10" s="59">
        <f>'C1-Incomes'!CZ12/'C1-Incomes'!$CT12</f>
        <v>1.9728967336414726E-2</v>
      </c>
      <c r="CZ10" s="59"/>
      <c r="DA10" s="59"/>
      <c r="DB10" s="59">
        <f>'C1-Incomes'!DC12/'C1-Incomes'!$DB12</f>
        <v>0.35115374784383524</v>
      </c>
      <c r="DC10" s="59">
        <f>'C1-Incomes'!DD12/'C1-Incomes'!$DB12</f>
        <v>0.25339327752141177</v>
      </c>
      <c r="DD10" s="59">
        <f>'C1-Incomes'!DE12/'C1-Incomes'!$DB12</f>
        <v>0.13176486896510159</v>
      </c>
      <c r="DE10" s="59">
        <f>'C1-Incomes'!DF12/'C1-Incomes'!$DB12</f>
        <v>0.10127298569361541</v>
      </c>
      <c r="DF10" s="59">
        <f>'C1-Incomes'!DG12/'C1-Incomes'!$DB12</f>
        <v>5.2991423925997726E-2</v>
      </c>
      <c r="DG10" s="59">
        <f>'C1-Incomes'!DH12/'C1-Incomes'!$DB12</f>
        <v>2.0191673268634688E-2</v>
      </c>
      <c r="DH10" s="59"/>
      <c r="DI10" s="1039"/>
      <c r="DJ10" s="59">
        <f>'C1-Incomes'!DK12/'C1-Incomes'!$DJ12</f>
        <v>0.34782765989238229</v>
      </c>
      <c r="DK10" s="59">
        <f>'C1-Incomes'!DL12/'C1-Incomes'!$DJ12</f>
        <v>0.25143156655100518</v>
      </c>
      <c r="DL10" s="59">
        <f>'C1-Incomes'!DM12/'C1-Incomes'!$DJ12</f>
        <v>0.13079028479622623</v>
      </c>
      <c r="DM10" s="59">
        <f>'C1-Incomes'!DN12/'C1-Incomes'!$DJ12</f>
        <v>0.10030967794628498</v>
      </c>
      <c r="DN10" s="59">
        <f>'C1-Incomes'!DO12/'C1-Incomes'!$DJ12</f>
        <v>5.1844528449156997E-2</v>
      </c>
      <c r="DO10" s="59">
        <f>'C1-Incomes'!DP12/'C1-Incomes'!$DJ12</f>
        <v>1.9677507170584242E-2</v>
      </c>
      <c r="DP10" s="696"/>
      <c r="DQ10" s="503"/>
      <c r="DR10" s="59">
        <f>'C1-Incomes'!DS12/'C1-Incomes'!$DR12</f>
        <v>0.34818719926298397</v>
      </c>
      <c r="DS10" s="59">
        <f>'C1-Incomes'!DT12/'C1-Incomes'!$DR12</f>
        <v>0.25024666931563905</v>
      </c>
      <c r="DT10" s="59">
        <f>'C1-Incomes'!DU12/'C1-Incomes'!$DR12</f>
        <v>0.1277058893283945</v>
      </c>
      <c r="DU10" s="59">
        <f>'C1-Incomes'!DV12/'C1-Incomes'!$DR12</f>
        <v>9.7491169967140259E-2</v>
      </c>
      <c r="DV10" s="59">
        <f>'C1-Incomes'!DW12/'C1-Incomes'!$DR12</f>
        <v>5.0063959583999756E-2</v>
      </c>
      <c r="DW10" s="59">
        <f>'C1-Incomes'!DX12/'C1-Incomes'!$DR12</f>
        <v>1.8942756661581951E-2</v>
      </c>
      <c r="DX10" s="333"/>
      <c r="DZ10" s="59">
        <f>'C1-Incomes'!EA12/'C1-Incomes'!$DZ12</f>
        <v>0.34424597076094532</v>
      </c>
      <c r="EA10" s="59">
        <f>'C1-Incomes'!EB12/'C1-Incomes'!$DZ12</f>
        <v>0.24634212234296463</v>
      </c>
      <c r="EB10" s="59">
        <f>'C1-Incomes'!EC12/'C1-Incomes'!$DZ12</f>
        <v>0.12497978576145248</v>
      </c>
      <c r="EC10" s="59">
        <f>'C1-Incomes'!ED12/'C1-Incomes'!$DZ12</f>
        <v>9.5330587568244932E-2</v>
      </c>
      <c r="ED10" s="59">
        <f>'C1-Incomes'!EE12/'C1-Incomes'!$DZ12</f>
        <v>4.8927141378589577E-2</v>
      </c>
      <c r="EE10" s="59">
        <f>'C1-Incomes'!EF12/'C1-Incomes'!$DZ12</f>
        <v>1.8500250956999479E-2</v>
      </c>
      <c r="EF10" s="59"/>
      <c r="EH10" s="59">
        <f>'C1-Incomes'!EI12/'C1-Incomes'!$EH12</f>
        <v>0.34386104337718892</v>
      </c>
      <c r="EI10" s="59">
        <f>'C1-Incomes'!EJ12/'C1-Incomes'!$EH12</f>
        <v>0.24519953135444242</v>
      </c>
      <c r="EJ10" s="59">
        <f>'C1-Incomes'!EK12/'C1-Incomes'!$EH12</f>
        <v>0.12328855357848659</v>
      </c>
      <c r="EK10" s="59">
        <f>'C1-Incomes'!EL12/'C1-Incomes'!$EH12</f>
        <v>9.3857796870904397E-2</v>
      </c>
      <c r="EL10" s="59">
        <f>'C1-Incomes'!EM12/'C1-Incomes'!$EH12</f>
        <v>4.8100517364404717E-2</v>
      </c>
      <c r="EM10" s="59">
        <f>'C1-Incomes'!EN12/'C1-Incomes'!$EH12</f>
        <v>1.8196074624104816E-2</v>
      </c>
      <c r="EN10" s="59"/>
      <c r="EO10" s="59"/>
      <c r="EP10" s="59">
        <f>'C1-Incomes'!EQ12/'C1-Incomes'!$EH12</f>
        <v>0.35412321340277431</v>
      </c>
      <c r="EQ10" s="59">
        <f>'C1-Incomes'!ER12/'C1-Incomes'!$EH12</f>
        <v>0.25102450564561785</v>
      </c>
      <c r="ER10" s="59">
        <f>'C1-Incomes'!ES12/'C1-Incomes'!$EH12</f>
        <v>0.12448095500325296</v>
      </c>
      <c r="ES10" s="59">
        <f>'C1-Incomes'!ET12/'C1-Incomes'!$EH12</f>
        <v>9.4557167768380287E-2</v>
      </c>
      <c r="ET10" s="59">
        <f>'C1-Incomes'!EU12/'C1-Incomes'!$EH12</f>
        <v>4.8246117701482849E-2</v>
      </c>
      <c r="EU10" s="59">
        <f>'C1-Incomes'!EV12/'C1-Incomes'!$EH12</f>
        <v>1.8206145417538493E-2</v>
      </c>
      <c r="EV10" s="59"/>
      <c r="EW10" s="59"/>
      <c r="EX10" s="59">
        <f>'C1-Incomes'!EY12/'C1-Incomes'!$EX12</f>
        <v>0.33525107215352262</v>
      </c>
      <c r="EY10" s="59">
        <f>'C1-Incomes'!EZ12/'C1-Incomes'!$EX12</f>
        <v>0.23575032437249788</v>
      </c>
      <c r="EZ10" s="59">
        <f>'C1-Incomes'!FA12/'C1-Incomes'!$EX12</f>
        <v>0.1146899307735081</v>
      </c>
      <c r="FA10" s="59">
        <f>'C1-Incomes'!FB12/'C1-Incomes'!$EX12</f>
        <v>8.6731531314557173E-2</v>
      </c>
      <c r="FB10" s="59">
        <f>'C1-Incomes'!FC12/'C1-Incomes'!$EX12</f>
        <v>4.3937639023701285E-2</v>
      </c>
      <c r="FC10" s="59">
        <f>'C1-Incomes'!FD12/'C1-Incomes'!$EX12</f>
        <v>1.6493728325148376E-2</v>
      </c>
      <c r="FD10" s="59"/>
      <c r="FF10" s="59">
        <f>'C1-Incomes'!FG12/'C1-Incomes'!$FF12</f>
        <v>0.32774617319245852</v>
      </c>
      <c r="FG10" s="59">
        <f>'C1-Incomes'!FH12/'C1-Incomes'!$FF12</f>
        <v>0.23044688524201692</v>
      </c>
      <c r="FH10" s="59">
        <f>'C1-Incomes'!FI12/'C1-Incomes'!$FF12</f>
        <v>0.11194695836983386</v>
      </c>
      <c r="FI10" s="59">
        <f>'C1-Incomes'!FJ12/'C1-Incomes'!$FF12</f>
        <v>8.4596818372189964E-2</v>
      </c>
      <c r="FJ10" s="59">
        <f>'C1-Incomes'!FK12/'C1-Incomes'!$FF12</f>
        <v>4.2774457047340869E-2</v>
      </c>
      <c r="FK10" s="59">
        <f>'C1-Incomes'!FL12/'C1-Incomes'!$FF12</f>
        <v>1.6047318334123647E-2</v>
      </c>
      <c r="FN10" s="59">
        <f>'C1-Incomes'!FO12/'C1-Incomes'!$FN12</f>
        <v>0.32639431612726044</v>
      </c>
      <c r="FO10" s="59">
        <f>'C1-Incomes'!FP12/'C1-Incomes'!$FN12</f>
        <v>0.22944980688782549</v>
      </c>
      <c r="FP10" s="59">
        <f>'C1-Incomes'!FQ12/'C1-Incomes'!$FN12</f>
        <v>0.11145463410237826</v>
      </c>
      <c r="FQ10" s="59">
        <f>'C1-Incomes'!FR12/'C1-Incomes'!$FN12</f>
        <v>8.422362436433796E-2</v>
      </c>
      <c r="FR10" s="59">
        <f>'C1-Incomes'!FS12/'C1-Incomes'!$FN12</f>
        <v>4.2585491379124707E-2</v>
      </c>
      <c r="FS10" s="59">
        <f>'C1-Incomes'!FT12/'C1-Incomes'!$FN12</f>
        <v>1.5976409162314725E-2</v>
      </c>
      <c r="FV10" s="59">
        <f>'C1-Incomes'!FW12/'C1-Incomes'!$FV12</f>
        <v>0.32257642653704122</v>
      </c>
      <c r="FW10" s="59">
        <f>'C1-Incomes'!FX12/'C1-Incomes'!$FV12</f>
        <v>0.22661907919686064</v>
      </c>
      <c r="FX10" s="59">
        <f>'C1-Incomes'!FY12/'C1-Incomes'!$FV12</f>
        <v>0.10997627758149009</v>
      </c>
      <c r="FY10" s="59">
        <f>'C1-Incomes'!FZ12/'C1-Incomes'!$FV12</f>
        <v>8.3087972768223994E-2</v>
      </c>
      <c r="FZ10" s="59">
        <f>'C1-Incomes'!GA12/'C1-Incomes'!$FV12</f>
        <v>4.2000225970773138E-2</v>
      </c>
      <c r="GA10" s="59">
        <f>'C1-Incomes'!GB12/'C1-Incomes'!$FV12</f>
        <v>1.5754850302950214E-2</v>
      </c>
      <c r="GE10" s="59">
        <f>'C1-Incomes'!GF12/'C1-Incomes'!$GE12</f>
        <v>0.32257642653704122</v>
      </c>
      <c r="GF10" s="59">
        <f>'C1-Incomes'!GG12/'C1-Incomes'!$GE12</f>
        <v>0.22661907919686064</v>
      </c>
      <c r="GG10" s="59">
        <f>'C1-Incomes'!GH12/'C1-Incomes'!$GE12</f>
        <v>0.10997627758149009</v>
      </c>
      <c r="GH10" s="59">
        <f>'C1-Incomes'!GI12/'C1-Incomes'!$GE12</f>
        <v>8.3087972768223994E-2</v>
      </c>
      <c r="GI10" s="59">
        <f>'C1-Incomes'!GJ12/'C1-Incomes'!$GE12</f>
        <v>4.2000225970773138E-2</v>
      </c>
      <c r="GJ10" s="59">
        <f>'C1-Incomes'!GK12/'C1-Incomes'!$GE12</f>
        <v>1.5754850302950214E-2</v>
      </c>
      <c r="GM10" s="59">
        <f>'C1-Incomes'!GN12/'C1-Incomes'!$GM12</f>
        <v>0.32128442079450731</v>
      </c>
      <c r="GN10" s="59">
        <f>'C1-Incomes'!GO12/'C1-Incomes'!$GM12</f>
        <v>0.22571140855634508</v>
      </c>
      <c r="GO10" s="59">
        <f>'C1-Incomes'!GP12/'C1-Incomes'!$GM12</f>
        <v>0.10953579287619661</v>
      </c>
      <c r="GP10" s="59">
        <f>'C1-Incomes'!GQ12/'C1-Incomes'!$GM12</f>
        <v>8.2755182988436038E-2</v>
      </c>
      <c r="GQ10" s="59">
        <f>'C1-Incomes'!GR12/'C1-Incomes'!$GM12</f>
        <v>4.1832003718066987E-2</v>
      </c>
      <c r="GR10" s="59">
        <f>'C1-Incomes'!GS12/'C1-Incomes'!$GM12</f>
        <v>1.5691747870814378E-2</v>
      </c>
      <c r="GU10" s="59">
        <f>'C1-Incomes'!GV12/'C1-Incomes'!$GU12</f>
        <v>0.3033593231830653</v>
      </c>
      <c r="GV10" s="59">
        <f>'C1-Incomes'!GW12/'C1-Incomes'!$GU12</f>
        <v>0.21046043716050905</v>
      </c>
      <c r="GW10" s="59">
        <f>'C1-Incomes'!GX12/'C1-Incomes'!$GU12</f>
        <v>0.10063997640512333</v>
      </c>
      <c r="GX10" s="59">
        <f>'C1-Incomes'!GY12/'C1-Incomes'!$GU12</f>
        <v>7.5872548209494031E-2</v>
      </c>
      <c r="GY10" s="59">
        <f>'C1-Incomes'!GZ12/'C1-Incomes'!$GU12</f>
        <v>3.820249198279943E-2</v>
      </c>
      <c r="GZ10" s="59">
        <f>'C1-Incomes'!HA12/'C1-Incomes'!$GU12</f>
        <v>1.4131099102917585E-2</v>
      </c>
      <c r="HC10" s="59">
        <f>'C1-Incomes'!HD12/'C1-Incomes'!$HC12</f>
        <v>0.3018873308391285</v>
      </c>
      <c r="HD10" s="59">
        <f>'C1-Incomes'!HE12/'C1-Incomes'!$HC12</f>
        <v>0.20924061612941819</v>
      </c>
      <c r="HE10" s="59">
        <f>'C1-Incomes'!HF12/'C1-Incomes'!$HC12</f>
        <v>9.9796580326000139E-2</v>
      </c>
      <c r="HF10" s="59">
        <f>'C1-Incomes'!HG12/'C1-Incomes'!$HC12</f>
        <v>7.5230635175024665E-2</v>
      </c>
      <c r="HG10" s="59">
        <f>'C1-Incomes'!HH12/'C1-Incomes'!$HC12</f>
        <v>3.7574797736205506E-2</v>
      </c>
      <c r="HH10" s="59">
        <f>'C1-Incomes'!HI12/'C1-Incomes'!$HC12</f>
        <v>1.3986580859586069E-2</v>
      </c>
      <c r="HK10" s="59">
        <f>'C1-Incomes'!HL12/'C1-Incomes'!$HK12</f>
        <v>0.28976204685537538</v>
      </c>
      <c r="HL10" s="59">
        <f>'C1-Incomes'!HM12/'C1-Incomes'!$HK12</f>
        <v>0.19694282955446549</v>
      </c>
      <c r="HM10" s="59">
        <f>'C1-Incomes'!HN12/'C1-Incomes'!$HK12</f>
        <v>8.8951996352150925E-2</v>
      </c>
      <c r="HN10" s="59">
        <f>'C1-Incomes'!HO12/'C1-Incomes'!$HK12</f>
        <v>6.5756140301657995E-2</v>
      </c>
      <c r="HO10" s="59">
        <f>'C1-Incomes'!HP12/'C1-Incomes'!$HK12</f>
        <v>3.1898603398573824E-2</v>
      </c>
      <c r="HP10" s="59">
        <f>'C1-Incomes'!HQ12/'C1-Incomes'!$HK12</f>
        <v>1.1518739259515676E-2</v>
      </c>
      <c r="HS10" s="59">
        <f>'C1-Incomes'!HT12/'C1-Incomes'!$HS12</f>
        <v>0.28197400119753629</v>
      </c>
      <c r="HT10" s="59">
        <f>'C1-Incomes'!HU12/'C1-Incomes'!$HS12</f>
        <v>0.18964852570091167</v>
      </c>
      <c r="HU10" s="59">
        <f>'C1-Incomes'!HV12/'C1-Incomes'!$HS12</f>
        <v>8.4008303191102501E-2</v>
      </c>
      <c r="HV10" s="59">
        <f>'C1-Incomes'!HW12/'C1-Incomes'!$HS12</f>
        <v>6.1492282361459608E-2</v>
      </c>
      <c r="HW10" s="59">
        <f>'C1-Incomes'!HX12/'C1-Incomes'!$HS12</f>
        <v>2.9526139090098911E-2</v>
      </c>
      <c r="HX10" s="59">
        <f>'C1-Incomes'!HY12/'C1-Incomes'!$HS12</f>
        <v>1.0569001597180954E-2</v>
      </c>
      <c r="IA10" s="59">
        <f>'C1-Incomes'!IB12/'C1-Incomes'!$IA12</f>
        <v>0.28614401650209687</v>
      </c>
      <c r="IB10" s="59">
        <f>'C1-Incomes'!IC12/'C1-Incomes'!$IA12</f>
        <v>0.19397084992611488</v>
      </c>
      <c r="IC10" s="59">
        <f>'C1-Incomes'!ID12/'C1-Incomes'!$IA12</f>
        <v>8.7142712698869806E-2</v>
      </c>
      <c r="ID10" s="59">
        <f>'C1-Incomes'!IE12/'C1-Incomes'!$IA12</f>
        <v>6.3968871529916815E-2</v>
      </c>
      <c r="IE10" s="59">
        <f>'C1-Incomes'!IF12/'C1-Incomes'!$IA12</f>
        <v>3.0829822536554943E-2</v>
      </c>
      <c r="IF10" s="59">
        <f>'C1-Incomes'!IG12/'C1-Incomes'!$IA12</f>
        <v>1.1043308676634424E-2</v>
      </c>
      <c r="II10" s="59">
        <f>'C1-Incomes'!IJ12/'C1-Incomes'!$II12</f>
        <v>0.28770169311160543</v>
      </c>
      <c r="IJ10" s="59">
        <f>'C1-Incomes'!IK12/'C1-Incomes'!$II12</f>
        <v>0.19608983210050923</v>
      </c>
      <c r="IK10" s="59">
        <f>'C1-Incomes'!IL12/'C1-Incomes'!$II12</f>
        <v>8.9655662905210015E-2</v>
      </c>
      <c r="IL10" s="59">
        <f>'C1-Incomes'!IM12/'C1-Incomes'!$II12</f>
        <v>6.6140190134370017E-2</v>
      </c>
      <c r="IM10" s="59">
        <f>'C1-Incomes'!IN12/'C1-Incomes'!$II12</f>
        <v>3.2104158511803003E-2</v>
      </c>
      <c r="IN10" s="59">
        <f>'C1-Incomes'!IO12/'C1-Incomes'!$II12</f>
        <v>1.1542535759362106E-2</v>
      </c>
      <c r="IQ10" s="59">
        <f>'C1-Incomes'!IR12/'C1-Incomes'!$IQ12</f>
        <v>0.29357321515168278</v>
      </c>
      <c r="IR10" s="59">
        <f>'C1-Incomes'!IS12/'C1-Incomes'!$IQ12</f>
        <v>0.20142107043419033</v>
      </c>
      <c r="IS10" s="59">
        <f>'C1-Incomes'!IT12/'C1-Incomes'!$IQ12</f>
        <v>9.3645620757723799E-2</v>
      </c>
      <c r="IT10" s="59">
        <f>'C1-Incomes'!IU12/'C1-Incomes'!$IQ12</f>
        <v>6.9445658155107656E-2</v>
      </c>
      <c r="IU10" s="59">
        <f>'C1-Incomes'!IV12/'C1-Incomes'!$IQ12</f>
        <v>3.4030130348658386E-2</v>
      </c>
      <c r="IV10" s="59">
        <f>'C1-Incomes'!IW12/'C1-Incomes'!$IQ12</f>
        <v>1.2363107918591456E-2</v>
      </c>
      <c r="IY10" s="59">
        <f>'C1-Incomes'!IZ12/'C1-Incomes'!$IY12</f>
        <v>0.27479470839343417</v>
      </c>
      <c r="IZ10" s="59">
        <f>'C1-Incomes'!JA12/'C1-Incomes'!$IY12</f>
        <v>0.18709009180943012</v>
      </c>
      <c r="JA10" s="59">
        <f>'C1-Incomes'!JB12/'C1-Incomes'!$IY12</f>
        <v>8.6036076453784915E-2</v>
      </c>
      <c r="JB10" s="59">
        <f>'C1-Incomes'!JC12/'C1-Incomes'!$IY12</f>
        <v>6.3526933871217717E-2</v>
      </c>
      <c r="JC10" s="59">
        <f>'C1-Incomes'!JD12/'C1-Incomes'!$IY12</f>
        <v>3.1028030950195705E-2</v>
      </c>
      <c r="JD10" s="59">
        <f>'C1-Incomes'!JE12/'C1-Incomes'!$IY12</f>
        <v>1.1246225366959064E-2</v>
      </c>
      <c r="JE10" s="197"/>
      <c r="JF10" s="197"/>
      <c r="JG10" s="197"/>
      <c r="JH10" s="197"/>
      <c r="JI10" s="197"/>
      <c r="JJ10" s="197"/>
      <c r="JK10" s="197"/>
      <c r="JL10" s="197"/>
      <c r="JM10" s="197"/>
      <c r="JN10" s="197"/>
      <c r="JO10" s="197"/>
      <c r="JP10" s="197"/>
      <c r="JQ10" s="197"/>
      <c r="JR10" s="197"/>
      <c r="JS10" s="197"/>
      <c r="JT10" s="197"/>
      <c r="JU10" s="197"/>
      <c r="JV10" s="197"/>
      <c r="JW10" s="197"/>
      <c r="JX10" s="197"/>
      <c r="JY10" s="197"/>
      <c r="JZ10" s="197"/>
      <c r="KA10" s="197"/>
      <c r="KB10" s="197"/>
      <c r="KC10" s="197"/>
      <c r="KD10" s="197"/>
      <c r="KE10" s="197"/>
      <c r="KF10" s="197"/>
      <c r="KG10" s="197"/>
      <c r="KH10" s="197"/>
      <c r="KI10" s="197"/>
      <c r="KJ10" s="197"/>
      <c r="KK10" s="197"/>
      <c r="KL10" s="197"/>
      <c r="KM10" s="197"/>
      <c r="KN10" s="197"/>
      <c r="KO10" s="197"/>
      <c r="KP10" s="197"/>
      <c r="KQ10" s="197"/>
      <c r="KR10" s="197"/>
      <c r="KS10" s="197"/>
      <c r="KT10" s="197"/>
      <c r="KU10" s="197"/>
      <c r="KV10" s="197"/>
      <c r="KW10" s="197"/>
      <c r="KX10" s="197"/>
      <c r="KY10" s="197"/>
      <c r="KZ10" s="197"/>
      <c r="LA10" s="197"/>
      <c r="LB10" s="197"/>
      <c r="LC10" s="197"/>
      <c r="LD10" s="197"/>
      <c r="LE10" s="197"/>
      <c r="LF10" s="197"/>
      <c r="LG10" s="197"/>
      <c r="LH10" s="197"/>
      <c r="LI10" s="197"/>
      <c r="LJ10" s="197"/>
      <c r="LK10" s="197"/>
      <c r="LL10" s="197"/>
      <c r="LM10" s="197"/>
      <c r="LN10" s="197"/>
      <c r="LO10" s="197"/>
      <c r="LP10" s="197"/>
      <c r="LQ10" s="197"/>
      <c r="LR10" s="197"/>
      <c r="LS10" s="197"/>
      <c r="LT10" s="197"/>
      <c r="LU10" s="197"/>
      <c r="LV10" s="197"/>
      <c r="LW10" s="197"/>
      <c r="LX10" s="197"/>
      <c r="LY10" s="197"/>
      <c r="LZ10" s="197"/>
      <c r="MA10" s="197"/>
      <c r="MB10" s="197"/>
      <c r="MC10" s="197"/>
      <c r="MD10" s="197"/>
      <c r="ME10" s="197"/>
      <c r="MF10" s="197"/>
      <c r="MG10" s="197"/>
      <c r="MH10" s="197"/>
      <c r="MI10" s="197"/>
      <c r="MJ10" s="197"/>
      <c r="MK10" s="197"/>
      <c r="ML10" s="197"/>
      <c r="MM10" s="197"/>
      <c r="MN10" s="197"/>
      <c r="MO10" s="197"/>
      <c r="MP10" s="197"/>
      <c r="MQ10" s="197"/>
      <c r="MR10" s="197"/>
      <c r="MS10" s="197"/>
      <c r="MT10" s="197"/>
      <c r="MU10" s="197"/>
      <c r="MV10" s="197"/>
      <c r="MW10" s="197"/>
      <c r="MX10" s="197"/>
      <c r="MY10" s="197"/>
      <c r="MZ10" s="197"/>
      <c r="NA10" s="197"/>
      <c r="NB10" s="197"/>
      <c r="NC10" s="197"/>
      <c r="ND10" s="197"/>
      <c r="NE10" s="197"/>
      <c r="NF10" s="197"/>
      <c r="NG10" s="197"/>
      <c r="NH10" s="197"/>
      <c r="NI10" s="197"/>
      <c r="NJ10" s="197"/>
      <c r="NK10" s="197"/>
      <c r="NL10" s="197"/>
      <c r="NM10" s="197"/>
      <c r="NN10" s="197"/>
      <c r="NO10" s="197"/>
      <c r="NP10" s="197"/>
      <c r="NQ10" s="197"/>
      <c r="NR10" s="197"/>
      <c r="NS10" s="197"/>
      <c r="NT10" s="197"/>
      <c r="NU10" s="197"/>
      <c r="NV10" s="197"/>
      <c r="NW10" s="197"/>
      <c r="NX10" s="197"/>
      <c r="NY10" s="197"/>
      <c r="NZ10" s="197"/>
      <c r="OA10" s="197"/>
      <c r="OB10" s="197"/>
      <c r="OC10" s="197"/>
      <c r="OD10" s="197"/>
      <c r="OE10" s="197"/>
      <c r="OF10" s="197"/>
      <c r="OG10" s="197"/>
      <c r="OH10" s="197"/>
      <c r="OI10" s="197"/>
      <c r="OJ10" s="197"/>
      <c r="OK10" s="197"/>
      <c r="OL10" s="197"/>
      <c r="OM10" s="197"/>
      <c r="ON10" s="197"/>
      <c r="OO10" s="197"/>
      <c r="OP10" s="197"/>
      <c r="OQ10" s="197"/>
      <c r="OR10" s="197"/>
      <c r="OS10" s="197"/>
      <c r="OT10" s="197"/>
      <c r="OU10" s="197"/>
      <c r="OV10" s="197"/>
      <c r="OW10" s="197"/>
      <c r="OX10" s="197"/>
      <c r="OY10" s="197"/>
      <c r="OZ10" s="197"/>
      <c r="PA10" s="197"/>
      <c r="PB10" s="197"/>
    </row>
    <row r="11" spans="1:418" s="77" customFormat="1" ht="10.5" customHeight="1" x14ac:dyDescent="0.2">
      <c r="A11" s="48">
        <v>1965</v>
      </c>
      <c r="B11" s="59">
        <f>'C1-Incomes'!C13/'C1-Incomes'!$B13</f>
        <v>0.31195434742183259</v>
      </c>
      <c r="C11" s="59">
        <f>'C1-Incomes'!D13/'C1-Incomes'!$B13</f>
        <v>0.20457331465872891</v>
      </c>
      <c r="D11" s="59">
        <f>'C1-Incomes'!E13/'C1-Incomes'!$B13</f>
        <v>8.2509193858697635E-2</v>
      </c>
      <c r="E11" s="59">
        <f>'C1-Incomes'!F13/'C1-Incomes'!$B13</f>
        <v>5.4940135340970017E-2</v>
      </c>
      <c r="F11" s="59">
        <f>'C1-Incomes'!G13/'C1-Incomes'!$B13</f>
        <v>2.0937650017700343E-2</v>
      </c>
      <c r="G11" s="59">
        <f>'C1-Incomes'!H13/'C1-Incomes'!$B13</f>
        <v>5.8139567113004E-3</v>
      </c>
      <c r="H11" s="199"/>
      <c r="J11" s="59">
        <f>'C1-Incomes'!K13/'C1-Incomes'!$J13</f>
        <v>0.33707168699711321</v>
      </c>
      <c r="K11" s="59">
        <f>'C1-Incomes'!L13/'C1-Incomes'!$J13</f>
        <v>0.23693397852280734</v>
      </c>
      <c r="L11" s="59">
        <f>'C1-Incomes'!M13/'C1-Incomes'!$J13</f>
        <v>0.11494324669163405</v>
      </c>
      <c r="M11" s="59">
        <f>'C1-Incomes'!N13/'C1-Incomes'!$J13</f>
        <v>8.5887432291654645E-2</v>
      </c>
      <c r="N11" s="59">
        <f>'C1-Incomes'!O13/'C1-Incomes'!$J13</f>
        <v>4.3695361955490675E-2</v>
      </c>
      <c r="O11" s="59">
        <f>'C1-Incomes'!P13/'C1-Incomes'!$J13</f>
        <v>1.620129905181342E-2</v>
      </c>
      <c r="P11" s="59"/>
      <c r="R11" s="59">
        <f>'C1-Incomes'!S13/'C1-Incomes'!$R13</f>
        <v>0.3230923390921725</v>
      </c>
      <c r="S11" s="59">
        <f>'C1-Incomes'!T13/'C1-Incomes'!$R13</f>
        <v>0.22690512330001253</v>
      </c>
      <c r="T11" s="59">
        <f>'C1-Incomes'!U13/'C1-Incomes'!$R13</f>
        <v>0.10979524163767666</v>
      </c>
      <c r="U11" s="59">
        <f>'C1-Incomes'!V13/'C1-Incomes'!$R13</f>
        <v>8.1976291415075273E-2</v>
      </c>
      <c r="V11" s="59">
        <f>'C1-Incomes'!W13/'C1-Incomes'!$R13</f>
        <v>4.1599174756376131E-2</v>
      </c>
      <c r="W11" s="59">
        <f>'C1-Incomes'!X13/'C1-Incomes'!$R13</f>
        <v>1.5412367896771794E-2</v>
      </c>
      <c r="X11" s="59"/>
      <c r="Y11" s="59"/>
      <c r="Z11" s="59">
        <f>'C1-Incomes'!AA13/'C1-Incomes'!$Z13</f>
        <v>0.27825844985974474</v>
      </c>
      <c r="AA11" s="59">
        <f>'C1-Incomes'!AB13/'C1-Incomes'!$Z13</f>
        <v>0.18987353215100589</v>
      </c>
      <c r="AB11" s="59">
        <f>'C1-Incomes'!AC13/'C1-Incomes'!$Z13</f>
        <v>8.7343239886431404E-2</v>
      </c>
      <c r="AC11" s="59">
        <f>'C1-Incomes'!AD13/'C1-Incomes'!$Z13</f>
        <v>6.4060912513362017E-2</v>
      </c>
      <c r="AD11" s="59">
        <f>'C1-Incomes'!AE13/'C1-Incomes'!$Z13</f>
        <v>3.1345732151740267E-2</v>
      </c>
      <c r="AE11" s="59">
        <f>'C1-Incomes'!AF13/'C1-Incomes'!$Z13</f>
        <v>1.1312442432489814E-2</v>
      </c>
      <c r="AF11" s="200"/>
      <c r="AG11" s="195"/>
      <c r="AH11" s="59">
        <f>'C1-Incomes'!AI13/'C1-Incomes'!$AH13</f>
        <v>0.31459112684622098</v>
      </c>
      <c r="AI11" s="59">
        <f>'C1-Incomes'!AJ13/'C1-Incomes'!$AH13</f>
        <v>0.20561954539399022</v>
      </c>
      <c r="AJ11" s="59">
        <f>'C1-Incomes'!AK13/'C1-Incomes'!$AH13</f>
        <v>8.261603228527066E-2</v>
      </c>
      <c r="AK11" s="59">
        <f>'C1-Incomes'!AL13/'C1-Incomes'!$AH13</f>
        <v>5.4989572032325414E-2</v>
      </c>
      <c r="AL11" s="59">
        <f>'C1-Incomes'!AM13/'C1-Incomes'!$AH13</f>
        <v>2.09933048862419E-2</v>
      </c>
      <c r="AM11" s="59">
        <f>'C1-Incomes'!AN13/'C1-Incomes'!$AH13</f>
        <v>5.8409358612213436E-3</v>
      </c>
      <c r="AN11" s="195"/>
      <c r="AO11" s="195"/>
      <c r="AP11" s="59">
        <f>'C1-Incomes'!AQ13/'C1-Incomes'!$AP13</f>
        <v>0.31485062509049627</v>
      </c>
      <c r="AQ11" s="59">
        <f>'C1-Incomes'!AR13/'C1-Incomes'!$AP13</f>
        <v>0.20606540280582714</v>
      </c>
      <c r="AR11" s="59">
        <f>'C1-Incomes'!AS13/'C1-Incomes'!$AP13</f>
        <v>8.3178829925052961E-2</v>
      </c>
      <c r="AS11" s="59">
        <f>'C1-Incomes'!AT13/'C1-Incomes'!$AP13</f>
        <v>5.5493252717627124E-2</v>
      </c>
      <c r="AT11" s="59">
        <f>'C1-Incomes'!AU13/'C1-Incomes'!$AP13</f>
        <v>2.1266639225736409E-2</v>
      </c>
      <c r="AU11" s="59">
        <f>'C1-Incomes'!AV13/'C1-Incomes'!$AP13</f>
        <v>5.9637848342236552E-3</v>
      </c>
      <c r="AV11" s="197"/>
      <c r="AW11" s="60"/>
      <c r="AX11" s="59">
        <f>'C1-Incomes'!AY13/'C1-Incomes'!$AX13</f>
        <v>0.31755657325214109</v>
      </c>
      <c r="AY11" s="59">
        <f>'C1-Incomes'!AZ13/'C1-Incomes'!$AX13</f>
        <v>0.20921385458560238</v>
      </c>
      <c r="AZ11" s="59">
        <f>'C1-Incomes'!BA13/'C1-Incomes'!$AX13</f>
        <v>8.6351049424249524E-2</v>
      </c>
      <c r="BA11" s="59">
        <f>'C1-Incomes'!BB13/'C1-Incomes'!$AX13</f>
        <v>5.8044039717410609E-2</v>
      </c>
      <c r="BB11" s="59">
        <f>'C1-Incomes'!BC13/'C1-Incomes'!$AX13</f>
        <v>2.2541260759885596E-2</v>
      </c>
      <c r="BC11" s="59">
        <f>'C1-Incomes'!BD13/'C1-Incomes'!$AX13</f>
        <v>6.3987914600734715E-3</v>
      </c>
      <c r="BD11" s="60"/>
      <c r="BE11" s="60"/>
      <c r="BF11" s="59">
        <f>'C1-Incomes'!BG13/'C1-Incomes'!$BF13</f>
        <v>0.31754450379238536</v>
      </c>
      <c r="BG11" s="59">
        <f>'C1-Incomes'!BH13/'C1-Incomes'!$BF13</f>
        <v>0.20932234039172895</v>
      </c>
      <c r="BH11" s="59">
        <f>'C1-Incomes'!BI13/'C1-Incomes'!$BF13</f>
        <v>8.642236958410221E-2</v>
      </c>
      <c r="BI11" s="59">
        <f>'C1-Incomes'!BJ13/'C1-Incomes'!$BF13</f>
        <v>5.8083878075333779E-2</v>
      </c>
      <c r="BJ11" s="59">
        <f>'C1-Incomes'!BK13/'C1-Incomes'!$BF13</f>
        <v>2.2543194481193025E-2</v>
      </c>
      <c r="BK11" s="59">
        <f>'C1-Incomes'!BL13/'C1-Incomes'!$BF13</f>
        <v>6.4020343065324687E-3</v>
      </c>
      <c r="BL11" s="59"/>
      <c r="BM11" s="59"/>
      <c r="BN11" s="59">
        <f>'C1-Incomes'!BO13/'C1-Incomes'!$BN13</f>
        <v>0.29976937793926733</v>
      </c>
      <c r="BO11" s="59">
        <f>'C1-Incomes'!BP13/'C1-Incomes'!$BN13</f>
        <v>0.19665008857813154</v>
      </c>
      <c r="BP11" s="59">
        <f>'C1-Incomes'!BQ13/'C1-Incomes'!$BN13</f>
        <v>7.8269866719329409E-2</v>
      </c>
      <c r="BQ11" s="59">
        <f>'C1-Incomes'!BR13/'C1-Incomes'!$BN13</f>
        <v>5.3644315918019943E-2</v>
      </c>
      <c r="BR11" s="59">
        <f>'C1-Incomes'!BS13/'C1-Incomes'!$BN13</f>
        <v>2.2412769292394993E-2</v>
      </c>
      <c r="BS11" s="59">
        <f>'C1-Incomes'!BT13/'C1-Incomes'!$BN13</f>
        <v>6.7308448360210637E-3</v>
      </c>
      <c r="BT11" s="59"/>
      <c r="BU11" s="59"/>
      <c r="BV11" s="59">
        <f>'C1-Incomes'!BW13/'C1-Incomes'!$BV13</f>
        <v>0.30279506308682391</v>
      </c>
      <c r="BW11" s="59">
        <f>'C1-Incomes'!BX13/'C1-Incomes'!$BV13</f>
        <v>0.1997946853128276</v>
      </c>
      <c r="BX11" s="59">
        <f>'C1-Incomes'!BY13/'C1-Incomes'!$BV13</f>
        <v>8.0942606090687402E-2</v>
      </c>
      <c r="BY11" s="59">
        <f>'C1-Incomes'!BZ13/'C1-Incomes'!$BV13</f>
        <v>5.5927777526141989E-2</v>
      </c>
      <c r="BZ11" s="59">
        <f>'C1-Incomes'!CA13/'C1-Incomes'!$BV13</f>
        <v>2.3826438286120591E-2</v>
      </c>
      <c r="CA11" s="59">
        <f>'C1-Incomes'!CB13/'C1-Incomes'!$BV13</f>
        <v>7.222468977182676E-3</v>
      </c>
      <c r="CB11" s="60"/>
      <c r="CC11" s="198"/>
      <c r="CD11" s="59">
        <f>'C1-Incomes'!CE13/'C1-Incomes'!$CD13</f>
        <v>0.33596817653223249</v>
      </c>
      <c r="CE11" s="59">
        <f>'C1-Incomes'!CF13/'C1-Incomes'!$CD13</f>
        <v>0.23610191585171719</v>
      </c>
      <c r="CF11" s="59">
        <f>'C1-Incomes'!CG13/'C1-Incomes'!$CD13</f>
        <v>0.11408489060352213</v>
      </c>
      <c r="CG11" s="59">
        <f>'C1-Incomes'!CH13/'C1-Incomes'!$CD13</f>
        <v>8.504683412069336E-2</v>
      </c>
      <c r="CH11" s="59">
        <f>'C1-Incomes'!CI13/'C1-Incomes'!$CD13</f>
        <v>4.258514074091211E-2</v>
      </c>
      <c r="CI11" s="59">
        <f>'C1-Incomes'!CJ13/'C1-Incomes'!$CD13</f>
        <v>1.5564188180965456E-2</v>
      </c>
      <c r="CL11" s="59">
        <f>'C1-Incomes'!CM13/'C1-Incomes'!$CL13</f>
        <v>0.34773691102391474</v>
      </c>
      <c r="CM11" s="59">
        <f>'C1-Incomes'!CN13/'C1-Incomes'!$CL13</f>
        <v>0.24840930559888597</v>
      </c>
      <c r="CN11" s="59">
        <f>'C1-Incomes'!CO13/'C1-Incomes'!$CL13</f>
        <v>0.12511039251179984</v>
      </c>
      <c r="CO11" s="59">
        <f>'C1-Incomes'!CP13/'C1-Incomes'!$CL13</f>
        <v>9.4766854308624263E-2</v>
      </c>
      <c r="CP11" s="59">
        <f>'C1-Incomes'!CQ13/'C1-Incomes'!$CL13</f>
        <v>4.8622319529845463E-2</v>
      </c>
      <c r="CQ11" s="59">
        <f>'C1-Incomes'!CR13/'C1-Incomes'!$CL13</f>
        <v>1.8150641114713741E-2</v>
      </c>
      <c r="CR11" s="59"/>
      <c r="CS11" s="59"/>
      <c r="CT11" s="59">
        <f>'C1-Incomes'!CU13/'C1-Incomes'!$CT13</f>
        <v>0.3535103896733382</v>
      </c>
      <c r="CU11" s="59">
        <f>'C1-Incomes'!CV13/'C1-Incomes'!$CT13</f>
        <v>0.25450419399326485</v>
      </c>
      <c r="CV11" s="59">
        <f>'C1-Incomes'!CW13/'C1-Incomes'!$CT13</f>
        <v>0.12996985656749732</v>
      </c>
      <c r="CW11" s="59">
        <f>'C1-Incomes'!CX13/'C1-Incomes'!$CT13</f>
        <v>9.8713983252891366E-2</v>
      </c>
      <c r="CX11" s="59">
        <f>'C1-Incomes'!CY13/'C1-Incomes'!$CT13</f>
        <v>5.0904669257350189E-2</v>
      </c>
      <c r="CY11" s="59">
        <f>'C1-Incomes'!CZ13/'C1-Incomes'!$CT13</f>
        <v>1.9096828648924983E-2</v>
      </c>
      <c r="CZ11" s="59"/>
      <c r="DA11" s="59"/>
      <c r="DB11" s="59">
        <f>'C1-Incomes'!DC13/'C1-Incomes'!$DB13</f>
        <v>0.35466768891875633</v>
      </c>
      <c r="DC11" s="59">
        <f>'C1-Incomes'!DD13/'C1-Incomes'!$DB13</f>
        <v>0.25579814001016787</v>
      </c>
      <c r="DD11" s="59">
        <f>'C1-Incomes'!DE13/'C1-Incomes'!$DB13</f>
        <v>0.1317125316745007</v>
      </c>
      <c r="DE11" s="59">
        <f>'C1-Incomes'!DF13/'C1-Incomes'!$DB13</f>
        <v>0.10028262020952367</v>
      </c>
      <c r="DF11" s="59">
        <f>'C1-Incomes'!DG13/'C1-Incomes'!$DB13</f>
        <v>5.2033870006266893E-2</v>
      </c>
      <c r="DG11" s="59">
        <f>'C1-Incomes'!DH13/'C1-Incomes'!$DB13</f>
        <v>1.9641871635244407E-2</v>
      </c>
      <c r="DH11" s="59"/>
      <c r="DI11" s="1039"/>
      <c r="DJ11" s="59">
        <f>'C1-Incomes'!DK13/'C1-Incomes'!$DJ13</f>
        <v>0.35194015026958725</v>
      </c>
      <c r="DK11" s="59">
        <f>'C1-Incomes'!DL13/'C1-Incomes'!$DJ13</f>
        <v>0.2544525113046634</v>
      </c>
      <c r="DL11" s="59">
        <f>'C1-Incomes'!DM13/'C1-Incomes'!$DJ13</f>
        <v>0.13095416965151785</v>
      </c>
      <c r="DM11" s="59">
        <f>'C1-Incomes'!DN13/'C1-Incomes'!$DJ13</f>
        <v>9.9177426097633539E-2</v>
      </c>
      <c r="DN11" s="59">
        <f>'C1-Incomes'!DO13/'C1-Incomes'!$DJ13</f>
        <v>5.1260417979506104E-2</v>
      </c>
      <c r="DO11" s="59">
        <f>'C1-Incomes'!DP13/'C1-Incomes'!$DJ13</f>
        <v>1.9215873273009436E-2</v>
      </c>
      <c r="DP11" s="696"/>
      <c r="DQ11" s="503"/>
      <c r="DR11" s="59">
        <f>'C1-Incomes'!DS13/'C1-Incomes'!$DR13</f>
        <v>0.3514060877899694</v>
      </c>
      <c r="DS11" s="59">
        <f>'C1-Incomes'!DT13/'C1-Incomes'!$DR13</f>
        <v>0.25255255934074888</v>
      </c>
      <c r="DT11" s="59">
        <f>'C1-Incomes'!DU13/'C1-Incomes'!$DR13</f>
        <v>0.12778741191772466</v>
      </c>
      <c r="DU11" s="59">
        <f>'C1-Incomes'!DV13/'C1-Incomes'!$DR13</f>
        <v>9.6383908409333058E-2</v>
      </c>
      <c r="DV11" s="59">
        <f>'C1-Incomes'!DW13/'C1-Incomes'!$DR13</f>
        <v>4.9566816938583551E-2</v>
      </c>
      <c r="DW11" s="59">
        <f>'C1-Incomes'!DX13/'C1-Incomes'!$DR13</f>
        <v>1.8514756551530277E-2</v>
      </c>
      <c r="DX11" s="333"/>
      <c r="DZ11" s="59">
        <f>'C1-Incomes'!EA13/'C1-Incomes'!$DZ13</f>
        <v>0.34674837981919382</v>
      </c>
      <c r="EA11" s="59">
        <f>'C1-Incomes'!EB13/'C1-Incomes'!$DZ13</f>
        <v>0.24814889504833521</v>
      </c>
      <c r="EB11" s="59">
        <f>'C1-Incomes'!EC13/'C1-Incomes'!$DZ13</f>
        <v>0.12487800560989143</v>
      </c>
      <c r="EC11" s="59">
        <f>'C1-Incomes'!ED13/'C1-Incomes'!$DZ13</f>
        <v>9.4106949328435566E-2</v>
      </c>
      <c r="ED11" s="59">
        <f>'C1-Incomes'!EE13/'C1-Incomes'!$DZ13</f>
        <v>4.8360901825512226E-2</v>
      </c>
      <c r="EE11" s="59">
        <f>'C1-Incomes'!EF13/'C1-Incomes'!$DZ13</f>
        <v>1.8056009758519096E-2</v>
      </c>
      <c r="EF11" s="59"/>
      <c r="EH11" s="59">
        <f>'C1-Incomes'!EI13/'C1-Incomes'!$EH13</f>
        <v>0.34595952203228653</v>
      </c>
      <c r="EI11" s="59">
        <f>'C1-Incomes'!EJ13/'C1-Incomes'!$EH13</f>
        <v>0.24659196835196842</v>
      </c>
      <c r="EJ11" s="59">
        <f>'C1-Incomes'!EK13/'C1-Incomes'!$EH13</f>
        <v>0.12308193170123156</v>
      </c>
      <c r="EK11" s="59">
        <f>'C1-Incomes'!EL13/'C1-Incomes'!$EH13</f>
        <v>9.2621756695559734E-2</v>
      </c>
      <c r="EL11" s="59">
        <f>'C1-Incomes'!EM13/'C1-Incomes'!$EH13</f>
        <v>4.7543661462309206E-2</v>
      </c>
      <c r="EM11" s="59">
        <f>'C1-Incomes'!EN13/'C1-Incomes'!$EH13</f>
        <v>1.7750766306440405E-2</v>
      </c>
      <c r="EN11" s="59"/>
      <c r="EO11" s="59"/>
      <c r="EP11" s="59">
        <f>'C1-Incomes'!EQ13/'C1-Incomes'!$EH13</f>
        <v>0.3553653131594729</v>
      </c>
      <c r="EQ11" s="59">
        <f>'C1-Incomes'!ER13/'C1-Incomes'!$EH13</f>
        <v>0.25177301617154479</v>
      </c>
      <c r="ER11" s="59">
        <f>'C1-Incomes'!ES13/'C1-Incomes'!$EH13</f>
        <v>0.12421883635591487</v>
      </c>
      <c r="ES11" s="59">
        <f>'C1-Incomes'!ET13/'C1-Incomes'!$EH13</f>
        <v>9.3279041379478997E-2</v>
      </c>
      <c r="ET11" s="59">
        <f>'C1-Incomes'!EU13/'C1-Incomes'!$EH13</f>
        <v>4.7757993595682419E-2</v>
      </c>
      <c r="EU11" s="59">
        <f>'C1-Incomes'!EV13/'C1-Incomes'!$EH13</f>
        <v>1.7768923916188808E-2</v>
      </c>
      <c r="EV11" s="59"/>
      <c r="EW11" s="59"/>
      <c r="EX11" s="59">
        <f>'C1-Incomes'!EY13/'C1-Incomes'!$EX13</f>
        <v>0.33707168699711321</v>
      </c>
      <c r="EY11" s="59">
        <f>'C1-Incomes'!EZ13/'C1-Incomes'!$EX13</f>
        <v>0.23693397852280734</v>
      </c>
      <c r="EZ11" s="59">
        <f>'C1-Incomes'!FA13/'C1-Incomes'!$EX13</f>
        <v>0.11494324669163405</v>
      </c>
      <c r="FA11" s="59">
        <f>'C1-Incomes'!FB13/'C1-Incomes'!$EX13</f>
        <v>8.5887432291654645E-2</v>
      </c>
      <c r="FB11" s="59">
        <f>'C1-Incomes'!FC13/'C1-Incomes'!$EX13</f>
        <v>4.3695361955490675E-2</v>
      </c>
      <c r="FC11" s="59">
        <f>'C1-Incomes'!FD13/'C1-Incomes'!$EX13</f>
        <v>1.620129905181342E-2</v>
      </c>
      <c r="FD11" s="59"/>
      <c r="FF11" s="59">
        <f>'C1-Incomes'!FG13/'C1-Incomes'!$FF13</f>
        <v>0.32947072296248425</v>
      </c>
      <c r="FG11" s="59">
        <f>'C1-Incomes'!FH13/'C1-Incomes'!$FF13</f>
        <v>0.23156560000784918</v>
      </c>
      <c r="FH11" s="59">
        <f>'C1-Incomes'!FI13/'C1-Incomes'!$FF13</f>
        <v>0.11215743709955242</v>
      </c>
      <c r="FI11" s="59">
        <f>'C1-Incomes'!FJ13/'C1-Incomes'!$FF13</f>
        <v>8.3735765805090123E-2</v>
      </c>
      <c r="FJ11" s="59">
        <f>'C1-Incomes'!FK13/'C1-Incomes'!$FF13</f>
        <v>4.2516690100487364E-2</v>
      </c>
      <c r="FK11" s="59">
        <f>'C1-Incomes'!FL13/'C1-Incomes'!$FF13</f>
        <v>1.5754448137595873E-2</v>
      </c>
      <c r="FN11" s="59">
        <f>'C1-Incomes'!FO13/'C1-Incomes'!$FN13</f>
        <v>0.3284183493186818</v>
      </c>
      <c r="FO11" s="59">
        <f>'C1-Incomes'!FP13/'C1-Incomes'!$FN13</f>
        <v>0.23078993342788595</v>
      </c>
      <c r="FP11" s="59">
        <f>'C1-Incomes'!FQ13/'C1-Incomes'!$FN13</f>
        <v>0.11177560814329947</v>
      </c>
      <c r="FQ11" s="59">
        <f>'C1-Incomes'!FR13/'C1-Incomes'!$FN13</f>
        <v>8.3449821015584139E-2</v>
      </c>
      <c r="FR11" s="59">
        <f>'C1-Incomes'!FS13/'C1-Incomes'!$FN13</f>
        <v>4.237129318431198E-2</v>
      </c>
      <c r="FS11" s="59">
        <f>'C1-Incomes'!FT13/'C1-Incomes'!$FN13</f>
        <v>1.5700559016381396E-2</v>
      </c>
      <c r="FV11" s="59">
        <f>'C1-Incomes'!FW13/'C1-Incomes'!$FV13</f>
        <v>0.32472244582334697</v>
      </c>
      <c r="FW11" s="59">
        <f>'C1-Incomes'!FX13/'C1-Incomes'!$FV13</f>
        <v>0.22805545226805424</v>
      </c>
      <c r="FX11" s="59">
        <f>'C1-Incomes'!FY13/'C1-Incomes'!$FV13</f>
        <v>0.11035500676806856</v>
      </c>
      <c r="FY11" s="59">
        <f>'C1-Incomes'!FZ13/'C1-Incomes'!$FV13</f>
        <v>8.2372529336407457E-2</v>
      </c>
      <c r="FZ11" s="59">
        <f>'C1-Incomes'!GA13/'C1-Incomes'!$FV13</f>
        <v>4.1813885403826384E-2</v>
      </c>
      <c r="GA11" s="59">
        <f>'C1-Incomes'!GB13/'C1-Incomes'!$FV13</f>
        <v>1.5492181533983474E-2</v>
      </c>
      <c r="GE11" s="59">
        <f>'C1-Incomes'!GF13/'C1-Incomes'!$GE13</f>
        <v>0.32460830426670212</v>
      </c>
      <c r="GF11" s="59">
        <f>'C1-Incomes'!GG13/'C1-Incomes'!$GE13</f>
        <v>0.22796977331867802</v>
      </c>
      <c r="GG11" s="59">
        <f>'C1-Incomes'!GH13/'C1-Incomes'!$GE13</f>
        <v>0.11031040632130691</v>
      </c>
      <c r="GH11" s="59">
        <f>'C1-Incomes'!GI13/'C1-Incomes'!$GE13</f>
        <v>8.2360928213556867E-2</v>
      </c>
      <c r="GI11" s="59">
        <f>'C1-Incomes'!GJ13/'C1-Incomes'!$GE13</f>
        <v>4.1794360134020894E-2</v>
      </c>
      <c r="GJ11" s="59">
        <f>'C1-Incomes'!GK13/'C1-Incomes'!$GE13</f>
        <v>1.548468348634657E-2</v>
      </c>
      <c r="GM11" s="59">
        <f>'C1-Incomes'!GN13/'C1-Incomes'!$GM13</f>
        <v>0.3230923390921725</v>
      </c>
      <c r="GN11" s="59">
        <f>'C1-Incomes'!GO13/'C1-Incomes'!$GM13</f>
        <v>0.22690512330001253</v>
      </c>
      <c r="GO11" s="59">
        <f>'C1-Incomes'!GP13/'C1-Incomes'!$GM13</f>
        <v>0.10979524163767666</v>
      </c>
      <c r="GP11" s="59">
        <f>'C1-Incomes'!GQ13/'C1-Incomes'!$GM13</f>
        <v>8.1976291415075273E-2</v>
      </c>
      <c r="GQ11" s="59">
        <f>'C1-Incomes'!GR13/'C1-Incomes'!$GM13</f>
        <v>4.1599174756376131E-2</v>
      </c>
      <c r="GR11" s="59">
        <f>'C1-Incomes'!GS13/'C1-Incomes'!$GM13</f>
        <v>1.5412367896771794E-2</v>
      </c>
      <c r="GU11" s="59">
        <f>'C1-Incomes'!GV13/'C1-Incomes'!$GU13</f>
        <v>0.30523303425020581</v>
      </c>
      <c r="GV11" s="59">
        <f>'C1-Incomes'!GW13/'C1-Incomes'!$GU13</f>
        <v>0.21181307662685017</v>
      </c>
      <c r="GW11" s="59">
        <f>'C1-Incomes'!GX13/'C1-Incomes'!$GU13</f>
        <v>0.10104068322614926</v>
      </c>
      <c r="GX11" s="59">
        <f>'C1-Incomes'!GY13/'C1-Incomes'!$GU13</f>
        <v>7.5177307503193305E-2</v>
      </c>
      <c r="GY11" s="59">
        <f>'C1-Incomes'!GZ13/'C1-Incomes'!$GU13</f>
        <v>3.7759048990247131E-2</v>
      </c>
      <c r="GZ11" s="59">
        <f>'C1-Incomes'!HA13/'C1-Incomes'!$GU13</f>
        <v>1.3864217266161478E-2</v>
      </c>
      <c r="HC11" s="59">
        <f>'C1-Incomes'!HD13/'C1-Incomes'!$HC13</f>
        <v>0.30363068407588739</v>
      </c>
      <c r="HD11" s="59">
        <f>'C1-Incomes'!HE13/'C1-Incomes'!$HC13</f>
        <v>0.21040486133654013</v>
      </c>
      <c r="HE11" s="59">
        <f>'C1-Incomes'!HF13/'C1-Incomes'!$HC13</f>
        <v>0.10007029832073042</v>
      </c>
      <c r="HF11" s="59">
        <f>'C1-Incomes'!HG13/'C1-Incomes'!$HC13</f>
        <v>7.4450532137907449E-2</v>
      </c>
      <c r="HG11" s="59">
        <f>'C1-Incomes'!HH13/'C1-Incomes'!$HC13</f>
        <v>3.7255770395516273E-2</v>
      </c>
      <c r="HH11" s="59">
        <f>'C1-Incomes'!HI13/'C1-Incomes'!$HC13</f>
        <v>1.372105528170451E-2</v>
      </c>
      <c r="HK11" s="59">
        <f>'C1-Incomes'!HL13/'C1-Incomes'!$HK13</f>
        <v>0.2923464967697908</v>
      </c>
      <c r="HL11" s="59">
        <f>'C1-Incomes'!HM13/'C1-Incomes'!$HK13</f>
        <v>0.19887838538875763</v>
      </c>
      <c r="HM11" s="59">
        <f>'C1-Incomes'!HN13/'C1-Incomes'!$HK13</f>
        <v>8.9762033630956875E-2</v>
      </c>
      <c r="HN11" s="59">
        <f>'C1-Incomes'!HO13/'C1-Incomes'!$HK13</f>
        <v>6.57027084116064E-2</v>
      </c>
      <c r="HO11" s="59">
        <f>'C1-Incomes'!HP13/'C1-Incomes'!$HK13</f>
        <v>3.1963197334272185E-2</v>
      </c>
      <c r="HP11" s="59">
        <f>'C1-Incomes'!HQ13/'C1-Incomes'!$HK13</f>
        <v>1.1496757629245322E-2</v>
      </c>
      <c r="HS11" s="59">
        <f>'C1-Incomes'!HT13/'C1-Incomes'!$HS13</f>
        <v>0.28538509356525665</v>
      </c>
      <c r="HT11" s="59">
        <f>'C1-Incomes'!HU13/'C1-Incomes'!$HS13</f>
        <v>0.19253944812677459</v>
      </c>
      <c r="HU11" s="59">
        <f>'C1-Incomes'!HV13/'C1-Incomes'!$HS13</f>
        <v>8.5491467024462572E-2</v>
      </c>
      <c r="HV11" s="59">
        <f>'C1-Incomes'!HW13/'C1-Incomes'!$HS13</f>
        <v>6.2221718030138547E-2</v>
      </c>
      <c r="HW11" s="59">
        <f>'C1-Incomes'!HX13/'C1-Incomes'!$HS13</f>
        <v>2.9987733098886412E-2</v>
      </c>
      <c r="HX11" s="59">
        <f>'C1-Incomes'!HY13/'C1-Incomes'!$HS13</f>
        <v>1.0724377535908061E-2</v>
      </c>
      <c r="IA11" s="59">
        <f>'C1-Incomes'!IB13/'C1-Incomes'!$IA13</f>
        <v>0.29037593602754597</v>
      </c>
      <c r="IB11" s="59">
        <f>'C1-Incomes'!IC13/'C1-Incomes'!$IA13</f>
        <v>0.19739794086220833</v>
      </c>
      <c r="IC11" s="59">
        <f>'C1-Incomes'!ID13/'C1-Incomes'!$IA13</f>
        <v>8.9025481580505564E-2</v>
      </c>
      <c r="ID11" s="59">
        <f>'C1-Incomes'!IE13/'C1-Incomes'!$IA13</f>
        <v>6.4974438099319354E-2</v>
      </c>
      <c r="IE11" s="59">
        <f>'C1-Incomes'!IF13/'C1-Incomes'!$IA13</f>
        <v>3.139971638163782E-2</v>
      </c>
      <c r="IF11" s="59">
        <f>'C1-Incomes'!IG13/'C1-Incomes'!$IA13</f>
        <v>1.123997457388282E-2</v>
      </c>
      <c r="II11" s="59">
        <f>'C1-Incomes'!IJ13/'C1-Incomes'!$II13</f>
        <v>0.29235475041148229</v>
      </c>
      <c r="IJ11" s="59">
        <f>'C1-Incomes'!IK13/'C1-Incomes'!$II13</f>
        <v>0.19995590649544975</v>
      </c>
      <c r="IK11" s="59">
        <f>'C1-Incomes'!IL13/'C1-Incomes'!$II13</f>
        <v>9.1558206149950694E-2</v>
      </c>
      <c r="IL11" s="59">
        <f>'C1-Incomes'!IM13/'C1-Incomes'!$II13</f>
        <v>6.7133403594609675E-2</v>
      </c>
      <c r="IM11" s="59">
        <f>'C1-Incomes'!IN13/'C1-Incomes'!$II13</f>
        <v>3.2646266297167534E-2</v>
      </c>
      <c r="IN11" s="59">
        <f>'C1-Incomes'!IO13/'C1-Incomes'!$II13</f>
        <v>1.1731815384408423E-2</v>
      </c>
      <c r="IQ11" s="59">
        <f>'C1-Incomes'!IR13/'C1-Incomes'!$IQ13</f>
        <v>0.29770106931090362</v>
      </c>
      <c r="IR11" s="59">
        <f>'C1-Incomes'!IS13/'C1-Incomes'!$IQ13</f>
        <v>0.20488690152578828</v>
      </c>
      <c r="IS11" s="59">
        <f>'C1-Incomes'!IT13/'C1-Incomes'!$IQ13</f>
        <v>9.5259525213831353E-2</v>
      </c>
      <c r="IT11" s="59">
        <f>'C1-Incomes'!IU13/'C1-Incomes'!$IQ13</f>
        <v>7.0176907400117283E-2</v>
      </c>
      <c r="IU11" s="59">
        <f>'C1-Incomes'!IV13/'C1-Incomes'!$IQ13</f>
        <v>3.4446732111445937E-2</v>
      </c>
      <c r="IV11" s="59">
        <f>'C1-Incomes'!IW13/'C1-Incomes'!$IQ13</f>
        <v>1.246080823669545E-2</v>
      </c>
      <c r="IY11" s="59">
        <f>'C1-Incomes'!IZ13/'C1-Incomes'!$IY13</f>
        <v>0.27825844985974474</v>
      </c>
      <c r="IZ11" s="59">
        <f>'C1-Incomes'!JA13/'C1-Incomes'!$IY13</f>
        <v>0.18987353215100589</v>
      </c>
      <c r="JA11" s="59">
        <f>'C1-Incomes'!JB13/'C1-Incomes'!$IY13</f>
        <v>8.7343239886431404E-2</v>
      </c>
      <c r="JB11" s="59">
        <f>'C1-Incomes'!JC13/'C1-Incomes'!$IY13</f>
        <v>6.4060912513362017E-2</v>
      </c>
      <c r="JC11" s="59">
        <f>'C1-Incomes'!JD13/'C1-Incomes'!$IY13</f>
        <v>3.1345732151740267E-2</v>
      </c>
      <c r="JD11" s="59">
        <f>'C1-Incomes'!JE13/'C1-Incomes'!$IY13</f>
        <v>1.1312442432489814E-2</v>
      </c>
      <c r="JE11" s="197"/>
      <c r="JF11" s="197"/>
      <c r="JG11" s="197"/>
      <c r="JH11" s="197"/>
      <c r="JI11" s="197"/>
      <c r="JJ11" s="197"/>
      <c r="JK11" s="197"/>
      <c r="JL11" s="197"/>
      <c r="JM11" s="197"/>
      <c r="JN11" s="197"/>
      <c r="JO11" s="197"/>
      <c r="JP11" s="197"/>
      <c r="JQ11" s="197"/>
      <c r="JR11" s="197"/>
      <c r="JS11" s="197"/>
      <c r="JT11" s="197"/>
      <c r="JU11" s="197"/>
      <c r="JV11" s="197"/>
      <c r="JW11" s="197"/>
      <c r="JX11" s="197"/>
      <c r="JY11" s="197"/>
      <c r="JZ11" s="197"/>
      <c r="KA11" s="197"/>
      <c r="KB11" s="197"/>
      <c r="KC11" s="197"/>
      <c r="KD11" s="197"/>
      <c r="KE11" s="197"/>
      <c r="KF11" s="197"/>
      <c r="KG11" s="197"/>
      <c r="KH11" s="197"/>
      <c r="KI11" s="197"/>
      <c r="KJ11" s="197"/>
      <c r="KK11" s="197"/>
      <c r="KL11" s="197"/>
      <c r="KM11" s="197"/>
      <c r="KN11" s="197"/>
      <c r="KO11" s="197"/>
      <c r="KP11" s="197"/>
      <c r="KQ11" s="197"/>
      <c r="KR11" s="197"/>
      <c r="KS11" s="197"/>
      <c r="KT11" s="197"/>
      <c r="KU11" s="197"/>
      <c r="KV11" s="197"/>
      <c r="KW11" s="197"/>
      <c r="KX11" s="197"/>
      <c r="KY11" s="197"/>
      <c r="KZ11" s="197"/>
      <c r="LA11" s="197"/>
      <c r="LB11" s="197"/>
      <c r="LC11" s="197"/>
      <c r="LD11" s="197"/>
      <c r="LE11" s="197"/>
      <c r="LF11" s="197"/>
      <c r="LG11" s="197"/>
      <c r="LH11" s="197"/>
      <c r="LI11" s="197"/>
      <c r="LJ11" s="197"/>
      <c r="LK11" s="197"/>
      <c r="LL11" s="197"/>
      <c r="LM11" s="197"/>
      <c r="LN11" s="197"/>
      <c r="LO11" s="197"/>
      <c r="LP11" s="197"/>
      <c r="LQ11" s="197"/>
      <c r="LR11" s="197"/>
      <c r="LS11" s="197"/>
      <c r="LT11" s="197"/>
      <c r="LU11" s="197"/>
      <c r="LV11" s="197"/>
      <c r="LW11" s="197"/>
      <c r="LX11" s="197"/>
      <c r="LY11" s="197"/>
      <c r="LZ11" s="197"/>
      <c r="MA11" s="197"/>
      <c r="MB11" s="197"/>
      <c r="MC11" s="197"/>
      <c r="MD11" s="197"/>
      <c r="ME11" s="197"/>
      <c r="MF11" s="197"/>
      <c r="MG11" s="197"/>
      <c r="MH11" s="197"/>
      <c r="MI11" s="197"/>
      <c r="MJ11" s="197"/>
      <c r="MK11" s="197"/>
      <c r="ML11" s="197"/>
      <c r="MM11" s="197"/>
      <c r="MN11" s="197"/>
      <c r="MO11" s="197"/>
      <c r="MP11" s="197"/>
      <c r="MQ11" s="197"/>
      <c r="MR11" s="197"/>
      <c r="MS11" s="197"/>
      <c r="MT11" s="197"/>
      <c r="MU11" s="197"/>
      <c r="MV11" s="197"/>
      <c r="MW11" s="197"/>
      <c r="MX11" s="197"/>
      <c r="MY11" s="197"/>
      <c r="MZ11" s="197"/>
      <c r="NA11" s="197"/>
      <c r="NB11" s="197"/>
      <c r="NC11" s="197"/>
      <c r="ND11" s="197"/>
      <c r="NE11" s="197"/>
      <c r="NF11" s="197"/>
      <c r="NG11" s="197"/>
      <c r="NH11" s="197"/>
      <c r="NI11" s="197"/>
      <c r="NJ11" s="197"/>
      <c r="NK11" s="197"/>
      <c r="NL11" s="197"/>
      <c r="NM11" s="197"/>
      <c r="NN11" s="197"/>
      <c r="NO11" s="197"/>
      <c r="NP11" s="197"/>
      <c r="NQ11" s="197"/>
      <c r="NR11" s="197"/>
      <c r="NS11" s="197"/>
      <c r="NT11" s="197"/>
      <c r="NU11" s="197"/>
      <c r="NV11" s="197"/>
      <c r="NW11" s="197"/>
      <c r="NX11" s="197"/>
      <c r="NY11" s="197"/>
      <c r="NZ11" s="197"/>
      <c r="OA11" s="197"/>
      <c r="OB11" s="197"/>
      <c r="OC11" s="197"/>
      <c r="OD11" s="197"/>
      <c r="OE11" s="197"/>
      <c r="OF11" s="197"/>
      <c r="OG11" s="197"/>
      <c r="OH11" s="197"/>
      <c r="OI11" s="197"/>
      <c r="OJ11" s="197"/>
      <c r="OK11" s="197"/>
      <c r="OL11" s="197"/>
      <c r="OM11" s="197"/>
      <c r="ON11" s="197"/>
      <c r="OO11" s="197"/>
      <c r="OP11" s="197"/>
      <c r="OQ11" s="197"/>
      <c r="OR11" s="197"/>
      <c r="OS11" s="197"/>
      <c r="OT11" s="197"/>
      <c r="OU11" s="197"/>
      <c r="OV11" s="197"/>
      <c r="OW11" s="197"/>
      <c r="OX11" s="197"/>
      <c r="OY11" s="197"/>
      <c r="OZ11" s="197"/>
      <c r="PA11" s="197"/>
      <c r="PB11" s="197"/>
    </row>
    <row r="12" spans="1:418" s="77" customFormat="1" ht="10.5" customHeight="1" x14ac:dyDescent="0.2">
      <c r="A12" s="48">
        <v>1966</v>
      </c>
      <c r="B12" s="59">
        <f>'C1-Incomes'!C14/'C1-Incomes'!$B14</f>
        <v>0.32043688671721593</v>
      </c>
      <c r="C12" s="59">
        <f>'C1-Incomes'!D14/'C1-Incomes'!$B14</f>
        <v>0.2102479779859803</v>
      </c>
      <c r="D12" s="59">
        <f>'C1-Incomes'!E14/'C1-Incomes'!$B14</f>
        <v>8.3530356748191648E-2</v>
      </c>
      <c r="E12" s="59">
        <f>'C1-Incomes'!F14/'C1-Incomes'!$B14</f>
        <v>5.5699148955673163E-2</v>
      </c>
      <c r="F12" s="59">
        <f>'C1-Incomes'!G14/'C1-Incomes'!$B14</f>
        <v>2.1437393951651677E-2</v>
      </c>
      <c r="G12" s="59">
        <f>'C1-Incomes'!H14/'C1-Incomes'!$B14</f>
        <v>5.9935480971619898E-3</v>
      </c>
      <c r="H12" s="199"/>
      <c r="J12" s="59">
        <f>'C1-Incomes'!K14/'C1-Incomes'!$J14</f>
        <v>0.3386106099487613</v>
      </c>
      <c r="K12" s="59">
        <f>'C1-Incomes'!L14/'C1-Incomes'!$J14</f>
        <v>0.23793449356591906</v>
      </c>
      <c r="L12" s="59">
        <f>'C1-Incomes'!M14/'C1-Incomes'!$J14</f>
        <v>0.11515736868552763</v>
      </c>
      <c r="M12" s="59">
        <f>'C1-Incomes'!N14/'C1-Incomes'!$J14</f>
        <v>8.5173935219837654E-2</v>
      </c>
      <c r="N12" s="59">
        <f>'C1-Incomes'!O14/'C1-Incomes'!$J14</f>
        <v>4.3490570842070989E-2</v>
      </c>
      <c r="O12" s="59">
        <f>'C1-Incomes'!P14/'C1-Incomes'!$J14</f>
        <v>1.5954115457736263E-2</v>
      </c>
      <c r="P12" s="59"/>
      <c r="R12" s="59">
        <f>'C1-Incomes'!S14/'C1-Incomes'!$R14</f>
        <v>0.32462026225241625</v>
      </c>
      <c r="S12" s="59">
        <f>'C1-Incomes'!T14/'C1-Incomes'!$R14</f>
        <v>0.22791396557232607</v>
      </c>
      <c r="T12" s="59">
        <f>'C1-Incomes'!U14/'C1-Incomes'!$R14</f>
        <v>0.11001450916324675</v>
      </c>
      <c r="U12" s="59">
        <f>'C1-Incomes'!V14/'C1-Incomes'!$R14</f>
        <v>8.1318027999193326E-2</v>
      </c>
      <c r="V12" s="59">
        <f>'C1-Incomes'!W14/'C1-Incomes'!$R14</f>
        <v>4.1402404380523207E-2</v>
      </c>
      <c r="W12" s="59">
        <f>'C1-Incomes'!X14/'C1-Incomes'!$R14</f>
        <v>1.5176255936735095E-2</v>
      </c>
      <c r="X12" s="59"/>
      <c r="Y12" s="59"/>
      <c r="Z12" s="59">
        <f>'C1-Incomes'!AA14/'C1-Incomes'!$Z14</f>
        <v>0.28118627521281209</v>
      </c>
      <c r="AA12" s="59">
        <f>'C1-Incomes'!AB14/'C1-Incomes'!$Z14</f>
        <v>0.19222631375439053</v>
      </c>
      <c r="AB12" s="59">
        <f>'C1-Incomes'!AC14/'C1-Incomes'!$Z14</f>
        <v>8.8448156715799003E-2</v>
      </c>
      <c r="AC12" s="59">
        <f>'C1-Incomes'!AD14/'C1-Incomes'!$Z14</f>
        <v>6.4512273049843347E-2</v>
      </c>
      <c r="AD12" s="59">
        <f>'C1-Incomes'!AE14/'C1-Incomes'!$Z14</f>
        <v>3.16142780699704E-2</v>
      </c>
      <c r="AE12" s="59">
        <f>'C1-Incomes'!AF14/'C1-Incomes'!$Z14</f>
        <v>1.1368414278296528E-2</v>
      </c>
      <c r="AF12" s="200"/>
      <c r="AG12" s="195"/>
      <c r="AH12" s="59">
        <f>'C1-Incomes'!AI14/'C1-Incomes'!$AH14</f>
        <v>0.32260598833297116</v>
      </c>
      <c r="AI12" s="59">
        <f>'C1-Incomes'!AJ14/'C1-Incomes'!$AH14</f>
        <v>0.21092928633662195</v>
      </c>
      <c r="AJ12" s="59">
        <f>'C1-Incomes'!AK14/'C1-Incomes'!$AH14</f>
        <v>8.3473123125376414E-2</v>
      </c>
      <c r="AK12" s="59">
        <f>'C1-Incomes'!AL14/'C1-Incomes'!$AH14</f>
        <v>5.5597932899581468E-2</v>
      </c>
      <c r="AL12" s="59">
        <f>'C1-Incomes'!AM14/'C1-Incomes'!$AH14</f>
        <v>2.1438838489430359E-2</v>
      </c>
      <c r="AM12" s="59">
        <f>'C1-Incomes'!AN14/'C1-Incomes'!$AH14</f>
        <v>6.0052129888682757E-3</v>
      </c>
      <c r="AN12" s="195"/>
      <c r="AO12" s="195"/>
      <c r="AP12" s="59">
        <f>'C1-Incomes'!AQ14/'C1-Incomes'!$AP14</f>
        <v>0.3227613595812342</v>
      </c>
      <c r="AQ12" s="59">
        <f>'C1-Incomes'!AR14/'C1-Incomes'!$AP14</f>
        <v>0.21131920865237377</v>
      </c>
      <c r="AR12" s="59">
        <f>'C1-Incomes'!AS14/'C1-Incomes'!$AP14</f>
        <v>8.4017138029696209E-2</v>
      </c>
      <c r="AS12" s="59">
        <f>'C1-Incomes'!AT14/'C1-Incomes'!$AP14</f>
        <v>5.6094890296641622E-2</v>
      </c>
      <c r="AT12" s="59">
        <f>'C1-Incomes'!AU14/'C1-Incomes'!$AP14</f>
        <v>2.173277444553038E-2</v>
      </c>
      <c r="AU12" s="59">
        <f>'C1-Incomes'!AV14/'C1-Incomes'!$AP14</f>
        <v>6.136058436691124E-3</v>
      </c>
      <c r="AV12" s="197"/>
      <c r="AW12" s="60"/>
      <c r="AX12" s="59">
        <f>'C1-Incomes'!AY14/'C1-Incomes'!$AX14</f>
        <v>0.32539501728437187</v>
      </c>
      <c r="AY12" s="59">
        <f>'C1-Incomes'!AZ14/'C1-Incomes'!$AX14</f>
        <v>0.21438925862315808</v>
      </c>
      <c r="AZ12" s="59">
        <f>'C1-Incomes'!BA14/'C1-Incomes'!$AX14</f>
        <v>8.711145648007336E-2</v>
      </c>
      <c r="BA12" s="59">
        <f>'C1-Incomes'!BB14/'C1-Incomes'!$AX14</f>
        <v>5.8588580060390492E-2</v>
      </c>
      <c r="BB12" s="59">
        <f>'C1-Incomes'!BC14/'C1-Incomes'!$AX14</f>
        <v>2.2990566711907079E-2</v>
      </c>
      <c r="BC12" s="59">
        <f>'C1-Incomes'!BD14/'C1-Incomes'!$AX14</f>
        <v>6.564310968882282E-3</v>
      </c>
      <c r="BD12" s="60"/>
      <c r="BE12" s="60"/>
      <c r="BF12" s="59">
        <f>'C1-Incomes'!BG14/'C1-Incomes'!$BF14</f>
        <v>0.32525823969307499</v>
      </c>
      <c r="BG12" s="59">
        <f>'C1-Incomes'!BH14/'C1-Incomes'!$BF14</f>
        <v>0.21435820410571702</v>
      </c>
      <c r="BH12" s="59">
        <f>'C1-Incomes'!BI14/'C1-Incomes'!$BF14</f>
        <v>8.704984698727164E-2</v>
      </c>
      <c r="BI12" s="59">
        <f>'C1-Incomes'!BJ14/'C1-Incomes'!$BF14</f>
        <v>5.8529029371103297E-2</v>
      </c>
      <c r="BJ12" s="59">
        <f>'C1-Incomes'!BK14/'C1-Incomes'!$BF14</f>
        <v>2.2955090958358466E-2</v>
      </c>
      <c r="BK12" s="59">
        <f>'C1-Incomes'!BL14/'C1-Incomes'!$BF14</f>
        <v>6.5527518597504374E-3</v>
      </c>
      <c r="BL12" s="59"/>
      <c r="BM12" s="59"/>
      <c r="BN12" s="59">
        <f>'C1-Incomes'!BO14/'C1-Incomes'!$BN14</f>
        <v>0.3037539081246402</v>
      </c>
      <c r="BO12" s="59">
        <f>'C1-Incomes'!BP14/'C1-Incomes'!$BN14</f>
        <v>0.19923650966636375</v>
      </c>
      <c r="BP12" s="59">
        <f>'C1-Incomes'!BQ14/'C1-Incomes'!$BN14</f>
        <v>7.9094625499009849E-2</v>
      </c>
      <c r="BQ12" s="59">
        <f>'C1-Incomes'!BR14/'C1-Incomes'!$BN14</f>
        <v>5.4019627282144086E-2</v>
      </c>
      <c r="BR12" s="59">
        <f>'C1-Incomes'!BS14/'C1-Incomes'!$BN14</f>
        <v>2.2639783729762292E-2</v>
      </c>
      <c r="BS12" s="59">
        <f>'C1-Incomes'!BT14/'C1-Incomes'!$BN14</f>
        <v>6.8453967833845249E-3</v>
      </c>
      <c r="BT12" s="59"/>
      <c r="BU12" s="59"/>
      <c r="BV12" s="59">
        <f>'C1-Incomes'!BW14/'C1-Incomes'!$BV14</f>
        <v>0.30671297741070769</v>
      </c>
      <c r="BW12" s="59">
        <f>'C1-Incomes'!BX14/'C1-Incomes'!$BV14</f>
        <v>0.20232860070755834</v>
      </c>
      <c r="BX12" s="59">
        <f>'C1-Incomes'!BY14/'C1-Incomes'!$BV14</f>
        <v>8.1849257384406654E-2</v>
      </c>
      <c r="BY12" s="59">
        <f>'C1-Incomes'!BZ14/'C1-Incomes'!$BV14</f>
        <v>5.6398915598602502E-2</v>
      </c>
      <c r="BZ12" s="59">
        <f>'C1-Incomes'!CA14/'C1-Incomes'!$BV14</f>
        <v>2.4115535552002118E-2</v>
      </c>
      <c r="CA12" s="59">
        <f>'C1-Incomes'!CB14/'C1-Incomes'!$BV14</f>
        <v>7.3481740223545946E-3</v>
      </c>
      <c r="CB12" s="60"/>
      <c r="CC12" s="198"/>
      <c r="CD12" s="59">
        <f>'C1-Incomes'!CE14/'C1-Incomes'!$CD14</f>
        <v>0.33996285430133866</v>
      </c>
      <c r="CE12" s="59">
        <f>'C1-Incomes'!CF14/'C1-Incomes'!$CD14</f>
        <v>0.23912023764803669</v>
      </c>
      <c r="CF12" s="59">
        <f>'C1-Incomes'!CG14/'C1-Incomes'!$CD14</f>
        <v>0.11503125361666532</v>
      </c>
      <c r="CG12" s="59">
        <f>'C1-Incomes'!CH14/'C1-Incomes'!$CD14</f>
        <v>8.5296649067710312E-2</v>
      </c>
      <c r="CH12" s="59">
        <f>'C1-Incomes'!CI14/'C1-Incomes'!$CD14</f>
        <v>4.2529959938035135E-2</v>
      </c>
      <c r="CI12" s="59">
        <f>'C1-Incomes'!CJ14/'C1-Incomes'!$CD14</f>
        <v>1.5456889668775939E-2</v>
      </c>
      <c r="CL12" s="59">
        <f>'C1-Incomes'!CM14/'C1-Incomes'!$CL14</f>
        <v>0.35084747685164686</v>
      </c>
      <c r="CM12" s="59">
        <f>'C1-Incomes'!CN14/'C1-Incomes'!$CL14</f>
        <v>0.25049732947492498</v>
      </c>
      <c r="CN12" s="59">
        <f>'C1-Incomes'!CO14/'C1-Incomes'!$CL14</f>
        <v>0.12537998074218315</v>
      </c>
      <c r="CO12" s="59">
        <f>'C1-Incomes'!CP14/'C1-Incomes'!$CL14</f>
        <v>9.4231053335154066E-2</v>
      </c>
      <c r="CP12" s="59">
        <f>'C1-Incomes'!CQ14/'C1-Incomes'!$CL14</f>
        <v>4.8032363822690417E-2</v>
      </c>
      <c r="CQ12" s="59">
        <f>'C1-Incomes'!CR14/'C1-Incomes'!$CL14</f>
        <v>1.7775054777116741E-2</v>
      </c>
      <c r="CR12" s="59"/>
      <c r="CS12" s="59"/>
      <c r="CT12" s="59">
        <f>'C1-Incomes'!CU14/'C1-Incomes'!$CT14</f>
        <v>0.35622214553592807</v>
      </c>
      <c r="CU12" s="59">
        <f>'C1-Incomes'!CV14/'C1-Incomes'!$CT14</f>
        <v>0.2560792848388766</v>
      </c>
      <c r="CV12" s="59">
        <f>'C1-Incomes'!CW14/'C1-Incomes'!$CT14</f>
        <v>0.1295936630416159</v>
      </c>
      <c r="CW12" s="59">
        <f>'C1-Incomes'!CX14/'C1-Incomes'!$CT14</f>
        <v>9.7569571892012125E-2</v>
      </c>
      <c r="CX12" s="59">
        <f>'C1-Incomes'!CY14/'C1-Incomes'!$CT14</f>
        <v>4.996730336297546E-2</v>
      </c>
      <c r="CY12" s="59">
        <f>'C1-Incomes'!CZ14/'C1-Incomes'!$CT14</f>
        <v>1.8564573620063491E-2</v>
      </c>
      <c r="CZ12" s="59"/>
      <c r="DA12" s="59"/>
      <c r="DB12" s="59">
        <f>'C1-Incomes'!DC14/'C1-Incomes'!$DB14</f>
        <v>0.35762639535673751</v>
      </c>
      <c r="DC12" s="59">
        <f>'C1-Incomes'!DD14/'C1-Incomes'!$DB14</f>
        <v>0.25782301236181987</v>
      </c>
      <c r="DD12" s="59">
        <f>'C1-Incomes'!DE14/'C1-Incomes'!$DB14</f>
        <v>0.13166846415164082</v>
      </c>
      <c r="DE12" s="59">
        <f>'C1-Incomes'!DF14/'C1-Incomes'!$DB14</f>
        <v>9.9448741475856403E-2</v>
      </c>
      <c r="DF12" s="59">
        <f>'C1-Incomes'!DG14/'C1-Incomes'!$DB14</f>
        <v>5.1227618311484188E-2</v>
      </c>
      <c r="DG12" s="59">
        <f>'C1-Incomes'!DH14/'C1-Incomes'!$DB14</f>
        <v>1.91789436584681E-2</v>
      </c>
      <c r="DH12" s="59"/>
      <c r="DI12" s="1039"/>
      <c r="DJ12" s="59">
        <f>'C1-Incomes'!DK14/'C1-Incomes'!$DJ14</f>
        <v>0.35537971454661932</v>
      </c>
      <c r="DK12" s="59">
        <f>'C1-Incomes'!DL14/'C1-Incomes'!$DJ14</f>
        <v>0.25697913938266814</v>
      </c>
      <c r="DL12" s="59">
        <f>'C1-Incomes'!DM14/'C1-Incomes'!$DJ14</f>
        <v>0.13109123805584336</v>
      </c>
      <c r="DM12" s="59">
        <f>'C1-Incomes'!DN14/'C1-Incomes'!$DJ14</f>
        <v>9.8230444426184144E-2</v>
      </c>
      <c r="DN12" s="59">
        <f>'C1-Incomes'!DO14/'C1-Incomes'!$DJ14</f>
        <v>5.0771885406545487E-2</v>
      </c>
      <c r="DO12" s="59">
        <f>'C1-Incomes'!DP14/'C1-Incomes'!$DJ14</f>
        <v>1.8829776451490653E-2</v>
      </c>
      <c r="DP12" s="696"/>
      <c r="DQ12" s="503"/>
      <c r="DR12" s="59">
        <f>'C1-Incomes'!DS14/'C1-Incomes'!$DR14</f>
        <v>0.35410656190506307</v>
      </c>
      <c r="DS12" s="59">
        <f>'C1-Incomes'!DT14/'C1-Incomes'!$DR14</f>
        <v>0.25448707688394995</v>
      </c>
      <c r="DT12" s="59">
        <f>'C1-Incomes'!DU14/'C1-Incomes'!$DR14</f>
        <v>0.12785580497962659</v>
      </c>
      <c r="DU12" s="59">
        <f>'C1-Incomes'!DV14/'C1-Incomes'!$DR14</f>
        <v>9.5454975595901062E-2</v>
      </c>
      <c r="DV12" s="59">
        <f>'C1-Incomes'!DW14/'C1-Incomes'!$DR14</f>
        <v>4.9149741033593167E-2</v>
      </c>
      <c r="DW12" s="59">
        <f>'C1-Incomes'!DX14/'C1-Incomes'!$DR14</f>
        <v>1.8155687509914781E-2</v>
      </c>
      <c r="DX12" s="333"/>
      <c r="DZ12" s="59">
        <f>'C1-Incomes'!EA14/'C1-Incomes'!$DZ14</f>
        <v>0.34884192551926457</v>
      </c>
      <c r="EA12" s="59">
        <f>'C1-Incomes'!EB14/'C1-Incomes'!$DZ14</f>
        <v>0.24966046295761266</v>
      </c>
      <c r="EB12" s="59">
        <f>'C1-Incomes'!EC14/'C1-Incomes'!$DZ14</f>
        <v>0.12479285510344208</v>
      </c>
      <c r="EC12" s="59">
        <f>'C1-Incomes'!ED14/'C1-Incomes'!$DZ14</f>
        <v>9.3083238769623836E-2</v>
      </c>
      <c r="ED12" s="59">
        <f>'C1-Incomes'!EE14/'C1-Incomes'!$DZ14</f>
        <v>4.7887178963277696E-2</v>
      </c>
      <c r="EE12" s="59">
        <f>'C1-Incomes'!EF14/'C1-Incomes'!$DZ14</f>
        <v>1.7684352196056526E-2</v>
      </c>
      <c r="EF12" s="59"/>
      <c r="EH12" s="59">
        <f>'C1-Incomes'!EI14/'C1-Incomes'!$EH14</f>
        <v>0.34771421166566668</v>
      </c>
      <c r="EI12" s="59">
        <f>'C1-Incomes'!EJ14/'C1-Incomes'!$EH14</f>
        <v>0.24775628553897361</v>
      </c>
      <c r="EJ12" s="59">
        <f>'C1-Incomes'!EK14/'C1-Incomes'!$EH14</f>
        <v>0.12290916021977369</v>
      </c>
      <c r="EK12" s="59">
        <f>'C1-Incomes'!EL14/'C1-Incomes'!$EH14</f>
        <v>9.1588214192351497E-2</v>
      </c>
      <c r="EL12" s="59">
        <f>'C1-Incomes'!EM14/'C1-Incomes'!$EH14</f>
        <v>4.7078034005808782E-2</v>
      </c>
      <c r="EM12" s="59">
        <f>'C1-Incomes'!EN14/'C1-Incomes'!$EH14</f>
        <v>1.7378411845380932E-2</v>
      </c>
      <c r="EN12" s="59"/>
      <c r="EO12" s="59"/>
      <c r="EP12" s="59">
        <f>'C1-Incomes'!EQ14/'C1-Incomes'!$EH14</f>
        <v>0.35640392251649849</v>
      </c>
      <c r="EQ12" s="59">
        <f>'C1-Incomes'!ER14/'C1-Incomes'!$EH14</f>
        <v>0.25239889990742614</v>
      </c>
      <c r="ER12" s="59">
        <f>'C1-Incomes'!ES14/'C1-Incomes'!$EH14</f>
        <v>0.12399966001495828</v>
      </c>
      <c r="ES12" s="59">
        <f>'C1-Incomes'!ET14/'C1-Incomes'!$EH14</f>
        <v>9.2210307552090906E-2</v>
      </c>
      <c r="ET12" s="59">
        <f>'C1-Incomes'!EU14/'C1-Incomes'!$EH14</f>
        <v>4.7349837760420371E-2</v>
      </c>
      <c r="EU12" s="59">
        <f>'C1-Incomes'!EV14/'C1-Incomes'!$EH14</f>
        <v>1.7403331426579474E-2</v>
      </c>
      <c r="EV12" s="59"/>
      <c r="EW12" s="59"/>
      <c r="EX12" s="59">
        <f>'C1-Incomes'!EY14/'C1-Incomes'!$EX14</f>
        <v>0.3386106099487613</v>
      </c>
      <c r="EY12" s="59">
        <f>'C1-Incomes'!EZ14/'C1-Incomes'!$EX14</f>
        <v>0.23793449356591906</v>
      </c>
      <c r="EZ12" s="59">
        <f>'C1-Incomes'!FA14/'C1-Incomes'!$EX14</f>
        <v>0.11515736868552763</v>
      </c>
      <c r="FA12" s="59">
        <f>'C1-Incomes'!FB14/'C1-Incomes'!$EX14</f>
        <v>8.5173935219837654E-2</v>
      </c>
      <c r="FB12" s="59">
        <f>'C1-Incomes'!FC14/'C1-Incomes'!$EX14</f>
        <v>4.3490570842070989E-2</v>
      </c>
      <c r="FC12" s="59">
        <f>'C1-Incomes'!FD14/'C1-Incomes'!$EX14</f>
        <v>1.5954115457736263E-2</v>
      </c>
      <c r="FD12" s="59"/>
      <c r="FF12" s="59">
        <f>'C1-Incomes'!FG14/'C1-Incomes'!$FF14</f>
        <v>0.33092698761542522</v>
      </c>
      <c r="FG12" s="59">
        <f>'C1-Incomes'!FH14/'C1-Incomes'!$FF14</f>
        <v>0.23251027832245666</v>
      </c>
      <c r="FH12" s="59">
        <f>'C1-Incomes'!FI14/'C1-Incomes'!$FF14</f>
        <v>0.11233517203049642</v>
      </c>
      <c r="FI12" s="59">
        <f>'C1-Incomes'!FJ14/'C1-Incomes'!$FF14</f>
        <v>8.3008665642725479E-2</v>
      </c>
      <c r="FJ12" s="59">
        <f>'C1-Incomes'!FK14/'C1-Incomes'!$FF14</f>
        <v>4.2299023495600878E-2</v>
      </c>
      <c r="FK12" s="59">
        <f>'C1-Incomes'!FL14/'C1-Incomes'!$FF14</f>
        <v>1.5507139232676935E-2</v>
      </c>
      <c r="FN12" s="59">
        <f>'C1-Incomes'!FO14/'C1-Incomes'!$FN14</f>
        <v>0.33013067065708146</v>
      </c>
      <c r="FO12" s="59">
        <f>'C1-Incomes'!FP14/'C1-Incomes'!$FN14</f>
        <v>0.23192367336872646</v>
      </c>
      <c r="FP12" s="59">
        <f>'C1-Incomes'!FQ14/'C1-Incomes'!$FN14</f>
        <v>0.11204715047850979</v>
      </c>
      <c r="FQ12" s="59">
        <f>'C1-Incomes'!FR14/'C1-Incomes'!$FN14</f>
        <v>8.2795187489112257E-2</v>
      </c>
      <c r="FR12" s="59">
        <f>'C1-Incomes'!FS14/'C1-Incomes'!$FN14</f>
        <v>4.2190082648250089E-2</v>
      </c>
      <c r="FS12" s="59">
        <f>'C1-Incomes'!FT14/'C1-Incomes'!$FN14</f>
        <v>1.5467191256858335E-2</v>
      </c>
      <c r="FV12" s="59">
        <f>'C1-Incomes'!FW14/'C1-Incomes'!$FV14</f>
        <v>0.32654000039901193</v>
      </c>
      <c r="FW12" s="59">
        <f>'C1-Incomes'!FX14/'C1-Incomes'!$FV14</f>
        <v>0.22927197742445393</v>
      </c>
      <c r="FX12" s="59">
        <f>'C1-Incomes'!FY14/'C1-Incomes'!$FV14</f>
        <v>0.11067576854798181</v>
      </c>
      <c r="FY12" s="59">
        <f>'C1-Incomes'!FZ14/'C1-Incomes'!$FV14</f>
        <v>8.176659000891609E-2</v>
      </c>
      <c r="FZ12" s="59">
        <f>'C1-Incomes'!GA14/'C1-Incomes'!$FV14</f>
        <v>4.1656065689787802E-2</v>
      </c>
      <c r="GA12" s="59">
        <f>'C1-Incomes'!GB14/'C1-Incomes'!$FV14</f>
        <v>1.5269716234642378E-2</v>
      </c>
      <c r="GE12" s="59">
        <f>'C1-Incomes'!GF14/'C1-Incomes'!$GE14</f>
        <v>0.32632761958745554</v>
      </c>
      <c r="GF12" s="59">
        <f>'C1-Incomes'!GG14/'C1-Incomes'!$GE14</f>
        <v>0.22911269105599666</v>
      </c>
      <c r="GG12" s="59">
        <f>'C1-Incomes'!GH14/'C1-Incomes'!$GE14</f>
        <v>0.11059313625780118</v>
      </c>
      <c r="GH12" s="59">
        <f>'C1-Incomes'!GI14/'C1-Incomes'!$GE14</f>
        <v>8.1745724442452913E-2</v>
      </c>
      <c r="GI12" s="59">
        <f>'C1-Incomes'!GJ14/'C1-Incomes'!$GE14</f>
        <v>4.1620162502942509E-2</v>
      </c>
      <c r="GJ12" s="59">
        <f>'C1-Incomes'!GK14/'C1-Incomes'!$GE14</f>
        <v>1.5256076252670487E-2</v>
      </c>
      <c r="GM12" s="59">
        <f>'C1-Incomes'!GN14/'C1-Incomes'!$GM14</f>
        <v>0.32462026225241625</v>
      </c>
      <c r="GN12" s="59">
        <f>'C1-Incomes'!GO14/'C1-Incomes'!$GM14</f>
        <v>0.22791396557232607</v>
      </c>
      <c r="GO12" s="59">
        <f>'C1-Incomes'!GP14/'C1-Incomes'!$GM14</f>
        <v>0.11001450916324675</v>
      </c>
      <c r="GP12" s="59">
        <f>'C1-Incomes'!GQ14/'C1-Incomes'!$GM14</f>
        <v>8.1318027999193326E-2</v>
      </c>
      <c r="GQ12" s="59">
        <f>'C1-Incomes'!GR14/'C1-Incomes'!$GM14</f>
        <v>4.1402404380523207E-2</v>
      </c>
      <c r="GR12" s="59">
        <f>'C1-Incomes'!GS14/'C1-Incomes'!$GM14</f>
        <v>1.5176255936735095E-2</v>
      </c>
      <c r="GU12" s="59">
        <f>'C1-Incomes'!GV14/'C1-Incomes'!$GU14</f>
        <v>0.30682611078693789</v>
      </c>
      <c r="GV12" s="59">
        <f>'C1-Incomes'!GW14/'C1-Incomes'!$GU14</f>
        <v>0.21296312491032132</v>
      </c>
      <c r="GW12" s="59">
        <f>'C1-Incomes'!GX14/'C1-Incomes'!$GU14</f>
        <v>0.10138137429953822</v>
      </c>
      <c r="GX12" s="59">
        <f>'C1-Incomes'!GY14/'C1-Incomes'!$GU14</f>
        <v>7.4586196271577962E-2</v>
      </c>
      <c r="GY12" s="59">
        <f>'C1-Incomes'!GZ14/'C1-Incomes'!$GU14</f>
        <v>3.7382022542999084E-2</v>
      </c>
      <c r="GZ12" s="59">
        <f>'C1-Incomes'!HA14/'C1-Incomes'!$GU14</f>
        <v>1.3637307578925145E-2</v>
      </c>
      <c r="HC12" s="59">
        <f>'C1-Incomes'!HD14/'C1-Incomes'!$HC14</f>
        <v>0.30511442505866498</v>
      </c>
      <c r="HD12" s="59">
        <f>'C1-Incomes'!HE14/'C1-Incomes'!$HC14</f>
        <v>0.21139573242989387</v>
      </c>
      <c r="HE12" s="59">
        <f>'C1-Incomes'!HF14/'C1-Incomes'!$HC14</f>
        <v>0.1003032554736136</v>
      </c>
      <c r="HF12" s="59">
        <f>'C1-Incomes'!HG14/'C1-Incomes'!$HC14</f>
        <v>7.3786598505551929E-2</v>
      </c>
      <c r="HG12" s="59">
        <f>'C1-Incomes'!HH14/'C1-Incomes'!$HC14</f>
        <v>3.6984251158894324E-2</v>
      </c>
      <c r="HH12" s="59">
        <f>'C1-Incomes'!HI14/'C1-Incomes'!$HC14</f>
        <v>1.3495070568124027E-2</v>
      </c>
      <c r="HK12" s="59">
        <f>'C1-Incomes'!HL14/'C1-Incomes'!$HK14</f>
        <v>0.29454946359539441</v>
      </c>
      <c r="HL12" s="59">
        <f>'C1-Incomes'!HM14/'C1-Incomes'!$HK14</f>
        <v>0.20052823949050128</v>
      </c>
      <c r="HM12" s="59">
        <f>'C1-Incomes'!HN14/'C1-Incomes'!$HK14</f>
        <v>9.0452503677506596E-2</v>
      </c>
      <c r="HN12" s="59">
        <f>'C1-Incomes'!HO14/'C1-Incomes'!$HK14</f>
        <v>6.5657163446483854E-2</v>
      </c>
      <c r="HO12" s="59">
        <f>'C1-Incomes'!HP14/'C1-Incomes'!$HK14</f>
        <v>3.201825674814783E-2</v>
      </c>
      <c r="HP12" s="59">
        <f>'C1-Incomes'!HQ14/'C1-Incomes'!$HK14</f>
        <v>1.1478020643092807E-2</v>
      </c>
      <c r="HS12" s="59">
        <f>'C1-Incomes'!HT14/'C1-Incomes'!$HS14</f>
        <v>0.28828851032141928</v>
      </c>
      <c r="HT12" s="59">
        <f>'C1-Incomes'!HU14/'C1-Incomes'!$HS14</f>
        <v>0.19500011225051572</v>
      </c>
      <c r="HU12" s="59">
        <f>'C1-Incomes'!HV14/'C1-Incomes'!$HS14</f>
        <v>8.6753890395539379E-2</v>
      </c>
      <c r="HV12" s="59">
        <f>'C1-Incomes'!HW14/'C1-Incomes'!$HS14</f>
        <v>6.2842591203502801E-2</v>
      </c>
      <c r="HW12" s="59">
        <f>'C1-Incomes'!HX14/'C1-Incomes'!$HS14</f>
        <v>3.0380627701313594E-2</v>
      </c>
      <c r="HX12" s="59">
        <f>'C1-Incomes'!HY14/'C1-Incomes'!$HS14</f>
        <v>1.0856628749118762E-2</v>
      </c>
      <c r="IA12" s="59">
        <f>'C1-Incomes'!IB14/'C1-Incomes'!$IA14</f>
        <v>0.29400594624471116</v>
      </c>
      <c r="IB12" s="59">
        <f>'C1-Incomes'!IC14/'C1-Incomes'!$IA14</f>
        <v>0.20033759390578867</v>
      </c>
      <c r="IC12" s="59">
        <f>'C1-Incomes'!ID14/'C1-Incomes'!$IA14</f>
        <v>9.0640462734045649E-2</v>
      </c>
      <c r="ID12" s="59">
        <f>'C1-Incomes'!IE14/'C1-Incomes'!$IA14</f>
        <v>6.5836982129048649E-2</v>
      </c>
      <c r="IE12" s="59">
        <f>'C1-Incomes'!IF14/'C1-Incomes'!$IA14</f>
        <v>3.188855376805548E-2</v>
      </c>
      <c r="IF12" s="59">
        <f>'C1-Incomes'!IG14/'C1-Incomes'!$IA14</f>
        <v>1.1408668522831169E-2</v>
      </c>
      <c r="II12" s="59">
        <f>'C1-Incomes'!IJ14/'C1-Incomes'!$II14</f>
        <v>0.29632911462309186</v>
      </c>
      <c r="IJ12" s="59">
        <f>'C1-Incomes'!IK14/'C1-Incomes'!$II14</f>
        <v>0.20325807681582778</v>
      </c>
      <c r="IK12" s="59">
        <f>'C1-Incomes'!IL14/'C1-Incomes'!$II14</f>
        <v>9.3183245193234551E-2</v>
      </c>
      <c r="IL12" s="59">
        <f>'C1-Incomes'!IM14/'C1-Incomes'!$II14</f>
        <v>6.7981747334320289E-2</v>
      </c>
      <c r="IM12" s="59">
        <f>'C1-Incomes'!IN14/'C1-Incomes'!$II14</f>
        <v>3.3109302456435272E-2</v>
      </c>
      <c r="IN12" s="59">
        <f>'C1-Incomes'!IO14/'C1-Incomes'!$II14</f>
        <v>1.1893486758580167E-2</v>
      </c>
      <c r="IQ12" s="59">
        <f>'C1-Incomes'!IR14/'C1-Incomes'!$IQ14</f>
        <v>0.30121506601342729</v>
      </c>
      <c r="IR12" s="59">
        <f>'C1-Incomes'!IS14/'C1-Incomes'!$IQ14</f>
        <v>0.20783732529504226</v>
      </c>
      <c r="IS12" s="59">
        <f>'C1-Incomes'!IT14/'C1-Incomes'!$IQ14</f>
        <v>9.6633424270870891E-2</v>
      </c>
      <c r="IT12" s="59">
        <f>'C1-Incomes'!IU14/'C1-Incomes'!$IQ14</f>
        <v>7.0799411814413696E-2</v>
      </c>
      <c r="IU12" s="59">
        <f>'C1-Incomes'!IV14/'C1-Incomes'!$IQ14</f>
        <v>3.4801380595678562E-2</v>
      </c>
      <c r="IV12" s="59">
        <f>'C1-Incomes'!IW14/'C1-Incomes'!$IQ14</f>
        <v>1.2543979439555425E-2</v>
      </c>
      <c r="IY12" s="59">
        <f>'C1-Incomes'!IZ14/'C1-Incomes'!$IY14</f>
        <v>0.28118627521281209</v>
      </c>
      <c r="IZ12" s="59">
        <f>'C1-Incomes'!JA14/'C1-Incomes'!$IY14</f>
        <v>0.19222631375439053</v>
      </c>
      <c r="JA12" s="59">
        <f>'C1-Incomes'!JB14/'C1-Incomes'!$IY14</f>
        <v>8.8448156715799003E-2</v>
      </c>
      <c r="JB12" s="59">
        <f>'C1-Incomes'!JC14/'C1-Incomes'!$IY14</f>
        <v>6.4512273049843347E-2</v>
      </c>
      <c r="JC12" s="59">
        <f>'C1-Incomes'!JD14/'C1-Incomes'!$IY14</f>
        <v>3.16142780699704E-2</v>
      </c>
      <c r="JD12" s="59">
        <f>'C1-Incomes'!JE14/'C1-Incomes'!$IY14</f>
        <v>1.1368414278296528E-2</v>
      </c>
      <c r="JE12" s="197"/>
      <c r="JF12" s="197"/>
      <c r="JG12" s="197"/>
      <c r="JH12" s="197"/>
      <c r="JI12" s="197"/>
      <c r="JJ12" s="197"/>
      <c r="JK12" s="197"/>
      <c r="JL12" s="197"/>
      <c r="JM12" s="197"/>
      <c r="JN12" s="197"/>
      <c r="JO12" s="197"/>
      <c r="JP12" s="197"/>
      <c r="JQ12" s="197"/>
      <c r="JR12" s="197"/>
      <c r="JS12" s="197"/>
      <c r="JT12" s="197"/>
      <c r="JU12" s="197"/>
      <c r="JV12" s="197"/>
      <c r="JW12" s="197"/>
      <c r="JX12" s="197"/>
      <c r="JY12" s="197"/>
      <c r="JZ12" s="197"/>
      <c r="KA12" s="197"/>
      <c r="KB12" s="197"/>
      <c r="KC12" s="197"/>
      <c r="KD12" s="197"/>
      <c r="KE12" s="197"/>
      <c r="KF12" s="197"/>
      <c r="KG12" s="197"/>
      <c r="KH12" s="197"/>
      <c r="KI12" s="197"/>
      <c r="KJ12" s="197"/>
      <c r="KK12" s="197"/>
      <c r="KL12" s="197"/>
      <c r="KM12" s="197"/>
      <c r="KN12" s="197"/>
      <c r="KO12" s="197"/>
      <c r="KP12" s="197"/>
      <c r="KQ12" s="197"/>
      <c r="KR12" s="197"/>
      <c r="KS12" s="197"/>
      <c r="KT12" s="197"/>
      <c r="KU12" s="197"/>
      <c r="KV12" s="197"/>
      <c r="KW12" s="197"/>
      <c r="KX12" s="197"/>
      <c r="KY12" s="197"/>
      <c r="KZ12" s="197"/>
      <c r="LA12" s="197"/>
      <c r="LB12" s="197"/>
      <c r="LC12" s="197"/>
      <c r="LD12" s="197"/>
      <c r="LE12" s="197"/>
      <c r="LF12" s="197"/>
      <c r="LG12" s="197"/>
      <c r="LH12" s="197"/>
      <c r="LI12" s="197"/>
      <c r="LJ12" s="197"/>
      <c r="LK12" s="197"/>
      <c r="LL12" s="197"/>
      <c r="LM12" s="197"/>
      <c r="LN12" s="197"/>
      <c r="LO12" s="197"/>
      <c r="LP12" s="197"/>
      <c r="LQ12" s="197"/>
      <c r="LR12" s="197"/>
      <c r="LS12" s="197"/>
      <c r="LT12" s="197"/>
      <c r="LU12" s="197"/>
      <c r="LV12" s="197"/>
      <c r="LW12" s="197"/>
      <c r="LX12" s="197"/>
      <c r="LY12" s="197"/>
      <c r="LZ12" s="197"/>
      <c r="MA12" s="197"/>
      <c r="MB12" s="197"/>
      <c r="MC12" s="197"/>
      <c r="MD12" s="197"/>
      <c r="ME12" s="197"/>
      <c r="MF12" s="197"/>
      <c r="MG12" s="197"/>
      <c r="MH12" s="197"/>
      <c r="MI12" s="197"/>
      <c r="MJ12" s="197"/>
      <c r="MK12" s="197"/>
      <c r="ML12" s="197"/>
      <c r="MM12" s="197"/>
      <c r="MN12" s="197"/>
      <c r="MO12" s="197"/>
      <c r="MP12" s="197"/>
      <c r="MQ12" s="197"/>
      <c r="MR12" s="197"/>
      <c r="MS12" s="197"/>
      <c r="MT12" s="197"/>
      <c r="MU12" s="197"/>
      <c r="MV12" s="197"/>
      <c r="MW12" s="197"/>
      <c r="MX12" s="197"/>
      <c r="MY12" s="197"/>
      <c r="MZ12" s="197"/>
      <c r="NA12" s="197"/>
      <c r="NB12" s="197"/>
      <c r="NC12" s="197"/>
      <c r="ND12" s="197"/>
      <c r="NE12" s="197"/>
      <c r="NF12" s="197"/>
      <c r="NG12" s="197"/>
      <c r="NH12" s="197"/>
      <c r="NI12" s="197"/>
      <c r="NJ12" s="197"/>
      <c r="NK12" s="197"/>
      <c r="NL12" s="197"/>
      <c r="NM12" s="197"/>
      <c r="NN12" s="197"/>
      <c r="NO12" s="197"/>
      <c r="NP12" s="197"/>
      <c r="NQ12" s="197"/>
      <c r="NR12" s="197"/>
      <c r="NS12" s="197"/>
      <c r="NT12" s="197"/>
      <c r="NU12" s="197"/>
      <c r="NV12" s="197"/>
      <c r="NW12" s="197"/>
      <c r="NX12" s="197"/>
      <c r="NY12" s="197"/>
      <c r="NZ12" s="197"/>
      <c r="OA12" s="197"/>
      <c r="OB12" s="197"/>
      <c r="OC12" s="197"/>
      <c r="OD12" s="197"/>
      <c r="OE12" s="197"/>
      <c r="OF12" s="197"/>
      <c r="OG12" s="197"/>
      <c r="OH12" s="197"/>
      <c r="OI12" s="197"/>
      <c r="OJ12" s="197"/>
      <c r="OK12" s="197"/>
      <c r="OL12" s="197"/>
      <c r="OM12" s="197"/>
      <c r="ON12" s="197"/>
      <c r="OO12" s="197"/>
      <c r="OP12" s="197"/>
      <c r="OQ12" s="197"/>
      <c r="OR12" s="197"/>
      <c r="OS12" s="197"/>
      <c r="OT12" s="197"/>
      <c r="OU12" s="197"/>
      <c r="OV12" s="197"/>
      <c r="OW12" s="197"/>
      <c r="OX12" s="197"/>
      <c r="OY12" s="197"/>
      <c r="OZ12" s="197"/>
      <c r="PA12" s="197"/>
      <c r="PB12" s="197"/>
    </row>
    <row r="13" spans="1:418" s="77" customFormat="1" ht="10.5" customHeight="1" x14ac:dyDescent="0.2">
      <c r="A13" s="48">
        <v>1967</v>
      </c>
      <c r="B13" s="59">
        <f>'C1-Incomes'!C15/'C1-Incomes'!$B15</f>
        <v>0.32137605333696284</v>
      </c>
      <c r="C13" s="59">
        <f>'C1-Incomes'!D15/'C1-Incomes'!$B15</f>
        <v>0.21123657586810393</v>
      </c>
      <c r="D13" s="59">
        <f>'C1-Incomes'!E15/'C1-Incomes'!$B15</f>
        <v>8.4170459087170538E-2</v>
      </c>
      <c r="E13" s="59">
        <f>'C1-Incomes'!F15/'C1-Incomes'!$B15</f>
        <v>5.6132710447424787E-2</v>
      </c>
      <c r="F13" s="59">
        <f>'C1-Incomes'!G15/'C1-Incomes'!$B15</f>
        <v>2.1489150595687317E-2</v>
      </c>
      <c r="G13" s="59">
        <f>'C1-Incomes'!H15/'C1-Incomes'!$B15</f>
        <v>5.9246852267808847E-3</v>
      </c>
      <c r="H13" s="199"/>
      <c r="J13" s="59">
        <f>'C1-Incomes'!K15/'C1-Incomes'!$J15</f>
        <v>0.33724544195553463</v>
      </c>
      <c r="K13" s="59">
        <f>'C1-Incomes'!L15/'C1-Incomes'!$J15</f>
        <v>0.23586399163760027</v>
      </c>
      <c r="L13" s="59">
        <f>'C1-Incomes'!M15/'C1-Incomes'!$J15</f>
        <v>0.11224971747213815</v>
      </c>
      <c r="M13" s="59">
        <f>'C1-Incomes'!N15/'C1-Incomes'!$J15</f>
        <v>8.3069519532102232E-2</v>
      </c>
      <c r="N13" s="59">
        <f>'C1-Incomes'!O15/'C1-Incomes'!$J15</f>
        <v>4.143309667044285E-2</v>
      </c>
      <c r="O13" s="59">
        <f>'C1-Incomes'!P15/'C1-Incomes'!$J15</f>
        <v>1.4946816378779582E-2</v>
      </c>
      <c r="P13" s="59"/>
      <c r="R13" s="59">
        <f>'C1-Incomes'!S15/'C1-Incomes'!$R15</f>
        <v>0.32151894643991635</v>
      </c>
      <c r="S13" s="59">
        <f>'C1-Incomes'!T15/'C1-Incomes'!$R15</f>
        <v>0.22450541726770565</v>
      </c>
      <c r="T13" s="59">
        <f>'C1-Incomes'!U15/'C1-Incomes'!$R15</f>
        <v>0.10666714511172948</v>
      </c>
      <c r="U13" s="59">
        <f>'C1-Incomes'!V15/'C1-Incomes'!$R15</f>
        <v>7.871687538287378E-2</v>
      </c>
      <c r="V13" s="59">
        <f>'C1-Incomes'!W15/'C1-Incomes'!$R15</f>
        <v>3.9180159003977137E-2</v>
      </c>
      <c r="W13" s="59">
        <f>'C1-Incomes'!X15/'C1-Incomes'!$R15</f>
        <v>1.411572251893118E-2</v>
      </c>
      <c r="X13" s="59"/>
      <c r="Y13" s="59"/>
      <c r="Z13" s="59">
        <f>'C1-Incomes'!AA15/'C1-Incomes'!$Z15</f>
        <v>0.27332241717965833</v>
      </c>
      <c r="AA13" s="59">
        <f>'C1-Incomes'!AB15/'C1-Incomes'!$Z15</f>
        <v>0.18460311967771045</v>
      </c>
      <c r="AB13" s="59">
        <f>'C1-Incomes'!AC15/'C1-Incomes'!$Z15</f>
        <v>8.153302970705105E-2</v>
      </c>
      <c r="AC13" s="59">
        <f>'C1-Incomes'!AD15/'C1-Incomes'!$Z15</f>
        <v>5.8663152108129717E-2</v>
      </c>
      <c r="AD13" s="59">
        <f>'C1-Incomes'!AE15/'C1-Incomes'!$Z15</f>
        <v>2.8009281234900076E-2</v>
      </c>
      <c r="AE13" s="59">
        <f>'C1-Incomes'!AF15/'C1-Incomes'!$Z15</f>
        <v>9.8310005006156179E-3</v>
      </c>
      <c r="AF13" s="200"/>
      <c r="AG13" s="195"/>
      <c r="AH13" s="59">
        <f>'C1-Incomes'!AI15/'C1-Incomes'!$AH15</f>
        <v>0.32291428892726398</v>
      </c>
      <c r="AI13" s="59">
        <f>'C1-Incomes'!AJ15/'C1-Incomes'!$AH15</f>
        <v>0.21163193956273618</v>
      </c>
      <c r="AJ13" s="59">
        <f>'C1-Incomes'!AK15/'C1-Incomes'!$AH15</f>
        <v>8.4031915520138459E-2</v>
      </c>
      <c r="AK13" s="59">
        <f>'C1-Incomes'!AL15/'C1-Incomes'!$AH15</f>
        <v>5.60268334699578E-2</v>
      </c>
      <c r="AL13" s="59">
        <f>'C1-Incomes'!AM15/'C1-Incomes'!$AH15</f>
        <v>2.1453513514418793E-2</v>
      </c>
      <c r="AM13" s="59">
        <f>'C1-Incomes'!AN15/'C1-Incomes'!$AH15</f>
        <v>5.9223490912710891E-3</v>
      </c>
      <c r="AN13" s="195"/>
      <c r="AO13" s="195"/>
      <c r="AP13" s="59">
        <f>'C1-Incomes'!AQ15/'C1-Incomes'!$AP15</f>
        <v>0.32313829790469761</v>
      </c>
      <c r="AQ13" s="59">
        <f>'C1-Incomes'!AR15/'C1-Incomes'!$AP15</f>
        <v>0.21205501720157946</v>
      </c>
      <c r="AR13" s="59">
        <f>'C1-Incomes'!AS15/'C1-Incomes'!$AP15</f>
        <v>8.461482239701118E-2</v>
      </c>
      <c r="AS13" s="59">
        <f>'C1-Incomes'!AT15/'C1-Incomes'!$AP15</f>
        <v>5.6540558451217568E-2</v>
      </c>
      <c r="AT13" s="59">
        <f>'C1-Incomes'!AU15/'C1-Incomes'!$AP15</f>
        <v>2.179166560600778E-2</v>
      </c>
      <c r="AU13" s="59">
        <f>'C1-Incomes'!AV15/'C1-Incomes'!$AP15</f>
        <v>6.0626871775621496E-3</v>
      </c>
      <c r="AV13" s="197"/>
      <c r="AW13" s="60"/>
      <c r="AX13" s="59">
        <f>'C1-Incomes'!AY15/'C1-Incomes'!$AX15</f>
        <v>0.3257796968385207</v>
      </c>
      <c r="AY13" s="59">
        <f>'C1-Incomes'!AZ15/'C1-Incomes'!$AX15</f>
        <v>0.21511882504816146</v>
      </c>
      <c r="AZ13" s="59">
        <f>'C1-Incomes'!BA15/'C1-Incomes'!$AX15</f>
        <v>8.7681883787068232E-2</v>
      </c>
      <c r="BA13" s="59">
        <f>'C1-Incomes'!BB15/'C1-Incomes'!$AX15</f>
        <v>5.9018372680226548E-2</v>
      </c>
      <c r="BB13" s="59">
        <f>'C1-Incomes'!BC15/'C1-Incomes'!$AX15</f>
        <v>2.305633970424362E-2</v>
      </c>
      <c r="BC13" s="59">
        <f>'C1-Incomes'!BD15/'C1-Incomes'!$AX15</f>
        <v>6.4926574167769226E-3</v>
      </c>
      <c r="BD13" s="60"/>
      <c r="BE13" s="60"/>
      <c r="BF13" s="59">
        <f>'C1-Incomes'!BG15/'C1-Incomes'!$BF15</f>
        <v>0.32560048743614867</v>
      </c>
      <c r="BG13" s="59">
        <f>'C1-Incomes'!BH15/'C1-Incomes'!$BF15</f>
        <v>0.21498497301957667</v>
      </c>
      <c r="BH13" s="59">
        <f>'C1-Incomes'!BI15/'C1-Incomes'!$BF15</f>
        <v>8.7589903230738411E-2</v>
      </c>
      <c r="BI13" s="59">
        <f>'C1-Incomes'!BJ15/'C1-Incomes'!$BF15</f>
        <v>5.8946582754503339E-2</v>
      </c>
      <c r="BJ13" s="59">
        <f>'C1-Incomes'!BK15/'C1-Incomes'!$BF15</f>
        <v>2.2986982754589231E-2</v>
      </c>
      <c r="BK13" s="59">
        <f>'C1-Incomes'!BL15/'C1-Incomes'!$BF15</f>
        <v>6.4659733622884404E-3</v>
      </c>
      <c r="BL13" s="59"/>
      <c r="BM13" s="59"/>
      <c r="BN13" s="59">
        <f>'C1-Incomes'!BO15/'C1-Incomes'!$BN15</f>
        <v>0.30478307705512891</v>
      </c>
      <c r="BO13" s="59">
        <f>'C1-Incomes'!BP15/'C1-Incomes'!$BN15</f>
        <v>0.19996245144545549</v>
      </c>
      <c r="BP13" s="59">
        <f>'C1-Incomes'!BQ15/'C1-Incomes'!$BN15</f>
        <v>7.9345653690986118E-2</v>
      </c>
      <c r="BQ13" s="59">
        <f>'C1-Incomes'!BR15/'C1-Incomes'!$BN15</f>
        <v>5.4132865276041803E-2</v>
      </c>
      <c r="BR13" s="59">
        <f>'C1-Incomes'!BS15/'C1-Incomes'!$BN15</f>
        <v>2.2597233243159747E-2</v>
      </c>
      <c r="BS13" s="59">
        <f>'C1-Incomes'!BT15/'C1-Incomes'!$BN15</f>
        <v>6.7400461752461591E-3</v>
      </c>
      <c r="BT13" s="59"/>
      <c r="BU13" s="59"/>
      <c r="BV13" s="59">
        <f>'C1-Incomes'!BW15/'C1-Incomes'!$BV15</f>
        <v>0.30764720210178309</v>
      </c>
      <c r="BW13" s="59">
        <f>'C1-Incomes'!BX15/'C1-Incomes'!$BV15</f>
        <v>0.20266195554243938</v>
      </c>
      <c r="BX13" s="59">
        <f>'C1-Incomes'!BY15/'C1-Incomes'!$BV15</f>
        <v>8.1902669150399454E-2</v>
      </c>
      <c r="BY13" s="59">
        <f>'C1-Incomes'!BZ15/'C1-Incomes'!$BV15</f>
        <v>5.642788850147077E-2</v>
      </c>
      <c r="BZ13" s="59">
        <f>'C1-Incomes'!CA15/'C1-Incomes'!$BV15</f>
        <v>2.3935974037608526E-2</v>
      </c>
      <c r="CA13" s="59">
        <f>'C1-Incomes'!CB15/'C1-Incomes'!$BV15</f>
        <v>7.2882859729231676E-3</v>
      </c>
      <c r="CB13" s="60"/>
      <c r="CC13" s="198"/>
      <c r="CD13" s="59">
        <f>'C1-Incomes'!CE15/'C1-Incomes'!$CD15</f>
        <v>0.33780351903209765</v>
      </c>
      <c r="CE13" s="59">
        <f>'C1-Incomes'!CF15/'C1-Incomes'!$CD15</f>
        <v>0.23557169810679573</v>
      </c>
      <c r="CF13" s="59">
        <f>'C1-Incomes'!CG15/'C1-Incomes'!$CD15</f>
        <v>0.11161215954593177</v>
      </c>
      <c r="CG13" s="59">
        <f>'C1-Incomes'!CH15/'C1-Incomes'!$CD15</f>
        <v>8.1855539697124627E-2</v>
      </c>
      <c r="CH13" s="59">
        <f>'C1-Incomes'!CI15/'C1-Incomes'!$CD15</f>
        <v>4.0167764454395544E-2</v>
      </c>
      <c r="CI13" s="59">
        <f>'C1-Incomes'!CJ15/'C1-Incomes'!$CD15</f>
        <v>1.4200882934042187E-2</v>
      </c>
      <c r="CL13" s="59">
        <f>'C1-Incomes'!CM15/'C1-Incomes'!$CL15</f>
        <v>0.34858908682651341</v>
      </c>
      <c r="CM13" s="59">
        <f>'C1-Incomes'!CN15/'C1-Incomes'!$CL15</f>
        <v>0.24701062001452564</v>
      </c>
      <c r="CN13" s="59">
        <f>'C1-Incomes'!CO15/'C1-Incomes'!$CL15</f>
        <v>0.12141001965135181</v>
      </c>
      <c r="CO13" s="59">
        <f>'C1-Incomes'!CP15/'C1-Incomes'!$CL15</f>
        <v>9.0758513731388518E-2</v>
      </c>
      <c r="CP13" s="59">
        <f>'C1-Incomes'!CQ15/'C1-Incomes'!$CL15</f>
        <v>4.5563430202419888E-2</v>
      </c>
      <c r="CQ13" s="59">
        <f>'C1-Incomes'!CR15/'C1-Incomes'!$CL15</f>
        <v>1.6435553673869657E-2</v>
      </c>
      <c r="CR13" s="59"/>
      <c r="CS13" s="59"/>
      <c r="CT13" s="59">
        <f>'C1-Incomes'!CU15/'C1-Incomes'!$CT15</f>
        <v>0.35435237272668718</v>
      </c>
      <c r="CU13" s="59">
        <f>'C1-Incomes'!CV15/'C1-Incomes'!$CT15</f>
        <v>0.25308919007673619</v>
      </c>
      <c r="CV13" s="59">
        <f>'C1-Incomes'!CW15/'C1-Incomes'!$CT15</f>
        <v>0.12611779227687336</v>
      </c>
      <c r="CW13" s="59">
        <f>'C1-Incomes'!CX15/'C1-Incomes'!$CT15</f>
        <v>9.4668347467679437E-2</v>
      </c>
      <c r="CX13" s="59">
        <f>'C1-Incomes'!CY15/'C1-Incomes'!$CT15</f>
        <v>4.7815412533871268E-2</v>
      </c>
      <c r="CY13" s="59">
        <f>'C1-Incomes'!CZ15/'C1-Incomes'!$CT15</f>
        <v>1.7330199702221747E-2</v>
      </c>
      <c r="CZ13" s="59"/>
      <c r="DA13" s="59"/>
      <c r="DB13" s="59">
        <f>'C1-Incomes'!DC15/'C1-Incomes'!$DB15</f>
        <v>0.35622814242147394</v>
      </c>
      <c r="DC13" s="59">
        <f>'C1-Incomes'!DD15/'C1-Incomes'!$DB15</f>
        <v>0.25519891829348085</v>
      </c>
      <c r="DD13" s="59">
        <f>'C1-Incomes'!DE15/'C1-Incomes'!$DB15</f>
        <v>0.12822203217910291</v>
      </c>
      <c r="DE13" s="59">
        <f>'C1-Incomes'!DF15/'C1-Incomes'!$DB15</f>
        <v>9.672582640949845E-2</v>
      </c>
      <c r="DF13" s="59">
        <f>'C1-Incomes'!DG15/'C1-Incomes'!$DB15</f>
        <v>4.9083351585898126E-2</v>
      </c>
      <c r="DG13" s="59">
        <f>'C1-Incomes'!DH15/'C1-Incomes'!$DB15</f>
        <v>1.7940485847586739E-2</v>
      </c>
      <c r="DH13" s="59"/>
      <c r="DI13" s="1039"/>
      <c r="DJ13" s="59">
        <f>'C1-Incomes'!DK15/'C1-Incomes'!$DJ15</f>
        <v>0.35450475614732607</v>
      </c>
      <c r="DK13" s="59">
        <f>'C1-Incomes'!DL15/'C1-Incomes'!$DJ15</f>
        <v>0.25497634080091469</v>
      </c>
      <c r="DL13" s="59">
        <f>'C1-Incomes'!DM15/'C1-Incomes'!$DJ15</f>
        <v>0.12754766889231731</v>
      </c>
      <c r="DM13" s="59">
        <f>'C1-Incomes'!DN15/'C1-Incomes'!$DJ15</f>
        <v>9.5293072536188017E-2</v>
      </c>
      <c r="DN13" s="59">
        <f>'C1-Incomes'!DO15/'C1-Incomes'!$DJ15</f>
        <v>4.8258198550219032E-2</v>
      </c>
      <c r="DO13" s="59">
        <f>'C1-Incomes'!DP15/'C1-Incomes'!$DJ15</f>
        <v>1.7535571348604586E-2</v>
      </c>
      <c r="DP13" s="696"/>
      <c r="DQ13" s="503"/>
      <c r="DR13" s="59">
        <f>'C1-Incomes'!DS15/'C1-Incomes'!$DR15</f>
        <v>0.35257541482678001</v>
      </c>
      <c r="DS13" s="59">
        <f>'C1-Incomes'!DT15/'C1-Incomes'!$DR15</f>
        <v>0.25284406387108482</v>
      </c>
      <c r="DT13" s="59">
        <f>'C1-Incomes'!DU15/'C1-Incomes'!$DR15</f>
        <v>0.12497406073514186</v>
      </c>
      <c r="DU13" s="59">
        <f>'C1-Incomes'!DV15/'C1-Incomes'!$DR15</f>
        <v>9.3166820104088319E-2</v>
      </c>
      <c r="DV13" s="59">
        <f>'C1-Incomes'!DW15/'C1-Incomes'!$DR15</f>
        <v>4.6972398391396414E-2</v>
      </c>
      <c r="DW13" s="59">
        <f>'C1-Incomes'!DX15/'C1-Incomes'!$DR15</f>
        <v>1.7077743866660437E-2</v>
      </c>
      <c r="DX13" s="333"/>
      <c r="DZ13" s="59">
        <f>'C1-Incomes'!EA15/'C1-Incomes'!$DZ15</f>
        <v>0.34759409363718879</v>
      </c>
      <c r="EA13" s="59">
        <f>'C1-Incomes'!EB15/'C1-Incomes'!$DZ15</f>
        <v>0.24797358503933453</v>
      </c>
      <c r="EB13" s="59">
        <f>'C1-Incomes'!EC15/'C1-Incomes'!$DZ15</f>
        <v>0.12193795236405974</v>
      </c>
      <c r="EC13" s="59">
        <f>'C1-Incomes'!ED15/'C1-Incomes'!$DZ15</f>
        <v>9.0791298804710915E-2</v>
      </c>
      <c r="ED13" s="59">
        <f>'C1-Incomes'!EE15/'C1-Incomes'!$DZ15</f>
        <v>4.573898025695651E-2</v>
      </c>
      <c r="EE13" s="59">
        <f>'C1-Incomes'!EF15/'C1-Incomes'!$DZ15</f>
        <v>1.6625926707258071E-2</v>
      </c>
      <c r="EF13" s="59"/>
      <c r="EH13" s="59">
        <f>'C1-Incomes'!EI15/'C1-Incomes'!$EH15</f>
        <v>0.34645140446760969</v>
      </c>
      <c r="EI13" s="59">
        <f>'C1-Incomes'!EJ15/'C1-Incomes'!$EH15</f>
        <v>0.2458963948187334</v>
      </c>
      <c r="EJ13" s="59">
        <f>'C1-Incomes'!EK15/'C1-Incomes'!$EH15</f>
        <v>0.12006687120545061</v>
      </c>
      <c r="EK13" s="59">
        <f>'C1-Incomes'!EL15/'C1-Incomes'!$EH15</f>
        <v>8.931104173346803E-2</v>
      </c>
      <c r="EL13" s="59">
        <f>'C1-Incomes'!EM15/'C1-Incomes'!$EH15</f>
        <v>4.496536833859624E-2</v>
      </c>
      <c r="EM13" s="59">
        <f>'C1-Incomes'!EN15/'C1-Incomes'!$EH15</f>
        <v>1.6327936391722708E-2</v>
      </c>
      <c r="EN13" s="59"/>
      <c r="EO13" s="59"/>
      <c r="EP13" s="59">
        <f>'C1-Incomes'!EQ15/'C1-Incomes'!$EH15</f>
        <v>0.35576131358873392</v>
      </c>
      <c r="EQ13" s="59">
        <f>'C1-Incomes'!ER15/'C1-Incomes'!$EH15</f>
        <v>0.25058667291959447</v>
      </c>
      <c r="ER13" s="59">
        <f>'C1-Incomes'!ES15/'C1-Incomes'!$EH15</f>
        <v>0.12130534565111153</v>
      </c>
      <c r="ES13" s="59">
        <f>'C1-Incomes'!ET15/'C1-Incomes'!$EH15</f>
        <v>9.0021211221079672E-2</v>
      </c>
      <c r="ET13" s="59">
        <f>'C1-Incomes'!EU15/'C1-Incomes'!$EH15</f>
        <v>4.5167303435254727E-2</v>
      </c>
      <c r="EU13" s="59">
        <f>'C1-Incomes'!EV15/'C1-Incomes'!$EH15</f>
        <v>1.6352700086743423E-2</v>
      </c>
      <c r="EV13" s="59"/>
      <c r="EW13" s="59"/>
      <c r="EX13" s="59">
        <f>'C1-Incomes'!EY15/'C1-Incomes'!$EX15</f>
        <v>0.33724544195553463</v>
      </c>
      <c r="EY13" s="59">
        <f>'C1-Incomes'!EZ15/'C1-Incomes'!$EX15</f>
        <v>0.23586399163760027</v>
      </c>
      <c r="EZ13" s="59">
        <f>'C1-Incomes'!FA15/'C1-Incomes'!$EX15</f>
        <v>0.11224971747213815</v>
      </c>
      <c r="FA13" s="59">
        <f>'C1-Incomes'!FB15/'C1-Incomes'!$EX15</f>
        <v>8.3069519532102232E-2</v>
      </c>
      <c r="FB13" s="59">
        <f>'C1-Incomes'!FC15/'C1-Incomes'!$EX15</f>
        <v>4.143309667044285E-2</v>
      </c>
      <c r="FC13" s="59">
        <f>'C1-Incomes'!FD15/'C1-Incomes'!$EX15</f>
        <v>1.4946816378779582E-2</v>
      </c>
      <c r="FD13" s="59"/>
      <c r="FF13" s="59">
        <f>'C1-Incomes'!FG15/'C1-Incomes'!$FF15</f>
        <v>0.32942257348217541</v>
      </c>
      <c r="FG13" s="59">
        <f>'C1-Incomes'!FH15/'C1-Incomes'!$FF15</f>
        <v>0.23027892766328395</v>
      </c>
      <c r="FH13" s="59">
        <f>'C1-Incomes'!FI15/'C1-Incomes'!$FF15</f>
        <v>0.10942242903564565</v>
      </c>
      <c r="FI13" s="59">
        <f>'C1-Incomes'!FJ15/'C1-Incomes'!$FF15</f>
        <v>8.0908005632995966E-2</v>
      </c>
      <c r="FJ13" s="59">
        <f>'C1-Incomes'!FK15/'C1-Incomes'!$FF15</f>
        <v>4.0284893382598511E-2</v>
      </c>
      <c r="FK13" s="59">
        <f>'C1-Incomes'!FL15/'C1-Incomes'!$FF15</f>
        <v>1.4523314688694198E-2</v>
      </c>
      <c r="FN13" s="59">
        <f>'C1-Incomes'!FO15/'C1-Incomes'!$FN15</f>
        <v>0.32854582407193794</v>
      </c>
      <c r="FO13" s="59">
        <f>'C1-Incomes'!FP15/'C1-Incomes'!$FN15</f>
        <v>0.22963627344856205</v>
      </c>
      <c r="FP13" s="59">
        <f>'C1-Incomes'!FQ15/'C1-Incomes'!$FN15</f>
        <v>0.10911206664747801</v>
      </c>
      <c r="FQ13" s="59">
        <f>'C1-Incomes'!FR15/'C1-Incomes'!$FN15</f>
        <v>8.0677802749858973E-2</v>
      </c>
      <c r="FR13" s="59">
        <f>'C1-Incomes'!FS15/'C1-Incomes'!$FN15</f>
        <v>4.0170102921919845E-2</v>
      </c>
      <c r="FS13" s="59">
        <f>'C1-Incomes'!FT15/'C1-Incomes'!$FN15</f>
        <v>1.4481920712356154E-2</v>
      </c>
      <c r="FV13" s="59">
        <f>'C1-Incomes'!FW15/'C1-Incomes'!$FV15</f>
        <v>0.32470762413048065</v>
      </c>
      <c r="FW13" s="59">
        <f>'C1-Incomes'!FX15/'C1-Incomes'!$FV15</f>
        <v>0.22681578185725018</v>
      </c>
      <c r="FX13" s="59">
        <f>'C1-Incomes'!FY15/'C1-Incomes'!$FV15</f>
        <v>0.10767661993439634</v>
      </c>
      <c r="FY13" s="59">
        <f>'C1-Incomes'!FZ15/'C1-Incomes'!$FV15</f>
        <v>7.9599847857383485E-2</v>
      </c>
      <c r="FZ13" s="59">
        <f>'C1-Incomes'!GA15/'C1-Incomes'!$FV15</f>
        <v>3.9623064254223551E-2</v>
      </c>
      <c r="GA13" s="59">
        <f>'C1-Incomes'!GB15/'C1-Incomes'!$FV15</f>
        <v>1.4282900789021651E-2</v>
      </c>
      <c r="GE13" s="59">
        <f>'C1-Incomes'!GF15/'C1-Incomes'!$GE15</f>
        <v>0.32369389665874476</v>
      </c>
      <c r="GF13" s="59">
        <f>'C1-Incomes'!GG15/'C1-Incomes'!$GE15</f>
        <v>0.22602410881550161</v>
      </c>
      <c r="GG13" s="59">
        <f>'C1-Incomes'!GH15/'C1-Incomes'!$GE15</f>
        <v>0.10738870672783757</v>
      </c>
      <c r="GH13" s="59">
        <f>'C1-Incomes'!GI15/'C1-Incomes'!$GE15</f>
        <v>7.9249364330213207E-2</v>
      </c>
      <c r="GI13" s="59">
        <f>'C1-Incomes'!GJ15/'C1-Incomes'!$GE15</f>
        <v>3.9445197491888941E-2</v>
      </c>
      <c r="GJ13" s="59">
        <f>'C1-Incomes'!GK15/'C1-Incomes'!$GE15</f>
        <v>1.4211209873942178E-2</v>
      </c>
      <c r="GM13" s="59">
        <f>'C1-Incomes'!GN15/'C1-Incomes'!$GM15</f>
        <v>0.32151894643991635</v>
      </c>
      <c r="GN13" s="59">
        <f>'C1-Incomes'!GO15/'C1-Incomes'!$GM15</f>
        <v>0.22450541726770565</v>
      </c>
      <c r="GO13" s="59">
        <f>'C1-Incomes'!GP15/'C1-Incomes'!$GM15</f>
        <v>0.10666714511172948</v>
      </c>
      <c r="GP13" s="59">
        <f>'C1-Incomes'!GQ15/'C1-Incomes'!$GM15</f>
        <v>7.871687538287378E-2</v>
      </c>
      <c r="GQ13" s="59">
        <f>'C1-Incomes'!GR15/'C1-Incomes'!$GM15</f>
        <v>3.9180159003977137E-2</v>
      </c>
      <c r="GR13" s="59">
        <f>'C1-Incomes'!GS15/'C1-Incomes'!$GM15</f>
        <v>1.411572251893118E-2</v>
      </c>
      <c r="GU13" s="59">
        <f>'C1-Incomes'!GV15/'C1-Incomes'!$GU15</f>
        <v>0.30256944230617244</v>
      </c>
      <c r="GV13" s="59">
        <f>'C1-Incomes'!GW15/'C1-Incomes'!$GU15</f>
        <v>0.20851374837026909</v>
      </c>
      <c r="GW13" s="59">
        <f>'C1-Incomes'!GX15/'C1-Incomes'!$GU15</f>
        <v>9.6427665266135859E-2</v>
      </c>
      <c r="GX13" s="59">
        <f>'C1-Incomes'!GY15/'C1-Incomes'!$GU15</f>
        <v>7.0915288785642308E-2</v>
      </c>
      <c r="GY13" s="59">
        <f>'C1-Incomes'!GZ15/'C1-Incomes'!$GU15</f>
        <v>3.4992974373744545E-2</v>
      </c>
      <c r="GZ13" s="59">
        <f>'C1-Incomes'!HA15/'C1-Incomes'!$GU15</f>
        <v>1.2480943288417468E-2</v>
      </c>
      <c r="HC13" s="59">
        <f>'C1-Incomes'!HD15/'C1-Incomes'!$HC15</f>
        <v>0.30113229450153983</v>
      </c>
      <c r="HD13" s="59">
        <f>'C1-Incomes'!HE15/'C1-Incomes'!$HC15</f>
        <v>0.20705426364168067</v>
      </c>
      <c r="HE13" s="59">
        <f>'C1-Incomes'!HF15/'C1-Incomes'!$HC15</f>
        <v>9.5642651725928882E-2</v>
      </c>
      <c r="HF13" s="59">
        <f>'C1-Incomes'!HG15/'C1-Incomes'!$HC15</f>
        <v>7.0273651475936824E-2</v>
      </c>
      <c r="HG13" s="59">
        <f>'C1-Incomes'!HH15/'C1-Incomes'!$HC15</f>
        <v>3.4646787012732001E-2</v>
      </c>
      <c r="HH13" s="59">
        <f>'C1-Incomes'!HI15/'C1-Incomes'!$HC15</f>
        <v>1.2347740858677342E-2</v>
      </c>
      <c r="HK13" s="59">
        <f>'C1-Incomes'!HL15/'C1-Incomes'!$HK15</f>
        <v>0.29060477548898572</v>
      </c>
      <c r="HL13" s="59">
        <f>'C1-Incomes'!HM15/'C1-Incomes'!$HK15</f>
        <v>0.19631077119629214</v>
      </c>
      <c r="HM13" s="59">
        <f>'C1-Incomes'!HN15/'C1-Incomes'!$HK15</f>
        <v>8.6471160405884678E-2</v>
      </c>
      <c r="HN13" s="59">
        <f>'C1-Incomes'!HO15/'C1-Incomes'!$HK15</f>
        <v>6.2171549663978996E-2</v>
      </c>
      <c r="HO13" s="59">
        <f>'C1-Incomes'!HP15/'C1-Incomes'!$HK15</f>
        <v>2.9726715213115856E-2</v>
      </c>
      <c r="HP13" s="59">
        <f>'C1-Incomes'!HQ15/'C1-Incomes'!$HK15</f>
        <v>1.0484012736973813E-2</v>
      </c>
      <c r="HS13" s="59">
        <f>'C1-Incomes'!HT15/'C1-Incomes'!$HS15</f>
        <v>0.28412363657507489</v>
      </c>
      <c r="HT13" s="59">
        <f>'C1-Incomes'!HU15/'C1-Incomes'!$HS15</f>
        <v>0.18997906611527626</v>
      </c>
      <c r="HU13" s="59">
        <f>'C1-Incomes'!HV15/'C1-Incomes'!$HS15</f>
        <v>8.2006263195493034E-2</v>
      </c>
      <c r="HV13" s="59">
        <f>'C1-Incomes'!HW15/'C1-Incomes'!$HS15</f>
        <v>5.8681928030623824E-2</v>
      </c>
      <c r="HW13" s="59">
        <f>'C1-Incomes'!HX15/'C1-Incomes'!$HS15</f>
        <v>2.7740707799855831E-2</v>
      </c>
      <c r="HX13" s="59">
        <f>'C1-Incomes'!HY15/'C1-Incomes'!$HS15</f>
        <v>9.6946871683112057E-3</v>
      </c>
      <c r="IA13" s="59">
        <f>'C1-Incomes'!IB15/'C1-Incomes'!$IA15</f>
        <v>0.29022965583425625</v>
      </c>
      <c r="IB13" s="59">
        <f>'C1-Incomes'!IC15/'C1-Incomes'!$IA15</f>
        <v>0.19579770140655711</v>
      </c>
      <c r="IC13" s="59">
        <f>'C1-Incomes'!ID15/'C1-Incomes'!$IA15</f>
        <v>8.5701231970372882E-2</v>
      </c>
      <c r="ID13" s="59">
        <f>'C1-Incomes'!IE15/'C1-Incomes'!$IA15</f>
        <v>6.1529506321155628E-2</v>
      </c>
      <c r="IE13" s="59">
        <f>'C1-Incomes'!IF15/'C1-Incomes'!$IA15</f>
        <v>2.9183916055682328E-2</v>
      </c>
      <c r="IF13" s="59">
        <f>'C1-Incomes'!IG15/'C1-Incomes'!$IA15</f>
        <v>1.0211127724239552E-2</v>
      </c>
      <c r="II13" s="59">
        <f>'C1-Incomes'!IJ15/'C1-Incomes'!$II15</f>
        <v>0.29243212710410421</v>
      </c>
      <c r="IJ13" s="59">
        <f>'C1-Incomes'!IK15/'C1-Incomes'!$II15</f>
        <v>0.19828770230691248</v>
      </c>
      <c r="IK13" s="59">
        <f>'C1-Incomes'!IL15/'C1-Incomes'!$II15</f>
        <v>8.8030389998766848E-2</v>
      </c>
      <c r="IL13" s="59">
        <f>'C1-Incomes'!IM15/'C1-Incomes'!$II15</f>
        <v>6.3411124937590616E-2</v>
      </c>
      <c r="IM13" s="59">
        <f>'C1-Incomes'!IN15/'C1-Incomes'!$II15</f>
        <v>3.0262000368481191E-2</v>
      </c>
      <c r="IN13" s="59">
        <f>'C1-Incomes'!IO15/'C1-Incomes'!$II15</f>
        <v>1.0631930422701863E-2</v>
      </c>
      <c r="IQ13" s="59">
        <f>'C1-Incomes'!IR15/'C1-Incomes'!$IQ15</f>
        <v>0.29481053611321245</v>
      </c>
      <c r="IR13" s="59">
        <f>'C1-Incomes'!IS15/'C1-Incomes'!$IQ15</f>
        <v>0.20058293694539875</v>
      </c>
      <c r="IS13" s="59">
        <f>'C1-Incomes'!IT15/'C1-Incomes'!$IQ15</f>
        <v>8.9783639919956998E-2</v>
      </c>
      <c r="IT13" s="59">
        <f>'C1-Incomes'!IU15/'C1-Incomes'!$IQ15</f>
        <v>6.4857881392715172E-2</v>
      </c>
      <c r="IU13" s="59">
        <f>'C1-Incomes'!IV15/'C1-Incomes'!$IQ15</f>
        <v>3.1102956670725036E-2</v>
      </c>
      <c r="IV13" s="59">
        <f>'C1-Incomes'!IW15/'C1-Incomes'!$IQ15</f>
        <v>1.0942869654599625E-2</v>
      </c>
      <c r="IY13" s="59">
        <f>'C1-Incomes'!IZ15/'C1-Incomes'!$IY15</f>
        <v>0.27332241717965833</v>
      </c>
      <c r="IZ13" s="59">
        <f>'C1-Incomes'!JA15/'C1-Incomes'!$IY15</f>
        <v>0.18460311967771045</v>
      </c>
      <c r="JA13" s="59">
        <f>'C1-Incomes'!JB15/'C1-Incomes'!$IY15</f>
        <v>8.153302970705105E-2</v>
      </c>
      <c r="JB13" s="59">
        <f>'C1-Incomes'!JC15/'C1-Incomes'!$IY15</f>
        <v>5.8663152108129717E-2</v>
      </c>
      <c r="JC13" s="59">
        <f>'C1-Incomes'!JD15/'C1-Incomes'!$IY15</f>
        <v>2.8009281234900076E-2</v>
      </c>
      <c r="JD13" s="59">
        <f>'C1-Incomes'!JE15/'C1-Incomes'!$IY15</f>
        <v>9.8310005006156179E-3</v>
      </c>
      <c r="JE13" s="197"/>
      <c r="JF13" s="197"/>
      <c r="JG13" s="197"/>
      <c r="JH13" s="197"/>
      <c r="JI13" s="197"/>
      <c r="JJ13" s="197"/>
      <c r="JK13" s="197"/>
      <c r="JL13" s="197"/>
      <c r="JM13" s="197"/>
      <c r="JN13" s="197"/>
      <c r="JO13" s="197"/>
      <c r="JP13" s="197"/>
      <c r="JQ13" s="197"/>
      <c r="JR13" s="197"/>
      <c r="JS13" s="197"/>
      <c r="JT13" s="197"/>
      <c r="JU13" s="197"/>
      <c r="JV13" s="197"/>
      <c r="JW13" s="197"/>
      <c r="JX13" s="197"/>
      <c r="JY13" s="197"/>
      <c r="JZ13" s="197"/>
      <c r="KA13" s="197"/>
      <c r="KB13" s="197"/>
      <c r="KC13" s="197"/>
      <c r="KD13" s="197"/>
      <c r="KE13" s="197"/>
      <c r="KF13" s="197"/>
      <c r="KG13" s="197"/>
      <c r="KH13" s="197"/>
      <c r="KI13" s="197"/>
      <c r="KJ13" s="197"/>
      <c r="KK13" s="197"/>
      <c r="KL13" s="197"/>
      <c r="KM13" s="197"/>
      <c r="KN13" s="197"/>
      <c r="KO13" s="197"/>
      <c r="KP13" s="197"/>
      <c r="KQ13" s="197"/>
      <c r="KR13" s="197"/>
      <c r="KS13" s="197"/>
      <c r="KT13" s="197"/>
      <c r="KU13" s="197"/>
      <c r="KV13" s="197"/>
      <c r="KW13" s="197"/>
      <c r="KX13" s="197"/>
      <c r="KY13" s="197"/>
      <c r="KZ13" s="197"/>
      <c r="LA13" s="197"/>
      <c r="LB13" s="197"/>
      <c r="LC13" s="197"/>
      <c r="LD13" s="197"/>
      <c r="LE13" s="197"/>
      <c r="LF13" s="197"/>
      <c r="LG13" s="197"/>
      <c r="LH13" s="197"/>
      <c r="LI13" s="197"/>
      <c r="LJ13" s="197"/>
      <c r="LK13" s="197"/>
      <c r="LL13" s="197"/>
      <c r="LM13" s="197"/>
      <c r="LN13" s="197"/>
      <c r="LO13" s="197"/>
      <c r="LP13" s="197"/>
      <c r="LQ13" s="197"/>
      <c r="LR13" s="197"/>
      <c r="LS13" s="197"/>
      <c r="LT13" s="197"/>
      <c r="LU13" s="197"/>
      <c r="LV13" s="197"/>
      <c r="LW13" s="197"/>
      <c r="LX13" s="197"/>
      <c r="LY13" s="197"/>
      <c r="LZ13" s="197"/>
      <c r="MA13" s="197"/>
      <c r="MB13" s="197"/>
      <c r="MC13" s="197"/>
      <c r="MD13" s="197"/>
      <c r="ME13" s="197"/>
      <c r="MF13" s="197"/>
      <c r="MG13" s="197"/>
      <c r="MH13" s="197"/>
      <c r="MI13" s="197"/>
      <c r="MJ13" s="197"/>
      <c r="MK13" s="197"/>
      <c r="ML13" s="197"/>
      <c r="MM13" s="197"/>
      <c r="MN13" s="197"/>
      <c r="MO13" s="197"/>
      <c r="MP13" s="197"/>
      <c r="MQ13" s="197"/>
      <c r="MR13" s="197"/>
      <c r="MS13" s="197"/>
      <c r="MT13" s="197"/>
      <c r="MU13" s="197"/>
      <c r="MV13" s="197"/>
      <c r="MW13" s="197"/>
      <c r="MX13" s="197"/>
      <c r="MY13" s="197"/>
      <c r="MZ13" s="197"/>
      <c r="NA13" s="197"/>
      <c r="NB13" s="197"/>
      <c r="NC13" s="197"/>
      <c r="ND13" s="197"/>
      <c r="NE13" s="197"/>
      <c r="NF13" s="197"/>
      <c r="NG13" s="197"/>
      <c r="NH13" s="197"/>
      <c r="NI13" s="197"/>
      <c r="NJ13" s="197"/>
      <c r="NK13" s="197"/>
      <c r="NL13" s="197"/>
      <c r="NM13" s="197"/>
      <c r="NN13" s="197"/>
      <c r="NO13" s="197"/>
      <c r="NP13" s="197"/>
      <c r="NQ13" s="197"/>
      <c r="NR13" s="197"/>
      <c r="NS13" s="197"/>
      <c r="NT13" s="197"/>
      <c r="NU13" s="197"/>
      <c r="NV13" s="197"/>
      <c r="NW13" s="197"/>
      <c r="NX13" s="197"/>
      <c r="NY13" s="197"/>
      <c r="NZ13" s="197"/>
      <c r="OA13" s="197"/>
      <c r="OB13" s="197"/>
      <c r="OC13" s="197"/>
      <c r="OD13" s="197"/>
      <c r="OE13" s="197"/>
      <c r="OF13" s="197"/>
      <c r="OG13" s="197"/>
      <c r="OH13" s="197"/>
      <c r="OI13" s="197"/>
      <c r="OJ13" s="197"/>
      <c r="OK13" s="197"/>
      <c r="OL13" s="197"/>
      <c r="OM13" s="197"/>
      <c r="ON13" s="197"/>
      <c r="OO13" s="197"/>
      <c r="OP13" s="197"/>
      <c r="OQ13" s="197"/>
      <c r="OR13" s="197"/>
      <c r="OS13" s="197"/>
      <c r="OT13" s="197"/>
      <c r="OU13" s="197"/>
      <c r="OV13" s="197"/>
      <c r="OW13" s="197"/>
      <c r="OX13" s="197"/>
      <c r="OY13" s="197"/>
      <c r="OZ13" s="197"/>
      <c r="PA13" s="197"/>
      <c r="PB13" s="197"/>
    </row>
    <row r="14" spans="1:418" s="77" customFormat="1" ht="10.5" customHeight="1" x14ac:dyDescent="0.2">
      <c r="A14" s="48">
        <v>1968</v>
      </c>
      <c r="B14" s="59">
        <f>'C1-Incomes'!C16/'C1-Incomes'!$B16</f>
        <v>0.31997886999096897</v>
      </c>
      <c r="C14" s="59">
        <f>'C1-Incomes'!D16/'C1-Incomes'!$B16</f>
        <v>0.20993547000265647</v>
      </c>
      <c r="D14" s="59">
        <f>'C1-Incomes'!E16/'C1-Incomes'!$B16</f>
        <v>8.3457486933375333E-2</v>
      </c>
      <c r="E14" s="59">
        <f>'C1-Incomes'!F16/'C1-Incomes'!$B16</f>
        <v>5.567573395681133E-2</v>
      </c>
      <c r="F14" s="59">
        <f>'C1-Incomes'!G16/'C1-Incomes'!$B16</f>
        <v>2.1322413599410554E-2</v>
      </c>
      <c r="G14" s="59">
        <f>'C1-Incomes'!H16/'C1-Incomes'!$B16</f>
        <v>5.7623098959648017E-3</v>
      </c>
      <c r="H14" s="199"/>
      <c r="J14" s="59">
        <f>'C1-Incomes'!K16/'C1-Incomes'!$J16</f>
        <v>0.33467599610798704</v>
      </c>
      <c r="K14" s="59">
        <f>'C1-Incomes'!L16/'C1-Incomes'!$J16</f>
        <v>0.23401001488263726</v>
      </c>
      <c r="L14" s="59">
        <f>'C1-Incomes'!M16/'C1-Incomes'!$J16</f>
        <v>0.11145129761914908</v>
      </c>
      <c r="M14" s="59">
        <f>'C1-Incomes'!N16/'C1-Incomes'!$J16</f>
        <v>8.2980990452615297E-2</v>
      </c>
      <c r="N14" s="59">
        <f>'C1-Incomes'!O16/'C1-Incomes'!$J16</f>
        <v>4.1901963530445077E-2</v>
      </c>
      <c r="O14" s="59">
        <f>'C1-Incomes'!P16/'C1-Incomes'!$J16</f>
        <v>1.4749399793000779E-2</v>
      </c>
      <c r="P14" s="59"/>
      <c r="R14" s="59">
        <f>'C1-Incomes'!S16/'C1-Incomes'!$R16</f>
        <v>0.31815538067610644</v>
      </c>
      <c r="S14" s="59">
        <f>'C1-Incomes'!T16/'C1-Incomes'!$R16</f>
        <v>0.22222591463194966</v>
      </c>
      <c r="T14" s="59">
        <f>'C1-Incomes'!U16/'C1-Incomes'!$R16</f>
        <v>0.105470357862509</v>
      </c>
      <c r="U14" s="59">
        <f>'C1-Incomes'!V16/'C1-Incomes'!$R16</f>
        <v>7.8384681392438288E-2</v>
      </c>
      <c r="V14" s="59">
        <f>'C1-Incomes'!W16/'C1-Incomes'!$R16</f>
        <v>3.9498306339737672E-2</v>
      </c>
      <c r="W14" s="59">
        <f>'C1-Incomes'!X16/'C1-Incomes'!$R16</f>
        <v>1.3883376446345772E-2</v>
      </c>
      <c r="X14" s="59"/>
      <c r="Y14" s="59"/>
      <c r="Z14" s="59">
        <f>'C1-Incomes'!AA16/'C1-Incomes'!$Z16</f>
        <v>0.26789364358508194</v>
      </c>
      <c r="AA14" s="59">
        <f>'C1-Incomes'!AB16/'C1-Incomes'!$Z16</f>
        <v>0.18035221729176634</v>
      </c>
      <c r="AB14" s="59">
        <f>'C1-Incomes'!AC16/'C1-Incomes'!$Z16</f>
        <v>7.9426378845157936E-2</v>
      </c>
      <c r="AC14" s="59">
        <f>'C1-Incomes'!AD16/'C1-Incomes'!$Z16</f>
        <v>5.7343407330650596E-2</v>
      </c>
      <c r="AD14" s="59">
        <f>'C1-Incomes'!AE16/'C1-Incomes'!$Z16</f>
        <v>2.7573578136338723E-2</v>
      </c>
      <c r="AE14" s="59">
        <f>'C1-Incomes'!AF16/'C1-Incomes'!$Z16</f>
        <v>9.334990696763237E-3</v>
      </c>
      <c r="AF14" s="200"/>
      <c r="AG14" s="195"/>
      <c r="AH14" s="59">
        <f>'C1-Incomes'!AI16/'C1-Incomes'!$AH16</f>
        <v>0.3217566226899729</v>
      </c>
      <c r="AI14" s="59">
        <f>'C1-Incomes'!AJ16/'C1-Incomes'!$AH16</f>
        <v>0.21046037253510311</v>
      </c>
      <c r="AJ14" s="59">
        <f>'C1-Incomes'!AK16/'C1-Incomes'!$AH16</f>
        <v>8.3331908357056811E-2</v>
      </c>
      <c r="AK14" s="59">
        <f>'C1-Incomes'!AL16/'C1-Incomes'!$AH16</f>
        <v>5.5572442893628567E-2</v>
      </c>
      <c r="AL14" s="59">
        <f>'C1-Incomes'!AM16/'C1-Incomes'!$AH16</f>
        <v>2.1298486468052463E-2</v>
      </c>
      <c r="AM14" s="59">
        <f>'C1-Incomes'!AN16/'C1-Incomes'!$AH16</f>
        <v>5.7588694636897244E-3</v>
      </c>
      <c r="AN14" s="195"/>
      <c r="AO14" s="195"/>
      <c r="AP14" s="59">
        <f>'C1-Incomes'!AQ16/'C1-Incomes'!$AP16</f>
        <v>0.32216786539315911</v>
      </c>
      <c r="AQ14" s="59">
        <f>'C1-Incomes'!AR16/'C1-Incomes'!$AP16</f>
        <v>0.21108406172604616</v>
      </c>
      <c r="AR14" s="59">
        <f>'C1-Incomes'!AS16/'C1-Incomes'!$AP16</f>
        <v>8.4121057664634152E-2</v>
      </c>
      <c r="AS14" s="59">
        <f>'C1-Incomes'!AT16/'C1-Incomes'!$AP16</f>
        <v>5.6299753519893497E-2</v>
      </c>
      <c r="AT14" s="59">
        <f>'C1-Incomes'!AU16/'C1-Incomes'!$AP16</f>
        <v>2.173038358672499E-2</v>
      </c>
      <c r="AU14" s="59">
        <f>'C1-Incomes'!AV16/'C1-Incomes'!$AP16</f>
        <v>5.9614624247792221E-3</v>
      </c>
      <c r="AV14" s="197"/>
      <c r="AW14" s="60"/>
      <c r="AX14" s="59">
        <f>'C1-Incomes'!AY16/'C1-Incomes'!$AX16</f>
        <v>0.32484438931508625</v>
      </c>
      <c r="AY14" s="59">
        <f>'C1-Incomes'!AZ16/'C1-Incomes'!$AX16</f>
        <v>0.21417339895959681</v>
      </c>
      <c r="AZ14" s="59">
        <f>'C1-Incomes'!BA16/'C1-Incomes'!$AX16</f>
        <v>8.7188731774046721E-2</v>
      </c>
      <c r="BA14" s="59">
        <f>'C1-Incomes'!BB16/'C1-Incomes'!$AX16</f>
        <v>5.8783540358968385E-2</v>
      </c>
      <c r="BB14" s="59">
        <f>'C1-Incomes'!BC16/'C1-Incomes'!$AX16</f>
        <v>2.3012654034510981E-2</v>
      </c>
      <c r="BC14" s="59">
        <f>'C1-Incomes'!BD16/'C1-Incomes'!$AX16</f>
        <v>6.3967021172563632E-3</v>
      </c>
      <c r="BD14" s="60"/>
      <c r="BE14" s="60"/>
      <c r="BF14" s="59">
        <f>'C1-Incomes'!BG16/'C1-Incomes'!$BF16</f>
        <v>0.32442733670416957</v>
      </c>
      <c r="BG14" s="59">
        <f>'C1-Incomes'!BH16/'C1-Incomes'!$BF16</f>
        <v>0.21392465149012868</v>
      </c>
      <c r="BH14" s="59">
        <f>'C1-Incomes'!BI16/'C1-Incomes'!$BF16</f>
        <v>8.7072320830237707E-2</v>
      </c>
      <c r="BI14" s="59">
        <f>'C1-Incomes'!BJ16/'C1-Incomes'!$BF16</f>
        <v>5.8695013019170537E-2</v>
      </c>
      <c r="BJ14" s="59">
        <f>'C1-Incomes'!BK16/'C1-Incomes'!$BF16</f>
        <v>2.2933487515247517E-2</v>
      </c>
      <c r="BK14" s="59">
        <f>'C1-Incomes'!BL16/'C1-Incomes'!$BF16</f>
        <v>6.3709737275017561E-3</v>
      </c>
      <c r="BL14" s="59"/>
      <c r="BM14" s="59"/>
      <c r="BN14" s="59">
        <f>'C1-Incomes'!BO16/'C1-Incomes'!$BN16</f>
        <v>0.30235232080222146</v>
      </c>
      <c r="BO14" s="59">
        <f>'C1-Incomes'!BP16/'C1-Incomes'!$BN16</f>
        <v>0.19787858454173265</v>
      </c>
      <c r="BP14" s="59">
        <f>'C1-Incomes'!BQ16/'C1-Incomes'!$BN16</f>
        <v>7.8435878694217948E-2</v>
      </c>
      <c r="BQ14" s="59">
        <f>'C1-Incomes'!BR16/'C1-Incomes'!$BN16</f>
        <v>5.374382246826824E-2</v>
      </c>
      <c r="BR14" s="59">
        <f>'C1-Incomes'!BS16/'C1-Incomes'!$BN16</f>
        <v>2.2436016236916958E-2</v>
      </c>
      <c r="BS14" s="59">
        <f>'C1-Incomes'!BT16/'C1-Incomes'!$BN16</f>
        <v>6.6182124204144741E-3</v>
      </c>
      <c r="BT14" s="59"/>
      <c r="BU14" s="59"/>
      <c r="BV14" s="59">
        <f>'C1-Incomes'!BW16/'C1-Incomes'!$BV16</f>
        <v>0.30491639216017774</v>
      </c>
      <c r="BW14" s="59">
        <f>'C1-Incomes'!BX16/'C1-Incomes'!$BV16</f>
        <v>0.20049093784603711</v>
      </c>
      <c r="BX14" s="59">
        <f>'C1-Incomes'!BY16/'C1-Incomes'!$BV16</f>
        <v>8.0797040939430936E-2</v>
      </c>
      <c r="BY14" s="59">
        <f>'C1-Incomes'!BZ16/'C1-Incomes'!$BV16</f>
        <v>5.5846233174833948E-2</v>
      </c>
      <c r="BZ14" s="59">
        <f>'C1-Incomes'!CA16/'C1-Incomes'!$BV16</f>
        <v>2.3684023961662894E-2</v>
      </c>
      <c r="CA14" s="59">
        <f>'C1-Incomes'!CB16/'C1-Incomes'!$BV16</f>
        <v>7.1633178934375815E-3</v>
      </c>
      <c r="CB14" s="60"/>
      <c r="CC14" s="198"/>
      <c r="CD14" s="59">
        <f>'C1-Incomes'!CE16/'C1-Incomes'!$CD16</f>
        <v>0.33237989862522216</v>
      </c>
      <c r="CE14" s="59">
        <f>'C1-Incomes'!CF16/'C1-Incomes'!$CD16</f>
        <v>0.23005027249030577</v>
      </c>
      <c r="CF14" s="59">
        <f>'C1-Incomes'!CG16/'C1-Incomes'!$CD16</f>
        <v>0.10716999020469445</v>
      </c>
      <c r="CG14" s="59">
        <f>'C1-Incomes'!CH16/'C1-Incomes'!$CD16</f>
        <v>7.8836145967941959E-2</v>
      </c>
      <c r="CH14" s="59">
        <f>'C1-Incomes'!CI16/'C1-Incomes'!$CD16</f>
        <v>3.867781589136858E-2</v>
      </c>
      <c r="CI14" s="59">
        <f>'C1-Incomes'!CJ16/'C1-Incomes'!$CD16</f>
        <v>1.3182028386303189E-2</v>
      </c>
      <c r="CL14" s="59">
        <f>'C1-Incomes'!CM16/'C1-Incomes'!$CL16</f>
        <v>0.34479673201347966</v>
      </c>
      <c r="CM14" s="59">
        <f>'C1-Incomes'!CN16/'C1-Incomes'!$CL16</f>
        <v>0.24338948288330972</v>
      </c>
      <c r="CN14" s="59">
        <f>'C1-Incomes'!CO16/'C1-Incomes'!$CL16</f>
        <v>0.1188958403482767</v>
      </c>
      <c r="CO14" s="59">
        <f>'C1-Incomes'!CP16/'C1-Incomes'!$CL16</f>
        <v>8.9071711886497332E-2</v>
      </c>
      <c r="CP14" s="59">
        <f>'C1-Incomes'!CQ16/'C1-Incomes'!$CL16</f>
        <v>4.5175606439992855E-2</v>
      </c>
      <c r="CQ14" s="59">
        <f>'C1-Incomes'!CR16/'C1-Incomes'!$CL16</f>
        <v>1.5765106644744061E-2</v>
      </c>
      <c r="CR14" s="59"/>
      <c r="CS14" s="59"/>
      <c r="CT14" s="59">
        <f>'C1-Incomes'!CU16/'C1-Incomes'!$CT16</f>
        <v>0.35081875173703242</v>
      </c>
      <c r="CU14" s="59">
        <f>'C1-Incomes'!CV16/'C1-Incomes'!$CT16</f>
        <v>0.24987052183823835</v>
      </c>
      <c r="CV14" s="59">
        <f>'C1-Incomes'!CW16/'C1-Incomes'!$CT16</f>
        <v>0.12393997884944204</v>
      </c>
      <c r="CW14" s="59">
        <f>'C1-Incomes'!CX16/'C1-Incomes'!$CT16</f>
        <v>9.3245379712749848E-2</v>
      </c>
      <c r="CX14" s="59">
        <f>'C1-Incomes'!CY16/'C1-Incomes'!$CT16</f>
        <v>4.7745303241460153E-2</v>
      </c>
      <c r="CY14" s="59">
        <f>'C1-Incomes'!CZ16/'C1-Incomes'!$CT16</f>
        <v>1.6727332639166519E-2</v>
      </c>
      <c r="CZ14" s="59"/>
      <c r="DA14" s="59"/>
      <c r="DB14" s="59">
        <f>'C1-Incomes'!DC16/'C1-Incomes'!$DB16</f>
        <v>0.35369843143139773</v>
      </c>
      <c r="DC14" s="59">
        <f>'C1-Incomes'!DD16/'C1-Incomes'!$DB16</f>
        <v>0.25265366331454603</v>
      </c>
      <c r="DD14" s="59">
        <f>'C1-Incomes'!DE16/'C1-Incomes'!$DB16</f>
        <v>0.1268266519958513</v>
      </c>
      <c r="DE14" s="59">
        <f>'C1-Incomes'!DF16/'C1-Incomes'!$DB16</f>
        <v>9.5945618691690202E-2</v>
      </c>
      <c r="DF14" s="59">
        <f>'C1-Incomes'!DG16/'C1-Incomes'!$DB16</f>
        <v>4.9631548422704452E-2</v>
      </c>
      <c r="DG14" s="59">
        <f>'C1-Incomes'!DH16/'C1-Incomes'!$DB16</f>
        <v>1.7534810737160032E-2</v>
      </c>
      <c r="DH14" s="59"/>
      <c r="DI14" s="1039"/>
      <c r="DJ14" s="59">
        <f>'C1-Incomes'!DK16/'C1-Incomes'!$DJ16</f>
        <v>0.35207493705567727</v>
      </c>
      <c r="DK14" s="59">
        <f>'C1-Incomes'!DL16/'C1-Incomes'!$DJ16</f>
        <v>0.25274346546905596</v>
      </c>
      <c r="DL14" s="59">
        <f>'C1-Incomes'!DM16/'C1-Incomes'!$DJ16</f>
        <v>0.12691523642828725</v>
      </c>
      <c r="DM14" s="59">
        <f>'C1-Incomes'!DN16/'C1-Incomes'!$DJ16</f>
        <v>9.5465091975430308E-2</v>
      </c>
      <c r="DN14" s="59">
        <f>'C1-Incomes'!DO16/'C1-Incomes'!$DJ16</f>
        <v>4.8889594992246585E-2</v>
      </c>
      <c r="DO14" s="59">
        <f>'C1-Incomes'!DP16/'C1-Incomes'!$DJ16</f>
        <v>1.7284625907582264E-2</v>
      </c>
      <c r="DP14" s="696"/>
      <c r="DQ14" s="503"/>
      <c r="DR14" s="59">
        <f>'C1-Incomes'!DS16/'C1-Incomes'!$DR16</f>
        <v>0.3503147016386442</v>
      </c>
      <c r="DS14" s="59">
        <f>'C1-Incomes'!DT16/'C1-Incomes'!$DR16</f>
        <v>0.25073481372455275</v>
      </c>
      <c r="DT14" s="59">
        <f>'C1-Incomes'!DU16/'C1-Incomes'!$DR16</f>
        <v>0.12439187503041041</v>
      </c>
      <c r="DU14" s="59">
        <f>'C1-Incomes'!DV16/'C1-Incomes'!$DR16</f>
        <v>9.3321954857406464E-2</v>
      </c>
      <c r="DV14" s="59">
        <f>'C1-Incomes'!DW16/'C1-Incomes'!$DR16</f>
        <v>4.7600071029043789E-2</v>
      </c>
      <c r="DW14" s="59">
        <f>'C1-Incomes'!DX16/'C1-Incomes'!$DR16</f>
        <v>1.6872239888233602E-2</v>
      </c>
      <c r="DX14" s="333"/>
      <c r="DZ14" s="59">
        <f>'C1-Incomes'!EA16/'C1-Incomes'!$DZ16</f>
        <v>0.34533565162627083</v>
      </c>
      <c r="EA14" s="59">
        <f>'C1-Incomes'!EB16/'C1-Incomes'!$DZ16</f>
        <v>0.24600457635016854</v>
      </c>
      <c r="EB14" s="59">
        <f>'C1-Incomes'!EC16/'C1-Incomes'!$DZ16</f>
        <v>0.12130723778882149</v>
      </c>
      <c r="EC14" s="59">
        <f>'C1-Incomes'!ED16/'C1-Incomes'!$DZ16</f>
        <v>9.0939512286646873E-2</v>
      </c>
      <c r="ED14" s="59">
        <f>'C1-Incomes'!EE16/'C1-Incomes'!$DZ16</f>
        <v>4.6348954001006325E-2</v>
      </c>
      <c r="EE14" s="59">
        <f>'C1-Incomes'!EF16/'C1-Incomes'!$DZ16</f>
        <v>1.6414552422004593E-2</v>
      </c>
      <c r="EF14" s="59"/>
      <c r="EH14" s="59">
        <f>'C1-Incomes'!EI16/'C1-Incomes'!$EH16</f>
        <v>0.34408905819949803</v>
      </c>
      <c r="EI14" s="59">
        <f>'C1-Incomes'!EJ16/'C1-Incomes'!$EH16</f>
        <v>0.2437144572447458</v>
      </c>
      <c r="EJ14" s="59">
        <f>'C1-Incomes'!EK16/'C1-Incomes'!$EH16</f>
        <v>0.11925151471541726</v>
      </c>
      <c r="EK14" s="59">
        <f>'C1-Incomes'!EL16/'C1-Incomes'!$EH16</f>
        <v>8.9310421696774361E-2</v>
      </c>
      <c r="EL14" s="59">
        <f>'C1-Incomes'!EM16/'C1-Incomes'!$EH16</f>
        <v>4.5483344981469005E-2</v>
      </c>
      <c r="EM14" s="59">
        <f>'C1-Incomes'!EN16/'C1-Incomes'!$EH16</f>
        <v>1.6098449161519895E-2</v>
      </c>
      <c r="EN14" s="59"/>
      <c r="EO14" s="59"/>
      <c r="EP14" s="59">
        <f>'C1-Incomes'!EQ16/'C1-Incomes'!$EH16</f>
        <v>0.35218053605413563</v>
      </c>
      <c r="EQ14" s="59">
        <f>'C1-Incomes'!ER16/'C1-Incomes'!$EH16</f>
        <v>0.24820653251134686</v>
      </c>
      <c r="ER14" s="59">
        <f>'C1-Incomes'!ES16/'C1-Incomes'!$EH16</f>
        <v>0.12018007161985227</v>
      </c>
      <c r="ES14" s="59">
        <f>'C1-Incomes'!ET16/'C1-Incomes'!$EH16</f>
        <v>8.9909472108731556E-2</v>
      </c>
      <c r="ET14" s="59">
        <f>'C1-Incomes'!EU16/'C1-Incomes'!$EH16</f>
        <v>4.5648510202888022E-2</v>
      </c>
      <c r="EU14" s="59">
        <f>'C1-Incomes'!EV16/'C1-Incomes'!$EH16</f>
        <v>1.6118800761755505E-2</v>
      </c>
      <c r="EV14" s="59"/>
      <c r="EW14" s="59"/>
      <c r="EX14" s="59">
        <f>'C1-Incomes'!EY16/'C1-Incomes'!$EX16</f>
        <v>0.33467599610798704</v>
      </c>
      <c r="EY14" s="59">
        <f>'C1-Incomes'!EZ16/'C1-Incomes'!$EX16</f>
        <v>0.23401001488263726</v>
      </c>
      <c r="EZ14" s="59">
        <f>'C1-Incomes'!FA16/'C1-Incomes'!$EX16</f>
        <v>0.11145129761914908</v>
      </c>
      <c r="FA14" s="59">
        <f>'C1-Incomes'!FB16/'C1-Incomes'!$EX16</f>
        <v>8.2980990452615297E-2</v>
      </c>
      <c r="FB14" s="59">
        <f>'C1-Incomes'!FC16/'C1-Incomes'!$EX16</f>
        <v>4.1901963530445077E-2</v>
      </c>
      <c r="FC14" s="59">
        <f>'C1-Incomes'!FD16/'C1-Incomes'!$EX16</f>
        <v>1.4749399793000779E-2</v>
      </c>
      <c r="FD14" s="59"/>
      <c r="FF14" s="59">
        <f>'C1-Incomes'!FG16/'C1-Incomes'!$FF16</f>
        <v>0.32653222361354417</v>
      </c>
      <c r="FG14" s="59">
        <f>'C1-Incomes'!FH16/'C1-Incomes'!$FF16</f>
        <v>0.2282317016063348</v>
      </c>
      <c r="FH14" s="59">
        <f>'C1-Incomes'!FI16/'C1-Incomes'!$FF16</f>
        <v>0.10849967377157242</v>
      </c>
      <c r="FI14" s="59">
        <f>'C1-Incomes'!FJ16/'C1-Incomes'!$FF16</f>
        <v>8.0704995920607106E-2</v>
      </c>
      <c r="FJ14" s="59">
        <f>'C1-Incomes'!FK16/'C1-Incomes'!$FF16</f>
        <v>4.0675519943853128E-2</v>
      </c>
      <c r="FK14" s="59">
        <f>'C1-Incomes'!FL16/'C1-Incomes'!$FF16</f>
        <v>1.4306801876673401E-2</v>
      </c>
      <c r="FN14" s="59">
        <f>'C1-Incomes'!FO16/'C1-Incomes'!$FN16</f>
        <v>0.32575053409684107</v>
      </c>
      <c r="FO14" s="59">
        <f>'C1-Incomes'!FP16/'C1-Incomes'!$FN16</f>
        <v>0.22765854282331704</v>
      </c>
      <c r="FP14" s="59">
        <f>'C1-Incomes'!FQ16/'C1-Incomes'!$FN16</f>
        <v>0.10822270427092938</v>
      </c>
      <c r="FQ14" s="59">
        <f>'C1-Incomes'!FR16/'C1-Incomes'!$FN16</f>
        <v>8.0498326344697765E-2</v>
      </c>
      <c r="FR14" s="59">
        <f>'C1-Incomes'!FS16/'C1-Incomes'!$FN16</f>
        <v>4.0571202607708641E-2</v>
      </c>
      <c r="FS14" s="59">
        <f>'C1-Incomes'!FT16/'C1-Incomes'!$FN16</f>
        <v>1.4270101314069453E-2</v>
      </c>
      <c r="FV14" s="59">
        <f>'C1-Incomes'!FW16/'C1-Incomes'!$FV16</f>
        <v>0.32194885488387531</v>
      </c>
      <c r="FW14" s="59">
        <f>'C1-Incomes'!FX16/'C1-Incomes'!$FV16</f>
        <v>0.22486932519993819</v>
      </c>
      <c r="FX14" s="59">
        <f>'C1-Incomes'!FY16/'C1-Incomes'!$FV16</f>
        <v>0.10680517432600703</v>
      </c>
      <c r="FY14" s="59">
        <f>'C1-Incomes'!FZ16/'C1-Incomes'!$FV16</f>
        <v>7.9427714776190164E-2</v>
      </c>
      <c r="FZ14" s="59">
        <f>'C1-Incomes'!GA16/'C1-Incomes'!$FV16</f>
        <v>4.0021500230304381E-2</v>
      </c>
      <c r="GA14" s="59">
        <f>'C1-Incomes'!GB16/'C1-Incomes'!$FV16</f>
        <v>1.407507968580886E-2</v>
      </c>
      <c r="GE14" s="59">
        <f>'C1-Incomes'!GF16/'C1-Incomes'!$GE16</f>
        <v>0.32075831300087093</v>
      </c>
      <c r="GF14" s="59">
        <f>'C1-Incomes'!GG16/'C1-Incomes'!$GE16</f>
        <v>0.22404401689181597</v>
      </c>
      <c r="GG14" s="59">
        <f>'C1-Incomes'!GH16/'C1-Incomes'!$GE16</f>
        <v>0.10633324505681449</v>
      </c>
      <c r="GH14" s="59">
        <f>'C1-Incomes'!GI16/'C1-Incomes'!$GE16</f>
        <v>7.9025971885558863E-2</v>
      </c>
      <c r="GI14" s="59">
        <f>'C1-Incomes'!GJ16/'C1-Incomes'!$GE16</f>
        <v>3.9821454790430762E-2</v>
      </c>
      <c r="GJ14" s="59">
        <f>'C1-Incomes'!GK16/'C1-Incomes'!$GE16</f>
        <v>1.3996960850457599E-2</v>
      </c>
      <c r="GM14" s="59">
        <f>'C1-Incomes'!GN16/'C1-Incomes'!$GM16</f>
        <v>0.31815538067610644</v>
      </c>
      <c r="GN14" s="59">
        <f>'C1-Incomes'!GO16/'C1-Incomes'!$GM16</f>
        <v>0.22222591463194966</v>
      </c>
      <c r="GO14" s="59">
        <f>'C1-Incomes'!GP16/'C1-Incomes'!$GM16</f>
        <v>0.105470357862509</v>
      </c>
      <c r="GP14" s="59">
        <f>'C1-Incomes'!GQ16/'C1-Incomes'!$GM16</f>
        <v>7.8384681392438288E-2</v>
      </c>
      <c r="GQ14" s="59">
        <f>'C1-Incomes'!GR16/'C1-Incomes'!$GM16</f>
        <v>3.9498306339737672E-2</v>
      </c>
      <c r="GR14" s="59">
        <f>'C1-Incomes'!GS16/'C1-Incomes'!$GM16</f>
        <v>1.3883376446345772E-2</v>
      </c>
      <c r="GU14" s="59">
        <f>'C1-Incomes'!GV16/'C1-Incomes'!$GU16</f>
        <v>0.2982495456466524</v>
      </c>
      <c r="GV14" s="59">
        <f>'C1-Incomes'!GW16/'C1-Incomes'!$GU16</f>
        <v>0.20497123205649528</v>
      </c>
      <c r="GW14" s="59">
        <f>'C1-Incomes'!GX16/'C1-Incomes'!$GU16</f>
        <v>9.4851258485956755E-2</v>
      </c>
      <c r="GX14" s="59">
        <f>'C1-Incomes'!GY16/'C1-Incomes'!$GU16</f>
        <v>7.003558721051624E-2</v>
      </c>
      <c r="GY14" s="59">
        <f>'C1-Incomes'!GZ16/'C1-Incomes'!$GU16</f>
        <v>3.5138422926334512E-2</v>
      </c>
      <c r="GZ14" s="59">
        <f>'C1-Incomes'!HA16/'C1-Incomes'!$GU16</f>
        <v>1.2126301328217194E-2</v>
      </c>
      <c r="HC14" s="59">
        <f>'C1-Incomes'!HD16/'C1-Incomes'!$HC16</f>
        <v>0.2968630406465177</v>
      </c>
      <c r="HD14" s="59">
        <f>'C1-Incomes'!HE16/'C1-Incomes'!$HC16</f>
        <v>0.20374464265277484</v>
      </c>
      <c r="HE14" s="59">
        <f>'C1-Incomes'!HF16/'C1-Incomes'!$HC16</f>
        <v>9.4130327299388E-2</v>
      </c>
      <c r="HF14" s="59">
        <f>'C1-Incomes'!HG16/'C1-Incomes'!$HC16</f>
        <v>6.9497481891386007E-2</v>
      </c>
      <c r="HG14" s="59">
        <f>'C1-Incomes'!HH16/'C1-Incomes'!$HC16</f>
        <v>3.4826166969682257E-2</v>
      </c>
      <c r="HH14" s="59">
        <f>'C1-Incomes'!HI16/'C1-Incomes'!$HC16</f>
        <v>1.2021567992996838E-2</v>
      </c>
      <c r="HK14" s="59">
        <f>'C1-Incomes'!HL16/'C1-Incomes'!$HK16</f>
        <v>0.28485964614253312</v>
      </c>
      <c r="HL14" s="59">
        <f>'C1-Incomes'!HM16/'C1-Incomes'!$HK16</f>
        <v>0.19136762090480811</v>
      </c>
      <c r="HM14" s="59">
        <f>'C1-Incomes'!HN16/'C1-Incomes'!$HK16</f>
        <v>8.3662173492490596E-2</v>
      </c>
      <c r="HN14" s="59">
        <f>'C1-Incomes'!HO16/'C1-Incomes'!$HK16</f>
        <v>6.0248881026597881E-2</v>
      </c>
      <c r="HO14" s="59">
        <f>'C1-Incomes'!HP16/'C1-Incomes'!$HK16</f>
        <v>2.9124366031049093E-2</v>
      </c>
      <c r="HP14" s="59">
        <f>'C1-Incomes'!HQ16/'C1-Incomes'!$HK16</f>
        <v>9.9166415205297811E-3</v>
      </c>
      <c r="HS14" s="59">
        <f>'C1-Incomes'!HT16/'C1-Incomes'!$HS16</f>
        <v>0.27795485947848064</v>
      </c>
      <c r="HT14" s="59">
        <f>'C1-Incomes'!HU16/'C1-Incomes'!$HS16</f>
        <v>0.18487705205587532</v>
      </c>
      <c r="HU14" s="59">
        <f>'C1-Incomes'!HV16/'C1-Incomes'!$HS16</f>
        <v>7.8820557825536056E-2</v>
      </c>
      <c r="HV14" s="59">
        <f>'C1-Incomes'!HW16/'C1-Incomes'!$HS16</f>
        <v>5.655531318577163E-2</v>
      </c>
      <c r="HW14" s="59">
        <f>'C1-Incomes'!HX16/'C1-Incomes'!$HS16</f>
        <v>2.6935140991651434E-2</v>
      </c>
      <c r="HX14" s="59">
        <f>'C1-Incomes'!HY16/'C1-Incomes'!$HS16</f>
        <v>9.1034056750118227E-3</v>
      </c>
      <c r="IA14" s="59">
        <f>'C1-Incomes'!IB16/'C1-Incomes'!$IA16</f>
        <v>0.28360853891303528</v>
      </c>
      <c r="IB14" s="59">
        <f>'C1-Incomes'!IC16/'C1-Incomes'!$IA16</f>
        <v>0.19020743037291193</v>
      </c>
      <c r="IC14" s="59">
        <f>'C1-Incomes'!ID16/'C1-Incomes'!$IA16</f>
        <v>8.2411010331258638E-2</v>
      </c>
      <c r="ID14" s="59">
        <f>'C1-Incomes'!IE16/'C1-Incomes'!$IA16</f>
        <v>5.9346288415136533E-2</v>
      </c>
      <c r="IE14" s="59">
        <f>'C1-Incomes'!IF16/'C1-Incomes'!$IA16</f>
        <v>2.8393434466772227E-2</v>
      </c>
      <c r="IF14" s="59">
        <f>'C1-Incomes'!IG16/'C1-Incomes'!$IA16</f>
        <v>9.5962124030692011E-3</v>
      </c>
      <c r="II14" s="59">
        <f>'C1-Incomes'!IJ16/'C1-Incomes'!$II16</f>
        <v>0.28585349920188313</v>
      </c>
      <c r="IJ14" s="59">
        <f>'C1-Incomes'!IK16/'C1-Incomes'!$II16</f>
        <v>0.19278369934143391</v>
      </c>
      <c r="IK14" s="59">
        <f>'C1-Incomes'!IL16/'C1-Incomes'!$II16</f>
        <v>8.4912468082789919E-2</v>
      </c>
      <c r="IL14" s="59">
        <f>'C1-Incomes'!IM16/'C1-Incomes'!$II16</f>
        <v>6.1333048905812849E-2</v>
      </c>
      <c r="IM14" s="59">
        <f>'C1-Incomes'!IN16/'C1-Incomes'!$II16</f>
        <v>2.9420251069535074E-2</v>
      </c>
      <c r="IN14" s="59">
        <f>'C1-Incomes'!IO16/'C1-Incomes'!$II16</f>
        <v>1.0020840143582094E-2</v>
      </c>
      <c r="IQ14" s="59">
        <f>'C1-Incomes'!IR16/'C1-Incomes'!$IQ16</f>
        <v>0.28966871429620422</v>
      </c>
      <c r="IR14" s="59">
        <f>'C1-Incomes'!IS16/'C1-Incomes'!$IQ16</f>
        <v>0.1964109877450618</v>
      </c>
      <c r="IS14" s="59">
        <f>'C1-Incomes'!IT16/'C1-Incomes'!$IQ16</f>
        <v>8.7620249500953457E-2</v>
      </c>
      <c r="IT14" s="59">
        <f>'C1-Incomes'!IU16/'C1-Incomes'!$IQ16</f>
        <v>6.3507559699146468E-2</v>
      </c>
      <c r="IU14" s="59">
        <f>'C1-Incomes'!IV16/'C1-Incomes'!$IQ16</f>
        <v>3.0621018194298136E-2</v>
      </c>
      <c r="IV14" s="59">
        <f>'C1-Incomes'!IW16/'C1-Incomes'!$IQ16</f>
        <v>1.0423575187105296E-2</v>
      </c>
      <c r="IY14" s="59">
        <f>'C1-Incomes'!IZ16/'C1-Incomes'!$IY16</f>
        <v>0.26789364358508194</v>
      </c>
      <c r="IZ14" s="59">
        <f>'C1-Incomes'!JA16/'C1-Incomes'!$IY16</f>
        <v>0.18035221729176634</v>
      </c>
      <c r="JA14" s="59">
        <f>'C1-Incomes'!JB16/'C1-Incomes'!$IY16</f>
        <v>7.9426378845157936E-2</v>
      </c>
      <c r="JB14" s="59">
        <f>'C1-Incomes'!JC16/'C1-Incomes'!$IY16</f>
        <v>5.7343407330650596E-2</v>
      </c>
      <c r="JC14" s="59">
        <f>'C1-Incomes'!JD16/'C1-Incomes'!$IY16</f>
        <v>2.7573578136338723E-2</v>
      </c>
      <c r="JD14" s="59">
        <f>'C1-Incomes'!JE16/'C1-Incomes'!$IY16</f>
        <v>9.334990696763237E-3</v>
      </c>
      <c r="JE14" s="197"/>
      <c r="JF14" s="197"/>
      <c r="JG14" s="197"/>
      <c r="JH14" s="197"/>
      <c r="JI14" s="197"/>
      <c r="JJ14" s="197"/>
      <c r="JK14" s="197"/>
      <c r="JL14" s="197"/>
      <c r="JM14" s="197"/>
      <c r="JN14" s="197"/>
      <c r="JO14" s="197"/>
      <c r="JP14" s="197"/>
      <c r="JQ14" s="197"/>
      <c r="JR14" s="197"/>
      <c r="JS14" s="197"/>
      <c r="JT14" s="197"/>
      <c r="JU14" s="197"/>
      <c r="JV14" s="197"/>
      <c r="JW14" s="197"/>
      <c r="JX14" s="197"/>
      <c r="JY14" s="197"/>
      <c r="JZ14" s="197"/>
      <c r="KA14" s="197"/>
      <c r="KB14" s="197"/>
      <c r="KC14" s="197"/>
      <c r="KD14" s="197"/>
      <c r="KE14" s="197"/>
      <c r="KF14" s="197"/>
      <c r="KG14" s="197"/>
      <c r="KH14" s="197"/>
      <c r="KI14" s="197"/>
      <c r="KJ14" s="197"/>
      <c r="KK14" s="197"/>
      <c r="KL14" s="197"/>
      <c r="KM14" s="197"/>
      <c r="KN14" s="197"/>
      <c r="KO14" s="197"/>
      <c r="KP14" s="197"/>
      <c r="KQ14" s="197"/>
      <c r="KR14" s="197"/>
      <c r="KS14" s="197"/>
      <c r="KT14" s="197"/>
      <c r="KU14" s="197"/>
      <c r="KV14" s="197"/>
      <c r="KW14" s="197"/>
      <c r="KX14" s="197"/>
      <c r="KY14" s="197"/>
      <c r="KZ14" s="197"/>
      <c r="LA14" s="197"/>
      <c r="LB14" s="197"/>
      <c r="LC14" s="197"/>
      <c r="LD14" s="197"/>
      <c r="LE14" s="197"/>
      <c r="LF14" s="197"/>
      <c r="LG14" s="197"/>
      <c r="LH14" s="197"/>
      <c r="LI14" s="197"/>
      <c r="LJ14" s="197"/>
      <c r="LK14" s="197"/>
      <c r="LL14" s="197"/>
      <c r="LM14" s="197"/>
      <c r="LN14" s="197"/>
      <c r="LO14" s="197"/>
      <c r="LP14" s="197"/>
      <c r="LQ14" s="197"/>
      <c r="LR14" s="197"/>
      <c r="LS14" s="197"/>
      <c r="LT14" s="197"/>
      <c r="LU14" s="197"/>
      <c r="LV14" s="197"/>
      <c r="LW14" s="197"/>
      <c r="LX14" s="197"/>
      <c r="LY14" s="197"/>
      <c r="LZ14" s="197"/>
      <c r="MA14" s="197"/>
      <c r="MB14" s="197"/>
      <c r="MC14" s="197"/>
      <c r="MD14" s="197"/>
      <c r="ME14" s="197"/>
      <c r="MF14" s="197"/>
      <c r="MG14" s="197"/>
      <c r="MH14" s="197"/>
      <c r="MI14" s="197"/>
      <c r="MJ14" s="197"/>
      <c r="MK14" s="197"/>
      <c r="ML14" s="197"/>
      <c r="MM14" s="197"/>
      <c r="MN14" s="197"/>
      <c r="MO14" s="197"/>
      <c r="MP14" s="197"/>
      <c r="MQ14" s="197"/>
      <c r="MR14" s="197"/>
      <c r="MS14" s="197"/>
      <c r="MT14" s="197"/>
      <c r="MU14" s="197"/>
      <c r="MV14" s="197"/>
      <c r="MW14" s="197"/>
      <c r="MX14" s="197"/>
      <c r="MY14" s="197"/>
      <c r="MZ14" s="197"/>
      <c r="NA14" s="197"/>
      <c r="NB14" s="197"/>
      <c r="NC14" s="197"/>
      <c r="ND14" s="197"/>
      <c r="NE14" s="197"/>
      <c r="NF14" s="197"/>
      <c r="NG14" s="197"/>
      <c r="NH14" s="197"/>
      <c r="NI14" s="197"/>
      <c r="NJ14" s="197"/>
      <c r="NK14" s="197"/>
      <c r="NL14" s="197"/>
      <c r="NM14" s="197"/>
      <c r="NN14" s="197"/>
      <c r="NO14" s="197"/>
      <c r="NP14" s="197"/>
      <c r="NQ14" s="197"/>
      <c r="NR14" s="197"/>
      <c r="NS14" s="197"/>
      <c r="NT14" s="197"/>
      <c r="NU14" s="197"/>
      <c r="NV14" s="197"/>
      <c r="NW14" s="197"/>
      <c r="NX14" s="197"/>
      <c r="NY14" s="197"/>
      <c r="NZ14" s="197"/>
      <c r="OA14" s="197"/>
      <c r="OB14" s="197"/>
      <c r="OC14" s="197"/>
      <c r="OD14" s="197"/>
      <c r="OE14" s="197"/>
      <c r="OF14" s="197"/>
      <c r="OG14" s="197"/>
      <c r="OH14" s="197"/>
      <c r="OI14" s="197"/>
      <c r="OJ14" s="197"/>
      <c r="OK14" s="197"/>
      <c r="OL14" s="197"/>
      <c r="OM14" s="197"/>
      <c r="ON14" s="197"/>
      <c r="OO14" s="197"/>
      <c r="OP14" s="197"/>
      <c r="OQ14" s="197"/>
      <c r="OR14" s="197"/>
      <c r="OS14" s="197"/>
      <c r="OT14" s="197"/>
      <c r="OU14" s="197"/>
      <c r="OV14" s="197"/>
      <c r="OW14" s="197"/>
      <c r="OX14" s="197"/>
      <c r="OY14" s="197"/>
      <c r="OZ14" s="197"/>
      <c r="PA14" s="197"/>
      <c r="PB14" s="197"/>
    </row>
    <row r="15" spans="1:418" s="77" customFormat="1" ht="10.5" customHeight="1" x14ac:dyDescent="0.2">
      <c r="A15" s="48">
        <v>1969</v>
      </c>
      <c r="B15" s="59">
        <f>'C1-Incomes'!C17/'C1-Incomes'!$B17</f>
        <v>0.31517408475658032</v>
      </c>
      <c r="C15" s="59">
        <f>'C1-Incomes'!D17/'C1-Incomes'!$B17</f>
        <v>0.20500981827169881</v>
      </c>
      <c r="D15" s="59">
        <f>'C1-Incomes'!E17/'C1-Incomes'!$B17</f>
        <v>7.938790656877541E-2</v>
      </c>
      <c r="E15" s="59">
        <f>'C1-Incomes'!F17/'C1-Incomes'!$B17</f>
        <v>5.2367016655963529E-2</v>
      </c>
      <c r="F15" s="59">
        <f>'C1-Incomes'!G17/'C1-Incomes'!$B17</f>
        <v>1.9690372827172377E-2</v>
      </c>
      <c r="G15" s="59">
        <f>'C1-Incomes'!H17/'C1-Incomes'!$B17</f>
        <v>5.3580265373934207E-3</v>
      </c>
      <c r="H15" s="199"/>
      <c r="J15" s="59">
        <f>'C1-Incomes'!K17/'C1-Incomes'!$J17</f>
        <v>0.3235824944093259</v>
      </c>
      <c r="K15" s="59">
        <f>'C1-Incomes'!L17/'C1-Incomes'!$J17</f>
        <v>0.2218712127872926</v>
      </c>
      <c r="L15" s="59">
        <f>'C1-Incomes'!M17/'C1-Incomes'!$J17</f>
        <v>0.10106026471086935</v>
      </c>
      <c r="M15" s="59">
        <f>'C1-Incomes'!N17/'C1-Incomes'!$J17</f>
        <v>7.3999116335322704E-2</v>
      </c>
      <c r="N15" s="59">
        <f>'C1-Incomes'!O17/'C1-Incomes'!$J17</f>
        <v>3.614239633533483E-2</v>
      </c>
      <c r="O15" s="59">
        <f>'C1-Incomes'!P17/'C1-Incomes'!$J17</f>
        <v>1.3334050314208772E-2</v>
      </c>
      <c r="P15" s="59"/>
      <c r="R15" s="59">
        <f>'C1-Incomes'!S17/'C1-Incomes'!$R17</f>
        <v>0.30719224916964566</v>
      </c>
      <c r="S15" s="59">
        <f>'C1-Incomes'!T17/'C1-Incomes'!$R17</f>
        <v>0.21034854108273535</v>
      </c>
      <c r="T15" s="59">
        <f>'C1-Incomes'!U17/'C1-Incomes'!$R17</f>
        <v>9.5507100877327486E-2</v>
      </c>
      <c r="U15" s="59">
        <f>'C1-Incomes'!V17/'C1-Incomes'!$R17</f>
        <v>6.9836827663167192E-2</v>
      </c>
      <c r="V15" s="59">
        <f>'C1-Incomes'!W17/'C1-Incomes'!$R17</f>
        <v>3.4017367479668971E-2</v>
      </c>
      <c r="W15" s="59">
        <f>'C1-Incomes'!X17/'C1-Incomes'!$R17</f>
        <v>1.2533430470326174E-2</v>
      </c>
      <c r="X15" s="59"/>
      <c r="Y15" s="59"/>
      <c r="Z15" s="59">
        <f>'C1-Incomes'!AA17/'C1-Incomes'!$Z17</f>
        <v>0.25926263599557298</v>
      </c>
      <c r="AA15" s="59">
        <f>'C1-Incomes'!AB17/'C1-Incomes'!$Z17</f>
        <v>0.17180044098352021</v>
      </c>
      <c r="AB15" s="59">
        <f>'C1-Incomes'!AC17/'C1-Incomes'!$Z17</f>
        <v>7.2454336341204142E-2</v>
      </c>
      <c r="AC15" s="59">
        <f>'C1-Incomes'!AD17/'C1-Incomes'!$Z17</f>
        <v>5.1450235600119007E-2</v>
      </c>
      <c r="AD15" s="59">
        <f>'C1-Incomes'!AE17/'C1-Incomes'!$Z17</f>
        <v>2.3708336263691562E-2</v>
      </c>
      <c r="AE15" s="59">
        <f>'C1-Incomes'!AF17/'C1-Incomes'!$Z17</f>
        <v>8.2868720545658942E-3</v>
      </c>
      <c r="AF15" s="200"/>
      <c r="AG15" s="195"/>
      <c r="AH15" s="59">
        <f>'C1-Incomes'!AI17/'C1-Incomes'!$AH17</f>
        <v>0.31657335598481345</v>
      </c>
      <c r="AI15" s="59">
        <f>'C1-Incomes'!AJ17/'C1-Incomes'!$AH17</f>
        <v>0.20526276676970978</v>
      </c>
      <c r="AJ15" s="59">
        <f>'C1-Incomes'!AK17/'C1-Incomes'!$AH17</f>
        <v>7.9206850186086322E-2</v>
      </c>
      <c r="AK15" s="59">
        <f>'C1-Incomes'!AL17/'C1-Incomes'!$AH17</f>
        <v>5.2274597955000258E-2</v>
      </c>
      <c r="AL15" s="59">
        <f>'C1-Incomes'!AM17/'C1-Incomes'!$AH17</f>
        <v>1.9668333281443514E-2</v>
      </c>
      <c r="AM15" s="59">
        <f>'C1-Incomes'!AN17/'C1-Incomes'!$AH17</f>
        <v>5.366162084920586E-3</v>
      </c>
      <c r="AN15" s="195"/>
      <c r="AO15" s="195"/>
      <c r="AP15" s="59">
        <f>'C1-Incomes'!AQ17/'C1-Incomes'!$AP17</f>
        <v>0.31707707376892058</v>
      </c>
      <c r="AQ15" s="59">
        <f>'C1-Incomes'!AR17/'C1-Incomes'!$AP17</f>
        <v>0.20604271505725877</v>
      </c>
      <c r="AR15" s="59">
        <f>'C1-Incomes'!AS17/'C1-Incomes'!$AP17</f>
        <v>8.0168847694406478E-2</v>
      </c>
      <c r="AS15" s="59">
        <f>'C1-Incomes'!AT17/'C1-Incomes'!$AP17</f>
        <v>5.3101083363361785E-2</v>
      </c>
      <c r="AT15" s="59">
        <f>'C1-Incomes'!AU17/'C1-Incomes'!$AP17</f>
        <v>2.0166548633153075E-2</v>
      </c>
      <c r="AU15" s="59">
        <f>'C1-Incomes'!AV17/'C1-Incomes'!$AP17</f>
        <v>5.5672636995397059E-3</v>
      </c>
      <c r="AV15" s="197"/>
      <c r="AW15" s="60"/>
      <c r="AX15" s="59">
        <f>'C1-Incomes'!AY17/'C1-Incomes'!$AX17</f>
        <v>0.31988050671944945</v>
      </c>
      <c r="AY15" s="59">
        <f>'C1-Incomes'!AZ17/'C1-Incomes'!$AX17</f>
        <v>0.20925881007618127</v>
      </c>
      <c r="AZ15" s="59">
        <f>'C1-Incomes'!BA17/'C1-Incomes'!$AX17</f>
        <v>8.3332672113992284E-2</v>
      </c>
      <c r="BA15" s="59">
        <f>'C1-Incomes'!BB17/'C1-Incomes'!$AX17</f>
        <v>5.5669444312522555E-2</v>
      </c>
      <c r="BB15" s="59">
        <f>'C1-Incomes'!BC17/'C1-Incomes'!$AX17</f>
        <v>2.1508047100087902E-2</v>
      </c>
      <c r="BC15" s="59">
        <f>'C1-Incomes'!BD17/'C1-Incomes'!$AX17</f>
        <v>6.0207406355924989E-3</v>
      </c>
      <c r="BD15" s="60"/>
      <c r="BE15" s="60"/>
      <c r="BF15" s="59">
        <f>'C1-Incomes'!BG17/'C1-Incomes'!$BF17</f>
        <v>0.31976298040236317</v>
      </c>
      <c r="BG15" s="59">
        <f>'C1-Incomes'!BH17/'C1-Incomes'!$BF17</f>
        <v>0.20924630010857243</v>
      </c>
      <c r="BH15" s="59">
        <f>'C1-Incomes'!BI17/'C1-Incomes'!$BF17</f>
        <v>8.3348141138257295E-2</v>
      </c>
      <c r="BI15" s="59">
        <f>'C1-Incomes'!BJ17/'C1-Incomes'!$BF17</f>
        <v>5.5723046443751985E-2</v>
      </c>
      <c r="BJ15" s="59">
        <f>'C1-Incomes'!BK17/'C1-Incomes'!$BF17</f>
        <v>2.1562356599172695E-2</v>
      </c>
      <c r="BK15" s="59">
        <f>'C1-Incomes'!BL17/'C1-Incomes'!$BF17</f>
        <v>6.0788079123949915E-3</v>
      </c>
      <c r="BL15" s="59"/>
      <c r="BM15" s="59"/>
      <c r="BN15" s="59">
        <f>'C1-Incomes'!BO17/'C1-Incomes'!$BN17</f>
        <v>0.29898869272254236</v>
      </c>
      <c r="BO15" s="59">
        <f>'C1-Incomes'!BP17/'C1-Incomes'!$BN17</f>
        <v>0.19392403017190471</v>
      </c>
      <c r="BP15" s="59">
        <f>'C1-Incomes'!BQ17/'C1-Incomes'!$BN17</f>
        <v>7.5528787271575581E-2</v>
      </c>
      <c r="BQ15" s="59">
        <f>'C1-Incomes'!BR17/'C1-Incomes'!$BN17</f>
        <v>5.1359175196239656E-2</v>
      </c>
      <c r="BR15" s="59">
        <f>'C1-Incomes'!BS17/'C1-Incomes'!$BN17</f>
        <v>2.1149129026808461E-2</v>
      </c>
      <c r="BS15" s="59">
        <f>'C1-Incomes'!BT17/'C1-Incomes'!$BN17</f>
        <v>6.3334299044537972E-3</v>
      </c>
      <c r="BT15" s="59"/>
      <c r="BU15" s="59"/>
      <c r="BV15" s="59">
        <f>'C1-Incomes'!BW17/'C1-Incomes'!$BV17</f>
        <v>0.3008955366504909</v>
      </c>
      <c r="BW15" s="59">
        <f>'C1-Incomes'!BX17/'C1-Incomes'!$BV17</f>
        <v>0.19614492430256897</v>
      </c>
      <c r="BX15" s="59">
        <f>'C1-Incomes'!BY17/'C1-Incomes'!$BV17</f>
        <v>7.7469838484041459E-2</v>
      </c>
      <c r="BY15" s="59">
        <f>'C1-Incomes'!BZ17/'C1-Incomes'!$BV17</f>
        <v>5.2810534027820551E-2</v>
      </c>
      <c r="BZ15" s="59">
        <f>'C1-Incomes'!CA17/'C1-Incomes'!$BV17</f>
        <v>2.1956495771722921E-2</v>
      </c>
      <c r="CA15" s="59">
        <f>'C1-Incomes'!CB17/'C1-Incomes'!$BV17</f>
        <v>6.7241418777401725E-3</v>
      </c>
      <c r="CB15" s="60"/>
      <c r="CC15" s="198"/>
      <c r="CD15" s="59">
        <f>'C1-Incomes'!CE17/'C1-Incomes'!$CD17</f>
        <v>0.32200187944900582</v>
      </c>
      <c r="CE15" s="59">
        <f>'C1-Incomes'!CF17/'C1-Incomes'!$CD17</f>
        <v>0.21903036018086994</v>
      </c>
      <c r="CF15" s="59">
        <f>'C1-Incomes'!CG17/'C1-Incomes'!$CD17</f>
        <v>9.7588318042790181E-2</v>
      </c>
      <c r="CG15" s="59">
        <f>'C1-Incomes'!CH17/'C1-Incomes'!$CD17</f>
        <v>7.0630403996767205E-2</v>
      </c>
      <c r="CH15" s="59">
        <f>'C1-Incomes'!CI17/'C1-Incomes'!$CD17</f>
        <v>3.3230726101509213E-2</v>
      </c>
      <c r="CI15" s="59">
        <f>'C1-Incomes'!CJ17/'C1-Incomes'!$CD17</f>
        <v>1.1780814270824251E-2</v>
      </c>
      <c r="CL15" s="59">
        <f>'C1-Incomes'!CM17/'C1-Incomes'!$CL17</f>
        <v>0.33219928771427981</v>
      </c>
      <c r="CM15" s="59">
        <f>'C1-Incomes'!CN17/'C1-Incomes'!$CL17</f>
        <v>0.2295437825379868</v>
      </c>
      <c r="CN15" s="59">
        <f>'C1-Incomes'!CO17/'C1-Incomes'!$CL17</f>
        <v>0.1069022763009579</v>
      </c>
      <c r="CO15" s="59">
        <f>'C1-Incomes'!CP17/'C1-Incomes'!$CL17</f>
        <v>7.8670198690706586E-2</v>
      </c>
      <c r="CP15" s="59">
        <f>'C1-Incomes'!CQ17/'C1-Incomes'!$CL17</f>
        <v>3.8368051438576994E-2</v>
      </c>
      <c r="CQ15" s="59">
        <f>'C1-Incomes'!CR17/'C1-Incomes'!$CL17</f>
        <v>1.4057473010570615E-2</v>
      </c>
      <c r="CR15" s="59"/>
      <c r="CS15" s="59"/>
      <c r="CT15" s="59">
        <f>'C1-Incomes'!CU17/'C1-Incomes'!$CT17</f>
        <v>0.3375580412847124</v>
      </c>
      <c r="CU15" s="59">
        <f>'C1-Incomes'!CV17/'C1-Incomes'!$CT17</f>
        <v>0.23516955145977689</v>
      </c>
      <c r="CV15" s="59">
        <f>'C1-Incomes'!CW17/'C1-Incomes'!$CT17</f>
        <v>0.11142399070294313</v>
      </c>
      <c r="CW15" s="59">
        <f>'C1-Incomes'!CX17/'C1-Incomes'!$CT17</f>
        <v>8.2360708417118983E-2</v>
      </c>
      <c r="CX15" s="59">
        <f>'C1-Incomes'!CY17/'C1-Incomes'!$CT17</f>
        <v>4.0485094453967509E-2</v>
      </c>
      <c r="CY15" s="59">
        <f>'C1-Incomes'!CZ17/'C1-Incomes'!$CT17</f>
        <v>1.4922731425140043E-2</v>
      </c>
      <c r="CZ15" s="59"/>
      <c r="DA15" s="59"/>
      <c r="DB15" s="59">
        <f>'C1-Incomes'!DC17/'C1-Incomes'!$DB17</f>
        <v>0.34099439281658939</v>
      </c>
      <c r="DC15" s="59">
        <f>'C1-Incomes'!DD17/'C1-Incomes'!$DB17</f>
        <v>0.23897584640834571</v>
      </c>
      <c r="DD15" s="59">
        <f>'C1-Incomes'!DE17/'C1-Incomes'!$DB17</f>
        <v>0.11505657887799296</v>
      </c>
      <c r="DE15" s="59">
        <f>'C1-Incomes'!DF17/'C1-Incomes'!$DB17</f>
        <v>8.5321394146689308E-2</v>
      </c>
      <c r="DF15" s="59">
        <f>'C1-Incomes'!DG17/'C1-Incomes'!$DB17</f>
        <v>4.2603357363126877E-2</v>
      </c>
      <c r="DG15" s="59">
        <f>'C1-Incomes'!DH17/'C1-Incomes'!$DB17</f>
        <v>1.5865242972015331E-2</v>
      </c>
      <c r="DH15" s="59"/>
      <c r="DI15" s="1039"/>
      <c r="DJ15" s="59">
        <f>'C1-Incomes'!DK17/'C1-Incomes'!$DJ17</f>
        <v>0.33959824196132943</v>
      </c>
      <c r="DK15" s="59">
        <f>'C1-Incomes'!DL17/'C1-Incomes'!$DJ17</f>
        <v>0.23932017672831624</v>
      </c>
      <c r="DL15" s="59">
        <f>'C1-Incomes'!DM17/'C1-Incomes'!$DJ17</f>
        <v>0.11520049129208157</v>
      </c>
      <c r="DM15" s="59">
        <f>'C1-Incomes'!DN17/'C1-Incomes'!$DJ17</f>
        <v>8.5192937356174656E-2</v>
      </c>
      <c r="DN15" s="59">
        <f>'C1-Incomes'!DO17/'C1-Incomes'!$DJ17</f>
        <v>4.2253733007186343E-2</v>
      </c>
      <c r="DO15" s="59">
        <f>'C1-Incomes'!DP17/'C1-Incomes'!$DJ17</f>
        <v>1.572418202644171E-2</v>
      </c>
      <c r="DP15" s="696"/>
      <c r="DQ15" s="503"/>
      <c r="DR15" s="59">
        <f>'C1-Incomes'!DS17/'C1-Incomes'!$DR17</f>
        <v>0.33808906340252454</v>
      </c>
      <c r="DS15" s="59">
        <f>'C1-Incomes'!DT17/'C1-Incomes'!$DR17</f>
        <v>0.23764797152880862</v>
      </c>
      <c r="DT15" s="59">
        <f>'C1-Incomes'!DU17/'C1-Incomes'!$DR17</f>
        <v>0.11317961149423557</v>
      </c>
      <c r="DU15" s="59">
        <f>'C1-Incomes'!DV17/'C1-Incomes'!$DR17</f>
        <v>8.3362836823425115E-2</v>
      </c>
      <c r="DV15" s="59">
        <f>'C1-Incomes'!DW17/'C1-Incomes'!$DR17</f>
        <v>4.1293108911323713E-2</v>
      </c>
      <c r="DW15" s="59">
        <f>'C1-Incomes'!DX17/'C1-Incomes'!$DR17</f>
        <v>1.5345714608142319E-2</v>
      </c>
      <c r="DX15" s="333"/>
      <c r="DZ15" s="59">
        <f>'C1-Incomes'!EA17/'C1-Incomes'!$DZ17</f>
        <v>0.3330135522871408</v>
      </c>
      <c r="EA15" s="59">
        <f>'C1-Incomes'!EB17/'C1-Incomes'!$DZ17</f>
        <v>0.23292582502100495</v>
      </c>
      <c r="EB15" s="59">
        <f>'C1-Incomes'!EC17/'C1-Incomes'!$DZ17</f>
        <v>0.11020602858094983</v>
      </c>
      <c r="EC15" s="59">
        <f>'C1-Incomes'!ED17/'C1-Incomes'!$DZ17</f>
        <v>8.1147506257304644E-2</v>
      </c>
      <c r="ED15" s="59">
        <f>'C1-Incomes'!EE17/'C1-Incomes'!$DZ17</f>
        <v>4.0143996458032155E-2</v>
      </c>
      <c r="EE15" s="59">
        <f>'C1-Incomes'!EF17/'C1-Incomes'!$DZ17</f>
        <v>1.4910622922793734E-2</v>
      </c>
      <c r="EF15" s="59"/>
      <c r="EH15" s="59">
        <f>'C1-Incomes'!EI17/'C1-Incomes'!$EH17</f>
        <v>0.33203081799600997</v>
      </c>
      <c r="EI15" s="59">
        <f>'C1-Incomes'!EJ17/'C1-Incomes'!$EH17</f>
        <v>0.23079326382650608</v>
      </c>
      <c r="EJ15" s="59">
        <f>'C1-Incomes'!EK17/'C1-Incomes'!$EH17</f>
        <v>0.10831566363669641</v>
      </c>
      <c r="EK15" s="59">
        <f>'C1-Incomes'!EL17/'C1-Incomes'!$EH17</f>
        <v>7.9668654615692613E-2</v>
      </c>
      <c r="EL15" s="59">
        <f>'C1-Incomes'!EM17/'C1-Incomes'!$EH17</f>
        <v>3.9359852149493758E-2</v>
      </c>
      <c r="EM15" s="59">
        <f>'C1-Incomes'!EN17/'C1-Incomes'!$EH17</f>
        <v>1.4608905512387822E-2</v>
      </c>
      <c r="EN15" s="59"/>
      <c r="EO15" s="59"/>
      <c r="EP15" s="59">
        <f>'C1-Incomes'!EQ17/'C1-Incomes'!$EH17</f>
        <v>0.34142212191306698</v>
      </c>
      <c r="EQ15" s="59">
        <f>'C1-Incomes'!ER17/'C1-Incomes'!$EH17</f>
        <v>0.23581687581098273</v>
      </c>
      <c r="ER15" s="59">
        <f>'C1-Incomes'!ES17/'C1-Incomes'!$EH17</f>
        <v>0.10927716940373536</v>
      </c>
      <c r="ES15" s="59">
        <f>'C1-Incomes'!ET17/'C1-Incomes'!$EH17</f>
        <v>8.0338352352890885E-2</v>
      </c>
      <c r="ET15" s="59">
        <f>'C1-Incomes'!EU17/'C1-Incomes'!$EH17</f>
        <v>3.9538273737481255E-2</v>
      </c>
      <c r="EU15" s="59">
        <f>'C1-Incomes'!EV17/'C1-Incomes'!$EH17</f>
        <v>1.4638692785346345E-2</v>
      </c>
      <c r="EV15" s="59"/>
      <c r="EW15" s="59"/>
      <c r="EX15" s="59">
        <f>'C1-Incomes'!EY17/'C1-Incomes'!$EX17</f>
        <v>0.3235824944093259</v>
      </c>
      <c r="EY15" s="59">
        <f>'C1-Incomes'!EZ17/'C1-Incomes'!$EX17</f>
        <v>0.2218712127872926</v>
      </c>
      <c r="EZ15" s="59">
        <f>'C1-Incomes'!FA17/'C1-Incomes'!$EX17</f>
        <v>0.10106026471086935</v>
      </c>
      <c r="FA15" s="59">
        <f>'C1-Incomes'!FB17/'C1-Incomes'!$EX17</f>
        <v>7.3999116335322704E-2</v>
      </c>
      <c r="FB15" s="59">
        <f>'C1-Incomes'!FC17/'C1-Incomes'!$EX17</f>
        <v>3.614239633533483E-2</v>
      </c>
      <c r="FC15" s="59">
        <f>'C1-Incomes'!FD17/'C1-Incomes'!$EX17</f>
        <v>1.3334050314208772E-2</v>
      </c>
      <c r="FD15" s="59"/>
      <c r="FF15" s="59">
        <f>'C1-Incomes'!FG17/'C1-Incomes'!$FF17</f>
        <v>0.31574212752566944</v>
      </c>
      <c r="FG15" s="59">
        <f>'C1-Incomes'!FH17/'C1-Incomes'!$FF17</f>
        <v>0.21640636554569712</v>
      </c>
      <c r="FH15" s="59">
        <f>'C1-Incomes'!FI17/'C1-Incomes'!$FF17</f>
        <v>9.8424345886577072E-2</v>
      </c>
      <c r="FI15" s="59">
        <f>'C1-Incomes'!FJ17/'C1-Incomes'!$FF17</f>
        <v>7.200181197407747E-2</v>
      </c>
      <c r="FJ15" s="59">
        <f>'C1-Incomes'!FK17/'C1-Incomes'!$FF17</f>
        <v>3.5095185643772848E-2</v>
      </c>
      <c r="FK15" s="59">
        <f>'C1-Incomes'!FL17/'C1-Incomes'!$FF17</f>
        <v>1.2937713785224571E-2</v>
      </c>
      <c r="FN15" s="59">
        <f>'C1-Incomes'!FO17/'C1-Incomes'!$FN17</f>
        <v>0.31500648363527023</v>
      </c>
      <c r="FO15" s="59">
        <f>'C1-Incomes'!FP17/'C1-Incomes'!$FN17</f>
        <v>0.21587676392884195</v>
      </c>
      <c r="FP15" s="59">
        <f>'C1-Incomes'!FQ17/'C1-Incomes'!$FN17</f>
        <v>9.8179339061149978E-2</v>
      </c>
      <c r="FQ15" s="59">
        <f>'C1-Incomes'!FR17/'C1-Incomes'!$FN17</f>
        <v>7.1821958538603209E-2</v>
      </c>
      <c r="FR15" s="59">
        <f>'C1-Incomes'!FS17/'C1-Incomes'!$FN17</f>
        <v>3.5007375567754156E-2</v>
      </c>
      <c r="FS15" s="59">
        <f>'C1-Incomes'!FT17/'C1-Incomes'!$FN17</f>
        <v>1.2905333690602205E-2</v>
      </c>
      <c r="FV15" s="59">
        <f>'C1-Incomes'!FW17/'C1-Incomes'!$FV17</f>
        <v>0.31111991128462191</v>
      </c>
      <c r="FW15" s="59">
        <f>'C1-Incomes'!FX17/'C1-Incomes'!$FV17</f>
        <v>0.21308486874308596</v>
      </c>
      <c r="FX15" s="59">
        <f>'C1-Incomes'!FY17/'C1-Incomes'!$FV17</f>
        <v>9.682133586779261E-2</v>
      </c>
      <c r="FY15" s="59">
        <f>'C1-Incomes'!FZ17/'C1-Incomes'!$FV17</f>
        <v>7.0812484758950869E-2</v>
      </c>
      <c r="FZ15" s="59">
        <f>'C1-Incomes'!GA17/'C1-Incomes'!$FV17</f>
        <v>3.4505382043199626E-2</v>
      </c>
      <c r="GA15" s="59">
        <f>'C1-Incomes'!GB17/'C1-Incomes'!$FV17</f>
        <v>1.2718414388244927E-2</v>
      </c>
      <c r="GE15" s="59">
        <f>'C1-Incomes'!GF17/'C1-Incomes'!$GE17</f>
        <v>0.30988209340043016</v>
      </c>
      <c r="GF15" s="59">
        <f>'C1-Incomes'!GG17/'C1-Incomes'!$GE17</f>
        <v>0.21219040008541112</v>
      </c>
      <c r="GG15" s="59">
        <f>'C1-Incomes'!GH17/'C1-Incomes'!$GE17</f>
        <v>9.6343382472934946E-2</v>
      </c>
      <c r="GH15" s="59">
        <f>'C1-Incomes'!GI17/'C1-Incomes'!$GE17</f>
        <v>7.0448334589184466E-2</v>
      </c>
      <c r="GI15" s="59">
        <f>'C1-Incomes'!GJ17/'C1-Incomes'!$GE17</f>
        <v>3.4315231178733634E-2</v>
      </c>
      <c r="GJ15" s="59">
        <f>'C1-Incomes'!GK17/'C1-Incomes'!$GE17</f>
        <v>1.2643175998521215E-2</v>
      </c>
      <c r="GM15" s="59">
        <f>'C1-Incomes'!GN17/'C1-Incomes'!$GM17</f>
        <v>0.30719224916964566</v>
      </c>
      <c r="GN15" s="59">
        <f>'C1-Incomes'!GO17/'C1-Incomes'!$GM17</f>
        <v>0.21034854108273535</v>
      </c>
      <c r="GO15" s="59">
        <f>'C1-Incomes'!GP17/'C1-Incomes'!$GM17</f>
        <v>9.5507100877327486E-2</v>
      </c>
      <c r="GP15" s="59">
        <f>'C1-Incomes'!GQ17/'C1-Incomes'!$GM17</f>
        <v>6.9836827663167192E-2</v>
      </c>
      <c r="GQ15" s="59">
        <f>'C1-Incomes'!GR17/'C1-Incomes'!$GM17</f>
        <v>3.4017367479668971E-2</v>
      </c>
      <c r="GR15" s="59">
        <f>'C1-Incomes'!GS17/'C1-Incomes'!$GM17</f>
        <v>1.2533430470326174E-2</v>
      </c>
      <c r="GU15" s="59">
        <f>'C1-Incomes'!GV17/'C1-Incomes'!$GU17</f>
        <v>0.28567913739316403</v>
      </c>
      <c r="GV15" s="59">
        <f>'C1-Incomes'!GW17/'C1-Incomes'!$GU17</f>
        <v>0.19262798936524381</v>
      </c>
      <c r="GW15" s="59">
        <f>'C1-Incomes'!GX17/'C1-Incomes'!$GU17</f>
        <v>8.5060711488912949E-2</v>
      </c>
      <c r="GX15" s="59">
        <f>'C1-Incomes'!GY17/'C1-Incomes'!$GU17</f>
        <v>6.1748838281732804E-2</v>
      </c>
      <c r="GY15" s="59">
        <f>'C1-Incomes'!GZ17/'C1-Incomes'!$GU17</f>
        <v>2.9545687040634556E-2</v>
      </c>
      <c r="GZ15" s="59">
        <f>'C1-Incomes'!HA17/'C1-Incomes'!$GU17</f>
        <v>1.064745656541656E-2</v>
      </c>
      <c r="HC15" s="59">
        <f>'C1-Incomes'!HD17/'C1-Incomes'!$HC17</f>
        <v>0.28407647453686091</v>
      </c>
      <c r="HD15" s="59">
        <f>'C1-Incomes'!HE17/'C1-Incomes'!$HC17</f>
        <v>0.1910193936820557</v>
      </c>
      <c r="HE15" s="59">
        <f>'C1-Incomes'!HF17/'C1-Incomes'!$HC17</f>
        <v>8.4193633351275651E-2</v>
      </c>
      <c r="HF15" s="59">
        <f>'C1-Incomes'!HG17/'C1-Incomes'!$HC17</f>
        <v>6.1070257084016408E-2</v>
      </c>
      <c r="HG15" s="59">
        <f>'C1-Incomes'!HH17/'C1-Incomes'!$HC17</f>
        <v>2.915734310425799E-2</v>
      </c>
      <c r="HH15" s="59">
        <f>'C1-Incomes'!HI17/'C1-Incomes'!$HC17</f>
        <v>1.0501027871656105E-2</v>
      </c>
      <c r="HK15" s="59">
        <f>'C1-Incomes'!HL17/'C1-Incomes'!$HK17</f>
        <v>0.27410594988432491</v>
      </c>
      <c r="HL15" s="59">
        <f>'C1-Incomes'!HM17/'C1-Incomes'!$HK17</f>
        <v>0.18086400041544709</v>
      </c>
      <c r="HM15" s="59">
        <f>'C1-Incomes'!HN17/'C1-Incomes'!$HK17</f>
        <v>7.5430062211865337E-2</v>
      </c>
      <c r="HN15" s="59">
        <f>'C1-Incomes'!HO17/'C1-Incomes'!$HK17</f>
        <v>5.3539923900785824E-2</v>
      </c>
      <c r="HO15" s="59">
        <f>'C1-Incomes'!HP17/'C1-Incomes'!$HK17</f>
        <v>2.4634251666295643E-2</v>
      </c>
      <c r="HP15" s="59">
        <f>'C1-Incomes'!HQ17/'C1-Incomes'!$HK17</f>
        <v>8.6653577320140625E-3</v>
      </c>
      <c r="HS15" s="59">
        <f>'C1-Incomes'!HT17/'C1-Incomes'!$HS17</f>
        <v>0.26767499282688673</v>
      </c>
      <c r="HT15" s="59">
        <f>'C1-Incomes'!HU17/'C1-Incomes'!$HS17</f>
        <v>0.17503572120343336</v>
      </c>
      <c r="HU15" s="59">
        <f>'C1-Incomes'!HV17/'C1-Incomes'!$HS17</f>
        <v>7.117388177217919E-2</v>
      </c>
      <c r="HV15" s="59">
        <f>'C1-Incomes'!HW17/'C1-Incomes'!$HS17</f>
        <v>5.0119415250690268E-2</v>
      </c>
      <c r="HW15" s="59">
        <f>'C1-Incomes'!HX17/'C1-Incomes'!$HS17</f>
        <v>2.2838505979991635E-2</v>
      </c>
      <c r="HX15" s="59">
        <f>'C1-Incomes'!HY17/'C1-Incomes'!$HS17</f>
        <v>7.9739993086603584E-3</v>
      </c>
      <c r="IA15" s="59">
        <f>'C1-Incomes'!IB17/'C1-Incomes'!$IA17</f>
        <v>0.27309417858254953</v>
      </c>
      <c r="IB15" s="59">
        <f>'C1-Incomes'!IC17/'C1-Incomes'!$IA17</f>
        <v>0.18008565177463723</v>
      </c>
      <c r="IC15" s="59">
        <f>'C1-Incomes'!ID17/'C1-Incomes'!$IA17</f>
        <v>7.464889999859195E-2</v>
      </c>
      <c r="ID15" s="59">
        <f>'C1-Incomes'!IE17/'C1-Incomes'!$IA17</f>
        <v>5.2681612230331194E-2</v>
      </c>
      <c r="IE15" s="59">
        <f>'C1-Incomes'!IF17/'C1-Incomes'!$IA17</f>
        <v>2.409855170031739E-2</v>
      </c>
      <c r="IF15" s="59">
        <f>'C1-Incomes'!IG17/'C1-Incomes'!$IA17</f>
        <v>8.4337200194744295E-3</v>
      </c>
      <c r="II15" s="59">
        <f>'C1-Incomes'!IJ17/'C1-Incomes'!$II17</f>
        <v>0.27454357720881339</v>
      </c>
      <c r="IJ15" s="59">
        <f>'C1-Incomes'!IK17/'C1-Incomes'!$II17</f>
        <v>0.1822055859238472</v>
      </c>
      <c r="IK15" s="59">
        <f>'C1-Incomes'!IL17/'C1-Incomes'!$II17</f>
        <v>7.6729566627514512E-2</v>
      </c>
      <c r="IL15" s="59">
        <f>'C1-Incomes'!IM17/'C1-Incomes'!$II17</f>
        <v>5.4463111901567912E-2</v>
      </c>
      <c r="IM15" s="59">
        <f>'C1-Incomes'!IN17/'C1-Incomes'!$II17</f>
        <v>2.5099423110693127E-2</v>
      </c>
      <c r="IN15" s="59">
        <f>'C1-Incomes'!IO17/'C1-Incomes'!$II17</f>
        <v>8.8014935503180937E-3</v>
      </c>
      <c r="IQ15" s="59">
        <f>'C1-Incomes'!IR17/'C1-Incomes'!$IQ17</f>
        <v>0.27945724929126253</v>
      </c>
      <c r="IR15" s="59">
        <f>'C1-Incomes'!IS17/'C1-Incomes'!$IQ17</f>
        <v>0.18673634988666657</v>
      </c>
      <c r="IS15" s="59">
        <f>'C1-Incomes'!IT17/'C1-Incomes'!$IQ17</f>
        <v>7.990777545385834E-2</v>
      </c>
      <c r="IT15" s="59">
        <f>'C1-Incomes'!IU17/'C1-Incomes'!$IQ17</f>
        <v>5.6943365580503412E-2</v>
      </c>
      <c r="IU15" s="59">
        <f>'C1-Incomes'!IV17/'C1-Incomes'!$IQ17</f>
        <v>2.6375754449890758E-2</v>
      </c>
      <c r="IV15" s="59">
        <f>'C1-Incomes'!IW17/'C1-Incomes'!$IQ17</f>
        <v>9.2413454858608739E-3</v>
      </c>
      <c r="IY15" s="59">
        <f>'C1-Incomes'!IZ17/'C1-Incomes'!$IY17</f>
        <v>0.25926263599557298</v>
      </c>
      <c r="IZ15" s="59">
        <f>'C1-Incomes'!JA17/'C1-Incomes'!$IY17</f>
        <v>0.17180044098352021</v>
      </c>
      <c r="JA15" s="59">
        <f>'C1-Incomes'!JB17/'C1-Incomes'!$IY17</f>
        <v>7.2454336341204142E-2</v>
      </c>
      <c r="JB15" s="59">
        <f>'C1-Incomes'!JC17/'C1-Incomes'!$IY17</f>
        <v>5.1450235600119007E-2</v>
      </c>
      <c r="JC15" s="59">
        <f>'C1-Incomes'!JD17/'C1-Incomes'!$IY17</f>
        <v>2.3708336263691562E-2</v>
      </c>
      <c r="JD15" s="59">
        <f>'C1-Incomes'!JE17/'C1-Incomes'!$IY17</f>
        <v>8.2868720545658942E-3</v>
      </c>
      <c r="JE15" s="197"/>
      <c r="JF15" s="197"/>
      <c r="JG15" s="197"/>
      <c r="JH15" s="197"/>
      <c r="JI15" s="197"/>
      <c r="JJ15" s="197"/>
      <c r="JK15" s="197"/>
      <c r="JL15" s="197"/>
      <c r="JM15" s="197"/>
      <c r="JN15" s="197"/>
      <c r="JO15" s="197"/>
      <c r="JP15" s="197"/>
      <c r="JQ15" s="197"/>
      <c r="JR15" s="197"/>
      <c r="JS15" s="197"/>
      <c r="JT15" s="197"/>
      <c r="JU15" s="197"/>
      <c r="JV15" s="197"/>
      <c r="JW15" s="197"/>
      <c r="JX15" s="197"/>
      <c r="JY15" s="197"/>
      <c r="JZ15" s="197"/>
      <c r="KA15" s="197"/>
      <c r="KB15" s="197"/>
      <c r="KC15" s="197"/>
      <c r="KD15" s="197"/>
      <c r="KE15" s="197"/>
      <c r="KF15" s="197"/>
      <c r="KG15" s="197"/>
      <c r="KH15" s="197"/>
      <c r="KI15" s="197"/>
      <c r="KJ15" s="197"/>
      <c r="KK15" s="197"/>
      <c r="KL15" s="197"/>
      <c r="KM15" s="197"/>
      <c r="KN15" s="197"/>
      <c r="KO15" s="197"/>
      <c r="KP15" s="197"/>
      <c r="KQ15" s="197"/>
      <c r="KR15" s="197"/>
      <c r="KS15" s="197"/>
      <c r="KT15" s="197"/>
      <c r="KU15" s="197"/>
      <c r="KV15" s="197"/>
      <c r="KW15" s="197"/>
      <c r="KX15" s="197"/>
      <c r="KY15" s="197"/>
      <c r="KZ15" s="197"/>
      <c r="LA15" s="197"/>
      <c r="LB15" s="197"/>
      <c r="LC15" s="197"/>
      <c r="LD15" s="197"/>
      <c r="LE15" s="197"/>
      <c r="LF15" s="197"/>
      <c r="LG15" s="197"/>
      <c r="LH15" s="197"/>
      <c r="LI15" s="197"/>
      <c r="LJ15" s="197"/>
      <c r="LK15" s="197"/>
      <c r="LL15" s="197"/>
      <c r="LM15" s="197"/>
      <c r="LN15" s="197"/>
      <c r="LO15" s="197"/>
      <c r="LP15" s="197"/>
      <c r="LQ15" s="197"/>
      <c r="LR15" s="197"/>
      <c r="LS15" s="197"/>
      <c r="LT15" s="197"/>
      <c r="LU15" s="197"/>
      <c r="LV15" s="197"/>
      <c r="LW15" s="197"/>
      <c r="LX15" s="197"/>
      <c r="LY15" s="197"/>
      <c r="LZ15" s="197"/>
      <c r="MA15" s="197"/>
      <c r="MB15" s="197"/>
      <c r="MC15" s="197"/>
      <c r="MD15" s="197"/>
      <c r="ME15" s="197"/>
      <c r="MF15" s="197"/>
      <c r="MG15" s="197"/>
      <c r="MH15" s="197"/>
      <c r="MI15" s="197"/>
      <c r="MJ15" s="197"/>
      <c r="MK15" s="197"/>
      <c r="ML15" s="197"/>
      <c r="MM15" s="197"/>
      <c r="MN15" s="197"/>
      <c r="MO15" s="197"/>
      <c r="MP15" s="197"/>
      <c r="MQ15" s="197"/>
      <c r="MR15" s="197"/>
      <c r="MS15" s="197"/>
      <c r="MT15" s="197"/>
      <c r="MU15" s="197"/>
      <c r="MV15" s="197"/>
      <c r="MW15" s="197"/>
      <c r="MX15" s="197"/>
      <c r="MY15" s="197"/>
      <c r="MZ15" s="197"/>
      <c r="NA15" s="197"/>
      <c r="NB15" s="197"/>
      <c r="NC15" s="197"/>
      <c r="ND15" s="197"/>
      <c r="NE15" s="197"/>
      <c r="NF15" s="197"/>
      <c r="NG15" s="197"/>
      <c r="NH15" s="197"/>
      <c r="NI15" s="197"/>
      <c r="NJ15" s="197"/>
      <c r="NK15" s="197"/>
      <c r="NL15" s="197"/>
      <c r="NM15" s="197"/>
      <c r="NN15" s="197"/>
      <c r="NO15" s="197"/>
      <c r="NP15" s="197"/>
      <c r="NQ15" s="197"/>
      <c r="NR15" s="197"/>
      <c r="NS15" s="197"/>
      <c r="NT15" s="197"/>
      <c r="NU15" s="197"/>
      <c r="NV15" s="197"/>
      <c r="NW15" s="197"/>
      <c r="NX15" s="197"/>
      <c r="NY15" s="197"/>
      <c r="NZ15" s="197"/>
      <c r="OA15" s="197"/>
      <c r="OB15" s="197"/>
      <c r="OC15" s="197"/>
      <c r="OD15" s="197"/>
      <c r="OE15" s="197"/>
      <c r="OF15" s="197"/>
      <c r="OG15" s="197"/>
      <c r="OH15" s="197"/>
      <c r="OI15" s="197"/>
      <c r="OJ15" s="197"/>
      <c r="OK15" s="197"/>
      <c r="OL15" s="197"/>
      <c r="OM15" s="197"/>
      <c r="ON15" s="197"/>
      <c r="OO15" s="197"/>
      <c r="OP15" s="197"/>
      <c r="OQ15" s="197"/>
      <c r="OR15" s="197"/>
      <c r="OS15" s="197"/>
      <c r="OT15" s="197"/>
      <c r="OU15" s="197"/>
      <c r="OV15" s="197"/>
      <c r="OW15" s="197"/>
      <c r="OX15" s="197"/>
      <c r="OY15" s="197"/>
      <c r="OZ15" s="197"/>
      <c r="PA15" s="197"/>
      <c r="PB15" s="197"/>
    </row>
    <row r="16" spans="1:418" s="77" customFormat="1" ht="10.5" customHeight="1" x14ac:dyDescent="0.2">
      <c r="A16" s="48">
        <v>1970</v>
      </c>
      <c r="B16" s="59">
        <f>'C1-Incomes'!C18/'C1-Incomes'!$B18</f>
        <v>0.31596094815254877</v>
      </c>
      <c r="C16" s="59">
        <f>'C1-Incomes'!D18/'C1-Incomes'!$B18</f>
        <v>0.20447802210715432</v>
      </c>
      <c r="D16" s="59">
        <f>'C1-Incomes'!E18/'C1-Incomes'!$B18</f>
        <v>7.8046383165970817E-2</v>
      </c>
      <c r="E16" s="59">
        <f>'C1-Incomes'!F18/'C1-Incomes'!$B18</f>
        <v>5.1440219097273046E-2</v>
      </c>
      <c r="F16" s="59">
        <f>'C1-Incomes'!G18/'C1-Incomes'!$B18</f>
        <v>1.9203773038362119E-2</v>
      </c>
      <c r="G16" s="59">
        <f>'C1-Incomes'!H18/'C1-Incomes'!$B18</f>
        <v>5.1784351313688467E-3</v>
      </c>
      <c r="H16" s="199"/>
      <c r="J16" s="59">
        <f>'C1-Incomes'!K18/'C1-Incomes'!$J18</f>
        <v>0.31593808942955437</v>
      </c>
      <c r="K16" s="59">
        <f>'C1-Incomes'!L18/'C1-Incomes'!$J18</f>
        <v>0.21335235737708874</v>
      </c>
      <c r="L16" s="59">
        <f>'C1-Incomes'!M18/'C1-Incomes'!$J18</f>
        <v>9.3299155800116204E-2</v>
      </c>
      <c r="M16" s="59">
        <f>'C1-Incomes'!N18/'C1-Incomes'!$J18</f>
        <v>6.7161565255304576E-2</v>
      </c>
      <c r="N16" s="59">
        <f>'C1-Incomes'!O18/'C1-Incomes'!$J18</f>
        <v>3.207870569698875E-2</v>
      </c>
      <c r="O16" s="59">
        <f>'C1-Incomes'!P18/'C1-Incomes'!$J18</f>
        <v>1.1353069775497339E-2</v>
      </c>
      <c r="P16" s="59"/>
      <c r="R16" s="59">
        <f>'C1-Incomes'!S18/'C1-Incomes'!$R18</f>
        <v>0.2973079041600985</v>
      </c>
      <c r="S16" s="59">
        <f>'C1-Incomes'!T18/'C1-Incomes'!$R18</f>
        <v>0.20040900897752634</v>
      </c>
      <c r="T16" s="59">
        <f>'C1-Incomes'!U18/'C1-Incomes'!$R18</f>
        <v>8.742571198859439E-2</v>
      </c>
      <c r="U16" s="59">
        <f>'C1-Incomes'!V18/'C1-Incomes'!$R18</f>
        <v>6.2794202887166889E-2</v>
      </c>
      <c r="V16" s="59">
        <f>'C1-Incomes'!W18/'C1-Incomes'!$R18</f>
        <v>2.9897414571328017E-2</v>
      </c>
      <c r="W16" s="59">
        <f>'C1-Incomes'!X18/'C1-Incomes'!$R18</f>
        <v>1.0569012998627864E-2</v>
      </c>
      <c r="X16" s="59"/>
      <c r="Y16" s="59"/>
      <c r="Z16" s="59">
        <f>'C1-Incomes'!AA18/'C1-Incomes'!$Z18</f>
        <v>0.25019922161709224</v>
      </c>
      <c r="AA16" s="59">
        <f>'C1-Incomes'!AB18/'C1-Incomes'!$Z18</f>
        <v>0.16247377263975013</v>
      </c>
      <c r="AB16" s="59">
        <f>'C1-Incomes'!AC18/'C1-Incomes'!$Z18</f>
        <v>6.5568941024082714E-2</v>
      </c>
      <c r="AC16" s="59">
        <f>'C1-Incomes'!AD18/'C1-Incomes'!$Z18</f>
        <v>4.5457838927660872E-2</v>
      </c>
      <c r="AD16" s="59">
        <f>'C1-Incomes'!AE18/'C1-Incomes'!$Z18</f>
        <v>2.0361251085688491E-2</v>
      </c>
      <c r="AE16" s="59">
        <f>'C1-Incomes'!AF18/'C1-Incomes'!$Z18</f>
        <v>6.8907615548513433E-3</v>
      </c>
      <c r="AF16" s="200"/>
      <c r="AG16" s="195"/>
      <c r="AH16" s="59">
        <f>'C1-Incomes'!AI18/'C1-Incomes'!$AH18</f>
        <v>0.31688677613147725</v>
      </c>
      <c r="AI16" s="59">
        <f>'C1-Incomes'!AJ18/'C1-Incomes'!$AH18</f>
        <v>0.20437225574957643</v>
      </c>
      <c r="AJ16" s="59">
        <f>'C1-Incomes'!AK18/'C1-Incomes'!$AH18</f>
        <v>7.7660236109739322E-2</v>
      </c>
      <c r="AK16" s="59">
        <f>'C1-Incomes'!AL18/'C1-Incomes'!$AH18</f>
        <v>5.116170470657113E-2</v>
      </c>
      <c r="AL16" s="59">
        <f>'C1-Incomes'!AM18/'C1-Incomes'!$AH18</f>
        <v>1.9069860023010532E-2</v>
      </c>
      <c r="AM16" s="59">
        <f>'C1-Incomes'!AN18/'C1-Incomes'!$AH18</f>
        <v>5.1334762318709136E-3</v>
      </c>
      <c r="AN16" s="195"/>
      <c r="AO16" s="195"/>
      <c r="AP16" s="59">
        <f>'C1-Incomes'!AQ18/'C1-Incomes'!$AP18</f>
        <v>0.31750539369928604</v>
      </c>
      <c r="AQ16" s="59">
        <f>'C1-Incomes'!AR18/'C1-Incomes'!$AP18</f>
        <v>0.20525724355820524</v>
      </c>
      <c r="AR16" s="59">
        <f>'C1-Incomes'!AS18/'C1-Incomes'!$AP18</f>
        <v>7.8739083968077134E-2</v>
      </c>
      <c r="AS16" s="59">
        <f>'C1-Incomes'!AT18/'C1-Incomes'!$AP18</f>
        <v>5.2091793556978662E-2</v>
      </c>
      <c r="AT16" s="59">
        <f>'C1-Incomes'!AU18/'C1-Incomes'!$AP18</f>
        <v>1.9639341348983895E-2</v>
      </c>
      <c r="AU16" s="59">
        <f>'C1-Incomes'!AV18/'C1-Incomes'!$AP18</f>
        <v>5.377769472005486E-3</v>
      </c>
      <c r="AV16" s="197"/>
      <c r="AW16" s="60"/>
      <c r="AX16" s="59">
        <f>'C1-Incomes'!AY18/'C1-Incomes'!$AX18</f>
        <v>0.32050750709355919</v>
      </c>
      <c r="AY16" s="59">
        <f>'C1-Incomes'!AZ18/'C1-Incomes'!$AX18</f>
        <v>0.20869119448652629</v>
      </c>
      <c r="AZ16" s="59">
        <f>'C1-Incomes'!BA18/'C1-Incomes'!$AX18</f>
        <v>8.2093740787040612E-2</v>
      </c>
      <c r="BA16" s="59">
        <f>'C1-Incomes'!BB18/'C1-Incomes'!$AX18</f>
        <v>5.4821755798201505E-2</v>
      </c>
      <c r="BB16" s="59">
        <f>'C1-Incomes'!BC18/'C1-Incomes'!$AX18</f>
        <v>2.1083088288047294E-2</v>
      </c>
      <c r="BC16" s="59">
        <f>'C1-Incomes'!BD18/'C1-Incomes'!$AX18</f>
        <v>5.8645739300192895E-3</v>
      </c>
      <c r="BD16" s="60"/>
      <c r="BE16" s="60"/>
      <c r="BF16" s="59">
        <f>'C1-Incomes'!BG18/'C1-Incomes'!$BF18</f>
        <v>0.32038144622617121</v>
      </c>
      <c r="BG16" s="59">
        <f>'C1-Incomes'!BH18/'C1-Incomes'!$BF18</f>
        <v>0.20863057272229479</v>
      </c>
      <c r="BH16" s="59">
        <f>'C1-Incomes'!BI18/'C1-Incomes'!$BF18</f>
        <v>8.2024649945314054E-2</v>
      </c>
      <c r="BI16" s="59">
        <f>'C1-Incomes'!BJ18/'C1-Incomes'!$BF18</f>
        <v>5.4749736156518763E-2</v>
      </c>
      <c r="BJ16" s="59">
        <f>'C1-Incomes'!BK18/'C1-Incomes'!$BF18</f>
        <v>2.1022417941536045E-2</v>
      </c>
      <c r="BK16" s="59">
        <f>'C1-Incomes'!BL18/'C1-Incomes'!$BF18</f>
        <v>5.8365615497177293E-3</v>
      </c>
      <c r="BL16" s="59"/>
      <c r="BM16" s="59"/>
      <c r="BN16" s="59">
        <f>'C1-Incomes'!BO18/'C1-Incomes'!$BN18</f>
        <v>0.29819775421472589</v>
      </c>
      <c r="BO16" s="59">
        <f>'C1-Incomes'!BP18/'C1-Incomes'!$BN18</f>
        <v>0.1933806770458974</v>
      </c>
      <c r="BP16" s="59">
        <f>'C1-Incomes'!BQ18/'C1-Incomes'!$BN18</f>
        <v>7.4341140918063334E-2</v>
      </c>
      <c r="BQ16" s="59">
        <f>'C1-Incomes'!BR18/'C1-Incomes'!$BN18</f>
        <v>5.0316737998717637E-2</v>
      </c>
      <c r="BR16" s="59">
        <f>'C1-Incomes'!BS18/'C1-Incomes'!$BN18</f>
        <v>2.0634609445652964E-2</v>
      </c>
      <c r="BS16" s="59">
        <f>'C1-Incomes'!BT18/'C1-Incomes'!$BN18</f>
        <v>6.1165599606956538E-3</v>
      </c>
      <c r="BT16" s="59"/>
      <c r="BU16" s="59"/>
      <c r="BV16" s="59">
        <f>'C1-Incomes'!BW18/'C1-Incomes'!$BV18</f>
        <v>0.30026675336527753</v>
      </c>
      <c r="BW16" s="59">
        <f>'C1-Incomes'!BX18/'C1-Incomes'!$BV18</f>
        <v>0.19571246050602664</v>
      </c>
      <c r="BX16" s="59">
        <f>'C1-Incomes'!BY18/'C1-Incomes'!$BV18</f>
        <v>7.6548360653977784E-2</v>
      </c>
      <c r="BY16" s="59">
        <f>'C1-Incomes'!BZ18/'C1-Incomes'!$BV18</f>
        <v>5.2094065783793768E-2</v>
      </c>
      <c r="BZ16" s="59">
        <f>'C1-Incomes'!CA18/'C1-Incomes'!$BV18</f>
        <v>2.1657041619245532E-2</v>
      </c>
      <c r="CA16" s="59">
        <f>'C1-Incomes'!CB18/'C1-Incomes'!$BV18</f>
        <v>6.5525541399408388E-3</v>
      </c>
      <c r="CB16" s="60"/>
      <c r="CC16" s="198"/>
      <c r="CD16" s="59">
        <f>'C1-Incomes'!CE18/'C1-Incomes'!$CD18</f>
        <v>0.31520933390810901</v>
      </c>
      <c r="CE16" s="59">
        <f>'C1-Incomes'!CF18/'C1-Incomes'!$CD18</f>
        <v>0.21143861460638244</v>
      </c>
      <c r="CF16" s="59">
        <f>'C1-Incomes'!CG18/'C1-Incomes'!$CD18</f>
        <v>9.066620610031248E-2</v>
      </c>
      <c r="CG16" s="59">
        <f>'C1-Incomes'!CH18/'C1-Incomes'!$CD18</f>
        <v>6.4491424373008713E-2</v>
      </c>
      <c r="CH16" s="59">
        <f>'C1-Incomes'!CI18/'C1-Incomes'!$CD18</f>
        <v>2.976677078823178E-2</v>
      </c>
      <c r="CI16" s="59">
        <f>'C1-Incomes'!CJ18/'C1-Incomes'!$CD18</f>
        <v>1.0135568623462873E-2</v>
      </c>
      <c r="CL16" s="59">
        <f>'C1-Incomes'!CM18/'C1-Incomes'!$CL18</f>
        <v>0.32312935772001045</v>
      </c>
      <c r="CM16" s="59">
        <f>'C1-Incomes'!CN18/'C1-Incomes'!$CL18</f>
        <v>0.21958512477733522</v>
      </c>
      <c r="CN16" s="59">
        <f>'C1-Incomes'!CO18/'C1-Incomes'!$CL18</f>
        <v>9.7913440191029544E-2</v>
      </c>
      <c r="CO16" s="59">
        <f>'C1-Incomes'!CP18/'C1-Incomes'!$CL18</f>
        <v>7.0701840069878258E-2</v>
      </c>
      <c r="CP16" s="59">
        <f>'C1-Incomes'!CQ18/'C1-Incomes'!$CL18</f>
        <v>3.3725993599013897E-2</v>
      </c>
      <c r="CQ16" s="59">
        <f>'C1-Incomes'!CR18/'C1-Incomes'!$CL18</f>
        <v>1.1858148902279882E-2</v>
      </c>
      <c r="CR16" s="59"/>
      <c r="CS16" s="59"/>
      <c r="CT16" s="59">
        <f>'C1-Incomes'!CU18/'C1-Incomes'!$CT18</f>
        <v>0.32893381491922957</v>
      </c>
      <c r="CU16" s="59">
        <f>'C1-Incomes'!CV18/'C1-Incomes'!$CT18</f>
        <v>0.22527245986249222</v>
      </c>
      <c r="CV16" s="59">
        <f>'C1-Incomes'!CW18/'C1-Incomes'!$CT18</f>
        <v>0.1023637881461642</v>
      </c>
      <c r="CW16" s="59">
        <f>'C1-Incomes'!CX18/'C1-Incomes'!$CT18</f>
        <v>7.4452457466940916E-2</v>
      </c>
      <c r="CX16" s="59">
        <f>'C1-Incomes'!CY18/'C1-Incomes'!$CT18</f>
        <v>3.5886489483971398E-2</v>
      </c>
      <c r="CY16" s="59">
        <f>'C1-Incomes'!CZ18/'C1-Incomes'!$CT18</f>
        <v>1.2730346074582406E-2</v>
      </c>
      <c r="CZ16" s="59"/>
      <c r="DA16" s="59"/>
      <c r="DB16" s="59">
        <f>'C1-Incomes'!DC18/'C1-Incomes'!$DB18</f>
        <v>0.33198291563511034</v>
      </c>
      <c r="DC16" s="59">
        <f>'C1-Incomes'!DD18/'C1-Incomes'!$DB18</f>
        <v>0.22876543990351222</v>
      </c>
      <c r="DD16" s="59">
        <f>'C1-Incomes'!DE18/'C1-Incomes'!$DB18</f>
        <v>0.10556960499550036</v>
      </c>
      <c r="DE16" s="59">
        <f>'C1-Incomes'!DF18/'C1-Incomes'!$DB18</f>
        <v>7.7261997168467073E-2</v>
      </c>
      <c r="DF16" s="59">
        <f>'C1-Incomes'!DG18/'C1-Incomes'!$DB18</f>
        <v>3.7832943097744522E-2</v>
      </c>
      <c r="DG16" s="59">
        <f>'C1-Incomes'!DH18/'C1-Incomes'!$DB18</f>
        <v>1.359319534725003E-2</v>
      </c>
      <c r="DH16" s="59"/>
      <c r="DI16" s="1039"/>
      <c r="DJ16" s="59">
        <f>'C1-Incomes'!DK18/'C1-Incomes'!$DJ18</f>
        <v>0.33159791723375753</v>
      </c>
      <c r="DK16" s="59">
        <f>'C1-Incomes'!DL18/'C1-Incomes'!$DJ18</f>
        <v>0.22987897651813327</v>
      </c>
      <c r="DL16" s="59">
        <f>'C1-Incomes'!DM18/'C1-Incomes'!$DJ18</f>
        <v>0.10636908066315763</v>
      </c>
      <c r="DM16" s="59">
        <f>'C1-Incomes'!DN18/'C1-Incomes'!$DJ18</f>
        <v>7.7625325557306515E-2</v>
      </c>
      <c r="DN16" s="59">
        <f>'C1-Incomes'!DO18/'C1-Incomes'!$DJ18</f>
        <v>3.7778682005940506E-2</v>
      </c>
      <c r="DO16" s="59">
        <f>'C1-Incomes'!DP18/'C1-Incomes'!$DJ18</f>
        <v>1.353611381749939E-2</v>
      </c>
      <c r="DP16" s="696"/>
      <c r="DQ16" s="503"/>
      <c r="DR16" s="59">
        <f>'C1-Incomes'!DS18/'C1-Incomes'!$DR18</f>
        <v>0.32947801589212999</v>
      </c>
      <c r="DS16" s="59">
        <f>'C1-Incomes'!DT18/'C1-Incomes'!$DR18</f>
        <v>0.22770911641978389</v>
      </c>
      <c r="DT16" s="59">
        <f>'C1-Incomes'!DU18/'C1-Incomes'!$DR18</f>
        <v>0.10413267098475423</v>
      </c>
      <c r="DU16" s="59">
        <f>'C1-Incomes'!DV18/'C1-Incomes'!$DR18</f>
        <v>7.5787473523147145E-2</v>
      </c>
      <c r="DV16" s="59">
        <f>'C1-Incomes'!DW18/'C1-Incomes'!$DR18</f>
        <v>3.6679138421793406E-2</v>
      </c>
      <c r="DW16" s="59">
        <f>'C1-Incomes'!DX18/'C1-Incomes'!$DR18</f>
        <v>1.3109390281888518E-2</v>
      </c>
      <c r="DX16" s="333"/>
      <c r="DZ16" s="59">
        <f>'C1-Incomes'!EA18/'C1-Incomes'!$DZ18</f>
        <v>0.32452768667640447</v>
      </c>
      <c r="EA16" s="59">
        <f>'C1-Incomes'!EB18/'C1-Incomes'!$DZ18</f>
        <v>0.22312758149182105</v>
      </c>
      <c r="EB16" s="59">
        <f>'C1-Incomes'!EC18/'C1-Incomes'!$DZ18</f>
        <v>0.1014634305845898</v>
      </c>
      <c r="EC16" s="59">
        <f>'C1-Incomes'!ED18/'C1-Incomes'!$DZ18</f>
        <v>7.375609150063521E-2</v>
      </c>
      <c r="ED16" s="59">
        <f>'C1-Incomes'!EE18/'C1-Incomes'!$DZ18</f>
        <v>3.5659482320379299E-2</v>
      </c>
      <c r="EE16" s="59">
        <f>'C1-Incomes'!EF18/'C1-Incomes'!$DZ18</f>
        <v>1.2735022813213297E-2</v>
      </c>
      <c r="EF16" s="59"/>
      <c r="EH16" s="59">
        <f>'C1-Incomes'!EI18/'C1-Incomes'!$EH18</f>
        <v>0.32370606305529376</v>
      </c>
      <c r="EI16" s="59">
        <f>'C1-Incomes'!EJ18/'C1-Incomes'!$EH18</f>
        <v>0.22141350011047964</v>
      </c>
      <c r="EJ16" s="59">
        <f>'C1-Incomes'!EK18/'C1-Incomes'!$EH18</f>
        <v>9.9604069111316196E-2</v>
      </c>
      <c r="EK16" s="59">
        <f>'C1-Incomes'!EL18/'C1-Incomes'!$EH18</f>
        <v>7.2218682530161768E-2</v>
      </c>
      <c r="EL16" s="59">
        <f>'C1-Incomes'!EM18/'C1-Incomes'!$EH18</f>
        <v>3.4871975097790803E-2</v>
      </c>
      <c r="EM16" s="59">
        <f>'C1-Incomes'!EN18/'C1-Incomes'!$EH18</f>
        <v>1.2444302669937509E-2</v>
      </c>
      <c r="EN16" s="59"/>
      <c r="EO16" s="59"/>
      <c r="EP16" s="59">
        <f>'C1-Incomes'!EQ18/'C1-Incomes'!$EH18</f>
        <v>0.33385563549997832</v>
      </c>
      <c r="EQ16" s="59">
        <f>'C1-Incomes'!ER18/'C1-Incomes'!$EH18</f>
        <v>0.22711329470716032</v>
      </c>
      <c r="ER16" s="59">
        <f>'C1-Incomes'!ES18/'C1-Incomes'!$EH18</f>
        <v>0.10090734345770186</v>
      </c>
      <c r="ES16" s="59">
        <f>'C1-Incomes'!ET18/'C1-Incomes'!$EH18</f>
        <v>7.2927417312205645E-2</v>
      </c>
      <c r="ET16" s="59">
        <f>'C1-Incomes'!EU18/'C1-Incomes'!$EH18</f>
        <v>3.5101561463569998E-2</v>
      </c>
      <c r="EU16" s="59">
        <f>'C1-Incomes'!EV18/'C1-Incomes'!$EH18</f>
        <v>1.2473180243776307E-2</v>
      </c>
      <c r="EV16" s="59"/>
      <c r="EW16" s="59"/>
      <c r="EX16" s="59">
        <f>'C1-Incomes'!EY18/'C1-Incomes'!$EX18</f>
        <v>0.31593808942955437</v>
      </c>
      <c r="EY16" s="59">
        <f>'C1-Incomes'!EZ18/'C1-Incomes'!$EX18</f>
        <v>0.21335235737708874</v>
      </c>
      <c r="EZ16" s="59">
        <f>'C1-Incomes'!FA18/'C1-Incomes'!$EX18</f>
        <v>9.3299155800116204E-2</v>
      </c>
      <c r="FA16" s="59">
        <f>'C1-Incomes'!FB18/'C1-Incomes'!$EX18</f>
        <v>6.7161565255304576E-2</v>
      </c>
      <c r="FB16" s="59">
        <f>'C1-Incomes'!FC18/'C1-Incomes'!$EX18</f>
        <v>3.207870569698875E-2</v>
      </c>
      <c r="FC16" s="59">
        <f>'C1-Incomes'!FD18/'C1-Incomes'!$EX18</f>
        <v>1.1353069775497339E-2</v>
      </c>
      <c r="FD16" s="59"/>
      <c r="FF16" s="59">
        <f>'C1-Incomes'!FG18/'C1-Incomes'!$FF18</f>
        <v>0.3072045307869733</v>
      </c>
      <c r="FG16" s="59">
        <f>'C1-Incomes'!FH18/'C1-Incomes'!$FF18</f>
        <v>0.20736048241034277</v>
      </c>
      <c r="FH16" s="59">
        <f>'C1-Incomes'!FI18/'C1-Incomes'!$FF18</f>
        <v>9.0592411256250352E-2</v>
      </c>
      <c r="FI16" s="59">
        <f>'C1-Incomes'!FJ18/'C1-Incomes'!$FF18</f>
        <v>6.5117733091237223E-2</v>
      </c>
      <c r="FJ16" s="59">
        <f>'C1-Incomes'!FK18/'C1-Incomes'!$FF18</f>
        <v>3.1031164164900017E-2</v>
      </c>
      <c r="FK16" s="59">
        <f>'C1-Incomes'!FL18/'C1-Incomes'!$FF18</f>
        <v>1.0972798598860307E-2</v>
      </c>
      <c r="FN16" s="59">
        <f>'C1-Incomes'!FO18/'C1-Incomes'!$FN18</f>
        <v>0.30598232029385652</v>
      </c>
      <c r="FO16" s="59">
        <f>'C1-Incomes'!FP18/'C1-Incomes'!$FN18</f>
        <v>0.2064930111718084</v>
      </c>
      <c r="FP16" s="59">
        <f>'C1-Incomes'!FQ18/'C1-Incomes'!$FN18</f>
        <v>9.0206716324503583E-2</v>
      </c>
      <c r="FQ16" s="59">
        <f>'C1-Incomes'!FR18/'C1-Incomes'!$FN18</f>
        <v>6.4839464033368252E-2</v>
      </c>
      <c r="FR16" s="59">
        <f>'C1-Incomes'!FS18/'C1-Incomes'!$FN18</f>
        <v>3.0898315114687006E-2</v>
      </c>
      <c r="FS16" s="59">
        <f>'C1-Incomes'!FT18/'C1-Incomes'!$FN18</f>
        <v>1.0925807265321425E-2</v>
      </c>
      <c r="FV16" s="59">
        <f>'C1-Incomes'!FW18/'C1-Incomes'!$FV18</f>
        <v>0.30172110500135302</v>
      </c>
      <c r="FW16" s="59">
        <f>'C1-Incomes'!FX18/'C1-Incomes'!$FV18</f>
        <v>0.20348754797232838</v>
      </c>
      <c r="FX16" s="59">
        <f>'C1-Incomes'!FY18/'C1-Incomes'!$FV18</f>
        <v>8.8805884341200847E-2</v>
      </c>
      <c r="FY16" s="59">
        <f>'C1-Incomes'!FZ18/'C1-Incomes'!$FV18</f>
        <v>6.3816325715485261E-2</v>
      </c>
      <c r="FZ16" s="59">
        <f>'C1-Incomes'!GA18/'C1-Incomes'!$FV18</f>
        <v>3.0400491435880975E-2</v>
      </c>
      <c r="GA16" s="59">
        <f>'C1-Incomes'!GB18/'C1-Incomes'!$FV18</f>
        <v>1.0747892005365143E-2</v>
      </c>
      <c r="GE16" s="59">
        <f>'C1-Incomes'!GF18/'C1-Incomes'!$GE18</f>
        <v>0.30055583132952646</v>
      </c>
      <c r="GF16" s="59">
        <f>'C1-Incomes'!GG18/'C1-Incomes'!$GE18</f>
        <v>0.20259836841314272</v>
      </c>
      <c r="GG16" s="59">
        <f>'C1-Incomes'!GH18/'C1-Incomes'!$GE18</f>
        <v>8.8380790347767205E-2</v>
      </c>
      <c r="GH16" s="59">
        <f>'C1-Incomes'!GI18/'C1-Incomes'!$GE18</f>
        <v>6.3480195404641213E-2</v>
      </c>
      <c r="GI16" s="59">
        <f>'C1-Incomes'!GJ18/'C1-Incomes'!$GE18</f>
        <v>3.0224027566553253E-2</v>
      </c>
      <c r="GJ16" s="59">
        <f>'C1-Incomes'!GK18/'C1-Incomes'!$GE18</f>
        <v>1.0684473717942596E-2</v>
      </c>
      <c r="GM16" s="59">
        <f>'C1-Incomes'!GN18/'C1-Incomes'!$GM18</f>
        <v>0.2973079041600985</v>
      </c>
      <c r="GN16" s="59">
        <f>'C1-Incomes'!GO18/'C1-Incomes'!$GM18</f>
        <v>0.20040900897752634</v>
      </c>
      <c r="GO16" s="59">
        <f>'C1-Incomes'!GP18/'C1-Incomes'!$GM18</f>
        <v>8.742571198859439E-2</v>
      </c>
      <c r="GP16" s="59">
        <f>'C1-Incomes'!GQ18/'C1-Incomes'!$GM18</f>
        <v>6.2794202887166889E-2</v>
      </c>
      <c r="GQ16" s="59">
        <f>'C1-Incomes'!GR18/'C1-Incomes'!$GM18</f>
        <v>2.9897414571328017E-2</v>
      </c>
      <c r="GR16" s="59">
        <f>'C1-Incomes'!GS18/'C1-Incomes'!$GM18</f>
        <v>1.0569012998627864E-2</v>
      </c>
      <c r="GU16" s="59">
        <f>'C1-Incomes'!GV18/'C1-Incomes'!$GU18</f>
        <v>0.27841969581150056</v>
      </c>
      <c r="GV16" s="59">
        <f>'C1-Incomes'!GW18/'C1-Incomes'!$GU18</f>
        <v>0.18460805552398152</v>
      </c>
      <c r="GW16" s="59">
        <f>'C1-Incomes'!GX18/'C1-Incomes'!$GU18</f>
        <v>7.8417111029254263E-2</v>
      </c>
      <c r="GX16" s="59">
        <f>'C1-Incomes'!GY18/'C1-Incomes'!$GU18</f>
        <v>5.5885355776500362E-2</v>
      </c>
      <c r="GY16" s="59">
        <f>'C1-Incomes'!GZ18/'C1-Incomes'!$GU18</f>
        <v>2.6298351083236051E-2</v>
      </c>
      <c r="GZ16" s="59">
        <f>'C1-Incomes'!HA18/'C1-Incomes'!$GU18</f>
        <v>9.1622406822086579E-3</v>
      </c>
      <c r="HC16" s="59">
        <f>'C1-Incomes'!HD18/'C1-Incomes'!$HC18</f>
        <v>0.27641211847697761</v>
      </c>
      <c r="HD16" s="59">
        <f>'C1-Incomes'!HE18/'C1-Incomes'!$HC18</f>
        <v>0.18301302138070366</v>
      </c>
      <c r="HE16" s="59">
        <f>'C1-Incomes'!HF18/'C1-Incomes'!$HC18</f>
        <v>7.7464484353796575E-2</v>
      </c>
      <c r="HF16" s="59">
        <f>'C1-Incomes'!HG18/'C1-Incomes'!$HC18</f>
        <v>5.5026984584122612E-2</v>
      </c>
      <c r="HG16" s="59">
        <f>'C1-Incomes'!HH18/'C1-Incomes'!$HC18</f>
        <v>2.5870764421220518E-2</v>
      </c>
      <c r="HH16" s="59">
        <f>'C1-Incomes'!HI18/'C1-Incomes'!$HC18</f>
        <v>8.9952993959817196E-3</v>
      </c>
      <c r="HK16" s="59">
        <f>'C1-Incomes'!HL18/'C1-Incomes'!$HK18</f>
        <v>0.26883828126501008</v>
      </c>
      <c r="HL16" s="59">
        <f>'C1-Incomes'!HM18/'C1-Incomes'!$HK18</f>
        <v>0.1752152505604887</v>
      </c>
      <c r="HM16" s="59">
        <f>'C1-Incomes'!HN18/'C1-Incomes'!$HK18</f>
        <v>7.111954335039522E-2</v>
      </c>
      <c r="HN16" s="59">
        <f>'C1-Incomes'!HO18/'C1-Incomes'!$HK18</f>
        <v>4.9287965096672513E-2</v>
      </c>
      <c r="HO16" s="59">
        <f>'C1-Incomes'!HP18/'C1-Incomes'!$HK18</f>
        <v>2.2323106109819767E-2</v>
      </c>
      <c r="HP16" s="59">
        <f>'C1-Incomes'!HQ18/'C1-Incomes'!$HK18</f>
        <v>7.6014034494874807E-3</v>
      </c>
      <c r="HS16" s="59">
        <f>'C1-Incomes'!HT18/'C1-Incomes'!$HS18</f>
        <v>0.26290739879302366</v>
      </c>
      <c r="HT16" s="59">
        <f>'C1-Incomes'!HU18/'C1-Incomes'!$HS18</f>
        <v>0.16968206729302443</v>
      </c>
      <c r="HU16" s="59">
        <f>'C1-Incomes'!HV18/'C1-Incomes'!$HS18</f>
        <v>6.6983656161663865E-2</v>
      </c>
      <c r="HV16" s="59">
        <f>'C1-Incomes'!HW18/'C1-Incomes'!$HS18</f>
        <v>4.6133862842030755E-2</v>
      </c>
      <c r="HW16" s="59">
        <f>'C1-Incomes'!HX18/'C1-Incomes'!$HS18</f>
        <v>2.0494451744619023E-2</v>
      </c>
      <c r="HX16" s="59">
        <f>'C1-Incomes'!HY18/'C1-Incomes'!$HS18</f>
        <v>6.919949447471728E-3</v>
      </c>
      <c r="IA16" s="59">
        <f>'C1-Incomes'!IB18/'C1-Incomes'!$IA18</f>
        <v>0.26784831986022306</v>
      </c>
      <c r="IB16" s="59">
        <f>'C1-Incomes'!IC18/'C1-Incomes'!$IA18</f>
        <v>0.17418657670703394</v>
      </c>
      <c r="IC16" s="59">
        <f>'C1-Incomes'!ID18/'C1-Incomes'!$IA18</f>
        <v>6.9947685861984299E-2</v>
      </c>
      <c r="ID16" s="59">
        <f>'C1-Incomes'!IE18/'C1-Incomes'!$IA18</f>
        <v>4.8431512020504858E-2</v>
      </c>
      <c r="IE16" s="59">
        <f>'C1-Incomes'!IF18/'C1-Incomes'!$IA18</f>
        <v>2.1609615082545532E-2</v>
      </c>
      <c r="IF16" s="59">
        <f>'C1-Incomes'!IG18/'C1-Incomes'!$IA18</f>
        <v>7.3076356576304161E-3</v>
      </c>
      <c r="II16" s="59">
        <f>'C1-Incomes'!IJ18/'C1-Incomes'!$II18</f>
        <v>0.26908043380013053</v>
      </c>
      <c r="IJ16" s="59">
        <f>'C1-Incomes'!IK18/'C1-Incomes'!$II18</f>
        <v>0.17597974109034195</v>
      </c>
      <c r="IK16" s="59">
        <f>'C1-Incomes'!IL18/'C1-Incomes'!$II18</f>
        <v>7.1782450462713171E-2</v>
      </c>
      <c r="IL16" s="59">
        <f>'C1-Incomes'!IM18/'C1-Incomes'!$II18</f>
        <v>4.9842673620900724E-2</v>
      </c>
      <c r="IM16" s="59">
        <f>'C1-Incomes'!IN18/'C1-Incomes'!$II18</f>
        <v>2.2407358308427078E-2</v>
      </c>
      <c r="IN16" s="59">
        <f>'C1-Incomes'!IO18/'C1-Incomes'!$II18</f>
        <v>7.6078353571042224E-3</v>
      </c>
      <c r="IQ16" s="59">
        <f>'C1-Incomes'!IR18/'C1-Incomes'!$IQ18</f>
        <v>0.27015562414981359</v>
      </c>
      <c r="IR16" s="59">
        <f>'C1-Incomes'!IS18/'C1-Incomes'!$IQ18</f>
        <v>0.17694717388698106</v>
      </c>
      <c r="IS16" s="59">
        <f>'C1-Incomes'!IT18/'C1-Incomes'!$IQ18</f>
        <v>7.2458457706964907E-2</v>
      </c>
      <c r="IT16" s="59">
        <f>'C1-Incomes'!IU18/'C1-Incomes'!$IQ18</f>
        <v>5.0371729267774397E-2</v>
      </c>
      <c r="IU16" s="59">
        <f>'C1-Incomes'!IV18/'C1-Incomes'!$IQ18</f>
        <v>2.2698203691568875E-2</v>
      </c>
      <c r="IV16" s="59">
        <f>'C1-Incomes'!IW18/'C1-Incomes'!$IQ18</f>
        <v>7.7110900753961792E-3</v>
      </c>
      <c r="IY16" s="59">
        <f>'C1-Incomes'!IZ18/'C1-Incomes'!$IY18</f>
        <v>0.25019922161709224</v>
      </c>
      <c r="IZ16" s="59">
        <f>'C1-Incomes'!JA18/'C1-Incomes'!$IY18</f>
        <v>0.16247377263975013</v>
      </c>
      <c r="JA16" s="59">
        <f>'C1-Incomes'!JB18/'C1-Incomes'!$IY18</f>
        <v>6.5568941024082714E-2</v>
      </c>
      <c r="JB16" s="59">
        <f>'C1-Incomes'!JC18/'C1-Incomes'!$IY18</f>
        <v>4.5457838927660872E-2</v>
      </c>
      <c r="JC16" s="59">
        <f>'C1-Incomes'!JD18/'C1-Incomes'!$IY18</f>
        <v>2.0361251085688491E-2</v>
      </c>
      <c r="JD16" s="59">
        <f>'C1-Incomes'!JE18/'C1-Incomes'!$IY18</f>
        <v>6.8907615548513433E-3</v>
      </c>
      <c r="JE16" s="197"/>
      <c r="JF16" s="197"/>
      <c r="JG16" s="197"/>
      <c r="JH16" s="197"/>
      <c r="JI16" s="197"/>
      <c r="JJ16" s="197"/>
      <c r="JK16" s="197"/>
      <c r="JL16" s="197"/>
      <c r="JM16" s="197"/>
      <c r="JN16" s="197"/>
      <c r="JO16" s="197"/>
      <c r="JP16" s="197"/>
      <c r="JQ16" s="197"/>
      <c r="JR16" s="197"/>
      <c r="JS16" s="197"/>
      <c r="JT16" s="197"/>
      <c r="JU16" s="197"/>
      <c r="JV16" s="197"/>
      <c r="JW16" s="197"/>
      <c r="JX16" s="197"/>
      <c r="JY16" s="197"/>
      <c r="JZ16" s="197"/>
      <c r="KA16" s="197"/>
      <c r="KB16" s="197"/>
      <c r="KC16" s="197"/>
      <c r="KD16" s="197"/>
      <c r="KE16" s="197"/>
      <c r="KF16" s="197"/>
      <c r="KG16" s="197"/>
      <c r="KH16" s="197"/>
      <c r="KI16" s="197"/>
      <c r="KJ16" s="197"/>
      <c r="KK16" s="197"/>
      <c r="KL16" s="197"/>
      <c r="KM16" s="197"/>
      <c r="KN16" s="197"/>
      <c r="KO16" s="197"/>
      <c r="KP16" s="197"/>
      <c r="KQ16" s="197"/>
      <c r="KR16" s="197"/>
      <c r="KS16" s="197"/>
      <c r="KT16" s="197"/>
      <c r="KU16" s="197"/>
      <c r="KV16" s="197"/>
      <c r="KW16" s="197"/>
      <c r="KX16" s="197"/>
      <c r="KY16" s="197"/>
      <c r="KZ16" s="197"/>
      <c r="LA16" s="197"/>
      <c r="LB16" s="197"/>
      <c r="LC16" s="197"/>
      <c r="LD16" s="197"/>
      <c r="LE16" s="197"/>
      <c r="LF16" s="197"/>
      <c r="LG16" s="197"/>
      <c r="LH16" s="197"/>
      <c r="LI16" s="197"/>
      <c r="LJ16" s="197"/>
      <c r="LK16" s="197"/>
      <c r="LL16" s="197"/>
      <c r="LM16" s="197"/>
      <c r="LN16" s="197"/>
      <c r="LO16" s="197"/>
      <c r="LP16" s="197"/>
      <c r="LQ16" s="197"/>
      <c r="LR16" s="197"/>
      <c r="LS16" s="197"/>
      <c r="LT16" s="197"/>
      <c r="LU16" s="197"/>
      <c r="LV16" s="197"/>
      <c r="LW16" s="197"/>
      <c r="LX16" s="197"/>
      <c r="LY16" s="197"/>
      <c r="LZ16" s="197"/>
      <c r="MA16" s="197"/>
      <c r="MB16" s="197"/>
      <c r="MC16" s="197"/>
      <c r="MD16" s="197"/>
      <c r="ME16" s="197"/>
      <c r="MF16" s="197"/>
      <c r="MG16" s="197"/>
      <c r="MH16" s="197"/>
      <c r="MI16" s="197"/>
      <c r="MJ16" s="197"/>
      <c r="MK16" s="197"/>
      <c r="ML16" s="197"/>
      <c r="MM16" s="197"/>
      <c r="MN16" s="197"/>
      <c r="MO16" s="197"/>
      <c r="MP16" s="197"/>
      <c r="MQ16" s="197"/>
      <c r="MR16" s="197"/>
      <c r="MS16" s="197"/>
      <c r="MT16" s="197"/>
      <c r="MU16" s="197"/>
      <c r="MV16" s="197"/>
      <c r="MW16" s="197"/>
      <c r="MX16" s="197"/>
      <c r="MY16" s="197"/>
      <c r="MZ16" s="197"/>
      <c r="NA16" s="197"/>
      <c r="NB16" s="197"/>
      <c r="NC16" s="197"/>
      <c r="ND16" s="197"/>
      <c r="NE16" s="197"/>
      <c r="NF16" s="197"/>
      <c r="NG16" s="197"/>
      <c r="NH16" s="197"/>
      <c r="NI16" s="197"/>
      <c r="NJ16" s="197"/>
      <c r="NK16" s="197"/>
      <c r="NL16" s="197"/>
      <c r="NM16" s="197"/>
      <c r="NN16" s="197"/>
      <c r="NO16" s="197"/>
      <c r="NP16" s="197"/>
      <c r="NQ16" s="197"/>
      <c r="NR16" s="197"/>
      <c r="NS16" s="197"/>
      <c r="NT16" s="197"/>
      <c r="NU16" s="197"/>
      <c r="NV16" s="197"/>
      <c r="NW16" s="197"/>
      <c r="NX16" s="197"/>
      <c r="NY16" s="197"/>
      <c r="NZ16" s="197"/>
      <c r="OA16" s="197"/>
      <c r="OB16" s="197"/>
      <c r="OC16" s="197"/>
      <c r="OD16" s="197"/>
      <c r="OE16" s="197"/>
      <c r="OF16" s="197"/>
      <c r="OG16" s="197"/>
      <c r="OH16" s="197"/>
      <c r="OI16" s="197"/>
      <c r="OJ16" s="197"/>
      <c r="OK16" s="197"/>
      <c r="OL16" s="197"/>
      <c r="OM16" s="197"/>
      <c r="ON16" s="197"/>
      <c r="OO16" s="197"/>
      <c r="OP16" s="197"/>
      <c r="OQ16" s="197"/>
      <c r="OR16" s="197"/>
      <c r="OS16" s="197"/>
      <c r="OT16" s="197"/>
      <c r="OU16" s="197"/>
      <c r="OV16" s="197"/>
      <c r="OW16" s="197"/>
      <c r="OX16" s="197"/>
      <c r="OY16" s="197"/>
      <c r="OZ16" s="197"/>
      <c r="PA16" s="197"/>
      <c r="PB16" s="197"/>
    </row>
    <row r="17" spans="1:418" s="77" customFormat="1" ht="10.5" customHeight="1" x14ac:dyDescent="0.2">
      <c r="A17" s="48">
        <v>1971</v>
      </c>
      <c r="B17" s="59">
        <f>'C1-Incomes'!C19/'C1-Incomes'!$B19</f>
        <v>0.31919932645777155</v>
      </c>
      <c r="C17" s="59">
        <f>'C1-Incomes'!D19/'C1-Incomes'!$B19</f>
        <v>0.20604476937330343</v>
      </c>
      <c r="D17" s="59">
        <f>'C1-Incomes'!E19/'C1-Incomes'!$B19</f>
        <v>7.8167691934429628E-2</v>
      </c>
      <c r="E17" s="59">
        <f>'C1-Incomes'!F19/'C1-Incomes'!$B19</f>
        <v>5.1342368846186787E-2</v>
      </c>
      <c r="F17" s="59">
        <f>'C1-Incomes'!G19/'C1-Incomes'!$B19</f>
        <v>1.911245146978495E-2</v>
      </c>
      <c r="G17" s="59">
        <f>'C1-Incomes'!H19/'C1-Incomes'!$B19</f>
        <v>5.168142911326507E-3</v>
      </c>
      <c r="H17" s="199"/>
      <c r="J17" s="59">
        <f>'C1-Incomes'!K19/'C1-Incomes'!$J19</f>
        <v>0.32241885409564053</v>
      </c>
      <c r="K17" s="59">
        <f>'C1-Incomes'!L19/'C1-Incomes'!$J19</f>
        <v>0.21810522788732364</v>
      </c>
      <c r="L17" s="59">
        <f>'C1-Incomes'!M19/'C1-Incomes'!$J19</f>
        <v>9.6309616480635699E-2</v>
      </c>
      <c r="M17" s="59">
        <f>'C1-Incomes'!N19/'C1-Incomes'!$J19</f>
        <v>6.9925322177758861E-2</v>
      </c>
      <c r="N17" s="59">
        <f>'C1-Incomes'!O19/'C1-Incomes'!$J19</f>
        <v>3.3948900732679498E-2</v>
      </c>
      <c r="O17" s="59">
        <f>'C1-Incomes'!P19/'C1-Incomes'!$J19</f>
        <v>1.2061498978424533E-2</v>
      </c>
      <c r="P17" s="59"/>
      <c r="R17" s="59">
        <f>'C1-Incomes'!S19/'C1-Incomes'!$R19</f>
        <v>0.30148254742519137</v>
      </c>
      <c r="S17" s="59">
        <f>'C1-Incomes'!T19/'C1-Incomes'!$R19</f>
        <v>0.20354503460985346</v>
      </c>
      <c r="T17" s="59">
        <f>'C1-Incomes'!U19/'C1-Incomes'!$R19</f>
        <v>8.960980370049855E-2</v>
      </c>
      <c r="U17" s="59">
        <f>'C1-Incomes'!V19/'C1-Incomes'!$R19</f>
        <v>6.4994404163050759E-2</v>
      </c>
      <c r="V17" s="59">
        <f>'C1-Incomes'!W19/'C1-Incomes'!$R19</f>
        <v>3.1427045123253131E-2</v>
      </c>
      <c r="W17" s="59">
        <f>'C1-Incomes'!X19/'C1-Incomes'!$R19</f>
        <v>1.1146687779377957E-2</v>
      </c>
      <c r="X17" s="59"/>
      <c r="Y17" s="59"/>
      <c r="Z17" s="59">
        <f>'C1-Incomes'!AA19/'C1-Incomes'!$Z19</f>
        <v>0.25324420564344213</v>
      </c>
      <c r="AA17" s="59">
        <f>'C1-Incomes'!AB19/'C1-Incomes'!$Z19</f>
        <v>0.16518111878576816</v>
      </c>
      <c r="AB17" s="59">
        <f>'C1-Incomes'!AC19/'C1-Incomes'!$Z19</f>
        <v>6.7289153268485863E-2</v>
      </c>
      <c r="AC17" s="59">
        <f>'C1-Incomes'!AD19/'C1-Incomes'!$Z19</f>
        <v>4.7381187345692521E-2</v>
      </c>
      <c r="AD17" s="59">
        <f>'C1-Incomes'!AE19/'C1-Incomes'!$Z19</f>
        <v>2.177742819448681E-2</v>
      </c>
      <c r="AE17" s="59">
        <f>'C1-Incomes'!AF19/'C1-Incomes'!$Z19</f>
        <v>7.3840153592163848E-3</v>
      </c>
      <c r="AF17" s="200"/>
      <c r="AG17" s="195"/>
      <c r="AH17" s="59">
        <f>'C1-Incomes'!AI19/'C1-Incomes'!$AH19</f>
        <v>0.32013393459239231</v>
      </c>
      <c r="AI17" s="59">
        <f>'C1-Incomes'!AJ19/'C1-Incomes'!$AH19</f>
        <v>0.20607069395781979</v>
      </c>
      <c r="AJ17" s="59">
        <f>'C1-Incomes'!AK19/'C1-Incomes'!$AH19</f>
        <v>7.7915182155443283E-2</v>
      </c>
      <c r="AK17" s="59">
        <f>'C1-Incomes'!AL19/'C1-Incomes'!$AH19</f>
        <v>5.1168695316292465E-2</v>
      </c>
      <c r="AL17" s="59">
        <f>'C1-Incomes'!AM19/'C1-Incomes'!$AH19</f>
        <v>1.9058775227125044E-2</v>
      </c>
      <c r="AM17" s="59">
        <f>'C1-Incomes'!AN19/'C1-Incomes'!$AH19</f>
        <v>5.1647992117630189E-3</v>
      </c>
      <c r="AN17" s="195"/>
      <c r="AO17" s="195"/>
      <c r="AP17" s="59">
        <f>'C1-Incomes'!AQ19/'C1-Incomes'!$AP19</f>
        <v>0.32092122202322582</v>
      </c>
      <c r="AQ17" s="59">
        <f>'C1-Incomes'!AR19/'C1-Incomes'!$AP19</f>
        <v>0.20718650196848626</v>
      </c>
      <c r="AR17" s="59">
        <f>'C1-Incomes'!AS19/'C1-Incomes'!$AP19</f>
        <v>7.9277451036189911E-2</v>
      </c>
      <c r="AS17" s="59">
        <f>'C1-Incomes'!AT19/'C1-Incomes'!$AP19</f>
        <v>5.2354534775640386E-2</v>
      </c>
      <c r="AT17" s="59">
        <f>'C1-Incomes'!AU19/'C1-Incomes'!$AP19</f>
        <v>1.9738000406227616E-2</v>
      </c>
      <c r="AU17" s="59">
        <f>'C1-Incomes'!AV19/'C1-Incomes'!$AP19</f>
        <v>5.4367880116836225E-3</v>
      </c>
      <c r="AV17" s="197"/>
      <c r="AW17" s="60"/>
      <c r="AX17" s="59">
        <f>'C1-Incomes'!AY19/'C1-Incomes'!$AX19</f>
        <v>0.324135441802688</v>
      </c>
      <c r="AY17" s="59">
        <f>'C1-Incomes'!AZ19/'C1-Incomes'!$AX19</f>
        <v>0.21085613891130631</v>
      </c>
      <c r="AZ17" s="59">
        <f>'C1-Incomes'!BA19/'C1-Incomes'!$AX19</f>
        <v>8.2840324470955129E-2</v>
      </c>
      <c r="BA17" s="59">
        <f>'C1-Incomes'!BB19/'C1-Incomes'!$AX19</f>
        <v>5.5263443686876246E-2</v>
      </c>
      <c r="BB17" s="59">
        <f>'C1-Incomes'!BC19/'C1-Incomes'!$AX19</f>
        <v>2.1296645374055217E-2</v>
      </c>
      <c r="BC17" s="59">
        <f>'C1-Incomes'!BD19/'C1-Incomes'!$AX19</f>
        <v>5.9607393563471077E-3</v>
      </c>
      <c r="BD17" s="60"/>
      <c r="BE17" s="60"/>
      <c r="BF17" s="59">
        <f>'C1-Incomes'!BG19/'C1-Incomes'!$BF19</f>
        <v>0.32384902065309401</v>
      </c>
      <c r="BG17" s="59">
        <f>'C1-Incomes'!BH19/'C1-Incomes'!$BF19</f>
        <v>0.2106804407657491</v>
      </c>
      <c r="BH17" s="59">
        <f>'C1-Incomes'!BI19/'C1-Incomes'!$BF19</f>
        <v>8.2681217733976076E-2</v>
      </c>
      <c r="BI17" s="59">
        <f>'C1-Incomes'!BJ19/'C1-Incomes'!$BF19</f>
        <v>5.5143348185446944E-2</v>
      </c>
      <c r="BJ17" s="59">
        <f>'C1-Incomes'!BK19/'C1-Incomes'!$BF19</f>
        <v>2.1220302205303437E-2</v>
      </c>
      <c r="BK17" s="59">
        <f>'C1-Incomes'!BL19/'C1-Incomes'!$BF19</f>
        <v>5.9143333693045261E-3</v>
      </c>
      <c r="BL17" s="59"/>
      <c r="BM17" s="59"/>
      <c r="BN17" s="59">
        <f>'C1-Incomes'!BO19/'C1-Incomes'!$BN19</f>
        <v>0.30047032813909025</v>
      </c>
      <c r="BO17" s="59">
        <f>'C1-Incomes'!BP19/'C1-Incomes'!$BN19</f>
        <v>0.19470215361561991</v>
      </c>
      <c r="BP17" s="59">
        <f>'C1-Incomes'!BQ19/'C1-Incomes'!$BN19</f>
        <v>7.423599001305331E-2</v>
      </c>
      <c r="BQ17" s="59">
        <f>'C1-Incomes'!BR19/'C1-Incomes'!$BN19</f>
        <v>4.9992401191417297E-2</v>
      </c>
      <c r="BR17" s="59">
        <f>'C1-Incomes'!BS19/'C1-Incomes'!$BN19</f>
        <v>2.066347920435815E-2</v>
      </c>
      <c r="BS17" s="59">
        <f>'C1-Incomes'!BT19/'C1-Incomes'!$BN19</f>
        <v>6.1081698917271991E-3</v>
      </c>
      <c r="BT17" s="59"/>
      <c r="BU17" s="59"/>
      <c r="BV17" s="59">
        <f>'C1-Incomes'!BW19/'C1-Incomes'!$BV19</f>
        <v>0.30271777187391008</v>
      </c>
      <c r="BW17" s="59">
        <f>'C1-Incomes'!BX19/'C1-Incomes'!$BV19</f>
        <v>0.19679661913443564</v>
      </c>
      <c r="BX17" s="59">
        <f>'C1-Incomes'!BY19/'C1-Incomes'!$BV19</f>
        <v>7.6113282297781026E-2</v>
      </c>
      <c r="BY17" s="59">
        <f>'C1-Incomes'!BZ19/'C1-Incomes'!$BV19</f>
        <v>5.1742402038296748E-2</v>
      </c>
      <c r="BZ17" s="59">
        <f>'C1-Incomes'!CA19/'C1-Incomes'!$BV19</f>
        <v>2.1736336086890302E-2</v>
      </c>
      <c r="CA17" s="59">
        <f>'C1-Incomes'!CB19/'C1-Incomes'!$BV19</f>
        <v>6.5067180845078234E-3</v>
      </c>
      <c r="CB17" s="60"/>
      <c r="CC17" s="198"/>
      <c r="CD17" s="59">
        <f>'C1-Incomes'!CE19/'C1-Incomes'!$CD19</f>
        <v>0.32167263290591008</v>
      </c>
      <c r="CE17" s="59">
        <f>'C1-Incomes'!CF19/'C1-Incomes'!$CD19</f>
        <v>0.21731324511900627</v>
      </c>
      <c r="CF17" s="59">
        <f>'C1-Incomes'!CG19/'C1-Incomes'!$CD19</f>
        <v>9.4215928472953125E-2</v>
      </c>
      <c r="CG17" s="59">
        <f>'C1-Incomes'!CH19/'C1-Incomes'!$CD19</f>
        <v>6.7645717192018617E-2</v>
      </c>
      <c r="CH17" s="59">
        <f>'C1-Incomes'!CI19/'C1-Incomes'!$CD19</f>
        <v>3.1876437303704798E-2</v>
      </c>
      <c r="CI17" s="59">
        <f>'C1-Incomes'!CJ19/'C1-Incomes'!$CD19</f>
        <v>1.0893118655000896E-2</v>
      </c>
      <c r="CL17" s="59">
        <f>'C1-Incomes'!CM19/'C1-Incomes'!$CL19</f>
        <v>0.32970645543095339</v>
      </c>
      <c r="CM17" s="59">
        <f>'C1-Incomes'!CN19/'C1-Incomes'!$CL19</f>
        <v>0.22589537955550526</v>
      </c>
      <c r="CN17" s="59">
        <f>'C1-Incomes'!CO19/'C1-Incomes'!$CL19</f>
        <v>0.10181610316348</v>
      </c>
      <c r="CO17" s="59">
        <f>'C1-Incomes'!CP19/'C1-Incomes'!$CL19</f>
        <v>7.429251847227579E-2</v>
      </c>
      <c r="CP17" s="59">
        <f>'C1-Incomes'!CQ19/'C1-Incomes'!$CL19</f>
        <v>3.6080416755802674E-2</v>
      </c>
      <c r="CQ17" s="59">
        <f>'C1-Incomes'!CR19/'C1-Incomes'!$CL19</f>
        <v>1.2674757382181399E-2</v>
      </c>
      <c r="CR17" s="59"/>
      <c r="CS17" s="59"/>
      <c r="CT17" s="59">
        <f>'C1-Incomes'!CU19/'C1-Incomes'!$CT19</f>
        <v>0.33534984869999568</v>
      </c>
      <c r="CU17" s="59">
        <f>'C1-Incomes'!CV19/'C1-Incomes'!$CT19</f>
        <v>0.23198184331231664</v>
      </c>
      <c r="CV17" s="59">
        <f>'C1-Incomes'!CW19/'C1-Incomes'!$CT19</f>
        <v>0.1066525977894575</v>
      </c>
      <c r="CW17" s="59">
        <f>'C1-Incomes'!CX19/'C1-Incomes'!$CT19</f>
        <v>7.81654564827792E-2</v>
      </c>
      <c r="CX17" s="59">
        <f>'C1-Incomes'!CY19/'C1-Incomes'!$CT19</f>
        <v>3.8298098859612453E-2</v>
      </c>
      <c r="CY17" s="59">
        <f>'C1-Incomes'!CZ19/'C1-Incomes'!$CT19</f>
        <v>1.3589652913778193E-2</v>
      </c>
      <c r="CZ17" s="59"/>
      <c r="DA17" s="59"/>
      <c r="DB17" s="59">
        <f>'C1-Incomes'!DC19/'C1-Incomes'!$DB19</f>
        <v>0.33879842306863006</v>
      </c>
      <c r="DC17" s="59">
        <f>'C1-Incomes'!DD19/'C1-Incomes'!$DB19</f>
        <v>0.23513416681217814</v>
      </c>
      <c r="DD17" s="59">
        <f>'C1-Incomes'!DE19/'C1-Incomes'!$DB19</f>
        <v>0.10979918439918999</v>
      </c>
      <c r="DE17" s="59">
        <f>'C1-Incomes'!DF19/'C1-Incomes'!$DB19</f>
        <v>8.111760142462085E-2</v>
      </c>
      <c r="DF17" s="59">
        <f>'C1-Incomes'!DG19/'C1-Incomes'!$DB19</f>
        <v>4.0236901213469185E-2</v>
      </c>
      <c r="DG17" s="59">
        <f>'C1-Incomes'!DH19/'C1-Incomes'!$DB19</f>
        <v>1.4508600449519666E-2</v>
      </c>
      <c r="DH17" s="59"/>
      <c r="DI17" s="1039"/>
      <c r="DJ17" s="59">
        <f>'C1-Incomes'!DK19/'C1-Incomes'!$DJ19</f>
        <v>0.33921415200938859</v>
      </c>
      <c r="DK17" s="59">
        <f>'C1-Incomes'!DL19/'C1-Incomes'!$DJ19</f>
        <v>0.23682919876581443</v>
      </c>
      <c r="DL17" s="59">
        <f>'C1-Incomes'!DM19/'C1-Incomes'!$DJ19</f>
        <v>0.11093835303866618</v>
      </c>
      <c r="DM17" s="59">
        <f>'C1-Incomes'!DN19/'C1-Incomes'!$DJ19</f>
        <v>8.1884981365547324E-2</v>
      </c>
      <c r="DN17" s="59">
        <f>'C1-Incomes'!DO19/'C1-Incomes'!$DJ19</f>
        <v>4.0457155270797157E-2</v>
      </c>
      <c r="DO17" s="59">
        <f>'C1-Incomes'!DP19/'C1-Incomes'!$DJ19</f>
        <v>1.4536518039111906E-2</v>
      </c>
      <c r="DP17" s="696"/>
      <c r="DQ17" s="503"/>
      <c r="DR17" s="59">
        <f>'C1-Incomes'!DS19/'C1-Incomes'!$DR19</f>
        <v>0.33664963552030386</v>
      </c>
      <c r="DS17" s="59">
        <f>'C1-Incomes'!DT19/'C1-Incomes'!$DR19</f>
        <v>0.23361677784755452</v>
      </c>
      <c r="DT17" s="59">
        <f>'C1-Incomes'!DU19/'C1-Incomes'!$DR19</f>
        <v>0.10819241843778195</v>
      </c>
      <c r="DU17" s="59">
        <f>'C1-Incomes'!DV19/'C1-Incomes'!$DR19</f>
        <v>7.9324921196609277E-2</v>
      </c>
      <c r="DV17" s="59">
        <f>'C1-Incomes'!DW19/'C1-Incomes'!$DR19</f>
        <v>3.9099979807948507E-2</v>
      </c>
      <c r="DW17" s="59">
        <f>'C1-Incomes'!DX19/'C1-Incomes'!$DR19</f>
        <v>1.4006093081893286E-2</v>
      </c>
      <c r="DX17" s="333"/>
      <c r="DZ17" s="59">
        <f>'C1-Incomes'!EA19/'C1-Incomes'!$DZ19</f>
        <v>0.33147319987356016</v>
      </c>
      <c r="EA17" s="59">
        <f>'C1-Incomes'!EB19/'C1-Incomes'!$DZ19</f>
        <v>0.22881444528668454</v>
      </c>
      <c r="EB17" s="59">
        <f>'C1-Incomes'!EC19/'C1-Incomes'!$DZ19</f>
        <v>0.10529878703749239</v>
      </c>
      <c r="EC17" s="59">
        <f>'C1-Incomes'!ED19/'C1-Incomes'!$DZ19</f>
        <v>7.7134043101937416E-2</v>
      </c>
      <c r="ED17" s="59">
        <f>'C1-Incomes'!EE19/'C1-Incomes'!$DZ19</f>
        <v>3.7921703048043175E-2</v>
      </c>
      <c r="EE17" s="59">
        <f>'C1-Incomes'!EF19/'C1-Incomes'!$DZ19</f>
        <v>1.358547243774768E-2</v>
      </c>
      <c r="EF17" s="59"/>
      <c r="EH17" s="59">
        <f>'C1-Incomes'!EI19/'C1-Incomes'!$EH19</f>
        <v>0.33053904221600239</v>
      </c>
      <c r="EI17" s="59">
        <f>'C1-Incomes'!EJ19/'C1-Incomes'!$EH19</f>
        <v>0.22663649497088625</v>
      </c>
      <c r="EJ17" s="59">
        <f>'C1-Incomes'!EK19/'C1-Incomes'!$EH19</f>
        <v>0.10322993856442476</v>
      </c>
      <c r="EK17" s="59">
        <f>'C1-Incomes'!EL19/'C1-Incomes'!$EH19</f>
        <v>7.5489975954813035E-2</v>
      </c>
      <c r="EL17" s="59">
        <f>'C1-Incomes'!EM19/'C1-Incomes'!$EH19</f>
        <v>3.7099946784612023E-2</v>
      </c>
      <c r="EM17" s="59">
        <f>'C1-Incomes'!EN19/'C1-Incomes'!$EH19</f>
        <v>1.3271086232648031E-2</v>
      </c>
      <c r="EN17" s="59"/>
      <c r="EO17" s="59"/>
      <c r="EP17" s="59">
        <f>'C1-Incomes'!EQ19/'C1-Incomes'!$EH19</f>
        <v>0.3416909149678049</v>
      </c>
      <c r="EQ17" s="59">
        <f>'C1-Incomes'!ER19/'C1-Incomes'!$EH19</f>
        <v>0.23263555341711839</v>
      </c>
      <c r="ER17" s="59">
        <f>'C1-Incomes'!ES19/'C1-Incomes'!$EH19</f>
        <v>0.10446793066039443</v>
      </c>
      <c r="ES17" s="59">
        <f>'C1-Incomes'!ET19/'C1-Incomes'!$EH19</f>
        <v>7.624542056593045E-2</v>
      </c>
      <c r="ET17" s="59">
        <f>'C1-Incomes'!EU19/'C1-Incomes'!$EH19</f>
        <v>3.7271203915717477E-2</v>
      </c>
      <c r="EU17" s="59">
        <f>'C1-Incomes'!EV19/'C1-Incomes'!$EH19</f>
        <v>1.3303518708458549E-2</v>
      </c>
      <c r="EV17" s="59"/>
      <c r="EW17" s="59"/>
      <c r="EX17" s="59">
        <f>'C1-Incomes'!EY19/'C1-Incomes'!$EX19</f>
        <v>0.32241885409564053</v>
      </c>
      <c r="EY17" s="59">
        <f>'C1-Incomes'!EZ19/'C1-Incomes'!$EX19</f>
        <v>0.21810522788732364</v>
      </c>
      <c r="EZ17" s="59">
        <f>'C1-Incomes'!FA19/'C1-Incomes'!$EX19</f>
        <v>9.6309616480635699E-2</v>
      </c>
      <c r="FA17" s="59">
        <f>'C1-Incomes'!FB19/'C1-Incomes'!$EX19</f>
        <v>6.9925322177758861E-2</v>
      </c>
      <c r="FB17" s="59">
        <f>'C1-Incomes'!FC19/'C1-Incomes'!$EX19</f>
        <v>3.3948900732679498E-2</v>
      </c>
      <c r="FC17" s="59">
        <f>'C1-Incomes'!FD19/'C1-Incomes'!$EX19</f>
        <v>1.2061498978424533E-2</v>
      </c>
      <c r="FD17" s="59"/>
      <c r="FF17" s="59">
        <f>'C1-Incomes'!FG19/'C1-Incomes'!$FF19</f>
        <v>0.31281736340029787</v>
      </c>
      <c r="FG17" s="59">
        <f>'C1-Incomes'!FH19/'C1-Incomes'!$FF19</f>
        <v>0.21154673267743918</v>
      </c>
      <c r="FH17" s="59">
        <f>'C1-Incomes'!FI19/'C1-Incomes'!$FF19</f>
        <v>9.3287250929624602E-2</v>
      </c>
      <c r="FI17" s="59">
        <f>'C1-Incomes'!FJ19/'C1-Incomes'!$FF19</f>
        <v>6.7654776539174885E-2</v>
      </c>
      <c r="FJ17" s="59">
        <f>'C1-Incomes'!FK19/'C1-Incomes'!$FF19</f>
        <v>3.2754693170600875E-2</v>
      </c>
      <c r="FK17" s="59">
        <f>'C1-Incomes'!FL19/'C1-Incomes'!$FF19</f>
        <v>1.1626906216939558E-2</v>
      </c>
      <c r="FN17" s="59">
        <f>'C1-Incomes'!FO19/'C1-Incomes'!$FN19</f>
        <v>0.31112907461552813</v>
      </c>
      <c r="FO17" s="59">
        <f>'C1-Incomes'!FP19/'C1-Incomes'!$FN19</f>
        <v>0.21034728471162609</v>
      </c>
      <c r="FP17" s="59">
        <f>'C1-Incomes'!FQ19/'C1-Incomes'!$FN19</f>
        <v>9.2749116689237188E-2</v>
      </c>
      <c r="FQ17" s="59">
        <f>'C1-Incomes'!FR19/'C1-Incomes'!$FN19</f>
        <v>6.7263087343735067E-2</v>
      </c>
      <c r="FR17" s="59">
        <f>'C1-Incomes'!FS19/'C1-Incomes'!$FN19</f>
        <v>3.2564723756787074E-2</v>
      </c>
      <c r="FS17" s="59">
        <f>'C1-Incomes'!FT19/'C1-Incomes'!$FN19</f>
        <v>1.1559452338321966E-2</v>
      </c>
      <c r="FV17" s="59">
        <f>'C1-Incomes'!FW19/'C1-Incomes'!$FV19</f>
        <v>0.306469162160527</v>
      </c>
      <c r="FW17" s="59">
        <f>'C1-Incomes'!FX19/'C1-Incomes'!$FV19</f>
        <v>0.20706098431292944</v>
      </c>
      <c r="FX17" s="59">
        <f>'C1-Incomes'!FY19/'C1-Incomes'!$FV19</f>
        <v>9.1207140170582235E-2</v>
      </c>
      <c r="FY17" s="59">
        <f>'C1-Incomes'!FZ19/'C1-Incomes'!$FV19</f>
        <v>6.6127447366488165E-2</v>
      </c>
      <c r="FZ17" s="59">
        <f>'C1-Incomes'!GA19/'C1-Incomes'!$FV19</f>
        <v>3.2003955111424655E-2</v>
      </c>
      <c r="GA17" s="59">
        <f>'C1-Incomes'!GB19/'C1-Incomes'!$FV19</f>
        <v>1.1358430087379788E-2</v>
      </c>
      <c r="GE17" s="59">
        <f>'C1-Incomes'!GF19/'C1-Incomes'!$GE19</f>
        <v>0.3052880910377469</v>
      </c>
      <c r="GF17" s="59">
        <f>'C1-Incomes'!GG19/'C1-Incomes'!$GE19</f>
        <v>0.20611433592743347</v>
      </c>
      <c r="GG17" s="59">
        <f>'C1-Incomes'!GH19/'C1-Incomes'!$GE19</f>
        <v>9.0740927273014485E-2</v>
      </c>
      <c r="GH17" s="59">
        <f>'C1-Incomes'!GI19/'C1-Incomes'!$GE19</f>
        <v>6.5814813310203543E-2</v>
      </c>
      <c r="GI17" s="59">
        <f>'C1-Incomes'!GJ19/'C1-Incomes'!$GE19</f>
        <v>3.1823741356092165E-2</v>
      </c>
      <c r="GJ17" s="59">
        <f>'C1-Incomes'!GK19/'C1-Incomes'!$GE19</f>
        <v>1.1287389809536065E-2</v>
      </c>
      <c r="GM17" s="59">
        <f>'C1-Incomes'!GN19/'C1-Incomes'!$GM19</f>
        <v>0.30148254742519137</v>
      </c>
      <c r="GN17" s="59">
        <f>'C1-Incomes'!GO19/'C1-Incomes'!$GM19</f>
        <v>0.20354503460985346</v>
      </c>
      <c r="GO17" s="59">
        <f>'C1-Incomes'!GP19/'C1-Incomes'!$GM19</f>
        <v>8.960980370049855E-2</v>
      </c>
      <c r="GP17" s="59">
        <f>'C1-Incomes'!GQ19/'C1-Incomes'!$GM19</f>
        <v>6.4994404163050759E-2</v>
      </c>
      <c r="GQ17" s="59">
        <f>'C1-Incomes'!GR19/'C1-Incomes'!$GM19</f>
        <v>3.1427045123253131E-2</v>
      </c>
      <c r="GR17" s="59">
        <f>'C1-Incomes'!GS19/'C1-Incomes'!$GM19</f>
        <v>1.1146687779377957E-2</v>
      </c>
      <c r="GU17" s="59">
        <f>'C1-Incomes'!GV19/'C1-Incomes'!$GU19</f>
        <v>0.28333146025403766</v>
      </c>
      <c r="GV17" s="59">
        <f>'C1-Incomes'!GW19/'C1-Incomes'!$GU19</f>
        <v>0.18884260450446647</v>
      </c>
      <c r="GW17" s="59">
        <f>'C1-Incomes'!GX19/'C1-Incomes'!$GU19</f>
        <v>8.1340427059833964E-2</v>
      </c>
      <c r="GX17" s="59">
        <f>'C1-Incomes'!GY19/'C1-Incomes'!$GU19</f>
        <v>5.8393959784120618E-2</v>
      </c>
      <c r="GY17" s="59">
        <f>'C1-Incomes'!GZ19/'C1-Incomes'!$GU19</f>
        <v>2.8031798247559053E-2</v>
      </c>
      <c r="GZ17" s="59">
        <f>'C1-Incomes'!HA19/'C1-Incomes'!$GU19</f>
        <v>9.7604326335906638E-3</v>
      </c>
      <c r="HC17" s="59">
        <f>'C1-Incomes'!HD19/'C1-Incomes'!$HC19</f>
        <v>0.28137748931265372</v>
      </c>
      <c r="HD17" s="59">
        <f>'C1-Incomes'!HE19/'C1-Incomes'!$HC19</f>
        <v>0.18702470647525374</v>
      </c>
      <c r="HE17" s="59">
        <f>'C1-Incomes'!HF19/'C1-Incomes'!$HC19</f>
        <v>8.0310053933682207E-2</v>
      </c>
      <c r="HF17" s="59">
        <f>'C1-Incomes'!HG19/'C1-Incomes'!$HC19</f>
        <v>5.7631615333070881E-2</v>
      </c>
      <c r="HG17" s="59">
        <f>'C1-Incomes'!HH19/'C1-Incomes'!$HC19</f>
        <v>2.7695579536306605E-2</v>
      </c>
      <c r="HH17" s="59">
        <f>'C1-Incomes'!HI19/'C1-Incomes'!$HC19</f>
        <v>9.6062198087052963E-3</v>
      </c>
      <c r="HK17" s="59">
        <f>'C1-Incomes'!HL19/'C1-Incomes'!$HK19</f>
        <v>0.27344569936205737</v>
      </c>
      <c r="HL17" s="59">
        <f>'C1-Incomes'!HM19/'C1-Incomes'!$HK19</f>
        <v>0.17906214944089371</v>
      </c>
      <c r="HM17" s="59">
        <f>'C1-Incomes'!HN19/'C1-Incomes'!$HK19</f>
        <v>7.3646037726774763E-2</v>
      </c>
      <c r="HN17" s="59">
        <f>'C1-Incomes'!HO19/'C1-Incomes'!$HK19</f>
        <v>5.1853420599558012E-2</v>
      </c>
      <c r="HO17" s="59">
        <f>'C1-Incomes'!HP19/'C1-Incomes'!$HK19</f>
        <v>2.4071154274216276E-2</v>
      </c>
      <c r="HP17" s="59">
        <f>'C1-Incomes'!HQ19/'C1-Incomes'!$HK19</f>
        <v>8.1815820679068431E-3</v>
      </c>
      <c r="HS17" s="59">
        <f>'C1-Incomes'!HT19/'C1-Incomes'!$HS19</f>
        <v>0.26782890273779092</v>
      </c>
      <c r="HT17" s="59">
        <f>'C1-Incomes'!HU19/'C1-Incomes'!$HS19</f>
        <v>0.17381300462197943</v>
      </c>
      <c r="HU17" s="59">
        <f>'C1-Incomes'!HV19/'C1-Incomes'!$HS19</f>
        <v>6.966125863911389E-2</v>
      </c>
      <c r="HV17" s="59">
        <f>'C1-Incomes'!HW19/'C1-Incomes'!$HS19</f>
        <v>4.8885023836450985E-2</v>
      </c>
      <c r="HW17" s="59">
        <f>'C1-Incomes'!HX19/'C1-Incomes'!$HS19</f>
        <v>2.2362766290211469E-2</v>
      </c>
      <c r="HX17" s="59">
        <f>'C1-Incomes'!HY19/'C1-Incomes'!$HS19</f>
        <v>7.5659176795417104E-3</v>
      </c>
      <c r="IA17" s="59">
        <f>'C1-Incomes'!IB19/'C1-Incomes'!$IA19</f>
        <v>0.2726118499216385</v>
      </c>
      <c r="IB17" s="59">
        <f>'C1-Incomes'!IC19/'C1-Incomes'!$IA19</f>
        <v>0.17868762924378817</v>
      </c>
      <c r="IC17" s="59">
        <f>'C1-Incomes'!ID19/'C1-Incomes'!$IA19</f>
        <v>7.2911309145744868E-2</v>
      </c>
      <c r="ID17" s="59">
        <f>'C1-Incomes'!IE19/'C1-Incomes'!$IA19</f>
        <v>5.1337056100904423E-2</v>
      </c>
      <c r="IE17" s="59">
        <f>'C1-Incomes'!IF19/'C1-Incomes'!$IA19</f>
        <v>2.3592228663869442E-2</v>
      </c>
      <c r="IF17" s="59">
        <f>'C1-Incomes'!IG19/'C1-Incomes'!$IA19</f>
        <v>7.9998501393580487E-3</v>
      </c>
      <c r="II17" s="59">
        <f>'C1-Incomes'!IJ19/'C1-Incomes'!$II19</f>
        <v>0.27382041197001294</v>
      </c>
      <c r="IJ17" s="59">
        <f>'C1-Incomes'!IK19/'C1-Incomes'!$II19</f>
        <v>0.1804962977668513</v>
      </c>
      <c r="IK17" s="59">
        <f>'C1-Incomes'!IL19/'C1-Incomes'!$II19</f>
        <v>7.4769832930948646E-2</v>
      </c>
      <c r="IL17" s="59">
        <f>'C1-Incomes'!IM19/'C1-Incomes'!$II19</f>
        <v>5.2934595616937787E-2</v>
      </c>
      <c r="IM17" s="59">
        <f>'C1-Incomes'!IN19/'C1-Incomes'!$II19</f>
        <v>2.4491619918235424E-2</v>
      </c>
      <c r="IN17" s="59">
        <f>'C1-Incomes'!IO19/'C1-Incomes'!$II19</f>
        <v>8.3391311321284033E-3</v>
      </c>
      <c r="IQ17" s="59">
        <f>'C1-Incomes'!IR19/'C1-Incomes'!$IQ19</f>
        <v>0.27308776936663987</v>
      </c>
      <c r="IR17" s="59">
        <f>'C1-Incomes'!IS19/'C1-Incomes'!$IQ19</f>
        <v>0.17984442969104056</v>
      </c>
      <c r="IS17" s="59">
        <f>'C1-Incomes'!IT19/'C1-Incomes'!$IQ19</f>
        <v>7.4315939027448361E-2</v>
      </c>
      <c r="IT17" s="59">
        <f>'C1-Incomes'!IU19/'C1-Incomes'!$IQ19</f>
        <v>5.2572134286182473E-2</v>
      </c>
      <c r="IU17" s="59">
        <f>'C1-Incomes'!IV19/'C1-Incomes'!$IQ19</f>
        <v>2.429225620201696E-2</v>
      </c>
      <c r="IV17" s="59">
        <f>'C1-Incomes'!IW19/'C1-Incomes'!$IQ19</f>
        <v>8.2689164027399589E-3</v>
      </c>
      <c r="IY17" s="59">
        <f>'C1-Incomes'!IZ19/'C1-Incomes'!$IY19</f>
        <v>0.25324420564344213</v>
      </c>
      <c r="IZ17" s="59">
        <f>'C1-Incomes'!JA19/'C1-Incomes'!$IY19</f>
        <v>0.16518111878576816</v>
      </c>
      <c r="JA17" s="59">
        <f>'C1-Incomes'!JB19/'C1-Incomes'!$IY19</f>
        <v>6.7289153268485863E-2</v>
      </c>
      <c r="JB17" s="59">
        <f>'C1-Incomes'!JC19/'C1-Incomes'!$IY19</f>
        <v>4.7381187345692521E-2</v>
      </c>
      <c r="JC17" s="59">
        <f>'C1-Incomes'!JD19/'C1-Incomes'!$IY19</f>
        <v>2.177742819448681E-2</v>
      </c>
      <c r="JD17" s="59">
        <f>'C1-Incomes'!JE19/'C1-Incomes'!$IY19</f>
        <v>7.3840153592163848E-3</v>
      </c>
      <c r="JE17" s="197"/>
      <c r="JF17" s="197"/>
      <c r="JG17" s="197"/>
      <c r="JH17" s="197"/>
      <c r="JI17" s="197"/>
      <c r="JJ17" s="197"/>
      <c r="JK17" s="197"/>
      <c r="JL17" s="197"/>
      <c r="JM17" s="197"/>
      <c r="JN17" s="197"/>
      <c r="JO17" s="197"/>
      <c r="JP17" s="197"/>
      <c r="JQ17" s="197"/>
      <c r="JR17" s="197"/>
      <c r="JS17" s="197"/>
      <c r="JT17" s="197"/>
      <c r="JU17" s="197"/>
      <c r="JV17" s="197"/>
      <c r="JW17" s="197"/>
      <c r="JX17" s="197"/>
      <c r="JY17" s="197"/>
      <c r="JZ17" s="197"/>
      <c r="KA17" s="197"/>
      <c r="KB17" s="197"/>
      <c r="KC17" s="197"/>
      <c r="KD17" s="197"/>
      <c r="KE17" s="197"/>
      <c r="KF17" s="197"/>
      <c r="KG17" s="197"/>
      <c r="KH17" s="197"/>
      <c r="KI17" s="197"/>
      <c r="KJ17" s="197"/>
      <c r="KK17" s="197"/>
      <c r="KL17" s="197"/>
      <c r="KM17" s="197"/>
      <c r="KN17" s="197"/>
      <c r="KO17" s="197"/>
      <c r="KP17" s="197"/>
      <c r="KQ17" s="197"/>
      <c r="KR17" s="197"/>
      <c r="KS17" s="197"/>
      <c r="KT17" s="197"/>
      <c r="KU17" s="197"/>
      <c r="KV17" s="197"/>
      <c r="KW17" s="197"/>
      <c r="KX17" s="197"/>
      <c r="KY17" s="197"/>
      <c r="KZ17" s="197"/>
      <c r="LA17" s="197"/>
      <c r="LB17" s="197"/>
      <c r="LC17" s="197"/>
      <c r="LD17" s="197"/>
      <c r="LE17" s="197"/>
      <c r="LF17" s="197"/>
      <c r="LG17" s="197"/>
      <c r="LH17" s="197"/>
      <c r="LI17" s="197"/>
      <c r="LJ17" s="197"/>
      <c r="LK17" s="197"/>
      <c r="LL17" s="197"/>
      <c r="LM17" s="197"/>
      <c r="LN17" s="197"/>
      <c r="LO17" s="197"/>
      <c r="LP17" s="197"/>
      <c r="LQ17" s="197"/>
      <c r="LR17" s="197"/>
      <c r="LS17" s="197"/>
      <c r="LT17" s="197"/>
      <c r="LU17" s="197"/>
      <c r="LV17" s="197"/>
      <c r="LW17" s="197"/>
      <c r="LX17" s="197"/>
      <c r="LY17" s="197"/>
      <c r="LZ17" s="197"/>
      <c r="MA17" s="197"/>
      <c r="MB17" s="197"/>
      <c r="MC17" s="197"/>
      <c r="MD17" s="197"/>
      <c r="ME17" s="197"/>
      <c r="MF17" s="197"/>
      <c r="MG17" s="197"/>
      <c r="MH17" s="197"/>
      <c r="MI17" s="197"/>
      <c r="MJ17" s="197"/>
      <c r="MK17" s="197"/>
      <c r="ML17" s="197"/>
      <c r="MM17" s="197"/>
      <c r="MN17" s="197"/>
      <c r="MO17" s="197"/>
      <c r="MP17" s="197"/>
      <c r="MQ17" s="197"/>
      <c r="MR17" s="197"/>
      <c r="MS17" s="197"/>
      <c r="MT17" s="197"/>
      <c r="MU17" s="197"/>
      <c r="MV17" s="197"/>
      <c r="MW17" s="197"/>
      <c r="MX17" s="197"/>
      <c r="MY17" s="197"/>
      <c r="MZ17" s="197"/>
      <c r="NA17" s="197"/>
      <c r="NB17" s="197"/>
      <c r="NC17" s="197"/>
      <c r="ND17" s="197"/>
      <c r="NE17" s="197"/>
      <c r="NF17" s="197"/>
      <c r="NG17" s="197"/>
      <c r="NH17" s="197"/>
      <c r="NI17" s="197"/>
      <c r="NJ17" s="197"/>
      <c r="NK17" s="197"/>
      <c r="NL17" s="197"/>
      <c r="NM17" s="197"/>
      <c r="NN17" s="197"/>
      <c r="NO17" s="197"/>
      <c r="NP17" s="197"/>
      <c r="NQ17" s="197"/>
      <c r="NR17" s="197"/>
      <c r="NS17" s="197"/>
      <c r="NT17" s="197"/>
      <c r="NU17" s="197"/>
      <c r="NV17" s="197"/>
      <c r="NW17" s="197"/>
      <c r="NX17" s="197"/>
      <c r="NY17" s="197"/>
      <c r="NZ17" s="197"/>
      <c r="OA17" s="197"/>
      <c r="OB17" s="197"/>
      <c r="OC17" s="197"/>
      <c r="OD17" s="197"/>
      <c r="OE17" s="197"/>
      <c r="OF17" s="197"/>
      <c r="OG17" s="197"/>
      <c r="OH17" s="197"/>
      <c r="OI17" s="197"/>
      <c r="OJ17" s="197"/>
      <c r="OK17" s="197"/>
      <c r="OL17" s="197"/>
      <c r="OM17" s="197"/>
      <c r="ON17" s="197"/>
      <c r="OO17" s="197"/>
      <c r="OP17" s="197"/>
      <c r="OQ17" s="197"/>
      <c r="OR17" s="197"/>
      <c r="OS17" s="197"/>
      <c r="OT17" s="197"/>
      <c r="OU17" s="197"/>
      <c r="OV17" s="197"/>
      <c r="OW17" s="197"/>
      <c r="OX17" s="197"/>
      <c r="OY17" s="197"/>
      <c r="OZ17" s="197"/>
      <c r="PA17" s="197"/>
      <c r="PB17" s="197"/>
    </row>
    <row r="18" spans="1:418" s="77" customFormat="1" ht="10.5" customHeight="1" x14ac:dyDescent="0.2">
      <c r="A18" s="48">
        <v>1972</v>
      </c>
      <c r="B18" s="59">
        <f>'C1-Incomes'!C20/'C1-Incomes'!$B20</f>
        <v>0.31768678314563586</v>
      </c>
      <c r="C18" s="59">
        <f>'C1-Incomes'!D20/'C1-Incomes'!$B20</f>
        <v>0.20488995265568144</v>
      </c>
      <c r="D18" s="59">
        <f>'C1-Incomes'!E20/'C1-Incomes'!$B20</f>
        <v>7.7866088725652427E-2</v>
      </c>
      <c r="E18" s="59">
        <f>'C1-Incomes'!F20/'C1-Incomes'!$B20</f>
        <v>5.11319623651263E-2</v>
      </c>
      <c r="F18" s="59">
        <f>'C1-Incomes'!G20/'C1-Incomes'!$B20</f>
        <v>1.9135573491339538E-2</v>
      </c>
      <c r="G18" s="59">
        <f>'C1-Incomes'!H20/'C1-Incomes'!$B20</f>
        <v>5.2041485874898801E-3</v>
      </c>
      <c r="H18" s="199"/>
      <c r="J18" s="59">
        <f>'C1-Incomes'!K20/'C1-Incomes'!$J20</f>
        <v>0.32229560384238032</v>
      </c>
      <c r="K18" s="59">
        <f>'C1-Incomes'!L20/'C1-Incomes'!$J20</f>
        <v>0.21909118250251852</v>
      </c>
      <c r="L18" s="59">
        <f>'C1-Incomes'!M20/'C1-Incomes'!$J20</f>
        <v>9.8115968640821435E-2</v>
      </c>
      <c r="M18" s="59">
        <f>'C1-Incomes'!N20/'C1-Incomes'!$J20</f>
        <v>7.1331884792366643E-2</v>
      </c>
      <c r="N18" s="59">
        <f>'C1-Incomes'!O20/'C1-Incomes'!$J20</f>
        <v>3.4546480744558565E-2</v>
      </c>
      <c r="O18" s="59">
        <f>'C1-Incomes'!P20/'C1-Incomes'!$J20</f>
        <v>1.2222404456574385E-2</v>
      </c>
      <c r="P18" s="59"/>
      <c r="R18" s="59">
        <f>'C1-Incomes'!S20/'C1-Incomes'!$R20</f>
        <v>0.30129822034637832</v>
      </c>
      <c r="S18" s="59">
        <f>'C1-Incomes'!T20/'C1-Incomes'!$R20</f>
        <v>0.20454156158070894</v>
      </c>
      <c r="T18" s="59">
        <f>'C1-Incomes'!U20/'C1-Incomes'!$R20</f>
        <v>9.1278796098654649E-2</v>
      </c>
      <c r="U18" s="59">
        <f>'C1-Incomes'!V20/'C1-Incomes'!$R20</f>
        <v>6.6249992058031684E-2</v>
      </c>
      <c r="V18" s="59">
        <f>'C1-Incomes'!W20/'C1-Incomes'!$R20</f>
        <v>3.1933520992802424E-2</v>
      </c>
      <c r="W18" s="59">
        <f>'C1-Incomes'!X20/'C1-Incomes'!$R20</f>
        <v>1.1291169623008161E-2</v>
      </c>
      <c r="X18" s="59"/>
      <c r="Y18" s="59"/>
      <c r="Z18" s="59">
        <f>'C1-Incomes'!AA20/'C1-Incomes'!$Z20</f>
        <v>0.25394813259979693</v>
      </c>
      <c r="AA18" s="59">
        <f>'C1-Incomes'!AB20/'C1-Incomes'!$Z20</f>
        <v>0.16641367215139302</v>
      </c>
      <c r="AB18" s="59">
        <f>'C1-Incomes'!AC20/'C1-Incomes'!$Z20</f>
        <v>6.9600404183633544E-2</v>
      </c>
      <c r="AC18" s="59">
        <f>'C1-Incomes'!AD20/'C1-Incomes'!$Z20</f>
        <v>4.9325912174850731E-2</v>
      </c>
      <c r="AD18" s="59">
        <f>'C1-Incomes'!AE20/'C1-Incomes'!$Z20</f>
        <v>2.2698896417323054E-2</v>
      </c>
      <c r="AE18" s="59">
        <f>'C1-Incomes'!AF20/'C1-Incomes'!$Z20</f>
        <v>7.749412885181768E-3</v>
      </c>
      <c r="AF18" s="200"/>
      <c r="AG18" s="195"/>
      <c r="AH18" s="59">
        <f>'C1-Incomes'!AI20/'C1-Incomes'!$AH20</f>
        <v>0.31913280700080993</v>
      </c>
      <c r="AI18" s="59">
        <f>'C1-Incomes'!AJ20/'C1-Incomes'!$AH20</f>
        <v>0.20528023242154664</v>
      </c>
      <c r="AJ18" s="59">
        <f>'C1-Incomes'!AK20/'C1-Incomes'!$AH20</f>
        <v>7.7813696343126168E-2</v>
      </c>
      <c r="AK18" s="59">
        <f>'C1-Incomes'!AL20/'C1-Incomes'!$AH20</f>
        <v>5.1039714615591661E-2</v>
      </c>
      <c r="AL18" s="59">
        <f>'C1-Incomes'!AM20/'C1-Incomes'!$AH20</f>
        <v>1.910217189909386E-2</v>
      </c>
      <c r="AM18" s="59">
        <f>'C1-Incomes'!AN20/'C1-Incomes'!$AH20</f>
        <v>5.2046342685864626E-3</v>
      </c>
      <c r="AN18" s="195"/>
      <c r="AO18" s="195"/>
      <c r="AP18" s="59">
        <f>'C1-Incomes'!AQ20/'C1-Incomes'!$AP20</f>
        <v>0.319909518300523</v>
      </c>
      <c r="AQ18" s="59">
        <f>'C1-Incomes'!AR20/'C1-Incomes'!$AP20</f>
        <v>0.20641678966613372</v>
      </c>
      <c r="AR18" s="59">
        <f>'C1-Incomes'!AS20/'C1-Incomes'!$AP20</f>
        <v>7.911802177997776E-2</v>
      </c>
      <c r="AS18" s="59">
        <f>'C1-Incomes'!AT20/'C1-Incomes'!$AP20</f>
        <v>5.2168557694920556E-2</v>
      </c>
      <c r="AT18" s="59">
        <f>'C1-Incomes'!AU20/'C1-Incomes'!$AP20</f>
        <v>1.9746628840966927E-2</v>
      </c>
      <c r="AU18" s="59">
        <f>'C1-Incomes'!AV20/'C1-Incomes'!$AP20</f>
        <v>5.4358394429949797E-3</v>
      </c>
      <c r="AV18" s="197"/>
      <c r="AW18" s="60"/>
      <c r="AX18" s="59">
        <f>'C1-Incomes'!AY20/'C1-Incomes'!$AX20</f>
        <v>0.32322374131305132</v>
      </c>
      <c r="AY18" s="59">
        <f>'C1-Incomes'!AZ20/'C1-Incomes'!$AX20</f>
        <v>0.21017826010408916</v>
      </c>
      <c r="AZ18" s="59">
        <f>'C1-Incomes'!BA20/'C1-Incomes'!$AX20</f>
        <v>8.2734296287745826E-2</v>
      </c>
      <c r="BA18" s="59">
        <f>'C1-Incomes'!BB20/'C1-Incomes'!$AX20</f>
        <v>5.5130531257939548E-2</v>
      </c>
      <c r="BB18" s="59">
        <f>'C1-Incomes'!BC20/'C1-Incomes'!$AX20</f>
        <v>2.1354497674881394E-2</v>
      </c>
      <c r="BC18" s="59">
        <f>'C1-Incomes'!BD20/'C1-Incomes'!$AX20</f>
        <v>5.974837085559008E-3</v>
      </c>
      <c r="BD18" s="60"/>
      <c r="BE18" s="60"/>
      <c r="BF18" s="59">
        <f>'C1-Incomes'!BG20/'C1-Incomes'!$BF20</f>
        <v>0.32311792831687014</v>
      </c>
      <c r="BG18" s="59">
        <f>'C1-Incomes'!BH20/'C1-Incomes'!$BF20</f>
        <v>0.21009187125010786</v>
      </c>
      <c r="BH18" s="59">
        <f>'C1-Incomes'!BI20/'C1-Incomes'!$BF20</f>
        <v>8.2604337694857519E-2</v>
      </c>
      <c r="BI18" s="59">
        <f>'C1-Incomes'!BJ20/'C1-Incomes'!$BF20</f>
        <v>5.5069929275438377E-2</v>
      </c>
      <c r="BJ18" s="59">
        <f>'C1-Incomes'!BK20/'C1-Incomes'!$BF20</f>
        <v>2.1291539263149223E-2</v>
      </c>
      <c r="BK18" s="59">
        <f>'C1-Incomes'!BL20/'C1-Incomes'!$BF20</f>
        <v>5.9461584828543494E-3</v>
      </c>
      <c r="BL18" s="59"/>
      <c r="BM18" s="59"/>
      <c r="BN18" s="59">
        <f>'C1-Incomes'!BO20/'C1-Incomes'!$BN20</f>
        <v>0.29682683821544015</v>
      </c>
      <c r="BO18" s="59">
        <f>'C1-Incomes'!BP20/'C1-Incomes'!$BN20</f>
        <v>0.19199439125601547</v>
      </c>
      <c r="BP18" s="59">
        <f>'C1-Incomes'!BQ20/'C1-Incomes'!$BN20</f>
        <v>7.3463359725325902E-2</v>
      </c>
      <c r="BQ18" s="59">
        <f>'C1-Incomes'!BR20/'C1-Incomes'!$BN20</f>
        <v>4.945023434271708E-2</v>
      </c>
      <c r="BR18" s="59">
        <f>'C1-Incomes'!BS20/'C1-Incomes'!$BN20</f>
        <v>2.0256010803211672E-2</v>
      </c>
      <c r="BS18" s="59">
        <f>'C1-Incomes'!BT20/'C1-Incomes'!$BN20</f>
        <v>5.9905385188744886E-3</v>
      </c>
      <c r="BT18" s="59"/>
      <c r="BU18" s="59"/>
      <c r="BV18" s="59">
        <f>'C1-Incomes'!BW20/'C1-Incomes'!$BV20</f>
        <v>0.29952514696464977</v>
      </c>
      <c r="BW18" s="59">
        <f>'C1-Incomes'!BX20/'C1-Incomes'!$BV20</f>
        <v>0.19466131552016067</v>
      </c>
      <c r="BX18" s="59">
        <f>'C1-Incomes'!BY20/'C1-Incomes'!$BV20</f>
        <v>7.569426623644547E-2</v>
      </c>
      <c r="BY18" s="59">
        <f>'C1-Incomes'!BZ20/'C1-Incomes'!$BV20</f>
        <v>5.1359522389555948E-2</v>
      </c>
      <c r="BZ18" s="59">
        <f>'C1-Incomes'!CA20/'C1-Incomes'!$BV20</f>
        <v>2.1437406959438691E-2</v>
      </c>
      <c r="CA18" s="59">
        <f>'C1-Incomes'!CB20/'C1-Incomes'!$BV20</f>
        <v>6.4316927864305597E-3</v>
      </c>
      <c r="CB18" s="60"/>
      <c r="CC18" s="198"/>
      <c r="CD18" s="59">
        <f>'C1-Incomes'!CE20/'C1-Incomes'!$CD20</f>
        <v>0.32167126515135297</v>
      </c>
      <c r="CE18" s="59">
        <f>'C1-Incomes'!CF20/'C1-Incomes'!$CD20</f>
        <v>0.21800094796149805</v>
      </c>
      <c r="CF18" s="59">
        <f>'C1-Incomes'!CG20/'C1-Incomes'!$CD20</f>
        <v>9.5925581230348014E-2</v>
      </c>
      <c r="CG18" s="59">
        <f>'C1-Incomes'!CH20/'C1-Incomes'!$CD20</f>
        <v>6.9089175603847808E-2</v>
      </c>
      <c r="CH18" s="59">
        <f>'C1-Incomes'!CI20/'C1-Incomes'!$CD20</f>
        <v>3.2691259791076156E-2</v>
      </c>
      <c r="CI18" s="59">
        <f>'C1-Incomes'!CJ20/'C1-Incomes'!$CD20</f>
        <v>1.1239616641020141E-2</v>
      </c>
      <c r="CL18" s="59">
        <f>'C1-Incomes'!CM20/'C1-Incomes'!$CL20</f>
        <v>0.32991568532793369</v>
      </c>
      <c r="CM18" s="59">
        <f>'C1-Incomes'!CN20/'C1-Incomes'!$CL20</f>
        <v>0.22678104152291173</v>
      </c>
      <c r="CN18" s="59">
        <f>'C1-Incomes'!CO20/'C1-Incomes'!$CL20</f>
        <v>0.10380625515185894</v>
      </c>
      <c r="CO18" s="59">
        <f>'C1-Incomes'!CP20/'C1-Incomes'!$CL20</f>
        <v>7.5732837677151804E-2</v>
      </c>
      <c r="CP18" s="59">
        <f>'C1-Incomes'!CQ20/'C1-Incomes'!$CL20</f>
        <v>3.6950720414184096E-2</v>
      </c>
      <c r="CQ18" s="59">
        <f>'C1-Incomes'!CR20/'C1-Incomes'!$CL20</f>
        <v>1.2994429140646946E-2</v>
      </c>
      <c r="CR18" s="59"/>
      <c r="CS18" s="59"/>
      <c r="CT18" s="59">
        <f>'C1-Incomes'!CU20/'C1-Incomes'!$CT20</f>
        <v>0.33550602010803582</v>
      </c>
      <c r="CU18" s="59">
        <f>'C1-Incomes'!CV20/'C1-Incomes'!$CT20</f>
        <v>0.23259983178858959</v>
      </c>
      <c r="CV18" s="59">
        <f>'C1-Incomes'!CW20/'C1-Incomes'!$CT20</f>
        <v>0.10838243768845471</v>
      </c>
      <c r="CW18" s="59">
        <f>'C1-Incomes'!CX20/'C1-Incomes'!$CT20</f>
        <v>7.9571841674282287E-2</v>
      </c>
      <c r="CX18" s="59">
        <f>'C1-Incomes'!CY20/'C1-Incomes'!$CT20</f>
        <v>3.9084619785877399E-2</v>
      </c>
      <c r="CY18" s="59">
        <f>'C1-Incomes'!CZ20/'C1-Incomes'!$CT20</f>
        <v>1.3836390134991721E-2</v>
      </c>
      <c r="CZ18" s="59"/>
      <c r="DA18" s="59"/>
      <c r="DB18" s="59">
        <f>'C1-Incomes'!DC20/'C1-Incomes'!$DB20</f>
        <v>0.33838370512998972</v>
      </c>
      <c r="DC18" s="59">
        <f>'C1-Incomes'!DD20/'C1-Incomes'!$DB20</f>
        <v>0.23560583137726648</v>
      </c>
      <c r="DD18" s="59">
        <f>'C1-Incomes'!DE20/'C1-Incomes'!$DB20</f>
        <v>0.11120762354061052</v>
      </c>
      <c r="DE18" s="59">
        <f>'C1-Incomes'!DF20/'C1-Incomes'!$DB20</f>
        <v>8.2074794796108588E-2</v>
      </c>
      <c r="DF18" s="59">
        <f>'C1-Incomes'!DG20/'C1-Incomes'!$DB20</f>
        <v>4.0699650462118007E-2</v>
      </c>
      <c r="DG18" s="59">
        <f>'C1-Incomes'!DH20/'C1-Incomes'!$DB20</f>
        <v>1.4547622037948639E-2</v>
      </c>
      <c r="DH18" s="59"/>
      <c r="DI18" s="1039"/>
      <c r="DJ18" s="59">
        <f>'C1-Incomes'!DK20/'C1-Incomes'!$DJ20</f>
        <v>0.33969077127653452</v>
      </c>
      <c r="DK18" s="59">
        <f>'C1-Incomes'!DL20/'C1-Incomes'!$DJ20</f>
        <v>0.23743624996966242</v>
      </c>
      <c r="DL18" s="59">
        <f>'C1-Incomes'!DM20/'C1-Incomes'!$DJ20</f>
        <v>0.11251046569694924</v>
      </c>
      <c r="DM18" s="59">
        <f>'C1-Incomes'!DN20/'C1-Incomes'!$DJ20</f>
        <v>8.3170775532155475E-2</v>
      </c>
      <c r="DN18" s="59">
        <f>'C1-Incomes'!DO20/'C1-Incomes'!$DJ20</f>
        <v>4.0881856792843181E-2</v>
      </c>
      <c r="DO18" s="59">
        <f>'C1-Incomes'!DP20/'C1-Incomes'!$DJ20</f>
        <v>1.4618340451485671E-2</v>
      </c>
      <c r="DP18" s="696"/>
      <c r="DQ18" s="503"/>
      <c r="DR18" s="59">
        <f>'C1-Incomes'!DS20/'C1-Incomes'!$DR20</f>
        <v>0.33820962657339826</v>
      </c>
      <c r="DS18" s="59">
        <f>'C1-Incomes'!DT20/'C1-Incomes'!$DR20</f>
        <v>0.23529157610085902</v>
      </c>
      <c r="DT18" s="59">
        <f>'C1-Incomes'!DU20/'C1-Incomes'!$DR20</f>
        <v>0.11033310163287927</v>
      </c>
      <c r="DU18" s="59">
        <f>'C1-Incomes'!DV20/'C1-Incomes'!$DR20</f>
        <v>8.095203986549282E-2</v>
      </c>
      <c r="DV18" s="59">
        <f>'C1-Incomes'!DW20/'C1-Incomes'!$DR20</f>
        <v>3.9777505244173603E-2</v>
      </c>
      <c r="DW18" s="59">
        <f>'C1-Incomes'!DX20/'C1-Incomes'!$DR20</f>
        <v>1.4137504041398531E-2</v>
      </c>
      <c r="DX18" s="333"/>
      <c r="DZ18" s="59">
        <f>'C1-Incomes'!EA20/'C1-Incomes'!$DZ20</f>
        <v>0.3323783012406214</v>
      </c>
      <c r="EA18" s="59">
        <f>'C1-Incomes'!EB20/'C1-Incomes'!$DZ20</f>
        <v>0.23008924003461617</v>
      </c>
      <c r="EB18" s="59">
        <f>'C1-Incomes'!EC20/'C1-Incomes'!$DZ20</f>
        <v>0.1071380894096526</v>
      </c>
      <c r="EC18" s="59">
        <f>'C1-Incomes'!ED20/'C1-Incomes'!$DZ20</f>
        <v>7.8584715402177693E-2</v>
      </c>
      <c r="ED18" s="59">
        <f>'C1-Incomes'!EE20/'C1-Incomes'!$DZ20</f>
        <v>3.8548175022031117E-2</v>
      </c>
      <c r="EE18" s="59">
        <f>'C1-Incomes'!EF20/'C1-Incomes'!$DZ20</f>
        <v>1.369836842536354E-2</v>
      </c>
      <c r="EF18" s="59"/>
      <c r="EH18" s="59">
        <f>'C1-Incomes'!EI20/'C1-Incomes'!$EH20</f>
        <v>0.33090018309579444</v>
      </c>
      <c r="EI18" s="59">
        <f>'C1-Incomes'!EJ20/'C1-Incomes'!$EH20</f>
        <v>0.22786615999804152</v>
      </c>
      <c r="EJ18" s="59">
        <f>'C1-Incomes'!EK20/'C1-Incomes'!$EH20</f>
        <v>0.10490788555285881</v>
      </c>
      <c r="EK18" s="59">
        <f>'C1-Incomes'!EL20/'C1-Incomes'!$EH20</f>
        <v>7.6858173272276745E-2</v>
      </c>
      <c r="EL18" s="59">
        <f>'C1-Incomes'!EM20/'C1-Incomes'!$EH20</f>
        <v>3.7659673509210671E-2</v>
      </c>
      <c r="EM18" s="59">
        <f>'C1-Incomes'!EN20/'C1-Incomes'!$EH20</f>
        <v>1.3372480299113186E-2</v>
      </c>
      <c r="EN18" s="59"/>
      <c r="EO18" s="59"/>
      <c r="EP18" s="59">
        <f>'C1-Incomes'!EQ20/'C1-Incomes'!$EH20</f>
        <v>0.34038763100763392</v>
      </c>
      <c r="EQ18" s="59">
        <f>'C1-Incomes'!ER20/'C1-Incomes'!$EH20</f>
        <v>0.23316992843389306</v>
      </c>
      <c r="ER18" s="59">
        <f>'C1-Incomes'!ES20/'C1-Incomes'!$EH20</f>
        <v>0.10609945289644009</v>
      </c>
      <c r="ES18" s="59">
        <f>'C1-Incomes'!ET20/'C1-Incomes'!$EH20</f>
        <v>7.7507915874218167E-2</v>
      </c>
      <c r="ET18" s="59">
        <f>'C1-Incomes'!EU20/'C1-Incomes'!$EH20</f>
        <v>3.7756256860152139E-2</v>
      </c>
      <c r="EU18" s="59">
        <f>'C1-Incomes'!EV20/'C1-Incomes'!$EH20</f>
        <v>1.3402760916331979E-2</v>
      </c>
      <c r="EV18" s="59"/>
      <c r="EW18" s="59"/>
      <c r="EX18" s="59">
        <f>'C1-Incomes'!EY20/'C1-Incomes'!$EX20</f>
        <v>0.32229560384238032</v>
      </c>
      <c r="EY18" s="59">
        <f>'C1-Incomes'!EZ20/'C1-Incomes'!$EX20</f>
        <v>0.21909118250251852</v>
      </c>
      <c r="EZ18" s="59">
        <f>'C1-Incomes'!FA20/'C1-Incomes'!$EX20</f>
        <v>9.8115968640821435E-2</v>
      </c>
      <c r="FA18" s="59">
        <f>'C1-Incomes'!FB20/'C1-Incomes'!$EX20</f>
        <v>7.1331884792366643E-2</v>
      </c>
      <c r="FB18" s="59">
        <f>'C1-Incomes'!FC20/'C1-Incomes'!$EX20</f>
        <v>3.4546480744558565E-2</v>
      </c>
      <c r="FC18" s="59">
        <f>'C1-Incomes'!FD20/'C1-Incomes'!$EX20</f>
        <v>1.2222404456574385E-2</v>
      </c>
      <c r="FD18" s="59"/>
      <c r="FF18" s="59">
        <f>'C1-Incomes'!FG20/'C1-Incomes'!$FF20</f>
        <v>0.31270380904872147</v>
      </c>
      <c r="FG18" s="59">
        <f>'C1-Incomes'!FH20/'C1-Incomes'!$FF20</f>
        <v>0.21254051578414807</v>
      </c>
      <c r="FH18" s="59">
        <f>'C1-Incomes'!FI20/'C1-Incomes'!$FF20</f>
        <v>9.4993094641620757E-2</v>
      </c>
      <c r="FI18" s="59">
        <f>'C1-Incomes'!FJ20/'C1-Incomes'!$FF20</f>
        <v>6.8969864947788798E-2</v>
      </c>
      <c r="FJ18" s="59">
        <f>'C1-Incomes'!FK20/'C1-Incomes'!$FF20</f>
        <v>3.33153657512009E-2</v>
      </c>
      <c r="FK18" s="59">
        <f>'C1-Incomes'!FL20/'C1-Incomes'!$FF20</f>
        <v>1.1776908700168972E-2</v>
      </c>
      <c r="FN18" s="59">
        <f>'C1-Incomes'!FO20/'C1-Incomes'!$FN20</f>
        <v>0.31120654252340968</v>
      </c>
      <c r="FO18" s="59">
        <f>'C1-Incomes'!FP20/'C1-Incomes'!$FN20</f>
        <v>0.21147124957579602</v>
      </c>
      <c r="FP18" s="59">
        <f>'C1-Incomes'!FQ20/'C1-Incomes'!$FN20</f>
        <v>9.4506881373807361E-2</v>
      </c>
      <c r="FQ18" s="59">
        <f>'C1-Incomes'!FR20/'C1-Incomes'!$FN20</f>
        <v>6.861558909343124E-2</v>
      </c>
      <c r="FR18" s="59">
        <f>'C1-Incomes'!FS20/'C1-Incomes'!$FN20</f>
        <v>3.3143938901603734E-2</v>
      </c>
      <c r="FS18" s="59">
        <f>'C1-Incomes'!FT20/'C1-Incomes'!$FN20</f>
        <v>1.1716291489970925E-2</v>
      </c>
      <c r="FV18" s="59">
        <f>'C1-Incomes'!FW20/'C1-Incomes'!$FV20</f>
        <v>0.30653396995255805</v>
      </c>
      <c r="FW18" s="59">
        <f>'C1-Incomes'!FX20/'C1-Incomes'!$FV20</f>
        <v>0.20815613688798296</v>
      </c>
      <c r="FX18" s="59">
        <f>'C1-Incomes'!FY20/'C1-Incomes'!$FV20</f>
        <v>9.2929075381534554E-2</v>
      </c>
      <c r="FY18" s="59">
        <f>'C1-Incomes'!FZ20/'C1-Incomes'!$FV20</f>
        <v>6.7452413830729765E-2</v>
      </c>
      <c r="FZ18" s="59">
        <f>'C1-Incomes'!GA20/'C1-Incomes'!$FV20</f>
        <v>3.2571044312104259E-2</v>
      </c>
      <c r="GA18" s="59">
        <f>'C1-Incomes'!GB20/'C1-Incomes'!$FV20</f>
        <v>1.1511797864179413E-2</v>
      </c>
      <c r="GE18" s="59">
        <f>'C1-Incomes'!GF20/'C1-Incomes'!$GE20</f>
        <v>0.30529765366152856</v>
      </c>
      <c r="GF18" s="59">
        <f>'C1-Incomes'!GG20/'C1-Incomes'!$GE20</f>
        <v>0.20725664677032038</v>
      </c>
      <c r="GG18" s="59">
        <f>'C1-Incomes'!GH20/'C1-Incomes'!$GE20</f>
        <v>9.2490431061729036E-2</v>
      </c>
      <c r="GH18" s="59">
        <f>'C1-Incomes'!GI20/'C1-Incomes'!$GE20</f>
        <v>6.7129394614942661E-2</v>
      </c>
      <c r="GI18" s="59">
        <f>'C1-Incomes'!GJ20/'C1-Incomes'!$GE20</f>
        <v>3.235740662870773E-2</v>
      </c>
      <c r="GJ18" s="59">
        <f>'C1-Incomes'!GK20/'C1-Incomes'!$GE20</f>
        <v>1.1441048636250775E-2</v>
      </c>
      <c r="GM18" s="59">
        <f>'C1-Incomes'!GN20/'C1-Incomes'!$GM20</f>
        <v>0.30129822034637832</v>
      </c>
      <c r="GN18" s="59">
        <f>'C1-Incomes'!GO20/'C1-Incomes'!$GM20</f>
        <v>0.20454156158070894</v>
      </c>
      <c r="GO18" s="59">
        <f>'C1-Incomes'!GP20/'C1-Incomes'!$GM20</f>
        <v>9.1278796098654649E-2</v>
      </c>
      <c r="GP18" s="59">
        <f>'C1-Incomes'!GQ20/'C1-Incomes'!$GM20</f>
        <v>6.6249992058031684E-2</v>
      </c>
      <c r="GQ18" s="59">
        <f>'C1-Incomes'!GR20/'C1-Incomes'!$GM20</f>
        <v>3.1933520992802424E-2</v>
      </c>
      <c r="GR18" s="59">
        <f>'C1-Incomes'!GS20/'C1-Incomes'!$GM20</f>
        <v>1.1291169623008161E-2</v>
      </c>
      <c r="GU18" s="59">
        <f>'C1-Incomes'!GV20/'C1-Incomes'!$GU20</f>
        <v>0.28232648810618621</v>
      </c>
      <c r="GV18" s="59">
        <f>'C1-Incomes'!GW20/'C1-Incomes'!$GU20</f>
        <v>0.18890515063513558</v>
      </c>
      <c r="GW18" s="59">
        <f>'C1-Incomes'!GX20/'C1-Incomes'!$GU20</f>
        <v>8.2558777871934275E-2</v>
      </c>
      <c r="GX18" s="59">
        <f>'C1-Incomes'!GY20/'C1-Incomes'!$GU20</f>
        <v>5.9385173876574458E-2</v>
      </c>
      <c r="GY18" s="59">
        <f>'C1-Incomes'!GZ20/'C1-Incomes'!$GU20</f>
        <v>2.8499004535423648E-2</v>
      </c>
      <c r="GZ18" s="59">
        <f>'C1-Incomes'!HA20/'C1-Incomes'!$GU20</f>
        <v>9.9380012185006188E-3</v>
      </c>
      <c r="HC18" s="59">
        <f>'C1-Incomes'!HD20/'C1-Incomes'!$HC20</f>
        <v>0.27991373329412034</v>
      </c>
      <c r="HD18" s="59">
        <f>'C1-Incomes'!HE20/'C1-Incomes'!$HC20</f>
        <v>0.18698973571041985</v>
      </c>
      <c r="HE18" s="59">
        <f>'C1-Incomes'!HF20/'C1-Incomes'!$HC20</f>
        <v>8.1406424534417363E-2</v>
      </c>
      <c r="HF18" s="59">
        <f>'C1-Incomes'!HG20/'C1-Incomes'!$HC20</f>
        <v>5.8515586075891718E-2</v>
      </c>
      <c r="HG18" s="59">
        <f>'C1-Incomes'!HH20/'C1-Incomes'!$HC20</f>
        <v>2.8023168035704298E-2</v>
      </c>
      <c r="HH18" s="59">
        <f>'C1-Incomes'!HI20/'C1-Incomes'!$HC20</f>
        <v>9.7587461779889365E-3</v>
      </c>
      <c r="HK18" s="59">
        <f>'C1-Incomes'!HL20/'C1-Incomes'!$HK20</f>
        <v>0.27151807601311073</v>
      </c>
      <c r="HL18" s="59">
        <f>'C1-Incomes'!HM20/'C1-Incomes'!$HK20</f>
        <v>0.17868794145448116</v>
      </c>
      <c r="HM18" s="59">
        <f>'C1-Incomes'!HN20/'C1-Incomes'!$HK20</f>
        <v>7.4300133898406201E-2</v>
      </c>
      <c r="HN18" s="59">
        <f>'C1-Incomes'!HO20/'C1-Incomes'!$HK20</f>
        <v>5.2733665172877059E-2</v>
      </c>
      <c r="HO18" s="59">
        <f>'C1-Incomes'!HP20/'C1-Incomes'!$HK20</f>
        <v>2.4411320393839222E-2</v>
      </c>
      <c r="HP18" s="59">
        <f>'C1-Incomes'!HQ20/'C1-Incomes'!$HK20</f>
        <v>8.3371584686623614E-3</v>
      </c>
      <c r="HS18" s="59">
        <f>'C1-Incomes'!HT20/'C1-Incomes'!$HS20</f>
        <v>0.26499785086080047</v>
      </c>
      <c r="HT18" s="59">
        <f>'C1-Incomes'!HU20/'C1-Incomes'!$HS20</f>
        <v>0.17284311817284445</v>
      </c>
      <c r="HU18" s="59">
        <f>'C1-Incomes'!HV20/'C1-Incomes'!$HS20</f>
        <v>7.0454367943420873E-2</v>
      </c>
      <c r="HV18" s="59">
        <f>'C1-Incomes'!HW20/'C1-Incomes'!$HS20</f>
        <v>4.9677518961758253E-2</v>
      </c>
      <c r="HW18" s="59">
        <f>'C1-Incomes'!HX20/'C1-Incomes'!$HS20</f>
        <v>2.2796465763332146E-2</v>
      </c>
      <c r="HX18" s="59">
        <f>'C1-Incomes'!HY20/'C1-Incomes'!$HS20</f>
        <v>7.7245371061200902E-3</v>
      </c>
      <c r="IA18" s="59">
        <f>'C1-Incomes'!IB20/'C1-Incomes'!$IA20</f>
        <v>0.27043701504942624</v>
      </c>
      <c r="IB18" s="59">
        <f>'C1-Incomes'!IC20/'C1-Incomes'!$IA20</f>
        <v>0.17787536178673696</v>
      </c>
      <c r="IC18" s="59">
        <f>'C1-Incomes'!ID20/'C1-Incomes'!$IA20</f>
        <v>7.3948960965535299E-2</v>
      </c>
      <c r="ID18" s="59">
        <f>'C1-Incomes'!IE20/'C1-Incomes'!$IA20</f>
        <v>5.2325679206622878E-2</v>
      </c>
      <c r="IE18" s="59">
        <f>'C1-Incomes'!IF20/'C1-Incomes'!$IA20</f>
        <v>2.4128249644835374E-2</v>
      </c>
      <c r="IF18" s="59">
        <f>'C1-Incomes'!IG20/'C1-Incomes'!$IA20</f>
        <v>8.1895300501974421E-3</v>
      </c>
      <c r="II18" s="59">
        <f>'C1-Incomes'!IJ20/'C1-Incomes'!$II20</f>
        <v>0.27215106027349667</v>
      </c>
      <c r="IJ18" s="59">
        <f>'C1-Incomes'!IK20/'C1-Incomes'!$II20</f>
        <v>0.17974344603520964</v>
      </c>
      <c r="IK18" s="59">
        <f>'C1-Incomes'!IL20/'C1-Incomes'!$II20</f>
        <v>7.5980652843752258E-2</v>
      </c>
      <c r="IL18" s="59">
        <f>'C1-Incomes'!IM20/'C1-Incomes'!$II20</f>
        <v>5.3999733297204131E-2</v>
      </c>
      <c r="IM18" s="59">
        <f>'C1-Incomes'!IN20/'C1-Incomes'!$II20</f>
        <v>2.499794816669736E-2</v>
      </c>
      <c r="IN18" s="59">
        <f>'C1-Incomes'!IO20/'C1-Incomes'!$II20</f>
        <v>8.5458683065283789E-3</v>
      </c>
      <c r="IQ18" s="59">
        <f>'C1-Incomes'!IR20/'C1-Incomes'!$IQ20</f>
        <v>0.27345817560718882</v>
      </c>
      <c r="IR18" s="59">
        <f>'C1-Incomes'!IS20/'C1-Incomes'!$IQ20</f>
        <v>0.18089822530934613</v>
      </c>
      <c r="IS18" s="59">
        <f>'C1-Incomes'!IT20/'C1-Incomes'!$IQ20</f>
        <v>7.6743807646072359E-2</v>
      </c>
      <c r="IT18" s="59">
        <f>'C1-Incomes'!IU20/'C1-Incomes'!$IQ20</f>
        <v>5.456895899858584E-2</v>
      </c>
      <c r="IU18" s="59">
        <f>'C1-Incomes'!IV20/'C1-Incomes'!$IQ20</f>
        <v>2.5299939864730107E-2</v>
      </c>
      <c r="IV18" s="59">
        <f>'C1-Incomes'!IW20/'C1-Incomes'!$IQ20</f>
        <v>8.6571950581244336E-3</v>
      </c>
      <c r="IY18" s="59">
        <f>'C1-Incomes'!IZ20/'C1-Incomes'!$IY20</f>
        <v>0.25394813259979693</v>
      </c>
      <c r="IZ18" s="59">
        <f>'C1-Incomes'!JA20/'C1-Incomes'!$IY20</f>
        <v>0.16641367215139302</v>
      </c>
      <c r="JA18" s="59">
        <f>'C1-Incomes'!JB20/'C1-Incomes'!$IY20</f>
        <v>6.9600404183633544E-2</v>
      </c>
      <c r="JB18" s="59">
        <f>'C1-Incomes'!JC20/'C1-Incomes'!$IY20</f>
        <v>4.9325912174850731E-2</v>
      </c>
      <c r="JC18" s="59">
        <f>'C1-Incomes'!JD20/'C1-Incomes'!$IY20</f>
        <v>2.2698896417323054E-2</v>
      </c>
      <c r="JD18" s="59">
        <f>'C1-Incomes'!JE20/'C1-Incomes'!$IY20</f>
        <v>7.749412885181768E-3</v>
      </c>
      <c r="JE18" s="197"/>
      <c r="JF18" s="197"/>
      <c r="JG18" s="197"/>
      <c r="JH18" s="197"/>
      <c r="JI18" s="197"/>
      <c r="JJ18" s="197"/>
      <c r="JK18" s="197"/>
      <c r="JL18" s="197"/>
      <c r="JM18" s="197"/>
      <c r="JN18" s="197"/>
      <c r="JO18" s="197"/>
      <c r="JP18" s="197"/>
      <c r="JQ18" s="197"/>
      <c r="JR18" s="197"/>
      <c r="JS18" s="197"/>
      <c r="JT18" s="197"/>
      <c r="JU18" s="197"/>
      <c r="JV18" s="197"/>
      <c r="JW18" s="197"/>
      <c r="JX18" s="197"/>
      <c r="JY18" s="197"/>
      <c r="JZ18" s="197"/>
      <c r="KA18" s="197"/>
      <c r="KB18" s="197"/>
      <c r="KC18" s="197"/>
      <c r="KD18" s="197"/>
      <c r="KE18" s="197"/>
      <c r="KF18" s="197"/>
      <c r="KG18" s="197"/>
      <c r="KH18" s="197"/>
      <c r="KI18" s="197"/>
      <c r="KJ18" s="197"/>
      <c r="KK18" s="197"/>
      <c r="KL18" s="197"/>
      <c r="KM18" s="197"/>
      <c r="KN18" s="197"/>
      <c r="KO18" s="197"/>
      <c r="KP18" s="197"/>
      <c r="KQ18" s="197"/>
      <c r="KR18" s="197"/>
      <c r="KS18" s="197"/>
      <c r="KT18" s="197"/>
      <c r="KU18" s="197"/>
      <c r="KV18" s="197"/>
      <c r="KW18" s="197"/>
      <c r="KX18" s="197"/>
      <c r="KY18" s="197"/>
      <c r="KZ18" s="197"/>
      <c r="LA18" s="197"/>
      <c r="LB18" s="197"/>
      <c r="LC18" s="197"/>
      <c r="LD18" s="197"/>
      <c r="LE18" s="197"/>
      <c r="LF18" s="197"/>
      <c r="LG18" s="197"/>
      <c r="LH18" s="197"/>
      <c r="LI18" s="197"/>
      <c r="LJ18" s="197"/>
      <c r="LK18" s="197"/>
      <c r="LL18" s="197"/>
      <c r="LM18" s="197"/>
      <c r="LN18" s="197"/>
      <c r="LO18" s="197"/>
      <c r="LP18" s="197"/>
      <c r="LQ18" s="197"/>
      <c r="LR18" s="197"/>
      <c r="LS18" s="197"/>
      <c r="LT18" s="197"/>
      <c r="LU18" s="197"/>
      <c r="LV18" s="197"/>
      <c r="LW18" s="197"/>
      <c r="LX18" s="197"/>
      <c r="LY18" s="197"/>
      <c r="LZ18" s="197"/>
      <c r="MA18" s="197"/>
      <c r="MB18" s="197"/>
      <c r="MC18" s="197"/>
      <c r="MD18" s="197"/>
      <c r="ME18" s="197"/>
      <c r="MF18" s="197"/>
      <c r="MG18" s="197"/>
      <c r="MH18" s="197"/>
      <c r="MI18" s="197"/>
      <c r="MJ18" s="197"/>
      <c r="MK18" s="197"/>
      <c r="ML18" s="197"/>
      <c r="MM18" s="197"/>
      <c r="MN18" s="197"/>
      <c r="MO18" s="197"/>
      <c r="MP18" s="197"/>
      <c r="MQ18" s="197"/>
      <c r="MR18" s="197"/>
      <c r="MS18" s="197"/>
      <c r="MT18" s="197"/>
      <c r="MU18" s="197"/>
      <c r="MV18" s="197"/>
      <c r="MW18" s="197"/>
      <c r="MX18" s="197"/>
      <c r="MY18" s="197"/>
      <c r="MZ18" s="197"/>
      <c r="NA18" s="197"/>
      <c r="NB18" s="197"/>
      <c r="NC18" s="197"/>
      <c r="ND18" s="197"/>
      <c r="NE18" s="197"/>
      <c r="NF18" s="197"/>
      <c r="NG18" s="197"/>
      <c r="NH18" s="197"/>
      <c r="NI18" s="197"/>
      <c r="NJ18" s="197"/>
      <c r="NK18" s="197"/>
      <c r="NL18" s="197"/>
      <c r="NM18" s="197"/>
      <c r="NN18" s="197"/>
      <c r="NO18" s="197"/>
      <c r="NP18" s="197"/>
      <c r="NQ18" s="197"/>
      <c r="NR18" s="197"/>
      <c r="NS18" s="197"/>
      <c r="NT18" s="197"/>
      <c r="NU18" s="197"/>
      <c r="NV18" s="197"/>
      <c r="NW18" s="197"/>
      <c r="NX18" s="197"/>
      <c r="NY18" s="197"/>
      <c r="NZ18" s="197"/>
      <c r="OA18" s="197"/>
      <c r="OB18" s="197"/>
      <c r="OC18" s="197"/>
      <c r="OD18" s="197"/>
      <c r="OE18" s="197"/>
      <c r="OF18" s="197"/>
      <c r="OG18" s="197"/>
      <c r="OH18" s="197"/>
      <c r="OI18" s="197"/>
      <c r="OJ18" s="197"/>
      <c r="OK18" s="197"/>
      <c r="OL18" s="197"/>
      <c r="OM18" s="197"/>
      <c r="ON18" s="197"/>
      <c r="OO18" s="197"/>
      <c r="OP18" s="197"/>
      <c r="OQ18" s="197"/>
      <c r="OR18" s="197"/>
      <c r="OS18" s="197"/>
      <c r="OT18" s="197"/>
      <c r="OU18" s="197"/>
      <c r="OV18" s="197"/>
      <c r="OW18" s="197"/>
      <c r="OX18" s="197"/>
      <c r="OY18" s="197"/>
      <c r="OZ18" s="197"/>
      <c r="PA18" s="197"/>
      <c r="PB18" s="197"/>
    </row>
    <row r="19" spans="1:418" s="77" customFormat="1" ht="10.5" customHeight="1" x14ac:dyDescent="0.2">
      <c r="A19" s="48">
        <v>1973</v>
      </c>
      <c r="B19" s="59">
        <f>'C1-Incomes'!C21/'C1-Incomes'!$B21</f>
        <v>0.31925887279651755</v>
      </c>
      <c r="C19" s="59">
        <f>'C1-Incomes'!D21/'C1-Incomes'!$B21</f>
        <v>0.20655035508695219</v>
      </c>
      <c r="D19" s="59">
        <f>'C1-Incomes'!E21/'C1-Incomes'!$B21</f>
        <v>7.7562388224320947E-2</v>
      </c>
      <c r="E19" s="59">
        <f>'C1-Incomes'!F21/'C1-Incomes'!$B21</f>
        <v>5.0702761071489022E-2</v>
      </c>
      <c r="F19" s="59">
        <f>'C1-Incomes'!G21/'C1-Incomes'!$B21</f>
        <v>1.8783867495942928E-2</v>
      </c>
      <c r="G19" s="59">
        <f>'C1-Incomes'!H21/'C1-Incomes'!$B21</f>
        <v>4.9360405821914019E-3</v>
      </c>
      <c r="H19" s="199"/>
      <c r="J19" s="59">
        <f>'C1-Incomes'!K21/'C1-Incomes'!$J21</f>
        <v>0.3206064846850587</v>
      </c>
      <c r="K19" s="59">
        <f>'C1-Incomes'!L21/'C1-Incomes'!$J21</f>
        <v>0.21801428237934159</v>
      </c>
      <c r="L19" s="59">
        <f>'C1-Incomes'!M21/'C1-Incomes'!$J21</f>
        <v>9.7143648904541954E-2</v>
      </c>
      <c r="M19" s="59">
        <f>'C1-Incomes'!N21/'C1-Incomes'!$J21</f>
        <v>7.0032623712705688E-2</v>
      </c>
      <c r="N19" s="59">
        <f>'C1-Incomes'!O21/'C1-Incomes'!$J21</f>
        <v>3.2828926084614345E-2</v>
      </c>
      <c r="O19" s="59">
        <f>'C1-Incomes'!P21/'C1-Incomes'!$J21</f>
        <v>1.1280115560610109E-2</v>
      </c>
      <c r="P19" s="59"/>
      <c r="R19" s="59">
        <f>'C1-Incomes'!S21/'C1-Incomes'!$R21</f>
        <v>0.29937314691343692</v>
      </c>
      <c r="S19" s="59">
        <f>'C1-Incomes'!T21/'C1-Incomes'!$R21</f>
        <v>0.20332573743545987</v>
      </c>
      <c r="T19" s="59">
        <f>'C1-Incomes'!U21/'C1-Incomes'!$R21</f>
        <v>9.033291392156774E-2</v>
      </c>
      <c r="U19" s="59">
        <f>'C1-Incomes'!V21/'C1-Incomes'!$R21</f>
        <v>6.4964638990782975E-2</v>
      </c>
      <c r="V19" s="59">
        <f>'C1-Incomes'!W21/'C1-Incomes'!$R21</f>
        <v>3.0304338738571093E-2</v>
      </c>
      <c r="W19" s="59">
        <f>'C1-Incomes'!X21/'C1-Incomes'!$R21</f>
        <v>1.0400376769541206E-2</v>
      </c>
      <c r="X19" s="59"/>
      <c r="Y19" s="59"/>
      <c r="Z19" s="59">
        <f>'C1-Incomes'!AA21/'C1-Incomes'!$Z21</f>
        <v>0.25871115199547423</v>
      </c>
      <c r="AA19" s="59">
        <f>'C1-Incomes'!AB21/'C1-Incomes'!$Z21</f>
        <v>0.17169251865309654</v>
      </c>
      <c r="AB19" s="59">
        <f>'C1-Incomes'!AC21/'C1-Incomes'!$Z21</f>
        <v>7.3304543140487885E-2</v>
      </c>
      <c r="AC19" s="59">
        <f>'C1-Incomes'!AD21/'C1-Incomes'!$Z21</f>
        <v>5.1980689265221459E-2</v>
      </c>
      <c r="AD19" s="59">
        <f>'C1-Incomes'!AE21/'C1-Incomes'!$Z21</f>
        <v>2.3600288851660354E-2</v>
      </c>
      <c r="AE19" s="59">
        <f>'C1-Incomes'!AF21/'C1-Incomes'!$Z21</f>
        <v>7.9515943357851039E-3</v>
      </c>
      <c r="AF19" s="200"/>
      <c r="AG19" s="195"/>
      <c r="AH19" s="59">
        <f>'C1-Incomes'!AI21/'C1-Incomes'!$AH21</f>
        <v>0.31899302540503849</v>
      </c>
      <c r="AI19" s="59">
        <f>'C1-Incomes'!AJ21/'C1-Incomes'!$AH21</f>
        <v>0.20578131674339695</v>
      </c>
      <c r="AJ19" s="59">
        <f>'C1-Incomes'!AK21/'C1-Incomes'!$AH21</f>
        <v>7.7010165707415937E-2</v>
      </c>
      <c r="AK19" s="59">
        <f>'C1-Incomes'!AL21/'C1-Incomes'!$AH21</f>
        <v>5.0360231947331212E-2</v>
      </c>
      <c r="AL19" s="59">
        <f>'C1-Incomes'!AM21/'C1-Incomes'!$AH21</f>
        <v>1.8658815455401628E-2</v>
      </c>
      <c r="AM19" s="59">
        <f>'C1-Incomes'!AN21/'C1-Incomes'!$AH21</f>
        <v>4.9091389718680838E-3</v>
      </c>
      <c r="AN19" s="195"/>
      <c r="AO19" s="195"/>
      <c r="AP19" s="59">
        <f>'C1-Incomes'!AQ21/'C1-Incomes'!$AP21</f>
        <v>0.32004100956068821</v>
      </c>
      <c r="AQ19" s="59">
        <f>'C1-Incomes'!AR21/'C1-Incomes'!$AP21</f>
        <v>0.20736235557892133</v>
      </c>
      <c r="AR19" s="59">
        <f>'C1-Incomes'!AS21/'C1-Incomes'!$AP21</f>
        <v>7.8812859043034714E-2</v>
      </c>
      <c r="AS19" s="59">
        <f>'C1-Incomes'!AT21/'C1-Incomes'!$AP21</f>
        <v>5.1802919162952932E-2</v>
      </c>
      <c r="AT19" s="59">
        <f>'C1-Incomes'!AU21/'C1-Incomes'!$AP21</f>
        <v>1.9486653091242548E-2</v>
      </c>
      <c r="AU19" s="59">
        <f>'C1-Incomes'!AV21/'C1-Incomes'!$AP21</f>
        <v>5.2175515703700827E-3</v>
      </c>
      <c r="AV19" s="197"/>
      <c r="AW19" s="60"/>
      <c r="AX19" s="59">
        <f>'C1-Incomes'!AY21/'C1-Incomes'!$AX21</f>
        <v>0.32333107642241449</v>
      </c>
      <c r="AY19" s="59">
        <f>'C1-Incomes'!AZ21/'C1-Incomes'!$AX21</f>
        <v>0.21107089578392288</v>
      </c>
      <c r="AZ19" s="59">
        <f>'C1-Incomes'!BA21/'C1-Incomes'!$AX21</f>
        <v>8.2352941613815664E-2</v>
      </c>
      <c r="BA19" s="59">
        <f>'C1-Incomes'!BB21/'C1-Incomes'!$AX21</f>
        <v>5.4712704279818468E-2</v>
      </c>
      <c r="BB19" s="59">
        <f>'C1-Incomes'!BC21/'C1-Incomes'!$AX21</f>
        <v>2.1088814117003779E-2</v>
      </c>
      <c r="BC19" s="59">
        <f>'C1-Incomes'!BD21/'C1-Incomes'!$AX21</f>
        <v>5.7539161075867195E-3</v>
      </c>
      <c r="BD19" s="60"/>
      <c r="BE19" s="60"/>
      <c r="BF19" s="59">
        <f>'C1-Incomes'!BG21/'C1-Incomes'!$BF21</f>
        <v>0.32272690322368464</v>
      </c>
      <c r="BG19" s="59">
        <f>'C1-Incomes'!BH21/'C1-Incomes'!$BF21</f>
        <v>0.21051971984243126</v>
      </c>
      <c r="BH19" s="59">
        <f>'C1-Incomes'!BI21/'C1-Incomes'!$BF21</f>
        <v>8.205222342264494E-2</v>
      </c>
      <c r="BI19" s="59">
        <f>'C1-Incomes'!BJ21/'C1-Incomes'!$BF21</f>
        <v>5.4545888357472157E-2</v>
      </c>
      <c r="BJ19" s="59">
        <f>'C1-Incomes'!BK21/'C1-Incomes'!$BF21</f>
        <v>2.1011411651978961E-2</v>
      </c>
      <c r="BK19" s="59">
        <f>'C1-Incomes'!BL21/'C1-Incomes'!$BF21</f>
        <v>5.7169577042563199E-3</v>
      </c>
      <c r="BL19" s="59"/>
      <c r="BM19" s="59"/>
      <c r="BN19" s="59">
        <f>'C1-Incomes'!BO21/'C1-Incomes'!$BN21</f>
        <v>0.29649254601674219</v>
      </c>
      <c r="BO19" s="59">
        <f>'C1-Incomes'!BP21/'C1-Incomes'!$BN21</f>
        <v>0.19155488570885965</v>
      </c>
      <c r="BP19" s="59">
        <f>'C1-Incomes'!BQ21/'C1-Incomes'!$BN21</f>
        <v>7.3623033167327101E-2</v>
      </c>
      <c r="BQ19" s="59">
        <f>'C1-Incomes'!BR21/'C1-Incomes'!$BN21</f>
        <v>4.9411120913074751E-2</v>
      </c>
      <c r="BR19" s="59">
        <f>'C1-Incomes'!BS21/'C1-Incomes'!$BN21</f>
        <v>2.0053366537381951E-2</v>
      </c>
      <c r="BS19" s="59">
        <f>'C1-Incomes'!BT21/'C1-Incomes'!$BN21</f>
        <v>5.7627712629133429E-3</v>
      </c>
      <c r="BT19" s="59"/>
      <c r="BU19" s="59"/>
      <c r="BV19" s="59">
        <f>'C1-Incomes'!BW21/'C1-Incomes'!$BV21</f>
        <v>0.29933692546925517</v>
      </c>
      <c r="BW19" s="59">
        <f>'C1-Incomes'!BX21/'C1-Incomes'!$BV21</f>
        <v>0.19448170913352839</v>
      </c>
      <c r="BX19" s="59">
        <f>'C1-Incomes'!BY21/'C1-Incomes'!$BV21</f>
        <v>7.5956575572732332E-2</v>
      </c>
      <c r="BY19" s="59">
        <f>'C1-Incomes'!BZ21/'C1-Incomes'!$BV21</f>
        <v>5.1288574916363787E-2</v>
      </c>
      <c r="BZ19" s="59">
        <f>'C1-Incomes'!CA21/'C1-Incomes'!$BV21</f>
        <v>2.1391013015807186E-2</v>
      </c>
      <c r="CA19" s="59">
        <f>'C1-Incomes'!CB21/'C1-Incomes'!$BV21</f>
        <v>6.2720317452992268E-3</v>
      </c>
      <c r="CB19" s="60"/>
      <c r="CC19" s="198"/>
      <c r="CD19" s="59">
        <f>'C1-Incomes'!CE21/'C1-Incomes'!$CD21</f>
        <v>0.32034842485036241</v>
      </c>
      <c r="CE19" s="59">
        <f>'C1-Incomes'!CF21/'C1-Incomes'!$CD21</f>
        <v>0.21686871165852692</v>
      </c>
      <c r="CF19" s="59">
        <f>'C1-Incomes'!CG21/'C1-Incomes'!$CD21</f>
        <v>9.5821925702025357E-2</v>
      </c>
      <c r="CG19" s="59">
        <f>'C1-Incomes'!CH21/'C1-Incomes'!$CD21</f>
        <v>6.8569281526357509E-2</v>
      </c>
      <c r="CH19" s="59">
        <f>'C1-Incomes'!CI21/'C1-Incomes'!$CD21</f>
        <v>3.1622202445589553E-2</v>
      </c>
      <c r="CI19" s="59">
        <f>'C1-Incomes'!CJ21/'C1-Incomes'!$CD21</f>
        <v>1.056851903312884E-2</v>
      </c>
      <c r="CL19" s="59">
        <f>'C1-Incomes'!CM21/'C1-Incomes'!$CL21</f>
        <v>0.32770982224238915</v>
      </c>
      <c r="CM19" s="59">
        <f>'C1-Incomes'!CN21/'C1-Incomes'!$CL21</f>
        <v>0.22475033364802821</v>
      </c>
      <c r="CN19" s="59">
        <f>'C1-Incomes'!CO21/'C1-Incomes'!$CL21</f>
        <v>0.10267460092390231</v>
      </c>
      <c r="CO19" s="59">
        <f>'C1-Incomes'!CP21/'C1-Incomes'!$CL21</f>
        <v>7.4319104037300729E-2</v>
      </c>
      <c r="CP19" s="59">
        <f>'C1-Incomes'!CQ21/'C1-Incomes'!$CL21</f>
        <v>3.5063459061786206E-2</v>
      </c>
      <c r="CQ19" s="59">
        <f>'C1-Incomes'!CR21/'C1-Incomes'!$CL21</f>
        <v>1.1978203696635067E-2</v>
      </c>
      <c r="CR19" s="59"/>
      <c r="CS19" s="59"/>
      <c r="CT19" s="59">
        <f>'C1-Incomes'!CU21/'C1-Incomes'!$CT21</f>
        <v>0.33241803028361727</v>
      </c>
      <c r="CU19" s="59">
        <f>'C1-Incomes'!CV21/'C1-Incomes'!$CT21</f>
        <v>0.22925801917087718</v>
      </c>
      <c r="CV19" s="59">
        <f>'C1-Incomes'!CW21/'C1-Incomes'!$CT21</f>
        <v>0.10629752275438442</v>
      </c>
      <c r="CW19" s="59">
        <f>'C1-Incomes'!CX21/'C1-Incomes'!$CT21</f>
        <v>7.7176916032410295E-2</v>
      </c>
      <c r="CX19" s="59">
        <f>'C1-Incomes'!CY21/'C1-Incomes'!$CT21</f>
        <v>3.655676117980905E-2</v>
      </c>
      <c r="CY19" s="59">
        <f>'C1-Incomes'!CZ21/'C1-Incomes'!$CT21</f>
        <v>1.254753510115786E-2</v>
      </c>
      <c r="CZ19" s="59"/>
      <c r="DA19" s="59"/>
      <c r="DB19" s="59">
        <f>'C1-Incomes'!DC21/'C1-Incomes'!$DB21</f>
        <v>0.3363819952943678</v>
      </c>
      <c r="DC19" s="59">
        <f>'C1-Incomes'!DD21/'C1-Incomes'!$DB21</f>
        <v>0.23346743570490175</v>
      </c>
      <c r="DD19" s="59">
        <f>'C1-Incomes'!DE21/'C1-Incomes'!$DB21</f>
        <v>0.10985233145100629</v>
      </c>
      <c r="DE19" s="59">
        <f>'C1-Incomes'!DF21/'C1-Incomes'!$DB21</f>
        <v>8.0332005901620471E-2</v>
      </c>
      <c r="DF19" s="59">
        <f>'C1-Incomes'!DG21/'C1-Incomes'!$DB21</f>
        <v>3.8557657974427735E-2</v>
      </c>
      <c r="DG19" s="59">
        <f>'C1-Incomes'!DH21/'C1-Incomes'!$DB21</f>
        <v>1.3416116372443004E-2</v>
      </c>
      <c r="DH19" s="59"/>
      <c r="DI19" s="1039"/>
      <c r="DJ19" s="59">
        <f>'C1-Incomes'!DK21/'C1-Incomes'!$DJ21</f>
        <v>0.33802450688598562</v>
      </c>
      <c r="DK19" s="59">
        <f>'C1-Incomes'!DL21/'C1-Incomes'!$DJ21</f>
        <v>0.23706443739461916</v>
      </c>
      <c r="DL19" s="59">
        <f>'C1-Incomes'!DM21/'C1-Incomes'!$DJ21</f>
        <v>0.11180541075562496</v>
      </c>
      <c r="DM19" s="59">
        <f>'C1-Incomes'!DN21/'C1-Incomes'!$DJ21</f>
        <v>8.1384278786296407E-2</v>
      </c>
      <c r="DN19" s="59">
        <f>'C1-Incomes'!DO21/'C1-Incomes'!$DJ21</f>
        <v>3.8781511477280803E-2</v>
      </c>
      <c r="DO19" s="59">
        <f>'C1-Incomes'!DP21/'C1-Incomes'!$DJ21</f>
        <v>1.3467642957243897E-2</v>
      </c>
      <c r="DP19" s="696"/>
      <c r="DQ19" s="503"/>
      <c r="DR19" s="59">
        <f>'C1-Incomes'!DS21/'C1-Incomes'!$DR21</f>
        <v>0.33707718181651836</v>
      </c>
      <c r="DS19" s="59">
        <f>'C1-Incomes'!DT21/'C1-Incomes'!$DR21</f>
        <v>0.23486441535647345</v>
      </c>
      <c r="DT19" s="59">
        <f>'C1-Incomes'!DU21/'C1-Incomes'!$DR21</f>
        <v>0.10947737577240134</v>
      </c>
      <c r="DU19" s="59">
        <f>'C1-Incomes'!DV21/'C1-Incomes'!$DR21</f>
        <v>7.9649660392634852E-2</v>
      </c>
      <c r="DV19" s="59">
        <f>'C1-Incomes'!DW21/'C1-Incomes'!$DR21</f>
        <v>3.7733829750197928E-2</v>
      </c>
      <c r="DW19" s="59">
        <f>'C1-Incomes'!DX21/'C1-Incomes'!$DR21</f>
        <v>1.3070254884281504E-2</v>
      </c>
      <c r="DX19" s="333"/>
      <c r="DZ19" s="59">
        <f>'C1-Incomes'!EA21/'C1-Incomes'!$DZ21</f>
        <v>0.33045443493869875</v>
      </c>
      <c r="EA19" s="59">
        <f>'C1-Incomes'!EB21/'C1-Incomes'!$DZ21</f>
        <v>0.22888856291189288</v>
      </c>
      <c r="EB19" s="59">
        <f>'C1-Incomes'!EC21/'C1-Incomes'!$DZ21</f>
        <v>0.10587007425122788</v>
      </c>
      <c r="EC19" s="59">
        <f>'C1-Incomes'!ED21/'C1-Incomes'!$DZ21</f>
        <v>7.6968063306959489E-2</v>
      </c>
      <c r="ED19" s="59">
        <f>'C1-Incomes'!EE21/'C1-Incomes'!$DZ21</f>
        <v>3.642207989021988E-2</v>
      </c>
      <c r="EE19" s="59">
        <f>'C1-Incomes'!EF21/'C1-Incomes'!$DZ21</f>
        <v>1.260472594253409E-2</v>
      </c>
      <c r="EF19" s="59"/>
      <c r="EH19" s="59">
        <f>'C1-Incomes'!EI21/'C1-Incomes'!$EH21</f>
        <v>0.32867755266611326</v>
      </c>
      <c r="EI19" s="59">
        <f>'C1-Incomes'!EJ21/'C1-Incomes'!$EH21</f>
        <v>0.22660941841485793</v>
      </c>
      <c r="EJ19" s="59">
        <f>'C1-Incomes'!EK21/'C1-Incomes'!$EH21</f>
        <v>0.10359930210869121</v>
      </c>
      <c r="EK19" s="59">
        <f>'C1-Incomes'!EL21/'C1-Incomes'!$EH21</f>
        <v>7.5210174819491479E-2</v>
      </c>
      <c r="EL19" s="59">
        <f>'C1-Incomes'!EM21/'C1-Incomes'!$EH21</f>
        <v>3.5564390922045983E-2</v>
      </c>
      <c r="EM19" s="59">
        <f>'C1-Incomes'!EN21/'C1-Incomes'!$EH21</f>
        <v>1.230289386267865E-2</v>
      </c>
      <c r="EN19" s="59"/>
      <c r="EO19" s="59"/>
      <c r="EP19" s="59">
        <f>'C1-Incomes'!EQ21/'C1-Incomes'!$EH21</f>
        <v>0.33770181606408423</v>
      </c>
      <c r="EQ19" s="59">
        <f>'C1-Incomes'!ER21/'C1-Incomes'!$EH21</f>
        <v>0.2313916012656585</v>
      </c>
      <c r="ER19" s="59">
        <f>'C1-Incomes'!ES21/'C1-Incomes'!$EH21</f>
        <v>0.10475148599858089</v>
      </c>
      <c r="ES19" s="59">
        <f>'C1-Incomes'!ET21/'C1-Incomes'!$EH21</f>
        <v>7.5830361337429264E-2</v>
      </c>
      <c r="ET19" s="59">
        <f>'C1-Incomes'!EU21/'C1-Incomes'!$EH21</f>
        <v>3.5735119432605239E-2</v>
      </c>
      <c r="EU19" s="59">
        <f>'C1-Incomes'!EV21/'C1-Incomes'!$EH21</f>
        <v>1.2331054415559303E-2</v>
      </c>
      <c r="EV19" s="59"/>
      <c r="EW19" s="59"/>
      <c r="EX19" s="59">
        <f>'C1-Incomes'!EY21/'C1-Incomes'!$EX21</f>
        <v>0.3206064846850587</v>
      </c>
      <c r="EY19" s="59">
        <f>'C1-Incomes'!EZ21/'C1-Incomes'!$EX21</f>
        <v>0.21801428237934159</v>
      </c>
      <c r="EZ19" s="59">
        <f>'C1-Incomes'!FA21/'C1-Incomes'!$EX21</f>
        <v>9.7143648904541954E-2</v>
      </c>
      <c r="FA19" s="59">
        <f>'C1-Incomes'!FB21/'C1-Incomes'!$EX21</f>
        <v>7.0032623712705688E-2</v>
      </c>
      <c r="FB19" s="59">
        <f>'C1-Incomes'!FC21/'C1-Incomes'!$EX21</f>
        <v>3.2828926084614345E-2</v>
      </c>
      <c r="FC19" s="59">
        <f>'C1-Incomes'!FD21/'C1-Incomes'!$EX21</f>
        <v>1.1280115560610109E-2</v>
      </c>
      <c r="FD19" s="59"/>
      <c r="FF19" s="59">
        <f>'C1-Incomes'!FG21/'C1-Incomes'!$FF21</f>
        <v>0.31021566063448586</v>
      </c>
      <c r="FG19" s="59">
        <f>'C1-Incomes'!FH21/'C1-Incomes'!$FF21</f>
        <v>0.21088555409857526</v>
      </c>
      <c r="FH19" s="59">
        <f>'C1-Incomes'!FI21/'C1-Incomes'!$FF21</f>
        <v>9.3768142792508294E-2</v>
      </c>
      <c r="FI19" s="59">
        <f>'C1-Incomes'!FJ21/'C1-Incomes'!$FF21</f>
        <v>6.7511968225012084E-2</v>
      </c>
      <c r="FJ19" s="59">
        <f>'C1-Incomes'!FK21/'C1-Incomes'!$FF21</f>
        <v>3.1547975089951705E-2</v>
      </c>
      <c r="FK19" s="59">
        <f>'C1-Incomes'!FL21/'C1-Incomes'!$FF21</f>
        <v>1.0828735975400416E-2</v>
      </c>
      <c r="FN19" s="59">
        <f>'C1-Incomes'!FO21/'C1-Incomes'!$FN21</f>
        <v>0.3092132018769797</v>
      </c>
      <c r="FO19" s="59">
        <f>'C1-Incomes'!FP21/'C1-Incomes'!$FN21</f>
        <v>0.21016922880854058</v>
      </c>
      <c r="FP19" s="59">
        <f>'C1-Incomes'!FQ21/'C1-Incomes'!$FN21</f>
        <v>9.3444059719484204E-2</v>
      </c>
      <c r="FQ19" s="59">
        <f>'C1-Incomes'!FR21/'C1-Incomes'!$FN21</f>
        <v>6.7277792448402804E-2</v>
      </c>
      <c r="FR19" s="59">
        <f>'C1-Incomes'!FS21/'C1-Incomes'!$FN21</f>
        <v>3.143835338816757E-2</v>
      </c>
      <c r="FS19" s="59">
        <f>'C1-Incomes'!FT21/'C1-Incomes'!$FN21</f>
        <v>1.0791096765450861E-2</v>
      </c>
      <c r="FV19" s="59">
        <f>'C1-Incomes'!FW21/'C1-Incomes'!$FV21</f>
        <v>0.30482272929631671</v>
      </c>
      <c r="FW19" s="59">
        <f>'C1-Incomes'!FX21/'C1-Incomes'!$FV21</f>
        <v>0.20704931464792298</v>
      </c>
      <c r="FX19" s="59">
        <f>'C1-Incomes'!FY21/'C1-Incomes'!$FV21</f>
        <v>9.196450383446958E-2</v>
      </c>
      <c r="FY19" s="59">
        <f>'C1-Incomes'!FZ21/'C1-Incomes'!$FV21</f>
        <v>6.6195923796704317E-2</v>
      </c>
      <c r="FZ19" s="59">
        <f>'C1-Incomes'!GA21/'C1-Incomes'!$FV21</f>
        <v>3.0922708490751037E-2</v>
      </c>
      <c r="GA19" s="59">
        <f>'C1-Incomes'!GB21/'C1-Incomes'!$FV21</f>
        <v>1.0612265915557206E-2</v>
      </c>
      <c r="GE19" s="59">
        <f>'C1-Incomes'!GF21/'C1-Incomes'!$GE21</f>
        <v>0.30345132326864332</v>
      </c>
      <c r="GF19" s="59">
        <f>'C1-Incomes'!GG21/'C1-Incomes'!$GE21</f>
        <v>0.20609551897185782</v>
      </c>
      <c r="GG19" s="59">
        <f>'C1-Incomes'!GH21/'C1-Incomes'!$GE21</f>
        <v>9.1563463680121568E-2</v>
      </c>
      <c r="GH19" s="59">
        <f>'C1-Incomes'!GI21/'C1-Incomes'!$GE21</f>
        <v>6.5849612333877552E-2</v>
      </c>
      <c r="GI19" s="59">
        <f>'C1-Incomes'!GJ21/'C1-Incomes'!$GE21</f>
        <v>3.0717156117076788E-2</v>
      </c>
      <c r="GJ19" s="59">
        <f>'C1-Incomes'!GK21/'C1-Incomes'!$GE21</f>
        <v>1.0542054709142932E-2</v>
      </c>
      <c r="GM19" s="59">
        <f>'C1-Incomes'!GN21/'C1-Incomes'!$GM21</f>
        <v>0.29937314691343692</v>
      </c>
      <c r="GN19" s="59">
        <f>'C1-Incomes'!GO21/'C1-Incomes'!$GM21</f>
        <v>0.20332573743545987</v>
      </c>
      <c r="GO19" s="59">
        <f>'C1-Incomes'!GP21/'C1-Incomes'!$GM21</f>
        <v>9.033291392156774E-2</v>
      </c>
      <c r="GP19" s="59">
        <f>'C1-Incomes'!GQ21/'C1-Incomes'!$GM21</f>
        <v>6.4964638990782975E-2</v>
      </c>
      <c r="GQ19" s="59">
        <f>'C1-Incomes'!GR21/'C1-Incomes'!$GM21</f>
        <v>3.0304338738571093E-2</v>
      </c>
      <c r="GR19" s="59">
        <f>'C1-Incomes'!GS21/'C1-Incomes'!$GM21</f>
        <v>1.0400376769541206E-2</v>
      </c>
      <c r="GU19" s="59">
        <f>'C1-Incomes'!GV21/'C1-Incomes'!$GU21</f>
        <v>0.28208272423329456</v>
      </c>
      <c r="GV19" s="59">
        <f>'C1-Incomes'!GW21/'C1-Incomes'!$GU21</f>
        <v>0.18952546921543909</v>
      </c>
      <c r="GW19" s="59">
        <f>'C1-Incomes'!GX21/'C1-Incomes'!$GU21</f>
        <v>8.2973476259639051E-2</v>
      </c>
      <c r="GX19" s="59">
        <f>'C1-Incomes'!GY21/'C1-Incomes'!$GU21</f>
        <v>5.9428375892816777E-2</v>
      </c>
      <c r="GY19" s="59">
        <f>'C1-Incomes'!GZ21/'C1-Incomes'!$GU21</f>
        <v>2.7524729505954835E-2</v>
      </c>
      <c r="GZ19" s="59">
        <f>'C1-Incomes'!HA21/'C1-Incomes'!$GU21</f>
        <v>9.3942349422345087E-3</v>
      </c>
      <c r="HC19" s="59">
        <f>'C1-Incomes'!HD21/'C1-Incomes'!$HC21</f>
        <v>0.27986691880947201</v>
      </c>
      <c r="HD19" s="59">
        <f>'C1-Incomes'!HE21/'C1-Incomes'!$HC21</f>
        <v>0.18752201286555464</v>
      </c>
      <c r="HE19" s="59">
        <f>'C1-Incomes'!HF21/'C1-Incomes'!$HC21</f>
        <v>8.1796141266049796E-2</v>
      </c>
      <c r="HF19" s="59">
        <f>'C1-Incomes'!HG21/'C1-Incomes'!$HC21</f>
        <v>5.8679993896051455E-2</v>
      </c>
      <c r="HG19" s="59">
        <f>'C1-Incomes'!HH21/'C1-Incomes'!$HC21</f>
        <v>2.7201495636520866E-2</v>
      </c>
      <c r="HH19" s="59">
        <f>'C1-Incomes'!HI21/'C1-Incomes'!$HC21</f>
        <v>9.2732680078915705E-3</v>
      </c>
      <c r="HK19" s="59">
        <f>'C1-Incomes'!HL21/'C1-Incomes'!$HK21</f>
        <v>0.27289465705460209</v>
      </c>
      <c r="HL19" s="59">
        <f>'C1-Incomes'!HM21/'C1-Incomes'!$HK21</f>
        <v>0.18040926484657485</v>
      </c>
      <c r="HM19" s="59">
        <f>'C1-Incomes'!HN21/'C1-Incomes'!$HK21</f>
        <v>7.5893812619365258E-2</v>
      </c>
      <c r="HN19" s="59">
        <f>'C1-Incomes'!HO21/'C1-Incomes'!$HK21</f>
        <v>5.3735585542914542E-2</v>
      </c>
      <c r="HO19" s="59">
        <f>'C1-Incomes'!HP21/'C1-Incomes'!$HK21</f>
        <v>2.4299797133928436E-2</v>
      </c>
      <c r="HP19" s="59">
        <f>'C1-Incomes'!HQ21/'C1-Incomes'!$HK21</f>
        <v>8.1363132190276251E-3</v>
      </c>
      <c r="HS19" s="59">
        <f>'C1-Incomes'!HT21/'C1-Incomes'!$HS21</f>
        <v>0.26739455252724775</v>
      </c>
      <c r="HT19" s="59">
        <f>'C1-Incomes'!HU21/'C1-Incomes'!$HS21</f>
        <v>0.17599026300643625</v>
      </c>
      <c r="HU19" s="59">
        <f>'C1-Incomes'!HV21/'C1-Incomes'!$HS21</f>
        <v>7.296930790751685E-2</v>
      </c>
      <c r="HV19" s="59">
        <f>'C1-Incomes'!HW21/'C1-Incomes'!$HS21</f>
        <v>5.1394955259744628E-2</v>
      </c>
      <c r="HW19" s="59">
        <f>'C1-Incomes'!HX21/'C1-Incomes'!$HS21</f>
        <v>2.318710262497414E-2</v>
      </c>
      <c r="HX19" s="59">
        <f>'C1-Incomes'!HY21/'C1-Incomes'!$HS21</f>
        <v>7.7515153588994445E-3</v>
      </c>
      <c r="IA19" s="59">
        <f>'C1-Incomes'!IB21/'C1-Incomes'!$IA21</f>
        <v>0.27356427521848747</v>
      </c>
      <c r="IB19" s="59">
        <f>'C1-Incomes'!IC21/'C1-Incomes'!$IA21</f>
        <v>0.18185828407566132</v>
      </c>
      <c r="IC19" s="59">
        <f>'C1-Incomes'!ID21/'C1-Incomes'!$IA21</f>
        <v>7.7158437181794895E-2</v>
      </c>
      <c r="ID19" s="59">
        <f>'C1-Incomes'!IE21/'C1-Incomes'!$IA21</f>
        <v>5.4619678811344136E-2</v>
      </c>
      <c r="IE19" s="59">
        <f>'C1-Incomes'!IF21/'C1-Incomes'!$IA21</f>
        <v>2.4703663232868718E-2</v>
      </c>
      <c r="IF19" s="59">
        <f>'C1-Incomes'!IG21/'C1-Incomes'!$IA21</f>
        <v>8.2721069727323873E-3</v>
      </c>
      <c r="II19" s="59">
        <f>'C1-Incomes'!IJ21/'C1-Incomes'!$II21</f>
        <v>0.27519668783573992</v>
      </c>
      <c r="IJ19" s="59">
        <f>'C1-Incomes'!IK21/'C1-Incomes'!$II21</f>
        <v>0.18408253325885876</v>
      </c>
      <c r="IK19" s="59">
        <f>'C1-Incomes'!IL21/'C1-Incomes'!$II21</f>
        <v>7.9201302863923198E-2</v>
      </c>
      <c r="IL19" s="59">
        <f>'C1-Incomes'!IM21/'C1-Incomes'!$II21</f>
        <v>5.6368991856878152E-2</v>
      </c>
      <c r="IM19" s="59">
        <f>'C1-Incomes'!IN21/'C1-Incomes'!$II21</f>
        <v>2.5627724726222635E-2</v>
      </c>
      <c r="IN19" s="59">
        <f>'C1-Incomes'!IO21/'C1-Incomes'!$II21</f>
        <v>8.6132097042197764E-3</v>
      </c>
      <c r="IQ19" s="59">
        <f>'C1-Incomes'!IR21/'C1-Incomes'!$IQ21</f>
        <v>0.27717008873327675</v>
      </c>
      <c r="IR19" s="59">
        <f>'C1-Incomes'!IS21/'C1-Incomes'!$IQ21</f>
        <v>0.18578545715159209</v>
      </c>
      <c r="IS19" s="59">
        <f>'C1-Incomes'!IT21/'C1-Incomes'!$IQ21</f>
        <v>8.030005820676539E-2</v>
      </c>
      <c r="IT19" s="59">
        <f>'C1-Incomes'!IU21/'C1-Incomes'!$IQ21</f>
        <v>5.7202213767343559E-2</v>
      </c>
      <c r="IU19" s="59">
        <f>'C1-Incomes'!IV21/'C1-Incomes'!$IQ21</f>
        <v>2.6068862733106036E-2</v>
      </c>
      <c r="IV19" s="59">
        <f>'C1-Incomes'!IW21/'C1-Incomes'!$IQ21</f>
        <v>8.7627459822163939E-3</v>
      </c>
      <c r="IY19" s="59">
        <f>'C1-Incomes'!IZ21/'C1-Incomes'!$IY21</f>
        <v>0.25871115199547423</v>
      </c>
      <c r="IZ19" s="59">
        <f>'C1-Incomes'!JA21/'C1-Incomes'!$IY21</f>
        <v>0.17169251865309654</v>
      </c>
      <c r="JA19" s="59">
        <f>'C1-Incomes'!JB21/'C1-Incomes'!$IY21</f>
        <v>7.3304543140487885E-2</v>
      </c>
      <c r="JB19" s="59">
        <f>'C1-Incomes'!JC21/'C1-Incomes'!$IY21</f>
        <v>5.1980689265221459E-2</v>
      </c>
      <c r="JC19" s="59">
        <f>'C1-Incomes'!JD21/'C1-Incomes'!$IY21</f>
        <v>2.3600288851660354E-2</v>
      </c>
      <c r="JD19" s="59">
        <f>'C1-Incomes'!JE21/'C1-Incomes'!$IY21</f>
        <v>7.9515943357851039E-3</v>
      </c>
      <c r="JE19" s="197"/>
      <c r="JF19" s="197"/>
      <c r="JG19" s="197"/>
      <c r="JH19" s="197"/>
      <c r="JI19" s="197"/>
      <c r="JJ19" s="197"/>
      <c r="JK19" s="197"/>
      <c r="JL19" s="197"/>
      <c r="JM19" s="197"/>
      <c r="JN19" s="197"/>
      <c r="JO19" s="197"/>
      <c r="JP19" s="197"/>
      <c r="JQ19" s="197"/>
      <c r="JR19" s="197"/>
      <c r="JS19" s="197"/>
      <c r="JT19" s="197"/>
      <c r="JU19" s="197"/>
      <c r="JV19" s="197"/>
      <c r="JW19" s="197"/>
      <c r="JX19" s="197"/>
      <c r="JY19" s="197"/>
      <c r="JZ19" s="197"/>
      <c r="KA19" s="197"/>
      <c r="KB19" s="197"/>
      <c r="KC19" s="197"/>
      <c r="KD19" s="197"/>
      <c r="KE19" s="197"/>
      <c r="KF19" s="197"/>
      <c r="KG19" s="197"/>
      <c r="KH19" s="197"/>
      <c r="KI19" s="197"/>
      <c r="KJ19" s="197"/>
      <c r="KK19" s="197"/>
      <c r="KL19" s="197"/>
      <c r="KM19" s="197"/>
      <c r="KN19" s="197"/>
      <c r="KO19" s="197"/>
      <c r="KP19" s="197"/>
      <c r="KQ19" s="197"/>
      <c r="KR19" s="197"/>
      <c r="KS19" s="197"/>
      <c r="KT19" s="197"/>
      <c r="KU19" s="197"/>
      <c r="KV19" s="197"/>
      <c r="KW19" s="197"/>
      <c r="KX19" s="197"/>
      <c r="KY19" s="197"/>
      <c r="KZ19" s="197"/>
      <c r="LA19" s="197"/>
      <c r="LB19" s="197"/>
      <c r="LC19" s="197"/>
      <c r="LD19" s="197"/>
      <c r="LE19" s="197"/>
      <c r="LF19" s="197"/>
      <c r="LG19" s="197"/>
      <c r="LH19" s="197"/>
      <c r="LI19" s="197"/>
      <c r="LJ19" s="197"/>
      <c r="LK19" s="197"/>
      <c r="LL19" s="197"/>
      <c r="LM19" s="197"/>
      <c r="LN19" s="197"/>
      <c r="LO19" s="197"/>
      <c r="LP19" s="197"/>
      <c r="LQ19" s="197"/>
      <c r="LR19" s="197"/>
      <c r="LS19" s="197"/>
      <c r="LT19" s="197"/>
      <c r="LU19" s="197"/>
      <c r="LV19" s="197"/>
      <c r="LW19" s="197"/>
      <c r="LX19" s="197"/>
      <c r="LY19" s="197"/>
      <c r="LZ19" s="197"/>
      <c r="MA19" s="197"/>
      <c r="MB19" s="197"/>
      <c r="MC19" s="197"/>
      <c r="MD19" s="197"/>
      <c r="ME19" s="197"/>
      <c r="MF19" s="197"/>
      <c r="MG19" s="197"/>
      <c r="MH19" s="197"/>
      <c r="MI19" s="197"/>
      <c r="MJ19" s="197"/>
      <c r="MK19" s="197"/>
      <c r="ML19" s="197"/>
      <c r="MM19" s="197"/>
      <c r="MN19" s="197"/>
      <c r="MO19" s="197"/>
      <c r="MP19" s="197"/>
      <c r="MQ19" s="197"/>
      <c r="MR19" s="197"/>
      <c r="MS19" s="197"/>
      <c r="MT19" s="197"/>
      <c r="MU19" s="197"/>
      <c r="MV19" s="197"/>
      <c r="MW19" s="197"/>
      <c r="MX19" s="197"/>
      <c r="MY19" s="197"/>
      <c r="MZ19" s="197"/>
      <c r="NA19" s="197"/>
      <c r="NB19" s="197"/>
      <c r="NC19" s="197"/>
      <c r="ND19" s="197"/>
      <c r="NE19" s="197"/>
      <c r="NF19" s="197"/>
      <c r="NG19" s="197"/>
      <c r="NH19" s="197"/>
      <c r="NI19" s="197"/>
      <c r="NJ19" s="197"/>
      <c r="NK19" s="197"/>
      <c r="NL19" s="197"/>
      <c r="NM19" s="197"/>
      <c r="NN19" s="197"/>
      <c r="NO19" s="197"/>
      <c r="NP19" s="197"/>
      <c r="NQ19" s="197"/>
      <c r="NR19" s="197"/>
      <c r="NS19" s="197"/>
      <c r="NT19" s="197"/>
      <c r="NU19" s="197"/>
      <c r="NV19" s="197"/>
      <c r="NW19" s="197"/>
      <c r="NX19" s="197"/>
      <c r="NY19" s="197"/>
      <c r="NZ19" s="197"/>
      <c r="OA19" s="197"/>
      <c r="OB19" s="197"/>
      <c r="OC19" s="197"/>
      <c r="OD19" s="197"/>
      <c r="OE19" s="197"/>
      <c r="OF19" s="197"/>
      <c r="OG19" s="197"/>
      <c r="OH19" s="197"/>
      <c r="OI19" s="197"/>
      <c r="OJ19" s="197"/>
      <c r="OK19" s="197"/>
      <c r="OL19" s="197"/>
      <c r="OM19" s="197"/>
      <c r="ON19" s="197"/>
      <c r="OO19" s="197"/>
      <c r="OP19" s="197"/>
      <c r="OQ19" s="197"/>
      <c r="OR19" s="197"/>
      <c r="OS19" s="197"/>
      <c r="OT19" s="197"/>
      <c r="OU19" s="197"/>
      <c r="OV19" s="197"/>
      <c r="OW19" s="197"/>
      <c r="OX19" s="197"/>
      <c r="OY19" s="197"/>
      <c r="OZ19" s="197"/>
      <c r="PA19" s="197"/>
      <c r="PB19" s="197"/>
    </row>
    <row r="20" spans="1:418" s="77" customFormat="1" ht="10.5" customHeight="1" x14ac:dyDescent="0.2">
      <c r="A20" s="48">
        <v>1974</v>
      </c>
      <c r="B20" s="59">
        <f>'C1-Incomes'!C22/'C1-Incomes'!$B22</f>
        <v>0.32274623445819384</v>
      </c>
      <c r="C20" s="59">
        <f>'C1-Incomes'!D22/'C1-Incomes'!$B22</f>
        <v>0.20982552160250875</v>
      </c>
      <c r="D20" s="59">
        <f>'C1-Incomes'!E22/'C1-Incomes'!$B22</f>
        <v>8.1053420311755511E-2</v>
      </c>
      <c r="E20" s="59">
        <f>'C1-Incomes'!F22/'C1-Incomes'!$B22</f>
        <v>5.3973356153442037E-2</v>
      </c>
      <c r="F20" s="59">
        <f>'C1-Incomes'!G22/'C1-Incomes'!$B22</f>
        <v>2.1057889958027966E-2</v>
      </c>
      <c r="G20" s="59">
        <f>'C1-Incomes'!H22/'C1-Incomes'!$B22</f>
        <v>5.6401393923500723E-3</v>
      </c>
      <c r="H20" s="199"/>
      <c r="J20" s="59">
        <f>'C1-Incomes'!K22/'C1-Incomes'!$J22</f>
        <v>0.31989753778937369</v>
      </c>
      <c r="K20" s="59">
        <f>'C1-Incomes'!L22/'C1-Incomes'!$J22</f>
        <v>0.21587663033340881</v>
      </c>
      <c r="L20" s="59">
        <f>'C1-Incomes'!M22/'C1-Incomes'!$J22</f>
        <v>9.3850207684448211E-2</v>
      </c>
      <c r="M20" s="59">
        <f>'C1-Incomes'!N22/'C1-Incomes'!$J22</f>
        <v>6.7008306748657709E-2</v>
      </c>
      <c r="N20" s="59">
        <f>'C1-Incomes'!O22/'C1-Incomes'!$J22</f>
        <v>3.1526002331477135E-2</v>
      </c>
      <c r="O20" s="59">
        <f>'C1-Incomes'!P22/'C1-Incomes'!$J22</f>
        <v>1.0540012650952744E-2</v>
      </c>
      <c r="P20" s="59"/>
      <c r="R20" s="59">
        <f>'C1-Incomes'!S22/'C1-Incomes'!$R22</f>
        <v>0.29655348705430468</v>
      </c>
      <c r="S20" s="59">
        <f>'C1-Incomes'!T22/'C1-Incomes'!$R22</f>
        <v>0.19981639027915488</v>
      </c>
      <c r="T20" s="59">
        <f>'C1-Incomes'!U22/'C1-Incomes'!$R22</f>
        <v>8.6511865633795648E-2</v>
      </c>
      <c r="U20" s="59">
        <f>'C1-Incomes'!V22/'C1-Incomes'!$R22</f>
        <v>6.1634279656043317E-2</v>
      </c>
      <c r="V20" s="59">
        <f>'C1-Incomes'!W22/'C1-Incomes'!$R22</f>
        <v>2.8907652398204295E-2</v>
      </c>
      <c r="W20" s="59">
        <f>'C1-Incomes'!X22/'C1-Incomes'!$R22</f>
        <v>9.6464452056279244E-3</v>
      </c>
      <c r="X20" s="59"/>
      <c r="Y20" s="59"/>
      <c r="Z20" s="59">
        <f>'C1-Incomes'!AA22/'C1-Incomes'!$Z22</f>
        <v>0.25566131174271839</v>
      </c>
      <c r="AA20" s="59">
        <f>'C1-Incomes'!AB22/'C1-Incomes'!$Z22</f>
        <v>0.16877545809934932</v>
      </c>
      <c r="AB20" s="59">
        <f>'C1-Incomes'!AC22/'C1-Incomes'!$Z22</f>
        <v>7.0153054150191477E-2</v>
      </c>
      <c r="AC20" s="59">
        <f>'C1-Incomes'!AD22/'C1-Incomes'!$Z22</f>
        <v>4.9400262498917276E-2</v>
      </c>
      <c r="AD20" s="59">
        <f>'C1-Incomes'!AE22/'C1-Incomes'!$Z22</f>
        <v>2.2440619805014772E-2</v>
      </c>
      <c r="AE20" s="59">
        <f>'C1-Incomes'!AF22/'C1-Incomes'!$Z22</f>
        <v>7.3700306561669685E-3</v>
      </c>
      <c r="AF20" s="200"/>
      <c r="AG20" s="195"/>
      <c r="AH20" s="59">
        <f>'C1-Incomes'!AI22/'C1-Incomes'!$AH22</f>
        <v>0.32178245237783687</v>
      </c>
      <c r="AI20" s="59">
        <f>'C1-Incomes'!AJ22/'C1-Incomes'!$AH22</f>
        <v>0.20866735059400884</v>
      </c>
      <c r="AJ20" s="59">
        <f>'C1-Incomes'!AK22/'C1-Incomes'!$AH22</f>
        <v>8.0391707492183287E-2</v>
      </c>
      <c r="AK20" s="59">
        <f>'C1-Incomes'!AL22/'C1-Incomes'!$AH22</f>
        <v>5.350033876105529E-2</v>
      </c>
      <c r="AL20" s="59">
        <f>'C1-Incomes'!AM22/'C1-Incomes'!$AH22</f>
        <v>2.0862906141596031E-2</v>
      </c>
      <c r="AM20" s="59">
        <f>'C1-Incomes'!AN22/'C1-Incomes'!$AH22</f>
        <v>5.5820880160623041E-3</v>
      </c>
      <c r="AN20" s="195"/>
      <c r="AO20" s="195"/>
      <c r="AP20" s="59">
        <f>'C1-Incomes'!AQ22/'C1-Incomes'!$AP22</f>
        <v>0.32282701664091229</v>
      </c>
      <c r="AQ20" s="59">
        <f>'C1-Incomes'!AR22/'C1-Incomes'!$AP22</f>
        <v>0.21021781127190325</v>
      </c>
      <c r="AR20" s="59">
        <f>'C1-Incomes'!AS22/'C1-Incomes'!$AP22</f>
        <v>8.2334065377472412E-2</v>
      </c>
      <c r="AS20" s="59">
        <f>'C1-Incomes'!AT22/'C1-Incomes'!$AP22</f>
        <v>5.5181213005112008E-2</v>
      </c>
      <c r="AT20" s="59">
        <f>'C1-Incomes'!AU22/'C1-Incomes'!$AP22</f>
        <v>2.1796348428477514E-2</v>
      </c>
      <c r="AU20" s="59">
        <f>'C1-Incomes'!AV22/'C1-Incomes'!$AP22</f>
        <v>5.9030502401777075E-3</v>
      </c>
      <c r="AV20" s="197"/>
      <c r="AW20" s="60"/>
      <c r="AX20" s="59">
        <f>'C1-Incomes'!AY22/'C1-Incomes'!$AX22</f>
        <v>0.32618788450161967</v>
      </c>
      <c r="AY20" s="59">
        <f>'C1-Incomes'!AZ22/'C1-Incomes'!$AX22</f>
        <v>0.21398632240945303</v>
      </c>
      <c r="AZ20" s="59">
        <f>'C1-Incomes'!BA22/'C1-Incomes'!$AX22</f>
        <v>8.5891000732937761E-2</v>
      </c>
      <c r="BA20" s="59">
        <f>'C1-Incomes'!BB22/'C1-Incomes'!$AX22</f>
        <v>5.8111842423164355E-2</v>
      </c>
      <c r="BB20" s="59">
        <f>'C1-Incomes'!BC22/'C1-Incomes'!$AX22</f>
        <v>2.343083868757068E-2</v>
      </c>
      <c r="BC20" s="59">
        <f>'C1-Incomes'!BD22/'C1-Incomes'!$AX22</f>
        <v>6.4491868617337382E-3</v>
      </c>
      <c r="BD20" s="60"/>
      <c r="BE20" s="60"/>
      <c r="BF20" s="59">
        <f>'C1-Incomes'!BG22/'C1-Incomes'!$BF22</f>
        <v>0.32583315701971177</v>
      </c>
      <c r="BG20" s="59">
        <f>'C1-Incomes'!BH22/'C1-Incomes'!$BF22</f>
        <v>0.21382227101716086</v>
      </c>
      <c r="BH20" s="59">
        <f>'C1-Incomes'!BI22/'C1-Incomes'!$BF22</f>
        <v>8.5748417788936548E-2</v>
      </c>
      <c r="BI20" s="59">
        <f>'C1-Incomes'!BJ22/'C1-Incomes'!$BF22</f>
        <v>5.8006578600740599E-2</v>
      </c>
      <c r="BJ20" s="59">
        <f>'C1-Incomes'!BK22/'C1-Incomes'!$BF22</f>
        <v>2.3354510826059546E-2</v>
      </c>
      <c r="BK20" s="59">
        <f>'C1-Incomes'!BL22/'C1-Incomes'!$BF22</f>
        <v>6.4072337653371773E-3</v>
      </c>
      <c r="BL20" s="59"/>
      <c r="BM20" s="59"/>
      <c r="BN20" s="59">
        <f>'C1-Incomes'!BO22/'C1-Incomes'!$BN22</f>
        <v>0.30195408320951683</v>
      </c>
      <c r="BO20" s="59">
        <f>'C1-Incomes'!BP22/'C1-Incomes'!$BN22</f>
        <v>0.19772932154967771</v>
      </c>
      <c r="BP20" s="59">
        <f>'C1-Incomes'!BQ22/'C1-Incomes'!$BN22</f>
        <v>7.6791537387204303E-2</v>
      </c>
      <c r="BQ20" s="59">
        <f>'C1-Incomes'!BR22/'C1-Incomes'!$BN22</f>
        <v>5.2700796382548272E-2</v>
      </c>
      <c r="BR20" s="59">
        <f>'C1-Incomes'!BS22/'C1-Incomes'!$BN22</f>
        <v>2.2396279044175644E-2</v>
      </c>
      <c r="BS20" s="59">
        <f>'C1-Incomes'!BT22/'C1-Incomes'!$BN22</f>
        <v>6.4615732329939835E-3</v>
      </c>
      <c r="BT20" s="59"/>
      <c r="BU20" s="59"/>
      <c r="BV20" s="59">
        <f>'C1-Incomes'!BW22/'C1-Incomes'!$BV22</f>
        <v>0.30468628403420261</v>
      </c>
      <c r="BW20" s="59">
        <f>'C1-Incomes'!BX22/'C1-Incomes'!$BV22</f>
        <v>0.20061853675801358</v>
      </c>
      <c r="BX20" s="59">
        <f>'C1-Incomes'!BY22/'C1-Incomes'!$BV22</f>
        <v>7.9597320416450526E-2</v>
      </c>
      <c r="BY20" s="59">
        <f>'C1-Incomes'!BZ22/'C1-Incomes'!$BV22</f>
        <v>5.5025550006184684E-2</v>
      </c>
      <c r="BZ20" s="59">
        <f>'C1-Incomes'!CA22/'C1-Incomes'!$BV22</f>
        <v>2.3753465440953019E-2</v>
      </c>
      <c r="CA20" s="59">
        <f>'C1-Incomes'!CB22/'C1-Incomes'!$BV22</f>
        <v>7.0509651984784812E-3</v>
      </c>
      <c r="CB20" s="60"/>
      <c r="CC20" s="198"/>
      <c r="CD20" s="59">
        <f>'C1-Incomes'!CE22/'C1-Incomes'!$CD22</f>
        <v>0.31761194774716811</v>
      </c>
      <c r="CE20" s="59">
        <f>'C1-Incomes'!CF22/'C1-Incomes'!$CD22</f>
        <v>0.21431315367189513</v>
      </c>
      <c r="CF20" s="59">
        <f>'C1-Incomes'!CG22/'C1-Incomes'!$CD22</f>
        <v>9.2664148198815577E-2</v>
      </c>
      <c r="CG20" s="59">
        <f>'C1-Incomes'!CH22/'C1-Incomes'!$CD22</f>
        <v>6.5629912674057933E-2</v>
      </c>
      <c r="CH20" s="59">
        <f>'C1-Incomes'!CI22/'C1-Incomes'!$CD22</f>
        <v>3.0283725243415983E-2</v>
      </c>
      <c r="CI20" s="59">
        <f>'C1-Incomes'!CJ22/'C1-Incomes'!$CD22</f>
        <v>9.8270334775601396E-3</v>
      </c>
      <c r="CL20" s="59">
        <f>'C1-Incomes'!CM22/'C1-Incomes'!$CL22</f>
        <v>0.32265339507231555</v>
      </c>
      <c r="CM20" s="59">
        <f>'C1-Incomes'!CN22/'C1-Incomes'!$CL22</f>
        <v>0.21983796403785408</v>
      </c>
      <c r="CN20" s="59">
        <f>'C1-Incomes'!CO22/'C1-Incomes'!$CL22</f>
        <v>9.7349204917050486E-2</v>
      </c>
      <c r="CO20" s="59">
        <f>'C1-Incomes'!CP22/'C1-Incomes'!$CL22</f>
        <v>6.974344272071252E-2</v>
      </c>
      <c r="CP20" s="59">
        <f>'C1-Incomes'!CQ22/'C1-Incomes'!$CL22</f>
        <v>3.258770304673856E-2</v>
      </c>
      <c r="CQ20" s="59">
        <f>'C1-Incomes'!CR22/'C1-Incomes'!$CL22</f>
        <v>1.0807393931322729E-2</v>
      </c>
      <c r="CR20" s="59"/>
      <c r="CS20" s="59"/>
      <c r="CT20" s="59">
        <f>'C1-Incomes'!CU22/'C1-Incomes'!$CT22</f>
        <v>0.32655672703992122</v>
      </c>
      <c r="CU20" s="59">
        <f>'C1-Incomes'!CV22/'C1-Incomes'!$CT22</f>
        <v>0.22365986516302033</v>
      </c>
      <c r="CV20" s="59">
        <f>'C1-Incomes'!CW22/'C1-Incomes'!$CT22</f>
        <v>9.9977704526168748E-2</v>
      </c>
      <c r="CW20" s="59">
        <f>'C1-Incomes'!CX22/'C1-Incomes'!$CT22</f>
        <v>7.1938448240949401E-2</v>
      </c>
      <c r="CX20" s="59">
        <f>'C1-Incomes'!CY22/'C1-Incomes'!$CT22</f>
        <v>3.3696631329277991E-2</v>
      </c>
      <c r="CY20" s="59">
        <f>'C1-Incomes'!CZ22/'C1-Incomes'!$CT22</f>
        <v>1.1211719953527594E-2</v>
      </c>
      <c r="CZ20" s="59"/>
      <c r="DA20" s="59"/>
      <c r="DB20" s="59">
        <f>'C1-Incomes'!DC22/'C1-Incomes'!$DB22</f>
        <v>0.33396263669226089</v>
      </c>
      <c r="DC20" s="59">
        <f>'C1-Incomes'!DD22/'C1-Incomes'!$DB22</f>
        <v>0.23050867189228835</v>
      </c>
      <c r="DD20" s="59">
        <f>'C1-Incomes'!DE22/'C1-Incomes'!$DB22</f>
        <v>0.10568930219445548</v>
      </c>
      <c r="DE20" s="59">
        <f>'C1-Incomes'!DF22/'C1-Incomes'!$DB22</f>
        <v>7.657209043650727E-2</v>
      </c>
      <c r="DF20" s="59">
        <f>'C1-Incomes'!DG22/'C1-Incomes'!$DB22</f>
        <v>3.6702129859551728E-2</v>
      </c>
      <c r="DG20" s="59">
        <f>'C1-Incomes'!DH22/'C1-Incomes'!$DB22</f>
        <v>1.2437913533967471E-2</v>
      </c>
      <c r="DH20" s="59"/>
      <c r="DI20" s="1039"/>
      <c r="DJ20" s="59">
        <f>'C1-Incomes'!DK22/'C1-Incomes'!$DJ22</f>
        <v>0.33747208812809387</v>
      </c>
      <c r="DK20" s="59">
        <f>'C1-Incomes'!DL22/'C1-Incomes'!$DJ22</f>
        <v>0.23443074768330946</v>
      </c>
      <c r="DL20" s="59">
        <f>'C1-Incomes'!DM22/'C1-Incomes'!$DJ22</f>
        <v>0.10765066264090417</v>
      </c>
      <c r="DM20" s="59">
        <f>'C1-Incomes'!DN22/'C1-Incomes'!$DJ22</f>
        <v>7.8213681822581482E-2</v>
      </c>
      <c r="DN20" s="59">
        <f>'C1-Incomes'!DO22/'C1-Incomes'!$DJ22</f>
        <v>3.7223220511147702E-2</v>
      </c>
      <c r="DO20" s="59">
        <f>'C1-Incomes'!DP22/'C1-Incomes'!$DJ22</f>
        <v>1.2597700248982529E-2</v>
      </c>
      <c r="DP20" s="696"/>
      <c r="DQ20" s="503"/>
      <c r="DR20" s="59">
        <f>'C1-Incomes'!DS22/'C1-Incomes'!$DR22</f>
        <v>0.33681895668309791</v>
      </c>
      <c r="DS20" s="59">
        <f>'C1-Incomes'!DT22/'C1-Incomes'!$DR22</f>
        <v>0.23291319829877971</v>
      </c>
      <c r="DT20" s="59">
        <f>'C1-Incomes'!DU22/'C1-Incomes'!$DR22</f>
        <v>0.10600692985661379</v>
      </c>
      <c r="DU20" s="59">
        <f>'C1-Incomes'!DV22/'C1-Incomes'!$DR22</f>
        <v>7.6878888664028103E-2</v>
      </c>
      <c r="DV20" s="59">
        <f>'C1-Incomes'!DW22/'C1-Incomes'!$DR22</f>
        <v>3.6423644049553262E-2</v>
      </c>
      <c r="DW20" s="59">
        <f>'C1-Incomes'!DX22/'C1-Incomes'!$DR22</f>
        <v>1.2293871350174457E-2</v>
      </c>
      <c r="DX20" s="333"/>
      <c r="DZ20" s="59">
        <f>'C1-Incomes'!EA22/'C1-Incomes'!$DZ22</f>
        <v>0.33037966273812586</v>
      </c>
      <c r="EA20" s="59">
        <f>'C1-Incomes'!EB22/'C1-Incomes'!$DZ22</f>
        <v>0.22689152108637314</v>
      </c>
      <c r="EB20" s="59">
        <f>'C1-Incomes'!EC22/'C1-Incomes'!$DZ22</f>
        <v>0.10234548133373302</v>
      </c>
      <c r="EC20" s="59">
        <f>'C1-Incomes'!ED22/'C1-Incomes'!$DZ22</f>
        <v>7.404248923959153E-2</v>
      </c>
      <c r="ED20" s="59">
        <f>'C1-Incomes'!EE22/'C1-Incomes'!$DZ22</f>
        <v>3.5085832335709694E-2</v>
      </c>
      <c r="EE20" s="59">
        <f>'C1-Incomes'!EF22/'C1-Incomes'!$DZ22</f>
        <v>1.18369313850222E-2</v>
      </c>
      <c r="EF20" s="59"/>
      <c r="EH20" s="59">
        <f>'C1-Incomes'!EI22/'C1-Incomes'!$EH22</f>
        <v>0.32837979974840237</v>
      </c>
      <c r="EI20" s="59">
        <f>'C1-Incomes'!EJ22/'C1-Incomes'!$EH22</f>
        <v>0.22412338305039503</v>
      </c>
      <c r="EJ20" s="59">
        <f>'C1-Incomes'!EK22/'C1-Incomes'!$EH22</f>
        <v>0.10014081423581761</v>
      </c>
      <c r="EK20" s="59">
        <f>'C1-Incomes'!EL22/'C1-Incomes'!$EH22</f>
        <v>7.2312881318049679E-2</v>
      </c>
      <c r="EL20" s="59">
        <f>'C1-Incomes'!EM22/'C1-Incomes'!$EH22</f>
        <v>3.4193796256082966E-2</v>
      </c>
      <c r="EM20" s="59">
        <f>'C1-Incomes'!EN22/'C1-Incomes'!$EH22</f>
        <v>1.1529374384694766E-2</v>
      </c>
      <c r="EN20" s="59"/>
      <c r="EO20" s="59"/>
      <c r="EP20" s="59">
        <f>'C1-Incomes'!EQ22/'C1-Incomes'!$EH22</f>
        <v>0.33801960985598628</v>
      </c>
      <c r="EQ20" s="59">
        <f>'C1-Incomes'!ER22/'C1-Incomes'!$EH22</f>
        <v>0.22963153079879756</v>
      </c>
      <c r="ER20" s="59">
        <f>'C1-Incomes'!ES22/'C1-Incomes'!$EH22</f>
        <v>0.10139400851555201</v>
      </c>
      <c r="ES20" s="59">
        <f>'C1-Incomes'!ET22/'C1-Incomes'!$EH22</f>
        <v>7.2646425101991305E-2</v>
      </c>
      <c r="ET20" s="59">
        <f>'C1-Incomes'!EU22/'C1-Incomes'!$EH22</f>
        <v>3.4426075946880311E-2</v>
      </c>
      <c r="EU20" s="59">
        <f>'C1-Incomes'!EV22/'C1-Incomes'!$EH22</f>
        <v>1.1549710535634075E-2</v>
      </c>
      <c r="EV20" s="59"/>
      <c r="EW20" s="59"/>
      <c r="EX20" s="59">
        <f>'C1-Incomes'!EY22/'C1-Incomes'!$EX22</f>
        <v>0.31989753778937369</v>
      </c>
      <c r="EY20" s="59">
        <f>'C1-Incomes'!EZ22/'C1-Incomes'!$EX22</f>
        <v>0.21587663033340881</v>
      </c>
      <c r="EZ20" s="59">
        <f>'C1-Incomes'!FA22/'C1-Incomes'!$EX22</f>
        <v>9.3850207684448211E-2</v>
      </c>
      <c r="FA20" s="59">
        <f>'C1-Incomes'!FB22/'C1-Incomes'!$EX22</f>
        <v>6.7008306748657709E-2</v>
      </c>
      <c r="FB20" s="59">
        <f>'C1-Incomes'!FC22/'C1-Incomes'!$EX22</f>
        <v>3.1526002331477135E-2</v>
      </c>
      <c r="FC20" s="59">
        <f>'C1-Incomes'!FD22/'C1-Incomes'!$EX22</f>
        <v>1.0540012650952744E-2</v>
      </c>
      <c r="FD20" s="59"/>
      <c r="FF20" s="59">
        <f>'C1-Incomes'!FG22/'C1-Incomes'!$FF22</f>
        <v>0.3088203715816607</v>
      </c>
      <c r="FG20" s="59">
        <f>'C1-Incomes'!FH22/'C1-Incomes'!$FF22</f>
        <v>0.20830301809852975</v>
      </c>
      <c r="FH20" s="59">
        <f>'C1-Incomes'!FI22/'C1-Incomes'!$FF22</f>
        <v>9.0388631677252723E-2</v>
      </c>
      <c r="FI20" s="59">
        <f>'C1-Incomes'!FJ22/'C1-Incomes'!$FF22</f>
        <v>6.4426008209117258E-2</v>
      </c>
      <c r="FJ20" s="59">
        <f>'C1-Incomes'!FK22/'C1-Incomes'!$FF22</f>
        <v>3.0224500936104657E-2</v>
      </c>
      <c r="FK20" s="59">
        <f>'C1-Incomes'!FL22/'C1-Incomes'!$FF22</f>
        <v>1.0096133650086089E-2</v>
      </c>
      <c r="FN20" s="59">
        <f>'C1-Incomes'!FO22/'C1-Incomes'!$FN22</f>
        <v>0.30739948048110066</v>
      </c>
      <c r="FO20" s="59">
        <f>'C1-Incomes'!FP22/'C1-Incomes'!$FN22</f>
        <v>0.20729554360985591</v>
      </c>
      <c r="FP20" s="59">
        <f>'C1-Incomes'!FQ22/'C1-Incomes'!$FN22</f>
        <v>8.99437720390623E-2</v>
      </c>
      <c r="FQ20" s="59">
        <f>'C1-Incomes'!FR22/'C1-Incomes'!$FN22</f>
        <v>6.4107749964819355E-2</v>
      </c>
      <c r="FR20" s="59">
        <f>'C1-Incomes'!FS22/'C1-Incomes'!$FN22</f>
        <v>3.0074919179698477E-2</v>
      </c>
      <c r="FS20" s="59">
        <f>'C1-Incomes'!FT22/'C1-Incomes'!$FN22</f>
        <v>1.0046151113307306E-2</v>
      </c>
      <c r="FV20" s="59">
        <f>'C1-Incomes'!FW22/'C1-Incomes'!$FV22</f>
        <v>0.30260027221795222</v>
      </c>
      <c r="FW20" s="59">
        <f>'C1-Incomes'!FX22/'C1-Incomes'!$FV22</f>
        <v>0.20392259455582426</v>
      </c>
      <c r="FX20" s="59">
        <f>'C1-Incomes'!FY22/'C1-Incomes'!$FV22</f>
        <v>8.8388659913261114E-2</v>
      </c>
      <c r="FY20" s="59">
        <f>'C1-Incomes'!FZ22/'C1-Incomes'!$FV22</f>
        <v>6.2982670498273885E-2</v>
      </c>
      <c r="FZ20" s="59">
        <f>'C1-Incomes'!GA22/'C1-Incomes'!$FV22</f>
        <v>2.9536567572817272E-2</v>
      </c>
      <c r="GA20" s="59">
        <f>'C1-Incomes'!GB22/'C1-Incomes'!$FV22</f>
        <v>9.864487974344794E-3</v>
      </c>
      <c r="GE20" s="59">
        <f>'C1-Incomes'!GF22/'C1-Incomes'!$GE22</f>
        <v>0.30107163570808226</v>
      </c>
      <c r="GF20" s="59">
        <f>'C1-Incomes'!GG22/'C1-Incomes'!$GE22</f>
        <v>0.20286069828480355</v>
      </c>
      <c r="GG20" s="59">
        <f>'C1-Incomes'!GH22/'C1-Incomes'!$GE22</f>
        <v>8.7829919496967862E-2</v>
      </c>
      <c r="GH20" s="59">
        <f>'C1-Incomes'!GI22/'C1-Incomes'!$GE22</f>
        <v>6.2573310386791425E-2</v>
      </c>
      <c r="GI20" s="59">
        <f>'C1-Incomes'!GJ22/'C1-Incomes'!$GE22</f>
        <v>2.9348075716318572E-2</v>
      </c>
      <c r="GJ20" s="59">
        <f>'C1-Incomes'!GK22/'C1-Incomes'!$GE22</f>
        <v>9.7934138818437117E-3</v>
      </c>
      <c r="GM20" s="59">
        <f>'C1-Incomes'!GN22/'C1-Incomes'!$GM22</f>
        <v>0.29655348705430468</v>
      </c>
      <c r="GN20" s="59">
        <f>'C1-Incomes'!GO22/'C1-Incomes'!$GM22</f>
        <v>0.19981639027915488</v>
      </c>
      <c r="GO20" s="59">
        <f>'C1-Incomes'!GP22/'C1-Incomes'!$GM22</f>
        <v>8.6511865633795648E-2</v>
      </c>
      <c r="GP20" s="59">
        <f>'C1-Incomes'!GQ22/'C1-Incomes'!$GM22</f>
        <v>6.1634279656043317E-2</v>
      </c>
      <c r="GQ20" s="59">
        <f>'C1-Incomes'!GR22/'C1-Incomes'!$GM22</f>
        <v>2.8907652398204295E-2</v>
      </c>
      <c r="GR20" s="59">
        <f>'C1-Incomes'!GS22/'C1-Incomes'!$GM22</f>
        <v>9.6464452056279244E-3</v>
      </c>
      <c r="GU20" s="59">
        <f>'C1-Incomes'!GV22/'C1-Incomes'!$GU22</f>
        <v>0.27858726745207013</v>
      </c>
      <c r="GV20" s="59">
        <f>'C1-Incomes'!GW22/'C1-Incomes'!$GU22</f>
        <v>0.18471315610969893</v>
      </c>
      <c r="GW20" s="59">
        <f>'C1-Incomes'!GX22/'C1-Incomes'!$GU22</f>
        <v>7.8182927486938156E-2</v>
      </c>
      <c r="GX20" s="59">
        <f>'C1-Incomes'!GY22/'C1-Incomes'!$GU22</f>
        <v>5.5377746717011331E-2</v>
      </c>
      <c r="GY20" s="59">
        <f>'C1-Incomes'!GZ22/'C1-Incomes'!$GU22</f>
        <v>2.5487805262017414E-2</v>
      </c>
      <c r="GZ20" s="59">
        <f>'C1-Incomes'!HA22/'C1-Incomes'!$GU22</f>
        <v>8.4862226345688591E-3</v>
      </c>
      <c r="HC20" s="59">
        <f>'C1-Incomes'!HD22/'C1-Incomes'!$HC22</f>
        <v>0.27651782024551902</v>
      </c>
      <c r="HD20" s="59">
        <f>'C1-Incomes'!HE22/'C1-Incomes'!$HC22</f>
        <v>0.18286748211725173</v>
      </c>
      <c r="HE20" s="59">
        <f>'C1-Incomes'!HF22/'C1-Incomes'!$HC22</f>
        <v>7.7320102911991692E-2</v>
      </c>
      <c r="HF20" s="59">
        <f>'C1-Incomes'!HG22/'C1-Incomes'!$HC22</f>
        <v>5.4594361852656571E-2</v>
      </c>
      <c r="HG20" s="59">
        <f>'C1-Incomes'!HH22/'C1-Incomes'!$HC22</f>
        <v>2.5097229402703508E-2</v>
      </c>
      <c r="HH20" s="59">
        <f>'C1-Incomes'!HI22/'C1-Incomes'!$HC22</f>
        <v>8.3803021807275398E-3</v>
      </c>
      <c r="HK20" s="59">
        <f>'C1-Incomes'!HL22/'C1-Incomes'!$HK22</f>
        <v>0.27210638807860998</v>
      </c>
      <c r="HL20" s="59">
        <f>'C1-Incomes'!HM22/'C1-Incomes'!$HK22</f>
        <v>0.17849475758752736</v>
      </c>
      <c r="HM20" s="59">
        <f>'C1-Incomes'!HN22/'C1-Incomes'!$HK22</f>
        <v>7.3303575990754322E-2</v>
      </c>
      <c r="HN20" s="59">
        <f>'C1-Incomes'!HO22/'C1-Incomes'!$HK22</f>
        <v>5.1306367014663894E-2</v>
      </c>
      <c r="HO20" s="59">
        <f>'C1-Incomes'!HP22/'C1-Incomes'!$HK22</f>
        <v>2.3156680576081758E-2</v>
      </c>
      <c r="HP20" s="59">
        <f>'C1-Incomes'!HQ22/'C1-Incomes'!$HK22</f>
        <v>7.576606993676926E-3</v>
      </c>
      <c r="HS20" s="59">
        <f>'C1-Incomes'!HT22/'C1-Incomes'!$HS22</f>
        <v>0.26700164002613008</v>
      </c>
      <c r="HT20" s="59">
        <f>'C1-Incomes'!HU22/'C1-Incomes'!$HS22</f>
        <v>0.17405688097945854</v>
      </c>
      <c r="HU20" s="59">
        <f>'C1-Incomes'!HV22/'C1-Incomes'!$HS22</f>
        <v>7.0629210058056557E-2</v>
      </c>
      <c r="HV20" s="59">
        <f>'C1-Incomes'!HW22/'C1-Incomes'!$HS22</f>
        <v>4.9331044948632885E-2</v>
      </c>
      <c r="HW20" s="59">
        <f>'C1-Incomes'!HX22/'C1-Incomes'!$HS22</f>
        <v>2.228770048808399E-2</v>
      </c>
      <c r="HX20" s="59">
        <f>'C1-Incomes'!HY22/'C1-Incomes'!$HS22</f>
        <v>7.2924827705194706E-3</v>
      </c>
      <c r="IA20" s="59">
        <f>'C1-Incomes'!IB22/'C1-Incomes'!$IA22</f>
        <v>0.27245850569159702</v>
      </c>
      <c r="IB20" s="59">
        <f>'C1-Incomes'!IC22/'C1-Incomes'!$IA22</f>
        <v>0.18005316939993671</v>
      </c>
      <c r="IC20" s="59">
        <f>'C1-Incomes'!ID22/'C1-Incomes'!$IA22</f>
        <v>7.484918448615431E-2</v>
      </c>
      <c r="ID20" s="59">
        <f>'C1-Incomes'!IE22/'C1-Incomes'!$IA22</f>
        <v>5.2504830611889305E-2</v>
      </c>
      <c r="IE20" s="59">
        <f>'C1-Incomes'!IF22/'C1-Incomes'!$IA22</f>
        <v>2.3793582904675436E-2</v>
      </c>
      <c r="IF20" s="59">
        <f>'C1-Incomes'!IG22/'C1-Incomes'!$IA22</f>
        <v>7.8137765046370385E-3</v>
      </c>
      <c r="II20" s="59">
        <f>'C1-Incomes'!IJ22/'C1-Incomes'!$II22</f>
        <v>0.27408605754187637</v>
      </c>
      <c r="IJ20" s="59">
        <f>'C1-Incomes'!IK22/'C1-Incomes'!$II22</f>
        <v>0.1819927537329539</v>
      </c>
      <c r="IK20" s="59">
        <f>'C1-Incomes'!IL22/'C1-Incomes'!$II22</f>
        <v>7.670826268219362E-2</v>
      </c>
      <c r="IL20" s="59">
        <f>'C1-Incomes'!IM22/'C1-Incomes'!$II22</f>
        <v>5.4114755186444957E-2</v>
      </c>
      <c r="IM20" s="59">
        <f>'C1-Incomes'!IN22/'C1-Incomes'!$II22</f>
        <v>2.4650282792171699E-2</v>
      </c>
      <c r="IN20" s="59">
        <f>'C1-Incomes'!IO22/'C1-Incomes'!$II22</f>
        <v>8.1221036244191747E-3</v>
      </c>
      <c r="IQ20" s="59">
        <f>'C1-Incomes'!IR22/'C1-Incomes'!$IQ22</f>
        <v>0.27509363285791777</v>
      </c>
      <c r="IR20" s="59">
        <f>'C1-Incomes'!IS22/'C1-Incomes'!$IQ22</f>
        <v>0.18280733126102378</v>
      </c>
      <c r="IS20" s="59">
        <f>'C1-Incomes'!IT22/'C1-Incomes'!$IQ22</f>
        <v>7.7242019918580804E-2</v>
      </c>
      <c r="IT20" s="59">
        <f>'C1-Incomes'!IU22/'C1-Incomes'!$IQ22</f>
        <v>5.4519773986355498E-2</v>
      </c>
      <c r="IU20" s="59">
        <f>'C1-Incomes'!IV22/'C1-Incomes'!$IQ22</f>
        <v>2.4876286485013076E-2</v>
      </c>
      <c r="IV20" s="59">
        <f>'C1-Incomes'!IW22/'C1-Incomes'!$IQ22</f>
        <v>8.2006488550709078E-3</v>
      </c>
      <c r="IY20" s="59">
        <f>'C1-Incomes'!IZ22/'C1-Incomes'!$IY22</f>
        <v>0.25566131174271839</v>
      </c>
      <c r="IZ20" s="59">
        <f>'C1-Incomes'!JA22/'C1-Incomes'!$IY22</f>
        <v>0.16877545809934932</v>
      </c>
      <c r="JA20" s="59">
        <f>'C1-Incomes'!JB22/'C1-Incomes'!$IY22</f>
        <v>7.0153054150191477E-2</v>
      </c>
      <c r="JB20" s="59">
        <f>'C1-Incomes'!JC22/'C1-Incomes'!$IY22</f>
        <v>4.9400262498917276E-2</v>
      </c>
      <c r="JC20" s="59">
        <f>'C1-Incomes'!JD22/'C1-Incomes'!$IY22</f>
        <v>2.2440619805014772E-2</v>
      </c>
      <c r="JD20" s="59">
        <f>'C1-Incomes'!JE22/'C1-Incomes'!$IY22</f>
        <v>7.3700306561669685E-3</v>
      </c>
      <c r="JE20" s="197"/>
      <c r="JF20" s="197"/>
      <c r="JG20" s="197"/>
      <c r="JH20" s="197"/>
      <c r="JI20" s="197"/>
      <c r="JJ20" s="197"/>
      <c r="JK20" s="197"/>
      <c r="JL20" s="197"/>
      <c r="JM20" s="197"/>
      <c r="JN20" s="197"/>
      <c r="JO20" s="197"/>
      <c r="JP20" s="197"/>
      <c r="JQ20" s="197"/>
      <c r="JR20" s="197"/>
      <c r="JS20" s="197"/>
      <c r="JT20" s="197"/>
      <c r="JU20" s="197"/>
      <c r="JV20" s="197"/>
      <c r="JW20" s="197"/>
      <c r="JX20" s="197"/>
      <c r="JY20" s="197"/>
      <c r="JZ20" s="197"/>
      <c r="KA20" s="197"/>
      <c r="KB20" s="197"/>
      <c r="KC20" s="197"/>
      <c r="KD20" s="197"/>
      <c r="KE20" s="197"/>
      <c r="KF20" s="197"/>
      <c r="KG20" s="197"/>
      <c r="KH20" s="197"/>
      <c r="KI20" s="197"/>
      <c r="KJ20" s="197"/>
      <c r="KK20" s="197"/>
      <c r="KL20" s="197"/>
      <c r="KM20" s="197"/>
      <c r="KN20" s="197"/>
      <c r="KO20" s="197"/>
      <c r="KP20" s="197"/>
      <c r="KQ20" s="197"/>
      <c r="KR20" s="197"/>
      <c r="KS20" s="197"/>
      <c r="KT20" s="197"/>
      <c r="KU20" s="197"/>
      <c r="KV20" s="197"/>
      <c r="KW20" s="197"/>
      <c r="KX20" s="197"/>
      <c r="KY20" s="197"/>
      <c r="KZ20" s="197"/>
      <c r="LA20" s="197"/>
      <c r="LB20" s="197"/>
      <c r="LC20" s="197"/>
      <c r="LD20" s="197"/>
      <c r="LE20" s="197"/>
      <c r="LF20" s="197"/>
      <c r="LG20" s="197"/>
      <c r="LH20" s="197"/>
      <c r="LI20" s="197"/>
      <c r="LJ20" s="197"/>
      <c r="LK20" s="197"/>
      <c r="LL20" s="197"/>
      <c r="LM20" s="197"/>
      <c r="LN20" s="197"/>
      <c r="LO20" s="197"/>
      <c r="LP20" s="197"/>
      <c r="LQ20" s="197"/>
      <c r="LR20" s="197"/>
      <c r="LS20" s="197"/>
      <c r="LT20" s="197"/>
      <c r="LU20" s="197"/>
      <c r="LV20" s="197"/>
      <c r="LW20" s="197"/>
      <c r="LX20" s="197"/>
      <c r="LY20" s="197"/>
      <c r="LZ20" s="197"/>
      <c r="MA20" s="197"/>
      <c r="MB20" s="197"/>
      <c r="MC20" s="197"/>
      <c r="MD20" s="197"/>
      <c r="ME20" s="197"/>
      <c r="MF20" s="197"/>
      <c r="MG20" s="197"/>
      <c r="MH20" s="197"/>
      <c r="MI20" s="197"/>
      <c r="MJ20" s="197"/>
      <c r="MK20" s="197"/>
      <c r="ML20" s="197"/>
      <c r="MM20" s="197"/>
      <c r="MN20" s="197"/>
      <c r="MO20" s="197"/>
      <c r="MP20" s="197"/>
      <c r="MQ20" s="197"/>
      <c r="MR20" s="197"/>
      <c r="MS20" s="197"/>
      <c r="MT20" s="197"/>
      <c r="MU20" s="197"/>
      <c r="MV20" s="197"/>
      <c r="MW20" s="197"/>
      <c r="MX20" s="197"/>
      <c r="MY20" s="197"/>
      <c r="MZ20" s="197"/>
      <c r="NA20" s="197"/>
      <c r="NB20" s="197"/>
      <c r="NC20" s="197"/>
      <c r="ND20" s="197"/>
      <c r="NE20" s="197"/>
      <c r="NF20" s="197"/>
      <c r="NG20" s="197"/>
      <c r="NH20" s="197"/>
      <c r="NI20" s="197"/>
      <c r="NJ20" s="197"/>
      <c r="NK20" s="197"/>
      <c r="NL20" s="197"/>
      <c r="NM20" s="197"/>
      <c r="NN20" s="197"/>
      <c r="NO20" s="197"/>
      <c r="NP20" s="197"/>
      <c r="NQ20" s="197"/>
      <c r="NR20" s="197"/>
      <c r="NS20" s="197"/>
      <c r="NT20" s="197"/>
      <c r="NU20" s="197"/>
      <c r="NV20" s="197"/>
      <c r="NW20" s="197"/>
      <c r="NX20" s="197"/>
      <c r="NY20" s="197"/>
      <c r="NZ20" s="197"/>
      <c r="OA20" s="197"/>
      <c r="OB20" s="197"/>
      <c r="OC20" s="197"/>
      <c r="OD20" s="197"/>
      <c r="OE20" s="197"/>
      <c r="OF20" s="197"/>
      <c r="OG20" s="197"/>
      <c r="OH20" s="197"/>
      <c r="OI20" s="197"/>
      <c r="OJ20" s="197"/>
      <c r="OK20" s="197"/>
      <c r="OL20" s="197"/>
      <c r="OM20" s="197"/>
      <c r="ON20" s="197"/>
      <c r="OO20" s="197"/>
      <c r="OP20" s="197"/>
      <c r="OQ20" s="197"/>
      <c r="OR20" s="197"/>
      <c r="OS20" s="197"/>
      <c r="OT20" s="197"/>
      <c r="OU20" s="197"/>
      <c r="OV20" s="197"/>
      <c r="OW20" s="197"/>
      <c r="OX20" s="197"/>
      <c r="OY20" s="197"/>
      <c r="OZ20" s="197"/>
      <c r="PA20" s="197"/>
      <c r="PB20" s="197"/>
    </row>
    <row r="21" spans="1:418" s="77" customFormat="1" ht="10.5" customHeight="1" x14ac:dyDescent="0.2">
      <c r="A21" s="48">
        <v>1975</v>
      </c>
      <c r="B21" s="59">
        <f>'C1-Incomes'!C23/'C1-Incomes'!$B23</f>
        <v>0.3282161460153688</v>
      </c>
      <c r="C21" s="59">
        <f>'C1-Incomes'!D23/'C1-Incomes'!$B23</f>
        <v>0.21185061574681974</v>
      </c>
      <c r="D21" s="59">
        <f>'C1-Incomes'!E23/'C1-Incomes'!$B23</f>
        <v>8.0639477723279437E-2</v>
      </c>
      <c r="E21" s="59">
        <f>'C1-Incomes'!F23/'C1-Incomes'!$B23</f>
        <v>5.3298237313711153E-2</v>
      </c>
      <c r="F21" s="59">
        <f>'C1-Incomes'!G23/'C1-Incomes'!$B23</f>
        <v>2.0302343440017582E-2</v>
      </c>
      <c r="G21" s="59">
        <f>'C1-Incomes'!H23/'C1-Incomes'!$B23</f>
        <v>5.5542349752602431E-3</v>
      </c>
      <c r="H21" s="199"/>
      <c r="J21" s="59">
        <f>'C1-Incomes'!K23/'C1-Incomes'!$J23</f>
        <v>0.32090789217632776</v>
      </c>
      <c r="K21" s="59">
        <f>'C1-Incomes'!L23/'C1-Incomes'!$J23</f>
        <v>0.21613008217838028</v>
      </c>
      <c r="L21" s="59">
        <f>'C1-Incomes'!M23/'C1-Incomes'!$J23</f>
        <v>9.4064651760773887E-2</v>
      </c>
      <c r="M21" s="59">
        <f>'C1-Incomes'!N23/'C1-Incomes'!$J23</f>
        <v>6.738651984395512E-2</v>
      </c>
      <c r="N21" s="59">
        <f>'C1-Incomes'!O23/'C1-Incomes'!$J23</f>
        <v>3.1448412792339453E-2</v>
      </c>
      <c r="O21" s="59">
        <f>'C1-Incomes'!P23/'C1-Incomes'!$J23</f>
        <v>1.0843791556592635E-2</v>
      </c>
      <c r="P21" s="59"/>
      <c r="R21" s="59">
        <f>'C1-Incomes'!S23/'C1-Incomes'!$R23</f>
        <v>0.29318814853206487</v>
      </c>
      <c r="S21" s="59">
        <f>'C1-Incomes'!T23/'C1-Incomes'!$R23</f>
        <v>0.19709107392604955</v>
      </c>
      <c r="T21" s="59">
        <f>'C1-Incomes'!U23/'C1-Incomes'!$R23</f>
        <v>8.5442158826000994E-2</v>
      </c>
      <c r="U21" s="59">
        <f>'C1-Incomes'!V23/'C1-Incomes'!$R23</f>
        <v>6.1078614435584565E-2</v>
      </c>
      <c r="V21" s="59">
        <f>'C1-Incomes'!W23/'C1-Incomes'!$R23</f>
        <v>2.838722928990841E-2</v>
      </c>
      <c r="W21" s="59">
        <f>'C1-Incomes'!X23/'C1-Incomes'!$R23</f>
        <v>9.7723161220096208E-3</v>
      </c>
      <c r="X21" s="59"/>
      <c r="Y21" s="59"/>
      <c r="Z21" s="59">
        <f>'C1-Incomes'!AA23/'C1-Incomes'!$Z23</f>
        <v>0.24829735367712408</v>
      </c>
      <c r="AA21" s="59">
        <f>'C1-Incomes'!AB23/'C1-Incomes'!$Z23</f>
        <v>0.16283428794759933</v>
      </c>
      <c r="AB21" s="59">
        <f>'C1-Incomes'!AC23/'C1-Incomes'!$Z23</f>
        <v>6.7785973094478993E-2</v>
      </c>
      <c r="AC21" s="59">
        <f>'C1-Incomes'!AD23/'C1-Incomes'!$Z23</f>
        <v>4.7963165686765522E-2</v>
      </c>
      <c r="AD21" s="59">
        <f>'C1-Incomes'!AE23/'C1-Incomes'!$Z23</f>
        <v>2.1812477759741777E-2</v>
      </c>
      <c r="AE21" s="59">
        <f>'C1-Incomes'!AF23/'C1-Incomes'!$Z23</f>
        <v>7.3681324298527319E-3</v>
      </c>
      <c r="AF21" s="200"/>
      <c r="AG21" s="195"/>
      <c r="AH21" s="59">
        <f>'C1-Incomes'!AI23/'C1-Incomes'!$AH23</f>
        <v>0.32734839925339732</v>
      </c>
      <c r="AI21" s="59">
        <f>'C1-Incomes'!AJ23/'C1-Incomes'!$AH23</f>
        <v>0.21085622004943835</v>
      </c>
      <c r="AJ21" s="59">
        <f>'C1-Incomes'!AK23/'C1-Incomes'!$AH23</f>
        <v>7.9995940444333571E-2</v>
      </c>
      <c r="AK21" s="59">
        <f>'C1-Incomes'!AL23/'C1-Incomes'!$AH23</f>
        <v>5.2839226779865169E-2</v>
      </c>
      <c r="AL21" s="59">
        <f>'C1-Incomes'!AM23/'C1-Incomes'!$AH23</f>
        <v>2.0118906346802492E-2</v>
      </c>
      <c r="AM21" s="59">
        <f>'C1-Incomes'!AN23/'C1-Incomes'!$AH23</f>
        <v>5.5120950848882499E-3</v>
      </c>
      <c r="AN21" s="195"/>
      <c r="AO21" s="195"/>
      <c r="AP21" s="59">
        <f>'C1-Incomes'!AQ23/'C1-Incomes'!$AP23</f>
        <v>0.32839106905156124</v>
      </c>
      <c r="AQ21" s="59">
        <f>'C1-Incomes'!AR23/'C1-Incomes'!$AP23</f>
        <v>0.21243769698959275</v>
      </c>
      <c r="AR21" s="59">
        <f>'C1-Incomes'!AS23/'C1-Incomes'!$AP23</f>
        <v>8.1981776493895486E-2</v>
      </c>
      <c r="AS21" s="59">
        <f>'C1-Incomes'!AT23/'C1-Incomes'!$AP23</f>
        <v>5.4593315534157097E-2</v>
      </c>
      <c r="AT21" s="59">
        <f>'C1-Incomes'!AU23/'C1-Incomes'!$AP23</f>
        <v>2.1114879431061155E-2</v>
      </c>
      <c r="AU21" s="59">
        <f>'C1-Incomes'!AV23/'C1-Incomes'!$AP23</f>
        <v>5.8956861114516411E-3</v>
      </c>
      <c r="AV21" s="197"/>
      <c r="AW21" s="60"/>
      <c r="AX21" s="59">
        <f>'C1-Incomes'!AY23/'C1-Incomes'!$AX23</f>
        <v>0.3319268860018692</v>
      </c>
      <c r="AY21" s="59">
        <f>'C1-Incomes'!AZ23/'C1-Incomes'!$AX23</f>
        <v>0.2164075343843013</v>
      </c>
      <c r="AZ21" s="59">
        <f>'C1-Incomes'!BA23/'C1-Incomes'!$AX23</f>
        <v>8.5707495471719283E-2</v>
      </c>
      <c r="BA21" s="59">
        <f>'C1-Incomes'!BB23/'C1-Incomes'!$AX23</f>
        <v>5.7676457936737056E-2</v>
      </c>
      <c r="BB21" s="59">
        <f>'C1-Incomes'!BC23/'C1-Incomes'!$AX23</f>
        <v>2.2863426511724863E-2</v>
      </c>
      <c r="BC21" s="59">
        <f>'C1-Incomes'!BD23/'C1-Incomes'!$AX23</f>
        <v>6.47655658369396E-3</v>
      </c>
      <c r="BD21" s="60"/>
      <c r="BE21" s="60"/>
      <c r="BF21" s="59">
        <f>'C1-Incomes'!BG23/'C1-Incomes'!$BF23</f>
        <v>0.3299365135703623</v>
      </c>
      <c r="BG21" s="59">
        <f>'C1-Incomes'!BH23/'C1-Incomes'!$BF23</f>
        <v>0.21468885816744782</v>
      </c>
      <c r="BH21" s="59">
        <f>'C1-Incomes'!BI23/'C1-Incomes'!$BF23</f>
        <v>8.4805413231090476E-2</v>
      </c>
      <c r="BI21" s="59">
        <f>'C1-Incomes'!BJ23/'C1-Incomes'!$BF23</f>
        <v>5.7182753126328596E-2</v>
      </c>
      <c r="BJ21" s="59">
        <f>'C1-Incomes'!BK23/'C1-Incomes'!$BF23</f>
        <v>2.2777585155378848E-2</v>
      </c>
      <c r="BK21" s="59">
        <f>'C1-Incomes'!BL23/'C1-Incomes'!$BF23</f>
        <v>6.4719081598773303E-3</v>
      </c>
      <c r="BL21" s="59"/>
      <c r="BM21" s="59"/>
      <c r="BN21" s="59">
        <f>'C1-Incomes'!BO23/'C1-Incomes'!$BN23</f>
        <v>0.30169972577703935</v>
      </c>
      <c r="BO21" s="59">
        <f>'C1-Incomes'!BP23/'C1-Incomes'!$BN23</f>
        <v>0.19610989073832472</v>
      </c>
      <c r="BP21" s="59">
        <f>'C1-Incomes'!BQ23/'C1-Incomes'!$BN23</f>
        <v>7.5870166266314279E-2</v>
      </c>
      <c r="BQ21" s="59">
        <f>'C1-Incomes'!BR23/'C1-Incomes'!$BN23</f>
        <v>5.1799769278124956E-2</v>
      </c>
      <c r="BR21" s="59">
        <f>'C1-Incomes'!BS23/'C1-Incomes'!$BN23</f>
        <v>2.1599938436142583E-2</v>
      </c>
      <c r="BS21" s="59">
        <f>'C1-Incomes'!BT23/'C1-Incomes'!$BN23</f>
        <v>6.4060942363529877E-3</v>
      </c>
      <c r="BT21" s="59"/>
      <c r="BU21" s="59"/>
      <c r="BV21" s="59">
        <f>'C1-Incomes'!BW23/'C1-Incomes'!$BV23</f>
        <v>0.30446654945184426</v>
      </c>
      <c r="BW21" s="59">
        <f>'C1-Incomes'!BX23/'C1-Incomes'!$BV23</f>
        <v>0.19889985568586335</v>
      </c>
      <c r="BX21" s="59">
        <f>'C1-Incomes'!BY23/'C1-Incomes'!$BV23</f>
        <v>7.8475891101724565E-2</v>
      </c>
      <c r="BY21" s="59">
        <f>'C1-Incomes'!BZ23/'C1-Incomes'!$BV23</f>
        <v>5.3853270019576176E-2</v>
      </c>
      <c r="BZ21" s="59">
        <f>'C1-Incomes'!CA23/'C1-Incomes'!$BV23</f>
        <v>2.2751999014129467E-2</v>
      </c>
      <c r="CA21" s="59">
        <f>'C1-Incomes'!CB23/'C1-Incomes'!$BV23</f>
        <v>6.8507155449328127E-3</v>
      </c>
      <c r="CB21" s="60"/>
      <c r="CC21" s="198"/>
      <c r="CD21" s="59">
        <f>'C1-Incomes'!CE23/'C1-Incomes'!$CD23</f>
        <v>0.32043723200889912</v>
      </c>
      <c r="CE21" s="59">
        <f>'C1-Incomes'!CF23/'C1-Incomes'!$CD23</f>
        <v>0.21617096924519932</v>
      </c>
      <c r="CF21" s="59">
        <f>'C1-Incomes'!CG23/'C1-Incomes'!$CD23</f>
        <v>9.3825675921294538E-2</v>
      </c>
      <c r="CG21" s="59">
        <f>'C1-Incomes'!CH23/'C1-Incomes'!$CD23</f>
        <v>6.7210825473845645E-2</v>
      </c>
      <c r="CH21" s="59">
        <f>'C1-Incomes'!CI23/'C1-Incomes'!$CD23</f>
        <v>3.0844814897854917E-2</v>
      </c>
      <c r="CI21" s="59">
        <f>'C1-Incomes'!CJ23/'C1-Incomes'!$CD23</f>
        <v>1.0356459768886288E-2</v>
      </c>
      <c r="CL21" s="59">
        <f>'C1-Incomes'!CM23/'C1-Incomes'!$CL23</f>
        <v>0.32548651691135011</v>
      </c>
      <c r="CM21" s="59">
        <f>'C1-Incomes'!CN23/'C1-Incomes'!$CL23</f>
        <v>0.2213310055799069</v>
      </c>
      <c r="CN21" s="59">
        <f>'C1-Incomes'!CO23/'C1-Incomes'!$CL23</f>
        <v>9.8110438610724687E-2</v>
      </c>
      <c r="CO21" s="59">
        <f>'C1-Incomes'!CP23/'C1-Incomes'!$CL23</f>
        <v>7.094064031396248E-2</v>
      </c>
      <c r="CP21" s="59">
        <f>'C1-Incomes'!CQ23/'C1-Incomes'!$CL23</f>
        <v>3.3169077408578072E-2</v>
      </c>
      <c r="CQ21" s="59">
        <f>'C1-Incomes'!CR23/'C1-Incomes'!$CL23</f>
        <v>1.1323334841435625E-2</v>
      </c>
      <c r="CR21" s="59"/>
      <c r="CS21" s="59"/>
      <c r="CT21" s="59">
        <f>'C1-Incomes'!CU23/'C1-Incomes'!$CT23</f>
        <v>0.32945900113221088</v>
      </c>
      <c r="CU21" s="59">
        <f>'C1-Incomes'!CV23/'C1-Incomes'!$CT23</f>
        <v>0.22531836630714563</v>
      </c>
      <c r="CV21" s="59">
        <f>'C1-Incomes'!CW23/'C1-Incomes'!$CT23</f>
        <v>0.10088081230833526</v>
      </c>
      <c r="CW21" s="59">
        <f>'C1-Incomes'!CX23/'C1-Incomes'!$CT23</f>
        <v>7.313856280833532E-2</v>
      </c>
      <c r="CX21" s="59">
        <f>'C1-Incomes'!CY23/'C1-Incomes'!$CT23</f>
        <v>3.4331770225352505E-2</v>
      </c>
      <c r="CY21" s="59">
        <f>'C1-Incomes'!CZ23/'C1-Incomes'!$CT23</f>
        <v>1.1740068436039195E-2</v>
      </c>
      <c r="CZ21" s="59"/>
      <c r="DA21" s="59"/>
      <c r="DB21" s="59">
        <f>'C1-Incomes'!DC23/'C1-Incomes'!$DB23</f>
        <v>0.33705830449979718</v>
      </c>
      <c r="DC21" s="59">
        <f>'C1-Incomes'!DD23/'C1-Incomes'!$DB23</f>
        <v>0.2328467765058595</v>
      </c>
      <c r="DD21" s="59">
        <f>'C1-Incomes'!DE23/'C1-Incomes'!$DB23</f>
        <v>0.10705481756768256</v>
      </c>
      <c r="DE21" s="59">
        <f>'C1-Incomes'!DF23/'C1-Incomes'!$DB23</f>
        <v>7.8026605822317352E-2</v>
      </c>
      <c r="DF21" s="59">
        <f>'C1-Incomes'!DG23/'C1-Incomes'!$DB23</f>
        <v>3.7378898124107975E-2</v>
      </c>
      <c r="DG21" s="59">
        <f>'C1-Incomes'!DH23/'C1-Incomes'!$DB23</f>
        <v>1.3021007210946969E-2</v>
      </c>
      <c r="DH21" s="59"/>
      <c r="DI21" s="1039"/>
      <c r="DJ21" s="59">
        <f>'C1-Incomes'!DK23/'C1-Incomes'!$DJ23</f>
        <v>0.33877095270269308</v>
      </c>
      <c r="DK21" s="59">
        <f>'C1-Incomes'!DL23/'C1-Incomes'!$DJ23</f>
        <v>0.23515780270671585</v>
      </c>
      <c r="DL21" s="59">
        <f>'C1-Incomes'!DM23/'C1-Incomes'!$DJ23</f>
        <v>0.10873460693069492</v>
      </c>
      <c r="DM21" s="59">
        <f>'C1-Incomes'!DN23/'C1-Incomes'!$DJ23</f>
        <v>7.8981619883793139E-2</v>
      </c>
      <c r="DN21" s="59">
        <f>'C1-Incomes'!DO23/'C1-Incomes'!$DJ23</f>
        <v>3.75162900290004E-2</v>
      </c>
      <c r="DO21" s="59">
        <f>'C1-Incomes'!DP23/'C1-Incomes'!$DJ23</f>
        <v>1.3109778935938248E-2</v>
      </c>
      <c r="DP21" s="696"/>
      <c r="DQ21" s="503"/>
      <c r="DR21" s="59">
        <f>'C1-Incomes'!DS23/'C1-Incomes'!$DR23</f>
        <v>0.33774006657077243</v>
      </c>
      <c r="DS21" s="59">
        <f>'C1-Incomes'!DT23/'C1-Incomes'!$DR23</f>
        <v>0.23347018767505875</v>
      </c>
      <c r="DT21" s="59">
        <f>'C1-Incomes'!DU23/'C1-Incomes'!$DR23</f>
        <v>0.10669852810449232</v>
      </c>
      <c r="DU21" s="59">
        <f>'C1-Incomes'!DV23/'C1-Incomes'!$DR23</f>
        <v>7.7260564792415387E-2</v>
      </c>
      <c r="DV21" s="59">
        <f>'C1-Incomes'!DW23/'C1-Incomes'!$DR23</f>
        <v>3.6551015616581334E-2</v>
      </c>
      <c r="DW21" s="59">
        <f>'C1-Incomes'!DX23/'C1-Incomes'!$DR23</f>
        <v>1.2725625398817851E-2</v>
      </c>
      <c r="DX21" s="333"/>
      <c r="DZ21" s="59">
        <f>'C1-Incomes'!EA23/'C1-Incomes'!$DZ23</f>
        <v>0.33167853383520834</v>
      </c>
      <c r="EA21" s="59">
        <f>'C1-Incomes'!EB23/'C1-Incomes'!$DZ23</f>
        <v>0.22765835535616658</v>
      </c>
      <c r="EB21" s="59">
        <f>'C1-Incomes'!EC23/'C1-Incomes'!$DZ23</f>
        <v>0.10313682442461145</v>
      </c>
      <c r="EC21" s="59">
        <f>'C1-Incomes'!ED23/'C1-Incomes'!$DZ23</f>
        <v>7.4604180129459227E-2</v>
      </c>
      <c r="ED21" s="59">
        <f>'C1-Incomes'!EE23/'C1-Incomes'!$DZ23</f>
        <v>3.523459071080208E-2</v>
      </c>
      <c r="EE21" s="59">
        <f>'C1-Incomes'!EF23/'C1-Incomes'!$DZ23</f>
        <v>1.2260272165942592E-2</v>
      </c>
      <c r="EF21" s="59"/>
      <c r="EH21" s="59">
        <f>'C1-Incomes'!EI23/'C1-Incomes'!$EH23</f>
        <v>0.32941070284105461</v>
      </c>
      <c r="EI21" s="59">
        <f>'C1-Incomes'!EJ23/'C1-Incomes'!$EH23</f>
        <v>0.22456775091499068</v>
      </c>
      <c r="EJ21" s="59">
        <f>'C1-Incomes'!EK23/'C1-Incomes'!$EH23</f>
        <v>0.10060799102297832</v>
      </c>
      <c r="EK21" s="59">
        <f>'C1-Incomes'!EL23/'C1-Incomes'!$EH23</f>
        <v>7.2824423418112377E-2</v>
      </c>
      <c r="EL21" s="59">
        <f>'C1-Incomes'!EM23/'C1-Incomes'!$EH23</f>
        <v>3.4250656954272533E-2</v>
      </c>
      <c r="EM21" s="59">
        <f>'C1-Incomes'!EN23/'C1-Incomes'!$EH23</f>
        <v>1.1907039749124828E-2</v>
      </c>
      <c r="EN21" s="59"/>
      <c r="EO21" s="59"/>
      <c r="EP21" s="59">
        <f>'C1-Incomes'!EQ23/'C1-Incomes'!$EH23</f>
        <v>0.34085301551245584</v>
      </c>
      <c r="EQ21" s="59">
        <f>'C1-Incomes'!ER23/'C1-Incomes'!$EH23</f>
        <v>0.23103645666404787</v>
      </c>
      <c r="ER21" s="59">
        <f>'C1-Incomes'!ES23/'C1-Incomes'!$EH23</f>
        <v>0.1021809011656956</v>
      </c>
      <c r="ES21" s="59">
        <f>'C1-Incomes'!ET23/'C1-Incomes'!$EH23</f>
        <v>7.3393960370501138E-2</v>
      </c>
      <c r="ET21" s="59">
        <f>'C1-Incomes'!EU23/'C1-Incomes'!$EH23</f>
        <v>3.4520850011253573E-2</v>
      </c>
      <c r="EU21" s="59">
        <f>'C1-Incomes'!EV23/'C1-Incomes'!$EH23</f>
        <v>1.1950018100938124E-2</v>
      </c>
      <c r="EV21" s="59"/>
      <c r="EW21" s="59"/>
      <c r="EX21" s="59">
        <f>'C1-Incomes'!EY23/'C1-Incomes'!$EX23</f>
        <v>0.32090789217632776</v>
      </c>
      <c r="EY21" s="59">
        <f>'C1-Incomes'!EZ23/'C1-Incomes'!$EX23</f>
        <v>0.21613008217838028</v>
      </c>
      <c r="EZ21" s="59">
        <f>'C1-Incomes'!FA23/'C1-Incomes'!$EX23</f>
        <v>9.4064651760773887E-2</v>
      </c>
      <c r="FA21" s="59">
        <f>'C1-Incomes'!FB23/'C1-Incomes'!$EX23</f>
        <v>6.738651984395512E-2</v>
      </c>
      <c r="FB21" s="59">
        <f>'C1-Incomes'!FC23/'C1-Incomes'!$EX23</f>
        <v>3.1448412792339453E-2</v>
      </c>
      <c r="FC21" s="59">
        <f>'C1-Incomes'!FD23/'C1-Incomes'!$EX23</f>
        <v>1.0843791556592635E-2</v>
      </c>
      <c r="FD21" s="59"/>
      <c r="FF21" s="59">
        <f>'C1-Incomes'!FG23/'C1-Incomes'!$FF23</f>
        <v>0.30899849823023445</v>
      </c>
      <c r="FG21" s="59">
        <f>'C1-Incomes'!FH23/'C1-Incomes'!$FF23</f>
        <v>0.20808776099343179</v>
      </c>
      <c r="FH21" s="59">
        <f>'C1-Incomes'!FI23/'C1-Incomes'!$FF23</f>
        <v>9.0354211001225204E-2</v>
      </c>
      <c r="FI21" s="59">
        <f>'C1-Incomes'!FJ23/'C1-Incomes'!$FF23</f>
        <v>6.4616743720853631E-2</v>
      </c>
      <c r="FJ21" s="59">
        <f>'C1-Incomes'!FK23/'C1-Incomes'!$FF23</f>
        <v>3.0070568849642963E-2</v>
      </c>
      <c r="FK21" s="59">
        <f>'C1-Incomes'!FL23/'C1-Incomes'!$FF23</f>
        <v>1.0357777397243676E-2</v>
      </c>
      <c r="FN21" s="59">
        <f>'C1-Incomes'!FO23/'C1-Incomes'!$FN23</f>
        <v>0.30561222798560195</v>
      </c>
      <c r="FO21" s="59">
        <f>'C1-Incomes'!FP23/'C1-Incomes'!$FN23</f>
        <v>0.20569077329931404</v>
      </c>
      <c r="FP21" s="59">
        <f>'C1-Incomes'!FQ23/'C1-Incomes'!$FN23</f>
        <v>8.9295084139127859E-2</v>
      </c>
      <c r="FQ21" s="59">
        <f>'C1-Incomes'!FR23/'C1-Incomes'!$FN23</f>
        <v>6.3856491551709707E-2</v>
      </c>
      <c r="FR21" s="59">
        <f>'C1-Incomes'!FS23/'C1-Incomes'!$FN23</f>
        <v>2.9716121472886714E-2</v>
      </c>
      <c r="FS21" s="59">
        <f>'C1-Incomes'!FT23/'C1-Incomes'!$FN23</f>
        <v>1.0235647738093139E-2</v>
      </c>
      <c r="FV21" s="59">
        <f>'C1-Incomes'!FW23/'C1-Incomes'!$FV23</f>
        <v>0.30047352169575237</v>
      </c>
      <c r="FW21" s="59">
        <f>'C1-Incomes'!FX23/'C1-Incomes'!$FV23</f>
        <v>0.2020802356304397</v>
      </c>
      <c r="FX21" s="59">
        <f>'C1-Incomes'!FY23/'C1-Incomes'!$FV23</f>
        <v>8.762487085309438E-2</v>
      </c>
      <c r="FY21" s="59">
        <f>'C1-Incomes'!FZ23/'C1-Incomes'!$FV23</f>
        <v>6.264320225261831E-2</v>
      </c>
      <c r="FZ21" s="59">
        <f>'C1-Incomes'!GA23/'C1-Incomes'!$FV23</f>
        <v>2.913985670571087E-2</v>
      </c>
      <c r="GA21" s="59">
        <f>'C1-Incomes'!GB23/'C1-Incomes'!$FV23</f>
        <v>1.0035008116585697E-2</v>
      </c>
      <c r="GE21" s="59">
        <f>'C1-Incomes'!GF23/'C1-Incomes'!$GE23</f>
        <v>0.29861535131152178</v>
      </c>
      <c r="GF21" s="59">
        <f>'C1-Incomes'!GG23/'C1-Incomes'!$GE23</f>
        <v>0.20073942475323392</v>
      </c>
      <c r="GG21" s="59">
        <f>'C1-Incomes'!GH23/'C1-Incomes'!$GE23</f>
        <v>8.7023777742676139E-2</v>
      </c>
      <c r="GH21" s="59">
        <f>'C1-Incomes'!GI23/'C1-Incomes'!$GE23</f>
        <v>6.2209240034504128E-2</v>
      </c>
      <c r="GI21" s="59">
        <f>'C1-Incomes'!GJ23/'C1-Incomes'!$GE23</f>
        <v>2.8912704997144996E-2</v>
      </c>
      <c r="GJ21" s="59">
        <f>'C1-Incomes'!GK23/'C1-Incomes'!$GE23</f>
        <v>9.9532113644832509E-3</v>
      </c>
      <c r="GM21" s="59">
        <f>'C1-Incomes'!GN23/'C1-Incomes'!$GM23</f>
        <v>0.29318814853206487</v>
      </c>
      <c r="GN21" s="59">
        <f>'C1-Incomes'!GO23/'C1-Incomes'!$GM23</f>
        <v>0.19709107392604955</v>
      </c>
      <c r="GO21" s="59">
        <f>'C1-Incomes'!GP23/'C1-Incomes'!$GM23</f>
        <v>8.5442158826000994E-2</v>
      </c>
      <c r="GP21" s="59">
        <f>'C1-Incomes'!GQ23/'C1-Incomes'!$GM23</f>
        <v>6.1078614435584565E-2</v>
      </c>
      <c r="GQ21" s="59">
        <f>'C1-Incomes'!GR23/'C1-Incomes'!$GM23</f>
        <v>2.838722928990841E-2</v>
      </c>
      <c r="GR21" s="59">
        <f>'C1-Incomes'!GS23/'C1-Incomes'!$GM23</f>
        <v>9.7723161220096208E-3</v>
      </c>
      <c r="GU21" s="59">
        <f>'C1-Incomes'!GV23/'C1-Incomes'!$GU23</f>
        <v>0.27607558985749392</v>
      </c>
      <c r="GV21" s="59">
        <f>'C1-Incomes'!GW23/'C1-Incomes'!$GU23</f>
        <v>0.18269570416719427</v>
      </c>
      <c r="GW21" s="59">
        <f>'C1-Incomes'!GX23/'C1-Incomes'!$GU23</f>
        <v>7.7602494110715695E-2</v>
      </c>
      <c r="GX21" s="59">
        <f>'C1-Incomes'!GY23/'C1-Incomes'!$GU23</f>
        <v>5.5430810653543217E-2</v>
      </c>
      <c r="GY21" s="59">
        <f>'C1-Incomes'!GZ23/'C1-Incomes'!$GU23</f>
        <v>2.5620898199066492E-2</v>
      </c>
      <c r="GZ21" s="59">
        <f>'C1-Incomes'!HA23/'C1-Incomes'!$GU23</f>
        <v>8.8091359182162921E-3</v>
      </c>
      <c r="HC21" s="59">
        <f>'C1-Incomes'!HD23/'C1-Incomes'!$HC23</f>
        <v>0.27355962876863743</v>
      </c>
      <c r="HD21" s="59">
        <f>'C1-Incomes'!HE23/'C1-Incomes'!$HC23</f>
        <v>0.18096672935679298</v>
      </c>
      <c r="HE21" s="59">
        <f>'C1-Incomes'!HF23/'C1-Incomes'!$HC23</f>
        <v>7.6493591583001383E-2</v>
      </c>
      <c r="HF21" s="59">
        <f>'C1-Incomes'!HG23/'C1-Incomes'!$HC23</f>
        <v>5.46260708799335E-2</v>
      </c>
      <c r="HG21" s="59">
        <f>'C1-Incomes'!HH23/'C1-Incomes'!$HC23</f>
        <v>2.5249506230882401E-2</v>
      </c>
      <c r="HH21" s="59">
        <f>'C1-Incomes'!HI23/'C1-Incomes'!$HC23</f>
        <v>8.6969404422779749E-3</v>
      </c>
      <c r="HK21" s="59">
        <f>'C1-Incomes'!HL23/'C1-Incomes'!$HK23</f>
        <v>0.26894340396259353</v>
      </c>
      <c r="HL21" s="59">
        <f>'C1-Incomes'!HM23/'C1-Incomes'!$HK23</f>
        <v>0.17630215162596799</v>
      </c>
      <c r="HM21" s="59">
        <f>'C1-Incomes'!HN23/'C1-Incomes'!$HK23</f>
        <v>7.277688657223827E-2</v>
      </c>
      <c r="HN21" s="59">
        <f>'C1-Incomes'!HO23/'C1-Incomes'!$HK23</f>
        <v>5.1462088725064824E-2</v>
      </c>
      <c r="HO21" s="59">
        <f>'C1-Incomes'!HP23/'C1-Incomes'!$HK23</f>
        <v>2.3360687672942273E-2</v>
      </c>
      <c r="HP21" s="59">
        <f>'C1-Incomes'!HQ23/'C1-Incomes'!$HK23</f>
        <v>7.9183607136425471E-3</v>
      </c>
      <c r="HS21" s="59">
        <f>'C1-Incomes'!HT23/'C1-Incomes'!$HS23</f>
        <v>0.26397935800983546</v>
      </c>
      <c r="HT21" s="59">
        <f>'C1-Incomes'!HU23/'C1-Incomes'!$HS23</f>
        <v>0.17207343201562017</v>
      </c>
      <c r="HU21" s="59">
        <f>'C1-Incomes'!HV23/'C1-Incomes'!$HS23</f>
        <v>7.0450364928930878E-2</v>
      </c>
      <c r="HV21" s="59">
        <f>'C1-Incomes'!HW23/'C1-Incomes'!$HS23</f>
        <v>4.9669421047384248E-2</v>
      </c>
      <c r="HW21" s="59">
        <f>'C1-Incomes'!HX23/'C1-Incomes'!$HS23</f>
        <v>2.2528206574939341E-2</v>
      </c>
      <c r="HX21" s="59">
        <f>'C1-Incomes'!HY23/'C1-Incomes'!$HS23</f>
        <v>7.6218477675258599E-3</v>
      </c>
      <c r="IA21" s="59">
        <f>'C1-Incomes'!IB23/'C1-Incomes'!$IA23</f>
        <v>0.26871373607842297</v>
      </c>
      <c r="IB21" s="59">
        <f>'C1-Incomes'!IC23/'C1-Incomes'!$IA23</f>
        <v>0.17748233563337554</v>
      </c>
      <c r="IC21" s="59">
        <f>'C1-Incomes'!ID23/'C1-Incomes'!$IA23</f>
        <v>7.4372117704932073E-2</v>
      </c>
      <c r="ID21" s="59">
        <f>'C1-Incomes'!IE23/'C1-Incomes'!$IA23</f>
        <v>5.2647259293511897E-2</v>
      </c>
      <c r="IE21" s="59">
        <f>'C1-Incomes'!IF23/'C1-Incomes'!$IA23</f>
        <v>2.4030266540249416E-2</v>
      </c>
      <c r="IF21" s="59">
        <f>'C1-Incomes'!IG23/'C1-Incomes'!$IA23</f>
        <v>8.1380053008379624E-3</v>
      </c>
      <c r="II21" s="59">
        <f>'C1-Incomes'!IJ23/'C1-Incomes'!$II23</f>
        <v>0.27008796471902274</v>
      </c>
      <c r="IJ21" s="59">
        <f>'C1-Incomes'!IK23/'C1-Incomes'!$II23</f>
        <v>0.17931490664611732</v>
      </c>
      <c r="IK21" s="59">
        <f>'C1-Incomes'!IL23/'C1-Incomes'!$II23</f>
        <v>7.6275580859394412E-2</v>
      </c>
      <c r="IL21" s="59">
        <f>'C1-Incomes'!IM23/'C1-Incomes'!$II23</f>
        <v>5.4245597340008153E-2</v>
      </c>
      <c r="IM21" s="59">
        <f>'C1-Incomes'!IN23/'C1-Incomes'!$II23</f>
        <v>2.4889906754745554E-2</v>
      </c>
      <c r="IN21" s="59">
        <f>'C1-Incomes'!IO23/'C1-Incomes'!$II23</f>
        <v>8.4556857143254886E-3</v>
      </c>
      <c r="IQ21" s="59">
        <f>'C1-Incomes'!IR23/'C1-Incomes'!$IQ23</f>
        <v>0.26709819321963263</v>
      </c>
      <c r="IR21" s="59">
        <f>'C1-Incomes'!IS23/'C1-Incomes'!$IQ23</f>
        <v>0.17692056162229353</v>
      </c>
      <c r="IS21" s="59">
        <f>'C1-Incomes'!IT23/'C1-Incomes'!$IQ23</f>
        <v>7.4823138721941643E-2</v>
      </c>
      <c r="IT21" s="59">
        <f>'C1-Incomes'!IU23/'C1-Incomes'!$IQ23</f>
        <v>5.3162487082771347E-2</v>
      </c>
      <c r="IU21" s="59">
        <f>'C1-Incomes'!IV23/'C1-Incomes'!$IQ23</f>
        <v>2.4331359038651704E-2</v>
      </c>
      <c r="IV21" s="59">
        <f>'C1-Incomes'!IW23/'C1-Incomes'!$IQ23</f>
        <v>8.249593902427195E-3</v>
      </c>
      <c r="IY21" s="59">
        <f>'C1-Incomes'!IZ23/'C1-Incomes'!$IY23</f>
        <v>0.24829735367712408</v>
      </c>
      <c r="IZ21" s="59">
        <f>'C1-Incomes'!JA23/'C1-Incomes'!$IY23</f>
        <v>0.16283428794759933</v>
      </c>
      <c r="JA21" s="59">
        <f>'C1-Incomes'!JB23/'C1-Incomes'!$IY23</f>
        <v>6.7785973094478993E-2</v>
      </c>
      <c r="JB21" s="59">
        <f>'C1-Incomes'!JC23/'C1-Incomes'!$IY23</f>
        <v>4.7963165686765522E-2</v>
      </c>
      <c r="JC21" s="59">
        <f>'C1-Incomes'!JD23/'C1-Incomes'!$IY23</f>
        <v>2.1812477759741777E-2</v>
      </c>
      <c r="JD21" s="59">
        <f>'C1-Incomes'!JE23/'C1-Incomes'!$IY23</f>
        <v>7.3681324298527319E-3</v>
      </c>
      <c r="JE21" s="197"/>
      <c r="JF21" s="197"/>
      <c r="JG21" s="197"/>
      <c r="JH21" s="197"/>
      <c r="JI21" s="197"/>
      <c r="JJ21" s="197"/>
      <c r="JK21" s="197"/>
      <c r="JL21" s="197"/>
      <c r="JM21" s="197"/>
      <c r="JN21" s="197"/>
      <c r="JO21" s="197"/>
      <c r="JP21" s="197"/>
      <c r="JQ21" s="197"/>
      <c r="JR21" s="197"/>
      <c r="JS21" s="197"/>
      <c r="JT21" s="197"/>
      <c r="JU21" s="197"/>
      <c r="JV21" s="197"/>
      <c r="JW21" s="197"/>
      <c r="JX21" s="197"/>
      <c r="JY21" s="197"/>
      <c r="JZ21" s="197"/>
      <c r="KA21" s="197"/>
      <c r="KB21" s="197"/>
      <c r="KC21" s="197"/>
      <c r="KD21" s="197"/>
      <c r="KE21" s="197"/>
      <c r="KF21" s="197"/>
      <c r="KG21" s="197"/>
      <c r="KH21" s="197"/>
      <c r="KI21" s="197"/>
      <c r="KJ21" s="197"/>
      <c r="KK21" s="197"/>
      <c r="KL21" s="197"/>
      <c r="KM21" s="197"/>
      <c r="KN21" s="197"/>
      <c r="KO21" s="197"/>
      <c r="KP21" s="197"/>
      <c r="KQ21" s="197"/>
      <c r="KR21" s="197"/>
      <c r="KS21" s="197"/>
      <c r="KT21" s="197"/>
      <c r="KU21" s="197"/>
      <c r="KV21" s="197"/>
      <c r="KW21" s="197"/>
      <c r="KX21" s="197"/>
      <c r="KY21" s="197"/>
      <c r="KZ21" s="197"/>
      <c r="LA21" s="197"/>
      <c r="LB21" s="197"/>
      <c r="LC21" s="197"/>
      <c r="LD21" s="197"/>
      <c r="LE21" s="197"/>
      <c r="LF21" s="197"/>
      <c r="LG21" s="197"/>
      <c r="LH21" s="197"/>
      <c r="LI21" s="197"/>
      <c r="LJ21" s="197"/>
      <c r="LK21" s="197"/>
      <c r="LL21" s="197"/>
      <c r="LM21" s="197"/>
      <c r="LN21" s="197"/>
      <c r="LO21" s="197"/>
      <c r="LP21" s="197"/>
      <c r="LQ21" s="197"/>
      <c r="LR21" s="197"/>
      <c r="LS21" s="197"/>
      <c r="LT21" s="197"/>
      <c r="LU21" s="197"/>
      <c r="LV21" s="197"/>
      <c r="LW21" s="197"/>
      <c r="LX21" s="197"/>
      <c r="LY21" s="197"/>
      <c r="LZ21" s="197"/>
      <c r="MA21" s="197"/>
      <c r="MB21" s="197"/>
      <c r="MC21" s="197"/>
      <c r="MD21" s="197"/>
      <c r="ME21" s="197"/>
      <c r="MF21" s="197"/>
      <c r="MG21" s="197"/>
      <c r="MH21" s="197"/>
      <c r="MI21" s="197"/>
      <c r="MJ21" s="197"/>
      <c r="MK21" s="197"/>
      <c r="ML21" s="197"/>
      <c r="MM21" s="197"/>
      <c r="MN21" s="197"/>
      <c r="MO21" s="197"/>
      <c r="MP21" s="197"/>
      <c r="MQ21" s="197"/>
      <c r="MR21" s="197"/>
      <c r="MS21" s="197"/>
      <c r="MT21" s="197"/>
      <c r="MU21" s="197"/>
      <c r="MV21" s="197"/>
      <c r="MW21" s="197"/>
      <c r="MX21" s="197"/>
      <c r="MY21" s="197"/>
      <c r="MZ21" s="197"/>
      <c r="NA21" s="197"/>
      <c r="NB21" s="197"/>
      <c r="NC21" s="197"/>
      <c r="ND21" s="197"/>
      <c r="NE21" s="197"/>
      <c r="NF21" s="197"/>
      <c r="NG21" s="197"/>
      <c r="NH21" s="197"/>
      <c r="NI21" s="197"/>
      <c r="NJ21" s="197"/>
      <c r="NK21" s="197"/>
      <c r="NL21" s="197"/>
      <c r="NM21" s="197"/>
      <c r="NN21" s="197"/>
      <c r="NO21" s="197"/>
      <c r="NP21" s="197"/>
      <c r="NQ21" s="197"/>
      <c r="NR21" s="197"/>
      <c r="NS21" s="197"/>
      <c r="NT21" s="197"/>
      <c r="NU21" s="197"/>
      <c r="NV21" s="197"/>
      <c r="NW21" s="197"/>
      <c r="NX21" s="197"/>
      <c r="NY21" s="197"/>
      <c r="NZ21" s="197"/>
      <c r="OA21" s="197"/>
      <c r="OB21" s="197"/>
      <c r="OC21" s="197"/>
      <c r="OD21" s="197"/>
      <c r="OE21" s="197"/>
      <c r="OF21" s="197"/>
      <c r="OG21" s="197"/>
      <c r="OH21" s="197"/>
      <c r="OI21" s="197"/>
      <c r="OJ21" s="197"/>
      <c r="OK21" s="197"/>
      <c r="OL21" s="197"/>
      <c r="OM21" s="197"/>
      <c r="ON21" s="197"/>
      <c r="OO21" s="197"/>
      <c r="OP21" s="197"/>
      <c r="OQ21" s="197"/>
      <c r="OR21" s="197"/>
      <c r="OS21" s="197"/>
      <c r="OT21" s="197"/>
      <c r="OU21" s="197"/>
      <c r="OV21" s="197"/>
      <c r="OW21" s="197"/>
      <c r="OX21" s="197"/>
      <c r="OY21" s="197"/>
      <c r="OZ21" s="197"/>
      <c r="PA21" s="197"/>
      <c r="PB21" s="197"/>
    </row>
    <row r="22" spans="1:418" s="77" customFormat="1" ht="10.5" customHeight="1" x14ac:dyDescent="0.2">
      <c r="A22" s="48">
        <v>1976</v>
      </c>
      <c r="B22" s="59">
        <f>'C1-Incomes'!C24/'C1-Incomes'!$B24</f>
        <v>0.32576371278036448</v>
      </c>
      <c r="C22" s="59">
        <f>'C1-Incomes'!D24/'C1-Incomes'!$B24</f>
        <v>0.20983806481724759</v>
      </c>
      <c r="D22" s="59">
        <f>'C1-Incomes'!E24/'C1-Incomes'!$B24</f>
        <v>7.9325864821953862E-2</v>
      </c>
      <c r="E22" s="59">
        <f>'C1-Incomes'!F24/'C1-Incomes'!$B24</f>
        <v>5.2385850172938286E-2</v>
      </c>
      <c r="F22" s="59">
        <f>'C1-Incomes'!G24/'C1-Incomes'!$B24</f>
        <v>2.0072220044256597E-2</v>
      </c>
      <c r="G22" s="59">
        <f>'C1-Incomes'!H24/'C1-Incomes'!$B24</f>
        <v>5.5635863324761939E-3</v>
      </c>
      <c r="H22" s="199"/>
      <c r="J22" s="59">
        <f>'C1-Incomes'!K24/'C1-Incomes'!$J24</f>
        <v>0.32093268384414436</v>
      </c>
      <c r="K22" s="59">
        <f>'C1-Incomes'!L24/'C1-Incomes'!$J24</f>
        <v>0.21552334446974195</v>
      </c>
      <c r="L22" s="59">
        <f>'C1-Incomes'!M24/'C1-Incomes'!$J24</f>
        <v>9.4291204392316835E-2</v>
      </c>
      <c r="M22" s="59">
        <f>'C1-Incomes'!N24/'C1-Incomes'!$J24</f>
        <v>6.7565234892066756E-2</v>
      </c>
      <c r="N22" s="59">
        <f>'C1-Incomes'!O24/'C1-Incomes'!$J24</f>
        <v>3.198964804341653E-2</v>
      </c>
      <c r="O22" s="59">
        <f>'C1-Incomes'!P24/'C1-Incomes'!$J24</f>
        <v>1.1206420006358788E-2</v>
      </c>
      <c r="P22" s="59"/>
      <c r="R22" s="59">
        <f>'C1-Incomes'!S24/'C1-Incomes'!$R24</f>
        <v>0.29427078990133998</v>
      </c>
      <c r="S22" s="59">
        <f>'C1-Incomes'!T24/'C1-Incomes'!$R24</f>
        <v>0.19732538431588534</v>
      </c>
      <c r="T22" s="59">
        <f>'C1-Incomes'!U24/'C1-Incomes'!$R24</f>
        <v>8.5926386415201478E-2</v>
      </c>
      <c r="U22" s="59">
        <f>'C1-Incomes'!V24/'C1-Incomes'!$R24</f>
        <v>6.1409115383702889E-2</v>
      </c>
      <c r="V22" s="59">
        <f>'C1-Incomes'!W24/'C1-Incomes'!$R24</f>
        <v>2.8940445867997034E-2</v>
      </c>
      <c r="W22" s="59">
        <f>'C1-Incomes'!X24/'C1-Incomes'!$R24</f>
        <v>1.0117246213092854E-2</v>
      </c>
      <c r="X22" s="59"/>
      <c r="Y22" s="59"/>
      <c r="Z22" s="59">
        <f>'C1-Incomes'!AA24/'C1-Incomes'!$Z24</f>
        <v>0.24958783398605794</v>
      </c>
      <c r="AA22" s="59">
        <f>'C1-Incomes'!AB24/'C1-Incomes'!$Z24</f>
        <v>0.16348214989320883</v>
      </c>
      <c r="AB22" s="59">
        <f>'C1-Incomes'!AC24/'C1-Incomes'!$Z24</f>
        <v>6.8293424459802965E-2</v>
      </c>
      <c r="AC22" s="59">
        <f>'C1-Incomes'!AD24/'C1-Incomes'!$Z24</f>
        <v>4.8175798542284855E-2</v>
      </c>
      <c r="AD22" s="59">
        <f>'C1-Incomes'!AE24/'C1-Incomes'!$Z24</f>
        <v>2.1982422965175181E-2</v>
      </c>
      <c r="AE22" s="59">
        <f>'C1-Incomes'!AF24/'C1-Incomes'!$Z24</f>
        <v>7.5596534670179282E-3</v>
      </c>
      <c r="AF22" s="200"/>
      <c r="AG22" s="195"/>
      <c r="AH22" s="59">
        <f>'C1-Incomes'!AI24/'C1-Incomes'!$AH24</f>
        <v>0.32480249165931435</v>
      </c>
      <c r="AI22" s="59">
        <f>'C1-Incomes'!AJ24/'C1-Incomes'!$AH24</f>
        <v>0.20861391292050938</v>
      </c>
      <c r="AJ22" s="59">
        <f>'C1-Incomes'!AK24/'C1-Incomes'!$AH24</f>
        <v>7.8541931324834752E-2</v>
      </c>
      <c r="AK22" s="59">
        <f>'C1-Incomes'!AL24/'C1-Incomes'!$AH24</f>
        <v>5.185471583969363E-2</v>
      </c>
      <c r="AL22" s="59">
        <f>'C1-Incomes'!AM24/'C1-Incomes'!$AH24</f>
        <v>1.9858470470147452E-2</v>
      </c>
      <c r="AM22" s="59">
        <f>'C1-Incomes'!AN24/'C1-Incomes'!$AH24</f>
        <v>5.5078698090007877E-3</v>
      </c>
      <c r="AN22" s="195"/>
      <c r="AO22" s="195"/>
      <c r="AP22" s="59">
        <f>'C1-Incomes'!AQ24/'C1-Incomes'!$AP24</f>
        <v>0.3259818141522729</v>
      </c>
      <c r="AQ22" s="59">
        <f>'C1-Incomes'!AR24/'C1-Incomes'!$AP24</f>
        <v>0.21028153041580847</v>
      </c>
      <c r="AR22" s="59">
        <f>'C1-Incomes'!AS24/'C1-Incomes'!$AP24</f>
        <v>8.0557276673069111E-2</v>
      </c>
      <c r="AS22" s="59">
        <f>'C1-Incomes'!AT24/'C1-Incomes'!$AP24</f>
        <v>5.3620215124152278E-2</v>
      </c>
      <c r="AT22" s="59">
        <f>'C1-Incomes'!AU24/'C1-Incomes'!$AP24</f>
        <v>2.0861556158387105E-2</v>
      </c>
      <c r="AU22" s="59">
        <f>'C1-Incomes'!AV24/'C1-Incomes'!$AP24</f>
        <v>5.847872018582014E-3</v>
      </c>
      <c r="AV22" s="197"/>
      <c r="AW22" s="60"/>
      <c r="AX22" s="59">
        <f>'C1-Incomes'!AY24/'C1-Incomes'!$AX24</f>
        <v>0.32954989435591669</v>
      </c>
      <c r="AY22" s="59">
        <f>'C1-Incomes'!AZ24/'C1-Incomes'!$AX24</f>
        <v>0.21425927152004984</v>
      </c>
      <c r="AZ22" s="59">
        <f>'C1-Incomes'!BA24/'C1-Incomes'!$AX24</f>
        <v>8.4245774137245724E-2</v>
      </c>
      <c r="BA22" s="59">
        <f>'C1-Incomes'!BB24/'C1-Incomes'!$AX24</f>
        <v>5.6683034220964115E-2</v>
      </c>
      <c r="BB22" s="59">
        <f>'C1-Incomes'!BC24/'C1-Incomes'!$AX24</f>
        <v>2.2624249703540805E-2</v>
      </c>
      <c r="BC22" s="59">
        <f>'C1-Incomes'!BD24/'C1-Incomes'!$AX24</f>
        <v>6.431303184379661E-3</v>
      </c>
      <c r="BD22" s="60"/>
      <c r="BE22" s="60"/>
      <c r="BF22" s="59">
        <f>'C1-Incomes'!BG24/'C1-Incomes'!$BF24</f>
        <v>0.32867804499206094</v>
      </c>
      <c r="BG22" s="59">
        <f>'C1-Incomes'!BH24/'C1-Incomes'!$BF24</f>
        <v>0.21377829069872684</v>
      </c>
      <c r="BH22" s="59">
        <f>'C1-Incomes'!BI24/'C1-Incomes'!$BF24</f>
        <v>8.4225882460541412E-2</v>
      </c>
      <c r="BI22" s="59">
        <f>'C1-Incomes'!BJ24/'C1-Incomes'!$BF24</f>
        <v>5.6727762595168194E-2</v>
      </c>
      <c r="BJ22" s="59">
        <f>'C1-Incomes'!BK24/'C1-Incomes'!$BF24</f>
        <v>2.2666152910242966E-2</v>
      </c>
      <c r="BK22" s="59">
        <f>'C1-Incomes'!BL24/'C1-Incomes'!$BF24</f>
        <v>6.4427336606632402E-3</v>
      </c>
      <c r="BL22" s="59"/>
      <c r="BM22" s="59"/>
      <c r="BN22" s="59">
        <f>'C1-Incomes'!BO24/'C1-Incomes'!$BN24</f>
        <v>0.30066071138781181</v>
      </c>
      <c r="BO22" s="59">
        <f>'C1-Incomes'!BP24/'C1-Incomes'!$BN24</f>
        <v>0.1943452030598323</v>
      </c>
      <c r="BP22" s="59">
        <f>'C1-Incomes'!BQ24/'C1-Incomes'!$BN24</f>
        <v>7.5214581457125812E-2</v>
      </c>
      <c r="BQ22" s="59">
        <f>'C1-Incomes'!BR24/'C1-Incomes'!$BN24</f>
        <v>5.1030229159164567E-2</v>
      </c>
      <c r="BR22" s="59">
        <f>'C1-Incomes'!BS24/'C1-Incomes'!$BN24</f>
        <v>2.1375320515486962E-2</v>
      </c>
      <c r="BS22" s="59">
        <f>'C1-Incomes'!BT24/'C1-Incomes'!$BN24</f>
        <v>6.3833015612828432E-3</v>
      </c>
      <c r="BT22" s="59"/>
      <c r="BU22" s="59"/>
      <c r="BV22" s="59">
        <f>'C1-Incomes'!BW24/'C1-Incomes'!$BV24</f>
        <v>0.30336630553627264</v>
      </c>
      <c r="BW22" s="59">
        <f>'C1-Incomes'!BX24/'C1-Incomes'!$BV24</f>
        <v>0.1971462428360298</v>
      </c>
      <c r="BX22" s="59">
        <f>'C1-Incomes'!BY24/'C1-Incomes'!$BV24</f>
        <v>7.7610610225101809E-2</v>
      </c>
      <c r="BY22" s="59">
        <f>'C1-Incomes'!BZ24/'C1-Incomes'!$BV24</f>
        <v>5.3110638431801985E-2</v>
      </c>
      <c r="BZ22" s="59">
        <f>'C1-Incomes'!CA24/'C1-Incomes'!$BV24</f>
        <v>2.2529240475385938E-2</v>
      </c>
      <c r="CA22" s="59">
        <f>'C1-Incomes'!CB24/'C1-Incomes'!$BV24</f>
        <v>6.956878602528545E-3</v>
      </c>
      <c r="CB22" s="60"/>
      <c r="CC22" s="198"/>
      <c r="CD22" s="59">
        <f>'C1-Incomes'!CE24/'C1-Incomes'!$CD24</f>
        <v>0.3221049063204936</v>
      </c>
      <c r="CE22" s="59">
        <f>'C1-Incomes'!CF24/'C1-Incomes'!$CD24</f>
        <v>0.21733559866704499</v>
      </c>
      <c r="CF22" s="59">
        <f>'C1-Incomes'!CG24/'C1-Incomes'!$CD24</f>
        <v>9.5518021534694034E-2</v>
      </c>
      <c r="CG22" s="59">
        <f>'C1-Incomes'!CH24/'C1-Incomes'!$CD24</f>
        <v>6.8146058084936276E-2</v>
      </c>
      <c r="CH22" s="59">
        <f>'C1-Incomes'!CI24/'C1-Incomes'!$CD24</f>
        <v>3.1892806473289251E-2</v>
      </c>
      <c r="CI22" s="59">
        <f>'C1-Incomes'!CJ24/'C1-Incomes'!$CD24</f>
        <v>1.0899641977629153E-2</v>
      </c>
      <c r="CL22" s="59">
        <f>'C1-Incomes'!CM24/'C1-Incomes'!$CL24</f>
        <v>0.32799667320326092</v>
      </c>
      <c r="CM22" s="59">
        <f>'C1-Incomes'!CN24/'C1-Incomes'!$CL24</f>
        <v>0.22350717333693426</v>
      </c>
      <c r="CN22" s="59">
        <f>'C1-Incomes'!CO24/'C1-Incomes'!$CL24</f>
        <v>0.1007918386047469</v>
      </c>
      <c r="CO22" s="59">
        <f>'C1-Incomes'!CP24/'C1-Incomes'!$CL24</f>
        <v>7.2699390767734157E-2</v>
      </c>
      <c r="CP22" s="59">
        <f>'C1-Incomes'!CQ24/'C1-Incomes'!$CL24</f>
        <v>3.4512758502267926E-2</v>
      </c>
      <c r="CQ22" s="59">
        <f>'C1-Incomes'!CR24/'C1-Incomes'!$CL24</f>
        <v>1.2007166662105611E-2</v>
      </c>
      <c r="CR22" s="59"/>
      <c r="CS22" s="59"/>
      <c r="CT22" s="59">
        <f>'C1-Incomes'!CU24/'C1-Incomes'!$CT24</f>
        <v>0.33161543463803234</v>
      </c>
      <c r="CU22" s="59">
        <f>'C1-Incomes'!CV24/'C1-Incomes'!$CT24</f>
        <v>0.22731726183233716</v>
      </c>
      <c r="CV22" s="59">
        <f>'C1-Incomes'!CW24/'C1-Incomes'!$CT24</f>
        <v>0.10351579829624095</v>
      </c>
      <c r="CW22" s="59">
        <f>'C1-Incomes'!CX24/'C1-Incomes'!$CT24</f>
        <v>7.4802359383664876E-2</v>
      </c>
      <c r="CX22" s="59">
        <f>'C1-Incomes'!CY24/'C1-Incomes'!$CT24</f>
        <v>3.5638066004942945E-2</v>
      </c>
      <c r="CY22" s="59">
        <f>'C1-Incomes'!CZ24/'C1-Incomes'!$CT24</f>
        <v>1.2454514470378233E-2</v>
      </c>
      <c r="CZ22" s="59"/>
      <c r="DA22" s="59"/>
      <c r="DB22" s="59">
        <f>'C1-Incomes'!DC24/'C1-Incomes'!$DB24</f>
        <v>0.3359124575053109</v>
      </c>
      <c r="DC22" s="59">
        <f>'C1-Incomes'!DD24/'C1-Incomes'!$DB24</f>
        <v>0.23169486163022129</v>
      </c>
      <c r="DD22" s="59">
        <f>'C1-Incomes'!DE24/'C1-Incomes'!$DB24</f>
        <v>0.10699677758838899</v>
      </c>
      <c r="DE22" s="59">
        <f>'C1-Incomes'!DF24/'C1-Incomes'!$DB24</f>
        <v>7.7929791130712509E-2</v>
      </c>
      <c r="DF22" s="59">
        <f>'C1-Incomes'!DG24/'C1-Incomes'!$DB24</f>
        <v>3.7604814919238824E-2</v>
      </c>
      <c r="DG22" s="59">
        <f>'C1-Incomes'!DH24/'C1-Incomes'!$DB24</f>
        <v>1.329414985589142E-2</v>
      </c>
      <c r="DH22" s="59"/>
      <c r="DI22" s="1039"/>
      <c r="DJ22" s="59">
        <f>'C1-Incomes'!DK24/'C1-Incomes'!$DJ24</f>
        <v>0.33831169878877654</v>
      </c>
      <c r="DK22" s="59">
        <f>'C1-Incomes'!DL24/'C1-Incomes'!$DJ24</f>
        <v>0.23442987743524243</v>
      </c>
      <c r="DL22" s="59">
        <f>'C1-Incomes'!DM24/'C1-Incomes'!$DJ24</f>
        <v>0.10851257695326473</v>
      </c>
      <c r="DM22" s="59">
        <f>'C1-Incomes'!DN24/'C1-Incomes'!$DJ24</f>
        <v>7.8827729456209764E-2</v>
      </c>
      <c r="DN22" s="59">
        <f>'C1-Incomes'!DO24/'C1-Incomes'!$DJ24</f>
        <v>3.7924410325661344E-2</v>
      </c>
      <c r="DO22" s="59">
        <f>'C1-Incomes'!DP24/'C1-Incomes'!$DJ24</f>
        <v>1.3433004539247518E-2</v>
      </c>
      <c r="DP22" s="696"/>
      <c r="DQ22" s="503"/>
      <c r="DR22" s="59">
        <f>'C1-Incomes'!DS24/'C1-Incomes'!$DR24</f>
        <v>0.33750547866160585</v>
      </c>
      <c r="DS22" s="59">
        <f>'C1-Incomes'!DT24/'C1-Incomes'!$DR24</f>
        <v>0.232820083439533</v>
      </c>
      <c r="DT22" s="59">
        <f>'C1-Incomes'!DU24/'C1-Incomes'!$DR24</f>
        <v>0.10685305661545297</v>
      </c>
      <c r="DU22" s="59">
        <f>'C1-Incomes'!DV24/'C1-Incomes'!$DR24</f>
        <v>7.7401831169109453E-2</v>
      </c>
      <c r="DV22" s="59">
        <f>'C1-Incomes'!DW24/'C1-Incomes'!$DR24</f>
        <v>3.7122009453704218E-2</v>
      </c>
      <c r="DW22" s="59">
        <f>'C1-Incomes'!DX24/'C1-Incomes'!$DR24</f>
        <v>1.3114658899180422E-2</v>
      </c>
      <c r="DX22" s="333"/>
      <c r="DZ22" s="59">
        <f>'C1-Incomes'!EA24/'C1-Incomes'!$DZ24</f>
        <v>0.33109800190429861</v>
      </c>
      <c r="EA22" s="59">
        <f>'C1-Incomes'!EB24/'C1-Incomes'!$DZ24</f>
        <v>0.22671179814659964</v>
      </c>
      <c r="EB22" s="59">
        <f>'C1-Incomes'!EC24/'C1-Incomes'!$DZ24</f>
        <v>0.10314070116826515</v>
      </c>
      <c r="EC22" s="59">
        <f>'C1-Incomes'!ED24/'C1-Incomes'!$DZ24</f>
        <v>7.4622680359415494E-2</v>
      </c>
      <c r="ED22" s="59">
        <f>'C1-Incomes'!EE24/'C1-Incomes'!$DZ24</f>
        <v>3.5739967031741177E-2</v>
      </c>
      <c r="EE22" s="59">
        <f>'C1-Incomes'!EF24/'C1-Incomes'!$DZ24</f>
        <v>1.2607691445442286E-2</v>
      </c>
      <c r="EF22" s="59"/>
      <c r="EH22" s="59">
        <f>'C1-Incomes'!EI24/'C1-Incomes'!$EH24</f>
        <v>0.32886196613304924</v>
      </c>
      <c r="EI22" s="59">
        <f>'C1-Incomes'!EJ24/'C1-Incomes'!$EH24</f>
        <v>0.22345928901503814</v>
      </c>
      <c r="EJ22" s="59">
        <f>'C1-Incomes'!EK24/'C1-Incomes'!$EH24</f>
        <v>0.1004036646900409</v>
      </c>
      <c r="EK22" s="59">
        <f>'C1-Incomes'!EL24/'C1-Incomes'!$EH24</f>
        <v>7.2463983416874794E-2</v>
      </c>
      <c r="EL22" s="59">
        <f>'C1-Incomes'!EM24/'C1-Incomes'!$EH24</f>
        <v>3.4651226360219424E-2</v>
      </c>
      <c r="EM22" s="59">
        <f>'C1-Incomes'!EN24/'C1-Incomes'!$EH24</f>
        <v>1.2221169225986622E-2</v>
      </c>
      <c r="EN22" s="59"/>
      <c r="EO22" s="59"/>
      <c r="EP22" s="59">
        <f>'C1-Incomes'!EQ24/'C1-Incomes'!$EH24</f>
        <v>0.33857408011954027</v>
      </c>
      <c r="EQ22" s="59">
        <f>'C1-Incomes'!ER24/'C1-Incomes'!$EH24</f>
        <v>0.22903085474640472</v>
      </c>
      <c r="ER22" s="59">
        <f>'C1-Incomes'!ES24/'C1-Incomes'!$EH24</f>
        <v>0.10164939445408031</v>
      </c>
      <c r="ES22" s="59">
        <f>'C1-Incomes'!ET24/'C1-Incomes'!$EH24</f>
        <v>7.3214373362814125E-2</v>
      </c>
      <c r="ET22" s="59">
        <f>'C1-Incomes'!EU24/'C1-Incomes'!$EH24</f>
        <v>3.4867159183802156E-2</v>
      </c>
      <c r="EU22" s="59">
        <f>'C1-Incomes'!EV24/'C1-Incomes'!$EH24</f>
        <v>1.2251278080455043E-2</v>
      </c>
      <c r="EV22" s="59"/>
      <c r="EW22" s="59"/>
      <c r="EX22" s="59">
        <f>'C1-Incomes'!EY24/'C1-Incomes'!$EX24</f>
        <v>0.32093268384414436</v>
      </c>
      <c r="EY22" s="59">
        <f>'C1-Incomes'!EZ24/'C1-Incomes'!$EX24</f>
        <v>0.21552334446974195</v>
      </c>
      <c r="EZ22" s="59">
        <f>'C1-Incomes'!FA24/'C1-Incomes'!$EX24</f>
        <v>9.4291204392316835E-2</v>
      </c>
      <c r="FA22" s="59">
        <f>'C1-Incomes'!FB24/'C1-Incomes'!$EX24</f>
        <v>6.7565234892066756E-2</v>
      </c>
      <c r="FB22" s="59">
        <f>'C1-Incomes'!FC24/'C1-Incomes'!$EX24</f>
        <v>3.198964804341653E-2</v>
      </c>
      <c r="FC22" s="59">
        <f>'C1-Incomes'!FD24/'C1-Incomes'!$EX24</f>
        <v>1.1206420006358788E-2</v>
      </c>
      <c r="FD22" s="59"/>
      <c r="FF22" s="59">
        <f>'C1-Incomes'!FG24/'C1-Incomes'!$FF24</f>
        <v>0.30921259885187619</v>
      </c>
      <c r="FG22" s="59">
        <f>'C1-Incomes'!FH24/'C1-Incomes'!$FF24</f>
        <v>0.20752314905213914</v>
      </c>
      <c r="FH22" s="59">
        <f>'C1-Incomes'!FI24/'C1-Incomes'!$FF24</f>
        <v>9.0562007409070139E-2</v>
      </c>
      <c r="FI22" s="59">
        <f>'C1-Incomes'!FJ24/'C1-Incomes'!$FF24</f>
        <v>6.4763987799145592E-2</v>
      </c>
      <c r="FJ22" s="59">
        <f>'C1-Incomes'!FK24/'C1-Incomes'!$FF24</f>
        <v>3.0569565894151704E-2</v>
      </c>
      <c r="FK22" s="59">
        <f>'C1-Incomes'!FL24/'C1-Incomes'!$FF24</f>
        <v>1.0697101723169348E-2</v>
      </c>
      <c r="FN22" s="59">
        <f>'C1-Incomes'!FO24/'C1-Incomes'!$FN24</f>
        <v>0.30645729653857168</v>
      </c>
      <c r="FO22" s="59">
        <f>'C1-Incomes'!FP24/'C1-Incomes'!$FN24</f>
        <v>0.20557966084509058</v>
      </c>
      <c r="FP22" s="59">
        <f>'C1-Incomes'!FQ24/'C1-Incomes'!$FN24</f>
        <v>8.9698878824719677E-2</v>
      </c>
      <c r="FQ22" s="59">
        <f>'C1-Incomes'!FR24/'C1-Incomes'!$FN24</f>
        <v>6.4144443564718837E-2</v>
      </c>
      <c r="FR22" s="59">
        <f>'C1-Incomes'!FS24/'C1-Incomes'!$FN24</f>
        <v>3.0276594143241638E-2</v>
      </c>
      <c r="FS22" s="59">
        <f>'C1-Incomes'!FT24/'C1-Incomes'!$FN24</f>
        <v>1.0594549591625497E-2</v>
      </c>
      <c r="FV22" s="59">
        <f>'C1-Incomes'!FW24/'C1-Incomes'!$FV24</f>
        <v>0.30135879765916762</v>
      </c>
      <c r="FW22" s="59">
        <f>'C1-Incomes'!FX24/'C1-Incomes'!$FV24</f>
        <v>0.2020248349999724</v>
      </c>
      <c r="FX22" s="59">
        <f>'C1-Incomes'!FY24/'C1-Incomes'!$FV24</f>
        <v>8.8054715567276606E-2</v>
      </c>
      <c r="FY22" s="59">
        <f>'C1-Incomes'!FZ24/'C1-Incomes'!$FV24</f>
        <v>6.2951736804536404E-2</v>
      </c>
      <c r="FZ22" s="59">
        <f>'C1-Incomes'!GA24/'C1-Incomes'!$FV24</f>
        <v>2.970291121425947E-2</v>
      </c>
      <c r="GA22" s="59">
        <f>'C1-Incomes'!GB24/'C1-Incomes'!$FV24</f>
        <v>1.0391833847927712E-2</v>
      </c>
      <c r="GE22" s="59">
        <f>'C1-Incomes'!GF24/'C1-Incomes'!$GE24</f>
        <v>0.29944515519729925</v>
      </c>
      <c r="GF22" s="59">
        <f>'C1-Incomes'!GG24/'C1-Incomes'!$GE24</f>
        <v>0.20079509199892878</v>
      </c>
      <c r="GG22" s="59">
        <f>'C1-Incomes'!GH24/'C1-Incomes'!$GE24</f>
        <v>8.7437289050230488E-2</v>
      </c>
      <c r="GH22" s="59">
        <f>'C1-Incomes'!GI24/'C1-Incomes'!$GE24</f>
        <v>6.2488914012725917E-2</v>
      </c>
      <c r="GI22" s="59">
        <f>'C1-Incomes'!GJ24/'C1-Incomes'!$GE24</f>
        <v>2.9449325593365484E-2</v>
      </c>
      <c r="GJ22" s="59">
        <f>'C1-Incomes'!GK24/'C1-Incomes'!$GE24</f>
        <v>1.0295144698067372E-2</v>
      </c>
      <c r="GM22" s="59">
        <f>'C1-Incomes'!GN24/'C1-Incomes'!$GM24</f>
        <v>0.29427078990133998</v>
      </c>
      <c r="GN22" s="59">
        <f>'C1-Incomes'!GO24/'C1-Incomes'!$GM24</f>
        <v>0.19732538431588534</v>
      </c>
      <c r="GO22" s="59">
        <f>'C1-Incomes'!GP24/'C1-Incomes'!$GM24</f>
        <v>8.5926386415201478E-2</v>
      </c>
      <c r="GP22" s="59">
        <f>'C1-Incomes'!GQ24/'C1-Incomes'!$GM24</f>
        <v>6.1409115383702889E-2</v>
      </c>
      <c r="GQ22" s="59">
        <f>'C1-Incomes'!GR24/'C1-Incomes'!$GM24</f>
        <v>2.8940445867997034E-2</v>
      </c>
      <c r="GR22" s="59">
        <f>'C1-Incomes'!GS24/'C1-Incomes'!$GM24</f>
        <v>1.0117246213092854E-2</v>
      </c>
      <c r="GU22" s="59">
        <f>'C1-Incomes'!GV24/'C1-Incomes'!$GU24</f>
        <v>0.2761694553617301</v>
      </c>
      <c r="GV22" s="59">
        <f>'C1-Incomes'!GW24/'C1-Incomes'!$GU24</f>
        <v>0.18231066047998779</v>
      </c>
      <c r="GW22" s="59">
        <f>'C1-Incomes'!GX24/'C1-Incomes'!$GU24</f>
        <v>7.7641864080662218E-2</v>
      </c>
      <c r="GX22" s="59">
        <f>'C1-Incomes'!GY24/'C1-Incomes'!$GU24</f>
        <v>5.5268492413309174E-2</v>
      </c>
      <c r="GY22" s="59">
        <f>'C1-Incomes'!GZ24/'C1-Incomes'!$GU24</f>
        <v>2.5694917696897843E-2</v>
      </c>
      <c r="GZ22" s="59">
        <f>'C1-Incomes'!HA24/'C1-Incomes'!$GU24</f>
        <v>8.9838924217976387E-3</v>
      </c>
      <c r="HC22" s="59">
        <f>'C1-Incomes'!HD24/'C1-Incomes'!$HC24</f>
        <v>0.27415440491962872</v>
      </c>
      <c r="HD22" s="59">
        <f>'C1-Incomes'!HE24/'C1-Incomes'!$HC24</f>
        <v>0.18066139462799261</v>
      </c>
      <c r="HE22" s="59">
        <f>'C1-Incomes'!HF24/'C1-Incomes'!$HC24</f>
        <v>7.6519264485348529E-2</v>
      </c>
      <c r="HF22" s="59">
        <f>'C1-Incomes'!HG24/'C1-Incomes'!$HC24</f>
        <v>5.4618419864565067E-2</v>
      </c>
      <c r="HG22" s="59">
        <f>'C1-Incomes'!HH24/'C1-Incomes'!$HC24</f>
        <v>2.5400275459385432E-2</v>
      </c>
      <c r="HH22" s="59">
        <f>'C1-Incomes'!HI24/'C1-Incomes'!$HC24</f>
        <v>8.8743043157924022E-3</v>
      </c>
      <c r="HK22" s="59">
        <f>'C1-Incomes'!HL24/'C1-Incomes'!$HK24</f>
        <v>0.26814436532763031</v>
      </c>
      <c r="HL22" s="59">
        <f>'C1-Incomes'!HM24/'C1-Incomes'!$HK24</f>
        <v>0.1745953834629371</v>
      </c>
      <c r="HM22" s="59">
        <f>'C1-Incomes'!HN24/'C1-Incomes'!$HK24</f>
        <v>7.1952694250938809E-2</v>
      </c>
      <c r="HN22" s="59">
        <f>'C1-Incomes'!HO24/'C1-Incomes'!$HK24</f>
        <v>5.0690488400358155E-2</v>
      </c>
      <c r="HO22" s="59">
        <f>'C1-Incomes'!HP24/'C1-Incomes'!$HK24</f>
        <v>2.3064006217172403E-2</v>
      </c>
      <c r="HP22" s="59">
        <f>'C1-Incomes'!HQ24/'C1-Incomes'!$HK24</f>
        <v>7.9402424922633656E-3</v>
      </c>
      <c r="HS22" s="59">
        <f>'C1-Incomes'!HT24/'C1-Incomes'!$HS24</f>
        <v>0.26310501573455969</v>
      </c>
      <c r="HT22" s="59">
        <f>'C1-Incomes'!HU24/'C1-Incomes'!$HS24</f>
        <v>0.17040876686646167</v>
      </c>
      <c r="HU22" s="59">
        <f>'C1-Incomes'!HV24/'C1-Incomes'!$HS24</f>
        <v>6.9573715460618482E-2</v>
      </c>
      <c r="HV22" s="59">
        <f>'C1-Incomes'!HW24/'C1-Incomes'!$HS24</f>
        <v>4.8849354736701572E-2</v>
      </c>
      <c r="HW22" s="59">
        <f>'C1-Incomes'!HX24/'C1-Incomes'!$HS24</f>
        <v>2.2195914719166002E-2</v>
      </c>
      <c r="HX22" s="59">
        <f>'C1-Incomes'!HY24/'C1-Incomes'!$HS24</f>
        <v>7.6217419130129548E-3</v>
      </c>
      <c r="IA22" s="59">
        <f>'C1-Incomes'!IB24/'C1-Incomes'!$IA24</f>
        <v>0.26752608667958694</v>
      </c>
      <c r="IB22" s="59">
        <f>'C1-Incomes'!IC24/'C1-Incomes'!$IA24</f>
        <v>0.1759093761128605</v>
      </c>
      <c r="IC22" s="59">
        <f>'C1-Incomes'!ID24/'C1-Incomes'!$IA24</f>
        <v>7.3463336131083037E-2</v>
      </c>
      <c r="ID22" s="59">
        <f>'C1-Incomes'!IE24/'C1-Incomes'!$IA24</f>
        <v>5.1899843107451153E-2</v>
      </c>
      <c r="IE22" s="59">
        <f>'C1-Incomes'!IF24/'C1-Incomes'!$IA24</f>
        <v>2.3700594332649053E-2</v>
      </c>
      <c r="IF22" s="59">
        <f>'C1-Incomes'!IG24/'C1-Incomes'!$IA24</f>
        <v>8.1589842437477973E-3</v>
      </c>
      <c r="II22" s="59">
        <f>'C1-Incomes'!IJ24/'C1-Incomes'!$II24</f>
        <v>0.26876434274986583</v>
      </c>
      <c r="IJ22" s="59">
        <f>'C1-Incomes'!IK24/'C1-Incomes'!$II24</f>
        <v>0.17785767176582204</v>
      </c>
      <c r="IK22" s="59">
        <f>'C1-Incomes'!IL24/'C1-Incomes'!$II24</f>
        <v>7.5356999834379504E-2</v>
      </c>
      <c r="IL22" s="59">
        <f>'C1-Incomes'!IM24/'C1-Incomes'!$II24</f>
        <v>5.3429301207852706E-2</v>
      </c>
      <c r="IM22" s="59">
        <f>'C1-Incomes'!IN24/'C1-Incomes'!$II24</f>
        <v>2.4538345227935843E-2</v>
      </c>
      <c r="IN22" s="59">
        <f>'C1-Incomes'!IO24/'C1-Incomes'!$II24</f>
        <v>8.4682757519860766E-3</v>
      </c>
      <c r="IQ22" s="59">
        <f>'C1-Incomes'!IR24/'C1-Incomes'!$IQ24</f>
        <v>0.267905210690845</v>
      </c>
      <c r="IR22" s="59">
        <f>'C1-Incomes'!IS24/'C1-Incomes'!$IQ24</f>
        <v>0.17716920931992516</v>
      </c>
      <c r="IS22" s="59">
        <f>'C1-Incomes'!IT24/'C1-Incomes'!$IQ24</f>
        <v>7.4950024064194445E-2</v>
      </c>
      <c r="IT22" s="59">
        <f>'C1-Incomes'!IU24/'C1-Incomes'!$IQ24</f>
        <v>5.3128211864305969E-2</v>
      </c>
      <c r="IU22" s="59">
        <f>'C1-Incomes'!IV24/'C1-Incomes'!$IQ24</f>
        <v>2.4374850711983871E-2</v>
      </c>
      <c r="IV22" s="59">
        <f>'C1-Incomes'!IW24/'C1-Incomes'!$IQ24</f>
        <v>8.4077509509359345E-3</v>
      </c>
      <c r="IY22" s="59">
        <f>'C1-Incomes'!IZ24/'C1-Incomes'!$IY24</f>
        <v>0.24958783398605794</v>
      </c>
      <c r="IZ22" s="59">
        <f>'C1-Incomes'!JA24/'C1-Incomes'!$IY24</f>
        <v>0.16348214989320883</v>
      </c>
      <c r="JA22" s="59">
        <f>'C1-Incomes'!JB24/'C1-Incomes'!$IY24</f>
        <v>6.8293424459802965E-2</v>
      </c>
      <c r="JB22" s="59">
        <f>'C1-Incomes'!JC24/'C1-Incomes'!$IY24</f>
        <v>4.8175798542284855E-2</v>
      </c>
      <c r="JC22" s="59">
        <f>'C1-Incomes'!JD24/'C1-Incomes'!$IY24</f>
        <v>2.1982422965175181E-2</v>
      </c>
      <c r="JD22" s="59">
        <f>'C1-Incomes'!JE24/'C1-Incomes'!$IY24</f>
        <v>7.5596534670179282E-3</v>
      </c>
      <c r="JE22" s="197"/>
      <c r="JF22" s="197"/>
      <c r="JG22" s="197"/>
      <c r="JH22" s="197"/>
      <c r="JI22" s="197"/>
      <c r="JJ22" s="197"/>
      <c r="JK22" s="197"/>
      <c r="JL22" s="197"/>
      <c r="JM22" s="197"/>
      <c r="JN22" s="197"/>
      <c r="JO22" s="197"/>
      <c r="JP22" s="197"/>
      <c r="JQ22" s="197"/>
      <c r="JR22" s="197"/>
      <c r="JS22" s="197"/>
      <c r="JT22" s="197"/>
      <c r="JU22" s="197"/>
      <c r="JV22" s="197"/>
      <c r="JW22" s="197"/>
      <c r="JX22" s="197"/>
      <c r="JY22" s="197"/>
      <c r="JZ22" s="197"/>
      <c r="KA22" s="197"/>
      <c r="KB22" s="197"/>
      <c r="KC22" s="197"/>
      <c r="KD22" s="197"/>
      <c r="KE22" s="197"/>
      <c r="KF22" s="197"/>
      <c r="KG22" s="197"/>
      <c r="KH22" s="197"/>
      <c r="KI22" s="197"/>
      <c r="KJ22" s="197"/>
      <c r="KK22" s="197"/>
      <c r="KL22" s="197"/>
      <c r="KM22" s="197"/>
      <c r="KN22" s="197"/>
      <c r="KO22" s="197"/>
      <c r="KP22" s="197"/>
      <c r="KQ22" s="197"/>
      <c r="KR22" s="197"/>
      <c r="KS22" s="197"/>
      <c r="KT22" s="197"/>
      <c r="KU22" s="197"/>
      <c r="KV22" s="197"/>
      <c r="KW22" s="197"/>
      <c r="KX22" s="197"/>
      <c r="KY22" s="197"/>
      <c r="KZ22" s="197"/>
      <c r="LA22" s="197"/>
      <c r="LB22" s="197"/>
      <c r="LC22" s="197"/>
      <c r="LD22" s="197"/>
      <c r="LE22" s="197"/>
      <c r="LF22" s="197"/>
      <c r="LG22" s="197"/>
      <c r="LH22" s="197"/>
      <c r="LI22" s="197"/>
      <c r="LJ22" s="197"/>
      <c r="LK22" s="197"/>
      <c r="LL22" s="197"/>
      <c r="LM22" s="197"/>
      <c r="LN22" s="197"/>
      <c r="LO22" s="197"/>
      <c r="LP22" s="197"/>
      <c r="LQ22" s="197"/>
      <c r="LR22" s="197"/>
      <c r="LS22" s="197"/>
      <c r="LT22" s="197"/>
      <c r="LU22" s="197"/>
      <c r="LV22" s="197"/>
      <c r="LW22" s="197"/>
      <c r="LX22" s="197"/>
      <c r="LY22" s="197"/>
      <c r="LZ22" s="197"/>
      <c r="MA22" s="197"/>
      <c r="MB22" s="197"/>
      <c r="MC22" s="197"/>
      <c r="MD22" s="197"/>
      <c r="ME22" s="197"/>
      <c r="MF22" s="197"/>
      <c r="MG22" s="197"/>
      <c r="MH22" s="197"/>
      <c r="MI22" s="197"/>
      <c r="MJ22" s="197"/>
      <c r="MK22" s="197"/>
      <c r="ML22" s="197"/>
      <c r="MM22" s="197"/>
      <c r="MN22" s="197"/>
      <c r="MO22" s="197"/>
      <c r="MP22" s="197"/>
      <c r="MQ22" s="197"/>
      <c r="MR22" s="197"/>
      <c r="MS22" s="197"/>
      <c r="MT22" s="197"/>
      <c r="MU22" s="197"/>
      <c r="MV22" s="197"/>
      <c r="MW22" s="197"/>
      <c r="MX22" s="197"/>
      <c r="MY22" s="197"/>
      <c r="MZ22" s="197"/>
      <c r="NA22" s="197"/>
      <c r="NB22" s="197"/>
      <c r="NC22" s="197"/>
      <c r="ND22" s="197"/>
      <c r="NE22" s="197"/>
      <c r="NF22" s="197"/>
      <c r="NG22" s="197"/>
      <c r="NH22" s="197"/>
      <c r="NI22" s="197"/>
      <c r="NJ22" s="197"/>
      <c r="NK22" s="197"/>
      <c r="NL22" s="197"/>
      <c r="NM22" s="197"/>
      <c r="NN22" s="197"/>
      <c r="NO22" s="197"/>
      <c r="NP22" s="197"/>
      <c r="NQ22" s="197"/>
      <c r="NR22" s="197"/>
      <c r="NS22" s="197"/>
      <c r="NT22" s="197"/>
      <c r="NU22" s="197"/>
      <c r="NV22" s="197"/>
      <c r="NW22" s="197"/>
      <c r="NX22" s="197"/>
      <c r="NY22" s="197"/>
      <c r="NZ22" s="197"/>
      <c r="OA22" s="197"/>
      <c r="OB22" s="197"/>
      <c r="OC22" s="197"/>
      <c r="OD22" s="197"/>
      <c r="OE22" s="197"/>
      <c r="OF22" s="197"/>
      <c r="OG22" s="197"/>
      <c r="OH22" s="197"/>
      <c r="OI22" s="197"/>
      <c r="OJ22" s="197"/>
      <c r="OK22" s="197"/>
      <c r="OL22" s="197"/>
      <c r="OM22" s="197"/>
      <c r="ON22" s="197"/>
      <c r="OO22" s="197"/>
      <c r="OP22" s="197"/>
      <c r="OQ22" s="197"/>
      <c r="OR22" s="197"/>
      <c r="OS22" s="197"/>
      <c r="OT22" s="197"/>
      <c r="OU22" s="197"/>
      <c r="OV22" s="197"/>
      <c r="OW22" s="197"/>
      <c r="OX22" s="197"/>
      <c r="OY22" s="197"/>
      <c r="OZ22" s="197"/>
      <c r="PA22" s="197"/>
      <c r="PB22" s="197"/>
    </row>
    <row r="23" spans="1:418" s="77" customFormat="1" ht="10.5" customHeight="1" x14ac:dyDescent="0.2">
      <c r="A23" s="48">
        <v>1977</v>
      </c>
      <c r="B23" s="59">
        <f>'C1-Incomes'!C25/'C1-Incomes'!$B25</f>
        <v>0.32625936617618856</v>
      </c>
      <c r="C23" s="59">
        <f>'C1-Incomes'!D25/'C1-Incomes'!$B25</f>
        <v>0.21014721540882772</v>
      </c>
      <c r="D23" s="59">
        <f>'C1-Incomes'!E25/'C1-Incomes'!$B25</f>
        <v>7.968447611744002E-2</v>
      </c>
      <c r="E23" s="59">
        <f>'C1-Incomes'!F25/'C1-Incomes'!$B25</f>
        <v>5.2791602227358222E-2</v>
      </c>
      <c r="F23" s="59">
        <f>'C1-Incomes'!G25/'C1-Incomes'!$B25</f>
        <v>2.0368495370909068E-2</v>
      </c>
      <c r="G23" s="59">
        <f>'C1-Incomes'!H25/'C1-Incomes'!$B25</f>
        <v>5.6204694602021528E-3</v>
      </c>
      <c r="H23" s="199"/>
      <c r="J23" s="59">
        <f>'C1-Incomes'!K25/'C1-Incomes'!$J25</f>
        <v>0.3187585100112324</v>
      </c>
      <c r="K23" s="59">
        <f>'C1-Incomes'!L25/'C1-Incomes'!$J25</f>
        <v>0.21549669425106396</v>
      </c>
      <c r="L23" s="59">
        <f>'C1-Incomes'!M25/'C1-Incomes'!$J25</f>
        <v>9.4899274095405453E-2</v>
      </c>
      <c r="M23" s="59">
        <f>'C1-Incomes'!N25/'C1-Incomes'!$J25</f>
        <v>6.841731136205513E-2</v>
      </c>
      <c r="N23" s="59">
        <f>'C1-Incomes'!O25/'C1-Incomes'!$J25</f>
        <v>3.251375566468636E-2</v>
      </c>
      <c r="O23" s="59">
        <f>'C1-Incomes'!P25/'C1-Incomes'!$J25</f>
        <v>1.1454569778084426E-2</v>
      </c>
      <c r="P23" s="59"/>
      <c r="R23" s="59">
        <f>'C1-Incomes'!S25/'C1-Incomes'!$R25</f>
        <v>0.29340956957570741</v>
      </c>
      <c r="S23" s="59">
        <f>'C1-Incomes'!T25/'C1-Incomes'!$R25</f>
        <v>0.19798216059016543</v>
      </c>
      <c r="T23" s="59">
        <f>'C1-Incomes'!U25/'C1-Incomes'!$R25</f>
        <v>8.6809827305294684E-2</v>
      </c>
      <c r="U23" s="59">
        <f>'C1-Incomes'!V25/'C1-Incomes'!$R25</f>
        <v>6.2401222241297162E-2</v>
      </c>
      <c r="V23" s="59">
        <f>'C1-Incomes'!W25/'C1-Incomes'!$R25</f>
        <v>2.9550757740439648E-2</v>
      </c>
      <c r="W23" s="59">
        <f>'C1-Incomes'!X25/'C1-Incomes'!$R25</f>
        <v>1.0384463074393833E-2</v>
      </c>
      <c r="X23" s="59"/>
      <c r="Y23" s="59"/>
      <c r="Z23" s="59">
        <f>'C1-Incomes'!AA25/'C1-Incomes'!$Z25</f>
        <v>0.25148188580481168</v>
      </c>
      <c r="AA23" s="59">
        <f>'C1-Incomes'!AB25/'C1-Incomes'!$Z25</f>
        <v>0.16647696421348473</v>
      </c>
      <c r="AB23" s="59">
        <f>'C1-Incomes'!AC25/'C1-Incomes'!$Z25</f>
        <v>7.1347738673522759E-2</v>
      </c>
      <c r="AC23" s="59">
        <f>'C1-Incomes'!AD25/'C1-Incomes'!$Z25</f>
        <v>5.0842271804423793E-2</v>
      </c>
      <c r="AD23" s="59">
        <f>'C1-Incomes'!AE25/'C1-Incomes'!$Z25</f>
        <v>2.3624604353716144E-2</v>
      </c>
      <c r="AE23" s="59">
        <f>'C1-Incomes'!AF25/'C1-Incomes'!$Z25</f>
        <v>8.1509308049695691E-3</v>
      </c>
      <c r="AF23" s="200"/>
      <c r="AG23" s="195"/>
      <c r="AH23" s="59">
        <f>'C1-Incomes'!AI25/'C1-Incomes'!$AH25</f>
        <v>0.3248875631390768</v>
      </c>
      <c r="AI23" s="59">
        <f>'C1-Incomes'!AJ25/'C1-Incomes'!$AH25</f>
        <v>0.20869949599270821</v>
      </c>
      <c r="AJ23" s="59">
        <f>'C1-Incomes'!AK25/'C1-Incomes'!$AH25</f>
        <v>7.8866218058582863E-2</v>
      </c>
      <c r="AK23" s="59">
        <f>'C1-Incomes'!AL25/'C1-Incomes'!$AH25</f>
        <v>5.2220364067136441E-2</v>
      </c>
      <c r="AL23" s="59">
        <f>'C1-Incomes'!AM25/'C1-Incomes'!$AH25</f>
        <v>2.0144696148548389E-2</v>
      </c>
      <c r="AM23" s="59">
        <f>'C1-Incomes'!AN25/'C1-Incomes'!$AH25</f>
        <v>5.5625382529457309E-3</v>
      </c>
      <c r="AN23" s="195"/>
      <c r="AO23" s="195"/>
      <c r="AP23" s="59">
        <f>'C1-Incomes'!AQ25/'C1-Incomes'!$AP25</f>
        <v>0.32605697584771309</v>
      </c>
      <c r="AQ23" s="59">
        <f>'C1-Incomes'!AR25/'C1-Incomes'!$AP25</f>
        <v>0.21028986216944498</v>
      </c>
      <c r="AR23" s="59">
        <f>'C1-Incomes'!AS25/'C1-Incomes'!$AP25</f>
        <v>8.0754446531314278E-2</v>
      </c>
      <c r="AS23" s="59">
        <f>'C1-Incomes'!AT25/'C1-Incomes'!$AP25</f>
        <v>5.3850291774444017E-2</v>
      </c>
      <c r="AT23" s="59">
        <f>'C1-Incomes'!AU25/'C1-Incomes'!$AP25</f>
        <v>2.1039133151105335E-2</v>
      </c>
      <c r="AU23" s="59">
        <f>'C1-Incomes'!AV25/'C1-Incomes'!$AP25</f>
        <v>5.8703389425701644E-3</v>
      </c>
      <c r="AV23" s="197"/>
      <c r="AW23" s="60"/>
      <c r="AX23" s="59">
        <f>'C1-Incomes'!AY25/'C1-Incomes'!$AX25</f>
        <v>0.32954745549333864</v>
      </c>
      <c r="AY23" s="59">
        <f>'C1-Incomes'!AZ25/'C1-Incomes'!$AX25</f>
        <v>0.21415701404992901</v>
      </c>
      <c r="AZ23" s="59">
        <f>'C1-Incomes'!BA25/'C1-Incomes'!$AX25</f>
        <v>8.4297951064445181E-2</v>
      </c>
      <c r="BA23" s="59">
        <f>'C1-Incomes'!BB25/'C1-Incomes'!$AX25</f>
        <v>5.6804521153425103E-2</v>
      </c>
      <c r="BB23" s="59">
        <f>'C1-Incomes'!BC25/'C1-Incomes'!$AX25</f>
        <v>2.2767512597096973E-2</v>
      </c>
      <c r="BC23" s="59">
        <f>'C1-Incomes'!BD25/'C1-Incomes'!$AX25</f>
        <v>6.4407872457695496E-3</v>
      </c>
      <c r="BD23" s="60"/>
      <c r="BE23" s="60"/>
      <c r="BF23" s="59">
        <f>'C1-Incomes'!BG25/'C1-Incomes'!$BF25</f>
        <v>0.32757242120188185</v>
      </c>
      <c r="BG23" s="59">
        <f>'C1-Incomes'!BH25/'C1-Incomes'!$BF25</f>
        <v>0.2125655490322981</v>
      </c>
      <c r="BH23" s="59">
        <f>'C1-Incomes'!BI25/'C1-Incomes'!$BF25</f>
        <v>8.3595187552851308E-2</v>
      </c>
      <c r="BI23" s="59">
        <f>'C1-Incomes'!BJ25/'C1-Incomes'!$BF25</f>
        <v>5.6463921626359818E-2</v>
      </c>
      <c r="BJ23" s="59">
        <f>'C1-Incomes'!BK25/'C1-Incomes'!$BF25</f>
        <v>2.2749886121868408E-2</v>
      </c>
      <c r="BK23" s="59">
        <f>'C1-Incomes'!BL25/'C1-Incomes'!$BF25</f>
        <v>6.4582628023601499E-3</v>
      </c>
      <c r="BL23" s="59"/>
      <c r="BM23" s="59"/>
      <c r="BN23" s="59">
        <f>'C1-Incomes'!BO25/'C1-Incomes'!$BN25</f>
        <v>0.29707185292930194</v>
      </c>
      <c r="BO23" s="59">
        <f>'C1-Incomes'!BP25/'C1-Incomes'!$BN25</f>
        <v>0.19240881205585925</v>
      </c>
      <c r="BP23" s="59">
        <f>'C1-Incomes'!BQ25/'C1-Incomes'!$BN25</f>
        <v>7.4266218805855419E-2</v>
      </c>
      <c r="BQ23" s="59">
        <f>'C1-Incomes'!BR25/'C1-Incomes'!$BN25</f>
        <v>5.044649960801427E-2</v>
      </c>
      <c r="BR23" s="59">
        <f>'C1-Incomes'!BS25/'C1-Incomes'!$BN25</f>
        <v>2.1204064374106001E-2</v>
      </c>
      <c r="BS23" s="59">
        <f>'C1-Incomes'!BT25/'C1-Incomes'!$BN25</f>
        <v>6.3639953211932013E-3</v>
      </c>
      <c r="BT23" s="59"/>
      <c r="BU23" s="59"/>
      <c r="BV23" s="59">
        <f>'C1-Incomes'!BW25/'C1-Incomes'!$BV25</f>
        <v>0.30010042795827829</v>
      </c>
      <c r="BW23" s="59">
        <f>'C1-Incomes'!BX25/'C1-Incomes'!$BV25</f>
        <v>0.19559639987699512</v>
      </c>
      <c r="BX23" s="59">
        <f>'C1-Incomes'!BY25/'C1-Incomes'!$BV25</f>
        <v>7.6882434532392352E-2</v>
      </c>
      <c r="BY23" s="59">
        <f>'C1-Incomes'!BZ25/'C1-Incomes'!$BV25</f>
        <v>5.2630972027032666E-2</v>
      </c>
      <c r="BZ23" s="59">
        <f>'C1-Incomes'!CA25/'C1-Incomes'!$BV25</f>
        <v>2.2590724952290055E-2</v>
      </c>
      <c r="CA23" s="59">
        <f>'C1-Incomes'!CB25/'C1-Incomes'!$BV25</f>
        <v>6.9499284615317574E-3</v>
      </c>
      <c r="CB23" s="60"/>
      <c r="CC23" s="198"/>
      <c r="CD23" s="59">
        <f>'C1-Incomes'!CE25/'C1-Incomes'!$CD25</f>
        <v>0.32094761089300655</v>
      </c>
      <c r="CE23" s="59">
        <f>'C1-Incomes'!CF25/'C1-Incomes'!$CD25</f>
        <v>0.21791536884481713</v>
      </c>
      <c r="CF23" s="59">
        <f>'C1-Incomes'!CG25/'C1-Incomes'!$CD25</f>
        <v>9.6367770337470349E-2</v>
      </c>
      <c r="CG23" s="59">
        <f>'C1-Incomes'!CH25/'C1-Incomes'!$CD25</f>
        <v>6.9475021088165528E-2</v>
      </c>
      <c r="CH23" s="59">
        <f>'C1-Incomes'!CI25/'C1-Incomes'!$CD25</f>
        <v>3.2855210328684048E-2</v>
      </c>
      <c r="CI23" s="59">
        <f>'C1-Incomes'!CJ25/'C1-Incomes'!$CD25</f>
        <v>1.1382921845187225E-2</v>
      </c>
      <c r="CL23" s="59">
        <f>'C1-Incomes'!CM25/'C1-Incomes'!$CL25</f>
        <v>0.32626481016313225</v>
      </c>
      <c r="CM23" s="59">
        <f>'C1-Incomes'!CN25/'C1-Incomes'!$CL25</f>
        <v>0.22334143423056177</v>
      </c>
      <c r="CN23" s="59">
        <f>'C1-Incomes'!CO25/'C1-Incomes'!$CL25</f>
        <v>0.10074906513857911</v>
      </c>
      <c r="CO23" s="59">
        <f>'C1-Incomes'!CP25/'C1-Incomes'!$CL25</f>
        <v>7.3264752567279476E-2</v>
      </c>
      <c r="CP23" s="59">
        <f>'C1-Incomes'!CQ25/'C1-Incomes'!$CL25</f>
        <v>3.5212644964892625E-2</v>
      </c>
      <c r="CQ23" s="59">
        <f>'C1-Incomes'!CR25/'C1-Incomes'!$CL25</f>
        <v>1.2344815252730389E-2</v>
      </c>
      <c r="CR23" s="59"/>
      <c r="CS23" s="59"/>
      <c r="CT23" s="59">
        <f>'C1-Incomes'!CU25/'C1-Incomes'!$CT25</f>
        <v>0.32953985612241976</v>
      </c>
      <c r="CU23" s="59">
        <f>'C1-Incomes'!CV25/'C1-Incomes'!$CT25</f>
        <v>0.2266189505514693</v>
      </c>
      <c r="CV23" s="59">
        <f>'C1-Incomes'!CW25/'C1-Incomes'!$CT25</f>
        <v>0.10299643396324357</v>
      </c>
      <c r="CW23" s="59">
        <f>'C1-Incomes'!CX25/'C1-Incomes'!$CT25</f>
        <v>7.500637286836806E-2</v>
      </c>
      <c r="CX23" s="59">
        <f>'C1-Incomes'!CY25/'C1-Incomes'!$CT25</f>
        <v>3.6076336473154967E-2</v>
      </c>
      <c r="CY23" s="59">
        <f>'C1-Incomes'!CZ25/'C1-Incomes'!$CT25</f>
        <v>1.2681431192269095E-2</v>
      </c>
      <c r="CZ23" s="59"/>
      <c r="DA23" s="59"/>
      <c r="DB23" s="59">
        <f>'C1-Incomes'!DC25/'C1-Incomes'!$DB25</f>
        <v>0.3357107316866213</v>
      </c>
      <c r="DC23" s="59">
        <f>'C1-Incomes'!DD25/'C1-Incomes'!$DB25</f>
        <v>0.23283102600655819</v>
      </c>
      <c r="DD23" s="59">
        <f>'C1-Incomes'!DE25/'C1-Incomes'!$DB25</f>
        <v>0.10756560631928994</v>
      </c>
      <c r="DE23" s="59">
        <f>'C1-Incomes'!DF25/'C1-Incomes'!$DB25</f>
        <v>7.8846086424686213E-2</v>
      </c>
      <c r="DF23" s="59">
        <f>'C1-Incomes'!DG25/'C1-Incomes'!$DB25</f>
        <v>3.843259915103274E-2</v>
      </c>
      <c r="DG23" s="59">
        <f>'C1-Incomes'!DH25/'C1-Incomes'!$DB25</f>
        <v>1.3677937344811143E-2</v>
      </c>
      <c r="DH23" s="59"/>
      <c r="DI23" s="1039"/>
      <c r="DJ23" s="59">
        <f>'C1-Incomes'!DK25/'C1-Incomes'!$DJ25</f>
        <v>0.33756961039054839</v>
      </c>
      <c r="DK23" s="59">
        <f>'C1-Incomes'!DL25/'C1-Incomes'!$DJ25</f>
        <v>0.23539848033466246</v>
      </c>
      <c r="DL23" s="59">
        <f>'C1-Incomes'!DM25/'C1-Incomes'!$DJ25</f>
        <v>0.10972467912700008</v>
      </c>
      <c r="DM23" s="59">
        <f>'C1-Incomes'!DN25/'C1-Incomes'!$DJ25</f>
        <v>8.0053719489413644E-2</v>
      </c>
      <c r="DN23" s="59">
        <f>'C1-Incomes'!DO25/'C1-Incomes'!$DJ25</f>
        <v>3.8679369986247748E-2</v>
      </c>
      <c r="DO23" s="59">
        <f>'C1-Incomes'!DP25/'C1-Incomes'!$DJ25</f>
        <v>1.3792553553400875E-2</v>
      </c>
      <c r="DP23" s="696"/>
      <c r="DQ23" s="503"/>
      <c r="DR23" s="59">
        <f>'C1-Incomes'!DS25/'C1-Incomes'!$DR25</f>
        <v>0.33644464393005347</v>
      </c>
      <c r="DS23" s="59">
        <f>'C1-Incomes'!DT25/'C1-Incomes'!$DR25</f>
        <v>0.23363199579779612</v>
      </c>
      <c r="DT23" s="59">
        <f>'C1-Incomes'!DU25/'C1-Incomes'!$DR25</f>
        <v>0.10797046098002407</v>
      </c>
      <c r="DU23" s="59">
        <f>'C1-Incomes'!DV25/'C1-Incomes'!$DR25</f>
        <v>7.8635741680685795E-2</v>
      </c>
      <c r="DV23" s="59">
        <f>'C1-Incomes'!DW25/'C1-Incomes'!$DR25</f>
        <v>3.7873939898723487E-2</v>
      </c>
      <c r="DW23" s="59">
        <f>'C1-Incomes'!DX25/'C1-Incomes'!$DR25</f>
        <v>1.345950912667012E-2</v>
      </c>
      <c r="DX23" s="333"/>
      <c r="DZ23" s="59">
        <f>'C1-Incomes'!EA25/'C1-Incomes'!$DZ25</f>
        <v>0.32980383535367613</v>
      </c>
      <c r="EA23" s="59">
        <f>'C1-Incomes'!EB25/'C1-Incomes'!$DZ25</f>
        <v>0.22736020111591884</v>
      </c>
      <c r="EB23" s="59">
        <f>'C1-Incomes'!EC25/'C1-Incomes'!$DZ25</f>
        <v>0.10419416978542516</v>
      </c>
      <c r="EC23" s="59">
        <f>'C1-Incomes'!ED25/'C1-Incomes'!$DZ25</f>
        <v>7.5783141521826025E-2</v>
      </c>
      <c r="ED23" s="59">
        <f>'C1-Incomes'!EE25/'C1-Incomes'!$DZ25</f>
        <v>3.6437604686481335E-2</v>
      </c>
      <c r="EE23" s="59">
        <f>'C1-Incomes'!EF25/'C1-Incomes'!$DZ25</f>
        <v>1.2938292868504252E-2</v>
      </c>
      <c r="EF23" s="59"/>
      <c r="EH23" s="59">
        <f>'C1-Incomes'!EI25/'C1-Incomes'!$EH25</f>
        <v>0.32688460613388037</v>
      </c>
      <c r="EI23" s="59">
        <f>'C1-Incomes'!EJ25/'C1-Incomes'!$EH25</f>
        <v>0.22375316827736749</v>
      </c>
      <c r="EJ23" s="59">
        <f>'C1-Incomes'!EK25/'C1-Incomes'!$EH25</f>
        <v>0.10119709014379631</v>
      </c>
      <c r="EK23" s="59">
        <f>'C1-Incomes'!EL25/'C1-Incomes'!$EH25</f>
        <v>7.3419141829631121E-2</v>
      </c>
      <c r="EL23" s="59">
        <f>'C1-Incomes'!EM25/'C1-Incomes'!$EH25</f>
        <v>3.5233028974223528E-2</v>
      </c>
      <c r="EM23" s="59">
        <f>'C1-Incomes'!EN25/'C1-Incomes'!$EH25</f>
        <v>1.2499823592260911E-2</v>
      </c>
      <c r="EN23" s="59"/>
      <c r="EO23" s="59"/>
      <c r="EP23" s="59">
        <f>'C1-Incomes'!EQ25/'C1-Incomes'!$EH25</f>
        <v>0.33745293086451611</v>
      </c>
      <c r="EQ23" s="59">
        <f>'C1-Incomes'!ER25/'C1-Incomes'!$EH25</f>
        <v>0.22962984129289193</v>
      </c>
      <c r="ER23" s="59">
        <f>'C1-Incomes'!ES25/'C1-Incomes'!$EH25</f>
        <v>0.10261455072852926</v>
      </c>
      <c r="ES23" s="59">
        <f>'C1-Incomes'!ET25/'C1-Incomes'!$EH25</f>
        <v>7.4250421824048909E-2</v>
      </c>
      <c r="ET23" s="59">
        <f>'C1-Incomes'!EU25/'C1-Incomes'!$EH25</f>
        <v>3.5499608707562046E-2</v>
      </c>
      <c r="EU23" s="59">
        <f>'C1-Incomes'!EV25/'C1-Incomes'!$EH25</f>
        <v>1.2538295767350499E-2</v>
      </c>
      <c r="EV23" s="59"/>
      <c r="EW23" s="59"/>
      <c r="EX23" s="59">
        <f>'C1-Incomes'!EY25/'C1-Incomes'!$EX25</f>
        <v>0.3187585100112324</v>
      </c>
      <c r="EY23" s="59">
        <f>'C1-Incomes'!EZ25/'C1-Incomes'!$EX25</f>
        <v>0.21549669425106396</v>
      </c>
      <c r="EZ23" s="59">
        <f>'C1-Incomes'!FA25/'C1-Incomes'!$EX25</f>
        <v>9.4899274095405453E-2</v>
      </c>
      <c r="FA23" s="59">
        <f>'C1-Incomes'!FB25/'C1-Incomes'!$EX25</f>
        <v>6.841731136205513E-2</v>
      </c>
      <c r="FB23" s="59">
        <f>'C1-Incomes'!FC25/'C1-Incomes'!$EX25</f>
        <v>3.251375566468636E-2</v>
      </c>
      <c r="FC23" s="59">
        <f>'C1-Incomes'!FD25/'C1-Incomes'!$EX25</f>
        <v>1.1454569778084426E-2</v>
      </c>
      <c r="FD23" s="59"/>
      <c r="FF23" s="59">
        <f>'C1-Incomes'!FG25/'C1-Incomes'!$FF25</f>
        <v>0.30714380352929899</v>
      </c>
      <c r="FG23" s="59">
        <f>'C1-Incomes'!FH25/'C1-Incomes'!$FF25</f>
        <v>0.20751445776696059</v>
      </c>
      <c r="FH23" s="59">
        <f>'C1-Incomes'!FI25/'C1-Incomes'!$FF25</f>
        <v>9.1162163208599142E-2</v>
      </c>
      <c r="FI23" s="59">
        <f>'C1-Incomes'!FJ25/'C1-Incomes'!$FF25</f>
        <v>6.5594502343805636E-2</v>
      </c>
      <c r="FJ23" s="59">
        <f>'C1-Incomes'!FK25/'C1-Incomes'!$FF25</f>
        <v>3.1068657786142498E-2</v>
      </c>
      <c r="FK23" s="59">
        <f>'C1-Incomes'!FL25/'C1-Incomes'!$FF25</f>
        <v>1.0933336905216926E-2</v>
      </c>
      <c r="FN23" s="59">
        <f>'C1-Incomes'!FO25/'C1-Incomes'!$FN25</f>
        <v>0.3051709055649347</v>
      </c>
      <c r="FO23" s="59">
        <f>'C1-Incomes'!FP25/'C1-Incomes'!$FN25</f>
        <v>0.20611281892806788</v>
      </c>
      <c r="FP23" s="59">
        <f>'C1-Incomes'!FQ25/'C1-Incomes'!$FN25</f>
        <v>9.0535500653765116E-2</v>
      </c>
      <c r="FQ23" s="59">
        <f>'C1-Incomes'!FR25/'C1-Incomes'!$FN25</f>
        <v>6.5141926964249156E-2</v>
      </c>
      <c r="FR23" s="59">
        <f>'C1-Incomes'!FS25/'C1-Incomes'!$FN25</f>
        <v>3.0853907336093299E-2</v>
      </c>
      <c r="FS23" s="59">
        <f>'C1-Incomes'!FT25/'C1-Incomes'!$FN25</f>
        <v>1.0857739980291778E-2</v>
      </c>
      <c r="FV23" s="59">
        <f>'C1-Incomes'!FW25/'C1-Incomes'!$FV25</f>
        <v>0.30048572978873855</v>
      </c>
      <c r="FW23" s="59">
        <f>'C1-Incomes'!FX25/'C1-Incomes'!$FV25</f>
        <v>0.20282762349867145</v>
      </c>
      <c r="FX23" s="59">
        <f>'C1-Incomes'!FY25/'C1-Incomes'!$FV25</f>
        <v>8.9010069387910978E-2</v>
      </c>
      <c r="FY23" s="59">
        <f>'C1-Incomes'!FZ25/'C1-Incomes'!$FV25</f>
        <v>6.4029230562148404E-2</v>
      </c>
      <c r="FZ23" s="59">
        <f>'C1-Incomes'!GA25/'C1-Incomes'!$FV25</f>
        <v>3.0317463736794899E-2</v>
      </c>
      <c r="GA23" s="59">
        <f>'C1-Incomes'!GB25/'C1-Incomes'!$FV25</f>
        <v>1.0667225911630159E-2</v>
      </c>
      <c r="GE23" s="59">
        <f>'C1-Incomes'!GF25/'C1-Incomes'!$GE25</f>
        <v>0.29839710803690667</v>
      </c>
      <c r="GF23" s="59">
        <f>'C1-Incomes'!GG25/'C1-Incomes'!$GE25</f>
        <v>0.20134757107082119</v>
      </c>
      <c r="GG23" s="59">
        <f>'C1-Incomes'!GH25/'C1-Incomes'!$GE25</f>
        <v>8.8285468856868235E-2</v>
      </c>
      <c r="GH23" s="59">
        <f>'C1-Incomes'!GI25/'C1-Incomes'!$GE25</f>
        <v>6.3461952797578519E-2</v>
      </c>
      <c r="GI23" s="59">
        <f>'C1-Incomes'!GJ25/'C1-Incomes'!$GE25</f>
        <v>3.0053077896531197E-2</v>
      </c>
      <c r="GJ23" s="59">
        <f>'C1-Incomes'!GK25/'C1-Incomes'!$GE25</f>
        <v>1.0560983932446756E-2</v>
      </c>
      <c r="GM23" s="59">
        <f>'C1-Incomes'!GN25/'C1-Incomes'!$GM25</f>
        <v>0.29340956957570741</v>
      </c>
      <c r="GN23" s="59">
        <f>'C1-Incomes'!GO25/'C1-Incomes'!$GM25</f>
        <v>0.19798216059016543</v>
      </c>
      <c r="GO23" s="59">
        <f>'C1-Incomes'!GP25/'C1-Incomes'!$GM25</f>
        <v>8.6809827305294684E-2</v>
      </c>
      <c r="GP23" s="59">
        <f>'C1-Incomes'!GQ25/'C1-Incomes'!$GM25</f>
        <v>6.2401222241297162E-2</v>
      </c>
      <c r="GQ23" s="59">
        <f>'C1-Incomes'!GR25/'C1-Incomes'!$GM25</f>
        <v>2.9550757740439648E-2</v>
      </c>
      <c r="GR23" s="59">
        <f>'C1-Incomes'!GS25/'C1-Incomes'!$GM25</f>
        <v>1.0384463074393833E-2</v>
      </c>
      <c r="GU23" s="59">
        <f>'C1-Incomes'!GV25/'C1-Incomes'!$GU25</f>
        <v>0.27421842274233249</v>
      </c>
      <c r="GV23" s="59">
        <f>'C1-Incomes'!GW25/'C1-Incomes'!$GU25</f>
        <v>0.18228510912829918</v>
      </c>
      <c r="GW23" s="59">
        <f>'C1-Incomes'!GX25/'C1-Incomes'!$GU25</f>
        <v>7.8608241411545821E-2</v>
      </c>
      <c r="GX23" s="59">
        <f>'C1-Incomes'!GY25/'C1-Incomes'!$GU25</f>
        <v>5.6185643773656285E-2</v>
      </c>
      <c r="GY23" s="59">
        <f>'C1-Incomes'!GZ25/'C1-Incomes'!$GU25</f>
        <v>2.6490061135837399E-2</v>
      </c>
      <c r="GZ23" s="59">
        <f>'C1-Incomes'!HA25/'C1-Incomes'!$GU25</f>
        <v>9.2103252645111839E-3</v>
      </c>
      <c r="HC23" s="59">
        <f>'C1-Incomes'!HD25/'C1-Incomes'!$HC25</f>
        <v>0.27190522834241959</v>
      </c>
      <c r="HD23" s="59">
        <f>'C1-Incomes'!HE25/'C1-Incomes'!$HC25</f>
        <v>0.18011771693120254</v>
      </c>
      <c r="HE23" s="59">
        <f>'C1-Incomes'!HF25/'C1-Incomes'!$HC25</f>
        <v>7.7554160144359757E-2</v>
      </c>
      <c r="HF23" s="59">
        <f>'C1-Incomes'!HG25/'C1-Incomes'!$HC25</f>
        <v>5.5486013493977006E-2</v>
      </c>
      <c r="HG23" s="59">
        <f>'C1-Incomes'!HH25/'C1-Incomes'!$HC25</f>
        <v>2.6124004597096514E-2</v>
      </c>
      <c r="HH23" s="59">
        <f>'C1-Incomes'!HI25/'C1-Incomes'!$HC25</f>
        <v>9.0923865718668725E-3</v>
      </c>
      <c r="HK23" s="59">
        <f>'C1-Incomes'!HL25/'C1-Incomes'!$HK25</f>
        <v>0.26675746899602881</v>
      </c>
      <c r="HL23" s="59">
        <f>'C1-Incomes'!HM25/'C1-Incomes'!$HK25</f>
        <v>0.17498706706862299</v>
      </c>
      <c r="HM23" s="59">
        <f>'C1-Incomes'!HN25/'C1-Incomes'!$HK25</f>
        <v>7.3570746194908221E-2</v>
      </c>
      <c r="HN23" s="59">
        <f>'C1-Incomes'!HO25/'C1-Incomes'!$HK25</f>
        <v>5.2080099447099154E-2</v>
      </c>
      <c r="HO23" s="59">
        <f>'C1-Incomes'!HP25/'C1-Incomes'!$HK25</f>
        <v>2.4076906479658055E-2</v>
      </c>
      <c r="HP23" s="59">
        <f>'C1-Incomes'!HQ25/'C1-Incomes'!$HK25</f>
        <v>8.2832462508584011E-3</v>
      </c>
      <c r="HS23" s="59">
        <f>'C1-Incomes'!HT25/'C1-Incomes'!$HS25</f>
        <v>0.26226200081905465</v>
      </c>
      <c r="HT23" s="59">
        <f>'C1-Incomes'!HU25/'C1-Incomes'!$HS25</f>
        <v>0.17155930185238846</v>
      </c>
      <c r="HU23" s="59">
        <f>'C1-Incomes'!HV25/'C1-Incomes'!$HS25</f>
        <v>7.1687764925470326E-2</v>
      </c>
      <c r="HV23" s="59">
        <f>'C1-Incomes'!HW25/'C1-Incomes'!$HS25</f>
        <v>5.0817842175843425E-2</v>
      </c>
      <c r="HW23" s="59">
        <f>'C1-Incomes'!HX25/'C1-Incomes'!$HS25</f>
        <v>2.3493769527643024E-2</v>
      </c>
      <c r="HX23" s="59">
        <f>'C1-Incomes'!HY25/'C1-Incomes'!$HS25</f>
        <v>8.0899466964553402E-3</v>
      </c>
      <c r="IA23" s="59">
        <f>'C1-Incomes'!IB25/'C1-Incomes'!$IA25</f>
        <v>0.26707280397040839</v>
      </c>
      <c r="IB23" s="59">
        <f>'C1-Incomes'!IC25/'C1-Incomes'!$IA25</f>
        <v>0.17721982530024952</v>
      </c>
      <c r="IC23" s="59">
        <f>'C1-Incomes'!ID25/'C1-Incomes'!$IA25</f>
        <v>7.586686910446877E-2</v>
      </c>
      <c r="ID23" s="59">
        <f>'C1-Incomes'!IE25/'C1-Incomes'!$IA25</f>
        <v>5.4017067978135935E-2</v>
      </c>
      <c r="IE23" s="59">
        <f>'C1-Incomes'!IF25/'C1-Incomes'!$IA25</f>
        <v>2.5118778491319677E-2</v>
      </c>
      <c r="IF23" s="59">
        <f>'C1-Incomes'!IG25/'C1-Incomes'!$IA25</f>
        <v>8.6565102530098414E-3</v>
      </c>
      <c r="II23" s="59">
        <f>'C1-Incomes'!IJ25/'C1-Incomes'!$II25</f>
        <v>0.26870714605318086</v>
      </c>
      <c r="IJ23" s="59">
        <f>'C1-Incomes'!IK25/'C1-Incomes'!$II25</f>
        <v>0.17931181777250765</v>
      </c>
      <c r="IK23" s="59">
        <f>'C1-Incomes'!IL25/'C1-Incomes'!$II25</f>
        <v>7.7912756782430662E-2</v>
      </c>
      <c r="IL23" s="59">
        <f>'C1-Incomes'!IM25/'C1-Incomes'!$II25</f>
        <v>5.5679131994719862E-2</v>
      </c>
      <c r="IM23" s="59">
        <f>'C1-Incomes'!IN25/'C1-Incomes'!$II25</f>
        <v>2.6018440068781689E-2</v>
      </c>
      <c r="IN23" s="59">
        <f>'C1-Incomes'!IO25/'C1-Incomes'!$II25</f>
        <v>8.9991477983853829E-3</v>
      </c>
      <c r="IQ23" s="59">
        <f>'C1-Incomes'!IR25/'C1-Incomes'!$IQ25</f>
        <v>0.26941964317692585</v>
      </c>
      <c r="IR23" s="59">
        <f>'C1-Incomes'!IS25/'C1-Incomes'!$IQ25</f>
        <v>0.17986682801686274</v>
      </c>
      <c r="IS23" s="59">
        <f>'C1-Incomes'!IT25/'C1-Incomes'!$IQ25</f>
        <v>7.822482867509585E-2</v>
      </c>
      <c r="IT23" s="59">
        <f>'C1-Incomes'!IU25/'C1-Incomes'!$IQ25</f>
        <v>5.5902428091775681E-2</v>
      </c>
      <c r="IU23" s="59">
        <f>'C1-Incomes'!IV25/'C1-Incomes'!$IQ25</f>
        <v>2.6138678168927582E-2</v>
      </c>
      <c r="IV23" s="59">
        <f>'C1-Incomes'!IW25/'C1-Incomes'!$IQ25</f>
        <v>9.0425353110411676E-3</v>
      </c>
      <c r="IY23" s="59">
        <f>'C1-Incomes'!IZ25/'C1-Incomes'!$IY25</f>
        <v>0.25148188580481168</v>
      </c>
      <c r="IZ23" s="59">
        <f>'C1-Incomes'!JA25/'C1-Incomes'!$IY25</f>
        <v>0.16647696421348473</v>
      </c>
      <c r="JA23" s="59">
        <f>'C1-Incomes'!JB25/'C1-Incomes'!$IY25</f>
        <v>7.1347738673522759E-2</v>
      </c>
      <c r="JB23" s="59">
        <f>'C1-Incomes'!JC25/'C1-Incomes'!$IY25</f>
        <v>5.0842271804423793E-2</v>
      </c>
      <c r="JC23" s="59">
        <f>'C1-Incomes'!JD25/'C1-Incomes'!$IY25</f>
        <v>2.3624604353716144E-2</v>
      </c>
      <c r="JD23" s="59">
        <f>'C1-Incomes'!JE25/'C1-Incomes'!$IY25</f>
        <v>8.1509308049695691E-3</v>
      </c>
      <c r="JE23" s="197"/>
      <c r="JF23" s="197"/>
      <c r="JG23" s="197"/>
      <c r="JH23" s="197"/>
      <c r="JI23" s="197"/>
      <c r="JJ23" s="197"/>
      <c r="JK23" s="197"/>
      <c r="JL23" s="197"/>
      <c r="JM23" s="197"/>
      <c r="JN23" s="197"/>
      <c r="JO23" s="197"/>
      <c r="JP23" s="197"/>
      <c r="JQ23" s="197"/>
      <c r="JR23" s="197"/>
      <c r="JS23" s="197"/>
      <c r="JT23" s="197"/>
      <c r="JU23" s="197"/>
      <c r="JV23" s="197"/>
      <c r="JW23" s="197"/>
      <c r="JX23" s="197"/>
      <c r="JY23" s="197"/>
      <c r="JZ23" s="197"/>
      <c r="KA23" s="197"/>
      <c r="KB23" s="197"/>
      <c r="KC23" s="197"/>
      <c r="KD23" s="197"/>
      <c r="KE23" s="197"/>
      <c r="KF23" s="197"/>
      <c r="KG23" s="197"/>
      <c r="KH23" s="197"/>
      <c r="KI23" s="197"/>
      <c r="KJ23" s="197"/>
      <c r="KK23" s="197"/>
      <c r="KL23" s="197"/>
      <c r="KM23" s="197"/>
      <c r="KN23" s="197"/>
      <c r="KO23" s="197"/>
      <c r="KP23" s="197"/>
      <c r="KQ23" s="197"/>
      <c r="KR23" s="197"/>
      <c r="KS23" s="197"/>
      <c r="KT23" s="197"/>
      <c r="KU23" s="197"/>
      <c r="KV23" s="197"/>
      <c r="KW23" s="197"/>
      <c r="KX23" s="197"/>
      <c r="KY23" s="197"/>
      <c r="KZ23" s="197"/>
      <c r="LA23" s="197"/>
      <c r="LB23" s="197"/>
      <c r="LC23" s="197"/>
      <c r="LD23" s="197"/>
      <c r="LE23" s="197"/>
      <c r="LF23" s="197"/>
      <c r="LG23" s="197"/>
      <c r="LH23" s="197"/>
      <c r="LI23" s="197"/>
      <c r="LJ23" s="197"/>
      <c r="LK23" s="197"/>
      <c r="LL23" s="197"/>
      <c r="LM23" s="197"/>
      <c r="LN23" s="197"/>
      <c r="LO23" s="197"/>
      <c r="LP23" s="197"/>
      <c r="LQ23" s="197"/>
      <c r="LR23" s="197"/>
      <c r="LS23" s="197"/>
      <c r="LT23" s="197"/>
      <c r="LU23" s="197"/>
      <c r="LV23" s="197"/>
      <c r="LW23" s="197"/>
      <c r="LX23" s="197"/>
      <c r="LY23" s="197"/>
      <c r="LZ23" s="197"/>
      <c r="MA23" s="197"/>
      <c r="MB23" s="197"/>
      <c r="MC23" s="197"/>
      <c r="MD23" s="197"/>
      <c r="ME23" s="197"/>
      <c r="MF23" s="197"/>
      <c r="MG23" s="197"/>
      <c r="MH23" s="197"/>
      <c r="MI23" s="197"/>
      <c r="MJ23" s="197"/>
      <c r="MK23" s="197"/>
      <c r="ML23" s="197"/>
      <c r="MM23" s="197"/>
      <c r="MN23" s="197"/>
      <c r="MO23" s="197"/>
      <c r="MP23" s="197"/>
      <c r="MQ23" s="197"/>
      <c r="MR23" s="197"/>
      <c r="MS23" s="197"/>
      <c r="MT23" s="197"/>
      <c r="MU23" s="197"/>
      <c r="MV23" s="197"/>
      <c r="MW23" s="197"/>
      <c r="MX23" s="197"/>
      <c r="MY23" s="197"/>
      <c r="MZ23" s="197"/>
      <c r="NA23" s="197"/>
      <c r="NB23" s="197"/>
      <c r="NC23" s="197"/>
      <c r="ND23" s="197"/>
      <c r="NE23" s="197"/>
      <c r="NF23" s="197"/>
      <c r="NG23" s="197"/>
      <c r="NH23" s="197"/>
      <c r="NI23" s="197"/>
      <c r="NJ23" s="197"/>
      <c r="NK23" s="197"/>
      <c r="NL23" s="197"/>
      <c r="NM23" s="197"/>
      <c r="NN23" s="197"/>
      <c r="NO23" s="197"/>
      <c r="NP23" s="197"/>
      <c r="NQ23" s="197"/>
      <c r="NR23" s="197"/>
      <c r="NS23" s="197"/>
      <c r="NT23" s="197"/>
      <c r="NU23" s="197"/>
      <c r="NV23" s="197"/>
      <c r="NW23" s="197"/>
      <c r="NX23" s="197"/>
      <c r="NY23" s="197"/>
      <c r="NZ23" s="197"/>
      <c r="OA23" s="197"/>
      <c r="OB23" s="197"/>
      <c r="OC23" s="197"/>
      <c r="OD23" s="197"/>
      <c r="OE23" s="197"/>
      <c r="OF23" s="197"/>
      <c r="OG23" s="197"/>
      <c r="OH23" s="197"/>
      <c r="OI23" s="197"/>
      <c r="OJ23" s="197"/>
      <c r="OK23" s="197"/>
      <c r="OL23" s="197"/>
      <c r="OM23" s="197"/>
      <c r="ON23" s="197"/>
      <c r="OO23" s="197"/>
      <c r="OP23" s="197"/>
      <c r="OQ23" s="197"/>
      <c r="OR23" s="197"/>
      <c r="OS23" s="197"/>
      <c r="OT23" s="197"/>
      <c r="OU23" s="197"/>
      <c r="OV23" s="197"/>
      <c r="OW23" s="197"/>
      <c r="OX23" s="197"/>
      <c r="OY23" s="197"/>
      <c r="OZ23" s="197"/>
      <c r="PA23" s="197"/>
      <c r="PB23" s="197"/>
    </row>
    <row r="24" spans="1:418" s="77" customFormat="1" ht="10.5" customHeight="1" x14ac:dyDescent="0.2">
      <c r="A24" s="48">
        <v>1978</v>
      </c>
      <c r="B24" s="59">
        <f>'C1-Incomes'!C26/'C1-Incomes'!$B26</f>
        <v>0.32619114315799808</v>
      </c>
      <c r="C24" s="59">
        <f>'C1-Incomes'!D26/'C1-Incomes'!$B26</f>
        <v>0.21034597810253036</v>
      </c>
      <c r="D24" s="59">
        <f>'C1-Incomes'!E26/'C1-Incomes'!$B26</f>
        <v>8.0099599392997087E-2</v>
      </c>
      <c r="E24" s="59">
        <f>'C1-Incomes'!F26/'C1-Incomes'!$B26</f>
        <v>5.3182392108197613E-2</v>
      </c>
      <c r="F24" s="59">
        <f>'C1-Incomes'!G26/'C1-Incomes'!$B26</f>
        <v>2.0689715103527663E-2</v>
      </c>
      <c r="G24" s="59">
        <f>'C1-Incomes'!H26/'C1-Incomes'!$B26</f>
        <v>5.7441703961794753E-3</v>
      </c>
      <c r="H24" s="199"/>
      <c r="J24" s="59">
        <f>'C1-Incomes'!K26/'C1-Incomes'!$J26</f>
        <v>0.31787966314069732</v>
      </c>
      <c r="K24" s="59">
        <f>'C1-Incomes'!L26/'C1-Incomes'!$J26</f>
        <v>0.21370818972812558</v>
      </c>
      <c r="L24" s="59">
        <f>'C1-Incomes'!M26/'C1-Incomes'!$J26</f>
        <v>9.3930708108198674E-2</v>
      </c>
      <c r="M24" s="59">
        <f>'C1-Incomes'!N26/'C1-Incomes'!$J26</f>
        <v>6.7772997783337202E-2</v>
      </c>
      <c r="N24" s="59">
        <f>'C1-Incomes'!O26/'C1-Incomes'!$J26</f>
        <v>3.2412746269080632E-2</v>
      </c>
      <c r="O24" s="59">
        <f>'C1-Incomes'!P26/'C1-Incomes'!$J26</f>
        <v>1.1303413431836879E-2</v>
      </c>
      <c r="P24" s="59"/>
      <c r="R24" s="59">
        <f>'C1-Incomes'!S26/'C1-Incomes'!$R26</f>
        <v>0.29367177504020514</v>
      </c>
      <c r="S24" s="59">
        <f>'C1-Incomes'!T26/'C1-Incomes'!$R26</f>
        <v>0.19710910258541658</v>
      </c>
      <c r="T24" s="59">
        <f>'C1-Incomes'!U26/'C1-Incomes'!$R26</f>
        <v>8.6304517369871839E-2</v>
      </c>
      <c r="U24" s="59">
        <f>'C1-Incomes'!V26/'C1-Incomes'!$R26</f>
        <v>6.2157157397657092E-2</v>
      </c>
      <c r="V24" s="59">
        <f>'C1-Incomes'!W26/'C1-Incomes'!$R26</f>
        <v>2.9584699348912571E-2</v>
      </c>
      <c r="W24" s="59">
        <f>'C1-Incomes'!X26/'C1-Incomes'!$R26</f>
        <v>1.0300911948913262E-2</v>
      </c>
      <c r="X24" s="59"/>
      <c r="Y24" s="59"/>
      <c r="Z24" s="59">
        <f>'C1-Incomes'!AA26/'C1-Incomes'!$Z26</f>
        <v>0.25547507731378255</v>
      </c>
      <c r="AA24" s="59">
        <f>'C1-Incomes'!AB26/'C1-Incomes'!$Z26</f>
        <v>0.16923118339042914</v>
      </c>
      <c r="AB24" s="59">
        <f>'C1-Incomes'!AC26/'C1-Incomes'!$Z26</f>
        <v>7.2830273756297539E-2</v>
      </c>
      <c r="AC24" s="59">
        <f>'C1-Incomes'!AD26/'C1-Incomes'!$Z26</f>
        <v>5.1924991158373478E-2</v>
      </c>
      <c r="AD24" s="59">
        <f>'C1-Incomes'!AE26/'C1-Incomes'!$Z26</f>
        <v>2.4500578639924504E-2</v>
      </c>
      <c r="AE24" s="59">
        <f>'C1-Incomes'!AF26/'C1-Incomes'!$Z26</f>
        <v>8.4611415041385123E-3</v>
      </c>
      <c r="AF24" s="200"/>
      <c r="AG24" s="195"/>
      <c r="AH24" s="59">
        <f>'C1-Incomes'!AI26/'C1-Incomes'!$AH26</f>
        <v>0.32485117905526484</v>
      </c>
      <c r="AI24" s="59">
        <f>'C1-Incomes'!AJ26/'C1-Incomes'!$AH26</f>
        <v>0.20890045750170821</v>
      </c>
      <c r="AJ24" s="59">
        <f>'C1-Incomes'!AK26/'C1-Incomes'!$AH26</f>
        <v>7.9285383848549079E-2</v>
      </c>
      <c r="AK24" s="59">
        <f>'C1-Incomes'!AL26/'C1-Incomes'!$AH26</f>
        <v>5.26204947193291E-2</v>
      </c>
      <c r="AL24" s="59">
        <f>'C1-Incomes'!AM26/'C1-Incomes'!$AH26</f>
        <v>2.0462462243056853E-2</v>
      </c>
      <c r="AM24" s="59">
        <f>'C1-Incomes'!AN26/'C1-Incomes'!$AH26</f>
        <v>5.6833775844794361E-3</v>
      </c>
      <c r="AN24" s="195"/>
      <c r="AO24" s="195"/>
      <c r="AP24" s="59">
        <f>'C1-Incomes'!AQ26/'C1-Incomes'!$AP26</f>
        <v>0.32612156188787189</v>
      </c>
      <c r="AQ24" s="59">
        <f>'C1-Incomes'!AR26/'C1-Incomes'!$AP26</f>
        <v>0.21067753914294363</v>
      </c>
      <c r="AR24" s="59">
        <f>'C1-Incomes'!AS26/'C1-Incomes'!$AP26</f>
        <v>8.1339244799930099E-2</v>
      </c>
      <c r="AS24" s="59">
        <f>'C1-Incomes'!AT26/'C1-Incomes'!$AP26</f>
        <v>5.4381419129512422E-2</v>
      </c>
      <c r="AT24" s="59">
        <f>'C1-Incomes'!AU26/'C1-Incomes'!$AP26</f>
        <v>2.1421011092541683E-2</v>
      </c>
      <c r="AU24" s="59">
        <f>'C1-Incomes'!AV26/'C1-Incomes'!$AP26</f>
        <v>6.0224198702462269E-3</v>
      </c>
      <c r="AV24" s="197"/>
      <c r="AW24" s="60"/>
      <c r="AX24" s="59">
        <f>'C1-Incomes'!AY26/'C1-Incomes'!$AX26</f>
        <v>0.32944558136187091</v>
      </c>
      <c r="AY24" s="59">
        <f>'C1-Incomes'!AZ26/'C1-Incomes'!$AX26</f>
        <v>0.21433374854796708</v>
      </c>
      <c r="AZ24" s="59">
        <f>'C1-Incomes'!BA26/'C1-Incomes'!$AX26</f>
        <v>8.4647070819577369E-2</v>
      </c>
      <c r="BA24" s="59">
        <f>'C1-Incomes'!BB26/'C1-Incomes'!$AX26</f>
        <v>5.7151173836088774E-2</v>
      </c>
      <c r="BB24" s="59">
        <f>'C1-Incomes'!BC26/'C1-Incomes'!$AX26</f>
        <v>2.3069439823796695E-2</v>
      </c>
      <c r="BC24" s="59">
        <f>'C1-Incomes'!BD26/'C1-Incomes'!$AX26</f>
        <v>6.5644399061284744E-3</v>
      </c>
      <c r="BD24" s="60"/>
      <c r="BE24" s="60"/>
      <c r="BF24" s="59">
        <f>'C1-Incomes'!BG26/'C1-Incomes'!$BF26</f>
        <v>0.32777915923973938</v>
      </c>
      <c r="BG24" s="59">
        <f>'C1-Incomes'!BH26/'C1-Incomes'!$BF26</f>
        <v>0.21305018637183706</v>
      </c>
      <c r="BH24" s="59">
        <f>'C1-Incomes'!BI26/'C1-Incomes'!$BF26</f>
        <v>8.4243229786982107E-2</v>
      </c>
      <c r="BI24" s="59">
        <f>'C1-Incomes'!BJ26/'C1-Incomes'!$BF26</f>
        <v>5.7009639487135354E-2</v>
      </c>
      <c r="BJ24" s="59">
        <f>'C1-Incomes'!BK26/'C1-Incomes'!$BF26</f>
        <v>2.3120578447566171E-2</v>
      </c>
      <c r="BK24" s="59">
        <f>'C1-Incomes'!BL26/'C1-Incomes'!$BF26</f>
        <v>6.5994691022026658E-3</v>
      </c>
      <c r="BL24" s="59"/>
      <c r="BM24" s="59"/>
      <c r="BN24" s="59">
        <f>'C1-Incomes'!BO26/'C1-Incomes'!$BN26</f>
        <v>0.29839633605713534</v>
      </c>
      <c r="BO24" s="59">
        <f>'C1-Incomes'!BP26/'C1-Incomes'!$BN26</f>
        <v>0.19280782551943976</v>
      </c>
      <c r="BP24" s="59">
        <f>'C1-Incomes'!BQ26/'C1-Incomes'!$BN26</f>
        <v>7.4731796052208407E-2</v>
      </c>
      <c r="BQ24" s="59">
        <f>'C1-Incomes'!BR26/'C1-Incomes'!$BN26</f>
        <v>5.1106211070722017E-2</v>
      </c>
      <c r="BR24" s="59">
        <f>'C1-Incomes'!BS26/'C1-Incomes'!$BN26</f>
        <v>2.1545077887554002E-2</v>
      </c>
      <c r="BS24" s="59">
        <f>'C1-Incomes'!BT26/'C1-Incomes'!$BN26</f>
        <v>6.4469558192768849E-3</v>
      </c>
      <c r="BT24" s="59"/>
      <c r="BU24" s="59"/>
      <c r="BV24" s="59">
        <f>'C1-Incomes'!BW26/'C1-Incomes'!$BV26</f>
        <v>0.30121914190525079</v>
      </c>
      <c r="BW24" s="59">
        <f>'C1-Incomes'!BX26/'C1-Incomes'!$BV26</f>
        <v>0.1959902405234373</v>
      </c>
      <c r="BX24" s="59">
        <f>'C1-Incomes'!BY26/'C1-Incomes'!$BV26</f>
        <v>7.7404652184791117E-2</v>
      </c>
      <c r="BY24" s="59">
        <f>'C1-Incomes'!BZ26/'C1-Incomes'!$BV26</f>
        <v>5.3476479230855536E-2</v>
      </c>
      <c r="BZ24" s="59">
        <f>'C1-Incomes'!CA26/'C1-Incomes'!$BV26</f>
        <v>2.3073278116976421E-2</v>
      </c>
      <c r="CA24" s="59">
        <f>'C1-Incomes'!CB26/'C1-Incomes'!$BV26</f>
        <v>7.1554755017860629E-3</v>
      </c>
      <c r="CB24" s="60"/>
      <c r="CC24" s="198"/>
      <c r="CD24" s="59">
        <f>'C1-Incomes'!CE26/'C1-Incomes'!$CD26</f>
        <v>0.32196264160138821</v>
      </c>
      <c r="CE24" s="59">
        <f>'C1-Incomes'!CF26/'C1-Incomes'!$CD26</f>
        <v>0.21798430488241011</v>
      </c>
      <c r="CF24" s="59">
        <f>'C1-Incomes'!CG26/'C1-Incomes'!$CD26</f>
        <v>9.6624941616537494E-2</v>
      </c>
      <c r="CG24" s="59">
        <f>'C1-Incomes'!CH26/'C1-Incomes'!$CD26</f>
        <v>6.9897872513461246E-2</v>
      </c>
      <c r="CH24" s="59">
        <f>'C1-Incomes'!CI26/'C1-Incomes'!$CD26</f>
        <v>3.3305919062500425E-2</v>
      </c>
      <c r="CI24" s="59">
        <f>'C1-Incomes'!CJ26/'C1-Incomes'!$CD26</f>
        <v>1.1544559548607678E-2</v>
      </c>
      <c r="CL24" s="59">
        <f>'C1-Incomes'!CM26/'C1-Incomes'!$CL26</f>
        <v>0.32668184937919348</v>
      </c>
      <c r="CM24" s="59">
        <f>'C1-Incomes'!CN26/'C1-Incomes'!$CL26</f>
        <v>0.22294919919254783</v>
      </c>
      <c r="CN24" s="59">
        <f>'C1-Incomes'!CO26/'C1-Incomes'!$CL26</f>
        <v>0.10063221406085618</v>
      </c>
      <c r="CO24" s="59">
        <f>'C1-Incomes'!CP26/'C1-Incomes'!$CL26</f>
        <v>7.3194097900571076E-2</v>
      </c>
      <c r="CP24" s="59">
        <f>'C1-Incomes'!CQ26/'C1-Incomes'!$CL26</f>
        <v>3.5396832985378462E-2</v>
      </c>
      <c r="CQ24" s="59">
        <f>'C1-Incomes'!CR26/'C1-Incomes'!$CL26</f>
        <v>1.2409343289575063E-2</v>
      </c>
      <c r="CR24" s="59"/>
      <c r="CS24" s="59"/>
      <c r="CT24" s="59">
        <f>'C1-Incomes'!CU26/'C1-Incomes'!$CT26</f>
        <v>0.32930727040861146</v>
      </c>
      <c r="CU24" s="59">
        <f>'C1-Incomes'!CV26/'C1-Incomes'!$CT26</f>
        <v>0.22553416835067208</v>
      </c>
      <c r="CV24" s="59">
        <f>'C1-Incomes'!CW26/'C1-Incomes'!$CT26</f>
        <v>0.10246863692549064</v>
      </c>
      <c r="CW24" s="59">
        <f>'C1-Incomes'!CX26/'C1-Incomes'!$CT26</f>
        <v>7.4605973693622485E-2</v>
      </c>
      <c r="CX24" s="59">
        <f>'C1-Incomes'!CY26/'C1-Incomes'!$CT26</f>
        <v>3.6095786461762286E-2</v>
      </c>
      <c r="CY24" s="59">
        <f>'C1-Incomes'!CZ26/'C1-Incomes'!$CT26</f>
        <v>1.2669706135421248E-2</v>
      </c>
      <c r="CZ24" s="59"/>
      <c r="DA24" s="59"/>
      <c r="DB24" s="59">
        <f>'C1-Incomes'!DC26/'C1-Incomes'!$DB26</f>
        <v>0.33501663619381938</v>
      </c>
      <c r="DC24" s="59">
        <f>'C1-Incomes'!DD26/'C1-Incomes'!$DB26</f>
        <v>0.23077851355672233</v>
      </c>
      <c r="DD24" s="59">
        <f>'C1-Incomes'!DE26/'C1-Incomes'!$DB26</f>
        <v>0.10650812180297514</v>
      </c>
      <c r="DE24" s="59">
        <f>'C1-Incomes'!DF26/'C1-Incomes'!$DB26</f>
        <v>7.7964136184968308E-2</v>
      </c>
      <c r="DF24" s="59">
        <f>'C1-Incomes'!DG26/'C1-Incomes'!$DB26</f>
        <v>3.8029770048461614E-2</v>
      </c>
      <c r="DG24" s="59">
        <f>'C1-Incomes'!DH26/'C1-Incomes'!$DB26</f>
        <v>1.3465641151110841E-2</v>
      </c>
      <c r="DH24" s="59"/>
      <c r="DI24" s="1039"/>
      <c r="DJ24" s="59">
        <f>'C1-Incomes'!DK26/'C1-Incomes'!$DJ26</f>
        <v>0.33640567206746996</v>
      </c>
      <c r="DK24" s="59">
        <f>'C1-Incomes'!DL26/'C1-Incomes'!$DJ26</f>
        <v>0.23314802565709997</v>
      </c>
      <c r="DL24" s="59">
        <f>'C1-Incomes'!DM26/'C1-Incomes'!$DJ26</f>
        <v>0.10830499311943095</v>
      </c>
      <c r="DM24" s="59">
        <f>'C1-Incomes'!DN26/'C1-Incomes'!$DJ26</f>
        <v>7.9111160731641303E-2</v>
      </c>
      <c r="DN24" s="59">
        <f>'C1-Incomes'!DO26/'C1-Incomes'!$DJ26</f>
        <v>3.8463210929350546E-2</v>
      </c>
      <c r="DO24" s="59">
        <f>'C1-Incomes'!DP26/'C1-Incomes'!$DJ26</f>
        <v>1.3555899044792553E-2</v>
      </c>
      <c r="DP24" s="696"/>
      <c r="DQ24" s="503"/>
      <c r="DR24" s="59">
        <f>'C1-Incomes'!DS26/'C1-Incomes'!$DR26</f>
        <v>0.3355011168565486</v>
      </c>
      <c r="DS24" s="59">
        <f>'C1-Incomes'!DT26/'C1-Incomes'!$DR26</f>
        <v>0.2317421878466103</v>
      </c>
      <c r="DT24" s="59">
        <f>'C1-Incomes'!DU26/'C1-Incomes'!$DR26</f>
        <v>0.10687342460159026</v>
      </c>
      <c r="DU24" s="59">
        <f>'C1-Incomes'!DV26/'C1-Incomes'!$DR26</f>
        <v>7.7939422901009733E-2</v>
      </c>
      <c r="DV24" s="59">
        <f>'C1-Incomes'!DW26/'C1-Incomes'!$DR26</f>
        <v>3.7797185557062102E-2</v>
      </c>
      <c r="DW24" s="59">
        <f>'C1-Incomes'!DX26/'C1-Incomes'!$DR26</f>
        <v>1.330320255703195E-2</v>
      </c>
      <c r="DX24" s="333"/>
      <c r="DZ24" s="59">
        <f>'C1-Incomes'!EA26/'C1-Incomes'!$DZ26</f>
        <v>0.32858289523118911</v>
      </c>
      <c r="EA24" s="59">
        <f>'C1-Incomes'!EB26/'C1-Incomes'!$DZ26</f>
        <v>0.22551034894460509</v>
      </c>
      <c r="EB24" s="59">
        <f>'C1-Incomes'!EC26/'C1-Incomes'!$DZ26</f>
        <v>0.10302297079757049</v>
      </c>
      <c r="EC24" s="59">
        <f>'C1-Incomes'!ED26/'C1-Incomes'!$DZ26</f>
        <v>7.5022491798495072E-2</v>
      </c>
      <c r="ED24" s="59">
        <f>'C1-Incomes'!EE26/'C1-Incomes'!$DZ26</f>
        <v>3.6301256224369152E-2</v>
      </c>
      <c r="EE24" s="59">
        <f>'C1-Incomes'!EF26/'C1-Incomes'!$DZ26</f>
        <v>1.2769238087860386E-2</v>
      </c>
      <c r="EF24" s="59"/>
      <c r="EH24" s="59">
        <f>'C1-Incomes'!EI26/'C1-Incomes'!$EH26</f>
        <v>0.32565411659040472</v>
      </c>
      <c r="EI24" s="59">
        <f>'C1-Incomes'!EJ26/'C1-Incomes'!$EH26</f>
        <v>0.22165802717545344</v>
      </c>
      <c r="EJ24" s="59">
        <f>'C1-Incomes'!EK26/'C1-Incomes'!$EH26</f>
        <v>9.9880057733525096E-2</v>
      </c>
      <c r="EK24" s="59">
        <f>'C1-Incomes'!EL26/'C1-Incomes'!$EH26</f>
        <v>7.256898814127323E-2</v>
      </c>
      <c r="EL24" s="59">
        <f>'C1-Incomes'!EM26/'C1-Incomes'!$EH26</f>
        <v>3.5043245477148759E-2</v>
      </c>
      <c r="EM24" s="59">
        <f>'C1-Incomes'!EN26/'C1-Incomes'!$EH26</f>
        <v>1.2316961275182487E-2</v>
      </c>
      <c r="EN24" s="59"/>
      <c r="EO24" s="59"/>
      <c r="EP24" s="59">
        <f>'C1-Incomes'!EQ26/'C1-Incomes'!$EH26</f>
        <v>0.33607624694123367</v>
      </c>
      <c r="EQ24" s="59">
        <f>'C1-Incomes'!ER26/'C1-Incomes'!$EH26</f>
        <v>0.22736551796081644</v>
      </c>
      <c r="ER24" s="59">
        <f>'C1-Incomes'!ES26/'C1-Incomes'!$EH26</f>
        <v>0.1013532314337011</v>
      </c>
      <c r="ES24" s="59">
        <f>'C1-Incomes'!ET26/'C1-Incomes'!$EH26</f>
        <v>7.3406325716094997E-2</v>
      </c>
      <c r="ET24" s="59">
        <f>'C1-Incomes'!EU26/'C1-Incomes'!$EH26</f>
        <v>3.5294218082782637E-2</v>
      </c>
      <c r="EU24" s="59">
        <f>'C1-Incomes'!EV26/'C1-Incomes'!$EH26</f>
        <v>1.2353530917308869E-2</v>
      </c>
      <c r="EV24" s="59"/>
      <c r="EW24" s="59"/>
      <c r="EX24" s="59">
        <f>'C1-Incomes'!EY26/'C1-Incomes'!$EX26</f>
        <v>0.31787966314069732</v>
      </c>
      <c r="EY24" s="59">
        <f>'C1-Incomes'!EZ26/'C1-Incomes'!$EX26</f>
        <v>0.21370818972812558</v>
      </c>
      <c r="EZ24" s="59">
        <f>'C1-Incomes'!FA26/'C1-Incomes'!$EX26</f>
        <v>9.3930708108198674E-2</v>
      </c>
      <c r="FA24" s="59">
        <f>'C1-Incomes'!FB26/'C1-Incomes'!$EX26</f>
        <v>6.7772997783337202E-2</v>
      </c>
      <c r="FB24" s="59">
        <f>'C1-Incomes'!FC26/'C1-Incomes'!$EX26</f>
        <v>3.2412746269080632E-2</v>
      </c>
      <c r="FC24" s="59">
        <f>'C1-Incomes'!FD26/'C1-Incomes'!$EX26</f>
        <v>1.1303413431836879E-2</v>
      </c>
      <c r="FD24" s="59"/>
      <c r="FF24" s="59">
        <f>'C1-Incomes'!FG26/'C1-Incomes'!$FF26</f>
        <v>0.30649898161909805</v>
      </c>
      <c r="FG24" s="59">
        <f>'C1-Incomes'!FH26/'C1-Incomes'!$FF26</f>
        <v>0.20595541536086454</v>
      </c>
      <c r="FH24" s="59">
        <f>'C1-Incomes'!FI26/'C1-Incomes'!$FF26</f>
        <v>9.0314950533124994E-2</v>
      </c>
      <c r="FI24" s="59">
        <f>'C1-Incomes'!FJ26/'C1-Incomes'!$FF26</f>
        <v>6.5062639411963719E-2</v>
      </c>
      <c r="FJ24" s="59">
        <f>'C1-Incomes'!FK26/'C1-Incomes'!$FF26</f>
        <v>3.1012191143531931E-2</v>
      </c>
      <c r="FK24" s="59">
        <f>'C1-Incomes'!FL26/'C1-Incomes'!$FF26</f>
        <v>1.080384318856552E-2</v>
      </c>
      <c r="FN24" s="59">
        <f>'C1-Incomes'!FO26/'C1-Incomes'!$FN26</f>
        <v>0.30524311829546946</v>
      </c>
      <c r="FO24" s="59">
        <f>'C1-Incomes'!FP26/'C1-Incomes'!$FN26</f>
        <v>0.20506804800627204</v>
      </c>
      <c r="FP24" s="59">
        <f>'C1-Incomes'!FQ26/'C1-Incomes'!$FN26</f>
        <v>8.9918877507231709E-2</v>
      </c>
      <c r="FQ24" s="59">
        <f>'C1-Incomes'!FR26/'C1-Incomes'!$FN26</f>
        <v>6.4776242793285532E-2</v>
      </c>
      <c r="FR24" s="59">
        <f>'C1-Incomes'!FS26/'C1-Incomes'!$FN26</f>
        <v>3.0875429563972892E-2</v>
      </c>
      <c r="FS24" s="59">
        <f>'C1-Incomes'!FT26/'C1-Incomes'!$FN26</f>
        <v>1.0756183632731682E-2</v>
      </c>
      <c r="FV24" s="59">
        <f>'C1-Incomes'!FW26/'C1-Incomes'!$FV26</f>
        <v>0.30096516227236031</v>
      </c>
      <c r="FW24" s="59">
        <f>'C1-Incomes'!FX26/'C1-Incomes'!$FV26</f>
        <v>0.20208659336632315</v>
      </c>
      <c r="FX24" s="59">
        <f>'C1-Incomes'!FY26/'C1-Incomes'!$FV26</f>
        <v>8.8536994519356357E-2</v>
      </c>
      <c r="FY24" s="59">
        <f>'C1-Incomes'!FZ26/'C1-Incomes'!$FV26</f>
        <v>6.3766973140185049E-2</v>
      </c>
      <c r="FZ24" s="59">
        <f>'C1-Incomes'!GA26/'C1-Incomes'!$FV26</f>
        <v>3.0385713967068618E-2</v>
      </c>
      <c r="GA24" s="59">
        <f>'C1-Incomes'!GB26/'C1-Incomes'!$FV26</f>
        <v>1.0584026504627109E-2</v>
      </c>
      <c r="GE24" s="59">
        <f>'C1-Incomes'!GF26/'C1-Incomes'!$GE26</f>
        <v>0.2987949235117261</v>
      </c>
      <c r="GF24" s="59">
        <f>'C1-Incomes'!GG26/'C1-Incomes'!$GE26</f>
        <v>0.20054770065121671</v>
      </c>
      <c r="GG24" s="59">
        <f>'C1-Incomes'!GH26/'C1-Incomes'!$GE26</f>
        <v>8.7810112710752924E-2</v>
      </c>
      <c r="GH24" s="59">
        <f>'C1-Incomes'!GI26/'C1-Incomes'!$GE26</f>
        <v>6.3241498396625406E-2</v>
      </c>
      <c r="GI24" s="59">
        <f>'C1-Incomes'!GJ26/'C1-Incomes'!$GE26</f>
        <v>3.0100808897503127E-2</v>
      </c>
      <c r="GJ24" s="59">
        <f>'C1-Incomes'!GK26/'C1-Incomes'!$GE26</f>
        <v>1.0480612913703365E-2</v>
      </c>
      <c r="GM24" s="59">
        <f>'C1-Incomes'!GN26/'C1-Incomes'!$GM26</f>
        <v>0.29367177504020514</v>
      </c>
      <c r="GN24" s="59">
        <f>'C1-Incomes'!GO26/'C1-Incomes'!$GM26</f>
        <v>0.19710910258541658</v>
      </c>
      <c r="GO24" s="59">
        <f>'C1-Incomes'!GP26/'C1-Incomes'!$GM26</f>
        <v>8.6304517369871839E-2</v>
      </c>
      <c r="GP24" s="59">
        <f>'C1-Incomes'!GQ26/'C1-Incomes'!$GM26</f>
        <v>6.2157157397657092E-2</v>
      </c>
      <c r="GQ24" s="59">
        <f>'C1-Incomes'!GR26/'C1-Incomes'!$GM26</f>
        <v>2.9584699348912571E-2</v>
      </c>
      <c r="GR24" s="59">
        <f>'C1-Incomes'!GS26/'C1-Incomes'!$GM26</f>
        <v>1.0300911948913262E-2</v>
      </c>
      <c r="GU24" s="59">
        <f>'C1-Incomes'!GV26/'C1-Incomes'!$GU26</f>
        <v>0.27516323387069719</v>
      </c>
      <c r="GV24" s="59">
        <f>'C1-Incomes'!GW26/'C1-Incomes'!$GU26</f>
        <v>0.18235727448597344</v>
      </c>
      <c r="GW24" s="59">
        <f>'C1-Incomes'!GX26/'C1-Incomes'!$GU26</f>
        <v>7.8510176456757536E-2</v>
      </c>
      <c r="GX24" s="59">
        <f>'C1-Incomes'!GY26/'C1-Incomes'!$GU26</f>
        <v>5.6163229943922637E-2</v>
      </c>
      <c r="GY24" s="59">
        <f>'C1-Incomes'!GZ26/'C1-Incomes'!$GU26</f>
        <v>2.6744782633213855E-2</v>
      </c>
      <c r="GZ24" s="59">
        <f>'C1-Incomes'!HA26/'C1-Incomes'!$GU26</f>
        <v>9.3322819591428376E-3</v>
      </c>
      <c r="HC24" s="59">
        <f>'C1-Incomes'!HD26/'C1-Incomes'!$HC26</f>
        <v>0.27304105256359129</v>
      </c>
      <c r="HD24" s="59">
        <f>'C1-Incomes'!HE26/'C1-Incomes'!$HC26</f>
        <v>0.18045941381203565</v>
      </c>
      <c r="HE24" s="59">
        <f>'C1-Incomes'!HF26/'C1-Incomes'!$HC26</f>
        <v>7.7494459259307785E-2</v>
      </c>
      <c r="HF24" s="59">
        <f>'C1-Incomes'!HG26/'C1-Incomes'!$HC26</f>
        <v>5.5494798176758071E-2</v>
      </c>
      <c r="HG24" s="59">
        <f>'C1-Incomes'!HH26/'C1-Incomes'!$HC26</f>
        <v>2.6427194652858983E-2</v>
      </c>
      <c r="HH24" s="59">
        <f>'C1-Incomes'!HI26/'C1-Incomes'!$HC26</f>
        <v>9.2230531864465944E-3</v>
      </c>
      <c r="HK24" s="59">
        <f>'C1-Incomes'!HL26/'C1-Incomes'!$HK26</f>
        <v>0.2682454966495697</v>
      </c>
      <c r="HL24" s="59">
        <f>'C1-Incomes'!HM26/'C1-Incomes'!$HK26</f>
        <v>0.17584406121958829</v>
      </c>
      <c r="HM24" s="59">
        <f>'C1-Incomes'!HN26/'C1-Incomes'!$HK26</f>
        <v>7.3932320314260724E-2</v>
      </c>
      <c r="HN24" s="59">
        <f>'C1-Incomes'!HO26/'C1-Incomes'!$HK26</f>
        <v>5.2436288584995591E-2</v>
      </c>
      <c r="HO24" s="59">
        <f>'C1-Incomes'!HP26/'C1-Incomes'!$HK26</f>
        <v>2.457762364207575E-2</v>
      </c>
      <c r="HP24" s="59">
        <f>'C1-Incomes'!HQ26/'C1-Incomes'!$HK26</f>
        <v>8.4666811155559279E-3</v>
      </c>
      <c r="HS24" s="59">
        <f>'C1-Incomes'!HT26/'C1-Incomes'!$HS26</f>
        <v>0.2643721825099315</v>
      </c>
      <c r="HT24" s="59">
        <f>'C1-Incomes'!HU26/'C1-Incomes'!$HS26</f>
        <v>0.17294392985521101</v>
      </c>
      <c r="HU24" s="59">
        <f>'C1-Incomes'!HV26/'C1-Incomes'!$HS26</f>
        <v>7.2309491969584999E-2</v>
      </c>
      <c r="HV24" s="59">
        <f>'C1-Incomes'!HW26/'C1-Incomes'!$HS26</f>
        <v>5.1303449193655773E-2</v>
      </c>
      <c r="HW24" s="59">
        <f>'C1-Incomes'!HX26/'C1-Incomes'!$HS26</f>
        <v>2.4065156299608401E-2</v>
      </c>
      <c r="HX24" s="59">
        <f>'C1-Incomes'!HY26/'C1-Incomes'!$HS26</f>
        <v>8.2938535916776759E-3</v>
      </c>
      <c r="IA24" s="59">
        <f>'C1-Incomes'!IB26/'C1-Incomes'!$IA26</f>
        <v>0.26949930130690147</v>
      </c>
      <c r="IB24" s="59">
        <f>'C1-Incomes'!IC26/'C1-Incomes'!$IA26</f>
        <v>0.17883703820970401</v>
      </c>
      <c r="IC24" s="59">
        <f>'C1-Incomes'!ID26/'C1-Incomes'!$IA26</f>
        <v>7.6674891128441752E-2</v>
      </c>
      <c r="ID24" s="59">
        <f>'C1-Incomes'!IE26/'C1-Incomes'!$IA26</f>
        <v>5.4665830674890281E-2</v>
      </c>
      <c r="IE24" s="59">
        <f>'C1-Incomes'!IF26/'C1-Incomes'!$IA26</f>
        <v>2.5756154483062503E-2</v>
      </c>
      <c r="IF24" s="59">
        <f>'C1-Incomes'!IG26/'C1-Incomes'!$IA26</f>
        <v>8.8996503049833375E-3</v>
      </c>
      <c r="II24" s="59">
        <f>'C1-Incomes'!IJ26/'C1-Incomes'!$II26</f>
        <v>0.271312603993765</v>
      </c>
      <c r="IJ24" s="59">
        <f>'C1-Incomes'!IK26/'C1-Incomes'!$II26</f>
        <v>0.18111819028459808</v>
      </c>
      <c r="IK24" s="59">
        <f>'C1-Incomes'!IL26/'C1-Incomes'!$II26</f>
        <v>7.8812598190260263E-2</v>
      </c>
      <c r="IL24" s="59">
        <f>'C1-Incomes'!IM26/'C1-Incomes'!$II26</f>
        <v>5.6339217836426064E-2</v>
      </c>
      <c r="IM24" s="59">
        <f>'C1-Incomes'!IN26/'C1-Incomes'!$II26</f>
        <v>2.6706633754212315E-2</v>
      </c>
      <c r="IN24" s="59">
        <f>'C1-Incomes'!IO26/'C1-Incomes'!$II26</f>
        <v>9.2434598566316396E-3</v>
      </c>
      <c r="IQ24" s="59">
        <f>'C1-Incomes'!IR26/'C1-Incomes'!$IQ26</f>
        <v>0.27308429206632384</v>
      </c>
      <c r="IR24" s="59">
        <f>'C1-Incomes'!IS26/'C1-Incomes'!$IQ26</f>
        <v>0.18245260182629139</v>
      </c>
      <c r="IS24" s="59">
        <f>'C1-Incomes'!IT26/'C1-Incomes'!$IQ26</f>
        <v>7.9548527738730751E-2</v>
      </c>
      <c r="IT24" s="59">
        <f>'C1-Incomes'!IU26/'C1-Incomes'!$IQ26</f>
        <v>5.6868212582027559E-2</v>
      </c>
      <c r="IU24" s="59">
        <f>'C1-Incomes'!IV26/'C1-Incomes'!$IQ26</f>
        <v>2.697852770193811E-2</v>
      </c>
      <c r="IV24" s="59">
        <f>'C1-Incomes'!IW26/'C1-Incomes'!$IQ26</f>
        <v>9.3362345084232155E-3</v>
      </c>
      <c r="IY24" s="59">
        <f>'C1-Incomes'!IZ26/'C1-Incomes'!$IY26</f>
        <v>0.25547507731378255</v>
      </c>
      <c r="IZ24" s="59">
        <f>'C1-Incomes'!JA26/'C1-Incomes'!$IY26</f>
        <v>0.16923118339042914</v>
      </c>
      <c r="JA24" s="59">
        <f>'C1-Incomes'!JB26/'C1-Incomes'!$IY26</f>
        <v>7.2830273756297539E-2</v>
      </c>
      <c r="JB24" s="59">
        <f>'C1-Incomes'!JC26/'C1-Incomes'!$IY26</f>
        <v>5.1924991158373478E-2</v>
      </c>
      <c r="JC24" s="59">
        <f>'C1-Incomes'!JD26/'C1-Incomes'!$IY26</f>
        <v>2.4500578639924504E-2</v>
      </c>
      <c r="JD24" s="59">
        <f>'C1-Incomes'!JE26/'C1-Incomes'!$IY26</f>
        <v>8.4611415041385123E-3</v>
      </c>
      <c r="JE24" s="197"/>
      <c r="JF24" s="197"/>
      <c r="JG24" s="197"/>
      <c r="JH24" s="197"/>
      <c r="JI24" s="197"/>
      <c r="JJ24" s="197"/>
      <c r="JK24" s="197"/>
      <c r="JL24" s="197"/>
      <c r="JM24" s="197"/>
      <c r="JN24" s="197"/>
      <c r="JO24" s="197"/>
      <c r="JP24" s="197"/>
      <c r="JQ24" s="197"/>
      <c r="JR24" s="197"/>
      <c r="JS24" s="197"/>
      <c r="JT24" s="197"/>
      <c r="JU24" s="197"/>
      <c r="JV24" s="197"/>
      <c r="JW24" s="197"/>
      <c r="JX24" s="197"/>
      <c r="JY24" s="197"/>
      <c r="JZ24" s="197"/>
      <c r="KA24" s="197"/>
      <c r="KB24" s="197"/>
      <c r="KC24" s="197"/>
      <c r="KD24" s="197"/>
      <c r="KE24" s="197"/>
      <c r="KF24" s="197"/>
      <c r="KG24" s="197"/>
      <c r="KH24" s="197"/>
      <c r="KI24" s="197"/>
      <c r="KJ24" s="197"/>
      <c r="KK24" s="197"/>
      <c r="KL24" s="197"/>
      <c r="KM24" s="197"/>
      <c r="KN24" s="197"/>
      <c r="KO24" s="197"/>
      <c r="KP24" s="197"/>
      <c r="KQ24" s="197"/>
      <c r="KR24" s="197"/>
      <c r="KS24" s="197"/>
      <c r="KT24" s="197"/>
      <c r="KU24" s="197"/>
      <c r="KV24" s="197"/>
      <c r="KW24" s="197"/>
      <c r="KX24" s="197"/>
      <c r="KY24" s="197"/>
      <c r="KZ24" s="197"/>
      <c r="LA24" s="197"/>
      <c r="LB24" s="197"/>
      <c r="LC24" s="197"/>
      <c r="LD24" s="197"/>
      <c r="LE24" s="197"/>
      <c r="LF24" s="197"/>
      <c r="LG24" s="197"/>
      <c r="LH24" s="197"/>
      <c r="LI24" s="197"/>
      <c r="LJ24" s="197"/>
      <c r="LK24" s="197"/>
      <c r="LL24" s="197"/>
      <c r="LM24" s="197"/>
      <c r="LN24" s="197"/>
      <c r="LO24" s="197"/>
      <c r="LP24" s="197"/>
      <c r="LQ24" s="197"/>
      <c r="LR24" s="197"/>
      <c r="LS24" s="197"/>
      <c r="LT24" s="197"/>
      <c r="LU24" s="197"/>
      <c r="LV24" s="197"/>
      <c r="LW24" s="197"/>
      <c r="LX24" s="197"/>
      <c r="LY24" s="197"/>
      <c r="LZ24" s="197"/>
      <c r="MA24" s="197"/>
      <c r="MB24" s="197"/>
      <c r="MC24" s="197"/>
      <c r="MD24" s="197"/>
      <c r="ME24" s="197"/>
      <c r="MF24" s="197"/>
      <c r="MG24" s="197"/>
      <c r="MH24" s="197"/>
      <c r="MI24" s="197"/>
      <c r="MJ24" s="197"/>
      <c r="MK24" s="197"/>
      <c r="ML24" s="197"/>
      <c r="MM24" s="197"/>
      <c r="MN24" s="197"/>
      <c r="MO24" s="197"/>
      <c r="MP24" s="197"/>
      <c r="MQ24" s="197"/>
      <c r="MR24" s="197"/>
      <c r="MS24" s="197"/>
      <c r="MT24" s="197"/>
      <c r="MU24" s="197"/>
      <c r="MV24" s="197"/>
      <c r="MW24" s="197"/>
      <c r="MX24" s="197"/>
      <c r="MY24" s="197"/>
      <c r="MZ24" s="197"/>
      <c r="NA24" s="197"/>
      <c r="NB24" s="197"/>
      <c r="NC24" s="197"/>
      <c r="ND24" s="197"/>
      <c r="NE24" s="197"/>
      <c r="NF24" s="197"/>
      <c r="NG24" s="197"/>
      <c r="NH24" s="197"/>
      <c r="NI24" s="197"/>
      <c r="NJ24" s="197"/>
      <c r="NK24" s="197"/>
      <c r="NL24" s="197"/>
      <c r="NM24" s="197"/>
      <c r="NN24" s="197"/>
      <c r="NO24" s="197"/>
      <c r="NP24" s="197"/>
      <c r="NQ24" s="197"/>
      <c r="NR24" s="197"/>
      <c r="NS24" s="197"/>
      <c r="NT24" s="197"/>
      <c r="NU24" s="197"/>
      <c r="NV24" s="197"/>
      <c r="NW24" s="197"/>
      <c r="NX24" s="197"/>
      <c r="NY24" s="197"/>
      <c r="NZ24" s="197"/>
      <c r="OA24" s="197"/>
      <c r="OB24" s="197"/>
      <c r="OC24" s="197"/>
      <c r="OD24" s="197"/>
      <c r="OE24" s="197"/>
      <c r="OF24" s="197"/>
      <c r="OG24" s="197"/>
      <c r="OH24" s="197"/>
      <c r="OI24" s="197"/>
      <c r="OJ24" s="197"/>
      <c r="OK24" s="197"/>
      <c r="OL24" s="197"/>
      <c r="OM24" s="197"/>
      <c r="ON24" s="197"/>
      <c r="OO24" s="197"/>
      <c r="OP24" s="197"/>
      <c r="OQ24" s="197"/>
      <c r="OR24" s="197"/>
      <c r="OS24" s="197"/>
      <c r="OT24" s="197"/>
      <c r="OU24" s="197"/>
      <c r="OV24" s="197"/>
      <c r="OW24" s="197"/>
      <c r="OX24" s="197"/>
      <c r="OY24" s="197"/>
      <c r="OZ24" s="197"/>
      <c r="PA24" s="197"/>
      <c r="PB24" s="197"/>
    </row>
    <row r="25" spans="1:418" s="77" customFormat="1" ht="10.5" customHeight="1" x14ac:dyDescent="0.2">
      <c r="A25" s="48">
        <v>1979</v>
      </c>
      <c r="B25" s="59">
        <f>'C1-Incomes'!C27/'C1-Incomes'!$B27</f>
        <v>0.32530530363743831</v>
      </c>
      <c r="C25" s="59">
        <f>'C1-Incomes'!D27/'C1-Incomes'!$B27</f>
        <v>0.21005133981489549</v>
      </c>
      <c r="D25" s="59">
        <f>'C1-Incomes'!E27/'C1-Incomes'!$B27</f>
        <v>8.0866177381523116E-2</v>
      </c>
      <c r="E25" s="59">
        <f>'C1-Incomes'!F27/'C1-Incomes'!$B27</f>
        <v>5.3962331065812393E-2</v>
      </c>
      <c r="F25" s="59">
        <f>'C1-Incomes'!G27/'C1-Incomes'!$B27</f>
        <v>2.145178907252341E-2</v>
      </c>
      <c r="G25" s="59">
        <f>'C1-Incomes'!H27/'C1-Incomes'!$B27</f>
        <v>6.0838323312326975E-3</v>
      </c>
      <c r="H25" s="199"/>
      <c r="J25" s="59">
        <f>'C1-Incomes'!K27/'C1-Incomes'!$J27</f>
        <v>0.31832863072825673</v>
      </c>
      <c r="K25" s="59">
        <f>'C1-Incomes'!L27/'C1-Incomes'!$J27</f>
        <v>0.21500927546015469</v>
      </c>
      <c r="L25" s="59">
        <f>'C1-Incomes'!M27/'C1-Incomes'!$J27</f>
        <v>9.4899986792237198E-2</v>
      </c>
      <c r="M25" s="59">
        <f>'C1-Incomes'!N27/'C1-Incomes'!$J27</f>
        <v>6.8784388788198036E-2</v>
      </c>
      <c r="N25" s="59">
        <f>'C1-Incomes'!O27/'C1-Incomes'!$J27</f>
        <v>3.3450541624270087E-2</v>
      </c>
      <c r="O25" s="59">
        <f>'C1-Incomes'!P27/'C1-Incomes'!$J27</f>
        <v>1.2061709142811787E-2</v>
      </c>
      <c r="P25" s="59"/>
      <c r="R25" s="59">
        <f>'C1-Incomes'!S27/'C1-Incomes'!$R27</f>
        <v>0.29347825318810095</v>
      </c>
      <c r="S25" s="59">
        <f>'C1-Incomes'!T27/'C1-Incomes'!$R27</f>
        <v>0.19783556456310286</v>
      </c>
      <c r="T25" s="59">
        <f>'C1-Incomes'!U27/'C1-Incomes'!$R27</f>
        <v>8.6903574030698996E-2</v>
      </c>
      <c r="U25" s="59">
        <f>'C1-Incomes'!V27/'C1-Incomes'!$R27</f>
        <v>6.2858638649782125E-2</v>
      </c>
      <c r="V25" s="59">
        <f>'C1-Incomes'!W27/'C1-Incomes'!$R27</f>
        <v>3.0464991381641746E-2</v>
      </c>
      <c r="W25" s="59">
        <f>'C1-Incomes'!X27/'C1-Incomes'!$R27</f>
        <v>1.0974110484972542E-2</v>
      </c>
      <c r="X25" s="59"/>
      <c r="Y25" s="59"/>
      <c r="Z25" s="59">
        <f>'C1-Incomes'!AA27/'C1-Incomes'!$Z27</f>
        <v>0.2538666725449617</v>
      </c>
      <c r="AA25" s="59">
        <f>'C1-Incomes'!AB27/'C1-Incomes'!$Z27</f>
        <v>0.16869082852577288</v>
      </c>
      <c r="AB25" s="59">
        <f>'C1-Incomes'!AC27/'C1-Incomes'!$Z27</f>
        <v>7.2139807023017671E-2</v>
      </c>
      <c r="AC25" s="59">
        <f>'C1-Incomes'!AD27/'C1-Incomes'!$Z27</f>
        <v>5.1516406651606304E-2</v>
      </c>
      <c r="AD25" s="59">
        <f>'C1-Incomes'!AE27/'C1-Incomes'!$Z27</f>
        <v>2.4438659610013083E-2</v>
      </c>
      <c r="AE25" s="59">
        <f>'C1-Incomes'!AF27/'C1-Incomes'!$Z27</f>
        <v>8.5857471608198049E-3</v>
      </c>
      <c r="AF25" s="200"/>
      <c r="AG25" s="195"/>
      <c r="AH25" s="59">
        <f>'C1-Incomes'!AI27/'C1-Incomes'!$AH27</f>
        <v>0.32456092393636982</v>
      </c>
      <c r="AI25" s="59">
        <f>'C1-Incomes'!AJ27/'C1-Incomes'!$AH27</f>
        <v>0.20873449617338821</v>
      </c>
      <c r="AJ25" s="59">
        <f>'C1-Incomes'!AK27/'C1-Incomes'!$AH27</f>
        <v>7.9930621197604357E-2</v>
      </c>
      <c r="AK25" s="59">
        <f>'C1-Incomes'!AL27/'C1-Incomes'!$AH27</f>
        <v>5.3335976506382977E-2</v>
      </c>
      <c r="AL25" s="59">
        <f>'C1-Incomes'!AM27/'C1-Incomes'!$AH27</f>
        <v>2.1220395717438341E-2</v>
      </c>
      <c r="AM25" s="59">
        <f>'C1-Incomes'!AN27/'C1-Incomes'!$AH27</f>
        <v>6.0311556841786337E-3</v>
      </c>
      <c r="AN25" s="195"/>
      <c r="AO25" s="195"/>
      <c r="AP25" s="59">
        <f>'C1-Incomes'!AQ27/'C1-Incomes'!$AP27</f>
        <v>0.32616730916315984</v>
      </c>
      <c r="AQ25" s="59">
        <f>'C1-Incomes'!AR27/'C1-Incomes'!$AP27</f>
        <v>0.21083065611965401</v>
      </c>
      <c r="AR25" s="59">
        <f>'C1-Incomes'!AS27/'C1-Incomes'!$AP27</f>
        <v>8.2319791453424954E-2</v>
      </c>
      <c r="AS25" s="59">
        <f>'C1-Incomes'!AT27/'C1-Incomes'!$AP27</f>
        <v>5.5395994981444548E-2</v>
      </c>
      <c r="AT25" s="59">
        <f>'C1-Incomes'!AU27/'C1-Incomes'!$AP27</f>
        <v>2.23609809391884E-2</v>
      </c>
      <c r="AU25" s="59">
        <f>'C1-Incomes'!AV27/'C1-Incomes'!$AP27</f>
        <v>6.4175063176235159E-3</v>
      </c>
      <c r="AV25" s="197"/>
      <c r="AW25" s="60"/>
      <c r="AX25" s="59">
        <f>'C1-Incomes'!AY27/'C1-Incomes'!$AX27</f>
        <v>0.32954119021837053</v>
      </c>
      <c r="AY25" s="59">
        <f>'C1-Incomes'!AZ27/'C1-Incomes'!$AX27</f>
        <v>0.21451540069622421</v>
      </c>
      <c r="AZ25" s="59">
        <f>'C1-Incomes'!BA27/'C1-Incomes'!$AX27</f>
        <v>8.5604078836749239E-2</v>
      </c>
      <c r="BA25" s="59">
        <f>'C1-Incomes'!BB27/'C1-Incomes'!$AX27</f>
        <v>5.8157805220869753E-2</v>
      </c>
      <c r="BB25" s="59">
        <f>'C1-Incomes'!BC27/'C1-Incomes'!$AX27</f>
        <v>2.4032571149988424E-2</v>
      </c>
      <c r="BC25" s="59">
        <f>'C1-Incomes'!BD27/'C1-Incomes'!$AX27</f>
        <v>6.9645628307884889E-3</v>
      </c>
      <c r="BD25" s="60"/>
      <c r="BE25" s="60"/>
      <c r="BF25" s="59">
        <f>'C1-Incomes'!BG27/'C1-Incomes'!$BF27</f>
        <v>0.32760099504387213</v>
      </c>
      <c r="BG25" s="59">
        <f>'C1-Incomes'!BH27/'C1-Incomes'!$BF27</f>
        <v>0.21308829641736496</v>
      </c>
      <c r="BH25" s="59">
        <f>'C1-Incomes'!BI27/'C1-Incomes'!$BF27</f>
        <v>8.5158943075727231E-2</v>
      </c>
      <c r="BI25" s="59">
        <f>'C1-Incomes'!BJ27/'C1-Incomes'!$BF27</f>
        <v>5.8023609696751945E-2</v>
      </c>
      <c r="BJ25" s="59">
        <f>'C1-Incomes'!BK27/'C1-Incomes'!$BF27</f>
        <v>2.4101201823582427E-2</v>
      </c>
      <c r="BK25" s="59">
        <f>'C1-Incomes'!BL27/'C1-Incomes'!$BF27</f>
        <v>7.0232638131866925E-3</v>
      </c>
      <c r="BL25" s="59"/>
      <c r="BM25" s="59"/>
      <c r="BN25" s="59">
        <f>'C1-Incomes'!BO27/'C1-Incomes'!$BN27</f>
        <v>0.29872446715847145</v>
      </c>
      <c r="BO25" s="59">
        <f>'C1-Incomes'!BP27/'C1-Incomes'!$BN27</f>
        <v>0.19441697719993636</v>
      </c>
      <c r="BP25" s="59">
        <f>'C1-Incomes'!BQ27/'C1-Incomes'!$BN27</f>
        <v>7.607353491735129E-2</v>
      </c>
      <c r="BQ25" s="59">
        <f>'C1-Incomes'!BR27/'C1-Incomes'!$BN27</f>
        <v>5.2245159684600313E-2</v>
      </c>
      <c r="BR25" s="59">
        <f>'C1-Incomes'!BS27/'C1-Incomes'!$BN27</f>
        <v>2.2567675472937941E-2</v>
      </c>
      <c r="BS25" s="59">
        <f>'C1-Incomes'!BT27/'C1-Incomes'!$BN27</f>
        <v>6.905122655548295E-3</v>
      </c>
      <c r="BT25" s="59"/>
      <c r="BU25" s="59"/>
      <c r="BV25" s="59">
        <f>'C1-Incomes'!BW27/'C1-Incomes'!$BV27</f>
        <v>0.30143895661907938</v>
      </c>
      <c r="BW25" s="59">
        <f>'C1-Incomes'!BX27/'C1-Incomes'!$BV27</f>
        <v>0.19728483609545264</v>
      </c>
      <c r="BX25" s="59">
        <f>'C1-Incomes'!BY27/'C1-Incomes'!$BV27</f>
        <v>7.8707776493680548E-2</v>
      </c>
      <c r="BY25" s="59">
        <f>'C1-Incomes'!BZ27/'C1-Incomes'!$BV27</f>
        <v>5.4467577548230596E-2</v>
      </c>
      <c r="BZ25" s="59">
        <f>'C1-Incomes'!CA27/'C1-Incomes'!$BV27</f>
        <v>2.3862263532206232E-2</v>
      </c>
      <c r="CA25" s="59">
        <f>'C1-Incomes'!CB27/'C1-Incomes'!$BV27</f>
        <v>7.4851431697326937E-3</v>
      </c>
      <c r="CB25" s="60"/>
      <c r="CC25" s="198"/>
      <c r="CD25" s="59">
        <f>'C1-Incomes'!CE27/'C1-Incomes'!$CD27</f>
        <v>0.32054792380840741</v>
      </c>
      <c r="CE25" s="59">
        <f>'C1-Incomes'!CF27/'C1-Incomes'!$CD27</f>
        <v>0.21814920944594596</v>
      </c>
      <c r="CF25" s="59">
        <f>'C1-Incomes'!CG27/'C1-Incomes'!$CD27</f>
        <v>9.6934529540592798E-2</v>
      </c>
      <c r="CG25" s="59">
        <f>'C1-Incomes'!CH27/'C1-Incomes'!$CD27</f>
        <v>7.0215625309646118E-2</v>
      </c>
      <c r="CH25" s="59">
        <f>'C1-Incomes'!CI27/'C1-Incomes'!$CD27</f>
        <v>3.3876360479873385E-2</v>
      </c>
      <c r="CI25" s="59">
        <f>'C1-Incomes'!CJ27/'C1-Incomes'!$CD27</f>
        <v>1.1968348584295156E-2</v>
      </c>
      <c r="CL25" s="59">
        <f>'C1-Incomes'!CM27/'C1-Incomes'!$CL27</f>
        <v>0.32541361722402984</v>
      </c>
      <c r="CM25" s="59">
        <f>'C1-Incomes'!CN27/'C1-Incomes'!$CL27</f>
        <v>0.2231239469556035</v>
      </c>
      <c r="CN25" s="59">
        <f>'C1-Incomes'!CO27/'C1-Incomes'!$CL27</f>
        <v>0.10113620088012711</v>
      </c>
      <c r="CO25" s="59">
        <f>'C1-Incomes'!CP27/'C1-Incomes'!$CL27</f>
        <v>7.3864663935732544E-2</v>
      </c>
      <c r="CP25" s="59">
        <f>'C1-Incomes'!CQ27/'C1-Incomes'!$CL27</f>
        <v>3.6143259429494985E-2</v>
      </c>
      <c r="CQ25" s="59">
        <f>'C1-Incomes'!CR27/'C1-Incomes'!$CL27</f>
        <v>1.2945013982270841E-2</v>
      </c>
      <c r="CR25" s="59"/>
      <c r="CS25" s="59"/>
      <c r="CT25" s="59">
        <f>'C1-Incomes'!CU27/'C1-Incomes'!$CT27</f>
        <v>0.32787043594461979</v>
      </c>
      <c r="CU25" s="59">
        <f>'C1-Incomes'!CV27/'C1-Incomes'!$CT27</f>
        <v>0.2255984504650595</v>
      </c>
      <c r="CV25" s="59">
        <f>'C1-Incomes'!CW27/'C1-Incomes'!$CT27</f>
        <v>0.1028739446784295</v>
      </c>
      <c r="CW25" s="59">
        <f>'C1-Incomes'!CX27/'C1-Incomes'!$CT27</f>
        <v>7.5211836237033217E-2</v>
      </c>
      <c r="CX25" s="59">
        <f>'C1-Incomes'!CY27/'C1-Incomes'!$CT27</f>
        <v>3.6871343035590864E-2</v>
      </c>
      <c r="CY25" s="59">
        <f>'C1-Incomes'!CZ27/'C1-Incomes'!$CT27</f>
        <v>1.3235272406127395E-2</v>
      </c>
      <c r="CZ25" s="59"/>
      <c r="DA25" s="59"/>
      <c r="DB25" s="59">
        <f>'C1-Incomes'!DC27/'C1-Incomes'!$DB27</f>
        <v>0.335504264859114</v>
      </c>
      <c r="DC25" s="59">
        <f>'C1-Incomes'!DD27/'C1-Incomes'!$DB27</f>
        <v>0.23273255218952321</v>
      </c>
      <c r="DD25" s="59">
        <f>'C1-Incomes'!DE27/'C1-Incomes'!$DB27</f>
        <v>0.10838534139735505</v>
      </c>
      <c r="DE25" s="59">
        <f>'C1-Incomes'!DF27/'C1-Incomes'!$DB27</f>
        <v>7.9820706091662974E-2</v>
      </c>
      <c r="DF25" s="59">
        <f>'C1-Incomes'!DG27/'C1-Incomes'!$DB27</f>
        <v>3.9664194144401206E-2</v>
      </c>
      <c r="DG25" s="59">
        <f>'C1-Incomes'!DH27/'C1-Incomes'!$DB27</f>
        <v>1.4515831824887847E-2</v>
      </c>
      <c r="DH25" s="59"/>
      <c r="DI25" s="1039"/>
      <c r="DJ25" s="59">
        <f>'C1-Incomes'!DK27/'C1-Incomes'!$DJ27</f>
        <v>0.33800523761454221</v>
      </c>
      <c r="DK25" s="59">
        <f>'C1-Incomes'!DL27/'C1-Incomes'!$DJ27</f>
        <v>0.23564532089700446</v>
      </c>
      <c r="DL25" s="59">
        <f>'C1-Incomes'!DM27/'C1-Incomes'!$DJ27</f>
        <v>0.11005138248110391</v>
      </c>
      <c r="DM25" s="59">
        <f>'C1-Incomes'!DN27/'C1-Incomes'!$DJ27</f>
        <v>8.0747286855109568E-2</v>
      </c>
      <c r="DN25" s="59">
        <f>'C1-Incomes'!DO27/'C1-Incomes'!$DJ27</f>
        <v>3.9974757982436195E-2</v>
      </c>
      <c r="DO25" s="59">
        <f>'C1-Incomes'!DP27/'C1-Incomes'!$DJ27</f>
        <v>1.4583592455148311E-2</v>
      </c>
      <c r="DP25" s="696"/>
      <c r="DQ25" s="503"/>
      <c r="DR25" s="59">
        <f>'C1-Incomes'!DS27/'C1-Incomes'!$DR27</f>
        <v>0.33695413622380871</v>
      </c>
      <c r="DS25" s="59">
        <f>'C1-Incomes'!DT27/'C1-Incomes'!$DR27</f>
        <v>0.23399015390428904</v>
      </c>
      <c r="DT25" s="59">
        <f>'C1-Incomes'!DU27/'C1-Incomes'!$DR27</f>
        <v>0.10856822793366704</v>
      </c>
      <c r="DU25" s="59">
        <f>'C1-Incomes'!DV27/'C1-Incomes'!$DR27</f>
        <v>7.9547291944740472E-2</v>
      </c>
      <c r="DV25" s="59">
        <f>'C1-Incomes'!DW27/'C1-Incomes'!$DR27</f>
        <v>3.9264372121704777E-2</v>
      </c>
      <c r="DW25" s="59">
        <f>'C1-Incomes'!DX27/'C1-Incomes'!$DR27</f>
        <v>1.4295448298359928E-2</v>
      </c>
      <c r="DX25" s="333"/>
      <c r="DZ25" s="59">
        <f>'C1-Incomes'!EA27/'C1-Incomes'!$DZ27</f>
        <v>0.3300409345257041</v>
      </c>
      <c r="EA25" s="59">
        <f>'C1-Incomes'!EB27/'C1-Incomes'!$DZ27</f>
        <v>0.22736769868042961</v>
      </c>
      <c r="EB25" s="59">
        <f>'C1-Incomes'!EC27/'C1-Incomes'!$DZ27</f>
        <v>0.10445225539328076</v>
      </c>
      <c r="EC25" s="59">
        <f>'C1-Incomes'!ED27/'C1-Incomes'!$DZ27</f>
        <v>7.641277769502991E-2</v>
      </c>
      <c r="ED25" s="59">
        <f>'C1-Incomes'!EE27/'C1-Incomes'!$DZ27</f>
        <v>3.7644942438379431E-2</v>
      </c>
      <c r="EE25" s="59">
        <f>'C1-Incomes'!EF27/'C1-Incomes'!$DZ27</f>
        <v>1.3690284638438173E-2</v>
      </c>
      <c r="EF25" s="59"/>
      <c r="EH25" s="59">
        <f>'C1-Incomes'!EI27/'C1-Incomes'!$EH27</f>
        <v>0.32709418019426401</v>
      </c>
      <c r="EI25" s="59">
        <f>'C1-Incomes'!EJ27/'C1-Incomes'!$EH27</f>
        <v>0.22340367196195526</v>
      </c>
      <c r="EJ25" s="59">
        <f>'C1-Incomes'!EK27/'C1-Incomes'!$EH27</f>
        <v>0.10119041864391339</v>
      </c>
      <c r="EK25" s="59">
        <f>'C1-Incomes'!EL27/'C1-Incomes'!$EH27</f>
        <v>7.3864738998054319E-2</v>
      </c>
      <c r="EL25" s="59">
        <f>'C1-Incomes'!EM27/'C1-Incomes'!$EH27</f>
        <v>3.6304618620377579E-2</v>
      </c>
      <c r="EM25" s="59">
        <f>'C1-Incomes'!EN27/'C1-Incomes'!$EH27</f>
        <v>1.3195997199536494E-2</v>
      </c>
      <c r="EN25" s="59"/>
      <c r="EO25" s="59"/>
      <c r="EP25" s="59">
        <f>'C1-Incomes'!EQ27/'C1-Incomes'!$EH27</f>
        <v>0.33839351991217992</v>
      </c>
      <c r="EQ25" s="59">
        <f>'C1-Incomes'!ER27/'C1-Incomes'!$EH27</f>
        <v>0.22995793065988382</v>
      </c>
      <c r="ER25" s="59">
        <f>'C1-Incomes'!ES27/'C1-Incomes'!$EH27</f>
        <v>0.10293276583955745</v>
      </c>
      <c r="ES25" s="59">
        <f>'C1-Incomes'!ET27/'C1-Incomes'!$EH27</f>
        <v>7.4860032409845526E-2</v>
      </c>
      <c r="ET25" s="59">
        <f>'C1-Incomes'!EU27/'C1-Incomes'!$EH27</f>
        <v>3.6615711870363388E-2</v>
      </c>
      <c r="EU25" s="59">
        <f>'C1-Incomes'!EV27/'C1-Incomes'!$EH27</f>
        <v>1.3256934203361437E-2</v>
      </c>
      <c r="EV25" s="59"/>
      <c r="EW25" s="59"/>
      <c r="EX25" s="59">
        <f>'C1-Incomes'!EY27/'C1-Incomes'!$EX27</f>
        <v>0.31832863072825673</v>
      </c>
      <c r="EY25" s="59">
        <f>'C1-Incomes'!EZ27/'C1-Incomes'!$EX27</f>
        <v>0.21500927546015469</v>
      </c>
      <c r="EZ25" s="59">
        <f>'C1-Incomes'!FA27/'C1-Incomes'!$EX27</f>
        <v>9.4899986792237198E-2</v>
      </c>
      <c r="FA25" s="59">
        <f>'C1-Incomes'!FB27/'C1-Incomes'!$EX27</f>
        <v>6.8784388788198036E-2</v>
      </c>
      <c r="FB25" s="59">
        <f>'C1-Incomes'!FC27/'C1-Incomes'!$EX27</f>
        <v>3.3450541624270087E-2</v>
      </c>
      <c r="FC25" s="59">
        <f>'C1-Incomes'!FD27/'C1-Incomes'!$EX27</f>
        <v>1.2061709142811787E-2</v>
      </c>
      <c r="FD25" s="59"/>
      <c r="FF25" s="59">
        <f>'C1-Incomes'!FG27/'C1-Incomes'!$FF27</f>
        <v>0.30669041479472847</v>
      </c>
      <c r="FG25" s="59">
        <f>'C1-Incomes'!FH27/'C1-Incomes'!$FF27</f>
        <v>0.20708251576993883</v>
      </c>
      <c r="FH25" s="59">
        <f>'C1-Incomes'!FI27/'C1-Incomes'!$FF27</f>
        <v>9.1168530579304352E-2</v>
      </c>
      <c r="FI25" s="59">
        <f>'C1-Incomes'!FJ27/'C1-Incomes'!$FF27</f>
        <v>6.5968235556031318E-2</v>
      </c>
      <c r="FJ25" s="59">
        <f>'C1-Incomes'!FK27/'C1-Incomes'!$FF27</f>
        <v>3.1983080004111326E-2</v>
      </c>
      <c r="FK25" s="59">
        <f>'C1-Incomes'!FL27/'C1-Incomes'!$FF27</f>
        <v>1.1521498539960085E-2</v>
      </c>
      <c r="FN25" s="59">
        <f>'C1-Incomes'!FO27/'C1-Incomes'!$FN27</f>
        <v>0.30552281823744176</v>
      </c>
      <c r="FO25" s="59">
        <f>'C1-Incomes'!FP27/'C1-Incomes'!$FN27</f>
        <v>0.20625345081234092</v>
      </c>
      <c r="FP25" s="59">
        <f>'C1-Incomes'!FQ27/'C1-Incomes'!$FN27</f>
        <v>9.0797044051042428E-2</v>
      </c>
      <c r="FQ25" s="59">
        <f>'C1-Incomes'!FR27/'C1-Incomes'!$FN27</f>
        <v>6.5698435256621959E-2</v>
      </c>
      <c r="FR25" s="59">
        <f>'C1-Incomes'!FS27/'C1-Incomes'!$FN27</f>
        <v>3.1852036744554328E-2</v>
      </c>
      <c r="FS25" s="59">
        <f>'C1-Incomes'!FT27/'C1-Incomes'!$FN27</f>
        <v>1.1474277104819542E-2</v>
      </c>
      <c r="FV25" s="59">
        <f>'C1-Incomes'!FW27/'C1-Incomes'!$FV27</f>
        <v>0.30145373663725844</v>
      </c>
      <c r="FW25" s="59">
        <f>'C1-Incomes'!FX27/'C1-Incomes'!$FV27</f>
        <v>0.20340347958780708</v>
      </c>
      <c r="FX25" s="59">
        <f>'C1-Incomes'!FY27/'C1-Incomes'!$FV27</f>
        <v>8.947176727995497E-2</v>
      </c>
      <c r="FY25" s="59">
        <f>'C1-Incomes'!FZ27/'C1-Incomes'!$FV27</f>
        <v>6.4726345851111866E-2</v>
      </c>
      <c r="FZ25" s="59">
        <f>'C1-Incomes'!GA27/'C1-Incomes'!$FV27</f>
        <v>3.1372368595009477E-2</v>
      </c>
      <c r="GA25" s="59">
        <f>'C1-Incomes'!GB27/'C1-Incomes'!$FV27</f>
        <v>1.1299952004565961E-2</v>
      </c>
      <c r="GE25" s="59">
        <f>'C1-Incomes'!GF27/'C1-Incomes'!$GE27</f>
        <v>0.29882030345427013</v>
      </c>
      <c r="GF25" s="59">
        <f>'C1-Incomes'!GG27/'C1-Incomes'!$GE27</f>
        <v>0.20143667476071156</v>
      </c>
      <c r="GG25" s="59">
        <f>'C1-Incomes'!GH27/'C1-Incomes'!$GE27</f>
        <v>8.8485439997729259E-2</v>
      </c>
      <c r="GH25" s="59">
        <f>'C1-Incomes'!GI27/'C1-Incomes'!$GE27</f>
        <v>6.4002825667669544E-2</v>
      </c>
      <c r="GI25" s="59">
        <f>'C1-Incomes'!GJ27/'C1-Incomes'!$GE27</f>
        <v>3.1019531670576993E-2</v>
      </c>
      <c r="GJ25" s="59">
        <f>'C1-Incomes'!GK27/'C1-Incomes'!$GE27</f>
        <v>1.1173867193349988E-2</v>
      </c>
      <c r="GM25" s="59">
        <f>'C1-Incomes'!GN27/'C1-Incomes'!$GM27</f>
        <v>0.29347825318810095</v>
      </c>
      <c r="GN25" s="59">
        <f>'C1-Incomes'!GO27/'C1-Incomes'!$GM27</f>
        <v>0.19783556456310286</v>
      </c>
      <c r="GO25" s="59">
        <f>'C1-Incomes'!GP27/'C1-Incomes'!$GM27</f>
        <v>8.6903574030698996E-2</v>
      </c>
      <c r="GP25" s="59">
        <f>'C1-Incomes'!GQ27/'C1-Incomes'!$GM27</f>
        <v>6.2858638649782125E-2</v>
      </c>
      <c r="GQ25" s="59">
        <f>'C1-Incomes'!GR27/'C1-Incomes'!$GM27</f>
        <v>3.0464991381641746E-2</v>
      </c>
      <c r="GR25" s="59">
        <f>'C1-Incomes'!GS27/'C1-Incomes'!$GM27</f>
        <v>1.0974110484972542E-2</v>
      </c>
      <c r="GU25" s="59">
        <f>'C1-Incomes'!GV27/'C1-Incomes'!$GU27</f>
        <v>0.27289616549735035</v>
      </c>
      <c r="GV25" s="59">
        <f>'C1-Incomes'!GW27/'C1-Incomes'!$GU27</f>
        <v>0.18081958487135602</v>
      </c>
      <c r="GW25" s="59">
        <f>'C1-Incomes'!GX27/'C1-Incomes'!$GU27</f>
        <v>7.7361899905123349E-2</v>
      </c>
      <c r="GX25" s="59">
        <f>'C1-Incomes'!GY27/'C1-Incomes'!$GU27</f>
        <v>5.5469626039414591E-2</v>
      </c>
      <c r="GY25" s="59">
        <f>'C1-Incomes'!GZ27/'C1-Incomes'!$GU27</f>
        <v>2.6545710345317181E-2</v>
      </c>
      <c r="GZ25" s="59">
        <f>'C1-Incomes'!HA27/'C1-Incomes'!$GU27</f>
        <v>9.4420138801071998E-3</v>
      </c>
      <c r="HC25" s="59">
        <f>'C1-Incomes'!HD27/'C1-Incomes'!$HC27</f>
        <v>0.27039609046707652</v>
      </c>
      <c r="HD25" s="59">
        <f>'C1-Incomes'!HE27/'C1-Incomes'!$HC27</f>
        <v>0.17869051026844782</v>
      </c>
      <c r="HE25" s="59">
        <f>'C1-Incomes'!HF27/'C1-Incomes'!$HC27</f>
        <v>7.629305281826404E-2</v>
      </c>
      <c r="HF25" s="59">
        <f>'C1-Incomes'!HG27/'C1-Incomes'!$HC27</f>
        <v>5.4630658924954112E-2</v>
      </c>
      <c r="HG25" s="59">
        <f>'C1-Incomes'!HH27/'C1-Incomes'!$HC27</f>
        <v>2.6120305197558341E-2</v>
      </c>
      <c r="HH25" s="59">
        <f>'C1-Incomes'!HI27/'C1-Incomes'!$HC27</f>
        <v>9.2801271824737835E-3</v>
      </c>
      <c r="HK25" s="59">
        <f>'C1-Incomes'!HL27/'C1-Incomes'!$HK27</f>
        <v>0.26563196393023897</v>
      </c>
      <c r="HL25" s="59">
        <f>'C1-Incomes'!HM27/'C1-Incomes'!$HK27</f>
        <v>0.17408807225738179</v>
      </c>
      <c r="HM25" s="59">
        <f>'C1-Incomes'!HN27/'C1-Incomes'!$HK27</f>
        <v>7.2650090736452039E-2</v>
      </c>
      <c r="HN25" s="59">
        <f>'C1-Incomes'!HO27/'C1-Incomes'!$HK27</f>
        <v>5.1520576845627386E-2</v>
      </c>
      <c r="HO25" s="59">
        <f>'C1-Incomes'!HP27/'C1-Incomes'!$HK27</f>
        <v>2.4218150380679482E-2</v>
      </c>
      <c r="HP25" s="59">
        <f>'C1-Incomes'!HQ27/'C1-Incomes'!$HK27</f>
        <v>8.458623568412869E-3</v>
      </c>
      <c r="HS25" s="59">
        <f>'C1-Incomes'!HT27/'C1-Incomes'!$HS27</f>
        <v>0.26231503303733178</v>
      </c>
      <c r="HT25" s="59">
        <f>'C1-Incomes'!HU27/'C1-Incomes'!$HS27</f>
        <v>0.17148851433831039</v>
      </c>
      <c r="HU25" s="59">
        <f>'C1-Incomes'!HV27/'C1-Incomes'!$HS27</f>
        <v>7.1199541187837598E-2</v>
      </c>
      <c r="HV25" s="59">
        <f>'C1-Incomes'!HW27/'C1-Incomes'!$HS27</f>
        <v>5.0469516350488075E-2</v>
      </c>
      <c r="HW25" s="59">
        <f>'C1-Incomes'!HX27/'C1-Incomes'!$HS27</f>
        <v>2.3764931831841286E-2</v>
      </c>
      <c r="HX25" s="59">
        <f>'C1-Incomes'!HY27/'C1-Incomes'!$HS27</f>
        <v>8.2993143378766714E-3</v>
      </c>
      <c r="IA25" s="59">
        <f>'C1-Incomes'!IB27/'C1-Incomes'!$IA27</f>
        <v>0.2667237557803408</v>
      </c>
      <c r="IB25" s="59">
        <f>'C1-Incomes'!IC27/'C1-Incomes'!$IA27</f>
        <v>0.177377907565995</v>
      </c>
      <c r="IC25" s="59">
        <f>'C1-Incomes'!ID27/'C1-Incomes'!$IA27</f>
        <v>7.557290896635134E-2</v>
      </c>
      <c r="ID25" s="59">
        <f>'C1-Incomes'!IE27/'C1-Incomes'!$IA27</f>
        <v>5.387890393898695E-2</v>
      </c>
      <c r="IE25" s="59">
        <f>'C1-Incomes'!IF27/'C1-Incomes'!$IA27</f>
        <v>2.552104683291842E-2</v>
      </c>
      <c r="IF25" s="59">
        <f>'C1-Incomes'!IG27/'C1-Incomes'!$IA27</f>
        <v>8.9408729297023957E-3</v>
      </c>
      <c r="II25" s="59">
        <f>'C1-Incomes'!IJ27/'C1-Incomes'!$II27</f>
        <v>0.26845145015376914</v>
      </c>
      <c r="IJ25" s="59">
        <f>'C1-Incomes'!IK27/'C1-Incomes'!$II27</f>
        <v>0.17966059984292357</v>
      </c>
      <c r="IK25" s="59">
        <f>'C1-Incomes'!IL27/'C1-Incomes'!$II27</f>
        <v>7.7580030342176101E-2</v>
      </c>
      <c r="IL25" s="59">
        <f>'C1-Incomes'!IM27/'C1-Incomes'!$II27</f>
        <v>5.5536246220631427E-2</v>
      </c>
      <c r="IM25" s="59">
        <f>'C1-Incomes'!IN27/'C1-Incomes'!$II27</f>
        <v>2.6419581320240661E-2</v>
      </c>
      <c r="IN25" s="59">
        <f>'C1-Incomes'!IO27/'C1-Incomes'!$II27</f>
        <v>9.2862186228955847E-3</v>
      </c>
      <c r="IQ25" s="59">
        <f>'C1-Incomes'!IR27/'C1-Incomes'!$IQ27</f>
        <v>0.270903512770164</v>
      </c>
      <c r="IR25" s="59">
        <f>'C1-Incomes'!IS27/'C1-Incomes'!$IQ27</f>
        <v>0.18154245101422911</v>
      </c>
      <c r="IS25" s="59">
        <f>'C1-Incomes'!IT27/'C1-Incomes'!$IQ27</f>
        <v>7.8684866985543486E-2</v>
      </c>
      <c r="IT25" s="59">
        <f>'C1-Incomes'!IU27/'C1-Incomes'!$IQ27</f>
        <v>5.6376508994118307E-2</v>
      </c>
      <c r="IU25" s="59">
        <f>'C1-Incomes'!IV27/'C1-Incomes'!$IQ27</f>
        <v>2.6875249737454289E-2</v>
      </c>
      <c r="IV25" s="59">
        <f>'C1-Incomes'!IW27/'C1-Incomes'!$IQ27</f>
        <v>9.4657520848965594E-3</v>
      </c>
      <c r="IY25" s="59">
        <f>'C1-Incomes'!IZ27/'C1-Incomes'!$IY27</f>
        <v>0.2538666725449617</v>
      </c>
      <c r="IZ25" s="59">
        <f>'C1-Incomes'!JA27/'C1-Incomes'!$IY27</f>
        <v>0.16869082852577288</v>
      </c>
      <c r="JA25" s="59">
        <f>'C1-Incomes'!JB27/'C1-Incomes'!$IY27</f>
        <v>7.2139807023017671E-2</v>
      </c>
      <c r="JB25" s="59">
        <f>'C1-Incomes'!JC27/'C1-Incomes'!$IY27</f>
        <v>5.1516406651606304E-2</v>
      </c>
      <c r="JC25" s="59">
        <f>'C1-Incomes'!JD27/'C1-Incomes'!$IY27</f>
        <v>2.4438659610013083E-2</v>
      </c>
      <c r="JD25" s="59">
        <f>'C1-Incomes'!JE27/'C1-Incomes'!$IY27</f>
        <v>8.5857471608198049E-3</v>
      </c>
      <c r="JE25" s="197"/>
      <c r="JF25" s="197"/>
      <c r="JG25" s="197"/>
      <c r="JH25" s="197"/>
      <c r="JI25" s="197"/>
      <c r="JJ25" s="197"/>
      <c r="JK25" s="197"/>
      <c r="JL25" s="197"/>
      <c r="JM25" s="197"/>
      <c r="JN25" s="197"/>
      <c r="JO25" s="197"/>
      <c r="JP25" s="197"/>
      <c r="JQ25" s="197"/>
      <c r="JR25" s="197"/>
      <c r="JS25" s="197"/>
      <c r="JT25" s="197"/>
      <c r="JU25" s="197"/>
      <c r="JV25" s="197"/>
      <c r="JW25" s="197"/>
      <c r="JX25" s="197"/>
      <c r="JY25" s="197"/>
      <c r="JZ25" s="197"/>
      <c r="KA25" s="197"/>
      <c r="KB25" s="197"/>
      <c r="KC25" s="197"/>
      <c r="KD25" s="197"/>
      <c r="KE25" s="197"/>
      <c r="KF25" s="197"/>
      <c r="KG25" s="197"/>
      <c r="KH25" s="197"/>
      <c r="KI25" s="197"/>
      <c r="KJ25" s="197"/>
      <c r="KK25" s="197"/>
      <c r="KL25" s="197"/>
      <c r="KM25" s="197"/>
      <c r="KN25" s="197"/>
      <c r="KO25" s="197"/>
      <c r="KP25" s="197"/>
      <c r="KQ25" s="197"/>
      <c r="KR25" s="197"/>
      <c r="KS25" s="197"/>
      <c r="KT25" s="197"/>
      <c r="KU25" s="197"/>
      <c r="KV25" s="197"/>
      <c r="KW25" s="197"/>
      <c r="KX25" s="197"/>
      <c r="KY25" s="197"/>
      <c r="KZ25" s="197"/>
      <c r="LA25" s="197"/>
      <c r="LB25" s="197"/>
      <c r="LC25" s="197"/>
      <c r="LD25" s="197"/>
      <c r="LE25" s="197"/>
      <c r="LF25" s="197"/>
      <c r="LG25" s="197"/>
      <c r="LH25" s="197"/>
      <c r="LI25" s="197"/>
      <c r="LJ25" s="197"/>
      <c r="LK25" s="197"/>
      <c r="LL25" s="197"/>
      <c r="LM25" s="197"/>
      <c r="LN25" s="197"/>
      <c r="LO25" s="197"/>
      <c r="LP25" s="197"/>
      <c r="LQ25" s="197"/>
      <c r="LR25" s="197"/>
      <c r="LS25" s="197"/>
      <c r="LT25" s="197"/>
      <c r="LU25" s="197"/>
      <c r="LV25" s="197"/>
      <c r="LW25" s="197"/>
      <c r="LX25" s="197"/>
      <c r="LY25" s="197"/>
      <c r="LZ25" s="197"/>
      <c r="MA25" s="197"/>
      <c r="MB25" s="197"/>
      <c r="MC25" s="197"/>
      <c r="MD25" s="197"/>
      <c r="ME25" s="197"/>
      <c r="MF25" s="197"/>
      <c r="MG25" s="197"/>
      <c r="MH25" s="197"/>
      <c r="MI25" s="197"/>
      <c r="MJ25" s="197"/>
      <c r="MK25" s="197"/>
      <c r="ML25" s="197"/>
      <c r="MM25" s="197"/>
      <c r="MN25" s="197"/>
      <c r="MO25" s="197"/>
      <c r="MP25" s="197"/>
      <c r="MQ25" s="197"/>
      <c r="MR25" s="197"/>
      <c r="MS25" s="197"/>
      <c r="MT25" s="197"/>
      <c r="MU25" s="197"/>
      <c r="MV25" s="197"/>
      <c r="MW25" s="197"/>
      <c r="MX25" s="197"/>
      <c r="MY25" s="197"/>
      <c r="MZ25" s="197"/>
      <c r="NA25" s="197"/>
      <c r="NB25" s="197"/>
      <c r="NC25" s="197"/>
      <c r="ND25" s="197"/>
      <c r="NE25" s="197"/>
      <c r="NF25" s="197"/>
      <c r="NG25" s="197"/>
      <c r="NH25" s="197"/>
      <c r="NI25" s="197"/>
      <c r="NJ25" s="197"/>
      <c r="NK25" s="197"/>
      <c r="NL25" s="197"/>
      <c r="NM25" s="197"/>
      <c r="NN25" s="197"/>
      <c r="NO25" s="197"/>
      <c r="NP25" s="197"/>
      <c r="NQ25" s="197"/>
      <c r="NR25" s="197"/>
      <c r="NS25" s="197"/>
      <c r="NT25" s="197"/>
      <c r="NU25" s="197"/>
      <c r="NV25" s="197"/>
      <c r="NW25" s="197"/>
      <c r="NX25" s="197"/>
      <c r="NY25" s="197"/>
      <c r="NZ25" s="197"/>
      <c r="OA25" s="197"/>
      <c r="OB25" s="197"/>
      <c r="OC25" s="197"/>
      <c r="OD25" s="197"/>
      <c r="OE25" s="197"/>
      <c r="OF25" s="197"/>
      <c r="OG25" s="197"/>
      <c r="OH25" s="197"/>
      <c r="OI25" s="197"/>
      <c r="OJ25" s="197"/>
      <c r="OK25" s="197"/>
      <c r="OL25" s="197"/>
      <c r="OM25" s="197"/>
      <c r="ON25" s="197"/>
      <c r="OO25" s="197"/>
      <c r="OP25" s="197"/>
      <c r="OQ25" s="197"/>
      <c r="OR25" s="197"/>
      <c r="OS25" s="197"/>
      <c r="OT25" s="197"/>
      <c r="OU25" s="197"/>
      <c r="OV25" s="197"/>
      <c r="OW25" s="197"/>
      <c r="OX25" s="197"/>
      <c r="OY25" s="197"/>
      <c r="OZ25" s="197"/>
      <c r="PA25" s="197"/>
      <c r="PB25" s="197"/>
    </row>
    <row r="26" spans="1:418" s="77" customFormat="1" ht="10.5" customHeight="1" x14ac:dyDescent="0.2">
      <c r="A26" s="48">
        <v>1980</v>
      </c>
      <c r="B26" s="59">
        <f>'C1-Incomes'!C28/'C1-Incomes'!$B28</f>
        <v>0.33050389278967507</v>
      </c>
      <c r="C26" s="59">
        <f>'C1-Incomes'!D28/'C1-Incomes'!$B28</f>
        <v>0.2134558074776565</v>
      </c>
      <c r="D26" s="59">
        <f>'C1-Incomes'!E28/'C1-Incomes'!$B28</f>
        <v>8.2237498702260325E-2</v>
      </c>
      <c r="E26" s="59">
        <f>'C1-Incomes'!F28/'C1-Incomes'!$B28</f>
        <v>5.5101249855809963E-2</v>
      </c>
      <c r="F26" s="59">
        <f>'C1-Incomes'!G28/'C1-Incomes'!$B28</f>
        <v>2.2113439561658978E-2</v>
      </c>
      <c r="G26" s="59">
        <f>'C1-Incomes'!H28/'C1-Incomes'!$B28</f>
        <v>6.4348792604367591E-3</v>
      </c>
      <c r="H26" s="199"/>
      <c r="J26" s="59">
        <f>'C1-Incomes'!K28/'C1-Incomes'!$J28</f>
        <v>0.31985016409628225</v>
      </c>
      <c r="K26" s="59">
        <f>'C1-Incomes'!L28/'C1-Incomes'!$J28</f>
        <v>0.21468684908911492</v>
      </c>
      <c r="L26" s="59">
        <f>'C1-Incomes'!M28/'C1-Incomes'!$J28</f>
        <v>9.261465973160031E-2</v>
      </c>
      <c r="M26" s="59">
        <f>'C1-Incomes'!N28/'C1-Incomes'!$J28</f>
        <v>6.647632294353327E-2</v>
      </c>
      <c r="N26" s="59">
        <f>'C1-Incomes'!O28/'C1-Incomes'!$J28</f>
        <v>3.1603826630484409E-2</v>
      </c>
      <c r="O26" s="59">
        <f>'C1-Incomes'!P28/'C1-Incomes'!$J28</f>
        <v>1.1126773946758959E-2</v>
      </c>
      <c r="P26" s="59"/>
      <c r="R26" s="59">
        <f>'C1-Incomes'!S28/'C1-Incomes'!$R28</f>
        <v>0.29211360436938694</v>
      </c>
      <c r="S26" s="59">
        <f>'C1-Incomes'!T28/'C1-Incomes'!$R28</f>
        <v>0.19573774788156054</v>
      </c>
      <c r="T26" s="59">
        <f>'C1-Incomes'!U28/'C1-Incomes'!$R28</f>
        <v>8.4047989673063372E-2</v>
      </c>
      <c r="U26" s="59">
        <f>'C1-Incomes'!V28/'C1-Incomes'!$R28</f>
        <v>6.0190324514143259E-2</v>
      </c>
      <c r="V26" s="59">
        <f>'C1-Incomes'!W28/'C1-Incomes'!$R28</f>
        <v>2.8524717972860103E-2</v>
      </c>
      <c r="W26" s="59">
        <f>'C1-Incomes'!X28/'C1-Incomes'!$R28</f>
        <v>1.0026796080736741E-2</v>
      </c>
      <c r="X26" s="59"/>
      <c r="Y26" s="59"/>
      <c r="Z26" s="59">
        <f>'C1-Incomes'!AA28/'C1-Incomes'!$Z28</f>
        <v>0.24868169542293567</v>
      </c>
      <c r="AA26" s="59">
        <f>'C1-Incomes'!AB28/'C1-Incomes'!$Z28</f>
        <v>0.16350031676949273</v>
      </c>
      <c r="AB26" s="59">
        <f>'C1-Incomes'!AC28/'C1-Incomes'!$Z28</f>
        <v>6.7709847776369403E-2</v>
      </c>
      <c r="AC26" s="59">
        <f>'C1-Incomes'!AD28/'C1-Incomes'!$Z28</f>
        <v>4.7830261842165989E-2</v>
      </c>
      <c r="AD26" s="59">
        <f>'C1-Incomes'!AE28/'C1-Incomes'!$Z28</f>
        <v>2.2149804891476346E-2</v>
      </c>
      <c r="AE26" s="59">
        <f>'C1-Incomes'!AF28/'C1-Incomes'!$Z28</f>
        <v>7.6154244010100741E-3</v>
      </c>
      <c r="AF26" s="200"/>
      <c r="AG26" s="195"/>
      <c r="AH26" s="59">
        <f>'C1-Incomes'!AI28/'C1-Incomes'!$AH28</f>
        <v>0.32916539548511015</v>
      </c>
      <c r="AI26" s="59">
        <f>'C1-Incomes'!AJ28/'C1-Incomes'!$AH28</f>
        <v>0.21178284301245073</v>
      </c>
      <c r="AJ26" s="59">
        <f>'C1-Incomes'!AK28/'C1-Incomes'!$AH28</f>
        <v>8.1194793813409313E-2</v>
      </c>
      <c r="AK26" s="59">
        <f>'C1-Incomes'!AL28/'C1-Incomes'!$AH28</f>
        <v>5.4421867101563395E-2</v>
      </c>
      <c r="AL26" s="59">
        <f>'C1-Incomes'!AM28/'C1-Incomes'!$AH28</f>
        <v>2.18933215806165E-2</v>
      </c>
      <c r="AM26" s="59">
        <f>'C1-Incomes'!AN28/'C1-Incomes'!$AH28</f>
        <v>6.3805576962913226E-3</v>
      </c>
      <c r="AN26" s="195"/>
      <c r="AO26" s="195"/>
      <c r="AP26" s="59">
        <f>'C1-Incomes'!AQ28/'C1-Incomes'!$AP28</f>
        <v>0.33095731564258601</v>
      </c>
      <c r="AQ26" s="59">
        <f>'C1-Incomes'!AR28/'C1-Incomes'!$AP28</f>
        <v>0.21419267068926715</v>
      </c>
      <c r="AR26" s="59">
        <f>'C1-Incomes'!AS28/'C1-Incomes'!$AP28</f>
        <v>8.4087001958533317E-2</v>
      </c>
      <c r="AS26" s="59">
        <f>'C1-Incomes'!AT28/'C1-Incomes'!$AP28</f>
        <v>5.6942962481819119E-2</v>
      </c>
      <c r="AT26" s="59">
        <f>'C1-Incomes'!AU28/'C1-Incomes'!$AP28</f>
        <v>2.3312006906677937E-2</v>
      </c>
      <c r="AU26" s="59">
        <f>'C1-Incomes'!AV28/'C1-Incomes'!$AP28</f>
        <v>6.8975739841177471E-3</v>
      </c>
      <c r="AV26" s="197"/>
      <c r="AW26" s="60"/>
      <c r="AX26" s="59">
        <f>'C1-Incomes'!AY28/'C1-Incomes'!$AX28</f>
        <v>0.3342945582271028</v>
      </c>
      <c r="AY26" s="59">
        <f>'C1-Incomes'!AZ28/'C1-Incomes'!$AX28</f>
        <v>0.21782489037679545</v>
      </c>
      <c r="AZ26" s="59">
        <f>'C1-Incomes'!BA28/'C1-Incomes'!$AX28</f>
        <v>8.7288476202784668E-2</v>
      </c>
      <c r="BA26" s="59">
        <f>'C1-Incomes'!BB28/'C1-Incomes'!$AX28</f>
        <v>5.9648560012118011E-2</v>
      </c>
      <c r="BB26" s="59">
        <f>'C1-Incomes'!BC28/'C1-Incomes'!$AX28</f>
        <v>2.498131341410717E-2</v>
      </c>
      <c r="BC26" s="59">
        <f>'C1-Incomes'!BD28/'C1-Incomes'!$AX28</f>
        <v>7.4406001002115451E-3</v>
      </c>
      <c r="BD26" s="60"/>
      <c r="BE26" s="60"/>
      <c r="BF26" s="59">
        <f>'C1-Incomes'!BG28/'C1-Incomes'!$BF28</f>
        <v>0.33248350622494227</v>
      </c>
      <c r="BG26" s="59">
        <f>'C1-Incomes'!BH28/'C1-Incomes'!$BF28</f>
        <v>0.21658997030186364</v>
      </c>
      <c r="BH26" s="59">
        <f>'C1-Incomes'!BI28/'C1-Incomes'!$BF28</f>
        <v>8.7017816116233312E-2</v>
      </c>
      <c r="BI26" s="59">
        <f>'C1-Incomes'!BJ28/'C1-Incomes'!$BF28</f>
        <v>5.9671316698649578E-2</v>
      </c>
      <c r="BJ26" s="59">
        <f>'C1-Incomes'!BK28/'C1-Incomes'!$BF28</f>
        <v>2.5144659170730634E-2</v>
      </c>
      <c r="BK26" s="59">
        <f>'C1-Incomes'!BL28/'C1-Incomes'!$BF28</f>
        <v>7.5376783509211133E-3</v>
      </c>
      <c r="BL26" s="59"/>
      <c r="BM26" s="59"/>
      <c r="BN26" s="59">
        <f>'C1-Incomes'!BO28/'C1-Incomes'!$BN28</f>
        <v>0.30605419144375728</v>
      </c>
      <c r="BO26" s="59">
        <f>'C1-Incomes'!BP28/'C1-Incomes'!$BN28</f>
        <v>0.20008569761175385</v>
      </c>
      <c r="BP26" s="59">
        <f>'C1-Incomes'!BQ28/'C1-Incomes'!$BN28</f>
        <v>7.8603752106997424E-2</v>
      </c>
      <c r="BQ26" s="59">
        <f>'C1-Incomes'!BR28/'C1-Incomes'!$BN28</f>
        <v>5.4111041966565465E-2</v>
      </c>
      <c r="BR26" s="59">
        <f>'C1-Incomes'!BS28/'C1-Incomes'!$BN28</f>
        <v>2.3605025125433769E-2</v>
      </c>
      <c r="BS26" s="59">
        <f>'C1-Incomes'!BT28/'C1-Incomes'!$BN28</f>
        <v>7.4002317994475405E-3</v>
      </c>
      <c r="BT26" s="59"/>
      <c r="BU26" s="59"/>
      <c r="BV26" s="59">
        <f>'C1-Incomes'!BW28/'C1-Incomes'!$BV28</f>
        <v>0.3087083872594823</v>
      </c>
      <c r="BW26" s="59">
        <f>'C1-Incomes'!BX28/'C1-Incomes'!$BV28</f>
        <v>0.20302145299370819</v>
      </c>
      <c r="BX26" s="59">
        <f>'C1-Incomes'!BY28/'C1-Incomes'!$BV28</f>
        <v>8.110096637032263E-2</v>
      </c>
      <c r="BY26" s="59">
        <f>'C1-Incomes'!BZ28/'C1-Incomes'!$BV28</f>
        <v>5.6223211400884709E-2</v>
      </c>
      <c r="BZ26" s="59">
        <f>'C1-Incomes'!CA28/'C1-Incomes'!$BV28</f>
        <v>2.4916928939605464E-2</v>
      </c>
      <c r="CA26" s="59">
        <f>'C1-Incomes'!CB28/'C1-Incomes'!$BV28</f>
        <v>7.961483651291108E-3</v>
      </c>
      <c r="CB26" s="60"/>
      <c r="CC26" s="198"/>
      <c r="CD26" s="59">
        <f>'C1-Incomes'!CE28/'C1-Incomes'!$CD28</f>
        <v>0.32123731397619387</v>
      </c>
      <c r="CE26" s="59">
        <f>'C1-Incomes'!CF28/'C1-Incomes'!$CD28</f>
        <v>0.21614601595370833</v>
      </c>
      <c r="CF26" s="59">
        <f>'C1-Incomes'!CG28/'C1-Incomes'!$CD28</f>
        <v>9.2821878712346442E-2</v>
      </c>
      <c r="CG26" s="59">
        <f>'C1-Incomes'!CH28/'C1-Incomes'!$CD28</f>
        <v>6.61817757302023E-2</v>
      </c>
      <c r="CH26" s="59">
        <f>'C1-Incomes'!CI28/'C1-Incomes'!$CD28</f>
        <v>3.0997250204742702E-2</v>
      </c>
      <c r="CI26" s="59">
        <f>'C1-Incomes'!CJ28/'C1-Incomes'!$CD28</f>
        <v>1.0576445287441172E-2</v>
      </c>
      <c r="CL26" s="59">
        <f>'C1-Incomes'!CM28/'C1-Incomes'!$CL28</f>
        <v>0.32583596746374149</v>
      </c>
      <c r="CM26" s="59">
        <f>'C1-Incomes'!CN28/'C1-Incomes'!$CL28</f>
        <v>0.22077409069902232</v>
      </c>
      <c r="CN26" s="59">
        <f>'C1-Incomes'!CO28/'C1-Incomes'!$CL28</f>
        <v>9.6940946045983939E-2</v>
      </c>
      <c r="CO26" s="59">
        <f>'C1-Incomes'!CP28/'C1-Incomes'!$CL28</f>
        <v>6.9583849338284473E-2</v>
      </c>
      <c r="CP26" s="59">
        <f>'C1-Incomes'!CQ28/'C1-Incomes'!$CL28</f>
        <v>3.3023560633486375E-2</v>
      </c>
      <c r="CQ26" s="59">
        <f>'C1-Incomes'!CR28/'C1-Incomes'!$CL28</f>
        <v>1.1474950984450664E-2</v>
      </c>
      <c r="CR26" s="59"/>
      <c r="CS26" s="59"/>
      <c r="CT26" s="59">
        <f>'C1-Incomes'!CU28/'C1-Incomes'!$CT28</f>
        <v>0.32816201645186321</v>
      </c>
      <c r="CU26" s="59">
        <f>'C1-Incomes'!CV28/'C1-Incomes'!$CT28</f>
        <v>0.22319674564291891</v>
      </c>
      <c r="CV26" s="59">
        <f>'C1-Incomes'!CW28/'C1-Incomes'!$CT28</f>
        <v>9.8860094488862793E-2</v>
      </c>
      <c r="CW26" s="59">
        <f>'C1-Incomes'!CX28/'C1-Incomes'!$CT28</f>
        <v>7.1115226045564028E-2</v>
      </c>
      <c r="CX26" s="59">
        <f>'C1-Incomes'!CY28/'C1-Incomes'!$CT28</f>
        <v>3.3834878999633451E-2</v>
      </c>
      <c r="CY26" s="59">
        <f>'C1-Incomes'!CZ28/'C1-Incomes'!$CT28</f>
        <v>1.1815427192177421E-2</v>
      </c>
      <c r="CZ26" s="59"/>
      <c r="DA26" s="59"/>
      <c r="DB26" s="59">
        <f>'C1-Incomes'!DC28/'C1-Incomes'!$DB28</f>
        <v>0.33772895040596462</v>
      </c>
      <c r="DC26" s="59">
        <f>'C1-Incomes'!DD28/'C1-Incomes'!$DB28</f>
        <v>0.232614561459942</v>
      </c>
      <c r="DD26" s="59">
        <f>'C1-Incomes'!DE28/'C1-Incomes'!$DB28</f>
        <v>0.10623238403525713</v>
      </c>
      <c r="DE26" s="59">
        <f>'C1-Incomes'!DF28/'C1-Incomes'!$DB28</f>
        <v>7.7539398554953398E-2</v>
      </c>
      <c r="DF26" s="59">
        <f>'C1-Incomes'!DG28/'C1-Incomes'!$DB28</f>
        <v>3.7532970443377098E-2</v>
      </c>
      <c r="DG26" s="59">
        <f>'C1-Incomes'!DH28/'C1-Incomes'!$DB28</f>
        <v>1.3403582647774945E-2</v>
      </c>
      <c r="DH26" s="59"/>
      <c r="DI26" s="1039"/>
      <c r="DJ26" s="59">
        <f>'C1-Incomes'!DK28/'C1-Incomes'!$DJ28</f>
        <v>0.33885016170695409</v>
      </c>
      <c r="DK26" s="59">
        <f>'C1-Incomes'!DL28/'C1-Incomes'!$DJ28</f>
        <v>0.23484987203419933</v>
      </c>
      <c r="DL26" s="59">
        <f>'C1-Incomes'!DM28/'C1-Incomes'!$DJ28</f>
        <v>0.10764589297356165</v>
      </c>
      <c r="DM26" s="59">
        <f>'C1-Incomes'!DN28/'C1-Incomes'!$DJ28</f>
        <v>7.8394166900484119E-2</v>
      </c>
      <c r="DN26" s="59">
        <f>'C1-Incomes'!DO28/'C1-Incomes'!$DJ28</f>
        <v>3.7943075591037385E-2</v>
      </c>
      <c r="DO26" s="59">
        <f>'C1-Incomes'!DP28/'C1-Incomes'!$DJ28</f>
        <v>1.3513546565639798E-2</v>
      </c>
      <c r="DP26" s="696"/>
      <c r="DQ26" s="503"/>
      <c r="DR26" s="59">
        <f>'C1-Incomes'!DS28/'C1-Incomes'!$DR28</f>
        <v>0.33795652626592781</v>
      </c>
      <c r="DS26" s="59">
        <f>'C1-Incomes'!DT28/'C1-Incomes'!$DR28</f>
        <v>0.23339887468108358</v>
      </c>
      <c r="DT26" s="59">
        <f>'C1-Incomes'!DU28/'C1-Incomes'!$DR28</f>
        <v>0.10627471678860237</v>
      </c>
      <c r="DU26" s="59">
        <f>'C1-Incomes'!DV28/'C1-Incomes'!$DR28</f>
        <v>7.7251952977143212E-2</v>
      </c>
      <c r="DV26" s="59">
        <f>'C1-Incomes'!DW28/'C1-Incomes'!$DR28</f>
        <v>3.7311982220255273E-2</v>
      </c>
      <c r="DW26" s="59">
        <f>'C1-Incomes'!DX28/'C1-Incomes'!$DR28</f>
        <v>1.3257460717328039E-2</v>
      </c>
      <c r="DX26" s="333"/>
      <c r="DZ26" s="59">
        <f>'C1-Incomes'!EA28/'C1-Incomes'!$DZ28</f>
        <v>0.33142192727977121</v>
      </c>
      <c r="EA26" s="59">
        <f>'C1-Incomes'!EB28/'C1-Incomes'!$DZ28</f>
        <v>0.22700226860004385</v>
      </c>
      <c r="EB26" s="59">
        <f>'C1-Incomes'!EC28/'C1-Incomes'!$DZ28</f>
        <v>0.10225102993946468</v>
      </c>
      <c r="EC26" s="59">
        <f>'C1-Incomes'!ED28/'C1-Incomes'!$DZ28</f>
        <v>7.4165981803233152E-2</v>
      </c>
      <c r="ED26" s="59">
        <f>'C1-Incomes'!EE28/'C1-Incomes'!$DZ28</f>
        <v>3.576327459451057E-2</v>
      </c>
      <c r="EE26" s="59">
        <f>'C1-Incomes'!EF28/'C1-Incomes'!$DZ28</f>
        <v>1.2695104593731315E-2</v>
      </c>
      <c r="EF26" s="59"/>
      <c r="EH26" s="59">
        <f>'C1-Incomes'!EI28/'C1-Incomes'!$EH28</f>
        <v>0.32835090614748896</v>
      </c>
      <c r="EI26" s="59">
        <f>'C1-Incomes'!EJ28/'C1-Incomes'!$EH28</f>
        <v>0.22309889155125404</v>
      </c>
      <c r="EJ26" s="59">
        <f>'C1-Incomes'!EK28/'C1-Incomes'!$EH28</f>
        <v>9.8936813194267559E-2</v>
      </c>
      <c r="EK26" s="59">
        <f>'C1-Incomes'!EL28/'C1-Incomes'!$EH28</f>
        <v>7.1548670521749153E-2</v>
      </c>
      <c r="EL26" s="59">
        <f>'C1-Incomes'!EM28/'C1-Incomes'!$EH28</f>
        <v>3.4426305503419331E-2</v>
      </c>
      <c r="EM26" s="59">
        <f>'C1-Incomes'!EN28/'C1-Incomes'!$EH28</f>
        <v>1.2204040561073371E-2</v>
      </c>
      <c r="EN26" s="59"/>
      <c r="EO26" s="59"/>
      <c r="EP26" s="59">
        <f>'C1-Incomes'!EQ28/'C1-Incomes'!$EH28</f>
        <v>0.34176443944502238</v>
      </c>
      <c r="EQ26" s="59">
        <f>'C1-Incomes'!ER28/'C1-Incomes'!$EH28</f>
        <v>0.23078681306134968</v>
      </c>
      <c r="ER26" s="59">
        <f>'C1-Incomes'!ES28/'C1-Incomes'!$EH28</f>
        <v>0.10100055691404096</v>
      </c>
      <c r="ES26" s="59">
        <f>'C1-Incomes'!ET28/'C1-Incomes'!$EH28</f>
        <v>7.2771705185693134E-2</v>
      </c>
      <c r="ET26" s="59">
        <f>'C1-Incomes'!EU28/'C1-Incomes'!$EH28</f>
        <v>3.478835401727353E-2</v>
      </c>
      <c r="EU26" s="59">
        <f>'C1-Incomes'!EV28/'C1-Incomes'!$EH28</f>
        <v>1.2279641115612271E-2</v>
      </c>
      <c r="EV26" s="59"/>
      <c r="EW26" s="59"/>
      <c r="EX26" s="59">
        <f>'C1-Incomes'!EY28/'C1-Incomes'!$EX28</f>
        <v>0.31985016409628225</v>
      </c>
      <c r="EY26" s="59">
        <f>'C1-Incomes'!EZ28/'C1-Incomes'!$EX28</f>
        <v>0.21468684908911492</v>
      </c>
      <c r="EZ26" s="59">
        <f>'C1-Incomes'!FA28/'C1-Incomes'!$EX28</f>
        <v>9.261465973160031E-2</v>
      </c>
      <c r="FA26" s="59">
        <f>'C1-Incomes'!FB28/'C1-Incomes'!$EX28</f>
        <v>6.647632294353327E-2</v>
      </c>
      <c r="FB26" s="59">
        <f>'C1-Incomes'!FC28/'C1-Incomes'!$EX28</f>
        <v>3.1603826630484409E-2</v>
      </c>
      <c r="FC26" s="59">
        <f>'C1-Incomes'!FD28/'C1-Incomes'!$EX28</f>
        <v>1.1126773946758959E-2</v>
      </c>
      <c r="FD26" s="59"/>
      <c r="FF26" s="59">
        <f>'C1-Incomes'!FG28/'C1-Incomes'!$FF28</f>
        <v>0.30722608393809825</v>
      </c>
      <c r="FG26" s="59">
        <f>'C1-Incomes'!FH28/'C1-Incomes'!$FF28</f>
        <v>0.20618272507150545</v>
      </c>
      <c r="FH26" s="59">
        <f>'C1-Incomes'!FI28/'C1-Incomes'!$FF28</f>
        <v>8.8728838796038795E-2</v>
      </c>
      <c r="FI26" s="59">
        <f>'C1-Incomes'!FJ28/'C1-Incomes'!$FF28</f>
        <v>6.3572223916791085E-2</v>
      </c>
      <c r="FJ26" s="59">
        <f>'C1-Incomes'!FK28/'C1-Incomes'!$FF28</f>
        <v>3.0126824860591931E-2</v>
      </c>
      <c r="FK26" s="59">
        <f>'C1-Incomes'!FL28/'C1-Incomes'!$FF28</f>
        <v>1.0596108354745776E-2</v>
      </c>
      <c r="FN26" s="59">
        <f>'C1-Incomes'!FO28/'C1-Incomes'!$FN28</f>
        <v>0.30543578902432389</v>
      </c>
      <c r="FO26" s="59">
        <f>'C1-Incomes'!FP28/'C1-Incomes'!$FN28</f>
        <v>0.20491953603379265</v>
      </c>
      <c r="FP26" s="59">
        <f>'C1-Incomes'!FQ28/'C1-Incomes'!$FN28</f>
        <v>8.8175604618347544E-2</v>
      </c>
      <c r="FQ26" s="59">
        <f>'C1-Incomes'!FR28/'C1-Incomes'!$FN28</f>
        <v>6.3174340285705136E-2</v>
      </c>
      <c r="FR26" s="59">
        <f>'C1-Incomes'!FS28/'C1-Incomes'!$FN28</f>
        <v>2.9937914699598188E-2</v>
      </c>
      <c r="FS26" s="59">
        <f>'C1-Incomes'!FT28/'C1-Incomes'!$FN28</f>
        <v>1.0529643428762779E-2</v>
      </c>
      <c r="FV26" s="59">
        <f>'C1-Incomes'!FW28/'C1-Incomes'!$FV28</f>
        <v>0.30122824943514603</v>
      </c>
      <c r="FW26" s="59">
        <f>'C1-Incomes'!FX28/'C1-Incomes'!$FV28</f>
        <v>0.20200070914432763</v>
      </c>
      <c r="FX26" s="59">
        <f>'C1-Incomes'!FY28/'C1-Incomes'!$FV28</f>
        <v>8.6855005557195303E-2</v>
      </c>
      <c r="FY26" s="59">
        <f>'C1-Incomes'!FZ28/'C1-Incomes'!$FV28</f>
        <v>6.2216030620946786E-2</v>
      </c>
      <c r="FZ26" s="59">
        <f>'C1-Incomes'!GA28/'C1-Incomes'!$FV28</f>
        <v>2.9476089405537219E-2</v>
      </c>
      <c r="GA26" s="59">
        <f>'C1-Incomes'!GB28/'C1-Incomes'!$FV28</f>
        <v>1.0365798898202693E-2</v>
      </c>
      <c r="GE26" s="59">
        <f>'C1-Incomes'!GF28/'C1-Incomes'!$GE28</f>
        <v>0.29820981763940907</v>
      </c>
      <c r="GF26" s="59">
        <f>'C1-Incomes'!GG28/'C1-Incomes'!$GE28</f>
        <v>0.19982266223758932</v>
      </c>
      <c r="GG26" s="59">
        <f>'C1-Incomes'!GH28/'C1-Incomes'!$GE28</f>
        <v>8.5802014348051472E-2</v>
      </c>
      <c r="GH26" s="59">
        <f>'C1-Incomes'!GI28/'C1-Incomes'!$GE28</f>
        <v>6.1446455860104339E-2</v>
      </c>
      <c r="GI26" s="59">
        <f>'C1-Incomes'!GJ28/'C1-Incomes'!$GE28</f>
        <v>2.9120009536240686E-2</v>
      </c>
      <c r="GJ26" s="59">
        <f>'C1-Incomes'!GK28/'C1-Incomes'!$GE28</f>
        <v>1.0236048530499055E-2</v>
      </c>
      <c r="GM26" s="59">
        <f>'C1-Incomes'!GN28/'C1-Incomes'!$GM28</f>
        <v>0.29211360436938694</v>
      </c>
      <c r="GN26" s="59">
        <f>'C1-Incomes'!GO28/'C1-Incomes'!$GM28</f>
        <v>0.19573774788156054</v>
      </c>
      <c r="GO26" s="59">
        <f>'C1-Incomes'!GP28/'C1-Incomes'!$GM28</f>
        <v>8.4047989673063372E-2</v>
      </c>
      <c r="GP26" s="59">
        <f>'C1-Incomes'!GQ28/'C1-Incomes'!$GM28</f>
        <v>6.0190324514143259E-2</v>
      </c>
      <c r="GQ26" s="59">
        <f>'C1-Incomes'!GR28/'C1-Incomes'!$GM28</f>
        <v>2.8524717972860103E-2</v>
      </c>
      <c r="GR26" s="59">
        <f>'C1-Incomes'!GS28/'C1-Incomes'!$GM28</f>
        <v>1.0026796080736741E-2</v>
      </c>
      <c r="GU26" s="59">
        <f>'C1-Incomes'!GV28/'C1-Incomes'!$GU28</f>
        <v>0.27085337864136083</v>
      </c>
      <c r="GV26" s="59">
        <f>'C1-Incomes'!GW28/'C1-Incomes'!$GU28</f>
        <v>0.17843541419446035</v>
      </c>
      <c r="GW26" s="59">
        <f>'C1-Incomes'!GX28/'C1-Incomes'!$GU28</f>
        <v>7.4304200497668935E-2</v>
      </c>
      <c r="GX26" s="59">
        <f>'C1-Incomes'!GY28/'C1-Incomes'!$GU28</f>
        <v>5.2668679772301691E-2</v>
      </c>
      <c r="GY26" s="59">
        <f>'C1-Incomes'!GZ28/'C1-Incomes'!$GU28</f>
        <v>2.4710779033373664E-2</v>
      </c>
      <c r="GZ26" s="59">
        <f>'C1-Incomes'!HA28/'C1-Incomes'!$GU28</f>
        <v>8.6028792467795646E-3</v>
      </c>
      <c r="HC26" s="59">
        <f>'C1-Incomes'!HD28/'C1-Incomes'!$HC28</f>
        <v>0.26802853749086625</v>
      </c>
      <c r="HD26" s="59">
        <f>'C1-Incomes'!HE28/'C1-Incomes'!$HC28</f>
        <v>0.17584103363781334</v>
      </c>
      <c r="HE26" s="59">
        <f>'C1-Incomes'!HF28/'C1-Incomes'!$HC28</f>
        <v>7.2984380589024289E-2</v>
      </c>
      <c r="HF26" s="59">
        <f>'C1-Incomes'!HG28/'C1-Incomes'!$HC28</f>
        <v>5.1752859541232279E-2</v>
      </c>
      <c r="HG26" s="59">
        <f>'C1-Incomes'!HH28/'C1-Incomes'!$HC28</f>
        <v>2.4165387622175894E-2</v>
      </c>
      <c r="HH26" s="59">
        <f>'C1-Incomes'!HI28/'C1-Incomes'!$HC28</f>
        <v>8.4266725298036155E-3</v>
      </c>
      <c r="HK26" s="59">
        <f>'C1-Incomes'!HL28/'C1-Incomes'!$HK28</f>
        <v>0.26368956920400655</v>
      </c>
      <c r="HL26" s="59">
        <f>'C1-Incomes'!HM28/'C1-Incomes'!$HK28</f>
        <v>0.17154812631287752</v>
      </c>
      <c r="HM26" s="59">
        <f>'C1-Incomes'!HN28/'C1-Incomes'!$HK28</f>
        <v>6.9473412964573197E-2</v>
      </c>
      <c r="HN26" s="59">
        <f>'C1-Incomes'!HO28/'C1-Incomes'!$HK28</f>
        <v>4.8852023711711469E-2</v>
      </c>
      <c r="HO26" s="59">
        <f>'C1-Incomes'!HP28/'C1-Incomes'!$HK28</f>
        <v>2.2457926331881022E-2</v>
      </c>
      <c r="HP26" s="59">
        <f>'C1-Incomes'!HQ28/'C1-Incomes'!$HK28</f>
        <v>7.7085785449613415E-3</v>
      </c>
      <c r="HS26" s="59">
        <f>'C1-Incomes'!HT28/'C1-Incomes'!$HS28</f>
        <v>0.26023367455293872</v>
      </c>
      <c r="HT26" s="59">
        <f>'C1-Incomes'!HU28/'C1-Incomes'!$HS28</f>
        <v>0.16876721423199842</v>
      </c>
      <c r="HU26" s="59">
        <f>'C1-Incomes'!HV28/'C1-Incomes'!$HS28</f>
        <v>6.7868886226558595E-2</v>
      </c>
      <c r="HV26" s="59">
        <f>'C1-Incomes'!HW28/'C1-Incomes'!$HS28</f>
        <v>4.7626498894829471E-2</v>
      </c>
      <c r="HW26" s="59">
        <f>'C1-Incomes'!HX28/'C1-Incomes'!$HS28</f>
        <v>2.1920044817809042E-2</v>
      </c>
      <c r="HX26" s="59">
        <f>'C1-Incomes'!HY28/'C1-Incomes'!$HS28</f>
        <v>7.5143111227363429E-3</v>
      </c>
      <c r="IA26" s="59">
        <f>'C1-Incomes'!IB28/'C1-Incomes'!$IA28</f>
        <v>0.26382797780881001</v>
      </c>
      <c r="IB26" s="59">
        <f>'C1-Incomes'!IC28/'C1-Incomes'!$IA28</f>
        <v>0.17383562283800744</v>
      </c>
      <c r="IC26" s="59">
        <f>'C1-Incomes'!ID28/'C1-Incomes'!$IA28</f>
        <v>7.1966680912987024E-2</v>
      </c>
      <c r="ID26" s="59">
        <f>'C1-Incomes'!IE28/'C1-Incomes'!$IA28</f>
        <v>5.0753265617634408E-2</v>
      </c>
      <c r="IE26" s="59">
        <f>'C1-Incomes'!IF28/'C1-Incomes'!$IA28</f>
        <v>2.35093340058227E-2</v>
      </c>
      <c r="IF26" s="59">
        <f>'C1-Incomes'!IG28/'C1-Incomes'!$IA28</f>
        <v>8.0866718087246499E-3</v>
      </c>
      <c r="II26" s="59">
        <f>'C1-Incomes'!IJ28/'C1-Incomes'!$II28</f>
        <v>0.26521735502716648</v>
      </c>
      <c r="IJ26" s="59">
        <f>'C1-Incomes'!IK28/'C1-Incomes'!$II28</f>
        <v>0.17573129222609077</v>
      </c>
      <c r="IK26" s="59">
        <f>'C1-Incomes'!IL28/'C1-Incomes'!$II28</f>
        <v>7.3836101133574764E-2</v>
      </c>
      <c r="IL26" s="59">
        <f>'C1-Incomes'!IM28/'C1-Incomes'!$II28</f>
        <v>5.2224392419326401E-2</v>
      </c>
      <c r="IM26" s="59">
        <f>'C1-Incomes'!IN28/'C1-Incomes'!$II28</f>
        <v>2.4312099558405395E-2</v>
      </c>
      <c r="IN26" s="59">
        <f>'C1-Incomes'!IO28/'C1-Incomes'!$II28</f>
        <v>8.3803456531607763E-3</v>
      </c>
      <c r="IQ26" s="59">
        <f>'C1-Incomes'!IR28/'C1-Incomes'!$IQ28</f>
        <v>0.26608931431447458</v>
      </c>
      <c r="IR26" s="59">
        <f>'C1-Incomes'!IS28/'C1-Incomes'!$IQ28</f>
        <v>0.17638783724564847</v>
      </c>
      <c r="IS26" s="59">
        <f>'C1-Incomes'!IT28/'C1-Incomes'!$IQ28</f>
        <v>7.4210490574496829E-2</v>
      </c>
      <c r="IT26" s="59">
        <f>'C1-Incomes'!IU28/'C1-Incomes'!$IQ28</f>
        <v>5.2505095889709461E-2</v>
      </c>
      <c r="IU26" s="59">
        <f>'C1-Incomes'!IV28/'C1-Incomes'!$IQ28</f>
        <v>2.4451222436653729E-2</v>
      </c>
      <c r="IV26" s="59">
        <f>'C1-Incomes'!IW28/'C1-Incomes'!$IQ28</f>
        <v>8.4290341811299151E-3</v>
      </c>
      <c r="IY26" s="59">
        <f>'C1-Incomes'!IZ28/'C1-Incomes'!$IY28</f>
        <v>0.24868169542293567</v>
      </c>
      <c r="IZ26" s="59">
        <f>'C1-Incomes'!JA28/'C1-Incomes'!$IY28</f>
        <v>0.16350031676949273</v>
      </c>
      <c r="JA26" s="59">
        <f>'C1-Incomes'!JB28/'C1-Incomes'!$IY28</f>
        <v>6.7709847776369403E-2</v>
      </c>
      <c r="JB26" s="59">
        <f>'C1-Incomes'!JC28/'C1-Incomes'!$IY28</f>
        <v>4.7830261842165989E-2</v>
      </c>
      <c r="JC26" s="59">
        <f>'C1-Incomes'!JD28/'C1-Incomes'!$IY28</f>
        <v>2.2149804891476346E-2</v>
      </c>
      <c r="JD26" s="59">
        <f>'C1-Incomes'!JE28/'C1-Incomes'!$IY28</f>
        <v>7.6154244010100741E-3</v>
      </c>
      <c r="JE26" s="197"/>
      <c r="JF26" s="197"/>
      <c r="JG26" s="197"/>
      <c r="JH26" s="197"/>
      <c r="JI26" s="197"/>
      <c r="JJ26" s="197"/>
      <c r="JK26" s="197"/>
      <c r="JL26" s="197"/>
      <c r="JM26" s="197"/>
      <c r="JN26" s="197"/>
      <c r="JO26" s="197"/>
      <c r="JP26" s="197"/>
      <c r="JQ26" s="197"/>
      <c r="JR26" s="197"/>
      <c r="JS26" s="197"/>
      <c r="JT26" s="197"/>
      <c r="JU26" s="197"/>
      <c r="JV26" s="197"/>
      <c r="JW26" s="197"/>
      <c r="JX26" s="197"/>
      <c r="JY26" s="197"/>
      <c r="JZ26" s="197"/>
      <c r="KA26" s="197"/>
      <c r="KB26" s="197"/>
      <c r="KC26" s="197"/>
      <c r="KD26" s="197"/>
      <c r="KE26" s="197"/>
      <c r="KF26" s="197"/>
      <c r="KG26" s="197"/>
      <c r="KH26" s="197"/>
      <c r="KI26" s="197"/>
      <c r="KJ26" s="197"/>
      <c r="KK26" s="197"/>
      <c r="KL26" s="197"/>
      <c r="KM26" s="197"/>
      <c r="KN26" s="197"/>
      <c r="KO26" s="197"/>
      <c r="KP26" s="197"/>
      <c r="KQ26" s="197"/>
      <c r="KR26" s="197"/>
      <c r="KS26" s="197"/>
      <c r="KT26" s="197"/>
      <c r="KU26" s="197"/>
      <c r="KV26" s="197"/>
      <c r="KW26" s="197"/>
      <c r="KX26" s="197"/>
      <c r="KY26" s="197"/>
      <c r="KZ26" s="197"/>
      <c r="LA26" s="197"/>
      <c r="LB26" s="197"/>
      <c r="LC26" s="197"/>
      <c r="LD26" s="197"/>
      <c r="LE26" s="197"/>
      <c r="LF26" s="197"/>
      <c r="LG26" s="197"/>
      <c r="LH26" s="197"/>
      <c r="LI26" s="197"/>
      <c r="LJ26" s="197"/>
      <c r="LK26" s="197"/>
      <c r="LL26" s="197"/>
      <c r="LM26" s="197"/>
      <c r="LN26" s="197"/>
      <c r="LO26" s="197"/>
      <c r="LP26" s="197"/>
      <c r="LQ26" s="197"/>
      <c r="LR26" s="197"/>
      <c r="LS26" s="197"/>
      <c r="LT26" s="197"/>
      <c r="LU26" s="197"/>
      <c r="LV26" s="197"/>
      <c r="LW26" s="197"/>
      <c r="LX26" s="197"/>
      <c r="LY26" s="197"/>
      <c r="LZ26" s="197"/>
      <c r="MA26" s="197"/>
      <c r="MB26" s="197"/>
      <c r="MC26" s="197"/>
      <c r="MD26" s="197"/>
      <c r="ME26" s="197"/>
      <c r="MF26" s="197"/>
      <c r="MG26" s="197"/>
      <c r="MH26" s="197"/>
      <c r="MI26" s="197"/>
      <c r="MJ26" s="197"/>
      <c r="MK26" s="197"/>
      <c r="ML26" s="197"/>
      <c r="MM26" s="197"/>
      <c r="MN26" s="197"/>
      <c r="MO26" s="197"/>
      <c r="MP26" s="197"/>
      <c r="MQ26" s="197"/>
      <c r="MR26" s="197"/>
      <c r="MS26" s="197"/>
      <c r="MT26" s="197"/>
      <c r="MU26" s="197"/>
      <c r="MV26" s="197"/>
      <c r="MW26" s="197"/>
      <c r="MX26" s="197"/>
      <c r="MY26" s="197"/>
      <c r="MZ26" s="197"/>
      <c r="NA26" s="197"/>
      <c r="NB26" s="197"/>
      <c r="NC26" s="197"/>
      <c r="ND26" s="197"/>
      <c r="NE26" s="197"/>
      <c r="NF26" s="197"/>
      <c r="NG26" s="197"/>
      <c r="NH26" s="197"/>
      <c r="NI26" s="197"/>
      <c r="NJ26" s="197"/>
      <c r="NK26" s="197"/>
      <c r="NL26" s="197"/>
      <c r="NM26" s="197"/>
      <c r="NN26" s="197"/>
      <c r="NO26" s="197"/>
      <c r="NP26" s="197"/>
      <c r="NQ26" s="197"/>
      <c r="NR26" s="197"/>
      <c r="NS26" s="197"/>
      <c r="NT26" s="197"/>
      <c r="NU26" s="197"/>
      <c r="NV26" s="197"/>
      <c r="NW26" s="197"/>
      <c r="NX26" s="197"/>
      <c r="NY26" s="197"/>
      <c r="NZ26" s="197"/>
      <c r="OA26" s="197"/>
      <c r="OB26" s="197"/>
      <c r="OC26" s="197"/>
      <c r="OD26" s="197"/>
      <c r="OE26" s="197"/>
      <c r="OF26" s="197"/>
      <c r="OG26" s="197"/>
      <c r="OH26" s="197"/>
      <c r="OI26" s="197"/>
      <c r="OJ26" s="197"/>
      <c r="OK26" s="197"/>
      <c r="OL26" s="197"/>
      <c r="OM26" s="197"/>
      <c r="ON26" s="197"/>
      <c r="OO26" s="197"/>
      <c r="OP26" s="197"/>
      <c r="OQ26" s="197"/>
      <c r="OR26" s="197"/>
      <c r="OS26" s="197"/>
      <c r="OT26" s="197"/>
      <c r="OU26" s="197"/>
      <c r="OV26" s="197"/>
      <c r="OW26" s="197"/>
      <c r="OX26" s="197"/>
      <c r="OY26" s="197"/>
      <c r="OZ26" s="197"/>
      <c r="PA26" s="197"/>
      <c r="PB26" s="197"/>
    </row>
    <row r="27" spans="1:418" s="77" customFormat="1" ht="10.5" customHeight="1" x14ac:dyDescent="0.2">
      <c r="A27" s="48">
        <v>1981</v>
      </c>
      <c r="B27" s="59">
        <f>'C1-Incomes'!C29/'C1-Incomes'!$B29</f>
        <v>0.33022582598982242</v>
      </c>
      <c r="C27" s="59">
        <f>'C1-Incomes'!D29/'C1-Incomes'!$B29</f>
        <v>0.21200474598542121</v>
      </c>
      <c r="D27" s="59">
        <f>'C1-Incomes'!E29/'C1-Incomes'!$B29</f>
        <v>8.0489363606599071E-2</v>
      </c>
      <c r="E27" s="59">
        <f>'C1-Incomes'!F29/'C1-Incomes'!$B29</f>
        <v>5.3911975427820211E-2</v>
      </c>
      <c r="F27" s="59">
        <f>'C1-Incomes'!G29/'C1-Incomes'!$B29</f>
        <v>2.175058273329172E-2</v>
      </c>
      <c r="G27" s="59">
        <f>'C1-Incomes'!H29/'C1-Incomes'!$B29</f>
        <v>6.3583271556500965E-3</v>
      </c>
      <c r="H27" s="199"/>
      <c r="J27" s="59">
        <f>'C1-Incomes'!K29/'C1-Incomes'!$J29</f>
        <v>0.31760788097102827</v>
      </c>
      <c r="K27" s="59">
        <f>'C1-Incomes'!L29/'C1-Incomes'!$J29</f>
        <v>0.21160880887787314</v>
      </c>
      <c r="L27" s="59">
        <f>'C1-Incomes'!M29/'C1-Incomes'!$J29</f>
        <v>8.9262196264253163E-2</v>
      </c>
      <c r="M27" s="59">
        <f>'C1-Incomes'!N29/'C1-Incomes'!$J29</f>
        <v>6.3630557549413755E-2</v>
      </c>
      <c r="N27" s="59">
        <f>'C1-Incomes'!O29/'C1-Incomes'!$J29</f>
        <v>3.0021450201966081E-2</v>
      </c>
      <c r="O27" s="59">
        <f>'C1-Incomes'!P29/'C1-Incomes'!$J29</f>
        <v>1.0495172584856539E-2</v>
      </c>
      <c r="P27" s="59"/>
      <c r="R27" s="59">
        <f>'C1-Incomes'!S29/'C1-Incomes'!$R29</f>
        <v>0.29044319472284275</v>
      </c>
      <c r="S27" s="59">
        <f>'C1-Incomes'!T29/'C1-Incomes'!$R29</f>
        <v>0.19302723319898679</v>
      </c>
      <c r="T27" s="59">
        <f>'C1-Incomes'!U29/'C1-Incomes'!$R29</f>
        <v>8.0968223140013368E-2</v>
      </c>
      <c r="U27" s="59">
        <f>'C1-Incomes'!V29/'C1-Incomes'!$R29</f>
        <v>5.75833857008431E-2</v>
      </c>
      <c r="V27" s="59">
        <f>'C1-Incomes'!W29/'C1-Incomes'!$R29</f>
        <v>2.7063687555561891E-2</v>
      </c>
      <c r="W27" s="59">
        <f>'C1-Incomes'!X29/'C1-Incomes'!$R29</f>
        <v>9.4477003757962967E-3</v>
      </c>
      <c r="X27" s="59"/>
      <c r="Y27" s="59"/>
      <c r="Z27" s="59">
        <f>'C1-Incomes'!AA29/'C1-Incomes'!$Z29</f>
        <v>0.24881254170883332</v>
      </c>
      <c r="AA27" s="59">
        <f>'C1-Incomes'!AB29/'C1-Incomes'!$Z29</f>
        <v>0.16361325384849426</v>
      </c>
      <c r="AB27" s="59">
        <f>'C1-Incomes'!AC29/'C1-Incomes'!$Z29</f>
        <v>6.7240971676688424E-2</v>
      </c>
      <c r="AC27" s="59">
        <f>'C1-Incomes'!AD29/'C1-Incomes'!$Z29</f>
        <v>4.7137179896966884E-2</v>
      </c>
      <c r="AD27" s="59">
        <f>'C1-Incomes'!AE29/'C1-Incomes'!$Z29</f>
        <v>2.1983895696245766E-2</v>
      </c>
      <c r="AE27" s="59">
        <f>'C1-Incomes'!AF29/'C1-Incomes'!$Z29</f>
        <v>7.5576108575755733E-3</v>
      </c>
      <c r="AF27" s="200"/>
      <c r="AG27" s="195"/>
      <c r="AH27" s="59">
        <f>'C1-Incomes'!AI29/'C1-Incomes'!$AH29</f>
        <v>0.3295220925309349</v>
      </c>
      <c r="AI27" s="59">
        <f>'C1-Incomes'!AJ29/'C1-Incomes'!$AH29</f>
        <v>0.21077679767417951</v>
      </c>
      <c r="AJ27" s="59">
        <f>'C1-Incomes'!AK29/'C1-Incomes'!$AH29</f>
        <v>7.9660270996997198E-2</v>
      </c>
      <c r="AK27" s="59">
        <f>'C1-Incomes'!AL29/'C1-Incomes'!$AH29</f>
        <v>5.336400819239593E-2</v>
      </c>
      <c r="AL27" s="59">
        <f>'C1-Incomes'!AM29/'C1-Incomes'!$AH29</f>
        <v>2.1586912344840638E-2</v>
      </c>
      <c r="AM27" s="59">
        <f>'C1-Incomes'!AN29/'C1-Incomes'!$AH29</f>
        <v>6.3306868059209483E-3</v>
      </c>
      <c r="AN27" s="195"/>
      <c r="AO27" s="195"/>
      <c r="AP27" s="59">
        <f>'C1-Incomes'!AQ29/'C1-Incomes'!$AP29</f>
        <v>0.33192533244713374</v>
      </c>
      <c r="AQ27" s="59">
        <f>'C1-Incomes'!AR29/'C1-Incomes'!$AP29</f>
        <v>0.21411415102932341</v>
      </c>
      <c r="AR27" s="59">
        <f>'C1-Incomes'!AS29/'C1-Incomes'!$AP29</f>
        <v>8.3549179062917506E-2</v>
      </c>
      <c r="AS27" s="59">
        <f>'C1-Incomes'!AT29/'C1-Incomes'!$AP29</f>
        <v>5.6846753282340762E-2</v>
      </c>
      <c r="AT27" s="59">
        <f>'C1-Incomes'!AU29/'C1-Incomes'!$AP29</f>
        <v>2.3584714885987755E-2</v>
      </c>
      <c r="AU27" s="59">
        <f>'C1-Incomes'!AV29/'C1-Incomes'!$AP29</f>
        <v>7.0448667676550128E-3</v>
      </c>
      <c r="AV27" s="197"/>
      <c r="AW27" s="60"/>
      <c r="AX27" s="59">
        <f>'C1-Incomes'!AY29/'C1-Incomes'!$AX29</f>
        <v>0.33543316415238528</v>
      </c>
      <c r="AY27" s="59">
        <f>'C1-Incomes'!AZ29/'C1-Incomes'!$AX29</f>
        <v>0.21791245316031038</v>
      </c>
      <c r="AZ27" s="59">
        <f>'C1-Incomes'!BA29/'C1-Incomes'!$AX29</f>
        <v>8.6851318639556016E-2</v>
      </c>
      <c r="BA27" s="59">
        <f>'C1-Incomes'!BB29/'C1-Incomes'!$AX29</f>
        <v>5.9650022281316828E-2</v>
      </c>
      <c r="BB27" s="59">
        <f>'C1-Incomes'!BC29/'C1-Incomes'!$AX29</f>
        <v>2.5346977942799182E-2</v>
      </c>
      <c r="BC27" s="59">
        <f>'C1-Incomes'!BD29/'C1-Incomes'!$AX29</f>
        <v>7.6154404757143284E-3</v>
      </c>
      <c r="BD27" s="60"/>
      <c r="BE27" s="60"/>
      <c r="BF27" s="59">
        <f>'C1-Incomes'!BG29/'C1-Incomes'!$BF29</f>
        <v>0.33315768775282678</v>
      </c>
      <c r="BG27" s="59">
        <f>'C1-Incomes'!BH29/'C1-Incomes'!$BF29</f>
        <v>0.21622956982073382</v>
      </c>
      <c r="BH27" s="59">
        <f>'C1-Incomes'!BI29/'C1-Incomes'!$BF29</f>
        <v>8.6305197644932108E-2</v>
      </c>
      <c r="BI27" s="59">
        <f>'C1-Incomes'!BJ29/'C1-Incomes'!$BF29</f>
        <v>5.9373562955573264E-2</v>
      </c>
      <c r="BJ27" s="59">
        <f>'C1-Incomes'!BK29/'C1-Incomes'!$BF29</f>
        <v>2.5358115944708579E-2</v>
      </c>
      <c r="BK27" s="59">
        <f>'C1-Incomes'!BL29/'C1-Incomes'!$BF29</f>
        <v>7.6683717264192253E-3</v>
      </c>
      <c r="BL27" s="59"/>
      <c r="BM27" s="59"/>
      <c r="BN27" s="59">
        <f>'C1-Incomes'!BO29/'C1-Incomes'!$BN29</f>
        <v>0.30915200678756938</v>
      </c>
      <c r="BO27" s="59">
        <f>'C1-Incomes'!BP29/'C1-Incomes'!$BN29</f>
        <v>0.2019442000615029</v>
      </c>
      <c r="BP27" s="59">
        <f>'C1-Incomes'!BQ29/'C1-Incomes'!$BN29</f>
        <v>7.9004294111532938E-2</v>
      </c>
      <c r="BQ27" s="59">
        <f>'C1-Incomes'!BR29/'C1-Incomes'!$BN29</f>
        <v>5.4417737596260569E-2</v>
      </c>
      <c r="BR27" s="59">
        <f>'C1-Incomes'!BS29/'C1-Incomes'!$BN29</f>
        <v>2.3844568684205522E-2</v>
      </c>
      <c r="BS27" s="59">
        <f>'C1-Incomes'!BT29/'C1-Incomes'!$BN29</f>
        <v>7.4965994115520143E-3</v>
      </c>
      <c r="BT27" s="59"/>
      <c r="BU27" s="59"/>
      <c r="BV27" s="59">
        <f>'C1-Incomes'!BW29/'C1-Incomes'!$BV29</f>
        <v>0.3118646100087078</v>
      </c>
      <c r="BW27" s="59">
        <f>'C1-Incomes'!BX29/'C1-Incomes'!$BV29</f>
        <v>0.20473580935397886</v>
      </c>
      <c r="BX27" s="59">
        <f>'C1-Incomes'!BY29/'C1-Incomes'!$BV29</f>
        <v>8.1618252475079658E-2</v>
      </c>
      <c r="BY27" s="59">
        <f>'C1-Incomes'!BZ29/'C1-Incomes'!$BV29</f>
        <v>5.6613751702203806E-2</v>
      </c>
      <c r="BZ27" s="59">
        <f>'C1-Incomes'!CA29/'C1-Incomes'!$BV29</f>
        <v>2.5208159285372594E-2</v>
      </c>
      <c r="CA27" s="59">
        <f>'C1-Incomes'!CB29/'C1-Incomes'!$BV29</f>
        <v>8.136277598201026E-3</v>
      </c>
      <c r="CB27" s="60"/>
      <c r="CC27" s="198"/>
      <c r="CD27" s="59">
        <f>'C1-Incomes'!CE29/'C1-Incomes'!$CD29</f>
        <v>0.32376269789459772</v>
      </c>
      <c r="CE27" s="59">
        <f>'C1-Incomes'!CF29/'C1-Incomes'!$CD29</f>
        <v>0.21775162937928774</v>
      </c>
      <c r="CF27" s="59">
        <f>'C1-Incomes'!CG29/'C1-Incomes'!$CD29</f>
        <v>9.2620651122692285E-2</v>
      </c>
      <c r="CG27" s="59">
        <f>'C1-Incomes'!CH29/'C1-Incomes'!$CD29</f>
        <v>6.5868294489436888E-2</v>
      </c>
      <c r="CH27" s="59">
        <f>'C1-Incomes'!CI29/'C1-Incomes'!$CD29</f>
        <v>3.0881349837260784E-2</v>
      </c>
      <c r="CI27" s="59">
        <f>'C1-Incomes'!CJ29/'C1-Incomes'!$CD29</f>
        <v>1.064147839642323E-2</v>
      </c>
      <c r="CL27" s="59">
        <f>'C1-Incomes'!CM29/'C1-Incomes'!$CL29</f>
        <v>0.32677724853865381</v>
      </c>
      <c r="CM27" s="59">
        <f>'C1-Incomes'!CN29/'C1-Incomes'!$CL29</f>
        <v>0.22076191612428578</v>
      </c>
      <c r="CN27" s="59">
        <f>'C1-Incomes'!CO29/'C1-Incomes'!$CL29</f>
        <v>9.5030333745010437E-2</v>
      </c>
      <c r="CO27" s="59">
        <f>'C1-Incomes'!CP29/'C1-Incomes'!$CL29</f>
        <v>6.7963994666775981E-2</v>
      </c>
      <c r="CP27" s="59">
        <f>'C1-Incomes'!CQ29/'C1-Incomes'!$CL29</f>
        <v>3.2145393713254096E-2</v>
      </c>
      <c r="CQ27" s="59">
        <f>'C1-Incomes'!CR29/'C1-Incomes'!$CL29</f>
        <v>1.1195722093902365E-2</v>
      </c>
      <c r="CR27" s="59"/>
      <c r="CS27" s="59"/>
      <c r="CT27" s="59">
        <f>'C1-Incomes'!CU29/'C1-Incomes'!$CT29</f>
        <v>0.32887256424235867</v>
      </c>
      <c r="CU27" s="59">
        <f>'C1-Incomes'!CV29/'C1-Incomes'!$CT29</f>
        <v>0.22290260282779192</v>
      </c>
      <c r="CV27" s="59">
        <f>'C1-Incomes'!CW29/'C1-Incomes'!$CT29</f>
        <v>9.66294128769071E-2</v>
      </c>
      <c r="CW27" s="59">
        <f>'C1-Incomes'!CX29/'C1-Incomes'!$CT29</f>
        <v>6.9184191277113838E-2</v>
      </c>
      <c r="CX27" s="59">
        <f>'C1-Incomes'!CY29/'C1-Incomes'!$CT29</f>
        <v>3.2820567309348771E-2</v>
      </c>
      <c r="CY27" s="59">
        <f>'C1-Incomes'!CZ29/'C1-Incomes'!$CT29</f>
        <v>1.1470164979408278E-2</v>
      </c>
      <c r="CZ27" s="59"/>
      <c r="DA27" s="59"/>
      <c r="DB27" s="59">
        <f>'C1-Incomes'!DC29/'C1-Incomes'!$DB29</f>
        <v>0.33506496747219633</v>
      </c>
      <c r="DC27" s="59">
        <f>'C1-Incomes'!DD29/'C1-Incomes'!$DB29</f>
        <v>0.22904197550185071</v>
      </c>
      <c r="DD27" s="59">
        <f>'C1-Incomes'!DE29/'C1-Incomes'!$DB29</f>
        <v>0.10134820991892021</v>
      </c>
      <c r="DE27" s="59">
        <f>'C1-Incomes'!DF29/'C1-Incomes'!$DB29</f>
        <v>7.3165492481829672E-2</v>
      </c>
      <c r="DF27" s="59">
        <f>'C1-Incomes'!DG29/'C1-Incomes'!$DB29</f>
        <v>3.5237970642331966E-2</v>
      </c>
      <c r="DG27" s="59">
        <f>'C1-Incomes'!DH29/'C1-Incomes'!$DB29</f>
        <v>1.2478885277143283E-2</v>
      </c>
      <c r="DH27" s="59"/>
      <c r="DI27" s="1039"/>
      <c r="DJ27" s="59">
        <f>'C1-Incomes'!DK29/'C1-Incomes'!$DJ29</f>
        <v>0.33652413078787535</v>
      </c>
      <c r="DK27" s="59">
        <f>'C1-Incomes'!DL29/'C1-Incomes'!$DJ29</f>
        <v>0.23193290704992475</v>
      </c>
      <c r="DL27" s="59">
        <f>'C1-Incomes'!DM29/'C1-Incomes'!$DJ29</f>
        <v>0.1036863986251015</v>
      </c>
      <c r="DM27" s="59">
        <f>'C1-Incomes'!DN29/'C1-Incomes'!$DJ29</f>
        <v>7.4882888135116774E-2</v>
      </c>
      <c r="DN27" s="59">
        <f>'C1-Incomes'!DO29/'C1-Incomes'!$DJ29</f>
        <v>3.6090045641968736E-2</v>
      </c>
      <c r="DO27" s="59">
        <f>'C1-Incomes'!DP29/'C1-Incomes'!$DJ29</f>
        <v>1.2748385106570679E-2</v>
      </c>
      <c r="DP27" s="696"/>
      <c r="DQ27" s="503"/>
      <c r="DR27" s="59">
        <f>'C1-Incomes'!DS29/'C1-Incomes'!$DR29</f>
        <v>0.33567751110699523</v>
      </c>
      <c r="DS27" s="59">
        <f>'C1-Incomes'!DT29/'C1-Incomes'!$DR29</f>
        <v>0.23072594952842951</v>
      </c>
      <c r="DT27" s="59">
        <f>'C1-Incomes'!DU29/'C1-Incomes'!$DR29</f>
        <v>0.10250493960734117</v>
      </c>
      <c r="DU27" s="59">
        <f>'C1-Incomes'!DV29/'C1-Incomes'!$DR29</f>
        <v>7.3872397942074647E-2</v>
      </c>
      <c r="DV27" s="59">
        <f>'C1-Incomes'!DW29/'C1-Incomes'!$DR29</f>
        <v>3.5537402871933937E-2</v>
      </c>
      <c r="DW27" s="59">
        <f>'C1-Incomes'!DX29/'C1-Incomes'!$DR29</f>
        <v>1.2507113551091223E-2</v>
      </c>
      <c r="DX27" s="333"/>
      <c r="DZ27" s="59">
        <f>'C1-Incomes'!EA29/'C1-Incomes'!$DZ29</f>
        <v>0.32916840272549708</v>
      </c>
      <c r="EA27" s="59">
        <f>'C1-Incomes'!EB29/'C1-Incomes'!$DZ29</f>
        <v>0.22421428419578696</v>
      </c>
      <c r="EB27" s="59">
        <f>'C1-Incomes'!EC29/'C1-Incomes'!$DZ29</f>
        <v>9.8540470523003201E-2</v>
      </c>
      <c r="EC27" s="59">
        <f>'C1-Incomes'!ED29/'C1-Incomes'!$DZ29</f>
        <v>7.0881173642728917E-2</v>
      </c>
      <c r="ED27" s="59">
        <f>'C1-Incomes'!EE29/'C1-Incomes'!$DZ29</f>
        <v>3.398581123108621E-2</v>
      </c>
      <c r="EE27" s="59">
        <f>'C1-Incomes'!EF29/'C1-Incomes'!$DZ29</f>
        <v>1.195585864420339E-2</v>
      </c>
      <c r="EF27" s="59"/>
      <c r="EH27" s="59">
        <f>'C1-Incomes'!EI29/'C1-Incomes'!$EH29</f>
        <v>0.32588201437246839</v>
      </c>
      <c r="EI27" s="59">
        <f>'C1-Incomes'!EJ29/'C1-Incomes'!$EH29</f>
        <v>0.22003227570053663</v>
      </c>
      <c r="EJ27" s="59">
        <f>'C1-Incomes'!EK29/'C1-Incomes'!$EH29</f>
        <v>9.5317814849073521E-2</v>
      </c>
      <c r="EK27" s="59">
        <f>'C1-Incomes'!EL29/'C1-Incomes'!$EH29</f>
        <v>6.83786330272525E-2</v>
      </c>
      <c r="EL27" s="59">
        <f>'C1-Incomes'!EM29/'C1-Incomes'!$EH29</f>
        <v>3.268117633107992E-2</v>
      </c>
      <c r="EM27" s="59">
        <f>'C1-Incomes'!EN29/'C1-Incomes'!$EH29</f>
        <v>1.1492228424539484E-2</v>
      </c>
      <c r="EN27" s="59"/>
      <c r="EO27" s="59"/>
      <c r="EP27" s="59">
        <f>'C1-Incomes'!EQ29/'C1-Incomes'!$EH29</f>
        <v>0.33813312743207752</v>
      </c>
      <c r="EQ27" s="59">
        <f>'C1-Incomes'!ER29/'C1-Incomes'!$EH29</f>
        <v>0.22681522392922987</v>
      </c>
      <c r="ER27" s="59">
        <f>'C1-Incomes'!ES29/'C1-Incomes'!$EH29</f>
        <v>9.7095798514669804E-2</v>
      </c>
      <c r="ES27" s="59">
        <f>'C1-Incomes'!ET29/'C1-Incomes'!$EH29</f>
        <v>6.9510457018612234E-2</v>
      </c>
      <c r="ET27" s="59">
        <f>'C1-Incomes'!EU29/'C1-Incomes'!$EH29</f>
        <v>3.2944157580293031E-2</v>
      </c>
      <c r="EU27" s="59">
        <f>'C1-Incomes'!EV29/'C1-Incomes'!$EH29</f>
        <v>1.15574635184655E-2</v>
      </c>
      <c r="EV27" s="59"/>
      <c r="EW27" s="59"/>
      <c r="EX27" s="59">
        <f>'C1-Incomes'!EY29/'C1-Incomes'!$EX29</f>
        <v>0.31760788097102827</v>
      </c>
      <c r="EY27" s="59">
        <f>'C1-Incomes'!EZ29/'C1-Incomes'!$EX29</f>
        <v>0.21160880887787314</v>
      </c>
      <c r="EZ27" s="59">
        <f>'C1-Incomes'!FA29/'C1-Incomes'!$EX29</f>
        <v>8.9262196264253163E-2</v>
      </c>
      <c r="FA27" s="59">
        <f>'C1-Incomes'!FB29/'C1-Incomes'!$EX29</f>
        <v>6.3630557549413755E-2</v>
      </c>
      <c r="FB27" s="59">
        <f>'C1-Incomes'!FC29/'C1-Incomes'!$EX29</f>
        <v>3.0021450201966081E-2</v>
      </c>
      <c r="FC27" s="59">
        <f>'C1-Incomes'!FD29/'C1-Incomes'!$EX29</f>
        <v>1.0495172584856539E-2</v>
      </c>
      <c r="FD27" s="59"/>
      <c r="FF27" s="59">
        <f>'C1-Incomes'!FG29/'C1-Incomes'!$FF29</f>
        <v>0.30497514361423894</v>
      </c>
      <c r="FG27" s="59">
        <f>'C1-Incomes'!FH29/'C1-Incomes'!$FF29</f>
        <v>0.2030419813569129</v>
      </c>
      <c r="FH27" s="59">
        <f>'C1-Incomes'!FI29/'C1-Incomes'!$FF29</f>
        <v>8.5400055179676609E-2</v>
      </c>
      <c r="FI27" s="59">
        <f>'C1-Incomes'!FJ29/'C1-Incomes'!$FF29</f>
        <v>6.0750456136221667E-2</v>
      </c>
      <c r="FJ27" s="59">
        <f>'C1-Incomes'!FK29/'C1-Incomes'!$FF29</f>
        <v>2.8563258577623339E-2</v>
      </c>
      <c r="FK27" s="59">
        <f>'C1-Incomes'!FL29/'C1-Incomes'!$FF29</f>
        <v>9.9750529963821468E-3</v>
      </c>
      <c r="FN27" s="59">
        <f>'C1-Incomes'!FO29/'C1-Incomes'!$FN29</f>
        <v>0.30352522185401981</v>
      </c>
      <c r="FO27" s="59">
        <f>'C1-Incomes'!FP29/'C1-Incomes'!$FN29</f>
        <v>0.20201193830598485</v>
      </c>
      <c r="FP27" s="59">
        <f>'C1-Incomes'!FQ29/'C1-Incomes'!$FN29</f>
        <v>8.4940117442617424E-2</v>
      </c>
      <c r="FQ27" s="59">
        <f>'C1-Incomes'!FR29/'C1-Incomes'!$FN29</f>
        <v>6.041635013862897E-2</v>
      </c>
      <c r="FR27" s="59">
        <f>'C1-Incomes'!FS29/'C1-Incomes'!$FN29</f>
        <v>2.8406146683473785E-2</v>
      </c>
      <c r="FS27" s="59">
        <f>'C1-Incomes'!FT29/'C1-Incomes'!$FN29</f>
        <v>9.9200904292942402E-3</v>
      </c>
      <c r="FV27" s="59">
        <f>'C1-Incomes'!FW29/'C1-Incomes'!$FV29</f>
        <v>0.29955275476260013</v>
      </c>
      <c r="FW27" s="59">
        <f>'C1-Incomes'!FX29/'C1-Incomes'!$FV29</f>
        <v>0.19927886701936079</v>
      </c>
      <c r="FX27" s="59">
        <f>'C1-Incomes'!FY29/'C1-Incomes'!$FV29</f>
        <v>8.3731554872143191E-2</v>
      </c>
      <c r="FY27" s="59">
        <f>'C1-Incomes'!FZ29/'C1-Incomes'!$FV29</f>
        <v>5.9545339556921546E-2</v>
      </c>
      <c r="FZ27" s="59">
        <f>'C1-Incomes'!GA29/'C1-Incomes'!$FV29</f>
        <v>2.7989343502348673E-2</v>
      </c>
      <c r="GA27" s="59">
        <f>'C1-Incomes'!GB29/'C1-Incomes'!$FV29</f>
        <v>9.7731904005916356E-3</v>
      </c>
      <c r="GE27" s="59">
        <f>'C1-Incomes'!GF29/'C1-Incomes'!$GE29</f>
        <v>0.29641684356671283</v>
      </c>
      <c r="GF27" s="59">
        <f>'C1-Incomes'!GG29/'C1-Incomes'!$GE29</f>
        <v>0.19699729319483172</v>
      </c>
      <c r="GG27" s="59">
        <f>'C1-Incomes'!GH29/'C1-Incomes'!$GE29</f>
        <v>8.2633525482566472E-2</v>
      </c>
      <c r="GH27" s="59">
        <f>'C1-Incomes'!GI29/'C1-Incomes'!$GE29</f>
        <v>5.8767723745830565E-2</v>
      </c>
      <c r="GI27" s="59">
        <f>'C1-Incomes'!GJ29/'C1-Incomes'!$GE29</f>
        <v>2.7620316076438122E-2</v>
      </c>
      <c r="GJ27" s="59">
        <f>'C1-Incomes'!GK29/'C1-Incomes'!$GE29</f>
        <v>9.6420146012714762E-3</v>
      </c>
      <c r="GM27" s="59">
        <f>'C1-Incomes'!GN29/'C1-Incomes'!$GM29</f>
        <v>0.29044319472284275</v>
      </c>
      <c r="GN27" s="59">
        <f>'C1-Incomes'!GO29/'C1-Incomes'!$GM29</f>
        <v>0.19302723319898679</v>
      </c>
      <c r="GO27" s="59">
        <f>'C1-Incomes'!GP29/'C1-Incomes'!$GM29</f>
        <v>8.0968223140013368E-2</v>
      </c>
      <c r="GP27" s="59">
        <f>'C1-Incomes'!GQ29/'C1-Incomes'!$GM29</f>
        <v>5.75833857008431E-2</v>
      </c>
      <c r="GQ27" s="59">
        <f>'C1-Incomes'!GR29/'C1-Incomes'!$GM29</f>
        <v>2.7063687555561891E-2</v>
      </c>
      <c r="GR27" s="59">
        <f>'C1-Incomes'!GS29/'C1-Incomes'!$GM29</f>
        <v>9.4477003757962967E-3</v>
      </c>
      <c r="GU27" s="59">
        <f>'C1-Incomes'!GV29/'C1-Incomes'!$GU29</f>
        <v>0.26952225705022664</v>
      </c>
      <c r="GV27" s="59">
        <f>'C1-Incomes'!GW29/'C1-Incomes'!$GU29</f>
        <v>0.1764238896701851</v>
      </c>
      <c r="GW27" s="59">
        <f>'C1-Incomes'!GX29/'C1-Incomes'!$GU29</f>
        <v>7.1969387400906137E-2</v>
      </c>
      <c r="GX27" s="59">
        <f>'C1-Incomes'!GY29/'C1-Incomes'!$GU29</f>
        <v>5.0527702984541914E-2</v>
      </c>
      <c r="GY27" s="59">
        <f>'C1-Incomes'!GZ29/'C1-Incomes'!$GU29</f>
        <v>2.3640566227995288E-2</v>
      </c>
      <c r="GZ27" s="59">
        <f>'C1-Incomes'!HA29/'C1-Incomes'!$GU29</f>
        <v>8.1751795419727769E-3</v>
      </c>
      <c r="HC27" s="59">
        <f>'C1-Incomes'!HD29/'C1-Incomes'!$HC29</f>
        <v>0.2666763643375869</v>
      </c>
      <c r="HD27" s="59">
        <f>'C1-Incomes'!HE29/'C1-Incomes'!$HC29</f>
        <v>0.1739875836328314</v>
      </c>
      <c r="HE27" s="59">
        <f>'C1-Incomes'!HF29/'C1-Incomes'!$HC29</f>
        <v>7.0628732471463909E-2</v>
      </c>
      <c r="HF27" s="59">
        <f>'C1-Incomes'!HG29/'C1-Incomes'!$HC29</f>
        <v>4.943735647644977E-2</v>
      </c>
      <c r="HG27" s="59">
        <f>'C1-Incomes'!HH29/'C1-Incomes'!$HC29</f>
        <v>2.3090671845714478E-2</v>
      </c>
      <c r="HH27" s="59">
        <f>'C1-Incomes'!HI29/'C1-Incomes'!$HC29</f>
        <v>7.995718856779771E-3</v>
      </c>
      <c r="HK27" s="59">
        <f>'C1-Incomes'!HL29/'C1-Incomes'!$HK29</f>
        <v>0.26356201886927488</v>
      </c>
      <c r="HL27" s="59">
        <f>'C1-Incomes'!HM29/'C1-Incomes'!$HK29</f>
        <v>0.17111590557303905</v>
      </c>
      <c r="HM27" s="59">
        <f>'C1-Incomes'!HN29/'C1-Incomes'!$HK29</f>
        <v>6.847178733490146E-2</v>
      </c>
      <c r="HN27" s="59">
        <f>'C1-Incomes'!HO29/'C1-Incomes'!$HK29</f>
        <v>4.7777928477439786E-2</v>
      </c>
      <c r="HO27" s="59">
        <f>'C1-Incomes'!HP29/'C1-Incomes'!$HK29</f>
        <v>2.2045047128655123E-2</v>
      </c>
      <c r="HP27" s="59">
        <f>'C1-Incomes'!HQ29/'C1-Incomes'!$HK29</f>
        <v>7.5671607542518752E-3</v>
      </c>
      <c r="HS27" s="59">
        <f>'C1-Incomes'!HT29/'C1-Incomes'!$HS29</f>
        <v>0.26037413648970226</v>
      </c>
      <c r="HT27" s="59">
        <f>'C1-Incomes'!HU29/'C1-Incomes'!$HS29</f>
        <v>0.16858530493182305</v>
      </c>
      <c r="HU27" s="59">
        <f>'C1-Incomes'!HV29/'C1-Incomes'!$HS29</f>
        <v>6.7024179757246199E-2</v>
      </c>
      <c r="HV27" s="59">
        <f>'C1-Incomes'!HW29/'C1-Incomes'!$HS29</f>
        <v>4.6730851077085876E-2</v>
      </c>
      <c r="HW27" s="59">
        <f>'C1-Incomes'!HX29/'C1-Incomes'!$HS29</f>
        <v>2.162201106055504E-2</v>
      </c>
      <c r="HX27" s="59">
        <f>'C1-Incomes'!HY29/'C1-Incomes'!$HS29</f>
        <v>7.4077598660262879E-3</v>
      </c>
      <c r="IA27" s="59">
        <f>'C1-Incomes'!IB29/'C1-Incomes'!$IA29</f>
        <v>0.26365281207737723</v>
      </c>
      <c r="IB27" s="59">
        <f>'C1-Incomes'!IC29/'C1-Incomes'!$IA29</f>
        <v>0.17364981630652085</v>
      </c>
      <c r="IC27" s="59">
        <f>'C1-Incomes'!ID29/'C1-Incomes'!$IA29</f>
        <v>7.1134739915833523E-2</v>
      </c>
      <c r="ID27" s="59">
        <f>'C1-Incomes'!IE29/'C1-Incomes'!$IA29</f>
        <v>4.990756364787477E-2</v>
      </c>
      <c r="IE27" s="59">
        <f>'C1-Incomes'!IF29/'C1-Incomes'!$IA29</f>
        <v>2.3253850656643663E-2</v>
      </c>
      <c r="IF27" s="59">
        <f>'C1-Incomes'!IG29/'C1-Incomes'!$IA29</f>
        <v>8.0042862841689516E-3</v>
      </c>
      <c r="II27" s="59">
        <f>'C1-Incomes'!IJ29/'C1-Incomes'!$II29</f>
        <v>0.26513700872801232</v>
      </c>
      <c r="IJ27" s="59">
        <f>'C1-Incomes'!IK29/'C1-Incomes'!$II29</f>
        <v>0.17564698291469691</v>
      </c>
      <c r="IK27" s="59">
        <f>'C1-Incomes'!IL29/'C1-Incomes'!$II29</f>
        <v>7.3082654365438149E-2</v>
      </c>
      <c r="IL27" s="59">
        <f>'C1-Incomes'!IM29/'C1-Incomes'!$II29</f>
        <v>5.1456429497300601E-2</v>
      </c>
      <c r="IM27" s="59">
        <f>'C1-Incomes'!IN29/'C1-Incomes'!$II29</f>
        <v>2.4120128449167774E-2</v>
      </c>
      <c r="IN27" s="59">
        <f>'C1-Incomes'!IO29/'C1-Incomes'!$II29</f>
        <v>8.3130340937493524E-3</v>
      </c>
      <c r="IQ27" s="59">
        <f>'C1-Incomes'!IR29/'C1-Incomes'!$IQ29</f>
        <v>0.26644037933778519</v>
      </c>
      <c r="IR27" s="59">
        <f>'C1-Incomes'!IS29/'C1-Incomes'!$IQ29</f>
        <v>0.17653974981275708</v>
      </c>
      <c r="IS27" s="59">
        <f>'C1-Incomes'!IT29/'C1-Incomes'!$IQ29</f>
        <v>7.3517911953835238E-2</v>
      </c>
      <c r="IT27" s="59">
        <f>'C1-Incomes'!IU29/'C1-Incomes'!$IQ29</f>
        <v>5.1766900551708343E-2</v>
      </c>
      <c r="IU27" s="59">
        <f>'C1-Incomes'!IV29/'C1-Incomes'!$IQ29</f>
        <v>2.4257428633339351E-2</v>
      </c>
      <c r="IV27" s="59">
        <f>'C1-Incomes'!IW29/'C1-Incomes'!$IQ29</f>
        <v>8.3614954967221791E-3</v>
      </c>
      <c r="IY27" s="59">
        <f>'C1-Incomes'!IZ29/'C1-Incomes'!$IY29</f>
        <v>0.24881254170883332</v>
      </c>
      <c r="IZ27" s="59">
        <f>'C1-Incomes'!JA29/'C1-Incomes'!$IY29</f>
        <v>0.16361325384849426</v>
      </c>
      <c r="JA27" s="59">
        <f>'C1-Incomes'!JB29/'C1-Incomes'!$IY29</f>
        <v>6.7240971676688424E-2</v>
      </c>
      <c r="JB27" s="59">
        <f>'C1-Incomes'!JC29/'C1-Incomes'!$IY29</f>
        <v>4.7137179896966884E-2</v>
      </c>
      <c r="JC27" s="59">
        <f>'C1-Incomes'!JD29/'C1-Incomes'!$IY29</f>
        <v>2.1983895696245766E-2</v>
      </c>
      <c r="JD27" s="59">
        <f>'C1-Incomes'!JE29/'C1-Incomes'!$IY29</f>
        <v>7.5576108575755733E-3</v>
      </c>
      <c r="JE27" s="197"/>
      <c r="JF27" s="197"/>
      <c r="JG27" s="197"/>
      <c r="JH27" s="197"/>
      <c r="JI27" s="197"/>
      <c r="JJ27" s="197"/>
      <c r="JK27" s="197"/>
      <c r="JL27" s="197"/>
      <c r="JM27" s="197"/>
      <c r="JN27" s="197"/>
      <c r="JO27" s="197"/>
      <c r="JP27" s="197"/>
      <c r="JQ27" s="197"/>
      <c r="JR27" s="197"/>
      <c r="JS27" s="197"/>
      <c r="JT27" s="197"/>
      <c r="JU27" s="197"/>
      <c r="JV27" s="197"/>
      <c r="JW27" s="197"/>
      <c r="JX27" s="197"/>
      <c r="JY27" s="197"/>
      <c r="JZ27" s="197"/>
      <c r="KA27" s="197"/>
      <c r="KB27" s="197"/>
      <c r="KC27" s="197"/>
      <c r="KD27" s="197"/>
      <c r="KE27" s="197"/>
      <c r="KF27" s="197"/>
      <c r="KG27" s="197"/>
      <c r="KH27" s="197"/>
      <c r="KI27" s="197"/>
      <c r="KJ27" s="197"/>
      <c r="KK27" s="197"/>
      <c r="KL27" s="197"/>
      <c r="KM27" s="197"/>
      <c r="KN27" s="197"/>
      <c r="KO27" s="197"/>
      <c r="KP27" s="197"/>
      <c r="KQ27" s="197"/>
      <c r="KR27" s="197"/>
      <c r="KS27" s="197"/>
      <c r="KT27" s="197"/>
      <c r="KU27" s="197"/>
      <c r="KV27" s="197"/>
      <c r="KW27" s="197"/>
      <c r="KX27" s="197"/>
      <c r="KY27" s="197"/>
      <c r="KZ27" s="197"/>
      <c r="LA27" s="197"/>
      <c r="LB27" s="197"/>
      <c r="LC27" s="197"/>
      <c r="LD27" s="197"/>
      <c r="LE27" s="197"/>
      <c r="LF27" s="197"/>
      <c r="LG27" s="197"/>
      <c r="LH27" s="197"/>
      <c r="LI27" s="197"/>
      <c r="LJ27" s="197"/>
      <c r="LK27" s="197"/>
      <c r="LL27" s="197"/>
      <c r="LM27" s="197"/>
      <c r="LN27" s="197"/>
      <c r="LO27" s="197"/>
      <c r="LP27" s="197"/>
      <c r="LQ27" s="197"/>
      <c r="LR27" s="197"/>
      <c r="LS27" s="197"/>
      <c r="LT27" s="197"/>
      <c r="LU27" s="197"/>
      <c r="LV27" s="197"/>
      <c r="LW27" s="197"/>
      <c r="LX27" s="197"/>
      <c r="LY27" s="197"/>
      <c r="LZ27" s="197"/>
      <c r="MA27" s="197"/>
      <c r="MB27" s="197"/>
      <c r="MC27" s="197"/>
      <c r="MD27" s="197"/>
      <c r="ME27" s="197"/>
      <c r="MF27" s="197"/>
      <c r="MG27" s="197"/>
      <c r="MH27" s="197"/>
      <c r="MI27" s="197"/>
      <c r="MJ27" s="197"/>
      <c r="MK27" s="197"/>
      <c r="ML27" s="197"/>
      <c r="MM27" s="197"/>
      <c r="MN27" s="197"/>
      <c r="MO27" s="197"/>
      <c r="MP27" s="197"/>
      <c r="MQ27" s="197"/>
      <c r="MR27" s="197"/>
      <c r="MS27" s="197"/>
      <c r="MT27" s="197"/>
      <c r="MU27" s="197"/>
      <c r="MV27" s="197"/>
      <c r="MW27" s="197"/>
      <c r="MX27" s="197"/>
      <c r="MY27" s="197"/>
      <c r="MZ27" s="197"/>
      <c r="NA27" s="197"/>
      <c r="NB27" s="197"/>
      <c r="NC27" s="197"/>
      <c r="ND27" s="197"/>
      <c r="NE27" s="197"/>
      <c r="NF27" s="197"/>
      <c r="NG27" s="197"/>
      <c r="NH27" s="197"/>
      <c r="NI27" s="197"/>
      <c r="NJ27" s="197"/>
      <c r="NK27" s="197"/>
      <c r="NL27" s="197"/>
      <c r="NM27" s="197"/>
      <c r="NN27" s="197"/>
      <c r="NO27" s="197"/>
      <c r="NP27" s="197"/>
      <c r="NQ27" s="197"/>
      <c r="NR27" s="197"/>
      <c r="NS27" s="197"/>
      <c r="NT27" s="197"/>
      <c r="NU27" s="197"/>
      <c r="NV27" s="197"/>
      <c r="NW27" s="197"/>
      <c r="NX27" s="197"/>
      <c r="NY27" s="197"/>
      <c r="NZ27" s="197"/>
      <c r="OA27" s="197"/>
      <c r="OB27" s="197"/>
      <c r="OC27" s="197"/>
      <c r="OD27" s="197"/>
      <c r="OE27" s="197"/>
      <c r="OF27" s="197"/>
      <c r="OG27" s="197"/>
      <c r="OH27" s="197"/>
      <c r="OI27" s="197"/>
      <c r="OJ27" s="197"/>
      <c r="OK27" s="197"/>
      <c r="OL27" s="197"/>
      <c r="OM27" s="197"/>
      <c r="ON27" s="197"/>
      <c r="OO27" s="197"/>
      <c r="OP27" s="197"/>
      <c r="OQ27" s="197"/>
      <c r="OR27" s="197"/>
      <c r="OS27" s="197"/>
      <c r="OT27" s="197"/>
      <c r="OU27" s="197"/>
      <c r="OV27" s="197"/>
      <c r="OW27" s="197"/>
      <c r="OX27" s="197"/>
      <c r="OY27" s="197"/>
      <c r="OZ27" s="197"/>
      <c r="PA27" s="197"/>
      <c r="PB27" s="197"/>
    </row>
    <row r="28" spans="1:418" s="77" customFormat="1" ht="10.5" customHeight="1" x14ac:dyDescent="0.2">
      <c r="A28" s="48">
        <v>1982</v>
      </c>
      <c r="B28" s="59">
        <f>'C1-Incomes'!C30/'C1-Incomes'!$B30</f>
        <v>0.33844951831835707</v>
      </c>
      <c r="C28" s="59">
        <f>'C1-Incomes'!D30/'C1-Incomes'!$B30</f>
        <v>0.21852188001622694</v>
      </c>
      <c r="D28" s="59">
        <f>'C1-Incomes'!E30/'C1-Incomes'!$B30</f>
        <v>8.5157856075436883E-2</v>
      </c>
      <c r="E28" s="59">
        <f>'C1-Incomes'!F30/'C1-Incomes'!$B30</f>
        <v>5.798268438015633E-2</v>
      </c>
      <c r="F28" s="59">
        <f>'C1-Incomes'!G30/'C1-Incomes'!$B30</f>
        <v>2.4528228377558026E-2</v>
      </c>
      <c r="G28" s="59">
        <f>'C1-Incomes'!H30/'C1-Incomes'!$B30</f>
        <v>7.7108809410747353E-3</v>
      </c>
      <c r="H28" s="199"/>
      <c r="J28" s="59">
        <f>'C1-Incomes'!K30/'C1-Incomes'!$J30</f>
        <v>0.32141713103455299</v>
      </c>
      <c r="K28" s="59">
        <f>'C1-Incomes'!L30/'C1-Incomes'!$J30</f>
        <v>0.21324506812950805</v>
      </c>
      <c r="L28" s="59">
        <f>'C1-Incomes'!M30/'C1-Incomes'!$J30</f>
        <v>9.0401597762518424E-2</v>
      </c>
      <c r="M28" s="59">
        <f>'C1-Incomes'!N30/'C1-Incomes'!$J30</f>
        <v>6.5051876582263496E-2</v>
      </c>
      <c r="N28" s="59">
        <f>'C1-Incomes'!O30/'C1-Incomes'!$J30</f>
        <v>3.1660146995153349E-2</v>
      </c>
      <c r="O28" s="59">
        <f>'C1-Incomes'!P30/'C1-Incomes'!$J30</f>
        <v>1.1411166499650341E-2</v>
      </c>
      <c r="P28" s="59"/>
      <c r="R28" s="59">
        <f>'C1-Incomes'!S30/'C1-Incomes'!$R30</f>
        <v>0.29211049452007321</v>
      </c>
      <c r="S28" s="59">
        <f>'C1-Incomes'!T30/'C1-Incomes'!$R30</f>
        <v>0.19327504269924484</v>
      </c>
      <c r="T28" s="59">
        <f>'C1-Incomes'!U30/'C1-Incomes'!$R30</f>
        <v>8.1431776540895423E-2</v>
      </c>
      <c r="U28" s="59">
        <f>'C1-Incomes'!V30/'C1-Incomes'!$R30</f>
        <v>5.8440888341748681E-2</v>
      </c>
      <c r="V28" s="59">
        <f>'C1-Incomes'!W30/'C1-Incomes'!$R30</f>
        <v>2.8333037540593294E-2</v>
      </c>
      <c r="W28" s="59">
        <f>'C1-Incomes'!X30/'C1-Incomes'!$R30</f>
        <v>1.0201739320019615E-2</v>
      </c>
      <c r="X28" s="59"/>
      <c r="Y28" s="59"/>
      <c r="Z28" s="59">
        <f>'C1-Incomes'!AA30/'C1-Incomes'!$Z30</f>
        <v>0.24661885333885653</v>
      </c>
      <c r="AA28" s="59">
        <f>'C1-Incomes'!AB30/'C1-Incomes'!$Z30</f>
        <v>0.16082594068087266</v>
      </c>
      <c r="AB28" s="59">
        <f>'C1-Incomes'!AC30/'C1-Incomes'!$Z30</f>
        <v>6.5611154786142545E-2</v>
      </c>
      <c r="AC28" s="59">
        <f>'C1-Incomes'!AD30/'C1-Incomes'!$Z30</f>
        <v>4.6551704074911507E-2</v>
      </c>
      <c r="AD28" s="59">
        <f>'C1-Incomes'!AE30/'C1-Incomes'!$Z30</f>
        <v>2.2080997315925117E-2</v>
      </c>
      <c r="AE28" s="59">
        <f>'C1-Incomes'!AF30/'C1-Incomes'!$Z30</f>
        <v>7.8703775557227486E-3</v>
      </c>
      <c r="AF28" s="200"/>
      <c r="AG28" s="195"/>
      <c r="AH28" s="59">
        <f>'C1-Incomes'!AI30/'C1-Incomes'!$AH30</f>
        <v>0.33805028036987522</v>
      </c>
      <c r="AI28" s="59">
        <f>'C1-Incomes'!AJ30/'C1-Incomes'!$AH30</f>
        <v>0.21791148902146923</v>
      </c>
      <c r="AJ28" s="59">
        <f>'C1-Incomes'!AK30/'C1-Incomes'!$AH30</f>
        <v>8.4862420269479225E-2</v>
      </c>
      <c r="AK28" s="59">
        <f>'C1-Incomes'!AL30/'C1-Incomes'!$AH30</f>
        <v>5.776678571570637E-2</v>
      </c>
      <c r="AL28" s="59">
        <f>'C1-Incomes'!AM30/'C1-Incomes'!$AH30</f>
        <v>2.4453494372761737E-2</v>
      </c>
      <c r="AM28" s="59">
        <f>'C1-Incomes'!AN30/'C1-Incomes'!$AH30</f>
        <v>7.6994465844026846E-3</v>
      </c>
      <c r="AN28" s="195"/>
      <c r="AO28" s="195"/>
      <c r="AP28" s="59">
        <f>'C1-Incomes'!AQ30/'C1-Incomes'!$AP30</f>
        <v>0.34049456943625872</v>
      </c>
      <c r="AQ28" s="59">
        <f>'C1-Incomes'!AR30/'C1-Incomes'!$AP30</f>
        <v>0.22119530943179519</v>
      </c>
      <c r="AR28" s="59">
        <f>'C1-Incomes'!AS30/'C1-Incomes'!$AP30</f>
        <v>8.8678355295959743E-2</v>
      </c>
      <c r="AS28" s="59">
        <f>'C1-Incomes'!AT30/'C1-Incomes'!$AP30</f>
        <v>6.116480577999716E-2</v>
      </c>
      <c r="AT28" s="59">
        <f>'C1-Incomes'!AU30/'C1-Incomes'!$AP30</f>
        <v>2.632748757873354E-2</v>
      </c>
      <c r="AU28" s="59">
        <f>'C1-Incomes'!AV30/'C1-Incomes'!$AP30</f>
        <v>8.3107054765253485E-3</v>
      </c>
      <c r="AV28" s="197"/>
      <c r="AW28" s="60"/>
      <c r="AX28" s="59">
        <f>'C1-Incomes'!AY30/'C1-Incomes'!$AX30</f>
        <v>0.34402574578561573</v>
      </c>
      <c r="AY28" s="59">
        <f>'C1-Incomes'!AZ30/'C1-Incomes'!$AX30</f>
        <v>0.22502619874024604</v>
      </c>
      <c r="AZ28" s="59">
        <f>'C1-Incomes'!BA30/'C1-Incomes'!$AX30</f>
        <v>9.1929699555189218E-2</v>
      </c>
      <c r="BA28" s="59">
        <f>'C1-Incomes'!BB30/'C1-Incomes'!$AX30</f>
        <v>6.3906568835668906E-2</v>
      </c>
      <c r="BB28" s="59">
        <f>'C1-Incomes'!BC30/'C1-Incomes'!$AX30</f>
        <v>2.8001722270636659E-2</v>
      </c>
      <c r="BC28" s="59">
        <f>'C1-Incomes'!BD30/'C1-Incomes'!$AX30</f>
        <v>8.925303797719962E-3</v>
      </c>
      <c r="BD28" s="60"/>
      <c r="BE28" s="60"/>
      <c r="BF28" s="59">
        <f>'C1-Incomes'!BG30/'C1-Incomes'!$BF30</f>
        <v>0.33931983924755416</v>
      </c>
      <c r="BG28" s="59">
        <f>'C1-Incomes'!BH30/'C1-Incomes'!$BF30</f>
        <v>0.22186757280610539</v>
      </c>
      <c r="BH28" s="59">
        <f>'C1-Incomes'!BI30/'C1-Incomes'!$BF30</f>
        <v>9.1158334317269205E-2</v>
      </c>
      <c r="BI28" s="59">
        <f>'C1-Incomes'!BJ30/'C1-Incomes'!$BF30</f>
        <v>6.3635058047587512E-2</v>
      </c>
      <c r="BJ28" s="59">
        <f>'C1-Incomes'!BK30/'C1-Incomes'!$BF30</f>
        <v>2.8095312247658724E-2</v>
      </c>
      <c r="BK28" s="59">
        <f>'C1-Incomes'!BL30/'C1-Incomes'!$BF30</f>
        <v>9.0134705340643526E-3</v>
      </c>
      <c r="BL28" s="59"/>
      <c r="BM28" s="59"/>
      <c r="BN28" s="59">
        <f>'C1-Incomes'!BO30/'C1-Incomes'!$BN30</f>
        <v>0.31787149459026776</v>
      </c>
      <c r="BO28" s="59">
        <f>'C1-Incomes'!BP30/'C1-Incomes'!$BN30</f>
        <v>0.20801013859805351</v>
      </c>
      <c r="BP28" s="59">
        <f>'C1-Incomes'!BQ30/'C1-Incomes'!$BN30</f>
        <v>8.3988722508275881E-2</v>
      </c>
      <c r="BQ28" s="59">
        <f>'C1-Incomes'!BR30/'C1-Incomes'!$BN30</f>
        <v>5.8665276321554445E-2</v>
      </c>
      <c r="BR28" s="59">
        <f>'C1-Incomes'!BS30/'C1-Incomes'!$BN30</f>
        <v>2.658874164973549E-2</v>
      </c>
      <c r="BS28" s="59">
        <f>'C1-Incomes'!BT30/'C1-Incomes'!$BN30</f>
        <v>8.7708952553410633E-3</v>
      </c>
      <c r="BT28" s="59"/>
      <c r="BU28" s="59"/>
      <c r="BV28" s="59">
        <f>'C1-Incomes'!BW30/'C1-Incomes'!$BV30</f>
        <v>0.3203689740317594</v>
      </c>
      <c r="BW28" s="59">
        <f>'C1-Incomes'!BX30/'C1-Incomes'!$BV30</f>
        <v>0.21077003003191008</v>
      </c>
      <c r="BX28" s="59">
        <f>'C1-Incomes'!BY30/'C1-Incomes'!$BV30</f>
        <v>8.6607538124679195E-2</v>
      </c>
      <c r="BY28" s="59">
        <f>'C1-Incomes'!BZ30/'C1-Incomes'!$BV30</f>
        <v>6.1067072233689033E-2</v>
      </c>
      <c r="BZ28" s="59">
        <f>'C1-Incomes'!CA30/'C1-Incomes'!$BV30</f>
        <v>2.8419789295371065E-2</v>
      </c>
      <c r="CA28" s="59">
        <f>'C1-Incomes'!CB30/'C1-Incomes'!$BV30</f>
        <v>9.6765021307487487E-3</v>
      </c>
      <c r="CB28" s="60"/>
      <c r="CC28" s="198"/>
      <c r="CD28" s="59">
        <f>'C1-Incomes'!CE30/'C1-Incomes'!$CD30</f>
        <v>0.33090459319979521</v>
      </c>
      <c r="CE28" s="59">
        <f>'C1-Incomes'!CF30/'C1-Incomes'!$CD30</f>
        <v>0.22189578627352369</v>
      </c>
      <c r="CF28" s="59">
        <f>'C1-Incomes'!CG30/'C1-Incomes'!$CD30</f>
        <v>9.632471569911645E-2</v>
      </c>
      <c r="CG28" s="59">
        <f>'C1-Incomes'!CH30/'C1-Incomes'!$CD30</f>
        <v>6.9259710214156056E-2</v>
      </c>
      <c r="CH28" s="59">
        <f>'C1-Incomes'!CI30/'C1-Incomes'!$CD30</f>
        <v>3.3899619318442382E-2</v>
      </c>
      <c r="CI28" s="59">
        <f>'C1-Incomes'!CJ30/'C1-Incomes'!$CD30</f>
        <v>1.2096655934823196E-2</v>
      </c>
      <c r="CL28" s="59">
        <f>'C1-Incomes'!CM30/'C1-Incomes'!$CL30</f>
        <v>0.33249108358696278</v>
      </c>
      <c r="CM28" s="59">
        <f>'C1-Incomes'!CN30/'C1-Incomes'!$CL30</f>
        <v>0.22377483098972156</v>
      </c>
      <c r="CN28" s="59">
        <f>'C1-Incomes'!CO30/'C1-Incomes'!$CL30</f>
        <v>9.7901067741718431E-2</v>
      </c>
      <c r="CO28" s="59">
        <f>'C1-Incomes'!CP30/'C1-Incomes'!$CL30</f>
        <v>7.0684369622232734E-2</v>
      </c>
      <c r="CP28" s="59">
        <f>'C1-Incomes'!CQ30/'C1-Incomes'!$CL30</f>
        <v>3.4776438144422876E-2</v>
      </c>
      <c r="CQ28" s="59">
        <f>'C1-Incomes'!CR30/'C1-Incomes'!$CL30</f>
        <v>1.2491425606909768E-2</v>
      </c>
      <c r="CR28" s="59"/>
      <c r="CS28" s="59"/>
      <c r="CT28" s="59">
        <f>'C1-Incomes'!CU30/'C1-Incomes'!$CT30</f>
        <v>0.33449755475724452</v>
      </c>
      <c r="CU28" s="59">
        <f>'C1-Incomes'!CV30/'C1-Incomes'!$CT30</f>
        <v>0.22587738394834611</v>
      </c>
      <c r="CV28" s="59">
        <f>'C1-Incomes'!CW30/'C1-Incomes'!$CT30</f>
        <v>9.9530930202800183E-2</v>
      </c>
      <c r="CW28" s="59">
        <f>'C1-Incomes'!CX30/'C1-Incomes'!$CT30</f>
        <v>7.1952558123399235E-2</v>
      </c>
      <c r="CX28" s="59">
        <f>'C1-Incomes'!CY30/'C1-Incomes'!$CT30</f>
        <v>3.556830636830377E-2</v>
      </c>
      <c r="CY28" s="59">
        <f>'C1-Incomes'!CZ30/'C1-Incomes'!$CT30</f>
        <v>1.2829146300634723E-2</v>
      </c>
      <c r="CZ28" s="59"/>
      <c r="DA28" s="59"/>
      <c r="DB28" s="59">
        <f>'C1-Incomes'!DC30/'C1-Incomes'!$DB30</f>
        <v>0.33922723633970048</v>
      </c>
      <c r="DC28" s="59">
        <f>'C1-Incomes'!DD30/'C1-Incomes'!$DB30</f>
        <v>0.23058269492408293</v>
      </c>
      <c r="DD28" s="59">
        <f>'C1-Incomes'!DE30/'C1-Incomes'!$DB30</f>
        <v>0.10305064866202335</v>
      </c>
      <c r="DE28" s="59">
        <f>'C1-Incomes'!DF30/'C1-Incomes'!$DB30</f>
        <v>7.52464434666964E-2</v>
      </c>
      <c r="DF28" s="59">
        <f>'C1-Incomes'!DG30/'C1-Incomes'!$DB30</f>
        <v>3.7597470269062447E-2</v>
      </c>
      <c r="DG28" s="59">
        <f>'C1-Incomes'!DH30/'C1-Incomes'!$DB30</f>
        <v>1.367857246375237E-2</v>
      </c>
      <c r="DH28" s="59"/>
      <c r="DI28" s="1039"/>
      <c r="DJ28" s="59">
        <f>'C1-Incomes'!DK30/'C1-Incomes'!$DJ30</f>
        <v>0.33998663835417098</v>
      </c>
      <c r="DK28" s="59">
        <f>'C1-Incomes'!DL30/'C1-Incomes'!$DJ30</f>
        <v>0.23352734327947597</v>
      </c>
      <c r="DL28" s="59">
        <f>'C1-Incomes'!DM30/'C1-Incomes'!$DJ30</f>
        <v>0.10523657622924928</v>
      </c>
      <c r="DM28" s="59">
        <f>'C1-Incomes'!DN30/'C1-Incomes'!$DJ30</f>
        <v>7.6748257210688342E-2</v>
      </c>
      <c r="DN28" s="59">
        <f>'C1-Incomes'!DO30/'C1-Incomes'!$DJ30</f>
        <v>3.8120198356750873E-2</v>
      </c>
      <c r="DO28" s="59">
        <f>'C1-Incomes'!DP30/'C1-Incomes'!$DJ30</f>
        <v>1.3947974277258662E-2</v>
      </c>
      <c r="DP28" s="696"/>
      <c r="DQ28" s="503"/>
      <c r="DR28" s="59">
        <f>'C1-Incomes'!DS30/'C1-Incomes'!$DR30</f>
        <v>0.33884807685532331</v>
      </c>
      <c r="DS28" s="59">
        <f>'C1-Incomes'!DT30/'C1-Incomes'!$DR30</f>
        <v>0.23195560196951778</v>
      </c>
      <c r="DT28" s="59">
        <f>'C1-Incomes'!DU30/'C1-Incomes'!$DR30</f>
        <v>0.10401298820614706</v>
      </c>
      <c r="DU28" s="59">
        <f>'C1-Incomes'!DV30/'C1-Incomes'!$DR30</f>
        <v>7.5773625049490687E-2</v>
      </c>
      <c r="DV28" s="59">
        <f>'C1-Incomes'!DW30/'C1-Incomes'!$DR30</f>
        <v>3.7469260346264043E-2</v>
      </c>
      <c r="DW28" s="59">
        <f>'C1-Incomes'!DX30/'C1-Incomes'!$DR30</f>
        <v>1.3679487744066498E-2</v>
      </c>
      <c r="DX28" s="333"/>
      <c r="DZ28" s="59">
        <f>'C1-Incomes'!EA30/'C1-Incomes'!$DZ30</f>
        <v>0.33270012072738231</v>
      </c>
      <c r="EA28" s="59">
        <f>'C1-Incomes'!EB30/'C1-Incomes'!$DZ30</f>
        <v>0.22574853110119003</v>
      </c>
      <c r="EB28" s="59">
        <f>'C1-Incomes'!EC30/'C1-Incomes'!$DZ30</f>
        <v>9.9999996425311197E-2</v>
      </c>
      <c r="EC28" s="59">
        <f>'C1-Incomes'!ED30/'C1-Incomes'!$DZ30</f>
        <v>7.2660570954820841E-2</v>
      </c>
      <c r="ED28" s="59">
        <f>'C1-Incomes'!EE30/'C1-Incomes'!$DZ30</f>
        <v>3.584149651586805E-2</v>
      </c>
      <c r="EE28" s="59">
        <f>'C1-Incomes'!EF30/'C1-Incomes'!$DZ30</f>
        <v>1.3068384493861083E-2</v>
      </c>
      <c r="EF28" s="59"/>
      <c r="EH28" s="59">
        <f>'C1-Incomes'!EI30/'C1-Incomes'!$EH30</f>
        <v>0.3296046293629375</v>
      </c>
      <c r="EI28" s="59">
        <f>'C1-Incomes'!EJ30/'C1-Incomes'!$EH30</f>
        <v>0.22144597608075767</v>
      </c>
      <c r="EJ28" s="59">
        <f>'C1-Incomes'!EK30/'C1-Incomes'!$EH30</f>
        <v>9.641906591269285E-2</v>
      </c>
      <c r="EK28" s="59">
        <f>'C1-Incomes'!EL30/'C1-Incomes'!$EH30</f>
        <v>6.989842669682253E-2</v>
      </c>
      <c r="EL28" s="59">
        <f>'C1-Incomes'!EM30/'C1-Incomes'!$EH30</f>
        <v>3.4356749714531724E-2</v>
      </c>
      <c r="EM28" s="59">
        <f>'C1-Incomes'!EN30/'C1-Incomes'!$EH30</f>
        <v>1.2509752163775097E-2</v>
      </c>
      <c r="EN28" s="59"/>
      <c r="EO28" s="59"/>
      <c r="EP28" s="59">
        <f>'C1-Incomes'!EQ30/'C1-Incomes'!$EH30</f>
        <v>0.34412548707218599</v>
      </c>
      <c r="EQ28" s="59">
        <f>'C1-Incomes'!ER30/'C1-Incomes'!$EH30</f>
        <v>0.22978871713576995</v>
      </c>
      <c r="ER28" s="59">
        <f>'C1-Incomes'!ES30/'C1-Incomes'!$EH30</f>
        <v>9.8661260463423092E-2</v>
      </c>
      <c r="ES28" s="59">
        <f>'C1-Incomes'!ET30/'C1-Incomes'!$EH30</f>
        <v>7.1272621843578229E-2</v>
      </c>
      <c r="ET28" s="59">
        <f>'C1-Incomes'!EU30/'C1-Incomes'!$EH30</f>
        <v>3.4864964279486217E-2</v>
      </c>
      <c r="EU28" s="59">
        <f>'C1-Incomes'!EV30/'C1-Incomes'!$EH30</f>
        <v>1.2596573734768923E-2</v>
      </c>
      <c r="EV28" s="59"/>
      <c r="EW28" s="59"/>
      <c r="EX28" s="59">
        <f>'C1-Incomes'!EY30/'C1-Incomes'!$EX30</f>
        <v>0.32141713103455299</v>
      </c>
      <c r="EY28" s="59">
        <f>'C1-Incomes'!EZ30/'C1-Incomes'!$EX30</f>
        <v>0.21324506812950805</v>
      </c>
      <c r="EZ28" s="59">
        <f>'C1-Incomes'!FA30/'C1-Incomes'!$EX30</f>
        <v>9.0401597762518424E-2</v>
      </c>
      <c r="FA28" s="59">
        <f>'C1-Incomes'!FB30/'C1-Incomes'!$EX30</f>
        <v>6.5051876582263496E-2</v>
      </c>
      <c r="FB28" s="59">
        <f>'C1-Incomes'!FC30/'C1-Incomes'!$EX30</f>
        <v>3.1660146995153349E-2</v>
      </c>
      <c r="FC28" s="59">
        <f>'C1-Incomes'!FD30/'C1-Incomes'!$EX30</f>
        <v>1.1411166499650341E-2</v>
      </c>
      <c r="FD28" s="59"/>
      <c r="FF28" s="59">
        <f>'C1-Incomes'!FG30/'C1-Incomes'!$FF30</f>
        <v>0.30772552196111191</v>
      </c>
      <c r="FG28" s="59">
        <f>'C1-Incomes'!FH30/'C1-Incomes'!$FF30</f>
        <v>0.20399521764984432</v>
      </c>
      <c r="FH28" s="59">
        <f>'C1-Incomes'!FI30/'C1-Incomes'!$FF30</f>
        <v>8.6237898892085926E-2</v>
      </c>
      <c r="FI28" s="59">
        <f>'C1-Incomes'!FJ30/'C1-Incomes'!$FF30</f>
        <v>6.1910991439259835E-2</v>
      </c>
      <c r="FJ28" s="59">
        <f>'C1-Incomes'!FK30/'C1-Incomes'!$FF30</f>
        <v>3.0029142303755758E-2</v>
      </c>
      <c r="FK28" s="59">
        <f>'C1-Incomes'!FL30/'C1-Incomes'!$FF30</f>
        <v>1.0811442010446502E-2</v>
      </c>
      <c r="FN28" s="59">
        <f>'C1-Incomes'!FO30/'C1-Incomes'!$FN30</f>
        <v>0.30545680724337976</v>
      </c>
      <c r="FO28" s="59">
        <f>'C1-Incomes'!FP30/'C1-Incomes'!$FN30</f>
        <v>0.2023659818783401</v>
      </c>
      <c r="FP28" s="59">
        <f>'C1-Incomes'!FQ30/'C1-Incomes'!$FN30</f>
        <v>8.5521367652100777E-2</v>
      </c>
      <c r="FQ28" s="59">
        <f>'C1-Incomes'!FR30/'C1-Incomes'!$FN30</f>
        <v>6.1453023781131669E-2</v>
      </c>
      <c r="FR28" s="59">
        <f>'C1-Incomes'!FS30/'C1-Incomes'!$FN30</f>
        <v>2.9778772576109655E-2</v>
      </c>
      <c r="FS28" s="59">
        <f>'C1-Incomes'!FT30/'C1-Incomes'!$FN30</f>
        <v>1.0721285888038595E-2</v>
      </c>
      <c r="FV28" s="59">
        <f>'C1-Incomes'!FW30/'C1-Incomes'!$FV30</f>
        <v>0.30155404341357994</v>
      </c>
      <c r="FW28" s="59">
        <f>'C1-Incomes'!FX30/'C1-Incomes'!$FV30</f>
        <v>0.19969425949230982</v>
      </c>
      <c r="FX28" s="59">
        <f>'C1-Incomes'!FY30/'C1-Incomes'!$FV30</f>
        <v>8.4333284171894896E-2</v>
      </c>
      <c r="FY28" s="59">
        <f>'C1-Incomes'!FZ30/'C1-Incomes'!$FV30</f>
        <v>6.0587718827901121E-2</v>
      </c>
      <c r="FZ28" s="59">
        <f>'C1-Incomes'!GA30/'C1-Incomes'!$FV30</f>
        <v>2.9351923316796459E-2</v>
      </c>
      <c r="GA28" s="59">
        <f>'C1-Incomes'!GB30/'C1-Incomes'!$FV30</f>
        <v>1.0566228626129137E-2</v>
      </c>
      <c r="GE28" s="59">
        <f>'C1-Incomes'!GF30/'C1-Incomes'!$GE30</f>
        <v>0.29800528649489533</v>
      </c>
      <c r="GF28" s="59">
        <f>'C1-Incomes'!GG30/'C1-Incomes'!$GE30</f>
        <v>0.19717533451350769</v>
      </c>
      <c r="GG28" s="59">
        <f>'C1-Incomes'!GH30/'C1-Incomes'!$GE30</f>
        <v>8.3075070403505327E-2</v>
      </c>
      <c r="GH28" s="59">
        <f>'C1-Incomes'!GI30/'C1-Incomes'!$GE30</f>
        <v>5.9620225907707797E-2</v>
      </c>
      <c r="GI28" s="59">
        <f>'C1-Incomes'!GJ30/'C1-Incomes'!$GE30</f>
        <v>2.8904798451104323E-2</v>
      </c>
      <c r="GJ28" s="59">
        <f>'C1-Incomes'!GK30/'C1-Incomes'!$GE30</f>
        <v>1.040761049617055E-2</v>
      </c>
      <c r="GM28" s="59">
        <f>'C1-Incomes'!GN30/'C1-Incomes'!$GM30</f>
        <v>0.29211049452007321</v>
      </c>
      <c r="GN28" s="59">
        <f>'C1-Incomes'!GO30/'C1-Incomes'!$GM30</f>
        <v>0.19327504269924484</v>
      </c>
      <c r="GO28" s="59">
        <f>'C1-Incomes'!GP30/'C1-Incomes'!$GM30</f>
        <v>8.1431776540895423E-2</v>
      </c>
      <c r="GP28" s="59">
        <f>'C1-Incomes'!GQ30/'C1-Incomes'!$GM30</f>
        <v>5.8440888341748681E-2</v>
      </c>
      <c r="GQ28" s="59">
        <f>'C1-Incomes'!GR30/'C1-Incomes'!$GM30</f>
        <v>2.8333037540593294E-2</v>
      </c>
      <c r="GR28" s="59">
        <f>'C1-Incomes'!GS30/'C1-Incomes'!$GM30</f>
        <v>1.0201739320019615E-2</v>
      </c>
      <c r="GU28" s="59">
        <f>'C1-Incomes'!GV30/'C1-Incomes'!$GU30</f>
        <v>0.27080539191329095</v>
      </c>
      <c r="GV28" s="59">
        <f>'C1-Incomes'!GW30/'C1-Incomes'!$GU30</f>
        <v>0.17573807284715542</v>
      </c>
      <c r="GW28" s="59">
        <f>'C1-Incomes'!GX30/'C1-Incomes'!$GU30</f>
        <v>7.0983688606234427E-2</v>
      </c>
      <c r="GX28" s="59">
        <f>'C1-Incomes'!GY30/'C1-Incomes'!$GU30</f>
        <v>5.0389594793519898E-2</v>
      </c>
      <c r="GY28" s="59">
        <f>'C1-Incomes'!GZ30/'C1-Incomes'!$GU30</f>
        <v>2.4004976066055034E-2</v>
      </c>
      <c r="GZ28" s="59">
        <f>'C1-Incomes'!HA30/'C1-Incomes'!$GU30</f>
        <v>8.6059962006080817E-3</v>
      </c>
      <c r="HC28" s="59">
        <f>'C1-Incomes'!HD30/'C1-Incomes'!$HC30</f>
        <v>0.26756643304671374</v>
      </c>
      <c r="HD28" s="59">
        <f>'C1-Incomes'!HE30/'C1-Incomes'!$HC30</f>
        <v>0.17305702616803378</v>
      </c>
      <c r="HE28" s="59">
        <f>'C1-Incomes'!HF30/'C1-Incomes'!$HC30</f>
        <v>6.9748279309866074E-2</v>
      </c>
      <c r="HF28" s="59">
        <f>'C1-Incomes'!HG30/'C1-Incomes'!$HC30</f>
        <v>4.9327400577774641E-2</v>
      </c>
      <c r="HG28" s="59">
        <f>'C1-Incomes'!HH30/'C1-Incomes'!$HC30</f>
        <v>2.3437034430043795E-2</v>
      </c>
      <c r="HH28" s="59">
        <f>'C1-Incomes'!HI30/'C1-Incomes'!$HC30</f>
        <v>8.4020166985050593E-3</v>
      </c>
      <c r="HK28" s="59">
        <f>'C1-Incomes'!HL30/'C1-Incomes'!$HK30</f>
        <v>0.26542486607182075</v>
      </c>
      <c r="HL28" s="59">
        <f>'C1-Incomes'!HM30/'C1-Incomes'!$HK30</f>
        <v>0.17115265400600982</v>
      </c>
      <c r="HM28" s="59">
        <f>'C1-Incomes'!HN30/'C1-Incomes'!$HK30</f>
        <v>6.8289381535450347E-2</v>
      </c>
      <c r="HN28" s="59">
        <f>'C1-Incomes'!HO30/'C1-Incomes'!$HK30</f>
        <v>4.8176770261547583E-2</v>
      </c>
      <c r="HO28" s="59">
        <f>'C1-Incomes'!HP30/'C1-Incomes'!$HK30</f>
        <v>2.2700725485091444E-2</v>
      </c>
      <c r="HP28" s="59">
        <f>'C1-Incomes'!HQ30/'C1-Incomes'!$HK30</f>
        <v>8.0937890344196656E-3</v>
      </c>
      <c r="HS28" s="59">
        <f>'C1-Incomes'!HT30/'C1-Incomes'!$HS30</f>
        <v>0.26243456421588346</v>
      </c>
      <c r="HT28" s="59">
        <f>'C1-Incomes'!HU30/'C1-Incomes'!$HS30</f>
        <v>0.1686441431629041</v>
      </c>
      <c r="HU28" s="59">
        <f>'C1-Incomes'!HV30/'C1-Incomes'!$HS30</f>
        <v>6.689565968299889E-2</v>
      </c>
      <c r="HV28" s="59">
        <f>'C1-Incomes'!HW30/'C1-Incomes'!$HS30</f>
        <v>4.722763711825137E-2</v>
      </c>
      <c r="HW28" s="59">
        <f>'C1-Incomes'!HX30/'C1-Incomes'!$HS30</f>
        <v>2.2256682307105594E-2</v>
      </c>
      <c r="HX28" s="59">
        <f>'C1-Incomes'!HY30/'C1-Incomes'!$HS30</f>
        <v>7.9196090350340895E-3</v>
      </c>
      <c r="IA28" s="59">
        <f>'C1-Incomes'!IB30/'C1-Incomes'!$IA30</f>
        <v>0.26521168471955464</v>
      </c>
      <c r="IB28" s="59">
        <f>'C1-Incomes'!IC30/'C1-Incomes'!$IA30</f>
        <v>0.17334619974735568</v>
      </c>
      <c r="IC28" s="59">
        <f>'C1-Incomes'!ID30/'C1-Incomes'!$IA30</f>
        <v>7.0979915169311902E-2</v>
      </c>
      <c r="ID28" s="59">
        <f>'C1-Incomes'!IE30/'C1-Incomes'!$IA30</f>
        <v>5.0394480283874547E-2</v>
      </c>
      <c r="IE28" s="59">
        <f>'C1-Incomes'!IF30/'C1-Incomes'!$IA30</f>
        <v>2.3955816643844455E-2</v>
      </c>
      <c r="IF28" s="59">
        <f>'C1-Incomes'!IG30/'C1-Incomes'!$IA30</f>
        <v>8.5606988705142738E-3</v>
      </c>
      <c r="II28" s="59">
        <f>'C1-Incomes'!IJ30/'C1-Incomes'!$II30</f>
        <v>0.26625535598553723</v>
      </c>
      <c r="IJ28" s="59">
        <f>'C1-Incomes'!IK30/'C1-Incomes'!$II30</f>
        <v>0.17509860575759398</v>
      </c>
      <c r="IK28" s="59">
        <f>'C1-Incomes'!IL30/'C1-Incomes'!$II30</f>
        <v>7.2514071751294845E-2</v>
      </c>
      <c r="IL28" s="59">
        <f>'C1-Incomes'!IM30/'C1-Incomes'!$II30</f>
        <v>5.1719140036060894E-2</v>
      </c>
      <c r="IM28" s="59">
        <f>'C1-Incomes'!IN30/'C1-Incomes'!$II30</f>
        <v>2.4674396533118093E-2</v>
      </c>
      <c r="IN28" s="59">
        <f>'C1-Incomes'!IO30/'C1-Incomes'!$II30</f>
        <v>8.8276943089518368E-3</v>
      </c>
      <c r="IQ28" s="59">
        <f>'C1-Incomes'!IR30/'C1-Incomes'!$IQ30</f>
        <v>0.26475236882547748</v>
      </c>
      <c r="IR28" s="59">
        <f>'C1-Incomes'!IS30/'C1-Incomes'!$IQ30</f>
        <v>0.17406442185995394</v>
      </c>
      <c r="IS28" s="59">
        <f>'C1-Incomes'!IT30/'C1-Incomes'!$IQ30</f>
        <v>7.1989558160605496E-2</v>
      </c>
      <c r="IT28" s="59">
        <f>'C1-Incomes'!IU30/'C1-Incomes'!$IQ30</f>
        <v>5.1330111168914741E-2</v>
      </c>
      <c r="IU28" s="59">
        <f>'C1-Incomes'!IV30/'C1-Incomes'!$IQ30</f>
        <v>2.4497546676015461E-2</v>
      </c>
      <c r="IV28" s="59">
        <f>'C1-Incomes'!IW30/'C1-Incomes'!$IQ30</f>
        <v>8.7678026602734747E-3</v>
      </c>
      <c r="IY28" s="59">
        <f>'C1-Incomes'!IZ30/'C1-Incomes'!$IY30</f>
        <v>0.24661885333885653</v>
      </c>
      <c r="IZ28" s="59">
        <f>'C1-Incomes'!JA30/'C1-Incomes'!$IY30</f>
        <v>0.16082594068087266</v>
      </c>
      <c r="JA28" s="59">
        <f>'C1-Incomes'!JB30/'C1-Incomes'!$IY30</f>
        <v>6.5611154786142545E-2</v>
      </c>
      <c r="JB28" s="59">
        <f>'C1-Incomes'!JC30/'C1-Incomes'!$IY30</f>
        <v>4.6551704074911507E-2</v>
      </c>
      <c r="JC28" s="59">
        <f>'C1-Incomes'!JD30/'C1-Incomes'!$IY30</f>
        <v>2.2080997315925117E-2</v>
      </c>
      <c r="JD28" s="59">
        <f>'C1-Incomes'!JE30/'C1-Incomes'!$IY30</f>
        <v>7.8703775557227486E-3</v>
      </c>
      <c r="JE28" s="197"/>
      <c r="JF28" s="197"/>
      <c r="JG28" s="197"/>
      <c r="JH28" s="197"/>
      <c r="JI28" s="197"/>
      <c r="JJ28" s="197"/>
      <c r="JK28" s="197"/>
      <c r="JL28" s="197"/>
      <c r="JM28" s="197"/>
      <c r="JN28" s="197"/>
      <c r="JO28" s="197"/>
      <c r="JP28" s="197"/>
      <c r="JQ28" s="197"/>
      <c r="JR28" s="197"/>
      <c r="JS28" s="197"/>
      <c r="JT28" s="197"/>
      <c r="JU28" s="197"/>
      <c r="JV28" s="197"/>
      <c r="JW28" s="197"/>
      <c r="JX28" s="197"/>
      <c r="JY28" s="197"/>
      <c r="JZ28" s="197"/>
      <c r="KA28" s="197"/>
      <c r="KB28" s="197"/>
      <c r="KC28" s="197"/>
      <c r="KD28" s="197"/>
      <c r="KE28" s="197"/>
      <c r="KF28" s="197"/>
      <c r="KG28" s="197"/>
      <c r="KH28" s="197"/>
      <c r="KI28" s="197"/>
      <c r="KJ28" s="197"/>
      <c r="KK28" s="197"/>
      <c r="KL28" s="197"/>
      <c r="KM28" s="197"/>
      <c r="KN28" s="197"/>
      <c r="KO28" s="197"/>
      <c r="KP28" s="197"/>
      <c r="KQ28" s="197"/>
      <c r="KR28" s="197"/>
      <c r="KS28" s="197"/>
      <c r="KT28" s="197"/>
      <c r="KU28" s="197"/>
      <c r="KV28" s="197"/>
      <c r="KW28" s="197"/>
      <c r="KX28" s="197"/>
      <c r="KY28" s="197"/>
      <c r="KZ28" s="197"/>
      <c r="LA28" s="197"/>
      <c r="LB28" s="197"/>
      <c r="LC28" s="197"/>
      <c r="LD28" s="197"/>
      <c r="LE28" s="197"/>
      <c r="LF28" s="197"/>
      <c r="LG28" s="197"/>
      <c r="LH28" s="197"/>
      <c r="LI28" s="197"/>
      <c r="LJ28" s="197"/>
      <c r="LK28" s="197"/>
      <c r="LL28" s="197"/>
      <c r="LM28" s="197"/>
      <c r="LN28" s="197"/>
      <c r="LO28" s="197"/>
      <c r="LP28" s="197"/>
      <c r="LQ28" s="197"/>
      <c r="LR28" s="197"/>
      <c r="LS28" s="197"/>
      <c r="LT28" s="197"/>
      <c r="LU28" s="197"/>
      <c r="LV28" s="197"/>
      <c r="LW28" s="197"/>
      <c r="LX28" s="197"/>
      <c r="LY28" s="197"/>
      <c r="LZ28" s="197"/>
      <c r="MA28" s="197"/>
      <c r="MB28" s="197"/>
      <c r="MC28" s="197"/>
      <c r="MD28" s="197"/>
      <c r="ME28" s="197"/>
      <c r="MF28" s="197"/>
      <c r="MG28" s="197"/>
      <c r="MH28" s="197"/>
      <c r="MI28" s="197"/>
      <c r="MJ28" s="197"/>
      <c r="MK28" s="197"/>
      <c r="ML28" s="197"/>
      <c r="MM28" s="197"/>
      <c r="MN28" s="197"/>
      <c r="MO28" s="197"/>
      <c r="MP28" s="197"/>
      <c r="MQ28" s="197"/>
      <c r="MR28" s="197"/>
      <c r="MS28" s="197"/>
      <c r="MT28" s="197"/>
      <c r="MU28" s="197"/>
      <c r="MV28" s="197"/>
      <c r="MW28" s="197"/>
      <c r="MX28" s="197"/>
      <c r="MY28" s="197"/>
      <c r="MZ28" s="197"/>
      <c r="NA28" s="197"/>
      <c r="NB28" s="197"/>
      <c r="NC28" s="197"/>
      <c r="ND28" s="197"/>
      <c r="NE28" s="197"/>
      <c r="NF28" s="197"/>
      <c r="NG28" s="197"/>
      <c r="NH28" s="197"/>
      <c r="NI28" s="197"/>
      <c r="NJ28" s="197"/>
      <c r="NK28" s="197"/>
      <c r="NL28" s="197"/>
      <c r="NM28" s="197"/>
      <c r="NN28" s="197"/>
      <c r="NO28" s="197"/>
      <c r="NP28" s="197"/>
      <c r="NQ28" s="197"/>
      <c r="NR28" s="197"/>
      <c r="NS28" s="197"/>
      <c r="NT28" s="197"/>
      <c r="NU28" s="197"/>
      <c r="NV28" s="197"/>
      <c r="NW28" s="197"/>
      <c r="NX28" s="197"/>
      <c r="NY28" s="197"/>
      <c r="NZ28" s="197"/>
      <c r="OA28" s="197"/>
      <c r="OB28" s="197"/>
      <c r="OC28" s="197"/>
      <c r="OD28" s="197"/>
      <c r="OE28" s="197"/>
      <c r="OF28" s="197"/>
      <c r="OG28" s="197"/>
      <c r="OH28" s="197"/>
      <c r="OI28" s="197"/>
      <c r="OJ28" s="197"/>
      <c r="OK28" s="197"/>
      <c r="OL28" s="197"/>
      <c r="OM28" s="197"/>
      <c r="ON28" s="197"/>
      <c r="OO28" s="197"/>
      <c r="OP28" s="197"/>
      <c r="OQ28" s="197"/>
      <c r="OR28" s="197"/>
      <c r="OS28" s="197"/>
      <c r="OT28" s="197"/>
      <c r="OU28" s="197"/>
      <c r="OV28" s="197"/>
      <c r="OW28" s="197"/>
      <c r="OX28" s="197"/>
      <c r="OY28" s="197"/>
      <c r="OZ28" s="197"/>
      <c r="PA28" s="197"/>
      <c r="PB28" s="197"/>
    </row>
    <row r="29" spans="1:418" s="77" customFormat="1" ht="10.5" customHeight="1" x14ac:dyDescent="0.2">
      <c r="A29" s="48">
        <v>1983</v>
      </c>
      <c r="B29" s="59">
        <f>'C1-Incomes'!C31/'C1-Incomes'!$B31</f>
        <v>0.34415965344917893</v>
      </c>
      <c r="C29" s="59">
        <f>'C1-Incomes'!D31/'C1-Incomes'!$B31</f>
        <v>0.22284944701175791</v>
      </c>
      <c r="D29" s="59">
        <f>'C1-Incomes'!E31/'C1-Incomes'!$B31</f>
        <v>8.7214414139489688E-2</v>
      </c>
      <c r="E29" s="59">
        <f>'C1-Incomes'!F31/'C1-Incomes'!$B31</f>
        <v>5.9999000012815489E-2</v>
      </c>
      <c r="F29" s="59">
        <f>'C1-Incomes'!G31/'C1-Incomes'!$B31</f>
        <v>2.6059637523454353E-2</v>
      </c>
      <c r="G29" s="59">
        <f>'C1-Incomes'!H31/'C1-Incomes'!$B31</f>
        <v>8.6665914611965319E-3</v>
      </c>
      <c r="H29" s="199"/>
      <c r="J29" s="59">
        <f>'C1-Incomes'!K31/'C1-Incomes'!$J31</f>
        <v>0.32367402869752337</v>
      </c>
      <c r="K29" s="59">
        <f>'C1-Incomes'!L31/'C1-Incomes'!$J31</f>
        <v>0.21619945755464831</v>
      </c>
      <c r="L29" s="59">
        <f>'C1-Incomes'!M31/'C1-Incomes'!$J31</f>
        <v>9.2487534110957156E-2</v>
      </c>
      <c r="M29" s="59">
        <f>'C1-Incomes'!N31/'C1-Incomes'!$J31</f>
        <v>6.6954333870142019E-2</v>
      </c>
      <c r="N29" s="59">
        <f>'C1-Incomes'!O31/'C1-Incomes'!$J31</f>
        <v>3.256370126361479E-2</v>
      </c>
      <c r="O29" s="59">
        <f>'C1-Incomes'!P31/'C1-Incomes'!$J31</f>
        <v>1.1823194769232685E-2</v>
      </c>
      <c r="P29" s="59"/>
      <c r="R29" s="59">
        <f>'C1-Incomes'!S31/'C1-Incomes'!$R31</f>
        <v>0.29406720090087157</v>
      </c>
      <c r="S29" s="59">
        <f>'C1-Incomes'!T31/'C1-Incomes'!$R31</f>
        <v>0.19583523187804122</v>
      </c>
      <c r="T29" s="59">
        <f>'C1-Incomes'!U31/'C1-Incomes'!$R31</f>
        <v>8.3266688648198986E-2</v>
      </c>
      <c r="U29" s="59">
        <f>'C1-Incomes'!V31/'C1-Incomes'!$R31</f>
        <v>6.0144902934420132E-2</v>
      </c>
      <c r="V29" s="59">
        <f>'C1-Incomes'!W31/'C1-Incomes'!$R31</f>
        <v>2.9142115210443655E-2</v>
      </c>
      <c r="W29" s="59">
        <f>'C1-Incomes'!X31/'C1-Incomes'!$R31</f>
        <v>1.0567328294571167E-2</v>
      </c>
      <c r="X29" s="59"/>
      <c r="Y29" s="59"/>
      <c r="Z29" s="59">
        <f>'C1-Incomes'!AA31/'C1-Incomes'!$Z31</f>
        <v>0.24936364232903957</v>
      </c>
      <c r="AA29" s="59">
        <f>'C1-Incomes'!AB31/'C1-Incomes'!$Z31</f>
        <v>0.16295138953694635</v>
      </c>
      <c r="AB29" s="59">
        <f>'C1-Incomes'!AC31/'C1-Incomes'!$Z31</f>
        <v>6.6815370630912127E-2</v>
      </c>
      <c r="AC29" s="59">
        <f>'C1-Incomes'!AD31/'C1-Incomes'!$Z31</f>
        <v>4.7416045587811172E-2</v>
      </c>
      <c r="AD29" s="59">
        <f>'C1-Incomes'!AE31/'C1-Incomes'!$Z31</f>
        <v>2.2214766115906143E-2</v>
      </c>
      <c r="AE29" s="59">
        <f>'C1-Incomes'!AF31/'C1-Incomes'!$Z31</f>
        <v>7.9015568977490406E-3</v>
      </c>
      <c r="AF29" s="200"/>
      <c r="AG29" s="195"/>
      <c r="AH29" s="59">
        <f>'C1-Incomes'!AI31/'C1-Incomes'!$AH31</f>
        <v>0.34356093443971936</v>
      </c>
      <c r="AI29" s="59">
        <f>'C1-Incomes'!AJ31/'C1-Incomes'!$AH31</f>
        <v>0.22221046778410627</v>
      </c>
      <c r="AJ29" s="59">
        <f>'C1-Incomes'!AK31/'C1-Incomes'!$AH31</f>
        <v>8.6909906990103217E-2</v>
      </c>
      <c r="AK29" s="59">
        <f>'C1-Incomes'!AL31/'C1-Incomes'!$AH31</f>
        <v>5.9807149560567152E-2</v>
      </c>
      <c r="AL29" s="59">
        <f>'C1-Incomes'!AM31/'C1-Incomes'!$AH31</f>
        <v>2.6034088488423836E-2</v>
      </c>
      <c r="AM29" s="59">
        <f>'C1-Incomes'!AN31/'C1-Incomes'!$AH31</f>
        <v>8.6627463280319842E-3</v>
      </c>
      <c r="AN29" s="195"/>
      <c r="AO29" s="195"/>
      <c r="AP29" s="59">
        <f>'C1-Incomes'!AQ31/'C1-Incomes'!$AP31</f>
        <v>0.34603408929485413</v>
      </c>
      <c r="AQ29" s="59">
        <f>'C1-Incomes'!AR31/'C1-Incomes'!$AP31</f>
        <v>0.2257070426172538</v>
      </c>
      <c r="AR29" s="59">
        <f>'C1-Incomes'!AS31/'C1-Incomes'!$AP31</f>
        <v>9.1190587883369395E-2</v>
      </c>
      <c r="AS29" s="59">
        <f>'C1-Incomes'!AT31/'C1-Incomes'!$AP31</f>
        <v>6.3529050305662804E-2</v>
      </c>
      <c r="AT29" s="59">
        <f>'C1-Incomes'!AU31/'C1-Incomes'!$AP31</f>
        <v>2.7977143534767001E-2</v>
      </c>
      <c r="AU29" s="59">
        <f>'C1-Incomes'!AV31/'C1-Incomes'!$AP31</f>
        <v>9.2297249973574778E-3</v>
      </c>
      <c r="AV29" s="197"/>
      <c r="AW29" s="60"/>
      <c r="AX29" s="59">
        <f>'C1-Incomes'!AY31/'C1-Incomes'!$AX31</f>
        <v>0.3499739559562649</v>
      </c>
      <c r="AY29" s="59">
        <f>'C1-Incomes'!AZ31/'C1-Incomes'!$AX31</f>
        <v>0.22999652240114077</v>
      </c>
      <c r="AZ29" s="59">
        <f>'C1-Incomes'!BA31/'C1-Incomes'!$AX31</f>
        <v>9.4844520015405415E-2</v>
      </c>
      <c r="BA29" s="59">
        <f>'C1-Incomes'!BB31/'C1-Incomes'!$AX31</f>
        <v>6.6607808218279427E-2</v>
      </c>
      <c r="BB29" s="59">
        <f>'C1-Incomes'!BC31/'C1-Incomes'!$AX31</f>
        <v>2.9855069860293952E-2</v>
      </c>
      <c r="BC29" s="59">
        <f>'C1-Incomes'!BD31/'C1-Incomes'!$AX31</f>
        <v>9.9159138259105051E-3</v>
      </c>
      <c r="BD29" s="60"/>
      <c r="BE29" s="60"/>
      <c r="BF29" s="59">
        <f>'C1-Incomes'!BG31/'C1-Incomes'!$BF31</f>
        <v>0.34494729973602711</v>
      </c>
      <c r="BG29" s="59">
        <f>'C1-Incomes'!BH31/'C1-Incomes'!$BF31</f>
        <v>0.22659241165333679</v>
      </c>
      <c r="BH29" s="59">
        <f>'C1-Incomes'!BI31/'C1-Incomes'!$BF31</f>
        <v>9.4090854230306928E-2</v>
      </c>
      <c r="BI29" s="59">
        <f>'C1-Incomes'!BJ31/'C1-Incomes'!$BF31</f>
        <v>6.6383005747202448E-2</v>
      </c>
      <c r="BJ29" s="59">
        <f>'C1-Incomes'!BK31/'C1-Incomes'!$BF31</f>
        <v>3.003143049374167E-2</v>
      </c>
      <c r="BK29" s="59">
        <f>'C1-Incomes'!BL31/'C1-Incomes'!$BF31</f>
        <v>1.0016392565712129E-2</v>
      </c>
      <c r="BL29" s="59"/>
      <c r="BM29" s="59"/>
      <c r="BN29" s="59">
        <f>'C1-Incomes'!BO31/'C1-Incomes'!$BN31</f>
        <v>0.32093079563144555</v>
      </c>
      <c r="BO29" s="59">
        <f>'C1-Incomes'!BP31/'C1-Incomes'!$BN31</f>
        <v>0.21101707225978178</v>
      </c>
      <c r="BP29" s="59">
        <f>'C1-Incomes'!BQ31/'C1-Incomes'!$BN31</f>
        <v>8.6063122192691466E-2</v>
      </c>
      <c r="BQ29" s="59">
        <f>'C1-Incomes'!BR31/'C1-Incomes'!$BN31</f>
        <v>6.0776597181226841E-2</v>
      </c>
      <c r="BR29" s="59">
        <f>'C1-Incomes'!BS31/'C1-Incomes'!$BN31</f>
        <v>2.8297510230880774E-2</v>
      </c>
      <c r="BS29" s="59">
        <f>'C1-Incomes'!BT31/'C1-Incomes'!$BN31</f>
        <v>9.6691812287019469E-3</v>
      </c>
      <c r="BT29" s="59"/>
      <c r="BU29" s="59"/>
      <c r="BV29" s="59">
        <f>'C1-Incomes'!BW31/'C1-Incomes'!$BV31</f>
        <v>0.32361645278156376</v>
      </c>
      <c r="BW29" s="59">
        <f>'C1-Incomes'!BX31/'C1-Incomes'!$BV31</f>
        <v>0.21401592032034675</v>
      </c>
      <c r="BX29" s="59">
        <f>'C1-Incomes'!BY31/'C1-Incomes'!$BV31</f>
        <v>8.846684875985851E-2</v>
      </c>
      <c r="BY29" s="59">
        <f>'C1-Incomes'!BZ31/'C1-Incomes'!$BV31</f>
        <v>6.2711704126981516E-2</v>
      </c>
      <c r="BZ29" s="59">
        <f>'C1-Incomes'!CA31/'C1-Incomes'!$BV31</f>
        <v>2.9328368106881875E-2</v>
      </c>
      <c r="CA29" s="59">
        <f>'C1-Incomes'!CB31/'C1-Incomes'!$BV31</f>
        <v>1.0161394214529379E-2</v>
      </c>
      <c r="CB29" s="60"/>
      <c r="CC29" s="198"/>
      <c r="CD29" s="59">
        <f>'C1-Incomes'!CE31/'C1-Incomes'!$CD31</f>
        <v>0.33547152131139907</v>
      </c>
      <c r="CE29" s="59">
        <f>'C1-Incomes'!CF31/'C1-Incomes'!$CD31</f>
        <v>0.22674131973556236</v>
      </c>
      <c r="CF29" s="59">
        <f>'C1-Incomes'!CG31/'C1-Incomes'!$CD31</f>
        <v>9.968710540479131E-2</v>
      </c>
      <c r="CG29" s="59">
        <f>'C1-Incomes'!CH31/'C1-Incomes'!$CD31</f>
        <v>7.239107874654048E-2</v>
      </c>
      <c r="CH29" s="59">
        <f>'C1-Incomes'!CI31/'C1-Incomes'!$CD31</f>
        <v>3.532232363530316E-2</v>
      </c>
      <c r="CI29" s="59">
        <f>'C1-Incomes'!CJ31/'C1-Incomes'!$CD31</f>
        <v>1.2740941275560197E-2</v>
      </c>
      <c r="CL29" s="59">
        <f>'C1-Incomes'!CM31/'C1-Incomes'!$CL31</f>
        <v>0.337328155124274</v>
      </c>
      <c r="CM29" s="59">
        <f>'C1-Incomes'!CN31/'C1-Incomes'!$CL31</f>
        <v>0.228688047676044</v>
      </c>
      <c r="CN29" s="59">
        <f>'C1-Incomes'!CO31/'C1-Incomes'!$CL31</f>
        <v>0.10130148924826195</v>
      </c>
      <c r="CO29" s="59">
        <f>'C1-Incomes'!CP31/'C1-Incomes'!$CL31</f>
        <v>7.38309699669525E-2</v>
      </c>
      <c r="CP29" s="59">
        <f>'C1-Incomes'!CQ31/'C1-Incomes'!$CL31</f>
        <v>3.6195580800596643E-2</v>
      </c>
      <c r="CQ29" s="59">
        <f>'C1-Incomes'!CR31/'C1-Incomes'!$CL31</f>
        <v>1.3116862609937989E-2</v>
      </c>
      <c r="CR29" s="59"/>
      <c r="CS29" s="59"/>
      <c r="CT29" s="59">
        <f>'C1-Incomes'!CU31/'C1-Incomes'!$CT31</f>
        <v>0.3392164990865823</v>
      </c>
      <c r="CU29" s="59">
        <f>'C1-Incomes'!CV31/'C1-Incomes'!$CT31</f>
        <v>0.23068640577213251</v>
      </c>
      <c r="CV29" s="59">
        <f>'C1-Incomes'!CW31/'C1-Incomes'!$CT31</f>
        <v>0.10303998346235822</v>
      </c>
      <c r="CW29" s="59">
        <f>'C1-Incomes'!CX31/'C1-Incomes'!$CT31</f>
        <v>7.5195504617279141E-2</v>
      </c>
      <c r="CX29" s="59">
        <f>'C1-Incomes'!CY31/'C1-Incomes'!$CT31</f>
        <v>3.6978643683441885E-2</v>
      </c>
      <c r="CY29" s="59">
        <f>'C1-Incomes'!CZ31/'C1-Incomes'!$CT31</f>
        <v>1.348047077673746E-2</v>
      </c>
      <c r="CZ29" s="59"/>
      <c r="DA29" s="59"/>
      <c r="DB29" s="59">
        <f>'C1-Incomes'!DC31/'C1-Incomes'!$DB31</f>
        <v>0.34401999941690153</v>
      </c>
      <c r="DC29" s="59">
        <f>'C1-Incomes'!DD31/'C1-Incomes'!$DB31</f>
        <v>0.23530518458579172</v>
      </c>
      <c r="DD29" s="59">
        <f>'C1-Incomes'!DE31/'C1-Incomes'!$DB31</f>
        <v>0.10694542990190849</v>
      </c>
      <c r="DE29" s="59">
        <f>'C1-Incomes'!DF31/'C1-Incomes'!$DB31</f>
        <v>7.8493095120993436E-2</v>
      </c>
      <c r="DF29" s="59">
        <f>'C1-Incomes'!DG31/'C1-Incomes'!$DB31</f>
        <v>3.9177658474312288E-2</v>
      </c>
      <c r="DG29" s="59">
        <f>'C1-Incomes'!DH31/'C1-Incomes'!$DB31</f>
        <v>1.4458646217444091E-2</v>
      </c>
      <c r="DH29" s="59"/>
      <c r="DI29" s="1039"/>
      <c r="DJ29" s="59">
        <f>'C1-Incomes'!DK31/'C1-Incomes'!$DJ31</f>
        <v>0.34259876403394351</v>
      </c>
      <c r="DK29" s="59">
        <f>'C1-Incomes'!DL31/'C1-Incomes'!$DJ31</f>
        <v>0.23635513067229141</v>
      </c>
      <c r="DL29" s="59">
        <f>'C1-Incomes'!DM31/'C1-Incomes'!$DJ31</f>
        <v>0.10816863585710901</v>
      </c>
      <c r="DM29" s="59">
        <f>'C1-Incomes'!DN31/'C1-Incomes'!$DJ31</f>
        <v>7.9317194470817254E-2</v>
      </c>
      <c r="DN29" s="59">
        <f>'C1-Incomes'!DO31/'C1-Incomes'!$DJ31</f>
        <v>3.9401280850225866E-2</v>
      </c>
      <c r="DO29" s="59">
        <f>'C1-Incomes'!DP31/'C1-Incomes'!$DJ31</f>
        <v>1.4529023375303655E-2</v>
      </c>
      <c r="DP29" s="696"/>
      <c r="DQ29" s="503"/>
      <c r="DR29" s="59">
        <f>'C1-Incomes'!DS31/'C1-Incomes'!$DR31</f>
        <v>0.34165163528776443</v>
      </c>
      <c r="DS29" s="59">
        <f>'C1-Incomes'!DT31/'C1-Incomes'!$DR31</f>
        <v>0.23502715323523349</v>
      </c>
      <c r="DT29" s="59">
        <f>'C1-Incomes'!DU31/'C1-Incomes'!$DR31</f>
        <v>0.1069298800396315</v>
      </c>
      <c r="DU29" s="59">
        <f>'C1-Incomes'!DV31/'C1-Incomes'!$DR31</f>
        <v>7.8273461870545818E-2</v>
      </c>
      <c r="DV29" s="59">
        <f>'C1-Incomes'!DW31/'C1-Incomes'!$DR31</f>
        <v>3.8748738105843596E-2</v>
      </c>
      <c r="DW29" s="59">
        <f>'C1-Incomes'!DX31/'C1-Incomes'!$DR31</f>
        <v>1.4253848774771113E-2</v>
      </c>
      <c r="DX29" s="333"/>
      <c r="DZ29" s="59">
        <f>'C1-Incomes'!EA31/'C1-Incomes'!$DZ31</f>
        <v>0.33511857938588918</v>
      </c>
      <c r="EA29" s="59">
        <f>'C1-Incomes'!EB31/'C1-Incomes'!$DZ31</f>
        <v>0.22862903874411775</v>
      </c>
      <c r="EB29" s="59">
        <f>'C1-Incomes'!EC31/'C1-Incomes'!$DZ31</f>
        <v>0.10262807583569859</v>
      </c>
      <c r="EC29" s="59">
        <f>'C1-Incomes'!ED31/'C1-Incomes'!$DZ31</f>
        <v>7.5015089844168603E-2</v>
      </c>
      <c r="ED29" s="59">
        <f>'C1-Incomes'!EE31/'C1-Incomes'!$DZ31</f>
        <v>3.7054393395164233E-2</v>
      </c>
      <c r="EE29" s="59">
        <f>'C1-Incomes'!EF31/'C1-Incomes'!$DZ31</f>
        <v>1.359879959235742E-2</v>
      </c>
      <c r="EF29" s="59"/>
      <c r="EH29" s="59">
        <f>'C1-Incomes'!EI31/'C1-Incomes'!$EH31</f>
        <v>0.33182925421859222</v>
      </c>
      <c r="EI29" s="59">
        <f>'C1-Incomes'!EJ31/'C1-Incomes'!$EH31</f>
        <v>0.2244984745999401</v>
      </c>
      <c r="EJ29" s="59">
        <f>'C1-Incomes'!EK31/'C1-Incomes'!$EH31</f>
        <v>9.8959648608510267E-2</v>
      </c>
      <c r="EK29" s="59">
        <f>'C1-Incomes'!EL31/'C1-Incomes'!$EH31</f>
        <v>7.212567247249442E-2</v>
      </c>
      <c r="EL29" s="59">
        <f>'C1-Incomes'!EM31/'C1-Incomes'!$EH31</f>
        <v>3.551826271976749E-2</v>
      </c>
      <c r="EM29" s="59">
        <f>'C1-Incomes'!EN31/'C1-Incomes'!$EH31</f>
        <v>1.3017582175913235E-2</v>
      </c>
      <c r="EN29" s="59"/>
      <c r="EO29" s="59"/>
      <c r="EP29" s="59">
        <f>'C1-Incomes'!EQ31/'C1-Incomes'!$EH31</f>
        <v>0.34842682595625851</v>
      </c>
      <c r="EQ29" s="59">
        <f>'C1-Incomes'!ER31/'C1-Incomes'!$EH31</f>
        <v>0.2340780365460898</v>
      </c>
      <c r="ER29" s="59">
        <f>'C1-Incomes'!ES31/'C1-Incomes'!$EH31</f>
        <v>0.10157694027896422</v>
      </c>
      <c r="ES29" s="59">
        <f>'C1-Incomes'!ET31/'C1-Incomes'!$EH31</f>
        <v>7.3825160801259448E-2</v>
      </c>
      <c r="ET29" s="59">
        <f>'C1-Incomes'!EU31/'C1-Incomes'!$EH31</f>
        <v>3.6090377146366329E-2</v>
      </c>
      <c r="EU29" s="59">
        <f>'C1-Incomes'!EV31/'C1-Incomes'!$EH31</f>
        <v>1.3202499279254345E-2</v>
      </c>
      <c r="EV29" s="59"/>
      <c r="EW29" s="59"/>
      <c r="EX29" s="59">
        <f>'C1-Incomes'!EY31/'C1-Incomes'!$EX31</f>
        <v>0.32367402869752337</v>
      </c>
      <c r="EY29" s="59">
        <f>'C1-Incomes'!EZ31/'C1-Incomes'!$EX31</f>
        <v>0.21619945755464831</v>
      </c>
      <c r="EZ29" s="59">
        <f>'C1-Incomes'!FA31/'C1-Incomes'!$EX31</f>
        <v>9.2487534110957156E-2</v>
      </c>
      <c r="FA29" s="59">
        <f>'C1-Incomes'!FB31/'C1-Incomes'!$EX31</f>
        <v>6.6954333870142019E-2</v>
      </c>
      <c r="FB29" s="59">
        <f>'C1-Incomes'!FC31/'C1-Incomes'!$EX31</f>
        <v>3.256370126361479E-2</v>
      </c>
      <c r="FC29" s="59">
        <f>'C1-Incomes'!FD31/'C1-Incomes'!$EX31</f>
        <v>1.1823194769232685E-2</v>
      </c>
      <c r="FD29" s="59"/>
      <c r="FF29" s="59">
        <f>'C1-Incomes'!FG31/'C1-Incomes'!$FF31</f>
        <v>0.30994897545588324</v>
      </c>
      <c r="FG29" s="59">
        <f>'C1-Incomes'!FH31/'C1-Incomes'!$FF31</f>
        <v>0.20680078192027815</v>
      </c>
      <c r="FH29" s="59">
        <f>'C1-Incomes'!FI31/'C1-Incomes'!$FF31</f>
        <v>8.822641185087339E-2</v>
      </c>
      <c r="FI29" s="59">
        <f>'C1-Incomes'!FJ31/'C1-Incomes'!$FF31</f>
        <v>6.3744186896350488E-2</v>
      </c>
      <c r="FJ29" s="59">
        <f>'C1-Incomes'!FK31/'C1-Incomes'!$FF31</f>
        <v>3.0899729107257651E-2</v>
      </c>
      <c r="FK29" s="59">
        <f>'C1-Incomes'!FL31/'C1-Incomes'!$FF31</f>
        <v>1.120689072073712E-2</v>
      </c>
      <c r="FN29" s="59">
        <f>'C1-Incomes'!FO31/'C1-Incomes'!$FN31</f>
        <v>0.30763889054582744</v>
      </c>
      <c r="FO29" s="59">
        <f>'C1-Incomes'!FP31/'C1-Incomes'!$FN31</f>
        <v>0.20519087014698054</v>
      </c>
      <c r="FP29" s="59">
        <f>'C1-Incomes'!FQ31/'C1-Incomes'!$FN31</f>
        <v>8.7519303942361987E-2</v>
      </c>
      <c r="FQ29" s="59">
        <f>'C1-Incomes'!FR31/'C1-Incomes'!$FN31</f>
        <v>6.3231345826358365E-2</v>
      </c>
      <c r="FR29" s="59">
        <f>'C1-Incomes'!FS31/'C1-Incomes'!$FN31</f>
        <v>3.0649366035672174E-2</v>
      </c>
      <c r="FS29" s="59">
        <f>'C1-Incomes'!FT31/'C1-Incomes'!$FN31</f>
        <v>1.111610838284976E-2</v>
      </c>
      <c r="FV29" s="59">
        <f>'C1-Incomes'!FW31/'C1-Incomes'!$FV31</f>
        <v>0.30381943458660132</v>
      </c>
      <c r="FW29" s="59">
        <f>'C1-Incomes'!FX31/'C1-Incomes'!$FV31</f>
        <v>0.20256032604326379</v>
      </c>
      <c r="FX29" s="59">
        <f>'C1-Incomes'!FY31/'C1-Incomes'!$FV31</f>
        <v>8.6340996978585646E-2</v>
      </c>
      <c r="FY29" s="59">
        <f>'C1-Incomes'!FZ31/'C1-Incomes'!$FV31</f>
        <v>6.2368976039319422E-2</v>
      </c>
      <c r="FZ29" s="59">
        <f>'C1-Incomes'!GA31/'C1-Incomes'!$FV31</f>
        <v>3.0224282333843295E-2</v>
      </c>
      <c r="GA29" s="59">
        <f>'C1-Incomes'!GB31/'C1-Incomes'!$FV31</f>
        <v>1.0960630313059315E-2</v>
      </c>
      <c r="GE29" s="59">
        <f>'C1-Incomes'!GF31/'C1-Incomes'!$GE31</f>
        <v>0.30015459415445445</v>
      </c>
      <c r="GF29" s="59">
        <f>'C1-Incomes'!GG31/'C1-Incomes'!$GE31</f>
        <v>0.19988915583044445</v>
      </c>
      <c r="GG29" s="59">
        <f>'C1-Incomes'!GH31/'C1-Incomes'!$GE31</f>
        <v>8.4990366355785607E-2</v>
      </c>
      <c r="GH29" s="59">
        <f>'C1-Incomes'!GI31/'C1-Incomes'!$GE31</f>
        <v>6.138994377963769E-2</v>
      </c>
      <c r="GI29" s="59">
        <f>'C1-Incomes'!GJ31/'C1-Incomes'!$GE31</f>
        <v>2.9745377032856107E-2</v>
      </c>
      <c r="GJ29" s="59">
        <f>'C1-Incomes'!GK31/'C1-Incomes'!$GE31</f>
        <v>1.0786079256159882E-2</v>
      </c>
      <c r="GM29" s="59">
        <f>'C1-Incomes'!GN31/'C1-Incomes'!$GM31</f>
        <v>0.29406720090087157</v>
      </c>
      <c r="GN29" s="59">
        <f>'C1-Incomes'!GO31/'C1-Incomes'!$GM31</f>
        <v>0.19583523187804122</v>
      </c>
      <c r="GO29" s="59">
        <f>'C1-Incomes'!GP31/'C1-Incomes'!$GM31</f>
        <v>8.3266688648198986E-2</v>
      </c>
      <c r="GP29" s="59">
        <f>'C1-Incomes'!GQ31/'C1-Incomes'!$GM31</f>
        <v>6.0144902934420132E-2</v>
      </c>
      <c r="GQ29" s="59">
        <f>'C1-Incomes'!GR31/'C1-Incomes'!$GM31</f>
        <v>2.9142115210443655E-2</v>
      </c>
      <c r="GR29" s="59">
        <f>'C1-Incomes'!GS31/'C1-Incomes'!$GM31</f>
        <v>1.0567328294571167E-2</v>
      </c>
      <c r="GU29" s="59">
        <f>'C1-Incomes'!GV31/'C1-Incomes'!$GU31</f>
        <v>0.27426899480083583</v>
      </c>
      <c r="GV29" s="59">
        <f>'C1-Incomes'!GW31/'C1-Incomes'!$GU31</f>
        <v>0.17913478781903805</v>
      </c>
      <c r="GW29" s="59">
        <f>'C1-Incomes'!GX31/'C1-Incomes'!$GU31</f>
        <v>7.2970570562346168E-2</v>
      </c>
      <c r="GX29" s="59">
        <f>'C1-Incomes'!GY31/'C1-Incomes'!$GU31</f>
        <v>5.1804730084373446E-2</v>
      </c>
      <c r="GY29" s="59">
        <f>'C1-Incomes'!GZ31/'C1-Incomes'!$GU31</f>
        <v>2.4467260988709116E-2</v>
      </c>
      <c r="GZ29" s="59">
        <f>'C1-Incomes'!HA31/'C1-Incomes'!$GU31</f>
        <v>8.743494743530816E-3</v>
      </c>
      <c r="HC29" s="59">
        <f>'C1-Incomes'!HD31/'C1-Incomes'!$HC31</f>
        <v>0.27095634359477466</v>
      </c>
      <c r="HD29" s="59">
        <f>'C1-Incomes'!HE31/'C1-Incomes'!$HC31</f>
        <v>0.17632762869307819</v>
      </c>
      <c r="HE29" s="59">
        <f>'C1-Incomes'!HF31/'C1-Incomes'!$HC31</f>
        <v>7.1382736253489079E-2</v>
      </c>
      <c r="HF29" s="59">
        <f>'C1-Incomes'!HG31/'C1-Incomes'!$HC31</f>
        <v>5.0601503884870648E-2</v>
      </c>
      <c r="HG29" s="59">
        <f>'C1-Incomes'!HH31/'C1-Incomes'!$HC31</f>
        <v>2.3800658771279418E-2</v>
      </c>
      <c r="HH29" s="59">
        <f>'C1-Incomes'!HI31/'C1-Incomes'!$HC31</f>
        <v>8.464491088462275E-3</v>
      </c>
      <c r="HK29" s="59">
        <f>'C1-Incomes'!HL31/'C1-Incomes'!$HK31</f>
        <v>0.26857796227050507</v>
      </c>
      <c r="HL29" s="59">
        <f>'C1-Incomes'!HM31/'C1-Incomes'!$HK31</f>
        <v>0.17414416065339933</v>
      </c>
      <c r="HM29" s="59">
        <f>'C1-Incomes'!HN31/'C1-Incomes'!$HK31</f>
        <v>6.9843233969666602E-2</v>
      </c>
      <c r="HN29" s="59">
        <f>'C1-Incomes'!HO31/'C1-Incomes'!$HK31</f>
        <v>4.9266919046769567E-2</v>
      </c>
      <c r="HO29" s="59">
        <f>'C1-Incomes'!HP31/'C1-Incomes'!$HK31</f>
        <v>2.3048206943783886E-2</v>
      </c>
      <c r="HP29" s="59">
        <f>'C1-Incomes'!HQ31/'C1-Incomes'!$HK31</f>
        <v>8.2060957097266733E-3</v>
      </c>
      <c r="HS29" s="59">
        <f>'C1-Incomes'!HT31/'C1-Incomes'!$HS31</f>
        <v>0.26581518146511368</v>
      </c>
      <c r="HT29" s="59">
        <f>'C1-Incomes'!HU31/'C1-Incomes'!$HS31</f>
        <v>0.17191176357105564</v>
      </c>
      <c r="HU29" s="59">
        <f>'C1-Incomes'!HV31/'C1-Incomes'!$HS31</f>
        <v>6.8542045292464548E-2</v>
      </c>
      <c r="HV29" s="59">
        <f>'C1-Incomes'!HW31/'C1-Incomes'!$HS31</f>
        <v>4.8291088993119173E-2</v>
      </c>
      <c r="HW29" s="59">
        <f>'C1-Incomes'!HX31/'C1-Incomes'!$HS31</f>
        <v>2.2508182183999175E-2</v>
      </c>
      <c r="HX29" s="59">
        <f>'C1-Incomes'!HY31/'C1-Incomes'!$HS31</f>
        <v>7.9940514592959123E-3</v>
      </c>
      <c r="IA29" s="59">
        <f>'C1-Incomes'!IB31/'C1-Incomes'!$IA31</f>
        <v>0.2685648846244279</v>
      </c>
      <c r="IB29" s="59">
        <f>'C1-Incomes'!IC31/'C1-Incomes'!$IA31</f>
        <v>0.17623626118629535</v>
      </c>
      <c r="IC29" s="59">
        <f>'C1-Incomes'!ID31/'C1-Incomes'!$IA31</f>
        <v>7.2627841829323053E-2</v>
      </c>
      <c r="ID29" s="59">
        <f>'C1-Incomes'!IE31/'C1-Incomes'!$IA31</f>
        <v>5.1541369091751651E-2</v>
      </c>
      <c r="IE29" s="59">
        <f>'C1-Incomes'!IF31/'C1-Incomes'!$IA31</f>
        <v>2.4224208488176718E-2</v>
      </c>
      <c r="IF29" s="59">
        <f>'C1-Incomes'!IG31/'C1-Incomes'!$IA31</f>
        <v>8.6318447215740172E-3</v>
      </c>
      <c r="II29" s="59">
        <f>'C1-Incomes'!IJ31/'C1-Incomes'!$II31</f>
        <v>0.2694026820515093</v>
      </c>
      <c r="IJ29" s="59">
        <f>'C1-Incomes'!IK31/'C1-Incomes'!$II31</f>
        <v>0.17772969316194909</v>
      </c>
      <c r="IK29" s="59">
        <f>'C1-Incomes'!IL31/'C1-Incomes'!$II31</f>
        <v>7.4118988581477932E-2</v>
      </c>
      <c r="IL29" s="59">
        <f>'C1-Incomes'!IM31/'C1-Incomes'!$II31</f>
        <v>5.2892826125818748E-2</v>
      </c>
      <c r="IM29" s="59">
        <f>'C1-Incomes'!IN31/'C1-Incomes'!$II31</f>
        <v>2.4952709990645978E-2</v>
      </c>
      <c r="IN29" s="59">
        <f>'C1-Incomes'!IO31/'C1-Incomes'!$II31</f>
        <v>8.9227971340094595E-3</v>
      </c>
      <c r="IQ29" s="59">
        <f>'C1-Incomes'!IR31/'C1-Incomes'!$IQ31</f>
        <v>0.26730010507179613</v>
      </c>
      <c r="IR29" s="59">
        <f>'C1-Incomes'!IS31/'C1-Incomes'!$IQ31</f>
        <v>0.17621474508708229</v>
      </c>
      <c r="IS29" s="59">
        <f>'C1-Incomes'!IT31/'C1-Incomes'!$IQ31</f>
        <v>7.3289984014099516E-2</v>
      </c>
      <c r="IT29" s="59">
        <f>'C1-Incomes'!IU31/'C1-Incomes'!$IQ31</f>
        <v>5.2261605646206348E-2</v>
      </c>
      <c r="IU29" s="59">
        <f>'C1-Incomes'!IV31/'C1-Incomes'!$IQ31</f>
        <v>2.4621665762375677E-2</v>
      </c>
      <c r="IV29" s="59">
        <f>'C1-Incomes'!IW31/'C1-Incomes'!$IQ31</f>
        <v>8.7977047617978192E-3</v>
      </c>
      <c r="IY29" s="59">
        <f>'C1-Incomes'!IZ31/'C1-Incomes'!$IY31</f>
        <v>0.24936364232903957</v>
      </c>
      <c r="IZ29" s="59">
        <f>'C1-Incomes'!JA31/'C1-Incomes'!$IY31</f>
        <v>0.16295138953694635</v>
      </c>
      <c r="JA29" s="59">
        <f>'C1-Incomes'!JB31/'C1-Incomes'!$IY31</f>
        <v>6.6815370630912127E-2</v>
      </c>
      <c r="JB29" s="59">
        <f>'C1-Incomes'!JC31/'C1-Incomes'!$IY31</f>
        <v>4.7416045587811172E-2</v>
      </c>
      <c r="JC29" s="59">
        <f>'C1-Incomes'!JD31/'C1-Incomes'!$IY31</f>
        <v>2.2214766115906143E-2</v>
      </c>
      <c r="JD29" s="59">
        <f>'C1-Incomes'!JE31/'C1-Incomes'!$IY31</f>
        <v>7.9015568977490406E-3</v>
      </c>
      <c r="JE29" s="197"/>
      <c r="JF29" s="197"/>
      <c r="JG29" s="197"/>
      <c r="JH29" s="197"/>
      <c r="JI29" s="197"/>
      <c r="JJ29" s="197"/>
      <c r="JK29" s="197"/>
      <c r="JL29" s="197"/>
      <c r="JM29" s="197"/>
      <c r="JN29" s="197"/>
      <c r="JO29" s="197"/>
      <c r="JP29" s="197"/>
      <c r="JQ29" s="197"/>
      <c r="JR29" s="197"/>
      <c r="JS29" s="197"/>
      <c r="JT29" s="197"/>
      <c r="JU29" s="197"/>
      <c r="JV29" s="197"/>
      <c r="JW29" s="197"/>
      <c r="JX29" s="197"/>
      <c r="JY29" s="197"/>
      <c r="JZ29" s="197"/>
      <c r="KA29" s="197"/>
      <c r="KB29" s="197"/>
      <c r="KC29" s="197"/>
      <c r="KD29" s="197"/>
      <c r="KE29" s="197"/>
      <c r="KF29" s="197"/>
      <c r="KG29" s="197"/>
      <c r="KH29" s="197"/>
      <c r="KI29" s="197"/>
      <c r="KJ29" s="197"/>
      <c r="KK29" s="197"/>
      <c r="KL29" s="197"/>
      <c r="KM29" s="197"/>
      <c r="KN29" s="197"/>
      <c r="KO29" s="197"/>
      <c r="KP29" s="197"/>
      <c r="KQ29" s="197"/>
      <c r="KR29" s="197"/>
      <c r="KS29" s="197"/>
      <c r="KT29" s="197"/>
      <c r="KU29" s="197"/>
      <c r="KV29" s="197"/>
      <c r="KW29" s="197"/>
      <c r="KX29" s="197"/>
      <c r="KY29" s="197"/>
      <c r="KZ29" s="197"/>
      <c r="LA29" s="197"/>
      <c r="LB29" s="197"/>
      <c r="LC29" s="197"/>
      <c r="LD29" s="197"/>
      <c r="LE29" s="197"/>
      <c r="LF29" s="197"/>
      <c r="LG29" s="197"/>
      <c r="LH29" s="197"/>
      <c r="LI29" s="197"/>
      <c r="LJ29" s="197"/>
      <c r="LK29" s="197"/>
      <c r="LL29" s="197"/>
      <c r="LM29" s="197"/>
      <c r="LN29" s="197"/>
      <c r="LO29" s="197"/>
      <c r="LP29" s="197"/>
      <c r="LQ29" s="197"/>
      <c r="LR29" s="197"/>
      <c r="LS29" s="197"/>
      <c r="LT29" s="197"/>
      <c r="LU29" s="197"/>
      <c r="LV29" s="197"/>
      <c r="LW29" s="197"/>
      <c r="LX29" s="197"/>
      <c r="LY29" s="197"/>
      <c r="LZ29" s="197"/>
      <c r="MA29" s="197"/>
      <c r="MB29" s="197"/>
      <c r="MC29" s="197"/>
      <c r="MD29" s="197"/>
      <c r="ME29" s="197"/>
      <c r="MF29" s="197"/>
      <c r="MG29" s="197"/>
      <c r="MH29" s="197"/>
      <c r="MI29" s="197"/>
      <c r="MJ29" s="197"/>
      <c r="MK29" s="197"/>
      <c r="ML29" s="197"/>
      <c r="MM29" s="197"/>
      <c r="MN29" s="197"/>
      <c r="MO29" s="197"/>
      <c r="MP29" s="197"/>
      <c r="MQ29" s="197"/>
      <c r="MR29" s="197"/>
      <c r="MS29" s="197"/>
      <c r="MT29" s="197"/>
      <c r="MU29" s="197"/>
      <c r="MV29" s="197"/>
      <c r="MW29" s="197"/>
      <c r="MX29" s="197"/>
      <c r="MY29" s="197"/>
      <c r="MZ29" s="197"/>
      <c r="NA29" s="197"/>
      <c r="NB29" s="197"/>
      <c r="NC29" s="197"/>
      <c r="ND29" s="197"/>
      <c r="NE29" s="197"/>
      <c r="NF29" s="197"/>
      <c r="NG29" s="197"/>
      <c r="NH29" s="197"/>
      <c r="NI29" s="197"/>
      <c r="NJ29" s="197"/>
      <c r="NK29" s="197"/>
      <c r="NL29" s="197"/>
      <c r="NM29" s="197"/>
      <c r="NN29" s="197"/>
      <c r="NO29" s="197"/>
      <c r="NP29" s="197"/>
      <c r="NQ29" s="197"/>
      <c r="NR29" s="197"/>
      <c r="NS29" s="197"/>
      <c r="NT29" s="197"/>
      <c r="NU29" s="197"/>
      <c r="NV29" s="197"/>
      <c r="NW29" s="197"/>
      <c r="NX29" s="197"/>
      <c r="NY29" s="197"/>
      <c r="NZ29" s="197"/>
      <c r="OA29" s="197"/>
      <c r="OB29" s="197"/>
      <c r="OC29" s="197"/>
      <c r="OD29" s="197"/>
      <c r="OE29" s="197"/>
      <c r="OF29" s="197"/>
      <c r="OG29" s="197"/>
      <c r="OH29" s="197"/>
      <c r="OI29" s="197"/>
      <c r="OJ29" s="197"/>
      <c r="OK29" s="197"/>
      <c r="OL29" s="197"/>
      <c r="OM29" s="197"/>
      <c r="ON29" s="197"/>
      <c r="OO29" s="197"/>
      <c r="OP29" s="197"/>
      <c r="OQ29" s="197"/>
      <c r="OR29" s="197"/>
      <c r="OS29" s="197"/>
      <c r="OT29" s="197"/>
      <c r="OU29" s="197"/>
      <c r="OV29" s="197"/>
      <c r="OW29" s="197"/>
      <c r="OX29" s="197"/>
      <c r="OY29" s="197"/>
      <c r="OZ29" s="197"/>
      <c r="PA29" s="197"/>
      <c r="PB29" s="197"/>
    </row>
    <row r="30" spans="1:418" s="77" customFormat="1" ht="10.5" customHeight="1" x14ac:dyDescent="0.2">
      <c r="A30" s="48">
        <v>1984</v>
      </c>
      <c r="B30" s="59">
        <f>'C1-Incomes'!C32/'C1-Incomes'!$B32</f>
        <v>0.34580500112474899</v>
      </c>
      <c r="C30" s="59">
        <f>'C1-Incomes'!D32/'C1-Incomes'!$B32</f>
        <v>0.22539034795421137</v>
      </c>
      <c r="D30" s="59">
        <f>'C1-Incomes'!E32/'C1-Incomes'!$B32</f>
        <v>9.0060885078286759E-2</v>
      </c>
      <c r="E30" s="59">
        <f>'C1-Incomes'!F32/'C1-Incomes'!$B32</f>
        <v>6.2829633039220345E-2</v>
      </c>
      <c r="F30" s="59">
        <f>'C1-Incomes'!G32/'C1-Incomes'!$B32</f>
        <v>2.8316876274329942E-2</v>
      </c>
      <c r="G30" s="59">
        <f>'C1-Incomes'!H32/'C1-Incomes'!$B32</f>
        <v>9.7982523978304859E-3</v>
      </c>
      <c r="H30" s="199"/>
      <c r="J30" s="59">
        <f>'C1-Incomes'!K32/'C1-Incomes'!$J32</f>
        <v>0.32457844655547768</v>
      </c>
      <c r="K30" s="59">
        <f>'C1-Incomes'!L32/'C1-Incomes'!$J32</f>
        <v>0.21826718871796177</v>
      </c>
      <c r="L30" s="59">
        <f>'C1-Incomes'!M32/'C1-Incomes'!$J32</f>
        <v>9.5430599975374134E-2</v>
      </c>
      <c r="M30" s="59">
        <f>'C1-Incomes'!N32/'C1-Incomes'!$J32</f>
        <v>6.9311805287414513E-2</v>
      </c>
      <c r="N30" s="59">
        <f>'C1-Incomes'!O32/'C1-Incomes'!$J32</f>
        <v>3.4130596402716533E-2</v>
      </c>
      <c r="O30" s="59">
        <f>'C1-Incomes'!P32/'C1-Incomes'!$J32</f>
        <v>1.2798342485425575E-2</v>
      </c>
      <c r="P30" s="59"/>
      <c r="R30" s="59">
        <f>'C1-Incomes'!S32/'C1-Incomes'!$R32</f>
        <v>0.29740342751476812</v>
      </c>
      <c r="S30" s="59">
        <f>'C1-Incomes'!T32/'C1-Incomes'!$R32</f>
        <v>0.199431212199044</v>
      </c>
      <c r="T30" s="59">
        <f>'C1-Incomes'!U32/'C1-Incomes'!$R32</f>
        <v>8.6710232120910974E-2</v>
      </c>
      <c r="U30" s="59">
        <f>'C1-Incomes'!V32/'C1-Incomes'!$R32</f>
        <v>6.2847480938079237E-2</v>
      </c>
      <c r="V30" s="59">
        <f>'C1-Incomes'!W32/'C1-Incomes'!$R32</f>
        <v>3.0821711127873616E-2</v>
      </c>
      <c r="W30" s="59">
        <f>'C1-Incomes'!X32/'C1-Incomes'!$R32</f>
        <v>1.1546748495622447E-2</v>
      </c>
      <c r="X30" s="59"/>
      <c r="Y30" s="59"/>
      <c r="Z30" s="59">
        <f>'C1-Incomes'!AA32/'C1-Incomes'!$Z32</f>
        <v>0.2580939581332552</v>
      </c>
      <c r="AA30" s="59">
        <f>'C1-Incomes'!AB32/'C1-Incomes'!$Z32</f>
        <v>0.17054065909930338</v>
      </c>
      <c r="AB30" s="59">
        <f>'C1-Incomes'!AC32/'C1-Incomes'!$Z32</f>
        <v>7.2297376537959604E-2</v>
      </c>
      <c r="AC30" s="59">
        <f>'C1-Incomes'!AD32/'C1-Incomes'!$Z32</f>
        <v>5.1592629795720511E-2</v>
      </c>
      <c r="AD30" s="59">
        <f>'C1-Incomes'!AE32/'C1-Incomes'!$Z32</f>
        <v>2.4175009223710776E-2</v>
      </c>
      <c r="AE30" s="59">
        <f>'C1-Incomes'!AF32/'C1-Incomes'!$Z32</f>
        <v>8.9291602886838219E-3</v>
      </c>
      <c r="AF30" s="200"/>
      <c r="AG30" s="195"/>
      <c r="AH30" s="59">
        <f>'C1-Incomes'!AI32/'C1-Incomes'!$AH32</f>
        <v>0.34468421477398514</v>
      </c>
      <c r="AI30" s="59">
        <f>'C1-Incomes'!AJ32/'C1-Incomes'!$AH32</f>
        <v>0.2243825807902646</v>
      </c>
      <c r="AJ30" s="59">
        <f>'C1-Incomes'!AK32/'C1-Incomes'!$AH32</f>
        <v>8.957263750945943E-2</v>
      </c>
      <c r="AK30" s="59">
        <f>'C1-Incomes'!AL32/'C1-Incomes'!$AH32</f>
        <v>6.2489639742813179E-2</v>
      </c>
      <c r="AL30" s="59">
        <f>'C1-Incomes'!AM32/'C1-Incomes'!$AH32</f>
        <v>2.8214573020222476E-2</v>
      </c>
      <c r="AM30" s="59">
        <f>'C1-Incomes'!AN32/'C1-Incomes'!$AH32</f>
        <v>9.7516737335372628E-3</v>
      </c>
      <c r="AN30" s="195"/>
      <c r="AO30" s="195"/>
      <c r="AP30" s="59">
        <f>'C1-Incomes'!AQ32/'C1-Incomes'!$AP32</f>
        <v>0.34773183929419982</v>
      </c>
      <c r="AQ30" s="59">
        <f>'C1-Incomes'!AR32/'C1-Incomes'!$AP32</f>
        <v>0.22869330623699186</v>
      </c>
      <c r="AR30" s="59">
        <f>'C1-Incomes'!AS32/'C1-Incomes'!$AP32</f>
        <v>9.4893555303363977E-2</v>
      </c>
      <c r="AS30" s="59">
        <f>'C1-Incomes'!AT32/'C1-Incomes'!$AP32</f>
        <v>6.7128388609075912E-2</v>
      </c>
      <c r="AT30" s="59">
        <f>'C1-Incomes'!AU32/'C1-Incomes'!$AP32</f>
        <v>3.0995588740443471E-2</v>
      </c>
      <c r="AU30" s="59">
        <f>'C1-Incomes'!AV32/'C1-Incomes'!$AP32</f>
        <v>1.0355317915046553E-2</v>
      </c>
      <c r="AV30" s="197"/>
      <c r="AW30" s="60"/>
      <c r="AX30" s="59">
        <f>'C1-Incomes'!AY32/'C1-Incomes'!$AX32</f>
        <v>0.3518231552908237</v>
      </c>
      <c r="AY30" s="59">
        <f>'C1-Incomes'!AZ32/'C1-Incomes'!$AX32</f>
        <v>0.23313562245624314</v>
      </c>
      <c r="AZ30" s="59">
        <f>'C1-Incomes'!BA32/'C1-Incomes'!$AX32</f>
        <v>9.8665401243309012E-2</v>
      </c>
      <c r="BA30" s="59">
        <f>'C1-Incomes'!BB32/'C1-Incomes'!$AX32</f>
        <v>7.0301422916585379E-2</v>
      </c>
      <c r="BB30" s="59">
        <f>'C1-Incomes'!BC32/'C1-Incomes'!$AX32</f>
        <v>3.2922303140829973E-2</v>
      </c>
      <c r="BC30" s="59">
        <f>'C1-Incomes'!BD32/'C1-Incomes'!$AX32</f>
        <v>1.1059093732882625E-2</v>
      </c>
      <c r="BD30" s="60"/>
      <c r="BE30" s="60"/>
      <c r="BF30" s="59">
        <f>'C1-Incomes'!BG32/'C1-Incomes'!$BF32</f>
        <v>0.34652301824437853</v>
      </c>
      <c r="BG30" s="59">
        <f>'C1-Incomes'!BH32/'C1-Incomes'!$BF32</f>
        <v>0.22944541504618829</v>
      </c>
      <c r="BH30" s="59">
        <f>'C1-Incomes'!BI32/'C1-Incomes'!$BF32</f>
        <v>9.7664413515328966E-2</v>
      </c>
      <c r="BI30" s="59">
        <f>'C1-Incomes'!BJ32/'C1-Incomes'!$BF32</f>
        <v>6.9928646487980847E-2</v>
      </c>
      <c r="BJ30" s="59">
        <f>'C1-Incomes'!BK32/'C1-Incomes'!$BF32</f>
        <v>3.3054513258291861E-2</v>
      </c>
      <c r="BK30" s="59">
        <f>'C1-Incomes'!BL32/'C1-Incomes'!$BF32</f>
        <v>1.1151005848726747E-2</v>
      </c>
      <c r="BL30" s="59"/>
      <c r="BM30" s="59"/>
      <c r="BN30" s="59">
        <f>'C1-Incomes'!BO32/'C1-Incomes'!$BN32</f>
        <v>0.32270952961880395</v>
      </c>
      <c r="BO30" s="59">
        <f>'C1-Incomes'!BP32/'C1-Incomes'!$BN32</f>
        <v>0.21434598612341685</v>
      </c>
      <c r="BP30" s="59">
        <f>'C1-Incomes'!BQ32/'C1-Incomes'!$BN32</f>
        <v>8.9801623126416277E-2</v>
      </c>
      <c r="BQ30" s="59">
        <f>'C1-Incomes'!BR32/'C1-Incomes'!$BN32</f>
        <v>6.4338509074555336E-2</v>
      </c>
      <c r="BR30" s="59">
        <f>'C1-Incomes'!BS32/'C1-Incomes'!$BN32</f>
        <v>3.0571052915943007E-2</v>
      </c>
      <c r="BS30" s="59">
        <f>'C1-Incomes'!BT32/'C1-Incomes'!$BN32</f>
        <v>1.0677878492395685E-2</v>
      </c>
      <c r="BT30" s="59"/>
      <c r="BU30" s="59"/>
      <c r="BV30" s="59">
        <f>'C1-Incomes'!BW32/'C1-Incomes'!$BV32</f>
        <v>0.32514392054881519</v>
      </c>
      <c r="BW30" s="59">
        <f>'C1-Incomes'!BX32/'C1-Incomes'!$BV32</f>
        <v>0.21698629974813208</v>
      </c>
      <c r="BX30" s="59">
        <f>'C1-Incomes'!BY32/'C1-Incomes'!$BV32</f>
        <v>9.2034590145962256E-2</v>
      </c>
      <c r="BY30" s="59">
        <f>'C1-Incomes'!BZ32/'C1-Incomes'!$BV32</f>
        <v>6.6131826460582105E-2</v>
      </c>
      <c r="BZ30" s="59">
        <f>'C1-Incomes'!CA32/'C1-Incomes'!$BV32</f>
        <v>3.1637379738461736E-2</v>
      </c>
      <c r="CA30" s="59">
        <f>'C1-Incomes'!CB32/'C1-Incomes'!$BV32</f>
        <v>1.1254007743976249E-2</v>
      </c>
      <c r="CB30" s="60"/>
      <c r="CC30" s="198"/>
      <c r="CD30" s="59">
        <f>'C1-Incomes'!CE32/'C1-Incomes'!$CD32</f>
        <v>0.3371126214345958</v>
      </c>
      <c r="CE30" s="59">
        <f>'C1-Incomes'!CF32/'C1-Incomes'!$CD32</f>
        <v>0.22947746354857651</v>
      </c>
      <c r="CF30" s="59">
        <f>'C1-Incomes'!CG32/'C1-Incomes'!$CD32</f>
        <v>0.10342218922426571</v>
      </c>
      <c r="CG30" s="59">
        <f>'C1-Incomes'!CH32/'C1-Incomes'!$CD32</f>
        <v>7.5597540738433319E-2</v>
      </c>
      <c r="CH30" s="59">
        <f>'C1-Incomes'!CI32/'C1-Incomes'!$CD32</f>
        <v>3.7599087916121161E-2</v>
      </c>
      <c r="CI30" s="59">
        <f>'C1-Incomes'!CJ32/'C1-Incomes'!$CD32</f>
        <v>1.3918495172101477E-2</v>
      </c>
      <c r="CL30" s="59">
        <f>'C1-Incomes'!CM32/'C1-Incomes'!$CL32</f>
        <v>0.33843053255128053</v>
      </c>
      <c r="CM30" s="59">
        <f>'C1-Incomes'!CN32/'C1-Incomes'!$CL32</f>
        <v>0.23116836910225641</v>
      </c>
      <c r="CN30" s="59">
        <f>'C1-Incomes'!CO32/'C1-Incomes'!$CL32</f>
        <v>0.10475959461737072</v>
      </c>
      <c r="CO30" s="59">
        <f>'C1-Incomes'!CP32/'C1-Incomes'!$CL32</f>
        <v>7.6682940803352834E-2</v>
      </c>
      <c r="CP30" s="59">
        <f>'C1-Incomes'!CQ32/'C1-Incomes'!$CL32</f>
        <v>3.8245633902698487E-2</v>
      </c>
      <c r="CQ30" s="59">
        <f>'C1-Incomes'!CR32/'C1-Incomes'!$CL32</f>
        <v>1.4218144350746018E-2</v>
      </c>
      <c r="CR30" s="59"/>
      <c r="CS30" s="59"/>
      <c r="CT30" s="59">
        <f>'C1-Incomes'!CU32/'C1-Incomes'!$CT32</f>
        <v>0.3399933273779393</v>
      </c>
      <c r="CU30" s="59">
        <f>'C1-Incomes'!CV32/'C1-Incomes'!$CT32</f>
        <v>0.23298385108194289</v>
      </c>
      <c r="CV30" s="59">
        <f>'C1-Incomes'!CW32/'C1-Incomes'!$CT32</f>
        <v>0.10610239527287194</v>
      </c>
      <c r="CW30" s="59">
        <f>'C1-Incomes'!CX32/'C1-Incomes'!$CT32</f>
        <v>7.7836087692929865E-2</v>
      </c>
      <c r="CX30" s="59">
        <f>'C1-Incomes'!CY32/'C1-Incomes'!$CT32</f>
        <v>3.8956316018733762E-2</v>
      </c>
      <c r="CY30" s="59">
        <f>'C1-Incomes'!CZ32/'C1-Incomes'!$CT32</f>
        <v>1.4577315284919143E-2</v>
      </c>
      <c r="CZ30" s="59"/>
      <c r="DA30" s="59"/>
      <c r="DB30" s="59">
        <f>'C1-Incomes'!DC32/'C1-Incomes'!$DB32</f>
        <v>0.34418756341595791</v>
      </c>
      <c r="DC30" s="59">
        <f>'C1-Incomes'!DD32/'C1-Incomes'!$DB32</f>
        <v>0.23667880457406579</v>
      </c>
      <c r="DD30" s="59">
        <f>'C1-Incomes'!DE32/'C1-Incomes'!$DB32</f>
        <v>0.10927978694627985</v>
      </c>
      <c r="DE30" s="59">
        <f>'C1-Incomes'!DF32/'C1-Incomes'!$DB32</f>
        <v>8.047524361779744E-2</v>
      </c>
      <c r="DF30" s="59">
        <f>'C1-Incomes'!DG32/'C1-Incomes'!$DB32</f>
        <v>4.0761170026223023E-2</v>
      </c>
      <c r="DG30" s="59">
        <f>'C1-Incomes'!DH32/'C1-Incomes'!$DB32</f>
        <v>1.5512856985506291E-2</v>
      </c>
      <c r="DH30" s="59"/>
      <c r="DI30" s="1039"/>
      <c r="DJ30" s="59">
        <f>'C1-Incomes'!DK32/'C1-Incomes'!$DJ32</f>
        <v>0.34469377488642128</v>
      </c>
      <c r="DK30" s="59">
        <f>'C1-Incomes'!DL32/'C1-Incomes'!$DJ32</f>
        <v>0.23931724398220533</v>
      </c>
      <c r="DL30" s="59">
        <f>'C1-Incomes'!DM32/'C1-Incomes'!$DJ32</f>
        <v>0.11192659784846849</v>
      </c>
      <c r="DM30" s="59">
        <f>'C1-Incomes'!DN32/'C1-Incomes'!$DJ32</f>
        <v>8.212636136810636E-2</v>
      </c>
      <c r="DN30" s="59">
        <f>'C1-Incomes'!DO32/'C1-Incomes'!$DJ32</f>
        <v>4.1175245114592397E-2</v>
      </c>
      <c r="DO30" s="59">
        <f>'C1-Incomes'!DP32/'C1-Incomes'!$DJ32</f>
        <v>1.5694864087501457E-2</v>
      </c>
      <c r="DP30" s="696"/>
      <c r="DQ30" s="503"/>
      <c r="DR30" s="59">
        <f>'C1-Incomes'!DS32/'C1-Incomes'!$DR32</f>
        <v>0.34360304586993667</v>
      </c>
      <c r="DS30" s="59">
        <f>'C1-Incomes'!DT32/'C1-Incomes'!$DR32</f>
        <v>0.23803209954891397</v>
      </c>
      <c r="DT30" s="59">
        <f>'C1-Incomes'!DU32/'C1-Incomes'!$DR32</f>
        <v>0.11067448544668827</v>
      </c>
      <c r="DU30" s="59">
        <f>'C1-Incomes'!DV32/'C1-Incomes'!$DR32</f>
        <v>8.1114512773993688E-2</v>
      </c>
      <c r="DV30" s="59">
        <f>'C1-Incomes'!DW32/'C1-Incomes'!$DR32</f>
        <v>4.0547389650448892E-2</v>
      </c>
      <c r="DW30" s="59">
        <f>'C1-Incomes'!DX32/'C1-Incomes'!$DR32</f>
        <v>1.5422178844529821E-2</v>
      </c>
      <c r="DX30" s="333"/>
      <c r="DZ30" s="59">
        <f>'C1-Incomes'!EA32/'C1-Incomes'!$DZ32</f>
        <v>0.33655779050251028</v>
      </c>
      <c r="EA30" s="59">
        <f>'C1-Incomes'!EB32/'C1-Incomes'!$DZ32</f>
        <v>0.23119137888686081</v>
      </c>
      <c r="EB30" s="59">
        <f>'C1-Incomes'!EC32/'C1-Incomes'!$DZ32</f>
        <v>0.10604806155384854</v>
      </c>
      <c r="EC30" s="59">
        <f>'C1-Incomes'!ED32/'C1-Incomes'!$DZ32</f>
        <v>7.760051213686342E-2</v>
      </c>
      <c r="ED30" s="59">
        <f>'C1-Incomes'!EE32/'C1-Incomes'!$DZ32</f>
        <v>3.8678079406495418E-2</v>
      </c>
      <c r="EE30" s="59">
        <f>'C1-Incomes'!EF32/'C1-Incomes'!$DZ32</f>
        <v>1.4688857445600204E-2</v>
      </c>
      <c r="EF30" s="59"/>
      <c r="EH30" s="59">
        <f>'C1-Incomes'!EI32/'C1-Incomes'!$EH32</f>
        <v>0.33302861702627951</v>
      </c>
      <c r="EI30" s="59">
        <f>'C1-Incomes'!EJ32/'C1-Incomes'!$EH32</f>
        <v>0.22704261300996184</v>
      </c>
      <c r="EJ30" s="59">
        <f>'C1-Incomes'!EK32/'C1-Incomes'!$EH32</f>
        <v>0.10220792236963767</v>
      </c>
      <c r="EK30" s="59">
        <f>'C1-Incomes'!EL32/'C1-Incomes'!$EH32</f>
        <v>7.4709925850656167E-2</v>
      </c>
      <c r="EL30" s="59">
        <f>'C1-Incomes'!EM32/'C1-Incomes'!$EH32</f>
        <v>3.7132929562969166E-2</v>
      </c>
      <c r="EM30" s="59">
        <f>'C1-Incomes'!EN32/'C1-Incomes'!$EH32</f>
        <v>1.4080494669687775E-2</v>
      </c>
      <c r="EN30" s="59"/>
      <c r="EO30" s="59"/>
      <c r="EP30" s="59">
        <f>'C1-Incomes'!EQ32/'C1-Incomes'!$EH32</f>
        <v>0.34906362901293142</v>
      </c>
      <c r="EQ30" s="59">
        <f>'C1-Incomes'!ER32/'C1-Incomes'!$EH32</f>
        <v>0.23620154707296778</v>
      </c>
      <c r="ER30" s="59">
        <f>'C1-Incomes'!ES32/'C1-Incomes'!$EH32</f>
        <v>0.10478745882052527</v>
      </c>
      <c r="ES30" s="59">
        <f>'C1-Incomes'!ET32/'C1-Incomes'!$EH32</f>
        <v>7.6361559721815436E-2</v>
      </c>
      <c r="ET30" s="59">
        <f>'C1-Incomes'!EU32/'C1-Incomes'!$EH32</f>
        <v>3.7780700217979905E-2</v>
      </c>
      <c r="EU30" s="59">
        <f>'C1-Incomes'!EV32/'C1-Incomes'!$EH32</f>
        <v>1.421414741699714E-2</v>
      </c>
      <c r="EV30" s="59"/>
      <c r="EW30" s="59"/>
      <c r="EX30" s="59">
        <f>'C1-Incomes'!EY32/'C1-Incomes'!$EX32</f>
        <v>0.32457844655547768</v>
      </c>
      <c r="EY30" s="59">
        <f>'C1-Incomes'!EZ32/'C1-Incomes'!$EX32</f>
        <v>0.21826718871796177</v>
      </c>
      <c r="EZ30" s="59">
        <f>'C1-Incomes'!FA32/'C1-Incomes'!$EX32</f>
        <v>9.5430599975374134E-2</v>
      </c>
      <c r="FA30" s="59">
        <f>'C1-Incomes'!FB32/'C1-Incomes'!$EX32</f>
        <v>6.9311805287414513E-2</v>
      </c>
      <c r="FB30" s="59">
        <f>'C1-Incomes'!FC32/'C1-Incomes'!$EX32</f>
        <v>3.4130596402716533E-2</v>
      </c>
      <c r="FC30" s="59">
        <f>'C1-Incomes'!FD32/'C1-Incomes'!$EX32</f>
        <v>1.2798342485425575E-2</v>
      </c>
      <c r="FD30" s="59"/>
      <c r="FF30" s="59">
        <f>'C1-Incomes'!FG32/'C1-Incomes'!$FF32</f>
        <v>0.31173539456719623</v>
      </c>
      <c r="FG30" s="59">
        <f>'C1-Incomes'!FH32/'C1-Incomes'!$FF32</f>
        <v>0.20940338398189001</v>
      </c>
      <c r="FH30" s="59">
        <f>'C1-Incomes'!FI32/'C1-Incomes'!$FF32</f>
        <v>9.1309518643493737E-2</v>
      </c>
      <c r="FI30" s="59">
        <f>'C1-Incomes'!FJ32/'C1-Incomes'!$FF32</f>
        <v>6.6194111047301885E-2</v>
      </c>
      <c r="FJ30" s="59">
        <f>'C1-Incomes'!FK32/'C1-Incomes'!$FF32</f>
        <v>3.2486990477491089E-2</v>
      </c>
      <c r="FK30" s="59">
        <f>'C1-Incomes'!FL32/'C1-Incomes'!$FF32</f>
        <v>1.2171640979723246E-2</v>
      </c>
      <c r="FN30" s="59">
        <f>'C1-Incomes'!FO32/'C1-Incomes'!$FN32</f>
        <v>0.31050692238706479</v>
      </c>
      <c r="FO30" s="59">
        <f>'C1-Incomes'!FP32/'C1-Incomes'!$FN32</f>
        <v>0.20850975718388653</v>
      </c>
      <c r="FP30" s="59">
        <f>'C1-Incomes'!FQ32/'C1-Incomes'!$FN32</f>
        <v>9.0911912346434295E-2</v>
      </c>
      <c r="FQ30" s="59">
        <f>'C1-Incomes'!FR32/'C1-Incomes'!$FN32</f>
        <v>6.5911515024291711E-2</v>
      </c>
      <c r="FR30" s="59">
        <f>'C1-Incomes'!FS32/'C1-Incomes'!$FN32</f>
        <v>3.2344288738929888E-2</v>
      </c>
      <c r="FS30" s="59">
        <f>'C1-Incomes'!FT32/'C1-Incomes'!$FN32</f>
        <v>1.2118162000148274E-2</v>
      </c>
      <c r="FV30" s="59">
        <f>'C1-Incomes'!FW32/'C1-Incomes'!$FV32</f>
        <v>0.30688709112758339</v>
      </c>
      <c r="FW30" s="59">
        <f>'C1-Incomes'!FX32/'C1-Incomes'!$FV32</f>
        <v>0.20600333324805539</v>
      </c>
      <c r="FX30" s="59">
        <f>'C1-Incomes'!FY32/'C1-Incomes'!$FV32</f>
        <v>8.9767038930382376E-2</v>
      </c>
      <c r="FY30" s="59">
        <f>'C1-Incomes'!FZ32/'C1-Incomes'!$FV32</f>
        <v>6.5071551888065099E-2</v>
      </c>
      <c r="FZ30" s="59">
        <f>'C1-Incomes'!GA32/'C1-Incomes'!$FV32</f>
        <v>3.1925687578425233E-2</v>
      </c>
      <c r="GA30" s="59">
        <f>'C1-Incomes'!GB32/'C1-Incomes'!$FV32</f>
        <v>1.196011667450966E-2</v>
      </c>
      <c r="GE30" s="59">
        <f>'C1-Incomes'!GF32/'C1-Incomes'!$GE32</f>
        <v>0.30318611931306638</v>
      </c>
      <c r="GF30" s="59">
        <f>'C1-Incomes'!GG32/'C1-Incomes'!$GE32</f>
        <v>0.20330893897827162</v>
      </c>
      <c r="GG30" s="59">
        <f>'C1-Incomes'!GH32/'C1-Incomes'!$GE32</f>
        <v>8.8396219912995969E-2</v>
      </c>
      <c r="GH30" s="59">
        <f>'C1-Incomes'!GI32/'C1-Incomes'!$GE32</f>
        <v>6.4069483036714406E-2</v>
      </c>
      <c r="GI30" s="59">
        <f>'C1-Incomes'!GJ32/'C1-Incomes'!$GE32</f>
        <v>3.1421006360070711E-2</v>
      </c>
      <c r="GJ30" s="59">
        <f>'C1-Incomes'!GK32/'C1-Incomes'!$GE32</f>
        <v>1.1771262679539622E-2</v>
      </c>
      <c r="GM30" s="59">
        <f>'C1-Incomes'!GN32/'C1-Incomes'!$GM32</f>
        <v>0.29740342751476812</v>
      </c>
      <c r="GN30" s="59">
        <f>'C1-Incomes'!GO32/'C1-Incomes'!$GM32</f>
        <v>0.199431212199044</v>
      </c>
      <c r="GO30" s="59">
        <f>'C1-Incomes'!GP32/'C1-Incomes'!$GM32</f>
        <v>8.6710232120910974E-2</v>
      </c>
      <c r="GP30" s="59">
        <f>'C1-Incomes'!GQ32/'C1-Incomes'!$GM32</f>
        <v>6.2847480938079237E-2</v>
      </c>
      <c r="GQ30" s="59">
        <f>'C1-Incomes'!GR32/'C1-Incomes'!$GM32</f>
        <v>3.0821711127873616E-2</v>
      </c>
      <c r="GR30" s="59">
        <f>'C1-Incomes'!GS32/'C1-Incomes'!$GM32</f>
        <v>1.1546748495622447E-2</v>
      </c>
      <c r="GU30" s="59">
        <f>'C1-Incomes'!GV32/'C1-Incomes'!$GU32</f>
        <v>0.27884817315206961</v>
      </c>
      <c r="GV30" s="59">
        <f>'C1-Incomes'!GW32/'C1-Incomes'!$GU32</f>
        <v>0.18354951797514732</v>
      </c>
      <c r="GW30" s="59">
        <f>'C1-Incomes'!GX32/'C1-Incomes'!$GU32</f>
        <v>7.6608359978785345E-2</v>
      </c>
      <c r="GX30" s="59">
        <f>'C1-Incomes'!GY32/'C1-Incomes'!$GU32</f>
        <v>5.4631728691434081E-2</v>
      </c>
      <c r="GY30" s="59">
        <f>'C1-Incomes'!GZ32/'C1-Incomes'!$GU32</f>
        <v>2.5997298713687129E-2</v>
      </c>
      <c r="GZ30" s="59">
        <f>'C1-Incomes'!HA32/'C1-Incomes'!$GU32</f>
        <v>9.5433269022979893E-3</v>
      </c>
      <c r="HC30" s="59">
        <f>'C1-Incomes'!HD32/'C1-Incomes'!$HC32</f>
        <v>0.27558250307993892</v>
      </c>
      <c r="HD30" s="59">
        <f>'C1-Incomes'!HE32/'C1-Incomes'!$HC32</f>
        <v>0.18076423430770852</v>
      </c>
      <c r="HE30" s="59">
        <f>'C1-Incomes'!HF32/'C1-Incomes'!$HC32</f>
        <v>7.4961237306809717E-2</v>
      </c>
      <c r="HF30" s="59">
        <f>'C1-Incomes'!HG32/'C1-Incomes'!$HC32</f>
        <v>5.3297494267837142E-2</v>
      </c>
      <c r="HG30" s="59">
        <f>'C1-Incomes'!HH32/'C1-Incomes'!$HC32</f>
        <v>2.5200796090968997E-2</v>
      </c>
      <c r="HH30" s="59">
        <f>'C1-Incomes'!HI32/'C1-Incomes'!$HC32</f>
        <v>9.269573088424082E-3</v>
      </c>
      <c r="HK30" s="59">
        <f>'C1-Incomes'!HL32/'C1-Incomes'!$HK32</f>
        <v>0.2734679493716865</v>
      </c>
      <c r="HL30" s="59">
        <f>'C1-Incomes'!HM32/'C1-Incomes'!$HK32</f>
        <v>0.17891128307770693</v>
      </c>
      <c r="HM30" s="59">
        <f>'C1-Incomes'!HN32/'C1-Incomes'!$HK32</f>
        <v>7.3630865783829463E-2</v>
      </c>
      <c r="HN30" s="59">
        <f>'C1-Incomes'!HO32/'C1-Incomes'!$HK32</f>
        <v>5.2242427628744162E-2</v>
      </c>
      <c r="HO30" s="59">
        <f>'C1-Incomes'!HP32/'C1-Incomes'!$HK32</f>
        <v>2.4553445766395388E-2</v>
      </c>
      <c r="HP30" s="59">
        <f>'C1-Incomes'!HQ32/'C1-Incomes'!$HK32</f>
        <v>9.0214461844791097E-3</v>
      </c>
      <c r="HS30" s="59">
        <f>'C1-Incomes'!HT32/'C1-Incomes'!$HS32</f>
        <v>0.27122201466654267</v>
      </c>
      <c r="HT30" s="59">
        <f>'C1-Incomes'!HU32/'C1-Incomes'!$HS32</f>
        <v>0.17720230480616786</v>
      </c>
      <c r="HU30" s="59">
        <f>'C1-Incomes'!HV32/'C1-Incomes'!$HS32</f>
        <v>7.2664182774303115E-2</v>
      </c>
      <c r="HV30" s="59">
        <f>'C1-Incomes'!HW32/'C1-Incomes'!$HS32</f>
        <v>5.1504544740702415E-2</v>
      </c>
      <c r="HW30" s="59">
        <f>'C1-Incomes'!HX32/'C1-Incomes'!$HS32</f>
        <v>2.3989125689575789E-2</v>
      </c>
      <c r="HX30" s="59">
        <f>'C1-Incomes'!HY32/'C1-Incomes'!$HS32</f>
        <v>8.8445426620799607E-3</v>
      </c>
      <c r="IA30" s="59">
        <f>'C1-Incomes'!IB32/'C1-Incomes'!$IA32</f>
        <v>0.27499735970308103</v>
      </c>
      <c r="IB30" s="59">
        <f>'C1-Incomes'!IC32/'C1-Incomes'!$IA32</f>
        <v>0.18206537963249689</v>
      </c>
      <c r="IC30" s="59">
        <f>'C1-Incomes'!ID32/'C1-Incomes'!$IA32</f>
        <v>7.7199071473955647E-2</v>
      </c>
      <c r="ID30" s="59">
        <f>'C1-Incomes'!IE32/'C1-Incomes'!$IA32</f>
        <v>5.5140462575873614E-2</v>
      </c>
      <c r="IE30" s="59">
        <f>'C1-Incomes'!IF32/'C1-Incomes'!$IA32</f>
        <v>2.5869997147953506E-2</v>
      </c>
      <c r="IF30" s="59">
        <f>'C1-Incomes'!IG32/'C1-Incomes'!$IA32</f>
        <v>9.5695279158025982E-3</v>
      </c>
      <c r="II30" s="59">
        <f>'C1-Incomes'!IJ32/'C1-Incomes'!$II32</f>
        <v>0.27625287744436799</v>
      </c>
      <c r="IJ30" s="59">
        <f>'C1-Incomes'!IK32/'C1-Incomes'!$II32</f>
        <v>0.18406914503571653</v>
      </c>
      <c r="IK30" s="59">
        <f>'C1-Incomes'!IL32/'C1-Incomes'!$II32</f>
        <v>7.8995798400506065E-2</v>
      </c>
      <c r="IL30" s="59">
        <f>'C1-Incomes'!IM32/'C1-Incomes'!$II32</f>
        <v>5.655390967602561E-2</v>
      </c>
      <c r="IM30" s="59">
        <f>'C1-Incomes'!IN32/'C1-Incomes'!$II32</f>
        <v>2.6648342193654393E-2</v>
      </c>
      <c r="IN30" s="59">
        <f>'C1-Incomes'!IO32/'C1-Incomes'!$II32</f>
        <v>9.8720907358835781E-3</v>
      </c>
      <c r="IQ30" s="59">
        <f>'C1-Incomes'!IR32/'C1-Incomes'!$IQ32</f>
        <v>0.27609540794776966</v>
      </c>
      <c r="IR30" s="59">
        <f>'C1-Incomes'!IS32/'C1-Incomes'!$IQ32</f>
        <v>0.18395368949572355</v>
      </c>
      <c r="IS30" s="59">
        <f>'C1-Incomes'!IT32/'C1-Incomes'!$IQ32</f>
        <v>7.8930097894738649E-2</v>
      </c>
      <c r="IT30" s="59">
        <f>'C1-Incomes'!IU32/'C1-Incomes'!$IQ32</f>
        <v>5.6502680109683484E-2</v>
      </c>
      <c r="IU30" s="59">
        <f>'C1-Incomes'!IV32/'C1-Incomes'!$IQ32</f>
        <v>2.6620856573788501E-2</v>
      </c>
      <c r="IV30" s="59">
        <f>'C1-Incomes'!IW32/'C1-Incomes'!$IQ32</f>
        <v>9.8604448420799191E-3</v>
      </c>
      <c r="IY30" s="59">
        <f>'C1-Incomes'!IZ32/'C1-Incomes'!$IY32</f>
        <v>0.2580939581332552</v>
      </c>
      <c r="IZ30" s="59">
        <f>'C1-Incomes'!JA32/'C1-Incomes'!$IY32</f>
        <v>0.17054065909930338</v>
      </c>
      <c r="JA30" s="59">
        <f>'C1-Incomes'!JB32/'C1-Incomes'!$IY32</f>
        <v>7.2297376537959604E-2</v>
      </c>
      <c r="JB30" s="59">
        <f>'C1-Incomes'!JC32/'C1-Incomes'!$IY32</f>
        <v>5.1592629795720511E-2</v>
      </c>
      <c r="JC30" s="59">
        <f>'C1-Incomes'!JD32/'C1-Incomes'!$IY32</f>
        <v>2.4175009223710776E-2</v>
      </c>
      <c r="JD30" s="59">
        <f>'C1-Incomes'!JE32/'C1-Incomes'!$IY32</f>
        <v>8.9291602886838219E-3</v>
      </c>
      <c r="JE30" s="197"/>
      <c r="JF30" s="197"/>
      <c r="JG30" s="197"/>
      <c r="JH30" s="197"/>
      <c r="JI30" s="197"/>
      <c r="JJ30" s="197"/>
      <c r="JK30" s="197"/>
      <c r="JL30" s="197"/>
      <c r="JM30" s="197"/>
      <c r="JN30" s="197"/>
      <c r="JO30" s="197"/>
      <c r="JP30" s="197"/>
      <c r="JQ30" s="197"/>
      <c r="JR30" s="197"/>
      <c r="JS30" s="197"/>
      <c r="JT30" s="197"/>
      <c r="JU30" s="197"/>
      <c r="JV30" s="197"/>
      <c r="JW30" s="197"/>
      <c r="JX30" s="197"/>
      <c r="JY30" s="197"/>
      <c r="JZ30" s="197"/>
      <c r="KA30" s="197"/>
      <c r="KB30" s="197"/>
      <c r="KC30" s="197"/>
      <c r="KD30" s="197"/>
      <c r="KE30" s="197"/>
      <c r="KF30" s="197"/>
      <c r="KG30" s="197"/>
      <c r="KH30" s="197"/>
      <c r="KI30" s="197"/>
      <c r="KJ30" s="197"/>
      <c r="KK30" s="197"/>
      <c r="KL30" s="197"/>
      <c r="KM30" s="197"/>
      <c r="KN30" s="197"/>
      <c r="KO30" s="197"/>
      <c r="KP30" s="197"/>
      <c r="KQ30" s="197"/>
      <c r="KR30" s="197"/>
      <c r="KS30" s="197"/>
      <c r="KT30" s="197"/>
      <c r="KU30" s="197"/>
      <c r="KV30" s="197"/>
      <c r="KW30" s="197"/>
      <c r="KX30" s="197"/>
      <c r="KY30" s="197"/>
      <c r="KZ30" s="197"/>
      <c r="LA30" s="197"/>
      <c r="LB30" s="197"/>
      <c r="LC30" s="197"/>
      <c r="LD30" s="197"/>
      <c r="LE30" s="197"/>
      <c r="LF30" s="197"/>
      <c r="LG30" s="197"/>
      <c r="LH30" s="197"/>
      <c r="LI30" s="197"/>
      <c r="LJ30" s="197"/>
      <c r="LK30" s="197"/>
      <c r="LL30" s="197"/>
      <c r="LM30" s="197"/>
      <c r="LN30" s="197"/>
      <c r="LO30" s="197"/>
      <c r="LP30" s="197"/>
      <c r="LQ30" s="197"/>
      <c r="LR30" s="197"/>
      <c r="LS30" s="197"/>
      <c r="LT30" s="197"/>
      <c r="LU30" s="197"/>
      <c r="LV30" s="197"/>
      <c r="LW30" s="197"/>
      <c r="LX30" s="197"/>
      <c r="LY30" s="197"/>
      <c r="LZ30" s="197"/>
      <c r="MA30" s="197"/>
      <c r="MB30" s="197"/>
      <c r="MC30" s="197"/>
      <c r="MD30" s="197"/>
      <c r="ME30" s="197"/>
      <c r="MF30" s="197"/>
      <c r="MG30" s="197"/>
      <c r="MH30" s="197"/>
      <c r="MI30" s="197"/>
      <c r="MJ30" s="197"/>
      <c r="MK30" s="197"/>
      <c r="ML30" s="197"/>
      <c r="MM30" s="197"/>
      <c r="MN30" s="197"/>
      <c r="MO30" s="197"/>
      <c r="MP30" s="197"/>
      <c r="MQ30" s="197"/>
      <c r="MR30" s="197"/>
      <c r="MS30" s="197"/>
      <c r="MT30" s="197"/>
      <c r="MU30" s="197"/>
      <c r="MV30" s="197"/>
      <c r="MW30" s="197"/>
      <c r="MX30" s="197"/>
      <c r="MY30" s="197"/>
      <c r="MZ30" s="197"/>
      <c r="NA30" s="197"/>
      <c r="NB30" s="197"/>
      <c r="NC30" s="197"/>
      <c r="ND30" s="197"/>
      <c r="NE30" s="197"/>
      <c r="NF30" s="197"/>
      <c r="NG30" s="197"/>
      <c r="NH30" s="197"/>
      <c r="NI30" s="197"/>
      <c r="NJ30" s="197"/>
      <c r="NK30" s="197"/>
      <c r="NL30" s="197"/>
      <c r="NM30" s="197"/>
      <c r="NN30" s="197"/>
      <c r="NO30" s="197"/>
      <c r="NP30" s="197"/>
      <c r="NQ30" s="197"/>
      <c r="NR30" s="197"/>
      <c r="NS30" s="197"/>
      <c r="NT30" s="197"/>
      <c r="NU30" s="197"/>
      <c r="NV30" s="197"/>
      <c r="NW30" s="197"/>
      <c r="NX30" s="197"/>
      <c r="NY30" s="197"/>
      <c r="NZ30" s="197"/>
      <c r="OA30" s="197"/>
      <c r="OB30" s="197"/>
      <c r="OC30" s="197"/>
      <c r="OD30" s="197"/>
      <c r="OE30" s="197"/>
      <c r="OF30" s="197"/>
      <c r="OG30" s="197"/>
      <c r="OH30" s="197"/>
      <c r="OI30" s="197"/>
      <c r="OJ30" s="197"/>
      <c r="OK30" s="197"/>
      <c r="OL30" s="197"/>
      <c r="OM30" s="197"/>
      <c r="ON30" s="197"/>
      <c r="OO30" s="197"/>
      <c r="OP30" s="197"/>
      <c r="OQ30" s="197"/>
      <c r="OR30" s="197"/>
      <c r="OS30" s="197"/>
      <c r="OT30" s="197"/>
      <c r="OU30" s="197"/>
      <c r="OV30" s="197"/>
      <c r="OW30" s="197"/>
      <c r="OX30" s="197"/>
      <c r="OY30" s="197"/>
      <c r="OZ30" s="197"/>
      <c r="PA30" s="197"/>
      <c r="PB30" s="197"/>
    </row>
    <row r="31" spans="1:418" s="77" customFormat="1" ht="10.5" customHeight="1" x14ac:dyDescent="0.2">
      <c r="A31" s="48">
        <v>1985</v>
      </c>
      <c r="B31" s="59">
        <f>'C1-Incomes'!C33/'C1-Incomes'!$B33</f>
        <v>0.34916460625675194</v>
      </c>
      <c r="C31" s="59">
        <f>'C1-Incomes'!D33/'C1-Incomes'!$B33</f>
        <v>0.22852627091189534</v>
      </c>
      <c r="D31" s="59">
        <f>'C1-Incomes'!E33/'C1-Incomes'!$B33</f>
        <v>9.2281216049099252E-2</v>
      </c>
      <c r="E31" s="59">
        <f>'C1-Incomes'!F33/'C1-Incomes'!$B33</f>
        <v>6.4648520301435114E-2</v>
      </c>
      <c r="F31" s="59">
        <f>'C1-Incomes'!G33/'C1-Incomes'!$B33</f>
        <v>2.9164170690491261E-2</v>
      </c>
      <c r="G31" s="59">
        <f>'C1-Incomes'!H33/'C1-Incomes'!$B33</f>
        <v>9.6568040197437064E-3</v>
      </c>
      <c r="H31" s="199"/>
      <c r="J31" s="59">
        <f>'C1-Incomes'!K33/'C1-Incomes'!$J33</f>
        <v>0.32334437828617424</v>
      </c>
      <c r="K31" s="59">
        <f>'C1-Incomes'!L33/'C1-Incomes'!$J33</f>
        <v>0.21746908001570811</v>
      </c>
      <c r="L31" s="59">
        <f>'C1-Incomes'!M33/'C1-Incomes'!$J33</f>
        <v>9.5622856413381044E-2</v>
      </c>
      <c r="M31" s="59">
        <f>'C1-Incomes'!N33/'C1-Incomes'!$J33</f>
        <v>7.0257851800601456E-2</v>
      </c>
      <c r="N31" s="59">
        <f>'C1-Incomes'!O33/'C1-Incomes'!$J33</f>
        <v>3.5572869025839907E-2</v>
      </c>
      <c r="O31" s="59">
        <f>'C1-Incomes'!P33/'C1-Incomes'!$J33</f>
        <v>1.2671819186685395E-2</v>
      </c>
      <c r="P31" s="59"/>
      <c r="R31" s="59">
        <f>'C1-Incomes'!S33/'C1-Incomes'!$R33</f>
        <v>0.29740643820470791</v>
      </c>
      <c r="S31" s="59">
        <f>'C1-Incomes'!T33/'C1-Incomes'!$R33</f>
        <v>0.19951417231623694</v>
      </c>
      <c r="T31" s="59">
        <f>'C1-Incomes'!U33/'C1-Incomes'!$R33</f>
        <v>8.7272923610391115E-2</v>
      </c>
      <c r="U31" s="59">
        <f>'C1-Incomes'!V33/'C1-Incomes'!$R33</f>
        <v>6.3893993348619949E-2</v>
      </c>
      <c r="V31" s="59">
        <f>'C1-Incomes'!W33/'C1-Incomes'!$R33</f>
        <v>3.2198875313782703E-2</v>
      </c>
      <c r="W31" s="59">
        <f>'C1-Incomes'!X33/'C1-Incomes'!$R33</f>
        <v>1.1457715668117813E-2</v>
      </c>
      <c r="X31" s="59"/>
      <c r="Y31" s="59"/>
      <c r="Z31" s="59">
        <f>'C1-Incomes'!AA33/'C1-Incomes'!$Z33</f>
        <v>0.25654205202455915</v>
      </c>
      <c r="AA31" s="59">
        <f>'C1-Incomes'!AB33/'C1-Incomes'!$Z33</f>
        <v>0.16883697257083374</v>
      </c>
      <c r="AB31" s="59">
        <f>'C1-Incomes'!AC33/'C1-Incomes'!$Z33</f>
        <v>7.0868369231104497E-2</v>
      </c>
      <c r="AC31" s="59">
        <f>'C1-Incomes'!AD33/'C1-Incomes'!$Z33</f>
        <v>5.1069456553725634E-2</v>
      </c>
      <c r="AD31" s="59">
        <f>'C1-Incomes'!AE33/'C1-Incomes'!$Z33</f>
        <v>2.4775406045931706E-2</v>
      </c>
      <c r="AE31" s="59">
        <f>'C1-Incomes'!AF33/'C1-Incomes'!$Z33</f>
        <v>8.5970671531019217E-3</v>
      </c>
      <c r="AF31" s="200"/>
      <c r="AG31" s="195"/>
      <c r="AH31" s="59">
        <f>'C1-Incomes'!AI33/'C1-Incomes'!$AH33</f>
        <v>0.34773968714411146</v>
      </c>
      <c r="AI31" s="59">
        <f>'C1-Incomes'!AJ33/'C1-Incomes'!$AH33</f>
        <v>0.22740359140407931</v>
      </c>
      <c r="AJ31" s="59">
        <f>'C1-Incomes'!AK33/'C1-Incomes'!$AH33</f>
        <v>9.176783190208837E-2</v>
      </c>
      <c r="AK31" s="59">
        <f>'C1-Incomes'!AL33/'C1-Incomes'!$AH33</f>
        <v>6.429324645449995E-2</v>
      </c>
      <c r="AL31" s="59">
        <f>'C1-Incomes'!AM33/'C1-Incomes'!$AH33</f>
        <v>2.9093565565765103E-2</v>
      </c>
      <c r="AM31" s="59">
        <f>'C1-Incomes'!AN33/'C1-Incomes'!$AH33</f>
        <v>9.606240499876937E-3</v>
      </c>
      <c r="AN31" s="195"/>
      <c r="AO31" s="195"/>
      <c r="AP31" s="59">
        <f>'C1-Incomes'!AQ33/'C1-Incomes'!$AP33</f>
        <v>0.35020883364856531</v>
      </c>
      <c r="AQ31" s="59">
        <f>'C1-Incomes'!AR33/'C1-Incomes'!$AP33</f>
        <v>0.23120664281894229</v>
      </c>
      <c r="AR31" s="59">
        <f>'C1-Incomes'!AS33/'C1-Incomes'!$AP33</f>
        <v>9.6530190043480402E-2</v>
      </c>
      <c r="AS31" s="59">
        <f>'C1-Incomes'!AT33/'C1-Incomes'!$AP33</f>
        <v>6.8396972035785319E-2</v>
      </c>
      <c r="AT31" s="59">
        <f>'C1-Incomes'!AU33/'C1-Incomes'!$AP33</f>
        <v>3.1146234821696265E-2</v>
      </c>
      <c r="AU31" s="59">
        <f>'C1-Incomes'!AV33/'C1-Incomes'!$AP33</f>
        <v>1.0188058933926988E-2</v>
      </c>
      <c r="AV31" s="197"/>
      <c r="AW31" s="60"/>
      <c r="AX31" s="59">
        <f>'C1-Incomes'!AY33/'C1-Incomes'!$AX33</f>
        <v>0.35453011878399343</v>
      </c>
      <c r="AY31" s="59">
        <f>'C1-Incomes'!AZ33/'C1-Incomes'!$AX33</f>
        <v>0.23590064107995379</v>
      </c>
      <c r="AZ31" s="59">
        <f>'C1-Incomes'!BA33/'C1-Incomes'!$AX33</f>
        <v>0.10052133224533213</v>
      </c>
      <c r="BA31" s="59">
        <f>'C1-Incomes'!BB33/'C1-Incomes'!$AX33</f>
        <v>7.1755706039096298E-2</v>
      </c>
      <c r="BB31" s="59">
        <f>'C1-Incomes'!BC33/'C1-Incomes'!$AX33</f>
        <v>3.3192685893615639E-2</v>
      </c>
      <c r="BC31" s="59">
        <f>'C1-Incomes'!BD33/'C1-Incomes'!$AX33</f>
        <v>1.0938074088020579E-2</v>
      </c>
      <c r="BD31" s="60"/>
      <c r="BE31" s="60"/>
      <c r="BF31" s="59">
        <f>'C1-Incomes'!BG33/'C1-Incomes'!$BF33</f>
        <v>0.34868676804745957</v>
      </c>
      <c r="BG31" s="59">
        <f>'C1-Incomes'!BH33/'C1-Incomes'!$BF33</f>
        <v>0.23174980960837865</v>
      </c>
      <c r="BH31" s="59">
        <f>'C1-Incomes'!BI33/'C1-Incomes'!$BF33</f>
        <v>9.9253177413548041E-2</v>
      </c>
      <c r="BI31" s="59">
        <f>'C1-Incomes'!BJ33/'C1-Incomes'!$BF33</f>
        <v>7.1181755004838268E-2</v>
      </c>
      <c r="BJ31" s="59">
        <f>'C1-Incomes'!BK33/'C1-Incomes'!$BF33</f>
        <v>3.2894198139207374E-2</v>
      </c>
      <c r="BK31" s="59">
        <f>'C1-Incomes'!BL33/'C1-Incomes'!$BF33</f>
        <v>1.1050561506759413E-2</v>
      </c>
      <c r="BL31" s="59"/>
      <c r="BM31" s="59"/>
      <c r="BN31" s="59">
        <f>'C1-Incomes'!BO33/'C1-Incomes'!$BN33</f>
        <v>0.32446241286915911</v>
      </c>
      <c r="BO31" s="59">
        <f>'C1-Incomes'!BP33/'C1-Incomes'!$BN33</f>
        <v>0.21624535319340082</v>
      </c>
      <c r="BP31" s="59">
        <f>'C1-Incomes'!BQ33/'C1-Incomes'!$BN33</f>
        <v>9.205939695431975E-2</v>
      </c>
      <c r="BQ31" s="59">
        <f>'C1-Incomes'!BR33/'C1-Incomes'!$BN33</f>
        <v>6.6100106174637796E-2</v>
      </c>
      <c r="BR31" s="59">
        <f>'C1-Incomes'!BS33/'C1-Incomes'!$BN33</f>
        <v>3.2232917249475593E-2</v>
      </c>
      <c r="BS31" s="59">
        <f>'C1-Incomes'!BT33/'C1-Incomes'!$BN33</f>
        <v>1.0519328493275849E-2</v>
      </c>
      <c r="BT31" s="59"/>
      <c r="BU31" s="59"/>
      <c r="BV31" s="59">
        <f>'C1-Incomes'!BW33/'C1-Incomes'!$BV33</f>
        <v>0.32710655180814696</v>
      </c>
      <c r="BW31" s="59">
        <f>'C1-Incomes'!BX33/'C1-Incomes'!$BV33</f>
        <v>0.21935288672684897</v>
      </c>
      <c r="BX31" s="59">
        <f>'C1-Incomes'!BY33/'C1-Incomes'!$BV33</f>
        <v>9.470650408387235E-2</v>
      </c>
      <c r="BY31" s="59">
        <f>'C1-Incomes'!BZ33/'C1-Incomes'!$BV33</f>
        <v>6.8633062241848244E-2</v>
      </c>
      <c r="BZ31" s="59">
        <f>'C1-Incomes'!CA33/'C1-Incomes'!$BV33</f>
        <v>3.4157179540389986E-2</v>
      </c>
      <c r="CA31" s="59">
        <f>'C1-Incomes'!CB33/'C1-Incomes'!$BV33</f>
        <v>1.1924383819919974E-2</v>
      </c>
      <c r="CB31" s="60"/>
      <c r="CC31" s="198"/>
      <c r="CD31" s="59">
        <f>'C1-Incomes'!CE33/'C1-Incomes'!$CD33</f>
        <v>0.33777319807545014</v>
      </c>
      <c r="CE31" s="59">
        <f>'C1-Incomes'!CF33/'C1-Incomes'!$CD33</f>
        <v>0.23075772258668101</v>
      </c>
      <c r="CF31" s="59">
        <f>'C1-Incomes'!CG33/'C1-Incomes'!$CD33</f>
        <v>0.10469377555600336</v>
      </c>
      <c r="CG31" s="59">
        <f>'C1-Incomes'!CH33/'C1-Incomes'!$CD33</f>
        <v>7.7587637464042444E-2</v>
      </c>
      <c r="CH31" s="59">
        <f>'C1-Incomes'!CI33/'C1-Incomes'!$CD33</f>
        <v>3.964474400120415E-2</v>
      </c>
      <c r="CI31" s="59">
        <f>'C1-Incomes'!CJ33/'C1-Incomes'!$CD33</f>
        <v>1.434728168782287E-2</v>
      </c>
      <c r="CL31" s="59">
        <f>'C1-Incomes'!CM33/'C1-Incomes'!$CL33</f>
        <v>0.33910682362077027</v>
      </c>
      <c r="CM31" s="59">
        <f>'C1-Incomes'!CN33/'C1-Incomes'!$CL33</f>
        <v>0.23221704597126616</v>
      </c>
      <c r="CN31" s="59">
        <f>'C1-Incomes'!CO33/'C1-Incomes'!$CL33</f>
        <v>0.10585544214633977</v>
      </c>
      <c r="CO31" s="59">
        <f>'C1-Incomes'!CP33/'C1-Incomes'!$CL33</f>
        <v>7.8624695031736649E-2</v>
      </c>
      <c r="CP31" s="59">
        <f>'C1-Incomes'!CQ33/'C1-Incomes'!$CL33</f>
        <v>4.0346393726543604E-2</v>
      </c>
      <c r="CQ31" s="59">
        <f>'C1-Incomes'!CR33/'C1-Incomes'!$CL33</f>
        <v>1.4646993542852142E-2</v>
      </c>
      <c r="CR31" s="59"/>
      <c r="CS31" s="59"/>
      <c r="CT31" s="59">
        <f>'C1-Incomes'!CU33/'C1-Incomes'!$CT33</f>
        <v>0.34077078426497187</v>
      </c>
      <c r="CU31" s="59">
        <f>'C1-Incomes'!CV33/'C1-Incomes'!$CT33</f>
        <v>0.23385931425054809</v>
      </c>
      <c r="CV31" s="59">
        <f>'C1-Incomes'!CW33/'C1-Incomes'!$CT33</f>
        <v>0.10736688953001819</v>
      </c>
      <c r="CW31" s="59">
        <f>'C1-Incomes'!CX33/'C1-Incomes'!$CT33</f>
        <v>7.9783256164094554E-2</v>
      </c>
      <c r="CX31" s="59">
        <f>'C1-Incomes'!CY33/'C1-Incomes'!$CT33</f>
        <v>4.1060497032665233E-2</v>
      </c>
      <c r="CY31" s="59">
        <f>'C1-Incomes'!CZ33/'C1-Incomes'!$CT33</f>
        <v>1.4983117869971857E-2</v>
      </c>
      <c r="CZ31" s="59"/>
      <c r="DA31" s="59"/>
      <c r="DB31" s="59">
        <f>'C1-Incomes'!DC33/'C1-Incomes'!$DB33</f>
        <v>0.34484373749835323</v>
      </c>
      <c r="DC31" s="59">
        <f>'C1-Incomes'!DD33/'C1-Incomes'!$DB33</f>
        <v>0.23790678542764127</v>
      </c>
      <c r="DD31" s="59">
        <f>'C1-Incomes'!DE33/'C1-Incomes'!$DB33</f>
        <v>0.1107108230385955</v>
      </c>
      <c r="DE31" s="59">
        <f>'C1-Incomes'!DF33/'C1-Incomes'!$DB33</f>
        <v>8.2701280200325675E-2</v>
      </c>
      <c r="DF31" s="59">
        <f>'C1-Incomes'!DG33/'C1-Incomes'!$DB33</f>
        <v>4.3319039429125877E-2</v>
      </c>
      <c r="DG31" s="59">
        <f>'C1-Incomes'!DH33/'C1-Incomes'!$DB33</f>
        <v>1.5758257274061754E-2</v>
      </c>
      <c r="DH31" s="59"/>
      <c r="DI31" s="1039"/>
      <c r="DJ31" s="59">
        <f>'C1-Incomes'!DK33/'C1-Incomes'!$DJ33</f>
        <v>0.34407180478594157</v>
      </c>
      <c r="DK31" s="59">
        <f>'C1-Incomes'!DL33/'C1-Incomes'!$DJ33</f>
        <v>0.23895398649547148</v>
      </c>
      <c r="DL31" s="59">
        <f>'C1-Incomes'!DM33/'C1-Incomes'!$DJ33</f>
        <v>0.11211640252070763</v>
      </c>
      <c r="DM31" s="59">
        <f>'C1-Incomes'!DN33/'C1-Incomes'!$DJ33</f>
        <v>8.3284133769825658E-2</v>
      </c>
      <c r="DN31" s="59">
        <f>'C1-Incomes'!DO33/'C1-Incomes'!$DJ33</f>
        <v>4.3066687124848659E-2</v>
      </c>
      <c r="DO31" s="59">
        <f>'C1-Incomes'!DP33/'C1-Incomes'!$DJ33</f>
        <v>1.555784041160521E-2</v>
      </c>
      <c r="DP31" s="696"/>
      <c r="DQ31" s="503"/>
      <c r="DR31" s="59">
        <f>'C1-Incomes'!DS33/'C1-Incomes'!$DR33</f>
        <v>0.34292982988575621</v>
      </c>
      <c r="DS31" s="59">
        <f>'C1-Incomes'!DT33/'C1-Incomes'!$DR33</f>
        <v>0.23757960059941971</v>
      </c>
      <c r="DT31" s="59">
        <f>'C1-Incomes'!DU33/'C1-Incomes'!$DR33</f>
        <v>0.11117036381001354</v>
      </c>
      <c r="DU31" s="59">
        <f>'C1-Incomes'!DV33/'C1-Incomes'!$DR33</f>
        <v>8.2153511996047646E-2</v>
      </c>
      <c r="DV31" s="59">
        <f>'C1-Incomes'!DW33/'C1-Incomes'!$DR33</f>
        <v>4.2501094989335068E-2</v>
      </c>
      <c r="DW31" s="59">
        <f>'C1-Incomes'!DX33/'C1-Incomes'!$DR33</f>
        <v>1.5329458381127932E-2</v>
      </c>
      <c r="DX31" s="333"/>
      <c r="DZ31" s="59">
        <f>'C1-Incomes'!EA33/'C1-Incomes'!$DZ33</f>
        <v>0.33602449531025869</v>
      </c>
      <c r="EA31" s="59">
        <f>'C1-Incomes'!EB33/'C1-Incomes'!$DZ33</f>
        <v>0.23086343849118285</v>
      </c>
      <c r="EB31" s="59">
        <f>'C1-Incomes'!EC33/'C1-Incomes'!$DZ33</f>
        <v>0.10644135012026261</v>
      </c>
      <c r="EC31" s="59">
        <f>'C1-Incomes'!ED33/'C1-Incomes'!$DZ33</f>
        <v>7.8914819616269685E-2</v>
      </c>
      <c r="ED31" s="59">
        <f>'C1-Incomes'!EE33/'C1-Incomes'!$DZ33</f>
        <v>4.0542002138461784E-2</v>
      </c>
      <c r="EE31" s="59">
        <f>'C1-Incomes'!EF33/'C1-Incomes'!$DZ33</f>
        <v>1.4603199240314181E-2</v>
      </c>
      <c r="EF31" s="59"/>
      <c r="EH31" s="59">
        <f>'C1-Incomes'!EI33/'C1-Incomes'!$EH33</f>
        <v>0.33223923762642782</v>
      </c>
      <c r="EI31" s="59">
        <f>'C1-Incomes'!EJ33/'C1-Incomes'!$EH33</f>
        <v>0.22643529550674266</v>
      </c>
      <c r="EJ31" s="59">
        <f>'C1-Incomes'!EK33/'C1-Incomes'!$EH33</f>
        <v>0.10263329476742744</v>
      </c>
      <c r="EK31" s="59">
        <f>'C1-Incomes'!EL33/'C1-Incomes'!$EH33</f>
        <v>7.5895921586731752E-2</v>
      </c>
      <c r="EL31" s="59">
        <f>'C1-Incomes'!EM33/'C1-Incomes'!$EH33</f>
        <v>3.887080901350206E-2</v>
      </c>
      <c r="EM31" s="59">
        <f>'C1-Incomes'!EN33/'C1-Incomes'!$EH33</f>
        <v>1.3980065996579135E-2</v>
      </c>
      <c r="EN31" s="59"/>
      <c r="EO31" s="59"/>
      <c r="EP31" s="59">
        <f>'C1-Incomes'!EQ33/'C1-Incomes'!$EH33</f>
        <v>0.34862568009906963</v>
      </c>
      <c r="EQ31" s="59">
        <f>'C1-Incomes'!ER33/'C1-Incomes'!$EH33</f>
        <v>0.23588102356051099</v>
      </c>
      <c r="ER31" s="59">
        <f>'C1-Incomes'!ES33/'C1-Incomes'!$EH33</f>
        <v>0.1052862906639908</v>
      </c>
      <c r="ES31" s="59">
        <f>'C1-Incomes'!ET33/'C1-Incomes'!$EH33</f>
        <v>7.7630721269721481E-2</v>
      </c>
      <c r="ET31" s="59">
        <f>'C1-Incomes'!EU33/'C1-Incomes'!$EH33</f>
        <v>3.9505250223452144E-2</v>
      </c>
      <c r="EU31" s="59">
        <f>'C1-Incomes'!EV33/'C1-Incomes'!$EH33</f>
        <v>1.4099395521730031E-2</v>
      </c>
      <c r="EV31" s="59"/>
      <c r="EW31" s="59"/>
      <c r="EX31" s="59">
        <f>'C1-Incomes'!EY33/'C1-Incomes'!$EX33</f>
        <v>0.32334437828617424</v>
      </c>
      <c r="EY31" s="59">
        <f>'C1-Incomes'!EZ33/'C1-Incomes'!$EX33</f>
        <v>0.21746908001570811</v>
      </c>
      <c r="EZ31" s="59">
        <f>'C1-Incomes'!FA33/'C1-Incomes'!$EX33</f>
        <v>9.5622856413381044E-2</v>
      </c>
      <c r="FA31" s="59">
        <f>'C1-Incomes'!FB33/'C1-Incomes'!$EX33</f>
        <v>7.0257851800601456E-2</v>
      </c>
      <c r="FB31" s="59">
        <f>'C1-Incomes'!FC33/'C1-Incomes'!$EX33</f>
        <v>3.5572869025839907E-2</v>
      </c>
      <c r="FC31" s="59">
        <f>'C1-Incomes'!FD33/'C1-Incomes'!$EX33</f>
        <v>1.2671819186685395E-2</v>
      </c>
      <c r="FD31" s="59"/>
      <c r="FF31" s="59">
        <f>'C1-Incomes'!FG33/'C1-Incomes'!$FF33</f>
        <v>0.31162077611293587</v>
      </c>
      <c r="FG31" s="59">
        <f>'C1-Incomes'!FH33/'C1-Incomes'!$FF33</f>
        <v>0.20950636206942908</v>
      </c>
      <c r="FH31" s="59">
        <f>'C1-Incomes'!FI33/'C1-Incomes'!$FF33</f>
        <v>9.1857017074527661E-2</v>
      </c>
      <c r="FI31" s="59">
        <f>'C1-Incomes'!FJ33/'C1-Incomes'!$FF33</f>
        <v>6.7277789464083235E-2</v>
      </c>
      <c r="FJ31" s="59">
        <f>'C1-Incomes'!FK33/'C1-Incomes'!$FF33</f>
        <v>3.3918111206096127E-2</v>
      </c>
      <c r="FK31" s="59">
        <f>'C1-Incomes'!FL33/'C1-Incomes'!$FF33</f>
        <v>1.2071604743162337E-2</v>
      </c>
      <c r="FN31" s="59">
        <f>'C1-Incomes'!FO33/'C1-Incomes'!$FN33</f>
        <v>0.31048200545917565</v>
      </c>
      <c r="FO31" s="59">
        <f>'C1-Incomes'!FP33/'C1-Incomes'!$FN33</f>
        <v>0.20868939491138744</v>
      </c>
      <c r="FP31" s="59">
        <f>'C1-Incomes'!FQ33/'C1-Incomes'!$FN33</f>
        <v>9.1488157181362204E-2</v>
      </c>
      <c r="FQ31" s="59">
        <f>'C1-Incomes'!FR33/'C1-Incomes'!$FN33</f>
        <v>6.7004397609768701E-2</v>
      </c>
      <c r="FR31" s="59">
        <f>'C1-Incomes'!FS33/'C1-Incomes'!$FN33</f>
        <v>3.3779896031358995E-2</v>
      </c>
      <c r="FS31" s="59">
        <f>'C1-Incomes'!FT33/'C1-Incomes'!$FN33</f>
        <v>1.2022381831299356E-2</v>
      </c>
      <c r="FV31" s="59">
        <f>'C1-Incomes'!FW33/'C1-Incomes'!$FV33</f>
        <v>0.30693396528154965</v>
      </c>
      <c r="FW31" s="59">
        <f>'C1-Incomes'!FX33/'C1-Incomes'!$FV33</f>
        <v>0.20623232778016318</v>
      </c>
      <c r="FX31" s="59">
        <f>'C1-Incomes'!FY33/'C1-Incomes'!$FV33</f>
        <v>9.0360956989681357E-2</v>
      </c>
      <c r="FY31" s="59">
        <f>'C1-Incomes'!FZ33/'C1-Incomes'!$FV33</f>
        <v>6.6169099948596252E-2</v>
      </c>
      <c r="FZ31" s="59">
        <f>'C1-Incomes'!GA33/'C1-Incomes'!$FV33</f>
        <v>3.3352401593867632E-2</v>
      </c>
      <c r="GA31" s="59">
        <f>'C1-Incomes'!GB33/'C1-Incomes'!$FV33</f>
        <v>1.1869160841001055E-2</v>
      </c>
      <c r="GE31" s="59">
        <f>'C1-Incomes'!GF33/'C1-Incomes'!$GE33</f>
        <v>0.30317742759014688</v>
      </c>
      <c r="GF31" s="59">
        <f>'C1-Incomes'!GG33/'C1-Incomes'!$GE33</f>
        <v>0.20338562236833407</v>
      </c>
      <c r="GG31" s="59">
        <f>'C1-Incomes'!GH33/'C1-Incomes'!$GE33</f>
        <v>8.8966401124973782E-2</v>
      </c>
      <c r="GH31" s="59">
        <f>'C1-Incomes'!GI33/'C1-Incomes'!$GE33</f>
        <v>6.5133817071448677E-2</v>
      </c>
      <c r="GI31" s="59">
        <f>'C1-Incomes'!GJ33/'C1-Incomes'!$GE33</f>
        <v>3.2823674725593055E-2</v>
      </c>
      <c r="GJ31" s="59">
        <f>'C1-Incomes'!GK33/'C1-Incomes'!$GE33</f>
        <v>1.1680045607917477E-2</v>
      </c>
      <c r="GM31" s="59">
        <f>'C1-Incomes'!GN33/'C1-Incomes'!$GM33</f>
        <v>0.29740643820470791</v>
      </c>
      <c r="GN31" s="59">
        <f>'C1-Incomes'!GO33/'C1-Incomes'!$GM33</f>
        <v>0.19951417231623694</v>
      </c>
      <c r="GO31" s="59">
        <f>'C1-Incomes'!GP33/'C1-Incomes'!$GM33</f>
        <v>8.7272923610391115E-2</v>
      </c>
      <c r="GP31" s="59">
        <f>'C1-Incomes'!GQ33/'C1-Incomes'!$GM33</f>
        <v>6.3893993348619949E-2</v>
      </c>
      <c r="GQ31" s="59">
        <f>'C1-Incomes'!GR33/'C1-Incomes'!$GM33</f>
        <v>3.2198875313782703E-2</v>
      </c>
      <c r="GR31" s="59">
        <f>'C1-Incomes'!GS33/'C1-Incomes'!$GM33</f>
        <v>1.1457715668117813E-2</v>
      </c>
      <c r="GU31" s="59">
        <f>'C1-Incomes'!GV33/'C1-Incomes'!$GU33</f>
        <v>0.27778593835584064</v>
      </c>
      <c r="GV31" s="59">
        <f>'C1-Incomes'!GW33/'C1-Incomes'!$GU33</f>
        <v>0.18224422076510555</v>
      </c>
      <c r="GW31" s="59">
        <f>'C1-Incomes'!GX33/'C1-Incomes'!$GU33</f>
        <v>7.5771645912640656E-2</v>
      </c>
      <c r="GX31" s="59">
        <f>'C1-Incomes'!GY33/'C1-Incomes'!$GU33</f>
        <v>5.4602168453411135E-2</v>
      </c>
      <c r="GY31" s="59">
        <f>'C1-Incomes'!GZ33/'C1-Incomes'!$GU33</f>
        <v>2.6716450389558857E-2</v>
      </c>
      <c r="GZ31" s="59">
        <f>'C1-Incomes'!HA33/'C1-Incomes'!$GU33</f>
        <v>9.3415649453126044E-3</v>
      </c>
      <c r="HC31" s="59">
        <f>'C1-Incomes'!HD33/'C1-Incomes'!$HC33</f>
        <v>0.27376653441290966</v>
      </c>
      <c r="HD31" s="59">
        <f>'C1-Incomes'!HE33/'C1-Incomes'!$HC33</f>
        <v>0.17884148766162769</v>
      </c>
      <c r="HE31" s="59">
        <f>'C1-Incomes'!HF33/'C1-Incomes'!$HC33</f>
        <v>7.3752286460785729E-2</v>
      </c>
      <c r="HF31" s="59">
        <f>'C1-Incomes'!HG33/'C1-Incomes'!$HC33</f>
        <v>5.2954360310075194E-2</v>
      </c>
      <c r="HG31" s="59">
        <f>'C1-Incomes'!HH33/'C1-Incomes'!$HC33</f>
        <v>2.5730945101076826E-2</v>
      </c>
      <c r="HH31" s="59">
        <f>'C1-Incomes'!HI33/'C1-Incomes'!$HC33</f>
        <v>9.0077754697500886E-3</v>
      </c>
      <c r="HK31" s="59">
        <f>'C1-Incomes'!HL33/'C1-Incomes'!$HK33</f>
        <v>0.2716527675117596</v>
      </c>
      <c r="HL31" s="59">
        <f>'C1-Incomes'!HM33/'C1-Incomes'!$HK33</f>
        <v>0.17707826491810658</v>
      </c>
      <c r="HM31" s="59">
        <f>'C1-Incomes'!HN33/'C1-Incomes'!$HK33</f>
        <v>7.2523321900868534E-2</v>
      </c>
      <c r="HN31" s="59">
        <f>'C1-Incomes'!HO33/'C1-Incomes'!$HK33</f>
        <v>5.1972267463723597E-2</v>
      </c>
      <c r="HO31" s="59">
        <f>'C1-Incomes'!HP33/'C1-Incomes'!$HK33</f>
        <v>2.5123055575231902E-2</v>
      </c>
      <c r="HP31" s="59">
        <f>'C1-Incomes'!HQ33/'C1-Incomes'!$HK33</f>
        <v>8.7289953574593449E-3</v>
      </c>
      <c r="HS31" s="59">
        <f>'C1-Incomes'!HT33/'C1-Incomes'!$HS33</f>
        <v>0.26958038327095729</v>
      </c>
      <c r="HT31" s="59">
        <f>'C1-Incomes'!HU33/'C1-Incomes'!$HS33</f>
        <v>0.17535945709735495</v>
      </c>
      <c r="HU31" s="59">
        <f>'C1-Incomes'!HV33/'C1-Incomes'!$HS33</f>
        <v>7.1404821317475109E-2</v>
      </c>
      <c r="HV31" s="59">
        <f>'C1-Incomes'!HW33/'C1-Incomes'!$HS33</f>
        <v>5.1119264826453972E-2</v>
      </c>
      <c r="HW31" s="59">
        <f>'C1-Incomes'!HX33/'C1-Incomes'!$HS33</f>
        <v>2.4643186587231251E-2</v>
      </c>
      <c r="HX31" s="59">
        <f>'C1-Incomes'!HY33/'C1-Incomes'!$HS33</f>
        <v>8.5358918623171832E-3</v>
      </c>
      <c r="IA31" s="59">
        <f>'C1-Incomes'!IB33/'C1-Incomes'!$IA33</f>
        <v>0.27382444490090196</v>
      </c>
      <c r="IB31" s="59">
        <f>'C1-Incomes'!IC33/'C1-Incomes'!$IA33</f>
        <v>0.18090047861157071</v>
      </c>
      <c r="IC31" s="59">
        <f>'C1-Incomes'!ID33/'C1-Incomes'!$IA33</f>
        <v>7.5945668803380495E-2</v>
      </c>
      <c r="ID31" s="59">
        <f>'C1-Incomes'!IE33/'C1-Incomes'!$IA33</f>
        <v>5.4674392074749119E-2</v>
      </c>
      <c r="IE31" s="59">
        <f>'C1-Incomes'!IF33/'C1-Incomes'!$IA33</f>
        <v>2.6597299532872421E-2</v>
      </c>
      <c r="IF31" s="59">
        <f>'C1-Incomes'!IG33/'C1-Incomes'!$IA33</f>
        <v>9.2477898217545942E-3</v>
      </c>
      <c r="II31" s="59">
        <f>'C1-Incomes'!IJ33/'C1-Incomes'!$II33</f>
        <v>0.27495289710735721</v>
      </c>
      <c r="IJ31" s="59">
        <f>'C1-Incomes'!IK33/'C1-Incomes'!$II33</f>
        <v>0.18255486492812828</v>
      </c>
      <c r="IK31" s="59">
        <f>'C1-Incomes'!IL33/'C1-Incomes'!$II33</f>
        <v>7.7580536616715656E-2</v>
      </c>
      <c r="IL31" s="59">
        <f>'C1-Incomes'!IM33/'C1-Incomes'!$II33</f>
        <v>5.6093737316378997E-2</v>
      </c>
      <c r="IM31" s="59">
        <f>'C1-Incomes'!IN33/'C1-Incomes'!$II33</f>
        <v>2.7358681490508928E-2</v>
      </c>
      <c r="IN31" s="59">
        <f>'C1-Incomes'!IO33/'C1-Incomes'!$II33</f>
        <v>9.5208289641077557E-3</v>
      </c>
      <c r="IQ31" s="59">
        <f>'C1-Incomes'!IR33/'C1-Incomes'!$IQ33</f>
        <v>0.27488506954040903</v>
      </c>
      <c r="IR31" s="59">
        <f>'C1-Incomes'!IS33/'C1-Incomes'!$IQ33</f>
        <v>0.18250449777904817</v>
      </c>
      <c r="IS31" s="59">
        <f>'C1-Incomes'!IT33/'C1-Incomes'!$IQ33</f>
        <v>7.7550659392981613E-2</v>
      </c>
      <c r="IT31" s="59">
        <f>'C1-Incomes'!IU33/'C1-Incomes'!$IQ33</f>
        <v>5.6070786165287226E-2</v>
      </c>
      <c r="IU31" s="59">
        <f>'C1-Incomes'!IV33/'C1-Incomes'!$IQ33</f>
        <v>2.7345493025443993E-2</v>
      </c>
      <c r="IV31" s="59">
        <f>'C1-Incomes'!IW33/'C1-Incomes'!$IQ33</f>
        <v>9.5155722746007188E-3</v>
      </c>
      <c r="IY31" s="59">
        <f>'C1-Incomes'!IZ33/'C1-Incomes'!$IY33</f>
        <v>0.25654205202455915</v>
      </c>
      <c r="IZ31" s="59">
        <f>'C1-Incomes'!JA33/'C1-Incomes'!$IY33</f>
        <v>0.16883697257083374</v>
      </c>
      <c r="JA31" s="59">
        <f>'C1-Incomes'!JB33/'C1-Incomes'!$IY33</f>
        <v>7.0868369231104497E-2</v>
      </c>
      <c r="JB31" s="59">
        <f>'C1-Incomes'!JC33/'C1-Incomes'!$IY33</f>
        <v>5.1069456553725634E-2</v>
      </c>
      <c r="JC31" s="59">
        <f>'C1-Incomes'!JD33/'C1-Incomes'!$IY33</f>
        <v>2.4775406045931706E-2</v>
      </c>
      <c r="JD31" s="59">
        <f>'C1-Incomes'!JE33/'C1-Incomes'!$IY33</f>
        <v>8.5970671531019217E-3</v>
      </c>
      <c r="JE31" s="197"/>
      <c r="JF31" s="197"/>
      <c r="JG31" s="197"/>
      <c r="JH31" s="197"/>
      <c r="JI31" s="197"/>
      <c r="JJ31" s="197"/>
      <c r="JK31" s="197"/>
      <c r="JL31" s="197"/>
      <c r="JM31" s="197"/>
      <c r="JN31" s="197"/>
      <c r="JO31" s="197"/>
      <c r="JP31" s="197"/>
      <c r="JQ31" s="197"/>
      <c r="JR31" s="197"/>
      <c r="JS31" s="197"/>
      <c r="JT31" s="197"/>
      <c r="JU31" s="197"/>
      <c r="JV31" s="197"/>
      <c r="JW31" s="197"/>
      <c r="JX31" s="197"/>
      <c r="JY31" s="197"/>
      <c r="JZ31" s="197"/>
      <c r="KA31" s="197"/>
      <c r="KB31" s="197"/>
      <c r="KC31" s="197"/>
      <c r="KD31" s="197"/>
      <c r="KE31" s="197"/>
      <c r="KF31" s="197"/>
      <c r="KG31" s="197"/>
      <c r="KH31" s="197"/>
      <c r="KI31" s="197"/>
      <c r="KJ31" s="197"/>
      <c r="KK31" s="197"/>
      <c r="KL31" s="197"/>
      <c r="KM31" s="197"/>
      <c r="KN31" s="197"/>
      <c r="KO31" s="197"/>
      <c r="KP31" s="197"/>
      <c r="KQ31" s="197"/>
      <c r="KR31" s="197"/>
      <c r="KS31" s="197"/>
      <c r="KT31" s="197"/>
      <c r="KU31" s="197"/>
      <c r="KV31" s="197"/>
      <c r="KW31" s="197"/>
      <c r="KX31" s="197"/>
      <c r="KY31" s="197"/>
      <c r="KZ31" s="197"/>
      <c r="LA31" s="197"/>
      <c r="LB31" s="197"/>
      <c r="LC31" s="197"/>
      <c r="LD31" s="197"/>
      <c r="LE31" s="197"/>
      <c r="LF31" s="197"/>
      <c r="LG31" s="197"/>
      <c r="LH31" s="197"/>
      <c r="LI31" s="197"/>
      <c r="LJ31" s="197"/>
      <c r="LK31" s="197"/>
      <c r="LL31" s="197"/>
      <c r="LM31" s="197"/>
      <c r="LN31" s="197"/>
      <c r="LO31" s="197"/>
      <c r="LP31" s="197"/>
      <c r="LQ31" s="197"/>
      <c r="LR31" s="197"/>
      <c r="LS31" s="197"/>
      <c r="LT31" s="197"/>
      <c r="LU31" s="197"/>
      <c r="LV31" s="197"/>
      <c r="LW31" s="197"/>
      <c r="LX31" s="197"/>
      <c r="LY31" s="197"/>
      <c r="LZ31" s="197"/>
      <c r="MA31" s="197"/>
      <c r="MB31" s="197"/>
      <c r="MC31" s="197"/>
      <c r="MD31" s="197"/>
      <c r="ME31" s="197"/>
      <c r="MF31" s="197"/>
      <c r="MG31" s="197"/>
      <c r="MH31" s="197"/>
      <c r="MI31" s="197"/>
      <c r="MJ31" s="197"/>
      <c r="MK31" s="197"/>
      <c r="ML31" s="197"/>
      <c r="MM31" s="197"/>
      <c r="MN31" s="197"/>
      <c r="MO31" s="197"/>
      <c r="MP31" s="197"/>
      <c r="MQ31" s="197"/>
      <c r="MR31" s="197"/>
      <c r="MS31" s="197"/>
      <c r="MT31" s="197"/>
      <c r="MU31" s="197"/>
      <c r="MV31" s="197"/>
      <c r="MW31" s="197"/>
      <c r="MX31" s="197"/>
      <c r="MY31" s="197"/>
      <c r="MZ31" s="197"/>
      <c r="NA31" s="197"/>
      <c r="NB31" s="197"/>
      <c r="NC31" s="197"/>
      <c r="ND31" s="197"/>
      <c r="NE31" s="197"/>
      <c r="NF31" s="197"/>
      <c r="NG31" s="197"/>
      <c r="NH31" s="197"/>
      <c r="NI31" s="197"/>
      <c r="NJ31" s="197"/>
      <c r="NK31" s="197"/>
      <c r="NL31" s="197"/>
      <c r="NM31" s="197"/>
      <c r="NN31" s="197"/>
      <c r="NO31" s="197"/>
      <c r="NP31" s="197"/>
      <c r="NQ31" s="197"/>
      <c r="NR31" s="197"/>
      <c r="NS31" s="197"/>
      <c r="NT31" s="197"/>
      <c r="NU31" s="197"/>
      <c r="NV31" s="197"/>
      <c r="NW31" s="197"/>
      <c r="NX31" s="197"/>
      <c r="NY31" s="197"/>
      <c r="NZ31" s="197"/>
      <c r="OA31" s="197"/>
      <c r="OB31" s="197"/>
      <c r="OC31" s="197"/>
      <c r="OD31" s="197"/>
      <c r="OE31" s="197"/>
      <c r="OF31" s="197"/>
      <c r="OG31" s="197"/>
      <c r="OH31" s="197"/>
      <c r="OI31" s="197"/>
      <c r="OJ31" s="197"/>
      <c r="OK31" s="197"/>
      <c r="OL31" s="197"/>
      <c r="OM31" s="197"/>
      <c r="ON31" s="197"/>
      <c r="OO31" s="197"/>
      <c r="OP31" s="197"/>
      <c r="OQ31" s="197"/>
      <c r="OR31" s="197"/>
      <c r="OS31" s="197"/>
      <c r="OT31" s="197"/>
      <c r="OU31" s="197"/>
      <c r="OV31" s="197"/>
      <c r="OW31" s="197"/>
      <c r="OX31" s="197"/>
      <c r="OY31" s="197"/>
      <c r="OZ31" s="197"/>
      <c r="PA31" s="197"/>
      <c r="PB31" s="197"/>
    </row>
    <row r="32" spans="1:418" s="77" customFormat="1" ht="10.5" customHeight="1" x14ac:dyDescent="0.2">
      <c r="A32" s="48">
        <v>1986</v>
      </c>
      <c r="B32" s="59">
        <f>'C1-Incomes'!C34/'C1-Incomes'!$B34</f>
        <v>0.35463577554342657</v>
      </c>
      <c r="C32" s="59">
        <f>'C1-Incomes'!D34/'C1-Incomes'!$B34</f>
        <v>0.23269008189596335</v>
      </c>
      <c r="D32" s="59">
        <f>'C1-Incomes'!E34/'C1-Incomes'!$B34</f>
        <v>9.4249423098889507E-2</v>
      </c>
      <c r="E32" s="59">
        <f>'C1-Incomes'!F34/'C1-Incomes'!$B34</f>
        <v>6.5763956363417614E-2</v>
      </c>
      <c r="F32" s="59">
        <f>'C1-Incomes'!G34/'C1-Incomes'!$B34</f>
        <v>2.9294747963099492E-2</v>
      </c>
      <c r="G32" s="59">
        <f>'C1-Incomes'!H34/'C1-Incomes'!$B34</f>
        <v>1.0203550512478629E-2</v>
      </c>
      <c r="H32" s="199"/>
      <c r="J32" s="59">
        <f>'C1-Incomes'!K34/'C1-Incomes'!$J34</f>
        <v>0.32228463636367444</v>
      </c>
      <c r="K32" s="59">
        <f>'C1-Incomes'!L34/'C1-Incomes'!$J34</f>
        <v>0.21460798615105708</v>
      </c>
      <c r="L32" s="59">
        <f>'C1-Incomes'!M34/'C1-Incomes'!$J34</f>
        <v>9.2931372728020101E-2</v>
      </c>
      <c r="M32" s="59">
        <f>'C1-Incomes'!N34/'C1-Incomes'!$J34</f>
        <v>6.7353453929478141E-2</v>
      </c>
      <c r="N32" s="59">
        <f>'C1-Incomes'!O34/'C1-Incomes'!$J34</f>
        <v>3.2923647379730726E-2</v>
      </c>
      <c r="O32" s="59">
        <f>'C1-Incomes'!P34/'C1-Incomes'!$J34</f>
        <v>1.1944868350529547E-2</v>
      </c>
      <c r="P32" s="59"/>
      <c r="R32" s="59">
        <f>'C1-Incomes'!S34/'C1-Incomes'!$R34</f>
        <v>0.29566998406369083</v>
      </c>
      <c r="S32" s="59">
        <f>'C1-Incomes'!T34/'C1-Incomes'!$R34</f>
        <v>0.19638192190471421</v>
      </c>
      <c r="T32" s="59">
        <f>'C1-Incomes'!U34/'C1-Incomes'!$R34</f>
        <v>8.4532499321062451E-2</v>
      </c>
      <c r="U32" s="59">
        <f>'C1-Incomes'!V34/'C1-Incomes'!$R34</f>
        <v>6.1158287135855804E-2</v>
      </c>
      <c r="V32" s="59">
        <f>'C1-Incomes'!W34/'C1-Incomes'!$R34</f>
        <v>2.973797524538753E-2</v>
      </c>
      <c r="W32" s="59">
        <f>'C1-Incomes'!X34/'C1-Incomes'!$R34</f>
        <v>1.0770676064839979E-2</v>
      </c>
      <c r="X32" s="59"/>
      <c r="Y32" s="59"/>
      <c r="Z32" s="59">
        <f>'C1-Incomes'!AA34/'C1-Incomes'!$Z34</f>
        <v>0.25219261587195774</v>
      </c>
      <c r="AA32" s="59">
        <f>'C1-Incomes'!AB34/'C1-Incomes'!$Z34</f>
        <v>0.16302623809939745</v>
      </c>
      <c r="AB32" s="59">
        <f>'C1-Incomes'!AC34/'C1-Incomes'!$Z34</f>
        <v>6.6271363796234981E-2</v>
      </c>
      <c r="AC32" s="59">
        <f>'C1-Incomes'!AD34/'C1-Incomes'!$Z34</f>
        <v>4.6881162402588612E-2</v>
      </c>
      <c r="AD32" s="59">
        <f>'C1-Incomes'!AE34/'C1-Incomes'!$Z34</f>
        <v>2.2202390488319207E-2</v>
      </c>
      <c r="AE32" s="59">
        <f>'C1-Incomes'!AF34/'C1-Incomes'!$Z34</f>
        <v>7.8216270650724434E-3</v>
      </c>
      <c r="AF32" s="200"/>
      <c r="AG32" s="195"/>
      <c r="AH32" s="59">
        <f>'C1-Incomes'!AI34/'C1-Incomes'!$AH34</f>
        <v>0.35223774722999668</v>
      </c>
      <c r="AI32" s="59">
        <f>'C1-Incomes'!AJ34/'C1-Incomes'!$AH34</f>
        <v>0.2308314838631669</v>
      </c>
      <c r="AJ32" s="59">
        <f>'C1-Incomes'!AK34/'C1-Incomes'!$AH34</f>
        <v>9.3335029333015199E-2</v>
      </c>
      <c r="AK32" s="59">
        <f>'C1-Incomes'!AL34/'C1-Incomes'!$AH34</f>
        <v>6.5102305644926389E-2</v>
      </c>
      <c r="AL32" s="59">
        <f>'C1-Incomes'!AM34/'C1-Incomes'!$AH34</f>
        <v>2.9036364458687576E-2</v>
      </c>
      <c r="AM32" s="59">
        <f>'C1-Incomes'!AN34/'C1-Incomes'!$AH34</f>
        <v>1.021724141370089E-2</v>
      </c>
      <c r="AN32" s="195"/>
      <c r="AO32" s="195"/>
      <c r="AP32" s="59">
        <f>'C1-Incomes'!AQ34/'C1-Incomes'!$AP34</f>
        <v>0.35446060889425129</v>
      </c>
      <c r="AQ32" s="59">
        <f>'C1-Incomes'!AR34/'C1-Incomes'!$AP34</f>
        <v>0.23451798168882262</v>
      </c>
      <c r="AR32" s="59">
        <f>'C1-Incomes'!AS34/'C1-Incomes'!$AP34</f>
        <v>9.8112387462535838E-2</v>
      </c>
      <c r="AS32" s="59">
        <f>'C1-Incomes'!AT34/'C1-Incomes'!$AP34</f>
        <v>6.9222418694277574E-2</v>
      </c>
      <c r="AT32" s="59">
        <f>'C1-Incomes'!AU34/'C1-Incomes'!$AP34</f>
        <v>3.1180635670286574E-2</v>
      </c>
      <c r="AU32" s="59">
        <f>'C1-Incomes'!AV34/'C1-Incomes'!$AP34</f>
        <v>1.0854813468537264E-2</v>
      </c>
      <c r="AV32" s="197"/>
      <c r="AW32" s="60"/>
      <c r="AX32" s="59">
        <f>'C1-Incomes'!AY34/'C1-Incomes'!$AX34</f>
        <v>0.35908784396292259</v>
      </c>
      <c r="AY32" s="59">
        <f>'C1-Incomes'!AZ34/'C1-Incomes'!$AX34</f>
        <v>0.23956025467490841</v>
      </c>
      <c r="AZ32" s="59">
        <f>'C1-Incomes'!BA34/'C1-Incomes'!$AX34</f>
        <v>0.10241469171415755</v>
      </c>
      <c r="BA32" s="59">
        <f>'C1-Incomes'!BB34/'C1-Incomes'!$AX34</f>
        <v>7.2849179785627979E-2</v>
      </c>
      <c r="BB32" s="59">
        <f>'C1-Incomes'!BC34/'C1-Incomes'!$AX34</f>
        <v>3.3396105882681382E-2</v>
      </c>
      <c r="BC32" s="59">
        <f>'C1-Incomes'!BD34/'C1-Incomes'!$AX34</f>
        <v>1.1658798211441111E-2</v>
      </c>
      <c r="BD32" s="60"/>
      <c r="BE32" s="60"/>
      <c r="BF32" s="59">
        <f>'C1-Incomes'!BG34/'C1-Incomes'!$BF34</f>
        <v>0.35267158721721859</v>
      </c>
      <c r="BG32" s="59">
        <f>'C1-Incomes'!BH34/'C1-Incomes'!$BF34</f>
        <v>0.23493805584232047</v>
      </c>
      <c r="BH32" s="59">
        <f>'C1-Incomes'!BI34/'C1-Incomes'!$BF34</f>
        <v>0.10072027478021189</v>
      </c>
      <c r="BI32" s="59">
        <f>'C1-Incomes'!BJ34/'C1-Incomes'!$BF34</f>
        <v>7.2010042130221483E-2</v>
      </c>
      <c r="BJ32" s="59">
        <f>'C1-Incomes'!BK34/'C1-Incomes'!$BF34</f>
        <v>3.3420397515846891E-2</v>
      </c>
      <c r="BK32" s="59">
        <f>'C1-Incomes'!BL34/'C1-Incomes'!$BF34</f>
        <v>1.1736264853163215E-2</v>
      </c>
      <c r="BL32" s="59"/>
      <c r="BM32" s="59"/>
      <c r="BN32" s="59">
        <f>'C1-Incomes'!BO34/'C1-Incomes'!$BN34</f>
        <v>0.32681459659038586</v>
      </c>
      <c r="BO32" s="59">
        <f>'C1-Incomes'!BP34/'C1-Incomes'!$BN34</f>
        <v>0.21744869466540326</v>
      </c>
      <c r="BP32" s="59">
        <f>'C1-Incomes'!BQ34/'C1-Incomes'!$BN34</f>
        <v>9.2263808815653187E-2</v>
      </c>
      <c r="BQ32" s="59">
        <f>'C1-Incomes'!BR34/'C1-Incomes'!$BN34</f>
        <v>6.6020561239673245E-2</v>
      </c>
      <c r="BR32" s="59">
        <f>'C1-Incomes'!BS34/'C1-Incomes'!$BN34</f>
        <v>3.162025469084033E-2</v>
      </c>
      <c r="BS32" s="59">
        <f>'C1-Incomes'!BT34/'C1-Incomes'!$BN34</f>
        <v>1.1054866858569542E-2</v>
      </c>
      <c r="BT32" s="59"/>
      <c r="BU32" s="59"/>
      <c r="BV32" s="59">
        <f>'C1-Incomes'!BW34/'C1-Incomes'!$BV34</f>
        <v>0.32929480315653586</v>
      </c>
      <c r="BW32" s="59">
        <f>'C1-Incomes'!BX34/'C1-Incomes'!$BV34</f>
        <v>0.22015760630305242</v>
      </c>
      <c r="BX32" s="59">
        <f>'C1-Incomes'!BY34/'C1-Incomes'!$BV34</f>
        <v>9.4282128943826704E-2</v>
      </c>
      <c r="BY32" s="59">
        <f>'C1-Incomes'!BZ34/'C1-Incomes'!$BV34</f>
        <v>6.7817871326132526E-2</v>
      </c>
      <c r="BZ32" s="59">
        <f>'C1-Incomes'!CA34/'C1-Incomes'!$BV34</f>
        <v>3.2760664473475615E-2</v>
      </c>
      <c r="CA32" s="59">
        <f>'C1-Incomes'!CB34/'C1-Incomes'!$BV34</f>
        <v>1.1679549985430471E-2</v>
      </c>
      <c r="CB32" s="60"/>
      <c r="CC32" s="198"/>
      <c r="CD32" s="59">
        <f>'C1-Incomes'!CE34/'C1-Incomes'!$CD34</f>
        <v>0.33608912105781397</v>
      </c>
      <c r="CE32" s="59">
        <f>'C1-Incomes'!CF34/'C1-Incomes'!$CD34</f>
        <v>0.22770016153755793</v>
      </c>
      <c r="CF32" s="59">
        <f>'C1-Incomes'!CG34/'C1-Incomes'!$CD34</f>
        <v>0.10123904914898944</v>
      </c>
      <c r="CG32" s="59">
        <f>'C1-Incomes'!CH34/'C1-Incomes'!$CD34</f>
        <v>7.3883928264540211E-2</v>
      </c>
      <c r="CH32" s="59">
        <f>'C1-Incomes'!CI34/'C1-Incomes'!$CD34</f>
        <v>3.6343360050467372E-2</v>
      </c>
      <c r="CI32" s="59">
        <f>'C1-Incomes'!CJ34/'C1-Incomes'!$CD34</f>
        <v>1.3053976570742108E-2</v>
      </c>
      <c r="CL32" s="59">
        <f>'C1-Incomes'!CM34/'C1-Incomes'!$CL34</f>
        <v>0.33747153479494402</v>
      </c>
      <c r="CM32" s="59">
        <f>'C1-Incomes'!CN34/'C1-Incomes'!$CL34</f>
        <v>0.22930928934137271</v>
      </c>
      <c r="CN32" s="59">
        <f>'C1-Incomes'!CO34/'C1-Incomes'!$CL34</f>
        <v>0.10256915924697807</v>
      </c>
      <c r="CO32" s="59">
        <f>'C1-Incomes'!CP34/'C1-Incomes'!$CL34</f>
        <v>7.5062515083258369E-2</v>
      </c>
      <c r="CP32" s="59">
        <f>'C1-Incomes'!CQ34/'C1-Incomes'!$CL34</f>
        <v>3.718505349623797E-2</v>
      </c>
      <c r="CQ32" s="59">
        <f>'C1-Incomes'!CR34/'C1-Incomes'!$CL34</f>
        <v>1.3346247929225775E-2</v>
      </c>
      <c r="CR32" s="59"/>
      <c r="CS32" s="59"/>
      <c r="CT32" s="59">
        <f>'C1-Incomes'!CU34/'C1-Incomes'!$CT34</f>
        <v>0.33928088134671469</v>
      </c>
      <c r="CU32" s="59">
        <f>'C1-Incomes'!CV34/'C1-Incomes'!$CT34</f>
        <v>0.23109092228389294</v>
      </c>
      <c r="CV32" s="59">
        <f>'C1-Incomes'!CW34/'C1-Incomes'!$CT34</f>
        <v>0.10408172022319627</v>
      </c>
      <c r="CW32" s="59">
        <f>'C1-Incomes'!CX34/'C1-Incomes'!$CT34</f>
        <v>7.6300967892202157E-2</v>
      </c>
      <c r="CX32" s="59">
        <f>'C1-Incomes'!CY34/'C1-Incomes'!$CT34</f>
        <v>3.801577426248292E-2</v>
      </c>
      <c r="CY32" s="59">
        <f>'C1-Incomes'!CZ34/'C1-Incomes'!$CT34</f>
        <v>1.3702464978834155E-2</v>
      </c>
      <c r="CZ32" s="59"/>
      <c r="DA32" s="59"/>
      <c r="DB32" s="59">
        <f>'C1-Incomes'!DC34/'C1-Incomes'!$DB34</f>
        <v>0.34295821117813496</v>
      </c>
      <c r="DC32" s="59">
        <f>'C1-Incomes'!DD34/'C1-Incomes'!$DB34</f>
        <v>0.23493620224101763</v>
      </c>
      <c r="DD32" s="59">
        <f>'C1-Incomes'!DE34/'C1-Incomes'!$DB34</f>
        <v>0.10722893115605255</v>
      </c>
      <c r="DE32" s="59">
        <f>'C1-Incomes'!DF34/'C1-Incomes'!$DB34</f>
        <v>7.8900839849132542E-2</v>
      </c>
      <c r="DF32" s="59">
        <f>'C1-Incomes'!DG34/'C1-Incomes'!$DB34</f>
        <v>3.9849189791385867E-2</v>
      </c>
      <c r="DG32" s="59">
        <f>'C1-Incomes'!DH34/'C1-Incomes'!$DB34</f>
        <v>1.4435767294076559E-2</v>
      </c>
      <c r="DH32" s="59"/>
      <c r="DI32" s="1039"/>
      <c r="DJ32" s="59">
        <f>'C1-Incomes'!DK34/'C1-Incomes'!$DJ34</f>
        <v>0.34186110447886781</v>
      </c>
      <c r="DK32" s="59">
        <f>'C1-Incomes'!DL34/'C1-Incomes'!$DJ34</f>
        <v>0.23538390581209309</v>
      </c>
      <c r="DL32" s="59">
        <f>'C1-Incomes'!DM34/'C1-Incomes'!$DJ34</f>
        <v>0.10909928615513785</v>
      </c>
      <c r="DM32" s="59">
        <f>'C1-Incomes'!DN34/'C1-Incomes'!$DJ34</f>
        <v>8.0196666409453762E-2</v>
      </c>
      <c r="DN32" s="59">
        <f>'C1-Incomes'!DO34/'C1-Incomes'!$DJ34</f>
        <v>4.0312156578102498E-2</v>
      </c>
      <c r="DO32" s="59">
        <f>'C1-Incomes'!DP34/'C1-Incomes'!$DJ34</f>
        <v>1.474242374264516E-2</v>
      </c>
      <c r="DP32" s="696"/>
      <c r="DQ32" s="503"/>
      <c r="DR32" s="59">
        <f>'C1-Incomes'!DS34/'C1-Incomes'!$DR34</f>
        <v>0.3407449453426345</v>
      </c>
      <c r="DS32" s="59">
        <f>'C1-Incomes'!DT34/'C1-Incomes'!$DR34</f>
        <v>0.23422505418006775</v>
      </c>
      <c r="DT32" s="59">
        <f>'C1-Incomes'!DU34/'C1-Incomes'!$DR34</f>
        <v>0.10815288028299629</v>
      </c>
      <c r="DU32" s="59">
        <f>'C1-Incomes'!DV34/'C1-Incomes'!$DR34</f>
        <v>7.9376368930352437E-2</v>
      </c>
      <c r="DV32" s="59">
        <f>'C1-Incomes'!DW34/'C1-Incomes'!$DR34</f>
        <v>3.9764479502471188E-2</v>
      </c>
      <c r="DW32" s="59">
        <f>'C1-Incomes'!DX34/'C1-Incomes'!$DR34</f>
        <v>1.4520040485790704E-2</v>
      </c>
      <c r="DX32" s="333"/>
      <c r="DZ32" s="59">
        <f>'C1-Incomes'!EA34/'C1-Incomes'!$DZ34</f>
        <v>0.33404861927025647</v>
      </c>
      <c r="EA32" s="59">
        <f>'C1-Incomes'!EB34/'C1-Incomes'!$DZ34</f>
        <v>0.22770884158885923</v>
      </c>
      <c r="EB32" s="59">
        <f>'C1-Incomes'!EC34/'C1-Incomes'!$DZ34</f>
        <v>0.10365976025059731</v>
      </c>
      <c r="EC32" s="59">
        <f>'C1-Incomes'!ED34/'C1-Incomes'!$DZ34</f>
        <v>7.6120893745061077E-2</v>
      </c>
      <c r="ED32" s="59">
        <f>'C1-Incomes'!EE34/'C1-Incomes'!$DZ34</f>
        <v>3.787272459022048E-2</v>
      </c>
      <c r="EE32" s="59">
        <f>'C1-Incomes'!EF34/'C1-Incomes'!$DZ34</f>
        <v>1.3812626626374063E-2</v>
      </c>
      <c r="EF32" s="59"/>
      <c r="EH32" s="59">
        <f>'C1-Incomes'!EI34/'C1-Incomes'!$EH34</f>
        <v>0.33064208443876025</v>
      </c>
      <c r="EI32" s="59">
        <f>'C1-Incomes'!EJ34/'C1-Incomes'!$EH34</f>
        <v>0.22360718667889393</v>
      </c>
      <c r="EJ32" s="59">
        <f>'C1-Incomes'!EK34/'C1-Incomes'!$EH34</f>
        <v>0.10000637338366052</v>
      </c>
      <c r="EK32" s="59">
        <f>'C1-Incomes'!EL34/'C1-Incomes'!$EH34</f>
        <v>7.2972062824115197E-2</v>
      </c>
      <c r="EL32" s="59">
        <f>'C1-Incomes'!EM34/'C1-Incomes'!$EH34</f>
        <v>3.6252573400691455E-2</v>
      </c>
      <c r="EM32" s="59">
        <f>'C1-Incomes'!EN34/'C1-Incomes'!$EH34</f>
        <v>1.320487723240554E-2</v>
      </c>
      <c r="EN32" s="59"/>
      <c r="EO32" s="59"/>
      <c r="EP32" s="59">
        <f>'C1-Incomes'!EQ34/'C1-Incomes'!$EH34</f>
        <v>0.34964179508213966</v>
      </c>
      <c r="EQ32" s="59">
        <f>'C1-Incomes'!ER34/'C1-Incomes'!$EH34</f>
        <v>0.23432603222036885</v>
      </c>
      <c r="ER32" s="59">
        <f>'C1-Incomes'!ES34/'C1-Incomes'!$EH34</f>
        <v>0.1030061918873537</v>
      </c>
      <c r="ES32" s="59">
        <f>'C1-Incomes'!ET34/'C1-Incomes'!$EH34</f>
        <v>7.4953024534461746E-2</v>
      </c>
      <c r="ET32" s="59">
        <f>'C1-Incomes'!EU34/'C1-Incomes'!$EH34</f>
        <v>3.6873273967853303E-2</v>
      </c>
      <c r="EU32" s="59">
        <f>'C1-Incomes'!EV34/'C1-Incomes'!$EH34</f>
        <v>1.3388356088709939E-2</v>
      </c>
      <c r="EV32" s="59"/>
      <c r="EW32" s="59"/>
      <c r="EX32" s="59">
        <f>'C1-Incomes'!EY34/'C1-Incomes'!$EX34</f>
        <v>0.32228463636367444</v>
      </c>
      <c r="EY32" s="59">
        <f>'C1-Incomes'!EZ34/'C1-Incomes'!$EX34</f>
        <v>0.21460798615105708</v>
      </c>
      <c r="EZ32" s="59">
        <f>'C1-Incomes'!FA34/'C1-Incomes'!$EX34</f>
        <v>9.2931372728020101E-2</v>
      </c>
      <c r="FA32" s="59">
        <f>'C1-Incomes'!FB34/'C1-Incomes'!$EX34</f>
        <v>6.7353453929478141E-2</v>
      </c>
      <c r="FB32" s="59">
        <f>'C1-Incomes'!FC34/'C1-Incomes'!$EX34</f>
        <v>3.2923647379730726E-2</v>
      </c>
      <c r="FC32" s="59">
        <f>'C1-Incomes'!FD34/'C1-Incomes'!$EX34</f>
        <v>1.1944868350529547E-2</v>
      </c>
      <c r="FD32" s="59"/>
      <c r="FF32" s="59">
        <f>'C1-Incomes'!FG34/'C1-Incomes'!$FF34</f>
        <v>0.31007866060508993</v>
      </c>
      <c r="FG32" s="59">
        <f>'C1-Incomes'!FH34/'C1-Incomes'!$FF34</f>
        <v>0.20643605356786729</v>
      </c>
      <c r="FH32" s="59">
        <f>'C1-Incomes'!FI34/'C1-Incomes'!$FF34</f>
        <v>8.9098634602939028E-2</v>
      </c>
      <c r="FI32" s="59">
        <f>'C1-Incomes'!FJ34/'C1-Incomes'!$FF34</f>
        <v>6.4472883854823054E-2</v>
      </c>
      <c r="FJ32" s="59">
        <f>'C1-Incomes'!FK34/'C1-Incomes'!$FF34</f>
        <v>3.136537373645229E-2</v>
      </c>
      <c r="FK32" s="59">
        <f>'C1-Incomes'!FL34/'C1-Incomes'!$FF34</f>
        <v>1.1362446895188354E-2</v>
      </c>
      <c r="FN32" s="59">
        <f>'C1-Incomes'!FO34/'C1-Incomes'!$FN34</f>
        <v>0.30902630580013712</v>
      </c>
      <c r="FO32" s="59">
        <f>'C1-Incomes'!FP34/'C1-Incomes'!$FN34</f>
        <v>0.20561535712006562</v>
      </c>
      <c r="FP32" s="59">
        <f>'C1-Incomes'!FQ34/'C1-Incomes'!$FN34</f>
        <v>8.8740428791471579E-2</v>
      </c>
      <c r="FQ32" s="59">
        <f>'C1-Incomes'!FR34/'C1-Incomes'!$FN34</f>
        <v>6.4214955966187634E-2</v>
      </c>
      <c r="FR32" s="59">
        <f>'C1-Incomes'!FS34/'C1-Incomes'!$FN34</f>
        <v>3.1238362485175628E-2</v>
      </c>
      <c r="FS32" s="59">
        <f>'C1-Incomes'!FT34/'C1-Incomes'!$FN34</f>
        <v>1.1316417473901497E-2</v>
      </c>
      <c r="FV32" s="59">
        <f>'C1-Incomes'!FW34/'C1-Incomes'!$FV34</f>
        <v>0.30542317299374017</v>
      </c>
      <c r="FW32" s="59">
        <f>'C1-Incomes'!FX34/'C1-Incomes'!$FV34</f>
        <v>0.20315139063194346</v>
      </c>
      <c r="FX32" s="59">
        <f>'C1-Incomes'!FY34/'C1-Incomes'!$FV34</f>
        <v>8.7630406901744604E-2</v>
      </c>
      <c r="FY32" s="59">
        <f>'C1-Incomes'!FZ34/'C1-Incomes'!$FV34</f>
        <v>6.3402712310872661E-2</v>
      </c>
      <c r="FZ32" s="59">
        <f>'C1-Incomes'!GA34/'C1-Incomes'!$FV34</f>
        <v>3.0837468158820394E-2</v>
      </c>
      <c r="GA32" s="59">
        <f>'C1-Incomes'!GB34/'C1-Incomes'!$FV34</f>
        <v>1.1170133668982618E-2</v>
      </c>
      <c r="GE32" s="59">
        <f>'C1-Incomes'!GF34/'C1-Incomes'!$GE34</f>
        <v>0.30156632704320813</v>
      </c>
      <c r="GF32" s="59">
        <f>'C1-Incomes'!GG34/'C1-Incomes'!$GE34</f>
        <v>0.20029823140158062</v>
      </c>
      <c r="GG32" s="59">
        <f>'C1-Incomes'!GH34/'C1-Incomes'!$GE34</f>
        <v>8.6218272770441154E-2</v>
      </c>
      <c r="GH32" s="59">
        <f>'C1-Incomes'!GI34/'C1-Incomes'!$GE34</f>
        <v>6.237792476033352E-2</v>
      </c>
      <c r="GI32" s="59">
        <f>'C1-Incomes'!GJ34/'C1-Incomes'!$GE34</f>
        <v>3.0331019216754698E-2</v>
      </c>
      <c r="GJ32" s="59">
        <f>'C1-Incomes'!GK34/'C1-Incomes'!$GE34</f>
        <v>1.0985468244034921E-2</v>
      </c>
      <c r="GM32" s="59">
        <f>'C1-Incomes'!GN34/'C1-Incomes'!$GM34</f>
        <v>0.29566998406369083</v>
      </c>
      <c r="GN32" s="59">
        <f>'C1-Incomes'!GO34/'C1-Incomes'!$GM34</f>
        <v>0.19638192190471421</v>
      </c>
      <c r="GO32" s="59">
        <f>'C1-Incomes'!GP34/'C1-Incomes'!$GM34</f>
        <v>8.4532499321062451E-2</v>
      </c>
      <c r="GP32" s="59">
        <f>'C1-Incomes'!GQ34/'C1-Incomes'!$GM34</f>
        <v>6.1158287135855804E-2</v>
      </c>
      <c r="GQ32" s="59">
        <f>'C1-Incomes'!GR34/'C1-Incomes'!$GM34</f>
        <v>2.973797524538753E-2</v>
      </c>
      <c r="GR32" s="59">
        <f>'C1-Incomes'!GS34/'C1-Incomes'!$GM34</f>
        <v>1.0770676064839979E-2</v>
      </c>
      <c r="GU32" s="59">
        <f>'C1-Incomes'!GV34/'C1-Incomes'!$GU34</f>
        <v>0.27484561659125867</v>
      </c>
      <c r="GV32" s="59">
        <f>'C1-Incomes'!GW34/'C1-Incomes'!$GU34</f>
        <v>0.17770647396887029</v>
      </c>
      <c r="GW32" s="59">
        <f>'C1-Incomes'!GX34/'C1-Incomes'!$GU34</f>
        <v>7.1695858844497556E-2</v>
      </c>
      <c r="GX32" s="59">
        <f>'C1-Incomes'!GY34/'C1-Incomes'!$GU34</f>
        <v>5.0753339732201821E-2</v>
      </c>
      <c r="GY32" s="59">
        <f>'C1-Incomes'!GZ34/'C1-Incomes'!$GU34</f>
        <v>2.3792375162171416E-2</v>
      </c>
      <c r="GZ32" s="59">
        <f>'C1-Incomes'!HA34/'C1-Incomes'!$GU34</f>
        <v>8.4654315001006942E-3</v>
      </c>
      <c r="HC32" s="59">
        <f>'C1-Incomes'!HD34/'C1-Incomes'!$HC34</f>
        <v>0.27086117826571032</v>
      </c>
      <c r="HD32" s="59">
        <f>'C1-Incomes'!HE34/'C1-Incomes'!$HC34</f>
        <v>0.17392834707979421</v>
      </c>
      <c r="HE32" s="59">
        <f>'C1-Incomes'!HF34/'C1-Incomes'!$HC34</f>
        <v>6.9506667005512973E-2</v>
      </c>
      <c r="HF32" s="59">
        <f>'C1-Incomes'!HG34/'C1-Incomes'!$HC34</f>
        <v>4.892547802705903E-2</v>
      </c>
      <c r="HG32" s="59">
        <f>'C1-Incomes'!HH34/'C1-Incomes'!$HC34</f>
        <v>2.3249292189138824E-2</v>
      </c>
      <c r="HH32" s="59">
        <f>'C1-Incomes'!HI34/'C1-Incomes'!$HC34</f>
        <v>8.1077742207265342E-3</v>
      </c>
      <c r="HK32" s="59">
        <f>'C1-Incomes'!HL34/'C1-Incomes'!$HK34</f>
        <v>0.26863054965625505</v>
      </c>
      <c r="HL32" s="59">
        <f>'C1-Incomes'!HM34/'C1-Incomes'!$HK34</f>
        <v>0.17217845585639185</v>
      </c>
      <c r="HM32" s="59">
        <f>'C1-Incomes'!HN34/'C1-Incomes'!$HK34</f>
        <v>6.8250061226628841E-2</v>
      </c>
      <c r="HN32" s="59">
        <f>'C1-Incomes'!HO34/'C1-Incomes'!$HK34</f>
        <v>4.7878806393917603E-2</v>
      </c>
      <c r="HO32" s="59">
        <f>'C1-Incomes'!HP34/'C1-Incomes'!$HK34</f>
        <v>2.2238081020145239E-2</v>
      </c>
      <c r="HP32" s="59">
        <f>'C1-Incomes'!HQ34/'C1-Incomes'!$HK34</f>
        <v>7.9064296584438563E-3</v>
      </c>
      <c r="HS32" s="59">
        <f>'C1-Incomes'!HT34/'C1-Incomes'!$HS34</f>
        <v>0.26638027997766317</v>
      </c>
      <c r="HT32" s="59">
        <f>'C1-Incomes'!HU34/'C1-Incomes'!$HS34</f>
        <v>0.17040892511896705</v>
      </c>
      <c r="HU32" s="59">
        <f>'C1-Incomes'!HV34/'C1-Incomes'!$HS34</f>
        <v>6.7100810791176857E-2</v>
      </c>
      <c r="HV32" s="59">
        <f>'C1-Incomes'!HW34/'C1-Incomes'!$HS34</f>
        <v>4.7130606957867131E-2</v>
      </c>
      <c r="HW32" s="59">
        <f>'C1-Incomes'!HX34/'C1-Incomes'!$HS34</f>
        <v>2.2648197886524057E-2</v>
      </c>
      <c r="HX32" s="59">
        <f>'C1-Incomes'!HY34/'C1-Incomes'!$HS34</f>
        <v>7.7629799195968168E-3</v>
      </c>
      <c r="IA32" s="59">
        <f>'C1-Incomes'!IB34/'C1-Incomes'!$IA34</f>
        <v>0.2700565031160907</v>
      </c>
      <c r="IB32" s="59">
        <f>'C1-Incomes'!IC34/'C1-Incomes'!$IA34</f>
        <v>0.17510583994876949</v>
      </c>
      <c r="IC32" s="59">
        <f>'C1-Incomes'!ID34/'C1-Incomes'!$IA34</f>
        <v>7.1180744296100093E-2</v>
      </c>
      <c r="ID32" s="59">
        <f>'C1-Incomes'!IE34/'C1-Incomes'!$IA34</f>
        <v>5.0368203174581933E-2</v>
      </c>
      <c r="IE32" s="59">
        <f>'C1-Incomes'!IF34/'C1-Incomes'!$IA34</f>
        <v>2.3867169753873402E-2</v>
      </c>
      <c r="IF32" s="59">
        <f>'C1-Incomes'!IG34/'C1-Incomes'!$IA34</f>
        <v>8.4397619079852691E-3</v>
      </c>
      <c r="II32" s="59">
        <f>'C1-Incomes'!IJ34/'C1-Incomes'!$II34</f>
        <v>0.27075128122052639</v>
      </c>
      <c r="IJ32" s="59">
        <f>'C1-Incomes'!IK34/'C1-Incomes'!$II34</f>
        <v>0.17636324373956738</v>
      </c>
      <c r="IK32" s="59">
        <f>'C1-Incomes'!IL34/'C1-Incomes'!$II34</f>
        <v>7.2708785976962134E-2</v>
      </c>
      <c r="IL32" s="59">
        <f>'C1-Incomes'!IM34/'C1-Incomes'!$II34</f>
        <v>5.1646333280388111E-2</v>
      </c>
      <c r="IM32" s="59">
        <f>'C1-Incomes'!IN34/'C1-Incomes'!$II34</f>
        <v>2.4616592248242732E-2</v>
      </c>
      <c r="IN32" s="59">
        <f>'C1-Incomes'!IO34/'C1-Incomes'!$II34</f>
        <v>8.6950511843630167E-3</v>
      </c>
      <c r="IQ32" s="59">
        <f>'C1-Incomes'!IR34/'C1-Incomes'!$IQ34</f>
        <v>0.27057148509499779</v>
      </c>
      <c r="IR32" s="59">
        <f>'C1-Incomes'!IS34/'C1-Incomes'!$IQ34</f>
        <v>0.17622554167148272</v>
      </c>
      <c r="IS32" s="59">
        <f>'C1-Incomes'!IT34/'C1-Incomes'!$IQ34</f>
        <v>7.2627228237220634E-2</v>
      </c>
      <c r="IT32" s="59">
        <f>'C1-Incomes'!IU34/'C1-Incomes'!$IQ34</f>
        <v>5.1583296701743928E-2</v>
      </c>
      <c r="IU32" s="59">
        <f>'C1-Incomes'!IV34/'C1-Incomes'!$IQ34</f>
        <v>2.4591219714031755E-2</v>
      </c>
      <c r="IV32" s="59">
        <f>'C1-Incomes'!IW34/'C1-Incomes'!$IQ34</f>
        <v>8.684082822238582E-3</v>
      </c>
      <c r="IY32" s="59">
        <f>'C1-Incomes'!IZ34/'C1-Incomes'!$IY34</f>
        <v>0.25219261587195774</v>
      </c>
      <c r="IZ32" s="59">
        <f>'C1-Incomes'!JA34/'C1-Incomes'!$IY34</f>
        <v>0.16302623809939745</v>
      </c>
      <c r="JA32" s="59">
        <f>'C1-Incomes'!JB34/'C1-Incomes'!$IY34</f>
        <v>6.6271363796234981E-2</v>
      </c>
      <c r="JB32" s="59">
        <f>'C1-Incomes'!JC34/'C1-Incomes'!$IY34</f>
        <v>4.6881162402588612E-2</v>
      </c>
      <c r="JC32" s="59">
        <f>'C1-Incomes'!JD34/'C1-Incomes'!$IY34</f>
        <v>2.2202390488319207E-2</v>
      </c>
      <c r="JD32" s="59">
        <f>'C1-Incomes'!JE34/'C1-Incomes'!$IY34</f>
        <v>7.8216270650724434E-3</v>
      </c>
      <c r="JE32" s="197"/>
      <c r="JF32" s="197"/>
      <c r="JG32" s="197"/>
      <c r="JH32" s="197"/>
      <c r="JI32" s="197"/>
      <c r="JJ32" s="197"/>
      <c r="JK32" s="197"/>
      <c r="JL32" s="197"/>
      <c r="JM32" s="197"/>
      <c r="JN32" s="197"/>
      <c r="JO32" s="197"/>
      <c r="JP32" s="197"/>
      <c r="JQ32" s="197"/>
      <c r="JR32" s="197"/>
      <c r="JS32" s="197"/>
      <c r="JT32" s="197"/>
      <c r="JU32" s="197"/>
      <c r="JV32" s="197"/>
      <c r="JW32" s="197"/>
      <c r="JX32" s="197"/>
      <c r="JY32" s="197"/>
      <c r="JZ32" s="197"/>
      <c r="KA32" s="197"/>
      <c r="KB32" s="197"/>
      <c r="KC32" s="197"/>
      <c r="KD32" s="197"/>
      <c r="KE32" s="197"/>
      <c r="KF32" s="197"/>
      <c r="KG32" s="197"/>
      <c r="KH32" s="197"/>
      <c r="KI32" s="197"/>
      <c r="KJ32" s="197"/>
      <c r="KK32" s="197"/>
      <c r="KL32" s="197"/>
      <c r="KM32" s="197"/>
      <c r="KN32" s="197"/>
      <c r="KO32" s="197"/>
      <c r="KP32" s="197"/>
      <c r="KQ32" s="197"/>
      <c r="KR32" s="197"/>
      <c r="KS32" s="197"/>
      <c r="KT32" s="197"/>
      <c r="KU32" s="197"/>
      <c r="KV32" s="197"/>
      <c r="KW32" s="197"/>
      <c r="KX32" s="197"/>
      <c r="KY32" s="197"/>
      <c r="KZ32" s="197"/>
      <c r="LA32" s="197"/>
      <c r="LB32" s="197"/>
      <c r="LC32" s="197"/>
      <c r="LD32" s="197"/>
      <c r="LE32" s="197"/>
      <c r="LF32" s="197"/>
      <c r="LG32" s="197"/>
      <c r="LH32" s="197"/>
      <c r="LI32" s="197"/>
      <c r="LJ32" s="197"/>
      <c r="LK32" s="197"/>
      <c r="LL32" s="197"/>
      <c r="LM32" s="197"/>
      <c r="LN32" s="197"/>
      <c r="LO32" s="197"/>
      <c r="LP32" s="197"/>
      <c r="LQ32" s="197"/>
      <c r="LR32" s="197"/>
      <c r="LS32" s="197"/>
      <c r="LT32" s="197"/>
      <c r="LU32" s="197"/>
      <c r="LV32" s="197"/>
      <c r="LW32" s="197"/>
      <c r="LX32" s="197"/>
      <c r="LY32" s="197"/>
      <c r="LZ32" s="197"/>
      <c r="MA32" s="197"/>
      <c r="MB32" s="197"/>
      <c r="MC32" s="197"/>
      <c r="MD32" s="197"/>
      <c r="ME32" s="197"/>
      <c r="MF32" s="197"/>
      <c r="MG32" s="197"/>
      <c r="MH32" s="197"/>
      <c r="MI32" s="197"/>
      <c r="MJ32" s="197"/>
      <c r="MK32" s="197"/>
      <c r="ML32" s="197"/>
      <c r="MM32" s="197"/>
      <c r="MN32" s="197"/>
      <c r="MO32" s="197"/>
      <c r="MP32" s="197"/>
      <c r="MQ32" s="197"/>
      <c r="MR32" s="197"/>
      <c r="MS32" s="197"/>
      <c r="MT32" s="197"/>
      <c r="MU32" s="197"/>
      <c r="MV32" s="197"/>
      <c r="MW32" s="197"/>
      <c r="MX32" s="197"/>
      <c r="MY32" s="197"/>
      <c r="MZ32" s="197"/>
      <c r="NA32" s="197"/>
      <c r="NB32" s="197"/>
      <c r="NC32" s="197"/>
      <c r="ND32" s="197"/>
      <c r="NE32" s="197"/>
      <c r="NF32" s="197"/>
      <c r="NG32" s="197"/>
      <c r="NH32" s="197"/>
      <c r="NI32" s="197"/>
      <c r="NJ32" s="197"/>
      <c r="NK32" s="197"/>
      <c r="NL32" s="197"/>
      <c r="NM32" s="197"/>
      <c r="NN32" s="197"/>
      <c r="NO32" s="197"/>
      <c r="NP32" s="197"/>
      <c r="NQ32" s="197"/>
      <c r="NR32" s="197"/>
      <c r="NS32" s="197"/>
      <c r="NT32" s="197"/>
      <c r="NU32" s="197"/>
      <c r="NV32" s="197"/>
      <c r="NW32" s="197"/>
      <c r="NX32" s="197"/>
      <c r="NY32" s="197"/>
      <c r="NZ32" s="197"/>
      <c r="OA32" s="197"/>
      <c r="OB32" s="197"/>
      <c r="OC32" s="197"/>
      <c r="OD32" s="197"/>
      <c r="OE32" s="197"/>
      <c r="OF32" s="197"/>
      <c r="OG32" s="197"/>
      <c r="OH32" s="197"/>
      <c r="OI32" s="197"/>
      <c r="OJ32" s="197"/>
      <c r="OK32" s="197"/>
      <c r="OL32" s="197"/>
      <c r="OM32" s="197"/>
      <c r="ON32" s="197"/>
      <c r="OO32" s="197"/>
      <c r="OP32" s="197"/>
      <c r="OQ32" s="197"/>
      <c r="OR32" s="197"/>
      <c r="OS32" s="197"/>
      <c r="OT32" s="197"/>
      <c r="OU32" s="197"/>
      <c r="OV32" s="197"/>
      <c r="OW32" s="197"/>
      <c r="OX32" s="197"/>
      <c r="OY32" s="197"/>
      <c r="OZ32" s="197"/>
      <c r="PA32" s="197"/>
      <c r="PB32" s="197"/>
    </row>
    <row r="33" spans="1:418" s="77" customFormat="1" ht="10.5" customHeight="1" x14ac:dyDescent="0.2">
      <c r="A33" s="48">
        <v>1987</v>
      </c>
      <c r="B33" s="59">
        <f>'C1-Incomes'!C35/'C1-Incomes'!$B35</f>
        <v>0.36766982857068231</v>
      </c>
      <c r="C33" s="59">
        <f>'C1-Incomes'!D35/'C1-Incomes'!$B35</f>
        <v>0.24782449917539712</v>
      </c>
      <c r="D33" s="59">
        <f>'C1-Incomes'!E35/'C1-Incomes'!$B35</f>
        <v>0.10934234493361181</v>
      </c>
      <c r="E33" s="59">
        <f>'C1-Incomes'!F35/'C1-Incomes'!$B35</f>
        <v>7.8901241792324717E-2</v>
      </c>
      <c r="F33" s="59">
        <f>'C1-Incomes'!G35/'C1-Incomes'!$B35</f>
        <v>3.7794377029756993E-2</v>
      </c>
      <c r="G33" s="59">
        <f>'C1-Incomes'!H35/'C1-Incomes'!$B35</f>
        <v>1.328155757820482E-2</v>
      </c>
      <c r="H33" s="199"/>
      <c r="J33" s="59">
        <f>'C1-Incomes'!K35/'C1-Incomes'!$J35</f>
        <v>0.32456996568930119</v>
      </c>
      <c r="K33" s="59">
        <f>'C1-Incomes'!L35/'C1-Incomes'!$J35</f>
        <v>0.21851928346619481</v>
      </c>
      <c r="L33" s="59">
        <f>'C1-Incomes'!M35/'C1-Incomes'!$J35</f>
        <v>9.6691378643522452E-2</v>
      </c>
      <c r="M33" s="59">
        <f>'C1-Incomes'!N35/'C1-Incomes'!$J35</f>
        <v>7.0472595651808814E-2</v>
      </c>
      <c r="N33" s="59">
        <f>'C1-Incomes'!O35/'C1-Incomes'!$J35</f>
        <v>3.4953024282406576E-2</v>
      </c>
      <c r="O33" s="59">
        <f>'C1-Incomes'!P35/'C1-Incomes'!$J35</f>
        <v>1.2999997368613729E-2</v>
      </c>
      <c r="P33" s="59"/>
      <c r="R33" s="59">
        <f>'C1-Incomes'!S35/'C1-Incomes'!$R35</f>
        <v>0.29829918032557595</v>
      </c>
      <c r="S33" s="59">
        <f>'C1-Incomes'!T35/'C1-Incomes'!$R35</f>
        <v>0.20027322120726693</v>
      </c>
      <c r="T33" s="59">
        <f>'C1-Incomes'!U35/'C1-Incomes'!$R35</f>
        <v>8.8118347589807716E-2</v>
      </c>
      <c r="U33" s="59">
        <f>'C1-Incomes'!V35/'C1-Incomes'!$R35</f>
        <v>6.4039643193478879E-2</v>
      </c>
      <c r="V33" s="59">
        <f>'C1-Incomes'!W35/'C1-Incomes'!$R35</f>
        <v>3.167859377743211E-2</v>
      </c>
      <c r="W33" s="59">
        <f>'C1-Incomes'!X35/'C1-Incomes'!$R35</f>
        <v>1.1752254418788648E-2</v>
      </c>
      <c r="X33" s="59"/>
      <c r="Y33" s="59"/>
      <c r="Z33" s="59">
        <f>'C1-Incomes'!AA35/'C1-Incomes'!$Z35</f>
        <v>0.25325921090731734</v>
      </c>
      <c r="AA33" s="59">
        <f>'C1-Incomes'!AB35/'C1-Incomes'!$Z35</f>
        <v>0.16568593804692081</v>
      </c>
      <c r="AB33" s="59">
        <f>'C1-Incomes'!AC35/'C1-Incomes'!$Z35</f>
        <v>7.0054384975182071E-2</v>
      </c>
      <c r="AC33" s="59">
        <f>'C1-Incomes'!AD35/'C1-Incomes'!$Z35</f>
        <v>5.0114196037918057E-2</v>
      </c>
      <c r="AD33" s="59">
        <f>'C1-Incomes'!AE35/'C1-Incomes'!$Z35</f>
        <v>2.4061457667487702E-2</v>
      </c>
      <c r="AE33" s="59">
        <f>'C1-Incomes'!AF35/'C1-Incomes'!$Z35</f>
        <v>8.8122043203555638E-3</v>
      </c>
      <c r="AF33" s="200"/>
      <c r="AG33" s="195"/>
      <c r="AH33" s="59">
        <f>'C1-Incomes'!AI35/'C1-Incomes'!$AH35</f>
        <v>0.36239150130450026</v>
      </c>
      <c r="AI33" s="59">
        <f>'C1-Incomes'!AJ35/'C1-Incomes'!$AH35</f>
        <v>0.24379698187449678</v>
      </c>
      <c r="AJ33" s="59">
        <f>'C1-Incomes'!AK35/'C1-Incomes'!$AH35</f>
        <v>0.10734724427392583</v>
      </c>
      <c r="AK33" s="59">
        <f>'C1-Incomes'!AL35/'C1-Incomes'!$AH35</f>
        <v>7.7478132927620735E-2</v>
      </c>
      <c r="AL33" s="59">
        <f>'C1-Incomes'!AM35/'C1-Incomes'!$AH35</f>
        <v>3.7100488798865898E-2</v>
      </c>
      <c r="AM33" s="59">
        <f>'C1-Incomes'!AN35/'C1-Incomes'!$AH35</f>
        <v>1.303165578636439E-2</v>
      </c>
      <c r="AN33" s="195"/>
      <c r="AO33" s="195"/>
      <c r="AP33" s="59"/>
      <c r="AQ33" s="59"/>
      <c r="AR33" s="59"/>
      <c r="AS33" s="59"/>
      <c r="AT33" s="59"/>
      <c r="AU33" s="59"/>
      <c r="AV33" s="197"/>
      <c r="AW33" s="60"/>
      <c r="AX33" s="59">
        <f>'C1-Incomes'!AY35/'C1-Incomes'!$AX35</f>
        <v>0.36653968549692978</v>
      </c>
      <c r="AY33" s="59">
        <f>'C1-Incomes'!AZ35/'C1-Incomes'!$AX35</f>
        <v>0.24833914213643307</v>
      </c>
      <c r="AZ33" s="59">
        <f>'C1-Incomes'!BA35/'C1-Incomes'!$AX35</f>
        <v>0.1112036542410637</v>
      </c>
      <c r="BA33" s="59">
        <f>'C1-Incomes'!BB35/'C1-Incomes'!$AX35</f>
        <v>8.0724123362059419E-2</v>
      </c>
      <c r="BB33" s="59">
        <f>'C1-Incomes'!BC35/'C1-Incomes'!$AX35</f>
        <v>3.9070329083615241E-2</v>
      </c>
      <c r="BC33" s="59">
        <f>'C1-Incomes'!BD35/'C1-Incomes'!$AX35</f>
        <v>1.3743862791142003E-2</v>
      </c>
      <c r="BD33" s="60"/>
      <c r="BE33" s="60"/>
      <c r="BF33" s="59">
        <f>'C1-Incomes'!BG35/'C1-Incomes'!$BF35</f>
        <v>0.36255847782516831</v>
      </c>
      <c r="BG33" s="59">
        <f>'C1-Incomes'!BH35/'C1-Incomes'!$BF35</f>
        <v>0.24505993355407166</v>
      </c>
      <c r="BH33" s="59">
        <f>'C1-Incomes'!BI35/'C1-Incomes'!$BF35</f>
        <v>0.10946642758009148</v>
      </c>
      <c r="BI33" s="59">
        <f>'C1-Incomes'!BJ35/'C1-Incomes'!$BF35</f>
        <v>7.9596589240363128E-2</v>
      </c>
      <c r="BJ33" s="59">
        <f>'C1-Incomes'!BK35/'C1-Incomes'!$BF35</f>
        <v>3.8749491728439452E-2</v>
      </c>
      <c r="BK33" s="59">
        <f>'C1-Incomes'!BL35/'C1-Incomes'!$BF35</f>
        <v>1.3698682509984829E-2</v>
      </c>
      <c r="BL33" s="59"/>
      <c r="BM33" s="59"/>
      <c r="BN33" s="59">
        <f>'C1-Incomes'!BO35/'C1-Incomes'!$BN35</f>
        <v>0.33309471246591693</v>
      </c>
      <c r="BO33" s="59">
        <f>'C1-Incomes'!BP35/'C1-Incomes'!$BN35</f>
        <v>0.22524994739468276</v>
      </c>
      <c r="BP33" s="59">
        <f>'C1-Incomes'!BQ35/'C1-Incomes'!$BN35</f>
        <v>9.9576121349569113E-2</v>
      </c>
      <c r="BQ33" s="59">
        <f>'C1-Incomes'!BR35/'C1-Incomes'!$BN35</f>
        <v>7.2533150680252581E-2</v>
      </c>
      <c r="BR33" s="59">
        <f>'C1-Incomes'!BS35/'C1-Incomes'!$BN35</f>
        <v>3.5626419084927086E-2</v>
      </c>
      <c r="BS33" s="59">
        <f>'C1-Incomes'!BT35/'C1-Incomes'!$BN35</f>
        <v>1.2994728648007584E-2</v>
      </c>
      <c r="BT33" s="59"/>
      <c r="BU33" s="59"/>
      <c r="BV33" s="59">
        <f>'C1-Incomes'!BW35/'C1-Incomes'!$BV35</f>
        <v>0.33578839015659556</v>
      </c>
      <c r="BW33" s="59">
        <f>'C1-Incomes'!BX35/'C1-Incomes'!$BV35</f>
        <v>0.22837304269813338</v>
      </c>
      <c r="BX33" s="59">
        <f>'C1-Incomes'!BY35/'C1-Incomes'!$BV35</f>
        <v>0.10221733570411845</v>
      </c>
      <c r="BY33" s="59">
        <f>'C1-Incomes'!BZ35/'C1-Incomes'!$BV35</f>
        <v>7.4831895243550758E-2</v>
      </c>
      <c r="BZ33" s="59">
        <f>'C1-Incomes'!CA35/'C1-Incomes'!$BV35</f>
        <v>3.7105306526691056E-2</v>
      </c>
      <c r="CA33" s="59">
        <f>'C1-Incomes'!CB35/'C1-Incomes'!$BV35</f>
        <v>1.3815913825318538E-2</v>
      </c>
      <c r="CB33" s="60"/>
      <c r="CC33" s="198"/>
      <c r="CD33" s="59">
        <f>'C1-Incomes'!CE35/'C1-Incomes'!$CD35</f>
        <v>0.34088946970942036</v>
      </c>
      <c r="CE33" s="59">
        <f>'C1-Incomes'!CF35/'C1-Incomes'!$CD35</f>
        <v>0.23355483049712528</v>
      </c>
      <c r="CF33" s="59">
        <f>'C1-Incomes'!CG35/'C1-Incomes'!$CD35</f>
        <v>0.10665308676646147</v>
      </c>
      <c r="CG33" s="59">
        <f>'C1-Incomes'!CH35/'C1-Incomes'!$CD35</f>
        <v>7.8395849292266562E-2</v>
      </c>
      <c r="CH33" s="59">
        <f>'C1-Incomes'!CI35/'C1-Incomes'!$CD35</f>
        <v>3.9363808591134294E-2</v>
      </c>
      <c r="CI33" s="59">
        <f>'C1-Incomes'!CJ35/'C1-Incomes'!$CD35</f>
        <v>1.4759027508412702E-2</v>
      </c>
      <c r="CL33" s="59">
        <f>'C1-Incomes'!CM35/'C1-Incomes'!$CL35</f>
        <v>0.34168617439869731</v>
      </c>
      <c r="CM33" s="59">
        <f>'C1-Incomes'!CN35/'C1-Incomes'!$CL35</f>
        <v>0.23436749017902314</v>
      </c>
      <c r="CN33" s="59">
        <f>'C1-Incomes'!CO35/'C1-Incomes'!$CL35</f>
        <v>0.10747754919821843</v>
      </c>
      <c r="CO33" s="59">
        <f>'C1-Incomes'!CP35/'C1-Incomes'!$CL35</f>
        <v>7.906258217381007E-2</v>
      </c>
      <c r="CP33" s="59">
        <f>'C1-Incomes'!CQ35/'C1-Incomes'!$CL35</f>
        <v>3.9807227286157994E-2</v>
      </c>
      <c r="CQ33" s="59">
        <f>'C1-Incomes'!CR35/'C1-Incomes'!$CL35</f>
        <v>1.4937928123638816E-2</v>
      </c>
      <c r="CR33" s="59"/>
      <c r="CS33" s="59"/>
      <c r="CT33" s="59">
        <f>'C1-Incomes'!CU35/'C1-Incomes'!$CT35</f>
        <v>0.34327722049489523</v>
      </c>
      <c r="CU33" s="59">
        <f>'C1-Incomes'!CV35/'C1-Incomes'!$CT35</f>
        <v>0.23606733537075106</v>
      </c>
      <c r="CV33" s="59">
        <f>'C1-Incomes'!CW35/'C1-Incomes'!$CT35</f>
        <v>0.10884445431517589</v>
      </c>
      <c r="CW33" s="59">
        <f>'C1-Incomes'!CX35/'C1-Incomes'!$CT35</f>
        <v>8.0201252603672959E-2</v>
      </c>
      <c r="CX33" s="59">
        <f>'C1-Incomes'!CY35/'C1-Incomes'!$CT35</f>
        <v>4.0487743748126109E-2</v>
      </c>
      <c r="CY33" s="59">
        <f>'C1-Incomes'!CZ35/'C1-Incomes'!$CT35</f>
        <v>1.5260385544413346E-2</v>
      </c>
      <c r="CZ33" s="59"/>
      <c r="DA33" s="59"/>
      <c r="DB33" s="59">
        <f>'C1-Incomes'!DC35/'C1-Incomes'!$DB35</f>
        <v>0.34660728571993205</v>
      </c>
      <c r="DC33" s="59">
        <f>'C1-Incomes'!DD35/'C1-Incomes'!$DB35</f>
        <v>0.23915377139776242</v>
      </c>
      <c r="DD33" s="59">
        <f>'C1-Incomes'!DE35/'C1-Incomes'!$DB35</f>
        <v>0.11085876736169488</v>
      </c>
      <c r="DE33" s="59">
        <f>'C1-Incomes'!DF35/'C1-Incomes'!$DB35</f>
        <v>8.1840012687990765E-2</v>
      </c>
      <c r="DF33" s="59">
        <f>'C1-Incomes'!DG35/'C1-Incomes'!$DB35</f>
        <v>4.1409518342679148E-2</v>
      </c>
      <c r="DG33" s="59">
        <f>'C1-Incomes'!DH35/'C1-Incomes'!$DB35</f>
        <v>1.5704818604750148E-2</v>
      </c>
      <c r="DH33" s="59"/>
      <c r="DI33" s="1039"/>
      <c r="DJ33" s="59">
        <f>'C1-Incomes'!DK35/'C1-Incomes'!$DJ35</f>
        <v>0.34502301688600212</v>
      </c>
      <c r="DK33" s="59">
        <f>'C1-Incomes'!DL35/'C1-Incomes'!$DJ35</f>
        <v>0.23988791181391331</v>
      </c>
      <c r="DL33" s="59">
        <f>'C1-Incomes'!DM35/'C1-Incomes'!$DJ35</f>
        <v>0.11258299474988447</v>
      </c>
      <c r="DM33" s="59">
        <f>'C1-Incomes'!DN35/'C1-Incomes'!$DJ35</f>
        <v>8.2978105991493412E-2</v>
      </c>
      <c r="DN33" s="59">
        <f>'C1-Incomes'!DO35/'C1-Incomes'!$DJ35</f>
        <v>4.1884884105583324E-2</v>
      </c>
      <c r="DO33" s="59">
        <f>'C1-Incomes'!DP35/'C1-Incomes'!$DJ35</f>
        <v>1.5735000112097618E-2</v>
      </c>
      <c r="DP33" s="696"/>
      <c r="DQ33" s="503"/>
      <c r="DR33" s="59">
        <f>'C1-Incomes'!DS35/'C1-Incomes'!$DR35</f>
        <v>0.3440182217428383</v>
      </c>
      <c r="DS33" s="59">
        <f>'C1-Incomes'!DT35/'C1-Incomes'!$DR35</f>
        <v>0.23873595918888055</v>
      </c>
      <c r="DT33" s="59">
        <f>'C1-Incomes'!DU35/'C1-Incomes'!$DR35</f>
        <v>0.11151674653537307</v>
      </c>
      <c r="DU33" s="59">
        <f>'C1-Incomes'!DV35/'C1-Incomes'!$DR35</f>
        <v>8.2039635748413525E-2</v>
      </c>
      <c r="DV33" s="59">
        <f>'C1-Incomes'!DW35/'C1-Incomes'!$DR35</f>
        <v>4.1302933992329718E-2</v>
      </c>
      <c r="DW33" s="59">
        <f>'C1-Incomes'!DX35/'C1-Incomes'!$DR35</f>
        <v>1.5492753106575512E-2</v>
      </c>
      <c r="DX33" s="333"/>
      <c r="DZ33" s="59">
        <f>'C1-Incomes'!EA35/'C1-Incomes'!$DZ35</f>
        <v>0.33734920080186082</v>
      </c>
      <c r="EA33" s="59">
        <f>'C1-Incomes'!EB35/'C1-Incomes'!$DZ35</f>
        <v>0.2318791862045009</v>
      </c>
      <c r="EB33" s="59">
        <f>'C1-Incomes'!EC35/'C1-Incomes'!$DZ35</f>
        <v>0.1068410449791411</v>
      </c>
      <c r="EC33" s="59">
        <f>'C1-Incomes'!ED35/'C1-Incomes'!$DZ35</f>
        <v>7.8507928105644553E-2</v>
      </c>
      <c r="ED33" s="59">
        <f>'C1-Incomes'!EE35/'C1-Incomes'!$DZ35</f>
        <v>3.9403854406405876E-2</v>
      </c>
      <c r="EE33" s="59">
        <f>'C1-Incomes'!EF35/'C1-Incomes'!$DZ35</f>
        <v>1.4760509378573721E-2</v>
      </c>
      <c r="EF33" s="59"/>
      <c r="EH33" s="59">
        <f>'C1-Incomes'!EI35/'C1-Incomes'!$EH35</f>
        <v>0.3327305367948184</v>
      </c>
      <c r="EI33" s="59">
        <f>'C1-Incomes'!EJ35/'C1-Incomes'!$EH35</f>
        <v>0.22668144043682675</v>
      </c>
      <c r="EJ33" s="59">
        <f>'C1-Incomes'!EK35/'C1-Incomes'!$EH35</f>
        <v>0.10268923732661954</v>
      </c>
      <c r="EK33" s="59">
        <f>'C1-Incomes'!EL35/'C1-Incomes'!$EH35</f>
        <v>7.5269481840454094E-2</v>
      </c>
      <c r="EL33" s="59">
        <f>'C1-Incomes'!EM35/'C1-Incomes'!$EH35</f>
        <v>3.7673954097584325E-2</v>
      </c>
      <c r="EM33" s="59">
        <f>'C1-Incomes'!EN35/'C1-Incomes'!$EH35</f>
        <v>1.409224267960065E-2</v>
      </c>
      <c r="EN33" s="59"/>
      <c r="EO33" s="59"/>
      <c r="EP33" s="59">
        <f>'C1-Incomes'!EQ35/'C1-Incomes'!$EH35</f>
        <v>0.3486528988687263</v>
      </c>
      <c r="EQ33" s="59">
        <f>'C1-Incomes'!ER35/'C1-Incomes'!$EH35</f>
        <v>0.23608468801326535</v>
      </c>
      <c r="ER33" s="59">
        <f>'C1-Incomes'!ES35/'C1-Incomes'!$EH35</f>
        <v>0.10559036997561901</v>
      </c>
      <c r="ES33" s="59">
        <f>'C1-Incomes'!ET35/'C1-Incomes'!$EH35</f>
        <v>7.7166102884849458E-2</v>
      </c>
      <c r="ET33" s="59">
        <f>'C1-Incomes'!EU35/'C1-Incomes'!$EH35</f>
        <v>3.8353246552938237E-2</v>
      </c>
      <c r="EU33" s="59">
        <f>'C1-Incomes'!EV35/'C1-Incomes'!$EH35</f>
        <v>1.4281392760591972E-2</v>
      </c>
      <c r="EV33" s="59"/>
      <c r="EW33" s="59"/>
      <c r="EX33" s="59">
        <f>'C1-Incomes'!EY35/'C1-Incomes'!$EX35</f>
        <v>0.32456996568930119</v>
      </c>
      <c r="EY33" s="59">
        <f>'C1-Incomes'!EZ35/'C1-Incomes'!$EX35</f>
        <v>0.21851928346619481</v>
      </c>
      <c r="EZ33" s="59">
        <f>'C1-Incomes'!FA35/'C1-Incomes'!$EX35</f>
        <v>9.6691378643522452E-2</v>
      </c>
      <c r="FA33" s="59">
        <f>'C1-Incomes'!FB35/'C1-Incomes'!$EX35</f>
        <v>7.0472595651808814E-2</v>
      </c>
      <c r="FB33" s="59">
        <f>'C1-Incomes'!FC35/'C1-Incomes'!$EX35</f>
        <v>3.4953024282406576E-2</v>
      </c>
      <c r="FC33" s="59">
        <f>'C1-Incomes'!FD35/'C1-Incomes'!$EX35</f>
        <v>1.2999997368613729E-2</v>
      </c>
      <c r="FD33" s="59"/>
      <c r="FF33" s="59">
        <f>'C1-Incomes'!FG35/'C1-Incomes'!$FF35</f>
        <v>0.31262012956612795</v>
      </c>
      <c r="FG33" s="59">
        <f>'C1-Incomes'!FH35/'C1-Incomes'!$FF35</f>
        <v>0.21023807368023459</v>
      </c>
      <c r="FH33" s="59">
        <f>'C1-Incomes'!FI35/'C1-Incomes'!$FF35</f>
        <v>9.278781180073975E-2</v>
      </c>
      <c r="FI33" s="59">
        <f>'C1-Incomes'!FJ35/'C1-Incomes'!$FF35</f>
        <v>6.7471526478209795E-2</v>
      </c>
      <c r="FJ33" s="59">
        <f>'C1-Incomes'!FK35/'C1-Incomes'!$FF35</f>
        <v>3.3377136369205723E-2</v>
      </c>
      <c r="FK33" s="59">
        <f>'C1-Incomes'!FL35/'C1-Incomes'!$FF35</f>
        <v>1.2384129187477248E-2</v>
      </c>
      <c r="FN33" s="59">
        <f>'C1-Incomes'!FO35/'C1-Incomes'!$FN35</f>
        <v>0.31170396470164197</v>
      </c>
      <c r="FO33" s="59">
        <f>'C1-Incomes'!FP35/'C1-Incomes'!$FN35</f>
        <v>0.20958123668763221</v>
      </c>
      <c r="FP33" s="59">
        <f>'C1-Incomes'!FQ35/'C1-Incomes'!$FN35</f>
        <v>9.2478541013523027E-2</v>
      </c>
      <c r="FQ33" s="59">
        <f>'C1-Incomes'!FR35/'C1-Incomes'!$FN35</f>
        <v>6.7245616820157353E-2</v>
      </c>
      <c r="FR33" s="59">
        <f>'C1-Incomes'!FS35/'C1-Incomes'!$FN35</f>
        <v>3.3264753928550772E-2</v>
      </c>
      <c r="FS33" s="59">
        <f>'C1-Incomes'!FT35/'C1-Incomes'!$FN35</f>
        <v>1.2342412324091501E-2</v>
      </c>
      <c r="FV33" s="59">
        <f>'C1-Incomes'!FW35/'C1-Incomes'!$FV35</f>
        <v>0.30815706437732948</v>
      </c>
      <c r="FW33" s="59">
        <f>'C1-Incomes'!FX35/'C1-Incomes'!$FV35</f>
        <v>0.20713190013267258</v>
      </c>
      <c r="FX33" s="59">
        <f>'C1-Incomes'!FY35/'C1-Incomes'!$FV35</f>
        <v>9.1352626046438443E-2</v>
      </c>
      <c r="FY33" s="59">
        <f>'C1-Incomes'!FZ35/'C1-Incomes'!$FV35</f>
        <v>6.6418410301131742E-2</v>
      </c>
      <c r="FZ33" s="59">
        <f>'C1-Incomes'!GA35/'C1-Incomes'!$FV35</f>
        <v>3.2850042181135526E-2</v>
      </c>
      <c r="GA33" s="59">
        <f>'C1-Incomes'!GB35/'C1-Incomes'!$FV35</f>
        <v>1.2187525298610702E-2</v>
      </c>
      <c r="GE33" s="59">
        <f>'C1-Incomes'!GF35/'C1-Incomes'!$GE35</f>
        <v>0.30423229855967143</v>
      </c>
      <c r="GF33" s="59">
        <f>'C1-Incomes'!GG35/'C1-Incomes'!$GE35</f>
        <v>0.2042566203545558</v>
      </c>
      <c r="GG33" s="59">
        <f>'C1-Incomes'!GH35/'C1-Incomes'!$GE35</f>
        <v>8.9871006025787417E-2</v>
      </c>
      <c r="GH33" s="59">
        <f>'C1-Incomes'!GI35/'C1-Incomes'!$GE35</f>
        <v>6.5313380433794116E-2</v>
      </c>
      <c r="GI33" s="59">
        <f>'C1-Incomes'!GJ35/'C1-Incomes'!$GE35</f>
        <v>3.2308675436276246E-2</v>
      </c>
      <c r="GJ33" s="59">
        <f>'C1-Incomes'!GK35/'C1-Incomes'!$GE35</f>
        <v>1.1986004692281657E-2</v>
      </c>
      <c r="GM33" s="59">
        <f>'C1-Incomes'!GN35/'C1-Incomes'!$GM35</f>
        <v>0.29829918032557595</v>
      </c>
      <c r="GN33" s="59">
        <f>'C1-Incomes'!GO35/'C1-Incomes'!$GM35</f>
        <v>0.20027322120726693</v>
      </c>
      <c r="GO33" s="59">
        <f>'C1-Incomes'!GP35/'C1-Incomes'!$GM35</f>
        <v>8.8118347589807716E-2</v>
      </c>
      <c r="GP33" s="59">
        <f>'C1-Incomes'!GQ35/'C1-Incomes'!$GM35</f>
        <v>6.4039643193478879E-2</v>
      </c>
      <c r="GQ33" s="59">
        <f>'C1-Incomes'!GR35/'C1-Incomes'!$GM35</f>
        <v>3.167859377743211E-2</v>
      </c>
      <c r="GR33" s="59">
        <f>'C1-Incomes'!GS35/'C1-Incomes'!$GM35</f>
        <v>1.1752254418788648E-2</v>
      </c>
      <c r="GU33" s="59">
        <f>'C1-Incomes'!GV35/'C1-Incomes'!$GU35</f>
        <v>0.27484460919342507</v>
      </c>
      <c r="GV33" s="59">
        <f>'C1-Incomes'!GW35/'C1-Incomes'!$GU35</f>
        <v>0.17958236311369777</v>
      </c>
      <c r="GW33" s="59">
        <f>'C1-Incomes'!GX35/'C1-Incomes'!$GU35</f>
        <v>7.5025098946849195E-2</v>
      </c>
      <c r="GX33" s="59">
        <f>'C1-Incomes'!GY35/'C1-Incomes'!$GU35</f>
        <v>5.3780763421543497E-2</v>
      </c>
      <c r="GY33" s="59">
        <f>'C1-Incomes'!GZ35/'C1-Incomes'!$GU35</f>
        <v>2.5965514253790373E-2</v>
      </c>
      <c r="GZ33" s="59">
        <f>'C1-Incomes'!HA35/'C1-Incomes'!$GU35</f>
        <v>9.5822363313729196E-3</v>
      </c>
      <c r="HC33" s="59">
        <f>'C1-Incomes'!HD35/'C1-Incomes'!$HC35</f>
        <v>0.27017780252405504</v>
      </c>
      <c r="HD33" s="59">
        <f>'C1-Incomes'!HE35/'C1-Incomes'!$HC35</f>
        <v>0.17547493831054198</v>
      </c>
      <c r="HE33" s="59">
        <f>'C1-Incomes'!HF35/'C1-Incomes'!$HC35</f>
        <v>7.237135423723523E-2</v>
      </c>
      <c r="HF33" s="59">
        <f>'C1-Incomes'!HG35/'C1-Incomes'!$HC35</f>
        <v>5.1642157905097165E-2</v>
      </c>
      <c r="HG33" s="59">
        <f>'C1-Incomes'!HH35/'C1-Incomes'!$HC35</f>
        <v>2.4730790328336551E-2</v>
      </c>
      <c r="HH33" s="59">
        <f>'C1-Incomes'!HI35/'C1-Incomes'!$HC35</f>
        <v>9.1216054429504381E-3</v>
      </c>
      <c r="HK33" s="59">
        <f>'C1-Incomes'!HL35/'C1-Incomes'!$HK35</f>
        <v>0.26812135112924063</v>
      </c>
      <c r="HL33" s="59">
        <f>'C1-Incomes'!HM35/'C1-Incomes'!$HK35</f>
        <v>0.17369667886466353</v>
      </c>
      <c r="HM33" s="59">
        <f>'C1-Incomes'!HN35/'C1-Incomes'!$HK35</f>
        <v>7.1279744024855249E-2</v>
      </c>
      <c r="HN33" s="59">
        <f>'C1-Incomes'!HO35/'C1-Incomes'!$HK35</f>
        <v>5.0645769857526696E-2</v>
      </c>
      <c r="HO33" s="59">
        <f>'C1-Incomes'!HP35/'C1-Incomes'!$HK35</f>
        <v>2.4231691920974151E-2</v>
      </c>
      <c r="HP33" s="59">
        <f>'C1-Incomes'!HQ35/'C1-Incomes'!$HK35</f>
        <v>8.8832941410282983E-3</v>
      </c>
      <c r="HS33" s="59">
        <f>'C1-Incomes'!HT35/'C1-Incomes'!$HS35</f>
        <v>0.26567412948975266</v>
      </c>
      <c r="HT33" s="59">
        <f>'C1-Incomes'!HU35/'C1-Incomes'!$HS35</f>
        <v>0.17181916219288362</v>
      </c>
      <c r="HU33" s="59">
        <f>'C1-Incomes'!HV35/'C1-Incomes'!$HS35</f>
        <v>7.0132436645193696E-2</v>
      </c>
      <c r="HV33" s="59">
        <f>'C1-Incomes'!HW35/'C1-Incomes'!$HS35</f>
        <v>4.9896481344623871E-2</v>
      </c>
      <c r="HW33" s="59">
        <f>'C1-Incomes'!HX35/'C1-Incomes'!$HS35</f>
        <v>2.3797639286139274E-2</v>
      </c>
      <c r="HX33" s="59">
        <f>'C1-Incomes'!HY35/'C1-Incomes'!$HS35</f>
        <v>8.7030930403092285E-3</v>
      </c>
      <c r="IA33" s="59">
        <f>'C1-Incomes'!IB35/'C1-Incomes'!$IA35</f>
        <v>0.26937958407973978</v>
      </c>
      <c r="IB33" s="59">
        <f>'C1-Incomes'!IC35/'C1-Incomes'!$IA35</f>
        <v>0.17689565535083993</v>
      </c>
      <c r="IC33" s="59">
        <f>'C1-Incomes'!ID35/'C1-Incomes'!$IA35</f>
        <v>7.4738982191699152E-2</v>
      </c>
      <c r="ID33" s="59">
        <f>'C1-Incomes'!IE35/'C1-Incomes'!$IA35</f>
        <v>5.356143677452669E-2</v>
      </c>
      <c r="IE33" s="59">
        <f>'C1-Incomes'!IF35/'C1-Incomes'!$IA35</f>
        <v>2.5762857588034233E-2</v>
      </c>
      <c r="IF33" s="59">
        <f>'C1-Incomes'!IG35/'C1-Incomes'!$IA35</f>
        <v>9.4678061751305338E-3</v>
      </c>
      <c r="II33" s="59">
        <f>'C1-Incomes'!IJ35/'C1-Incomes'!$II35</f>
        <v>0.26993160354680878</v>
      </c>
      <c r="IJ33" s="59">
        <f>'C1-Incomes'!IK35/'C1-Incomes'!$II35</f>
        <v>0.17807908229476929</v>
      </c>
      <c r="IK33" s="59">
        <f>'C1-Incomes'!IL35/'C1-Incomes'!$II35</f>
        <v>7.6042579185628401E-2</v>
      </c>
      <c r="IL33" s="59">
        <f>'C1-Incomes'!IM35/'C1-Incomes'!$II35</f>
        <v>5.4614549395132848E-2</v>
      </c>
      <c r="IM33" s="59">
        <f>'C1-Incomes'!IN35/'C1-Incomes'!$II35</f>
        <v>2.6342677075575926E-2</v>
      </c>
      <c r="IN33" s="59">
        <f>'C1-Incomes'!IO35/'C1-Incomes'!$II35</f>
        <v>9.6711373224658038E-3</v>
      </c>
      <c r="IQ33" s="59">
        <f>'C1-Incomes'!IR35/'C1-Incomes'!$IQ35</f>
        <v>0.27133528789050038</v>
      </c>
      <c r="IR33" s="59">
        <f>'C1-Incomes'!IS35/'C1-Incomes'!$IQ35</f>
        <v>0.17917255720679953</v>
      </c>
      <c r="IS33" s="59">
        <f>'C1-Incomes'!IT35/'C1-Incomes'!$IQ35</f>
        <v>7.6673901947478112E-2</v>
      </c>
      <c r="IT33" s="59">
        <f>'C1-Incomes'!IU35/'C1-Incomes'!$IQ35</f>
        <v>5.5084488750594129E-2</v>
      </c>
      <c r="IU33" s="59">
        <f>'C1-Incomes'!IV35/'C1-Incomes'!$IQ35</f>
        <v>2.6599476285124244E-2</v>
      </c>
      <c r="IV33" s="59">
        <f>'C1-Incomes'!IW35/'C1-Incomes'!$IQ35</f>
        <v>9.7660661374267734E-3</v>
      </c>
      <c r="IY33" s="59">
        <f>'C1-Incomes'!IZ35/'C1-Incomes'!$IY35</f>
        <v>0.25325921090731734</v>
      </c>
      <c r="IZ33" s="59">
        <f>'C1-Incomes'!JA35/'C1-Incomes'!$IY35</f>
        <v>0.16568593804692081</v>
      </c>
      <c r="JA33" s="59">
        <f>'C1-Incomes'!JB35/'C1-Incomes'!$IY35</f>
        <v>7.0054384975182071E-2</v>
      </c>
      <c r="JB33" s="59">
        <f>'C1-Incomes'!JC35/'C1-Incomes'!$IY35</f>
        <v>5.0114196037918057E-2</v>
      </c>
      <c r="JC33" s="59">
        <f>'C1-Incomes'!JD35/'C1-Incomes'!$IY35</f>
        <v>2.4061457667487702E-2</v>
      </c>
      <c r="JD33" s="59">
        <f>'C1-Incomes'!JE35/'C1-Incomes'!$IY35</f>
        <v>8.8122043203555638E-3</v>
      </c>
      <c r="JE33" s="197"/>
      <c r="JF33" s="197"/>
      <c r="JG33" s="197"/>
      <c r="JH33" s="197"/>
      <c r="JI33" s="197"/>
      <c r="JJ33" s="197"/>
      <c r="JK33" s="197"/>
      <c r="JL33" s="197"/>
      <c r="JM33" s="197"/>
      <c r="JN33" s="197"/>
      <c r="JO33" s="197"/>
      <c r="JP33" s="197"/>
      <c r="JQ33" s="197"/>
      <c r="JR33" s="197"/>
      <c r="JS33" s="197"/>
      <c r="JT33" s="197"/>
      <c r="JU33" s="197"/>
      <c r="JV33" s="197"/>
      <c r="JW33" s="197"/>
      <c r="JX33" s="197"/>
      <c r="JY33" s="197"/>
      <c r="JZ33" s="197"/>
      <c r="KA33" s="197"/>
      <c r="KB33" s="197"/>
      <c r="KC33" s="197"/>
      <c r="KD33" s="197"/>
      <c r="KE33" s="197"/>
      <c r="KF33" s="197"/>
      <c r="KG33" s="197"/>
      <c r="KH33" s="197"/>
      <c r="KI33" s="197"/>
      <c r="KJ33" s="197"/>
      <c r="KK33" s="197"/>
      <c r="KL33" s="197"/>
      <c r="KM33" s="197"/>
      <c r="KN33" s="197"/>
      <c r="KO33" s="197"/>
      <c r="KP33" s="197"/>
      <c r="KQ33" s="197"/>
      <c r="KR33" s="197"/>
      <c r="KS33" s="197"/>
      <c r="KT33" s="197"/>
      <c r="KU33" s="197"/>
      <c r="KV33" s="197"/>
      <c r="KW33" s="197"/>
      <c r="KX33" s="197"/>
      <c r="KY33" s="197"/>
      <c r="KZ33" s="197"/>
      <c r="LA33" s="197"/>
      <c r="LB33" s="197"/>
      <c r="LC33" s="197"/>
      <c r="LD33" s="197"/>
      <c r="LE33" s="197"/>
      <c r="LF33" s="197"/>
      <c r="LG33" s="197"/>
      <c r="LH33" s="197"/>
      <c r="LI33" s="197"/>
      <c r="LJ33" s="197"/>
      <c r="LK33" s="197"/>
      <c r="LL33" s="197"/>
      <c r="LM33" s="197"/>
      <c r="LN33" s="197"/>
      <c r="LO33" s="197"/>
      <c r="LP33" s="197"/>
      <c r="LQ33" s="197"/>
      <c r="LR33" s="197"/>
      <c r="LS33" s="197"/>
      <c r="LT33" s="197"/>
      <c r="LU33" s="197"/>
      <c r="LV33" s="197"/>
      <c r="LW33" s="197"/>
      <c r="LX33" s="197"/>
      <c r="LY33" s="197"/>
      <c r="LZ33" s="197"/>
      <c r="MA33" s="197"/>
      <c r="MB33" s="197"/>
      <c r="MC33" s="197"/>
      <c r="MD33" s="197"/>
      <c r="ME33" s="197"/>
      <c r="MF33" s="197"/>
      <c r="MG33" s="197"/>
      <c r="MH33" s="197"/>
      <c r="MI33" s="197"/>
      <c r="MJ33" s="197"/>
      <c r="MK33" s="197"/>
      <c r="ML33" s="197"/>
      <c r="MM33" s="197"/>
      <c r="MN33" s="197"/>
      <c r="MO33" s="197"/>
      <c r="MP33" s="197"/>
      <c r="MQ33" s="197"/>
      <c r="MR33" s="197"/>
      <c r="MS33" s="197"/>
      <c r="MT33" s="197"/>
      <c r="MU33" s="197"/>
      <c r="MV33" s="197"/>
      <c r="MW33" s="197"/>
      <c r="MX33" s="197"/>
      <c r="MY33" s="197"/>
      <c r="MZ33" s="197"/>
      <c r="NA33" s="197"/>
      <c r="NB33" s="197"/>
      <c r="NC33" s="197"/>
      <c r="ND33" s="197"/>
      <c r="NE33" s="197"/>
      <c r="NF33" s="197"/>
      <c r="NG33" s="197"/>
      <c r="NH33" s="197"/>
      <c r="NI33" s="197"/>
      <c r="NJ33" s="197"/>
      <c r="NK33" s="197"/>
      <c r="NL33" s="197"/>
      <c r="NM33" s="197"/>
      <c r="NN33" s="197"/>
      <c r="NO33" s="197"/>
      <c r="NP33" s="197"/>
      <c r="NQ33" s="197"/>
      <c r="NR33" s="197"/>
      <c r="NS33" s="197"/>
      <c r="NT33" s="197"/>
      <c r="NU33" s="197"/>
      <c r="NV33" s="197"/>
      <c r="NW33" s="197"/>
      <c r="NX33" s="197"/>
      <c r="NY33" s="197"/>
      <c r="NZ33" s="197"/>
      <c r="OA33" s="197"/>
      <c r="OB33" s="197"/>
      <c r="OC33" s="197"/>
      <c r="OD33" s="197"/>
      <c r="OE33" s="197"/>
      <c r="OF33" s="197"/>
      <c r="OG33" s="197"/>
      <c r="OH33" s="197"/>
      <c r="OI33" s="197"/>
      <c r="OJ33" s="197"/>
      <c r="OK33" s="197"/>
      <c r="OL33" s="197"/>
      <c r="OM33" s="197"/>
      <c r="ON33" s="197"/>
      <c r="OO33" s="197"/>
      <c r="OP33" s="197"/>
      <c r="OQ33" s="197"/>
      <c r="OR33" s="197"/>
      <c r="OS33" s="197"/>
      <c r="OT33" s="197"/>
      <c r="OU33" s="197"/>
      <c r="OV33" s="197"/>
      <c r="OW33" s="197"/>
      <c r="OX33" s="197"/>
      <c r="OY33" s="197"/>
      <c r="OZ33" s="197"/>
      <c r="PA33" s="197"/>
      <c r="PB33" s="197"/>
    </row>
    <row r="34" spans="1:418" s="77" customFormat="1" ht="10.5" customHeight="1" x14ac:dyDescent="0.2">
      <c r="A34" s="48">
        <v>1988</v>
      </c>
      <c r="B34" s="59">
        <f>'C1-Incomes'!C36/'C1-Incomes'!$B36</f>
        <v>0.38972775392988845</v>
      </c>
      <c r="C34" s="59">
        <f>'C1-Incomes'!D36/'C1-Incomes'!$B36</f>
        <v>0.27287613100379604</v>
      </c>
      <c r="D34" s="59">
        <f>'C1-Incomes'!E36/'C1-Incomes'!$B36</f>
        <v>0.13390887550348279</v>
      </c>
      <c r="E34" s="59">
        <f>'C1-Incomes'!F36/'C1-Incomes'!$B36</f>
        <v>0.10125308476232815</v>
      </c>
      <c r="F34" s="59">
        <f>'C1-Incomes'!G36/'C1-Incomes'!$B36</f>
        <v>5.2934787174489753E-2</v>
      </c>
      <c r="G34" s="59">
        <f>'C1-Incomes'!H36/'C1-Incomes'!$B36</f>
        <v>2.0388011368581177E-2</v>
      </c>
      <c r="H34" s="199"/>
      <c r="J34" s="59">
        <f>'C1-Incomes'!K36/'C1-Incomes'!$J36</f>
        <v>0.34251412069762516</v>
      </c>
      <c r="K34" s="59">
        <f>'C1-Incomes'!L36/'C1-Incomes'!$J36</f>
        <v>0.23816823789083411</v>
      </c>
      <c r="L34" s="59">
        <f>'C1-Incomes'!M36/'C1-Incomes'!$J36</f>
        <v>0.11618417948029981</v>
      </c>
      <c r="M34" s="59">
        <f>'C1-Incomes'!N36/'C1-Incomes'!$J36</f>
        <v>8.865121650191865E-2</v>
      </c>
      <c r="N34" s="59">
        <f>'C1-Incomes'!O36/'C1-Incomes'!$J36</f>
        <v>4.8375036349912769E-2</v>
      </c>
      <c r="O34" s="59">
        <f>'C1-Incomes'!P36/'C1-Incomes'!$J36</f>
        <v>1.9520284883508699E-2</v>
      </c>
      <c r="P34" s="59"/>
      <c r="R34" s="59">
        <f>'C1-Incomes'!S36/'C1-Incomes'!$R36</f>
        <v>0.31529179940784213</v>
      </c>
      <c r="S34" s="59">
        <f>'C1-Incomes'!T36/'C1-Incomes'!$R36</f>
        <v>0.21857062999335697</v>
      </c>
      <c r="T34" s="59">
        <f>'C1-Incomes'!U36/'C1-Incomes'!$R36</f>
        <v>0.10586704503713266</v>
      </c>
      <c r="U34" s="59">
        <f>'C1-Incomes'!V36/'C1-Incomes'!$R36</f>
        <v>8.0669170476637186E-2</v>
      </c>
      <c r="V34" s="59">
        <f>'C1-Incomes'!W36/'C1-Incomes'!$R36</f>
        <v>4.3894382223625232E-2</v>
      </c>
      <c r="W34" s="59">
        <f>'C1-Incomes'!X36/'C1-Incomes'!$R36</f>
        <v>1.768768829547997E-2</v>
      </c>
      <c r="X34" s="59"/>
      <c r="Y34" s="59"/>
      <c r="Z34" s="59">
        <f>'C1-Incomes'!AA36/'C1-Incomes'!$Z36</f>
        <v>0.27284710423575148</v>
      </c>
      <c r="AA34" s="59">
        <f>'C1-Incomes'!AB36/'C1-Incomes'!$Z36</f>
        <v>0.18577099068026426</v>
      </c>
      <c r="AB34" s="59">
        <f>'C1-Incomes'!AC36/'C1-Incomes'!$Z36</f>
        <v>8.7459750123910995E-2</v>
      </c>
      <c r="AC34" s="59">
        <f>'C1-Incomes'!AD36/'C1-Incomes'!$Z36</f>
        <v>6.580295877215106E-2</v>
      </c>
      <c r="AD34" s="59">
        <f>'C1-Incomes'!AE36/'C1-Incomes'!$Z36</f>
        <v>3.5294339871102143E-2</v>
      </c>
      <c r="AE34" s="59">
        <f>'C1-Incomes'!AF36/'C1-Incomes'!$Z36</f>
        <v>1.4114470316528406E-2</v>
      </c>
      <c r="AF34" s="200"/>
      <c r="AG34" s="195"/>
      <c r="AH34" s="59">
        <f>'C1-Incomes'!AI36/'C1-Incomes'!$AH36</f>
        <v>0.38362733744467159</v>
      </c>
      <c r="AI34" s="59">
        <f>'C1-Incomes'!AJ36/'C1-Incomes'!$AH36</f>
        <v>0.26818144734397981</v>
      </c>
      <c r="AJ34" s="59">
        <f>'C1-Incomes'!AK36/'C1-Incomes'!$AH36</f>
        <v>0.131354139798248</v>
      </c>
      <c r="AK34" s="59">
        <f>'C1-Incomes'!AL36/'C1-Incomes'!$AH36</f>
        <v>9.9295928817622323E-2</v>
      </c>
      <c r="AL34" s="59">
        <f>'C1-Incomes'!AM36/'C1-Incomes'!$AH36</f>
        <v>5.1948466011016048E-2</v>
      </c>
      <c r="AM34" s="59">
        <f>'C1-Incomes'!AN36/'C1-Incomes'!$AH36</f>
        <v>2.0032076506423791E-2</v>
      </c>
      <c r="AN34" s="195"/>
      <c r="AO34" s="195"/>
      <c r="AP34" s="59"/>
      <c r="AQ34" s="59"/>
      <c r="AR34" s="59"/>
      <c r="AS34" s="59"/>
      <c r="AT34" s="59"/>
      <c r="AU34" s="59"/>
      <c r="AV34" s="197"/>
      <c r="AW34" s="60"/>
      <c r="AX34" s="59">
        <f>'C1-Incomes'!AY36/'C1-Incomes'!$AX36</f>
        <v>0.38718369989937684</v>
      </c>
      <c r="AY34" s="59">
        <f>'C1-Incomes'!AZ36/'C1-Incomes'!$AX36</f>
        <v>0.27210897553375418</v>
      </c>
      <c r="AZ34" s="59">
        <f>'C1-Incomes'!BA36/'C1-Incomes'!$AX36</f>
        <v>0.13436217929103739</v>
      </c>
      <c r="BA34" s="59">
        <f>'C1-Incomes'!BB36/'C1-Incomes'!$AX36</f>
        <v>0.10181498736865653</v>
      </c>
      <c r="BB34" s="59">
        <f>'C1-Incomes'!BC36/'C1-Incomes'!$AX36</f>
        <v>5.334624914476957E-2</v>
      </c>
      <c r="BC34" s="59">
        <f>'C1-Incomes'!BD36/'C1-Incomes'!$AX36</f>
        <v>2.0436299072635424E-2</v>
      </c>
      <c r="BD34" s="60"/>
      <c r="BE34" s="60"/>
      <c r="BF34" s="59">
        <f>'C1-Incomes'!BG36/'C1-Incomes'!$BF36</f>
        <v>0.38259337882527722</v>
      </c>
      <c r="BG34" s="59">
        <f>'C1-Incomes'!BH36/'C1-Incomes'!$BF36</f>
        <v>0.26828702016505523</v>
      </c>
      <c r="BH34" s="59">
        <f>'C1-Incomes'!BI36/'C1-Incomes'!$BF36</f>
        <v>0.13230991144035925</v>
      </c>
      <c r="BI34" s="59">
        <f>'C1-Incomes'!BJ36/'C1-Incomes'!$BF36</f>
        <v>0.10045767561457443</v>
      </c>
      <c r="BJ34" s="59">
        <f>'C1-Incomes'!BK36/'C1-Incomes'!$BF36</f>
        <v>5.2888610139011576E-2</v>
      </c>
      <c r="BK34" s="59">
        <f>'C1-Incomes'!BL36/'C1-Incomes'!$BF36</f>
        <v>2.0292363729191115E-2</v>
      </c>
      <c r="BL34" s="59"/>
      <c r="BM34" s="59"/>
      <c r="BN34" s="59">
        <f>'C1-Incomes'!BO36/'C1-Incomes'!$BN36</f>
        <v>0.35428464066776066</v>
      </c>
      <c r="BO34" s="59">
        <f>'C1-Incomes'!BP36/'C1-Incomes'!$BN36</f>
        <v>0.24835838717086164</v>
      </c>
      <c r="BP34" s="59">
        <f>'C1-Incomes'!BQ36/'C1-Incomes'!$BN36</f>
        <v>0.12179341061546657</v>
      </c>
      <c r="BQ34" s="59">
        <f>'C1-Incomes'!BR36/'C1-Incomes'!$BN36</f>
        <v>9.2482149419204823E-2</v>
      </c>
      <c r="BR34" s="59">
        <f>'C1-Incomes'!BS36/'C1-Incomes'!$BN36</f>
        <v>4.9438914430052612E-2</v>
      </c>
      <c r="BS34" s="59">
        <f>'C1-Incomes'!BT36/'C1-Incomes'!$BN36</f>
        <v>1.9171354930014321E-2</v>
      </c>
      <c r="BT34" s="59"/>
      <c r="BU34" s="59"/>
      <c r="BV34" s="59">
        <f>'C1-Incomes'!BW36/'C1-Incomes'!$BV36</f>
        <v>0.35688575194488603</v>
      </c>
      <c r="BW34" s="59">
        <f>'C1-Incomes'!BX36/'C1-Incomes'!$BV36</f>
        <v>0.25136722492426555</v>
      </c>
      <c r="BX34" s="59">
        <f>'C1-Incomes'!BY36/'C1-Incomes'!$BV36</f>
        <v>0.12466069524279622</v>
      </c>
      <c r="BY34" s="59">
        <f>'C1-Incomes'!BZ36/'C1-Incomes'!$BV36</f>
        <v>9.5180144498257888E-2</v>
      </c>
      <c r="BZ34" s="59">
        <f>'C1-Incomes'!CA36/'C1-Incomes'!$BV36</f>
        <v>5.1544719149864152E-2</v>
      </c>
      <c r="CA34" s="59">
        <f>'C1-Incomes'!CB36/'C1-Incomes'!$BV36</f>
        <v>2.036234981113454E-2</v>
      </c>
      <c r="CB34" s="60"/>
      <c r="CC34" s="198"/>
      <c r="CD34" s="59">
        <f>'C1-Incomes'!CE36/'C1-Incomes'!$CD36</f>
        <v>0.36258832016068621</v>
      </c>
      <c r="CE34" s="59">
        <f>'C1-Incomes'!CF36/'C1-Incomes'!$CD36</f>
        <v>0.25761396292043082</v>
      </c>
      <c r="CF34" s="59">
        <f>'C1-Incomes'!CG36/'C1-Incomes'!$CD36</f>
        <v>0.13019037090226221</v>
      </c>
      <c r="CG34" s="59">
        <f>'C1-Incomes'!CH36/'C1-Incomes'!$CD36</f>
        <v>0.10022399451626385</v>
      </c>
      <c r="CH34" s="59">
        <f>'C1-Incomes'!CI36/'C1-Incomes'!$CD36</f>
        <v>5.502064705442182E-2</v>
      </c>
      <c r="CI34" s="59">
        <f>'C1-Incomes'!CJ36/'C1-Incomes'!$CD36</f>
        <v>2.2154612211948099E-2</v>
      </c>
      <c r="CL34" s="59">
        <f>'C1-Incomes'!CM36/'C1-Incomes'!$CL36</f>
        <v>0.36337239247109981</v>
      </c>
      <c r="CM34" s="59">
        <f>'C1-Incomes'!CN36/'C1-Incomes'!$CL36</f>
        <v>0.25856675710040744</v>
      </c>
      <c r="CN34" s="59">
        <f>'C1-Incomes'!CO36/'C1-Incomes'!$CL36</f>
        <v>0.13102247544280121</v>
      </c>
      <c r="CO34" s="59">
        <f>'C1-Incomes'!CP36/'C1-Incomes'!$CL36</f>
        <v>0.10084367042536223</v>
      </c>
      <c r="CP34" s="59">
        <f>'C1-Incomes'!CQ36/'C1-Incomes'!$CL36</f>
        <v>5.5517676828355046E-2</v>
      </c>
      <c r="CQ34" s="59">
        <f>'C1-Incomes'!CR36/'C1-Incomes'!$CL36</f>
        <v>2.2453113890396691E-2</v>
      </c>
      <c r="CR34" s="59"/>
      <c r="CS34" s="59"/>
      <c r="CT34" s="59">
        <f>'C1-Incomes'!CU36/'C1-Incomes'!$CT36</f>
        <v>0.36502893776433148</v>
      </c>
      <c r="CU34" s="59">
        <f>'C1-Incomes'!CV36/'C1-Incomes'!$CT36</f>
        <v>0.26041575312168047</v>
      </c>
      <c r="CV34" s="59">
        <f>'C1-Incomes'!CW36/'C1-Incomes'!$CT36</f>
        <v>0.13249896051522883</v>
      </c>
      <c r="CW34" s="59">
        <f>'C1-Incomes'!CX36/'C1-Incomes'!$CT36</f>
        <v>0.10209564063384421</v>
      </c>
      <c r="CX34" s="59">
        <f>'C1-Incomes'!CY36/'C1-Incomes'!$CT36</f>
        <v>5.6381712081354833E-2</v>
      </c>
      <c r="CY34" s="59">
        <f>'C1-Incomes'!CZ36/'C1-Incomes'!$CT36</f>
        <v>2.2883871184670036E-2</v>
      </c>
      <c r="CZ34" s="59"/>
      <c r="DA34" s="59"/>
      <c r="DB34" s="59">
        <f>'C1-Incomes'!DC36/'C1-Incomes'!$DB36</f>
        <v>0.36932713663267003</v>
      </c>
      <c r="DC34" s="59">
        <f>'C1-Incomes'!DD36/'C1-Incomes'!$DB36</f>
        <v>0.26473127334362856</v>
      </c>
      <c r="DD34" s="59">
        <f>'C1-Incomes'!DE36/'C1-Incomes'!$DB36</f>
        <v>0.13598324691201102</v>
      </c>
      <c r="DE34" s="59">
        <f>'C1-Incomes'!DF36/'C1-Incomes'!$DB36</f>
        <v>0.10521840751895462</v>
      </c>
      <c r="DF34" s="59">
        <f>'C1-Incomes'!DG36/'C1-Incomes'!$DB36</f>
        <v>5.8505352874910585E-2</v>
      </c>
      <c r="DG34" s="59">
        <f>'C1-Incomes'!DH36/'C1-Incomes'!$DB36</f>
        <v>2.3964480759879784E-2</v>
      </c>
      <c r="DH34" s="59"/>
      <c r="DI34" s="1039"/>
      <c r="DJ34" s="59">
        <f>'C1-Incomes'!DK36/'C1-Incomes'!$DJ36</f>
        <v>0.36524433160468561</v>
      </c>
      <c r="DK34" s="59">
        <f>'C1-Incomes'!DL36/'C1-Incomes'!$DJ36</f>
        <v>0.26206770629663162</v>
      </c>
      <c r="DL34" s="59">
        <f>'C1-Incomes'!DM36/'C1-Incomes'!$DJ36</f>
        <v>0.13492699089456908</v>
      </c>
      <c r="DM34" s="59">
        <f>'C1-Incomes'!DN36/'C1-Incomes'!$DJ36</f>
        <v>0.10397853111943751</v>
      </c>
      <c r="DN34" s="59">
        <f>'C1-Incomes'!DO36/'C1-Incomes'!$DJ36</f>
        <v>5.7548427619860322E-2</v>
      </c>
      <c r="DO34" s="59">
        <f>'C1-Incomes'!DP36/'C1-Incomes'!$DJ36</f>
        <v>2.3473523330186066E-2</v>
      </c>
      <c r="DP34" s="696"/>
      <c r="DQ34" s="503"/>
      <c r="DR34" s="59">
        <f>'C1-Incomes'!DS36/'C1-Incomes'!$DR36</f>
        <v>0.3639172463886472</v>
      </c>
      <c r="DS34" s="59">
        <f>'C1-Incomes'!DT36/'C1-Incomes'!$DR36</f>
        <v>0.26058817602507078</v>
      </c>
      <c r="DT34" s="59">
        <f>'C1-Incomes'!DU36/'C1-Incomes'!$DR36</f>
        <v>0.13328397275060927</v>
      </c>
      <c r="DU34" s="59">
        <f>'C1-Incomes'!DV36/'C1-Incomes'!$DR36</f>
        <v>0.10262526601247673</v>
      </c>
      <c r="DV34" s="59">
        <f>'C1-Incomes'!DW36/'C1-Incomes'!$DR36</f>
        <v>5.6628130840698031E-2</v>
      </c>
      <c r="DW34" s="59">
        <f>'C1-Incomes'!DX36/'C1-Incomes'!$DR36</f>
        <v>2.3055105749071186E-2</v>
      </c>
      <c r="DX34" s="333"/>
      <c r="DZ34" s="59">
        <f>'C1-Incomes'!EA36/'C1-Incomes'!$DZ36</f>
        <v>0.35643570663134033</v>
      </c>
      <c r="EA34" s="59">
        <f>'C1-Incomes'!EB36/'C1-Incomes'!$DZ36</f>
        <v>0.25277481137410374</v>
      </c>
      <c r="EB34" s="59">
        <f>'C1-Incomes'!EC36/'C1-Incomes'!$DZ36</f>
        <v>0.12760500288239437</v>
      </c>
      <c r="EC34" s="59">
        <f>'C1-Incomes'!ED36/'C1-Incomes'!$DZ36</f>
        <v>9.8065538177327313E-2</v>
      </c>
      <c r="ED34" s="59">
        <f>'C1-Incomes'!EE36/'C1-Incomes'!$DZ36</f>
        <v>5.3986135132392969E-2</v>
      </c>
      <c r="EE34" s="59">
        <f>'C1-Incomes'!EF36/'C1-Incomes'!$DZ36</f>
        <v>2.194923735345887E-2</v>
      </c>
      <c r="EF34" s="59"/>
      <c r="EH34" s="59">
        <f>'C1-Incomes'!EI36/'C1-Incomes'!$EH36</f>
        <v>0.35059166798856312</v>
      </c>
      <c r="EI34" s="59">
        <f>'C1-Incomes'!EJ36/'C1-Incomes'!$EH36</f>
        <v>0.24650304867063413</v>
      </c>
      <c r="EJ34" s="59">
        <f>'C1-Incomes'!EK36/'C1-Incomes'!$EH36</f>
        <v>0.12244637739133926</v>
      </c>
      <c r="EK34" s="59">
        <f>'C1-Incomes'!EL36/'C1-Incomes'!$EH36</f>
        <v>9.3865222935773873E-2</v>
      </c>
      <c r="EL34" s="59">
        <f>'C1-Incomes'!EM36/'C1-Incomes'!$EH36</f>
        <v>5.155096846965726E-2</v>
      </c>
      <c r="EM34" s="59">
        <f>'C1-Incomes'!EN36/'C1-Incomes'!$EH36</f>
        <v>2.0938177455231431E-2</v>
      </c>
      <c r="EN34" s="59"/>
      <c r="EO34" s="59"/>
      <c r="EP34" s="59">
        <f>'C1-Incomes'!EQ36/'C1-Incomes'!$EH36</f>
        <v>0.36362101409804753</v>
      </c>
      <c r="EQ34" s="59">
        <f>'C1-Incomes'!ER36/'C1-Incomes'!$EH36</f>
        <v>0.25406816435046303</v>
      </c>
      <c r="ER34" s="59">
        <f>'C1-Incomes'!ES36/'C1-Incomes'!$EH36</f>
        <v>0.12507569652567979</v>
      </c>
      <c r="ES34" s="59">
        <f>'C1-Incomes'!ET36/'C1-Incomes'!$EH36</f>
        <v>9.5689658386037615E-2</v>
      </c>
      <c r="ET34" s="59">
        <f>'C1-Incomes'!EU36/'C1-Incomes'!$EH36</f>
        <v>5.2300793256324911E-2</v>
      </c>
      <c r="EU34" s="59">
        <f>'C1-Incomes'!EV36/'C1-Incomes'!$EH36</f>
        <v>2.1154111927712549E-2</v>
      </c>
      <c r="EV34" s="59"/>
      <c r="EW34" s="59"/>
      <c r="EX34" s="59">
        <f>'C1-Incomes'!EY36/'C1-Incomes'!$EX36</f>
        <v>0.34251412069762516</v>
      </c>
      <c r="EY34" s="59">
        <f>'C1-Incomes'!EZ36/'C1-Incomes'!$EX36</f>
        <v>0.23816823789083411</v>
      </c>
      <c r="EZ34" s="59">
        <f>'C1-Incomes'!FA36/'C1-Incomes'!$EX36</f>
        <v>0.11618417948029981</v>
      </c>
      <c r="FA34" s="59">
        <f>'C1-Incomes'!FB36/'C1-Incomes'!$EX36</f>
        <v>8.865121650191865E-2</v>
      </c>
      <c r="FB34" s="59">
        <f>'C1-Incomes'!FC36/'C1-Incomes'!$EX36</f>
        <v>4.8375036349912769E-2</v>
      </c>
      <c r="FC34" s="59">
        <f>'C1-Incomes'!FD36/'C1-Incomes'!$EX36</f>
        <v>1.9520284883508699E-2</v>
      </c>
      <c r="FD34" s="59"/>
      <c r="FF34" s="59">
        <f>'C1-Incomes'!FG36/'C1-Incomes'!$FF36</f>
        <v>0.33013523686328833</v>
      </c>
      <c r="FG34" s="59">
        <f>'C1-Incomes'!FH36/'C1-Incomes'!$FF36</f>
        <v>0.22927401882607934</v>
      </c>
      <c r="FH34" s="59">
        <f>'C1-Incomes'!FI36/'C1-Incomes'!$FF36</f>
        <v>0.11135677382321564</v>
      </c>
      <c r="FI34" s="59">
        <f>'C1-Incomes'!FJ36/'C1-Incomes'!$FF36</f>
        <v>8.4894602349940437E-2</v>
      </c>
      <c r="FJ34" s="59">
        <f>'C1-Incomes'!FK36/'C1-Incomes'!$FF36</f>
        <v>4.6189350595210621E-2</v>
      </c>
      <c r="FK34" s="59">
        <f>'C1-Incomes'!FL36/'C1-Incomes'!$FF36</f>
        <v>1.8615637243950166E-2</v>
      </c>
      <c r="FN34" s="59">
        <f>'C1-Incomes'!FO36/'C1-Incomes'!$FN36</f>
        <v>0.32933988197815717</v>
      </c>
      <c r="FO34" s="59">
        <f>'C1-Incomes'!FP36/'C1-Incomes'!$FN36</f>
        <v>0.22867062113068312</v>
      </c>
      <c r="FP34" s="59">
        <f>'C1-Incomes'!FQ36/'C1-Incomes'!$FN36</f>
        <v>0.11104224498679521</v>
      </c>
      <c r="FQ34" s="59">
        <f>'C1-Incomes'!FR36/'C1-Incomes'!$FN36</f>
        <v>8.465219144962241E-2</v>
      </c>
      <c r="FR34" s="59">
        <f>'C1-Incomes'!FS36/'C1-Incomes'!$FN36</f>
        <v>4.6059287527616247E-2</v>
      </c>
      <c r="FS34" s="59">
        <f>'C1-Incomes'!FT36/'C1-Incomes'!$FN36</f>
        <v>1.8563163422973747E-2</v>
      </c>
      <c r="FV34" s="59">
        <f>'C1-Incomes'!FW36/'C1-Incomes'!$FV36</f>
        <v>0.3255906604757472</v>
      </c>
      <c r="FW34" s="59">
        <f>'C1-Incomes'!FX36/'C1-Incomes'!$FV36</f>
        <v>0.22599953431548395</v>
      </c>
      <c r="FX34" s="59">
        <f>'C1-Incomes'!FY36/'C1-Incomes'!$FV36</f>
        <v>0.1096952807145785</v>
      </c>
      <c r="FY34" s="59">
        <f>'C1-Incomes'!FZ36/'C1-Incomes'!$FV36</f>
        <v>8.3616178804605992E-2</v>
      </c>
      <c r="FZ34" s="59">
        <f>'C1-Incomes'!GA36/'C1-Incomes'!$FV36</f>
        <v>4.5489582113671982E-2</v>
      </c>
      <c r="GA34" s="59">
        <f>'C1-Incomes'!GB36/'C1-Incomes'!$FV36</f>
        <v>1.833249780037428E-2</v>
      </c>
      <c r="GE34" s="59">
        <f>'C1-Incomes'!GF36/'C1-Incomes'!$GE36</f>
        <v>0.32158224222450266</v>
      </c>
      <c r="GF34" s="59">
        <f>'C1-Incomes'!GG36/'C1-Incomes'!$GE36</f>
        <v>0.22293137154120857</v>
      </c>
      <c r="GG34" s="59">
        <f>'C1-Incomes'!GH36/'C1-Incomes'!$GE36</f>
        <v>0.10797921729859219</v>
      </c>
      <c r="GH34" s="59">
        <f>'C1-Incomes'!GI36/'C1-Incomes'!$GE36</f>
        <v>8.2278615457140242E-2</v>
      </c>
      <c r="GI34" s="59">
        <f>'C1-Incomes'!GJ36/'C1-Incomes'!$GE36</f>
        <v>4.4770126857227928E-2</v>
      </c>
      <c r="GJ34" s="59">
        <f>'C1-Incomes'!GK36/'C1-Incomes'!$GE36</f>
        <v>1.8040578513337201E-2</v>
      </c>
      <c r="GM34" s="59">
        <f>'C1-Incomes'!GN36/'C1-Incomes'!$GM36</f>
        <v>0.31529179940784213</v>
      </c>
      <c r="GN34" s="59">
        <f>'C1-Incomes'!GO36/'C1-Incomes'!$GM36</f>
        <v>0.21857062999335697</v>
      </c>
      <c r="GO34" s="59">
        <f>'C1-Incomes'!GP36/'C1-Incomes'!$GM36</f>
        <v>0.10586704503713266</v>
      </c>
      <c r="GP34" s="59">
        <f>'C1-Incomes'!GQ36/'C1-Incomes'!$GM36</f>
        <v>8.0669170476637186E-2</v>
      </c>
      <c r="GQ34" s="59">
        <f>'C1-Incomes'!GR36/'C1-Incomes'!$GM36</f>
        <v>4.3894382223625232E-2</v>
      </c>
      <c r="GR34" s="59">
        <f>'C1-Incomes'!GS36/'C1-Incomes'!$GM36</f>
        <v>1.768768829547997E-2</v>
      </c>
      <c r="GU34" s="59">
        <f>'C1-Incomes'!GV36/'C1-Incomes'!$GU36</f>
        <v>0.29322921666903112</v>
      </c>
      <c r="GV34" s="59">
        <f>'C1-Incomes'!GW36/'C1-Incomes'!$GU36</f>
        <v>0.19854659445303796</v>
      </c>
      <c r="GW34" s="59">
        <f>'C1-Incomes'!GX36/'C1-Incomes'!$GU36</f>
        <v>9.2180188681619396E-2</v>
      </c>
      <c r="GX34" s="59">
        <f>'C1-Incomes'!GY36/'C1-Incomes'!$GU36</f>
        <v>6.9451413743373339E-2</v>
      </c>
      <c r="GY34" s="59">
        <f>'C1-Incomes'!GZ36/'C1-Incomes'!$GU36</f>
        <v>3.7296061687087177E-2</v>
      </c>
      <c r="GZ34" s="59">
        <f>'C1-Incomes'!HA36/'C1-Incomes'!$GU36</f>
        <v>1.4993095042338462E-2</v>
      </c>
      <c r="HC34" s="59">
        <f>'C1-Incomes'!HD36/'C1-Incomes'!$HC36</f>
        <v>0.28907802042265052</v>
      </c>
      <c r="HD34" s="59">
        <f>'C1-Incomes'!HE36/'C1-Incomes'!$HC36</f>
        <v>0.19474990881675117</v>
      </c>
      <c r="HE34" s="59">
        <f>'C1-Incomes'!HF36/'C1-Incomes'!$HC36</f>
        <v>8.9651445205449376E-2</v>
      </c>
      <c r="HF34" s="59">
        <f>'C1-Incomes'!HG36/'C1-Incomes'!$HC36</f>
        <v>6.7301030951102903E-2</v>
      </c>
      <c r="HG34" s="59">
        <f>'C1-Incomes'!HH36/'C1-Incomes'!$HC36</f>
        <v>3.6057178258045018E-2</v>
      </c>
      <c r="HH34" s="59">
        <f>'C1-Incomes'!HI36/'C1-Incomes'!$HC36</f>
        <v>1.4485474874801403E-2</v>
      </c>
      <c r="HK34" s="59">
        <f>'C1-Incomes'!HL36/'C1-Incomes'!$HK36</f>
        <v>0.28691056707681256</v>
      </c>
      <c r="HL34" s="59">
        <f>'C1-Incomes'!HM36/'C1-Incomes'!$HK36</f>
        <v>0.19281777251914406</v>
      </c>
      <c r="HM34" s="59">
        <f>'C1-Incomes'!HN36/'C1-Incomes'!$HK36</f>
        <v>8.8334233181825289E-2</v>
      </c>
      <c r="HN34" s="59">
        <f>'C1-Incomes'!HO36/'C1-Incomes'!$HK36</f>
        <v>6.6145545574856177E-2</v>
      </c>
      <c r="HO34" s="59">
        <f>'C1-Incomes'!HP36/'C1-Incomes'!$HK36</f>
        <v>3.5334967189599817E-2</v>
      </c>
      <c r="HP34" s="59">
        <f>'C1-Incomes'!HQ36/'C1-Incomes'!$HK36</f>
        <v>1.4109658193307681E-2</v>
      </c>
      <c r="HS34" s="59">
        <f>'C1-Incomes'!HT36/'C1-Incomes'!$HS36</f>
        <v>0.28418438482789871</v>
      </c>
      <c r="HT34" s="59">
        <f>'C1-Incomes'!HU36/'C1-Incomes'!$HS36</f>
        <v>0.19091885981971451</v>
      </c>
      <c r="HU34" s="59">
        <f>'C1-Incomes'!HV36/'C1-Incomes'!$HS36</f>
        <v>8.7180221880348394E-2</v>
      </c>
      <c r="HV34" s="59">
        <f>'C1-Incomes'!HW36/'C1-Incomes'!$HS36</f>
        <v>6.5338062659657858E-2</v>
      </c>
      <c r="HW34" s="59">
        <f>'C1-Incomes'!HX36/'C1-Incomes'!$HS36</f>
        <v>3.4865795413907968E-2</v>
      </c>
      <c r="HX34" s="59">
        <f>'C1-Incomes'!HY36/'C1-Incomes'!$HS36</f>
        <v>1.3895836497366733E-2</v>
      </c>
      <c r="IA34" s="59">
        <f>'C1-Incomes'!IB36/'C1-Incomes'!$IA36</f>
        <v>0.28976601453077755</v>
      </c>
      <c r="IB34" s="59">
        <f>'C1-Incomes'!IC36/'C1-Incomes'!$IA36</f>
        <v>0.19789561436025624</v>
      </c>
      <c r="IC34" s="59">
        <f>'C1-Incomes'!ID36/'C1-Incomes'!$IA36</f>
        <v>9.335281954486549E-2</v>
      </c>
      <c r="ID34" s="59">
        <f>'C1-Incomes'!IE36/'C1-Incomes'!$IA36</f>
        <v>7.0413746692423618E-2</v>
      </c>
      <c r="IE34" s="59">
        <f>'C1-Incomes'!IF36/'C1-Incomes'!$IA36</f>
        <v>3.7857065285699626E-2</v>
      </c>
      <c r="IF34" s="59">
        <f>'C1-Incomes'!IG36/'C1-Incomes'!$IA36</f>
        <v>1.5149417075480802E-2</v>
      </c>
      <c r="II34" s="59">
        <f>'C1-Incomes'!IJ36/'C1-Incomes'!$II36</f>
        <v>0.29063106148021467</v>
      </c>
      <c r="IJ34" s="59">
        <f>'C1-Incomes'!IK36/'C1-Incomes'!$II36</f>
        <v>0.19932540702208745</v>
      </c>
      <c r="IK34" s="59">
        <f>'C1-Incomes'!IL36/'C1-Incomes'!$II36</f>
        <v>9.4888297572564118E-2</v>
      </c>
      <c r="IL34" s="59">
        <f>'C1-Incomes'!IM36/'C1-Incomes'!$II36</f>
        <v>7.1671597568804105E-2</v>
      </c>
      <c r="IM34" s="59">
        <f>'C1-Incomes'!IN36/'C1-Incomes'!$II36</f>
        <v>3.8579650936541594E-2</v>
      </c>
      <c r="IN34" s="59">
        <f>'C1-Incomes'!IO36/'C1-Incomes'!$II36</f>
        <v>1.5452479837659202E-2</v>
      </c>
      <c r="IQ34" s="59">
        <f>'C1-Incomes'!IR36/'C1-Incomes'!$IQ36</f>
        <v>0.29217601781230568</v>
      </c>
      <c r="IR34" s="59">
        <f>'C1-Incomes'!IS36/'C1-Incomes'!$IQ36</f>
        <v>0.20051923934657065</v>
      </c>
      <c r="IS34" s="59">
        <f>'C1-Incomes'!IT36/'C1-Incomes'!$IQ36</f>
        <v>9.5600079850769015E-2</v>
      </c>
      <c r="IT34" s="59">
        <f>'C1-Incomes'!IU36/'C1-Incomes'!$IQ36</f>
        <v>7.2232607537052365E-2</v>
      </c>
      <c r="IU34" s="59">
        <f>'C1-Incomes'!IV36/'C1-Incomes'!$IQ36</f>
        <v>3.8908994528116116E-2</v>
      </c>
      <c r="IV34" s="59">
        <f>'C1-Incomes'!IW36/'C1-Incomes'!$IQ36</f>
        <v>1.5592345542681319E-2</v>
      </c>
      <c r="IY34" s="59">
        <f>'C1-Incomes'!IZ36/'C1-Incomes'!$IY36</f>
        <v>0.27284710423575148</v>
      </c>
      <c r="IZ34" s="59">
        <f>'C1-Incomes'!JA36/'C1-Incomes'!$IY36</f>
        <v>0.18577099068026426</v>
      </c>
      <c r="JA34" s="59">
        <f>'C1-Incomes'!JB36/'C1-Incomes'!$IY36</f>
        <v>8.7459750123910995E-2</v>
      </c>
      <c r="JB34" s="59">
        <f>'C1-Incomes'!JC36/'C1-Incomes'!$IY36</f>
        <v>6.580295877215106E-2</v>
      </c>
      <c r="JC34" s="59">
        <f>'C1-Incomes'!JD36/'C1-Incomes'!$IY36</f>
        <v>3.5294339871102143E-2</v>
      </c>
      <c r="JD34" s="59">
        <f>'C1-Incomes'!JE36/'C1-Incomes'!$IY36</f>
        <v>1.4114470316528406E-2</v>
      </c>
      <c r="JE34" s="197"/>
      <c r="JF34" s="197"/>
      <c r="JG34" s="197"/>
      <c r="JH34" s="197"/>
      <c r="JI34" s="197"/>
      <c r="JJ34" s="197"/>
      <c r="JK34" s="197"/>
      <c r="JL34" s="197"/>
      <c r="JM34" s="197"/>
      <c r="JN34" s="197"/>
      <c r="JO34" s="197"/>
      <c r="JP34" s="197"/>
      <c r="JQ34" s="197"/>
      <c r="JR34" s="197"/>
      <c r="JS34" s="197"/>
      <c r="JT34" s="197"/>
      <c r="JU34" s="197"/>
      <c r="JV34" s="197"/>
      <c r="JW34" s="197"/>
      <c r="JX34" s="197"/>
      <c r="JY34" s="197"/>
      <c r="JZ34" s="197"/>
      <c r="KA34" s="197"/>
      <c r="KB34" s="197"/>
      <c r="KC34" s="197"/>
      <c r="KD34" s="197"/>
      <c r="KE34" s="197"/>
      <c r="KF34" s="197"/>
      <c r="KG34" s="197"/>
      <c r="KH34" s="197"/>
      <c r="KI34" s="197"/>
      <c r="KJ34" s="197"/>
      <c r="KK34" s="197"/>
      <c r="KL34" s="197"/>
      <c r="KM34" s="197"/>
      <c r="KN34" s="197"/>
      <c r="KO34" s="197"/>
      <c r="KP34" s="197"/>
      <c r="KQ34" s="197"/>
      <c r="KR34" s="197"/>
      <c r="KS34" s="197"/>
      <c r="KT34" s="197"/>
      <c r="KU34" s="197"/>
      <c r="KV34" s="197"/>
      <c r="KW34" s="197"/>
      <c r="KX34" s="197"/>
      <c r="KY34" s="197"/>
      <c r="KZ34" s="197"/>
      <c r="LA34" s="197"/>
      <c r="LB34" s="197"/>
      <c r="LC34" s="197"/>
      <c r="LD34" s="197"/>
      <c r="LE34" s="197"/>
      <c r="LF34" s="197"/>
      <c r="LG34" s="197"/>
      <c r="LH34" s="197"/>
      <c r="LI34" s="197"/>
      <c r="LJ34" s="197"/>
      <c r="LK34" s="197"/>
      <c r="LL34" s="197"/>
      <c r="LM34" s="197"/>
      <c r="LN34" s="197"/>
      <c r="LO34" s="197"/>
      <c r="LP34" s="197"/>
      <c r="LQ34" s="197"/>
      <c r="LR34" s="197"/>
      <c r="LS34" s="197"/>
      <c r="LT34" s="197"/>
      <c r="LU34" s="197"/>
      <c r="LV34" s="197"/>
      <c r="LW34" s="197"/>
      <c r="LX34" s="197"/>
      <c r="LY34" s="197"/>
      <c r="LZ34" s="197"/>
      <c r="MA34" s="197"/>
      <c r="MB34" s="197"/>
      <c r="MC34" s="197"/>
      <c r="MD34" s="197"/>
      <c r="ME34" s="197"/>
      <c r="MF34" s="197"/>
      <c r="MG34" s="197"/>
      <c r="MH34" s="197"/>
      <c r="MI34" s="197"/>
      <c r="MJ34" s="197"/>
      <c r="MK34" s="197"/>
      <c r="ML34" s="197"/>
      <c r="MM34" s="197"/>
      <c r="MN34" s="197"/>
      <c r="MO34" s="197"/>
      <c r="MP34" s="197"/>
      <c r="MQ34" s="197"/>
      <c r="MR34" s="197"/>
      <c r="MS34" s="197"/>
      <c r="MT34" s="197"/>
      <c r="MU34" s="197"/>
      <c r="MV34" s="197"/>
      <c r="MW34" s="197"/>
      <c r="MX34" s="197"/>
      <c r="MY34" s="197"/>
      <c r="MZ34" s="197"/>
      <c r="NA34" s="197"/>
      <c r="NB34" s="197"/>
      <c r="NC34" s="197"/>
      <c r="ND34" s="197"/>
      <c r="NE34" s="197"/>
      <c r="NF34" s="197"/>
      <c r="NG34" s="197"/>
      <c r="NH34" s="197"/>
      <c r="NI34" s="197"/>
      <c r="NJ34" s="197"/>
      <c r="NK34" s="197"/>
      <c r="NL34" s="197"/>
      <c r="NM34" s="197"/>
      <c r="NN34" s="197"/>
      <c r="NO34" s="197"/>
      <c r="NP34" s="197"/>
      <c r="NQ34" s="197"/>
      <c r="NR34" s="197"/>
      <c r="NS34" s="197"/>
      <c r="NT34" s="197"/>
      <c r="NU34" s="197"/>
      <c r="NV34" s="197"/>
      <c r="NW34" s="197"/>
      <c r="NX34" s="197"/>
      <c r="NY34" s="197"/>
      <c r="NZ34" s="197"/>
      <c r="OA34" s="197"/>
      <c r="OB34" s="197"/>
      <c r="OC34" s="197"/>
      <c r="OD34" s="197"/>
      <c r="OE34" s="197"/>
      <c r="OF34" s="197"/>
      <c r="OG34" s="197"/>
      <c r="OH34" s="197"/>
      <c r="OI34" s="197"/>
      <c r="OJ34" s="197"/>
      <c r="OK34" s="197"/>
      <c r="OL34" s="197"/>
      <c r="OM34" s="197"/>
      <c r="ON34" s="197"/>
      <c r="OO34" s="197"/>
      <c r="OP34" s="197"/>
      <c r="OQ34" s="197"/>
      <c r="OR34" s="197"/>
      <c r="OS34" s="197"/>
      <c r="OT34" s="197"/>
      <c r="OU34" s="197"/>
      <c r="OV34" s="197"/>
      <c r="OW34" s="197"/>
      <c r="OX34" s="197"/>
      <c r="OY34" s="197"/>
      <c r="OZ34" s="197"/>
      <c r="PA34" s="197"/>
      <c r="PB34" s="197"/>
    </row>
    <row r="35" spans="1:418" s="77" customFormat="1" ht="10.5" customHeight="1" x14ac:dyDescent="0.2">
      <c r="A35" s="48">
        <v>1989</v>
      </c>
      <c r="B35" s="59">
        <f>'C1-Incomes'!C37/'C1-Incomes'!$B37</f>
        <v>0.38835029953570988</v>
      </c>
      <c r="C35" s="59">
        <f>'C1-Incomes'!D37/'C1-Incomes'!$B37</f>
        <v>0.27012797076652567</v>
      </c>
      <c r="D35" s="59">
        <f>'C1-Incomes'!E37/'C1-Incomes'!$B37</f>
        <v>0.12843244430452086</v>
      </c>
      <c r="E35" s="59">
        <f>'C1-Incomes'!F37/'C1-Incomes'!$B37</f>
        <v>9.5439814031825304E-2</v>
      </c>
      <c r="F35" s="59">
        <f>'C1-Incomes'!G37/'C1-Incomes'!$B37</f>
        <v>4.829610982259426E-2</v>
      </c>
      <c r="G35" s="59">
        <f>'C1-Incomes'!H37/'C1-Incomes'!$B37</f>
        <v>1.7974934058534026E-2</v>
      </c>
      <c r="H35" s="199"/>
      <c r="J35" s="59">
        <f>'C1-Incomes'!K37/'C1-Incomes'!$J37</f>
        <v>0.33959059685859005</v>
      </c>
      <c r="K35" s="59">
        <f>'C1-Incomes'!L37/'C1-Incomes'!$J37</f>
        <v>0.23453360607960361</v>
      </c>
      <c r="L35" s="59">
        <f>'C1-Incomes'!M37/'C1-Incomes'!$J37</f>
        <v>0.11126510038595104</v>
      </c>
      <c r="M35" s="59">
        <f>'C1-Incomes'!N37/'C1-Incomes'!$J37</f>
        <v>8.3841461803552952E-2</v>
      </c>
      <c r="N35" s="59">
        <f>'C1-Incomes'!O37/'C1-Incomes'!$J37</f>
        <v>4.4401631085287427E-2</v>
      </c>
      <c r="O35" s="59">
        <f>'C1-Incomes'!P37/'C1-Incomes'!$J37</f>
        <v>1.7578142776298065E-2</v>
      </c>
      <c r="P35" s="59"/>
      <c r="R35" s="59">
        <f>'C1-Incomes'!S37/'C1-Incomes'!$R37</f>
        <v>0.31206930616646333</v>
      </c>
      <c r="S35" s="59">
        <f>'C1-Incomes'!T37/'C1-Incomes'!$R37</f>
        <v>0.21474602070901891</v>
      </c>
      <c r="T35" s="59">
        <f>'C1-Incomes'!U37/'C1-Incomes'!$R37</f>
        <v>0.10133937109209022</v>
      </c>
      <c r="U35" s="59">
        <f>'C1-Incomes'!V37/'C1-Incomes'!$R37</f>
        <v>7.613147475573781E-2</v>
      </c>
      <c r="V35" s="59">
        <f>'C1-Incomes'!W37/'C1-Incomes'!$R37</f>
        <v>4.0278473411573569E-2</v>
      </c>
      <c r="W35" s="59">
        <f>'C1-Incomes'!X37/'C1-Incomes'!$R37</f>
        <v>1.5896763810993336E-2</v>
      </c>
      <c r="X35" s="59"/>
      <c r="Y35" s="59"/>
      <c r="Z35" s="59">
        <f>'C1-Incomes'!AA37/'C1-Incomes'!$Z37</f>
        <v>0.26809757288261615</v>
      </c>
      <c r="AA35" s="59">
        <f>'C1-Incomes'!AB37/'C1-Incomes'!$Z37</f>
        <v>0.18108244595997322</v>
      </c>
      <c r="AB35" s="59">
        <f>'C1-Incomes'!AC37/'C1-Incomes'!$Z37</f>
        <v>8.2664002007293388E-2</v>
      </c>
      <c r="AC35" s="59">
        <f>'C1-Incomes'!AD37/'C1-Incomes'!$Z37</f>
        <v>6.1398334077024025E-2</v>
      </c>
      <c r="AD35" s="59">
        <f>'C1-Incomes'!AE37/'C1-Incomes'!$Z37</f>
        <v>3.1993936412909929E-2</v>
      </c>
      <c r="AE35" s="59">
        <f>'C1-Incomes'!AF37/'C1-Incomes'!$Z37</f>
        <v>1.2483087227797181E-2</v>
      </c>
      <c r="AF35" s="200"/>
      <c r="AG35" s="195"/>
      <c r="AH35" s="59">
        <f>'C1-Incomes'!AI37/'C1-Incomes'!$AH37</f>
        <v>0.38214669782169619</v>
      </c>
      <c r="AI35" s="59">
        <f>'C1-Incomes'!AJ37/'C1-Incomes'!$AH37</f>
        <v>0.26529281292014056</v>
      </c>
      <c r="AJ35" s="59">
        <f>'C1-Incomes'!AK37/'C1-Incomes'!$AH37</f>
        <v>0.12593221702492816</v>
      </c>
      <c r="AK35" s="59">
        <f>'C1-Incomes'!AL37/'C1-Incomes'!$AH37</f>
        <v>9.3613215825936374E-2</v>
      </c>
      <c r="AL35" s="59">
        <f>'C1-Incomes'!AM37/'C1-Incomes'!$AH37</f>
        <v>4.7357831508581139E-2</v>
      </c>
      <c r="AM35" s="59">
        <f>'C1-Incomes'!AN37/'C1-Incomes'!$AH37</f>
        <v>1.7638120850062791E-2</v>
      </c>
      <c r="AN35" s="195"/>
      <c r="AO35" s="195"/>
      <c r="AP35" s="59"/>
      <c r="AQ35" s="59"/>
      <c r="AR35" s="59"/>
      <c r="AS35" s="59"/>
      <c r="AT35" s="59"/>
      <c r="AU35" s="59"/>
      <c r="AV35" s="197"/>
      <c r="AW35" s="60"/>
      <c r="AX35" s="59">
        <f>'C1-Incomes'!AY37/'C1-Incomes'!$AX37</f>
        <v>0.38608930040342632</v>
      </c>
      <c r="AY35" s="59">
        <f>'C1-Incomes'!AZ37/'C1-Incomes'!$AX37</f>
        <v>0.26963920007499309</v>
      </c>
      <c r="AZ35" s="59">
        <f>'C1-Incomes'!BA37/'C1-Incomes'!$AX37</f>
        <v>0.12928434453568302</v>
      </c>
      <c r="BA35" s="59">
        <f>'C1-Incomes'!BB37/'C1-Incomes'!$AX37</f>
        <v>9.6322095881932301E-2</v>
      </c>
      <c r="BB35" s="59">
        <f>'C1-Incomes'!BC37/'C1-Incomes'!$AX37</f>
        <v>4.8872605609182808E-2</v>
      </c>
      <c r="BC35" s="59">
        <f>'C1-Incomes'!BD37/'C1-Incomes'!$AX37</f>
        <v>1.8137603794296984E-2</v>
      </c>
      <c r="BD35" s="60"/>
      <c r="BE35" s="60"/>
      <c r="BF35" s="59">
        <f>'C1-Incomes'!BG37/'C1-Incomes'!$BF37</f>
        <v>0.38154356838737069</v>
      </c>
      <c r="BG35" s="59">
        <f>'C1-Incomes'!BH37/'C1-Incomes'!$BF37</f>
        <v>0.26602684511651631</v>
      </c>
      <c r="BH35" s="59">
        <f>'C1-Incomes'!BI37/'C1-Incomes'!$BF37</f>
        <v>0.12748527356395023</v>
      </c>
      <c r="BI35" s="59">
        <f>'C1-Incomes'!BJ37/'C1-Incomes'!$BF37</f>
        <v>9.5181537047537457E-2</v>
      </c>
      <c r="BJ35" s="59">
        <f>'C1-Incomes'!BK37/'C1-Incomes'!$BF37</f>
        <v>4.8533264874223644E-2</v>
      </c>
      <c r="BK35" s="59">
        <f>'C1-Incomes'!BL37/'C1-Incomes'!$BF37</f>
        <v>1.8046796764813154E-2</v>
      </c>
      <c r="BL35" s="59"/>
      <c r="BM35" s="59"/>
      <c r="BN35" s="59">
        <f>'C1-Incomes'!BO37/'C1-Incomes'!$BN37</f>
        <v>0.35304737122321483</v>
      </c>
      <c r="BO35" s="59">
        <f>'C1-Incomes'!BP37/'C1-Incomes'!$BN37</f>
        <v>0.24596383999724036</v>
      </c>
      <c r="BP35" s="59">
        <f>'C1-Incomes'!BQ37/'C1-Incomes'!$BN37</f>
        <v>0.11720271976048928</v>
      </c>
      <c r="BQ35" s="59">
        <f>'C1-Incomes'!BR37/'C1-Incomes'!$BN37</f>
        <v>8.8030032894290025E-2</v>
      </c>
      <c r="BR35" s="59">
        <f>'C1-Incomes'!BS37/'C1-Incomes'!$BN37</f>
        <v>4.57075102293929E-2</v>
      </c>
      <c r="BS35" s="59">
        <f>'C1-Incomes'!BT37/'C1-Incomes'!$BN37</f>
        <v>1.727513593200003E-2</v>
      </c>
      <c r="BT35" s="59"/>
      <c r="BU35" s="59"/>
      <c r="BV35" s="59">
        <f>'C1-Incomes'!BW37/'C1-Incomes'!$BV37</f>
        <v>0.35583065127113978</v>
      </c>
      <c r="BW35" s="59">
        <f>'C1-Incomes'!BX37/'C1-Incomes'!$BV37</f>
        <v>0.24902689776857109</v>
      </c>
      <c r="BX35" s="59">
        <f>'C1-Incomes'!BY37/'C1-Incomes'!$BV37</f>
        <v>0.12016591313348901</v>
      </c>
      <c r="BY35" s="59">
        <f>'C1-Incomes'!BZ37/'C1-Incomes'!$BV37</f>
        <v>9.0840128019501754E-2</v>
      </c>
      <c r="BZ35" s="59">
        <f>'C1-Incomes'!CA37/'C1-Incomes'!$BV37</f>
        <v>4.7856567032858809E-2</v>
      </c>
      <c r="CA35" s="59">
        <f>'C1-Incomes'!CB37/'C1-Incomes'!$BV37</f>
        <v>1.8549084005181651E-2</v>
      </c>
      <c r="CB35" s="60"/>
      <c r="CC35" s="198"/>
      <c r="CD35" s="59">
        <f>'C1-Incomes'!CE37/'C1-Incomes'!$CD37</f>
        <v>0.35980547669453899</v>
      </c>
      <c r="CE35" s="59">
        <f>'C1-Incomes'!CF37/'C1-Incomes'!$CD37</f>
        <v>0.25343721082407372</v>
      </c>
      <c r="CF35" s="59">
        <f>'C1-Incomes'!CG37/'C1-Incomes'!$CD37</f>
        <v>0.1239953711916988</v>
      </c>
      <c r="CG35" s="59">
        <f>'C1-Incomes'!CH37/'C1-Incomes'!$CD37</f>
        <v>9.4255814024279128E-2</v>
      </c>
      <c r="CH35" s="59">
        <f>'C1-Incomes'!CI37/'C1-Incomes'!$CD37</f>
        <v>5.0148592318438573E-2</v>
      </c>
      <c r="CI35" s="59">
        <f>'C1-Incomes'!CJ37/'C1-Incomes'!$CD37</f>
        <v>1.9737232371742575E-2</v>
      </c>
      <c r="CL35" s="59">
        <f>'C1-Incomes'!CM37/'C1-Incomes'!$CL37</f>
        <v>0.36072062434848684</v>
      </c>
      <c r="CM35" s="59">
        <f>'C1-Incomes'!CN37/'C1-Incomes'!$CL37</f>
        <v>0.25439153366244527</v>
      </c>
      <c r="CN35" s="59">
        <f>'C1-Incomes'!CO37/'C1-Incomes'!$CL37</f>
        <v>0.124843644372388</v>
      </c>
      <c r="CO35" s="59">
        <f>'C1-Incomes'!CP37/'C1-Incomes'!$CL37</f>
        <v>9.504444411660995E-2</v>
      </c>
      <c r="CP35" s="59">
        <f>'C1-Incomes'!CQ37/'C1-Incomes'!$CL37</f>
        <v>5.067686465424414E-2</v>
      </c>
      <c r="CQ35" s="59">
        <f>'C1-Incomes'!CR37/'C1-Incomes'!$CL37</f>
        <v>2.0069999625241797E-2</v>
      </c>
      <c r="CR35" s="59"/>
      <c r="CS35" s="59"/>
      <c r="CT35" s="59">
        <f>'C1-Incomes'!CU37/'C1-Incomes'!$CT37</f>
        <v>0.36255741027439731</v>
      </c>
      <c r="CU35" s="59">
        <f>'C1-Incomes'!CV37/'C1-Incomes'!$CT37</f>
        <v>0.2563123697653763</v>
      </c>
      <c r="CV35" s="59">
        <f>'C1-Incomes'!CW37/'C1-Incomes'!$CT37</f>
        <v>0.12646083304457825</v>
      </c>
      <c r="CW35" s="59">
        <f>'C1-Incomes'!CX37/'C1-Incomes'!$CT37</f>
        <v>9.6391573300406166E-2</v>
      </c>
      <c r="CX35" s="59">
        <f>'C1-Incomes'!CY37/'C1-Incomes'!$CT37</f>
        <v>5.1605779584685513E-2</v>
      </c>
      <c r="CY35" s="59">
        <f>'C1-Incomes'!CZ37/'C1-Incomes'!$CT37</f>
        <v>2.0525825052582426E-2</v>
      </c>
      <c r="CZ35" s="59"/>
      <c r="DA35" s="59"/>
      <c r="DB35" s="59">
        <f>'C1-Incomes'!DC37/'C1-Incomes'!$DB37</f>
        <v>0.36775933637591657</v>
      </c>
      <c r="DC35" s="59">
        <f>'C1-Incomes'!DD37/'C1-Incomes'!$DB37</f>
        <v>0.26154413342808225</v>
      </c>
      <c r="DD35" s="59">
        <f>'C1-Incomes'!DE37/'C1-Incomes'!$DB37</f>
        <v>0.13074973120255531</v>
      </c>
      <c r="DE35" s="59">
        <f>'C1-Incomes'!DF37/'C1-Incomes'!$DB37</f>
        <v>9.9772561875120153E-2</v>
      </c>
      <c r="DF35" s="59">
        <f>'C1-Incomes'!DG37/'C1-Incomes'!$DB37</f>
        <v>5.392756696643973E-2</v>
      </c>
      <c r="DG35" s="59">
        <f>'C1-Incomes'!DH37/'C1-Incomes'!$DB37</f>
        <v>2.1702667499653678E-2</v>
      </c>
      <c r="DH35" s="59"/>
      <c r="DI35" s="1039"/>
      <c r="DJ35" s="59">
        <f>'C1-Incomes'!DK37/'C1-Incomes'!$DJ37</f>
        <v>0.36313684868685192</v>
      </c>
      <c r="DK35" s="59">
        <f>'C1-Incomes'!DL37/'C1-Incomes'!$DJ37</f>
        <v>0.25873838880494276</v>
      </c>
      <c r="DL35" s="59">
        <f>'C1-Incomes'!DM37/'C1-Incomes'!$DJ37</f>
        <v>0.12985555276198818</v>
      </c>
      <c r="DM35" s="59">
        <f>'C1-Incomes'!DN37/'C1-Incomes'!$DJ37</f>
        <v>9.8949829371716008E-2</v>
      </c>
      <c r="DN35" s="59">
        <f>'C1-Incomes'!DO37/'C1-Incomes'!$DJ37</f>
        <v>5.3388032158869198E-2</v>
      </c>
      <c r="DO35" s="59">
        <f>'C1-Incomes'!DP37/'C1-Incomes'!$DJ37</f>
        <v>2.1360810024791257E-2</v>
      </c>
      <c r="DP35" s="696"/>
      <c r="DQ35" s="503"/>
      <c r="DR35" s="59">
        <f>'C1-Incomes'!DS37/'C1-Incomes'!$DR37</f>
        <v>0.36195899504560347</v>
      </c>
      <c r="DS35" s="59">
        <f>'C1-Incomes'!DT37/'C1-Incomes'!$DR37</f>
        <v>0.25720610766930951</v>
      </c>
      <c r="DT35" s="59">
        <f>'C1-Incomes'!DU37/'C1-Incomes'!$DR37</f>
        <v>0.12837367767431751</v>
      </c>
      <c r="DU35" s="59">
        <f>'C1-Incomes'!DV37/'C1-Incomes'!$DR37</f>
        <v>9.7608933652683791E-2</v>
      </c>
      <c r="DV35" s="59">
        <f>'C1-Incomes'!DW37/'C1-Incomes'!$DR37</f>
        <v>5.2540868855904831E-2</v>
      </c>
      <c r="DW35" s="59">
        <f>'C1-Incomes'!DX37/'C1-Incomes'!$DR37</f>
        <v>2.0980829765842698E-2</v>
      </c>
      <c r="DX35" s="333"/>
      <c r="DZ35" s="59">
        <f>'C1-Incomes'!EA37/'C1-Incomes'!$DZ37</f>
        <v>0.35434617552145375</v>
      </c>
      <c r="EA35" s="59">
        <f>'C1-Incomes'!EB37/'C1-Incomes'!$DZ37</f>
        <v>0.2496131727316655</v>
      </c>
      <c r="EB35" s="59">
        <f>'C1-Incomes'!EC37/'C1-Incomes'!$DZ37</f>
        <v>0.12297314097262278</v>
      </c>
      <c r="EC35" s="59">
        <f>'C1-Incomes'!ED37/'C1-Incomes'!$DZ37</f>
        <v>9.3352062875460884E-2</v>
      </c>
      <c r="ED35" s="59">
        <f>'C1-Incomes'!EE37/'C1-Incomes'!$DZ37</f>
        <v>5.0106992775210711E-2</v>
      </c>
      <c r="EE35" s="59">
        <f>'C1-Incomes'!EF37/'C1-Incomes'!$DZ37</f>
        <v>1.9984992782942222E-2</v>
      </c>
      <c r="EF35" s="59"/>
      <c r="EH35" s="59">
        <f>'C1-Incomes'!EI37/'C1-Incomes'!$EH37</f>
        <v>0.34820118732326244</v>
      </c>
      <c r="EI35" s="59">
        <f>'C1-Incomes'!EJ37/'C1-Incomes'!$EH37</f>
        <v>0.24325333269579788</v>
      </c>
      <c r="EJ35" s="59">
        <f>'C1-Incomes'!EK37/'C1-Incomes'!$EH37</f>
        <v>0.11781695389276747</v>
      </c>
      <c r="EK35" s="59">
        <f>'C1-Incomes'!EL37/'C1-Incomes'!$EH37</f>
        <v>8.9142380984340144E-2</v>
      </c>
      <c r="EL35" s="59">
        <f>'C1-Incomes'!EM37/'C1-Incomes'!$EH37</f>
        <v>4.7743609136057519E-2</v>
      </c>
      <c r="EM35" s="59">
        <f>'C1-Incomes'!EN37/'C1-Incomes'!$EH37</f>
        <v>1.90136237947163E-2</v>
      </c>
      <c r="EN35" s="59"/>
      <c r="EO35" s="59"/>
      <c r="EP35" s="59">
        <f>'C1-Incomes'!EQ37/'C1-Incomes'!$EH37</f>
        <v>0.36324864493080361</v>
      </c>
      <c r="EQ35" s="59">
        <f>'C1-Incomes'!ER37/'C1-Incomes'!$EH37</f>
        <v>0.25201416212975508</v>
      </c>
      <c r="ER35" s="59">
        <f>'C1-Incomes'!ES37/'C1-Incomes'!$EH37</f>
        <v>0.12072417831854673</v>
      </c>
      <c r="ES35" s="59">
        <f>'C1-Incomes'!ET37/'C1-Incomes'!$EH37</f>
        <v>9.1181662136124206E-2</v>
      </c>
      <c r="ET35" s="59">
        <f>'C1-Incomes'!EU37/'C1-Incomes'!$EH37</f>
        <v>4.8484053307421233E-2</v>
      </c>
      <c r="EU35" s="59">
        <f>'C1-Incomes'!EV37/'C1-Incomes'!$EH37</f>
        <v>1.9206097984444177E-2</v>
      </c>
      <c r="EV35" s="59"/>
      <c r="EW35" s="59"/>
      <c r="EX35" s="59">
        <f>'C1-Incomes'!EY37/'C1-Incomes'!$EX37</f>
        <v>0.33959059685859005</v>
      </c>
      <c r="EY35" s="59">
        <f>'C1-Incomes'!EZ37/'C1-Incomes'!$EX37</f>
        <v>0.23453360607960361</v>
      </c>
      <c r="EZ35" s="59">
        <f>'C1-Incomes'!FA37/'C1-Incomes'!$EX37</f>
        <v>0.11126510038595104</v>
      </c>
      <c r="FA35" s="59">
        <f>'C1-Incomes'!FB37/'C1-Incomes'!$EX37</f>
        <v>8.3841461803552952E-2</v>
      </c>
      <c r="FB35" s="59">
        <f>'C1-Incomes'!FC37/'C1-Incomes'!$EX37</f>
        <v>4.4401631085287427E-2</v>
      </c>
      <c r="FC35" s="59">
        <f>'C1-Incomes'!FD37/'C1-Incomes'!$EX37</f>
        <v>1.7578142776298065E-2</v>
      </c>
      <c r="FD35" s="59"/>
      <c r="FF35" s="59">
        <f>'C1-Incomes'!FG37/'C1-Incomes'!$FF37</f>
        <v>0.32736332608381929</v>
      </c>
      <c r="FG35" s="59">
        <f>'C1-Incomes'!FH37/'C1-Incomes'!$FF37</f>
        <v>0.22582686867911886</v>
      </c>
      <c r="FH35" s="59">
        <f>'C1-Incomes'!FI37/'C1-Incomes'!$FF37</f>
        <v>0.10680742152294617</v>
      </c>
      <c r="FI35" s="59">
        <f>'C1-Incomes'!FJ37/'C1-Incomes'!$FF37</f>
        <v>8.0255179110731351E-2</v>
      </c>
      <c r="FJ35" s="59">
        <f>'C1-Incomes'!FK37/'C1-Incomes'!$FF37</f>
        <v>4.2482249217176742E-2</v>
      </c>
      <c r="FK35" s="59">
        <f>'C1-Incomes'!FL37/'C1-Incomes'!$FF37</f>
        <v>1.676541257865001E-2</v>
      </c>
      <c r="FN35" s="59">
        <f>'C1-Incomes'!FO37/'C1-Incomes'!$FN37</f>
        <v>0.32657001410665643</v>
      </c>
      <c r="FO35" s="59">
        <f>'C1-Incomes'!FP37/'C1-Incomes'!$FN37</f>
        <v>0.22520921681562697</v>
      </c>
      <c r="FP35" s="59">
        <f>'C1-Incomes'!FQ37/'C1-Incomes'!$FN37</f>
        <v>0.10650089406451649</v>
      </c>
      <c r="FQ35" s="59">
        <f>'C1-Incomes'!FR37/'C1-Incomes'!$FN37</f>
        <v>8.002606930408597E-2</v>
      </c>
      <c r="FR35" s="59">
        <f>'C1-Incomes'!FS37/'C1-Incomes'!$FN37</f>
        <v>4.2360731238356708E-2</v>
      </c>
      <c r="FS35" s="59">
        <f>'C1-Incomes'!FT37/'C1-Incomes'!$FN37</f>
        <v>1.6717396764306322E-2</v>
      </c>
      <c r="FV35" s="59">
        <f>'C1-Incomes'!FW37/'C1-Incomes'!$FV37</f>
        <v>0.32276717895685608</v>
      </c>
      <c r="FW35" s="59">
        <f>'C1-Incomes'!FX37/'C1-Incomes'!$FV37</f>
        <v>0.22252269200267727</v>
      </c>
      <c r="FX35" s="59">
        <f>'C1-Incomes'!FY37/'C1-Incomes'!$FV37</f>
        <v>0.1051843793916285</v>
      </c>
      <c r="FY35" s="59">
        <f>'C1-Incomes'!FZ37/'C1-Incomes'!$FV37</f>
        <v>7.9028336745760486E-2</v>
      </c>
      <c r="FZ35" s="59">
        <f>'C1-Incomes'!GA37/'C1-Incomes'!$FV37</f>
        <v>4.1827035812477383E-2</v>
      </c>
      <c r="GA35" s="59">
        <f>'C1-Incomes'!GB37/'C1-Incomes'!$FV37</f>
        <v>1.6505782529243711E-2</v>
      </c>
      <c r="GE35" s="59">
        <f>'C1-Incomes'!GF37/'C1-Incomes'!$GE37</f>
        <v>0.31866686896654456</v>
      </c>
      <c r="GF35" s="59">
        <f>'C1-Incomes'!GG37/'C1-Incomes'!$GE37</f>
        <v>0.21928603899886487</v>
      </c>
      <c r="GG35" s="59">
        <f>'C1-Incomes'!GH37/'C1-Incomes'!$GE37</f>
        <v>0.10348182102769574</v>
      </c>
      <c r="GH35" s="59">
        <f>'C1-Incomes'!GI37/'C1-Incomes'!$GE37</f>
        <v>7.7740996025015885E-2</v>
      </c>
      <c r="GI35" s="59">
        <f>'C1-Incomes'!GJ37/'C1-Incomes'!$GE37</f>
        <v>4.1130014247449644E-2</v>
      </c>
      <c r="GJ35" s="59">
        <f>'C1-Incomes'!GK37/'C1-Incomes'!$GE37</f>
        <v>1.6232842673889074E-2</v>
      </c>
      <c r="GM35" s="59">
        <f>'C1-Incomes'!GN37/'C1-Incomes'!$GM37</f>
        <v>0.31206930616646333</v>
      </c>
      <c r="GN35" s="59">
        <f>'C1-Incomes'!GO37/'C1-Incomes'!$GM37</f>
        <v>0.21474602070901891</v>
      </c>
      <c r="GO35" s="59">
        <f>'C1-Incomes'!GP37/'C1-Incomes'!$GM37</f>
        <v>0.10133937109209022</v>
      </c>
      <c r="GP35" s="59">
        <f>'C1-Incomes'!GQ37/'C1-Incomes'!$GM37</f>
        <v>7.613147475573781E-2</v>
      </c>
      <c r="GQ35" s="59">
        <f>'C1-Incomes'!GR37/'C1-Incomes'!$GM37</f>
        <v>4.0278473411573569E-2</v>
      </c>
      <c r="GR35" s="59">
        <f>'C1-Incomes'!GS37/'C1-Incomes'!$GM37</f>
        <v>1.5896763810993336E-2</v>
      </c>
      <c r="GU35" s="59">
        <f>'C1-Incomes'!GV37/'C1-Incomes'!$GU37</f>
        <v>0.28923333405148954</v>
      </c>
      <c r="GV35" s="59">
        <f>'C1-Incomes'!GW37/'C1-Incomes'!$GU37</f>
        <v>0.1948027398494778</v>
      </c>
      <c r="GW35" s="59">
        <f>'C1-Incomes'!GX37/'C1-Incomes'!$GU37</f>
        <v>8.8093004513480427E-2</v>
      </c>
      <c r="GX35" s="59">
        <f>'C1-Incomes'!GY37/'C1-Incomes'!$GU37</f>
        <v>6.5506743715351701E-2</v>
      </c>
      <c r="GY35" s="59">
        <f>'C1-Incomes'!GZ37/'C1-Incomes'!$GU37</f>
        <v>3.4293497864475213E-2</v>
      </c>
      <c r="GZ35" s="59">
        <f>'C1-Incomes'!HA37/'C1-Incomes'!$GU37</f>
        <v>1.3471871065566602E-2</v>
      </c>
      <c r="HC35" s="59">
        <f>'C1-Incomes'!HD37/'C1-Incomes'!$HC37</f>
        <v>0.28476310260733867</v>
      </c>
      <c r="HD35" s="59">
        <f>'C1-Incomes'!HE37/'C1-Incomes'!$HC37</f>
        <v>0.19060502563363599</v>
      </c>
      <c r="HE35" s="59">
        <f>'C1-Incomes'!HF37/'C1-Incomes'!$HC37</f>
        <v>8.5304264795355397E-2</v>
      </c>
      <c r="HF35" s="59">
        <f>'C1-Incomes'!HG37/'C1-Incomes'!$HC37</f>
        <v>6.3223474325519849E-2</v>
      </c>
      <c r="HG35" s="59">
        <f>'C1-Incomes'!HH37/'C1-Incomes'!$HC37</f>
        <v>3.2946031916431896E-2</v>
      </c>
      <c r="HH35" s="59">
        <f>'C1-Incomes'!HI37/'C1-Incomes'!$HC37</f>
        <v>1.2926626860127634E-2</v>
      </c>
      <c r="HK35" s="59">
        <f>'C1-Incomes'!HL37/'C1-Incomes'!$HK37</f>
        <v>0.28268870334406149</v>
      </c>
      <c r="HL35" s="59">
        <f>'C1-Incomes'!HM37/'C1-Incomes'!$HK37</f>
        <v>0.1888432492455121</v>
      </c>
      <c r="HM35" s="59">
        <f>'C1-Incomes'!HN37/'C1-Incomes'!$HK37</f>
        <v>8.4089652925784825E-2</v>
      </c>
      <c r="HN35" s="59">
        <f>'C1-Incomes'!HO37/'C1-Incomes'!$HK37</f>
        <v>6.2106581459379376E-2</v>
      </c>
      <c r="HO35" s="59">
        <f>'C1-Incomes'!HP37/'C1-Incomes'!$HK37</f>
        <v>3.2236358554578577E-2</v>
      </c>
      <c r="HP35" s="59">
        <f>'C1-Incomes'!HQ37/'C1-Incomes'!$HK37</f>
        <v>1.2578223968718506E-2</v>
      </c>
      <c r="HS35" s="59">
        <f>'C1-Incomes'!HT37/'C1-Incomes'!$HS37</f>
        <v>0.27990686911995694</v>
      </c>
      <c r="HT35" s="59">
        <f>'C1-Incomes'!HU37/'C1-Incomes'!$HS37</f>
        <v>0.18660874701398422</v>
      </c>
      <c r="HU35" s="59">
        <f>'C1-Incomes'!HV37/'C1-Incomes'!$HS37</f>
        <v>8.2788134496317639E-2</v>
      </c>
      <c r="HV35" s="59">
        <f>'C1-Incomes'!HW37/'C1-Incomes'!$HS37</f>
        <v>6.1110264048081994E-2</v>
      </c>
      <c r="HW35" s="59">
        <f>'C1-Incomes'!HX37/'C1-Incomes'!$HS37</f>
        <v>3.1676036291451493E-2</v>
      </c>
      <c r="HX35" s="59">
        <f>'C1-Incomes'!HY37/'C1-Incomes'!$HS37</f>
        <v>1.2325901365297863E-2</v>
      </c>
      <c r="IA35" s="59">
        <f>'C1-Incomes'!IB37/'C1-Incomes'!$IA37</f>
        <v>0.28486211532276046</v>
      </c>
      <c r="IB35" s="59">
        <f>'C1-Incomes'!IC37/'C1-Incomes'!$IA37</f>
        <v>0.19304047105910371</v>
      </c>
      <c r="IC35" s="59">
        <f>'C1-Incomes'!ID37/'C1-Incomes'!$IA37</f>
        <v>8.8445028428225186E-2</v>
      </c>
      <c r="ID35" s="59">
        <f>'C1-Incomes'!IE37/'C1-Incomes'!$IA37</f>
        <v>6.5840083495476293E-2</v>
      </c>
      <c r="IE35" s="59">
        <f>'C1-Incomes'!IF37/'C1-Incomes'!$IA37</f>
        <v>3.4368604268425418E-2</v>
      </c>
      <c r="IF35" s="59">
        <f>'C1-Incomes'!IG37/'C1-Incomes'!$IA37</f>
        <v>1.3435372461718578E-2</v>
      </c>
      <c r="II35" s="59">
        <f>'C1-Incomes'!IJ37/'C1-Incomes'!$II37</f>
        <v>0.28552301551784909</v>
      </c>
      <c r="IJ35" s="59">
        <f>'C1-Incomes'!IK37/'C1-Incomes'!$II37</f>
        <v>0.19423816081141798</v>
      </c>
      <c r="IK35" s="59">
        <f>'C1-Incomes'!IL37/'C1-Incomes'!$II37</f>
        <v>8.9744465132477122E-2</v>
      </c>
      <c r="IL35" s="59">
        <f>'C1-Incomes'!IM37/'C1-Incomes'!$II37</f>
        <v>6.6905481584874513E-2</v>
      </c>
      <c r="IM35" s="59">
        <f>'C1-Incomes'!IN37/'C1-Incomes'!$II37</f>
        <v>3.4979369788824197E-2</v>
      </c>
      <c r="IN35" s="59">
        <f>'C1-Incomes'!IO37/'C1-Incomes'!$II37</f>
        <v>1.367834028847067E-2</v>
      </c>
      <c r="IQ35" s="59">
        <f>'C1-Incomes'!IR37/'C1-Incomes'!$IQ37</f>
        <v>0.28719946889089232</v>
      </c>
      <c r="IR35" s="59">
        <f>'C1-Incomes'!IS37/'C1-Incomes'!$IQ37</f>
        <v>0.19552526569260786</v>
      </c>
      <c r="IS35" s="59">
        <f>'C1-Incomes'!IT37/'C1-Incomes'!$IQ37</f>
        <v>9.0470832409198912E-2</v>
      </c>
      <c r="IT35" s="59">
        <f>'C1-Incomes'!IU37/'C1-Incomes'!$IQ37</f>
        <v>6.7466744304290283E-2</v>
      </c>
      <c r="IU35" s="59">
        <f>'C1-Incomes'!IV37/'C1-Incomes'!$IQ37</f>
        <v>3.5296545123403023E-2</v>
      </c>
      <c r="IV35" s="59">
        <f>'C1-Incomes'!IW37/'C1-Incomes'!$IQ37</f>
        <v>1.3807860223272544E-2</v>
      </c>
      <c r="IY35" s="59">
        <f>'C1-Incomes'!IZ37/'C1-Incomes'!$IY37</f>
        <v>0.26809757288261615</v>
      </c>
      <c r="IZ35" s="59">
        <f>'C1-Incomes'!JA37/'C1-Incomes'!$IY37</f>
        <v>0.18108244595997322</v>
      </c>
      <c r="JA35" s="59">
        <f>'C1-Incomes'!JB37/'C1-Incomes'!$IY37</f>
        <v>8.2664002007293388E-2</v>
      </c>
      <c r="JB35" s="59">
        <f>'C1-Incomes'!JC37/'C1-Incomes'!$IY37</f>
        <v>6.1398334077024025E-2</v>
      </c>
      <c r="JC35" s="59">
        <f>'C1-Incomes'!JD37/'C1-Incomes'!$IY37</f>
        <v>3.1993936412909929E-2</v>
      </c>
      <c r="JD35" s="59">
        <f>'C1-Incomes'!JE37/'C1-Incomes'!$IY37</f>
        <v>1.2483087227797181E-2</v>
      </c>
      <c r="JE35" s="197"/>
      <c r="JF35" s="197"/>
      <c r="JG35" s="197"/>
      <c r="JH35" s="197"/>
      <c r="JI35" s="197"/>
      <c r="JJ35" s="197"/>
      <c r="JK35" s="197"/>
      <c r="JL35" s="197"/>
      <c r="JM35" s="197"/>
      <c r="JN35" s="197"/>
      <c r="JO35" s="197"/>
      <c r="JP35" s="197"/>
      <c r="JQ35" s="197"/>
      <c r="JR35" s="197"/>
      <c r="JS35" s="197"/>
      <c r="JT35" s="197"/>
      <c r="JU35" s="197"/>
      <c r="JV35" s="197"/>
      <c r="JW35" s="197"/>
      <c r="JX35" s="197"/>
      <c r="JY35" s="197"/>
      <c r="JZ35" s="197"/>
      <c r="KA35" s="197"/>
      <c r="KB35" s="197"/>
      <c r="KC35" s="197"/>
      <c r="KD35" s="197"/>
      <c r="KE35" s="197"/>
      <c r="KF35" s="197"/>
      <c r="KG35" s="197"/>
      <c r="KH35" s="197"/>
      <c r="KI35" s="197"/>
      <c r="KJ35" s="197"/>
      <c r="KK35" s="197"/>
      <c r="KL35" s="197"/>
      <c r="KM35" s="197"/>
      <c r="KN35" s="197"/>
      <c r="KO35" s="197"/>
      <c r="KP35" s="197"/>
      <c r="KQ35" s="197"/>
      <c r="KR35" s="197"/>
      <c r="KS35" s="197"/>
      <c r="KT35" s="197"/>
      <c r="KU35" s="197"/>
      <c r="KV35" s="197"/>
      <c r="KW35" s="197"/>
      <c r="KX35" s="197"/>
      <c r="KY35" s="197"/>
      <c r="KZ35" s="197"/>
      <c r="LA35" s="197"/>
      <c r="LB35" s="197"/>
      <c r="LC35" s="197"/>
      <c r="LD35" s="197"/>
      <c r="LE35" s="197"/>
      <c r="LF35" s="197"/>
      <c r="LG35" s="197"/>
      <c r="LH35" s="197"/>
      <c r="LI35" s="197"/>
      <c r="LJ35" s="197"/>
      <c r="LK35" s="197"/>
      <c r="LL35" s="197"/>
      <c r="LM35" s="197"/>
      <c r="LN35" s="197"/>
      <c r="LO35" s="197"/>
      <c r="LP35" s="197"/>
      <c r="LQ35" s="197"/>
      <c r="LR35" s="197"/>
      <c r="LS35" s="197"/>
      <c r="LT35" s="197"/>
      <c r="LU35" s="197"/>
      <c r="LV35" s="197"/>
      <c r="LW35" s="197"/>
      <c r="LX35" s="197"/>
      <c r="LY35" s="197"/>
      <c r="LZ35" s="197"/>
      <c r="MA35" s="197"/>
      <c r="MB35" s="197"/>
      <c r="MC35" s="197"/>
      <c r="MD35" s="197"/>
      <c r="ME35" s="197"/>
      <c r="MF35" s="197"/>
      <c r="MG35" s="197"/>
      <c r="MH35" s="197"/>
      <c r="MI35" s="197"/>
      <c r="MJ35" s="197"/>
      <c r="MK35" s="197"/>
      <c r="ML35" s="197"/>
      <c r="MM35" s="197"/>
      <c r="MN35" s="197"/>
      <c r="MO35" s="197"/>
      <c r="MP35" s="197"/>
      <c r="MQ35" s="197"/>
      <c r="MR35" s="197"/>
      <c r="MS35" s="197"/>
      <c r="MT35" s="197"/>
      <c r="MU35" s="197"/>
      <c r="MV35" s="197"/>
      <c r="MW35" s="197"/>
      <c r="MX35" s="197"/>
      <c r="MY35" s="197"/>
      <c r="MZ35" s="197"/>
      <c r="NA35" s="197"/>
      <c r="NB35" s="197"/>
      <c r="NC35" s="197"/>
      <c r="ND35" s="197"/>
      <c r="NE35" s="197"/>
      <c r="NF35" s="197"/>
      <c r="NG35" s="197"/>
      <c r="NH35" s="197"/>
      <c r="NI35" s="197"/>
      <c r="NJ35" s="197"/>
      <c r="NK35" s="197"/>
      <c r="NL35" s="197"/>
      <c r="NM35" s="197"/>
      <c r="NN35" s="197"/>
      <c r="NO35" s="197"/>
      <c r="NP35" s="197"/>
      <c r="NQ35" s="197"/>
      <c r="NR35" s="197"/>
      <c r="NS35" s="197"/>
      <c r="NT35" s="197"/>
      <c r="NU35" s="197"/>
      <c r="NV35" s="197"/>
      <c r="NW35" s="197"/>
      <c r="NX35" s="197"/>
      <c r="NY35" s="197"/>
      <c r="NZ35" s="197"/>
      <c r="OA35" s="197"/>
      <c r="OB35" s="197"/>
      <c r="OC35" s="197"/>
      <c r="OD35" s="197"/>
      <c r="OE35" s="197"/>
      <c r="OF35" s="197"/>
      <c r="OG35" s="197"/>
      <c r="OH35" s="197"/>
      <c r="OI35" s="197"/>
      <c r="OJ35" s="197"/>
      <c r="OK35" s="197"/>
      <c r="OL35" s="197"/>
      <c r="OM35" s="197"/>
      <c r="ON35" s="197"/>
      <c r="OO35" s="197"/>
      <c r="OP35" s="197"/>
      <c r="OQ35" s="197"/>
      <c r="OR35" s="197"/>
      <c r="OS35" s="197"/>
      <c r="OT35" s="197"/>
      <c r="OU35" s="197"/>
      <c r="OV35" s="197"/>
      <c r="OW35" s="197"/>
      <c r="OX35" s="197"/>
      <c r="OY35" s="197"/>
      <c r="OZ35" s="197"/>
      <c r="PA35" s="197"/>
      <c r="PB35" s="197"/>
    </row>
    <row r="36" spans="1:418" s="77" customFormat="1" ht="10.5" customHeight="1" x14ac:dyDescent="0.2">
      <c r="A36" s="48">
        <v>1990</v>
      </c>
      <c r="B36" s="59">
        <f>'C1-Incomes'!C38/'C1-Incomes'!$B38</f>
        <v>0.39193085360844593</v>
      </c>
      <c r="C36" s="59">
        <f>'C1-Incomes'!D38/'C1-Incomes'!$B38</f>
        <v>0.27381557780338195</v>
      </c>
      <c r="D36" s="59">
        <f>'C1-Incomes'!E38/'C1-Incomes'!$B38</f>
        <v>0.13159761521820432</v>
      </c>
      <c r="E36" s="59">
        <f>'C1-Incomes'!F38/'C1-Incomes'!$B38</f>
        <v>9.8307898775626137E-2</v>
      </c>
      <c r="F36" s="59">
        <f>'C1-Incomes'!G38/'C1-Incomes'!$B38</f>
        <v>4.9358373072650633E-2</v>
      </c>
      <c r="G36" s="59">
        <f>'C1-Incomes'!H38/'C1-Incomes'!$B38</f>
        <v>1.8388670527664085E-2</v>
      </c>
      <c r="H36" s="199"/>
      <c r="J36" s="59">
        <f>'C1-Incomes'!K38/'C1-Incomes'!$J38</f>
        <v>0.3444563079305108</v>
      </c>
      <c r="K36" s="59">
        <f>'C1-Incomes'!L38/'C1-Incomes'!$J38</f>
        <v>0.23837135318773875</v>
      </c>
      <c r="L36" s="59">
        <f>'C1-Incomes'!M38/'C1-Incomes'!$J38</f>
        <v>0.11287840931465051</v>
      </c>
      <c r="M36" s="59">
        <f>'C1-Incomes'!N38/'C1-Incomes'!$J38</f>
        <v>8.4713992771711308E-2</v>
      </c>
      <c r="N36" s="59">
        <f>'C1-Incomes'!O38/'C1-Incomes'!$J38</f>
        <v>4.4463136654842132E-2</v>
      </c>
      <c r="O36" s="59">
        <f>'C1-Incomes'!P38/'C1-Incomes'!$J38</f>
        <v>1.7534900838755172E-2</v>
      </c>
      <c r="P36" s="59"/>
      <c r="R36" s="59">
        <f>'C1-Incomes'!S38/'C1-Incomes'!$R38</f>
        <v>0.31489085442194931</v>
      </c>
      <c r="S36" s="59">
        <f>'C1-Incomes'!T38/'C1-Incomes'!$R38</f>
        <v>0.21716901662678237</v>
      </c>
      <c r="T36" s="59">
        <f>'C1-Incomes'!U38/'C1-Incomes'!$R38</f>
        <v>0.10216340310442139</v>
      </c>
      <c r="U36" s="59">
        <f>'C1-Incomes'!V38/'C1-Incomes'!$R38</f>
        <v>7.6503706291596474E-2</v>
      </c>
      <c r="V36" s="59">
        <f>'C1-Incomes'!W38/'C1-Incomes'!$R38</f>
        <v>4.0110340110812936E-2</v>
      </c>
      <c r="W36" s="59">
        <f>'C1-Incomes'!X38/'C1-Incomes'!$R38</f>
        <v>1.5777359790546456E-2</v>
      </c>
      <c r="X36" s="59"/>
      <c r="Y36" s="59"/>
      <c r="Z36" s="59">
        <f>'C1-Incomes'!AA38/'C1-Incomes'!$Z38</f>
        <v>0.2698794705975251</v>
      </c>
      <c r="AA36" s="59">
        <f>'C1-Incomes'!AB38/'C1-Incomes'!$Z38</f>
        <v>0.18272955668738344</v>
      </c>
      <c r="AB36" s="59">
        <f>'C1-Incomes'!AC38/'C1-Incomes'!$Z38</f>
        <v>8.3336941022029556E-2</v>
      </c>
      <c r="AC36" s="59">
        <f>'C1-Incomes'!AD38/'C1-Incomes'!$Z38</f>
        <v>6.1786370044314538E-2</v>
      </c>
      <c r="AD36" s="59">
        <f>'C1-Incomes'!AE38/'C1-Incomes'!$Z38</f>
        <v>3.1796067774602123E-2</v>
      </c>
      <c r="AE36" s="59">
        <f>'C1-Incomes'!AF38/'C1-Incomes'!$Z38</f>
        <v>1.2390321985210249E-2</v>
      </c>
      <c r="AF36" s="200"/>
      <c r="AG36" s="195"/>
      <c r="AH36" s="59">
        <f>'C1-Incomes'!AI38/'C1-Incomes'!$AH38</f>
        <v>0.38561587975473055</v>
      </c>
      <c r="AI36" s="59">
        <f>'C1-Incomes'!AJ38/'C1-Incomes'!$AH38</f>
        <v>0.26887828524971907</v>
      </c>
      <c r="AJ36" s="59">
        <f>'C1-Incomes'!AK38/'C1-Incomes'!$AH38</f>
        <v>0.12893739422770159</v>
      </c>
      <c r="AK36" s="59">
        <f>'C1-Incomes'!AL38/'C1-Incomes'!$AH38</f>
        <v>9.6266877601256906E-2</v>
      </c>
      <c r="AL36" s="59">
        <f>'C1-Incomes'!AM38/'C1-Incomes'!$AH38</f>
        <v>4.8321613575727035E-2</v>
      </c>
      <c r="AM36" s="59">
        <f>'C1-Incomes'!AN38/'C1-Incomes'!$AH38</f>
        <v>1.7988975384225447E-2</v>
      </c>
      <c r="AN36" s="195"/>
      <c r="AO36" s="195"/>
      <c r="AP36" s="59"/>
      <c r="AQ36" s="59"/>
      <c r="AR36" s="59"/>
      <c r="AS36" s="59"/>
      <c r="AT36" s="59"/>
      <c r="AU36" s="59"/>
      <c r="AV36" s="197"/>
      <c r="AW36" s="60"/>
      <c r="AX36" s="59">
        <f>'C1-Incomes'!AY38/'C1-Incomes'!$AX38</f>
        <v>0.38953204066351327</v>
      </c>
      <c r="AY36" s="59">
        <f>'C1-Incomes'!AZ38/'C1-Incomes'!$AX38</f>
        <v>0.27307570584487684</v>
      </c>
      <c r="AZ36" s="59">
        <f>'C1-Incomes'!BA38/'C1-Incomes'!$AX38</f>
        <v>0.13229639007058402</v>
      </c>
      <c r="BA36" s="59">
        <f>'C1-Incomes'!BB38/'C1-Incomes'!$AX38</f>
        <v>9.9066770239943175E-2</v>
      </c>
      <c r="BB36" s="59">
        <f>'C1-Incomes'!BC38/'C1-Incomes'!$AX38</f>
        <v>4.9814981627189149E-2</v>
      </c>
      <c r="BC36" s="59">
        <f>'C1-Incomes'!BD38/'C1-Incomes'!$AX38</f>
        <v>1.8494856984665194E-2</v>
      </c>
      <c r="BD36" s="60"/>
      <c r="BE36" s="60"/>
      <c r="BF36" s="59">
        <f>'C1-Incomes'!BG38/'C1-Incomes'!$BF38</f>
        <v>0.38469215875887486</v>
      </c>
      <c r="BG36" s="59">
        <f>'C1-Incomes'!BH38/'C1-Incomes'!$BF38</f>
        <v>0.26925052669320487</v>
      </c>
      <c r="BH36" s="59">
        <f>'C1-Incomes'!BI38/'C1-Incomes'!$BF38</f>
        <v>0.13041327410473499</v>
      </c>
      <c r="BI36" s="59">
        <f>'C1-Incomes'!BJ38/'C1-Incomes'!$BF38</f>
        <v>9.783335279300906E-2</v>
      </c>
      <c r="BJ36" s="59">
        <f>'C1-Incomes'!BK38/'C1-Incomes'!$BF38</f>
        <v>4.9399699755211884E-2</v>
      </c>
      <c r="BK36" s="59">
        <f>'C1-Incomes'!BL38/'C1-Incomes'!$BF38</f>
        <v>1.8378830752981593E-2</v>
      </c>
      <c r="BL36" s="59"/>
      <c r="BM36" s="59"/>
      <c r="BN36" s="59">
        <f>'C1-Incomes'!BO38/'C1-Incomes'!$BN38</f>
        <v>0.3563354955236489</v>
      </c>
      <c r="BO36" s="59">
        <f>'C1-Incomes'!BP38/'C1-Incomes'!$BN38</f>
        <v>0.24929928866894011</v>
      </c>
      <c r="BP36" s="59">
        <f>'C1-Incomes'!BQ38/'C1-Incomes'!$BN38</f>
        <v>0.11981887010048813</v>
      </c>
      <c r="BQ36" s="59">
        <f>'C1-Incomes'!BR38/'C1-Incomes'!$BN38</f>
        <v>9.0020712797208566E-2</v>
      </c>
      <c r="BR36" s="59">
        <f>'C1-Incomes'!BS38/'C1-Incomes'!$BN38</f>
        <v>4.658787547831713E-2</v>
      </c>
      <c r="BS36" s="59">
        <f>'C1-Incomes'!BT38/'C1-Incomes'!$BN38</f>
        <v>1.7610488000672223E-2</v>
      </c>
      <c r="BT36" s="59"/>
      <c r="BU36" s="59"/>
      <c r="BV36" s="59">
        <f>'C1-Incomes'!BW38/'C1-Incomes'!$BV38</f>
        <v>0.35903453375606825</v>
      </c>
      <c r="BW36" s="59">
        <f>'C1-Incomes'!BX38/'C1-Incomes'!$BV38</f>
        <v>0.25233097179363417</v>
      </c>
      <c r="BX36" s="59">
        <f>'C1-Incomes'!BY38/'C1-Incomes'!$BV38</f>
        <v>0.12286913374777618</v>
      </c>
      <c r="BY36" s="59">
        <f>'C1-Incomes'!BZ38/'C1-Incomes'!$BV38</f>
        <v>9.2942862287573966E-2</v>
      </c>
      <c r="BZ36" s="59">
        <f>'C1-Incomes'!CA38/'C1-Incomes'!$BV38</f>
        <v>4.8728843804443353E-2</v>
      </c>
      <c r="CA36" s="59">
        <f>'C1-Incomes'!CB38/'C1-Incomes'!$BV38</f>
        <v>1.8991916733653254E-2</v>
      </c>
      <c r="CB36" s="60"/>
      <c r="CC36" s="198"/>
      <c r="CD36" s="59">
        <f>'C1-Incomes'!CE38/'C1-Incomes'!$CD38</f>
        <v>0.36270731675724777</v>
      </c>
      <c r="CE36" s="59">
        <f>'C1-Incomes'!CF38/'C1-Incomes'!$CD38</f>
        <v>0.25612191349035496</v>
      </c>
      <c r="CF36" s="59">
        <f>'C1-Incomes'!CG38/'C1-Incomes'!$CD38</f>
        <v>0.12584532902608009</v>
      </c>
      <c r="CG36" s="59">
        <f>'C1-Incomes'!CH38/'C1-Incomes'!$CD38</f>
        <v>9.5452207520190582E-2</v>
      </c>
      <c r="CH36" s="59">
        <f>'C1-Incomes'!CI38/'C1-Incomes'!$CD38</f>
        <v>5.0557275822536676E-2</v>
      </c>
      <c r="CI36" s="59">
        <f>'C1-Incomes'!CJ38/'C1-Incomes'!$CD38</f>
        <v>1.9937467372360941E-2</v>
      </c>
      <c r="CL36" s="59">
        <f>'C1-Incomes'!CM38/'C1-Incomes'!$CL38</f>
        <v>0.36466318736699566</v>
      </c>
      <c r="CM36" s="59">
        <f>'C1-Incomes'!CN38/'C1-Incomes'!$CL38</f>
        <v>0.25761588165181876</v>
      </c>
      <c r="CN36" s="59">
        <f>'C1-Incomes'!CO38/'C1-Incomes'!$CL38</f>
        <v>0.12668903649329583</v>
      </c>
      <c r="CO36" s="59">
        <f>'C1-Incomes'!CP38/'C1-Incomes'!$CL38</f>
        <v>9.608860596646028E-2</v>
      </c>
      <c r="CP36" s="59">
        <f>'C1-Incomes'!CQ38/'C1-Incomes'!$CL38</f>
        <v>5.099291461155591E-2</v>
      </c>
      <c r="CQ36" s="59">
        <f>'C1-Incomes'!CR38/'C1-Incomes'!$CL38</f>
        <v>2.0226448824627371E-2</v>
      </c>
      <c r="CR36" s="59"/>
      <c r="CS36" s="59"/>
      <c r="CT36" s="59">
        <f>'C1-Incomes'!CU38/'C1-Incomes'!$CT38</f>
        <v>0.36694643942715982</v>
      </c>
      <c r="CU36" s="59">
        <f>'C1-Incomes'!CV38/'C1-Incomes'!$CT38</f>
        <v>0.25985873259010117</v>
      </c>
      <c r="CV36" s="59">
        <f>'C1-Incomes'!CW38/'C1-Incomes'!$CT38</f>
        <v>0.12834155808341166</v>
      </c>
      <c r="CW36" s="59">
        <f>'C1-Incomes'!CX38/'C1-Incomes'!$CT38</f>
        <v>9.7410782676010443E-2</v>
      </c>
      <c r="CX36" s="59">
        <f>'C1-Incomes'!CY38/'C1-Incomes'!$CT38</f>
        <v>5.1895409750183877E-2</v>
      </c>
      <c r="CY36" s="59">
        <f>'C1-Incomes'!CZ38/'C1-Incomes'!$CT38</f>
        <v>2.0648181306390706E-2</v>
      </c>
      <c r="CZ36" s="59"/>
      <c r="DA36" s="59"/>
      <c r="DB36" s="59">
        <f>'C1-Incomes'!DC38/'C1-Incomes'!$DB38</f>
        <v>0.37198147374598178</v>
      </c>
      <c r="DC36" s="59">
        <f>'C1-Incomes'!DD38/'C1-Incomes'!$DB38</f>
        <v>0.26460041865340445</v>
      </c>
      <c r="DD36" s="59">
        <f>'C1-Incomes'!DE38/'C1-Incomes'!$DB38</f>
        <v>0.13198069357134254</v>
      </c>
      <c r="DE36" s="59">
        <f>'C1-Incomes'!DF38/'C1-Incomes'!$DB38</f>
        <v>0.10044055157178305</v>
      </c>
      <c r="DF36" s="59">
        <f>'C1-Incomes'!DG38/'C1-Incomes'!$DB38</f>
        <v>5.3732797455644424E-2</v>
      </c>
      <c r="DG36" s="59">
        <f>'C1-Incomes'!DH38/'C1-Incomes'!$DB38</f>
        <v>2.1535432787462665E-2</v>
      </c>
      <c r="DH36" s="59"/>
      <c r="DI36" s="1039"/>
      <c r="DJ36" s="59">
        <f>'C1-Incomes'!DK38/'C1-Incomes'!$DJ38</f>
        <v>0.36636484005143177</v>
      </c>
      <c r="DK36" s="59">
        <f>'C1-Incomes'!DL38/'C1-Incomes'!$DJ38</f>
        <v>0.26146697560733062</v>
      </c>
      <c r="DL36" s="59">
        <f>'C1-Incomes'!DM38/'C1-Incomes'!$DJ38</f>
        <v>0.13104915232294617</v>
      </c>
      <c r="DM36" s="59">
        <f>'C1-Incomes'!DN38/'C1-Incomes'!$DJ38</f>
        <v>9.9707054515792259E-2</v>
      </c>
      <c r="DN36" s="59">
        <f>'C1-Incomes'!DO38/'C1-Incomes'!$DJ38</f>
        <v>5.3187798146494721E-2</v>
      </c>
      <c r="DO36" s="59">
        <f>'C1-Incomes'!DP38/'C1-Incomes'!$DJ38</f>
        <v>2.1279673600631835E-2</v>
      </c>
      <c r="DP36" s="696"/>
      <c r="DQ36" s="503"/>
      <c r="DR36" s="59">
        <f>'C1-Incomes'!DS38/'C1-Incomes'!$DR38</f>
        <v>0.36526601929324864</v>
      </c>
      <c r="DS36" s="59">
        <f>'C1-Incomes'!DT38/'C1-Incomes'!$DR38</f>
        <v>0.25990293513043683</v>
      </c>
      <c r="DT36" s="59">
        <f>'C1-Incomes'!DU38/'C1-Incomes'!$DR38</f>
        <v>0.12950022910287701</v>
      </c>
      <c r="DU36" s="59">
        <f>'C1-Incomes'!DV38/'C1-Incomes'!$DR38</f>
        <v>9.8377417474300385E-2</v>
      </c>
      <c r="DV36" s="59">
        <f>'C1-Incomes'!DW38/'C1-Incomes'!$DR38</f>
        <v>5.2312193512855522E-2</v>
      </c>
      <c r="DW36" s="59">
        <f>'C1-Incomes'!DX38/'C1-Incomes'!$DR38</f>
        <v>2.0862791049102908E-2</v>
      </c>
      <c r="DX36" s="333"/>
      <c r="DZ36" s="59">
        <f>'C1-Incomes'!EA38/'C1-Incomes'!$DZ38</f>
        <v>0.35735487231915408</v>
      </c>
      <c r="EA36" s="59">
        <f>'C1-Incomes'!EB38/'C1-Incomes'!$DZ38</f>
        <v>0.25213006648437836</v>
      </c>
      <c r="EB36" s="59">
        <f>'C1-Incomes'!EC38/'C1-Incomes'!$DZ38</f>
        <v>0.12396839591013667</v>
      </c>
      <c r="EC36" s="59">
        <f>'C1-Incomes'!ED38/'C1-Incomes'!$DZ38</f>
        <v>9.3988552674775711E-2</v>
      </c>
      <c r="ED36" s="59">
        <f>'C1-Incomes'!EE38/'C1-Incomes'!$DZ38</f>
        <v>4.9853245854868861E-2</v>
      </c>
      <c r="EE36" s="59">
        <f>'C1-Incomes'!EF38/'C1-Incomes'!$DZ38</f>
        <v>1.985956706620742E-2</v>
      </c>
      <c r="EF36" s="59"/>
      <c r="EH36" s="59">
        <f>'C1-Incomes'!EI38/'C1-Incomes'!$EH38</f>
        <v>0.35075125302098531</v>
      </c>
      <c r="EI36" s="59">
        <f>'C1-Incomes'!EJ38/'C1-Incomes'!$EH38</f>
        <v>0.24505060806298068</v>
      </c>
      <c r="EJ36" s="59">
        <f>'C1-Incomes'!EK38/'C1-Incomes'!$EH38</f>
        <v>0.11843980919319068</v>
      </c>
      <c r="EK36" s="59">
        <f>'C1-Incomes'!EL38/'C1-Incomes'!$EH38</f>
        <v>8.9515276097388602E-2</v>
      </c>
      <c r="EL36" s="59">
        <f>'C1-Incomes'!EM38/'C1-Incomes'!$EH38</f>
        <v>4.7357984287532302E-2</v>
      </c>
      <c r="EM36" s="59">
        <f>'C1-Incomes'!EN38/'C1-Incomes'!$EH38</f>
        <v>1.8842806987599138E-2</v>
      </c>
      <c r="EN36" s="59"/>
      <c r="EO36" s="59"/>
      <c r="EP36" s="59">
        <f>'C1-Incomes'!EQ38/'C1-Incomes'!$EH38</f>
        <v>0.36746760612245749</v>
      </c>
      <c r="EQ36" s="59">
        <f>'C1-Incomes'!ER38/'C1-Incomes'!$EH38</f>
        <v>0.2554376083089781</v>
      </c>
      <c r="ER36" s="59">
        <f>'C1-Incomes'!ES38/'C1-Incomes'!$EH38</f>
        <v>0.12191889012420161</v>
      </c>
      <c r="ES36" s="59">
        <f>'C1-Incomes'!ET38/'C1-Incomes'!$EH38</f>
        <v>9.1735127950174328E-2</v>
      </c>
      <c r="ET36" s="59">
        <f>'C1-Incomes'!EU38/'C1-Incomes'!$EH38</f>
        <v>4.8228547708800119E-2</v>
      </c>
      <c r="EU36" s="59">
        <f>'C1-Incomes'!EV38/'C1-Incomes'!$EH38</f>
        <v>1.9051309451231485E-2</v>
      </c>
      <c r="EV36" s="59"/>
      <c r="EW36" s="59"/>
      <c r="EX36" s="59">
        <f>'C1-Incomes'!EY38/'C1-Incomes'!$EX38</f>
        <v>0.3444563079305108</v>
      </c>
      <c r="EY36" s="59">
        <f>'C1-Incomes'!EZ38/'C1-Incomes'!$EX38</f>
        <v>0.23837135318773875</v>
      </c>
      <c r="EZ36" s="59">
        <f>'C1-Incomes'!FA38/'C1-Incomes'!$EX38</f>
        <v>0.11287840931465051</v>
      </c>
      <c r="FA36" s="59">
        <f>'C1-Incomes'!FB38/'C1-Incomes'!$EX38</f>
        <v>8.4713992771711308E-2</v>
      </c>
      <c r="FB36" s="59">
        <f>'C1-Incomes'!FC38/'C1-Incomes'!$EX38</f>
        <v>4.4463136654842132E-2</v>
      </c>
      <c r="FC36" s="59">
        <f>'C1-Incomes'!FD38/'C1-Incomes'!$EX38</f>
        <v>1.7534900838755172E-2</v>
      </c>
      <c r="FD36" s="59"/>
      <c r="FF36" s="59">
        <f>'C1-Incomes'!FG38/'C1-Incomes'!$FF38</f>
        <v>0.33167308254201527</v>
      </c>
      <c r="FG36" s="59">
        <f>'C1-Incomes'!FH38/'C1-Incomes'!$FF38</f>
        <v>0.2292195096684046</v>
      </c>
      <c r="FH36" s="59">
        <f>'C1-Incomes'!FI38/'C1-Incomes'!$FF38</f>
        <v>0.10809485660376186</v>
      </c>
      <c r="FI36" s="59">
        <f>'C1-Incomes'!FJ38/'C1-Incomes'!$FF38</f>
        <v>8.0987824744255754E-2</v>
      </c>
      <c r="FJ36" s="59">
        <f>'C1-Incomes'!FK38/'C1-Incomes'!$FF38</f>
        <v>4.2468251103933173E-2</v>
      </c>
      <c r="FK36" s="59">
        <f>'C1-Incomes'!FL38/'C1-Incomes'!$FF38</f>
        <v>1.6707670646115697E-2</v>
      </c>
      <c r="FN36" s="59">
        <f>'C1-Incomes'!FO38/'C1-Incomes'!$FN38</f>
        <v>0.33075372026716948</v>
      </c>
      <c r="FO36" s="59">
        <f>'C1-Incomes'!FP38/'C1-Incomes'!$FN38</f>
        <v>0.22846752473897258</v>
      </c>
      <c r="FP36" s="59">
        <f>'C1-Incomes'!FQ38/'C1-Incomes'!$FN38</f>
        <v>0.10772985438865439</v>
      </c>
      <c r="FQ36" s="59">
        <f>'C1-Incomes'!FR38/'C1-Incomes'!$FN38</f>
        <v>8.0712024511699745E-2</v>
      </c>
      <c r="FR36" s="59">
        <f>'C1-Incomes'!FS38/'C1-Incomes'!$FN38</f>
        <v>4.2323700291270326E-2</v>
      </c>
      <c r="FS36" s="59">
        <f>'C1-Incomes'!FT38/'C1-Incomes'!$FN38</f>
        <v>1.665048124048054E-2</v>
      </c>
      <c r="FV36" s="59">
        <f>'C1-Incomes'!FW38/'C1-Incomes'!$FV38</f>
        <v>0.32673996296700042</v>
      </c>
      <c r="FW36" s="59">
        <f>'C1-Incomes'!FX38/'C1-Incomes'!$FV38</f>
        <v>0.22563231813243728</v>
      </c>
      <c r="FX36" s="59">
        <f>'C1-Incomes'!FY38/'C1-Incomes'!$FV38</f>
        <v>0.10634832739217775</v>
      </c>
      <c r="FY36" s="59">
        <f>'C1-Incomes'!FZ38/'C1-Incomes'!$FV38</f>
        <v>7.9668780953271415E-2</v>
      </c>
      <c r="FZ36" s="59">
        <f>'C1-Incomes'!GA38/'C1-Incomes'!$FV38</f>
        <v>4.1771312944995989E-2</v>
      </c>
      <c r="GA36" s="59">
        <f>'C1-Incomes'!GB38/'C1-Incomes'!$FV38</f>
        <v>1.6432203033262087E-2</v>
      </c>
      <c r="GE36" s="59">
        <f>'C1-Incomes'!GF38/'C1-Incomes'!$GE38</f>
        <v>0.32219463308614726</v>
      </c>
      <c r="GF36" s="59">
        <f>'C1-Incomes'!GG38/'C1-Incomes'!$GE38</f>
        <v>0.22220617286009148</v>
      </c>
      <c r="GG36" s="59">
        <f>'C1-Incomes'!GH38/'C1-Incomes'!$GE38</f>
        <v>0.10453304602474597</v>
      </c>
      <c r="GH36" s="59">
        <f>'C1-Incomes'!GI38/'C1-Incomes'!$GE38</f>
        <v>7.8278181891309806E-2</v>
      </c>
      <c r="GI36" s="59">
        <f>'C1-Incomes'!GJ38/'C1-Incomes'!$GE38</f>
        <v>4.1040684838838992E-2</v>
      </c>
      <c r="GJ36" s="59">
        <f>'C1-Incomes'!GK38/'C1-Incomes'!$GE38</f>
        <v>1.6143309903728073E-2</v>
      </c>
      <c r="GM36" s="59">
        <f>'C1-Incomes'!GN38/'C1-Incomes'!$GM38</f>
        <v>0.31489085442194931</v>
      </c>
      <c r="GN36" s="59">
        <f>'C1-Incomes'!GO38/'C1-Incomes'!$GM38</f>
        <v>0.21716901662678237</v>
      </c>
      <c r="GO36" s="59">
        <f>'C1-Incomes'!GP38/'C1-Incomes'!$GM38</f>
        <v>0.10216340310442139</v>
      </c>
      <c r="GP36" s="59">
        <f>'C1-Incomes'!GQ38/'C1-Incomes'!$GM38</f>
        <v>7.6503706291596474E-2</v>
      </c>
      <c r="GQ36" s="59">
        <f>'C1-Incomes'!GR38/'C1-Incomes'!$GM38</f>
        <v>4.0110340110812936E-2</v>
      </c>
      <c r="GR36" s="59">
        <f>'C1-Incomes'!GS38/'C1-Incomes'!$GM38</f>
        <v>1.5777359790546456E-2</v>
      </c>
      <c r="GU36" s="59">
        <f>'C1-Incomes'!GV38/'C1-Incomes'!$GU38</f>
        <v>0.29238374967365693</v>
      </c>
      <c r="GV36" s="59">
        <f>'C1-Incomes'!GW38/'C1-Incomes'!$GU38</f>
        <v>0.19747775803070641</v>
      </c>
      <c r="GW36" s="59">
        <f>'C1-Incomes'!GX38/'C1-Incomes'!$GU38</f>
        <v>8.9163825085727066E-2</v>
      </c>
      <c r="GX36" s="59">
        <f>'C1-Incomes'!GY38/'C1-Incomes'!$GU38</f>
        <v>6.6031578171198743E-2</v>
      </c>
      <c r="GY36" s="59">
        <f>'C1-Incomes'!GZ38/'C1-Incomes'!$GU38</f>
        <v>3.412183726138391E-2</v>
      </c>
      <c r="GZ36" s="59">
        <f>'C1-Incomes'!HA38/'C1-Incomes'!$GU38</f>
        <v>1.3360936322991183E-2</v>
      </c>
      <c r="HC36" s="59">
        <f>'C1-Incomes'!HD38/'C1-Incomes'!$HC38</f>
        <v>0.28797115582439597</v>
      </c>
      <c r="HD36" s="59">
        <f>'C1-Incomes'!HE38/'C1-Incomes'!$HC38</f>
        <v>0.19351145704024506</v>
      </c>
      <c r="HE36" s="59">
        <f>'C1-Incomes'!HF38/'C1-Incomes'!$HC38</f>
        <v>8.65238358564029E-2</v>
      </c>
      <c r="HF36" s="59">
        <f>'C1-Incomes'!HG38/'C1-Incomes'!$HC38</f>
        <v>6.3917967734590214E-2</v>
      </c>
      <c r="HG36" s="59">
        <f>'C1-Incomes'!HH38/'C1-Incomes'!$HC38</f>
        <v>3.2909880861845334E-2</v>
      </c>
      <c r="HH36" s="59">
        <f>'C1-Incomes'!HI38/'C1-Incomes'!$HC38</f>
        <v>1.2872591159918383E-2</v>
      </c>
      <c r="HK36" s="59">
        <f>'C1-Incomes'!HL38/'C1-Incomes'!$HK38</f>
        <v>0.28567367969623458</v>
      </c>
      <c r="HL36" s="59">
        <f>'C1-Incomes'!HM38/'C1-Incomes'!$HK38</f>
        <v>0.19162073165694404</v>
      </c>
      <c r="HM36" s="59">
        <f>'C1-Incomes'!HN38/'C1-Incomes'!$HK38</f>
        <v>8.5345213876724876E-2</v>
      </c>
      <c r="HN36" s="59">
        <f>'C1-Incomes'!HO38/'C1-Incomes'!$HK38</f>
        <v>6.2968443374403923E-2</v>
      </c>
      <c r="HO36" s="59">
        <f>'C1-Incomes'!HP38/'C1-Incomes'!$HK38</f>
        <v>3.2282222017681168E-2</v>
      </c>
      <c r="HP36" s="59">
        <f>'C1-Incomes'!HQ38/'C1-Incomes'!$HK38</f>
        <v>1.2568161267297826E-2</v>
      </c>
      <c r="HS36" s="59">
        <f>'C1-Incomes'!HT38/'C1-Incomes'!$HS38</f>
        <v>0.28259878527932419</v>
      </c>
      <c r="HT36" s="59">
        <f>'C1-Incomes'!HU38/'C1-Incomes'!$HS38</f>
        <v>0.18922834368777827</v>
      </c>
      <c r="HU36" s="59">
        <f>'C1-Incomes'!HV38/'C1-Incomes'!$HS38</f>
        <v>8.3983466189090167E-2</v>
      </c>
      <c r="HV36" s="59">
        <f>'C1-Incomes'!HW38/'C1-Incomes'!$HS38</f>
        <v>6.1993999697877764E-2</v>
      </c>
      <c r="HW36" s="59">
        <f>'C1-Incomes'!HX38/'C1-Incomes'!$HS38</f>
        <v>3.1738266611542186E-2</v>
      </c>
      <c r="HX36" s="59">
        <f>'C1-Incomes'!HY38/'C1-Incomes'!$HS38</f>
        <v>1.2338999154514797E-2</v>
      </c>
      <c r="IA36" s="59">
        <f>'C1-Incomes'!IB38/'C1-Incomes'!$IA38</f>
        <v>0.28804705492423899</v>
      </c>
      <c r="IB36" s="59">
        <f>'C1-Incomes'!IC38/'C1-Incomes'!$IA38</f>
        <v>0.19605944613688087</v>
      </c>
      <c r="IC36" s="59">
        <f>'C1-Incomes'!ID38/'C1-Incomes'!$IA38</f>
        <v>8.9764176004748508E-2</v>
      </c>
      <c r="ID36" s="59">
        <f>'C1-Incomes'!IE38/'C1-Incomes'!$IA38</f>
        <v>6.6736016937101822E-2</v>
      </c>
      <c r="IE36" s="59">
        <f>'C1-Incomes'!IF38/'C1-Incomes'!$IA38</f>
        <v>3.4471678443915958E-2</v>
      </c>
      <c r="IF36" s="59">
        <f>'C1-Incomes'!IG38/'C1-Incomes'!$IA38</f>
        <v>1.3457525157088391E-2</v>
      </c>
      <c r="II36" s="59">
        <f>'C1-Incomes'!IJ38/'C1-Incomes'!$II38</f>
        <v>0.28872059085268681</v>
      </c>
      <c r="IJ36" s="59">
        <f>'C1-Incomes'!IK38/'C1-Incomes'!$II38</f>
        <v>0.1973570015131253</v>
      </c>
      <c r="IK36" s="59">
        <f>'C1-Incomes'!IL38/'C1-Incomes'!$II38</f>
        <v>9.1082936186793778E-2</v>
      </c>
      <c r="IL36" s="59">
        <f>'C1-Incomes'!IM38/'C1-Incomes'!$II38</f>
        <v>6.779394934966862E-2</v>
      </c>
      <c r="IM36" s="59">
        <f>'C1-Incomes'!IN38/'C1-Incomes'!$II38</f>
        <v>3.5038185870212478E-2</v>
      </c>
      <c r="IN36" s="59">
        <f>'C1-Incomes'!IO38/'C1-Incomes'!$II38</f>
        <v>1.3685791748203276E-2</v>
      </c>
      <c r="IQ36" s="59">
        <f>'C1-Incomes'!IR38/'C1-Incomes'!$IQ38</f>
        <v>0.28939914167852737</v>
      </c>
      <c r="IR36" s="59">
        <f>'C1-Incomes'!IS38/'C1-Incomes'!$IQ38</f>
        <v>0.19788051868708836</v>
      </c>
      <c r="IS36" s="59">
        <f>'C1-Incomes'!IT38/'C1-Incomes'!$IQ38</f>
        <v>9.1381252745173128E-2</v>
      </c>
      <c r="IT36" s="59">
        <f>'C1-Incomes'!IU38/'C1-Incomes'!$IQ38</f>
        <v>6.8025090245242614E-2</v>
      </c>
      <c r="IU36" s="59">
        <f>'C1-Incomes'!IV38/'C1-Incomes'!$IQ38</f>
        <v>3.5166907987275071E-2</v>
      </c>
      <c r="IV36" s="59">
        <f>'C1-Incomes'!IW38/'C1-Incomes'!$IQ38</f>
        <v>1.3739643311821632E-2</v>
      </c>
      <c r="IY36" s="59">
        <f>'C1-Incomes'!IZ38/'C1-Incomes'!$IY38</f>
        <v>0.2698794705975251</v>
      </c>
      <c r="IZ36" s="59">
        <f>'C1-Incomes'!JA38/'C1-Incomes'!$IY38</f>
        <v>0.18272955668738344</v>
      </c>
      <c r="JA36" s="59">
        <f>'C1-Incomes'!JB38/'C1-Incomes'!$IY38</f>
        <v>8.3336941022029556E-2</v>
      </c>
      <c r="JB36" s="59">
        <f>'C1-Incomes'!JC38/'C1-Incomes'!$IY38</f>
        <v>6.1786370044314538E-2</v>
      </c>
      <c r="JC36" s="59">
        <f>'C1-Incomes'!JD38/'C1-Incomes'!$IY38</f>
        <v>3.1796067774602123E-2</v>
      </c>
      <c r="JD36" s="59">
        <f>'C1-Incomes'!JE38/'C1-Incomes'!$IY38</f>
        <v>1.2390321985210249E-2</v>
      </c>
      <c r="JE36" s="197"/>
      <c r="JF36" s="197"/>
      <c r="JG36" s="197"/>
      <c r="JH36" s="197"/>
      <c r="JI36" s="197"/>
      <c r="JJ36" s="197"/>
      <c r="JK36" s="197"/>
      <c r="JL36" s="197"/>
      <c r="JM36" s="197"/>
      <c r="JN36" s="197"/>
      <c r="JO36" s="197"/>
      <c r="JP36" s="197"/>
      <c r="JQ36" s="197"/>
      <c r="JR36" s="197"/>
      <c r="JS36" s="197"/>
      <c r="JT36" s="197"/>
      <c r="JU36" s="197"/>
      <c r="JV36" s="197"/>
      <c r="JW36" s="197"/>
      <c r="JX36" s="197"/>
      <c r="JY36" s="197"/>
      <c r="JZ36" s="197"/>
      <c r="KA36" s="197"/>
      <c r="KB36" s="197"/>
      <c r="KC36" s="197"/>
      <c r="KD36" s="197"/>
      <c r="KE36" s="197"/>
      <c r="KF36" s="197"/>
      <c r="KG36" s="197"/>
      <c r="KH36" s="197"/>
      <c r="KI36" s="197"/>
      <c r="KJ36" s="197"/>
      <c r="KK36" s="197"/>
      <c r="KL36" s="197"/>
      <c r="KM36" s="197"/>
      <c r="KN36" s="197"/>
      <c r="KO36" s="197"/>
      <c r="KP36" s="197"/>
      <c r="KQ36" s="197"/>
      <c r="KR36" s="197"/>
      <c r="KS36" s="197"/>
      <c r="KT36" s="197"/>
      <c r="KU36" s="197"/>
      <c r="KV36" s="197"/>
      <c r="KW36" s="197"/>
      <c r="KX36" s="197"/>
      <c r="KY36" s="197"/>
      <c r="KZ36" s="197"/>
      <c r="LA36" s="197"/>
      <c r="LB36" s="197"/>
      <c r="LC36" s="197"/>
      <c r="LD36" s="197"/>
      <c r="LE36" s="197"/>
      <c r="LF36" s="197"/>
      <c r="LG36" s="197"/>
      <c r="LH36" s="197"/>
      <c r="LI36" s="197"/>
      <c r="LJ36" s="197"/>
      <c r="LK36" s="197"/>
      <c r="LL36" s="197"/>
      <c r="LM36" s="197"/>
      <c r="LN36" s="197"/>
      <c r="LO36" s="197"/>
      <c r="LP36" s="197"/>
      <c r="LQ36" s="197"/>
      <c r="LR36" s="197"/>
      <c r="LS36" s="197"/>
      <c r="LT36" s="197"/>
      <c r="LU36" s="197"/>
      <c r="LV36" s="197"/>
      <c r="LW36" s="197"/>
      <c r="LX36" s="197"/>
      <c r="LY36" s="197"/>
      <c r="LZ36" s="197"/>
      <c r="MA36" s="197"/>
      <c r="MB36" s="197"/>
      <c r="MC36" s="197"/>
      <c r="MD36" s="197"/>
      <c r="ME36" s="197"/>
      <c r="MF36" s="197"/>
      <c r="MG36" s="197"/>
      <c r="MH36" s="197"/>
      <c r="MI36" s="197"/>
      <c r="MJ36" s="197"/>
      <c r="MK36" s="197"/>
      <c r="ML36" s="197"/>
      <c r="MM36" s="197"/>
      <c r="MN36" s="197"/>
      <c r="MO36" s="197"/>
      <c r="MP36" s="197"/>
      <c r="MQ36" s="197"/>
      <c r="MR36" s="197"/>
      <c r="MS36" s="197"/>
      <c r="MT36" s="197"/>
      <c r="MU36" s="197"/>
      <c r="MV36" s="197"/>
      <c r="MW36" s="197"/>
      <c r="MX36" s="197"/>
      <c r="MY36" s="197"/>
      <c r="MZ36" s="197"/>
      <c r="NA36" s="197"/>
      <c r="NB36" s="197"/>
      <c r="NC36" s="197"/>
      <c r="ND36" s="197"/>
      <c r="NE36" s="197"/>
      <c r="NF36" s="197"/>
      <c r="NG36" s="197"/>
      <c r="NH36" s="197"/>
      <c r="NI36" s="197"/>
      <c r="NJ36" s="197"/>
      <c r="NK36" s="197"/>
      <c r="NL36" s="197"/>
      <c r="NM36" s="197"/>
      <c r="NN36" s="197"/>
      <c r="NO36" s="197"/>
      <c r="NP36" s="197"/>
      <c r="NQ36" s="197"/>
      <c r="NR36" s="197"/>
      <c r="NS36" s="197"/>
      <c r="NT36" s="197"/>
      <c r="NU36" s="197"/>
      <c r="NV36" s="197"/>
      <c r="NW36" s="197"/>
      <c r="NX36" s="197"/>
      <c r="NY36" s="197"/>
      <c r="NZ36" s="197"/>
      <c r="OA36" s="197"/>
      <c r="OB36" s="197"/>
      <c r="OC36" s="197"/>
      <c r="OD36" s="197"/>
      <c r="OE36" s="197"/>
      <c r="OF36" s="197"/>
      <c r="OG36" s="197"/>
      <c r="OH36" s="197"/>
      <c r="OI36" s="197"/>
      <c r="OJ36" s="197"/>
      <c r="OK36" s="197"/>
      <c r="OL36" s="197"/>
      <c r="OM36" s="197"/>
      <c r="ON36" s="197"/>
      <c r="OO36" s="197"/>
      <c r="OP36" s="197"/>
      <c r="OQ36" s="197"/>
      <c r="OR36" s="197"/>
      <c r="OS36" s="197"/>
      <c r="OT36" s="197"/>
      <c r="OU36" s="197"/>
      <c r="OV36" s="197"/>
      <c r="OW36" s="197"/>
      <c r="OX36" s="197"/>
      <c r="OY36" s="197"/>
      <c r="OZ36" s="197"/>
      <c r="PA36" s="197"/>
      <c r="PB36" s="197"/>
    </row>
    <row r="37" spans="1:418" s="77" customFormat="1" ht="10.5" customHeight="1" x14ac:dyDescent="0.2">
      <c r="A37" s="48">
        <v>1991</v>
      </c>
      <c r="B37" s="59">
        <f>'C1-Incomes'!C39/'C1-Incomes'!$B39</f>
        <v>0.39061332906365803</v>
      </c>
      <c r="C37" s="59">
        <f>'C1-Incomes'!D39/'C1-Incomes'!$B39</f>
        <v>0.27026341958486083</v>
      </c>
      <c r="D37" s="59">
        <f>'C1-Incomes'!E39/'C1-Incomes'!$B39</f>
        <v>0.12506133414448184</v>
      </c>
      <c r="E37" s="59">
        <f>'C1-Incomes'!F39/'C1-Incomes'!$B39</f>
        <v>9.1404869316059595E-2</v>
      </c>
      <c r="F37" s="59">
        <f>'C1-Incomes'!G39/'C1-Incomes'!$B39</f>
        <v>4.4498166625299714E-2</v>
      </c>
      <c r="G37" s="59">
        <f>'C1-Incomes'!H39/'C1-Incomes'!$B39</f>
        <v>1.6101148597931297E-2</v>
      </c>
      <c r="H37" s="199"/>
      <c r="J37" s="59">
        <f>'C1-Incomes'!K39/'C1-Incomes'!$J39</f>
        <v>0.34506484492522677</v>
      </c>
      <c r="K37" s="59">
        <f>'C1-Incomes'!L39/'C1-Incomes'!$J39</f>
        <v>0.23763634771975164</v>
      </c>
      <c r="L37" s="59">
        <f>'C1-Incomes'!M39/'C1-Incomes'!$J39</f>
        <v>0.10924309169780609</v>
      </c>
      <c r="M37" s="59">
        <f>'C1-Incomes'!N39/'C1-Incomes'!$J39</f>
        <v>8.1003623843812642E-2</v>
      </c>
      <c r="N37" s="59">
        <f>'C1-Incomes'!O39/'C1-Incomes'!$J39</f>
        <v>4.1813383006239879E-2</v>
      </c>
      <c r="O37" s="59">
        <f>'C1-Incomes'!P39/'C1-Incomes'!$J39</f>
        <v>1.6167497023730836E-2</v>
      </c>
      <c r="P37" s="59"/>
      <c r="R37" s="59">
        <f>'C1-Incomes'!S39/'C1-Incomes'!$R39</f>
        <v>0.31249051451924331</v>
      </c>
      <c r="S37" s="59">
        <f>'C1-Incomes'!T39/'C1-Incomes'!$R39</f>
        <v>0.21439348573073647</v>
      </c>
      <c r="T37" s="59">
        <f>'C1-Incomes'!U39/'C1-Incomes'!$R39</f>
        <v>9.7937989104130208E-2</v>
      </c>
      <c r="U37" s="59">
        <f>'C1-Incomes'!V39/'C1-Incomes'!$R39</f>
        <v>7.2509594226430135E-2</v>
      </c>
      <c r="V37" s="59">
        <f>'C1-Incomes'!W39/'C1-Incomes'!$R39</f>
        <v>3.73215804202E-2</v>
      </c>
      <c r="W37" s="59">
        <f>'C1-Incomes'!X39/'C1-Incomes'!$R39</f>
        <v>1.4409643162543749E-2</v>
      </c>
      <c r="X37" s="59"/>
      <c r="Y37" s="59"/>
      <c r="Z37" s="59">
        <f>'C1-Incomes'!AA39/'C1-Incomes'!$Z39</f>
        <v>0.26471943382483232</v>
      </c>
      <c r="AA37" s="59">
        <f>'C1-Incomes'!AB39/'C1-Incomes'!$Z39</f>
        <v>0.17736821085124152</v>
      </c>
      <c r="AB37" s="59">
        <f>'C1-Incomes'!AC39/'C1-Incomes'!$Z39</f>
        <v>7.7543395194042242E-2</v>
      </c>
      <c r="AC37" s="59">
        <f>'C1-Incomes'!AD39/'C1-Incomes'!$Z39</f>
        <v>5.6727574382337428E-2</v>
      </c>
      <c r="AD37" s="59">
        <f>'C1-Incomes'!AE39/'C1-Incomes'!$Z39</f>
        <v>2.8345510161212839E-2</v>
      </c>
      <c r="AE37" s="59">
        <f>'C1-Incomes'!AF39/'C1-Incomes'!$Z39</f>
        <v>1.0792844588228758E-2</v>
      </c>
      <c r="AF37" s="200"/>
      <c r="AG37" s="195"/>
      <c r="AH37" s="59">
        <f>'C1-Incomes'!AI39/'C1-Incomes'!$AH39</f>
        <v>0.3843118074919481</v>
      </c>
      <c r="AI37" s="59">
        <f>'C1-Incomes'!AJ39/'C1-Incomes'!$AH39</f>
        <v>0.26540136804924597</v>
      </c>
      <c r="AJ37" s="59">
        <f>'C1-Incomes'!AK39/'C1-Incomes'!$AH39</f>
        <v>0.12256591313031542</v>
      </c>
      <c r="AK37" s="59">
        <f>'C1-Incomes'!AL39/'C1-Incomes'!$AH39</f>
        <v>8.9576484175864224E-2</v>
      </c>
      <c r="AL37" s="59">
        <f>'C1-Incomes'!AM39/'C1-Incomes'!$AH39</f>
        <v>4.3606036363398118E-2</v>
      </c>
      <c r="AM37" s="59">
        <f>'C1-Incomes'!AN39/'C1-Incomes'!$AH39</f>
        <v>1.5800396664067934E-2</v>
      </c>
      <c r="AN37" s="195"/>
      <c r="AO37" s="195"/>
      <c r="AP37" s="59"/>
      <c r="AQ37" s="59"/>
      <c r="AR37" s="59"/>
      <c r="AS37" s="59"/>
      <c r="AT37" s="59"/>
      <c r="AU37" s="59"/>
      <c r="AV37" s="197"/>
      <c r="AW37" s="60"/>
      <c r="AX37" s="59">
        <f>'C1-Incomes'!AY39/'C1-Incomes'!$AX39</f>
        <v>0.3884005962081129</v>
      </c>
      <c r="AY37" s="59">
        <f>'C1-Incomes'!AZ39/'C1-Incomes'!$AX39</f>
        <v>0.26986056939245145</v>
      </c>
      <c r="AZ37" s="59">
        <f>'C1-Incomes'!BA39/'C1-Incomes'!$AX39</f>
        <v>0.12635470818473027</v>
      </c>
      <c r="BA37" s="59">
        <f>'C1-Incomes'!BB39/'C1-Incomes'!$AX39</f>
        <v>9.2752582093922536E-2</v>
      </c>
      <c r="BB37" s="59">
        <f>'C1-Incomes'!BC39/'C1-Incomes'!$AX39</f>
        <v>4.5450313848065881E-2</v>
      </c>
      <c r="BC37" s="59">
        <f>'C1-Incomes'!BD39/'C1-Incomes'!$AX39</f>
        <v>1.646200912152156E-2</v>
      </c>
      <c r="BD37" s="60"/>
      <c r="BE37" s="60"/>
      <c r="BF37" s="59">
        <f>'C1-Incomes'!BG39/'C1-Incomes'!$BF39</f>
        <v>0.38314340968374749</v>
      </c>
      <c r="BG37" s="59">
        <f>'C1-Incomes'!BH39/'C1-Incomes'!$BF39</f>
        <v>0.26576501180355788</v>
      </c>
      <c r="BH37" s="59">
        <f>'C1-Incomes'!BI39/'C1-Incomes'!$BF39</f>
        <v>0.12432323570423709</v>
      </c>
      <c r="BI37" s="59">
        <f>'C1-Incomes'!BJ39/'C1-Incomes'!$BF39</f>
        <v>9.1426428487943745E-2</v>
      </c>
      <c r="BJ37" s="59">
        <f>'C1-Incomes'!BK39/'C1-Incomes'!$BF39</f>
        <v>4.5012667195000231E-2</v>
      </c>
      <c r="BK37" s="59">
        <f>'C1-Incomes'!BL39/'C1-Incomes'!$BF39</f>
        <v>1.6351217974247788E-2</v>
      </c>
      <c r="BL37" s="59"/>
      <c r="BM37" s="59"/>
      <c r="BN37" s="59">
        <f>'C1-Incomes'!BO39/'C1-Incomes'!$BN39</f>
        <v>0.35376136845026274</v>
      </c>
      <c r="BO37" s="59">
        <f>'C1-Incomes'!BP39/'C1-Incomes'!$BN39</f>
        <v>0.24593455583043569</v>
      </c>
      <c r="BP37" s="59">
        <f>'C1-Incomes'!BQ39/'C1-Incomes'!$BN39</f>
        <v>0.11417176859008872</v>
      </c>
      <c r="BQ37" s="59">
        <f>'C1-Incomes'!BR39/'C1-Incomes'!$BN39</f>
        <v>8.444746299787298E-2</v>
      </c>
      <c r="BR37" s="59">
        <f>'C1-Incomes'!BS39/'C1-Incomes'!$BN39</f>
        <v>4.2624540468132958E-2</v>
      </c>
      <c r="BS37" s="59">
        <f>'C1-Incomes'!BT39/'C1-Incomes'!$BN39</f>
        <v>1.5819078954333248E-2</v>
      </c>
      <c r="BT37" s="59"/>
      <c r="BU37" s="59"/>
      <c r="BV37" s="59">
        <f>'C1-Incomes'!BW39/'C1-Incomes'!$BV39</f>
        <v>0.35657108696311468</v>
      </c>
      <c r="BW37" s="59">
        <f>'C1-Incomes'!BX39/'C1-Incomes'!$BV39</f>
        <v>0.24904215568129881</v>
      </c>
      <c r="BX37" s="59">
        <f>'C1-Incomes'!BY39/'C1-Incomes'!$BV39</f>
        <v>0.117369918919983</v>
      </c>
      <c r="BY37" s="59">
        <f>'C1-Incomes'!BZ39/'C1-Incomes'!$BV39</f>
        <v>8.7459010272054952E-2</v>
      </c>
      <c r="BZ37" s="59">
        <f>'C1-Incomes'!CA39/'C1-Incomes'!$BV39</f>
        <v>4.5042883079313034E-2</v>
      </c>
      <c r="CA37" s="59">
        <f>'C1-Incomes'!CB39/'C1-Incomes'!$BV39</f>
        <v>1.7122106953893903E-2</v>
      </c>
      <c r="CB37" s="60"/>
      <c r="CC37" s="198"/>
      <c r="CD37" s="59">
        <f>'C1-Incomes'!CE39/'C1-Incomes'!$CD39</f>
        <v>0.36261372419759336</v>
      </c>
      <c r="CE37" s="59">
        <f>'C1-Incomes'!CF39/'C1-Incomes'!$CD39</f>
        <v>0.25475418725858878</v>
      </c>
      <c r="CF37" s="59">
        <f>'C1-Incomes'!CG39/'C1-Incomes'!$CD39</f>
        <v>0.12197138346488783</v>
      </c>
      <c r="CG37" s="59">
        <f>'C1-Incomes'!CH39/'C1-Incomes'!$CD39</f>
        <v>9.151217164074138E-2</v>
      </c>
      <c r="CH37" s="59">
        <f>'C1-Incomes'!CI39/'C1-Incomes'!$CD39</f>
        <v>4.7800886041399579E-2</v>
      </c>
      <c r="CI37" s="59">
        <f>'C1-Incomes'!CJ39/'C1-Incomes'!$CD39</f>
        <v>1.8488288012387475E-2</v>
      </c>
      <c r="CL37" s="59">
        <f>'C1-Incomes'!CM39/'C1-Incomes'!$CL39</f>
        <v>0.36501437603470027</v>
      </c>
      <c r="CM37" s="59">
        <f>'C1-Incomes'!CN39/'C1-Incomes'!$CL39</f>
        <v>0.25688988050650596</v>
      </c>
      <c r="CN37" s="59">
        <f>'C1-Incomes'!CO39/'C1-Incomes'!$CL39</f>
        <v>0.12321526644963668</v>
      </c>
      <c r="CO37" s="59">
        <f>'C1-Incomes'!CP39/'C1-Incomes'!$CL39</f>
        <v>9.2520922426007082E-2</v>
      </c>
      <c r="CP37" s="59">
        <f>'C1-Incomes'!CQ39/'C1-Incomes'!$CL39</f>
        <v>4.8534143699541274E-2</v>
      </c>
      <c r="CQ37" s="59">
        <f>'C1-Incomes'!CR39/'C1-Incomes'!$CL39</f>
        <v>1.8865335666122928E-2</v>
      </c>
      <c r="CR37" s="59"/>
      <c r="CS37" s="59"/>
      <c r="CT37" s="59">
        <f>'C1-Incomes'!CU39/'C1-Incomes'!$CT39</f>
        <v>0.36794120468381414</v>
      </c>
      <c r="CU37" s="59">
        <f>'C1-Incomes'!CV39/'C1-Incomes'!$CT39</f>
        <v>0.25937725074256301</v>
      </c>
      <c r="CV37" s="59">
        <f>'C1-Incomes'!CW39/'C1-Incomes'!$CT39</f>
        <v>0.12507149211871718</v>
      </c>
      <c r="CW37" s="59">
        <f>'C1-Incomes'!CX39/'C1-Incomes'!$CT39</f>
        <v>9.4084165755533078E-2</v>
      </c>
      <c r="CX37" s="59">
        <f>'C1-Incomes'!CY39/'C1-Incomes'!$CT39</f>
        <v>4.9553126192855762E-2</v>
      </c>
      <c r="CY37" s="59">
        <f>'C1-Incomes'!CZ39/'C1-Incomes'!$CT39</f>
        <v>1.9363194855088767E-2</v>
      </c>
      <c r="CZ37" s="59"/>
      <c r="DA37" s="59"/>
      <c r="DB37" s="59">
        <f>'C1-Incomes'!DC39/'C1-Incomes'!$DB39</f>
        <v>0.37143305282858835</v>
      </c>
      <c r="DC37" s="59">
        <f>'C1-Incomes'!DD39/'C1-Incomes'!$DB39</f>
        <v>0.26237944570837124</v>
      </c>
      <c r="DD37" s="59">
        <f>'C1-Incomes'!DE39/'C1-Incomes'!$DB39</f>
        <v>0.12695061726522514</v>
      </c>
      <c r="DE37" s="59">
        <f>'C1-Incomes'!DF39/'C1-Incomes'!$DB39</f>
        <v>9.5566263070456015E-2</v>
      </c>
      <c r="DF37" s="59">
        <f>'C1-Incomes'!DG39/'C1-Incomes'!$DB39</f>
        <v>5.0467815451556798E-2</v>
      </c>
      <c r="DG37" s="59">
        <f>'C1-Incomes'!DH39/'C1-Incomes'!$DB39</f>
        <v>1.9829746205591806E-2</v>
      </c>
      <c r="DH37" s="59"/>
      <c r="DI37" s="1039"/>
      <c r="DJ37" s="59">
        <f>'C1-Incomes'!DK39/'C1-Incomes'!$DJ39</f>
        <v>0.36685691495262907</v>
      </c>
      <c r="DK37" s="59">
        <f>'C1-Incomes'!DL39/'C1-Incomes'!$DJ39</f>
        <v>0.25994703563516075</v>
      </c>
      <c r="DL37" s="59">
        <f>'C1-Incomes'!DM39/'C1-Incomes'!$DJ39</f>
        <v>0.12657919939364323</v>
      </c>
      <c r="DM37" s="59">
        <f>'C1-Incomes'!DN39/'C1-Incomes'!$DJ39</f>
        <v>9.5296277769504889E-2</v>
      </c>
      <c r="DN37" s="59">
        <f>'C1-Incomes'!DO39/'C1-Incomes'!$DJ39</f>
        <v>5.012449581484775E-2</v>
      </c>
      <c r="DO37" s="59">
        <f>'C1-Incomes'!DP39/'C1-Incomes'!$DJ39</f>
        <v>1.9683229000072688E-2</v>
      </c>
      <c r="DP37" s="696"/>
      <c r="DQ37" s="503"/>
      <c r="DR37" s="59">
        <f>'C1-Incomes'!DS39/'C1-Incomes'!$DR39</f>
        <v>0.36578321333811181</v>
      </c>
      <c r="DS37" s="59">
        <f>'C1-Incomes'!DT39/'C1-Incomes'!$DR39</f>
        <v>0.25857162001747436</v>
      </c>
      <c r="DT37" s="59">
        <f>'C1-Incomes'!DU39/'C1-Incomes'!$DR39</f>
        <v>0.12510375060278933</v>
      </c>
      <c r="DU37" s="59">
        <f>'C1-Incomes'!DV39/'C1-Incomes'!$DR39</f>
        <v>9.4059293611913966E-2</v>
      </c>
      <c r="DV37" s="59">
        <f>'C1-Incomes'!DW39/'C1-Incomes'!$DR39</f>
        <v>4.9311088700273675E-2</v>
      </c>
      <c r="DW37" s="59">
        <f>'C1-Incomes'!DX39/'C1-Incomes'!$DR39</f>
        <v>1.9284428916707921E-2</v>
      </c>
      <c r="DX37" s="333"/>
      <c r="DZ37" s="59">
        <f>'C1-Incomes'!EA39/'C1-Incomes'!$DZ39</f>
        <v>0.35781406711432967</v>
      </c>
      <c r="EA37" s="59">
        <f>'C1-Incomes'!EB39/'C1-Incomes'!$DZ39</f>
        <v>0.25086984528198447</v>
      </c>
      <c r="EB37" s="59">
        <f>'C1-Incomes'!EC39/'C1-Incomes'!$DZ39</f>
        <v>0.11991726883445361</v>
      </c>
      <c r="EC37" s="59">
        <f>'C1-Incomes'!ED39/'C1-Incomes'!$DZ39</f>
        <v>8.990179511250293E-2</v>
      </c>
      <c r="ED37" s="59">
        <f>'C1-Incomes'!EE39/'C1-Incomes'!$DZ39</f>
        <v>4.6991090475420445E-2</v>
      </c>
      <c r="EE37" s="59">
        <f>'C1-Incomes'!EF39/'C1-Incomes'!$DZ39</f>
        <v>1.8347610837982486E-2</v>
      </c>
      <c r="EF37" s="59"/>
      <c r="EH37" s="59">
        <f>'C1-Incomes'!EI39/'C1-Incomes'!$EH39</f>
        <v>0.35058972383096693</v>
      </c>
      <c r="EI37" s="59">
        <f>'C1-Incomes'!EJ39/'C1-Incomes'!$EH39</f>
        <v>0.24351490582823482</v>
      </c>
      <c r="EJ37" s="59">
        <f>'C1-Incomes'!EK39/'C1-Incomes'!$EH39</f>
        <v>0.11426077179454276</v>
      </c>
      <c r="EK37" s="59">
        <f>'C1-Incomes'!EL39/'C1-Incomes'!$EH39</f>
        <v>8.5427868769642021E-2</v>
      </c>
      <c r="EL37" s="59">
        <f>'C1-Incomes'!EM39/'C1-Incomes'!$EH39</f>
        <v>4.4526595057238466E-2</v>
      </c>
      <c r="EM37" s="59">
        <f>'C1-Incomes'!EN39/'C1-Incomes'!$EH39</f>
        <v>1.7363082707962364E-2</v>
      </c>
      <c r="EN37" s="59"/>
      <c r="EO37" s="59"/>
      <c r="EP37" s="59">
        <f>'C1-Incomes'!EQ39/'C1-Incomes'!$EH39</f>
        <v>0.36679977280710524</v>
      </c>
      <c r="EQ37" s="59">
        <f>'C1-Incomes'!ER39/'C1-Incomes'!$EH39</f>
        <v>0.25379587814629256</v>
      </c>
      <c r="ER37" s="59">
        <f>'C1-Incomes'!ES39/'C1-Incomes'!$EH39</f>
        <v>0.1177260087864003</v>
      </c>
      <c r="ES37" s="59">
        <f>'C1-Incomes'!ET39/'C1-Incomes'!$EH39</f>
        <v>8.7490274084895722E-2</v>
      </c>
      <c r="ET37" s="59">
        <f>'C1-Incomes'!EU39/'C1-Incomes'!$EH39</f>
        <v>4.5276618510255419E-2</v>
      </c>
      <c r="EU37" s="59">
        <f>'C1-Incomes'!EV39/'C1-Incomes'!$EH39</f>
        <v>1.7551234776436709E-2</v>
      </c>
      <c r="EV37" s="59"/>
      <c r="EW37" s="59"/>
      <c r="EX37" s="59">
        <f>'C1-Incomes'!EY39/'C1-Incomes'!$EX39</f>
        <v>0.34506484492522677</v>
      </c>
      <c r="EY37" s="59">
        <f>'C1-Incomes'!EZ39/'C1-Incomes'!$EX39</f>
        <v>0.23763634771975164</v>
      </c>
      <c r="EZ37" s="59">
        <f>'C1-Incomes'!FA39/'C1-Incomes'!$EX39</f>
        <v>0.10924309169780609</v>
      </c>
      <c r="FA37" s="59">
        <f>'C1-Incomes'!FB39/'C1-Incomes'!$EX39</f>
        <v>8.1003623843812642E-2</v>
      </c>
      <c r="FB37" s="59">
        <f>'C1-Incomes'!FC39/'C1-Incomes'!$EX39</f>
        <v>4.1813383006239879E-2</v>
      </c>
      <c r="FC37" s="59">
        <f>'C1-Incomes'!FD39/'C1-Incomes'!$EX39</f>
        <v>1.6167497023730836E-2</v>
      </c>
      <c r="FD37" s="59"/>
      <c r="FF37" s="59">
        <f>'C1-Incomes'!FG39/'C1-Incomes'!$FF39</f>
        <v>0.33170915530436168</v>
      </c>
      <c r="FG37" s="59">
        <f>'C1-Incomes'!FH39/'C1-Incomes'!$FF39</f>
        <v>0.22801864484231529</v>
      </c>
      <c r="FH37" s="59">
        <f>'C1-Incomes'!FI39/'C1-Incomes'!$FF39</f>
        <v>0.10447410240713817</v>
      </c>
      <c r="FI37" s="59">
        <f>'C1-Incomes'!FJ39/'C1-Incomes'!$FF39</f>
        <v>7.7341946502125405E-2</v>
      </c>
      <c r="FJ37" s="59">
        <f>'C1-Incomes'!FK39/'C1-Incomes'!$FF39</f>
        <v>3.983066632120217E-2</v>
      </c>
      <c r="FK37" s="59">
        <f>'C1-Incomes'!FL39/'C1-Incomes'!$FF39</f>
        <v>1.5377455194490517E-2</v>
      </c>
      <c r="FN37" s="59">
        <f>'C1-Incomes'!FO39/'C1-Incomes'!$FN39</f>
        <v>0.33027493742256009</v>
      </c>
      <c r="FO37" s="59">
        <f>'C1-Incomes'!FP39/'C1-Incomes'!$FN39</f>
        <v>0.22694753374237417</v>
      </c>
      <c r="FP37" s="59">
        <f>'C1-Incomes'!FQ39/'C1-Incomes'!$FN39</f>
        <v>0.10393665697769444</v>
      </c>
      <c r="FQ37" s="59">
        <f>'C1-Incomes'!FR39/'C1-Incomes'!$FN39</f>
        <v>7.6969914129009206E-2</v>
      </c>
      <c r="FR37" s="59">
        <f>'C1-Incomes'!FS39/'C1-Incomes'!$FN39</f>
        <v>3.9636385277357578E-2</v>
      </c>
      <c r="FS37" s="59">
        <f>'C1-Incomes'!FT39/'C1-Incomes'!$FN39</f>
        <v>1.5302373138027009E-2</v>
      </c>
      <c r="FV37" s="59">
        <f>'C1-Incomes'!FW39/'C1-Incomes'!$FV39</f>
        <v>0.32601566489574152</v>
      </c>
      <c r="FW37" s="59">
        <f>'C1-Incomes'!FX39/'C1-Incomes'!$FV39</f>
        <v>0.22395982182140353</v>
      </c>
      <c r="FX37" s="59">
        <f>'C1-Incomes'!FY39/'C1-Incomes'!$FV39</f>
        <v>0.10252633621499502</v>
      </c>
      <c r="FY37" s="59">
        <f>'C1-Incomes'!FZ39/'C1-Incomes'!$FV39</f>
        <v>7.5917670274644772E-2</v>
      </c>
      <c r="FZ37" s="59">
        <f>'C1-Incomes'!GA39/'C1-Incomes'!$FV39</f>
        <v>3.9089392362516871E-2</v>
      </c>
      <c r="GA37" s="59">
        <f>'C1-Incomes'!GB39/'C1-Incomes'!$FV39</f>
        <v>1.5090264334811402E-2</v>
      </c>
      <c r="GE37" s="59">
        <f>'C1-Incomes'!GF39/'C1-Incomes'!$GE39</f>
        <v>0.32116399379274363</v>
      </c>
      <c r="GF37" s="59">
        <f>'C1-Incomes'!GG39/'C1-Incomes'!$GE39</f>
        <v>0.22034418621110102</v>
      </c>
      <c r="GG37" s="59">
        <f>'C1-Incomes'!GH39/'C1-Incomes'!$GE39</f>
        <v>0.10065635359557674</v>
      </c>
      <c r="GH37" s="59">
        <f>'C1-Incomes'!GI39/'C1-Incomes'!$GE39</f>
        <v>7.4522168795678786E-2</v>
      </c>
      <c r="GI37" s="59">
        <f>'C1-Incomes'!GJ39/'C1-Incomes'!$GE39</f>
        <v>3.8357477316868671E-2</v>
      </c>
      <c r="GJ37" s="59">
        <f>'C1-Incomes'!GK39/'C1-Incomes'!$GE39</f>
        <v>1.4809596874742465E-2</v>
      </c>
      <c r="GM37" s="59">
        <f>'C1-Incomes'!GN39/'C1-Incomes'!$GM39</f>
        <v>0.31249051451924331</v>
      </c>
      <c r="GN37" s="59">
        <f>'C1-Incomes'!GO39/'C1-Incomes'!$GM39</f>
        <v>0.21439348573073647</v>
      </c>
      <c r="GO37" s="59">
        <f>'C1-Incomes'!GP39/'C1-Incomes'!$GM39</f>
        <v>9.7937989104130208E-2</v>
      </c>
      <c r="GP37" s="59">
        <f>'C1-Incomes'!GQ39/'C1-Incomes'!$GM39</f>
        <v>7.2509594226430135E-2</v>
      </c>
      <c r="GQ37" s="59">
        <f>'C1-Incomes'!GR39/'C1-Incomes'!$GM39</f>
        <v>3.73215804202E-2</v>
      </c>
      <c r="GR37" s="59">
        <f>'C1-Incomes'!GS39/'C1-Incomes'!$GM39</f>
        <v>1.4409643162543749E-2</v>
      </c>
      <c r="GU37" s="59">
        <f>'C1-Incomes'!GV39/'C1-Incomes'!$GU39</f>
        <v>0.29094934599907235</v>
      </c>
      <c r="GV37" s="59">
        <f>'C1-Incomes'!GW39/'C1-Incomes'!$GU39</f>
        <v>0.195323285663864</v>
      </c>
      <c r="GW37" s="59">
        <f>'C1-Incomes'!GX39/'C1-Incomes'!$GU39</f>
        <v>8.5563897424820637E-2</v>
      </c>
      <c r="GX37" s="59">
        <f>'C1-Incomes'!GY39/'C1-Incomes'!$GU39</f>
        <v>6.2542692804477829E-2</v>
      </c>
      <c r="GY37" s="59">
        <f>'C1-Incomes'!GZ39/'C1-Incomes'!$GU39</f>
        <v>3.158170330562949E-2</v>
      </c>
      <c r="GZ37" s="59">
        <f>'C1-Incomes'!HA39/'C1-Incomes'!$GU39</f>
        <v>1.2108790749689598E-2</v>
      </c>
      <c r="HC37" s="59">
        <f>'C1-Incomes'!HD39/'C1-Incomes'!$HC39</f>
        <v>0.28657529777806473</v>
      </c>
      <c r="HD37" s="59">
        <f>'C1-Incomes'!HE39/'C1-Incomes'!$HC39</f>
        <v>0.19130254520095469</v>
      </c>
      <c r="HE37" s="59">
        <f>'C1-Incomes'!HF39/'C1-Incomes'!$HC39</f>
        <v>8.2907239570666605E-2</v>
      </c>
      <c r="HF37" s="59">
        <f>'C1-Incomes'!HG39/'C1-Incomes'!$HC39</f>
        <v>6.0483281351067369E-2</v>
      </c>
      <c r="HG37" s="59">
        <f>'C1-Incomes'!HH39/'C1-Incomes'!$HC39</f>
        <v>3.0367804839253974E-2</v>
      </c>
      <c r="HH37" s="59">
        <f>'C1-Incomes'!HI39/'C1-Incomes'!$HC39</f>
        <v>1.1625783276586841E-2</v>
      </c>
      <c r="HK37" s="59">
        <f>'C1-Incomes'!HL39/'C1-Incomes'!$HK39</f>
        <v>0.28378231148150923</v>
      </c>
      <c r="HL37" s="59">
        <f>'C1-Incomes'!HM39/'C1-Incomes'!$HK39</f>
        <v>0.18884110383927019</v>
      </c>
      <c r="HM37" s="59">
        <f>'C1-Incomes'!HN39/'C1-Incomes'!$HK39</f>
        <v>8.1331992838475059E-2</v>
      </c>
      <c r="HN37" s="59">
        <f>'C1-Incomes'!HO39/'C1-Incomes'!$HK39</f>
        <v>5.9147569714194777E-2</v>
      </c>
      <c r="HO37" s="59">
        <f>'C1-Incomes'!HP39/'C1-Incomes'!$HK39</f>
        <v>2.9523010680588123E-2</v>
      </c>
      <c r="HP37" s="59">
        <f>'C1-Incomes'!HQ39/'C1-Incomes'!$HK39</f>
        <v>1.1226380137938483E-2</v>
      </c>
      <c r="HS37" s="59">
        <f>'C1-Incomes'!HT39/'C1-Incomes'!$HS39</f>
        <v>0.27961930173206301</v>
      </c>
      <c r="HT37" s="59">
        <f>'C1-Incomes'!HU39/'C1-Incomes'!$HS39</f>
        <v>0.18569039554125721</v>
      </c>
      <c r="HU37" s="59">
        <f>'C1-Incomes'!HV39/'C1-Incomes'!$HS39</f>
        <v>7.9578011800082546E-2</v>
      </c>
      <c r="HV37" s="59">
        <f>'C1-Incomes'!HW39/'C1-Incomes'!$HS39</f>
        <v>5.7775065774384925E-2</v>
      </c>
      <c r="HW37" s="59">
        <f>'C1-Incomes'!HX39/'C1-Incomes'!$HS39</f>
        <v>2.8740918722297684E-2</v>
      </c>
      <c r="HX37" s="59">
        <f>'C1-Incomes'!HY39/'C1-Incomes'!$HS39</f>
        <v>1.0902129563647897E-2</v>
      </c>
      <c r="IA37" s="59">
        <f>'C1-Incomes'!IB39/'C1-Incomes'!$IA39</f>
        <v>0.28487074512054361</v>
      </c>
      <c r="IB37" s="59">
        <f>'C1-Incomes'!IC39/'C1-Incomes'!$IA39</f>
        <v>0.19184738834270434</v>
      </c>
      <c r="IC37" s="59">
        <f>'C1-Incomes'!ID39/'C1-Incomes'!$IA39</f>
        <v>8.4648723137939141E-2</v>
      </c>
      <c r="ID37" s="59">
        <f>'C1-Incomes'!IE39/'C1-Incomes'!$IA39</f>
        <v>6.2031293354824754E-2</v>
      </c>
      <c r="IE37" s="59">
        <f>'C1-Incomes'!IF39/'C1-Incomes'!$IA39</f>
        <v>3.1169445439808759E-2</v>
      </c>
      <c r="IF37" s="59">
        <f>'C1-Incomes'!IG39/'C1-Incomes'!$IA39</f>
        <v>1.1889783824624427E-2</v>
      </c>
      <c r="II37" s="59">
        <f>'C1-Incomes'!IJ39/'C1-Incomes'!$II39</f>
        <v>0.28559449572912149</v>
      </c>
      <c r="IJ37" s="59">
        <f>'C1-Incomes'!IK39/'C1-Incomes'!$II39</f>
        <v>0.1931751206087893</v>
      </c>
      <c r="IK37" s="59">
        <f>'C1-Incomes'!IL39/'C1-Incomes'!$II39</f>
        <v>8.5841601565141312E-2</v>
      </c>
      <c r="IL37" s="59">
        <f>'C1-Incomes'!IM39/'C1-Incomes'!$II39</f>
        <v>6.3039280107132528E-2</v>
      </c>
      <c r="IM37" s="59">
        <f>'C1-Incomes'!IN39/'C1-Incomes'!$II39</f>
        <v>3.1700047946303038E-2</v>
      </c>
      <c r="IN37" s="59">
        <f>'C1-Incomes'!IO39/'C1-Incomes'!$II39</f>
        <v>1.2106148002866201E-2</v>
      </c>
      <c r="IQ37" s="59">
        <f>'C1-Incomes'!IR39/'C1-Incomes'!$IQ39</f>
        <v>0.28425637840701184</v>
      </c>
      <c r="IR37" s="59">
        <f>'C1-Incomes'!IS39/'C1-Incomes'!$IQ39</f>
        <v>0.19211658851747171</v>
      </c>
      <c r="IS37" s="59">
        <f>'C1-Incomes'!IT39/'C1-Incomes'!$IQ39</f>
        <v>8.522909790831612E-2</v>
      </c>
      <c r="IT37" s="59">
        <f>'C1-Incomes'!IU39/'C1-Incomes'!$IQ39</f>
        <v>6.2563548688056553E-2</v>
      </c>
      <c r="IU37" s="59">
        <f>'C1-Incomes'!IV39/'C1-Incomes'!$IQ39</f>
        <v>3.1427475066021705E-2</v>
      </c>
      <c r="IV37" s="59">
        <f>'C1-Incomes'!IW39/'C1-Incomes'!$IQ39</f>
        <v>1.1998424611126607E-2</v>
      </c>
      <c r="IY37" s="59">
        <f>'C1-Incomes'!IZ39/'C1-Incomes'!$IY39</f>
        <v>0.26471943382483232</v>
      </c>
      <c r="IZ37" s="59">
        <f>'C1-Incomes'!JA39/'C1-Incomes'!$IY39</f>
        <v>0.17736821085124152</v>
      </c>
      <c r="JA37" s="59">
        <f>'C1-Incomes'!JB39/'C1-Incomes'!$IY39</f>
        <v>7.7543395194042242E-2</v>
      </c>
      <c r="JB37" s="59">
        <f>'C1-Incomes'!JC39/'C1-Incomes'!$IY39</f>
        <v>5.6727574382337428E-2</v>
      </c>
      <c r="JC37" s="59">
        <f>'C1-Incomes'!JD39/'C1-Incomes'!$IY39</f>
        <v>2.8345510161212839E-2</v>
      </c>
      <c r="JD37" s="59">
        <f>'C1-Incomes'!JE39/'C1-Incomes'!$IY39</f>
        <v>1.0792844588228758E-2</v>
      </c>
      <c r="JE37" s="197"/>
      <c r="JF37" s="197"/>
      <c r="JG37" s="197"/>
      <c r="JH37" s="197"/>
      <c r="JI37" s="197"/>
      <c r="JJ37" s="197"/>
      <c r="JK37" s="197"/>
      <c r="JL37" s="197"/>
      <c r="JM37" s="197"/>
      <c r="JN37" s="197"/>
      <c r="JO37" s="197"/>
      <c r="JP37" s="197"/>
      <c r="JQ37" s="197"/>
      <c r="JR37" s="197"/>
      <c r="JS37" s="197"/>
      <c r="JT37" s="197"/>
      <c r="JU37" s="197"/>
      <c r="JV37" s="197"/>
      <c r="JW37" s="197"/>
      <c r="JX37" s="197"/>
      <c r="JY37" s="197"/>
      <c r="JZ37" s="197"/>
      <c r="KA37" s="197"/>
      <c r="KB37" s="197"/>
      <c r="KC37" s="197"/>
      <c r="KD37" s="197"/>
      <c r="KE37" s="197"/>
      <c r="KF37" s="197"/>
      <c r="KG37" s="197"/>
      <c r="KH37" s="197"/>
      <c r="KI37" s="197"/>
      <c r="KJ37" s="197"/>
      <c r="KK37" s="197"/>
      <c r="KL37" s="197"/>
      <c r="KM37" s="197"/>
      <c r="KN37" s="197"/>
      <c r="KO37" s="197"/>
      <c r="KP37" s="197"/>
      <c r="KQ37" s="197"/>
      <c r="KR37" s="197"/>
      <c r="KS37" s="197"/>
      <c r="KT37" s="197"/>
      <c r="KU37" s="197"/>
      <c r="KV37" s="197"/>
      <c r="KW37" s="197"/>
      <c r="KX37" s="197"/>
      <c r="KY37" s="197"/>
      <c r="KZ37" s="197"/>
      <c r="LA37" s="197"/>
      <c r="LB37" s="197"/>
      <c r="LC37" s="197"/>
      <c r="LD37" s="197"/>
      <c r="LE37" s="197"/>
      <c r="LF37" s="197"/>
      <c r="LG37" s="197"/>
      <c r="LH37" s="197"/>
      <c r="LI37" s="197"/>
      <c r="LJ37" s="197"/>
      <c r="LK37" s="197"/>
      <c r="LL37" s="197"/>
      <c r="LM37" s="197"/>
      <c r="LN37" s="197"/>
      <c r="LO37" s="197"/>
      <c r="LP37" s="197"/>
      <c r="LQ37" s="197"/>
      <c r="LR37" s="197"/>
      <c r="LS37" s="197"/>
      <c r="LT37" s="197"/>
      <c r="LU37" s="197"/>
      <c r="LV37" s="197"/>
      <c r="LW37" s="197"/>
      <c r="LX37" s="197"/>
      <c r="LY37" s="197"/>
      <c r="LZ37" s="197"/>
      <c r="MA37" s="197"/>
      <c r="MB37" s="197"/>
      <c r="MC37" s="197"/>
      <c r="MD37" s="197"/>
      <c r="ME37" s="197"/>
      <c r="MF37" s="197"/>
      <c r="MG37" s="197"/>
      <c r="MH37" s="197"/>
      <c r="MI37" s="197"/>
      <c r="MJ37" s="197"/>
      <c r="MK37" s="197"/>
      <c r="ML37" s="197"/>
      <c r="MM37" s="197"/>
      <c r="MN37" s="197"/>
      <c r="MO37" s="197"/>
      <c r="MP37" s="197"/>
      <c r="MQ37" s="197"/>
      <c r="MR37" s="197"/>
      <c r="MS37" s="197"/>
      <c r="MT37" s="197"/>
      <c r="MU37" s="197"/>
      <c r="MV37" s="197"/>
      <c r="MW37" s="197"/>
      <c r="MX37" s="197"/>
      <c r="MY37" s="197"/>
      <c r="MZ37" s="197"/>
      <c r="NA37" s="197"/>
      <c r="NB37" s="197"/>
      <c r="NC37" s="197"/>
      <c r="ND37" s="197"/>
      <c r="NE37" s="197"/>
      <c r="NF37" s="197"/>
      <c r="NG37" s="197"/>
      <c r="NH37" s="197"/>
      <c r="NI37" s="197"/>
      <c r="NJ37" s="197"/>
      <c r="NK37" s="197"/>
      <c r="NL37" s="197"/>
      <c r="NM37" s="197"/>
      <c r="NN37" s="197"/>
      <c r="NO37" s="197"/>
      <c r="NP37" s="197"/>
      <c r="NQ37" s="197"/>
      <c r="NR37" s="197"/>
      <c r="NS37" s="197"/>
      <c r="NT37" s="197"/>
      <c r="NU37" s="197"/>
      <c r="NV37" s="197"/>
      <c r="NW37" s="197"/>
      <c r="NX37" s="197"/>
      <c r="NY37" s="197"/>
      <c r="NZ37" s="197"/>
      <c r="OA37" s="197"/>
      <c r="OB37" s="197"/>
      <c r="OC37" s="197"/>
      <c r="OD37" s="197"/>
      <c r="OE37" s="197"/>
      <c r="OF37" s="197"/>
      <c r="OG37" s="197"/>
      <c r="OH37" s="197"/>
      <c r="OI37" s="197"/>
      <c r="OJ37" s="197"/>
      <c r="OK37" s="197"/>
      <c r="OL37" s="197"/>
      <c r="OM37" s="197"/>
      <c r="ON37" s="197"/>
      <c r="OO37" s="197"/>
      <c r="OP37" s="197"/>
      <c r="OQ37" s="197"/>
      <c r="OR37" s="197"/>
      <c r="OS37" s="197"/>
      <c r="OT37" s="197"/>
      <c r="OU37" s="197"/>
      <c r="OV37" s="197"/>
      <c r="OW37" s="197"/>
      <c r="OX37" s="197"/>
      <c r="OY37" s="197"/>
      <c r="OZ37" s="197"/>
      <c r="PA37" s="197"/>
      <c r="PB37" s="197"/>
    </row>
    <row r="38" spans="1:418" s="77" customFormat="1" ht="10.5" customHeight="1" x14ac:dyDescent="0.2">
      <c r="A38" s="48">
        <v>1992</v>
      </c>
      <c r="B38" s="59">
        <f>'C1-Incomes'!C40/'C1-Incomes'!$B40</f>
        <v>0.40341504603599893</v>
      </c>
      <c r="C38" s="59">
        <f>'C1-Incomes'!D40/'C1-Incomes'!$B40</f>
        <v>0.28336563107276574</v>
      </c>
      <c r="D38" s="59">
        <f>'C1-Incomes'!E40/'C1-Incomes'!$B40</f>
        <v>0.13713010130934056</v>
      </c>
      <c r="E38" s="59">
        <f>'C1-Incomes'!F40/'C1-Incomes'!$B40</f>
        <v>0.10262876488301831</v>
      </c>
      <c r="F38" s="59">
        <f>'C1-Incomes'!G40/'C1-Incomes'!$B40</f>
        <v>5.2580334301827993E-2</v>
      </c>
      <c r="G38" s="59">
        <f>'C1-Incomes'!H40/'C1-Incomes'!$B40</f>
        <v>2.0278814066895613E-2</v>
      </c>
      <c r="H38" s="199"/>
      <c r="J38" s="59">
        <f>'C1-Incomes'!K40/'C1-Incomes'!$J40</f>
        <v>0.35484914978920135</v>
      </c>
      <c r="K38" s="59">
        <f>'C1-Incomes'!L40/'C1-Incomes'!$J40</f>
        <v>0.24668701922948114</v>
      </c>
      <c r="L38" s="59">
        <f>'C1-Incomes'!M40/'C1-Incomes'!$J40</f>
        <v>0.11597736769774794</v>
      </c>
      <c r="M38" s="59">
        <f>'C1-Incomes'!N40/'C1-Incomes'!$J40</f>
        <v>8.703580531355036E-2</v>
      </c>
      <c r="N38" s="59">
        <f>'C1-Incomes'!O40/'C1-Incomes'!$J40</f>
        <v>4.6206088990362666E-2</v>
      </c>
      <c r="O38" s="59">
        <f>'C1-Incomes'!P40/'C1-Incomes'!$J40</f>
        <v>1.8609267929936467E-2</v>
      </c>
      <c r="P38" s="59"/>
      <c r="R38" s="59">
        <f>'C1-Incomes'!S40/'C1-Incomes'!$R40</f>
        <v>0.31925322876161699</v>
      </c>
      <c r="S38" s="59">
        <f>'C1-Incomes'!T40/'C1-Incomes'!$R40</f>
        <v>0.22108954851499077</v>
      </c>
      <c r="T38" s="59">
        <f>'C1-Incomes'!U40/'C1-Incomes'!$R40</f>
        <v>0.10321475471347732</v>
      </c>
      <c r="U38" s="59">
        <f>'C1-Incomes'!V40/'C1-Incomes'!$R40</f>
        <v>7.7307585986207905E-2</v>
      </c>
      <c r="V38" s="59">
        <f>'C1-Incomes'!W40/'C1-Incomes'!$R40</f>
        <v>4.0969559818766474E-2</v>
      </c>
      <c r="W38" s="59">
        <f>'C1-Incomes'!X40/'C1-Incomes'!$R40</f>
        <v>1.6470007918465472E-2</v>
      </c>
      <c r="X38" s="59"/>
      <c r="Y38" s="59"/>
      <c r="Z38" s="59">
        <f>'C1-Incomes'!AA40/'C1-Incomes'!$Z40</f>
        <v>0.26766900829428297</v>
      </c>
      <c r="AA38" s="59">
        <f>'C1-Incomes'!AB40/'C1-Incomes'!$Z40</f>
        <v>0.18022502006200194</v>
      </c>
      <c r="AB38" s="59">
        <f>'C1-Incomes'!AC40/'C1-Incomes'!$Z40</f>
        <v>7.9735921906976981E-2</v>
      </c>
      <c r="AC38" s="59">
        <f>'C1-Incomes'!AD40/'C1-Incomes'!$Z40</f>
        <v>5.8714775373391113E-2</v>
      </c>
      <c r="AD38" s="59">
        <f>'C1-Incomes'!AE40/'C1-Incomes'!$Z40</f>
        <v>3.0105916666723426E-2</v>
      </c>
      <c r="AE38" s="59">
        <f>'C1-Incomes'!AF40/'C1-Incomes'!$Z40</f>
        <v>1.1805333398846445E-2</v>
      </c>
      <c r="AF38" s="200"/>
      <c r="AG38" s="195"/>
      <c r="AH38" s="59">
        <f>'C1-Incomes'!AI40/'C1-Incomes'!$AH40</f>
        <v>0.39721076999379212</v>
      </c>
      <c r="AI38" s="59">
        <f>'C1-Incomes'!AJ40/'C1-Incomes'!$AH40</f>
        <v>0.27846392890170479</v>
      </c>
      <c r="AJ38" s="59">
        <f>'C1-Incomes'!AK40/'C1-Incomes'!$AH40</f>
        <v>0.1344665552317757</v>
      </c>
      <c r="AK38" s="59">
        <f>'C1-Incomes'!AL40/'C1-Incomes'!$AH40</f>
        <v>0.10055817557130375</v>
      </c>
      <c r="AL38" s="59">
        <f>'C1-Incomes'!AM40/'C1-Incomes'!$AH40</f>
        <v>5.1493866049428717E-2</v>
      </c>
      <c r="AM38" s="59">
        <f>'C1-Incomes'!AN40/'C1-Incomes'!$AH40</f>
        <v>1.9899649120411117E-2</v>
      </c>
      <c r="AN38" s="195"/>
      <c r="AO38" s="195"/>
      <c r="AP38" s="59"/>
      <c r="AQ38" s="59"/>
      <c r="AR38" s="59"/>
      <c r="AS38" s="59"/>
      <c r="AT38" s="59"/>
      <c r="AU38" s="59"/>
      <c r="AV38" s="197"/>
      <c r="AW38" s="60"/>
      <c r="AX38" s="59">
        <f>'C1-Incomes'!AY40/'C1-Incomes'!$AX40</f>
        <v>0.40086248775675293</v>
      </c>
      <c r="AY38" s="59">
        <f>'C1-Incomes'!AZ40/'C1-Incomes'!$AX40</f>
        <v>0.28226467873084099</v>
      </c>
      <c r="AZ38" s="59">
        <f>'C1-Incomes'!BA40/'C1-Incomes'!$AX40</f>
        <v>0.13765965188224497</v>
      </c>
      <c r="BA38" s="59">
        <f>'C1-Incomes'!BB40/'C1-Incomes'!$AX40</f>
        <v>0.10327605590068377</v>
      </c>
      <c r="BB38" s="59">
        <f>'C1-Incomes'!BC40/'C1-Incomes'!$AX40</f>
        <v>5.295166223748099E-2</v>
      </c>
      <c r="BC38" s="59">
        <f>'C1-Incomes'!BD40/'C1-Incomes'!$AX40</f>
        <v>2.0350994547340066E-2</v>
      </c>
      <c r="BD38" s="60"/>
      <c r="BE38" s="60"/>
      <c r="BF38" s="59">
        <f>'C1-Incomes'!BG40/'C1-Incomes'!$BF40</f>
        <v>0.3955459027274088</v>
      </c>
      <c r="BG38" s="59">
        <f>'C1-Incomes'!BH40/'C1-Incomes'!$BF40</f>
        <v>0.27821231089550469</v>
      </c>
      <c r="BH38" s="59">
        <f>'C1-Incomes'!BI40/'C1-Incomes'!$BF40</f>
        <v>0.13580396868183453</v>
      </c>
      <c r="BI38" s="59">
        <f>'C1-Incomes'!BJ40/'C1-Incomes'!$BF40</f>
        <v>0.10207902776377299</v>
      </c>
      <c r="BJ38" s="59">
        <f>'C1-Incomes'!BK40/'C1-Incomes'!$BF40</f>
        <v>5.2598759765261162E-2</v>
      </c>
      <c r="BK38" s="59">
        <f>'C1-Incomes'!BL40/'C1-Incomes'!$BF40</f>
        <v>2.0234280723633723E-2</v>
      </c>
      <c r="BL38" s="59"/>
      <c r="BM38" s="59"/>
      <c r="BN38" s="59">
        <f>'C1-Incomes'!BO40/'C1-Incomes'!$BN40</f>
        <v>0.36672156496210273</v>
      </c>
      <c r="BO38" s="59">
        <f>'C1-Incomes'!BP40/'C1-Incomes'!$BN40</f>
        <v>0.25800015547154115</v>
      </c>
      <c r="BP38" s="59">
        <f>'C1-Incomes'!BQ40/'C1-Incomes'!$BN40</f>
        <v>0.12527151639312997</v>
      </c>
      <c r="BQ38" s="59">
        <f>'C1-Incomes'!BR40/'C1-Incomes'!$BN40</f>
        <v>9.4686310648044378E-2</v>
      </c>
      <c r="BR38" s="59">
        <f>'C1-Incomes'!BS40/'C1-Incomes'!$BN40</f>
        <v>4.9650101149069113E-2</v>
      </c>
      <c r="BS38" s="59">
        <f>'C1-Incomes'!BT40/'C1-Incomes'!$BN40</f>
        <v>1.9333843773579933E-2</v>
      </c>
      <c r="BT38" s="59"/>
      <c r="BU38" s="59"/>
      <c r="BV38" s="59">
        <f>'C1-Incomes'!BW40/'C1-Incomes'!$BV40</f>
        <v>0.36940187913394418</v>
      </c>
      <c r="BW38" s="59">
        <f>'C1-Incomes'!BX40/'C1-Incomes'!$BV40</f>
        <v>0.2612110436629434</v>
      </c>
      <c r="BX38" s="59">
        <f>'C1-Incomes'!BY40/'C1-Incomes'!$BV40</f>
        <v>0.12835934955831774</v>
      </c>
      <c r="BY38" s="59">
        <f>'C1-Incomes'!BZ40/'C1-Incomes'!$BV40</f>
        <v>9.7671616054967908E-2</v>
      </c>
      <c r="BZ38" s="59">
        <f>'C1-Incomes'!CA40/'C1-Incomes'!$BV40</f>
        <v>5.2158866696927743E-2</v>
      </c>
      <c r="CA38" s="59">
        <f>'C1-Incomes'!CB40/'C1-Incomes'!$BV40</f>
        <v>2.0765092198330629E-2</v>
      </c>
      <c r="CB38" s="60"/>
      <c r="CC38" s="198"/>
      <c r="CD38" s="59">
        <f>'C1-Incomes'!CE40/'C1-Incomes'!$CD40</f>
        <v>0.37529177220138965</v>
      </c>
      <c r="CE38" s="59">
        <f>'C1-Incomes'!CF40/'C1-Incomes'!$CD40</f>
        <v>0.26731806424408738</v>
      </c>
      <c r="CF38" s="59">
        <f>'C1-Incomes'!CG40/'C1-Incomes'!$CD40</f>
        <v>0.13302907378088683</v>
      </c>
      <c r="CG38" s="59">
        <f>'C1-Incomes'!CH40/'C1-Incomes'!$CD40</f>
        <v>0.10153730313224738</v>
      </c>
      <c r="CH38" s="59">
        <f>'C1-Incomes'!CI40/'C1-Incomes'!$CD40</f>
        <v>5.5007827931963175E-2</v>
      </c>
      <c r="CI38" s="59">
        <f>'C1-Incomes'!CJ40/'C1-Incomes'!$CD40</f>
        <v>2.2239663042577195E-2</v>
      </c>
      <c r="CL38" s="59">
        <f>'C1-Incomes'!CM40/'C1-Incomes'!$CL40</f>
        <v>0.37820443168253198</v>
      </c>
      <c r="CM38" s="59">
        <f>'C1-Incomes'!CN40/'C1-Incomes'!$CL40</f>
        <v>0.26993983462514248</v>
      </c>
      <c r="CN38" s="59">
        <f>'C1-Incomes'!CO40/'C1-Incomes'!$CL40</f>
        <v>0.13451115004077571</v>
      </c>
      <c r="CO38" s="59">
        <f>'C1-Incomes'!CP40/'C1-Incomes'!$CL40</f>
        <v>0.10259803963156536</v>
      </c>
      <c r="CP38" s="59">
        <f>'C1-Incomes'!CQ40/'C1-Incomes'!$CL40</f>
        <v>5.583313137829872E-2</v>
      </c>
      <c r="CQ38" s="59">
        <f>'C1-Incomes'!CR40/'C1-Incomes'!$CL40</f>
        <v>2.2683196647056536E-2</v>
      </c>
      <c r="CR38" s="59"/>
      <c r="CS38" s="59"/>
      <c r="CT38" s="59">
        <f>'C1-Incomes'!CU40/'C1-Incomes'!$CT40</f>
        <v>0.38117877036539949</v>
      </c>
      <c r="CU38" s="59">
        <f>'C1-Incomes'!CV40/'C1-Incomes'!$CT40</f>
        <v>0.27275134725954825</v>
      </c>
      <c r="CV38" s="59">
        <f>'C1-Incomes'!CW40/'C1-Incomes'!$CT40</f>
        <v>0.13652165575970587</v>
      </c>
      <c r="CW38" s="59">
        <f>'C1-Incomes'!CX40/'C1-Incomes'!$CT40</f>
        <v>0.10423899489824509</v>
      </c>
      <c r="CX38" s="59">
        <f>'C1-Incomes'!CY40/'C1-Incomes'!$CT40</f>
        <v>5.6957496592330618E-2</v>
      </c>
      <c r="CY38" s="59">
        <f>'C1-Incomes'!CZ40/'C1-Incomes'!$CT40</f>
        <v>2.3224345808313965E-2</v>
      </c>
      <c r="CZ38" s="59"/>
      <c r="DA38" s="59"/>
      <c r="DB38" s="59">
        <f>'C1-Incomes'!DC40/'C1-Incomes'!$DB40</f>
        <v>0.38352421919620772</v>
      </c>
      <c r="DC38" s="59">
        <f>'C1-Incomes'!DD40/'C1-Incomes'!$DB40</f>
        <v>0.27477155676296866</v>
      </c>
      <c r="DD38" s="59">
        <f>'C1-Incomes'!DE40/'C1-Incomes'!$DB40</f>
        <v>0.13796739962166549</v>
      </c>
      <c r="DE38" s="59">
        <f>'C1-Incomes'!DF40/'C1-Incomes'!$DB40</f>
        <v>0.10533698126813323</v>
      </c>
      <c r="DF38" s="59">
        <f>'C1-Incomes'!DG40/'C1-Incomes'!$DB40</f>
        <v>5.7625632476737201E-2</v>
      </c>
      <c r="DG38" s="59">
        <f>'C1-Incomes'!DH40/'C1-Incomes'!$DB40</f>
        <v>2.3633731915102756E-2</v>
      </c>
      <c r="DH38" s="59"/>
      <c r="DI38" s="1039"/>
      <c r="DJ38" s="59">
        <f>'C1-Incomes'!DK40/'C1-Incomes'!$DJ40</f>
        <v>0.37604439390107847</v>
      </c>
      <c r="DK38" s="59">
        <f>'C1-Incomes'!DL40/'C1-Incomes'!$DJ40</f>
        <v>0.26951486788866669</v>
      </c>
      <c r="DL38" s="59">
        <f>'C1-Incomes'!DM40/'C1-Incomes'!$DJ40</f>
        <v>0.13432078216802679</v>
      </c>
      <c r="DM38" s="59">
        <f>'C1-Incomes'!DN40/'C1-Incomes'!$DJ40</f>
        <v>0.10233157040312739</v>
      </c>
      <c r="DN38" s="59">
        <f>'C1-Incomes'!DO40/'C1-Incomes'!$DJ40</f>
        <v>5.5478148283757474E-2</v>
      </c>
      <c r="DO38" s="59">
        <f>'C1-Incomes'!DP40/'C1-Incomes'!$DJ40</f>
        <v>2.267726712315055E-2</v>
      </c>
      <c r="DP38" s="696"/>
      <c r="DQ38" s="503"/>
      <c r="DR38" s="59">
        <f>'C1-Incomes'!DS40/'C1-Incomes'!$DR40</f>
        <v>0.37488363595133578</v>
      </c>
      <c r="DS38" s="59">
        <f>'C1-Incomes'!DT40/'C1-Incomes'!$DR40</f>
        <v>0.26804875569036885</v>
      </c>
      <c r="DT38" s="59">
        <f>'C1-Incomes'!DU40/'C1-Incomes'!$DR40</f>
        <v>0.13270819001394604</v>
      </c>
      <c r="DU38" s="59">
        <f>'C1-Incomes'!DV40/'C1-Incomes'!$DR40</f>
        <v>0.10090811937010938</v>
      </c>
      <c r="DV38" s="59">
        <f>'C1-Incomes'!DW40/'C1-Incomes'!$DR40</f>
        <v>5.445914953769327E-2</v>
      </c>
      <c r="DW38" s="59">
        <f>'C1-Incomes'!DX40/'C1-Incomes'!$DR40</f>
        <v>2.2165963517695255E-2</v>
      </c>
      <c r="DX38" s="333"/>
      <c r="DZ38" s="59">
        <f>'C1-Incomes'!EA40/'C1-Incomes'!$DZ40</f>
        <v>0.36681600283178012</v>
      </c>
      <c r="EA38" s="59">
        <f>'C1-Incomes'!EB40/'C1-Incomes'!$DZ40</f>
        <v>0.26015937020765345</v>
      </c>
      <c r="EB38" s="59">
        <f>'C1-Incomes'!EC40/'C1-Incomes'!$DZ40</f>
        <v>0.12721493819185356</v>
      </c>
      <c r="EC38" s="59">
        <f>'C1-Incomes'!ED40/'C1-Incomes'!$DZ40</f>
        <v>9.6463350734853306E-2</v>
      </c>
      <c r="ED38" s="59">
        <f>'C1-Incomes'!EE40/'C1-Incomes'!$DZ40</f>
        <v>5.1878758477375178E-2</v>
      </c>
      <c r="EE38" s="59">
        <f>'C1-Incomes'!EF40/'C1-Incomes'!$DZ40</f>
        <v>2.1079195047792005E-2</v>
      </c>
      <c r="EF38" s="59"/>
      <c r="EH38" s="59">
        <f>'C1-Incomes'!EI40/'C1-Incomes'!$EH40</f>
        <v>0.35896319743709787</v>
      </c>
      <c r="EI38" s="59">
        <f>'C1-Incomes'!EJ40/'C1-Incomes'!$EH40</f>
        <v>0.25169648994121552</v>
      </c>
      <c r="EJ38" s="59">
        <f>'C1-Incomes'!EK40/'C1-Incomes'!$EH40</f>
        <v>0.12091263770766777</v>
      </c>
      <c r="EK38" s="59">
        <f>'C1-Incomes'!EL40/'C1-Incomes'!$EH40</f>
        <v>9.1324407744490646E-2</v>
      </c>
      <c r="EL38" s="59">
        <f>'C1-Incomes'!EM40/'C1-Incomes'!$EH40</f>
        <v>4.8973966062105703E-2</v>
      </c>
      <c r="EM38" s="59">
        <f>'C1-Incomes'!EN40/'C1-Incomes'!$EH40</f>
        <v>1.9867446147990561E-2</v>
      </c>
      <c r="EN38" s="59"/>
      <c r="EO38" s="59"/>
      <c r="EP38" s="59">
        <f>'C1-Incomes'!EQ40/'C1-Incomes'!$EH40</f>
        <v>0.37865984916259804</v>
      </c>
      <c r="EQ38" s="59">
        <f>'C1-Incomes'!ER40/'C1-Incomes'!$EH40</f>
        <v>0.26465091603449237</v>
      </c>
      <c r="ER38" s="59">
        <f>'C1-Incomes'!ES40/'C1-Incomes'!$EH40</f>
        <v>0.12541976418829209</v>
      </c>
      <c r="ES38" s="59">
        <f>'C1-Incomes'!ET40/'C1-Incomes'!$EH40</f>
        <v>9.4225944093446784E-2</v>
      </c>
      <c r="ET38" s="59">
        <f>'C1-Incomes'!EU40/'C1-Incomes'!$EH40</f>
        <v>5.0159508029544227E-2</v>
      </c>
      <c r="EU38" s="59">
        <f>'C1-Incomes'!EV40/'C1-Incomes'!$EH40</f>
        <v>2.0228797910920176E-2</v>
      </c>
      <c r="EV38" s="59"/>
      <c r="EW38" s="59"/>
      <c r="EX38" s="59">
        <f>'C1-Incomes'!EY40/'C1-Incomes'!$EX40</f>
        <v>0.35484914978920135</v>
      </c>
      <c r="EY38" s="59">
        <f>'C1-Incomes'!EZ40/'C1-Incomes'!$EX40</f>
        <v>0.24668701922948114</v>
      </c>
      <c r="EZ38" s="59">
        <f>'C1-Incomes'!FA40/'C1-Incomes'!$EX40</f>
        <v>0.11597736769774794</v>
      </c>
      <c r="FA38" s="59">
        <f>'C1-Incomes'!FB40/'C1-Incomes'!$EX40</f>
        <v>8.703580531355036E-2</v>
      </c>
      <c r="FB38" s="59">
        <f>'C1-Incomes'!FC40/'C1-Incomes'!$EX40</f>
        <v>4.6206088990362666E-2</v>
      </c>
      <c r="FC38" s="59">
        <f>'C1-Incomes'!FD40/'C1-Incomes'!$EX40</f>
        <v>1.8609267929936467E-2</v>
      </c>
      <c r="FD38" s="59"/>
      <c r="FF38" s="59">
        <f>'C1-Incomes'!FG40/'C1-Incomes'!$FF40</f>
        <v>0.34091560748926136</v>
      </c>
      <c r="FG38" s="59">
        <f>'C1-Incomes'!FH40/'C1-Incomes'!$FF40</f>
        <v>0.23656909243139848</v>
      </c>
      <c r="FH38" s="59">
        <f>'C1-Incomes'!FI40/'C1-Incomes'!$FF40</f>
        <v>0.11076124169123606</v>
      </c>
      <c r="FI38" s="59">
        <f>'C1-Incomes'!FJ40/'C1-Incomes'!$FF40</f>
        <v>8.297159543291073E-2</v>
      </c>
      <c r="FJ38" s="59">
        <f>'C1-Incomes'!FK40/'C1-Incomes'!$FF40</f>
        <v>4.3990320859802201E-2</v>
      </c>
      <c r="FK38" s="59">
        <f>'C1-Incomes'!FL40/'C1-Incomes'!$FF40</f>
        <v>1.7686928451596983E-2</v>
      </c>
      <c r="FN38" s="59">
        <f>'C1-Incomes'!FO40/'C1-Incomes'!$FN40</f>
        <v>0.33886725588575134</v>
      </c>
      <c r="FO38" s="59">
        <f>'C1-Incomes'!FP40/'C1-Incomes'!$FN40</f>
        <v>0.23500541806826628</v>
      </c>
      <c r="FP38" s="59">
        <f>'C1-Incomes'!FQ40/'C1-Incomes'!$FN40</f>
        <v>0.11001517735552679</v>
      </c>
      <c r="FQ38" s="59">
        <f>'C1-Incomes'!FR40/'C1-Incomes'!$FN40</f>
        <v>8.2410577916022701E-2</v>
      </c>
      <c r="FR38" s="59">
        <f>'C1-Incomes'!FS40/'C1-Incomes'!$FN40</f>
        <v>4.3691892787713592E-2</v>
      </c>
      <c r="FS38" s="59">
        <f>'C1-Incomes'!FT40/'C1-Incomes'!$FN40</f>
        <v>1.7566729397219882E-2</v>
      </c>
      <c r="FV38" s="59">
        <f>'C1-Incomes'!FW40/'C1-Incomes'!$FV40</f>
        <v>0.33419872156344305</v>
      </c>
      <c r="FW38" s="59">
        <f>'C1-Incomes'!FX40/'C1-Incomes'!$FV40</f>
        <v>0.23170691756761583</v>
      </c>
      <c r="FX38" s="59">
        <f>'C1-Incomes'!FY40/'C1-Incomes'!$FV40</f>
        <v>0.10842885484768344</v>
      </c>
      <c r="FY38" s="59">
        <f>'C1-Incomes'!FZ40/'C1-Incomes'!$FV40</f>
        <v>8.1214455636104022E-2</v>
      </c>
      <c r="FZ38" s="59">
        <f>'C1-Incomes'!GA40/'C1-Incomes'!$FV40</f>
        <v>4.305254848917741E-2</v>
      </c>
      <c r="GA38" s="59">
        <f>'C1-Incomes'!GB40/'C1-Incomes'!$FV40</f>
        <v>1.7308725106573788E-2</v>
      </c>
      <c r="GE38" s="59">
        <f>'C1-Incomes'!GF40/'C1-Incomes'!$GE40</f>
        <v>0.32893621838918197</v>
      </c>
      <c r="GF38" s="59">
        <f>'C1-Incomes'!GG40/'C1-Incomes'!$GE40</f>
        <v>0.22779522166773497</v>
      </c>
      <c r="GG38" s="59">
        <f>'C1-Incomes'!GH40/'C1-Incomes'!$GE40</f>
        <v>0.1063452708970694</v>
      </c>
      <c r="GH38" s="59">
        <f>'C1-Incomes'!GI40/'C1-Incomes'!$GE40</f>
        <v>7.9652334561313112E-2</v>
      </c>
      <c r="GI38" s="59">
        <f>'C1-Incomes'!GJ40/'C1-Incomes'!$GE40</f>
        <v>4.2212171598480806E-2</v>
      </c>
      <c r="GJ38" s="59">
        <f>'C1-Incomes'!GK40/'C1-Incomes'!$GE40</f>
        <v>1.6969545280887875E-2</v>
      </c>
      <c r="GM38" s="59">
        <f>'C1-Incomes'!GN40/'C1-Incomes'!$GM40</f>
        <v>0.31925322876161699</v>
      </c>
      <c r="GN38" s="59">
        <f>'C1-Incomes'!GO40/'C1-Incomes'!$GM40</f>
        <v>0.22108954851499077</v>
      </c>
      <c r="GO38" s="59">
        <f>'C1-Incomes'!GP40/'C1-Incomes'!$GM40</f>
        <v>0.10321475471347732</v>
      </c>
      <c r="GP38" s="59">
        <f>'C1-Incomes'!GQ40/'C1-Incomes'!$GM40</f>
        <v>7.7307585986207905E-2</v>
      </c>
      <c r="GQ38" s="59">
        <f>'C1-Incomes'!GR40/'C1-Incomes'!$GM40</f>
        <v>4.0969559818766474E-2</v>
      </c>
      <c r="GR38" s="59">
        <f>'C1-Incomes'!GS40/'C1-Incomes'!$GM40</f>
        <v>1.6470007918465472E-2</v>
      </c>
      <c r="GU38" s="59">
        <f>'C1-Incomes'!GV40/'C1-Incomes'!$GU40</f>
        <v>0.29670642024591293</v>
      </c>
      <c r="GV38" s="59">
        <f>'C1-Incomes'!GW40/'C1-Incomes'!$GU40</f>
        <v>0.20091117877574255</v>
      </c>
      <c r="GW38" s="59">
        <f>'C1-Incomes'!GX40/'C1-Incomes'!$GU40</f>
        <v>8.9372035158106211E-2</v>
      </c>
      <c r="GX38" s="59">
        <f>'C1-Incomes'!GY40/'C1-Incomes'!$GU40</f>
        <v>6.5882704026125408E-2</v>
      </c>
      <c r="GY38" s="59">
        <f>'C1-Incomes'!GZ40/'C1-Incomes'!$GU40</f>
        <v>3.4194833572966002E-2</v>
      </c>
      <c r="GZ38" s="59">
        <f>'C1-Incomes'!HA40/'C1-Incomes'!$GU40</f>
        <v>1.3563831068815632E-2</v>
      </c>
      <c r="HC38" s="59">
        <f>'C1-Incomes'!HD40/'C1-Incomes'!$HC40</f>
        <v>0.29203282862488539</v>
      </c>
      <c r="HD38" s="59">
        <f>'C1-Incomes'!HE40/'C1-Incomes'!$HC40</f>
        <v>0.19660484891237778</v>
      </c>
      <c r="HE38" s="59">
        <f>'C1-Incomes'!HF40/'C1-Incomes'!$HC40</f>
        <v>8.6426886690285379E-2</v>
      </c>
      <c r="HF38" s="59">
        <f>'C1-Incomes'!HG40/'C1-Incomes'!$HC40</f>
        <v>6.3493507289850815E-2</v>
      </c>
      <c r="HG38" s="59">
        <f>'C1-Incomes'!HH40/'C1-Incomes'!$HC40</f>
        <v>3.2774731283062478E-2</v>
      </c>
      <c r="HH38" s="59">
        <f>'C1-Incomes'!HI40/'C1-Incomes'!$HC40</f>
        <v>1.298854181670818E-2</v>
      </c>
      <c r="HK38" s="59">
        <f>'C1-Incomes'!HL40/'C1-Incomes'!$HK40</f>
        <v>0.28848880577335911</v>
      </c>
      <c r="HL38" s="59">
        <f>'C1-Incomes'!HM40/'C1-Incomes'!$HK40</f>
        <v>0.19347900866719378</v>
      </c>
      <c r="HM38" s="59">
        <f>'C1-Incomes'!HN40/'C1-Incomes'!$HK40</f>
        <v>8.4516360276928548E-2</v>
      </c>
      <c r="HN38" s="59">
        <f>'C1-Incomes'!HO40/'C1-Incomes'!$HK40</f>
        <v>6.1974938164918482E-2</v>
      </c>
      <c r="HO38" s="59">
        <f>'C1-Incomes'!HP40/'C1-Incomes'!$HK40</f>
        <v>3.1745810599813962E-2</v>
      </c>
      <c r="HP38" s="59">
        <f>'C1-Incomes'!HQ40/'C1-Incomes'!$HK40</f>
        <v>1.2471303957092927E-2</v>
      </c>
      <c r="HS38" s="59">
        <f>'C1-Incomes'!HT40/'C1-Incomes'!$HS40</f>
        <v>0.28428166246914915</v>
      </c>
      <c r="HT38" s="59">
        <f>'C1-Incomes'!HU40/'C1-Incomes'!$HS40</f>
        <v>0.18989456247377964</v>
      </c>
      <c r="HU38" s="59">
        <f>'C1-Incomes'!HV40/'C1-Incomes'!$HS40</f>
        <v>8.2588528603035422E-2</v>
      </c>
      <c r="HV38" s="59">
        <f>'C1-Incomes'!HW40/'C1-Incomes'!$HS40</f>
        <v>6.048194719463193E-2</v>
      </c>
      <c r="HW38" s="59">
        <f>'C1-Incomes'!HX40/'C1-Incomes'!$HS40</f>
        <v>3.0874036751758368E-2</v>
      </c>
      <c r="HX38" s="59">
        <f>'C1-Incomes'!HY40/'C1-Incomes'!$HS40</f>
        <v>1.2102596394743564E-2</v>
      </c>
      <c r="IA38" s="59">
        <f>'C1-Incomes'!IB40/'C1-Incomes'!$IA40</f>
        <v>0.28874529559442197</v>
      </c>
      <c r="IB38" s="59">
        <f>'C1-Incomes'!IC40/'C1-Incomes'!$IA40</f>
        <v>0.19584156868431957</v>
      </c>
      <c r="IC38" s="59">
        <f>'C1-Incomes'!ID40/'C1-Incomes'!$IA40</f>
        <v>8.7706690734544568E-2</v>
      </c>
      <c r="ID38" s="59">
        <f>'C1-Incomes'!IE40/'C1-Incomes'!$IA40</f>
        <v>6.4793642917690394E-2</v>
      </c>
      <c r="IE38" s="59">
        <f>'C1-Incomes'!IF40/'C1-Incomes'!$IA40</f>
        <v>3.3444929210350756E-2</v>
      </c>
      <c r="IF38" s="59">
        <f>'C1-Incomes'!IG40/'C1-Incomes'!$IA40</f>
        <v>1.318284036606064E-2</v>
      </c>
      <c r="II38" s="59">
        <f>'C1-Incomes'!IJ40/'C1-Incomes'!$II40</f>
        <v>0.28914275100702702</v>
      </c>
      <c r="IJ38" s="59">
        <f>'C1-Incomes'!IK40/'C1-Incomes'!$II40</f>
        <v>0.19690299333655145</v>
      </c>
      <c r="IK38" s="59">
        <f>'C1-Incomes'!IL40/'C1-Incomes'!$II40</f>
        <v>8.8826246838682968E-2</v>
      </c>
      <c r="IL38" s="59">
        <f>'C1-Incomes'!IM40/'C1-Incomes'!$II40</f>
        <v>6.5620661638947919E-2</v>
      </c>
      <c r="IM38" s="59">
        <f>'C1-Incomes'!IN40/'C1-Incomes'!$II40</f>
        <v>3.390281339389286E-2</v>
      </c>
      <c r="IN38" s="59">
        <f>'C1-Incomes'!IO40/'C1-Incomes'!$II40</f>
        <v>1.3360561976932592E-2</v>
      </c>
      <c r="IQ38" s="59">
        <f>'C1-Incomes'!IR40/'C1-Incomes'!$IQ40</f>
        <v>0.2867313826813031</v>
      </c>
      <c r="IR38" s="59">
        <f>'C1-Incomes'!IS40/'C1-Incomes'!$IQ40</f>
        <v>0.19495144158581457</v>
      </c>
      <c r="IS38" s="59">
        <f>'C1-Incomes'!IT40/'C1-Incomes'!$IQ40</f>
        <v>8.763105616605156E-2</v>
      </c>
      <c r="IT38" s="59">
        <f>'C1-Incomes'!IU40/'C1-Incomes'!$IQ40</f>
        <v>6.4670467846733151E-2</v>
      </c>
      <c r="IU38" s="59">
        <f>'C1-Incomes'!IV40/'C1-Incomes'!$IQ40</f>
        <v>3.3317723228214753E-2</v>
      </c>
      <c r="IV38" s="59">
        <f>'C1-Incomes'!IW40/'C1-Incomes'!$IQ40</f>
        <v>1.310910476255347E-2</v>
      </c>
      <c r="IY38" s="59">
        <f>'C1-Incomes'!IZ40/'C1-Incomes'!$IY40</f>
        <v>0.26766900829428297</v>
      </c>
      <c r="IZ38" s="59">
        <f>'C1-Incomes'!JA40/'C1-Incomes'!$IY40</f>
        <v>0.18022502006200194</v>
      </c>
      <c r="JA38" s="59">
        <f>'C1-Incomes'!JB40/'C1-Incomes'!$IY40</f>
        <v>7.9735921906976981E-2</v>
      </c>
      <c r="JB38" s="59">
        <f>'C1-Incomes'!JC40/'C1-Incomes'!$IY40</f>
        <v>5.8714775373391113E-2</v>
      </c>
      <c r="JC38" s="59">
        <f>'C1-Incomes'!JD40/'C1-Incomes'!$IY40</f>
        <v>3.0105916666723426E-2</v>
      </c>
      <c r="JD38" s="59">
        <f>'C1-Incomes'!JE40/'C1-Incomes'!$IY40</f>
        <v>1.1805333398846445E-2</v>
      </c>
      <c r="JE38" s="197"/>
      <c r="JF38" s="197"/>
      <c r="JG38" s="197"/>
      <c r="JH38" s="197"/>
      <c r="JI38" s="197"/>
      <c r="JJ38" s="197"/>
      <c r="JK38" s="197"/>
      <c r="JL38" s="197"/>
      <c r="JM38" s="197"/>
      <c r="JN38" s="197"/>
      <c r="JO38" s="197"/>
      <c r="JP38" s="197"/>
      <c r="JQ38" s="197"/>
      <c r="JR38" s="197"/>
      <c r="JS38" s="197"/>
      <c r="JT38" s="197"/>
      <c r="JU38" s="197"/>
      <c r="JV38" s="197"/>
      <c r="JW38" s="197"/>
      <c r="JX38" s="197"/>
      <c r="JY38" s="197"/>
      <c r="JZ38" s="197"/>
      <c r="KA38" s="197"/>
      <c r="KB38" s="197"/>
      <c r="KC38" s="197"/>
      <c r="KD38" s="197"/>
      <c r="KE38" s="197"/>
      <c r="KF38" s="197"/>
      <c r="KG38" s="197"/>
      <c r="KH38" s="197"/>
      <c r="KI38" s="197"/>
      <c r="KJ38" s="197"/>
      <c r="KK38" s="197"/>
      <c r="KL38" s="197"/>
      <c r="KM38" s="197"/>
      <c r="KN38" s="197"/>
      <c r="KO38" s="197"/>
      <c r="KP38" s="197"/>
      <c r="KQ38" s="197"/>
      <c r="KR38" s="197"/>
      <c r="KS38" s="197"/>
      <c r="KT38" s="197"/>
      <c r="KU38" s="197"/>
      <c r="KV38" s="197"/>
      <c r="KW38" s="197"/>
      <c r="KX38" s="197"/>
      <c r="KY38" s="197"/>
      <c r="KZ38" s="197"/>
      <c r="LA38" s="197"/>
      <c r="LB38" s="197"/>
      <c r="LC38" s="197"/>
      <c r="LD38" s="197"/>
      <c r="LE38" s="197"/>
      <c r="LF38" s="197"/>
      <c r="LG38" s="197"/>
      <c r="LH38" s="197"/>
      <c r="LI38" s="197"/>
      <c r="LJ38" s="197"/>
      <c r="LK38" s="197"/>
      <c r="LL38" s="197"/>
      <c r="LM38" s="197"/>
      <c r="LN38" s="197"/>
      <c r="LO38" s="197"/>
      <c r="LP38" s="197"/>
      <c r="LQ38" s="197"/>
      <c r="LR38" s="197"/>
      <c r="LS38" s="197"/>
      <c r="LT38" s="197"/>
      <c r="LU38" s="197"/>
      <c r="LV38" s="197"/>
      <c r="LW38" s="197"/>
      <c r="LX38" s="197"/>
      <c r="LY38" s="197"/>
      <c r="LZ38" s="197"/>
      <c r="MA38" s="197"/>
      <c r="MB38" s="197"/>
      <c r="MC38" s="197"/>
      <c r="MD38" s="197"/>
      <c r="ME38" s="197"/>
      <c r="MF38" s="197"/>
      <c r="MG38" s="197"/>
      <c r="MH38" s="197"/>
      <c r="MI38" s="197"/>
      <c r="MJ38" s="197"/>
      <c r="MK38" s="197"/>
      <c r="ML38" s="197"/>
      <c r="MM38" s="197"/>
      <c r="MN38" s="197"/>
      <c r="MO38" s="197"/>
      <c r="MP38" s="197"/>
      <c r="MQ38" s="197"/>
      <c r="MR38" s="197"/>
      <c r="MS38" s="197"/>
      <c r="MT38" s="197"/>
      <c r="MU38" s="197"/>
      <c r="MV38" s="197"/>
      <c r="MW38" s="197"/>
      <c r="MX38" s="197"/>
      <c r="MY38" s="197"/>
      <c r="MZ38" s="197"/>
      <c r="NA38" s="197"/>
      <c r="NB38" s="197"/>
      <c r="NC38" s="197"/>
      <c r="ND38" s="197"/>
      <c r="NE38" s="197"/>
      <c r="NF38" s="197"/>
      <c r="NG38" s="197"/>
      <c r="NH38" s="197"/>
      <c r="NI38" s="197"/>
      <c r="NJ38" s="197"/>
      <c r="NK38" s="197"/>
      <c r="NL38" s="197"/>
      <c r="NM38" s="197"/>
      <c r="NN38" s="197"/>
      <c r="NO38" s="197"/>
      <c r="NP38" s="197"/>
      <c r="NQ38" s="197"/>
      <c r="NR38" s="197"/>
      <c r="NS38" s="197"/>
      <c r="NT38" s="197"/>
      <c r="NU38" s="197"/>
      <c r="NV38" s="197"/>
      <c r="NW38" s="197"/>
      <c r="NX38" s="197"/>
      <c r="NY38" s="197"/>
      <c r="NZ38" s="197"/>
      <c r="OA38" s="197"/>
      <c r="OB38" s="197"/>
      <c r="OC38" s="197"/>
      <c r="OD38" s="197"/>
      <c r="OE38" s="197"/>
      <c r="OF38" s="197"/>
      <c r="OG38" s="197"/>
      <c r="OH38" s="197"/>
      <c r="OI38" s="197"/>
      <c r="OJ38" s="197"/>
      <c r="OK38" s="197"/>
      <c r="OL38" s="197"/>
      <c r="OM38" s="197"/>
      <c r="ON38" s="197"/>
      <c r="OO38" s="197"/>
      <c r="OP38" s="197"/>
      <c r="OQ38" s="197"/>
      <c r="OR38" s="197"/>
      <c r="OS38" s="197"/>
      <c r="OT38" s="197"/>
      <c r="OU38" s="197"/>
      <c r="OV38" s="197"/>
      <c r="OW38" s="197"/>
      <c r="OX38" s="197"/>
      <c r="OY38" s="197"/>
      <c r="OZ38" s="197"/>
      <c r="PA38" s="197"/>
      <c r="PB38" s="197"/>
    </row>
    <row r="39" spans="1:418" s="77" customFormat="1" ht="10.5" customHeight="1" x14ac:dyDescent="0.2">
      <c r="A39" s="48">
        <v>1993</v>
      </c>
      <c r="B39" s="59">
        <f>'C1-Incomes'!C41/'C1-Incomes'!$B41</f>
        <v>0.40006578215136368</v>
      </c>
      <c r="C39" s="59">
        <f>'C1-Incomes'!D41/'C1-Incomes'!$B41</f>
        <v>0.27867788350358502</v>
      </c>
      <c r="D39" s="59">
        <f>'C1-Incomes'!E41/'C1-Incomes'!$B41</f>
        <v>0.13059955285752309</v>
      </c>
      <c r="E39" s="59">
        <f>'C1-Incomes'!F41/'C1-Incomes'!$B41</f>
        <v>9.6095845077877787E-2</v>
      </c>
      <c r="F39" s="59">
        <f>'C1-Incomes'!G41/'C1-Incomes'!$B41</f>
        <v>4.7776667215019976E-2</v>
      </c>
      <c r="G39" s="59">
        <f>'C1-Incomes'!H41/'C1-Incomes'!$B41</f>
        <v>1.7661044752872675E-2</v>
      </c>
      <c r="H39" s="199"/>
      <c r="J39" s="59">
        <f>'C1-Incomes'!K41/'C1-Incomes'!$J41</f>
        <v>0.35029756127374367</v>
      </c>
      <c r="K39" s="59">
        <f>'C1-Incomes'!L41/'C1-Incomes'!$J41</f>
        <v>0.24146683076109601</v>
      </c>
      <c r="L39" s="59">
        <f>'C1-Incomes'!M41/'C1-Incomes'!$J41</f>
        <v>0.10954075171346821</v>
      </c>
      <c r="M39" s="59">
        <f>'C1-Incomes'!N41/'C1-Incomes'!$J41</f>
        <v>8.1024764375888986E-2</v>
      </c>
      <c r="N39" s="59">
        <f>'C1-Incomes'!O41/'C1-Incomes'!$J41</f>
        <v>4.204719444165099E-2</v>
      </c>
      <c r="O39" s="59">
        <f>'C1-Incomes'!P41/'C1-Incomes'!$J41</f>
        <v>1.6635688300558744E-2</v>
      </c>
      <c r="P39" s="59"/>
      <c r="R39" s="59">
        <f>'C1-Incomes'!S41/'C1-Incomes'!$R41</f>
        <v>0.3143134658831519</v>
      </c>
      <c r="S39" s="59">
        <f>'C1-Incomes'!T41/'C1-Incomes'!$R41</f>
        <v>0.21571014469124491</v>
      </c>
      <c r="T39" s="59">
        <f>'C1-Incomes'!U41/'C1-Incomes'!$R41</f>
        <v>9.7294801851661686E-2</v>
      </c>
      <c r="U39" s="59">
        <f>'C1-Incomes'!V41/'C1-Incomes'!$R41</f>
        <v>7.1829241805680275E-2</v>
      </c>
      <c r="V39" s="59">
        <f>'C1-Incomes'!W41/'C1-Incomes'!$R41</f>
        <v>3.7198420910429769E-2</v>
      </c>
      <c r="W39" s="59">
        <f>'C1-Incomes'!X41/'C1-Incomes'!$R41</f>
        <v>1.4690935470748619E-2</v>
      </c>
      <c r="X39" s="59"/>
      <c r="Y39" s="59"/>
      <c r="Z39" s="59">
        <f>'C1-Incomes'!AA41/'C1-Incomes'!$Z41</f>
        <v>0.26218681391462734</v>
      </c>
      <c r="AA39" s="59">
        <f>'C1-Incomes'!AB41/'C1-Incomes'!$Z41</f>
        <v>0.17410927346041896</v>
      </c>
      <c r="AB39" s="59">
        <f>'C1-Incomes'!AC41/'C1-Incomes'!$Z41</f>
        <v>7.2809681793638795E-2</v>
      </c>
      <c r="AC39" s="59">
        <f>'C1-Incomes'!AD41/'C1-Incomes'!$Z41</f>
        <v>5.1971754010713293E-2</v>
      </c>
      <c r="AD39" s="59">
        <f>'C1-Incomes'!AE41/'C1-Incomes'!$Z41</f>
        <v>2.5405055818283017E-2</v>
      </c>
      <c r="AE39" s="59">
        <f>'C1-Incomes'!AF41/'C1-Incomes'!$Z41</f>
        <v>9.6715315888256815E-3</v>
      </c>
      <c r="AF39" s="200"/>
      <c r="AG39" s="195"/>
      <c r="AH39" s="59">
        <f>'C1-Incomes'!AI41/'C1-Incomes'!$AH41</f>
        <v>0.39402263644718033</v>
      </c>
      <c r="AI39" s="59">
        <f>'C1-Incomes'!AJ41/'C1-Incomes'!$AH41</f>
        <v>0.27389200677786368</v>
      </c>
      <c r="AJ39" s="59">
        <f>'C1-Incomes'!AK41/'C1-Incomes'!$AH41</f>
        <v>0.1280944031911771</v>
      </c>
      <c r="AK39" s="59">
        <f>'C1-Incomes'!AL41/'C1-Incomes'!$AH41</f>
        <v>9.4179645523130046E-2</v>
      </c>
      <c r="AL39" s="59">
        <f>'C1-Incomes'!AM41/'C1-Incomes'!$AH41</f>
        <v>4.6795806749031721E-2</v>
      </c>
      <c r="AM39" s="59">
        <f>'C1-Incomes'!AN41/'C1-Incomes'!$AH41</f>
        <v>1.7298687185651817E-2</v>
      </c>
      <c r="AN39" s="195"/>
      <c r="AO39" s="195"/>
      <c r="AP39" s="59"/>
      <c r="AQ39" s="59"/>
      <c r="AR39" s="59"/>
      <c r="AS39" s="59"/>
      <c r="AT39" s="59"/>
      <c r="AU39" s="59"/>
      <c r="AV39" s="197"/>
      <c r="AW39" s="60"/>
      <c r="AX39" s="59">
        <f>'C1-Incomes'!AY41/'C1-Incomes'!$AX41</f>
        <v>0.39743401790435762</v>
      </c>
      <c r="AY39" s="59">
        <f>'C1-Incomes'!AZ41/'C1-Incomes'!$AX41</f>
        <v>0.27775284682904133</v>
      </c>
      <c r="AZ39" s="59">
        <f>'C1-Incomes'!BA41/'C1-Incomes'!$AX41</f>
        <v>0.13120643049930747</v>
      </c>
      <c r="BA39" s="59">
        <f>'C1-Incomes'!BB41/'C1-Incomes'!$AX41</f>
        <v>9.6826244802667494E-2</v>
      </c>
      <c r="BB39" s="59">
        <f>'C1-Incomes'!BC41/'C1-Incomes'!$AX41</f>
        <v>4.8295863621442899E-2</v>
      </c>
      <c r="BC39" s="59">
        <f>'C1-Incomes'!BD41/'C1-Incomes'!$AX41</f>
        <v>1.7803546407320014E-2</v>
      </c>
      <c r="BD39" s="60"/>
      <c r="BE39" s="60"/>
      <c r="BF39" s="59">
        <f>'C1-Incomes'!BG41/'C1-Incomes'!$BF41</f>
        <v>0.39202452236669022</v>
      </c>
      <c r="BG39" s="59">
        <f>'C1-Incomes'!BH41/'C1-Incomes'!$BF41</f>
        <v>0.27368063785730201</v>
      </c>
      <c r="BH39" s="59">
        <f>'C1-Incomes'!BI41/'C1-Incomes'!$BF41</f>
        <v>0.1292984985578472</v>
      </c>
      <c r="BI39" s="59">
        <f>'C1-Incomes'!BJ41/'C1-Incomes'!$BF41</f>
        <v>9.5638728631336031E-2</v>
      </c>
      <c r="BJ39" s="59">
        <f>'C1-Incomes'!BK41/'C1-Incomes'!$BF41</f>
        <v>4.7933244527949018E-2</v>
      </c>
      <c r="BK39" s="59">
        <f>'C1-Incomes'!BL41/'C1-Incomes'!$BF41</f>
        <v>1.7708087874386481E-2</v>
      </c>
      <c r="BL39" s="59"/>
      <c r="BM39" s="59"/>
      <c r="BN39" s="59">
        <f>'C1-Incomes'!BO41/'C1-Incomes'!$BN41</f>
        <v>0.3613216552735497</v>
      </c>
      <c r="BO39" s="59">
        <f>'C1-Incomes'!BP41/'C1-Incomes'!$BN41</f>
        <v>0.25263490153448676</v>
      </c>
      <c r="BP39" s="59">
        <f>'C1-Incomes'!BQ41/'C1-Incomes'!$BN41</f>
        <v>0.11794091750620227</v>
      </c>
      <c r="BQ39" s="59">
        <f>'C1-Incomes'!BR41/'C1-Incomes'!$BN41</f>
        <v>8.7887782827915234E-2</v>
      </c>
      <c r="BR39" s="59">
        <f>'C1-Incomes'!BS41/'C1-Incomes'!$BN41</f>
        <v>4.5003312159455675E-2</v>
      </c>
      <c r="BS39" s="59">
        <f>'C1-Incomes'!BT41/'C1-Incomes'!$BN41</f>
        <v>1.6992801545248858E-2</v>
      </c>
      <c r="BT39" s="59"/>
      <c r="BU39" s="59"/>
      <c r="BV39" s="59">
        <f>'C1-Incomes'!BW41/'C1-Incomes'!$BV41</f>
        <v>0.36419411279399438</v>
      </c>
      <c r="BW39" s="59">
        <f>'C1-Incomes'!BX41/'C1-Incomes'!$BV41</f>
        <v>0.25581277624137011</v>
      </c>
      <c r="BX39" s="59">
        <f>'C1-Incomes'!BY41/'C1-Incomes'!$BV41</f>
        <v>0.12106439281110408</v>
      </c>
      <c r="BY39" s="59">
        <f>'C1-Incomes'!BZ41/'C1-Incomes'!$BV41</f>
        <v>9.0879977625275249E-2</v>
      </c>
      <c r="BZ39" s="59">
        <f>'C1-Incomes'!CA41/'C1-Incomes'!$BV41</f>
        <v>4.7290262132502869E-2</v>
      </c>
      <c r="CA39" s="59">
        <f>'C1-Incomes'!CB41/'C1-Incomes'!$BV41</f>
        <v>1.845428658667872E-2</v>
      </c>
      <c r="CB39" s="60"/>
      <c r="CC39" s="198"/>
      <c r="CD39" s="59">
        <f>'C1-Incomes'!CE41/'C1-Incomes'!$CD41</f>
        <v>0.37023288536965876</v>
      </c>
      <c r="CE39" s="59">
        <f>'C1-Incomes'!CF41/'C1-Incomes'!$CD41</f>
        <v>0.26183195191822795</v>
      </c>
      <c r="CF39" s="59">
        <f>'C1-Incomes'!CG41/'C1-Incomes'!$CD41</f>
        <v>0.12572459730839136</v>
      </c>
      <c r="CG39" s="59">
        <f>'C1-Incomes'!CH41/'C1-Incomes'!$CD41</f>
        <v>9.4672667525563178E-2</v>
      </c>
      <c r="CH39" s="59">
        <f>'C1-Incomes'!CI41/'C1-Incomes'!$CD41</f>
        <v>5.0056759170554022E-2</v>
      </c>
      <c r="CI39" s="59">
        <f>'C1-Incomes'!CJ41/'C1-Incomes'!$CD41</f>
        <v>1.986172604099281E-2</v>
      </c>
      <c r="CL39" s="59">
        <f>'C1-Incomes'!CM41/'C1-Incomes'!$CL41</f>
        <v>0.3736628601993161</v>
      </c>
      <c r="CM39" s="59">
        <f>'C1-Incomes'!CN41/'C1-Incomes'!$CL41</f>
        <v>0.26472216321457592</v>
      </c>
      <c r="CN39" s="59">
        <f>'C1-Incomes'!CO41/'C1-Incomes'!$CL41</f>
        <v>0.12742553331110071</v>
      </c>
      <c r="CO39" s="59">
        <f>'C1-Incomes'!CP41/'C1-Incomes'!$CL41</f>
        <v>9.6094128522635561E-2</v>
      </c>
      <c r="CP39" s="59">
        <f>'C1-Incomes'!CQ41/'C1-Incomes'!$CL41</f>
        <v>5.1054744691015369E-2</v>
      </c>
      <c r="CQ39" s="59">
        <f>'C1-Incomes'!CR41/'C1-Incomes'!$CL41</f>
        <v>2.0429186833394623E-2</v>
      </c>
      <c r="CR39" s="59"/>
      <c r="CS39" s="59"/>
      <c r="CT39" s="59">
        <f>'C1-Incomes'!CU41/'C1-Incomes'!$CT41</f>
        <v>0.37673830039583228</v>
      </c>
      <c r="CU39" s="59">
        <f>'C1-Incomes'!CV41/'C1-Incomes'!$CT41</f>
        <v>0.26760637447064817</v>
      </c>
      <c r="CV39" s="59">
        <f>'C1-Incomes'!CW41/'C1-Incomes'!$CT41</f>
        <v>0.12943629086032513</v>
      </c>
      <c r="CW39" s="59">
        <f>'C1-Incomes'!CX41/'C1-Incomes'!$CT41</f>
        <v>9.7768555660461803E-2</v>
      </c>
      <c r="CX39" s="59">
        <f>'C1-Incomes'!CY41/'C1-Incomes'!$CT41</f>
        <v>5.2201153777882467E-2</v>
      </c>
      <c r="CY39" s="59">
        <f>'C1-Incomes'!CZ41/'C1-Incomes'!$CT41</f>
        <v>2.0997594530821641E-2</v>
      </c>
      <c r="CZ39" s="59"/>
      <c r="DA39" s="59"/>
      <c r="DB39" s="59">
        <f>'C1-Incomes'!DC41/'C1-Incomes'!$DB41</f>
        <v>0.3788255309865089</v>
      </c>
      <c r="DC39" s="59">
        <f>'C1-Incomes'!DD41/'C1-Incomes'!$DB41</f>
        <v>0.26932956121519752</v>
      </c>
      <c r="DD39" s="59">
        <f>'C1-Incomes'!DE41/'C1-Incomes'!$DB41</f>
        <v>0.13058290576749282</v>
      </c>
      <c r="DE39" s="59">
        <f>'C1-Incomes'!DF41/'C1-Incomes'!$DB41</f>
        <v>9.8533155090833491E-2</v>
      </c>
      <c r="DF39" s="59">
        <f>'C1-Incomes'!DG41/'C1-Incomes'!$DB41</f>
        <v>5.2745722603882536E-2</v>
      </c>
      <c r="DG39" s="59">
        <f>'C1-Incomes'!DH41/'C1-Incomes'!$DB41</f>
        <v>2.1315386569612123E-2</v>
      </c>
      <c r="DH39" s="59"/>
      <c r="DI39" s="1039"/>
      <c r="DJ39" s="59">
        <f>'C1-Incomes'!DK41/'C1-Incomes'!$DJ41</f>
        <v>0.37133742745931864</v>
      </c>
      <c r="DK39" s="59">
        <f>'C1-Incomes'!DL41/'C1-Incomes'!$DJ41</f>
        <v>0.26411533707979024</v>
      </c>
      <c r="DL39" s="59">
        <f>'C1-Incomes'!DM41/'C1-Incomes'!$DJ41</f>
        <v>0.12766491561285714</v>
      </c>
      <c r="DM39" s="59">
        <f>'C1-Incomes'!DN41/'C1-Incomes'!$DJ41</f>
        <v>9.5946701576027665E-2</v>
      </c>
      <c r="DN39" s="59">
        <f>'C1-Incomes'!DO41/'C1-Incomes'!$DJ41</f>
        <v>5.1011845656631964E-2</v>
      </c>
      <c r="DO39" s="59">
        <f>'C1-Incomes'!DP41/'C1-Incomes'!$DJ41</f>
        <v>2.0531168310276911E-2</v>
      </c>
      <c r="DP39" s="696"/>
      <c r="DQ39" s="503"/>
      <c r="DR39" s="59">
        <f>'C1-Incomes'!DS41/'C1-Incomes'!$DR41</f>
        <v>0.37030814832382591</v>
      </c>
      <c r="DS39" s="59">
        <f>'C1-Incomes'!DT41/'C1-Incomes'!$DR41</f>
        <v>0.2627110758357889</v>
      </c>
      <c r="DT39" s="59">
        <f>'C1-Incomes'!DU41/'C1-Incomes'!$DR41</f>
        <v>0.1260328712417009</v>
      </c>
      <c r="DU39" s="59">
        <f>'C1-Incomes'!DV41/'C1-Incomes'!$DR41</f>
        <v>9.4489788754323345E-2</v>
      </c>
      <c r="DV39" s="59">
        <f>'C1-Incomes'!DW41/'C1-Incomes'!$DR41</f>
        <v>4.9964769915287116E-2</v>
      </c>
      <c r="DW39" s="59">
        <f>'C1-Incomes'!DX41/'C1-Incomes'!$DR41</f>
        <v>2.0013371581816007E-2</v>
      </c>
      <c r="DX39" s="333"/>
      <c r="DZ39" s="59">
        <f>'C1-Incomes'!EA41/'C1-Incomes'!$DZ41</f>
        <v>0.36263860530738551</v>
      </c>
      <c r="EA39" s="59">
        <f>'C1-Incomes'!EB41/'C1-Incomes'!$DZ41</f>
        <v>0.25496769552011045</v>
      </c>
      <c r="EB39" s="59">
        <f>'C1-Incomes'!EC41/'C1-Incomes'!$DZ41</f>
        <v>0.12084557914737967</v>
      </c>
      <c r="EC39" s="59">
        <f>'C1-Incomes'!ED41/'C1-Incomes'!$DZ41</f>
        <v>9.0266164124664483E-2</v>
      </c>
      <c r="ED39" s="59">
        <f>'C1-Incomes'!EE41/'C1-Incomes'!$DZ41</f>
        <v>4.7593272490441693E-2</v>
      </c>
      <c r="EE39" s="59">
        <f>'C1-Incomes'!EF41/'C1-Incomes'!$DZ41</f>
        <v>1.9024613605139625E-2</v>
      </c>
      <c r="EF39" s="59"/>
      <c r="EH39" s="59">
        <f>'C1-Incomes'!EI41/'C1-Incomes'!$EH41</f>
        <v>0.35474727736061618</v>
      </c>
      <c r="EI39" s="59">
        <f>'C1-Incomes'!EJ41/'C1-Incomes'!$EH41</f>
        <v>0.24664346314603</v>
      </c>
      <c r="EJ39" s="59">
        <f>'C1-Incomes'!EK41/'C1-Incomes'!$EH41</f>
        <v>0.11469967797614036</v>
      </c>
      <c r="EK39" s="59">
        <f>'C1-Incomes'!EL41/'C1-Incomes'!$EH41</f>
        <v>8.5461137584537675E-2</v>
      </c>
      <c r="EL39" s="59">
        <f>'C1-Incomes'!EM41/'C1-Incomes'!$EH41</f>
        <v>4.486926159347978E-2</v>
      </c>
      <c r="EM39" s="59">
        <f>'C1-Incomes'!EN41/'C1-Incomes'!$EH41</f>
        <v>1.7907672451115544E-2</v>
      </c>
      <c r="EN39" s="59"/>
      <c r="EO39" s="59"/>
      <c r="EP39" s="59">
        <f>'C1-Incomes'!EQ41/'C1-Incomes'!$EH41</f>
        <v>0.37497625452924538</v>
      </c>
      <c r="EQ39" s="59">
        <f>'C1-Incomes'!ER41/'C1-Incomes'!$EH41</f>
        <v>0.25969728017104904</v>
      </c>
      <c r="ER39" s="59">
        <f>'C1-Incomes'!ES41/'C1-Incomes'!$EH41</f>
        <v>0.1189850347281866</v>
      </c>
      <c r="ES39" s="59">
        <f>'C1-Incomes'!ET41/'C1-Incomes'!$EH41</f>
        <v>8.815356163400781E-2</v>
      </c>
      <c r="ET39" s="59">
        <f>'C1-Incomes'!EU41/'C1-Incomes'!$EH41</f>
        <v>4.5891459842403379E-2</v>
      </c>
      <c r="EU39" s="59">
        <f>'C1-Incomes'!EV41/'C1-Incomes'!$EH41</f>
        <v>1.8186769780137897E-2</v>
      </c>
      <c r="EV39" s="59"/>
      <c r="EW39" s="59"/>
      <c r="EX39" s="59">
        <f>'C1-Incomes'!EY41/'C1-Incomes'!$EX41</f>
        <v>0.35029756127374367</v>
      </c>
      <c r="EY39" s="59">
        <f>'C1-Incomes'!EZ41/'C1-Incomes'!$EX41</f>
        <v>0.24146683076109601</v>
      </c>
      <c r="EZ39" s="59">
        <f>'C1-Incomes'!FA41/'C1-Incomes'!$EX41</f>
        <v>0.10954075171346821</v>
      </c>
      <c r="FA39" s="59">
        <f>'C1-Incomes'!FB41/'C1-Incomes'!$EX41</f>
        <v>8.1024764375888986E-2</v>
      </c>
      <c r="FB39" s="59">
        <f>'C1-Incomes'!FC41/'C1-Incomes'!$EX41</f>
        <v>4.204719444165099E-2</v>
      </c>
      <c r="FC39" s="59">
        <f>'C1-Incomes'!FD41/'C1-Incomes'!$EX41</f>
        <v>1.6635688300558744E-2</v>
      </c>
      <c r="FD39" s="59"/>
      <c r="FF39" s="59">
        <f>'C1-Incomes'!FG41/'C1-Incomes'!$FF41</f>
        <v>0.33616777580443202</v>
      </c>
      <c r="FG39" s="59">
        <f>'C1-Incomes'!FH41/'C1-Incomes'!$FF41</f>
        <v>0.23126242235655114</v>
      </c>
      <c r="FH39" s="59">
        <f>'C1-Incomes'!FI41/'C1-Incomes'!$FF41</f>
        <v>0.10460508574292064</v>
      </c>
      <c r="FI39" s="59">
        <f>'C1-Incomes'!FJ41/'C1-Incomes'!$FF41</f>
        <v>7.7213460300639775E-2</v>
      </c>
      <c r="FJ39" s="59">
        <f>'C1-Incomes'!FK41/'C1-Incomes'!$FF41</f>
        <v>4.0007655868448407E-2</v>
      </c>
      <c r="FK39" s="59">
        <f>'C1-Incomes'!FL41/'C1-Incomes'!$FF41</f>
        <v>1.5800162235701961E-2</v>
      </c>
      <c r="FN39" s="59">
        <f>'C1-Incomes'!FO41/'C1-Incomes'!$FN41</f>
        <v>0.33449182115875481</v>
      </c>
      <c r="FO39" s="59">
        <f>'C1-Incomes'!FP41/'C1-Incomes'!$FN41</f>
        <v>0.23007501900110716</v>
      </c>
      <c r="FP39" s="59">
        <f>'C1-Incomes'!FQ41/'C1-Incomes'!$FN41</f>
        <v>0.10400056614683613</v>
      </c>
      <c r="FQ39" s="59">
        <f>'C1-Incomes'!FR41/'C1-Incomes'!$FN41</f>
        <v>7.6782336027781339E-2</v>
      </c>
      <c r="FR39" s="59">
        <f>'C1-Incomes'!FS41/'C1-Incomes'!$FN41</f>
        <v>3.9780858452306597E-2</v>
      </c>
      <c r="FS39" s="59">
        <f>'C1-Incomes'!FT41/'C1-Incomes'!$FN41</f>
        <v>1.5709853046758444E-2</v>
      </c>
      <c r="FV39" s="59">
        <f>'C1-Incomes'!FW41/'C1-Incomes'!$FV41</f>
        <v>0.32984993932630102</v>
      </c>
      <c r="FW39" s="59">
        <f>'C1-Incomes'!FX41/'C1-Incomes'!$FV41</f>
        <v>0.2268235969525649</v>
      </c>
      <c r="FX39" s="59">
        <f>'C1-Incomes'!FY41/'C1-Incomes'!$FV41</f>
        <v>0.10249153213737115</v>
      </c>
      <c r="FY39" s="59">
        <f>'C1-Incomes'!FZ41/'C1-Incomes'!$FV41</f>
        <v>7.5660803904207846E-2</v>
      </c>
      <c r="FZ39" s="59">
        <f>'C1-Incomes'!GA41/'C1-Incomes'!$FV41</f>
        <v>3.9194833776381936E-2</v>
      </c>
      <c r="GA39" s="59">
        <f>'C1-Incomes'!GB41/'C1-Incomes'!$FV41</f>
        <v>1.547750646112972E-2</v>
      </c>
      <c r="GE39" s="59">
        <f>'C1-Incomes'!GF41/'C1-Incomes'!$GE41</f>
        <v>0.32425642763286999</v>
      </c>
      <c r="GF39" s="59">
        <f>'C1-Incomes'!GG41/'C1-Incomes'!$GE41</f>
        <v>0.22253389852458702</v>
      </c>
      <c r="GG39" s="59">
        <f>'C1-Incomes'!GH41/'C1-Incomes'!$GE41</f>
        <v>0.1003726161939117</v>
      </c>
      <c r="GH39" s="59">
        <f>'C1-Incomes'!GI41/'C1-Incomes'!$GE41</f>
        <v>7.4101481086865373E-2</v>
      </c>
      <c r="GI39" s="59">
        <f>'C1-Incomes'!GJ41/'C1-Incomes'!$GE41</f>
        <v>3.8375152156172244E-2</v>
      </c>
      <c r="GJ39" s="59">
        <f>'C1-Incomes'!GK41/'C1-Incomes'!$GE41</f>
        <v>1.5155667101138052E-2</v>
      </c>
      <c r="GM39" s="59">
        <f>'C1-Incomes'!GN41/'C1-Incomes'!$GM41</f>
        <v>0.3143134658831519</v>
      </c>
      <c r="GN39" s="59">
        <f>'C1-Incomes'!GO41/'C1-Incomes'!$GM41</f>
        <v>0.21571014469124491</v>
      </c>
      <c r="GO39" s="59">
        <f>'C1-Incomes'!GP41/'C1-Incomes'!$GM41</f>
        <v>9.7294801851661686E-2</v>
      </c>
      <c r="GP39" s="59">
        <f>'C1-Incomes'!GQ41/'C1-Incomes'!$GM41</f>
        <v>7.1829241805680275E-2</v>
      </c>
      <c r="GQ39" s="59">
        <f>'C1-Incomes'!GR41/'C1-Incomes'!$GM41</f>
        <v>3.7198420910429769E-2</v>
      </c>
      <c r="GR39" s="59">
        <f>'C1-Incomes'!GS41/'C1-Incomes'!$GM41</f>
        <v>1.4690935470748619E-2</v>
      </c>
      <c r="GU39" s="59">
        <f>'C1-Incomes'!GV41/'C1-Incomes'!$GU41</f>
        <v>0.29024868135730936</v>
      </c>
      <c r="GV39" s="59">
        <f>'C1-Incomes'!GW41/'C1-Incomes'!$GU41</f>
        <v>0.19418654084610221</v>
      </c>
      <c r="GW39" s="59">
        <f>'C1-Incomes'!GX41/'C1-Incomes'!$GU41</f>
        <v>8.2214978348882223E-2</v>
      </c>
      <c r="GX39" s="59">
        <f>'C1-Incomes'!GY41/'C1-Incomes'!$GU41</f>
        <v>5.9107375091885406E-2</v>
      </c>
      <c r="GY39" s="59">
        <f>'C1-Incomes'!GZ41/'C1-Incomes'!$GU41</f>
        <v>2.9479156205575546E-2</v>
      </c>
      <c r="GZ39" s="59">
        <f>'C1-Incomes'!HA41/'C1-Incomes'!$GU41</f>
        <v>1.1447804521583062E-2</v>
      </c>
      <c r="HC39" s="59">
        <f>'C1-Incomes'!HD41/'C1-Incomes'!$HC41</f>
        <v>0.28527232426691035</v>
      </c>
      <c r="HD39" s="59">
        <f>'C1-Incomes'!HE41/'C1-Incomes'!$HC41</f>
        <v>0.18988342531000157</v>
      </c>
      <c r="HE39" s="59">
        <f>'C1-Incomes'!HF41/'C1-Incomes'!$HC41</f>
        <v>7.9259319957552143E-2</v>
      </c>
      <c r="HF39" s="59">
        <f>'C1-Incomes'!HG41/'C1-Incomes'!$HC41</f>
        <v>5.6571649946591869E-2</v>
      </c>
      <c r="HG39" s="59">
        <f>'C1-Incomes'!HH41/'C1-Incomes'!$HC41</f>
        <v>2.8035476990380892E-2</v>
      </c>
      <c r="HH39" s="59">
        <f>'C1-Incomes'!HI41/'C1-Incomes'!$HC41</f>
        <v>1.0843764804251645E-2</v>
      </c>
      <c r="HK39" s="59">
        <f>'C1-Incomes'!HL41/'C1-Incomes'!$HK41</f>
        <v>0.28125960313337434</v>
      </c>
      <c r="HL39" s="59">
        <f>'C1-Incomes'!HM41/'C1-Incomes'!$HK41</f>
        <v>0.18645878864781151</v>
      </c>
      <c r="HM39" s="59">
        <f>'C1-Incomes'!HN41/'C1-Incomes'!$HK41</f>
        <v>7.7045391895699131E-2</v>
      </c>
      <c r="HN39" s="59">
        <f>'C1-Incomes'!HO41/'C1-Incomes'!$HK41</f>
        <v>5.4785840088679524E-2</v>
      </c>
      <c r="HO39" s="59">
        <f>'C1-Incomes'!HP41/'C1-Incomes'!$HK41</f>
        <v>2.6869123564959015E-2</v>
      </c>
      <c r="HP39" s="59">
        <f>'C1-Incomes'!HQ41/'C1-Incomes'!$HK41</f>
        <v>1.025565625113113E-2</v>
      </c>
      <c r="HS39" s="59">
        <f>'C1-Incomes'!HT41/'C1-Incomes'!$HS41</f>
        <v>0.27722204320573895</v>
      </c>
      <c r="HT39" s="59">
        <f>'C1-Incomes'!HU41/'C1-Incomes'!$HS41</f>
        <v>0.18286028688630959</v>
      </c>
      <c r="HU39" s="59">
        <f>'C1-Incomes'!HV41/'C1-Incomes'!$HS41</f>
        <v>7.5050873924182346E-2</v>
      </c>
      <c r="HV39" s="59">
        <f>'C1-Incomes'!HW41/'C1-Incomes'!$HS41</f>
        <v>5.3278432544932204E-2</v>
      </c>
      <c r="HW39" s="59">
        <f>'C1-Incomes'!HX41/'C1-Incomes'!$HS41</f>
        <v>2.5935860005537787E-2</v>
      </c>
      <c r="HX39" s="59">
        <f>'C1-Incomes'!HY41/'C1-Incomes'!$HS41</f>
        <v>9.860839184667165E-3</v>
      </c>
      <c r="IA39" s="59">
        <f>'C1-Incomes'!IB41/'C1-Incomes'!$IA41</f>
        <v>0.28120615099959495</v>
      </c>
      <c r="IB39" s="59">
        <f>'C1-Incomes'!IC41/'C1-Incomes'!$IA41</f>
        <v>0.18798528236056941</v>
      </c>
      <c r="IC39" s="59">
        <f>'C1-Incomes'!ID41/'C1-Incomes'!$IA41</f>
        <v>7.9471039932693568E-2</v>
      </c>
      <c r="ID39" s="59">
        <f>'C1-Incomes'!IE41/'C1-Incomes'!$IA41</f>
        <v>5.6967701161608222E-2</v>
      </c>
      <c r="IE39" s="59">
        <f>'C1-Incomes'!IF41/'C1-Incomes'!$IA41</f>
        <v>2.8055753956027139E-2</v>
      </c>
      <c r="IF39" s="59">
        <f>'C1-Incomes'!IG41/'C1-Incomes'!$IA41</f>
        <v>1.0734462921485657E-2</v>
      </c>
      <c r="II39" s="59">
        <f>'C1-Incomes'!IJ41/'C1-Incomes'!$II41</f>
        <v>0.28182313688042704</v>
      </c>
      <c r="IJ39" s="59">
        <f>'C1-Incomes'!IK41/'C1-Incomes'!$II41</f>
        <v>0.18898152028586587</v>
      </c>
      <c r="IK39" s="59">
        <f>'C1-Incomes'!IL41/'C1-Incomes'!$II41</f>
        <v>8.0468430035425295E-2</v>
      </c>
      <c r="IL39" s="59">
        <f>'C1-Incomes'!IM41/'C1-Incomes'!$II41</f>
        <v>5.7800224761192169E-2</v>
      </c>
      <c r="IM39" s="59">
        <f>'C1-Incomes'!IN41/'C1-Incomes'!$II41</f>
        <v>2.8490478379313337E-2</v>
      </c>
      <c r="IN39" s="59">
        <f>'C1-Incomes'!IO41/'C1-Incomes'!$II41</f>
        <v>1.0901766566416869E-2</v>
      </c>
      <c r="IQ39" s="59">
        <f>'C1-Incomes'!IR41/'C1-Incomes'!$IQ41</f>
        <v>0.2801674756799627</v>
      </c>
      <c r="IR39" s="59">
        <f>'C1-Incomes'!IS41/'C1-Incomes'!$IQ41</f>
        <v>0.18758253677585626</v>
      </c>
      <c r="IS39" s="59">
        <f>'C1-Incomes'!IT41/'C1-Incomes'!$IQ41</f>
        <v>7.9553485902792737E-2</v>
      </c>
      <c r="IT39" s="59">
        <f>'C1-Incomes'!IU41/'C1-Incomes'!$IQ41</f>
        <v>5.706434953441511E-2</v>
      </c>
      <c r="IU39" s="59">
        <f>'C1-Incomes'!IV41/'C1-Incomes'!$IQ41</f>
        <v>2.802970837822084E-2</v>
      </c>
      <c r="IV39" s="59">
        <f>'C1-Incomes'!IW41/'C1-Incomes'!$IQ41</f>
        <v>1.0704023447261032E-2</v>
      </c>
      <c r="IY39" s="59">
        <f>'C1-Incomes'!IZ41/'C1-Incomes'!$IY41</f>
        <v>0.26218681391462734</v>
      </c>
      <c r="IZ39" s="59">
        <f>'C1-Incomes'!JA41/'C1-Incomes'!$IY41</f>
        <v>0.17410927346041896</v>
      </c>
      <c r="JA39" s="59">
        <f>'C1-Incomes'!JB41/'C1-Incomes'!$IY41</f>
        <v>7.2809681793638795E-2</v>
      </c>
      <c r="JB39" s="59">
        <f>'C1-Incomes'!JC41/'C1-Incomes'!$IY41</f>
        <v>5.1971754010713293E-2</v>
      </c>
      <c r="JC39" s="59">
        <f>'C1-Incomes'!JD41/'C1-Incomes'!$IY41</f>
        <v>2.5405055818283017E-2</v>
      </c>
      <c r="JD39" s="59">
        <f>'C1-Incomes'!JE41/'C1-Incomes'!$IY41</f>
        <v>9.6715315888256815E-3</v>
      </c>
      <c r="JE39" s="197"/>
      <c r="JF39" s="197"/>
      <c r="JG39" s="197"/>
      <c r="JH39" s="197"/>
      <c r="JI39" s="197"/>
      <c r="JJ39" s="197"/>
      <c r="JK39" s="197"/>
      <c r="JL39" s="197"/>
      <c r="JM39" s="197"/>
      <c r="JN39" s="197"/>
      <c r="JO39" s="197"/>
      <c r="JP39" s="197"/>
      <c r="JQ39" s="197"/>
      <c r="JR39" s="197"/>
      <c r="JS39" s="197"/>
      <c r="JT39" s="197"/>
      <c r="JU39" s="197"/>
      <c r="JV39" s="197"/>
      <c r="JW39" s="197"/>
      <c r="JX39" s="197"/>
      <c r="JY39" s="197"/>
      <c r="JZ39" s="197"/>
      <c r="KA39" s="197"/>
      <c r="KB39" s="197"/>
      <c r="KC39" s="197"/>
      <c r="KD39" s="197"/>
      <c r="KE39" s="197"/>
      <c r="KF39" s="197"/>
      <c r="KG39" s="197"/>
      <c r="KH39" s="197"/>
      <c r="KI39" s="197"/>
      <c r="KJ39" s="197"/>
      <c r="KK39" s="197"/>
      <c r="KL39" s="197"/>
      <c r="KM39" s="197"/>
      <c r="KN39" s="197"/>
      <c r="KO39" s="197"/>
      <c r="KP39" s="197"/>
      <c r="KQ39" s="197"/>
      <c r="KR39" s="197"/>
      <c r="KS39" s="197"/>
      <c r="KT39" s="197"/>
      <c r="KU39" s="197"/>
      <c r="KV39" s="197"/>
      <c r="KW39" s="197"/>
      <c r="KX39" s="197"/>
      <c r="KY39" s="197"/>
      <c r="KZ39" s="197"/>
      <c r="LA39" s="197"/>
      <c r="LB39" s="197"/>
      <c r="LC39" s="197"/>
      <c r="LD39" s="197"/>
      <c r="LE39" s="197"/>
      <c r="LF39" s="197"/>
      <c r="LG39" s="197"/>
      <c r="LH39" s="197"/>
      <c r="LI39" s="197"/>
      <c r="LJ39" s="197"/>
      <c r="LK39" s="197"/>
      <c r="LL39" s="197"/>
      <c r="LM39" s="197"/>
      <c r="LN39" s="197"/>
      <c r="LO39" s="197"/>
      <c r="LP39" s="197"/>
      <c r="LQ39" s="197"/>
      <c r="LR39" s="197"/>
      <c r="LS39" s="197"/>
      <c r="LT39" s="197"/>
      <c r="LU39" s="197"/>
      <c r="LV39" s="197"/>
      <c r="LW39" s="197"/>
      <c r="LX39" s="197"/>
      <c r="LY39" s="197"/>
      <c r="LZ39" s="197"/>
      <c r="MA39" s="197"/>
      <c r="MB39" s="197"/>
      <c r="MC39" s="197"/>
      <c r="MD39" s="197"/>
      <c r="ME39" s="197"/>
      <c r="MF39" s="197"/>
      <c r="MG39" s="197"/>
      <c r="MH39" s="197"/>
      <c r="MI39" s="197"/>
      <c r="MJ39" s="197"/>
      <c r="MK39" s="197"/>
      <c r="ML39" s="197"/>
      <c r="MM39" s="197"/>
      <c r="MN39" s="197"/>
      <c r="MO39" s="197"/>
      <c r="MP39" s="197"/>
      <c r="MQ39" s="197"/>
      <c r="MR39" s="197"/>
      <c r="MS39" s="197"/>
      <c r="MT39" s="197"/>
      <c r="MU39" s="197"/>
      <c r="MV39" s="197"/>
      <c r="MW39" s="197"/>
      <c r="MX39" s="197"/>
      <c r="MY39" s="197"/>
      <c r="MZ39" s="197"/>
      <c r="NA39" s="197"/>
      <c r="NB39" s="197"/>
      <c r="NC39" s="197"/>
      <c r="ND39" s="197"/>
      <c r="NE39" s="197"/>
      <c r="NF39" s="197"/>
      <c r="NG39" s="197"/>
      <c r="NH39" s="197"/>
      <c r="NI39" s="197"/>
      <c r="NJ39" s="197"/>
      <c r="NK39" s="197"/>
      <c r="NL39" s="197"/>
      <c r="NM39" s="197"/>
      <c r="NN39" s="197"/>
      <c r="NO39" s="197"/>
      <c r="NP39" s="197"/>
      <c r="NQ39" s="197"/>
      <c r="NR39" s="197"/>
      <c r="NS39" s="197"/>
      <c r="NT39" s="197"/>
      <c r="NU39" s="197"/>
      <c r="NV39" s="197"/>
      <c r="NW39" s="197"/>
      <c r="NX39" s="197"/>
      <c r="NY39" s="197"/>
      <c r="NZ39" s="197"/>
      <c r="OA39" s="197"/>
      <c r="OB39" s="197"/>
      <c r="OC39" s="197"/>
      <c r="OD39" s="197"/>
      <c r="OE39" s="197"/>
      <c r="OF39" s="197"/>
      <c r="OG39" s="197"/>
      <c r="OH39" s="197"/>
      <c r="OI39" s="197"/>
      <c r="OJ39" s="197"/>
      <c r="OK39" s="197"/>
      <c r="OL39" s="197"/>
      <c r="OM39" s="197"/>
      <c r="ON39" s="197"/>
      <c r="OO39" s="197"/>
      <c r="OP39" s="197"/>
      <c r="OQ39" s="197"/>
      <c r="OR39" s="197"/>
      <c r="OS39" s="197"/>
      <c r="OT39" s="197"/>
      <c r="OU39" s="197"/>
      <c r="OV39" s="197"/>
      <c r="OW39" s="197"/>
      <c r="OX39" s="197"/>
      <c r="OY39" s="197"/>
      <c r="OZ39" s="197"/>
      <c r="PA39" s="197"/>
      <c r="PB39" s="197"/>
    </row>
    <row r="40" spans="1:418" s="77" customFormat="1" ht="10.5" customHeight="1" x14ac:dyDescent="0.2">
      <c r="A40" s="48">
        <v>1994</v>
      </c>
      <c r="B40" s="59">
        <f>'C1-Incomes'!C42/'C1-Incomes'!$B42</f>
        <v>0.40000720147015612</v>
      </c>
      <c r="C40" s="59">
        <f>'C1-Incomes'!D42/'C1-Incomes'!$B42</f>
        <v>0.27887188027934018</v>
      </c>
      <c r="D40" s="59">
        <f>'C1-Incomes'!E42/'C1-Incomes'!$B42</f>
        <v>0.13058830719162121</v>
      </c>
      <c r="E40" s="59">
        <f>'C1-Incomes'!F42/'C1-Incomes'!$B42</f>
        <v>9.5778590935933189E-2</v>
      </c>
      <c r="F40" s="59">
        <f>'C1-Incomes'!G42/'C1-Incomes'!$B42</f>
        <v>4.7423648072075629E-2</v>
      </c>
      <c r="G40" s="59">
        <f>'C1-Incomes'!H42/'C1-Incomes'!$B42</f>
        <v>1.7437432414221167E-2</v>
      </c>
      <c r="H40" s="199"/>
      <c r="J40" s="59">
        <f>'C1-Incomes'!K42/'C1-Incomes'!$J42</f>
        <v>0.34775758422856967</v>
      </c>
      <c r="K40" s="59">
        <f>'C1-Incomes'!L42/'C1-Incomes'!$J42</f>
        <v>0.24010524498359059</v>
      </c>
      <c r="L40" s="59">
        <f>'C1-Incomes'!M42/'C1-Incomes'!$J42</f>
        <v>0.10947565686902427</v>
      </c>
      <c r="M40" s="59">
        <f>'C1-Incomes'!N42/'C1-Incomes'!$J42</f>
        <v>8.0858544557624937E-2</v>
      </c>
      <c r="N40" s="59">
        <f>'C1-Incomes'!O42/'C1-Incomes'!$J42</f>
        <v>4.2082962830750692E-2</v>
      </c>
      <c r="O40" s="59">
        <f>'C1-Incomes'!P42/'C1-Incomes'!$J42</f>
        <v>1.6627208602309915E-2</v>
      </c>
      <c r="P40" s="59"/>
      <c r="R40" s="59">
        <f>'C1-Incomes'!S42/'C1-Incomes'!$R42</f>
        <v>0.31280023457281447</v>
      </c>
      <c r="S40" s="59">
        <f>'C1-Incomes'!T42/'C1-Incomes'!$R42</f>
        <v>0.21517614433609014</v>
      </c>
      <c r="T40" s="59">
        <f>'C1-Incomes'!U42/'C1-Incomes'!$R42</f>
        <v>9.7496605700246583E-2</v>
      </c>
      <c r="U40" s="59">
        <f>'C1-Incomes'!V42/'C1-Incomes'!$R42</f>
        <v>7.1962429450496371E-2</v>
      </c>
      <c r="V40" s="59">
        <f>'C1-Incomes'!W42/'C1-Incomes'!$R42</f>
        <v>3.7338570974322118E-2</v>
      </c>
      <c r="W40" s="59">
        <f>'C1-Incomes'!X42/'C1-Incomes'!$R42</f>
        <v>1.4724541224268146E-2</v>
      </c>
      <c r="X40" s="59"/>
      <c r="Y40" s="59"/>
      <c r="Z40" s="59">
        <f>'C1-Incomes'!AA42/'C1-Incomes'!$Z42</f>
        <v>0.2620212673758931</v>
      </c>
      <c r="AA40" s="59">
        <f>'C1-Incomes'!AB42/'C1-Incomes'!$Z42</f>
        <v>0.17449038290684182</v>
      </c>
      <c r="AB40" s="59">
        <f>'C1-Incomes'!AC42/'C1-Incomes'!$Z42</f>
        <v>7.3669655385035615E-2</v>
      </c>
      <c r="AC40" s="59">
        <f>'C1-Incomes'!AD42/'C1-Incomes'!$Z42</f>
        <v>5.2750523620967618E-2</v>
      </c>
      <c r="AD40" s="59">
        <f>'C1-Incomes'!AE42/'C1-Incomes'!$Z42</f>
        <v>2.6024174741139865E-2</v>
      </c>
      <c r="AE40" s="59">
        <f>'C1-Incomes'!AF42/'C1-Incomes'!$Z42</f>
        <v>9.9889358593943916E-3</v>
      </c>
      <c r="AF40" s="200"/>
      <c r="AG40" s="195"/>
      <c r="AH40" s="59">
        <f>'C1-Incomes'!AI42/'C1-Incomes'!$AH42</f>
        <v>0.39393421835444786</v>
      </c>
      <c r="AI40" s="59">
        <f>'C1-Incomes'!AJ42/'C1-Incomes'!$AH42</f>
        <v>0.27406189445839718</v>
      </c>
      <c r="AJ40" s="59">
        <f>'C1-Incomes'!AK42/'C1-Incomes'!$AH42</f>
        <v>0.12803254250784574</v>
      </c>
      <c r="AK40" s="59">
        <f>'C1-Incomes'!AL42/'C1-Incomes'!$AH42</f>
        <v>9.3843554983989691E-2</v>
      </c>
      <c r="AL40" s="59">
        <f>'C1-Incomes'!AM42/'C1-Incomes'!$AH42</f>
        <v>4.6464076032028491E-2</v>
      </c>
      <c r="AM40" s="59">
        <f>'C1-Incomes'!AN42/'C1-Incomes'!$AH42</f>
        <v>1.7088811723000578E-2</v>
      </c>
      <c r="AN40" s="195"/>
      <c r="AO40" s="195"/>
      <c r="AP40" s="59"/>
      <c r="AQ40" s="59"/>
      <c r="AR40" s="59"/>
      <c r="AS40" s="59"/>
      <c r="AT40" s="59"/>
      <c r="AU40" s="59"/>
      <c r="AV40" s="197"/>
      <c r="AW40" s="60"/>
      <c r="AX40" s="59">
        <f>'C1-Incomes'!AY42/'C1-Incomes'!$AX42</f>
        <v>0.39708608000455081</v>
      </c>
      <c r="AY40" s="59">
        <f>'C1-Incomes'!AZ42/'C1-Incomes'!$AX42</f>
        <v>0.27775024056837183</v>
      </c>
      <c r="AZ40" s="59">
        <f>'C1-Incomes'!BA42/'C1-Incomes'!$AX42</f>
        <v>0.13114628489534952</v>
      </c>
      <c r="BA40" s="59">
        <f>'C1-Incomes'!BB42/'C1-Incomes'!$AX42</f>
        <v>9.6440198626606924E-2</v>
      </c>
      <c r="BB40" s="59">
        <f>'C1-Incomes'!BC42/'C1-Incomes'!$AX42</f>
        <v>4.7981055329835612E-2</v>
      </c>
      <c r="BC40" s="59">
        <f>'C1-Incomes'!BD42/'C1-Incomes'!$AX42</f>
        <v>1.7601687597205248E-2</v>
      </c>
      <c r="BD40" s="60"/>
      <c r="BE40" s="60"/>
      <c r="BF40" s="59">
        <f>'C1-Incomes'!BG42/'C1-Incomes'!$BF42</f>
        <v>0.39167340838893044</v>
      </c>
      <c r="BG40" s="59">
        <f>'C1-Incomes'!BH42/'C1-Incomes'!$BF42</f>
        <v>0.27352489394198221</v>
      </c>
      <c r="BH40" s="59">
        <f>'C1-Incomes'!BI42/'C1-Incomes'!$BF42</f>
        <v>0.12921731275904036</v>
      </c>
      <c r="BI40" s="59">
        <f>'C1-Incomes'!BJ42/'C1-Incomes'!$BF42</f>
        <v>9.5244090318572436E-2</v>
      </c>
      <c r="BJ40" s="59">
        <f>'C1-Incomes'!BK42/'C1-Incomes'!$BF42</f>
        <v>4.7585727325654227E-2</v>
      </c>
      <c r="BK40" s="59">
        <f>'C1-Incomes'!BL42/'C1-Incomes'!$BF42</f>
        <v>1.7483730299630958E-2</v>
      </c>
      <c r="BL40" s="59"/>
      <c r="BM40" s="59"/>
      <c r="BN40" s="59">
        <f>'C1-Incomes'!BO42/'C1-Incomes'!$BN42</f>
        <v>0.35902815778132852</v>
      </c>
      <c r="BO40" s="59">
        <f>'C1-Incomes'!BP42/'C1-Incomes'!$BN42</f>
        <v>0.25064282901324392</v>
      </c>
      <c r="BP40" s="59">
        <f>'C1-Incomes'!BQ42/'C1-Incomes'!$BN42</f>
        <v>0.11740972444136223</v>
      </c>
      <c r="BQ40" s="59">
        <f>'C1-Incomes'!BR42/'C1-Incomes'!$BN42</f>
        <v>8.7215720225870236E-2</v>
      </c>
      <c r="BR40" s="59">
        <f>'C1-Incomes'!BS42/'C1-Incomes'!$BN42</f>
        <v>4.4628974639848239E-2</v>
      </c>
      <c r="BS40" s="59">
        <f>'C1-Incomes'!BT42/'C1-Incomes'!$BN42</f>
        <v>1.6744564021877923E-2</v>
      </c>
      <c r="BT40" s="59"/>
      <c r="BU40" s="59"/>
      <c r="BV40" s="59">
        <f>'C1-Incomes'!BW42/'C1-Incomes'!$BV42</f>
        <v>0.36198465803277985</v>
      </c>
      <c r="BW40" s="59">
        <f>'C1-Incomes'!BX42/'C1-Incomes'!$BV42</f>
        <v>0.25390013607451117</v>
      </c>
      <c r="BX40" s="59">
        <f>'C1-Incomes'!BY42/'C1-Incomes'!$BV42</f>
        <v>0.1206813187726582</v>
      </c>
      <c r="BY40" s="59">
        <f>'C1-Incomes'!BZ42/'C1-Incomes'!$BV42</f>
        <v>9.0191955385827083E-2</v>
      </c>
      <c r="BZ40" s="59">
        <f>'C1-Incomes'!CA42/'C1-Incomes'!$BV42</f>
        <v>4.6954544191224142E-2</v>
      </c>
      <c r="CA40" s="59">
        <f>'C1-Incomes'!CB42/'C1-Incomes'!$BV42</f>
        <v>1.8212898028363296E-2</v>
      </c>
      <c r="CB40" s="60"/>
      <c r="CC40" s="198"/>
      <c r="CD40" s="59">
        <f>'C1-Incomes'!CE42/'C1-Incomes'!$CD42</f>
        <v>0.3686752876496564</v>
      </c>
      <c r="CE40" s="59">
        <f>'C1-Incomes'!CF42/'C1-Incomes'!$CD42</f>
        <v>0.26090523524734421</v>
      </c>
      <c r="CF40" s="59">
        <f>'C1-Incomes'!CG42/'C1-Incomes'!$CD42</f>
        <v>0.12585230013384427</v>
      </c>
      <c r="CG40" s="59">
        <f>'C1-Incomes'!CH42/'C1-Incomes'!$CD42</f>
        <v>9.486415237163083E-2</v>
      </c>
      <c r="CH40" s="59">
        <f>'C1-Incomes'!CI42/'C1-Incomes'!$CD42</f>
        <v>5.0131766464058786E-2</v>
      </c>
      <c r="CI40" s="59">
        <f>'C1-Incomes'!CJ42/'C1-Incomes'!$CD42</f>
        <v>1.9885359438514872E-2</v>
      </c>
      <c r="CL40" s="59">
        <f>'C1-Incomes'!CM42/'C1-Incomes'!$CL42</f>
        <v>0.37224205458250487</v>
      </c>
      <c r="CM40" s="59">
        <f>'C1-Incomes'!CN42/'C1-Incomes'!$CL42</f>
        <v>0.26367864818586445</v>
      </c>
      <c r="CN40" s="59">
        <f>'C1-Incomes'!CO42/'C1-Incomes'!$CL42</f>
        <v>0.12776107748258364</v>
      </c>
      <c r="CO40" s="59">
        <f>'C1-Incomes'!CP42/'C1-Incomes'!$CL42</f>
        <v>9.6279441281466344E-2</v>
      </c>
      <c r="CP40" s="59">
        <f>'C1-Incomes'!CQ42/'C1-Incomes'!$CL42</f>
        <v>5.1229344393684276E-2</v>
      </c>
      <c r="CQ40" s="59">
        <f>'C1-Incomes'!CR42/'C1-Incomes'!$CL42</f>
        <v>2.0498952780792751E-2</v>
      </c>
      <c r="CR40" s="59"/>
      <c r="CS40" s="59"/>
      <c r="CT40" s="59">
        <f>'C1-Incomes'!CU42/'C1-Incomes'!$CT42</f>
        <v>0.37513590118172513</v>
      </c>
      <c r="CU40" s="59">
        <f>'C1-Incomes'!CV42/'C1-Incomes'!$CT42</f>
        <v>0.26635759225351369</v>
      </c>
      <c r="CV40" s="59">
        <f>'C1-Incomes'!CW42/'C1-Incomes'!$CT42</f>
        <v>0.12979725636799372</v>
      </c>
      <c r="CW40" s="59">
        <f>'C1-Incomes'!CX42/'C1-Incomes'!$CT42</f>
        <v>9.7968902332148791E-2</v>
      </c>
      <c r="CX40" s="59">
        <f>'C1-Incomes'!CY42/'C1-Incomes'!$CT42</f>
        <v>5.2418275194294699E-2</v>
      </c>
      <c r="CY40" s="59">
        <f>'C1-Incomes'!CZ42/'C1-Incomes'!$CT42</f>
        <v>2.1110445286217461E-2</v>
      </c>
      <c r="CZ40" s="59"/>
      <c r="DA40" s="59"/>
      <c r="DB40" s="59">
        <f>'C1-Incomes'!DC42/'C1-Incomes'!$DB42</f>
        <v>0.37655136018802882</v>
      </c>
      <c r="DC40" s="59">
        <f>'C1-Incomes'!DD42/'C1-Incomes'!$DB42</f>
        <v>0.26747116999730641</v>
      </c>
      <c r="DD40" s="59">
        <f>'C1-Incomes'!DE42/'C1-Incomes'!$DB42</f>
        <v>0.13035964038212597</v>
      </c>
      <c r="DE40" s="59">
        <f>'C1-Incomes'!DF42/'C1-Incomes'!$DB42</f>
        <v>9.8416053722722843E-2</v>
      </c>
      <c r="DF40" s="59">
        <f>'C1-Incomes'!DG42/'C1-Incomes'!$DB42</f>
        <v>5.2679173713499006E-2</v>
      </c>
      <c r="DG40" s="59">
        <f>'C1-Incomes'!DH42/'C1-Incomes'!$DB42</f>
        <v>2.1249389111081467E-2</v>
      </c>
      <c r="DH40" s="59"/>
      <c r="DI40" s="1039"/>
      <c r="DJ40" s="59">
        <f>'C1-Incomes'!DK42/'C1-Incomes'!$DJ42</f>
        <v>0.368785784789671</v>
      </c>
      <c r="DK40" s="59">
        <f>'C1-Incomes'!DL42/'C1-Incomes'!$DJ42</f>
        <v>0.26287447813376141</v>
      </c>
      <c r="DL40" s="59">
        <f>'C1-Incomes'!DM42/'C1-Incomes'!$DJ42</f>
        <v>0.12741699955563759</v>
      </c>
      <c r="DM40" s="59">
        <f>'C1-Incomes'!DN42/'C1-Incomes'!$DJ42</f>
        <v>9.5802364536792611E-2</v>
      </c>
      <c r="DN40" s="59">
        <f>'C1-Incomes'!DO42/'C1-Incomes'!$DJ42</f>
        <v>5.1006627233316365E-2</v>
      </c>
      <c r="DO40" s="59">
        <f>'C1-Incomes'!DP42/'C1-Incomes'!$DJ42</f>
        <v>2.0539781759718385E-2</v>
      </c>
      <c r="DP40" s="696"/>
      <c r="DQ40" s="503"/>
      <c r="DR40" s="59">
        <f>'C1-Incomes'!DS42/'C1-Incomes'!$DR42</f>
        <v>0.36801573837485546</v>
      </c>
      <c r="DS40" s="59">
        <f>'C1-Incomes'!DT42/'C1-Incomes'!$DR42</f>
        <v>0.26135782362401233</v>
      </c>
      <c r="DT40" s="59">
        <f>'C1-Incomes'!DU42/'C1-Incomes'!$DR42</f>
        <v>0.12566918549045694</v>
      </c>
      <c r="DU40" s="59">
        <f>'C1-Incomes'!DV42/'C1-Incomes'!$DR42</f>
        <v>9.4227026052340263E-2</v>
      </c>
      <c r="DV40" s="59">
        <f>'C1-Incomes'!DW42/'C1-Incomes'!$DR42</f>
        <v>4.9922058140588317E-2</v>
      </c>
      <c r="DW40" s="59">
        <f>'C1-Incomes'!DX42/'C1-Incomes'!$DR42</f>
        <v>1.9954674105421528E-2</v>
      </c>
      <c r="DX40" s="333"/>
      <c r="DZ40" s="59">
        <f>'C1-Incomes'!EA42/'C1-Incomes'!$DZ42</f>
        <v>0.36061986006118807</v>
      </c>
      <c r="EA40" s="59">
        <f>'C1-Incomes'!EB42/'C1-Incomes'!$DZ42</f>
        <v>0.25422929499133562</v>
      </c>
      <c r="EB40" s="59">
        <f>'C1-Incomes'!EC42/'C1-Incomes'!$DZ42</f>
        <v>0.12076344826159494</v>
      </c>
      <c r="EC40" s="59">
        <f>'C1-Incomes'!ED42/'C1-Incomes'!$DZ42</f>
        <v>9.0353839457166518E-2</v>
      </c>
      <c r="ED40" s="59">
        <f>'C1-Incomes'!EE42/'C1-Incomes'!$DZ42</f>
        <v>4.7692892970659748E-2</v>
      </c>
      <c r="EE40" s="59">
        <f>'C1-Incomes'!EF42/'C1-Incomes'!$DZ42</f>
        <v>1.9023659565875116E-2</v>
      </c>
      <c r="EF40" s="59"/>
      <c r="EH40" s="59">
        <f>'C1-Incomes'!EI42/'C1-Incomes'!$EH42</f>
        <v>0.352755592037926</v>
      </c>
      <c r="EI40" s="59">
        <f>'C1-Incomes'!EJ42/'C1-Incomes'!$EH42</f>
        <v>0.24601841427182405</v>
      </c>
      <c r="EJ40" s="59">
        <f>'C1-Incomes'!EK42/'C1-Incomes'!$EH42</f>
        <v>0.1148272781281392</v>
      </c>
      <c r="EK40" s="59">
        <f>'C1-Incomes'!EL42/'C1-Incomes'!$EH42</f>
        <v>8.5582702488054219E-2</v>
      </c>
      <c r="EL40" s="59">
        <f>'C1-Incomes'!EM42/'C1-Incomes'!$EH42</f>
        <v>4.5028900029121258E-2</v>
      </c>
      <c r="EM40" s="59">
        <f>'C1-Incomes'!EN42/'C1-Incomes'!$EH42</f>
        <v>1.7934624085234708E-2</v>
      </c>
      <c r="EN40" s="59"/>
      <c r="EO40" s="59"/>
      <c r="EP40" s="59">
        <f>'C1-Incomes'!EQ42/'C1-Incomes'!$EH42</f>
        <v>0.37102859667728116</v>
      </c>
      <c r="EQ40" s="59">
        <f>'C1-Incomes'!ER42/'C1-Incomes'!$EH42</f>
        <v>0.25745268187073411</v>
      </c>
      <c r="ER40" s="59">
        <f>'C1-Incomes'!ES42/'C1-Incomes'!$EH42</f>
        <v>0.11855638056700488</v>
      </c>
      <c r="ES40" s="59">
        <f>'C1-Incomes'!ET42/'C1-Incomes'!$EH42</f>
        <v>8.7774320719619048E-2</v>
      </c>
      <c r="ET40" s="59">
        <f>'C1-Incomes'!EU42/'C1-Incomes'!$EH42</f>
        <v>4.5824072796550132E-2</v>
      </c>
      <c r="EU40" s="59">
        <f>'C1-Incomes'!EV42/'C1-Incomes'!$EH42</f>
        <v>1.8139800573822206E-2</v>
      </c>
      <c r="EV40" s="59"/>
      <c r="EW40" s="59"/>
      <c r="EX40" s="59">
        <f>'C1-Incomes'!EY42/'C1-Incomes'!$EX42</f>
        <v>0.34775758422856967</v>
      </c>
      <c r="EY40" s="59">
        <f>'C1-Incomes'!EZ42/'C1-Incomes'!$EX42</f>
        <v>0.24010524498359059</v>
      </c>
      <c r="EZ40" s="59">
        <f>'C1-Incomes'!FA42/'C1-Incomes'!$EX42</f>
        <v>0.10947565686902427</v>
      </c>
      <c r="FA40" s="59">
        <f>'C1-Incomes'!FB42/'C1-Incomes'!$EX42</f>
        <v>8.0858544557624937E-2</v>
      </c>
      <c r="FB40" s="59">
        <f>'C1-Incomes'!FC42/'C1-Incomes'!$EX42</f>
        <v>4.2082962830750692E-2</v>
      </c>
      <c r="FC40" s="59">
        <f>'C1-Incomes'!FD42/'C1-Incomes'!$EX42</f>
        <v>1.6627208602309915E-2</v>
      </c>
      <c r="FD40" s="59"/>
      <c r="FF40" s="59">
        <f>'C1-Incomes'!FG42/'C1-Incomes'!$FF42</f>
        <v>0.33411223699474851</v>
      </c>
      <c r="FG40" s="59">
        <f>'C1-Incomes'!FH42/'C1-Incomes'!$FF42</f>
        <v>0.23029900083762717</v>
      </c>
      <c r="FH40" s="59">
        <f>'C1-Incomes'!FI42/'C1-Incomes'!$FF42</f>
        <v>0.10461528467856671</v>
      </c>
      <c r="FI40" s="59">
        <f>'C1-Incomes'!FJ42/'C1-Incomes'!$FF42</f>
        <v>7.7279982214923049E-2</v>
      </c>
      <c r="FJ40" s="59">
        <f>'C1-Incomes'!FK42/'C1-Incomes'!$FF42</f>
        <v>4.0096494922412781E-2</v>
      </c>
      <c r="FK40" s="59">
        <f>'C1-Incomes'!FL42/'C1-Incomes'!$FF42</f>
        <v>1.5813770607028405E-2</v>
      </c>
      <c r="FN40" s="59">
        <f>'C1-Incomes'!FO42/'C1-Incomes'!$FN42</f>
        <v>0.33302144668170819</v>
      </c>
      <c r="FO40" s="59">
        <f>'C1-Incomes'!FP42/'C1-Incomes'!$FN42</f>
        <v>0.22954154943661062</v>
      </c>
      <c r="FP40" s="59">
        <f>'C1-Incomes'!FQ42/'C1-Incomes'!$FN42</f>
        <v>0.10423518325214873</v>
      </c>
      <c r="FQ40" s="59">
        <f>'C1-Incomes'!FR42/'C1-Incomes'!$FN42</f>
        <v>7.6924138764357664E-2</v>
      </c>
      <c r="FR40" s="59">
        <f>'C1-Incomes'!FS42/'C1-Incomes'!$FN42</f>
        <v>3.9948686002125436E-2</v>
      </c>
      <c r="FS40" s="59">
        <f>'C1-Incomes'!FT42/'C1-Incomes'!$FN42</f>
        <v>1.5755389317003113E-2</v>
      </c>
      <c r="FV40" s="59">
        <f>'C1-Incomes'!FW42/'C1-Incomes'!$FV42</f>
        <v>0.32846457953659153</v>
      </c>
      <c r="FW40" s="59">
        <f>'C1-Incomes'!FX42/'C1-Incomes'!$FV42</f>
        <v>0.22634400176977745</v>
      </c>
      <c r="FX40" s="59">
        <f>'C1-Incomes'!FY42/'C1-Incomes'!$FV42</f>
        <v>0.10274515255786391</v>
      </c>
      <c r="FY40" s="59">
        <f>'C1-Incomes'!FZ42/'C1-Incomes'!$FV42</f>
        <v>7.5817394902496893E-2</v>
      </c>
      <c r="FZ40" s="59">
        <f>'C1-Incomes'!GA42/'C1-Incomes'!$FV42</f>
        <v>3.9369147598978659E-2</v>
      </c>
      <c r="GA40" s="59">
        <f>'C1-Incomes'!GB42/'C1-Incomes'!$FV42</f>
        <v>1.5525943827024954E-2</v>
      </c>
      <c r="GE40" s="59">
        <f>'C1-Incomes'!GF42/'C1-Incomes'!$GE42</f>
        <v>0.32262361792214195</v>
      </c>
      <c r="GF40" s="59">
        <f>'C1-Incomes'!GG42/'C1-Incomes'!$GE42</f>
        <v>0.22193367684347576</v>
      </c>
      <c r="GG40" s="59">
        <f>'C1-Incomes'!GH42/'C1-Incomes'!$GE42</f>
        <v>0.10055845293434386</v>
      </c>
      <c r="GH40" s="59">
        <f>'C1-Incomes'!GI42/'C1-Incomes'!$GE42</f>
        <v>7.4222384697034405E-2</v>
      </c>
      <c r="GI40" s="59">
        <f>'C1-Incomes'!GJ42/'C1-Incomes'!$GE42</f>
        <v>3.8511175901865598E-2</v>
      </c>
      <c r="GJ40" s="59">
        <f>'C1-Incomes'!GK42/'C1-Incomes'!$GE42</f>
        <v>1.5186960356678648E-2</v>
      </c>
      <c r="GM40" s="59">
        <f>'C1-Incomes'!GN42/'C1-Incomes'!$GM42</f>
        <v>0.31280023457281447</v>
      </c>
      <c r="GN40" s="59">
        <f>'C1-Incomes'!GO42/'C1-Incomes'!$GM42</f>
        <v>0.21517614433609014</v>
      </c>
      <c r="GO40" s="59">
        <f>'C1-Incomes'!GP42/'C1-Incomes'!$GM42</f>
        <v>9.7496605700246583E-2</v>
      </c>
      <c r="GP40" s="59">
        <f>'C1-Incomes'!GQ42/'C1-Incomes'!$GM42</f>
        <v>7.1962429450496371E-2</v>
      </c>
      <c r="GQ40" s="59">
        <f>'C1-Incomes'!GR42/'C1-Incomes'!$GM42</f>
        <v>3.7338570974322118E-2</v>
      </c>
      <c r="GR40" s="59">
        <f>'C1-Incomes'!GS42/'C1-Incomes'!$GM42</f>
        <v>1.4724541224268146E-2</v>
      </c>
      <c r="GU40" s="59">
        <f>'C1-Incomes'!GV42/'C1-Incomes'!$GU42</f>
        <v>0.2886348287653312</v>
      </c>
      <c r="GV40" s="59">
        <f>'C1-Incomes'!GW42/'C1-Incomes'!$GU42</f>
        <v>0.19342115309384264</v>
      </c>
      <c r="GW40" s="59">
        <f>'C1-Incomes'!GX42/'C1-Incomes'!$GU42</f>
        <v>8.2378887411712912E-2</v>
      </c>
      <c r="GX40" s="59">
        <f>'C1-Incomes'!GY42/'C1-Incomes'!$GU42</f>
        <v>5.9267961345927524E-2</v>
      </c>
      <c r="GY40" s="59">
        <f>'C1-Incomes'!GZ42/'C1-Incomes'!$GU42</f>
        <v>2.977274335558772E-2</v>
      </c>
      <c r="GZ40" s="59">
        <f>'C1-Incomes'!HA42/'C1-Incomes'!$GU42</f>
        <v>1.1590827516877488E-2</v>
      </c>
      <c r="HC40" s="59">
        <f>'C1-Incomes'!HD42/'C1-Incomes'!$HC42</f>
        <v>0.28400455200649888</v>
      </c>
      <c r="HD40" s="59">
        <f>'C1-Incomes'!HE42/'C1-Incomes'!$HC42</f>
        <v>0.18940634537307277</v>
      </c>
      <c r="HE40" s="59">
        <f>'C1-Incomes'!HF42/'C1-Incomes'!$HC42</f>
        <v>7.9847383126963725E-2</v>
      </c>
      <c r="HF40" s="59">
        <f>'C1-Incomes'!HG42/'C1-Incomes'!$HC42</f>
        <v>5.7124661557082942E-2</v>
      </c>
      <c r="HG40" s="59">
        <f>'C1-Incomes'!HH42/'C1-Incomes'!$HC42</f>
        <v>2.8498151916619734E-2</v>
      </c>
      <c r="HH40" s="59">
        <f>'C1-Incomes'!HI42/'C1-Incomes'!$HC42</f>
        <v>1.1077309373843425E-2</v>
      </c>
      <c r="HK40" s="59">
        <f>'C1-Incomes'!HL42/'C1-Incomes'!$HK42</f>
        <v>0.28026576114564505</v>
      </c>
      <c r="HL40" s="59">
        <f>'C1-Incomes'!HM42/'C1-Incomes'!$HK42</f>
        <v>0.18610634617447325</v>
      </c>
      <c r="HM40" s="59">
        <f>'C1-Incomes'!HN42/'C1-Incomes'!$HK42</f>
        <v>7.7590628225780611E-2</v>
      </c>
      <c r="HN40" s="59">
        <f>'C1-Incomes'!HO42/'C1-Incomes'!$HK42</f>
        <v>5.5334161138483134E-2</v>
      </c>
      <c r="HO40" s="59">
        <f>'C1-Incomes'!HP42/'C1-Incomes'!$HK42</f>
        <v>2.7292321542046839E-2</v>
      </c>
      <c r="HP40" s="59">
        <f>'C1-Incomes'!HQ42/'C1-Incomes'!$HK42</f>
        <v>1.0473588503325805E-2</v>
      </c>
      <c r="HS40" s="59">
        <f>'C1-Incomes'!HT42/'C1-Incomes'!$HS42</f>
        <v>0.27574865473324889</v>
      </c>
      <c r="HT40" s="59">
        <f>'C1-Incomes'!HU42/'C1-Incomes'!$HS42</f>
        <v>0.18266683443649484</v>
      </c>
      <c r="HU40" s="59">
        <f>'C1-Incomes'!HV42/'C1-Incomes'!$HS42</f>
        <v>7.5537475390667963E-2</v>
      </c>
      <c r="HV40" s="59">
        <f>'C1-Incomes'!HW42/'C1-Incomes'!$HS42</f>
        <v>5.3714116019607822E-2</v>
      </c>
      <c r="HW40" s="59">
        <f>'C1-Incomes'!HX42/'C1-Incomes'!$HS42</f>
        <v>2.630933854557909E-2</v>
      </c>
      <c r="HX40" s="59">
        <f>'C1-Incomes'!HY42/'C1-Incomes'!$HS42</f>
        <v>1.0046357498541153E-2</v>
      </c>
      <c r="IA40" s="59">
        <f>'C1-Incomes'!IB42/'C1-Incomes'!$IA42</f>
        <v>0.27901157116323649</v>
      </c>
      <c r="IB40" s="59">
        <f>'C1-Incomes'!IC42/'C1-Incomes'!$IA42</f>
        <v>0.1866433664367303</v>
      </c>
      <c r="IC40" s="59">
        <f>'C1-Incomes'!ID42/'C1-Incomes'!$IA42</f>
        <v>7.926824829204808E-2</v>
      </c>
      <c r="ID40" s="59">
        <f>'C1-Incomes'!IE42/'C1-Incomes'!$IA42</f>
        <v>5.6844362184508737E-2</v>
      </c>
      <c r="IE40" s="59">
        <f>'C1-Incomes'!IF42/'C1-Incomes'!$IA42</f>
        <v>2.816261909984908E-2</v>
      </c>
      <c r="IF40" s="59">
        <f>'C1-Incomes'!IG42/'C1-Incomes'!$IA42</f>
        <v>1.0835864878849357E-2</v>
      </c>
      <c r="II40" s="59">
        <f>'C1-Incomes'!IJ42/'C1-Incomes'!$II42</f>
        <v>0.27942871584942003</v>
      </c>
      <c r="IJ40" s="59">
        <f>'C1-Incomes'!IK42/'C1-Incomes'!$II42</f>
        <v>0.18764066341026536</v>
      </c>
      <c r="IK40" s="59">
        <f>'C1-Incomes'!IL42/'C1-Incomes'!$II42</f>
        <v>8.025905376298767E-2</v>
      </c>
      <c r="IL40" s="59">
        <f>'C1-Incomes'!IM42/'C1-Incomes'!$II42</f>
        <v>5.7692900805613068E-2</v>
      </c>
      <c r="IM40" s="59">
        <f>'C1-Incomes'!IN42/'C1-Incomes'!$II42</f>
        <v>2.8603923866112321E-2</v>
      </c>
      <c r="IN40" s="59">
        <f>'C1-Incomes'!IO42/'C1-Incomes'!$II42</f>
        <v>1.1008656056651411E-2</v>
      </c>
      <c r="IQ40" s="59">
        <f>'C1-Incomes'!IR42/'C1-Incomes'!$IQ42</f>
        <v>0.27941827761917543</v>
      </c>
      <c r="IR40" s="59">
        <f>'C1-Incomes'!IS42/'C1-Incomes'!$IQ42</f>
        <v>0.18763189213757078</v>
      </c>
      <c r="IS40" s="59">
        <f>'C1-Incomes'!IT42/'C1-Incomes'!$IQ42</f>
        <v>8.0253278457761798E-2</v>
      </c>
      <c r="IT40" s="59">
        <f>'C1-Incomes'!IU42/'C1-Incomes'!$IQ42</f>
        <v>5.7688273920984384E-2</v>
      </c>
      <c r="IU40" s="59">
        <f>'C1-Incomes'!IV42/'C1-Incomes'!$IQ42</f>
        <v>2.8601107973521975E-2</v>
      </c>
      <c r="IV40" s="59">
        <f>'C1-Incomes'!IW42/'C1-Incomes'!$IQ42</f>
        <v>1.1007469678665583E-2</v>
      </c>
      <c r="IY40" s="59">
        <f>'C1-Incomes'!IZ42/'C1-Incomes'!$IY42</f>
        <v>0.2620212673758931</v>
      </c>
      <c r="IZ40" s="59">
        <f>'C1-Incomes'!JA42/'C1-Incomes'!$IY42</f>
        <v>0.17449038290684182</v>
      </c>
      <c r="JA40" s="59">
        <f>'C1-Incomes'!JB42/'C1-Incomes'!$IY42</f>
        <v>7.3669655385035615E-2</v>
      </c>
      <c r="JB40" s="59">
        <f>'C1-Incomes'!JC42/'C1-Incomes'!$IY42</f>
        <v>5.2750523620967618E-2</v>
      </c>
      <c r="JC40" s="59">
        <f>'C1-Incomes'!JD42/'C1-Incomes'!$IY42</f>
        <v>2.6024174741139865E-2</v>
      </c>
      <c r="JD40" s="59">
        <f>'C1-Incomes'!JE42/'C1-Incomes'!$IY42</f>
        <v>9.9889358593943916E-3</v>
      </c>
      <c r="JE40" s="197"/>
      <c r="JF40" s="197"/>
      <c r="JG40" s="197"/>
      <c r="JH40" s="197"/>
      <c r="JI40" s="197"/>
      <c r="JJ40" s="197"/>
      <c r="JK40" s="197"/>
      <c r="JL40" s="197"/>
      <c r="JM40" s="197"/>
      <c r="JN40" s="197"/>
      <c r="JO40" s="197"/>
      <c r="JP40" s="197"/>
      <c r="JQ40" s="197"/>
      <c r="JR40" s="197"/>
      <c r="JS40" s="197"/>
      <c r="JT40" s="197"/>
      <c r="JU40" s="197"/>
      <c r="JV40" s="197"/>
      <c r="JW40" s="197"/>
      <c r="JX40" s="197"/>
      <c r="JY40" s="197"/>
      <c r="JZ40" s="197"/>
      <c r="KA40" s="197"/>
      <c r="KB40" s="197"/>
      <c r="KC40" s="197"/>
      <c r="KD40" s="197"/>
      <c r="KE40" s="197"/>
      <c r="KF40" s="197"/>
      <c r="KG40" s="197"/>
      <c r="KH40" s="197"/>
      <c r="KI40" s="197"/>
      <c r="KJ40" s="197"/>
      <c r="KK40" s="197"/>
      <c r="KL40" s="197"/>
      <c r="KM40" s="197"/>
      <c r="KN40" s="197"/>
      <c r="KO40" s="197"/>
      <c r="KP40" s="197"/>
      <c r="KQ40" s="197"/>
      <c r="KR40" s="197"/>
      <c r="KS40" s="197"/>
      <c r="KT40" s="197"/>
      <c r="KU40" s="197"/>
      <c r="KV40" s="197"/>
      <c r="KW40" s="197"/>
      <c r="KX40" s="197"/>
      <c r="KY40" s="197"/>
      <c r="KZ40" s="197"/>
      <c r="LA40" s="197"/>
      <c r="LB40" s="197"/>
      <c r="LC40" s="197"/>
      <c r="LD40" s="197"/>
      <c r="LE40" s="197"/>
      <c r="LF40" s="197"/>
      <c r="LG40" s="197"/>
      <c r="LH40" s="197"/>
      <c r="LI40" s="197"/>
      <c r="LJ40" s="197"/>
      <c r="LK40" s="197"/>
      <c r="LL40" s="197"/>
      <c r="LM40" s="197"/>
      <c r="LN40" s="197"/>
      <c r="LO40" s="197"/>
      <c r="LP40" s="197"/>
      <c r="LQ40" s="197"/>
      <c r="LR40" s="197"/>
      <c r="LS40" s="197"/>
      <c r="LT40" s="197"/>
      <c r="LU40" s="197"/>
      <c r="LV40" s="197"/>
      <c r="LW40" s="197"/>
      <c r="LX40" s="197"/>
      <c r="LY40" s="197"/>
      <c r="LZ40" s="197"/>
      <c r="MA40" s="197"/>
      <c r="MB40" s="197"/>
      <c r="MC40" s="197"/>
      <c r="MD40" s="197"/>
      <c r="ME40" s="197"/>
      <c r="MF40" s="197"/>
      <c r="MG40" s="197"/>
      <c r="MH40" s="197"/>
      <c r="MI40" s="197"/>
      <c r="MJ40" s="197"/>
      <c r="MK40" s="197"/>
      <c r="ML40" s="197"/>
      <c r="MM40" s="197"/>
      <c r="MN40" s="197"/>
      <c r="MO40" s="197"/>
      <c r="MP40" s="197"/>
      <c r="MQ40" s="197"/>
      <c r="MR40" s="197"/>
      <c r="MS40" s="197"/>
      <c r="MT40" s="197"/>
      <c r="MU40" s="197"/>
      <c r="MV40" s="197"/>
      <c r="MW40" s="197"/>
      <c r="MX40" s="197"/>
      <c r="MY40" s="197"/>
      <c r="MZ40" s="197"/>
      <c r="NA40" s="197"/>
      <c r="NB40" s="197"/>
      <c r="NC40" s="197"/>
      <c r="ND40" s="197"/>
      <c r="NE40" s="197"/>
      <c r="NF40" s="197"/>
      <c r="NG40" s="197"/>
      <c r="NH40" s="197"/>
      <c r="NI40" s="197"/>
      <c r="NJ40" s="197"/>
      <c r="NK40" s="197"/>
      <c r="NL40" s="197"/>
      <c r="NM40" s="197"/>
      <c r="NN40" s="197"/>
      <c r="NO40" s="197"/>
      <c r="NP40" s="197"/>
      <c r="NQ40" s="197"/>
      <c r="NR40" s="197"/>
      <c r="NS40" s="197"/>
      <c r="NT40" s="197"/>
      <c r="NU40" s="197"/>
      <c r="NV40" s="197"/>
      <c r="NW40" s="197"/>
      <c r="NX40" s="197"/>
      <c r="NY40" s="197"/>
      <c r="NZ40" s="197"/>
      <c r="OA40" s="197"/>
      <c r="OB40" s="197"/>
      <c r="OC40" s="197"/>
      <c r="OD40" s="197"/>
      <c r="OE40" s="197"/>
      <c r="OF40" s="197"/>
      <c r="OG40" s="197"/>
      <c r="OH40" s="197"/>
      <c r="OI40" s="197"/>
      <c r="OJ40" s="197"/>
      <c r="OK40" s="197"/>
      <c r="OL40" s="197"/>
      <c r="OM40" s="197"/>
      <c r="ON40" s="197"/>
      <c r="OO40" s="197"/>
      <c r="OP40" s="197"/>
      <c r="OQ40" s="197"/>
      <c r="OR40" s="197"/>
      <c r="OS40" s="197"/>
      <c r="OT40" s="197"/>
      <c r="OU40" s="197"/>
      <c r="OV40" s="197"/>
      <c r="OW40" s="197"/>
      <c r="OX40" s="197"/>
      <c r="OY40" s="197"/>
      <c r="OZ40" s="197"/>
      <c r="PA40" s="197"/>
      <c r="PB40" s="197"/>
    </row>
    <row r="41" spans="1:418" s="77" customFormat="1" ht="10.5" customHeight="1" x14ac:dyDescent="0.2">
      <c r="A41" s="48">
        <v>1995</v>
      </c>
      <c r="B41" s="59">
        <f>'C1-Incomes'!C43/'C1-Incomes'!$B43</f>
        <v>0.40671377687869931</v>
      </c>
      <c r="C41" s="59">
        <f>'C1-Incomes'!D43/'C1-Incomes'!$B43</f>
        <v>0.28571003306363196</v>
      </c>
      <c r="D41" s="59">
        <f>'C1-Incomes'!E43/'C1-Incomes'!$B43</f>
        <v>0.13623280223168013</v>
      </c>
      <c r="E41" s="59">
        <f>'C1-Incomes'!F43/'C1-Incomes'!$B43</f>
        <v>0.10072798773830018</v>
      </c>
      <c r="F41" s="59">
        <f>'C1-Incomes'!G43/'C1-Incomes'!$B43</f>
        <v>5.0502563914915234E-2</v>
      </c>
      <c r="G41" s="59">
        <f>'C1-Incomes'!H43/'C1-Incomes'!$B43</f>
        <v>1.8700483730093857E-2</v>
      </c>
      <c r="H41" s="199"/>
      <c r="J41" s="59">
        <f>'C1-Incomes'!K43/'C1-Incomes'!$J43</f>
        <v>0.35393997672871408</v>
      </c>
      <c r="K41" s="59">
        <f>'C1-Incomes'!L43/'C1-Incomes'!$J43</f>
        <v>0.24630100417661255</v>
      </c>
      <c r="L41" s="59">
        <f>'C1-Incomes'!M43/'C1-Incomes'!$J43</f>
        <v>0.11512130249241838</v>
      </c>
      <c r="M41" s="59">
        <f>'C1-Incomes'!N43/'C1-Incomes'!$J43</f>
        <v>8.6040989985149641E-2</v>
      </c>
      <c r="N41" s="59">
        <f>'C1-Incomes'!O43/'C1-Incomes'!$J43</f>
        <v>4.5089049183774821E-2</v>
      </c>
      <c r="O41" s="59">
        <f>'C1-Incomes'!P43/'C1-Incomes'!$J43</f>
        <v>1.7852703671841205E-2</v>
      </c>
      <c r="P41" s="59"/>
      <c r="R41" s="59">
        <f>'C1-Incomes'!S43/'C1-Incomes'!$R43</f>
        <v>0.31819364231188624</v>
      </c>
      <c r="S41" s="59">
        <f>'C1-Incomes'!T43/'C1-Incomes'!$R43</f>
        <v>0.22073915866884505</v>
      </c>
      <c r="T41" s="59">
        <f>'C1-Incomes'!U43/'C1-Incomes'!$R43</f>
        <v>0.10248804676769482</v>
      </c>
      <c r="U41" s="59">
        <f>'C1-Incomes'!V43/'C1-Incomes'!$R43</f>
        <v>7.6435334328636584E-2</v>
      </c>
      <c r="V41" s="59">
        <f>'C1-Incomes'!W43/'C1-Incomes'!$R43</f>
        <v>3.9971853841719189E-2</v>
      </c>
      <c r="W41" s="59">
        <f>'C1-Incomes'!X43/'C1-Incomes'!$R43</f>
        <v>1.5800136540504474E-2</v>
      </c>
      <c r="X41" s="59"/>
      <c r="Y41" s="59"/>
      <c r="Z41" s="59">
        <f>'C1-Incomes'!AA43/'C1-Incomes'!$Z43</f>
        <v>0.26706394893417895</v>
      </c>
      <c r="AA41" s="59">
        <f>'C1-Incomes'!AB43/'C1-Incomes'!$Z43</f>
        <v>0.17921382856908921</v>
      </c>
      <c r="AB41" s="59">
        <f>'C1-Incomes'!AC43/'C1-Incomes'!$Z43</f>
        <v>7.7604961237693143E-2</v>
      </c>
      <c r="AC41" s="59">
        <f>'C1-Incomes'!AD43/'C1-Incomes'!$Z43</f>
        <v>5.6288258743110234E-2</v>
      </c>
      <c r="AD41" s="59">
        <f>'C1-Incomes'!AE43/'C1-Incomes'!$Z43</f>
        <v>2.8196084587845935E-2</v>
      </c>
      <c r="AE41" s="59">
        <f>'C1-Incomes'!AF43/'C1-Incomes'!$Z43</f>
        <v>1.0934793085206408E-2</v>
      </c>
      <c r="AF41" s="200"/>
      <c r="AG41" s="195"/>
      <c r="AH41" s="59">
        <f>'C1-Incomes'!AI43/'C1-Incomes'!$AH43</f>
        <v>0.40014304068301121</v>
      </c>
      <c r="AI41" s="59">
        <f>'C1-Incomes'!AJ43/'C1-Incomes'!$AH43</f>
        <v>0.28046317187229436</v>
      </c>
      <c r="AJ41" s="59">
        <f>'C1-Incomes'!AK43/'C1-Incomes'!$AH43</f>
        <v>0.13344928620159516</v>
      </c>
      <c r="AK41" s="59">
        <f>'C1-Incomes'!AL43/'C1-Incomes'!$AH43</f>
        <v>9.8637647694949607E-2</v>
      </c>
      <c r="AL41" s="59">
        <f>'C1-Incomes'!AM43/'C1-Incomes'!$AH43</f>
        <v>4.9471801599134821E-2</v>
      </c>
      <c r="AM41" s="59">
        <f>'C1-Incomes'!AN43/'C1-Incomes'!$AH43</f>
        <v>1.8350894624293467E-2</v>
      </c>
      <c r="AN41" s="195"/>
      <c r="AO41" s="195"/>
      <c r="AP41" s="59"/>
      <c r="AQ41" s="59"/>
      <c r="AR41" s="59"/>
      <c r="AS41" s="59"/>
      <c r="AT41" s="59"/>
      <c r="AU41" s="59"/>
      <c r="AV41" s="197"/>
      <c r="AW41" s="60"/>
      <c r="AX41" s="59">
        <f>'C1-Incomes'!AY43/'C1-Incomes'!$AX43</f>
        <v>0.40321669995304765</v>
      </c>
      <c r="AY41" s="59">
        <f>'C1-Incomes'!AZ43/'C1-Incomes'!$AX43</f>
        <v>0.28402768618533847</v>
      </c>
      <c r="AZ41" s="59">
        <f>'C1-Incomes'!BA43/'C1-Incomes'!$AX43</f>
        <v>0.13654603154635775</v>
      </c>
      <c r="BA41" s="59">
        <f>'C1-Incomes'!BB43/'C1-Incomes'!$AX43</f>
        <v>0.10123749228870063</v>
      </c>
      <c r="BB41" s="59">
        <f>'C1-Incomes'!BC43/'C1-Incomes'!$AX43</f>
        <v>5.1008355589335586E-2</v>
      </c>
      <c r="BC41" s="59">
        <f>'C1-Incomes'!BD43/'C1-Incomes'!$AX43</f>
        <v>1.8868512308376932E-2</v>
      </c>
      <c r="BD41" s="60"/>
      <c r="BE41" s="60"/>
      <c r="BF41" s="59">
        <f>'C1-Incomes'!BG43/'C1-Incomes'!$BF43</f>
        <v>0.39672721763373719</v>
      </c>
      <c r="BG41" s="59">
        <f>'C1-Incomes'!BH43/'C1-Incomes'!$BF43</f>
        <v>0.27912740640465578</v>
      </c>
      <c r="BH41" s="59">
        <f>'C1-Incomes'!BI43/'C1-Incomes'!$BF43</f>
        <v>0.13430384821363464</v>
      </c>
      <c r="BI41" s="59">
        <f>'C1-Incomes'!BJ43/'C1-Incomes'!$BF43</f>
        <v>9.9836499628200931E-2</v>
      </c>
      <c r="BJ41" s="59">
        <f>'C1-Incomes'!BK43/'C1-Incomes'!$BF43</f>
        <v>5.0528449074872202E-2</v>
      </c>
      <c r="BK41" s="59">
        <f>'C1-Incomes'!BL43/'C1-Incomes'!$BF43</f>
        <v>1.8759182315882743E-2</v>
      </c>
      <c r="BL41" s="59"/>
      <c r="BM41" s="59"/>
      <c r="BN41" s="59">
        <f>'C1-Incomes'!BO43/'C1-Incomes'!$BN43</f>
        <v>0.36444483683304901</v>
      </c>
      <c r="BO41" s="59">
        <f>'C1-Incomes'!BP43/'C1-Incomes'!$BN43</f>
        <v>0.25632495071337275</v>
      </c>
      <c r="BP41" s="59">
        <f>'C1-Incomes'!BQ43/'C1-Incomes'!$BN43</f>
        <v>0.12248438485226811</v>
      </c>
      <c r="BQ41" s="59">
        <f>'C1-Incomes'!BR43/'C1-Incomes'!$BN43</f>
        <v>9.1723575684253267E-2</v>
      </c>
      <c r="BR41" s="59">
        <f>'C1-Incomes'!BS43/'C1-Incomes'!$BN43</f>
        <v>4.7571383025160806E-2</v>
      </c>
      <c r="BS41" s="59">
        <f>'C1-Incomes'!BT43/'C1-Incomes'!$BN43</f>
        <v>1.7998575231964211E-2</v>
      </c>
      <c r="BT41" s="59"/>
      <c r="BU41" s="59"/>
      <c r="BV41" s="59">
        <f>'C1-Incomes'!BW43/'C1-Incomes'!$BV43</f>
        <v>0.36731270487942097</v>
      </c>
      <c r="BW41" s="59">
        <f>'C1-Incomes'!BX43/'C1-Incomes'!$BV43</f>
        <v>0.25937060398631967</v>
      </c>
      <c r="BX41" s="59">
        <f>'C1-Incomes'!BY43/'C1-Incomes'!$BV43</f>
        <v>0.12562985563124796</v>
      </c>
      <c r="BY41" s="59">
        <f>'C1-Incomes'!BZ43/'C1-Incomes'!$BV43</f>
        <v>9.4740338833915111E-2</v>
      </c>
      <c r="BZ41" s="59">
        <f>'C1-Incomes'!CA43/'C1-Incomes'!$BV43</f>
        <v>4.968987097777227E-2</v>
      </c>
      <c r="CA41" s="59">
        <f>'C1-Incomes'!CB43/'C1-Incomes'!$BV43</f>
        <v>1.9260093932941549E-2</v>
      </c>
      <c r="CB41" s="60"/>
      <c r="CC41" s="198"/>
      <c r="CD41" s="59">
        <f>'C1-Incomes'!CE43/'C1-Incomes'!$CD43</f>
        <v>0.3754771735550359</v>
      </c>
      <c r="CE41" s="59">
        <f>'C1-Incomes'!CF43/'C1-Incomes'!$CD43</f>
        <v>0.26740498546280361</v>
      </c>
      <c r="CF41" s="59">
        <f>'C1-Incomes'!CG43/'C1-Incomes'!$CD43</f>
        <v>0.13188386048885528</v>
      </c>
      <c r="CG41" s="59">
        <f>'C1-Incomes'!CH43/'C1-Incomes'!$CD43</f>
        <v>0.10016712042683687</v>
      </c>
      <c r="CH41" s="59">
        <f>'C1-Incomes'!CI43/'C1-Incomes'!$CD43</f>
        <v>5.3417106682534986E-2</v>
      </c>
      <c r="CI41" s="59">
        <f>'C1-Incomes'!CJ43/'C1-Incomes'!$CD43</f>
        <v>2.1200055350956575E-2</v>
      </c>
      <c r="CL41" s="59">
        <f>'C1-Incomes'!CM43/'C1-Incomes'!$CL43</f>
        <v>0.37918202910072935</v>
      </c>
      <c r="CM41" s="59">
        <f>'C1-Incomes'!CN43/'C1-Incomes'!$CL43</f>
        <v>0.27021821390645823</v>
      </c>
      <c r="CN41" s="59">
        <f>'C1-Incomes'!CO43/'C1-Incomes'!$CL43</f>
        <v>0.1337149287743605</v>
      </c>
      <c r="CO41" s="59">
        <f>'C1-Incomes'!CP43/'C1-Incomes'!$CL43</f>
        <v>0.10174046846931999</v>
      </c>
      <c r="CP41" s="59">
        <f>'C1-Incomes'!CQ43/'C1-Incomes'!$CL43</f>
        <v>5.4571249522274719E-2</v>
      </c>
      <c r="CQ41" s="59">
        <f>'C1-Incomes'!CR43/'C1-Incomes'!$CL43</f>
        <v>2.1859119955306209E-2</v>
      </c>
      <c r="CR41" s="59"/>
      <c r="CS41" s="59"/>
      <c r="CT41" s="59">
        <f>'C1-Incomes'!CU43/'C1-Incomes'!$CT43</f>
        <v>0.38180317788629436</v>
      </c>
      <c r="CU41" s="59">
        <f>'C1-Incomes'!CV43/'C1-Incomes'!$CT43</f>
        <v>0.27299125857276274</v>
      </c>
      <c r="CV41" s="59">
        <f>'C1-Incomes'!CW43/'C1-Incomes'!$CT43</f>
        <v>0.1357275624961263</v>
      </c>
      <c r="CW41" s="59">
        <f>'C1-Incomes'!CX43/'C1-Incomes'!$CT43</f>
        <v>0.10351524853531119</v>
      </c>
      <c r="CX41" s="59">
        <f>'C1-Incomes'!CY43/'C1-Incomes'!$CT43</f>
        <v>5.5711604141799743E-2</v>
      </c>
      <c r="CY41" s="59">
        <f>'C1-Incomes'!CZ43/'C1-Incomes'!$CT43</f>
        <v>2.2427880084432462E-2</v>
      </c>
      <c r="CZ41" s="59"/>
      <c r="DA41" s="59"/>
      <c r="DB41" s="59">
        <f>'C1-Incomes'!DC43/'C1-Incomes'!$DB43</f>
        <v>0.3834437508656543</v>
      </c>
      <c r="DC41" s="59">
        <f>'C1-Incomes'!DD43/'C1-Incomes'!$DB43</f>
        <v>0.27441896567380342</v>
      </c>
      <c r="DD41" s="59">
        <f>'C1-Incomes'!DE43/'C1-Incomes'!$DB43</f>
        <v>0.13652748933790682</v>
      </c>
      <c r="DE41" s="59">
        <f>'C1-Incomes'!DF43/'C1-Incomes'!$DB43</f>
        <v>0.10410199992194545</v>
      </c>
      <c r="DF41" s="59">
        <f>'C1-Incomes'!DG43/'C1-Incomes'!$DB43</f>
        <v>5.6077845796844064E-2</v>
      </c>
      <c r="DG41" s="59">
        <f>'C1-Incomes'!DH43/'C1-Incomes'!$DB43</f>
        <v>2.2595090602294698E-2</v>
      </c>
      <c r="DH41" s="59"/>
      <c r="DI41" s="1039"/>
      <c r="DJ41" s="59">
        <f>'C1-Incomes'!DK43/'C1-Incomes'!$DJ43</f>
        <v>0.37586447937465378</v>
      </c>
      <c r="DK41" s="59">
        <f>'C1-Incomes'!DL43/'C1-Incomes'!$DJ43</f>
        <v>0.26918623134837377</v>
      </c>
      <c r="DL41" s="59">
        <f>'C1-Incomes'!DM43/'C1-Incomes'!$DJ43</f>
        <v>0.13318016497816568</v>
      </c>
      <c r="DM41" s="59">
        <f>'C1-Incomes'!DN43/'C1-Incomes'!$DJ43</f>
        <v>0.10118361404391975</v>
      </c>
      <c r="DN41" s="59">
        <f>'C1-Incomes'!DO43/'C1-Incomes'!$DJ43</f>
        <v>5.4104571371218393E-2</v>
      </c>
      <c r="DO41" s="59">
        <f>'C1-Incomes'!DP43/'C1-Incomes'!$DJ43</f>
        <v>2.1748402436242771E-2</v>
      </c>
      <c r="DP41" s="696"/>
      <c r="DQ41" s="503"/>
      <c r="DR41" s="59">
        <f>'C1-Incomes'!DS43/'C1-Incomes'!$DR43</f>
        <v>0.37486566504709784</v>
      </c>
      <c r="DS41" s="59">
        <f>'C1-Incomes'!DT43/'C1-Incomes'!$DR43</f>
        <v>0.26752513941974032</v>
      </c>
      <c r="DT41" s="59">
        <f>'C1-Incomes'!DU43/'C1-Incomes'!$DR43</f>
        <v>0.1313528531216353</v>
      </c>
      <c r="DU41" s="59">
        <f>'C1-Incomes'!DV43/'C1-Incomes'!$DR43</f>
        <v>9.9551884800172782E-2</v>
      </c>
      <c r="DV41" s="59">
        <f>'C1-Incomes'!DW43/'C1-Incomes'!$DR43</f>
        <v>5.2915418146985152E-2</v>
      </c>
      <c r="DW41" s="59">
        <f>'C1-Incomes'!DX43/'C1-Incomes'!$DR43</f>
        <v>2.1161669226727135E-2</v>
      </c>
      <c r="DX41" s="333"/>
      <c r="DZ41" s="59">
        <f>'C1-Incomes'!EA43/'C1-Incomes'!$DZ43</f>
        <v>0.36730759282182901</v>
      </c>
      <c r="EA41" s="59">
        <f>'C1-Incomes'!EB43/'C1-Incomes'!$DZ43</f>
        <v>0.26019353230358733</v>
      </c>
      <c r="EB41" s="59">
        <f>'C1-Incomes'!EC43/'C1-Incomes'!$DZ43</f>
        <v>0.12643986339459024</v>
      </c>
      <c r="EC41" s="59">
        <f>'C1-Incomes'!ED43/'C1-Incomes'!$DZ43</f>
        <v>9.5515219517685976E-2</v>
      </c>
      <c r="ED41" s="59">
        <f>'C1-Incomes'!EE43/'C1-Incomes'!$DZ43</f>
        <v>5.0630373991499597E-2</v>
      </c>
      <c r="EE41" s="59">
        <f>'C1-Incomes'!EF43/'C1-Incomes'!$DZ43</f>
        <v>2.0202402407027649E-2</v>
      </c>
      <c r="EF41" s="59"/>
      <c r="EH41" s="59">
        <f>'C1-Incomes'!EI43/'C1-Incomes'!$EH43</f>
        <v>0.3596989938697685</v>
      </c>
      <c r="EI41" s="59">
        <f>'C1-Incomes'!EJ43/'C1-Incomes'!$EH43</f>
        <v>0.25259987316587884</v>
      </c>
      <c r="EJ41" s="59">
        <f>'C1-Incomes'!EK43/'C1-Incomes'!$EH43</f>
        <v>0.12062964956612199</v>
      </c>
      <c r="EK41" s="59">
        <f>'C1-Incomes'!EL43/'C1-Incomes'!$EH43</f>
        <v>9.0857921918425705E-2</v>
      </c>
      <c r="EL41" s="59">
        <f>'C1-Incomes'!EM43/'C1-Incomes'!$EH43</f>
        <v>4.8009570593779048E-2</v>
      </c>
      <c r="EM41" s="59">
        <f>'C1-Incomes'!EN43/'C1-Incomes'!$EH43</f>
        <v>1.9136725796626376E-2</v>
      </c>
      <c r="EN41" s="59"/>
      <c r="EO41" s="59"/>
      <c r="EP41" s="59">
        <f>'C1-Incomes'!EQ43/'C1-Incomes'!$EH43</f>
        <v>0.37503564959756175</v>
      </c>
      <c r="EQ41" s="59">
        <f>'C1-Incomes'!ER43/'C1-Incomes'!$EH43</f>
        <v>0.26224455515680517</v>
      </c>
      <c r="ER41" s="59">
        <f>'C1-Incomes'!ES43/'C1-Incomes'!$EH43</f>
        <v>0.12383866629484598</v>
      </c>
      <c r="ES41" s="59">
        <f>'C1-Incomes'!ET43/'C1-Incomes'!$EH43</f>
        <v>9.2723669928773747E-2</v>
      </c>
      <c r="ET41" s="59">
        <f>'C1-Incomes'!EU43/'C1-Incomes'!$EH43</f>
        <v>4.8751871660297631E-2</v>
      </c>
      <c r="EU41" s="59">
        <f>'C1-Incomes'!EV43/'C1-Incomes'!$EH43</f>
        <v>1.9342440161125091E-2</v>
      </c>
      <c r="EV41" s="59"/>
      <c r="EW41" s="59"/>
      <c r="EX41" s="59">
        <f>'C1-Incomes'!EY43/'C1-Incomes'!$EX43</f>
        <v>0.35393997672871408</v>
      </c>
      <c r="EY41" s="59">
        <f>'C1-Incomes'!EZ43/'C1-Incomes'!$EX43</f>
        <v>0.24630100417661255</v>
      </c>
      <c r="EZ41" s="59">
        <f>'C1-Incomes'!FA43/'C1-Incomes'!$EX43</f>
        <v>0.11512130249241838</v>
      </c>
      <c r="FA41" s="59">
        <f>'C1-Incomes'!FB43/'C1-Incomes'!$EX43</f>
        <v>8.6040989985149641E-2</v>
      </c>
      <c r="FB41" s="59">
        <f>'C1-Incomes'!FC43/'C1-Incomes'!$EX43</f>
        <v>4.5089049183774821E-2</v>
      </c>
      <c r="FC41" s="59">
        <f>'C1-Incomes'!FD43/'C1-Incomes'!$EX43</f>
        <v>1.7852703671841205E-2</v>
      </c>
      <c r="FD41" s="59"/>
      <c r="FF41" s="59">
        <f>'C1-Incomes'!FG43/'C1-Incomes'!$FF43</f>
        <v>0.34011003330366962</v>
      </c>
      <c r="FG41" s="59">
        <f>'C1-Incomes'!FH43/'C1-Incomes'!$FF43</f>
        <v>0.23632602674453226</v>
      </c>
      <c r="FH41" s="59">
        <f>'C1-Incomes'!FI43/'C1-Incomes'!$FF43</f>
        <v>0.11004415001233736</v>
      </c>
      <c r="FI41" s="59">
        <f>'C1-Incomes'!FJ43/'C1-Incomes'!$FF43</f>
        <v>8.20985134360704E-2</v>
      </c>
      <c r="FJ41" s="59">
        <f>'C1-Incomes'!FK43/'C1-Incomes'!$FF43</f>
        <v>4.2951531060301862E-2</v>
      </c>
      <c r="FK41" s="59">
        <f>'C1-Incomes'!FL43/'C1-Incomes'!$FF43</f>
        <v>1.6980188537149461E-2</v>
      </c>
      <c r="FN41" s="59">
        <f>'C1-Incomes'!FO43/'C1-Incomes'!$FN43</f>
        <v>0.33923538465427705</v>
      </c>
      <c r="FO41" s="59">
        <f>'C1-Incomes'!FP43/'C1-Incomes'!$FN43</f>
        <v>0.23572639453158742</v>
      </c>
      <c r="FP41" s="59">
        <f>'C1-Incomes'!FQ43/'C1-Incomes'!$FN43</f>
        <v>0.10968670649002243</v>
      </c>
      <c r="FQ41" s="59">
        <f>'C1-Incomes'!FR43/'C1-Incomes'!$FN43</f>
        <v>8.184339288502121E-2</v>
      </c>
      <c r="FR41" s="59">
        <f>'C1-Incomes'!FS43/'C1-Incomes'!$FN43</f>
        <v>4.2815533173862046E-2</v>
      </c>
      <c r="FS41" s="59">
        <f>'C1-Incomes'!FT43/'C1-Incomes'!$FN43</f>
        <v>1.6926213426849787E-2</v>
      </c>
      <c r="FV41" s="59">
        <f>'C1-Incomes'!FW43/'C1-Incomes'!$FV43</f>
        <v>0.33447457950212262</v>
      </c>
      <c r="FW41" s="59">
        <f>'C1-Incomes'!FX43/'C1-Incomes'!$FV43</f>
        <v>0.23236057619427905</v>
      </c>
      <c r="FX41" s="59">
        <f>'C1-Incomes'!FY43/'C1-Incomes'!$FV43</f>
        <v>0.10808130082694145</v>
      </c>
      <c r="FY41" s="59">
        <f>'C1-Incomes'!FZ43/'C1-Incomes'!$FV43</f>
        <v>8.0638227688800676E-2</v>
      </c>
      <c r="FZ41" s="59">
        <f>'C1-Incomes'!GA43/'C1-Incomes'!$FV43</f>
        <v>4.2180283541556805E-2</v>
      </c>
      <c r="GA41" s="59">
        <f>'C1-Incomes'!GB43/'C1-Incomes'!$FV43</f>
        <v>1.6674207265958765E-2</v>
      </c>
      <c r="GE41" s="59">
        <f>'C1-Incomes'!GF43/'C1-Incomes'!$GE43</f>
        <v>0.32816795945473154</v>
      </c>
      <c r="GF41" s="59">
        <f>'C1-Incomes'!GG43/'C1-Incomes'!$GE43</f>
        <v>0.22765860042264924</v>
      </c>
      <c r="GG41" s="59">
        <f>'C1-Incomes'!GH43/'C1-Incomes'!$GE43</f>
        <v>0.10570070769449537</v>
      </c>
      <c r="GH41" s="59">
        <f>'C1-Incomes'!GI43/'C1-Incomes'!$GE43</f>
        <v>7.8831328981370574E-2</v>
      </c>
      <c r="GI41" s="59">
        <f>'C1-Incomes'!GJ43/'C1-Incomes'!$GE43</f>
        <v>4.1224839112285895E-2</v>
      </c>
      <c r="GJ41" s="59">
        <f>'C1-Incomes'!GK43/'C1-Incomes'!$GE43</f>
        <v>1.6295418506574611E-2</v>
      </c>
      <c r="GM41" s="59">
        <f>'C1-Incomes'!GN43/'C1-Incomes'!$GM43</f>
        <v>0.31819364231188624</v>
      </c>
      <c r="GN41" s="59">
        <f>'C1-Incomes'!GO43/'C1-Incomes'!$GM43</f>
        <v>0.22073915866884505</v>
      </c>
      <c r="GO41" s="59">
        <f>'C1-Incomes'!GP43/'C1-Incomes'!$GM43</f>
        <v>0.10248804676769482</v>
      </c>
      <c r="GP41" s="59">
        <f>'C1-Incomes'!GQ43/'C1-Incomes'!$GM43</f>
        <v>7.6435334328636584E-2</v>
      </c>
      <c r="GQ41" s="59">
        <f>'C1-Incomes'!GR43/'C1-Incomes'!$GM43</f>
        <v>3.9971853841719189E-2</v>
      </c>
      <c r="GR41" s="59">
        <f>'C1-Incomes'!GS43/'C1-Incomes'!$GM43</f>
        <v>1.5800136540504474E-2</v>
      </c>
      <c r="GU41" s="59">
        <f>'C1-Incomes'!GV43/'C1-Incomes'!$GU43</f>
        <v>0.29284497483234723</v>
      </c>
      <c r="GV41" s="59">
        <f>'C1-Incomes'!GW43/'C1-Incomes'!$GU43</f>
        <v>0.197461333500591</v>
      </c>
      <c r="GW41" s="59">
        <f>'C1-Incomes'!GX43/'C1-Incomes'!$GU43</f>
        <v>8.6264237681254283E-2</v>
      </c>
      <c r="GX41" s="59">
        <f>'C1-Incomes'!GY43/'C1-Incomes'!$GU43</f>
        <v>6.2896768032480038E-2</v>
      </c>
      <c r="GY41" s="59">
        <f>'C1-Incomes'!GZ43/'C1-Incomes'!$GU43</f>
        <v>3.1880423002692983E-2</v>
      </c>
      <c r="GZ41" s="59">
        <f>'C1-Incomes'!HA43/'C1-Incomes'!$GU43</f>
        <v>1.252562691580095E-2</v>
      </c>
      <c r="HC41" s="59">
        <f>'C1-Incomes'!HD43/'C1-Incomes'!$HC43</f>
        <v>0.28814362932696513</v>
      </c>
      <c r="HD41" s="59">
        <f>'C1-Incomes'!HE43/'C1-Incomes'!$HC43</f>
        <v>0.19313596716909792</v>
      </c>
      <c r="HE41" s="59">
        <f>'C1-Incomes'!HF43/'C1-Incomes'!$HC43</f>
        <v>8.3457054680334458E-2</v>
      </c>
      <c r="HF41" s="59">
        <f>'C1-Incomes'!HG43/'C1-Incomes'!$HC43</f>
        <v>6.0566656757652791E-2</v>
      </c>
      <c r="HG41" s="59">
        <f>'C1-Incomes'!HH43/'C1-Incomes'!$HC43</f>
        <v>3.0537456101692145E-2</v>
      </c>
      <c r="HH41" s="59">
        <f>'C1-Incomes'!HI43/'C1-Incomes'!$HC43</f>
        <v>1.1993284462629801E-2</v>
      </c>
      <c r="HK41" s="59">
        <f>'C1-Incomes'!HL43/'C1-Incomes'!$HK43</f>
        <v>0.28390423930851805</v>
      </c>
      <c r="HL41" s="59">
        <f>'C1-Incomes'!HM43/'C1-Incomes'!$HK43</f>
        <v>0.18940067306829467</v>
      </c>
      <c r="HM41" s="59">
        <f>'C1-Incomes'!HN43/'C1-Incomes'!$HK43</f>
        <v>8.0944148196404123E-2</v>
      </c>
      <c r="HN41" s="59">
        <f>'C1-Incomes'!HO43/'C1-Incomes'!$HK43</f>
        <v>5.8454267188920224E-2</v>
      </c>
      <c r="HO41" s="59">
        <f>'C1-Incomes'!HP43/'C1-Incomes'!$HK43</f>
        <v>2.9170724582635865E-2</v>
      </c>
      <c r="HP41" s="59">
        <f>'C1-Incomes'!HQ43/'C1-Incomes'!$HK43</f>
        <v>1.1314518554042982E-2</v>
      </c>
      <c r="HS41" s="59">
        <f>'C1-Incomes'!HT43/'C1-Incomes'!$HS43</f>
        <v>0.27976769922199168</v>
      </c>
      <c r="HT41" s="59">
        <f>'C1-Incomes'!HU43/'C1-Incomes'!$HS43</f>
        <v>0.18605169461018131</v>
      </c>
      <c r="HU41" s="59">
        <f>'C1-Incomes'!HV43/'C1-Incomes'!$HS43</f>
        <v>7.8995881969961351E-2</v>
      </c>
      <c r="HV41" s="59">
        <f>'C1-Incomes'!HW43/'C1-Incomes'!$HS43</f>
        <v>5.68262569760336E-2</v>
      </c>
      <c r="HW41" s="59">
        <f>'C1-Incomes'!HX43/'C1-Incomes'!$HS43</f>
        <v>2.8262583233490554E-2</v>
      </c>
      <c r="HX41" s="59">
        <f>'C1-Incomes'!HY43/'C1-Incomes'!$HS43</f>
        <v>1.089570847189099E-2</v>
      </c>
      <c r="IA41" s="59">
        <f>'C1-Incomes'!IB43/'C1-Incomes'!$IA43</f>
        <v>0.28305300085774437</v>
      </c>
      <c r="IB41" s="59">
        <f>'C1-Incomes'!IC43/'C1-Incomes'!$IA43</f>
        <v>0.19073293119077417</v>
      </c>
      <c r="IC41" s="59">
        <f>'C1-Incomes'!ID43/'C1-Incomes'!$IA43</f>
        <v>8.2951457788191976E-2</v>
      </c>
      <c r="ID41" s="59">
        <f>'C1-Incomes'!IE43/'C1-Incomes'!$IA43</f>
        <v>6.018901158978316E-2</v>
      </c>
      <c r="IE41" s="59">
        <f>'C1-Incomes'!IF43/'C1-Incomes'!$IA43</f>
        <v>3.0235002864690518E-2</v>
      </c>
      <c r="IF41" s="59">
        <f>'C1-Incomes'!IG43/'C1-Incomes'!$IA43</f>
        <v>1.1742338613304006E-2</v>
      </c>
      <c r="II41" s="59">
        <f>'C1-Incomes'!IJ43/'C1-Incomes'!$II43</f>
        <v>0.28359713719954133</v>
      </c>
      <c r="IJ41" s="59">
        <f>'C1-Incomes'!IK43/'C1-Incomes'!$II43</f>
        <v>0.19163286148672792</v>
      </c>
      <c r="IK41" s="59">
        <f>'C1-Incomes'!IL43/'C1-Incomes'!$II43</f>
        <v>8.4060102326838068E-2</v>
      </c>
      <c r="IL41" s="59">
        <f>'C1-Incomes'!IM43/'C1-Incomes'!$II43</f>
        <v>6.111098014722903E-2</v>
      </c>
      <c r="IM41" s="59">
        <f>'C1-Incomes'!IN43/'C1-Incomes'!$II43</f>
        <v>3.0724327559038294E-2</v>
      </c>
      <c r="IN41" s="59">
        <f>'C1-Incomes'!IO43/'C1-Incomes'!$II43</f>
        <v>1.1938206592513387E-2</v>
      </c>
      <c r="IQ41" s="59">
        <f>'C1-Incomes'!IR43/'C1-Incomes'!$IQ43</f>
        <v>0.2843073133233755</v>
      </c>
      <c r="IR41" s="59">
        <f>'C1-Incomes'!IS43/'C1-Incomes'!$IQ43</f>
        <v>0.19224084084881418</v>
      </c>
      <c r="IS41" s="59">
        <f>'C1-Incomes'!IT43/'C1-Incomes'!$IQ43</f>
        <v>8.4461243314719353E-2</v>
      </c>
      <c r="IT41" s="59">
        <f>'C1-Incomes'!IU43/'C1-Incomes'!$IQ43</f>
        <v>6.1434153176997672E-2</v>
      </c>
      <c r="IU41" s="59">
        <f>'C1-Incomes'!IV43/'C1-Incomes'!$IQ43</f>
        <v>3.0919910403942021E-2</v>
      </c>
      <c r="IV41" s="59">
        <f>'C1-Incomes'!IW43/'C1-Incomes'!$IQ43</f>
        <v>1.2019759075654543E-2</v>
      </c>
      <c r="IY41" s="59">
        <f>'C1-Incomes'!IZ43/'C1-Incomes'!$IY43</f>
        <v>0.26706394893417895</v>
      </c>
      <c r="IZ41" s="59">
        <f>'C1-Incomes'!JA43/'C1-Incomes'!$IY43</f>
        <v>0.17921382856908921</v>
      </c>
      <c r="JA41" s="59">
        <f>'C1-Incomes'!JB43/'C1-Incomes'!$IY43</f>
        <v>7.7604961237693143E-2</v>
      </c>
      <c r="JB41" s="59">
        <f>'C1-Incomes'!JC43/'C1-Incomes'!$IY43</f>
        <v>5.6288258743110234E-2</v>
      </c>
      <c r="JC41" s="59">
        <f>'C1-Incomes'!JD43/'C1-Incomes'!$IY43</f>
        <v>2.8196084587845935E-2</v>
      </c>
      <c r="JD41" s="59">
        <f>'C1-Incomes'!JE43/'C1-Incomes'!$IY43</f>
        <v>1.0934793085206408E-2</v>
      </c>
      <c r="JE41" s="197"/>
      <c r="JF41" s="197"/>
      <c r="JG41" s="197"/>
      <c r="JH41" s="197"/>
      <c r="JI41" s="197"/>
      <c r="JJ41" s="197"/>
      <c r="JK41" s="197"/>
      <c r="JL41" s="197"/>
      <c r="JM41" s="197"/>
      <c r="JN41" s="197"/>
      <c r="JO41" s="197"/>
      <c r="JP41" s="197"/>
      <c r="JQ41" s="197"/>
      <c r="JR41" s="197"/>
      <c r="JS41" s="197"/>
      <c r="JT41" s="197"/>
      <c r="JU41" s="197"/>
      <c r="JV41" s="197"/>
      <c r="JW41" s="197"/>
      <c r="JX41" s="197"/>
      <c r="JY41" s="197"/>
      <c r="JZ41" s="197"/>
      <c r="KA41" s="197"/>
      <c r="KB41" s="197"/>
      <c r="KC41" s="197"/>
      <c r="KD41" s="197"/>
      <c r="KE41" s="197"/>
      <c r="KF41" s="197"/>
      <c r="KG41" s="197"/>
      <c r="KH41" s="197"/>
      <c r="KI41" s="197"/>
      <c r="KJ41" s="197"/>
      <c r="KK41" s="197"/>
      <c r="KL41" s="197"/>
      <c r="KM41" s="197"/>
      <c r="KN41" s="197"/>
      <c r="KO41" s="197"/>
      <c r="KP41" s="197"/>
      <c r="KQ41" s="197"/>
      <c r="KR41" s="197"/>
      <c r="KS41" s="197"/>
      <c r="KT41" s="197"/>
      <c r="KU41" s="197"/>
      <c r="KV41" s="197"/>
      <c r="KW41" s="197"/>
      <c r="KX41" s="197"/>
      <c r="KY41" s="197"/>
      <c r="KZ41" s="197"/>
      <c r="LA41" s="197"/>
      <c r="LB41" s="197"/>
      <c r="LC41" s="197"/>
      <c r="LD41" s="197"/>
      <c r="LE41" s="197"/>
      <c r="LF41" s="197"/>
      <c r="LG41" s="197"/>
      <c r="LH41" s="197"/>
      <c r="LI41" s="197"/>
      <c r="LJ41" s="197"/>
      <c r="LK41" s="197"/>
      <c r="LL41" s="197"/>
      <c r="LM41" s="197"/>
      <c r="LN41" s="197"/>
      <c r="LO41" s="197"/>
      <c r="LP41" s="197"/>
      <c r="LQ41" s="197"/>
      <c r="LR41" s="197"/>
      <c r="LS41" s="197"/>
      <c r="LT41" s="197"/>
      <c r="LU41" s="197"/>
      <c r="LV41" s="197"/>
      <c r="LW41" s="197"/>
      <c r="LX41" s="197"/>
      <c r="LY41" s="197"/>
      <c r="LZ41" s="197"/>
      <c r="MA41" s="197"/>
      <c r="MB41" s="197"/>
      <c r="MC41" s="197"/>
      <c r="MD41" s="197"/>
      <c r="ME41" s="197"/>
      <c r="MF41" s="197"/>
      <c r="MG41" s="197"/>
      <c r="MH41" s="197"/>
      <c r="MI41" s="197"/>
      <c r="MJ41" s="197"/>
      <c r="MK41" s="197"/>
      <c r="ML41" s="197"/>
      <c r="MM41" s="197"/>
      <c r="MN41" s="197"/>
      <c r="MO41" s="197"/>
      <c r="MP41" s="197"/>
      <c r="MQ41" s="197"/>
      <c r="MR41" s="197"/>
      <c r="MS41" s="197"/>
      <c r="MT41" s="197"/>
      <c r="MU41" s="197"/>
      <c r="MV41" s="197"/>
      <c r="MW41" s="197"/>
      <c r="MX41" s="197"/>
      <c r="MY41" s="197"/>
      <c r="MZ41" s="197"/>
      <c r="NA41" s="197"/>
      <c r="NB41" s="197"/>
      <c r="NC41" s="197"/>
      <c r="ND41" s="197"/>
      <c r="NE41" s="197"/>
      <c r="NF41" s="197"/>
      <c r="NG41" s="197"/>
      <c r="NH41" s="197"/>
      <c r="NI41" s="197"/>
      <c r="NJ41" s="197"/>
      <c r="NK41" s="197"/>
      <c r="NL41" s="197"/>
      <c r="NM41" s="197"/>
      <c r="NN41" s="197"/>
      <c r="NO41" s="197"/>
      <c r="NP41" s="197"/>
      <c r="NQ41" s="197"/>
      <c r="NR41" s="197"/>
      <c r="NS41" s="197"/>
      <c r="NT41" s="197"/>
      <c r="NU41" s="197"/>
      <c r="NV41" s="197"/>
      <c r="NW41" s="197"/>
      <c r="NX41" s="197"/>
      <c r="NY41" s="197"/>
      <c r="NZ41" s="197"/>
      <c r="OA41" s="197"/>
      <c r="OB41" s="197"/>
      <c r="OC41" s="197"/>
      <c r="OD41" s="197"/>
      <c r="OE41" s="197"/>
      <c r="OF41" s="197"/>
      <c r="OG41" s="197"/>
      <c r="OH41" s="197"/>
      <c r="OI41" s="197"/>
      <c r="OJ41" s="197"/>
      <c r="OK41" s="197"/>
      <c r="OL41" s="197"/>
      <c r="OM41" s="197"/>
      <c r="ON41" s="197"/>
      <c r="OO41" s="197"/>
      <c r="OP41" s="197"/>
      <c r="OQ41" s="197"/>
      <c r="OR41" s="197"/>
      <c r="OS41" s="197"/>
      <c r="OT41" s="197"/>
      <c r="OU41" s="197"/>
      <c r="OV41" s="197"/>
      <c r="OW41" s="197"/>
      <c r="OX41" s="197"/>
      <c r="OY41" s="197"/>
      <c r="OZ41" s="197"/>
      <c r="PA41" s="197"/>
      <c r="PB41" s="197"/>
    </row>
    <row r="42" spans="1:418" s="77" customFormat="1" ht="10.5" customHeight="1" x14ac:dyDescent="0.2">
      <c r="A42" s="48">
        <v>1996</v>
      </c>
      <c r="B42" s="59">
        <f>'C1-Incomes'!C44/'C1-Incomes'!$B44</f>
        <v>0.41274512512289779</v>
      </c>
      <c r="C42" s="59">
        <f>'C1-Incomes'!D44/'C1-Incomes'!$B44</f>
        <v>0.29270875371827731</v>
      </c>
      <c r="D42" s="59">
        <f>'C1-Incomes'!E44/'C1-Incomes'!$B44</f>
        <v>0.14211630294199273</v>
      </c>
      <c r="E42" s="59">
        <f>'C1-Incomes'!F44/'C1-Incomes'!$B44</f>
        <v>0.10588799284953711</v>
      </c>
      <c r="F42" s="59">
        <f>'C1-Incomes'!G44/'C1-Incomes'!$B44</f>
        <v>5.4177744065685526E-2</v>
      </c>
      <c r="G42" s="59">
        <f>'C1-Incomes'!H44/'C1-Incomes'!$B44</f>
        <v>2.0578663747345505E-2</v>
      </c>
      <c r="H42" s="199"/>
      <c r="J42" s="59">
        <f>'C1-Incomes'!K44/'C1-Incomes'!$J44</f>
        <v>0.35909230388094693</v>
      </c>
      <c r="K42" s="59">
        <f>'C1-Incomes'!L44/'C1-Incomes'!$J44</f>
        <v>0.25176521095075438</v>
      </c>
      <c r="L42" s="59">
        <f>'C1-Incomes'!M44/'C1-Incomes'!$J44</f>
        <v>0.11931018728926303</v>
      </c>
      <c r="M42" s="59">
        <f>'C1-Incomes'!N44/'C1-Incomes'!$J44</f>
        <v>8.9560057110767213E-2</v>
      </c>
      <c r="N42" s="59">
        <f>'C1-Incomes'!O44/'C1-Incomes'!$J44</f>
        <v>4.7215680608212372E-2</v>
      </c>
      <c r="O42" s="59">
        <f>'C1-Incomes'!P44/'C1-Incomes'!$J44</f>
        <v>1.8921142399220065E-2</v>
      </c>
      <c r="P42" s="59"/>
      <c r="R42" s="59">
        <f>'C1-Incomes'!S44/'C1-Incomes'!$R44</f>
        <v>0.32358636367776872</v>
      </c>
      <c r="S42" s="59">
        <f>'C1-Incomes'!T44/'C1-Incomes'!$R44</f>
        <v>0.22590261500074976</v>
      </c>
      <c r="T42" s="59">
        <f>'C1-Incomes'!U44/'C1-Incomes'!$R44</f>
        <v>0.10636785657879491</v>
      </c>
      <c r="U42" s="59">
        <f>'C1-Incomes'!V44/'C1-Incomes'!$R44</f>
        <v>7.968339137150976E-2</v>
      </c>
      <c r="V42" s="59">
        <f>'C1-Incomes'!W44/'C1-Incomes'!$R44</f>
        <v>4.1914528776875626E-2</v>
      </c>
      <c r="W42" s="59">
        <f>'C1-Incomes'!X44/'C1-Incomes'!$R44</f>
        <v>1.6770499551851809E-2</v>
      </c>
      <c r="X42" s="59"/>
      <c r="Y42" s="59"/>
      <c r="Z42" s="59">
        <f>'C1-Incomes'!AA44/'C1-Incomes'!$Z44</f>
        <v>0.27246854806668164</v>
      </c>
      <c r="AA42" s="59">
        <f>'C1-Incomes'!AB44/'C1-Incomes'!$Z44</f>
        <v>0.18454181047489585</v>
      </c>
      <c r="AB42" s="59">
        <f>'C1-Incomes'!AC44/'C1-Incomes'!$Z44</f>
        <v>8.1103190969653641E-2</v>
      </c>
      <c r="AC42" s="59">
        <f>'C1-Incomes'!AD44/'C1-Incomes'!$Z44</f>
        <v>5.869340471916152E-2</v>
      </c>
      <c r="AD42" s="59">
        <f>'C1-Incomes'!AE44/'C1-Incomes'!$Z44</f>
        <v>2.9545851037879076E-2</v>
      </c>
      <c r="AE42" s="59">
        <f>'C1-Incomes'!AF44/'C1-Incomes'!$Z44</f>
        <v>1.156754246260672E-2</v>
      </c>
      <c r="AF42" s="200"/>
      <c r="AG42" s="195"/>
      <c r="AH42" s="59">
        <f>'C1-Incomes'!AI44/'C1-Incomes'!$AH44</f>
        <v>0.40605137234717947</v>
      </c>
      <c r="AI42" s="59">
        <f>'C1-Incomes'!AJ44/'C1-Incomes'!$AH44</f>
        <v>0.28745678765145471</v>
      </c>
      <c r="AJ42" s="59">
        <f>'C1-Incomes'!AK44/'C1-Incomes'!$AH44</f>
        <v>0.13923596061912577</v>
      </c>
      <c r="AK42" s="59">
        <f>'C1-Incomes'!AL44/'C1-Incomes'!$AH44</f>
        <v>0.10370797628947546</v>
      </c>
      <c r="AL42" s="59">
        <f>'C1-Incomes'!AM44/'C1-Incomes'!$AH44</f>
        <v>5.3081083698634249E-2</v>
      </c>
      <c r="AM42" s="59">
        <f>'C1-Incomes'!AN44/'C1-Incomes'!$AH44</f>
        <v>2.0190026551098025E-2</v>
      </c>
      <c r="AN42" s="195"/>
      <c r="AO42" s="195"/>
      <c r="AP42" s="59"/>
      <c r="AQ42" s="59"/>
      <c r="AR42" s="59"/>
      <c r="AS42" s="59"/>
      <c r="AT42" s="59"/>
      <c r="AU42" s="59"/>
      <c r="AV42" s="197"/>
      <c r="AW42" s="60"/>
      <c r="AX42" s="59">
        <f>'C1-Incomes'!AY44/'C1-Incomes'!$AX44</f>
        <v>0.40931354320958663</v>
      </c>
      <c r="AY42" s="59">
        <f>'C1-Incomes'!AZ44/'C1-Incomes'!$AX44</f>
        <v>0.29105615062883766</v>
      </c>
      <c r="AZ42" s="59">
        <f>'C1-Incomes'!BA44/'C1-Incomes'!$AX44</f>
        <v>0.14222958199200389</v>
      </c>
      <c r="BA42" s="59">
        <f>'C1-Incomes'!BB44/'C1-Incomes'!$AX44</f>
        <v>0.10618046311267176</v>
      </c>
      <c r="BB42" s="59">
        <f>'C1-Incomes'!BC44/'C1-Incomes'!$AX44</f>
        <v>5.4515512540342002E-2</v>
      </c>
      <c r="BC42" s="59">
        <f>'C1-Incomes'!BD44/'C1-Incomes'!$AX44</f>
        <v>2.0675381571475519E-2</v>
      </c>
      <c r="BD42" s="60"/>
      <c r="BE42" s="60"/>
      <c r="BF42" s="59">
        <f>'C1-Incomes'!BG44/'C1-Incomes'!$BF44</f>
        <v>0.40330975556477955</v>
      </c>
      <c r="BG42" s="59">
        <f>'C1-Incomes'!BH44/'C1-Incomes'!$BF44</f>
        <v>0.28664519012350492</v>
      </c>
      <c r="BH42" s="59">
        <f>'C1-Incomes'!BI44/'C1-Incomes'!$BF44</f>
        <v>0.14024014473833857</v>
      </c>
      <c r="BI42" s="59">
        <f>'C1-Incomes'!BJ44/'C1-Incomes'!$BF44</f>
        <v>0.10496788909606254</v>
      </c>
      <c r="BJ42" s="59">
        <f>'C1-Incomes'!BK44/'C1-Incomes'!$BF44</f>
        <v>5.410108707749918E-2</v>
      </c>
      <c r="BK42" s="59">
        <f>'C1-Incomes'!BL44/'C1-Incomes'!$BF44</f>
        <v>2.0588333091395423E-2</v>
      </c>
      <c r="BL42" s="59"/>
      <c r="BM42" s="59"/>
      <c r="BN42" s="59">
        <f>'C1-Incomes'!BO44/'C1-Incomes'!$BN44</f>
        <v>0.37118953678485084</v>
      </c>
      <c r="BO42" s="59">
        <f>'C1-Incomes'!BP44/'C1-Incomes'!$BN44</f>
        <v>0.26347066681365156</v>
      </c>
      <c r="BP42" s="59">
        <f>'C1-Incomes'!BQ44/'C1-Incomes'!$BN44</f>
        <v>0.12794129726924547</v>
      </c>
      <c r="BQ42" s="59">
        <f>'C1-Incomes'!BR44/'C1-Incomes'!$BN44</f>
        <v>9.6347263537885613E-2</v>
      </c>
      <c r="BR42" s="59">
        <f>'C1-Incomes'!BS44/'C1-Incomes'!$BN44</f>
        <v>5.0703428549689566E-2</v>
      </c>
      <c r="BS42" s="59">
        <f>'C1-Incomes'!BT44/'C1-Incomes'!$BN44</f>
        <v>1.963088098645226E-2</v>
      </c>
      <c r="BT42" s="59"/>
      <c r="BU42" s="59"/>
      <c r="BV42" s="59">
        <f>'C1-Incomes'!BW44/'C1-Incomes'!$BV44</f>
        <v>0.37388431311099818</v>
      </c>
      <c r="BW42" s="59">
        <f>'C1-Incomes'!BX44/'C1-Incomes'!$BV44</f>
        <v>0.2664411272383298</v>
      </c>
      <c r="BX42" s="59">
        <f>'C1-Incomes'!BY44/'C1-Incomes'!$BV44</f>
        <v>0.13088842906252657</v>
      </c>
      <c r="BY42" s="59">
        <f>'C1-Incomes'!BZ44/'C1-Incomes'!$BV44</f>
        <v>9.9033178749840314E-2</v>
      </c>
      <c r="BZ42" s="59">
        <f>'C1-Incomes'!CA44/'C1-Incomes'!$BV44</f>
        <v>5.2604594357169514E-2</v>
      </c>
      <c r="CA42" s="59">
        <f>'C1-Incomes'!CB44/'C1-Incomes'!$BV44</f>
        <v>2.0762334644490579E-2</v>
      </c>
      <c r="CB42" s="60"/>
      <c r="CC42" s="198"/>
      <c r="CD42" s="59">
        <f>'C1-Incomes'!CE44/'C1-Incomes'!$CD44</f>
        <v>0.38189199105833893</v>
      </c>
      <c r="CE42" s="59">
        <f>'C1-Incomes'!CF44/'C1-Incomes'!$CD44</f>
        <v>0.27416057688867451</v>
      </c>
      <c r="CF42" s="59">
        <f>'C1-Incomes'!CG44/'C1-Incomes'!$CD44</f>
        <v>0.136778324321251</v>
      </c>
      <c r="CG42" s="59">
        <f>'C1-Incomes'!CH44/'C1-Incomes'!$CD44</f>
        <v>0.1042025988275181</v>
      </c>
      <c r="CH42" s="59">
        <f>'C1-Incomes'!CI44/'C1-Incomes'!$CD44</f>
        <v>5.6075682207164683E-2</v>
      </c>
      <c r="CI42" s="59">
        <f>'C1-Incomes'!CJ44/'C1-Incomes'!$CD44</f>
        <v>2.2580783075848425E-2</v>
      </c>
      <c r="CL42" s="59">
        <f>'C1-Incomes'!CM44/'C1-Incomes'!$CL44</f>
        <v>0.38509994867426461</v>
      </c>
      <c r="CM42" s="59">
        <f>'C1-Incomes'!CN44/'C1-Incomes'!$CL44</f>
        <v>0.27690430886489398</v>
      </c>
      <c r="CN42" s="59">
        <f>'C1-Incomes'!CO44/'C1-Incomes'!$CL44</f>
        <v>0.13848874948899037</v>
      </c>
      <c r="CO42" s="59">
        <f>'C1-Incomes'!CP44/'C1-Incomes'!$CL44</f>
        <v>0.10554051119818995</v>
      </c>
      <c r="CP42" s="59">
        <f>'C1-Incomes'!CQ44/'C1-Incomes'!$CL44</f>
        <v>5.7088273537671298E-2</v>
      </c>
      <c r="CQ42" s="59">
        <f>'C1-Incomes'!CR44/'C1-Incomes'!$CL44</f>
        <v>2.3157117134214759E-2</v>
      </c>
      <c r="CR42" s="59"/>
      <c r="CS42" s="59"/>
      <c r="CT42" s="59">
        <f>'C1-Incomes'!CU44/'C1-Incomes'!$CT44</f>
        <v>0.38775979292749707</v>
      </c>
      <c r="CU42" s="59">
        <f>'C1-Incomes'!CV44/'C1-Incomes'!$CT44</f>
        <v>0.27942513865054397</v>
      </c>
      <c r="CV42" s="59">
        <f>'C1-Incomes'!CW44/'C1-Incomes'!$CT44</f>
        <v>0.14032209782594457</v>
      </c>
      <c r="CW42" s="59">
        <f>'C1-Incomes'!CX44/'C1-Incomes'!$CT44</f>
        <v>0.10713152661891469</v>
      </c>
      <c r="CX42" s="59">
        <f>'C1-Incomes'!CY44/'C1-Incomes'!$CT44</f>
        <v>5.8163431757993607E-2</v>
      </c>
      <c r="CY42" s="59">
        <f>'C1-Incomes'!CZ44/'C1-Incomes'!$CT44</f>
        <v>2.3703369981516363E-2</v>
      </c>
      <c r="CZ42" s="59"/>
      <c r="DA42" s="59"/>
      <c r="DB42" s="59">
        <f>'C1-Incomes'!DC44/'C1-Incomes'!$DB44</f>
        <v>0.38950521671378852</v>
      </c>
      <c r="DC42" s="59">
        <f>'C1-Incomes'!DD44/'C1-Incomes'!$DB44</f>
        <v>0.28097019341295187</v>
      </c>
      <c r="DD42" s="59">
        <f>'C1-Incomes'!DE44/'C1-Incomes'!$DB44</f>
        <v>0.14136655996489042</v>
      </c>
      <c r="DE42" s="59">
        <f>'C1-Incomes'!DF44/'C1-Incomes'!$DB44</f>
        <v>0.10795293994380883</v>
      </c>
      <c r="DF42" s="59">
        <f>'C1-Incomes'!DG44/'C1-Incomes'!$DB44</f>
        <v>5.870282063412146E-2</v>
      </c>
      <c r="DG42" s="59">
        <f>'C1-Incomes'!DH44/'C1-Incomes'!$DB44</f>
        <v>2.3963918328835564E-2</v>
      </c>
      <c r="DH42" s="59"/>
      <c r="DI42" s="1039"/>
      <c r="DJ42" s="59">
        <f>'C1-Incomes'!DK44/'C1-Incomes'!$DJ44</f>
        <v>0.38150636839546442</v>
      </c>
      <c r="DK42" s="59">
        <f>'C1-Incomes'!DL44/'C1-Incomes'!$DJ44</f>
        <v>0.27543146231656523</v>
      </c>
      <c r="DL42" s="59">
        <f>'C1-Incomes'!DM44/'C1-Incomes'!$DJ44</f>
        <v>0.13767219051242777</v>
      </c>
      <c r="DM42" s="59">
        <f>'C1-Incomes'!DN44/'C1-Incomes'!$DJ44</f>
        <v>0.10462113898616444</v>
      </c>
      <c r="DN42" s="59">
        <f>'C1-Incomes'!DO44/'C1-Incomes'!$DJ44</f>
        <v>5.6231658760087649E-2</v>
      </c>
      <c r="DO42" s="59">
        <f>'C1-Incomes'!DP44/'C1-Incomes'!$DJ44</f>
        <v>2.2858944210982085E-2</v>
      </c>
      <c r="DP42" s="696"/>
      <c r="DQ42" s="503"/>
      <c r="DR42" s="59">
        <f>'C1-Incomes'!DS44/'C1-Incomes'!$DR44</f>
        <v>0.38020252759674994</v>
      </c>
      <c r="DS42" s="59">
        <f>'C1-Incomes'!DT44/'C1-Incomes'!$DR44</f>
        <v>0.27356951818313024</v>
      </c>
      <c r="DT42" s="59">
        <f>'C1-Incomes'!DU44/'C1-Incomes'!$DR44</f>
        <v>0.13557822746598167</v>
      </c>
      <c r="DU42" s="59">
        <f>'C1-Incomes'!DV44/'C1-Incomes'!$DR44</f>
        <v>0.10283820257304965</v>
      </c>
      <c r="DV42" s="59">
        <f>'C1-Incomes'!DW44/'C1-Incomes'!$DR44</f>
        <v>5.4983857653176177E-2</v>
      </c>
      <c r="DW42" s="59">
        <f>'C1-Incomes'!DX44/'C1-Incomes'!$DR44</f>
        <v>2.2229175568066119E-2</v>
      </c>
      <c r="DX42" s="333"/>
      <c r="DZ42" s="59">
        <f>'C1-Incomes'!EA44/'C1-Incomes'!$DZ44</f>
        <v>0.372793466916084</v>
      </c>
      <c r="EA42" s="59">
        <f>'C1-Incomes'!EB44/'C1-Incomes'!$DZ44</f>
        <v>0.26625183395908547</v>
      </c>
      <c r="EB42" s="59">
        <f>'C1-Incomes'!EC44/'C1-Incomes'!$DZ44</f>
        <v>0.13062495776010677</v>
      </c>
      <c r="EC42" s="59">
        <f>'C1-Incomes'!ED44/'C1-Incomes'!$DZ44</f>
        <v>9.8847709203189443E-2</v>
      </c>
      <c r="ED42" s="59">
        <f>'C1-Incomes'!EE44/'C1-Incomes'!$DZ44</f>
        <v>5.2716898076064937E-2</v>
      </c>
      <c r="EE42" s="59">
        <f>'C1-Incomes'!EF44/'C1-Incomes'!$DZ44</f>
        <v>2.125975811049647E-2</v>
      </c>
      <c r="EF42" s="59"/>
      <c r="EH42" s="59">
        <f>'C1-Incomes'!EI44/'C1-Incomes'!$EH44</f>
        <v>0.36509197937795335</v>
      </c>
      <c r="EI42" s="59">
        <f>'C1-Incomes'!EJ44/'C1-Incomes'!$EH44</f>
        <v>0.25833311653578228</v>
      </c>
      <c r="EJ42" s="59">
        <f>'C1-Incomes'!EK44/'C1-Incomes'!$EH44</f>
        <v>0.12493281298834284</v>
      </c>
      <c r="EK42" s="59">
        <f>'C1-Incomes'!EL44/'C1-Incomes'!$EH44</f>
        <v>9.4381098794716414E-2</v>
      </c>
      <c r="EL42" s="59">
        <f>'C1-Incomes'!EM44/'C1-Incomes'!$EH44</f>
        <v>5.0134276584284723E-2</v>
      </c>
      <c r="EM42" s="59">
        <f>'C1-Incomes'!EN44/'C1-Incomes'!$EH44</f>
        <v>2.0205748005264753E-2</v>
      </c>
      <c r="EN42" s="59"/>
      <c r="EO42" s="59"/>
      <c r="EP42" s="59">
        <f>'C1-Incomes'!EQ44/'C1-Incomes'!$EH44</f>
        <v>0.37938850353368142</v>
      </c>
      <c r="EQ42" s="59">
        <f>'C1-Incomes'!ER44/'C1-Incomes'!$EH44</f>
        <v>0.26740410329107361</v>
      </c>
      <c r="ER42" s="59">
        <f>'C1-Incomes'!ES44/'C1-Incomes'!$EH44</f>
        <v>0.12795002559806176</v>
      </c>
      <c r="ES42" s="59">
        <f>'C1-Incomes'!ET44/'C1-Incomes'!$EH44</f>
        <v>9.6328773400796999E-2</v>
      </c>
      <c r="ET42" s="59">
        <f>'C1-Incomes'!EU44/'C1-Incomes'!$EH44</f>
        <v>5.0932428347897775E-2</v>
      </c>
      <c r="EU42" s="59">
        <f>'C1-Incomes'!EV44/'C1-Incomes'!$EH44</f>
        <v>2.0431922798916449E-2</v>
      </c>
      <c r="EV42" s="59"/>
      <c r="EW42" s="59"/>
      <c r="EX42" s="59">
        <f>'C1-Incomes'!EY44/'C1-Incomes'!$EX44</f>
        <v>0.35909230388094693</v>
      </c>
      <c r="EY42" s="59">
        <f>'C1-Incomes'!EZ44/'C1-Incomes'!$EX44</f>
        <v>0.25176521095075438</v>
      </c>
      <c r="EZ42" s="59">
        <f>'C1-Incomes'!FA44/'C1-Incomes'!$EX44</f>
        <v>0.11931018728926303</v>
      </c>
      <c r="FA42" s="59">
        <f>'C1-Incomes'!FB44/'C1-Incomes'!$EX44</f>
        <v>8.9560057110767213E-2</v>
      </c>
      <c r="FB42" s="59">
        <f>'C1-Incomes'!FC44/'C1-Incomes'!$EX44</f>
        <v>4.7215680608212372E-2</v>
      </c>
      <c r="FC42" s="59">
        <f>'C1-Incomes'!FD44/'C1-Incomes'!$EX44</f>
        <v>1.8921142399220065E-2</v>
      </c>
      <c r="FD42" s="59"/>
      <c r="FF42" s="59">
        <f>'C1-Incomes'!FG44/'C1-Incomes'!$FF44</f>
        <v>0.34569721949026871</v>
      </c>
      <c r="FG42" s="59">
        <f>'C1-Incomes'!FH44/'C1-Incomes'!$FF44</f>
        <v>0.24190089185590649</v>
      </c>
      <c r="FH42" s="59">
        <f>'C1-Incomes'!FI44/'C1-Incomes'!$FF44</f>
        <v>0.11413490835644124</v>
      </c>
      <c r="FI42" s="59">
        <f>'C1-Incomes'!FJ44/'C1-Incomes'!$FF44</f>
        <v>8.5554207304933363E-2</v>
      </c>
      <c r="FJ42" s="59">
        <f>'C1-Incomes'!FK44/'C1-Incomes'!$FF44</f>
        <v>4.5015972529106073E-2</v>
      </c>
      <c r="FK42" s="59">
        <f>'C1-Incomes'!FL44/'C1-Incomes'!$FF44</f>
        <v>1.8013124918704496E-2</v>
      </c>
      <c r="FN42" s="59">
        <f>'C1-Incomes'!FO44/'C1-Incomes'!$FN44</f>
        <v>0.34484241611841082</v>
      </c>
      <c r="FO42" s="59">
        <f>'C1-Incomes'!FP44/'C1-Incomes'!$FN44</f>
        <v>0.24128872963616033</v>
      </c>
      <c r="FP42" s="59">
        <f>'C1-Incomes'!FQ44/'C1-Incomes'!$FN44</f>
        <v>0.11378823131129791</v>
      </c>
      <c r="FQ42" s="59">
        <f>'C1-Incomes'!FR44/'C1-Incomes'!$FN44</f>
        <v>8.5293418673832555E-2</v>
      </c>
      <c r="FR42" s="59">
        <f>'C1-Incomes'!FS44/'C1-Incomes'!$FN44</f>
        <v>4.4878237576735334E-2</v>
      </c>
      <c r="FS42" s="59">
        <f>'C1-Incomes'!FT44/'C1-Incomes'!$FN44</f>
        <v>1.7957962523571225E-2</v>
      </c>
      <c r="FV42" s="59">
        <f>'C1-Incomes'!FW44/'C1-Incomes'!$FV44</f>
        <v>0.34009015744566884</v>
      </c>
      <c r="FW42" s="59">
        <f>'C1-Incomes'!FX44/'C1-Incomes'!$FV44</f>
        <v>0.23790558704753637</v>
      </c>
      <c r="FX42" s="59">
        <f>'C1-Incomes'!FY44/'C1-Incomes'!$FV44</f>
        <v>0.1121533852521652</v>
      </c>
      <c r="FY42" s="59">
        <f>'C1-Incomes'!FZ44/'C1-Incomes'!$FV44</f>
        <v>8.4060727694451831E-2</v>
      </c>
      <c r="FZ42" s="59">
        <f>'C1-Incomes'!GA44/'C1-Incomes'!$FV44</f>
        <v>4.4224908795847007E-2</v>
      </c>
      <c r="GA42" s="59">
        <f>'C1-Incomes'!GB44/'C1-Incomes'!$FV44</f>
        <v>1.7695662948607901E-2</v>
      </c>
      <c r="GE42" s="59">
        <f>'C1-Incomes'!GF44/'C1-Incomes'!$GE44</f>
        <v>0.33348704808469626</v>
      </c>
      <c r="GF42" s="59">
        <f>'C1-Incomes'!GG44/'C1-Incomes'!$GE44</f>
        <v>0.23281449618264438</v>
      </c>
      <c r="GG42" s="59">
        <f>'C1-Incomes'!GH44/'C1-Incomes'!$GE44</f>
        <v>0.1096223651033775</v>
      </c>
      <c r="GH42" s="59">
        <f>'C1-Incomes'!GI44/'C1-Incomes'!$GE44</f>
        <v>8.2121442534965547E-2</v>
      </c>
      <c r="GI42" s="59">
        <f>'C1-Incomes'!GJ44/'C1-Incomes'!$GE44</f>
        <v>4.319697627178358E-2</v>
      </c>
      <c r="GJ42" s="59">
        <f>'C1-Incomes'!GK44/'C1-Incomes'!$GE44</f>
        <v>1.7283621988539988E-2</v>
      </c>
      <c r="GM42" s="59">
        <f>'C1-Incomes'!GN44/'C1-Incomes'!$GM44</f>
        <v>0.32358636367776872</v>
      </c>
      <c r="GN42" s="59">
        <f>'C1-Incomes'!GO44/'C1-Incomes'!$GM44</f>
        <v>0.22590261500074976</v>
      </c>
      <c r="GO42" s="59">
        <f>'C1-Incomes'!GP44/'C1-Incomes'!$GM44</f>
        <v>0.10636785657879491</v>
      </c>
      <c r="GP42" s="59">
        <f>'C1-Incomes'!GQ44/'C1-Incomes'!$GM44</f>
        <v>7.968339137150976E-2</v>
      </c>
      <c r="GQ42" s="59">
        <f>'C1-Incomes'!GR44/'C1-Incomes'!$GM44</f>
        <v>4.1914528776875626E-2</v>
      </c>
      <c r="GR42" s="59">
        <f>'C1-Incomes'!GS44/'C1-Incomes'!$GM44</f>
        <v>1.6770499551851809E-2</v>
      </c>
      <c r="GU42" s="59">
        <f>'C1-Incomes'!GV44/'C1-Incomes'!$GU44</f>
        <v>0.29592444508128152</v>
      </c>
      <c r="GV42" s="59">
        <f>'C1-Incomes'!GW44/'C1-Incomes'!$GU44</f>
        <v>0.20045311366342675</v>
      </c>
      <c r="GW42" s="59">
        <f>'C1-Incomes'!GX44/'C1-Incomes'!$GU44</f>
        <v>8.8194407023029817E-2</v>
      </c>
      <c r="GX42" s="59">
        <f>'C1-Incomes'!GY44/'C1-Incomes'!$GU44</f>
        <v>6.417972055596842E-2</v>
      </c>
      <c r="GY42" s="59">
        <f>'C1-Incomes'!GZ44/'C1-Incomes'!$GU44</f>
        <v>3.2640418379550583E-2</v>
      </c>
      <c r="GZ42" s="59">
        <f>'C1-Incomes'!HA44/'C1-Incomes'!$GU44</f>
        <v>1.289078022659372E-2</v>
      </c>
      <c r="HC42" s="59">
        <f>'C1-Incomes'!HD44/'C1-Incomes'!$HC44</f>
        <v>0.29121601390974766</v>
      </c>
      <c r="HD42" s="59">
        <f>'C1-Incomes'!HE44/'C1-Incomes'!$HC44</f>
        <v>0.19625618374219769</v>
      </c>
      <c r="HE42" s="59">
        <f>'C1-Incomes'!HF44/'C1-Incomes'!$HC44</f>
        <v>8.5279339437361823E-2</v>
      </c>
      <c r="HF42" s="59">
        <f>'C1-Incomes'!HG44/'C1-Incomes'!$HC44</f>
        <v>6.1771424944265796E-2</v>
      </c>
      <c r="HG42" s="59">
        <f>'C1-Incomes'!HH44/'C1-Incomes'!$HC44</f>
        <v>3.1205883286014698E-2</v>
      </c>
      <c r="HH42" s="59">
        <f>'C1-Incomes'!HI44/'C1-Incomes'!$HC44</f>
        <v>1.2300671972939319E-2</v>
      </c>
      <c r="HK42" s="59">
        <f>'C1-Incomes'!HL44/'C1-Incomes'!$HK44</f>
        <v>0.28704998086404021</v>
      </c>
      <c r="HL42" s="59">
        <f>'C1-Incomes'!HM44/'C1-Incomes'!$HK44</f>
        <v>0.19263818736656091</v>
      </c>
      <c r="HM42" s="59">
        <f>'C1-Incomes'!HN44/'C1-Incomes'!$HK44</f>
        <v>8.301194755720806E-2</v>
      </c>
      <c r="HN42" s="59">
        <f>'C1-Incomes'!HO44/'C1-Incomes'!$HK44</f>
        <v>5.9927822779371823E-2</v>
      </c>
      <c r="HO42" s="59">
        <f>'C1-Incomes'!HP44/'C1-Incomes'!$HK44</f>
        <v>2.9991421686717701E-2</v>
      </c>
      <c r="HP42" s="59">
        <f>'C1-Incomes'!HQ44/'C1-Incomes'!$HK44</f>
        <v>1.1702646978208305E-2</v>
      </c>
      <c r="HS42" s="59">
        <f>'C1-Incomes'!HT44/'C1-Incomes'!$HS44</f>
        <v>0.28301430565338265</v>
      </c>
      <c r="HT42" s="59">
        <f>'C1-Incomes'!HU44/'C1-Incomes'!$HS44</f>
        <v>0.18948203780766662</v>
      </c>
      <c r="HU42" s="59">
        <f>'C1-Incomes'!HV44/'C1-Incomes'!$HS44</f>
        <v>8.1260117852814645E-2</v>
      </c>
      <c r="HV42" s="59">
        <f>'C1-Incomes'!HW44/'C1-Incomes'!$HS44</f>
        <v>5.8455319366624757E-2</v>
      </c>
      <c r="HW42" s="59">
        <f>'C1-Incomes'!HX44/'C1-Incomes'!$HS44</f>
        <v>2.9132457735393816E-2</v>
      </c>
      <c r="HX42" s="59">
        <f>'C1-Incomes'!HY44/'C1-Incomes'!$HS44</f>
        <v>1.1334697110765289E-2</v>
      </c>
      <c r="IA42" s="59">
        <f>'C1-Incomes'!IB44/'C1-Incomes'!$IA44</f>
        <v>0.28689258179684518</v>
      </c>
      <c r="IB42" s="59">
        <f>'C1-Incomes'!IC44/'C1-Incomes'!$IA44</f>
        <v>0.19460953593512112</v>
      </c>
      <c r="IC42" s="59">
        <f>'C1-Incomes'!ID44/'C1-Incomes'!$IA44</f>
        <v>8.5353153425607967E-2</v>
      </c>
      <c r="ID42" s="59">
        <f>'C1-Incomes'!IE44/'C1-Incomes'!$IA44</f>
        <v>6.1826726001238529E-2</v>
      </c>
      <c r="IE42" s="59">
        <f>'C1-Incomes'!IF44/'C1-Incomes'!$IA44</f>
        <v>3.110357750701874E-2</v>
      </c>
      <c r="IF42" s="59">
        <f>'C1-Incomes'!IG44/'C1-Incomes'!$IA44</f>
        <v>1.2187386218837531E-2</v>
      </c>
      <c r="II42" s="59">
        <f>'C1-Incomes'!IJ44/'C1-Incomes'!$II44</f>
        <v>0.28737343118359449</v>
      </c>
      <c r="IJ42" s="59">
        <f>'C1-Incomes'!IK44/'C1-Incomes'!$II44</f>
        <v>0.19568745108204683</v>
      </c>
      <c r="IK42" s="59">
        <f>'C1-Incomes'!IL44/'C1-Incomes'!$II44</f>
        <v>8.6486115289081081E-2</v>
      </c>
      <c r="IL42" s="59">
        <f>'C1-Incomes'!IM44/'C1-Incomes'!$II44</f>
        <v>6.2682005947174796E-2</v>
      </c>
      <c r="IM42" s="59">
        <f>'C1-Incomes'!IN44/'C1-Incomes'!$II44</f>
        <v>3.1572665955940292E-2</v>
      </c>
      <c r="IN42" s="59">
        <f>'C1-Incomes'!IO44/'C1-Incomes'!$II44</f>
        <v>1.2372743422369936E-2</v>
      </c>
      <c r="IQ42" s="59">
        <f>'C1-Incomes'!IR44/'C1-Incomes'!$IQ44</f>
        <v>0.28983639948295942</v>
      </c>
      <c r="IR42" s="59">
        <f>'C1-Incomes'!IS44/'C1-Incomes'!$IQ44</f>
        <v>0.19781974406097233</v>
      </c>
      <c r="IS42" s="59">
        <f>'C1-Incomes'!IT44/'C1-Incomes'!$IQ44</f>
        <v>8.7930127776875505E-2</v>
      </c>
      <c r="IT42" s="59">
        <f>'C1-Incomes'!IU44/'C1-Incomes'!$IQ44</f>
        <v>6.3845613057903122E-2</v>
      </c>
      <c r="IU42" s="59">
        <f>'C1-Incomes'!IV44/'C1-Incomes'!$IQ44</f>
        <v>3.2292371389561904E-2</v>
      </c>
      <c r="IV42" s="59">
        <f>'C1-Incomes'!IW44/'C1-Incomes'!$IQ44</f>
        <v>1.2671114079302956E-2</v>
      </c>
      <c r="IY42" s="59">
        <f>'C1-Incomes'!IZ44/'C1-Incomes'!$IY44</f>
        <v>0.27246854806668164</v>
      </c>
      <c r="IZ42" s="59">
        <f>'C1-Incomes'!JA44/'C1-Incomes'!$IY44</f>
        <v>0.18454181047489585</v>
      </c>
      <c r="JA42" s="59">
        <f>'C1-Incomes'!JB44/'C1-Incomes'!$IY44</f>
        <v>8.1103190969653641E-2</v>
      </c>
      <c r="JB42" s="59">
        <f>'C1-Incomes'!JC44/'C1-Incomes'!$IY44</f>
        <v>5.869340471916152E-2</v>
      </c>
      <c r="JC42" s="59">
        <f>'C1-Incomes'!JD44/'C1-Incomes'!$IY44</f>
        <v>2.9545851037879076E-2</v>
      </c>
      <c r="JD42" s="59">
        <f>'C1-Incomes'!JE44/'C1-Incomes'!$IY44</f>
        <v>1.156754246260672E-2</v>
      </c>
      <c r="JE42" s="197"/>
      <c r="JF42" s="197"/>
      <c r="JG42" s="197"/>
      <c r="JH42" s="197"/>
      <c r="JI42" s="197"/>
      <c r="JJ42" s="197"/>
      <c r="JK42" s="197"/>
      <c r="JL42" s="197"/>
      <c r="JM42" s="197"/>
      <c r="JN42" s="197"/>
      <c r="JO42" s="197"/>
      <c r="JP42" s="197"/>
      <c r="JQ42" s="197"/>
      <c r="JR42" s="197"/>
      <c r="JS42" s="197"/>
      <c r="JT42" s="197"/>
      <c r="JU42" s="197"/>
      <c r="JV42" s="197"/>
      <c r="JW42" s="197"/>
      <c r="JX42" s="197"/>
      <c r="JY42" s="197"/>
      <c r="JZ42" s="197"/>
      <c r="KA42" s="197"/>
      <c r="KB42" s="197"/>
      <c r="KC42" s="197"/>
      <c r="KD42" s="197"/>
      <c r="KE42" s="197"/>
      <c r="KF42" s="197"/>
      <c r="KG42" s="197"/>
      <c r="KH42" s="197"/>
      <c r="KI42" s="197"/>
      <c r="KJ42" s="197"/>
      <c r="KK42" s="197"/>
      <c r="KL42" s="197"/>
      <c r="KM42" s="197"/>
      <c r="KN42" s="197"/>
      <c r="KO42" s="197"/>
      <c r="KP42" s="197"/>
      <c r="KQ42" s="197"/>
      <c r="KR42" s="197"/>
      <c r="KS42" s="197"/>
      <c r="KT42" s="197"/>
      <c r="KU42" s="197"/>
      <c r="KV42" s="197"/>
      <c r="KW42" s="197"/>
      <c r="KX42" s="197"/>
      <c r="KY42" s="197"/>
      <c r="KZ42" s="197"/>
      <c r="LA42" s="197"/>
      <c r="LB42" s="197"/>
      <c r="LC42" s="197"/>
      <c r="LD42" s="197"/>
      <c r="LE42" s="197"/>
      <c r="LF42" s="197"/>
      <c r="LG42" s="197"/>
      <c r="LH42" s="197"/>
      <c r="LI42" s="197"/>
      <c r="LJ42" s="197"/>
      <c r="LK42" s="197"/>
      <c r="LL42" s="197"/>
      <c r="LM42" s="197"/>
      <c r="LN42" s="197"/>
      <c r="LO42" s="197"/>
      <c r="LP42" s="197"/>
      <c r="LQ42" s="197"/>
      <c r="LR42" s="197"/>
      <c r="LS42" s="197"/>
      <c r="LT42" s="197"/>
      <c r="LU42" s="197"/>
      <c r="LV42" s="197"/>
      <c r="LW42" s="197"/>
      <c r="LX42" s="197"/>
      <c r="LY42" s="197"/>
      <c r="LZ42" s="197"/>
      <c r="MA42" s="197"/>
      <c r="MB42" s="197"/>
      <c r="MC42" s="197"/>
      <c r="MD42" s="197"/>
      <c r="ME42" s="197"/>
      <c r="MF42" s="197"/>
      <c r="MG42" s="197"/>
      <c r="MH42" s="197"/>
      <c r="MI42" s="197"/>
      <c r="MJ42" s="197"/>
      <c r="MK42" s="197"/>
      <c r="ML42" s="197"/>
      <c r="MM42" s="197"/>
      <c r="MN42" s="197"/>
      <c r="MO42" s="197"/>
      <c r="MP42" s="197"/>
      <c r="MQ42" s="197"/>
      <c r="MR42" s="197"/>
      <c r="MS42" s="197"/>
      <c r="MT42" s="197"/>
      <c r="MU42" s="197"/>
      <c r="MV42" s="197"/>
      <c r="MW42" s="197"/>
      <c r="MX42" s="197"/>
      <c r="MY42" s="197"/>
      <c r="MZ42" s="197"/>
      <c r="NA42" s="197"/>
      <c r="NB42" s="197"/>
      <c r="NC42" s="197"/>
      <c r="ND42" s="197"/>
      <c r="NE42" s="197"/>
      <c r="NF42" s="197"/>
      <c r="NG42" s="197"/>
      <c r="NH42" s="197"/>
      <c r="NI42" s="197"/>
      <c r="NJ42" s="197"/>
      <c r="NK42" s="197"/>
      <c r="NL42" s="197"/>
      <c r="NM42" s="197"/>
      <c r="NN42" s="197"/>
      <c r="NO42" s="197"/>
      <c r="NP42" s="197"/>
      <c r="NQ42" s="197"/>
      <c r="NR42" s="197"/>
      <c r="NS42" s="197"/>
      <c r="NT42" s="197"/>
      <c r="NU42" s="197"/>
      <c r="NV42" s="197"/>
      <c r="NW42" s="197"/>
      <c r="NX42" s="197"/>
      <c r="NY42" s="197"/>
      <c r="NZ42" s="197"/>
      <c r="OA42" s="197"/>
      <c r="OB42" s="197"/>
      <c r="OC42" s="197"/>
      <c r="OD42" s="197"/>
      <c r="OE42" s="197"/>
      <c r="OF42" s="197"/>
      <c r="OG42" s="197"/>
      <c r="OH42" s="197"/>
      <c r="OI42" s="197"/>
      <c r="OJ42" s="197"/>
      <c r="OK42" s="197"/>
      <c r="OL42" s="197"/>
      <c r="OM42" s="197"/>
      <c r="ON42" s="197"/>
      <c r="OO42" s="197"/>
      <c r="OP42" s="197"/>
      <c r="OQ42" s="197"/>
      <c r="OR42" s="197"/>
      <c r="OS42" s="197"/>
      <c r="OT42" s="197"/>
      <c r="OU42" s="197"/>
      <c r="OV42" s="197"/>
      <c r="OW42" s="197"/>
      <c r="OX42" s="197"/>
      <c r="OY42" s="197"/>
      <c r="OZ42" s="197"/>
      <c r="PA42" s="197"/>
      <c r="PB42" s="197"/>
    </row>
    <row r="43" spans="1:418" s="77" customFormat="1" ht="10.5" customHeight="1" x14ac:dyDescent="0.2">
      <c r="A43" s="48">
        <v>1997</v>
      </c>
      <c r="B43" s="59">
        <f>'C1-Incomes'!C45/'C1-Incomes'!$B45</f>
        <v>0.41814592636508074</v>
      </c>
      <c r="C43" s="59">
        <f>'C1-Incomes'!D45/'C1-Incomes'!$B45</f>
        <v>0.29938274684278438</v>
      </c>
      <c r="D43" s="59">
        <f>'C1-Incomes'!E45/'C1-Incomes'!$B45</f>
        <v>0.14851792242140666</v>
      </c>
      <c r="E43" s="59">
        <f>'C1-Incomes'!F45/'C1-Incomes'!$B45</f>
        <v>0.11193608011501507</v>
      </c>
      <c r="F43" s="59">
        <f>'C1-Incomes'!G45/'C1-Incomes'!$B45</f>
        <v>5.8632798223244312E-2</v>
      </c>
      <c r="G43" s="59">
        <f>'C1-Incomes'!H45/'C1-Incomes'!$B45</f>
        <v>2.2450188952611503E-2</v>
      </c>
      <c r="H43" s="199"/>
      <c r="J43" s="59">
        <f>'C1-Incomes'!K45/'C1-Incomes'!$J45</f>
        <v>0.36454889486084574</v>
      </c>
      <c r="K43" s="59">
        <f>'C1-Incomes'!L45/'C1-Incomes'!$J45</f>
        <v>0.25783164370181072</v>
      </c>
      <c r="L43" s="59">
        <f>'C1-Incomes'!M45/'C1-Incomes'!$J45</f>
        <v>0.12490294670435617</v>
      </c>
      <c r="M43" s="59">
        <f>'C1-Incomes'!N45/'C1-Incomes'!$J45</f>
        <v>9.459574953467674E-2</v>
      </c>
      <c r="N43" s="59">
        <f>'C1-Incomes'!O45/'C1-Incomes'!$J45</f>
        <v>5.0917528638180394E-2</v>
      </c>
      <c r="O43" s="59">
        <f>'C1-Incomes'!P45/'C1-Incomes'!$J45</f>
        <v>2.0385463816971094E-2</v>
      </c>
      <c r="P43" s="59"/>
      <c r="R43" s="59">
        <f>'C1-Incomes'!S45/'C1-Incomes'!$R45</f>
        <v>0.3297671238592545</v>
      </c>
      <c r="S43" s="59">
        <f>'C1-Incomes'!T45/'C1-Incomes'!$R45</f>
        <v>0.23210220004527798</v>
      </c>
      <c r="T43" s="59">
        <f>'C1-Incomes'!U45/'C1-Incomes'!$R45</f>
        <v>0.11178826593549564</v>
      </c>
      <c r="U43" s="59">
        <f>'C1-Incomes'!V45/'C1-Incomes'!$R45</f>
        <v>8.4481912054578265E-2</v>
      </c>
      <c r="V43" s="59">
        <f>'C1-Incomes'!W45/'C1-Incomes'!$R45</f>
        <v>4.5354646210073908E-2</v>
      </c>
      <c r="W43" s="59">
        <f>'C1-Incomes'!X45/'C1-Incomes'!$R45</f>
        <v>1.8143964946047635E-2</v>
      </c>
      <c r="X43" s="59"/>
      <c r="Y43" s="59"/>
      <c r="Z43" s="59">
        <f>'C1-Incomes'!AA45/'C1-Incomes'!$Z45</f>
        <v>0.27818525727702448</v>
      </c>
      <c r="AA43" s="59">
        <f>'C1-Incomes'!AB45/'C1-Incomes'!$Z45</f>
        <v>0.18989949620535151</v>
      </c>
      <c r="AB43" s="59">
        <f>'C1-Incomes'!AC45/'C1-Incomes'!$Z45</f>
        <v>8.5504586668831761E-2</v>
      </c>
      <c r="AC43" s="59">
        <f>'C1-Incomes'!AD45/'C1-Incomes'!$Z45</f>
        <v>6.2954628123432943E-2</v>
      </c>
      <c r="AD43" s="59">
        <f>'C1-Incomes'!AE45/'C1-Incomes'!$Z45</f>
        <v>3.237809985147895E-2</v>
      </c>
      <c r="AE43" s="59">
        <f>'C1-Incomes'!AF45/'C1-Incomes'!$Z45</f>
        <v>1.2746833326584961E-2</v>
      </c>
      <c r="AF43" s="200"/>
      <c r="AG43" s="195"/>
      <c r="AH43" s="59">
        <f>'C1-Incomes'!AI45/'C1-Incomes'!$AH45</f>
        <v>0.41138268293947694</v>
      </c>
      <c r="AI43" s="59">
        <f>'C1-Incomes'!AJ45/'C1-Incomes'!$AH45</f>
        <v>0.29401455629071604</v>
      </c>
      <c r="AJ43" s="59">
        <f>'C1-Incomes'!AK45/'C1-Incomes'!$AH45</f>
        <v>0.14557611333445836</v>
      </c>
      <c r="AK43" s="59">
        <f>'C1-Incomes'!AL45/'C1-Incomes'!$AH45</f>
        <v>0.10972136667950202</v>
      </c>
      <c r="AL43" s="59">
        <f>'C1-Incomes'!AM45/'C1-Incomes'!$AH45</f>
        <v>5.7491802925374071E-2</v>
      </c>
      <c r="AM43" s="59">
        <f>'C1-Incomes'!AN45/'C1-Incomes'!$AH45</f>
        <v>2.2039396568781962E-2</v>
      </c>
      <c r="AN43" s="195"/>
      <c r="AO43" s="195"/>
      <c r="AP43" s="59"/>
      <c r="AQ43" s="59"/>
      <c r="AR43" s="59"/>
      <c r="AS43" s="59"/>
      <c r="AT43" s="59"/>
      <c r="AU43" s="59"/>
      <c r="AV43" s="197"/>
      <c r="AW43" s="60"/>
      <c r="AX43" s="59">
        <f>'C1-Incomes'!AY45/'C1-Incomes'!$AX45</f>
        <v>0.41437608672881249</v>
      </c>
      <c r="AY43" s="59">
        <f>'C1-Incomes'!AZ45/'C1-Incomes'!$AX45</f>
        <v>0.29727548981690399</v>
      </c>
      <c r="AZ43" s="59">
        <f>'C1-Incomes'!BA45/'C1-Incomes'!$AX45</f>
        <v>0.14831007740826058</v>
      </c>
      <c r="BA43" s="59">
        <f>'C1-Incomes'!BB45/'C1-Incomes'!$AX45</f>
        <v>0.11201886170333565</v>
      </c>
      <c r="BB43" s="59">
        <f>'C1-Incomes'!BC45/'C1-Incomes'!$AX45</f>
        <v>5.8830070536905171E-2</v>
      </c>
      <c r="BC43" s="59">
        <f>'C1-Incomes'!BD45/'C1-Incomes'!$AX45</f>
        <v>2.2512725279024516E-2</v>
      </c>
      <c r="BD43" s="60"/>
      <c r="BE43" s="60"/>
      <c r="BF43" s="59">
        <f>'C1-Incomes'!BG45/'C1-Incomes'!$BF45</f>
        <v>0.40824280350542214</v>
      </c>
      <c r="BG43" s="59">
        <f>'C1-Incomes'!BH45/'C1-Incomes'!$BF45</f>
        <v>0.29257404574299406</v>
      </c>
      <c r="BH43" s="59">
        <f>'C1-Incomes'!BI45/'C1-Incomes'!$BF45</f>
        <v>0.14617082192665834</v>
      </c>
      <c r="BI43" s="59">
        <f>'C1-Incomes'!BJ45/'C1-Incomes'!$BF45</f>
        <v>0.11058808002186535</v>
      </c>
      <c r="BJ43" s="59">
        <f>'C1-Incomes'!BK45/'C1-Incomes'!$BF45</f>
        <v>5.8281331776711187E-2</v>
      </c>
      <c r="BK43" s="59">
        <f>'C1-Incomes'!BL45/'C1-Incomes'!$BF45</f>
        <v>2.2323073148590607E-2</v>
      </c>
      <c r="BL43" s="59"/>
      <c r="BM43" s="59"/>
      <c r="BN43" s="59">
        <f>'C1-Incomes'!BO45/'C1-Incomes'!$BN45</f>
        <v>0.37715327739742305</v>
      </c>
      <c r="BO43" s="59">
        <f>'C1-Incomes'!BP45/'C1-Incomes'!$BN45</f>
        <v>0.26936979690048951</v>
      </c>
      <c r="BP43" s="59">
        <f>'C1-Incomes'!BQ45/'C1-Incomes'!$BN45</f>
        <v>0.13381134042884052</v>
      </c>
      <c r="BQ43" s="59">
        <f>'C1-Incomes'!BR45/'C1-Incomes'!$BN45</f>
        <v>0.10202977124542421</v>
      </c>
      <c r="BR43" s="59">
        <f>'C1-Incomes'!BS45/'C1-Incomes'!$BN45</f>
        <v>5.4567505749908971E-2</v>
      </c>
      <c r="BS43" s="59">
        <f>'C1-Incomes'!BT45/'C1-Incomes'!$BN45</f>
        <v>2.1152908408087291E-2</v>
      </c>
      <c r="BT43" s="59"/>
      <c r="BU43" s="59"/>
      <c r="BV43" s="59">
        <f>'C1-Incomes'!BW45/'C1-Incomes'!$BV45</f>
        <v>0.37982171676128618</v>
      </c>
      <c r="BW43" s="59">
        <f>'C1-Incomes'!BX45/'C1-Incomes'!$BV45</f>
        <v>0.27244298638504311</v>
      </c>
      <c r="BX43" s="59">
        <f>'C1-Incomes'!BY45/'C1-Incomes'!$BV45</f>
        <v>0.13689142666218143</v>
      </c>
      <c r="BY43" s="59">
        <f>'C1-Incomes'!BZ45/'C1-Incomes'!$BV45</f>
        <v>0.10465228764074232</v>
      </c>
      <c r="BZ43" s="59">
        <f>'C1-Incomes'!CA45/'C1-Incomes'!$BV45</f>
        <v>5.6640847484043584E-2</v>
      </c>
      <c r="CA43" s="59">
        <f>'C1-Incomes'!CB45/'C1-Incomes'!$BV45</f>
        <v>2.2425557283563744E-2</v>
      </c>
      <c r="CB43" s="60"/>
      <c r="CC43" s="198"/>
      <c r="CD43" s="59">
        <f>'C1-Incomes'!CE45/'C1-Incomes'!$CD45</f>
        <v>0.38797360852534007</v>
      </c>
      <c r="CE43" s="59">
        <f>'C1-Incomes'!CF45/'C1-Incomes'!$CD45</f>
        <v>0.28088004258545302</v>
      </c>
      <c r="CF43" s="59">
        <f>'C1-Incomes'!CG45/'C1-Incomes'!$CD45</f>
        <v>0.14305028863887007</v>
      </c>
      <c r="CG43" s="59">
        <f>'C1-Incomes'!CH45/'C1-Incomes'!$CD45</f>
        <v>0.11004695112227879</v>
      </c>
      <c r="CH43" s="59">
        <f>'C1-Incomes'!CI45/'C1-Incomes'!$CD45</f>
        <v>6.0228225792011501E-2</v>
      </c>
      <c r="CI43" s="59">
        <f>'C1-Incomes'!CJ45/'C1-Incomes'!$CD45</f>
        <v>2.4288069520684533E-2</v>
      </c>
      <c r="CL43" s="59">
        <f>'C1-Incomes'!CM45/'C1-Incomes'!$CL45</f>
        <v>0.39129565941305439</v>
      </c>
      <c r="CM43" s="59">
        <f>'C1-Incomes'!CN45/'C1-Incomes'!$CL45</f>
        <v>0.28387670278824012</v>
      </c>
      <c r="CN43" s="59">
        <f>'C1-Incomes'!CO45/'C1-Incomes'!$CL45</f>
        <v>0.14462668857720246</v>
      </c>
      <c r="CO43" s="59">
        <f>'C1-Incomes'!CP45/'C1-Incomes'!$CL45</f>
        <v>0.1114323634434167</v>
      </c>
      <c r="CP43" s="59">
        <f>'C1-Incomes'!CQ45/'C1-Incomes'!$CL45</f>
        <v>6.1237676993689455E-2</v>
      </c>
      <c r="CQ43" s="59">
        <f>'C1-Incomes'!CR45/'C1-Incomes'!$CL45</f>
        <v>2.4863854010329804E-2</v>
      </c>
      <c r="CR43" s="59"/>
      <c r="CS43" s="59"/>
      <c r="CT43" s="59">
        <f>'C1-Incomes'!CU45/'C1-Incomes'!$CT45</f>
        <v>0.39390582118841183</v>
      </c>
      <c r="CU43" s="59">
        <f>'C1-Incomes'!CV45/'C1-Incomes'!$CT45</f>
        <v>0.28647458786695479</v>
      </c>
      <c r="CV43" s="59">
        <f>'C1-Incomes'!CW45/'C1-Incomes'!$CT45</f>
        <v>0.14652259240029142</v>
      </c>
      <c r="CW43" s="59">
        <f>'C1-Incomes'!CX45/'C1-Incomes'!$CT45</f>
        <v>0.11297128660767845</v>
      </c>
      <c r="CX43" s="59">
        <f>'C1-Incomes'!CY45/'C1-Incomes'!$CT45</f>
        <v>6.2314379473529358E-2</v>
      </c>
      <c r="CY43" s="59">
        <f>'C1-Incomes'!CZ45/'C1-Incomes'!$CT45</f>
        <v>2.5426806228692648E-2</v>
      </c>
      <c r="CZ43" s="59"/>
      <c r="DA43" s="59"/>
      <c r="DB43" s="59">
        <f>'C1-Incomes'!DC45/'C1-Incomes'!$DB45</f>
        <v>0.39572196706788382</v>
      </c>
      <c r="DC43" s="59">
        <f>'C1-Incomes'!DD45/'C1-Incomes'!$DB45</f>
        <v>0.28782699840789089</v>
      </c>
      <c r="DD43" s="59">
        <f>'C1-Incomes'!DE45/'C1-Incomes'!$DB45</f>
        <v>0.14759222024989466</v>
      </c>
      <c r="DE43" s="59">
        <f>'C1-Incomes'!DF45/'C1-Incomes'!$DB45</f>
        <v>0.11385493191988547</v>
      </c>
      <c r="DF43" s="59">
        <f>'C1-Incomes'!DG45/'C1-Incomes'!$DB45</f>
        <v>6.2867718101660336E-2</v>
      </c>
      <c r="DG43" s="59">
        <f>'C1-Incomes'!DH45/'C1-Incomes'!$DB45</f>
        <v>2.5649448037011264E-2</v>
      </c>
      <c r="DH43" s="59"/>
      <c r="DI43" s="1039"/>
      <c r="DJ43" s="59">
        <f>'C1-Incomes'!DK45/'C1-Incomes'!$DJ45</f>
        <v>0.38665848815516479</v>
      </c>
      <c r="DK43" s="59">
        <f>'C1-Incomes'!DL45/'C1-Incomes'!$DJ45</f>
        <v>0.28126054514793192</v>
      </c>
      <c r="DL43" s="59">
        <f>'C1-Incomes'!DM45/'C1-Incomes'!$DJ45</f>
        <v>0.14362876607529843</v>
      </c>
      <c r="DM43" s="59">
        <f>'C1-Incomes'!DN45/'C1-Incomes'!$DJ45</f>
        <v>0.11015224285120602</v>
      </c>
      <c r="DN43" s="59">
        <f>'C1-Incomes'!DO45/'C1-Incomes'!$DJ45</f>
        <v>6.0241992337359246E-2</v>
      </c>
      <c r="DO43" s="59">
        <f>'C1-Incomes'!DP45/'C1-Incomes'!$DJ45</f>
        <v>2.4450867270617752E-2</v>
      </c>
      <c r="DP43" s="696"/>
      <c r="DQ43" s="503"/>
      <c r="DR43" s="59">
        <f>'C1-Incomes'!DS45/'C1-Incomes'!$DR45</f>
        <v>0.38559087968689931</v>
      </c>
      <c r="DS43" s="59">
        <f>'C1-Incomes'!DT45/'C1-Incomes'!$DR45</f>
        <v>0.27948033111102449</v>
      </c>
      <c r="DT43" s="59">
        <f>'C1-Incomes'!DU45/'C1-Incomes'!$DR45</f>
        <v>0.14157456728565201</v>
      </c>
      <c r="DU43" s="59">
        <f>'C1-Incomes'!DV45/'C1-Incomes'!$DR45</f>
        <v>0.10827293426028681</v>
      </c>
      <c r="DV43" s="59">
        <f>'C1-Incomes'!DW45/'C1-Incomes'!$DR45</f>
        <v>5.8871214428260002E-2</v>
      </c>
      <c r="DW43" s="59">
        <f>'C1-Incomes'!DX45/'C1-Incomes'!$DR45</f>
        <v>2.3792267096995202E-2</v>
      </c>
      <c r="DX43" s="333"/>
      <c r="DZ43" s="59">
        <f>'C1-Incomes'!EA45/'C1-Incomes'!$DZ45</f>
        <v>0.37802540190941153</v>
      </c>
      <c r="EA43" s="59">
        <f>'C1-Incomes'!EB45/'C1-Incomes'!$DZ45</f>
        <v>0.27197395859950951</v>
      </c>
      <c r="EB43" s="59">
        <f>'C1-Incomes'!EC45/'C1-Incomes'!$DZ45</f>
        <v>0.13639831840092384</v>
      </c>
      <c r="EC43" s="59">
        <f>'C1-Incomes'!ED45/'C1-Incomes'!$DZ45</f>
        <v>0.10415667796610759</v>
      </c>
      <c r="ED43" s="59">
        <f>'C1-Incomes'!EE45/'C1-Incomes'!$DZ45</f>
        <v>5.6493751472524868E-2</v>
      </c>
      <c r="EE43" s="59">
        <f>'C1-Incomes'!EF45/'C1-Incomes'!$DZ45</f>
        <v>2.2791016404668383E-2</v>
      </c>
      <c r="EF43" s="59"/>
      <c r="EH43" s="59">
        <f>'C1-Incomes'!EI45/'C1-Incomes'!$EH45</f>
        <v>0.37073299780662639</v>
      </c>
      <c r="EI43" s="59">
        <f>'C1-Incomes'!EJ45/'C1-Incomes'!$EH45</f>
        <v>0.26433572732843363</v>
      </c>
      <c r="EJ43" s="59">
        <f>'C1-Incomes'!EK45/'C1-Incomes'!$EH45</f>
        <v>0.13077942599262726</v>
      </c>
      <c r="EK43" s="59">
        <f>'C1-Incomes'!EL45/'C1-Incomes'!$EH45</f>
        <v>9.9649534581140897E-2</v>
      </c>
      <c r="EL43" s="59">
        <f>'C1-Incomes'!EM45/'C1-Incomes'!$EH45</f>
        <v>5.3934901464482904E-2</v>
      </c>
      <c r="EM43" s="59">
        <f>'C1-Incomes'!EN45/'C1-Incomes'!$EH45</f>
        <v>2.1729827775677325E-2</v>
      </c>
      <c r="EN43" s="59"/>
      <c r="EO43" s="59"/>
      <c r="EP43" s="59">
        <f>'C1-Incomes'!EQ45/'C1-Incomes'!$EH45</f>
        <v>0.38546070975998814</v>
      </c>
      <c r="EQ43" s="59">
        <f>'C1-Incomes'!ER45/'C1-Incomes'!$EH45</f>
        <v>0.27390857521347184</v>
      </c>
      <c r="ER43" s="59">
        <f>'C1-Incomes'!ES45/'C1-Incomes'!$EH45</f>
        <v>0.13406718049392866</v>
      </c>
      <c r="ES43" s="59">
        <f>'C1-Incomes'!ET45/'C1-Incomes'!$EH45</f>
        <v>0.10177258095453569</v>
      </c>
      <c r="ET43" s="59">
        <f>'C1-Incomes'!EU45/'C1-Incomes'!$EH45</f>
        <v>5.4880432845795656E-2</v>
      </c>
      <c r="EU43" s="59">
        <f>'C1-Incomes'!EV45/'C1-Incomes'!$EH45</f>
        <v>2.2012709300139044E-2</v>
      </c>
      <c r="EV43" s="59"/>
      <c r="EW43" s="59"/>
      <c r="EX43" s="59">
        <f>'C1-Incomes'!EY45/'C1-Incomes'!$EX45</f>
        <v>0.36454889486084574</v>
      </c>
      <c r="EY43" s="59">
        <f>'C1-Incomes'!EZ45/'C1-Incomes'!$EX45</f>
        <v>0.25783164370181072</v>
      </c>
      <c r="EZ43" s="59">
        <f>'C1-Incomes'!FA45/'C1-Incomes'!$EX45</f>
        <v>0.12490294670435617</v>
      </c>
      <c r="FA43" s="59">
        <f>'C1-Incomes'!FB45/'C1-Incomes'!$EX45</f>
        <v>9.459574953467674E-2</v>
      </c>
      <c r="FB43" s="59">
        <f>'C1-Incomes'!FC45/'C1-Incomes'!$EX45</f>
        <v>5.0917528638180394E-2</v>
      </c>
      <c r="FC43" s="59">
        <f>'C1-Incomes'!FD45/'C1-Incomes'!$EX45</f>
        <v>2.0385463816971094E-2</v>
      </c>
      <c r="FD43" s="59"/>
      <c r="FF43" s="59">
        <f>'C1-Incomes'!FG45/'C1-Incomes'!$FF45</f>
        <v>0.35126434482708446</v>
      </c>
      <c r="FG43" s="59">
        <f>'C1-Incomes'!FH45/'C1-Incomes'!$FF45</f>
        <v>0.24789781097274946</v>
      </c>
      <c r="FH43" s="59">
        <f>'C1-Incomes'!FI45/'C1-Incomes'!$FF45</f>
        <v>0.11964792353672739</v>
      </c>
      <c r="FI43" s="59">
        <f>'C1-Incomes'!FJ45/'C1-Incomes'!$FF45</f>
        <v>9.0452857662191452E-2</v>
      </c>
      <c r="FJ43" s="59">
        <f>'C1-Incomes'!FK45/'C1-Incomes'!$FF45</f>
        <v>4.857402640493215E-2</v>
      </c>
      <c r="FK43" s="59">
        <f>'C1-Incomes'!FL45/'C1-Incomes'!$FF45</f>
        <v>1.9434885604587851E-2</v>
      </c>
      <c r="FN43" s="59">
        <f>'C1-Incomes'!FO45/'C1-Incomes'!$FN45</f>
        <v>0.3504741001535705</v>
      </c>
      <c r="FO43" s="59">
        <f>'C1-Incomes'!FP45/'C1-Incomes'!$FN45</f>
        <v>0.24728937224593514</v>
      </c>
      <c r="FP43" s="59">
        <f>'C1-Incomes'!FQ45/'C1-Incomes'!$FN45</f>
        <v>0.11934100487380947</v>
      </c>
      <c r="FQ43" s="59">
        <f>'C1-Incomes'!FR45/'C1-Incomes'!$FN45</f>
        <v>9.0219581396441331E-2</v>
      </c>
      <c r="FR43" s="59">
        <f>'C1-Incomes'!FS45/'C1-Incomes'!$FN45</f>
        <v>4.8448481091833986E-2</v>
      </c>
      <c r="FS43" s="59">
        <f>'C1-Incomes'!FT45/'C1-Incomes'!$FN45</f>
        <v>1.938457632260368E-2</v>
      </c>
      <c r="FV43" s="59">
        <f>'C1-Incomes'!FW45/'C1-Incomes'!$FV45</f>
        <v>0.34588875960049803</v>
      </c>
      <c r="FW43" s="59">
        <f>'C1-Incomes'!FX45/'C1-Incomes'!$FV45</f>
        <v>0.24399581209126903</v>
      </c>
      <c r="FX43" s="59">
        <f>'C1-Incomes'!FY45/'C1-Incomes'!$FV45</f>
        <v>0.11771153554056711</v>
      </c>
      <c r="FY43" s="59">
        <f>'C1-Incomes'!FZ45/'C1-Incomes'!$FV45</f>
        <v>8.8980484780110738E-2</v>
      </c>
      <c r="FZ43" s="59">
        <f>'C1-Incomes'!GA45/'C1-Incomes'!$FV45</f>
        <v>4.7778307287078998E-2</v>
      </c>
      <c r="GA43" s="59">
        <f>'C1-Incomes'!GB45/'C1-Incomes'!$FV45</f>
        <v>1.9115585343478472E-2</v>
      </c>
      <c r="GE43" s="59">
        <f>'C1-Incomes'!GF45/'C1-Incomes'!$GE45</f>
        <v>0.33934729923828177</v>
      </c>
      <c r="GF43" s="59">
        <f>'C1-Incomes'!GG45/'C1-Incomes'!$GE45</f>
        <v>0.23884507894803014</v>
      </c>
      <c r="GG43" s="59">
        <f>'C1-Incomes'!GH45/'C1-Incomes'!$GE45</f>
        <v>0.11503586436327726</v>
      </c>
      <c r="GH43" s="59">
        <f>'C1-Incomes'!GI45/'C1-Incomes'!$GE45</f>
        <v>8.6936224432254364E-2</v>
      </c>
      <c r="GI43" s="59">
        <f>'C1-Incomes'!GJ45/'C1-Incomes'!$GE45</f>
        <v>4.6672259257309293E-2</v>
      </c>
      <c r="GJ43" s="59">
        <f>'C1-Incomes'!GK45/'C1-Incomes'!$GE45</f>
        <v>1.8671071360476764E-2</v>
      </c>
      <c r="GM43" s="59">
        <f>'C1-Incomes'!GN45/'C1-Incomes'!$GM45</f>
        <v>0.3297671238592545</v>
      </c>
      <c r="GN43" s="59">
        <f>'C1-Incomes'!GO45/'C1-Incomes'!$GM45</f>
        <v>0.23210220004527798</v>
      </c>
      <c r="GO43" s="59">
        <f>'C1-Incomes'!GP45/'C1-Incomes'!$GM45</f>
        <v>0.11178826593549564</v>
      </c>
      <c r="GP43" s="59">
        <f>'C1-Incomes'!GQ45/'C1-Incomes'!$GM45</f>
        <v>8.4481912054578265E-2</v>
      </c>
      <c r="GQ43" s="59">
        <f>'C1-Incomes'!GR45/'C1-Incomes'!$GM45</f>
        <v>4.5354646210073908E-2</v>
      </c>
      <c r="GR43" s="59">
        <f>'C1-Incomes'!GS45/'C1-Incomes'!$GM45</f>
        <v>1.8143964946047635E-2</v>
      </c>
      <c r="GU43" s="59">
        <f>'C1-Incomes'!GV45/'C1-Incomes'!$GU45</f>
        <v>0.30010823242298579</v>
      </c>
      <c r="GV43" s="59">
        <f>'C1-Incomes'!GW45/'C1-Incomes'!$GU45</f>
        <v>0.20467519582876284</v>
      </c>
      <c r="GW43" s="59">
        <f>'C1-Incomes'!GX45/'C1-Incomes'!$GU45</f>
        <v>9.2017795025792604E-2</v>
      </c>
      <c r="GX43" s="59">
        <f>'C1-Incomes'!GY45/'C1-Incomes'!$GU45</f>
        <v>6.7771949634555337E-2</v>
      </c>
      <c r="GY43" s="59">
        <f>'C1-Incomes'!GZ45/'C1-Incomes'!$GU45</f>
        <v>3.5074089788380822E-2</v>
      </c>
      <c r="GZ43" s="59">
        <f>'C1-Incomes'!HA45/'C1-Incomes'!$GU45</f>
        <v>1.3907266534251086E-2</v>
      </c>
      <c r="HC43" s="59">
        <f>'C1-Incomes'!HD45/'C1-Incomes'!$HC45</f>
        <v>0.29493794702872739</v>
      </c>
      <c r="HD43" s="59">
        <f>'C1-Incomes'!HE45/'C1-Incomes'!$HC45</f>
        <v>0.20004434544462302</v>
      </c>
      <c r="HE43" s="59">
        <f>'C1-Incomes'!HF45/'C1-Incomes'!$HC45</f>
        <v>8.8702173575612525E-2</v>
      </c>
      <c r="HF43" s="59">
        <f>'C1-Incomes'!HG45/'C1-Incomes'!$HC45</f>
        <v>6.5091979086758844E-2</v>
      </c>
      <c r="HG43" s="59">
        <f>'C1-Incomes'!HH45/'C1-Incomes'!$HC45</f>
        <v>3.349221274550572E-2</v>
      </c>
      <c r="HH43" s="59">
        <f>'C1-Incomes'!HI45/'C1-Incomes'!$HC45</f>
        <v>1.3251288328382233E-2</v>
      </c>
      <c r="HK43" s="59">
        <f>'C1-Incomes'!HL45/'C1-Incomes'!$HK45</f>
        <v>0.29043422805669977</v>
      </c>
      <c r="HL43" s="59">
        <f>'C1-Incomes'!HM45/'C1-Incomes'!$HK45</f>
        <v>0.19617649242591317</v>
      </c>
      <c r="HM43" s="59">
        <f>'C1-Incomes'!HN45/'C1-Incomes'!$HK45</f>
        <v>8.6284019381925911E-2</v>
      </c>
      <c r="HN43" s="59">
        <f>'C1-Incomes'!HO45/'C1-Incomes'!$HK45</f>
        <v>6.3095735883025514E-2</v>
      </c>
      <c r="HO43" s="59">
        <f>'C1-Incomes'!HP45/'C1-Incomes'!$HK45</f>
        <v>3.2181298230087765E-2</v>
      </c>
      <c r="HP43" s="59">
        <f>'C1-Incomes'!HQ45/'C1-Incomes'!$HK45</f>
        <v>1.2619906403037956E-2</v>
      </c>
      <c r="HS43" s="59">
        <f>'C1-Incomes'!HT45/'C1-Incomes'!$HS45</f>
        <v>0.28650847175278216</v>
      </c>
      <c r="HT43" s="59">
        <f>'C1-Incomes'!HU45/'C1-Incomes'!$HS45</f>
        <v>0.19278646415572226</v>
      </c>
      <c r="HU43" s="59">
        <f>'C1-Incomes'!HV45/'C1-Incomes'!$HS45</f>
        <v>8.4341000175755132E-2</v>
      </c>
      <c r="HV43" s="59">
        <f>'C1-Incomes'!HW45/'C1-Incomes'!$HS45</f>
        <v>6.1572719088258267E-2</v>
      </c>
      <c r="HW43" s="59">
        <f>'C1-Incomes'!HX45/'C1-Incomes'!$HS45</f>
        <v>3.1351222970498277E-2</v>
      </c>
      <c r="HX43" s="59">
        <f>'C1-Incomes'!HY45/'C1-Incomes'!$HS45</f>
        <v>1.2243206833887849E-2</v>
      </c>
      <c r="IA43" s="59">
        <f>'C1-Incomes'!IB45/'C1-Incomes'!$IA45</f>
        <v>0.29062316884811501</v>
      </c>
      <c r="IB43" s="59">
        <f>'C1-Incomes'!IC45/'C1-Incomes'!$IA45</f>
        <v>0.19809419647765991</v>
      </c>
      <c r="IC43" s="59">
        <f>'C1-Incomes'!ID45/'C1-Incomes'!$IA45</f>
        <v>8.8640150077693824E-2</v>
      </c>
      <c r="ID43" s="59">
        <f>'C1-Incomes'!IE45/'C1-Incomes'!$IA45</f>
        <v>6.5192529001488142E-2</v>
      </c>
      <c r="IE43" s="59">
        <f>'C1-Incomes'!IF45/'C1-Incomes'!$IA45</f>
        <v>3.3443341363795488E-2</v>
      </c>
      <c r="IF43" s="59">
        <f>'C1-Incomes'!IG45/'C1-Incomes'!$IA45</f>
        <v>1.3147149598845805E-2</v>
      </c>
      <c r="II43" s="59">
        <f>'C1-Incomes'!IJ45/'C1-Incomes'!$II45</f>
        <v>0.29103714289367044</v>
      </c>
      <c r="IJ43" s="59">
        <f>'C1-Incomes'!IK45/'C1-Incomes'!$II45</f>
        <v>0.19930843494121731</v>
      </c>
      <c r="IK43" s="59">
        <f>'C1-Incomes'!IL45/'C1-Incomes'!$II45</f>
        <v>8.9840825458352494E-2</v>
      </c>
      <c r="IL43" s="59">
        <f>'C1-Incomes'!IM45/'C1-Incomes'!$II45</f>
        <v>6.6140655126274012E-2</v>
      </c>
      <c r="IM43" s="59">
        <f>'C1-Incomes'!IN45/'C1-Incomes'!$II45</f>
        <v>3.3982489024372571E-2</v>
      </c>
      <c r="IN43" s="59">
        <f>'C1-Incomes'!IO45/'C1-Incomes'!$II45</f>
        <v>1.3353651874712099E-2</v>
      </c>
      <c r="IQ43" s="59">
        <f>'C1-Incomes'!IR45/'C1-Incomes'!$IQ45</f>
        <v>0.29558609623168408</v>
      </c>
      <c r="IR43" s="59">
        <f>'C1-Incomes'!IS45/'C1-Incomes'!$IQ45</f>
        <v>0.20328887619498553</v>
      </c>
      <c r="IS43" s="59">
        <f>'C1-Incomes'!IT45/'C1-Incomes'!$IQ45</f>
        <v>9.2597267316084295E-2</v>
      </c>
      <c r="IT43" s="59">
        <f>'C1-Incomes'!IU45/'C1-Incomes'!$IQ45</f>
        <v>6.838213440681E-2</v>
      </c>
      <c r="IU43" s="59">
        <f>'C1-Incomes'!IV45/'C1-Incomes'!$IQ45</f>
        <v>3.5362748233704694E-2</v>
      </c>
      <c r="IV43" s="59">
        <f>'C1-Incomes'!IW45/'C1-Incomes'!$IQ45</f>
        <v>1.3922612539728655E-2</v>
      </c>
      <c r="IY43" s="59">
        <f>'C1-Incomes'!IZ45/'C1-Incomes'!$IY45</f>
        <v>0.27818525727702448</v>
      </c>
      <c r="IZ43" s="59">
        <f>'C1-Incomes'!JA45/'C1-Incomes'!$IY45</f>
        <v>0.18989949620535151</v>
      </c>
      <c r="JA43" s="59">
        <f>'C1-Incomes'!JB45/'C1-Incomes'!$IY45</f>
        <v>8.5504586668831761E-2</v>
      </c>
      <c r="JB43" s="59">
        <f>'C1-Incomes'!JC45/'C1-Incomes'!$IY45</f>
        <v>6.2954628123432943E-2</v>
      </c>
      <c r="JC43" s="59">
        <f>'C1-Incomes'!JD45/'C1-Incomes'!$IY45</f>
        <v>3.237809985147895E-2</v>
      </c>
      <c r="JD43" s="59">
        <f>'C1-Incomes'!JE45/'C1-Incomes'!$IY45</f>
        <v>1.2746833326584961E-2</v>
      </c>
      <c r="JE43" s="197"/>
      <c r="JF43" s="197"/>
      <c r="JG43" s="197"/>
      <c r="JH43" s="197"/>
      <c r="JI43" s="197"/>
      <c r="JJ43" s="197"/>
      <c r="JK43" s="197"/>
      <c r="JL43" s="197"/>
      <c r="JM43" s="197"/>
      <c r="JN43" s="197"/>
      <c r="JO43" s="197"/>
      <c r="JP43" s="197"/>
      <c r="JQ43" s="197"/>
      <c r="JR43" s="197"/>
      <c r="JS43" s="197"/>
      <c r="JT43" s="197"/>
      <c r="JU43" s="197"/>
      <c r="JV43" s="197"/>
      <c r="JW43" s="197"/>
      <c r="JX43" s="197"/>
      <c r="JY43" s="197"/>
      <c r="JZ43" s="197"/>
      <c r="KA43" s="197"/>
      <c r="KB43" s="197"/>
      <c r="KC43" s="197"/>
      <c r="KD43" s="197"/>
      <c r="KE43" s="197"/>
      <c r="KF43" s="197"/>
      <c r="KG43" s="197"/>
      <c r="KH43" s="197"/>
      <c r="KI43" s="197"/>
      <c r="KJ43" s="197"/>
      <c r="KK43" s="197"/>
      <c r="KL43" s="197"/>
      <c r="KM43" s="197"/>
      <c r="KN43" s="197"/>
      <c r="KO43" s="197"/>
      <c r="KP43" s="197"/>
      <c r="KQ43" s="197"/>
      <c r="KR43" s="197"/>
      <c r="KS43" s="197"/>
      <c r="KT43" s="197"/>
      <c r="KU43" s="197"/>
      <c r="KV43" s="197"/>
      <c r="KW43" s="197"/>
      <c r="KX43" s="197"/>
      <c r="KY43" s="197"/>
      <c r="KZ43" s="197"/>
      <c r="LA43" s="197"/>
      <c r="LB43" s="197"/>
      <c r="LC43" s="197"/>
      <c r="LD43" s="197"/>
      <c r="LE43" s="197"/>
      <c r="LF43" s="197"/>
      <c r="LG43" s="197"/>
      <c r="LH43" s="197"/>
      <c r="LI43" s="197"/>
      <c r="LJ43" s="197"/>
      <c r="LK43" s="197"/>
      <c r="LL43" s="197"/>
      <c r="LM43" s="197"/>
      <c r="LN43" s="197"/>
      <c r="LO43" s="197"/>
      <c r="LP43" s="197"/>
      <c r="LQ43" s="197"/>
      <c r="LR43" s="197"/>
      <c r="LS43" s="197"/>
      <c r="LT43" s="197"/>
      <c r="LU43" s="197"/>
      <c r="LV43" s="197"/>
      <c r="LW43" s="197"/>
      <c r="LX43" s="197"/>
      <c r="LY43" s="197"/>
      <c r="LZ43" s="197"/>
      <c r="MA43" s="197"/>
      <c r="MB43" s="197"/>
      <c r="MC43" s="197"/>
      <c r="MD43" s="197"/>
      <c r="ME43" s="197"/>
      <c r="MF43" s="197"/>
      <c r="MG43" s="197"/>
      <c r="MH43" s="197"/>
      <c r="MI43" s="197"/>
      <c r="MJ43" s="197"/>
      <c r="MK43" s="197"/>
      <c r="ML43" s="197"/>
      <c r="MM43" s="197"/>
      <c r="MN43" s="197"/>
      <c r="MO43" s="197"/>
      <c r="MP43" s="197"/>
      <c r="MQ43" s="197"/>
      <c r="MR43" s="197"/>
      <c r="MS43" s="197"/>
      <c r="MT43" s="197"/>
      <c r="MU43" s="197"/>
      <c r="MV43" s="197"/>
      <c r="MW43" s="197"/>
      <c r="MX43" s="197"/>
      <c r="MY43" s="197"/>
      <c r="MZ43" s="197"/>
      <c r="NA43" s="197"/>
      <c r="NB43" s="197"/>
      <c r="NC43" s="197"/>
      <c r="ND43" s="197"/>
      <c r="NE43" s="197"/>
      <c r="NF43" s="197"/>
      <c r="NG43" s="197"/>
      <c r="NH43" s="197"/>
      <c r="NI43" s="197"/>
      <c r="NJ43" s="197"/>
      <c r="NK43" s="197"/>
      <c r="NL43" s="197"/>
      <c r="NM43" s="197"/>
      <c r="NN43" s="197"/>
      <c r="NO43" s="197"/>
      <c r="NP43" s="197"/>
      <c r="NQ43" s="197"/>
      <c r="NR43" s="197"/>
      <c r="NS43" s="197"/>
      <c r="NT43" s="197"/>
      <c r="NU43" s="197"/>
      <c r="NV43" s="197"/>
      <c r="NW43" s="197"/>
      <c r="NX43" s="197"/>
      <c r="NY43" s="197"/>
      <c r="NZ43" s="197"/>
      <c r="OA43" s="197"/>
      <c r="OB43" s="197"/>
      <c r="OC43" s="197"/>
      <c r="OD43" s="197"/>
      <c r="OE43" s="197"/>
      <c r="OF43" s="197"/>
      <c r="OG43" s="197"/>
      <c r="OH43" s="197"/>
      <c r="OI43" s="197"/>
      <c r="OJ43" s="197"/>
      <c r="OK43" s="197"/>
      <c r="OL43" s="197"/>
      <c r="OM43" s="197"/>
      <c r="ON43" s="197"/>
      <c r="OO43" s="197"/>
      <c r="OP43" s="197"/>
      <c r="OQ43" s="197"/>
      <c r="OR43" s="197"/>
      <c r="OS43" s="197"/>
      <c r="OT43" s="197"/>
      <c r="OU43" s="197"/>
      <c r="OV43" s="197"/>
      <c r="OW43" s="197"/>
      <c r="OX43" s="197"/>
      <c r="OY43" s="197"/>
      <c r="OZ43" s="197"/>
      <c r="PA43" s="197"/>
      <c r="PB43" s="197"/>
    </row>
    <row r="44" spans="1:418" s="77" customFormat="1" ht="10.5" customHeight="1" x14ac:dyDescent="0.2">
      <c r="A44" s="48">
        <v>1998</v>
      </c>
      <c r="B44" s="59">
        <f>'C1-Incomes'!C46/'C1-Incomes'!$B46</f>
        <v>0.42182104448808533</v>
      </c>
      <c r="C44" s="59">
        <f>'C1-Incomes'!D46/'C1-Incomes'!$B46</f>
        <v>0.30387207689070572</v>
      </c>
      <c r="D44" s="59">
        <f>'C1-Incomes'!E46/'C1-Incomes'!$B46</f>
        <v>0.15293231550216271</v>
      </c>
      <c r="E44" s="59">
        <f>'C1-Incomes'!F46/'C1-Incomes'!$B46</f>
        <v>0.11604702762355011</v>
      </c>
      <c r="F44" s="59">
        <f>'C1-Incomes'!G46/'C1-Incomes'!$B46</f>
        <v>6.1844499055216232E-2</v>
      </c>
      <c r="G44" s="59">
        <f>'C1-Incomes'!H46/'C1-Incomes'!$B46</f>
        <v>2.3964495577499561E-2</v>
      </c>
      <c r="H44" s="199"/>
      <c r="J44" s="59">
        <f>'C1-Incomes'!K46/'C1-Incomes'!$J46</f>
        <v>0.36427159366026718</v>
      </c>
      <c r="K44" s="59">
        <f>'C1-Incomes'!L46/'C1-Incomes'!$J46</f>
        <v>0.25871050260555561</v>
      </c>
      <c r="L44" s="59">
        <f>'C1-Incomes'!M46/'C1-Incomes'!$J46</f>
        <v>0.12637675646198396</v>
      </c>
      <c r="M44" s="59">
        <f>'C1-Incomes'!N46/'C1-Incomes'!$J46</f>
        <v>9.5908101281437244E-2</v>
      </c>
      <c r="N44" s="59">
        <f>'C1-Incomes'!O46/'C1-Incomes'!$J46</f>
        <v>5.2169140360109799E-2</v>
      </c>
      <c r="O44" s="59">
        <f>'C1-Incomes'!P46/'C1-Incomes'!$J46</f>
        <v>2.0795660074036833E-2</v>
      </c>
      <c r="P44" s="59"/>
      <c r="R44" s="59">
        <f>'C1-Incomes'!S46/'C1-Incomes'!$R46</f>
        <v>0.33082729116662191</v>
      </c>
      <c r="S44" s="59">
        <f>'C1-Incomes'!T46/'C1-Incomes'!$R46</f>
        <v>0.23385867367950675</v>
      </c>
      <c r="T44" s="59">
        <f>'C1-Incomes'!U46/'C1-Incomes'!$R46</f>
        <v>0.1134947367984665</v>
      </c>
      <c r="U44" s="59">
        <f>'C1-Incomes'!V46/'C1-Incomes'!$R46</f>
        <v>8.6047402416603094E-2</v>
      </c>
      <c r="V44" s="59">
        <f>'C1-Incomes'!W46/'C1-Incomes'!$R46</f>
        <v>4.6602695448886074E-2</v>
      </c>
      <c r="W44" s="59">
        <f>'C1-Incomes'!X46/'C1-Incomes'!$R46</f>
        <v>1.8589166684994368E-2</v>
      </c>
      <c r="X44" s="59"/>
      <c r="Y44" s="59"/>
      <c r="Z44" s="59">
        <f>'C1-Incomes'!AA46/'C1-Incomes'!$Z46</f>
        <v>0.27958494454520194</v>
      </c>
      <c r="AA44" s="59">
        <f>'C1-Incomes'!AB46/'C1-Incomes'!$Z46</f>
        <v>0.19147936569557863</v>
      </c>
      <c r="AB44" s="59">
        <f>'C1-Incomes'!AC46/'C1-Incomes'!$Z46</f>
        <v>8.6803083366503303E-2</v>
      </c>
      <c r="AC44" s="59">
        <f>'C1-Incomes'!AD46/'C1-Incomes'!$Z46</f>
        <v>6.3989631433626279E-2</v>
      </c>
      <c r="AD44" s="59">
        <f>'C1-Incomes'!AE46/'C1-Incomes'!$Z46</f>
        <v>3.3404812895808544E-2</v>
      </c>
      <c r="AE44" s="59">
        <f>'C1-Incomes'!AF46/'C1-Incomes'!$Z46</f>
        <v>1.3124928697470692E-2</v>
      </c>
      <c r="AF44" s="200"/>
      <c r="AG44" s="195"/>
      <c r="AH44" s="59">
        <f>'C1-Incomes'!AI46/'C1-Incomes'!$AH46</f>
        <v>0.41467250345873141</v>
      </c>
      <c r="AI44" s="59">
        <f>'C1-Incomes'!AJ46/'C1-Incomes'!$AH46</f>
        <v>0.29814903404859111</v>
      </c>
      <c r="AJ44" s="59">
        <f>'C1-Incomes'!AK46/'C1-Incomes'!$AH46</f>
        <v>0.14971445180293455</v>
      </c>
      <c r="AK44" s="59">
        <f>'C1-Incomes'!AL46/'C1-Incomes'!$AH46</f>
        <v>0.11352875434358584</v>
      </c>
      <c r="AL44" s="59">
        <f>'C1-Incomes'!AM46/'C1-Incomes'!$AH46</f>
        <v>6.0554861452397524E-2</v>
      </c>
      <c r="AM44" s="59">
        <f>'C1-Incomes'!AN46/'C1-Incomes'!$AH46</f>
        <v>2.3487887580910489E-2</v>
      </c>
      <c r="AN44" s="195"/>
      <c r="AO44" s="195"/>
      <c r="AP44" s="59"/>
      <c r="AQ44" s="59"/>
      <c r="AR44" s="59"/>
      <c r="AS44" s="59"/>
      <c r="AT44" s="59"/>
      <c r="AU44" s="59"/>
      <c r="AV44" s="197"/>
      <c r="AW44" s="60"/>
      <c r="AX44" s="59">
        <f>'C1-Incomes'!AY46/'C1-Incomes'!$AX46</f>
        <v>0.41760814330393237</v>
      </c>
      <c r="AY44" s="59">
        <f>'C1-Incomes'!AZ46/'C1-Incomes'!$AX46</f>
        <v>0.30143092473306987</v>
      </c>
      <c r="AZ44" s="59">
        <f>'C1-Incomes'!BA46/'C1-Incomes'!$AX46</f>
        <v>0.15249688597937786</v>
      </c>
      <c r="BA44" s="59">
        <f>'C1-Incomes'!BB46/'C1-Incomes'!$AX46</f>
        <v>0.11584911248778305</v>
      </c>
      <c r="BB44" s="59">
        <f>'C1-Incomes'!BC46/'C1-Incomes'!$AX46</f>
        <v>6.187567199228021E-2</v>
      </c>
      <c r="BC44" s="59">
        <f>'C1-Incomes'!BD46/'C1-Incomes'!$AX46</f>
        <v>2.3938599882775174E-2</v>
      </c>
      <c r="BD44" s="60"/>
      <c r="BE44" s="60"/>
      <c r="BF44" s="59">
        <f>'C1-Incomes'!BG46/'C1-Incomes'!$BF46</f>
        <v>0.41185995581798679</v>
      </c>
      <c r="BG44" s="59">
        <f>'C1-Incomes'!BH46/'C1-Incomes'!$BF46</f>
        <v>0.29699563766432552</v>
      </c>
      <c r="BH44" s="59">
        <f>'C1-Incomes'!BI46/'C1-Incomes'!$BF46</f>
        <v>0.15046977296462452</v>
      </c>
      <c r="BI44" s="59">
        <f>'C1-Incomes'!BJ46/'C1-Incomes'!$BF46</f>
        <v>0.11452088803610125</v>
      </c>
      <c r="BJ44" s="59">
        <f>'C1-Incomes'!BK46/'C1-Incomes'!$BF46</f>
        <v>6.1378510443178748E-2</v>
      </c>
      <c r="BK44" s="59">
        <f>'C1-Incomes'!BL46/'C1-Incomes'!$BF46</f>
        <v>2.3825525448701576E-2</v>
      </c>
      <c r="BL44" s="59"/>
      <c r="BM44" s="59"/>
      <c r="BN44" s="59">
        <f>'C1-Incomes'!BO46/'C1-Incomes'!$BN46</f>
        <v>0.38080591294557226</v>
      </c>
      <c r="BO44" s="59">
        <f>'C1-Incomes'!BP46/'C1-Incomes'!$BN46</f>
        <v>0.27400240034507611</v>
      </c>
      <c r="BP44" s="59">
        <f>'C1-Incomes'!BQ46/'C1-Incomes'!$BN46</f>
        <v>0.13850871610760548</v>
      </c>
      <c r="BQ44" s="59">
        <f>'C1-Incomes'!BR46/'C1-Incomes'!$BN46</f>
        <v>0.10599753600744949</v>
      </c>
      <c r="BR44" s="59">
        <f>'C1-Incomes'!BS46/'C1-Incomes'!$BN46</f>
        <v>5.7466938954584254E-2</v>
      </c>
      <c r="BS44" s="59">
        <f>'C1-Incomes'!BT46/'C1-Incomes'!$BN46</f>
        <v>2.2467577739227362E-2</v>
      </c>
      <c r="BT44" s="59"/>
      <c r="BU44" s="59"/>
      <c r="BV44" s="59">
        <f>'C1-Incomes'!BW46/'C1-Incomes'!$BV46</f>
        <v>0.38343132203751695</v>
      </c>
      <c r="BW44" s="59">
        <f>'C1-Incomes'!BX46/'C1-Incomes'!$BV46</f>
        <v>0.2768735968968285</v>
      </c>
      <c r="BX44" s="59">
        <f>'C1-Incomes'!BY46/'C1-Incomes'!$BV46</f>
        <v>0.14141976475947396</v>
      </c>
      <c r="BY44" s="59">
        <f>'C1-Incomes'!BZ46/'C1-Incomes'!$BV46</f>
        <v>0.10870145133222323</v>
      </c>
      <c r="BZ44" s="59">
        <f>'C1-Incomes'!CA46/'C1-Incomes'!$BV46</f>
        <v>5.9585406602008464E-2</v>
      </c>
      <c r="CA44" s="59">
        <f>'C1-Incomes'!CB46/'C1-Incomes'!$BV46</f>
        <v>2.3706096871434303E-2</v>
      </c>
      <c r="CB44" s="60"/>
      <c r="CC44" s="198"/>
      <c r="CD44" s="59">
        <f>'C1-Incomes'!CE46/'C1-Incomes'!$CD46</f>
        <v>0.38900132646470542</v>
      </c>
      <c r="CE44" s="59">
        <f>'C1-Incomes'!CF46/'C1-Incomes'!$CD46</f>
        <v>0.28230158165033076</v>
      </c>
      <c r="CF44" s="59">
        <f>'C1-Incomes'!CG46/'C1-Incomes'!$CD46</f>
        <v>0.14562503652173667</v>
      </c>
      <c r="CG44" s="59">
        <f>'C1-Incomes'!CH46/'C1-Incomes'!$CD46</f>
        <v>0.11229578821308052</v>
      </c>
      <c r="CH44" s="59">
        <f>'C1-Incomes'!CI46/'C1-Incomes'!$CD46</f>
        <v>6.2026225602002785E-2</v>
      </c>
      <c r="CI44" s="59">
        <f>'C1-Incomes'!CJ46/'C1-Incomes'!$CD46</f>
        <v>2.488787861337766E-2</v>
      </c>
      <c r="CL44" s="59">
        <f>'C1-Incomes'!CM46/'C1-Incomes'!$CL46</f>
        <v>0.39189441632898536</v>
      </c>
      <c r="CM44" s="59">
        <f>'C1-Incomes'!CN46/'C1-Incomes'!$CL46</f>
        <v>0.28503129921157438</v>
      </c>
      <c r="CN44" s="59">
        <f>'C1-Incomes'!CO46/'C1-Incomes'!$CL46</f>
        <v>0.1473168819286384</v>
      </c>
      <c r="CO44" s="59">
        <f>'C1-Incomes'!CP46/'C1-Incomes'!$CL46</f>
        <v>0.11369282084099257</v>
      </c>
      <c r="CP44" s="59">
        <f>'C1-Incomes'!CQ46/'C1-Incomes'!$CL46</f>
        <v>6.3061464961229691E-2</v>
      </c>
      <c r="CQ44" s="59">
        <f>'C1-Incomes'!CR46/'C1-Incomes'!$CL46</f>
        <v>2.5436495405826123E-2</v>
      </c>
      <c r="CR44" s="59"/>
      <c r="CS44" s="59"/>
      <c r="CT44" s="59">
        <f>'C1-Incomes'!CU46/'C1-Incomes'!$CT46</f>
        <v>0.39470037472769909</v>
      </c>
      <c r="CU44" s="59">
        <f>'C1-Incomes'!CV46/'C1-Incomes'!$CT46</f>
        <v>0.28778687238716549</v>
      </c>
      <c r="CV44" s="59">
        <f>'C1-Incomes'!CW46/'C1-Incomes'!$CT46</f>
        <v>0.14930810201216985</v>
      </c>
      <c r="CW44" s="59">
        <f>'C1-Incomes'!CX46/'C1-Incomes'!$CT46</f>
        <v>0.11538753517288844</v>
      </c>
      <c r="CX44" s="59">
        <f>'C1-Incomes'!CY46/'C1-Incomes'!$CT46</f>
        <v>6.4187742152685426E-2</v>
      </c>
      <c r="CY44" s="59">
        <f>'C1-Incomes'!CZ46/'C1-Incomes'!$CT46</f>
        <v>2.596661451701102E-2</v>
      </c>
      <c r="CZ44" s="59"/>
      <c r="DA44" s="59"/>
      <c r="DB44" s="59">
        <f>'C1-Incomes'!DC46/'C1-Incomes'!$DB46</f>
        <v>0.39565409766453596</v>
      </c>
      <c r="DC44" s="59">
        <f>'C1-Incomes'!DD46/'C1-Incomes'!$DB46</f>
        <v>0.28877264603760483</v>
      </c>
      <c r="DD44" s="59">
        <f>'C1-Incomes'!DE46/'C1-Incomes'!$DB46</f>
        <v>0.14994443908909733</v>
      </c>
      <c r="DE44" s="59">
        <f>'C1-Incomes'!DF46/'C1-Incomes'!$DB46</f>
        <v>0.11600794523079017</v>
      </c>
      <c r="DF44" s="59">
        <f>'C1-Incomes'!DG46/'C1-Incomes'!$DB46</f>
        <v>6.4545499437347442E-2</v>
      </c>
      <c r="DG44" s="59">
        <f>'C1-Incomes'!DH46/'C1-Incomes'!$DB46</f>
        <v>2.6115899302144148E-2</v>
      </c>
      <c r="DH44" s="59"/>
      <c r="DI44" s="1039"/>
      <c r="DJ44" s="59">
        <f>'C1-Incomes'!DK46/'C1-Incomes'!$DJ46</f>
        <v>0.38682407741214614</v>
      </c>
      <c r="DK44" s="59">
        <f>'C1-Incomes'!DL46/'C1-Incomes'!$DJ46</f>
        <v>0.28248276130093153</v>
      </c>
      <c r="DL44" s="59">
        <f>'C1-Incomes'!DM46/'C1-Incomes'!$DJ46</f>
        <v>0.14522376880182589</v>
      </c>
      <c r="DM44" s="59">
        <f>'C1-Incomes'!DN46/'C1-Incomes'!$DJ46</f>
        <v>0.11166566028530124</v>
      </c>
      <c r="DN44" s="59">
        <f>'C1-Incomes'!DO46/'C1-Incomes'!$DJ46</f>
        <v>6.1590115568664144E-2</v>
      </c>
      <c r="DO44" s="59">
        <f>'C1-Incomes'!DP46/'C1-Incomes'!$DJ46</f>
        <v>2.4880850359605855E-2</v>
      </c>
      <c r="DP44" s="696"/>
      <c r="DQ44" s="503"/>
      <c r="DR44" s="59">
        <f>'C1-Incomes'!DS46/'C1-Incomes'!$DR46</f>
        <v>0.38577275586112403</v>
      </c>
      <c r="DS44" s="59">
        <f>'C1-Incomes'!DT46/'C1-Incomes'!$DR46</f>
        <v>0.28066618276782351</v>
      </c>
      <c r="DT44" s="59">
        <f>'C1-Incomes'!DU46/'C1-Incomes'!$DR46</f>
        <v>0.14308967953859331</v>
      </c>
      <c r="DU44" s="59">
        <f>'C1-Incomes'!DV46/'C1-Incomes'!$DR46</f>
        <v>0.10971525133118179</v>
      </c>
      <c r="DV44" s="59">
        <f>'C1-Incomes'!DW46/'C1-Incomes'!$DR46</f>
        <v>6.0179070337384073E-2</v>
      </c>
      <c r="DW44" s="59">
        <f>'C1-Incomes'!DX46/'C1-Incomes'!$DR46</f>
        <v>2.4198467562098831E-2</v>
      </c>
      <c r="DX44" s="333"/>
      <c r="DZ44" s="59">
        <f>'C1-Incomes'!EA46/'C1-Incomes'!$DZ46</f>
        <v>0.37805232856089077</v>
      </c>
      <c r="EA44" s="59">
        <f>'C1-Incomes'!EB46/'C1-Incomes'!$DZ46</f>
        <v>0.2732260647740456</v>
      </c>
      <c r="EB44" s="59">
        <f>'C1-Incomes'!EC46/'C1-Incomes'!$DZ46</f>
        <v>0.1379779527039551</v>
      </c>
      <c r="EC44" s="59">
        <f>'C1-Incomes'!ED46/'C1-Incomes'!$DZ46</f>
        <v>0.10555036552652701</v>
      </c>
      <c r="ED44" s="59">
        <f>'C1-Incomes'!EE46/'C1-Incomes'!$DZ46</f>
        <v>5.7779161419221715E-2</v>
      </c>
      <c r="EE44" s="59">
        <f>'C1-Incomes'!EF46/'C1-Incomes'!$DZ46</f>
        <v>2.3203237655435301E-2</v>
      </c>
      <c r="EF44" s="59"/>
      <c r="EH44" s="59">
        <f>'C1-Incomes'!EI46/'C1-Incomes'!$EH46</f>
        <v>0.37060809042688597</v>
      </c>
      <c r="EI44" s="59">
        <f>'C1-Incomes'!EJ46/'C1-Incomes'!$EH46</f>
        <v>0.26541065934883601</v>
      </c>
      <c r="EJ44" s="59">
        <f>'C1-Incomes'!EK46/'C1-Incomes'!$EH46</f>
        <v>0.13227861402508262</v>
      </c>
      <c r="EK44" s="59">
        <f>'C1-Incomes'!EL46/'C1-Incomes'!$EH46</f>
        <v>0.10099972222735935</v>
      </c>
      <c r="EL44" s="59">
        <f>'C1-Incomes'!EM46/'C1-Incomes'!$EH46</f>
        <v>5.5128400233715277E-2</v>
      </c>
      <c r="EM44" s="59">
        <f>'C1-Incomes'!EN46/'C1-Incomes'!$EH46</f>
        <v>2.211651181814886E-2</v>
      </c>
      <c r="EN44" s="59"/>
      <c r="EO44" s="59"/>
      <c r="EP44" s="59">
        <f>'C1-Incomes'!EQ46/'C1-Incomes'!$EH46</f>
        <v>0.38574679821674707</v>
      </c>
      <c r="EQ44" s="59">
        <f>'C1-Incomes'!ER46/'C1-Incomes'!$EH46</f>
        <v>0.27545658739602447</v>
      </c>
      <c r="ER44" s="59">
        <f>'C1-Incomes'!ES46/'C1-Incomes'!$EH46</f>
        <v>0.13577031272993026</v>
      </c>
      <c r="ES44" s="59">
        <f>'C1-Incomes'!ET46/'C1-Incomes'!$EH46</f>
        <v>0.10329981785690533</v>
      </c>
      <c r="ET44" s="59">
        <f>'C1-Incomes'!EU46/'C1-Incomes'!$EH46</f>
        <v>5.6229227243734095E-2</v>
      </c>
      <c r="EU44" s="59">
        <f>'C1-Incomes'!EV46/'C1-Incomes'!$EH46</f>
        <v>2.2465339631330194E-2</v>
      </c>
      <c r="EV44" s="59"/>
      <c r="EW44" s="59"/>
      <c r="EX44" s="59">
        <f>'C1-Incomes'!EY46/'C1-Incomes'!$EX46</f>
        <v>0.36427159366026718</v>
      </c>
      <c r="EY44" s="59">
        <f>'C1-Incomes'!EZ46/'C1-Incomes'!$EX46</f>
        <v>0.25871050260555561</v>
      </c>
      <c r="EZ44" s="59">
        <f>'C1-Incomes'!FA46/'C1-Incomes'!$EX46</f>
        <v>0.12637675646198396</v>
      </c>
      <c r="FA44" s="59">
        <f>'C1-Incomes'!FB46/'C1-Incomes'!$EX46</f>
        <v>9.5908101281437244E-2</v>
      </c>
      <c r="FB44" s="59">
        <f>'C1-Incomes'!FC46/'C1-Incomes'!$EX46</f>
        <v>5.2169140360109799E-2</v>
      </c>
      <c r="FC44" s="59">
        <f>'C1-Incomes'!FD46/'C1-Incomes'!$EX46</f>
        <v>2.0795660074036833E-2</v>
      </c>
      <c r="FD44" s="59"/>
      <c r="FF44" s="59">
        <f>'C1-Incomes'!FG46/'C1-Incomes'!$FF46</f>
        <v>0.35161575050048166</v>
      </c>
      <c r="FG44" s="59">
        <f>'C1-Incomes'!FH46/'C1-Incomes'!$FF46</f>
        <v>0.24909292736228769</v>
      </c>
      <c r="FH44" s="59">
        <f>'C1-Incomes'!FI46/'C1-Incomes'!$FF46</f>
        <v>0.12116956724971432</v>
      </c>
      <c r="FI44" s="59">
        <f>'C1-Incomes'!FJ46/'C1-Incomes'!$FF46</f>
        <v>9.1839576093236827E-2</v>
      </c>
      <c r="FJ44" s="59">
        <f>'C1-Incomes'!FK46/'C1-Incomes'!$FF46</f>
        <v>4.9756961601864241E-2</v>
      </c>
      <c r="FK44" s="59">
        <f>'C1-Incomes'!FL46/'C1-Incomes'!$FF46</f>
        <v>1.9851767023260292E-2</v>
      </c>
      <c r="FN44" s="59">
        <f>'C1-Incomes'!FO46/'C1-Incomes'!$FN46</f>
        <v>0.35085938440534514</v>
      </c>
      <c r="FO44" s="59">
        <f>'C1-Incomes'!FP46/'C1-Incomes'!$FN46</f>
        <v>0.24855067028275254</v>
      </c>
      <c r="FP44" s="59">
        <f>'C1-Incomes'!FQ46/'C1-Incomes'!$FN46</f>
        <v>0.12086141071870077</v>
      </c>
      <c r="FQ44" s="59">
        <f>'C1-Incomes'!FR46/'C1-Incomes'!$FN46</f>
        <v>9.1622453597778875E-2</v>
      </c>
      <c r="FR44" s="59">
        <f>'C1-Incomes'!FS46/'C1-Incomes'!$FN46</f>
        <v>4.9636920920085016E-2</v>
      </c>
      <c r="FS44" s="59">
        <f>'C1-Incomes'!FT46/'C1-Incomes'!$FN46</f>
        <v>1.9804410850413942E-2</v>
      </c>
      <c r="FV44" s="59">
        <f>'C1-Incomes'!FW46/'C1-Incomes'!$FV46</f>
        <v>0.3464173501784536</v>
      </c>
      <c r="FW44" s="59">
        <f>'C1-Incomes'!FX46/'C1-Incomes'!$FV46</f>
        <v>0.24534597792200719</v>
      </c>
      <c r="FX44" s="59">
        <f>'C1-Incomes'!FY46/'C1-Incomes'!$FV46</f>
        <v>0.1192632948194436</v>
      </c>
      <c r="FY44" s="59">
        <f>'C1-Incomes'!FZ46/'C1-Incomes'!$FV46</f>
        <v>9.0403782132743804E-2</v>
      </c>
      <c r="FZ44" s="59">
        <f>'C1-Incomes'!GA46/'C1-Incomes'!$FV46</f>
        <v>4.8971949612341636E-2</v>
      </c>
      <c r="GA44" s="59">
        <f>'C1-Incomes'!GB46/'C1-Incomes'!$FV46</f>
        <v>1.9538265847331468E-2</v>
      </c>
      <c r="GE44" s="59">
        <f>'C1-Incomes'!GF46/'C1-Incomes'!$GE46</f>
        <v>0.34021623182597677</v>
      </c>
      <c r="GF44" s="59">
        <f>'C1-Incomes'!GG46/'C1-Incomes'!$GE46</f>
        <v>0.24049562676191269</v>
      </c>
      <c r="GG44" s="59">
        <f>'C1-Incomes'!GH46/'C1-Incomes'!$GE46</f>
        <v>0.1167157387454105</v>
      </c>
      <c r="GH44" s="59">
        <f>'C1-Incomes'!GI46/'C1-Incomes'!$GE46</f>
        <v>8.8489443858626143E-2</v>
      </c>
      <c r="GI44" s="59">
        <f>'C1-Incomes'!GJ46/'C1-Incomes'!$GE46</f>
        <v>4.7925288698652778E-2</v>
      </c>
      <c r="GJ44" s="59">
        <f>'C1-Incomes'!GK46/'C1-Incomes'!$GE46</f>
        <v>1.911673072693541E-2</v>
      </c>
      <c r="GM44" s="59">
        <f>'C1-Incomes'!GN46/'C1-Incomes'!$GM46</f>
        <v>0.33082729116662191</v>
      </c>
      <c r="GN44" s="59">
        <f>'C1-Incomes'!GO46/'C1-Incomes'!$GM46</f>
        <v>0.23385867367950675</v>
      </c>
      <c r="GO44" s="59">
        <f>'C1-Incomes'!GP46/'C1-Incomes'!$GM46</f>
        <v>0.1134947367984665</v>
      </c>
      <c r="GP44" s="59">
        <f>'C1-Incomes'!GQ46/'C1-Incomes'!$GM46</f>
        <v>8.6047402416603094E-2</v>
      </c>
      <c r="GQ44" s="59">
        <f>'C1-Incomes'!GR46/'C1-Incomes'!$GM46</f>
        <v>4.6602695448886074E-2</v>
      </c>
      <c r="GR44" s="59">
        <f>'C1-Incomes'!GS46/'C1-Incomes'!$GM46</f>
        <v>1.8589166684994368E-2</v>
      </c>
      <c r="GU44" s="59">
        <f>'C1-Incomes'!GV46/'C1-Incomes'!$GU46</f>
        <v>0.29894318180036877</v>
      </c>
      <c r="GV44" s="59">
        <f>'C1-Incomes'!GW46/'C1-Incomes'!$GU46</f>
        <v>0.20439670378531261</v>
      </c>
      <c r="GW44" s="59">
        <f>'C1-Incomes'!GX46/'C1-Incomes'!$GU46</f>
        <v>9.2036199302524713E-2</v>
      </c>
      <c r="GX44" s="59">
        <f>'C1-Incomes'!GY46/'C1-Incomes'!$GU46</f>
        <v>6.7864878065905479E-2</v>
      </c>
      <c r="GY44" s="59">
        <f>'C1-Incomes'!GZ46/'C1-Incomes'!$GU46</f>
        <v>3.5496338063424247E-2</v>
      </c>
      <c r="GZ44" s="59">
        <f>'C1-Incomes'!HA46/'C1-Incomes'!$GU46</f>
        <v>1.4047798956527243E-2</v>
      </c>
      <c r="HC44" s="59">
        <f>'C1-Incomes'!HD46/'C1-Incomes'!$HC46</f>
        <v>0.29359661945635357</v>
      </c>
      <c r="HD44" s="59">
        <f>'C1-Incomes'!HE46/'C1-Incomes'!$HC46</f>
        <v>0.19954875202304367</v>
      </c>
      <c r="HE44" s="59">
        <f>'C1-Incomes'!HF46/'C1-Incomes'!$HC46</f>
        <v>8.8559892155940637E-2</v>
      </c>
      <c r="HF44" s="59">
        <f>'C1-Incomes'!HG46/'C1-Incomes'!$HC46</f>
        <v>6.5000911439920692E-2</v>
      </c>
      <c r="HG44" s="59">
        <f>'C1-Incomes'!HH46/'C1-Incomes'!$HC46</f>
        <v>3.3780145140811124E-2</v>
      </c>
      <c r="HH44" s="59">
        <f>'C1-Incomes'!HI46/'C1-Incomes'!$HC46</f>
        <v>1.3355219133436912E-2</v>
      </c>
      <c r="HK44" s="59">
        <f>'C1-Incomes'!HL46/'C1-Incomes'!$HK46</f>
        <v>0.28960514758481531</v>
      </c>
      <c r="HL44" s="59">
        <f>'C1-Incomes'!HM46/'C1-Incomes'!$HK46</f>
        <v>0.19608349288910723</v>
      </c>
      <c r="HM44" s="59">
        <f>'C1-Incomes'!HN46/'C1-Incomes'!$HK46</f>
        <v>8.6322210036295532E-2</v>
      </c>
      <c r="HN44" s="59">
        <f>'C1-Incomes'!HO46/'C1-Incomes'!$HK46</f>
        <v>6.3141949516879597E-2</v>
      </c>
      <c r="HO44" s="59">
        <f>'C1-Incomes'!HP46/'C1-Incomes'!$HK46</f>
        <v>3.2602370238398751E-2</v>
      </c>
      <c r="HP44" s="59">
        <f>'C1-Incomes'!HQ46/'C1-Incomes'!$HK46</f>
        <v>1.2756804738344585E-2</v>
      </c>
      <c r="HS44" s="59">
        <f>'C1-Incomes'!HT46/'C1-Incomes'!$HS46</f>
        <v>0.28562360281800614</v>
      </c>
      <c r="HT44" s="59">
        <f>'C1-Incomes'!HU46/'C1-Incomes'!$HS46</f>
        <v>0.19283917481943208</v>
      </c>
      <c r="HU44" s="59">
        <f>'C1-Incomes'!HV46/'C1-Incomes'!$HS46</f>
        <v>8.4469588601515447E-2</v>
      </c>
      <c r="HV44" s="59">
        <f>'C1-Incomes'!HW46/'C1-Incomes'!$HS46</f>
        <v>6.1630034102691029E-2</v>
      </c>
      <c r="HW44" s="59">
        <f>'C1-Incomes'!HX46/'C1-Incomes'!$HS46</f>
        <v>3.1735568516114379E-2</v>
      </c>
      <c r="HX44" s="59">
        <f>'C1-Incomes'!HY46/'C1-Incomes'!$HS46</f>
        <v>1.2386739248859647E-2</v>
      </c>
      <c r="IA44" s="59">
        <f>'C1-Incomes'!IB46/'C1-Incomes'!$IA46</f>
        <v>0.28989513449218224</v>
      </c>
      <c r="IB44" s="59">
        <f>'C1-Incomes'!IC46/'C1-Incomes'!$IA46</f>
        <v>0.19799916294959885</v>
      </c>
      <c r="IC44" s="59">
        <f>'C1-Incomes'!ID46/'C1-Incomes'!$IA46</f>
        <v>8.8685429996351539E-2</v>
      </c>
      <c r="ID44" s="59">
        <f>'C1-Incomes'!IE46/'C1-Incomes'!$IA46</f>
        <v>6.5173602602064881E-2</v>
      </c>
      <c r="IE44" s="59">
        <f>'C1-Incomes'!IF46/'C1-Incomes'!$IA46</f>
        <v>3.3820681535086675E-2</v>
      </c>
      <c r="IF44" s="59">
        <f>'C1-Incomes'!IG46/'C1-Incomes'!$IA46</f>
        <v>1.3263420808665683E-2</v>
      </c>
      <c r="II44" s="59">
        <f>'C1-Incomes'!IJ46/'C1-Incomes'!$II46</f>
        <v>0.29040821172152548</v>
      </c>
      <c r="IJ44" s="59">
        <f>'C1-Incomes'!IK46/'C1-Incomes'!$II46</f>
        <v>0.19899077241186902</v>
      </c>
      <c r="IK44" s="59">
        <f>'C1-Incomes'!IL46/'C1-Incomes'!$II46</f>
        <v>8.9828930683435754E-2</v>
      </c>
      <c r="IL44" s="59">
        <f>'C1-Incomes'!IM46/'C1-Incomes'!$II46</f>
        <v>6.6094481954960413E-2</v>
      </c>
      <c r="IM44" s="59">
        <f>'C1-Incomes'!IN46/'C1-Incomes'!$II46</f>
        <v>3.4303917018260952E-2</v>
      </c>
      <c r="IN44" s="59">
        <f>'C1-Incomes'!IO46/'C1-Incomes'!$II46</f>
        <v>1.344360673932323E-2</v>
      </c>
      <c r="IQ44" s="59">
        <f>'C1-Incomes'!IR46/'C1-Incomes'!$IQ46</f>
        <v>0.29680047575409507</v>
      </c>
      <c r="IR44" s="59">
        <f>'C1-Incomes'!IS46/'C1-Incomes'!$IQ46</f>
        <v>0.20464750772113674</v>
      </c>
      <c r="IS44" s="59">
        <f>'C1-Incomes'!IT46/'C1-Incomes'!$IQ46</f>
        <v>9.3806037000525685E-2</v>
      </c>
      <c r="IT44" s="59">
        <f>'C1-Incomes'!IU46/'C1-Incomes'!$IQ46</f>
        <v>6.9339088455730488E-2</v>
      </c>
      <c r="IU44" s="59">
        <f>'C1-Incomes'!IV46/'C1-Incomes'!$IQ46</f>
        <v>3.6342192249063356E-2</v>
      </c>
      <c r="IV44" s="59">
        <f>'C1-Incomes'!IW46/'C1-Incomes'!$IQ46</f>
        <v>1.4301239687195252E-2</v>
      </c>
      <c r="IY44" s="59">
        <f>'C1-Incomes'!IZ46/'C1-Incomes'!$IY46</f>
        <v>0.27958494454520194</v>
      </c>
      <c r="IZ44" s="59">
        <f>'C1-Incomes'!JA46/'C1-Incomes'!$IY46</f>
        <v>0.19147936569557863</v>
      </c>
      <c r="JA44" s="59">
        <f>'C1-Incomes'!JB46/'C1-Incomes'!$IY46</f>
        <v>8.6803083366503303E-2</v>
      </c>
      <c r="JB44" s="59">
        <f>'C1-Incomes'!JC46/'C1-Incomes'!$IY46</f>
        <v>6.3989631433626279E-2</v>
      </c>
      <c r="JC44" s="59">
        <f>'C1-Incomes'!JD46/'C1-Incomes'!$IY46</f>
        <v>3.3404812895808544E-2</v>
      </c>
      <c r="JD44" s="59">
        <f>'C1-Incomes'!JE46/'C1-Incomes'!$IY46</f>
        <v>1.3124928697470692E-2</v>
      </c>
      <c r="JE44" s="197"/>
      <c r="JF44" s="197"/>
      <c r="JG44" s="197"/>
      <c r="JH44" s="197"/>
      <c r="JI44" s="197"/>
      <c r="JJ44" s="197"/>
      <c r="JK44" s="197"/>
      <c r="JL44" s="197"/>
      <c r="JM44" s="197"/>
      <c r="JN44" s="197"/>
      <c r="JO44" s="197"/>
      <c r="JP44" s="197"/>
      <c r="JQ44" s="197"/>
      <c r="JR44" s="197"/>
      <c r="JS44" s="197"/>
      <c r="JT44" s="197"/>
      <c r="JU44" s="197"/>
      <c r="JV44" s="197"/>
      <c r="JW44" s="197"/>
      <c r="JX44" s="197"/>
      <c r="JY44" s="197"/>
      <c r="JZ44" s="197"/>
      <c r="KA44" s="197"/>
      <c r="KB44" s="197"/>
      <c r="KC44" s="197"/>
      <c r="KD44" s="197"/>
      <c r="KE44" s="197"/>
      <c r="KF44" s="197"/>
      <c r="KG44" s="197"/>
      <c r="KH44" s="197"/>
      <c r="KI44" s="197"/>
      <c r="KJ44" s="197"/>
      <c r="KK44" s="197"/>
      <c r="KL44" s="197"/>
      <c r="KM44" s="197"/>
      <c r="KN44" s="197"/>
      <c r="KO44" s="197"/>
      <c r="KP44" s="197"/>
      <c r="KQ44" s="197"/>
      <c r="KR44" s="197"/>
      <c r="KS44" s="197"/>
      <c r="KT44" s="197"/>
      <c r="KU44" s="197"/>
      <c r="KV44" s="197"/>
      <c r="KW44" s="197"/>
      <c r="KX44" s="197"/>
      <c r="KY44" s="197"/>
      <c r="KZ44" s="197"/>
      <c r="LA44" s="197"/>
      <c r="LB44" s="197"/>
      <c r="LC44" s="197"/>
      <c r="LD44" s="197"/>
      <c r="LE44" s="197"/>
      <c r="LF44" s="197"/>
      <c r="LG44" s="197"/>
      <c r="LH44" s="197"/>
      <c r="LI44" s="197"/>
      <c r="LJ44" s="197"/>
      <c r="LK44" s="197"/>
      <c r="LL44" s="197"/>
      <c r="LM44" s="197"/>
      <c r="LN44" s="197"/>
      <c r="LO44" s="197"/>
      <c r="LP44" s="197"/>
      <c r="LQ44" s="197"/>
      <c r="LR44" s="197"/>
      <c r="LS44" s="197"/>
      <c r="LT44" s="197"/>
      <c r="LU44" s="197"/>
      <c r="LV44" s="197"/>
      <c r="LW44" s="197"/>
      <c r="LX44" s="197"/>
      <c r="LY44" s="197"/>
      <c r="LZ44" s="197"/>
      <c r="MA44" s="197"/>
      <c r="MB44" s="197"/>
      <c r="MC44" s="197"/>
      <c r="MD44" s="197"/>
      <c r="ME44" s="197"/>
      <c r="MF44" s="197"/>
      <c r="MG44" s="197"/>
      <c r="MH44" s="197"/>
      <c r="MI44" s="197"/>
      <c r="MJ44" s="197"/>
      <c r="MK44" s="197"/>
      <c r="ML44" s="197"/>
      <c r="MM44" s="197"/>
      <c r="MN44" s="197"/>
      <c r="MO44" s="197"/>
      <c r="MP44" s="197"/>
      <c r="MQ44" s="197"/>
      <c r="MR44" s="197"/>
      <c r="MS44" s="197"/>
      <c r="MT44" s="197"/>
      <c r="MU44" s="197"/>
      <c r="MV44" s="197"/>
      <c r="MW44" s="197"/>
      <c r="MX44" s="197"/>
      <c r="MY44" s="197"/>
      <c r="MZ44" s="197"/>
      <c r="NA44" s="197"/>
      <c r="NB44" s="197"/>
      <c r="NC44" s="197"/>
      <c r="ND44" s="197"/>
      <c r="NE44" s="197"/>
      <c r="NF44" s="197"/>
      <c r="NG44" s="197"/>
      <c r="NH44" s="197"/>
      <c r="NI44" s="197"/>
      <c r="NJ44" s="197"/>
      <c r="NK44" s="197"/>
      <c r="NL44" s="197"/>
      <c r="NM44" s="197"/>
      <c r="NN44" s="197"/>
      <c r="NO44" s="197"/>
      <c r="NP44" s="197"/>
      <c r="NQ44" s="197"/>
      <c r="NR44" s="197"/>
      <c r="NS44" s="197"/>
      <c r="NT44" s="197"/>
      <c r="NU44" s="197"/>
      <c r="NV44" s="197"/>
      <c r="NW44" s="197"/>
      <c r="NX44" s="197"/>
      <c r="NY44" s="197"/>
      <c r="NZ44" s="197"/>
      <c r="OA44" s="197"/>
      <c r="OB44" s="197"/>
      <c r="OC44" s="197"/>
      <c r="OD44" s="197"/>
      <c r="OE44" s="197"/>
      <c r="OF44" s="197"/>
      <c r="OG44" s="197"/>
      <c r="OH44" s="197"/>
      <c r="OI44" s="197"/>
      <c r="OJ44" s="197"/>
      <c r="OK44" s="197"/>
      <c r="OL44" s="197"/>
      <c r="OM44" s="197"/>
      <c r="ON44" s="197"/>
      <c r="OO44" s="197"/>
      <c r="OP44" s="197"/>
      <c r="OQ44" s="197"/>
      <c r="OR44" s="197"/>
      <c r="OS44" s="197"/>
      <c r="OT44" s="197"/>
      <c r="OU44" s="197"/>
      <c r="OV44" s="197"/>
      <c r="OW44" s="197"/>
      <c r="OX44" s="197"/>
      <c r="OY44" s="197"/>
      <c r="OZ44" s="197"/>
      <c r="PA44" s="197"/>
      <c r="PB44" s="197"/>
    </row>
    <row r="45" spans="1:418" s="77" customFormat="1" ht="10.5" customHeight="1" x14ac:dyDescent="0.2">
      <c r="A45" s="48">
        <v>1999</v>
      </c>
      <c r="B45" s="59">
        <f>'C1-Incomes'!C47/'C1-Incomes'!$B47</f>
        <v>0.42593010831470113</v>
      </c>
      <c r="C45" s="59">
        <f>'C1-Incomes'!D47/'C1-Incomes'!$B47</f>
        <v>0.30891082874112041</v>
      </c>
      <c r="D45" s="59">
        <f>'C1-Incomes'!E47/'C1-Incomes'!$B47</f>
        <v>0.15826690404785865</v>
      </c>
      <c r="E45" s="59">
        <f>'C1-Incomes'!F47/'C1-Incomes'!$B47</f>
        <v>0.12111368713838284</v>
      </c>
      <c r="F45" s="59">
        <f>'C1-Incomes'!G47/'C1-Incomes'!$B47</f>
        <v>6.6109029842532946E-2</v>
      </c>
      <c r="G45" s="59">
        <f>'C1-Incomes'!H47/'C1-Incomes'!$B47</f>
        <v>2.6378913342262618E-2</v>
      </c>
      <c r="H45" s="199"/>
      <c r="J45" s="59">
        <f>'C1-Incomes'!K47/'C1-Incomes'!$J47</f>
        <v>0.36697262954928933</v>
      </c>
      <c r="K45" s="59">
        <f>'C1-Incomes'!L47/'C1-Incomes'!$J47</f>
        <v>0.26296588473017052</v>
      </c>
      <c r="L45" s="59">
        <f>'C1-Incomes'!M47/'C1-Incomes'!$J47</f>
        <v>0.13162035713692485</v>
      </c>
      <c r="M45" s="59">
        <f>'C1-Incomes'!N47/'C1-Incomes'!$J47</f>
        <v>0.10080271517373161</v>
      </c>
      <c r="N45" s="59">
        <f>'C1-Incomes'!O47/'C1-Incomes'!$J47</f>
        <v>5.510593713309362E-2</v>
      </c>
      <c r="O45" s="59">
        <f>'C1-Incomes'!P47/'C1-Incomes'!$J47</f>
        <v>2.2260287055463832E-2</v>
      </c>
      <c r="P45" s="59"/>
      <c r="R45" s="59">
        <f>'C1-Incomes'!S47/'C1-Incomes'!$R47</f>
        <v>0.33356473880910598</v>
      </c>
      <c r="S45" s="59">
        <f>'C1-Incomes'!T47/'C1-Incomes'!$R47</f>
        <v>0.23785696740770901</v>
      </c>
      <c r="T45" s="59">
        <f>'C1-Incomes'!U47/'C1-Incomes'!$R47</f>
        <v>0.11841283354898033</v>
      </c>
      <c r="U45" s="59">
        <f>'C1-Incomes'!V47/'C1-Incomes'!$R47</f>
        <v>9.0541529594781234E-2</v>
      </c>
      <c r="V45" s="59">
        <f>'C1-Incomes'!W47/'C1-Incomes'!$R47</f>
        <v>4.9402178853190114E-2</v>
      </c>
      <c r="W45" s="59">
        <f>'C1-Incomes'!X47/'C1-Incomes'!$R47</f>
        <v>1.9935766893564612E-2</v>
      </c>
      <c r="X45" s="59"/>
      <c r="Y45" s="59"/>
      <c r="Z45" s="59">
        <f>'C1-Incomes'!AA47/'C1-Incomes'!$Z47</f>
        <v>0.28110777420162364</v>
      </c>
      <c r="AA45" s="59">
        <f>'C1-Incomes'!AB47/'C1-Incomes'!$Z47</f>
        <v>0.19378659464410072</v>
      </c>
      <c r="AB45" s="59">
        <f>'C1-Incomes'!AC47/'C1-Incomes'!$Z47</f>
        <v>9.06087050726571E-2</v>
      </c>
      <c r="AC45" s="59">
        <f>'C1-Incomes'!AD47/'C1-Incomes'!$Z47</f>
        <v>6.7534509147568117E-2</v>
      </c>
      <c r="AD45" s="59">
        <f>'C1-Incomes'!AE47/'C1-Incomes'!$Z47</f>
        <v>3.5597468018666513E-2</v>
      </c>
      <c r="AE45" s="59">
        <f>'C1-Incomes'!AF47/'C1-Incomes'!$Z47</f>
        <v>1.4189770631229708E-2</v>
      </c>
      <c r="AF45" s="200"/>
      <c r="AG45" s="195"/>
      <c r="AH45" s="59">
        <f>'C1-Incomes'!AI47/'C1-Incomes'!$AH47</f>
        <v>0.41829840263818524</v>
      </c>
      <c r="AI45" s="59">
        <f>'C1-Incomes'!AJ47/'C1-Incomes'!$AH47</f>
        <v>0.30279969532377937</v>
      </c>
      <c r="AJ45" s="59">
        <f>'C1-Incomes'!AK47/'C1-Incomes'!$AH47</f>
        <v>0.15467359906383726</v>
      </c>
      <c r="AK45" s="59">
        <f>'C1-Incomes'!AL47/'C1-Incomes'!$AH47</f>
        <v>0.11829349729275898</v>
      </c>
      <c r="AL45" s="59">
        <f>'C1-Incomes'!AM47/'C1-Incomes'!$AH47</f>
        <v>6.4551196285889276E-2</v>
      </c>
      <c r="AM45" s="59">
        <f>'C1-Incomes'!AN47/'C1-Incomes'!$AH47</f>
        <v>2.5773445955617039E-2</v>
      </c>
      <c r="AN45" s="195"/>
      <c r="AO45" s="195"/>
      <c r="AP45" s="59"/>
      <c r="AQ45" s="59"/>
      <c r="AR45" s="59"/>
      <c r="AS45" s="59"/>
      <c r="AT45" s="59"/>
      <c r="AU45" s="59"/>
      <c r="AV45" s="197"/>
      <c r="AW45" s="60"/>
      <c r="AX45" s="59">
        <f>'C1-Incomes'!AY47/'C1-Incomes'!$AX47</f>
        <v>0.42109934746797029</v>
      </c>
      <c r="AY45" s="59">
        <f>'C1-Incomes'!AZ47/'C1-Incomes'!$AX47</f>
        <v>0.30592140691337016</v>
      </c>
      <c r="AZ45" s="59">
        <f>'C1-Incomes'!BA47/'C1-Incomes'!$AX47</f>
        <v>0.15738261132368891</v>
      </c>
      <c r="BA45" s="59">
        <f>'C1-Incomes'!BB47/'C1-Incomes'!$AX47</f>
        <v>0.12059184731631163</v>
      </c>
      <c r="BB45" s="59">
        <f>'C1-Incomes'!BC47/'C1-Incomes'!$AX47</f>
        <v>6.5853497900067851E-2</v>
      </c>
      <c r="BC45" s="59">
        <f>'C1-Incomes'!BD47/'C1-Incomes'!$AX47</f>
        <v>2.6194903624081872E-2</v>
      </c>
      <c r="BD45" s="60"/>
      <c r="BE45" s="60"/>
      <c r="BF45" s="59">
        <f>'C1-Incomes'!BG47/'C1-Incomes'!$BF47</f>
        <v>0.41534505846961106</v>
      </c>
      <c r="BG45" s="59">
        <f>'C1-Incomes'!BH47/'C1-Incomes'!$BF47</f>
        <v>0.30169267956960222</v>
      </c>
      <c r="BH45" s="59">
        <f>'C1-Incomes'!BI47/'C1-Incomes'!$BF47</f>
        <v>0.15555466391933642</v>
      </c>
      <c r="BI45" s="59">
        <f>'C1-Incomes'!BJ47/'C1-Incomes'!$BF47</f>
        <v>0.11950475790826456</v>
      </c>
      <c r="BJ45" s="59">
        <f>'C1-Incomes'!BK47/'C1-Incomes'!$BF47</f>
        <v>6.5516721557776367E-2</v>
      </c>
      <c r="BK45" s="59">
        <f>'C1-Incomes'!BL47/'C1-Incomes'!$BF47</f>
        <v>2.6152770150540648E-2</v>
      </c>
      <c r="BL45" s="59"/>
      <c r="BM45" s="59"/>
      <c r="BN45" s="59">
        <f>'C1-Incomes'!BO47/'C1-Incomes'!$BN47</f>
        <v>0.38409797534676138</v>
      </c>
      <c r="BO45" s="59">
        <f>'C1-Incomes'!BP47/'C1-Incomes'!$BN47</f>
        <v>0.27835219606599249</v>
      </c>
      <c r="BP45" s="59">
        <f>'C1-Incomes'!BQ47/'C1-Incomes'!$BN47</f>
        <v>0.14331342716628531</v>
      </c>
      <c r="BQ45" s="59">
        <f>'C1-Incomes'!BR47/'C1-Incomes'!$BN47</f>
        <v>0.11081485773783074</v>
      </c>
      <c r="BR45" s="59">
        <f>'C1-Incomes'!BS47/'C1-Incomes'!$BN47</f>
        <v>6.1039266816028365E-2</v>
      </c>
      <c r="BS45" s="59">
        <f>'C1-Incomes'!BT47/'C1-Incomes'!$BN47</f>
        <v>2.4415237636118501E-2</v>
      </c>
      <c r="BT45" s="59"/>
      <c r="BU45" s="59"/>
      <c r="BV45" s="59">
        <f>'C1-Incomes'!BW47/'C1-Incomes'!$BV47</f>
        <v>0.38661895641369121</v>
      </c>
      <c r="BW45" s="59">
        <f>'C1-Incomes'!BX47/'C1-Incomes'!$BV47</f>
        <v>0.28122762562302134</v>
      </c>
      <c r="BX45" s="59">
        <f>'C1-Incomes'!BY47/'C1-Incomes'!$BV47</f>
        <v>0.1460381311045342</v>
      </c>
      <c r="BY45" s="59">
        <f>'C1-Incomes'!BZ47/'C1-Incomes'!$BV47</f>
        <v>0.11327031397170872</v>
      </c>
      <c r="BZ45" s="59">
        <f>'C1-Incomes'!CA47/'C1-Incomes'!$BV47</f>
        <v>6.2935808191584328E-2</v>
      </c>
      <c r="CA45" s="59">
        <f>'C1-Incomes'!CB47/'C1-Incomes'!$BV47</f>
        <v>2.5456733315289207E-2</v>
      </c>
      <c r="CB45" s="60"/>
      <c r="CC45" s="198"/>
      <c r="CD45" s="59">
        <f>'C1-Incomes'!CE47/'C1-Incomes'!$CD47</f>
        <v>0.39230228296857755</v>
      </c>
      <c r="CE45" s="59">
        <f>'C1-Incomes'!CF47/'C1-Incomes'!$CD47</f>
        <v>0.28689263163166306</v>
      </c>
      <c r="CF45" s="59">
        <f>'C1-Incomes'!CG47/'C1-Incomes'!$CD47</f>
        <v>0.1505526577341248</v>
      </c>
      <c r="CG45" s="59">
        <f>'C1-Incomes'!CH47/'C1-Incomes'!$CD47</f>
        <v>0.11709268625451404</v>
      </c>
      <c r="CH45" s="59">
        <f>'C1-Incomes'!CI47/'C1-Incomes'!$CD47</f>
        <v>6.5354651216856338E-2</v>
      </c>
      <c r="CI45" s="59">
        <f>'C1-Incomes'!CJ47/'C1-Incomes'!$CD47</f>
        <v>2.6604730402348092E-2</v>
      </c>
      <c r="CL45" s="59">
        <f>'C1-Incomes'!CM47/'C1-Incomes'!$CL47</f>
        <v>0.39509759845482245</v>
      </c>
      <c r="CM45" s="59">
        <f>'C1-Incomes'!CN47/'C1-Incomes'!$CL47</f>
        <v>0.28966183235116705</v>
      </c>
      <c r="CN45" s="59">
        <f>'C1-Incomes'!CO47/'C1-Incomes'!$CL47</f>
        <v>0.15244374949957129</v>
      </c>
      <c r="CO45" s="59">
        <f>'C1-Incomes'!CP47/'C1-Incomes'!$CL47</f>
        <v>0.11868040447661105</v>
      </c>
      <c r="CP45" s="59">
        <f>'C1-Incomes'!CQ47/'C1-Incomes'!$CL47</f>
        <v>6.6391554452807436E-2</v>
      </c>
      <c r="CQ45" s="59">
        <f>'C1-Incomes'!CR47/'C1-Incomes'!$CL47</f>
        <v>2.713322353484425E-2</v>
      </c>
      <c r="CR45" s="59"/>
      <c r="CS45" s="59"/>
      <c r="CT45" s="59">
        <f>'C1-Incomes'!CU47/'C1-Incomes'!$CT47</f>
        <v>0.39783713553879529</v>
      </c>
      <c r="CU45" s="59">
        <f>'C1-Incomes'!CV47/'C1-Incomes'!$CT47</f>
        <v>0.29232634478396002</v>
      </c>
      <c r="CV45" s="59">
        <f>'C1-Incomes'!CW47/'C1-Incomes'!$CT47</f>
        <v>0.1544539516388187</v>
      </c>
      <c r="CW45" s="59">
        <f>'C1-Incomes'!CX47/'C1-Incomes'!$CT47</f>
        <v>0.12039499521003823</v>
      </c>
      <c r="CX45" s="59">
        <f>'C1-Incomes'!CY47/'C1-Incomes'!$CT47</f>
        <v>6.7483288340665165E-2</v>
      </c>
      <c r="CY45" s="59">
        <f>'C1-Incomes'!CZ47/'C1-Incomes'!$CT47</f>
        <v>2.7634820636715102E-2</v>
      </c>
      <c r="CZ45" s="59"/>
      <c r="DA45" s="59"/>
      <c r="DB45" s="59">
        <f>'C1-Incomes'!DC47/'C1-Incomes'!$DB47</f>
        <v>0.39943277639521146</v>
      </c>
      <c r="DC45" s="59">
        <f>'C1-Incomes'!DD47/'C1-Incomes'!$DB47</f>
        <v>0.29373144768591908</v>
      </c>
      <c r="DD45" s="59">
        <f>'C1-Incomes'!DE47/'C1-Incomes'!$DB47</f>
        <v>0.1555002547181098</v>
      </c>
      <c r="DE45" s="59">
        <f>'C1-Incomes'!DF47/'C1-Incomes'!$DB47</f>
        <v>0.12129687160068638</v>
      </c>
      <c r="DF45" s="59">
        <f>'C1-Incomes'!DG47/'C1-Incomes'!$DB47</f>
        <v>6.8040531657236433E-2</v>
      </c>
      <c r="DG45" s="59">
        <f>'C1-Incomes'!DH47/'C1-Incomes'!$DB47</f>
        <v>2.7892838847586449E-2</v>
      </c>
      <c r="DH45" s="59"/>
      <c r="DI45" s="1039"/>
      <c r="DJ45" s="59">
        <f>'C1-Incomes'!DK47/'C1-Incomes'!$DJ47</f>
        <v>0.39062245102241466</v>
      </c>
      <c r="DK45" s="59">
        <f>'C1-Incomes'!DL47/'C1-Incomes'!$DJ47</f>
        <v>0.28708594812060484</v>
      </c>
      <c r="DL45" s="59">
        <f>'C1-Incomes'!DM47/'C1-Incomes'!$DJ47</f>
        <v>0.15081607054324428</v>
      </c>
      <c r="DM45" s="59">
        <f>'C1-Incomes'!DN47/'C1-Incomes'!$DJ47</f>
        <v>0.11686373080026809</v>
      </c>
      <c r="DN45" s="59">
        <f>'C1-Incomes'!DO47/'C1-Incomes'!$DJ47</f>
        <v>6.4804030623271447E-2</v>
      </c>
      <c r="DO45" s="59">
        <f>'C1-Incomes'!DP47/'C1-Incomes'!$DJ47</f>
        <v>2.6439985896555482E-2</v>
      </c>
      <c r="DP45" s="696"/>
      <c r="DQ45" s="503"/>
      <c r="DR45" s="59">
        <f>'C1-Incomes'!DS47/'C1-Incomes'!$DR47</f>
        <v>0.38926101494926013</v>
      </c>
      <c r="DS45" s="59">
        <f>'C1-Incomes'!DT47/'C1-Incomes'!$DR47</f>
        <v>0.28512983022306132</v>
      </c>
      <c r="DT45" s="59">
        <f>'C1-Incomes'!DU47/'C1-Incomes'!$DR47</f>
        <v>0.14838101246211446</v>
      </c>
      <c r="DU45" s="59">
        <f>'C1-Incomes'!DV47/'C1-Incomes'!$DR47</f>
        <v>0.11465615941632941</v>
      </c>
      <c r="DV45" s="59">
        <f>'C1-Incomes'!DW47/'C1-Incomes'!$DR47</f>
        <v>6.3248546661642077E-2</v>
      </c>
      <c r="DW45" s="59">
        <f>'C1-Incomes'!DX47/'C1-Incomes'!$DR47</f>
        <v>2.5685734451144707E-2</v>
      </c>
      <c r="DX45" s="333"/>
      <c r="DZ45" s="59">
        <f>'C1-Incomes'!EA47/'C1-Incomes'!$DZ47</f>
        <v>0.38164837464630558</v>
      </c>
      <c r="EA45" s="59">
        <f>'C1-Incomes'!EB47/'C1-Incomes'!$DZ47</f>
        <v>0.27757671003507683</v>
      </c>
      <c r="EB45" s="59">
        <f>'C1-Incomes'!EC47/'C1-Incomes'!$DZ47</f>
        <v>0.14322153548649502</v>
      </c>
      <c r="EC45" s="59">
        <f>'C1-Incomes'!ED47/'C1-Incomes'!$DZ47</f>
        <v>0.11039689387355449</v>
      </c>
      <c r="ED45" s="59">
        <f>'C1-Incomes'!EE47/'C1-Incomes'!$DZ47</f>
        <v>6.0780023416087646E-2</v>
      </c>
      <c r="EE45" s="59">
        <f>'C1-Incomes'!EF47/'C1-Incomes'!$DZ47</f>
        <v>2.4654570487034146E-2</v>
      </c>
      <c r="EF45" s="59"/>
      <c r="EH45" s="59">
        <f>'C1-Incomes'!EI47/'C1-Incomes'!$EH47</f>
        <v>0.3737061608426937</v>
      </c>
      <c r="EI45" s="59">
        <f>'C1-Incomes'!EJ47/'C1-Incomes'!$EH47</f>
        <v>0.26953570644848879</v>
      </c>
      <c r="EJ45" s="59">
        <f>'C1-Incomes'!EK47/'C1-Incomes'!$EH47</f>
        <v>0.13727382252720124</v>
      </c>
      <c r="EK45" s="59">
        <f>'C1-Incomes'!EL47/'C1-Incomes'!$EH47</f>
        <v>0.10550407261556516</v>
      </c>
      <c r="EL45" s="59">
        <f>'C1-Incomes'!EM47/'C1-Incomes'!$EH47</f>
        <v>5.7954389066242867E-2</v>
      </c>
      <c r="EM45" s="59">
        <f>'C1-Incomes'!EN47/'C1-Incomes'!$EH47</f>
        <v>2.3492811411287159E-2</v>
      </c>
      <c r="EN45" s="59"/>
      <c r="EO45" s="59"/>
      <c r="EP45" s="59">
        <f>'C1-Incomes'!EQ47/'C1-Incomes'!$EH47</f>
        <v>0.38626215426137706</v>
      </c>
      <c r="EQ45" s="59">
        <f>'C1-Incomes'!ER47/'C1-Incomes'!$EH47</f>
        <v>0.27816359504397303</v>
      </c>
      <c r="ER45" s="59">
        <f>'C1-Incomes'!ES47/'C1-Incomes'!$EH47</f>
        <v>0.14054104871942927</v>
      </c>
      <c r="ES45" s="59">
        <f>'C1-Incomes'!ET47/'C1-Incomes'!$EH47</f>
        <v>0.10779856054467693</v>
      </c>
      <c r="ET45" s="59">
        <f>'C1-Incomes'!EU47/'C1-Incomes'!$EH47</f>
        <v>5.9022636509226366E-2</v>
      </c>
      <c r="EU45" s="59">
        <f>'C1-Incomes'!EV47/'C1-Incomes'!$EH47</f>
        <v>2.3853327790212021E-2</v>
      </c>
      <c r="EV45" s="59"/>
      <c r="EW45" s="59"/>
      <c r="EX45" s="59">
        <f>'C1-Incomes'!EY47/'C1-Incomes'!$EX47</f>
        <v>0.36697262954928933</v>
      </c>
      <c r="EY45" s="59">
        <f>'C1-Incomes'!EZ47/'C1-Incomes'!$EX47</f>
        <v>0.26296588473017052</v>
      </c>
      <c r="EZ45" s="59">
        <f>'C1-Incomes'!FA47/'C1-Incomes'!$EX47</f>
        <v>0.13162035713692485</v>
      </c>
      <c r="FA45" s="59">
        <f>'C1-Incomes'!FB47/'C1-Incomes'!$EX47</f>
        <v>0.10080271517373161</v>
      </c>
      <c r="FB45" s="59">
        <f>'C1-Incomes'!FC47/'C1-Incomes'!$EX47</f>
        <v>5.510593713309362E-2</v>
      </c>
      <c r="FC45" s="59">
        <f>'C1-Incomes'!FD47/'C1-Incomes'!$EX47</f>
        <v>2.2260287055463832E-2</v>
      </c>
      <c r="FD45" s="59"/>
      <c r="FF45" s="59">
        <f>'C1-Incomes'!FG47/'C1-Incomes'!$FF47</f>
        <v>0.35426796127177068</v>
      </c>
      <c r="FG45" s="59">
        <f>'C1-Incomes'!FH47/'C1-Incomes'!$FF47</f>
        <v>0.25315711601686691</v>
      </c>
      <c r="FH45" s="59">
        <f>'C1-Incomes'!FI47/'C1-Incomes'!$FF47</f>
        <v>0.12629576341763057</v>
      </c>
      <c r="FI45" s="59">
        <f>'C1-Incomes'!FJ47/'C1-Incomes'!$FF47</f>
        <v>9.6586352401988859E-2</v>
      </c>
      <c r="FJ45" s="59">
        <f>'C1-Incomes'!FK47/'C1-Incomes'!$FF47</f>
        <v>5.271404445626833E-2</v>
      </c>
      <c r="FK45" s="59">
        <f>'C1-Incomes'!FL47/'C1-Incomes'!$FF47</f>
        <v>2.1273488098905238E-2</v>
      </c>
      <c r="FN45" s="59">
        <f>'C1-Incomes'!FO47/'C1-Incomes'!$FN47</f>
        <v>0.35352661351211356</v>
      </c>
      <c r="FO45" s="59">
        <f>'C1-Incomes'!FP47/'C1-Incomes'!$FN47</f>
        <v>0.2526497069826234</v>
      </c>
      <c r="FP45" s="59">
        <f>'C1-Incomes'!FQ47/'C1-Incomes'!$FN47</f>
        <v>0.12601235727019172</v>
      </c>
      <c r="FQ45" s="59">
        <f>'C1-Incomes'!FR47/'C1-Incomes'!$FN47</f>
        <v>9.6361784959538538E-2</v>
      </c>
      <c r="FR45" s="59">
        <f>'C1-Incomes'!FS47/'C1-Incomes'!$FN47</f>
        <v>5.2590513056235147E-2</v>
      </c>
      <c r="FS45" s="59">
        <f>'C1-Incomes'!FT47/'C1-Incomes'!$FN47</f>
        <v>2.1223535844582732E-2</v>
      </c>
      <c r="FV45" s="59">
        <f>'C1-Incomes'!FW47/'C1-Incomes'!$FV47</f>
        <v>0.3491462282433167</v>
      </c>
      <c r="FW45" s="59">
        <f>'C1-Incomes'!FX47/'C1-Incomes'!$FV47</f>
        <v>0.24946071038246034</v>
      </c>
      <c r="FX45" s="59">
        <f>'C1-Incomes'!FY47/'C1-Incomes'!$FV47</f>
        <v>0.12438107115812487</v>
      </c>
      <c r="FY45" s="59">
        <f>'C1-Incomes'!FZ47/'C1-Incomes'!$FV47</f>
        <v>9.5107121054211013E-2</v>
      </c>
      <c r="FZ45" s="59">
        <f>'C1-Incomes'!GA47/'C1-Incomes'!$FV47</f>
        <v>5.1901052339865542E-2</v>
      </c>
      <c r="GA45" s="59">
        <f>'C1-Incomes'!GB47/'C1-Incomes'!$FV47</f>
        <v>2.0944467927380625E-2</v>
      </c>
      <c r="GE45" s="59">
        <f>'C1-Incomes'!GF47/'C1-Incomes'!$GE47</f>
        <v>0.34310064068260548</v>
      </c>
      <c r="GF45" s="59">
        <f>'C1-Incomes'!GG47/'C1-Incomes'!$GE47</f>
        <v>0.24465678896326656</v>
      </c>
      <c r="GG45" s="59">
        <f>'C1-Incomes'!GH47/'C1-Incomes'!$GE47</f>
        <v>0.12179800299260163</v>
      </c>
      <c r="GH45" s="59">
        <f>'C1-Incomes'!GI47/'C1-Incomes'!$GE47</f>
        <v>9.3129918118025276E-2</v>
      </c>
      <c r="GI45" s="59">
        <f>'C1-Incomes'!GJ47/'C1-Incomes'!$GE47</f>
        <v>5.0814481399205608E-2</v>
      </c>
      <c r="GJ45" s="59">
        <f>'C1-Incomes'!GK47/'C1-Incomes'!$GE47</f>
        <v>2.0505687795722038E-2</v>
      </c>
      <c r="GM45" s="59">
        <f>'C1-Incomes'!GN47/'C1-Incomes'!$GM47</f>
        <v>0.33356473880910598</v>
      </c>
      <c r="GN45" s="59">
        <f>'C1-Incomes'!GO47/'C1-Incomes'!$GM47</f>
        <v>0.23785696740770901</v>
      </c>
      <c r="GO45" s="59">
        <f>'C1-Incomes'!GP47/'C1-Incomes'!$GM47</f>
        <v>0.11841283354898033</v>
      </c>
      <c r="GP45" s="59">
        <f>'C1-Incomes'!GQ47/'C1-Incomes'!$GM47</f>
        <v>9.0541529594781234E-2</v>
      </c>
      <c r="GQ45" s="59">
        <f>'C1-Incomes'!GR47/'C1-Incomes'!$GM47</f>
        <v>4.9402178853190114E-2</v>
      </c>
      <c r="GR45" s="59">
        <f>'C1-Incomes'!GS47/'C1-Incomes'!$GM47</f>
        <v>1.9935766893564612E-2</v>
      </c>
      <c r="GU45" s="59">
        <f>'C1-Incomes'!GV47/'C1-Incomes'!$GU47</f>
        <v>0.30040442641973958</v>
      </c>
      <c r="GV45" s="59">
        <f>'C1-Incomes'!GW47/'C1-Incomes'!$GU47</f>
        <v>0.20699119053641973</v>
      </c>
      <c r="GW45" s="59">
        <f>'C1-Incomes'!GX47/'C1-Incomes'!$GU47</f>
        <v>9.5896809906232797E-2</v>
      </c>
      <c r="GX45" s="59">
        <f>'C1-Incomes'!GY47/'C1-Incomes'!$GU47</f>
        <v>7.1488764036744645E-2</v>
      </c>
      <c r="GY45" s="59">
        <f>'C1-Incomes'!GZ47/'C1-Incomes'!$GU47</f>
        <v>3.7698541772976726E-2</v>
      </c>
      <c r="GZ45" s="59">
        <f>'C1-Incomes'!HA47/'C1-Incomes'!$GU47</f>
        <v>1.5105567667482256E-2</v>
      </c>
      <c r="HC45" s="59">
        <f>'C1-Incomes'!HD47/'C1-Incomes'!$HC47</f>
        <v>0.29450120704497801</v>
      </c>
      <c r="HD45" s="59">
        <f>'C1-Incomes'!HE47/'C1-Incomes'!$HC47</f>
        <v>0.20144501997233652</v>
      </c>
      <c r="HE45" s="59">
        <f>'C1-Incomes'!HF47/'C1-Incomes'!$HC47</f>
        <v>9.2149319892117013E-2</v>
      </c>
      <c r="HF45" s="59">
        <f>'C1-Incomes'!HG47/'C1-Incomes'!$HC47</f>
        <v>6.8332887819262778E-2</v>
      </c>
      <c r="HG45" s="59">
        <f>'C1-Incomes'!HH47/'C1-Incomes'!$HC47</f>
        <v>3.5824868856545435E-2</v>
      </c>
      <c r="HH45" s="59">
        <f>'C1-Incomes'!HI47/'C1-Incomes'!$HC47</f>
        <v>1.4330805410594862E-2</v>
      </c>
      <c r="HK45" s="59">
        <f>'C1-Incomes'!HL47/'C1-Incomes'!$HK47</f>
        <v>0.29074900106086271</v>
      </c>
      <c r="HL45" s="59">
        <f>'C1-Incomes'!HM47/'C1-Incomes'!$HK47</f>
        <v>0.19790198472936843</v>
      </c>
      <c r="HM45" s="59">
        <f>'C1-Incomes'!HN47/'C1-Incomes'!$HK47</f>
        <v>8.9774941532402397E-2</v>
      </c>
      <c r="HN45" s="59">
        <f>'C1-Incomes'!HO47/'C1-Incomes'!$HK47</f>
        <v>6.6351277104451406E-2</v>
      </c>
      <c r="HO45" s="59">
        <f>'C1-Incomes'!HP47/'C1-Incomes'!$HK47</f>
        <v>3.4576664754932561E-2</v>
      </c>
      <c r="HP45" s="59">
        <f>'C1-Incomes'!HQ47/'C1-Incomes'!$HK47</f>
        <v>1.37133913217393E-2</v>
      </c>
      <c r="HS45" s="59">
        <f>'C1-Incomes'!HT47/'C1-Incomes'!$HS47</f>
        <v>0.28682912344455569</v>
      </c>
      <c r="HT45" s="59">
        <f>'C1-Incomes'!HU47/'C1-Incomes'!$HS47</f>
        <v>0.19478346496845581</v>
      </c>
      <c r="HU45" s="59">
        <f>'C1-Incomes'!HV47/'C1-Incomes'!$HS47</f>
        <v>8.7888174036298422E-2</v>
      </c>
      <c r="HV45" s="59">
        <f>'C1-Incomes'!HW47/'C1-Incomes'!$HS47</f>
        <v>6.4880801763835497E-2</v>
      </c>
      <c r="HW45" s="59">
        <f>'C1-Incomes'!HX47/'C1-Incomes'!$HS47</f>
        <v>3.3764003591169447E-2</v>
      </c>
      <c r="HX45" s="59">
        <f>'C1-Incomes'!HY47/'C1-Incomes'!$HS47</f>
        <v>1.3377613619475299E-2</v>
      </c>
      <c r="IA45" s="59">
        <f>'C1-Incomes'!IB47/'C1-Incomes'!$IA47</f>
        <v>0.29103389171809374</v>
      </c>
      <c r="IB45" s="59">
        <f>'C1-Incomes'!IC47/'C1-Incomes'!$IA47</f>
        <v>0.19990987076580152</v>
      </c>
      <c r="IC45" s="59">
        <f>'C1-Incomes'!ID47/'C1-Incomes'!$IA47</f>
        <v>9.2339884905110872E-2</v>
      </c>
      <c r="ID45" s="59">
        <f>'C1-Incomes'!IE47/'C1-Incomes'!$IA47</f>
        <v>6.8587417367399581E-2</v>
      </c>
      <c r="IE45" s="59">
        <f>'C1-Incomes'!IF47/'C1-Incomes'!$IA47</f>
        <v>3.594624903995447E-2</v>
      </c>
      <c r="IF45" s="59">
        <f>'C1-Incomes'!IG47/'C1-Incomes'!$IA47</f>
        <v>1.4299340051379382E-2</v>
      </c>
      <c r="II45" s="59">
        <f>'C1-Incomes'!IJ47/'C1-Incomes'!$II47</f>
        <v>0.29154218018936434</v>
      </c>
      <c r="IJ45" s="59">
        <f>'C1-Incomes'!IK47/'C1-Incomes'!$II47</f>
        <v>0.20109607067360991</v>
      </c>
      <c r="IK45" s="59">
        <f>'C1-Incomes'!IL47/'C1-Incomes'!$II47</f>
        <v>9.3554880622038941E-2</v>
      </c>
      <c r="IL45" s="59">
        <f>'C1-Incomes'!IM47/'C1-Incomes'!$II47</f>
        <v>6.960447565162306E-2</v>
      </c>
      <c r="IM45" s="59">
        <f>'C1-Incomes'!IN47/'C1-Incomes'!$II47</f>
        <v>3.6459015260392101E-2</v>
      </c>
      <c r="IN45" s="59">
        <f>'C1-Incomes'!IO47/'C1-Incomes'!$II47</f>
        <v>1.4499675455044736E-2</v>
      </c>
      <c r="IQ45" s="59">
        <f>'C1-Incomes'!IR47/'C1-Incomes'!$IQ47</f>
        <v>0.29863220995843492</v>
      </c>
      <c r="IR45" s="59">
        <f>'C1-Incomes'!IS47/'C1-Incomes'!$IQ47</f>
        <v>0.20741296062598102</v>
      </c>
      <c r="IS45" s="59">
        <f>'C1-Incomes'!IT47/'C1-Incomes'!$IQ47</f>
        <v>9.803018921876118E-2</v>
      </c>
      <c r="IT45" s="59">
        <f>'C1-Incomes'!IU47/'C1-Incomes'!$IQ47</f>
        <v>7.3258613937693173E-2</v>
      </c>
      <c r="IU45" s="59">
        <f>'C1-Incomes'!IV47/'C1-Incomes'!$IQ47</f>
        <v>3.8768620551066391E-2</v>
      </c>
      <c r="IV45" s="59">
        <f>'C1-Incomes'!IW47/'C1-Incomes'!$IQ47</f>
        <v>1.5479127820864814E-2</v>
      </c>
      <c r="IY45" s="59">
        <f>'C1-Incomes'!IZ47/'C1-Incomes'!$IY47</f>
        <v>0.28110777420162364</v>
      </c>
      <c r="IZ45" s="59">
        <f>'C1-Incomes'!JA47/'C1-Incomes'!$IY47</f>
        <v>0.19378659464410072</v>
      </c>
      <c r="JA45" s="59">
        <f>'C1-Incomes'!JB47/'C1-Incomes'!$IY47</f>
        <v>9.06087050726571E-2</v>
      </c>
      <c r="JB45" s="59">
        <f>'C1-Incomes'!JC47/'C1-Incomes'!$IY47</f>
        <v>6.7534509147568117E-2</v>
      </c>
      <c r="JC45" s="59">
        <f>'C1-Incomes'!JD47/'C1-Incomes'!$IY47</f>
        <v>3.5597468018666513E-2</v>
      </c>
      <c r="JD45" s="59">
        <f>'C1-Incomes'!JE47/'C1-Incomes'!$IY47</f>
        <v>1.4189770631229708E-2</v>
      </c>
      <c r="JE45" s="197"/>
      <c r="JF45" s="197"/>
      <c r="JG45" s="197"/>
      <c r="JH45" s="197"/>
      <c r="JI45" s="197"/>
      <c r="JJ45" s="197"/>
      <c r="JK45" s="197"/>
      <c r="JL45" s="197"/>
      <c r="JM45" s="197"/>
      <c r="JN45" s="197"/>
      <c r="JO45" s="197"/>
      <c r="JP45" s="197"/>
      <c r="JQ45" s="197"/>
      <c r="JR45" s="197"/>
      <c r="JS45" s="197"/>
      <c r="JT45" s="197"/>
      <c r="JU45" s="197"/>
      <c r="JV45" s="197"/>
      <c r="JW45" s="197"/>
      <c r="JX45" s="197"/>
      <c r="JY45" s="197"/>
      <c r="JZ45" s="197"/>
      <c r="KA45" s="197"/>
      <c r="KB45" s="197"/>
      <c r="KC45" s="197"/>
      <c r="KD45" s="197"/>
      <c r="KE45" s="197"/>
      <c r="KF45" s="197"/>
      <c r="KG45" s="197"/>
      <c r="KH45" s="197"/>
      <c r="KI45" s="197"/>
      <c r="KJ45" s="197"/>
      <c r="KK45" s="197"/>
      <c r="KL45" s="197"/>
      <c r="KM45" s="197"/>
      <c r="KN45" s="197"/>
      <c r="KO45" s="197"/>
      <c r="KP45" s="197"/>
      <c r="KQ45" s="197"/>
      <c r="KR45" s="197"/>
      <c r="KS45" s="197"/>
      <c r="KT45" s="197"/>
      <c r="KU45" s="197"/>
      <c r="KV45" s="197"/>
      <c r="KW45" s="197"/>
      <c r="KX45" s="197"/>
      <c r="KY45" s="197"/>
      <c r="KZ45" s="197"/>
      <c r="LA45" s="197"/>
      <c r="LB45" s="197"/>
      <c r="LC45" s="197"/>
      <c r="LD45" s="197"/>
      <c r="LE45" s="197"/>
      <c r="LF45" s="197"/>
      <c r="LG45" s="197"/>
      <c r="LH45" s="197"/>
      <c r="LI45" s="197"/>
      <c r="LJ45" s="197"/>
      <c r="LK45" s="197"/>
      <c r="LL45" s="197"/>
      <c r="LM45" s="197"/>
      <c r="LN45" s="197"/>
      <c r="LO45" s="197"/>
      <c r="LP45" s="197"/>
      <c r="LQ45" s="197"/>
      <c r="LR45" s="197"/>
      <c r="LS45" s="197"/>
      <c r="LT45" s="197"/>
      <c r="LU45" s="197"/>
      <c r="LV45" s="197"/>
      <c r="LW45" s="197"/>
      <c r="LX45" s="197"/>
      <c r="LY45" s="197"/>
      <c r="LZ45" s="197"/>
      <c r="MA45" s="197"/>
      <c r="MB45" s="197"/>
      <c r="MC45" s="197"/>
      <c r="MD45" s="197"/>
      <c r="ME45" s="197"/>
      <c r="MF45" s="197"/>
      <c r="MG45" s="197"/>
      <c r="MH45" s="197"/>
      <c r="MI45" s="197"/>
      <c r="MJ45" s="197"/>
      <c r="MK45" s="197"/>
      <c r="ML45" s="197"/>
      <c r="MM45" s="197"/>
      <c r="MN45" s="197"/>
      <c r="MO45" s="197"/>
      <c r="MP45" s="197"/>
      <c r="MQ45" s="197"/>
      <c r="MR45" s="197"/>
      <c r="MS45" s="197"/>
      <c r="MT45" s="197"/>
      <c r="MU45" s="197"/>
      <c r="MV45" s="197"/>
      <c r="MW45" s="197"/>
      <c r="MX45" s="197"/>
      <c r="MY45" s="197"/>
      <c r="MZ45" s="197"/>
      <c r="NA45" s="197"/>
      <c r="NB45" s="197"/>
      <c r="NC45" s="197"/>
      <c r="ND45" s="197"/>
      <c r="NE45" s="197"/>
      <c r="NF45" s="197"/>
      <c r="NG45" s="197"/>
      <c r="NH45" s="197"/>
      <c r="NI45" s="197"/>
      <c r="NJ45" s="197"/>
      <c r="NK45" s="197"/>
      <c r="NL45" s="197"/>
      <c r="NM45" s="197"/>
      <c r="NN45" s="197"/>
      <c r="NO45" s="197"/>
      <c r="NP45" s="197"/>
      <c r="NQ45" s="197"/>
      <c r="NR45" s="197"/>
      <c r="NS45" s="197"/>
      <c r="NT45" s="197"/>
      <c r="NU45" s="197"/>
      <c r="NV45" s="197"/>
      <c r="NW45" s="197"/>
      <c r="NX45" s="197"/>
      <c r="NY45" s="197"/>
      <c r="NZ45" s="197"/>
      <c r="OA45" s="197"/>
      <c r="OB45" s="197"/>
      <c r="OC45" s="197"/>
      <c r="OD45" s="197"/>
      <c r="OE45" s="197"/>
      <c r="OF45" s="197"/>
      <c r="OG45" s="197"/>
      <c r="OH45" s="197"/>
      <c r="OI45" s="197"/>
      <c r="OJ45" s="197"/>
      <c r="OK45" s="197"/>
      <c r="OL45" s="197"/>
      <c r="OM45" s="197"/>
      <c r="ON45" s="197"/>
      <c r="OO45" s="197"/>
      <c r="OP45" s="197"/>
      <c r="OQ45" s="197"/>
      <c r="OR45" s="197"/>
      <c r="OS45" s="197"/>
      <c r="OT45" s="197"/>
      <c r="OU45" s="197"/>
      <c r="OV45" s="197"/>
      <c r="OW45" s="197"/>
      <c r="OX45" s="197"/>
      <c r="OY45" s="197"/>
      <c r="OZ45" s="197"/>
      <c r="PA45" s="197"/>
      <c r="PB45" s="197"/>
    </row>
    <row r="46" spans="1:418" s="77" customFormat="1" ht="10.5" customHeight="1" x14ac:dyDescent="0.2">
      <c r="A46" s="48">
        <v>2000</v>
      </c>
      <c r="B46" s="59">
        <f>'C1-Incomes'!C48/'C1-Incomes'!$B48</f>
        <v>0.43528537184696442</v>
      </c>
      <c r="C46" s="59">
        <f>'C1-Incomes'!D48/'C1-Incomes'!$B48</f>
        <v>0.3186094465967802</v>
      </c>
      <c r="D46" s="59">
        <f>'C1-Incomes'!E48/'C1-Incomes'!$B48</f>
        <v>0.16676514207446289</v>
      </c>
      <c r="E46" s="59">
        <f>'C1-Incomes'!F48/'C1-Incomes'!$B48</f>
        <v>0.12921217684069494</v>
      </c>
      <c r="F46" s="59">
        <f>'C1-Incomes'!G48/'C1-Incomes'!$B48</f>
        <v>7.2435892422752196E-2</v>
      </c>
      <c r="G46" s="59">
        <f>'C1-Incomes'!H48/'C1-Incomes'!$B48</f>
        <v>2.9719643314068088E-2</v>
      </c>
      <c r="H46" s="199"/>
      <c r="J46" s="59">
        <f>'C1-Incomes'!K48/'C1-Incomes'!$J48</f>
        <v>0.37355893415513064</v>
      </c>
      <c r="K46" s="59">
        <f>'C1-Incomes'!L48/'C1-Incomes'!$J48</f>
        <v>0.26920514020723568</v>
      </c>
      <c r="L46" s="59">
        <f>'C1-Incomes'!M48/'C1-Incomes'!$J48</f>
        <v>0.13670178501652119</v>
      </c>
      <c r="M46" s="59">
        <f>'C1-Incomes'!N48/'C1-Incomes'!$J48</f>
        <v>0.10516111224779705</v>
      </c>
      <c r="N46" s="59">
        <f>'C1-Incomes'!O48/'C1-Incomes'!$J48</f>
        <v>5.836558986320619E-2</v>
      </c>
      <c r="O46" s="59">
        <f>'C1-Incomes'!P48/'C1-Incomes'!$J48</f>
        <v>2.4085549350522956E-2</v>
      </c>
      <c r="P46" s="59"/>
      <c r="R46" s="59">
        <f>'C1-Incomes'!S48/'C1-Incomes'!$R48</f>
        <v>0.34035717480419475</v>
      </c>
      <c r="S46" s="59">
        <f>'C1-Incomes'!T48/'C1-Incomes'!$R48</f>
        <v>0.24413448562684392</v>
      </c>
      <c r="T46" s="59">
        <f>'C1-Incomes'!U48/'C1-Incomes'!$R48</f>
        <v>0.12324734072667641</v>
      </c>
      <c r="U46" s="59">
        <f>'C1-Incomes'!V48/'C1-Incomes'!$R48</f>
        <v>9.4632799228682049E-2</v>
      </c>
      <c r="V46" s="59">
        <f>'C1-Incomes'!W48/'C1-Incomes'!$R48</f>
        <v>5.2409760277444241E-2</v>
      </c>
      <c r="W46" s="59">
        <f>'C1-Incomes'!X48/'C1-Incomes'!$R48</f>
        <v>2.1607295826194171E-2</v>
      </c>
      <c r="X46" s="59"/>
      <c r="Y46" s="59"/>
      <c r="Z46" s="59">
        <f>'C1-Incomes'!AA48/'C1-Incomes'!$Z48</f>
        <v>0.28771448940491928</v>
      </c>
      <c r="AA46" s="59">
        <f>'C1-Incomes'!AB48/'C1-Incomes'!$Z48</f>
        <v>0.19955079030595757</v>
      </c>
      <c r="AB46" s="59">
        <f>'C1-Incomes'!AC48/'C1-Incomes'!$Z48</f>
        <v>9.4509605359795038E-2</v>
      </c>
      <c r="AC46" s="59">
        <f>'C1-Incomes'!AD48/'C1-Incomes'!$Z48</f>
        <v>7.0775526557391402E-2</v>
      </c>
      <c r="AD46" s="59">
        <f>'C1-Incomes'!AE48/'C1-Incomes'!$Z48</f>
        <v>3.7918385143765013E-2</v>
      </c>
      <c r="AE46" s="59">
        <f>'C1-Incomes'!AF48/'C1-Incomes'!$Z48</f>
        <v>1.5418462082974409E-2</v>
      </c>
      <c r="AF46" s="200"/>
      <c r="AG46" s="195"/>
      <c r="AH46" s="59">
        <f>'C1-Incomes'!AI48/'C1-Incomes'!$AH48</f>
        <v>0.42765993174161565</v>
      </c>
      <c r="AI46" s="59">
        <f>'C1-Incomes'!AJ48/'C1-Incomes'!$AH48</f>
        <v>0.31239469773263595</v>
      </c>
      <c r="AJ46" s="59">
        <f>'C1-Incomes'!AK48/'C1-Incomes'!$AH48</f>
        <v>0.16314570663598796</v>
      </c>
      <c r="AK46" s="59">
        <f>'C1-Incomes'!AL48/'C1-Incomes'!$AH48</f>
        <v>0.12633312561796775</v>
      </c>
      <c r="AL46" s="59">
        <f>'C1-Incomes'!AM48/'C1-Incomes'!$AH48</f>
        <v>7.0828162145617296E-2</v>
      </c>
      <c r="AM46" s="59">
        <f>'C1-Incomes'!AN48/'C1-Incomes'!$AH48</f>
        <v>2.9129335463988638E-2</v>
      </c>
      <c r="AN46" s="195"/>
      <c r="AO46" s="195"/>
      <c r="AP46" s="59"/>
      <c r="AQ46" s="59"/>
      <c r="AR46" s="59"/>
      <c r="AS46" s="59"/>
      <c r="AT46" s="59"/>
      <c r="AU46" s="59"/>
      <c r="AV46" s="197"/>
      <c r="AW46" s="60"/>
      <c r="AX46" s="59">
        <f>'C1-Incomes'!AY48/'C1-Incomes'!$AX48</f>
        <v>0.4304646200959904</v>
      </c>
      <c r="AY46" s="59">
        <f>'C1-Incomes'!AZ48/'C1-Incomes'!$AX48</f>
        <v>0.31559550599477909</v>
      </c>
      <c r="AZ46" s="59">
        <f>'C1-Incomes'!BA48/'C1-Incomes'!$AX48</f>
        <v>0.16599461095892284</v>
      </c>
      <c r="BA46" s="59">
        <f>'C1-Incomes'!BB48/'C1-Incomes'!$AX48</f>
        <v>0.12876601110801128</v>
      </c>
      <c r="BB46" s="59">
        <f>'C1-Incomes'!BC48/'C1-Incomes'!$AX48</f>
        <v>7.226838723767777E-2</v>
      </c>
      <c r="BC46" s="59">
        <f>'C1-Incomes'!BD48/'C1-Incomes'!$AX48</f>
        <v>2.9661790065533572E-2</v>
      </c>
      <c r="BD46" s="60"/>
      <c r="BE46" s="60"/>
      <c r="BF46" s="59">
        <f>'C1-Incomes'!BG48/'C1-Incomes'!$BF48</f>
        <v>0.42541877566678882</v>
      </c>
      <c r="BG46" s="59">
        <f>'C1-Incomes'!BH48/'C1-Incomes'!$BF48</f>
        <v>0.31175419378802627</v>
      </c>
      <c r="BH46" s="59">
        <f>'C1-Incomes'!BI48/'C1-Incomes'!$BF48</f>
        <v>0.16435578952673349</v>
      </c>
      <c r="BI46" s="59">
        <f>'C1-Incomes'!BJ48/'C1-Incomes'!$BF48</f>
        <v>0.12778371494457347</v>
      </c>
      <c r="BJ46" s="59">
        <f>'C1-Incomes'!BK48/'C1-Incomes'!$BF48</f>
        <v>7.1954638704331567E-2</v>
      </c>
      <c r="BK46" s="59">
        <f>'C1-Incomes'!BL48/'C1-Incomes'!$BF48</f>
        <v>2.9591926948312083E-2</v>
      </c>
      <c r="BL46" s="59"/>
      <c r="BM46" s="59"/>
      <c r="BN46" s="59">
        <f>'C1-Incomes'!BO48/'C1-Incomes'!$BN48</f>
        <v>0.39534738303959427</v>
      </c>
      <c r="BO46" s="59">
        <f>'C1-Incomes'!BP48/'C1-Incomes'!$BN48</f>
        <v>0.28954420061156755</v>
      </c>
      <c r="BP46" s="59">
        <f>'C1-Incomes'!BQ48/'C1-Incomes'!$BN48</f>
        <v>0.15271323970005557</v>
      </c>
      <c r="BQ46" s="59">
        <f>'C1-Incomes'!BR48/'C1-Incomes'!$BN48</f>
        <v>0.11872162746805881</v>
      </c>
      <c r="BR46" s="59">
        <f>'C1-Incomes'!BS48/'C1-Incomes'!$BN48</f>
        <v>6.6963204784376493E-2</v>
      </c>
      <c r="BS46" s="59">
        <f>'C1-Incomes'!BT48/'C1-Incomes'!$BN48</f>
        <v>2.7504827548116211E-2</v>
      </c>
      <c r="BT46" s="59"/>
      <c r="BU46" s="59"/>
      <c r="BV46" s="59">
        <f>'C1-Incomes'!BW48/'C1-Incomes'!$BV48</f>
        <v>0.39777019857477081</v>
      </c>
      <c r="BW46" s="59">
        <f>'C1-Incomes'!BX48/'C1-Incomes'!$BV48</f>
        <v>0.29216511515394511</v>
      </c>
      <c r="BX46" s="59">
        <f>'C1-Incomes'!BY48/'C1-Incomes'!$BV48</f>
        <v>0.15521715110622217</v>
      </c>
      <c r="BY46" s="59">
        <f>'C1-Incomes'!BZ48/'C1-Incomes'!$BV48</f>
        <v>0.12100819265518803</v>
      </c>
      <c r="BZ46" s="59">
        <f>'C1-Incomes'!CA48/'C1-Incomes'!$BV48</f>
        <v>6.8732298500525715E-2</v>
      </c>
      <c r="CA46" s="59">
        <f>'C1-Incomes'!CB48/'C1-Incomes'!$BV48</f>
        <v>2.8536920515855872E-2</v>
      </c>
      <c r="CB46" s="60"/>
      <c r="CC46" s="198"/>
      <c r="CD46" s="59">
        <f>'C1-Incomes'!CE48/'C1-Incomes'!$CD48</f>
        <v>0.40039833131570146</v>
      </c>
      <c r="CE46" s="59">
        <f>'C1-Incomes'!CF48/'C1-Incomes'!$CD48</f>
        <v>0.2949755308817148</v>
      </c>
      <c r="CF46" s="59">
        <f>'C1-Incomes'!CG48/'C1-Incomes'!$CD48</f>
        <v>0.15735168532279675</v>
      </c>
      <c r="CG46" s="59">
        <f>'C1-Incomes'!CH48/'C1-Incomes'!$CD48</f>
        <v>0.12287589342425295</v>
      </c>
      <c r="CH46" s="59">
        <f>'C1-Incomes'!CI48/'C1-Incomes'!$CD48</f>
        <v>6.9885440055823811E-2</v>
      </c>
      <c r="CI46" s="59">
        <f>'C1-Incomes'!CJ48/'C1-Incomes'!$CD48</f>
        <v>2.9066175041331969E-2</v>
      </c>
      <c r="CL46" s="59">
        <f>'C1-Incomes'!CM48/'C1-Incomes'!$CL48</f>
        <v>0.40269982515906039</v>
      </c>
      <c r="CM46" s="59">
        <f>'C1-Incomes'!CN48/'C1-Incomes'!$CL48</f>
        <v>0.29714713889650191</v>
      </c>
      <c r="CN46" s="59">
        <f>'C1-Incomes'!CO48/'C1-Incomes'!$CL48</f>
        <v>0.15882041378998732</v>
      </c>
      <c r="CO46" s="59">
        <f>'C1-Incomes'!CP48/'C1-Incomes'!$CL48</f>
        <v>0.12409509084686662</v>
      </c>
      <c r="CP46" s="59">
        <f>'C1-Incomes'!CQ48/'C1-Incomes'!$CL48</f>
        <v>7.0607231623964581E-2</v>
      </c>
      <c r="CQ46" s="59">
        <f>'C1-Incomes'!CR48/'C1-Incomes'!$CL48</f>
        <v>2.9405929048930898E-2</v>
      </c>
      <c r="CR46" s="59"/>
      <c r="CS46" s="59"/>
      <c r="CT46" s="59">
        <f>'C1-Incomes'!CU48/'C1-Incomes'!$CT48</f>
        <v>0.4051316079091879</v>
      </c>
      <c r="CU46" s="59">
        <f>'C1-Incomes'!CV48/'C1-Incomes'!$CT48</f>
        <v>0.299591356298957</v>
      </c>
      <c r="CV46" s="59">
        <f>'C1-Incomes'!CW48/'C1-Incomes'!$CT48</f>
        <v>0.16071797920376965</v>
      </c>
      <c r="CW46" s="59">
        <f>'C1-Incomes'!CX48/'C1-Incomes'!$CT48</f>
        <v>0.12567462112028069</v>
      </c>
      <c r="CX46" s="59">
        <f>'C1-Incomes'!CY48/'C1-Incomes'!$CT48</f>
        <v>7.1562619555951307E-2</v>
      </c>
      <c r="CY46" s="59">
        <f>'C1-Incomes'!CZ48/'C1-Incomes'!$CT48</f>
        <v>2.9834250363906165E-2</v>
      </c>
      <c r="CZ46" s="59"/>
      <c r="DA46" s="59"/>
      <c r="DB46" s="59">
        <f>'C1-Incomes'!DC48/'C1-Incomes'!$DB48</f>
        <v>0.40772915565694756</v>
      </c>
      <c r="DC46" s="59">
        <f>'C1-Incomes'!DD48/'C1-Incomes'!$DB48</f>
        <v>0.3023746244158903</v>
      </c>
      <c r="DD46" s="59">
        <f>'C1-Incomes'!DE48/'C1-Incomes'!$DB48</f>
        <v>0.16276506144193015</v>
      </c>
      <c r="DE46" s="59">
        <f>'C1-Incomes'!DF48/'C1-Incomes'!$DB48</f>
        <v>0.12744328398573107</v>
      </c>
      <c r="DF46" s="59">
        <f>'C1-Incomes'!DG48/'C1-Incomes'!$DB48</f>
        <v>7.2586402813332382E-2</v>
      </c>
      <c r="DG46" s="59">
        <f>'C1-Incomes'!DH48/'C1-Incomes'!$DB48</f>
        <v>3.0298937778046871E-2</v>
      </c>
      <c r="DH46" s="59"/>
      <c r="DI46" s="1039"/>
      <c r="DJ46" s="59">
        <f>'C1-Incomes'!DK48/'C1-Incomes'!$DJ48</f>
        <v>0.39778225841694259</v>
      </c>
      <c r="DK46" s="59">
        <f>'C1-Incomes'!DL48/'C1-Incomes'!$DJ48</f>
        <v>0.29445504375391879</v>
      </c>
      <c r="DL46" s="59">
        <f>'C1-Incomes'!DM48/'C1-Incomes'!$DJ48</f>
        <v>0.15659787266679293</v>
      </c>
      <c r="DM46" s="59">
        <f>'C1-Incomes'!DN48/'C1-Incomes'!$DJ48</f>
        <v>0.12180498960180475</v>
      </c>
      <c r="DN46" s="59">
        <f>'C1-Incomes'!DO48/'C1-Incomes'!$DJ48</f>
        <v>6.8569449256928983E-2</v>
      </c>
      <c r="DO46" s="59">
        <f>'C1-Incomes'!DP48/'C1-Incomes'!$DJ48</f>
        <v>2.857987171853784E-2</v>
      </c>
      <c r="DP46" s="696"/>
      <c r="DQ46" s="503"/>
      <c r="DR46" s="59">
        <f>'C1-Incomes'!DS48/'C1-Incomes'!$DR48</f>
        <v>0.3962471283651306</v>
      </c>
      <c r="DS46" s="59">
        <f>'C1-Incomes'!DT48/'C1-Incomes'!$DR48</f>
        <v>0.29224361672457949</v>
      </c>
      <c r="DT46" s="59">
        <f>'C1-Incomes'!DU48/'C1-Incomes'!$DR48</f>
        <v>0.15410534678725157</v>
      </c>
      <c r="DU46" s="59">
        <f>'C1-Incomes'!DV48/'C1-Incomes'!$DR48</f>
        <v>0.11949349422452296</v>
      </c>
      <c r="DV46" s="59">
        <f>'C1-Incomes'!DW48/'C1-Incomes'!$DR48</f>
        <v>6.6940080145719519E-2</v>
      </c>
      <c r="DW46" s="59">
        <f>'C1-Incomes'!DX48/'C1-Incomes'!$DR48</f>
        <v>2.7778928982145637E-2</v>
      </c>
      <c r="DX46" s="333"/>
      <c r="DZ46" s="59">
        <f>'C1-Incomes'!EA48/'C1-Incomes'!$DZ48</f>
        <v>0.38854047857745511</v>
      </c>
      <c r="EA46" s="59">
        <f>'C1-Incomes'!EB48/'C1-Incomes'!$DZ48</f>
        <v>0.28471951953511998</v>
      </c>
      <c r="EB46" s="59">
        <f>'C1-Incomes'!EC48/'C1-Incomes'!$DZ48</f>
        <v>0.14880057395604304</v>
      </c>
      <c r="EC46" s="59">
        <f>'C1-Incomes'!ED48/'C1-Incomes'!$DZ48</f>
        <v>0.11512167078629384</v>
      </c>
      <c r="ED46" s="59">
        <f>'C1-Incomes'!EE48/'C1-Incomes'!$DZ48</f>
        <v>6.4384936165462273E-2</v>
      </c>
      <c r="EE46" s="59">
        <f>'C1-Incomes'!EF48/'C1-Incomes'!$DZ48</f>
        <v>2.6686555937301692E-2</v>
      </c>
      <c r="EF46" s="59"/>
      <c r="EH46" s="59">
        <f>'C1-Incomes'!EI48/'C1-Incomes'!$EH48</f>
        <v>0.38037544652041838</v>
      </c>
      <c r="EI46" s="59">
        <f>'C1-Incomes'!EJ48/'C1-Incomes'!$EH48</f>
        <v>0.27596457678718073</v>
      </c>
      <c r="EJ46" s="59">
        <f>'C1-Incomes'!EK48/'C1-Incomes'!$EH48</f>
        <v>0.14219954784920752</v>
      </c>
      <c r="EK46" s="59">
        <f>'C1-Incomes'!EL48/'C1-Incomes'!$EH48</f>
        <v>0.10981155052725608</v>
      </c>
      <c r="EL46" s="59">
        <f>'C1-Incomes'!EM48/'C1-Incomes'!$EH48</f>
        <v>6.125586489155025E-2</v>
      </c>
      <c r="EM46" s="59">
        <f>'C1-Incomes'!EN48/'C1-Incomes'!$EH48</f>
        <v>2.5367521783917116E-2</v>
      </c>
      <c r="EN46" s="59"/>
      <c r="EO46" s="59"/>
      <c r="EP46" s="59">
        <f>'C1-Incomes'!EQ48/'C1-Incomes'!$EH48</f>
        <v>0.39406332444201458</v>
      </c>
      <c r="EQ46" s="59">
        <f>'C1-Incomes'!ER48/'C1-Incomes'!$EH48</f>
        <v>0.285389892207291</v>
      </c>
      <c r="ER46" s="59">
        <f>'C1-Incomes'!ES48/'C1-Incomes'!$EH48</f>
        <v>0.14627206825676639</v>
      </c>
      <c r="ES46" s="59">
        <f>'C1-Incomes'!ET48/'C1-Incomes'!$EH48</f>
        <v>0.11269490604037714</v>
      </c>
      <c r="ET46" s="59">
        <f>'C1-Incomes'!EU48/'C1-Incomes'!$EH48</f>
        <v>6.2605673024505343E-2</v>
      </c>
      <c r="EU46" s="59">
        <f>'C1-Incomes'!EV48/'C1-Incomes'!$EH48</f>
        <v>2.5849628712450914E-2</v>
      </c>
      <c r="EV46" s="59"/>
      <c r="EW46" s="59"/>
      <c r="EX46" s="59">
        <f>'C1-Incomes'!EY48/'C1-Incomes'!$EX48</f>
        <v>0.37355893415513064</v>
      </c>
      <c r="EY46" s="59">
        <f>'C1-Incomes'!EZ48/'C1-Incomes'!$EX48</f>
        <v>0.26920514020723568</v>
      </c>
      <c r="EZ46" s="59">
        <f>'C1-Incomes'!FA48/'C1-Incomes'!$EX48</f>
        <v>0.13670178501652119</v>
      </c>
      <c r="FA46" s="59">
        <f>'C1-Incomes'!FB48/'C1-Incomes'!$EX48</f>
        <v>0.10516111224779705</v>
      </c>
      <c r="FB46" s="59">
        <f>'C1-Incomes'!FC48/'C1-Incomes'!$EX48</f>
        <v>5.836558986320619E-2</v>
      </c>
      <c r="FC46" s="59">
        <f>'C1-Incomes'!FD48/'C1-Incomes'!$EX48</f>
        <v>2.4085549350522956E-2</v>
      </c>
      <c r="FD46" s="59"/>
      <c r="FF46" s="59">
        <f>'C1-Incomes'!FG48/'C1-Incomes'!$FF48</f>
        <v>0.36101293515133231</v>
      </c>
      <c r="FG46" s="59">
        <f>'C1-Incomes'!FH48/'C1-Incomes'!$FF48</f>
        <v>0.25951457304563696</v>
      </c>
      <c r="FH46" s="59">
        <f>'C1-Incomes'!FI48/'C1-Incomes'!$FF48</f>
        <v>0.13129935865214534</v>
      </c>
      <c r="FI46" s="59">
        <f>'C1-Incomes'!FJ48/'C1-Incomes'!$FF48</f>
        <v>0.10084159356737447</v>
      </c>
      <c r="FJ46" s="59">
        <f>'C1-Incomes'!FK48/'C1-Incomes'!$FF48</f>
        <v>5.5861067826890015E-2</v>
      </c>
      <c r="FK46" s="59">
        <f>'C1-Incomes'!FL48/'C1-Incomes'!$FF48</f>
        <v>2.3032279189660956E-2</v>
      </c>
      <c r="FN46" s="59">
        <f>'C1-Incomes'!FO48/'C1-Incomes'!$FN48</f>
        <v>0.3603140116968746</v>
      </c>
      <c r="FO46" s="59">
        <f>'C1-Incomes'!FP48/'C1-Incomes'!$FN48</f>
        <v>0.25898559407323934</v>
      </c>
      <c r="FP46" s="59">
        <f>'C1-Incomes'!FQ48/'C1-Incomes'!$FN48</f>
        <v>0.1310130745323308</v>
      </c>
      <c r="FQ46" s="59">
        <f>'C1-Incomes'!FR48/'C1-Incomes'!$FN48</f>
        <v>0.10060854900278597</v>
      </c>
      <c r="FR46" s="59">
        <f>'C1-Incomes'!FS48/'C1-Incomes'!$FN48</f>
        <v>5.573715921281195E-2</v>
      </c>
      <c r="FS46" s="59">
        <f>'C1-Incomes'!FT48/'C1-Incomes'!$FN48</f>
        <v>2.2981127464227025E-2</v>
      </c>
      <c r="FV46" s="59">
        <f>'C1-Incomes'!FW48/'C1-Incomes'!$FV48</f>
        <v>0.35600902442589061</v>
      </c>
      <c r="FW46" s="59">
        <f>'C1-Incomes'!FX48/'C1-Incomes'!$FV48</f>
        <v>0.25583344744546332</v>
      </c>
      <c r="FX46" s="59">
        <f>'C1-Incomes'!FY48/'C1-Incomes'!$FV48</f>
        <v>0.12937807987136724</v>
      </c>
      <c r="FY46" s="59">
        <f>'C1-Incomes'!FZ48/'C1-Incomes'!$FV48</f>
        <v>9.9345910742371105E-2</v>
      </c>
      <c r="FZ46" s="59">
        <f>'C1-Incomes'!GA48/'C1-Incomes'!$FV48</f>
        <v>5.5032979547439499E-2</v>
      </c>
      <c r="GA46" s="59">
        <f>'C1-Incomes'!GB48/'C1-Incomes'!$FV48</f>
        <v>2.268996000275782E-2</v>
      </c>
      <c r="GE46" s="59">
        <f>'C1-Incomes'!GF48/'C1-Incomes'!$GE48</f>
        <v>0.3500655478346098</v>
      </c>
      <c r="GF46" s="59">
        <f>'C1-Incomes'!GG48/'C1-Incomes'!$GE48</f>
        <v>0.25109819561009145</v>
      </c>
      <c r="GG46" s="59">
        <f>'C1-Incomes'!GH48/'C1-Incomes'!$GE48</f>
        <v>0.12676285691777653</v>
      </c>
      <c r="GH46" s="59">
        <f>'C1-Incomes'!GI48/'C1-Incomes'!$GE48</f>
        <v>9.7332112138283425E-2</v>
      </c>
      <c r="GI46" s="59">
        <f>'C1-Incomes'!GJ48/'C1-Incomes'!$GE48</f>
        <v>5.3904700125563421E-2</v>
      </c>
      <c r="GJ46" s="59">
        <f>'C1-Incomes'!GK48/'C1-Incomes'!$GE48</f>
        <v>2.2223623917940447E-2</v>
      </c>
      <c r="GM46" s="59">
        <f>'C1-Incomes'!GN48/'C1-Incomes'!$GM48</f>
        <v>0.34035717480419475</v>
      </c>
      <c r="GN46" s="59">
        <f>'C1-Incomes'!GO48/'C1-Incomes'!$GM48</f>
        <v>0.24413448562684392</v>
      </c>
      <c r="GO46" s="59">
        <f>'C1-Incomes'!GP48/'C1-Incomes'!$GM48</f>
        <v>0.12324734072667641</v>
      </c>
      <c r="GP46" s="59">
        <f>'C1-Incomes'!GQ48/'C1-Incomes'!$GM48</f>
        <v>9.4632799228682049E-2</v>
      </c>
      <c r="GQ46" s="59">
        <f>'C1-Incomes'!GR48/'C1-Incomes'!$GM48</f>
        <v>5.2409760277444241E-2</v>
      </c>
      <c r="GR46" s="59">
        <f>'C1-Incomes'!GS48/'C1-Incomes'!$GM48</f>
        <v>2.1607295826194171E-2</v>
      </c>
      <c r="GU46" s="59">
        <f>'C1-Incomes'!GV48/'C1-Incomes'!$GU48</f>
        <v>0.30597358801072616</v>
      </c>
      <c r="GV46" s="59">
        <f>'C1-Incomes'!GW48/'C1-Incomes'!$GU48</f>
        <v>0.21200845780189195</v>
      </c>
      <c r="GW46" s="59">
        <f>'C1-Incomes'!GX48/'C1-Incomes'!$GU48</f>
        <v>9.9239758216726065E-2</v>
      </c>
      <c r="GX46" s="59">
        <f>'C1-Incomes'!GY48/'C1-Incomes'!$GU48</f>
        <v>7.421023479047538E-2</v>
      </c>
      <c r="GY46" s="59">
        <f>'C1-Incomes'!GZ48/'C1-Incomes'!$GU48</f>
        <v>3.9656194094093329E-2</v>
      </c>
      <c r="GZ46" s="59">
        <f>'C1-Incomes'!HA48/'C1-Incomes'!$GU48</f>
        <v>1.6177431187143203E-2</v>
      </c>
      <c r="HC46" s="59">
        <f>'C1-Incomes'!HD48/'C1-Incomes'!$HC48</f>
        <v>0.29996837119253172</v>
      </c>
      <c r="HD46" s="59">
        <f>'C1-Incomes'!HE48/'C1-Incomes'!$HC48</f>
        <v>0.20636465668674284</v>
      </c>
      <c r="HE46" s="59">
        <f>'C1-Incomes'!HF48/'C1-Incomes'!$HC48</f>
        <v>9.5125357027458862E-2</v>
      </c>
      <c r="HF46" s="59">
        <f>'C1-Incomes'!HG48/'C1-Incomes'!$HC48</f>
        <v>7.0788909937921904E-2</v>
      </c>
      <c r="HG46" s="59">
        <f>'C1-Incomes'!HH48/'C1-Incomes'!$HC48</f>
        <v>3.751479809807954E-2</v>
      </c>
      <c r="HH46" s="59">
        <f>'C1-Incomes'!HI48/'C1-Incomes'!$HC48</f>
        <v>1.5242818045720767E-2</v>
      </c>
      <c r="HK46" s="59">
        <f>'C1-Incomes'!HL48/'C1-Incomes'!$HK48</f>
        <v>0.29674100745976956</v>
      </c>
      <c r="HL46" s="59">
        <f>'C1-Incomes'!HM48/'C1-Incomes'!$HK48</f>
        <v>0.20345010680920525</v>
      </c>
      <c r="HM46" s="59">
        <f>'C1-Incomes'!HN48/'C1-Incomes'!$HK48</f>
        <v>9.3137354707712366E-2</v>
      </c>
      <c r="HN46" s="59">
        <f>'C1-Incomes'!HO48/'C1-Incomes'!$HK48</f>
        <v>6.9132112364301418E-2</v>
      </c>
      <c r="HO46" s="59">
        <f>'C1-Incomes'!HP48/'C1-Incomes'!$HK48</f>
        <v>3.6499558706652099E-2</v>
      </c>
      <c r="HP46" s="59">
        <f>'C1-Incomes'!HQ48/'C1-Incomes'!$HK48</f>
        <v>1.4771575188040505E-2</v>
      </c>
      <c r="HS46" s="59">
        <f>'C1-Incomes'!HT48/'C1-Incomes'!$HS48</f>
        <v>0.29313978452035472</v>
      </c>
      <c r="HT46" s="59">
        <f>'C1-Incomes'!HU48/'C1-Incomes'!$HS48</f>
        <v>0.20052941793478915</v>
      </c>
      <c r="HU46" s="59">
        <f>'C1-Incomes'!HV48/'C1-Incomes'!$HS48</f>
        <v>9.1337855988716507E-2</v>
      </c>
      <c r="HV46" s="59">
        <f>'C1-Incomes'!HW48/'C1-Incomes'!$HS48</f>
        <v>6.7756345126716369E-2</v>
      </c>
      <c r="HW46" s="59">
        <f>'C1-Incomes'!HX48/'C1-Incomes'!$HS48</f>
        <v>3.5837995414443789E-2</v>
      </c>
      <c r="HX46" s="59">
        <f>'C1-Incomes'!HY48/'C1-Incomes'!$HS48</f>
        <v>1.449798963900539E-2</v>
      </c>
      <c r="IA46" s="59">
        <f>'C1-Incomes'!IB48/'C1-Incomes'!$IA48</f>
        <v>0.29754312298859453</v>
      </c>
      <c r="IB46" s="59">
        <f>'C1-Incomes'!IC48/'C1-Incomes'!$IA48</f>
        <v>0.20563363241500182</v>
      </c>
      <c r="IC46" s="59">
        <f>'C1-Incomes'!ID48/'C1-Incomes'!$IA48</f>
        <v>9.5940725300767263E-2</v>
      </c>
      <c r="ID46" s="59">
        <f>'C1-Incomes'!IE48/'C1-Incomes'!$IA48</f>
        <v>7.1565070726558086E-2</v>
      </c>
      <c r="IE46" s="59">
        <f>'C1-Incomes'!IF48/'C1-Incomes'!$IA48</f>
        <v>3.8097112100297578E-2</v>
      </c>
      <c r="IF46" s="59">
        <f>'C1-Incomes'!IG48/'C1-Incomes'!$IA48</f>
        <v>1.5463734954632581E-2</v>
      </c>
      <c r="II46" s="59">
        <f>'C1-Incomes'!IJ48/'C1-Incomes'!$II48</f>
        <v>0.29813989540192798</v>
      </c>
      <c r="IJ46" s="59">
        <f>'C1-Incomes'!IK48/'C1-Incomes'!$II48</f>
        <v>0.20678310509096295</v>
      </c>
      <c r="IK46" s="59">
        <f>'C1-Incomes'!IL48/'C1-Incomes'!$II48</f>
        <v>9.718753549681014E-2</v>
      </c>
      <c r="IL46" s="59">
        <f>'C1-Incomes'!IM48/'C1-Incomes'!$II48</f>
        <v>7.2607633256943596E-2</v>
      </c>
      <c r="IM46" s="59">
        <f>'C1-Incomes'!IN48/'C1-Incomes'!$II48</f>
        <v>3.8607803896580022E-2</v>
      </c>
      <c r="IN46" s="59">
        <f>'C1-Incomes'!IO48/'C1-Incomes'!$II48</f>
        <v>1.5651761226389001E-2</v>
      </c>
      <c r="IQ46" s="59">
        <f>'C1-Incomes'!IR48/'C1-Incomes'!$IQ48</f>
        <v>0.3057785375147819</v>
      </c>
      <c r="IR46" s="59">
        <f>'C1-Incomes'!IS48/'C1-Incomes'!$IQ48</f>
        <v>0.21365520664697599</v>
      </c>
      <c r="IS46" s="59">
        <f>'C1-Incomes'!IT48/'C1-Incomes'!$IQ48</f>
        <v>0.10225389893327261</v>
      </c>
      <c r="IT46" s="59">
        <f>'C1-Incomes'!IU48/'C1-Incomes'!$IQ48</f>
        <v>7.6782587176324663E-2</v>
      </c>
      <c r="IU46" s="59">
        <f>'C1-Incomes'!IV48/'C1-Incomes'!$IQ48</f>
        <v>4.1281484315230592E-2</v>
      </c>
      <c r="IV46" s="59">
        <f>'C1-Incomes'!IW48/'C1-Incomes'!$IQ48</f>
        <v>1.6813207233432638E-2</v>
      </c>
      <c r="IY46" s="59">
        <f>'C1-Incomes'!IZ48/'C1-Incomes'!$IY48</f>
        <v>0.28771448940491928</v>
      </c>
      <c r="IZ46" s="59">
        <f>'C1-Incomes'!JA48/'C1-Incomes'!$IY48</f>
        <v>0.19955079030595757</v>
      </c>
      <c r="JA46" s="59">
        <f>'C1-Incomes'!JB48/'C1-Incomes'!$IY48</f>
        <v>9.4509605359795038E-2</v>
      </c>
      <c r="JB46" s="59">
        <f>'C1-Incomes'!JC48/'C1-Incomes'!$IY48</f>
        <v>7.0775526557391402E-2</v>
      </c>
      <c r="JC46" s="59">
        <f>'C1-Incomes'!JD48/'C1-Incomes'!$IY48</f>
        <v>3.7918385143765013E-2</v>
      </c>
      <c r="JD46" s="59">
        <f>'C1-Incomes'!JE48/'C1-Incomes'!$IY48</f>
        <v>1.5418462082974409E-2</v>
      </c>
      <c r="JE46" s="197"/>
      <c r="JF46" s="197"/>
      <c r="JG46" s="197"/>
      <c r="JH46" s="197"/>
      <c r="JI46" s="197"/>
      <c r="JJ46" s="197"/>
      <c r="JK46" s="197"/>
      <c r="JL46" s="197"/>
      <c r="JM46" s="197"/>
      <c r="JN46" s="197"/>
      <c r="JO46" s="197"/>
      <c r="JP46" s="197"/>
      <c r="JQ46" s="197"/>
      <c r="JR46" s="197"/>
      <c r="JS46" s="197"/>
      <c r="JT46" s="197"/>
      <c r="JU46" s="197"/>
      <c r="JV46" s="197"/>
      <c r="JW46" s="197"/>
      <c r="JX46" s="197"/>
      <c r="JY46" s="197"/>
      <c r="JZ46" s="197"/>
      <c r="KA46" s="197"/>
      <c r="KB46" s="197"/>
      <c r="KC46" s="197"/>
      <c r="KD46" s="197"/>
      <c r="KE46" s="197"/>
      <c r="KF46" s="197"/>
      <c r="KG46" s="197"/>
      <c r="KH46" s="197"/>
      <c r="KI46" s="197"/>
      <c r="KJ46" s="197"/>
      <c r="KK46" s="197"/>
      <c r="KL46" s="197"/>
      <c r="KM46" s="197"/>
      <c r="KN46" s="197"/>
      <c r="KO46" s="197"/>
      <c r="KP46" s="197"/>
      <c r="KQ46" s="197"/>
      <c r="KR46" s="197"/>
      <c r="KS46" s="197"/>
      <c r="KT46" s="197"/>
      <c r="KU46" s="197"/>
      <c r="KV46" s="197"/>
      <c r="KW46" s="197"/>
      <c r="KX46" s="197"/>
      <c r="KY46" s="197"/>
      <c r="KZ46" s="197"/>
      <c r="LA46" s="197"/>
      <c r="LB46" s="197"/>
      <c r="LC46" s="197"/>
      <c r="LD46" s="197"/>
      <c r="LE46" s="197"/>
      <c r="LF46" s="197"/>
      <c r="LG46" s="197"/>
      <c r="LH46" s="197"/>
      <c r="LI46" s="197"/>
      <c r="LJ46" s="197"/>
      <c r="LK46" s="197"/>
      <c r="LL46" s="197"/>
      <c r="LM46" s="197"/>
      <c r="LN46" s="197"/>
      <c r="LO46" s="197"/>
      <c r="LP46" s="197"/>
      <c r="LQ46" s="197"/>
      <c r="LR46" s="197"/>
      <c r="LS46" s="197"/>
      <c r="LT46" s="197"/>
      <c r="LU46" s="197"/>
      <c r="LV46" s="197"/>
      <c r="LW46" s="197"/>
      <c r="LX46" s="197"/>
      <c r="LY46" s="197"/>
      <c r="LZ46" s="197"/>
      <c r="MA46" s="197"/>
      <c r="MB46" s="197"/>
      <c r="MC46" s="197"/>
      <c r="MD46" s="197"/>
      <c r="ME46" s="197"/>
      <c r="MF46" s="197"/>
      <c r="MG46" s="197"/>
      <c r="MH46" s="197"/>
      <c r="MI46" s="197"/>
      <c r="MJ46" s="197"/>
      <c r="MK46" s="197"/>
      <c r="ML46" s="197"/>
      <c r="MM46" s="197"/>
      <c r="MN46" s="197"/>
      <c r="MO46" s="197"/>
      <c r="MP46" s="197"/>
      <c r="MQ46" s="197"/>
      <c r="MR46" s="197"/>
      <c r="MS46" s="197"/>
      <c r="MT46" s="197"/>
      <c r="MU46" s="197"/>
      <c r="MV46" s="197"/>
      <c r="MW46" s="197"/>
      <c r="MX46" s="197"/>
      <c r="MY46" s="197"/>
      <c r="MZ46" s="197"/>
      <c r="NA46" s="197"/>
      <c r="NB46" s="197"/>
      <c r="NC46" s="197"/>
      <c r="ND46" s="197"/>
      <c r="NE46" s="197"/>
      <c r="NF46" s="197"/>
      <c r="NG46" s="197"/>
      <c r="NH46" s="197"/>
      <c r="NI46" s="197"/>
      <c r="NJ46" s="197"/>
      <c r="NK46" s="197"/>
      <c r="NL46" s="197"/>
      <c r="NM46" s="197"/>
      <c r="NN46" s="197"/>
      <c r="NO46" s="197"/>
      <c r="NP46" s="197"/>
      <c r="NQ46" s="197"/>
      <c r="NR46" s="197"/>
      <c r="NS46" s="197"/>
      <c r="NT46" s="197"/>
      <c r="NU46" s="197"/>
      <c r="NV46" s="197"/>
      <c r="NW46" s="197"/>
      <c r="NX46" s="197"/>
      <c r="NY46" s="197"/>
      <c r="NZ46" s="197"/>
      <c r="OA46" s="197"/>
      <c r="OB46" s="197"/>
      <c r="OC46" s="197"/>
      <c r="OD46" s="197"/>
      <c r="OE46" s="197"/>
      <c r="OF46" s="197"/>
      <c r="OG46" s="197"/>
      <c r="OH46" s="197"/>
      <c r="OI46" s="197"/>
      <c r="OJ46" s="197"/>
      <c r="OK46" s="197"/>
      <c r="OL46" s="197"/>
      <c r="OM46" s="197"/>
      <c r="ON46" s="197"/>
      <c r="OO46" s="197"/>
      <c r="OP46" s="197"/>
      <c r="OQ46" s="197"/>
      <c r="OR46" s="197"/>
      <c r="OS46" s="197"/>
      <c r="OT46" s="197"/>
      <c r="OU46" s="197"/>
      <c r="OV46" s="197"/>
      <c r="OW46" s="197"/>
      <c r="OX46" s="197"/>
      <c r="OY46" s="197"/>
      <c r="OZ46" s="197"/>
      <c r="PA46" s="197"/>
      <c r="PB46" s="197"/>
    </row>
    <row r="47" spans="1:418" s="77" customFormat="1" ht="10.5" customHeight="1" x14ac:dyDescent="0.2">
      <c r="A47" s="48">
        <v>2001</v>
      </c>
      <c r="B47" s="59">
        <f>'C1-Incomes'!C49/'C1-Incomes'!$B49</f>
        <v>0.42829297275814115</v>
      </c>
      <c r="C47" s="59">
        <f>'C1-Incomes'!D49/'C1-Incomes'!$B49</f>
        <v>0.30889058165346139</v>
      </c>
      <c r="D47" s="59">
        <f>'C1-Incomes'!E49/'C1-Incomes'!$B49</f>
        <v>0.15627880124956517</v>
      </c>
      <c r="E47" s="59">
        <f>'C1-Incomes'!F49/'C1-Incomes'!$B49</f>
        <v>0.11893580757345336</v>
      </c>
      <c r="F47" s="59">
        <f>'C1-Incomes'!G49/'C1-Incomes'!$B49</f>
        <v>6.3656039029229852E-2</v>
      </c>
      <c r="G47" s="59">
        <f>'C1-Incomes'!H49/'C1-Incomes'!$B49</f>
        <v>2.4805329583967722E-2</v>
      </c>
      <c r="H47" s="199"/>
      <c r="J47" s="59">
        <f>'C1-Incomes'!K49/'C1-Incomes'!$J49</f>
        <v>0.36554924747285483</v>
      </c>
      <c r="K47" s="59">
        <f>'C1-Incomes'!L49/'C1-Incomes'!$J49</f>
        <v>0.2592403884107623</v>
      </c>
      <c r="L47" s="59">
        <f>'C1-Incomes'!M49/'C1-Incomes'!$J49</f>
        <v>0.12713426863166885</v>
      </c>
      <c r="M47" s="59">
        <f>'C1-Incomes'!N49/'C1-Incomes'!$J49</f>
        <v>9.6477228564861531E-2</v>
      </c>
      <c r="N47" s="59">
        <f>'C1-Incomes'!O49/'C1-Incomes'!$J49</f>
        <v>5.1364844109383474E-2</v>
      </c>
      <c r="O47" s="59">
        <f>'C1-Incomes'!P49/'C1-Incomes'!$J49</f>
        <v>2.0376114870078812E-2</v>
      </c>
      <c r="P47" s="59"/>
      <c r="R47" s="59">
        <f>'C1-Incomes'!S49/'C1-Incomes'!$R49</f>
        <v>0.33124952192916163</v>
      </c>
      <c r="S47" s="59">
        <f>'C1-Incomes'!T49/'C1-Incomes'!$R49</f>
        <v>0.23379267127871781</v>
      </c>
      <c r="T47" s="59">
        <f>'C1-Incomes'!U49/'C1-Incomes'!$R49</f>
        <v>0.11389875547142124</v>
      </c>
      <c r="U47" s="59">
        <f>'C1-Incomes'!V49/'C1-Incomes'!$R49</f>
        <v>8.6305113102820658E-2</v>
      </c>
      <c r="V47" s="59">
        <f>'C1-Incomes'!W49/'C1-Incomes'!$R49</f>
        <v>4.5846125608125669E-2</v>
      </c>
      <c r="W47" s="59">
        <f>'C1-Incomes'!X49/'C1-Incomes'!$R49</f>
        <v>1.8163924949651765E-2</v>
      </c>
      <c r="X47" s="59"/>
      <c r="Y47" s="59"/>
      <c r="Z47" s="59">
        <f>'C1-Incomes'!AA49/'C1-Incomes'!$Z49</f>
        <v>0.2773402775792132</v>
      </c>
      <c r="AA47" s="59">
        <f>'C1-Incomes'!AB49/'C1-Incomes'!$Z49</f>
        <v>0.18941331207646769</v>
      </c>
      <c r="AB47" s="59">
        <f>'C1-Incomes'!AC49/'C1-Incomes'!$Z49</f>
        <v>8.6020749470970284E-2</v>
      </c>
      <c r="AC47" s="59">
        <f>'C1-Incomes'!AD49/'C1-Incomes'!$Z49</f>
        <v>6.3422926932303864E-2</v>
      </c>
      <c r="AD47" s="59">
        <f>'C1-Incomes'!AE49/'C1-Incomes'!$Z49</f>
        <v>3.224129457101578E-2</v>
      </c>
      <c r="AE47" s="59">
        <f>'C1-Incomes'!AF49/'C1-Incomes'!$Z49</f>
        <v>1.245554365903751E-2</v>
      </c>
      <c r="AF47" s="200"/>
      <c r="AG47" s="195"/>
      <c r="AH47" s="59">
        <f>'C1-Incomes'!AI49/'C1-Incomes'!$AH49</f>
        <v>0.42043217116093989</v>
      </c>
      <c r="AI47" s="59">
        <f>'C1-Incomes'!AJ49/'C1-Incomes'!$AH49</f>
        <v>0.30245629711125138</v>
      </c>
      <c r="AJ47" s="59">
        <f>'C1-Incomes'!AK49/'C1-Incomes'!$AH49</f>
        <v>0.15242520993959766</v>
      </c>
      <c r="AK47" s="59">
        <f>'C1-Incomes'!AL49/'C1-Incomes'!$AH49</f>
        <v>0.11589547078142381</v>
      </c>
      <c r="AL47" s="59">
        <f>'C1-Incomes'!AM49/'C1-Incomes'!$AH49</f>
        <v>6.1998467874587418E-2</v>
      </c>
      <c r="AM47" s="59">
        <f>'C1-Incomes'!AN49/'C1-Incomes'!$AH49</f>
        <v>2.4209019063129042E-2</v>
      </c>
      <c r="AN47" s="195"/>
      <c r="AO47" s="195"/>
      <c r="AP47" s="59"/>
      <c r="AQ47" s="59"/>
      <c r="AR47" s="59"/>
      <c r="AS47" s="59"/>
      <c r="AT47" s="59"/>
      <c r="AU47" s="59"/>
      <c r="AV47" s="197"/>
      <c r="AW47" s="60"/>
      <c r="AX47" s="59">
        <f>'C1-Incomes'!AY49/'C1-Incomes'!$AX49</f>
        <v>0.42308998650571716</v>
      </c>
      <c r="AY47" s="59">
        <f>'C1-Incomes'!AZ49/'C1-Incomes'!$AX49</f>
        <v>0.30561997802247132</v>
      </c>
      <c r="AZ47" s="59">
        <f>'C1-Incomes'!BA49/'C1-Incomes'!$AX49</f>
        <v>0.15513441169107955</v>
      </c>
      <c r="BA47" s="59">
        <f>'C1-Incomes'!BB49/'C1-Incomes'!$AX49</f>
        <v>0.11826036895407714</v>
      </c>
      <c r="BB47" s="59">
        <f>'C1-Incomes'!BC49/'C1-Incomes'!$AX49</f>
        <v>6.3402664343399986E-2</v>
      </c>
      <c r="BC47" s="59">
        <f>'C1-Incomes'!BD49/'C1-Incomes'!$AX49</f>
        <v>2.4729498047131124E-2</v>
      </c>
      <c r="BD47" s="60"/>
      <c r="BE47" s="60"/>
      <c r="BF47" s="59">
        <f>'C1-Incomes'!BG49/'C1-Incomes'!$BF49</f>
        <v>0.41744165514014259</v>
      </c>
      <c r="BG47" s="59">
        <f>'C1-Incomes'!BH49/'C1-Incomes'!$BF49</f>
        <v>0.30128533056063367</v>
      </c>
      <c r="BH47" s="59">
        <f>'C1-Incomes'!BI49/'C1-Incomes'!$BF49</f>
        <v>0.15303735126815196</v>
      </c>
      <c r="BI47" s="59">
        <f>'C1-Incomes'!BJ49/'C1-Incomes'!$BF49</f>
        <v>0.11685219696281285</v>
      </c>
      <c r="BJ47" s="59">
        <f>'C1-Incomes'!BK49/'C1-Incomes'!$BF49</f>
        <v>6.284758858850327E-2</v>
      </c>
      <c r="BK47" s="59">
        <f>'C1-Incomes'!BL49/'C1-Incomes'!$BF49</f>
        <v>2.4580515419835622E-2</v>
      </c>
      <c r="BL47" s="59"/>
      <c r="BM47" s="59"/>
      <c r="BN47" s="59">
        <f>'C1-Incomes'!BO49/'C1-Incomes'!$BN49</f>
        <v>0.38619624284839354</v>
      </c>
      <c r="BO47" s="59">
        <f>'C1-Incomes'!BP49/'C1-Incomes'!$BN49</f>
        <v>0.27821033643696658</v>
      </c>
      <c r="BP47" s="59">
        <f>'C1-Incomes'!BQ49/'C1-Incomes'!$BN49</f>
        <v>0.14053008771631226</v>
      </c>
      <c r="BQ47" s="59">
        <f>'C1-Incomes'!BR49/'C1-Incomes'!$BN49</f>
        <v>0.10753438632049314</v>
      </c>
      <c r="BR47" s="59">
        <f>'C1-Incomes'!BS49/'C1-Incomes'!$BN49</f>
        <v>5.8154083568998927E-2</v>
      </c>
      <c r="BS47" s="59">
        <f>'C1-Incomes'!BT49/'C1-Incomes'!$BN49</f>
        <v>2.2830684706738033E-2</v>
      </c>
      <c r="BT47" s="59"/>
      <c r="BU47" s="59"/>
      <c r="BV47" s="59">
        <f>'C1-Incomes'!BW49/'C1-Incomes'!$BV49</f>
        <v>0.38826738163922037</v>
      </c>
      <c r="BW47" s="59">
        <f>'C1-Incomes'!BX49/'C1-Incomes'!$BV49</f>
        <v>0.28047038664191765</v>
      </c>
      <c r="BX47" s="59">
        <f>'C1-Incomes'!BY49/'C1-Incomes'!$BV49</f>
        <v>0.14288442195661791</v>
      </c>
      <c r="BY47" s="59">
        <f>'C1-Incomes'!BZ49/'C1-Incomes'!$BV49</f>
        <v>0.10977556567585633</v>
      </c>
      <c r="BZ47" s="59">
        <f>'C1-Incomes'!CA49/'C1-Incomes'!$BV49</f>
        <v>5.9956955142505965E-2</v>
      </c>
      <c r="CA47" s="59">
        <f>'C1-Incomes'!CB49/'C1-Incomes'!$BV49</f>
        <v>2.386187066399726E-2</v>
      </c>
      <c r="CB47" s="60"/>
      <c r="CC47" s="198"/>
      <c r="CD47" s="59">
        <f>'C1-Incomes'!CE49/'C1-Incomes'!$CD49</f>
        <v>0.39143380802107874</v>
      </c>
      <c r="CE47" s="59">
        <f>'C1-Incomes'!CF49/'C1-Incomes'!$CD49</f>
        <v>0.28387517240570531</v>
      </c>
      <c r="CF47" s="59">
        <f>'C1-Incomes'!CG49/'C1-Incomes'!$CD49</f>
        <v>0.14581392917439465</v>
      </c>
      <c r="CG47" s="59">
        <f>'C1-Incomes'!CH49/'C1-Incomes'!$CD49</f>
        <v>0.11233590135584622</v>
      </c>
      <c r="CH47" s="59">
        <f>'C1-Incomes'!CI49/'C1-Incomes'!$CD49</f>
        <v>6.1628277858676264E-2</v>
      </c>
      <c r="CI47" s="59">
        <f>'C1-Incomes'!CJ49/'C1-Incomes'!$CD49</f>
        <v>2.470724189332496E-2</v>
      </c>
      <c r="CL47" s="59">
        <f>'C1-Incomes'!CM49/'C1-Incomes'!$CL49</f>
        <v>0.39280471126202393</v>
      </c>
      <c r="CM47" s="59">
        <f>'C1-Incomes'!CN49/'C1-Incomes'!$CL49</f>
        <v>0.28527943819083457</v>
      </c>
      <c r="CN47" s="59">
        <f>'C1-Incomes'!CO49/'C1-Incomes'!$CL49</f>
        <v>0.14693555901448818</v>
      </c>
      <c r="CO47" s="59">
        <f>'C1-Incomes'!CP49/'C1-Incomes'!$CL49</f>
        <v>0.11329369272554725</v>
      </c>
      <c r="CP47" s="59">
        <f>'C1-Incomes'!CQ49/'C1-Incomes'!$CL49</f>
        <v>6.2208344145846368E-2</v>
      </c>
      <c r="CQ47" s="59">
        <f>'C1-Incomes'!CR49/'C1-Incomes'!$CL49</f>
        <v>2.5035419408477907E-2</v>
      </c>
      <c r="CR47" s="59"/>
      <c r="CS47" s="59"/>
      <c r="CT47" s="59">
        <f>'C1-Incomes'!CU49/'C1-Incomes'!$CT49</f>
        <v>0.39509533123293383</v>
      </c>
      <c r="CU47" s="59">
        <f>'C1-Incomes'!CV49/'C1-Incomes'!$CT49</f>
        <v>0.28777516591197816</v>
      </c>
      <c r="CV47" s="59">
        <f>'C1-Incomes'!CW49/'C1-Incomes'!$CT49</f>
        <v>0.14905470035485618</v>
      </c>
      <c r="CW47" s="59">
        <f>'C1-Incomes'!CX49/'C1-Incomes'!$CT49</f>
        <v>0.11508700549539257</v>
      </c>
      <c r="CX47" s="59">
        <f>'C1-Incomes'!CY49/'C1-Incomes'!$CT49</f>
        <v>6.3326223967442807E-2</v>
      </c>
      <c r="CY47" s="59">
        <f>'C1-Incomes'!CZ49/'C1-Incomes'!$CT49</f>
        <v>2.5557660676320273E-2</v>
      </c>
      <c r="CZ47" s="59"/>
      <c r="DA47" s="59"/>
      <c r="DB47" s="59">
        <f>'C1-Incomes'!DC49/'C1-Incomes'!$DB49</f>
        <v>0.39714413312785346</v>
      </c>
      <c r="DC47" s="59">
        <f>'C1-Incomes'!DD49/'C1-Incomes'!$DB49</f>
        <v>0.28977655838550292</v>
      </c>
      <c r="DD47" s="59">
        <f>'C1-Incomes'!DE49/'C1-Incomes'!$DB49</f>
        <v>0.15054930942442268</v>
      </c>
      <c r="DE47" s="59">
        <f>'C1-Incomes'!DF49/'C1-Incomes'!$DB49</f>
        <v>0.11647282175002684</v>
      </c>
      <c r="DF47" s="59">
        <f>'C1-Incomes'!DG49/'C1-Incomes'!$DB49</f>
        <v>6.4165294302079789E-2</v>
      </c>
      <c r="DG47" s="59">
        <f>'C1-Incomes'!DH49/'C1-Incomes'!$DB49</f>
        <v>2.5911138340980539E-2</v>
      </c>
      <c r="DH47" s="59"/>
      <c r="DI47" s="1039"/>
      <c r="DJ47" s="59">
        <f>'C1-Incomes'!DK49/'C1-Incomes'!$DJ49</f>
        <v>0.38905915929412799</v>
      </c>
      <c r="DK47" s="59">
        <f>'C1-Incomes'!DL49/'C1-Incomes'!$DJ49</f>
        <v>0.2838236544489397</v>
      </c>
      <c r="DL47" s="59">
        <f>'C1-Incomes'!DM49/'C1-Incomes'!$DJ49</f>
        <v>0.14595349437149358</v>
      </c>
      <c r="DM47" s="59">
        <f>'C1-Incomes'!DN49/'C1-Incomes'!$DJ49</f>
        <v>0.1121269646744019</v>
      </c>
      <c r="DN47" s="59">
        <f>'C1-Incomes'!DO49/'C1-Incomes'!$DJ49</f>
        <v>6.0827825133048727E-2</v>
      </c>
      <c r="DO47" s="59">
        <f>'C1-Incomes'!DP49/'C1-Incomes'!$DJ49</f>
        <v>2.4430544963139747E-2</v>
      </c>
      <c r="DP47" s="696"/>
      <c r="DQ47" s="503"/>
      <c r="DR47" s="59">
        <f>'C1-Incomes'!DS49/'C1-Incomes'!$DR49</f>
        <v>0.38800054264276435</v>
      </c>
      <c r="DS47" s="59">
        <f>'C1-Incomes'!DT49/'C1-Incomes'!$DR49</f>
        <v>0.28173273360990264</v>
      </c>
      <c r="DT47" s="59">
        <f>'C1-Incomes'!DU49/'C1-Incomes'!$DR49</f>
        <v>0.14370707023369617</v>
      </c>
      <c r="DU47" s="59">
        <f>'C1-Incomes'!DV49/'C1-Incomes'!$DR49</f>
        <v>0.1100715895456983</v>
      </c>
      <c r="DV47" s="59">
        <f>'C1-Incomes'!DW49/'C1-Incomes'!$DR49</f>
        <v>5.9369273219745486E-2</v>
      </c>
      <c r="DW47" s="59">
        <f>'C1-Incomes'!DX49/'C1-Incomes'!$DR49</f>
        <v>2.3726126425189446E-2</v>
      </c>
      <c r="DX47" s="333"/>
      <c r="DZ47" s="59">
        <f>'C1-Incomes'!EA49/'C1-Incomes'!$DZ49</f>
        <v>0.38066247870451519</v>
      </c>
      <c r="EA47" s="59">
        <f>'C1-Incomes'!EB49/'C1-Incomes'!$DZ49</f>
        <v>0.27452467516580442</v>
      </c>
      <c r="EB47" s="59">
        <f>'C1-Incomes'!EC49/'C1-Incomes'!$DZ49</f>
        <v>0.13862774586130491</v>
      </c>
      <c r="EC47" s="59">
        <f>'C1-Incomes'!ED49/'C1-Incomes'!$DZ49</f>
        <v>0.10600414772689182</v>
      </c>
      <c r="ED47" s="59">
        <f>'C1-Incomes'!EE49/'C1-Incomes'!$DZ49</f>
        <v>5.7030738460322236E-2</v>
      </c>
      <c r="EE47" s="59">
        <f>'C1-Incomes'!EF49/'C1-Incomes'!$DZ49</f>
        <v>2.2757841821694345E-2</v>
      </c>
      <c r="EF47" s="59"/>
      <c r="EH47" s="59">
        <f>'C1-Incomes'!EI49/'C1-Incomes'!$EH49</f>
        <v>0.37220045126754514</v>
      </c>
      <c r="EI47" s="59">
        <f>'C1-Incomes'!EJ49/'C1-Incomes'!$EH49</f>
        <v>0.26556929044893501</v>
      </c>
      <c r="EJ47" s="59">
        <f>'C1-Incomes'!EK49/'C1-Incomes'!$EH49</f>
        <v>0.13216224404889598</v>
      </c>
      <c r="EK47" s="59">
        <f>'C1-Incomes'!EL49/'C1-Incomes'!$EH49</f>
        <v>0.1008426936478501</v>
      </c>
      <c r="EL47" s="59">
        <f>'C1-Incomes'!EM49/'C1-Incomes'!$EH49</f>
        <v>5.4119410174738224E-2</v>
      </c>
      <c r="EM47" s="59">
        <f>'C1-Incomes'!EN49/'C1-Incomes'!$EH49</f>
        <v>2.1571881860978376E-2</v>
      </c>
      <c r="EN47" s="59"/>
      <c r="EO47" s="59"/>
      <c r="EP47" s="59">
        <f>'C1-Incomes'!EQ49/'C1-Incomes'!$EH49</f>
        <v>0.3861077959063054</v>
      </c>
      <c r="EQ47" s="59">
        <f>'C1-Incomes'!ER49/'C1-Incomes'!$EH49</f>
        <v>0.27519435894156952</v>
      </c>
      <c r="ER47" s="59">
        <f>'C1-Incomes'!ES49/'C1-Incomes'!$EH49</f>
        <v>0.13614748630952228</v>
      </c>
      <c r="ES47" s="59">
        <f>'C1-Incomes'!ET49/'C1-Incomes'!$EH49</f>
        <v>0.10353983848907408</v>
      </c>
      <c r="ET47" s="59">
        <f>'C1-Incomes'!EU49/'C1-Incomes'!$EH49</f>
        <v>5.5182127486463707E-2</v>
      </c>
      <c r="EU47" s="59">
        <f>'C1-Incomes'!EV49/'C1-Incomes'!$EH49</f>
        <v>2.1907846154043772E-2</v>
      </c>
      <c r="EV47" s="59"/>
      <c r="EW47" s="59"/>
      <c r="EX47" s="59">
        <f>'C1-Incomes'!EY49/'C1-Incomes'!$EX49</f>
        <v>0.36554924747285483</v>
      </c>
      <c r="EY47" s="59">
        <f>'C1-Incomes'!EZ49/'C1-Incomes'!$EX49</f>
        <v>0.2592403884107623</v>
      </c>
      <c r="EZ47" s="59">
        <f>'C1-Incomes'!FA49/'C1-Incomes'!$EX49</f>
        <v>0.12713426863166885</v>
      </c>
      <c r="FA47" s="59">
        <f>'C1-Incomes'!FB49/'C1-Incomes'!$EX49</f>
        <v>9.6477228564861531E-2</v>
      </c>
      <c r="FB47" s="59">
        <f>'C1-Incomes'!FC49/'C1-Incomes'!$EX49</f>
        <v>5.1364844109383474E-2</v>
      </c>
      <c r="FC47" s="59">
        <f>'C1-Incomes'!FD49/'C1-Incomes'!$EX49</f>
        <v>2.0376114870078812E-2</v>
      </c>
      <c r="FD47" s="59"/>
      <c r="FF47" s="59">
        <f>'C1-Incomes'!FG49/'C1-Incomes'!$FF49</f>
        <v>0.35299693539649596</v>
      </c>
      <c r="FG47" s="59">
        <f>'C1-Incomes'!FH49/'C1-Incomes'!$FF49</f>
        <v>0.24976178951067532</v>
      </c>
      <c r="FH47" s="59">
        <f>'C1-Incomes'!FI49/'C1-Incomes'!$FF49</f>
        <v>0.12198334756862593</v>
      </c>
      <c r="FI47" s="59">
        <f>'C1-Incomes'!FJ49/'C1-Incomes'!$FF49</f>
        <v>9.2463356225426174E-2</v>
      </c>
      <c r="FJ47" s="59">
        <f>'C1-Incomes'!FK49/'C1-Incomes'!$FF49</f>
        <v>4.9123630008642748E-2</v>
      </c>
      <c r="FK47" s="59">
        <f>'C1-Incomes'!FL49/'C1-Incomes'!$FF49</f>
        <v>1.9465548445689068E-2</v>
      </c>
      <c r="FN47" s="59">
        <f>'C1-Incomes'!FO49/'C1-Incomes'!$FN49</f>
        <v>0.35202934940256486</v>
      </c>
      <c r="FO47" s="59">
        <f>'C1-Incomes'!FP49/'C1-Incomes'!$FN49</f>
        <v>0.24900288409373747</v>
      </c>
      <c r="FP47" s="59">
        <f>'C1-Incomes'!FQ49/'C1-Incomes'!$FN49</f>
        <v>0.12158486548648798</v>
      </c>
      <c r="FQ47" s="59">
        <f>'C1-Incomes'!FR49/'C1-Incomes'!$FN49</f>
        <v>9.2164585380678232E-2</v>
      </c>
      <c r="FR47" s="59">
        <f>'C1-Incomes'!FS49/'C1-Incomes'!$FN49</f>
        <v>4.8961744716112927E-2</v>
      </c>
      <c r="FS47" s="59">
        <f>'C1-Incomes'!FT49/'C1-Incomes'!$FN49</f>
        <v>1.9401217405987714E-2</v>
      </c>
      <c r="FV47" s="59">
        <f>'C1-Incomes'!FW49/'C1-Incomes'!$FV49</f>
        <v>0.34783257635751286</v>
      </c>
      <c r="FW47" s="59">
        <f>'C1-Incomes'!FX49/'C1-Incomes'!$FV49</f>
        <v>0.24597795886713311</v>
      </c>
      <c r="FX47" s="59">
        <f>'C1-Incomes'!FY49/'C1-Incomes'!$FV49</f>
        <v>0.12006862474180104</v>
      </c>
      <c r="FY47" s="59">
        <f>'C1-Incomes'!FZ49/'C1-Incomes'!$FV49</f>
        <v>9.1008215566530506E-2</v>
      </c>
      <c r="FZ47" s="59">
        <f>'C1-Incomes'!GA49/'C1-Incomes'!$FV49</f>
        <v>4.8342926783729569E-2</v>
      </c>
      <c r="GA47" s="59">
        <f>'C1-Incomes'!GB49/'C1-Incomes'!$FV49</f>
        <v>1.9155203356390614E-2</v>
      </c>
      <c r="GE47" s="59">
        <f>'C1-Incomes'!GF49/'C1-Incomes'!$GE49</f>
        <v>0.34164976028843774</v>
      </c>
      <c r="GF47" s="59">
        <f>'C1-Incomes'!GG49/'C1-Incomes'!$GE49</f>
        <v>0.24113305774566199</v>
      </c>
      <c r="GG47" s="59">
        <f>'C1-Incomes'!GH49/'C1-Incomes'!$GE49</f>
        <v>0.11747483370642925</v>
      </c>
      <c r="GH47" s="59">
        <f>'C1-Incomes'!GI49/'C1-Incomes'!$GE49</f>
        <v>8.9014833988351694E-2</v>
      </c>
      <c r="GI47" s="59">
        <f>'C1-Incomes'!GJ49/'C1-Incomes'!$GE49</f>
        <v>4.7285556015140069E-2</v>
      </c>
      <c r="GJ47" s="59">
        <f>'C1-Incomes'!GK49/'C1-Incomes'!$GE49</f>
        <v>1.8734217543332186E-2</v>
      </c>
      <c r="GM47" s="59">
        <f>'C1-Incomes'!GN49/'C1-Incomes'!$GM49</f>
        <v>0.33124952192916163</v>
      </c>
      <c r="GN47" s="59">
        <f>'C1-Incomes'!GO49/'C1-Incomes'!$GM49</f>
        <v>0.23379267127871781</v>
      </c>
      <c r="GO47" s="59">
        <f>'C1-Incomes'!GP49/'C1-Incomes'!$GM49</f>
        <v>0.11389875547142124</v>
      </c>
      <c r="GP47" s="59">
        <f>'C1-Incomes'!GQ49/'C1-Incomes'!$GM49</f>
        <v>8.6305113102820658E-2</v>
      </c>
      <c r="GQ47" s="59">
        <f>'C1-Incomes'!GR49/'C1-Incomes'!$GM49</f>
        <v>4.5846125608125669E-2</v>
      </c>
      <c r="GR47" s="59">
        <f>'C1-Incomes'!GS49/'C1-Incomes'!$GM49</f>
        <v>1.8163924949651765E-2</v>
      </c>
      <c r="GU47" s="59">
        <f>'C1-Incomes'!GV49/'C1-Incomes'!$GU49</f>
        <v>0.29914770855705514</v>
      </c>
      <c r="GV47" s="59">
        <f>'C1-Incomes'!GW49/'C1-Incomes'!$GU49</f>
        <v>0.2045104498180644</v>
      </c>
      <c r="GW47" s="59">
        <f>'C1-Incomes'!GX49/'C1-Incomes'!$GU49</f>
        <v>9.2707883140076816E-2</v>
      </c>
      <c r="GX47" s="59">
        <f>'C1-Incomes'!GY49/'C1-Incomes'!$GU49</f>
        <v>6.8559513180313461E-2</v>
      </c>
      <c r="GY47" s="59">
        <f>'C1-Incomes'!GZ49/'C1-Incomes'!$GU49</f>
        <v>3.5057383605317925E-2</v>
      </c>
      <c r="GZ47" s="59">
        <f>'C1-Incomes'!HA49/'C1-Incomes'!$GU49</f>
        <v>1.3637603501838532E-2</v>
      </c>
      <c r="HC47" s="59">
        <f>'C1-Incomes'!HD49/'C1-Incomes'!$HC49</f>
        <v>0.29306961485742034</v>
      </c>
      <c r="HD47" s="59">
        <f>'C1-Incomes'!HE49/'C1-Incomes'!$HC49</f>
        <v>0.19892480848502017</v>
      </c>
      <c r="HE47" s="59">
        <f>'C1-Incomes'!HF49/'C1-Incomes'!$HC49</f>
        <v>8.8982687143667055E-2</v>
      </c>
      <c r="HF47" s="59">
        <f>'C1-Incomes'!HG49/'C1-Incomes'!$HC49</f>
        <v>6.5412580446118071E-2</v>
      </c>
      <c r="HG47" s="59">
        <f>'C1-Incomes'!HH49/'C1-Incomes'!$HC49</f>
        <v>3.3174850117887636E-2</v>
      </c>
      <c r="HH47" s="59">
        <f>'C1-Incomes'!HI49/'C1-Incomes'!$HC49</f>
        <v>1.2866913315607707E-2</v>
      </c>
      <c r="HK47" s="59">
        <f>'C1-Incomes'!HL49/'C1-Incomes'!$HK49</f>
        <v>0.29091253943930934</v>
      </c>
      <c r="HL47" s="59">
        <f>'C1-Incomes'!HM49/'C1-Incomes'!$HK49</f>
        <v>0.19707736198781553</v>
      </c>
      <c r="HM47" s="59">
        <f>'C1-Incomes'!HN49/'C1-Incomes'!$HK49</f>
        <v>8.7624462112761661E-2</v>
      </c>
      <c r="HN47" s="59">
        <f>'C1-Incomes'!HO49/'C1-Incomes'!$HK49</f>
        <v>6.4261076790877669E-2</v>
      </c>
      <c r="HO47" s="59">
        <f>'C1-Incomes'!HP49/'C1-Incomes'!$HK49</f>
        <v>3.2470369949354594E-2</v>
      </c>
      <c r="HP47" s="59">
        <f>'C1-Incomes'!HQ49/'C1-Incomes'!$HK49</f>
        <v>1.2502869780438242E-2</v>
      </c>
      <c r="HS47" s="59">
        <f>'C1-Incomes'!HT49/'C1-Incomes'!$HS49</f>
        <v>0.28715324061332997</v>
      </c>
      <c r="HT47" s="59">
        <f>'C1-Incomes'!HU49/'C1-Incomes'!$HS49</f>
        <v>0.19396811394907862</v>
      </c>
      <c r="HU47" s="59">
        <f>'C1-Incomes'!HV49/'C1-Incomes'!$HS49</f>
        <v>8.5631669229738111E-2</v>
      </c>
      <c r="HV47" s="59">
        <f>'C1-Incomes'!HW49/'C1-Incomes'!$HS49</f>
        <v>6.2745981866606168E-2</v>
      </c>
      <c r="HW47" s="59">
        <f>'C1-Incomes'!HX49/'C1-Incomes'!$HS49</f>
        <v>3.1613918786614327E-2</v>
      </c>
      <c r="HX47" s="59">
        <f>'C1-Incomes'!HY49/'C1-Incomes'!$HS49</f>
        <v>1.2154257985138823E-2</v>
      </c>
      <c r="IA47" s="59">
        <f>'C1-Incomes'!IB49/'C1-Incomes'!$IA49</f>
        <v>0.29076127399626917</v>
      </c>
      <c r="IB47" s="59">
        <f>'C1-Incomes'!IC49/'C1-Incomes'!$IA49</f>
        <v>0.19870446471003214</v>
      </c>
      <c r="IC47" s="59">
        <f>'C1-Incomes'!ID49/'C1-Incomes'!$IA49</f>
        <v>8.9915777501971619E-2</v>
      </c>
      <c r="ID47" s="59">
        <f>'C1-Incomes'!IE49/'C1-Incomes'!$IA49</f>
        <v>6.6248745229536055E-2</v>
      </c>
      <c r="IE47" s="59">
        <f>'C1-Incomes'!IF49/'C1-Incomes'!$IA49</f>
        <v>3.366521439066758E-2</v>
      </c>
      <c r="IF47" s="59">
        <f>'C1-Incomes'!IG49/'C1-Incomes'!$IA49</f>
        <v>1.3001257199123204E-2</v>
      </c>
      <c r="II47" s="59">
        <f>'C1-Incomes'!IJ49/'C1-Incomes'!$II49</f>
        <v>0.29118134987210648</v>
      </c>
      <c r="IJ47" s="59">
        <f>'C1-Incomes'!IK49/'C1-Incomes'!$II49</f>
        <v>0.19979140160518183</v>
      </c>
      <c r="IK47" s="59">
        <f>'C1-Incomes'!IL49/'C1-Incomes'!$II49</f>
        <v>9.1004841153369528E-2</v>
      </c>
      <c r="IL47" s="59">
        <f>'C1-Incomes'!IM49/'C1-Incomes'!$II49</f>
        <v>6.7151936639110787E-2</v>
      </c>
      <c r="IM47" s="59">
        <f>'C1-Incomes'!IN49/'C1-Incomes'!$II49</f>
        <v>3.4105620716481599E-2</v>
      </c>
      <c r="IN47" s="59">
        <f>'C1-Incomes'!IO49/'C1-Incomes'!$II49</f>
        <v>1.3156591432329251E-2</v>
      </c>
      <c r="IQ47" s="59">
        <f>'C1-Incomes'!IR49/'C1-Incomes'!$IQ49</f>
        <v>0.29495089726212681</v>
      </c>
      <c r="IR47" s="59">
        <f>'C1-Incomes'!IS49/'C1-Incomes'!$IQ49</f>
        <v>0.20300604112567713</v>
      </c>
      <c r="IS47" s="59">
        <f>'C1-Incomes'!IT49/'C1-Incomes'!$IQ49</f>
        <v>9.3303353922125132E-2</v>
      </c>
      <c r="IT47" s="59">
        <f>'C1-Incomes'!IU49/'C1-Incomes'!$IQ49</f>
        <v>6.9013254113451009E-2</v>
      </c>
      <c r="IU47" s="59">
        <f>'C1-Incomes'!IV49/'C1-Incomes'!$IQ49</f>
        <v>3.5224653128902564E-2</v>
      </c>
      <c r="IV47" s="59">
        <f>'C1-Incomes'!IW49/'C1-Incomes'!$IQ49</f>
        <v>1.3634090305181481E-2</v>
      </c>
      <c r="IY47" s="59">
        <f>'C1-Incomes'!IZ49/'C1-Incomes'!$IY49</f>
        <v>0.2773402775792132</v>
      </c>
      <c r="IZ47" s="59">
        <f>'C1-Incomes'!JA49/'C1-Incomes'!$IY49</f>
        <v>0.18941331207646769</v>
      </c>
      <c r="JA47" s="59">
        <f>'C1-Incomes'!JB49/'C1-Incomes'!$IY49</f>
        <v>8.6020749470970284E-2</v>
      </c>
      <c r="JB47" s="59">
        <f>'C1-Incomes'!JC49/'C1-Incomes'!$IY49</f>
        <v>6.3422926932303864E-2</v>
      </c>
      <c r="JC47" s="59">
        <f>'C1-Incomes'!JD49/'C1-Incomes'!$IY49</f>
        <v>3.224129457101578E-2</v>
      </c>
      <c r="JD47" s="59">
        <f>'C1-Incomes'!JE49/'C1-Incomes'!$IY49</f>
        <v>1.245554365903751E-2</v>
      </c>
      <c r="JE47" s="197"/>
      <c r="JF47" s="197"/>
      <c r="JG47" s="197"/>
      <c r="JH47" s="197"/>
      <c r="JI47" s="197"/>
      <c r="JJ47" s="197"/>
      <c r="JK47" s="197"/>
      <c r="JL47" s="197"/>
      <c r="JM47" s="197"/>
      <c r="JN47" s="197"/>
      <c r="JO47" s="197"/>
      <c r="JP47" s="197"/>
      <c r="JQ47" s="197"/>
      <c r="JR47" s="197"/>
      <c r="JS47" s="197"/>
      <c r="JT47" s="197"/>
      <c r="JU47" s="197"/>
      <c r="JV47" s="197"/>
      <c r="JW47" s="197"/>
      <c r="JX47" s="197"/>
      <c r="JY47" s="197"/>
      <c r="JZ47" s="197"/>
      <c r="KA47" s="197"/>
      <c r="KB47" s="197"/>
      <c r="KC47" s="197"/>
      <c r="KD47" s="197"/>
      <c r="KE47" s="197"/>
      <c r="KF47" s="197"/>
      <c r="KG47" s="197"/>
      <c r="KH47" s="197"/>
      <c r="KI47" s="197"/>
      <c r="KJ47" s="197"/>
      <c r="KK47" s="197"/>
      <c r="KL47" s="197"/>
      <c r="KM47" s="197"/>
      <c r="KN47" s="197"/>
      <c r="KO47" s="197"/>
      <c r="KP47" s="197"/>
      <c r="KQ47" s="197"/>
      <c r="KR47" s="197"/>
      <c r="KS47" s="197"/>
      <c r="KT47" s="197"/>
      <c r="KU47" s="197"/>
      <c r="KV47" s="197"/>
      <c r="KW47" s="197"/>
      <c r="KX47" s="197"/>
      <c r="KY47" s="197"/>
      <c r="KZ47" s="197"/>
      <c r="LA47" s="197"/>
      <c r="LB47" s="197"/>
      <c r="LC47" s="197"/>
      <c r="LD47" s="197"/>
      <c r="LE47" s="197"/>
      <c r="LF47" s="197"/>
      <c r="LG47" s="197"/>
      <c r="LH47" s="197"/>
      <c r="LI47" s="197"/>
      <c r="LJ47" s="197"/>
      <c r="LK47" s="197"/>
      <c r="LL47" s="197"/>
      <c r="LM47" s="197"/>
      <c r="LN47" s="197"/>
      <c r="LO47" s="197"/>
      <c r="LP47" s="197"/>
      <c r="LQ47" s="197"/>
      <c r="LR47" s="197"/>
      <c r="LS47" s="197"/>
      <c r="LT47" s="197"/>
      <c r="LU47" s="197"/>
      <c r="LV47" s="197"/>
      <c r="LW47" s="197"/>
      <c r="LX47" s="197"/>
      <c r="LY47" s="197"/>
      <c r="LZ47" s="197"/>
      <c r="MA47" s="197"/>
      <c r="MB47" s="197"/>
      <c r="MC47" s="197"/>
      <c r="MD47" s="197"/>
      <c r="ME47" s="197"/>
      <c r="MF47" s="197"/>
      <c r="MG47" s="197"/>
      <c r="MH47" s="197"/>
      <c r="MI47" s="197"/>
      <c r="MJ47" s="197"/>
      <c r="MK47" s="197"/>
      <c r="ML47" s="197"/>
      <c r="MM47" s="197"/>
      <c r="MN47" s="197"/>
      <c r="MO47" s="197"/>
      <c r="MP47" s="197"/>
      <c r="MQ47" s="197"/>
      <c r="MR47" s="197"/>
      <c r="MS47" s="197"/>
      <c r="MT47" s="197"/>
      <c r="MU47" s="197"/>
      <c r="MV47" s="197"/>
      <c r="MW47" s="197"/>
      <c r="MX47" s="197"/>
      <c r="MY47" s="197"/>
      <c r="MZ47" s="197"/>
      <c r="NA47" s="197"/>
      <c r="NB47" s="197"/>
      <c r="NC47" s="197"/>
      <c r="ND47" s="197"/>
      <c r="NE47" s="197"/>
      <c r="NF47" s="197"/>
      <c r="NG47" s="197"/>
      <c r="NH47" s="197"/>
      <c r="NI47" s="197"/>
      <c r="NJ47" s="197"/>
      <c r="NK47" s="197"/>
      <c r="NL47" s="197"/>
      <c r="NM47" s="197"/>
      <c r="NN47" s="197"/>
      <c r="NO47" s="197"/>
      <c r="NP47" s="197"/>
      <c r="NQ47" s="197"/>
      <c r="NR47" s="197"/>
      <c r="NS47" s="197"/>
      <c r="NT47" s="197"/>
      <c r="NU47" s="197"/>
      <c r="NV47" s="197"/>
      <c r="NW47" s="197"/>
      <c r="NX47" s="197"/>
      <c r="NY47" s="197"/>
      <c r="NZ47" s="197"/>
      <c r="OA47" s="197"/>
      <c r="OB47" s="197"/>
      <c r="OC47" s="197"/>
      <c r="OD47" s="197"/>
      <c r="OE47" s="197"/>
      <c r="OF47" s="197"/>
      <c r="OG47" s="197"/>
      <c r="OH47" s="197"/>
      <c r="OI47" s="197"/>
      <c r="OJ47" s="197"/>
      <c r="OK47" s="197"/>
      <c r="OL47" s="197"/>
      <c r="OM47" s="197"/>
      <c r="ON47" s="197"/>
      <c r="OO47" s="197"/>
      <c r="OP47" s="197"/>
      <c r="OQ47" s="197"/>
      <c r="OR47" s="197"/>
      <c r="OS47" s="197"/>
      <c r="OT47" s="197"/>
      <c r="OU47" s="197"/>
      <c r="OV47" s="197"/>
      <c r="OW47" s="197"/>
      <c r="OX47" s="197"/>
      <c r="OY47" s="197"/>
      <c r="OZ47" s="197"/>
      <c r="PA47" s="197"/>
      <c r="PB47" s="197"/>
    </row>
    <row r="48" spans="1:418" s="77" customFormat="1" ht="10.5" customHeight="1" x14ac:dyDescent="0.2">
      <c r="A48" s="48">
        <v>2002</v>
      </c>
      <c r="B48" s="59">
        <f>'C1-Incomes'!C50/'C1-Incomes'!$B50</f>
        <v>0.4250564662855163</v>
      </c>
      <c r="C48" s="59">
        <f>'C1-Incomes'!D50/'C1-Incomes'!$B50</f>
        <v>0.30398219624780115</v>
      </c>
      <c r="D48" s="59">
        <f>'C1-Incomes'!E50/'C1-Incomes'!$B50</f>
        <v>0.15024999167473227</v>
      </c>
      <c r="E48" s="59">
        <f>'C1-Incomes'!F50/'C1-Incomes'!$B50</f>
        <v>0.11318992695287201</v>
      </c>
      <c r="F48" s="59">
        <f>'C1-Incomes'!G50/'C1-Incomes'!$B50</f>
        <v>5.9164597914216709E-2</v>
      </c>
      <c r="G48" s="59">
        <f>'C1-Incomes'!H50/'C1-Incomes'!$B50</f>
        <v>2.2733024671689493E-2</v>
      </c>
      <c r="H48" s="199"/>
      <c r="J48" s="59">
        <f>'C1-Incomes'!K50/'C1-Incomes'!$J50</f>
        <v>0.36067174549670872</v>
      </c>
      <c r="K48" s="59">
        <f>'C1-Incomes'!L50/'C1-Incomes'!$J50</f>
        <v>0.25386332720114063</v>
      </c>
      <c r="L48" s="59">
        <f>'C1-Incomes'!M50/'C1-Incomes'!$J50</f>
        <v>0.12068197568424517</v>
      </c>
      <c r="M48" s="59">
        <f>'C1-Incomes'!N50/'C1-Incomes'!$J50</f>
        <v>9.0350959380617046E-2</v>
      </c>
      <c r="N48" s="59">
        <f>'C1-Incomes'!O50/'C1-Incomes'!$J50</f>
        <v>4.7364585365923591E-2</v>
      </c>
      <c r="O48" s="59">
        <f>'C1-Incomes'!P50/'C1-Incomes'!$J50</f>
        <v>1.8677398455124311E-2</v>
      </c>
      <c r="P48" s="59"/>
      <c r="R48" s="59">
        <f>'C1-Incomes'!S50/'C1-Incomes'!$R50</f>
        <v>0.32507060799945703</v>
      </c>
      <c r="S48" s="59">
        <f>'C1-Incomes'!T50/'C1-Incomes'!$R50</f>
        <v>0.22745023387938079</v>
      </c>
      <c r="T48" s="59">
        <f>'C1-Incomes'!U50/'C1-Incomes'!$R50</f>
        <v>0.10745535683987288</v>
      </c>
      <c r="U48" s="59">
        <f>'C1-Incomes'!V50/'C1-Incomes'!$R50</f>
        <v>8.0339966635552873E-2</v>
      </c>
      <c r="V48" s="59">
        <f>'C1-Incomes'!W50/'C1-Incomes'!$R50</f>
        <v>4.1952198328812189E-2</v>
      </c>
      <c r="W48" s="59">
        <f>'C1-Incomes'!X50/'C1-Incomes'!$R50</f>
        <v>1.653718150013208E-2</v>
      </c>
      <c r="X48" s="59"/>
      <c r="Y48" s="59"/>
      <c r="Z48" s="59">
        <f>'C1-Incomes'!AA50/'C1-Incomes'!$Z50</f>
        <v>0.26931509889210314</v>
      </c>
      <c r="AA48" s="59">
        <f>'C1-Incomes'!AB50/'C1-Incomes'!$Z50</f>
        <v>0.18226006916385906</v>
      </c>
      <c r="AB48" s="59">
        <f>'C1-Incomes'!AC50/'C1-Incomes'!$Z50</f>
        <v>8.036672533413558E-2</v>
      </c>
      <c r="AC48" s="59">
        <f>'C1-Incomes'!AD50/'C1-Incomes'!$Z50</f>
        <v>5.8553668877394285E-2</v>
      </c>
      <c r="AD48" s="59">
        <f>'C1-Incomes'!AE50/'C1-Incomes'!$Z50</f>
        <v>2.9152480112039719E-2</v>
      </c>
      <c r="AE48" s="59">
        <f>'C1-Incomes'!AF50/'C1-Incomes'!$Z50</f>
        <v>1.1084193542208678E-2</v>
      </c>
      <c r="AF48" s="200"/>
      <c r="AG48" s="195"/>
      <c r="AH48" s="59">
        <f>'C1-Incomes'!AI50/'C1-Incomes'!$AH50</f>
        <v>0.41768903407099417</v>
      </c>
      <c r="AI48" s="59">
        <f>'C1-Incomes'!AJ50/'C1-Incomes'!$AH50</f>
        <v>0.29790715746668034</v>
      </c>
      <c r="AJ48" s="59">
        <f>'C1-Incomes'!AK50/'C1-Incomes'!$AH50</f>
        <v>0.14663321912350749</v>
      </c>
      <c r="AK48" s="59">
        <f>'C1-Incomes'!AL50/'C1-Incomes'!$AH50</f>
        <v>0.11032440846593526</v>
      </c>
      <c r="AL48" s="59">
        <f>'C1-Incomes'!AM50/'C1-Incomes'!$AH50</f>
        <v>5.7613055037504489E-2</v>
      </c>
      <c r="AM48" s="59">
        <f>'C1-Incomes'!AN50/'C1-Incomes'!$AH50</f>
        <v>2.2171396277421398E-2</v>
      </c>
      <c r="AN48" s="195"/>
      <c r="AO48" s="195"/>
      <c r="AP48" s="59"/>
      <c r="AQ48" s="59"/>
      <c r="AR48" s="59"/>
      <c r="AS48" s="59"/>
      <c r="AT48" s="59"/>
      <c r="AU48" s="59"/>
      <c r="AV48" s="197"/>
      <c r="AW48" s="60"/>
      <c r="AX48" s="59">
        <f>'C1-Incomes'!AY50/'C1-Incomes'!$AX50</f>
        <v>0.42026038550251804</v>
      </c>
      <c r="AY48" s="59">
        <f>'C1-Incomes'!AZ50/'C1-Incomes'!$AX50</f>
        <v>0.30085717152037506</v>
      </c>
      <c r="AZ48" s="59">
        <f>'C1-Incomes'!BA50/'C1-Incomes'!$AX50</f>
        <v>0.14925370415722755</v>
      </c>
      <c r="BA48" s="59">
        <f>'C1-Incomes'!BB50/'C1-Incomes'!$AX50</f>
        <v>0.1125973793812332</v>
      </c>
      <c r="BB48" s="59">
        <f>'C1-Incomes'!BC50/'C1-Incomes'!$AX50</f>
        <v>5.8998682551991137E-2</v>
      </c>
      <c r="BC48" s="59">
        <f>'C1-Incomes'!BD50/'C1-Incomes'!$AX50</f>
        <v>2.2687661659471302E-2</v>
      </c>
      <c r="BD48" s="60"/>
      <c r="BE48" s="60"/>
      <c r="BF48" s="59">
        <f>'C1-Incomes'!BG50/'C1-Incomes'!$BF50</f>
        <v>0.41392577425390781</v>
      </c>
      <c r="BG48" s="59">
        <f>'C1-Incomes'!BH50/'C1-Incomes'!$BF50</f>
        <v>0.29595540988786284</v>
      </c>
      <c r="BH48" s="59">
        <f>'C1-Incomes'!BI50/'C1-Incomes'!$BF50</f>
        <v>0.14690123159338461</v>
      </c>
      <c r="BI48" s="59">
        <f>'C1-Incomes'!BJ50/'C1-Incomes'!$BF50</f>
        <v>0.11103969433303532</v>
      </c>
      <c r="BJ48" s="59">
        <f>'C1-Incomes'!BK50/'C1-Incomes'!$BF50</f>
        <v>5.8397597456220647E-2</v>
      </c>
      <c r="BK48" s="59">
        <f>'C1-Incomes'!BL50/'C1-Incomes'!$BF50</f>
        <v>2.2525993337931365E-2</v>
      </c>
      <c r="BL48" s="59"/>
      <c r="BM48" s="59"/>
      <c r="BN48" s="59">
        <f>'C1-Incomes'!BO50/'C1-Incomes'!$BN50</f>
        <v>0.38215685239574709</v>
      </c>
      <c r="BO48" s="59">
        <f>'C1-Incomes'!BP50/'C1-Incomes'!$BN50</f>
        <v>0.27278075156032516</v>
      </c>
      <c r="BP48" s="59">
        <f>'C1-Incomes'!BQ50/'C1-Incomes'!$BN50</f>
        <v>0.13421125592858837</v>
      </c>
      <c r="BQ48" s="59">
        <f>'C1-Incomes'!BR50/'C1-Incomes'!$BN50</f>
        <v>0.101316351587513</v>
      </c>
      <c r="BR48" s="59">
        <f>'C1-Incomes'!BS50/'C1-Incomes'!$BN50</f>
        <v>5.3998750775526648E-2</v>
      </c>
      <c r="BS48" s="59">
        <f>'C1-Incomes'!BT50/'C1-Incomes'!$BN50</f>
        <v>2.0936435311276369E-2</v>
      </c>
      <c r="BT48" s="59"/>
      <c r="BU48" s="59"/>
      <c r="BV48" s="59">
        <f>'C1-Incomes'!BW50/'C1-Incomes'!$BV50</f>
        <v>0.38360063070263356</v>
      </c>
      <c r="BW48" s="59">
        <f>'C1-Incomes'!BX50/'C1-Incomes'!$BV50</f>
        <v>0.27439847148864532</v>
      </c>
      <c r="BX48" s="59">
        <f>'C1-Incomes'!BY50/'C1-Incomes'!$BV50</f>
        <v>0.13583231385395272</v>
      </c>
      <c r="BY48" s="59">
        <f>'C1-Incomes'!BZ50/'C1-Incomes'!$BV50</f>
        <v>0.10286849363644854</v>
      </c>
      <c r="BZ48" s="59">
        <f>'C1-Incomes'!CA50/'C1-Incomes'!$BV50</f>
        <v>5.5186099927163633E-2</v>
      </c>
      <c r="CA48" s="59">
        <f>'C1-Incomes'!CB50/'C1-Incomes'!$BV50</f>
        <v>2.1643950802250213E-2</v>
      </c>
      <c r="CB48" s="60"/>
      <c r="CC48" s="198"/>
      <c r="CD48" s="59">
        <f>'C1-Incomes'!CE50/'C1-Incomes'!$CD50</f>
        <v>0.38832696581196013</v>
      </c>
      <c r="CE48" s="59">
        <f>'C1-Incomes'!CF50/'C1-Incomes'!$CD50</f>
        <v>0.27942966763469174</v>
      </c>
      <c r="CF48" s="59">
        <f>'C1-Incomes'!CG50/'C1-Incomes'!$CD50</f>
        <v>0.1398411392022669</v>
      </c>
      <c r="CG48" s="59">
        <f>'C1-Incomes'!CH50/'C1-Incomes'!$CD50</f>
        <v>0.10655789053697491</v>
      </c>
      <c r="CH48" s="59">
        <f>'C1-Incomes'!CI50/'C1-Incomes'!$CD50</f>
        <v>5.7656722760722777E-2</v>
      </c>
      <c r="CI48" s="59">
        <f>'C1-Incomes'!CJ50/'C1-Incomes'!$CD50</f>
        <v>2.3012920121498828E-2</v>
      </c>
      <c r="CL48" s="59">
        <f>'C1-Incomes'!CM50/'C1-Incomes'!$CL50</f>
        <v>0.38937848444980699</v>
      </c>
      <c r="CM48" s="59">
        <f>'C1-Incomes'!CN50/'C1-Incomes'!$CL50</f>
        <v>0.28049168405050606</v>
      </c>
      <c r="CN48" s="59">
        <f>'C1-Incomes'!CO50/'C1-Incomes'!$CL50</f>
        <v>0.14049719585397874</v>
      </c>
      <c r="CO48" s="59">
        <f>'C1-Incomes'!CP50/'C1-Incomes'!$CL50</f>
        <v>0.10718923082090501</v>
      </c>
      <c r="CP48" s="59">
        <f>'C1-Incomes'!CQ50/'C1-Incomes'!$CL50</f>
        <v>5.8060623276535578E-2</v>
      </c>
      <c r="CQ48" s="59">
        <f>'C1-Incomes'!CR50/'C1-Incomes'!$CL50</f>
        <v>2.3255991586067812E-2</v>
      </c>
      <c r="CR48" s="59"/>
      <c r="CS48" s="59"/>
      <c r="CT48" s="59">
        <f>'C1-Incomes'!CU50/'C1-Incomes'!$CT50</f>
        <v>0.39173655165274868</v>
      </c>
      <c r="CU48" s="59">
        <f>'C1-Incomes'!CV50/'C1-Incomes'!$CT50</f>
        <v>0.28295936285773815</v>
      </c>
      <c r="CV48" s="59">
        <f>'C1-Incomes'!CW50/'C1-Incomes'!$CT50</f>
        <v>0.14257615997080988</v>
      </c>
      <c r="CW48" s="59">
        <f>'C1-Incomes'!CX50/'C1-Incomes'!$CT50</f>
        <v>0.10891342794968441</v>
      </c>
      <c r="CX48" s="59">
        <f>'C1-Incomes'!CY50/'C1-Incomes'!$CT50</f>
        <v>5.9151797568576421E-2</v>
      </c>
      <c r="CY48" s="59">
        <f>'C1-Incomes'!CZ50/'C1-Incomes'!$CT50</f>
        <v>2.3794602794479976E-2</v>
      </c>
      <c r="CZ48" s="59"/>
      <c r="DA48" s="59"/>
      <c r="DB48" s="59">
        <f>'C1-Incomes'!DC50/'C1-Incomes'!$DB50</f>
        <v>0.39295670232026458</v>
      </c>
      <c r="DC48" s="59">
        <f>'C1-Incomes'!DD50/'C1-Incomes'!$DB50</f>
        <v>0.28415135285227117</v>
      </c>
      <c r="DD48" s="59">
        <f>'C1-Incomes'!DE50/'C1-Incomes'!$DB50</f>
        <v>0.14339470081271682</v>
      </c>
      <c r="DE48" s="59">
        <f>'C1-Incomes'!DF50/'C1-Incomes'!$DB50</f>
        <v>0.10961111649603271</v>
      </c>
      <c r="DF48" s="59">
        <f>'C1-Incomes'!DG50/'C1-Incomes'!$DB50</f>
        <v>5.9578121591519671E-2</v>
      </c>
      <c r="DG48" s="59">
        <f>'C1-Incomes'!DH50/'C1-Incomes'!$DB50</f>
        <v>2.3978119364856169E-2</v>
      </c>
      <c r="DH48" s="59"/>
      <c r="DI48" s="1039"/>
      <c r="DJ48" s="59">
        <f>'C1-Incomes'!DK50/'C1-Incomes'!$DJ50</f>
        <v>0.3828757181185532</v>
      </c>
      <c r="DK48" s="59">
        <f>'C1-Incomes'!DL50/'C1-Incomes'!$DJ50</f>
        <v>0.27715521452074143</v>
      </c>
      <c r="DL48" s="59">
        <f>'C1-Incomes'!DM50/'C1-Incomes'!$DJ50</f>
        <v>0.13917386011072375</v>
      </c>
      <c r="DM48" s="59">
        <f>'C1-Incomes'!DN50/'C1-Incomes'!$DJ50</f>
        <v>0.10546659582503135</v>
      </c>
      <c r="DN48" s="59">
        <f>'C1-Incomes'!DO50/'C1-Incomes'!$DJ50</f>
        <v>5.6453176395507426E-2</v>
      </c>
      <c r="DO48" s="59">
        <f>'C1-Incomes'!DP50/'C1-Incomes'!$DJ50</f>
        <v>2.2573857037701893E-2</v>
      </c>
      <c r="DP48" s="696"/>
      <c r="DQ48" s="503"/>
      <c r="DR48" s="59">
        <f>'C1-Incomes'!DS50/'C1-Incomes'!$DR50</f>
        <v>0.38191633236738703</v>
      </c>
      <c r="DS48" s="59">
        <f>'C1-Incomes'!DT50/'C1-Incomes'!$DR50</f>
        <v>0.27548260253815327</v>
      </c>
      <c r="DT48" s="59">
        <f>'C1-Incomes'!DU50/'C1-Incomes'!$DR50</f>
        <v>0.1371002316210444</v>
      </c>
      <c r="DU48" s="59">
        <f>'C1-Incomes'!DV50/'C1-Incomes'!$DR50</f>
        <v>0.1035797562713609</v>
      </c>
      <c r="DV48" s="59">
        <f>'C1-Incomes'!DW50/'C1-Incomes'!$DR50</f>
        <v>5.5075754592082839E-2</v>
      </c>
      <c r="DW48" s="59">
        <f>'C1-Incomes'!DX50/'C1-Incomes'!$DR50</f>
        <v>2.1900596523770036E-2</v>
      </c>
      <c r="DX48" s="333"/>
      <c r="DZ48" s="59">
        <f>'C1-Incomes'!EA50/'C1-Incomes'!$DZ50</f>
        <v>0.37520413876183062</v>
      </c>
      <c r="EA48" s="59">
        <f>'C1-Incomes'!EB50/'C1-Incomes'!$DZ50</f>
        <v>0.26859034872960741</v>
      </c>
      <c r="EB48" s="59">
        <f>'C1-Incomes'!EC50/'C1-Incomes'!$DZ50</f>
        <v>0.13217839635779399</v>
      </c>
      <c r="EC48" s="59">
        <f>'C1-Incomes'!ED50/'C1-Incomes'!$DZ50</f>
        <v>9.9717588366779561E-2</v>
      </c>
      <c r="ED48" s="59">
        <f>'C1-Incomes'!EE50/'C1-Incomes'!$DZ50</f>
        <v>5.2881626061930746E-2</v>
      </c>
      <c r="EE48" s="59">
        <f>'C1-Incomes'!EF50/'C1-Incomes'!$DZ50</f>
        <v>2.0986879838393355E-2</v>
      </c>
      <c r="EF48" s="59"/>
      <c r="EH48" s="59">
        <f>'C1-Incomes'!EI50/'C1-Incomes'!$EH50</f>
        <v>0.36665786687114915</v>
      </c>
      <c r="EI48" s="59">
        <f>'C1-Incomes'!EJ50/'C1-Incomes'!$EH50</f>
        <v>0.25996343568588848</v>
      </c>
      <c r="EJ48" s="59">
        <f>'C1-Incomes'!EK50/'C1-Incomes'!$EH50</f>
        <v>0.12580906830572749</v>
      </c>
      <c r="EK48" s="59">
        <f>'C1-Incomes'!EL50/'C1-Incomes'!$EH50</f>
        <v>9.463735422104004E-2</v>
      </c>
      <c r="EL48" s="59">
        <f>'C1-Incomes'!EM50/'C1-Incomes'!$EH50</f>
        <v>5.0035324891837672E-2</v>
      </c>
      <c r="EM48" s="59">
        <f>'C1-Incomes'!EN50/'C1-Incomes'!$EH50</f>
        <v>1.9836142061892617E-2</v>
      </c>
      <c r="EN48" s="59"/>
      <c r="EO48" s="59"/>
      <c r="EP48" s="59">
        <f>'C1-Incomes'!EQ50/'C1-Incomes'!$EH50</f>
        <v>0.3817739923114567</v>
      </c>
      <c r="EQ48" s="59">
        <f>'C1-Incomes'!ER50/'C1-Incomes'!$EH50</f>
        <v>0.27002806552081549</v>
      </c>
      <c r="ER48" s="59">
        <f>'C1-Incomes'!ES50/'C1-Incomes'!$EH50</f>
        <v>0.12954821878696696</v>
      </c>
      <c r="ES48" s="59">
        <f>'C1-Incomes'!ET50/'C1-Incomes'!$EH50</f>
        <v>9.717571056459276E-2</v>
      </c>
      <c r="ET48" s="59">
        <f>'C1-Incomes'!EU50/'C1-Incomes'!$EH50</f>
        <v>5.1009862846706021E-2</v>
      </c>
      <c r="EU48" s="59">
        <f>'C1-Incomes'!EV50/'C1-Incomes'!$EH50</f>
        <v>2.0128848001444526E-2</v>
      </c>
      <c r="EV48" s="59"/>
      <c r="EW48" s="59"/>
      <c r="EX48" s="59">
        <f>'C1-Incomes'!EY50/'C1-Incomes'!$EX50</f>
        <v>0.36067174549670872</v>
      </c>
      <c r="EY48" s="59">
        <f>'C1-Incomes'!EZ50/'C1-Incomes'!$EX50</f>
        <v>0.25386332720114063</v>
      </c>
      <c r="EZ48" s="59">
        <f>'C1-Incomes'!FA50/'C1-Incomes'!$EX50</f>
        <v>0.12068197568424517</v>
      </c>
      <c r="FA48" s="59">
        <f>'C1-Incomes'!FB50/'C1-Incomes'!$EX50</f>
        <v>9.0350959380617046E-2</v>
      </c>
      <c r="FB48" s="59">
        <f>'C1-Incomes'!FC50/'C1-Incomes'!$EX50</f>
        <v>4.7364585365923591E-2</v>
      </c>
      <c r="FC48" s="59">
        <f>'C1-Incomes'!FD50/'C1-Incomes'!$EX50</f>
        <v>1.8677398455124311E-2</v>
      </c>
      <c r="FD48" s="59"/>
      <c r="FF48" s="59">
        <f>'C1-Incomes'!FG50/'C1-Incomes'!$FF50</f>
        <v>0.34821297912094273</v>
      </c>
      <c r="FG48" s="59">
        <f>'C1-Incomes'!FH50/'C1-Incomes'!$FF50</f>
        <v>0.24424125888585618</v>
      </c>
      <c r="FH48" s="59">
        <f>'C1-Incomes'!FI50/'C1-Incomes'!$FF50</f>
        <v>0.11571922100514412</v>
      </c>
      <c r="FI48" s="59">
        <f>'C1-Incomes'!FJ50/'C1-Incomes'!$FF50</f>
        <v>8.6513962025357785E-2</v>
      </c>
      <c r="FJ48" s="59">
        <f>'C1-Incomes'!FK50/'C1-Incomes'!$FF50</f>
        <v>4.5215382878878441E-2</v>
      </c>
      <c r="FK48" s="59">
        <f>'C1-Incomes'!FL50/'C1-Incomes'!$FF50</f>
        <v>1.7825062053159407E-2</v>
      </c>
      <c r="FN48" s="59">
        <f>'C1-Incomes'!FO50/'C1-Incomes'!$FN50</f>
        <v>0.34670903612456189</v>
      </c>
      <c r="FO48" s="59">
        <f>'C1-Incomes'!FP50/'C1-Incomes'!$FN50</f>
        <v>0.24309163144743165</v>
      </c>
      <c r="FP48" s="59">
        <f>'C1-Incomes'!FQ50/'C1-Incomes'!$FN50</f>
        <v>0.11511446633281278</v>
      </c>
      <c r="FQ48" s="59">
        <f>'C1-Incomes'!FR50/'C1-Incomes'!$FN50</f>
        <v>8.6077839958517671E-2</v>
      </c>
      <c r="FR48" s="59">
        <f>'C1-Incomes'!FS50/'C1-Incomes'!$FN50</f>
        <v>4.4973020642315543E-2</v>
      </c>
      <c r="FS48" s="59">
        <f>'C1-Incomes'!FT50/'C1-Incomes'!$FN50</f>
        <v>1.7729231630789898E-2</v>
      </c>
      <c r="FV48" s="59">
        <f>'C1-Incomes'!FW50/'C1-Incomes'!$FV50</f>
        <v>0.34233600533732256</v>
      </c>
      <c r="FW48" s="59">
        <f>'C1-Incomes'!FX50/'C1-Incomes'!$FV50</f>
        <v>0.23996660790481683</v>
      </c>
      <c r="FX48" s="59">
        <f>'C1-Incomes'!FY50/'C1-Incomes'!$FV50</f>
        <v>0.11359456984747196</v>
      </c>
      <c r="FY48" s="59">
        <f>'C1-Incomes'!FZ50/'C1-Incomes'!$FV50</f>
        <v>8.4934067083748524E-2</v>
      </c>
      <c r="FZ48" s="59">
        <f>'C1-Incomes'!GA50/'C1-Incomes'!$FV50</f>
        <v>4.4370711811336346E-2</v>
      </c>
      <c r="GA48" s="59">
        <f>'C1-Incomes'!GB50/'C1-Incomes'!$FV50</f>
        <v>1.7490928081326216E-2</v>
      </c>
      <c r="GE48" s="59">
        <f>'C1-Incomes'!GF50/'C1-Incomes'!$GE50</f>
        <v>0.33599052583279121</v>
      </c>
      <c r="GF48" s="59">
        <f>'C1-Incomes'!GG50/'C1-Incomes'!$GE50</f>
        <v>0.23509084426990748</v>
      </c>
      <c r="GG48" s="59">
        <f>'C1-Incomes'!GH50/'C1-Incomes'!$GE50</f>
        <v>0.11106504543849566</v>
      </c>
      <c r="GH48" s="59">
        <f>'C1-Incomes'!GI50/'C1-Incomes'!$GE50</f>
        <v>8.3038782870561448E-2</v>
      </c>
      <c r="GI48" s="59">
        <f>'C1-Incomes'!GJ50/'C1-Incomes'!$GE50</f>
        <v>4.3361475413251437E-2</v>
      </c>
      <c r="GJ48" s="59">
        <f>'C1-Incomes'!GK50/'C1-Incomes'!$GE50</f>
        <v>1.7092705926925772E-2</v>
      </c>
      <c r="GM48" s="59">
        <f>'C1-Incomes'!GN50/'C1-Incomes'!$GM50</f>
        <v>0.32507060799945703</v>
      </c>
      <c r="GN48" s="59">
        <f>'C1-Incomes'!GO50/'C1-Incomes'!$GM50</f>
        <v>0.22745023387938079</v>
      </c>
      <c r="GO48" s="59">
        <f>'C1-Incomes'!GP50/'C1-Incomes'!$GM50</f>
        <v>0.10745535683987288</v>
      </c>
      <c r="GP48" s="59">
        <f>'C1-Incomes'!GQ50/'C1-Incomes'!$GM50</f>
        <v>8.0339966635552873E-2</v>
      </c>
      <c r="GQ48" s="59">
        <f>'C1-Incomes'!GR50/'C1-Incomes'!$GM50</f>
        <v>4.1952198328812189E-2</v>
      </c>
      <c r="GR48" s="59">
        <f>'C1-Incomes'!GS50/'C1-Incomes'!$GM50</f>
        <v>1.653718150013208E-2</v>
      </c>
      <c r="GU48" s="59">
        <f>'C1-Incomes'!GV50/'C1-Incomes'!$GU50</f>
        <v>0.29748483301049472</v>
      </c>
      <c r="GV48" s="59">
        <f>'C1-Incomes'!GW50/'C1-Incomes'!$GU50</f>
        <v>0.20243120862108102</v>
      </c>
      <c r="GW48" s="59">
        <f>'C1-Incomes'!GX50/'C1-Incomes'!$GU50</f>
        <v>9.0102366737835074E-2</v>
      </c>
      <c r="GX48" s="59">
        <f>'C1-Incomes'!GY50/'C1-Incomes'!$GU50</f>
        <v>6.5841172996710023E-2</v>
      </c>
      <c r="GY48" s="59">
        <f>'C1-Incomes'!GZ50/'C1-Incomes'!$GU50</f>
        <v>3.3305290921561204E-2</v>
      </c>
      <c r="GZ48" s="59">
        <f>'C1-Incomes'!HA50/'C1-Incomes'!$GU50</f>
        <v>1.2847290361402489E-2</v>
      </c>
      <c r="HC48" s="59">
        <f>'C1-Incomes'!HD50/'C1-Incomes'!$HC50</f>
        <v>0.29234455481224164</v>
      </c>
      <c r="HD48" s="59">
        <f>'C1-Incomes'!HE50/'C1-Incomes'!$HC50</f>
        <v>0.19778954872320909</v>
      </c>
      <c r="HE48" s="59">
        <f>'C1-Incomes'!HF50/'C1-Incomes'!$HC50</f>
        <v>8.7053282074600724E-2</v>
      </c>
      <c r="HF48" s="59">
        <f>'C1-Incomes'!HG50/'C1-Incomes'!$HC50</f>
        <v>6.337452946510283E-2</v>
      </c>
      <c r="HG48" s="59">
        <f>'C1-Incomes'!HH50/'C1-Incomes'!$HC50</f>
        <v>3.1782938619895548E-2</v>
      </c>
      <c r="HH48" s="59">
        <f>'C1-Incomes'!HI50/'C1-Incomes'!$HC50</f>
        <v>1.2226231827487034E-2</v>
      </c>
      <c r="HK48" s="59">
        <f>'C1-Incomes'!HL50/'C1-Incomes'!$HK50</f>
        <v>0.29037983399312578</v>
      </c>
      <c r="HL48" s="59">
        <f>'C1-Incomes'!HM50/'C1-Incomes'!$HK50</f>
        <v>0.19606984311566059</v>
      </c>
      <c r="HM48" s="59">
        <f>'C1-Incomes'!HN50/'C1-Incomes'!$HK50</f>
        <v>8.5956388286297508E-2</v>
      </c>
      <c r="HN48" s="59">
        <f>'C1-Incomes'!HO50/'C1-Incomes'!$HK50</f>
        <v>6.2485621431019364E-2</v>
      </c>
      <c r="HO48" s="59">
        <f>'C1-Incomes'!HP50/'C1-Incomes'!$HK50</f>
        <v>3.1202070305445841E-2</v>
      </c>
      <c r="HP48" s="59">
        <f>'C1-Incomes'!HQ50/'C1-Incomes'!$HK50</f>
        <v>1.1911332063834499E-2</v>
      </c>
      <c r="HS48" s="59">
        <f>'C1-Incomes'!HT50/'C1-Incomes'!$HS50</f>
        <v>0.28653194007387917</v>
      </c>
      <c r="HT48" s="59">
        <f>'C1-Incomes'!HU50/'C1-Incomes'!$HS50</f>
        <v>0.19285790952947598</v>
      </c>
      <c r="HU48" s="59">
        <f>'C1-Incomes'!HV50/'C1-Incomes'!$HS50</f>
        <v>8.3916981014281217E-2</v>
      </c>
      <c r="HV48" s="59">
        <f>'C1-Incomes'!HW50/'C1-Incomes'!$HS50</f>
        <v>6.0882089510532186E-2</v>
      </c>
      <c r="HW48" s="59">
        <f>'C1-Incomes'!HX50/'C1-Incomes'!$HS50</f>
        <v>3.0324896462132052E-2</v>
      </c>
      <c r="HX48" s="59">
        <f>'C1-Incomes'!HY50/'C1-Incomes'!$HS50</f>
        <v>1.1527223835884989E-2</v>
      </c>
      <c r="IA48" s="59">
        <f>'C1-Incomes'!IB50/'C1-Incomes'!$IA50</f>
        <v>0.28944026445858179</v>
      </c>
      <c r="IB48" s="59">
        <f>'C1-Incomes'!IC50/'C1-Incomes'!$IA50</f>
        <v>0.19715360425813275</v>
      </c>
      <c r="IC48" s="59">
        <f>'C1-Incomes'!ID50/'C1-Incomes'!$IA50</f>
        <v>8.7893901268691788E-2</v>
      </c>
      <c r="ID48" s="59">
        <f>'C1-Incomes'!IE50/'C1-Incomes'!$IA50</f>
        <v>6.4204587032313049E-2</v>
      </c>
      <c r="IE48" s="59">
        <f>'C1-Incomes'!IF50/'C1-Incomes'!$IA50</f>
        <v>3.2256243754785044E-2</v>
      </c>
      <c r="IF48" s="59">
        <f>'C1-Incomes'!IG50/'C1-Incomes'!$IA50</f>
        <v>1.2341808220546485E-2</v>
      </c>
      <c r="II48" s="59">
        <f>'C1-Incomes'!IJ50/'C1-Incomes'!$II50</f>
        <v>0.28974290505737921</v>
      </c>
      <c r="IJ48" s="59">
        <f>'C1-Incomes'!IK50/'C1-Incomes'!$II50</f>
        <v>0.19821583569266271</v>
      </c>
      <c r="IK48" s="59">
        <f>'C1-Incomes'!IL50/'C1-Incomes'!$II50</f>
        <v>8.8992791673933896E-2</v>
      </c>
      <c r="IL48" s="59">
        <f>'C1-Incomes'!IM50/'C1-Incomes'!$II50</f>
        <v>6.5143758898589477E-2</v>
      </c>
      <c r="IM48" s="59">
        <f>'C1-Incomes'!IN50/'C1-Incomes'!$II50</f>
        <v>3.2705021738764495E-2</v>
      </c>
      <c r="IN48" s="59">
        <f>'C1-Incomes'!IO50/'C1-Incomes'!$II50</f>
        <v>1.2592930442558646E-2</v>
      </c>
      <c r="IQ48" s="59">
        <f>'C1-Incomes'!IR50/'C1-Incomes'!$IQ50</f>
        <v>0.28701099810835889</v>
      </c>
      <c r="IR48" s="59">
        <f>'C1-Incomes'!IS50/'C1-Incomes'!$IQ50</f>
        <v>0.19591197618012385</v>
      </c>
      <c r="IS48" s="59">
        <f>'C1-Incomes'!IT50/'C1-Incomes'!$IQ50</f>
        <v>8.7437755496194716E-2</v>
      </c>
      <c r="IT48" s="59">
        <f>'C1-Incomes'!IU50/'C1-Incomes'!$IQ50</f>
        <v>6.3911632101291554E-2</v>
      </c>
      <c r="IU48" s="59">
        <f>'C1-Incomes'!IV50/'C1-Incomes'!$IQ50</f>
        <v>3.1971095759894208E-2</v>
      </c>
      <c r="IV48" s="59">
        <f>'C1-Incomes'!IW50/'C1-Incomes'!$IQ50</f>
        <v>1.2282073473147765E-2</v>
      </c>
      <c r="IY48" s="59">
        <f>'C1-Incomes'!IZ50/'C1-Incomes'!$IY50</f>
        <v>0.26931509889210314</v>
      </c>
      <c r="IZ48" s="59">
        <f>'C1-Incomes'!JA50/'C1-Incomes'!$IY50</f>
        <v>0.18226006916385906</v>
      </c>
      <c r="JA48" s="59">
        <f>'C1-Incomes'!JB50/'C1-Incomes'!$IY50</f>
        <v>8.036672533413558E-2</v>
      </c>
      <c r="JB48" s="59">
        <f>'C1-Incomes'!JC50/'C1-Incomes'!$IY50</f>
        <v>5.8553668877394285E-2</v>
      </c>
      <c r="JC48" s="59">
        <f>'C1-Incomes'!JD50/'C1-Incomes'!$IY50</f>
        <v>2.9152480112039719E-2</v>
      </c>
      <c r="JD48" s="59">
        <f>'C1-Incomes'!JE50/'C1-Incomes'!$IY50</f>
        <v>1.1084193542208678E-2</v>
      </c>
      <c r="JE48" s="197"/>
      <c r="JF48" s="197"/>
      <c r="JG48" s="197"/>
      <c r="JH48" s="197"/>
      <c r="JI48" s="197"/>
      <c r="JJ48" s="197"/>
      <c r="JK48" s="197"/>
      <c r="JL48" s="197"/>
      <c r="JM48" s="197"/>
      <c r="JN48" s="197"/>
      <c r="JO48" s="197"/>
      <c r="JP48" s="197"/>
      <c r="JQ48" s="197"/>
      <c r="JR48" s="197"/>
      <c r="JS48" s="197"/>
      <c r="JT48" s="197"/>
      <c r="JU48" s="197"/>
      <c r="JV48" s="197"/>
      <c r="JW48" s="197"/>
      <c r="JX48" s="197"/>
      <c r="JY48" s="197"/>
      <c r="JZ48" s="197"/>
      <c r="KA48" s="197"/>
      <c r="KB48" s="197"/>
      <c r="KC48" s="197"/>
      <c r="KD48" s="197"/>
      <c r="KE48" s="197"/>
      <c r="KF48" s="197"/>
      <c r="KG48" s="197"/>
      <c r="KH48" s="197"/>
      <c r="KI48" s="197"/>
      <c r="KJ48" s="197"/>
      <c r="KK48" s="197"/>
      <c r="KL48" s="197"/>
      <c r="KM48" s="197"/>
      <c r="KN48" s="197"/>
      <c r="KO48" s="197"/>
      <c r="KP48" s="197"/>
      <c r="KQ48" s="197"/>
      <c r="KR48" s="197"/>
      <c r="KS48" s="197"/>
      <c r="KT48" s="197"/>
      <c r="KU48" s="197"/>
      <c r="KV48" s="197"/>
      <c r="KW48" s="197"/>
      <c r="KX48" s="197"/>
      <c r="KY48" s="197"/>
      <c r="KZ48" s="197"/>
      <c r="LA48" s="197"/>
      <c r="LB48" s="197"/>
      <c r="LC48" s="197"/>
      <c r="LD48" s="197"/>
      <c r="LE48" s="197"/>
      <c r="LF48" s="197"/>
      <c r="LG48" s="197"/>
      <c r="LH48" s="197"/>
      <c r="LI48" s="197"/>
      <c r="LJ48" s="197"/>
      <c r="LK48" s="197"/>
      <c r="LL48" s="197"/>
      <c r="LM48" s="197"/>
      <c r="LN48" s="197"/>
      <c r="LO48" s="197"/>
      <c r="LP48" s="197"/>
      <c r="LQ48" s="197"/>
      <c r="LR48" s="197"/>
      <c r="LS48" s="197"/>
      <c r="LT48" s="197"/>
      <c r="LU48" s="197"/>
      <c r="LV48" s="197"/>
      <c r="LW48" s="197"/>
      <c r="LX48" s="197"/>
      <c r="LY48" s="197"/>
      <c r="LZ48" s="197"/>
      <c r="MA48" s="197"/>
      <c r="MB48" s="197"/>
      <c r="MC48" s="197"/>
      <c r="MD48" s="197"/>
      <c r="ME48" s="197"/>
      <c r="MF48" s="197"/>
      <c r="MG48" s="197"/>
      <c r="MH48" s="197"/>
      <c r="MI48" s="197"/>
      <c r="MJ48" s="197"/>
      <c r="MK48" s="197"/>
      <c r="ML48" s="197"/>
      <c r="MM48" s="197"/>
      <c r="MN48" s="197"/>
      <c r="MO48" s="197"/>
      <c r="MP48" s="197"/>
      <c r="MQ48" s="197"/>
      <c r="MR48" s="197"/>
      <c r="MS48" s="197"/>
      <c r="MT48" s="197"/>
      <c r="MU48" s="197"/>
      <c r="MV48" s="197"/>
      <c r="MW48" s="197"/>
      <c r="MX48" s="197"/>
      <c r="MY48" s="197"/>
      <c r="MZ48" s="197"/>
      <c r="NA48" s="197"/>
      <c r="NB48" s="197"/>
      <c r="NC48" s="197"/>
      <c r="ND48" s="197"/>
      <c r="NE48" s="197"/>
      <c r="NF48" s="197"/>
      <c r="NG48" s="197"/>
      <c r="NH48" s="197"/>
      <c r="NI48" s="197"/>
      <c r="NJ48" s="197"/>
      <c r="NK48" s="197"/>
      <c r="NL48" s="197"/>
      <c r="NM48" s="197"/>
      <c r="NN48" s="197"/>
      <c r="NO48" s="197"/>
      <c r="NP48" s="197"/>
      <c r="NQ48" s="197"/>
      <c r="NR48" s="197"/>
      <c r="NS48" s="197"/>
      <c r="NT48" s="197"/>
      <c r="NU48" s="197"/>
      <c r="NV48" s="197"/>
      <c r="NW48" s="197"/>
      <c r="NX48" s="197"/>
      <c r="NY48" s="197"/>
      <c r="NZ48" s="197"/>
      <c r="OA48" s="197"/>
      <c r="OB48" s="197"/>
      <c r="OC48" s="197"/>
      <c r="OD48" s="197"/>
      <c r="OE48" s="197"/>
      <c r="OF48" s="197"/>
      <c r="OG48" s="197"/>
      <c r="OH48" s="197"/>
      <c r="OI48" s="197"/>
      <c r="OJ48" s="197"/>
      <c r="OK48" s="197"/>
      <c r="OL48" s="197"/>
      <c r="OM48" s="197"/>
      <c r="ON48" s="197"/>
      <c r="OO48" s="197"/>
      <c r="OP48" s="197"/>
      <c r="OQ48" s="197"/>
      <c r="OR48" s="197"/>
      <c r="OS48" s="197"/>
      <c r="OT48" s="197"/>
      <c r="OU48" s="197"/>
      <c r="OV48" s="197"/>
      <c r="OW48" s="197"/>
      <c r="OX48" s="197"/>
      <c r="OY48" s="197"/>
      <c r="OZ48" s="197"/>
      <c r="PA48" s="197"/>
      <c r="PB48" s="197"/>
    </row>
    <row r="49" spans="1:418" s="77" customFormat="1" ht="10.5" customHeight="1" x14ac:dyDescent="0.2">
      <c r="A49" s="48">
        <f>A48+1</f>
        <v>2003</v>
      </c>
      <c r="B49" s="59">
        <f>'C1-Incomes'!C51/'C1-Incomes'!$B51</f>
        <v>0.42910624649614487</v>
      </c>
      <c r="C49" s="59">
        <f>'C1-Incomes'!D51/'C1-Incomes'!$B51</f>
        <v>0.30721176718119209</v>
      </c>
      <c r="D49" s="59">
        <f>'C1-Incomes'!E51/'C1-Incomes'!$B51</f>
        <v>0.15285699444851517</v>
      </c>
      <c r="E49" s="59">
        <f>'C1-Incomes'!F51/'C1-Incomes'!$B51</f>
        <v>0.11546548432128731</v>
      </c>
      <c r="F49" s="59">
        <f>'C1-Incomes'!G51/'C1-Incomes'!$B51</f>
        <v>6.1204564639480506E-2</v>
      </c>
      <c r="G49" s="59">
        <f>'C1-Incomes'!H51/'C1-Incomes'!$B51</f>
        <v>2.4227203393837785E-2</v>
      </c>
      <c r="H49" s="199"/>
      <c r="J49" s="59">
        <f>'C1-Incomes'!K51/'C1-Incomes'!$J51</f>
        <v>0.36502796503224905</v>
      </c>
      <c r="K49" s="59">
        <f>'C1-Incomes'!L51/'C1-Incomes'!$J51</f>
        <v>0.25704055422339578</v>
      </c>
      <c r="L49" s="59">
        <f>'C1-Incomes'!M51/'C1-Incomes'!$J51</f>
        <v>0.12377478129489432</v>
      </c>
      <c r="M49" s="59">
        <f>'C1-Incomes'!N51/'C1-Incomes'!$J51</f>
        <v>9.3510376780805191E-2</v>
      </c>
      <c r="N49" s="59">
        <f>'C1-Incomes'!O51/'C1-Incomes'!$J51</f>
        <v>5.0082464971426627E-2</v>
      </c>
      <c r="O49" s="59">
        <f>'C1-Incomes'!P51/'C1-Incomes'!$J51</f>
        <v>2.0627543497946644E-2</v>
      </c>
      <c r="P49" s="59"/>
      <c r="R49" s="59">
        <f>'C1-Incomes'!S51/'C1-Incomes'!$R51</f>
        <v>0.3284904960705069</v>
      </c>
      <c r="S49" s="59">
        <f>'C1-Incomes'!T51/'C1-Incomes'!$R51</f>
        <v>0.23010735098872073</v>
      </c>
      <c r="T49" s="59">
        <f>'C1-Incomes'!U51/'C1-Incomes'!$R51</f>
        <v>0.11008174195775861</v>
      </c>
      <c r="U49" s="59">
        <f>'C1-Incomes'!V51/'C1-Incomes'!$R51</f>
        <v>8.2985581470022718E-2</v>
      </c>
      <c r="V49" s="59">
        <f>'C1-Incomes'!W51/'C1-Incomes'!$R51</f>
        <v>4.4357988180083789E-2</v>
      </c>
      <c r="W49" s="59">
        <f>'C1-Incomes'!X51/'C1-Incomes'!$R51</f>
        <v>1.8246131654490273E-2</v>
      </c>
      <c r="X49" s="59"/>
      <c r="Y49" s="59"/>
      <c r="Z49" s="59">
        <f>'C1-Incomes'!AA51/'C1-Incomes'!$Z51</f>
        <v>0.27317870333695515</v>
      </c>
      <c r="AA49" s="59">
        <f>'C1-Incomes'!AB51/'C1-Incomes'!$Z51</f>
        <v>0.18558977895551834</v>
      </c>
      <c r="AB49" s="59">
        <f>'C1-Incomes'!AC51/'C1-Incomes'!$Z51</f>
        <v>8.3090076888733974E-2</v>
      </c>
      <c r="AC49" s="59">
        <f>'C1-Incomes'!AD51/'C1-Incomes'!$Z51</f>
        <v>6.1086411381081333E-2</v>
      </c>
      <c r="AD49" s="59">
        <f>'C1-Incomes'!AE51/'C1-Incomes'!$Z51</f>
        <v>3.1314286677159263E-2</v>
      </c>
      <c r="AE49" s="59">
        <f>'C1-Incomes'!AF51/'C1-Incomes'!$Z51</f>
        <v>1.2523906222565625E-2</v>
      </c>
      <c r="AF49" s="200"/>
      <c r="AG49" s="195"/>
      <c r="AH49" s="59">
        <f>'C1-Incomes'!AI51/'C1-Incomes'!$AH51</f>
        <v>0.42214478009612588</v>
      </c>
      <c r="AI49" s="59">
        <f>'C1-Incomes'!AJ51/'C1-Incomes'!$AH51</f>
        <v>0.30151468756618915</v>
      </c>
      <c r="AJ49" s="59">
        <f>'C1-Incomes'!AK51/'C1-Incomes'!$AH51</f>
        <v>0.14953244226895551</v>
      </c>
      <c r="AK49" s="59">
        <f>'C1-Incomes'!AL51/'C1-Incomes'!$AH51</f>
        <v>0.1128643397924228</v>
      </c>
      <c r="AL49" s="59">
        <f>'C1-Incomes'!AM51/'C1-Incomes'!$AH51</f>
        <v>5.9825777181424039E-2</v>
      </c>
      <c r="AM49" s="59">
        <f>'C1-Incomes'!AN51/'C1-Incomes'!$AH51</f>
        <v>2.3728442651505099E-2</v>
      </c>
      <c r="AN49" s="195"/>
      <c r="AO49" s="195"/>
      <c r="AP49" s="59"/>
      <c r="AQ49" s="59"/>
      <c r="AR49" s="59"/>
      <c r="AS49" s="59"/>
      <c r="AT49" s="59"/>
      <c r="AU49" s="59"/>
      <c r="AV49" s="197"/>
      <c r="AW49" s="60"/>
      <c r="AX49" s="59">
        <f>'C1-Incomes'!AY51/'C1-Incomes'!$AX51</f>
        <v>0.42443107051534978</v>
      </c>
      <c r="AY49" s="59">
        <f>'C1-Incomes'!AZ51/'C1-Incomes'!$AX51</f>
        <v>0.30429005310950075</v>
      </c>
      <c r="AZ49" s="59">
        <f>'C1-Incomes'!BA51/'C1-Incomes'!$AX51</f>
        <v>0.15208472023846939</v>
      </c>
      <c r="BA49" s="59">
        <f>'C1-Incomes'!BB51/'C1-Incomes'!$AX51</f>
        <v>0.1150606581232146</v>
      </c>
      <c r="BB49" s="59">
        <f>'C1-Incomes'!BC51/'C1-Incomes'!$AX51</f>
        <v>6.1128636791178949E-2</v>
      </c>
      <c r="BC49" s="59">
        <f>'C1-Incomes'!BD51/'C1-Incomes'!$AX51</f>
        <v>2.4215400869761448E-2</v>
      </c>
      <c r="BD49" s="60"/>
      <c r="BE49" s="60"/>
      <c r="BF49" s="59">
        <f>'C1-Incomes'!BG51/'C1-Incomes'!$BF51</f>
        <v>0.41795604722211804</v>
      </c>
      <c r="BG49" s="59">
        <f>'C1-Incomes'!BH51/'C1-Incomes'!$BF51</f>
        <v>0.29919939461094586</v>
      </c>
      <c r="BH49" s="59">
        <f>'C1-Incomes'!BI51/'C1-Incomes'!$BF51</f>
        <v>0.14950149203255866</v>
      </c>
      <c r="BI49" s="59">
        <f>'C1-Incomes'!BJ51/'C1-Incomes'!$BF51</f>
        <v>0.11330583025633099</v>
      </c>
      <c r="BJ49" s="59">
        <f>'C1-Incomes'!BK51/'C1-Incomes'!$BF51</f>
        <v>6.0426900365258274E-2</v>
      </c>
      <c r="BK49" s="59">
        <f>'C1-Incomes'!BL51/'C1-Incomes'!$BF51</f>
        <v>2.3989756811481099E-2</v>
      </c>
      <c r="BL49" s="59"/>
      <c r="BM49" s="59"/>
      <c r="BN49" s="59">
        <f>'C1-Incomes'!BO51/'C1-Incomes'!$BN51</f>
        <v>0.38420992134248211</v>
      </c>
      <c r="BO49" s="59">
        <f>'C1-Incomes'!BP51/'C1-Incomes'!$BN51</f>
        <v>0.27399705633441734</v>
      </c>
      <c r="BP49" s="59">
        <f>'C1-Incomes'!BQ51/'C1-Incomes'!$BN51</f>
        <v>0.13652782606305219</v>
      </c>
      <c r="BQ49" s="59">
        <f>'C1-Incomes'!BR51/'C1-Incomes'!$BN51</f>
        <v>0.10367337769298247</v>
      </c>
      <c r="BR49" s="59">
        <f>'C1-Incomes'!BS51/'C1-Incomes'!$BN51</f>
        <v>5.5771804720574511E-2</v>
      </c>
      <c r="BS49" s="59">
        <f>'C1-Incomes'!BT51/'C1-Incomes'!$BN51</f>
        <v>2.2354528755801444E-2</v>
      </c>
      <c r="BT49" s="59"/>
      <c r="BU49" s="59"/>
      <c r="BV49" s="59">
        <f>'C1-Incomes'!BW51/'C1-Incomes'!$BV51</f>
        <v>0.38596213115017025</v>
      </c>
      <c r="BW49" s="59">
        <f>'C1-Incomes'!BX51/'C1-Incomes'!$BV51</f>
        <v>0.27600557891476429</v>
      </c>
      <c r="BX49" s="59">
        <f>'C1-Incomes'!BY51/'C1-Incomes'!$BV51</f>
        <v>0.13847854862355136</v>
      </c>
      <c r="BY49" s="59">
        <f>'C1-Incomes'!BZ51/'C1-Incomes'!$BV51</f>
        <v>0.1055161301757773</v>
      </c>
      <c r="BZ49" s="59">
        <f>'C1-Incomes'!CA51/'C1-Incomes'!$BV51</f>
        <v>5.7302904664556391E-2</v>
      </c>
      <c r="CA49" s="59">
        <f>'C1-Incomes'!CB51/'C1-Incomes'!$BV51</f>
        <v>2.3225314999978635E-2</v>
      </c>
      <c r="CB49" s="60"/>
      <c r="CC49" s="198"/>
      <c r="CD49" s="59">
        <f>'C1-Incomes'!CE51/'C1-Incomes'!$CD51</f>
        <v>0.39254004203937293</v>
      </c>
      <c r="CE49" s="59">
        <f>'C1-Incomes'!CF51/'C1-Incomes'!$CD51</f>
        <v>0.28307610156239493</v>
      </c>
      <c r="CF49" s="59">
        <f>'C1-Incomes'!CG51/'C1-Incomes'!$CD51</f>
        <v>0.144340473432686</v>
      </c>
      <c r="CG49" s="59">
        <f>'C1-Incomes'!CH51/'C1-Incomes'!$CD51</f>
        <v>0.1108199080107871</v>
      </c>
      <c r="CH49" s="59">
        <f>'C1-Incomes'!CI51/'C1-Incomes'!$CD51</f>
        <v>6.1205869148894823E-2</v>
      </c>
      <c r="CI49" s="59">
        <f>'C1-Incomes'!CJ51/'C1-Incomes'!$CD51</f>
        <v>2.544214692934952E-2</v>
      </c>
      <c r="CL49" s="59">
        <f>'C1-Incomes'!CM51/'C1-Incomes'!$CL51</f>
        <v>0.39419262849519954</v>
      </c>
      <c r="CM49" s="59">
        <f>'C1-Incomes'!CN51/'C1-Incomes'!$CL51</f>
        <v>0.28491739777294056</v>
      </c>
      <c r="CN49" s="59">
        <f>'C1-Incomes'!CO51/'C1-Incomes'!$CL51</f>
        <v>0.14556327539647013</v>
      </c>
      <c r="CO49" s="59">
        <f>'C1-Incomes'!CP51/'C1-Incomes'!$CL51</f>
        <v>0.11189343062339754</v>
      </c>
      <c r="CP49" s="59">
        <f>'C1-Incomes'!CQ51/'C1-Incomes'!$CL51</f>
        <v>6.2007122310990682E-2</v>
      </c>
      <c r="CQ49" s="59">
        <f>'C1-Incomes'!CR51/'C1-Incomes'!$CL51</f>
        <v>2.5957652879769037E-2</v>
      </c>
      <c r="CR49" s="59"/>
      <c r="CS49" s="59"/>
      <c r="CT49" s="59">
        <f>'C1-Incomes'!CU51/'C1-Incomes'!$CT51</f>
        <v>0.39676485891900287</v>
      </c>
      <c r="CU49" s="59">
        <f>'C1-Incomes'!CV51/'C1-Incomes'!$CT51</f>
        <v>0.28766619581705116</v>
      </c>
      <c r="CV49" s="59">
        <f>'C1-Incomes'!CW51/'C1-Incomes'!$CT51</f>
        <v>0.14782052734494691</v>
      </c>
      <c r="CW49" s="59">
        <f>'C1-Incomes'!CX51/'C1-Incomes'!$CT51</f>
        <v>0.11385914898007679</v>
      </c>
      <c r="CX49" s="59">
        <f>'C1-Incomes'!CY51/'C1-Incomes'!$CT51</f>
        <v>6.3375827381398644E-2</v>
      </c>
      <c r="CY49" s="59">
        <f>'C1-Incomes'!CZ51/'C1-Incomes'!$CT51</f>
        <v>2.6664314977533236E-2</v>
      </c>
      <c r="CZ49" s="59"/>
      <c r="DA49" s="59"/>
      <c r="DB49" s="59">
        <f>'C1-Incomes'!DC51/'C1-Incomes'!$DB51</f>
        <v>0.39860478328664029</v>
      </c>
      <c r="DC49" s="59">
        <f>'C1-Incomes'!DD51/'C1-Incomes'!$DB51</f>
        <v>0.289306172612039</v>
      </c>
      <c r="DD49" s="59">
        <f>'C1-Incomes'!DE51/'C1-Incomes'!$DB51</f>
        <v>0.14887732588618172</v>
      </c>
      <c r="DE49" s="59">
        <f>'C1-Incomes'!DF51/'C1-Incomes'!$DB51</f>
        <v>0.11471472364393658</v>
      </c>
      <c r="DF49" s="59">
        <f>'C1-Incomes'!DG51/'C1-Incomes'!$DB51</f>
        <v>6.3891972930632535E-2</v>
      </c>
      <c r="DG49" s="59">
        <f>'C1-Incomes'!DH51/'C1-Incomes'!$DB51</f>
        <v>2.6903086417723921E-2</v>
      </c>
      <c r="DH49" s="59"/>
      <c r="DI49" s="1039"/>
      <c r="DJ49" s="59">
        <f>'C1-Incomes'!DK51/'C1-Incomes'!$DJ51</f>
        <v>0.38833183156033152</v>
      </c>
      <c r="DK49" s="59">
        <f>'C1-Incomes'!DL51/'C1-Incomes'!$DJ51</f>
        <v>0.28155716463423491</v>
      </c>
      <c r="DL49" s="59">
        <f>'C1-Incomes'!DM51/'C1-Incomes'!$DJ51</f>
        <v>0.14326987753331108</v>
      </c>
      <c r="DM49" s="59">
        <f>'C1-Incomes'!DN51/'C1-Incomes'!$DJ51</f>
        <v>0.10954522904319876</v>
      </c>
      <c r="DN49" s="59">
        <f>'C1-Incomes'!DO51/'C1-Incomes'!$DJ51</f>
        <v>5.9968115916711959E-2</v>
      </c>
      <c r="DO49" s="59">
        <f>'C1-Incomes'!DP51/'C1-Incomes'!$DJ51</f>
        <v>2.504385372441259E-2</v>
      </c>
      <c r="DP49" s="696"/>
      <c r="DQ49" s="503"/>
      <c r="DR49" s="59">
        <f>'C1-Incomes'!DS51/'C1-Incomes'!$DR51</f>
        <v>0.38753455985163604</v>
      </c>
      <c r="DS49" s="59">
        <f>'C1-Incomes'!DT51/'C1-Incomes'!$DR51</f>
        <v>0.27963225431405286</v>
      </c>
      <c r="DT49" s="59">
        <f>'C1-Incomes'!DU51/'C1-Incomes'!$DR51</f>
        <v>0.14100470726124911</v>
      </c>
      <c r="DU49" s="59">
        <f>'C1-Incomes'!DV51/'C1-Incomes'!$DR51</f>
        <v>0.10747750061420459</v>
      </c>
      <c r="DV49" s="59">
        <f>'C1-Incomes'!DW51/'C1-Incomes'!$DR51</f>
        <v>5.8400731076509706E-2</v>
      </c>
      <c r="DW49" s="59">
        <f>'C1-Incomes'!DX51/'C1-Incomes'!$DR51</f>
        <v>2.4242993582210798E-2</v>
      </c>
      <c r="DX49" s="333"/>
      <c r="DZ49" s="59">
        <f>'C1-Incomes'!EA51/'C1-Incomes'!$DZ51</f>
        <v>0.38028435316728532</v>
      </c>
      <c r="EA49" s="59">
        <f>'C1-Incomes'!EB51/'C1-Incomes'!$DZ51</f>
        <v>0.27262016669685379</v>
      </c>
      <c r="EB49" s="59">
        <f>'C1-Incomes'!EC51/'C1-Incomes'!$DZ51</f>
        <v>0.13596820864991066</v>
      </c>
      <c r="EC49" s="59">
        <f>'C1-Incomes'!ED51/'C1-Incomes'!$DZ51</f>
        <v>0.10336511010605796</v>
      </c>
      <c r="ED49" s="59">
        <f>'C1-Incomes'!EE51/'C1-Incomes'!$DZ51</f>
        <v>5.6037731969966101E-2</v>
      </c>
      <c r="EE49" s="59">
        <f>'C1-Incomes'!EF51/'C1-Incomes'!$DZ51</f>
        <v>2.3222714702707883E-2</v>
      </c>
      <c r="EF49" s="59"/>
      <c r="EH49" s="59">
        <f>'C1-Incomes'!EI51/'C1-Incomes'!$EH51</f>
        <v>0.37096920209854406</v>
      </c>
      <c r="EI49" s="59">
        <f>'C1-Incomes'!EJ51/'C1-Incomes'!$EH51</f>
        <v>0.26305632844493421</v>
      </c>
      <c r="EJ49" s="59">
        <f>'C1-Incomes'!EK51/'C1-Incomes'!$EH51</f>
        <v>0.12898869616468414</v>
      </c>
      <c r="EK49" s="59">
        <f>'C1-Incomes'!EL51/'C1-Incomes'!$EH51</f>
        <v>9.781603026854864E-2</v>
      </c>
      <c r="EL49" s="59">
        <f>'C1-Incomes'!EM51/'C1-Incomes'!$EH51</f>
        <v>5.2850517487753122E-2</v>
      </c>
      <c r="EM49" s="59">
        <f>'C1-Incomes'!EN51/'C1-Incomes'!$EH51</f>
        <v>2.1866057174469371E-2</v>
      </c>
      <c r="EN49" s="59"/>
      <c r="EO49" s="59"/>
      <c r="EP49" s="59">
        <f>'C1-Incomes'!EQ51/'C1-Incomes'!$EH51</f>
        <v>0.38576103147504981</v>
      </c>
      <c r="EQ49" s="59">
        <f>'C1-Incomes'!ER51/'C1-Incomes'!$EH51</f>
        <v>0.27280798850311355</v>
      </c>
      <c r="ER49" s="59">
        <f>'C1-Incomes'!ES51/'C1-Incomes'!$EH51</f>
        <v>0.13252125876329987</v>
      </c>
      <c r="ES49" s="59">
        <f>'C1-Incomes'!ET51/'C1-Incomes'!$EH51</f>
        <v>0.10029808316381258</v>
      </c>
      <c r="ET49" s="59">
        <f>'C1-Incomes'!EU51/'C1-Incomes'!$EH51</f>
        <v>5.3799795079860324E-2</v>
      </c>
      <c r="EU49" s="59">
        <f>'C1-Incomes'!EV51/'C1-Incomes'!$EH51</f>
        <v>2.2183830053527885E-2</v>
      </c>
      <c r="EV49" s="59"/>
      <c r="EW49" s="59"/>
      <c r="EX49" s="59">
        <f>'C1-Incomes'!EY51/'C1-Incomes'!$EX51</f>
        <v>0.36502796503224905</v>
      </c>
      <c r="EY49" s="59">
        <f>'C1-Incomes'!EZ51/'C1-Incomes'!$EX51</f>
        <v>0.25704055422339578</v>
      </c>
      <c r="EZ49" s="59">
        <f>'C1-Incomes'!FA51/'C1-Incomes'!$EX51</f>
        <v>0.12377478129489432</v>
      </c>
      <c r="FA49" s="59">
        <f>'C1-Incomes'!FB51/'C1-Incomes'!$EX51</f>
        <v>9.3510376780805191E-2</v>
      </c>
      <c r="FB49" s="59">
        <f>'C1-Incomes'!FC51/'C1-Incomes'!$EX51</f>
        <v>5.0082464971426627E-2</v>
      </c>
      <c r="FC49" s="59">
        <f>'C1-Incomes'!FD51/'C1-Incomes'!$EX51</f>
        <v>2.0627543497946644E-2</v>
      </c>
      <c r="FD49" s="59"/>
      <c r="FF49" s="59">
        <f>'C1-Incomes'!FG51/'C1-Incomes'!$FF51</f>
        <v>0.3523009944943763</v>
      </c>
      <c r="FG49" s="59">
        <f>'C1-Incomes'!FH51/'C1-Incomes'!$FF51</f>
        <v>0.24750950698772992</v>
      </c>
      <c r="FH49" s="59">
        <f>'C1-Incomes'!FI51/'C1-Incomes'!$FF51</f>
        <v>0.11869874269985575</v>
      </c>
      <c r="FI49" s="59">
        <f>'C1-Incomes'!FJ51/'C1-Incomes'!$FF51</f>
        <v>8.95402536576934E-2</v>
      </c>
      <c r="FJ49" s="59">
        <f>'C1-Incomes'!FK51/'C1-Incomes'!$FF51</f>
        <v>4.7871514814393397E-2</v>
      </c>
      <c r="FK49" s="59">
        <f>'C1-Incomes'!FL51/'C1-Incomes'!$FF51</f>
        <v>1.9696871316464415E-2</v>
      </c>
      <c r="FN49" s="59">
        <f>'C1-Incomes'!FO51/'C1-Incomes'!$FN51</f>
        <v>0.35075841319477447</v>
      </c>
      <c r="FO49" s="59">
        <f>'C1-Incomes'!FP51/'C1-Incomes'!$FN51</f>
        <v>0.24632139815593471</v>
      </c>
      <c r="FP49" s="59">
        <f>'C1-Incomes'!FQ51/'C1-Incomes'!$FN51</f>
        <v>0.11811578089074889</v>
      </c>
      <c r="FQ49" s="59">
        <f>'C1-Incomes'!FR51/'C1-Incomes'!$FN51</f>
        <v>8.9088104223496681E-2</v>
      </c>
      <c r="FR49" s="59">
        <f>'C1-Incomes'!FS51/'C1-Incomes'!$FN51</f>
        <v>4.7625663556823204E-2</v>
      </c>
      <c r="FS49" s="59">
        <f>'C1-Incomes'!FT51/'C1-Incomes'!$FN51</f>
        <v>1.9596179693492401E-2</v>
      </c>
      <c r="FV49" s="59">
        <f>'C1-Incomes'!FW51/'C1-Incomes'!$FV51</f>
        <v>0.34617011263480468</v>
      </c>
      <c r="FW49" s="59">
        <f>'C1-Incomes'!FX51/'C1-Incomes'!$FV51</f>
        <v>0.24303817157245758</v>
      </c>
      <c r="FX49" s="59">
        <f>'C1-Incomes'!FY51/'C1-Incomes'!$FV51</f>
        <v>0.11649920768263082</v>
      </c>
      <c r="FY49" s="59">
        <f>'C1-Incomes'!FZ51/'C1-Incomes'!$FV51</f>
        <v>8.7861136265165771E-2</v>
      </c>
      <c r="FZ49" s="59">
        <f>'C1-Incomes'!GA51/'C1-Incomes'!$FV51</f>
        <v>4.6964686120729057E-2</v>
      </c>
      <c r="GA49" s="59">
        <f>'C1-Incomes'!GB51/'C1-Incomes'!$FV51</f>
        <v>1.9323271656526229E-2</v>
      </c>
      <c r="GE49" s="59">
        <f>'C1-Incomes'!GF51/'C1-Incomes'!$GE51</f>
        <v>0.33981582328955451</v>
      </c>
      <c r="GF49" s="59">
        <f>'C1-Incomes'!GG51/'C1-Incomes'!$GE51</f>
        <v>0.23804073437919832</v>
      </c>
      <c r="GG49" s="59">
        <f>'C1-Incomes'!GH51/'C1-Incomes'!$GE51</f>
        <v>0.11387701690004122</v>
      </c>
      <c r="GH49" s="59">
        <f>'C1-Incomes'!GI51/'C1-Incomes'!$GE51</f>
        <v>8.5846665354803411E-2</v>
      </c>
      <c r="GI49" s="59">
        <f>'C1-Incomes'!GJ51/'C1-Incomes'!$GE51</f>
        <v>4.5887313189262348E-2</v>
      </c>
      <c r="GJ49" s="59">
        <f>'C1-Incomes'!GK51/'C1-Incomes'!$GE51</f>
        <v>1.8875201335168557E-2</v>
      </c>
      <c r="GM49" s="59">
        <f>'C1-Incomes'!GN51/'C1-Incomes'!$GM51</f>
        <v>0.3284904960705069</v>
      </c>
      <c r="GN49" s="59">
        <f>'C1-Incomes'!GO51/'C1-Incomes'!$GM51</f>
        <v>0.23010735098872073</v>
      </c>
      <c r="GO49" s="59">
        <f>'C1-Incomes'!GP51/'C1-Incomes'!$GM51</f>
        <v>0.11008174195775861</v>
      </c>
      <c r="GP49" s="59">
        <f>'C1-Incomes'!GQ51/'C1-Incomes'!$GM51</f>
        <v>8.2985581470022718E-2</v>
      </c>
      <c r="GQ49" s="59">
        <f>'C1-Incomes'!GR51/'C1-Incomes'!$GM51</f>
        <v>4.4357988180083789E-2</v>
      </c>
      <c r="GR49" s="59">
        <f>'C1-Incomes'!GS51/'C1-Incomes'!$GM51</f>
        <v>1.8246131654490273E-2</v>
      </c>
      <c r="GU49" s="59">
        <f>'C1-Incomes'!GV51/'C1-Incomes'!$GU51</f>
        <v>0.30389982027990442</v>
      </c>
      <c r="GV49" s="59">
        <f>'C1-Incomes'!GW51/'C1-Incomes'!$GU51</f>
        <v>0.20805592560502376</v>
      </c>
      <c r="GW49" s="59">
        <f>'C1-Incomes'!GX51/'C1-Incomes'!$GU51</f>
        <v>9.4408591635051067E-2</v>
      </c>
      <c r="GX49" s="59">
        <f>'C1-Incomes'!GY51/'C1-Incomes'!$GU51</f>
        <v>6.9874569542446432E-2</v>
      </c>
      <c r="GY49" s="59">
        <f>'C1-Incomes'!GZ51/'C1-Incomes'!$GU51</f>
        <v>3.6469782186993593E-2</v>
      </c>
      <c r="GZ49" s="59">
        <f>'C1-Incomes'!HA51/'C1-Incomes'!$GU51</f>
        <v>1.4851724422260855E-2</v>
      </c>
      <c r="HC49" s="59">
        <f>'C1-Incomes'!HD51/'C1-Incomes'!$HC51</f>
        <v>0.29879490669165049</v>
      </c>
      <c r="HD49" s="59">
        <f>'C1-Incomes'!HE51/'C1-Incomes'!$HC51</f>
        <v>0.20364201398468948</v>
      </c>
      <c r="HE49" s="59">
        <f>'C1-Incomes'!HF51/'C1-Incomes'!$HC51</f>
        <v>9.1404393958092481E-2</v>
      </c>
      <c r="HF49" s="59">
        <f>'C1-Incomes'!HG51/'C1-Incomes'!$HC51</f>
        <v>6.7375461183340785E-2</v>
      </c>
      <c r="HG49" s="59">
        <f>'C1-Incomes'!HH51/'C1-Incomes'!$HC51</f>
        <v>3.4990046500184738E-2</v>
      </c>
      <c r="HH49" s="59">
        <f>'C1-Incomes'!HI51/'C1-Incomes'!$HC51</f>
        <v>1.4204646851256218E-2</v>
      </c>
      <c r="HK49" s="59">
        <f>'C1-Incomes'!HL51/'C1-Incomes'!$HK51</f>
        <v>0.29613369384738775</v>
      </c>
      <c r="HL49" s="59">
        <f>'C1-Incomes'!HM51/'C1-Incomes'!$HK51</f>
        <v>0.20115716131984226</v>
      </c>
      <c r="HM49" s="59">
        <f>'C1-Incomes'!HN51/'C1-Incomes'!$HK51</f>
        <v>8.974570908246518E-2</v>
      </c>
      <c r="HN49" s="59">
        <f>'C1-Incomes'!HO51/'C1-Incomes'!$HK51</f>
        <v>6.5952522997805435E-2</v>
      </c>
      <c r="HO49" s="59">
        <f>'C1-Incomes'!HP51/'C1-Incomes'!$HK51</f>
        <v>3.4006031685665142E-2</v>
      </c>
      <c r="HP49" s="59">
        <f>'C1-Incomes'!HQ51/'C1-Incomes'!$HK51</f>
        <v>1.3659147071597232E-2</v>
      </c>
      <c r="HS49" s="59">
        <f>'C1-Incomes'!HT51/'C1-Incomes'!$HS51</f>
        <v>0.2919549614507973</v>
      </c>
      <c r="HT49" s="59">
        <f>'C1-Incomes'!HU51/'C1-Incomes'!$HS51</f>
        <v>0.19765308362928821</v>
      </c>
      <c r="HU49" s="59">
        <f>'C1-Incomes'!HV51/'C1-Incomes'!$HS51</f>
        <v>8.7532068206168351E-2</v>
      </c>
      <c r="HV49" s="59">
        <f>'C1-Incomes'!HW51/'C1-Incomes'!$HS51</f>
        <v>6.4228719627678649E-2</v>
      </c>
      <c r="HW49" s="59">
        <f>'C1-Incomes'!HX51/'C1-Incomes'!$HS51</f>
        <v>3.2938745958245405E-2</v>
      </c>
      <c r="HX49" s="59">
        <f>'C1-Incomes'!HY51/'C1-Incomes'!$HS51</f>
        <v>1.3179005898154888E-2</v>
      </c>
      <c r="IA49" s="59">
        <f>'C1-Incomes'!IB51/'C1-Incomes'!$IA51</f>
        <v>0.29540800433566783</v>
      </c>
      <c r="IB49" s="59">
        <f>'C1-Incomes'!IC51/'C1-Incomes'!$IA51</f>
        <v>0.20211359998513986</v>
      </c>
      <c r="IC49" s="59">
        <f>'C1-Incomes'!ID51/'C1-Incomes'!$IA51</f>
        <v>9.1818986143658715E-2</v>
      </c>
      <c r="ID49" s="59">
        <f>'C1-Incomes'!IE51/'C1-Incomes'!$IA51</f>
        <v>6.7750095766764315E-2</v>
      </c>
      <c r="IE49" s="59">
        <f>'C1-Incomes'!IF51/'C1-Incomes'!$IA51</f>
        <v>3.5063733001207388E-2</v>
      </c>
      <c r="IF49" s="59">
        <f>'C1-Incomes'!IG51/'C1-Incomes'!$IA51</f>
        <v>1.4114682206107594E-2</v>
      </c>
      <c r="II49" s="59">
        <f>'C1-Incomes'!IJ51/'C1-Incomes'!$II51</f>
        <v>0.29589996368333948</v>
      </c>
      <c r="IJ49" s="59">
        <f>'C1-Incomes'!IK51/'C1-Incomes'!$II51</f>
        <v>0.20324817812253054</v>
      </c>
      <c r="IK49" s="59">
        <f>'C1-Incomes'!IL51/'C1-Incomes'!$II51</f>
        <v>9.2978222482160644E-2</v>
      </c>
      <c r="IL49" s="59">
        <f>'C1-Incomes'!IM51/'C1-Incomes'!$II51</f>
        <v>6.8706226614955526E-2</v>
      </c>
      <c r="IM49" s="59">
        <f>'C1-Incomes'!IN51/'C1-Incomes'!$II51</f>
        <v>3.559034439080045E-2</v>
      </c>
      <c r="IN49" s="59">
        <f>'C1-Incomes'!IO51/'C1-Incomes'!$II51</f>
        <v>1.4304658477147613E-2</v>
      </c>
      <c r="IQ49" s="59">
        <f>'C1-Incomes'!IR51/'C1-Incomes'!$IQ51</f>
        <v>0.29167092599644628</v>
      </c>
      <c r="IR49" s="59">
        <f>'C1-Incomes'!IS51/'C1-Incomes'!$IQ51</f>
        <v>0.19970101631351622</v>
      </c>
      <c r="IS49" s="59">
        <f>'C1-Incomes'!IT51/'C1-Incomes'!$IQ51</f>
        <v>9.0595401142680873E-2</v>
      </c>
      <c r="IT49" s="59">
        <f>'C1-Incomes'!IU51/'C1-Incomes'!$IQ51</f>
        <v>6.6818451680139709E-2</v>
      </c>
      <c r="IU49" s="59">
        <f>'C1-Incomes'!IV51/'C1-Incomes'!$IQ51</f>
        <v>3.4433592552625854E-2</v>
      </c>
      <c r="IV49" s="59">
        <f>'C1-Incomes'!IW51/'C1-Incomes'!$IQ51</f>
        <v>1.3797098902981735E-2</v>
      </c>
      <c r="IY49" s="59">
        <f>'C1-Incomes'!IZ51/'C1-Incomes'!$IY51</f>
        <v>0.27317870333695515</v>
      </c>
      <c r="IZ49" s="59">
        <f>'C1-Incomes'!JA51/'C1-Incomes'!$IY51</f>
        <v>0.18558977895551834</v>
      </c>
      <c r="JA49" s="59">
        <f>'C1-Incomes'!JB51/'C1-Incomes'!$IY51</f>
        <v>8.3090076888733974E-2</v>
      </c>
      <c r="JB49" s="59">
        <f>'C1-Incomes'!JC51/'C1-Incomes'!$IY51</f>
        <v>6.1086411381081333E-2</v>
      </c>
      <c r="JC49" s="59">
        <f>'C1-Incomes'!JD51/'C1-Incomes'!$IY51</f>
        <v>3.1314286677159263E-2</v>
      </c>
      <c r="JD49" s="59">
        <f>'C1-Incomes'!JE51/'C1-Incomes'!$IY51</f>
        <v>1.2523906222565625E-2</v>
      </c>
      <c r="JE49" s="197"/>
      <c r="JF49" s="197"/>
      <c r="JG49" s="197"/>
      <c r="JH49" s="197"/>
      <c r="JI49" s="197"/>
      <c r="JJ49" s="197"/>
      <c r="JK49" s="197"/>
      <c r="JL49" s="197"/>
      <c r="JM49" s="197"/>
      <c r="JN49" s="197"/>
      <c r="JO49" s="197"/>
      <c r="JP49" s="197"/>
      <c r="JQ49" s="197"/>
      <c r="JR49" s="197"/>
      <c r="JS49" s="197"/>
      <c r="JT49" s="197"/>
      <c r="JU49" s="197"/>
      <c r="JV49" s="197"/>
      <c r="JW49" s="197"/>
      <c r="JX49" s="197"/>
      <c r="JY49" s="197"/>
      <c r="JZ49" s="197"/>
      <c r="KA49" s="197"/>
      <c r="KB49" s="197"/>
      <c r="KC49" s="197"/>
      <c r="KD49" s="197"/>
      <c r="KE49" s="197"/>
      <c r="KF49" s="197"/>
      <c r="KG49" s="197"/>
      <c r="KH49" s="197"/>
      <c r="KI49" s="197"/>
      <c r="KJ49" s="197"/>
      <c r="KK49" s="197"/>
      <c r="KL49" s="197"/>
      <c r="KM49" s="197"/>
      <c r="KN49" s="197"/>
      <c r="KO49" s="197"/>
      <c r="KP49" s="197"/>
      <c r="KQ49" s="197"/>
      <c r="KR49" s="197"/>
      <c r="KS49" s="197"/>
      <c r="KT49" s="197"/>
      <c r="KU49" s="197"/>
      <c r="KV49" s="197"/>
      <c r="KW49" s="197"/>
      <c r="KX49" s="197"/>
      <c r="KY49" s="197"/>
      <c r="KZ49" s="197"/>
      <c r="LA49" s="197"/>
      <c r="LB49" s="197"/>
      <c r="LC49" s="197"/>
      <c r="LD49" s="197"/>
      <c r="LE49" s="197"/>
      <c r="LF49" s="197"/>
      <c r="LG49" s="197"/>
      <c r="LH49" s="197"/>
      <c r="LI49" s="197"/>
      <c r="LJ49" s="197"/>
      <c r="LK49" s="197"/>
      <c r="LL49" s="197"/>
      <c r="LM49" s="197"/>
      <c r="LN49" s="197"/>
      <c r="LO49" s="197"/>
      <c r="LP49" s="197"/>
      <c r="LQ49" s="197"/>
      <c r="LR49" s="197"/>
      <c r="LS49" s="197"/>
      <c r="LT49" s="197"/>
      <c r="LU49" s="197"/>
      <c r="LV49" s="197"/>
      <c r="LW49" s="197"/>
      <c r="LX49" s="197"/>
      <c r="LY49" s="197"/>
      <c r="LZ49" s="197"/>
      <c r="MA49" s="197"/>
      <c r="MB49" s="197"/>
      <c r="MC49" s="197"/>
      <c r="MD49" s="197"/>
      <c r="ME49" s="197"/>
      <c r="MF49" s="197"/>
      <c r="MG49" s="197"/>
      <c r="MH49" s="197"/>
      <c r="MI49" s="197"/>
      <c r="MJ49" s="197"/>
      <c r="MK49" s="197"/>
      <c r="ML49" s="197"/>
      <c r="MM49" s="197"/>
      <c r="MN49" s="197"/>
      <c r="MO49" s="197"/>
      <c r="MP49" s="197"/>
      <c r="MQ49" s="197"/>
      <c r="MR49" s="197"/>
      <c r="MS49" s="197"/>
      <c r="MT49" s="197"/>
      <c r="MU49" s="197"/>
      <c r="MV49" s="197"/>
      <c r="MW49" s="197"/>
      <c r="MX49" s="197"/>
      <c r="MY49" s="197"/>
      <c r="MZ49" s="197"/>
      <c r="NA49" s="197"/>
      <c r="NB49" s="197"/>
      <c r="NC49" s="197"/>
      <c r="ND49" s="197"/>
      <c r="NE49" s="197"/>
      <c r="NF49" s="197"/>
      <c r="NG49" s="197"/>
      <c r="NH49" s="197"/>
      <c r="NI49" s="197"/>
      <c r="NJ49" s="197"/>
      <c r="NK49" s="197"/>
      <c r="NL49" s="197"/>
      <c r="NM49" s="197"/>
      <c r="NN49" s="197"/>
      <c r="NO49" s="197"/>
      <c r="NP49" s="197"/>
      <c r="NQ49" s="197"/>
      <c r="NR49" s="197"/>
      <c r="NS49" s="197"/>
      <c r="NT49" s="197"/>
      <c r="NU49" s="197"/>
      <c r="NV49" s="197"/>
      <c r="NW49" s="197"/>
      <c r="NX49" s="197"/>
      <c r="NY49" s="197"/>
      <c r="NZ49" s="197"/>
      <c r="OA49" s="197"/>
      <c r="OB49" s="197"/>
      <c r="OC49" s="197"/>
      <c r="OD49" s="197"/>
      <c r="OE49" s="197"/>
      <c r="OF49" s="197"/>
      <c r="OG49" s="197"/>
      <c r="OH49" s="197"/>
      <c r="OI49" s="197"/>
      <c r="OJ49" s="197"/>
      <c r="OK49" s="197"/>
      <c r="OL49" s="197"/>
      <c r="OM49" s="197"/>
      <c r="ON49" s="197"/>
      <c r="OO49" s="197"/>
      <c r="OP49" s="197"/>
      <c r="OQ49" s="197"/>
      <c r="OR49" s="197"/>
      <c r="OS49" s="197"/>
      <c r="OT49" s="197"/>
      <c r="OU49" s="197"/>
      <c r="OV49" s="197"/>
      <c r="OW49" s="197"/>
      <c r="OX49" s="197"/>
      <c r="OY49" s="197"/>
      <c r="OZ49" s="197"/>
      <c r="PA49" s="197"/>
      <c r="PB49" s="197"/>
    </row>
    <row r="50" spans="1:418" s="77" customFormat="1" ht="10.5" customHeight="1" x14ac:dyDescent="0.2">
      <c r="A50" s="48">
        <f>A49+1</f>
        <v>2004</v>
      </c>
      <c r="B50" s="59">
        <f>'C1-Incomes'!C52/'C1-Incomes'!$B52</f>
        <v>0.43976630051577825</v>
      </c>
      <c r="C50" s="59">
        <f>'C1-Incomes'!D52/'C1-Incomes'!$B52</f>
        <v>0.31942260246584131</v>
      </c>
      <c r="D50" s="59">
        <f>'C1-Incomes'!E52/'C1-Incomes'!$B52</f>
        <v>0.16465369594380561</v>
      </c>
      <c r="E50" s="59">
        <f>'C1-Incomes'!F52/'C1-Incomes'!$B52</f>
        <v>0.12649865385152848</v>
      </c>
      <c r="F50" s="59">
        <f>'C1-Incomes'!G52/'C1-Incomes'!$B52</f>
        <v>6.9515278663870292E-2</v>
      </c>
      <c r="G50" s="59">
        <f>'C1-Incomes'!H52/'C1-Incomes'!$B52</f>
        <v>2.8832757237112712E-2</v>
      </c>
      <c r="H50" s="199"/>
      <c r="J50" s="59">
        <f>'C1-Incomes'!K52/'C1-Incomes'!$J52</f>
        <v>0.37273995396635468</v>
      </c>
      <c r="K50" s="59">
        <f>'C1-Incomes'!L52/'C1-Incomes'!$J52</f>
        <v>0.26628233865413836</v>
      </c>
      <c r="L50" s="59">
        <f>'C1-Incomes'!M52/'C1-Incomes'!$J52</f>
        <v>0.13260924234253701</v>
      </c>
      <c r="M50" s="59">
        <f>'C1-Incomes'!N52/'C1-Incomes'!$J52</f>
        <v>0.10150335456179403</v>
      </c>
      <c r="N50" s="59">
        <f>'C1-Incomes'!O52/'C1-Incomes'!$J52</f>
        <v>5.6638486860089515E-2</v>
      </c>
      <c r="O50" s="59">
        <f>'C1-Incomes'!P52/'C1-Incomes'!$J52</f>
        <v>2.4424002391776271E-2</v>
      </c>
      <c r="P50" s="59"/>
      <c r="R50" s="59">
        <f>'C1-Incomes'!S52/'C1-Incomes'!$R52</f>
        <v>0.33563407849504034</v>
      </c>
      <c r="S50" s="59">
        <f>'C1-Incomes'!T52/'C1-Incomes'!$R52</f>
        <v>0.23844559986565497</v>
      </c>
      <c r="T50" s="59">
        <f>'C1-Incomes'!U52/'C1-Incomes'!$R52</f>
        <v>0.11794330030636968</v>
      </c>
      <c r="U50" s="59">
        <f>'C1-Incomes'!V52/'C1-Incomes'!$R52</f>
        <v>9.0154035293325704E-2</v>
      </c>
      <c r="V50" s="59">
        <f>'C1-Incomes'!W52/'C1-Incomes'!$R52</f>
        <v>5.0185610799291694E-2</v>
      </c>
      <c r="W50" s="59">
        <f>'C1-Incomes'!X52/'C1-Incomes'!$R52</f>
        <v>2.1617416335069445E-2</v>
      </c>
      <c r="X50" s="59"/>
      <c r="Y50" s="59"/>
      <c r="Z50" s="59">
        <f>'C1-Incomes'!AA52/'C1-Incomes'!$Z52</f>
        <v>0.27966923164299773</v>
      </c>
      <c r="AA50" s="59">
        <f>'C1-Incomes'!AB52/'C1-Incomes'!$Z52</f>
        <v>0.19231335952652509</v>
      </c>
      <c r="AB50" s="59">
        <f>'C1-Incomes'!AC52/'C1-Incomes'!$Z52</f>
        <v>8.9180091516531806E-2</v>
      </c>
      <c r="AC50" s="59">
        <f>'C1-Incomes'!AD52/'C1-Incomes'!$Z52</f>
        <v>6.6637662064046463E-2</v>
      </c>
      <c r="AD50" s="59">
        <f>'C1-Incomes'!AE52/'C1-Incomes'!$Z52</f>
        <v>3.5612038694097091E-2</v>
      </c>
      <c r="AE50" s="59">
        <f>'C1-Incomes'!AF52/'C1-Incomes'!$Z52</f>
        <v>1.5162553703893127E-2</v>
      </c>
      <c r="AF50" s="200"/>
      <c r="AG50" s="195"/>
      <c r="AH50" s="59">
        <f>'C1-Incomes'!AI52/'C1-Incomes'!$AH52</f>
        <v>0.43266829860451322</v>
      </c>
      <c r="AI50" s="59">
        <f>'C1-Incomes'!AJ52/'C1-Incomes'!$AH52</f>
        <v>0.3135412066588199</v>
      </c>
      <c r="AJ50" s="59">
        <f>'C1-Incomes'!AK52/'C1-Incomes'!$AH52</f>
        <v>0.16114873389988735</v>
      </c>
      <c r="AK50" s="59">
        <f>'C1-Incomes'!AL52/'C1-Incomes'!$AH52</f>
        <v>0.12378219932561275</v>
      </c>
      <c r="AL50" s="59">
        <f>'C1-Incomes'!AM52/'C1-Incomes'!$AH52</f>
        <v>6.8045728876911279E-2</v>
      </c>
      <c r="AM50" s="59">
        <f>'C1-Incomes'!AN52/'C1-Incomes'!$AH52</f>
        <v>2.8263207062423721E-2</v>
      </c>
      <c r="AN50" s="195"/>
      <c r="AO50" s="195"/>
      <c r="AP50" s="59"/>
      <c r="AQ50" s="59"/>
      <c r="AR50" s="59"/>
      <c r="AS50" s="59"/>
      <c r="AT50" s="59"/>
      <c r="AU50" s="59"/>
      <c r="AV50" s="197"/>
      <c r="AW50" s="60"/>
      <c r="AX50" s="59">
        <f>'C1-Incomes'!AY52/'C1-Incomes'!$AX52</f>
        <v>0.43484008729710283</v>
      </c>
      <c r="AY50" s="59">
        <f>'C1-Incomes'!AZ52/'C1-Incomes'!$AX52</f>
        <v>0.31611694831299464</v>
      </c>
      <c r="AZ50" s="59">
        <f>'C1-Incomes'!BA52/'C1-Incomes'!$AX52</f>
        <v>0.16349820558537945</v>
      </c>
      <c r="BA50" s="59">
        <f>'C1-Incomes'!BB52/'C1-Incomes'!$AX52</f>
        <v>0.12574980733314772</v>
      </c>
      <c r="BB50" s="59">
        <f>'C1-Incomes'!BC52/'C1-Incomes'!$AX52</f>
        <v>6.9190764437705374E-2</v>
      </c>
      <c r="BC50" s="59">
        <f>'C1-Incomes'!BD52/'C1-Incomes'!$AX52</f>
        <v>2.8690250160097443E-2</v>
      </c>
      <c r="BD50" s="60"/>
      <c r="BE50" s="60"/>
      <c r="BF50" s="59">
        <f>'C1-Incomes'!BG52/'C1-Incomes'!$BF52</f>
        <v>0.42822304374699516</v>
      </c>
      <c r="BG50" s="59">
        <f>'C1-Incomes'!BH52/'C1-Incomes'!$BF52</f>
        <v>0.31102661574478185</v>
      </c>
      <c r="BH50" s="59">
        <f>'C1-Incomes'!BI52/'C1-Incomes'!$BF52</f>
        <v>0.16101208310720044</v>
      </c>
      <c r="BI50" s="59">
        <f>'C1-Incomes'!BJ52/'C1-Incomes'!$BF52</f>
        <v>0.12407211660678577</v>
      </c>
      <c r="BJ50" s="59">
        <f>'C1-Incomes'!BK52/'C1-Incomes'!$BF52</f>
        <v>6.8596558667483029E-2</v>
      </c>
      <c r="BK50" s="59">
        <f>'C1-Incomes'!BL52/'C1-Incomes'!$BF52</f>
        <v>2.8602077994491999E-2</v>
      </c>
      <c r="BL50" s="59"/>
      <c r="BM50" s="59"/>
      <c r="BN50" s="59">
        <f>'C1-Incomes'!BO52/'C1-Incomes'!$BN52</f>
        <v>0.39338690260796833</v>
      </c>
      <c r="BO50" s="59">
        <f>'C1-Incomes'!BP52/'C1-Incomes'!$BN52</f>
        <v>0.28474736644433868</v>
      </c>
      <c r="BP50" s="59">
        <f>'C1-Incomes'!BQ52/'C1-Incomes'!$BN52</f>
        <v>0.14697923353687528</v>
      </c>
      <c r="BQ50" s="59">
        <f>'C1-Incomes'!BR52/'C1-Incomes'!$BN52</f>
        <v>0.11346867209064404</v>
      </c>
      <c r="BR50" s="59">
        <f>'C1-Incomes'!BS52/'C1-Incomes'!$BN52</f>
        <v>6.3172593752113246E-2</v>
      </c>
      <c r="BS50" s="59">
        <f>'C1-Incomes'!BT52/'C1-Incomes'!$BN52</f>
        <v>2.6595607638076457E-2</v>
      </c>
      <c r="BT50" s="59"/>
      <c r="BU50" s="59"/>
      <c r="BV50" s="59">
        <f>'C1-Incomes'!BW52/'C1-Incomes'!$BV52</f>
        <v>0.39553762610918081</v>
      </c>
      <c r="BW50" s="59">
        <f>'C1-Incomes'!BX52/'C1-Incomes'!$BV52</f>
        <v>0.28721765147381428</v>
      </c>
      <c r="BX50" s="59">
        <f>'C1-Incomes'!BY52/'C1-Incomes'!$BV52</f>
        <v>0.14934451168947063</v>
      </c>
      <c r="BY50" s="59">
        <f>'C1-Incomes'!BZ52/'C1-Incomes'!$BV52</f>
        <v>0.11576232590491245</v>
      </c>
      <c r="BZ50" s="59">
        <f>'C1-Incomes'!CA52/'C1-Incomes'!$BV52</f>
        <v>6.5068173054659686E-2</v>
      </c>
      <c r="CA50" s="59">
        <f>'C1-Incomes'!CB52/'C1-Incomes'!$BV52</f>
        <v>2.7718709092063466E-2</v>
      </c>
      <c r="CB50" s="60"/>
      <c r="CC50" s="198"/>
      <c r="CD50" s="59">
        <f>'C1-Incomes'!CE52/'C1-Incomes'!$CD52</f>
        <v>0.40242759034061037</v>
      </c>
      <c r="CE50" s="59">
        <f>'C1-Incomes'!CF52/'C1-Incomes'!$CD52</f>
        <v>0.29473591370942243</v>
      </c>
      <c r="CF50" s="59">
        <f>'C1-Incomes'!CG52/'C1-Incomes'!$CD52</f>
        <v>0.15533618364682594</v>
      </c>
      <c r="CG50" s="59">
        <f>'C1-Incomes'!CH52/'C1-Incomes'!$CD52</f>
        <v>0.12128062402928959</v>
      </c>
      <c r="CH50" s="59">
        <f>'C1-Incomes'!CI52/'C1-Incomes'!$CD52</f>
        <v>6.9383967244529623E-2</v>
      </c>
      <c r="CI50" s="59">
        <f>'C1-Incomes'!CJ52/'C1-Incomes'!$CD52</f>
        <v>3.0214947213740177E-2</v>
      </c>
      <c r="CL50" s="59">
        <f>'C1-Incomes'!CM52/'C1-Incomes'!$CL52</f>
        <v>0.40482010407156466</v>
      </c>
      <c r="CM50" s="59">
        <f>'C1-Incomes'!CN52/'C1-Incomes'!$CL52</f>
        <v>0.29717925063086054</v>
      </c>
      <c r="CN50" s="59">
        <f>'C1-Incomes'!CO52/'C1-Incomes'!$CL52</f>
        <v>0.15684625933194268</v>
      </c>
      <c r="CO50" s="59">
        <f>'C1-Incomes'!CP52/'C1-Incomes'!$CL52</f>
        <v>0.12270591522142914</v>
      </c>
      <c r="CP50" s="59">
        <f>'C1-Incomes'!CQ52/'C1-Incomes'!$CL52</f>
        <v>7.0524590361855655E-2</v>
      </c>
      <c r="CQ50" s="59">
        <f>'C1-Incomes'!CR52/'C1-Incomes'!$CL52</f>
        <v>3.0983548837811327E-2</v>
      </c>
      <c r="CR50" s="59"/>
      <c r="CS50" s="59"/>
      <c r="CT50" s="59">
        <f>'C1-Incomes'!CU52/'C1-Incomes'!$CT52</f>
        <v>0.40760655792680917</v>
      </c>
      <c r="CU50" s="59">
        <f>'C1-Incomes'!CV52/'C1-Incomes'!$CT52</f>
        <v>0.3000645800587296</v>
      </c>
      <c r="CV50" s="59">
        <f>'C1-Incomes'!CW52/'C1-Incomes'!$CT52</f>
        <v>0.15916081765691742</v>
      </c>
      <c r="CW50" s="59">
        <f>'C1-Incomes'!CX52/'C1-Incomes'!$CT52</f>
        <v>0.12478033752144714</v>
      </c>
      <c r="CX50" s="59">
        <f>'C1-Incomes'!CY52/'C1-Incomes'!$CT52</f>
        <v>7.1991780526162577E-2</v>
      </c>
      <c r="CY50" s="59">
        <f>'C1-Incomes'!CZ52/'C1-Incomes'!$CT52</f>
        <v>3.1749339645625443E-2</v>
      </c>
      <c r="CZ50" s="59"/>
      <c r="DA50" s="59"/>
      <c r="DB50" s="59">
        <f>'C1-Incomes'!DC52/'C1-Incomes'!$DB52</f>
        <v>0.40954438474258098</v>
      </c>
      <c r="DC50" s="59">
        <f>'C1-Incomes'!DD52/'C1-Incomes'!$DB52</f>
        <v>0.30183644280299815</v>
      </c>
      <c r="DD50" s="59">
        <f>'C1-Incomes'!DE52/'C1-Incomes'!$DB52</f>
        <v>0.16031238667217479</v>
      </c>
      <c r="DE50" s="59">
        <f>'C1-Incomes'!DF52/'C1-Incomes'!$DB52</f>
        <v>0.12565856217616578</v>
      </c>
      <c r="DF50" s="59">
        <f>'C1-Incomes'!DG52/'C1-Incomes'!$DB52</f>
        <v>7.2503425643653974E-2</v>
      </c>
      <c r="DG50" s="59">
        <f>'C1-Incomes'!DH52/'C1-Incomes'!$DB52</f>
        <v>3.1968202189148011E-2</v>
      </c>
      <c r="DH50" s="59"/>
      <c r="DI50" s="1039"/>
      <c r="DJ50" s="59">
        <f>'C1-Incomes'!DK52/'C1-Incomes'!$DJ52</f>
        <v>0.39733337780278905</v>
      </c>
      <c r="DK50" s="59">
        <f>'C1-Incomes'!DL52/'C1-Incomes'!$DJ52</f>
        <v>0.29220809633632105</v>
      </c>
      <c r="DL50" s="59">
        <f>'C1-Incomes'!DM52/'C1-Incomes'!$DJ52</f>
        <v>0.15375638199820879</v>
      </c>
      <c r="DM50" s="59">
        <f>'C1-Incomes'!DN52/'C1-Incomes'!$DJ52</f>
        <v>0.11913876510740576</v>
      </c>
      <c r="DN50" s="59">
        <f>'C1-Incomes'!DO52/'C1-Incomes'!$DJ52</f>
        <v>6.7675423514869062E-2</v>
      </c>
      <c r="DO50" s="59">
        <f>'C1-Incomes'!DP52/'C1-Incomes'!$DJ52</f>
        <v>2.957598811872347E-2</v>
      </c>
      <c r="DP50" s="696"/>
      <c r="DQ50" s="503"/>
      <c r="DR50" s="59">
        <f>'C1-Incomes'!DS52/'C1-Incomes'!$DR52</f>
        <v>0.39631716941573442</v>
      </c>
      <c r="DS50" s="59">
        <f>'C1-Incomes'!DT52/'C1-Incomes'!$DR52</f>
        <v>0.29002981688531415</v>
      </c>
      <c r="DT50" s="59">
        <f>'C1-Incomes'!DU52/'C1-Incomes'!$DR52</f>
        <v>0.15115044431893934</v>
      </c>
      <c r="DU50" s="59">
        <f>'C1-Incomes'!DV52/'C1-Incomes'!$DR52</f>
        <v>0.11671479243763259</v>
      </c>
      <c r="DV50" s="59">
        <f>'C1-Incomes'!DW52/'C1-Incomes'!$DR52</f>
        <v>6.5846263449906905E-2</v>
      </c>
      <c r="DW50" s="59">
        <f>'C1-Incomes'!DX52/'C1-Incomes'!$DR52</f>
        <v>2.860947379754113E-2</v>
      </c>
      <c r="DX50" s="333"/>
      <c r="DZ50" s="59">
        <f>'C1-Incomes'!EA52/'C1-Incomes'!$DZ52</f>
        <v>0.38841160756590803</v>
      </c>
      <c r="EA50" s="59">
        <f>'C1-Incomes'!EB52/'C1-Incomes'!$DZ52</f>
        <v>0.28235560813528776</v>
      </c>
      <c r="EB50" s="59">
        <f>'C1-Incomes'!EC52/'C1-Incomes'!$DZ52</f>
        <v>0.1456927341155399</v>
      </c>
      <c r="EC50" s="59">
        <f>'C1-Incomes'!ED52/'C1-Incomes'!$DZ52</f>
        <v>0.11228568911265066</v>
      </c>
      <c r="ED50" s="59">
        <f>'C1-Incomes'!EE52/'C1-Incomes'!$DZ52</f>
        <v>6.3178631628732815E-2</v>
      </c>
      <c r="EE50" s="59">
        <f>'C1-Incomes'!EF52/'C1-Incomes'!$DZ52</f>
        <v>2.7402134833828522E-2</v>
      </c>
      <c r="EF50" s="59"/>
      <c r="EH50" s="59">
        <f>'C1-Incomes'!EI52/'C1-Incomes'!$EH52</f>
        <v>0.37882600794215154</v>
      </c>
      <c r="EI50" s="59">
        <f>'C1-Incomes'!EJ52/'C1-Incomes'!$EH52</f>
        <v>0.27230373670468322</v>
      </c>
      <c r="EJ50" s="59">
        <f>'C1-Incomes'!EK52/'C1-Incomes'!$EH52</f>
        <v>0.13818884731019557</v>
      </c>
      <c r="EK50" s="59">
        <f>'C1-Incomes'!EL52/'C1-Incomes'!$EH52</f>
        <v>0.10617450238344769</v>
      </c>
      <c r="EL50" s="59">
        <f>'C1-Incomes'!EM52/'C1-Incomes'!$EH52</f>
        <v>5.9565763692886922E-2</v>
      </c>
      <c r="EM50" s="59">
        <f>'C1-Incomes'!EN52/'C1-Incomes'!$EH52</f>
        <v>2.5799837053612721E-2</v>
      </c>
      <c r="EN50" s="59"/>
      <c r="EO50" s="59"/>
      <c r="EP50" s="59">
        <f>'C1-Incomes'!EQ52/'C1-Incomes'!$EH52</f>
        <v>0.39278174978382019</v>
      </c>
      <c r="EQ50" s="59">
        <f>'C1-Incomes'!ER52/'C1-Incomes'!$EH52</f>
        <v>0.28190160773950834</v>
      </c>
      <c r="ER50" s="59">
        <f>'C1-Incomes'!ES52/'C1-Incomes'!$EH52</f>
        <v>0.14154737730452749</v>
      </c>
      <c r="ES50" s="59">
        <f>'C1-Incomes'!ET52/'C1-Incomes'!$EH52</f>
        <v>0.10854362212172942</v>
      </c>
      <c r="ET50" s="59">
        <f>'C1-Incomes'!EU52/'C1-Incomes'!$EH52</f>
        <v>6.0648601924923197E-2</v>
      </c>
      <c r="EU50" s="59">
        <f>'C1-Incomes'!EV52/'C1-Incomes'!$EH52</f>
        <v>2.6163340186365229E-2</v>
      </c>
      <c r="EV50" s="59"/>
      <c r="EW50" s="59"/>
      <c r="EX50" s="59">
        <f>'C1-Incomes'!EY52/'C1-Incomes'!$EX52</f>
        <v>0.37273995396635468</v>
      </c>
      <c r="EY50" s="59">
        <f>'C1-Incomes'!EZ52/'C1-Incomes'!$EX52</f>
        <v>0.26628233865413836</v>
      </c>
      <c r="EZ50" s="59">
        <f>'C1-Incomes'!FA52/'C1-Incomes'!$EX52</f>
        <v>0.13260924234253701</v>
      </c>
      <c r="FA50" s="59">
        <f>'C1-Incomes'!FB52/'C1-Incomes'!$EX52</f>
        <v>0.10150335456179403</v>
      </c>
      <c r="FB50" s="59">
        <f>'C1-Incomes'!FC52/'C1-Incomes'!$EX52</f>
        <v>5.6638486860089515E-2</v>
      </c>
      <c r="FC50" s="59">
        <f>'C1-Incomes'!FD52/'C1-Incomes'!$EX52</f>
        <v>2.4424002391776271E-2</v>
      </c>
      <c r="FD50" s="59"/>
      <c r="FF50" s="59">
        <f>'C1-Incomes'!FG52/'C1-Incomes'!$FF52</f>
        <v>0.3600847162379533</v>
      </c>
      <c r="FG50" s="59">
        <f>'C1-Incomes'!FH52/'C1-Incomes'!$FF52</f>
        <v>0.25660750751166411</v>
      </c>
      <c r="FH50" s="59">
        <f>'C1-Incomes'!FI52/'C1-Incomes'!$FF52</f>
        <v>0.12722257964706676</v>
      </c>
      <c r="FI50" s="59">
        <f>'C1-Incomes'!FJ52/'C1-Incomes'!$FF52</f>
        <v>9.7275956374261868E-2</v>
      </c>
      <c r="FJ50" s="59">
        <f>'C1-Incomes'!FK52/'C1-Incomes'!$FF52</f>
        <v>5.417306640320544E-2</v>
      </c>
      <c r="FK50" s="59">
        <f>'C1-Incomes'!FL52/'C1-Incomes'!$FF52</f>
        <v>2.3337763932505712E-2</v>
      </c>
      <c r="FN50" s="59">
        <f>'C1-Incomes'!FO52/'C1-Incomes'!$FN52</f>
        <v>0.35904832026122629</v>
      </c>
      <c r="FO50" s="59">
        <f>'C1-Incomes'!FP52/'C1-Incomes'!$FN52</f>
        <v>0.25582679817501469</v>
      </c>
      <c r="FP50" s="59">
        <f>'C1-Incomes'!FQ52/'C1-Incomes'!$FN52</f>
        <v>0.1268115599254441</v>
      </c>
      <c r="FQ50" s="59">
        <f>'C1-Incomes'!FR52/'C1-Incomes'!$FN52</f>
        <v>9.6963947813182835E-2</v>
      </c>
      <c r="FR50" s="59">
        <f>'C1-Incomes'!FS52/'C1-Incomes'!$FN52</f>
        <v>5.3995089322044824E-2</v>
      </c>
      <c r="FS50" s="59">
        <f>'C1-Incomes'!FT52/'C1-Incomes'!$FN52</f>
        <v>2.3261004963932182E-2</v>
      </c>
      <c r="FV50" s="59">
        <f>'C1-Incomes'!FW52/'C1-Incomes'!$FV52</f>
        <v>0.35437847428391872</v>
      </c>
      <c r="FW50" s="59">
        <f>'C1-Incomes'!FX52/'C1-Incomes'!$FV52</f>
        <v>0.25243504580612769</v>
      </c>
      <c r="FX50" s="59">
        <f>'C1-Incomes'!FY52/'C1-Incomes'!$FV52</f>
        <v>0.12508547205989498</v>
      </c>
      <c r="FY50" s="59">
        <f>'C1-Incomes'!FZ52/'C1-Incomes'!$FV52</f>
        <v>9.563610661205528E-2</v>
      </c>
      <c r="FZ50" s="59">
        <f>'C1-Incomes'!GA52/'C1-Incomes'!$FV52</f>
        <v>5.3250262068676148E-2</v>
      </c>
      <c r="GA50" s="59">
        <f>'C1-Incomes'!GB52/'C1-Incomes'!$FV52</f>
        <v>2.2939131659907009E-2</v>
      </c>
      <c r="GE50" s="59">
        <f>'C1-Incomes'!GF52/'C1-Incomes'!$GE52</f>
        <v>0.34770809504688815</v>
      </c>
      <c r="GF50" s="59">
        <f>'C1-Incomes'!GG52/'C1-Incomes'!$GE52</f>
        <v>0.24702338234949098</v>
      </c>
      <c r="GG50" s="59">
        <f>'C1-Incomes'!GH52/'C1-Incomes'!$GE52</f>
        <v>0.12218616314814069</v>
      </c>
      <c r="GH50" s="59">
        <f>'C1-Incomes'!GI52/'C1-Incomes'!$GE52</f>
        <v>9.3397214052849578E-2</v>
      </c>
      <c r="GI50" s="59">
        <f>'C1-Incomes'!GJ52/'C1-Incomes'!$GE52</f>
        <v>5.1990975433813431E-2</v>
      </c>
      <c r="GJ50" s="59">
        <f>'C1-Incomes'!GK52/'C1-Incomes'!$GE52</f>
        <v>2.2395075873719871E-2</v>
      </c>
      <c r="GM50" s="59">
        <f>'C1-Incomes'!GN52/'C1-Incomes'!$GM52</f>
        <v>0.33563407849504034</v>
      </c>
      <c r="GN50" s="59">
        <f>'C1-Incomes'!GO52/'C1-Incomes'!$GM52</f>
        <v>0.23844559986565497</v>
      </c>
      <c r="GO50" s="59">
        <f>'C1-Incomes'!GP52/'C1-Incomes'!$GM52</f>
        <v>0.11794330030636968</v>
      </c>
      <c r="GP50" s="59">
        <f>'C1-Incomes'!GQ52/'C1-Incomes'!$GM52</f>
        <v>9.0154035293325704E-2</v>
      </c>
      <c r="GQ50" s="59">
        <f>'C1-Incomes'!GR52/'C1-Incomes'!$GM52</f>
        <v>5.0185610799291694E-2</v>
      </c>
      <c r="GR50" s="59">
        <f>'C1-Incomes'!GS52/'C1-Incomes'!$GM52</f>
        <v>2.1617416335069445E-2</v>
      </c>
      <c r="GU50" s="59">
        <f>'C1-Incomes'!GV52/'C1-Incomes'!$GU52</f>
        <v>0.31072238664885132</v>
      </c>
      <c r="GV50" s="59">
        <f>'C1-Incomes'!GW52/'C1-Incomes'!$GU52</f>
        <v>0.21578298247806332</v>
      </c>
      <c r="GW50" s="59">
        <f>'C1-Incomes'!GX52/'C1-Incomes'!$GU52</f>
        <v>0.10147966367420919</v>
      </c>
      <c r="GX50" s="59">
        <f>'C1-Incomes'!GY52/'C1-Incomes'!$GU52</f>
        <v>7.6353937650729856E-2</v>
      </c>
      <c r="GY50" s="59">
        <f>'C1-Incomes'!GZ52/'C1-Incomes'!$GU52</f>
        <v>4.1646319821953284E-2</v>
      </c>
      <c r="GZ50" s="59">
        <f>'C1-Incomes'!HA52/'C1-Incomes'!$GU52</f>
        <v>1.7953176182943682E-2</v>
      </c>
      <c r="HC50" s="59">
        <f>'C1-Incomes'!HD52/'C1-Incomes'!$HC52</f>
        <v>0.30533638051879791</v>
      </c>
      <c r="HD50" s="59">
        <f>'C1-Incomes'!HE52/'C1-Incomes'!$HC52</f>
        <v>0.21086476276676744</v>
      </c>
      <c r="HE50" s="59">
        <f>'C1-Incomes'!HF52/'C1-Incomes'!$HC52</f>
        <v>9.8001131398701702E-2</v>
      </c>
      <c r="HF50" s="59">
        <f>'C1-Incomes'!HG52/'C1-Incomes'!$HC52</f>
        <v>7.3429485446177292E-2</v>
      </c>
      <c r="HG50" s="59">
        <f>'C1-Incomes'!HH52/'C1-Incomes'!$HC52</f>
        <v>3.9840335475513661E-2</v>
      </c>
      <c r="HH50" s="59">
        <f>'C1-Incomes'!HI52/'C1-Incomes'!$HC52</f>
        <v>1.7169921952404091E-2</v>
      </c>
      <c r="HK50" s="59">
        <f>'C1-Incomes'!HL52/'C1-Incomes'!$HK52</f>
        <v>0.30184190148730766</v>
      </c>
      <c r="HL50" s="59">
        <f>'C1-Incomes'!HM52/'C1-Incomes'!$HK52</f>
        <v>0.20763745122336824</v>
      </c>
      <c r="HM50" s="59">
        <f>'C1-Incomes'!HN52/'C1-Incomes'!$HK52</f>
        <v>9.5756899602832138E-2</v>
      </c>
      <c r="HN50" s="59">
        <f>'C1-Incomes'!HO52/'C1-Incomes'!$HK52</f>
        <v>7.1513406214734926E-2</v>
      </c>
      <c r="HO50" s="59">
        <f>'C1-Incomes'!HP52/'C1-Incomes'!$HK52</f>
        <v>3.8418677403505838E-2</v>
      </c>
      <c r="HP50" s="59">
        <f>'C1-Incomes'!HQ52/'C1-Incomes'!$HK52</f>
        <v>1.6376001641299254E-2</v>
      </c>
      <c r="HS50" s="59">
        <f>'C1-Incomes'!HT52/'C1-Incomes'!$HS52</f>
        <v>0.29745414793004266</v>
      </c>
      <c r="HT50" s="59">
        <f>'C1-Incomes'!HU52/'C1-Incomes'!$HS52</f>
        <v>0.20402771157606919</v>
      </c>
      <c r="HU50" s="59">
        <f>'C1-Incomes'!HV52/'C1-Incomes'!$HS52</f>
        <v>9.3538058021051917E-2</v>
      </c>
      <c r="HV50" s="59">
        <f>'C1-Incomes'!HW52/'C1-Incomes'!$HS52</f>
        <v>6.9714865596927689E-2</v>
      </c>
      <c r="HW50" s="59">
        <f>'C1-Incomes'!HX52/'C1-Incomes'!$HS52</f>
        <v>3.7295108710359362E-2</v>
      </c>
      <c r="HX50" s="59">
        <f>'C1-Incomes'!HY52/'C1-Incomes'!$HS52</f>
        <v>1.5847814062654716E-2</v>
      </c>
      <c r="IA50" s="59">
        <f>'C1-Incomes'!IB52/'C1-Incomes'!$IA52</f>
        <v>0.3016029382636482</v>
      </c>
      <c r="IB50" s="59">
        <f>'C1-Incomes'!IC52/'C1-Incomes'!$IA52</f>
        <v>0.20912365908903546</v>
      </c>
      <c r="IC50" s="59">
        <f>'C1-Incomes'!ID52/'C1-Incomes'!$IA52</f>
        <v>9.8195828782921213E-2</v>
      </c>
      <c r="ID50" s="59">
        <f>'C1-Incomes'!IE52/'C1-Incomes'!$IA52</f>
        <v>7.3628458581436892E-2</v>
      </c>
      <c r="IE50" s="59">
        <f>'C1-Incomes'!IF52/'C1-Incomes'!$IA52</f>
        <v>3.9714103464512172E-2</v>
      </c>
      <c r="IF50" s="59">
        <f>'C1-Incomes'!IG52/'C1-Incomes'!$IA52</f>
        <v>1.695845926962692E-2</v>
      </c>
      <c r="II50" s="59">
        <f>'C1-Incomes'!IJ52/'C1-Incomes'!$II52</f>
        <v>0.30214171633738718</v>
      </c>
      <c r="IJ50" s="59">
        <f>'C1-Incomes'!IK52/'C1-Incomes'!$II52</f>
        <v>0.21022082766943084</v>
      </c>
      <c r="IK50" s="59">
        <f>'C1-Incomes'!IL52/'C1-Incomes'!$II52</f>
        <v>9.9430454445890062E-2</v>
      </c>
      <c r="IL50" s="59">
        <f>'C1-Incomes'!IM52/'C1-Incomes'!$II52</f>
        <v>7.4658320482958659E-2</v>
      </c>
      <c r="IM50" s="59">
        <f>'C1-Incomes'!IN52/'C1-Incomes'!$II52</f>
        <v>4.0258338353911002E-2</v>
      </c>
      <c r="IN50" s="59">
        <f>'C1-Incomes'!IO52/'C1-Incomes'!$II52</f>
        <v>1.7186878634286053E-2</v>
      </c>
      <c r="IQ50" s="59">
        <f>'C1-Incomes'!IR52/'C1-Incomes'!$IQ52</f>
        <v>0.29856161811913012</v>
      </c>
      <c r="IR50" s="59">
        <f>'C1-Incomes'!IS52/'C1-Incomes'!$IQ52</f>
        <v>0.20713697701879144</v>
      </c>
      <c r="IS50" s="59">
        <f>'C1-Incomes'!IT52/'C1-Incomes'!$IQ52</f>
        <v>9.7302430424840755E-2</v>
      </c>
      <c r="IT50" s="59">
        <f>'C1-Incomes'!IU52/'C1-Incomes'!$IQ52</f>
        <v>7.2942010662603127E-2</v>
      </c>
      <c r="IU50" s="59">
        <f>'C1-Incomes'!IV52/'C1-Incomes'!$IQ52</f>
        <v>3.9150996949021341E-2</v>
      </c>
      <c r="IV50" s="59">
        <f>'C1-Incomes'!IW52/'C1-Incomes'!$IQ52</f>
        <v>1.6699901020531083E-2</v>
      </c>
      <c r="IY50" s="59">
        <f>'C1-Incomes'!IZ52/'C1-Incomes'!$IY52</f>
        <v>0.27966923164299773</v>
      </c>
      <c r="IZ50" s="59">
        <f>'C1-Incomes'!JA52/'C1-Incomes'!$IY52</f>
        <v>0.19231335952652509</v>
      </c>
      <c r="JA50" s="59">
        <f>'C1-Incomes'!JB52/'C1-Incomes'!$IY52</f>
        <v>8.9180091516531806E-2</v>
      </c>
      <c r="JB50" s="59">
        <f>'C1-Incomes'!JC52/'C1-Incomes'!$IY52</f>
        <v>6.6637662064046463E-2</v>
      </c>
      <c r="JC50" s="59">
        <f>'C1-Incomes'!JD52/'C1-Incomes'!$IY52</f>
        <v>3.5612038694097091E-2</v>
      </c>
      <c r="JD50" s="59">
        <f>'C1-Incomes'!JE52/'C1-Incomes'!$IY52</f>
        <v>1.5162553703893127E-2</v>
      </c>
      <c r="JE50" s="197"/>
      <c r="JF50" s="197"/>
      <c r="JG50" s="197"/>
      <c r="JH50" s="197"/>
      <c r="JI50" s="197"/>
      <c r="JJ50" s="197"/>
      <c r="JK50" s="197"/>
      <c r="JL50" s="197"/>
      <c r="JM50" s="197"/>
      <c r="JN50" s="197"/>
      <c r="JO50" s="197"/>
      <c r="JP50" s="197"/>
      <c r="JQ50" s="197"/>
      <c r="JR50" s="197"/>
      <c r="JS50" s="197"/>
      <c r="JT50" s="197"/>
      <c r="JU50" s="197"/>
      <c r="JV50" s="197"/>
      <c r="JW50" s="197"/>
      <c r="JX50" s="197"/>
      <c r="JY50" s="197"/>
      <c r="JZ50" s="197"/>
      <c r="KA50" s="197"/>
      <c r="KB50" s="197"/>
      <c r="KC50" s="197"/>
      <c r="KD50" s="197"/>
      <c r="KE50" s="197"/>
      <c r="KF50" s="197"/>
      <c r="KG50" s="197"/>
      <c r="KH50" s="197"/>
      <c r="KI50" s="197"/>
      <c r="KJ50" s="197"/>
      <c r="KK50" s="197"/>
      <c r="KL50" s="197"/>
      <c r="KM50" s="197"/>
      <c r="KN50" s="197"/>
      <c r="KO50" s="197"/>
      <c r="KP50" s="197"/>
      <c r="KQ50" s="197"/>
      <c r="KR50" s="197"/>
      <c r="KS50" s="197"/>
      <c r="KT50" s="197"/>
      <c r="KU50" s="197"/>
      <c r="KV50" s="197"/>
      <c r="KW50" s="197"/>
      <c r="KX50" s="197"/>
      <c r="KY50" s="197"/>
      <c r="KZ50" s="197"/>
      <c r="LA50" s="197"/>
      <c r="LB50" s="197"/>
      <c r="LC50" s="197"/>
      <c r="LD50" s="197"/>
      <c r="LE50" s="197"/>
      <c r="LF50" s="197"/>
      <c r="LG50" s="197"/>
      <c r="LH50" s="197"/>
      <c r="LI50" s="197"/>
      <c r="LJ50" s="197"/>
      <c r="LK50" s="197"/>
      <c r="LL50" s="197"/>
      <c r="LM50" s="197"/>
      <c r="LN50" s="197"/>
      <c r="LO50" s="197"/>
      <c r="LP50" s="197"/>
      <c r="LQ50" s="197"/>
      <c r="LR50" s="197"/>
      <c r="LS50" s="197"/>
      <c r="LT50" s="197"/>
      <c r="LU50" s="197"/>
      <c r="LV50" s="197"/>
      <c r="LW50" s="197"/>
      <c r="LX50" s="197"/>
      <c r="LY50" s="197"/>
      <c r="LZ50" s="197"/>
      <c r="MA50" s="197"/>
      <c r="MB50" s="197"/>
      <c r="MC50" s="197"/>
      <c r="MD50" s="197"/>
      <c r="ME50" s="197"/>
      <c r="MF50" s="197"/>
      <c r="MG50" s="197"/>
      <c r="MH50" s="197"/>
      <c r="MI50" s="197"/>
      <c r="MJ50" s="197"/>
      <c r="MK50" s="197"/>
      <c r="ML50" s="197"/>
      <c r="MM50" s="197"/>
      <c r="MN50" s="197"/>
      <c r="MO50" s="197"/>
      <c r="MP50" s="197"/>
      <c r="MQ50" s="197"/>
      <c r="MR50" s="197"/>
      <c r="MS50" s="197"/>
      <c r="MT50" s="197"/>
      <c r="MU50" s="197"/>
      <c r="MV50" s="197"/>
      <c r="MW50" s="197"/>
      <c r="MX50" s="197"/>
      <c r="MY50" s="197"/>
      <c r="MZ50" s="197"/>
      <c r="NA50" s="197"/>
      <c r="NB50" s="197"/>
      <c r="NC50" s="197"/>
      <c r="ND50" s="197"/>
      <c r="NE50" s="197"/>
      <c r="NF50" s="197"/>
      <c r="NG50" s="197"/>
      <c r="NH50" s="197"/>
      <c r="NI50" s="197"/>
      <c r="NJ50" s="197"/>
      <c r="NK50" s="197"/>
      <c r="NL50" s="197"/>
      <c r="NM50" s="197"/>
      <c r="NN50" s="197"/>
      <c r="NO50" s="197"/>
      <c r="NP50" s="197"/>
      <c r="NQ50" s="197"/>
      <c r="NR50" s="197"/>
      <c r="NS50" s="197"/>
      <c r="NT50" s="197"/>
      <c r="NU50" s="197"/>
      <c r="NV50" s="197"/>
      <c r="NW50" s="197"/>
      <c r="NX50" s="197"/>
      <c r="NY50" s="197"/>
      <c r="NZ50" s="197"/>
      <c r="OA50" s="197"/>
      <c r="OB50" s="197"/>
      <c r="OC50" s="197"/>
      <c r="OD50" s="197"/>
      <c r="OE50" s="197"/>
      <c r="OF50" s="197"/>
      <c r="OG50" s="197"/>
      <c r="OH50" s="197"/>
      <c r="OI50" s="197"/>
      <c r="OJ50" s="197"/>
      <c r="OK50" s="197"/>
      <c r="OL50" s="197"/>
      <c r="OM50" s="197"/>
      <c r="ON50" s="197"/>
      <c r="OO50" s="197"/>
      <c r="OP50" s="197"/>
      <c r="OQ50" s="197"/>
      <c r="OR50" s="197"/>
      <c r="OS50" s="197"/>
      <c r="OT50" s="197"/>
      <c r="OU50" s="197"/>
      <c r="OV50" s="197"/>
      <c r="OW50" s="197"/>
      <c r="OX50" s="197"/>
      <c r="OY50" s="197"/>
      <c r="OZ50" s="197"/>
      <c r="PA50" s="197"/>
      <c r="PB50" s="197"/>
    </row>
    <row r="51" spans="1:418" s="77" customFormat="1" ht="10.5" customHeight="1" x14ac:dyDescent="0.2">
      <c r="A51" s="48">
        <v>2005</v>
      </c>
      <c r="B51" s="59">
        <f>'C1-Incomes'!C53/'C1-Incomes'!$B53</f>
        <v>0.45206019019218896</v>
      </c>
      <c r="C51" s="59">
        <f>'C1-Incomes'!D53/'C1-Incomes'!$B53</f>
        <v>0.33315097554028866</v>
      </c>
      <c r="D51" s="59">
        <f>'C1-Incomes'!E53/'C1-Incomes'!$B53</f>
        <v>0.17795486600175159</v>
      </c>
      <c r="E51" s="59">
        <f>'C1-Incomes'!F53/'C1-Incomes'!$B53</f>
        <v>0.13853155815106161</v>
      </c>
      <c r="F51" s="59">
        <f>'C1-Incomes'!G53/'C1-Incomes'!$B53</f>
        <v>7.812175481959284E-2</v>
      </c>
      <c r="G51" s="59">
        <f>'C1-Incomes'!H53/'C1-Incomes'!$B53</f>
        <v>3.3061823993287144E-2</v>
      </c>
      <c r="H51" s="199"/>
      <c r="J51" s="59">
        <f>'C1-Incomes'!K53/'C1-Incomes'!$J53</f>
        <v>0.38129798226128003</v>
      </c>
      <c r="K51" s="59">
        <f>'C1-Incomes'!L53/'C1-Incomes'!$J53</f>
        <v>0.27616964115201892</v>
      </c>
      <c r="L51" s="59">
        <f>'C1-Incomes'!M53/'C1-Incomes'!$J53</f>
        <v>0.14257478164468423</v>
      </c>
      <c r="M51" s="59">
        <f>'C1-Incomes'!N53/'C1-Incomes'!$J53</f>
        <v>0.11089279173738555</v>
      </c>
      <c r="N51" s="59">
        <f>'C1-Incomes'!O53/'C1-Incomes'!$J53</f>
        <v>6.3320031701625701E-2</v>
      </c>
      <c r="O51" s="59">
        <f>'C1-Incomes'!P53/'C1-Incomes'!$J53</f>
        <v>2.7770709257470987E-2</v>
      </c>
      <c r="P51" s="59"/>
      <c r="R51" s="59">
        <f>'C1-Incomes'!S53/'C1-Incomes'!$R53</f>
        <v>0.3431560059324546</v>
      </c>
      <c r="S51" s="59">
        <f>'C1-Incomes'!T53/'C1-Incomes'!$R53</f>
        <v>0.24731522667317882</v>
      </c>
      <c r="T51" s="59">
        <f>'C1-Incomes'!U53/'C1-Incomes'!$R53</f>
        <v>0.12686541570563556</v>
      </c>
      <c r="U51" s="59">
        <f>'C1-Incomes'!V53/'C1-Incomes'!$R53</f>
        <v>9.8523969397013231E-2</v>
      </c>
      <c r="V51" s="59">
        <f>'C1-Incomes'!W53/'C1-Incomes'!$R53</f>
        <v>5.6133168869641752E-2</v>
      </c>
      <c r="W51" s="59">
        <f>'C1-Incomes'!X53/'C1-Incomes'!$R53</f>
        <v>2.4595922625500175E-2</v>
      </c>
      <c r="X51" s="59"/>
      <c r="Y51" s="59"/>
      <c r="Z51" s="59">
        <f>'C1-Incomes'!AA53/'C1-Incomes'!$Z53</f>
        <v>0.28486938817881424</v>
      </c>
      <c r="AA51" s="59">
        <f>'C1-Incomes'!AB53/'C1-Incomes'!$Z53</f>
        <v>0.19827776711904638</v>
      </c>
      <c r="AB51" s="59">
        <f>'C1-Incomes'!AC53/'C1-Incomes'!$Z53</f>
        <v>9.5123410492338856E-2</v>
      </c>
      <c r="AC51" s="59">
        <f>'C1-Incomes'!AD53/'C1-Incomes'!$Z53</f>
        <v>7.2234815344017961E-2</v>
      </c>
      <c r="AD51" s="59">
        <f>'C1-Incomes'!AE53/'C1-Incomes'!$Z53</f>
        <v>3.9738183673759905E-2</v>
      </c>
      <c r="AE51" s="59">
        <f>'C1-Incomes'!AF53/'C1-Incomes'!$Z53</f>
        <v>1.7274119019699604E-2</v>
      </c>
      <c r="AF51" s="200"/>
      <c r="AG51" s="195"/>
      <c r="AH51" s="59">
        <f>'C1-Incomes'!AI53/'C1-Incomes'!$AH53</f>
        <v>0.44453947441244451</v>
      </c>
      <c r="AI51" s="59">
        <f>'C1-Incomes'!AJ53/'C1-Incomes'!$AH53</f>
        <v>0.32681209162354241</v>
      </c>
      <c r="AJ51" s="59">
        <f>'C1-Incomes'!AK53/'C1-Incomes'!$AH53</f>
        <v>0.17392016559930465</v>
      </c>
      <c r="AK51" s="59">
        <f>'C1-Incomes'!AL53/'C1-Incomes'!$AH53</f>
        <v>0.13528258800175258</v>
      </c>
      <c r="AL51" s="59">
        <f>'C1-Incomes'!AM53/'C1-Incomes'!$AH53</f>
        <v>7.6264245964764277E-2</v>
      </c>
      <c r="AM51" s="59">
        <f>'C1-Incomes'!AN53/'C1-Incomes'!$AH53</f>
        <v>3.2308959625044542E-2</v>
      </c>
      <c r="AN51" s="195"/>
      <c r="AO51" s="195"/>
      <c r="AP51" s="59"/>
      <c r="AQ51" s="59"/>
      <c r="AR51" s="59"/>
      <c r="AS51" s="59"/>
      <c r="AT51" s="59"/>
      <c r="AU51" s="59"/>
      <c r="AV51" s="197"/>
      <c r="AW51" s="60"/>
      <c r="AX51" s="59">
        <f>'C1-Incomes'!AY53/'C1-Incomes'!$AX53</f>
        <v>0.44688620910356247</v>
      </c>
      <c r="AY51" s="59">
        <f>'C1-Incomes'!AZ53/'C1-Incomes'!$AX53</f>
        <v>0.3295233605789174</v>
      </c>
      <c r="AZ51" s="59">
        <f>'C1-Incomes'!BA53/'C1-Incomes'!$AX53</f>
        <v>0.17642248172209671</v>
      </c>
      <c r="BA51" s="59">
        <f>'C1-Incomes'!BB53/'C1-Incomes'!$AX53</f>
        <v>0.13738742062447257</v>
      </c>
      <c r="BB51" s="59">
        <f>'C1-Incomes'!BC53/'C1-Incomes'!$AX53</f>
        <v>7.7571442204065921E-2</v>
      </c>
      <c r="BC51" s="59">
        <f>'C1-Incomes'!BD53/'C1-Incomes'!$AX53</f>
        <v>3.2822951600296718E-2</v>
      </c>
      <c r="BD51" s="60"/>
      <c r="BE51" s="60"/>
      <c r="BF51" s="59">
        <f>'C1-Incomes'!BG53/'C1-Incomes'!$BF53</f>
        <v>0.44025981650858509</v>
      </c>
      <c r="BG51" s="59">
        <f>'C1-Incomes'!BH53/'C1-Incomes'!$BF53</f>
        <v>0.32440903518317149</v>
      </c>
      <c r="BH51" s="59">
        <f>'C1-Incomes'!BI53/'C1-Incomes'!$BF53</f>
        <v>0.17391746231909511</v>
      </c>
      <c r="BI51" s="59">
        <f>'C1-Incomes'!BJ53/'C1-Incomes'!$BF53</f>
        <v>0.13565320433051109</v>
      </c>
      <c r="BJ51" s="59">
        <f>'C1-Incomes'!BK53/'C1-Incomes'!$BF53</f>
        <v>7.6887218835240231E-2</v>
      </c>
      <c r="BK51" s="59">
        <f>'C1-Incomes'!BL53/'C1-Incomes'!$BF53</f>
        <v>3.258172189651462E-2</v>
      </c>
      <c r="BL51" s="59"/>
      <c r="BM51" s="59"/>
      <c r="BN51" s="59">
        <f>'C1-Incomes'!BO53/'C1-Incomes'!$BN53</f>
        <v>0.40433421503375133</v>
      </c>
      <c r="BO51" s="59">
        <f>'C1-Incomes'!BP53/'C1-Incomes'!$BN53</f>
        <v>0.29710304454377318</v>
      </c>
      <c r="BP51" s="59">
        <f>'C1-Incomes'!BQ53/'C1-Incomes'!$BN53</f>
        <v>0.15887801351172548</v>
      </c>
      <c r="BQ51" s="59">
        <f>'C1-Incomes'!BR53/'C1-Incomes'!$BN53</f>
        <v>0.12416893298004131</v>
      </c>
      <c r="BR51" s="59">
        <f>'C1-Incomes'!BS53/'C1-Incomes'!$BN53</f>
        <v>7.081465399473108E-2</v>
      </c>
      <c r="BS51" s="59">
        <f>'C1-Incomes'!BT53/'C1-Incomes'!$BN53</f>
        <v>3.0182153769973505E-2</v>
      </c>
      <c r="BT51" s="59"/>
      <c r="BU51" s="59"/>
      <c r="BV51" s="59">
        <f>'C1-Incomes'!BW53/'C1-Incomes'!$BV53</f>
        <v>0.40675427635303552</v>
      </c>
      <c r="BW51" s="59">
        <f>'C1-Incomes'!BX53/'C1-Incomes'!$BV53</f>
        <v>0.29990129015563044</v>
      </c>
      <c r="BX51" s="59">
        <f>'C1-Incomes'!BY53/'C1-Incomes'!$BV53</f>
        <v>0.16168975764572671</v>
      </c>
      <c r="BY51" s="59">
        <f>'C1-Incomes'!BZ53/'C1-Incomes'!$BV53</f>
        <v>0.12680794526297648</v>
      </c>
      <c r="BZ51" s="59">
        <f>'C1-Incomes'!CA53/'C1-Incomes'!$BV53</f>
        <v>7.3066319397988105E-2</v>
      </c>
      <c r="CA51" s="59">
        <f>'C1-Incomes'!CB53/'C1-Incomes'!$BV53</f>
        <v>3.1612351173485084E-2</v>
      </c>
      <c r="CB51" s="60"/>
      <c r="CC51" s="198"/>
      <c r="CD51" s="59">
        <f>'C1-Incomes'!CE53/'C1-Incomes'!$CD53</f>
        <v>0.41408967683512371</v>
      </c>
      <c r="CE51" s="59">
        <f>'C1-Incomes'!CF53/'C1-Incomes'!$CD53</f>
        <v>0.30768162617246625</v>
      </c>
      <c r="CF51" s="59">
        <f>'C1-Incomes'!CG53/'C1-Incomes'!$CD53</f>
        <v>0.16792162713844605</v>
      </c>
      <c r="CG51" s="59">
        <f>'C1-Incomes'!CH53/'C1-Incomes'!$CD53</f>
        <v>0.13252396499339469</v>
      </c>
      <c r="CH51" s="59">
        <f>'C1-Incomes'!CI53/'C1-Incomes'!$CD53</f>
        <v>7.7325951196404036E-2</v>
      </c>
      <c r="CI51" s="59">
        <f>'C1-Incomes'!CJ53/'C1-Incomes'!$CD53</f>
        <v>3.4084835356054055E-2</v>
      </c>
      <c r="CL51" s="59">
        <f>'C1-Incomes'!CM53/'C1-Incomes'!$CL53</f>
        <v>0.41679356866870221</v>
      </c>
      <c r="CM51" s="59">
        <f>'C1-Incomes'!CN53/'C1-Incomes'!$CL53</f>
        <v>0.31049682718775978</v>
      </c>
      <c r="CN51" s="59">
        <f>'C1-Incomes'!CO53/'C1-Incomes'!$CL53</f>
        <v>0.16970906403718347</v>
      </c>
      <c r="CO51" s="59">
        <f>'C1-Incomes'!CP53/'C1-Incomes'!$CL53</f>
        <v>0.13418908707565005</v>
      </c>
      <c r="CP51" s="59">
        <f>'C1-Incomes'!CQ53/'C1-Incomes'!$CL53</f>
        <v>7.8624007128115292E-2</v>
      </c>
      <c r="CQ51" s="59">
        <f>'C1-Incomes'!CR53/'C1-Incomes'!$CL53</f>
        <v>3.4942886369924916E-2</v>
      </c>
      <c r="CR51" s="59"/>
      <c r="CS51" s="59"/>
      <c r="CT51" s="59">
        <f>'C1-Incomes'!CU53/'C1-Incomes'!$CT53</f>
        <v>0.4195940065521816</v>
      </c>
      <c r="CU51" s="59">
        <f>'C1-Incomes'!CV53/'C1-Incomes'!$CT53</f>
        <v>0.31338387653307143</v>
      </c>
      <c r="CV51" s="59">
        <f>'C1-Incomes'!CW53/'C1-Incomes'!$CT53</f>
        <v>0.17210062891060246</v>
      </c>
      <c r="CW51" s="59">
        <f>'C1-Incomes'!CX53/'C1-Incomes'!$CT53</f>
        <v>0.13625106495774333</v>
      </c>
      <c r="CX51" s="59">
        <f>'C1-Incomes'!CY53/'C1-Incomes'!$CT53</f>
        <v>8.0098356463621456E-2</v>
      </c>
      <c r="CY51" s="59">
        <f>'C1-Incomes'!CZ53/'C1-Incomes'!$CT53</f>
        <v>3.5722850390320859E-2</v>
      </c>
      <c r="CZ51" s="59"/>
      <c r="DA51" s="59"/>
      <c r="DB51" s="59">
        <f>'C1-Incomes'!DC53/'C1-Incomes'!$DB53</f>
        <v>0.42209583939125683</v>
      </c>
      <c r="DC51" s="59">
        <f>'C1-Incomes'!DD53/'C1-Incomes'!$DB53</f>
        <v>0.31582412583027775</v>
      </c>
      <c r="DD51" s="59">
        <f>'C1-Incomes'!DE53/'C1-Incomes'!$DB53</f>
        <v>0.17378261965959818</v>
      </c>
      <c r="DE51" s="59">
        <f>'C1-Incomes'!DF53/'C1-Incomes'!$DB53</f>
        <v>0.13767136116226894</v>
      </c>
      <c r="DF51" s="59">
        <f>'C1-Incomes'!DG53/'C1-Incomes'!$DB53</f>
        <v>8.094441032986506E-2</v>
      </c>
      <c r="DG51" s="59">
        <f>'C1-Incomes'!DH53/'C1-Incomes'!$DB53</f>
        <v>3.6054375190402881E-2</v>
      </c>
      <c r="DH51" s="59"/>
      <c r="DI51" s="1039"/>
      <c r="DJ51" s="59">
        <f>'C1-Incomes'!DK53/'C1-Incomes'!$DJ53</f>
        <v>0.4072161782497502</v>
      </c>
      <c r="DK51" s="59">
        <f>'C1-Incomes'!DL53/'C1-Incomes'!$DJ53</f>
        <v>0.30361110543960912</v>
      </c>
      <c r="DL51" s="59">
        <f>'C1-Incomes'!DM53/'C1-Incomes'!$DJ53</f>
        <v>0.16517618483203811</v>
      </c>
      <c r="DM51" s="59">
        <f>'C1-Incomes'!DN53/'C1-Incomes'!$DJ53</f>
        <v>0.13000987814143</v>
      </c>
      <c r="DN51" s="59">
        <f>'C1-Incomes'!DO53/'C1-Incomes'!$DJ53</f>
        <v>7.545975818626656E-2</v>
      </c>
      <c r="DO51" s="59">
        <f>'C1-Incomes'!DP53/'C1-Incomes'!$DJ53</f>
        <v>3.3512141181892788E-2</v>
      </c>
      <c r="DP51" s="696"/>
      <c r="DQ51" s="503"/>
      <c r="DR51" s="59">
        <f>'C1-Incomes'!DS53/'C1-Incomes'!$DR53</f>
        <v>0.40596981577139657</v>
      </c>
      <c r="DS51" s="59">
        <f>'C1-Incomes'!DT53/'C1-Incomes'!$DR53</f>
        <v>0.30143160245493017</v>
      </c>
      <c r="DT51" s="59">
        <f>'C1-Incomes'!DU53/'C1-Incomes'!$DR53</f>
        <v>0.16250129666359026</v>
      </c>
      <c r="DU51" s="59">
        <f>'C1-Incomes'!DV53/'C1-Incomes'!$DR53</f>
        <v>0.12745962989145571</v>
      </c>
      <c r="DV51" s="59">
        <f>'C1-Incomes'!DW53/'C1-Incomes'!$DR53</f>
        <v>7.3542946829925543E-2</v>
      </c>
      <c r="DW51" s="59">
        <f>'C1-Incomes'!DX53/'C1-Incomes'!$DR53</f>
        <v>3.2491434777932295E-2</v>
      </c>
      <c r="DX51" s="333"/>
      <c r="DZ51" s="59">
        <f>'C1-Incomes'!EA53/'C1-Incomes'!$DZ53</f>
        <v>0.39781387593042511</v>
      </c>
      <c r="EA51" s="59">
        <f>'C1-Incomes'!EB53/'C1-Incomes'!$DZ53</f>
        <v>0.29340181820328881</v>
      </c>
      <c r="EB51" s="59">
        <f>'C1-Incomes'!EC53/'C1-Incomes'!$DZ53</f>
        <v>0.15668087226492375</v>
      </c>
      <c r="EC51" s="59">
        <f>'C1-Incomes'!ED53/'C1-Incomes'!$DZ53</f>
        <v>0.12264007566126145</v>
      </c>
      <c r="ED51" s="59">
        <f>'C1-Incomes'!EE53/'C1-Incomes'!$DZ53</f>
        <v>7.060764162477795E-2</v>
      </c>
      <c r="EE51" s="59">
        <f>'C1-Incomes'!EF53/'C1-Incomes'!$DZ53</f>
        <v>3.1145607982518662E-2</v>
      </c>
      <c r="EF51" s="59"/>
      <c r="EH51" s="59">
        <f>'C1-Incomes'!EI53/'C1-Incomes'!$EH53</f>
        <v>0.38762427812986416</v>
      </c>
      <c r="EI51" s="59">
        <f>'C1-Incomes'!EJ53/'C1-Incomes'!$EH53</f>
        <v>0.28281374622781696</v>
      </c>
      <c r="EJ51" s="59">
        <f>'C1-Incomes'!EK53/'C1-Incomes'!$EH53</f>
        <v>0.1484679019054326</v>
      </c>
      <c r="EK51" s="59">
        <f>'C1-Incomes'!EL53/'C1-Incomes'!$EH53</f>
        <v>0.1158712400070554</v>
      </c>
      <c r="EL51" s="59">
        <f>'C1-Incomes'!EM53/'C1-Incomes'!$EH53</f>
        <v>6.6530263010028415E-2</v>
      </c>
      <c r="EM51" s="59">
        <f>'C1-Incomes'!EN53/'C1-Incomes'!$EH53</f>
        <v>2.9307810486913971E-2</v>
      </c>
      <c r="EN51" s="59"/>
      <c r="EO51" s="59"/>
      <c r="EP51" s="59">
        <f>'C1-Incomes'!EQ53/'C1-Incomes'!$EH53</f>
        <v>0.40058667372788659</v>
      </c>
      <c r="EQ51" s="59">
        <f>'C1-Incomes'!ER53/'C1-Incomes'!$EH53</f>
        <v>0.29146913309227312</v>
      </c>
      <c r="ER51" s="59">
        <f>'C1-Incomes'!ES53/'C1-Incomes'!$EH53</f>
        <v>0.15172608940086196</v>
      </c>
      <c r="ES51" s="59">
        <f>'C1-Incomes'!ET53/'C1-Incomes'!$EH53</f>
        <v>0.11815451443652421</v>
      </c>
      <c r="ET51" s="59">
        <f>'C1-Incomes'!EU53/'C1-Incomes'!$EH53</f>
        <v>6.7560922731467174E-2</v>
      </c>
      <c r="EU51" s="59">
        <f>'C1-Incomes'!EV53/'C1-Incomes'!$EH53</f>
        <v>2.9651110927484351E-2</v>
      </c>
      <c r="EV51" s="59"/>
      <c r="EW51" s="59"/>
      <c r="EX51" s="59">
        <f>'C1-Incomes'!EY53/'C1-Incomes'!$EX53</f>
        <v>0.38129798226128003</v>
      </c>
      <c r="EY51" s="59">
        <f>'C1-Incomes'!EZ53/'C1-Incomes'!$EX53</f>
        <v>0.27616964115201892</v>
      </c>
      <c r="EZ51" s="59">
        <f>'C1-Incomes'!FA53/'C1-Incomes'!$EX53</f>
        <v>0.14257478164468423</v>
      </c>
      <c r="FA51" s="59">
        <f>'C1-Incomes'!FB53/'C1-Incomes'!$EX53</f>
        <v>0.11089279173738555</v>
      </c>
      <c r="FB51" s="59">
        <f>'C1-Incomes'!FC53/'C1-Incomes'!$EX53</f>
        <v>6.3320031701625701E-2</v>
      </c>
      <c r="FC51" s="59">
        <f>'C1-Incomes'!FD53/'C1-Incomes'!$EX53</f>
        <v>2.7770709257470987E-2</v>
      </c>
      <c r="FD51" s="59"/>
      <c r="FF51" s="59">
        <f>'C1-Incomes'!FG53/'C1-Incomes'!$FF53</f>
        <v>0.36811463244286802</v>
      </c>
      <c r="FG51" s="59">
        <f>'C1-Incomes'!FH53/'C1-Incomes'!$FF53</f>
        <v>0.26604457893118832</v>
      </c>
      <c r="FH51" s="59">
        <f>'C1-Incomes'!FI53/'C1-Incomes'!$FF53</f>
        <v>0.13679929428006951</v>
      </c>
      <c r="FI51" s="59">
        <f>'C1-Incomes'!FJ53/'C1-Incomes'!$FF53</f>
        <v>0.10627673167168267</v>
      </c>
      <c r="FJ51" s="59">
        <f>'C1-Incomes'!FK53/'C1-Incomes'!$FF53</f>
        <v>6.0570664239931307E-2</v>
      </c>
      <c r="FK51" s="59">
        <f>'C1-Incomes'!FL53/'C1-Incomes'!$FF53</f>
        <v>2.6542721627534946E-2</v>
      </c>
      <c r="FN51" s="59">
        <f>'C1-Incomes'!FO53/'C1-Incomes'!$FN53</f>
        <v>0.36725847234190068</v>
      </c>
      <c r="FO51" s="59">
        <f>'C1-Incomes'!FP53/'C1-Incomes'!$FN53</f>
        <v>0.2653736084817887</v>
      </c>
      <c r="FP51" s="59">
        <f>'C1-Incomes'!FQ53/'C1-Incomes'!$FN53</f>
        <v>0.1364280721700839</v>
      </c>
      <c r="FQ51" s="59">
        <f>'C1-Incomes'!FR53/'C1-Incomes'!$FN53</f>
        <v>0.10598349517010594</v>
      </c>
      <c r="FR51" s="59">
        <f>'C1-Incomes'!FS53/'C1-Incomes'!$FN53</f>
        <v>6.0407763775859116E-2</v>
      </c>
      <c r="FS51" s="59">
        <f>'C1-Incomes'!FT53/'C1-Incomes'!$FN53</f>
        <v>2.6471219066138849E-2</v>
      </c>
      <c r="FV51" s="59">
        <f>'C1-Incomes'!FW53/'C1-Incomes'!$FV53</f>
        <v>0.36245052304811559</v>
      </c>
      <c r="FW51" s="59">
        <f>'C1-Incomes'!FX53/'C1-Incomes'!$FV53</f>
        <v>0.26183182082115786</v>
      </c>
      <c r="FX51" s="59">
        <f>'C1-Incomes'!FY53/'C1-Incomes'!$FV53</f>
        <v>0.13455950599941</v>
      </c>
      <c r="FY51" s="59">
        <f>'C1-Incomes'!FZ53/'C1-Incomes'!$FV53</f>
        <v>0.10452349293305259</v>
      </c>
      <c r="FZ51" s="59">
        <f>'C1-Incomes'!GA53/'C1-Incomes'!$FV53</f>
        <v>5.9569978236648509E-2</v>
      </c>
      <c r="GA51" s="59">
        <f>'C1-Incomes'!GB53/'C1-Incomes'!$FV53</f>
        <v>2.6103065907455078E-2</v>
      </c>
      <c r="GE51" s="59">
        <f>'C1-Incomes'!GF53/'C1-Incomes'!$GE53</f>
        <v>0.35544025702003479</v>
      </c>
      <c r="GF51" s="59">
        <f>'C1-Incomes'!GG53/'C1-Incomes'!$GE53</f>
        <v>0.25616858284271399</v>
      </c>
      <c r="GG51" s="59">
        <f>'C1-Incomes'!GH53/'C1-Incomes'!$GE53</f>
        <v>0.13140692625452868</v>
      </c>
      <c r="GH51" s="59">
        <f>'C1-Incomes'!GI53/'C1-Incomes'!$GE53</f>
        <v>0.10205091678331721</v>
      </c>
      <c r="GI51" s="59">
        <f>'C1-Incomes'!GJ53/'C1-Incomes'!$GE53</f>
        <v>5.8142616260377346E-2</v>
      </c>
      <c r="GJ51" s="59">
        <f>'C1-Incomes'!GK53/'C1-Incomes'!$GE53</f>
        <v>2.5476404050971166E-2</v>
      </c>
      <c r="GM51" s="59">
        <f>'C1-Incomes'!GN53/'C1-Incomes'!$GM53</f>
        <v>0.3431560059324546</v>
      </c>
      <c r="GN51" s="59">
        <f>'C1-Incomes'!GO53/'C1-Incomes'!$GM53</f>
        <v>0.24731522667317882</v>
      </c>
      <c r="GO51" s="59">
        <f>'C1-Incomes'!GP53/'C1-Incomes'!$GM53</f>
        <v>0.12686541570563556</v>
      </c>
      <c r="GP51" s="59">
        <f>'C1-Incomes'!GQ53/'C1-Incomes'!$GM53</f>
        <v>9.8523969397013231E-2</v>
      </c>
      <c r="GQ51" s="59">
        <f>'C1-Incomes'!GR53/'C1-Incomes'!$GM53</f>
        <v>5.6133168869641752E-2</v>
      </c>
      <c r="GR51" s="59">
        <f>'C1-Incomes'!GS53/'C1-Incomes'!$GM53</f>
        <v>2.4595922625500175E-2</v>
      </c>
      <c r="GU51" s="59">
        <f>'C1-Incomes'!GV53/'C1-Incomes'!$GU53</f>
        <v>0.31503790781560198</v>
      </c>
      <c r="GV51" s="59">
        <f>'C1-Incomes'!GW53/'C1-Incomes'!$GU53</f>
        <v>0.22117953951099728</v>
      </c>
      <c r="GW51" s="59">
        <f>'C1-Incomes'!GX53/'C1-Incomes'!$GU53</f>
        <v>0.10740761829202475</v>
      </c>
      <c r="GX51" s="59">
        <f>'C1-Incomes'!GY53/'C1-Incomes'!$GU53</f>
        <v>8.2089839599501543E-2</v>
      </c>
      <c r="GY51" s="59">
        <f>'C1-Incomes'!GZ53/'C1-Incomes'!$GU53</f>
        <v>4.5860229010213215E-2</v>
      </c>
      <c r="GZ51" s="59">
        <f>'C1-Incomes'!HA53/'C1-Incomes'!$GU53</f>
        <v>2.0141213174141481E-2</v>
      </c>
      <c r="HC51" s="59">
        <f>'C1-Incomes'!HD53/'C1-Incomes'!$HC53</f>
        <v>0.30898305264194276</v>
      </c>
      <c r="HD51" s="59">
        <f>'C1-Incomes'!HE53/'C1-Incomes'!$HC53</f>
        <v>0.21576870729641448</v>
      </c>
      <c r="HE51" s="59">
        <f>'C1-Incomes'!HF53/'C1-Incomes'!$HC53</f>
        <v>0.10338073091257056</v>
      </c>
      <c r="HF51" s="59">
        <f>'C1-Incomes'!HG53/'C1-Incomes'!$HC53</f>
        <v>7.8674090314794276E-2</v>
      </c>
      <c r="HG51" s="59">
        <f>'C1-Incomes'!HH53/'C1-Incomes'!$HC53</f>
        <v>4.3685650359835619E-2</v>
      </c>
      <c r="HH51" s="59">
        <f>'C1-Incomes'!HI53/'C1-Incomes'!$HC53</f>
        <v>1.9188592360671303E-2</v>
      </c>
      <c r="HK51" s="59">
        <f>'C1-Incomes'!HL53/'C1-Incomes'!$HK53</f>
        <v>0.30447356373870604</v>
      </c>
      <c r="HL51" s="59">
        <f>'C1-Incomes'!HM53/'C1-Incomes'!$HK53</f>
        <v>0.21160409611404823</v>
      </c>
      <c r="HM51" s="59">
        <f>'C1-Incomes'!HN53/'C1-Incomes'!$HK53</f>
        <v>0.10042487746047052</v>
      </c>
      <c r="HN51" s="59">
        <f>'C1-Incomes'!HO53/'C1-Incomes'!$HK53</f>
        <v>7.6124760332529851E-2</v>
      </c>
      <c r="HO51" s="59">
        <f>'C1-Incomes'!HP53/'C1-Incomes'!$HK53</f>
        <v>4.1871485378297491E-2</v>
      </c>
      <c r="HP51" s="59">
        <f>'C1-Incomes'!HQ53/'C1-Incomes'!$HK53</f>
        <v>1.8182032145946596E-2</v>
      </c>
      <c r="HS51" s="59">
        <f>'C1-Incomes'!HT53/'C1-Incomes'!$HS53</f>
        <v>0.2999516094063821</v>
      </c>
      <c r="HT51" s="59">
        <f>'C1-Incomes'!HU53/'C1-Incomes'!$HS53</f>
        <v>0.20789901441707284</v>
      </c>
      <c r="HU51" s="59">
        <f>'C1-Incomes'!HV53/'C1-Incomes'!$HS53</f>
        <v>9.8060168113048407E-2</v>
      </c>
      <c r="HV51" s="59">
        <f>'C1-Incomes'!HW53/'C1-Incomes'!$HS53</f>
        <v>7.4200894018081637E-2</v>
      </c>
      <c r="HW51" s="59">
        <f>'C1-Incomes'!HX53/'C1-Incomes'!$HS53</f>
        <v>4.0675854427680659E-2</v>
      </c>
      <c r="HX51" s="59">
        <f>'C1-Incomes'!HY53/'C1-Incomes'!$HS53</f>
        <v>1.763485976348509E-2</v>
      </c>
      <c r="IA51" s="59">
        <f>'C1-Incomes'!IB53/'C1-Incomes'!$IA53</f>
        <v>0.30455557389224835</v>
      </c>
      <c r="IB51" s="59">
        <f>'C1-Incomes'!IC53/'C1-Incomes'!$IA53</f>
        <v>0.21335028909692508</v>
      </c>
      <c r="IC51" s="59">
        <f>'C1-Incomes'!ID53/'C1-Incomes'!$IA53</f>
        <v>0.10302621700417443</v>
      </c>
      <c r="ID51" s="59">
        <f>'C1-Incomes'!IE53/'C1-Incomes'!$IA53</f>
        <v>7.8418978097994543E-2</v>
      </c>
      <c r="IE51" s="59">
        <f>'C1-Incomes'!IF53/'C1-Incomes'!$IA53</f>
        <v>4.3351228486821151E-2</v>
      </c>
      <c r="IF51" s="59">
        <f>'C1-Incomes'!IG53/'C1-Incomes'!$IA53</f>
        <v>1.8886894808241919E-2</v>
      </c>
      <c r="II51" s="59">
        <f>'C1-Incomes'!IJ53/'C1-Incomes'!$II53</f>
        <v>0.30501089217945926</v>
      </c>
      <c r="IJ51" s="59">
        <f>'C1-Incomes'!IK53/'C1-Incomes'!$II53</f>
        <v>0.21434473778453755</v>
      </c>
      <c r="IK51" s="59">
        <f>'C1-Incomes'!IL53/'C1-Incomes'!$II53</f>
        <v>0.10425605392044553</v>
      </c>
      <c r="IL51" s="59">
        <f>'C1-Incomes'!IM53/'C1-Incomes'!$II53</f>
        <v>7.9440548071752298E-2</v>
      </c>
      <c r="IM51" s="59">
        <f>'C1-Incomes'!IN53/'C1-Incomes'!$II53</f>
        <v>4.3931458874193606E-2</v>
      </c>
      <c r="IN51" s="59">
        <f>'C1-Incomes'!IO53/'C1-Incomes'!$II53</f>
        <v>1.9127441852677035E-2</v>
      </c>
      <c r="IQ51" s="59">
        <f>'C1-Incomes'!IR53/'C1-Incomes'!$IQ53</f>
        <v>0.30424249476759835</v>
      </c>
      <c r="IR51" s="59">
        <f>'C1-Incomes'!IS53/'C1-Incomes'!$IQ53</f>
        <v>0.21366507809843394</v>
      </c>
      <c r="IS51" s="59">
        <f>'C1-Incomes'!IT53/'C1-Incomes'!$IQ53</f>
        <v>0.10377968705807918</v>
      </c>
      <c r="IT51" s="59">
        <f>'C1-Incomes'!IU53/'C1-Incomes'!$IQ53</f>
        <v>7.9048941013713084E-2</v>
      </c>
      <c r="IU51" s="59">
        <f>'C1-Incomes'!IV53/'C1-Incomes'!$IQ53</f>
        <v>4.3675650141689219E-2</v>
      </c>
      <c r="IV51" s="59">
        <f>'C1-Incomes'!IW53/'C1-Incomes'!$IQ53</f>
        <v>1.9015040571372856E-2</v>
      </c>
      <c r="IY51" s="59">
        <f>'C1-Incomes'!IZ53/'C1-Incomes'!$IY53</f>
        <v>0.28486938817881424</v>
      </c>
      <c r="IZ51" s="59">
        <f>'C1-Incomes'!JA53/'C1-Incomes'!$IY53</f>
        <v>0.19827776711904638</v>
      </c>
      <c r="JA51" s="59">
        <f>'C1-Incomes'!JB53/'C1-Incomes'!$IY53</f>
        <v>9.5123410492338856E-2</v>
      </c>
      <c r="JB51" s="59">
        <f>'C1-Incomes'!JC53/'C1-Incomes'!$IY53</f>
        <v>7.2234815344017961E-2</v>
      </c>
      <c r="JC51" s="59">
        <f>'C1-Incomes'!JD53/'C1-Incomes'!$IY53</f>
        <v>3.9738183673759905E-2</v>
      </c>
      <c r="JD51" s="59">
        <f>'C1-Incomes'!JE53/'C1-Incomes'!$IY53</f>
        <v>1.7274119019699604E-2</v>
      </c>
      <c r="JE51" s="197"/>
      <c r="JF51" s="197"/>
      <c r="JG51" s="197"/>
      <c r="JH51" s="197"/>
      <c r="JI51" s="197"/>
      <c r="JJ51" s="197"/>
      <c r="JK51" s="197"/>
      <c r="JL51" s="197"/>
      <c r="JM51" s="197"/>
      <c r="JN51" s="197"/>
      <c r="JO51" s="197"/>
      <c r="JP51" s="197"/>
      <c r="JQ51" s="197"/>
      <c r="JR51" s="197"/>
      <c r="JS51" s="197"/>
      <c r="JT51" s="197"/>
      <c r="JU51" s="197"/>
      <c r="JV51" s="197"/>
      <c r="JW51" s="197"/>
      <c r="JX51" s="197"/>
      <c r="JY51" s="197"/>
      <c r="JZ51" s="197"/>
      <c r="KA51" s="197"/>
      <c r="KB51" s="197"/>
      <c r="KC51" s="197"/>
      <c r="KD51" s="197"/>
      <c r="KE51" s="197"/>
      <c r="KF51" s="197"/>
      <c r="KG51" s="197"/>
      <c r="KH51" s="197"/>
      <c r="KI51" s="197"/>
      <c r="KJ51" s="197"/>
      <c r="KK51" s="197"/>
      <c r="KL51" s="197"/>
      <c r="KM51" s="197"/>
      <c r="KN51" s="197"/>
      <c r="KO51" s="197"/>
      <c r="KP51" s="197"/>
      <c r="KQ51" s="197"/>
      <c r="KR51" s="197"/>
      <c r="KS51" s="197"/>
      <c r="KT51" s="197"/>
      <c r="KU51" s="197"/>
      <c r="KV51" s="197"/>
      <c r="KW51" s="197"/>
      <c r="KX51" s="197"/>
      <c r="KY51" s="197"/>
      <c r="KZ51" s="197"/>
      <c r="LA51" s="197"/>
      <c r="LB51" s="197"/>
      <c r="LC51" s="197"/>
      <c r="LD51" s="197"/>
      <c r="LE51" s="197"/>
      <c r="LF51" s="197"/>
      <c r="LG51" s="197"/>
      <c r="LH51" s="197"/>
      <c r="LI51" s="197"/>
      <c r="LJ51" s="197"/>
      <c r="LK51" s="197"/>
      <c r="LL51" s="197"/>
      <c r="LM51" s="197"/>
      <c r="LN51" s="197"/>
      <c r="LO51" s="197"/>
      <c r="LP51" s="197"/>
      <c r="LQ51" s="197"/>
      <c r="LR51" s="197"/>
      <c r="LS51" s="197"/>
      <c r="LT51" s="197"/>
      <c r="LU51" s="197"/>
      <c r="LV51" s="197"/>
      <c r="LW51" s="197"/>
      <c r="LX51" s="197"/>
      <c r="LY51" s="197"/>
      <c r="LZ51" s="197"/>
      <c r="MA51" s="197"/>
      <c r="MB51" s="197"/>
      <c r="MC51" s="197"/>
      <c r="MD51" s="197"/>
      <c r="ME51" s="197"/>
      <c r="MF51" s="197"/>
      <c r="MG51" s="197"/>
      <c r="MH51" s="197"/>
      <c r="MI51" s="197"/>
      <c r="MJ51" s="197"/>
      <c r="MK51" s="197"/>
      <c r="ML51" s="197"/>
      <c r="MM51" s="197"/>
      <c r="MN51" s="197"/>
      <c r="MO51" s="197"/>
      <c r="MP51" s="197"/>
      <c r="MQ51" s="197"/>
      <c r="MR51" s="197"/>
      <c r="MS51" s="197"/>
      <c r="MT51" s="197"/>
      <c r="MU51" s="197"/>
      <c r="MV51" s="197"/>
      <c r="MW51" s="197"/>
      <c r="MX51" s="197"/>
      <c r="MY51" s="197"/>
      <c r="MZ51" s="197"/>
      <c r="NA51" s="197"/>
      <c r="NB51" s="197"/>
      <c r="NC51" s="197"/>
      <c r="ND51" s="197"/>
      <c r="NE51" s="197"/>
      <c r="NF51" s="197"/>
      <c r="NG51" s="197"/>
      <c r="NH51" s="197"/>
      <c r="NI51" s="197"/>
      <c r="NJ51" s="197"/>
      <c r="NK51" s="197"/>
      <c r="NL51" s="197"/>
      <c r="NM51" s="197"/>
      <c r="NN51" s="197"/>
      <c r="NO51" s="197"/>
      <c r="NP51" s="197"/>
      <c r="NQ51" s="197"/>
      <c r="NR51" s="197"/>
      <c r="NS51" s="197"/>
      <c r="NT51" s="197"/>
      <c r="NU51" s="197"/>
      <c r="NV51" s="197"/>
      <c r="NW51" s="197"/>
      <c r="NX51" s="197"/>
      <c r="NY51" s="197"/>
      <c r="NZ51" s="197"/>
      <c r="OA51" s="197"/>
      <c r="OB51" s="197"/>
      <c r="OC51" s="197"/>
      <c r="OD51" s="197"/>
      <c r="OE51" s="197"/>
      <c r="OF51" s="197"/>
      <c r="OG51" s="197"/>
      <c r="OH51" s="197"/>
      <c r="OI51" s="197"/>
      <c r="OJ51" s="197"/>
      <c r="OK51" s="197"/>
      <c r="OL51" s="197"/>
      <c r="OM51" s="197"/>
      <c r="ON51" s="197"/>
      <c r="OO51" s="197"/>
      <c r="OP51" s="197"/>
      <c r="OQ51" s="197"/>
      <c r="OR51" s="197"/>
      <c r="OS51" s="197"/>
      <c r="OT51" s="197"/>
      <c r="OU51" s="197"/>
      <c r="OV51" s="197"/>
      <c r="OW51" s="197"/>
      <c r="OX51" s="197"/>
      <c r="OY51" s="197"/>
      <c r="OZ51" s="197"/>
      <c r="PA51" s="197"/>
      <c r="PB51" s="197"/>
    </row>
    <row r="52" spans="1:418" s="77" customFormat="1" ht="10.5" customHeight="1" x14ac:dyDescent="0.2">
      <c r="A52" s="48">
        <v>2006</v>
      </c>
      <c r="B52" s="59">
        <f>'C1-Incomes'!C54/'C1-Incomes'!$B54</f>
        <v>0.45783597822327504</v>
      </c>
      <c r="C52" s="59">
        <f>'C1-Incomes'!D54/'C1-Incomes'!$B54</f>
        <v>0.33902791807062016</v>
      </c>
      <c r="D52" s="59">
        <f>'C1-Incomes'!E54/'C1-Incomes'!$B54</f>
        <v>0.18227275590687367</v>
      </c>
      <c r="E52" s="59">
        <f>'C1-Incomes'!F54/'C1-Incomes'!$B54</f>
        <v>0.14210322629895955</v>
      </c>
      <c r="F52" s="59">
        <f>'C1-Incomes'!G54/'C1-Incomes'!$B54</f>
        <v>8.001317054319991E-2</v>
      </c>
      <c r="G52" s="59">
        <f>'C1-Incomes'!H54/'C1-Incomes'!$B54</f>
        <v>3.3335600482333895E-2</v>
      </c>
      <c r="H52" s="199"/>
      <c r="J52" s="59">
        <f>'C1-Incomes'!K54/'C1-Incomes'!$J54</f>
        <v>0.38568927081796567</v>
      </c>
      <c r="K52" s="59">
        <f>'C1-Incomes'!L54/'C1-Incomes'!$J54</f>
        <v>0.28046480800915263</v>
      </c>
      <c r="L52" s="59">
        <f>'C1-Incomes'!M54/'C1-Incomes'!$J54</f>
        <v>0.14696344047345955</v>
      </c>
      <c r="M52" s="59">
        <f>'C1-Incomes'!N54/'C1-Incomes'!$J54</f>
        <v>0.11437443374885924</v>
      </c>
      <c r="N52" s="59">
        <f>'C1-Incomes'!O54/'C1-Incomes'!$J54</f>
        <v>6.5065247324399861E-2</v>
      </c>
      <c r="O52" s="59">
        <f>'C1-Incomes'!P54/'C1-Incomes'!$J54</f>
        <v>2.7933100021531893E-2</v>
      </c>
      <c r="P52" s="59"/>
      <c r="R52" s="59">
        <f>'C1-Incomes'!S54/'C1-Incomes'!$R54</f>
        <v>0.34768627311106143</v>
      </c>
      <c r="S52" s="59">
        <f>'C1-Incomes'!T54/'C1-Incomes'!$R54</f>
        <v>0.25139664828784081</v>
      </c>
      <c r="T52" s="59">
        <f>'C1-Incomes'!U54/'C1-Incomes'!$R54</f>
        <v>0.13083180114309842</v>
      </c>
      <c r="U52" s="59">
        <f>'C1-Incomes'!V54/'C1-Incomes'!$R54</f>
        <v>0.10165882669471586</v>
      </c>
      <c r="V52" s="59">
        <f>'C1-Incomes'!W54/'C1-Incomes'!$R54</f>
        <v>5.7716788369612332E-2</v>
      </c>
      <c r="W52" s="59">
        <f>'C1-Incomes'!X54/'C1-Incomes'!$R54</f>
        <v>2.4754573190868261E-2</v>
      </c>
      <c r="X52" s="59"/>
      <c r="Y52" s="59"/>
      <c r="Z52" s="59">
        <f>'C1-Incomes'!AA54/'C1-Incomes'!$Z54</f>
        <v>0.28930844105980374</v>
      </c>
      <c r="AA52" s="59">
        <f>'C1-Incomes'!AB54/'C1-Incomes'!$Z54</f>
        <v>0.20193685200574685</v>
      </c>
      <c r="AB52" s="59">
        <f>'C1-Incomes'!AC54/'C1-Incomes'!$Z54</f>
        <v>9.8223339611121438E-2</v>
      </c>
      <c r="AC52" s="59">
        <f>'C1-Incomes'!AD54/'C1-Incomes'!$Z54</f>
        <v>7.4663412324016257E-2</v>
      </c>
      <c r="AD52" s="59">
        <f>'C1-Incomes'!AE54/'C1-Incomes'!$Z54</f>
        <v>4.0899000060021652E-2</v>
      </c>
      <c r="AE52" s="59">
        <f>'C1-Incomes'!AF54/'C1-Incomes'!$Z54</f>
        <v>1.7257660628146747E-2</v>
      </c>
      <c r="AF52" s="200"/>
      <c r="AG52" s="195"/>
      <c r="AH52" s="59">
        <f>'C1-Incomes'!AI54/'C1-Incomes'!$AH54</f>
        <v>0.45038037549388299</v>
      </c>
      <c r="AI52" s="59">
        <f>'C1-Incomes'!AJ54/'C1-Incomes'!$AH54</f>
        <v>0.33277061420115867</v>
      </c>
      <c r="AJ52" s="59">
        <f>'C1-Incomes'!AK54/'C1-Incomes'!$AH54</f>
        <v>0.17833410150552453</v>
      </c>
      <c r="AK52" s="59">
        <f>'C1-Incomes'!AL54/'C1-Incomes'!$AH54</f>
        <v>0.13895020815484715</v>
      </c>
      <c r="AL52" s="59">
        <f>'C1-Incomes'!AM54/'C1-Incomes'!$AH54</f>
        <v>7.8178759960619001E-2</v>
      </c>
      <c r="AM52" s="59">
        <f>'C1-Incomes'!AN54/'C1-Incomes'!$AH54</f>
        <v>3.2549794409640141E-2</v>
      </c>
      <c r="AN52" s="195"/>
      <c r="AO52" s="195"/>
      <c r="AP52" s="59"/>
      <c r="AQ52" s="59"/>
      <c r="AR52" s="59"/>
      <c r="AS52" s="59"/>
      <c r="AT52" s="59"/>
      <c r="AU52" s="59"/>
      <c r="AV52" s="197"/>
      <c r="AW52" s="60"/>
      <c r="AX52" s="59">
        <f>'C1-Incomes'!AY54/'C1-Incomes'!$AX54</f>
        <v>0.45319371659127028</v>
      </c>
      <c r="AY52" s="59">
        <f>'C1-Incomes'!AZ54/'C1-Incomes'!$AX54</f>
        <v>0.33600381815016789</v>
      </c>
      <c r="AZ52" s="59">
        <f>'C1-Incomes'!BA54/'C1-Incomes'!$AX54</f>
        <v>0.18137841504736363</v>
      </c>
      <c r="BA52" s="59">
        <f>'C1-Incomes'!BB54/'C1-Incomes'!$AX54</f>
        <v>0.14155243222159955</v>
      </c>
      <c r="BB52" s="59">
        <f>'C1-Incomes'!BC54/'C1-Incomes'!$AX54</f>
        <v>7.9753623187930292E-2</v>
      </c>
      <c r="BC52" s="59">
        <f>'C1-Incomes'!BD54/'C1-Incomes'!$AX54</f>
        <v>3.3150362115600303E-2</v>
      </c>
      <c r="BD52" s="60"/>
      <c r="BE52" s="60"/>
      <c r="BF52" s="59">
        <f>'C1-Incomes'!BG54/'C1-Incomes'!$BF54</f>
        <v>0.44665606717818462</v>
      </c>
      <c r="BG52" s="59">
        <f>'C1-Incomes'!BH54/'C1-Incomes'!$BF54</f>
        <v>0.33080869978200755</v>
      </c>
      <c r="BH52" s="59">
        <f>'C1-Incomes'!BI54/'C1-Incomes'!$BF54</f>
        <v>0.17861899536094583</v>
      </c>
      <c r="BI52" s="59">
        <f>'C1-Incomes'!BJ54/'C1-Incomes'!$BF54</f>
        <v>0.13955595674879892</v>
      </c>
      <c r="BJ52" s="59">
        <f>'C1-Incomes'!BK54/'C1-Incomes'!$BF54</f>
        <v>7.8798407626848907E-2</v>
      </c>
      <c r="BK52" s="59">
        <f>'C1-Incomes'!BL54/'C1-Incomes'!$BF54</f>
        <v>3.2726664225122347E-2</v>
      </c>
      <c r="BL52" s="59"/>
      <c r="BM52" s="59"/>
      <c r="BN52" s="59">
        <f>'C1-Incomes'!BO54/'C1-Incomes'!$BN54</f>
        <v>0.41013009974246656</v>
      </c>
      <c r="BO52" s="59">
        <f>'C1-Incomes'!BP54/'C1-Incomes'!$BN54</f>
        <v>0.30291316449859129</v>
      </c>
      <c r="BP52" s="59">
        <f>'C1-Incomes'!BQ54/'C1-Incomes'!$BN54</f>
        <v>0.1630196904090282</v>
      </c>
      <c r="BQ52" s="59">
        <f>'C1-Incomes'!BR54/'C1-Incomes'!$BN54</f>
        <v>0.12752009030225706</v>
      </c>
      <c r="BR52" s="59">
        <f>'C1-Incomes'!BS54/'C1-Incomes'!$BN54</f>
        <v>7.2609107260693168E-2</v>
      </c>
      <c r="BS52" s="59">
        <f>'C1-Incomes'!BT54/'C1-Incomes'!$BN54</f>
        <v>3.0284157569778234E-2</v>
      </c>
      <c r="BT52" s="59"/>
      <c r="BU52" s="59"/>
      <c r="BV52" s="59">
        <f>'C1-Incomes'!BW54/'C1-Incomes'!$BV54</f>
        <v>0.41318116432394819</v>
      </c>
      <c r="BW52" s="59">
        <f>'C1-Incomes'!BX54/'C1-Incomes'!$BV54</f>
        <v>0.30633714831339204</v>
      </c>
      <c r="BX52" s="59">
        <f>'C1-Incomes'!BY54/'C1-Incomes'!$BV54</f>
        <v>0.16645839396458695</v>
      </c>
      <c r="BY52" s="59">
        <f>'C1-Incomes'!BZ54/'C1-Incomes'!$BV54</f>
        <v>0.13071050090392711</v>
      </c>
      <c r="BZ52" s="59">
        <f>'C1-Incomes'!CA54/'C1-Incomes'!$BV54</f>
        <v>7.5169148469780414E-2</v>
      </c>
      <c r="CA52" s="59">
        <f>'C1-Incomes'!CB54/'C1-Incomes'!$BV54</f>
        <v>3.183139955692884E-2</v>
      </c>
      <c r="CB52" s="60"/>
      <c r="CC52" s="198"/>
      <c r="CD52" s="59">
        <f>'C1-Incomes'!CE54/'C1-Incomes'!$CD54</f>
        <v>0.42036671568030975</v>
      </c>
      <c r="CE52" s="59">
        <f>'C1-Incomes'!CF54/'C1-Incomes'!$CD54</f>
        <v>0.31393540300049805</v>
      </c>
      <c r="CF52" s="59">
        <f>'C1-Incomes'!CG54/'C1-Incomes'!$CD54</f>
        <v>0.17295868697005534</v>
      </c>
      <c r="CG52" s="59">
        <f>'C1-Incomes'!CH54/'C1-Incomes'!$CD54</f>
        <v>0.13648827735596872</v>
      </c>
      <c r="CH52" s="59">
        <f>'C1-Incomes'!CI54/'C1-Incomes'!$CD54</f>
        <v>7.9402460489442592E-2</v>
      </c>
      <c r="CI52" s="59">
        <f>'C1-Incomes'!CJ54/'C1-Incomes'!$CD54</f>
        <v>3.4235769253532063E-2</v>
      </c>
      <c r="CL52" s="59">
        <f>'C1-Incomes'!CM54/'C1-Incomes'!$CL54</f>
        <v>0.42343040793268039</v>
      </c>
      <c r="CM52" s="59">
        <f>'C1-Incomes'!CN54/'C1-Incomes'!$CL54</f>
        <v>0.3170757838415626</v>
      </c>
      <c r="CN52" s="59">
        <f>'C1-Incomes'!CO54/'C1-Incomes'!$CL54</f>
        <v>0.17513656343077766</v>
      </c>
      <c r="CO52" s="59">
        <f>'C1-Incomes'!CP54/'C1-Incomes'!$CL54</f>
        <v>0.13844227751532839</v>
      </c>
      <c r="CP52" s="59">
        <f>'C1-Incomes'!CQ54/'C1-Incomes'!$CL54</f>
        <v>8.0905595367297259E-2</v>
      </c>
      <c r="CQ52" s="59">
        <f>'C1-Incomes'!CR54/'C1-Incomes'!$CL54</f>
        <v>3.5178293589254006E-2</v>
      </c>
      <c r="CR52" s="59"/>
      <c r="CS52" s="59"/>
      <c r="CT52" s="59">
        <f>'C1-Incomes'!CU54/'C1-Incomes'!$CT54</f>
        <v>0.42629673174499721</v>
      </c>
      <c r="CU52" s="59">
        <f>'C1-Incomes'!CV54/'C1-Incomes'!$CT54</f>
        <v>0.32022378888131797</v>
      </c>
      <c r="CV52" s="59">
        <f>'C1-Incomes'!CW54/'C1-Incomes'!$CT54</f>
        <v>0.17770899695888212</v>
      </c>
      <c r="CW52" s="59">
        <f>'C1-Incomes'!CX54/'C1-Incomes'!$CT54</f>
        <v>0.14066399076397967</v>
      </c>
      <c r="CX52" s="59">
        <f>'C1-Incomes'!CY54/'C1-Incomes'!$CT54</f>
        <v>8.2451898365958481E-2</v>
      </c>
      <c r="CY52" s="59">
        <f>'C1-Incomes'!CZ54/'C1-Incomes'!$CT54</f>
        <v>3.5982148043357788E-2</v>
      </c>
      <c r="CZ52" s="59"/>
      <c r="DA52" s="59"/>
      <c r="DB52" s="59">
        <f>'C1-Incomes'!DC54/'C1-Incomes'!$DB54</f>
        <v>0.42882526658100267</v>
      </c>
      <c r="DC52" s="59">
        <f>'C1-Incomes'!DD54/'C1-Incomes'!$DB54</f>
        <v>0.32283896590849914</v>
      </c>
      <c r="DD52" s="59">
        <f>'C1-Incomes'!DE54/'C1-Incomes'!$DB54</f>
        <v>0.17973578461344783</v>
      </c>
      <c r="DE52" s="59">
        <f>'C1-Incomes'!DF54/'C1-Incomes'!$DB54</f>
        <v>0.14239977137918522</v>
      </c>
      <c r="DF52" s="59">
        <f>'C1-Incomes'!DG54/'C1-Incomes'!$DB54</f>
        <v>8.3539274344638523E-2</v>
      </c>
      <c r="DG52" s="59">
        <f>'C1-Incomes'!DH54/'C1-Incomes'!$DB54</f>
        <v>3.6452709040536699E-2</v>
      </c>
      <c r="DH52" s="59"/>
      <c r="DI52" s="1039"/>
      <c r="DJ52" s="59">
        <f>'C1-Incomes'!DK54/'C1-Incomes'!$DJ54</f>
        <v>0.41267851441002129</v>
      </c>
      <c r="DK52" s="59">
        <f>'C1-Incomes'!DL54/'C1-Incomes'!$DJ54</f>
        <v>0.30889650513014422</v>
      </c>
      <c r="DL52" s="59">
        <f>'C1-Incomes'!DM54/'C1-Incomes'!$DJ54</f>
        <v>0.1699263424546385</v>
      </c>
      <c r="DM52" s="59">
        <f>'C1-Incomes'!DN54/'C1-Incomes'!$DJ54</f>
        <v>0.13369685019730829</v>
      </c>
      <c r="DN52" s="59">
        <f>'C1-Incomes'!DO54/'C1-Incomes'!$DJ54</f>
        <v>7.7278238630092644E-2</v>
      </c>
      <c r="DO52" s="59">
        <f>'C1-Incomes'!DP54/'C1-Incomes'!$DJ54</f>
        <v>3.3575096821662861E-2</v>
      </c>
      <c r="DP52" s="696"/>
      <c r="DQ52" s="503"/>
      <c r="DR52" s="59">
        <f>'C1-Incomes'!DS54/'C1-Incomes'!$DR54</f>
        <v>0.41136686177165693</v>
      </c>
      <c r="DS52" s="59">
        <f>'C1-Incomes'!DT54/'C1-Incomes'!$DR54</f>
        <v>0.30667692575171296</v>
      </c>
      <c r="DT52" s="59">
        <f>'C1-Incomes'!DU54/'C1-Incomes'!$DR54</f>
        <v>0.16737603179832153</v>
      </c>
      <c r="DU52" s="59">
        <f>'C1-Incomes'!DV54/'C1-Incomes'!$DR54</f>
        <v>0.13135481275054259</v>
      </c>
      <c r="DV52" s="59">
        <f>'C1-Incomes'!DW54/'C1-Incomes'!$DR54</f>
        <v>7.5522317010074211E-2</v>
      </c>
      <c r="DW52" s="59">
        <f>'C1-Incomes'!DX54/'C1-Incomes'!$DR54</f>
        <v>3.2678996723609188E-2</v>
      </c>
      <c r="DX52" s="333"/>
      <c r="DZ52" s="59">
        <f>'C1-Incomes'!EA54/'C1-Incomes'!$DZ54</f>
        <v>0.40321515385664236</v>
      </c>
      <c r="EA52" s="59">
        <f>'C1-Incomes'!EB54/'C1-Incomes'!$DZ54</f>
        <v>0.29859505279049636</v>
      </c>
      <c r="EB52" s="59">
        <f>'C1-Incomes'!EC54/'C1-Incomes'!$DZ54</f>
        <v>0.16146507122670048</v>
      </c>
      <c r="EC52" s="59">
        <f>'C1-Incomes'!ED54/'C1-Incomes'!$DZ54</f>
        <v>0.12647758402945106</v>
      </c>
      <c r="ED52" s="59">
        <f>'C1-Incomes'!EE54/'C1-Incomes'!$DZ54</f>
        <v>7.2561735809430025E-2</v>
      </c>
      <c r="EE52" s="59">
        <f>'C1-Incomes'!EF54/'C1-Incomes'!$DZ54</f>
        <v>3.1352734420245429E-2</v>
      </c>
      <c r="EF52" s="59"/>
      <c r="EH52" s="59">
        <f>'C1-Incomes'!EI54/'C1-Incomes'!$EH54</f>
        <v>0.39292144572774645</v>
      </c>
      <c r="EI52" s="59">
        <f>'C1-Incomes'!EJ54/'C1-Incomes'!$EH54</f>
        <v>0.28786924880899756</v>
      </c>
      <c r="EJ52" s="59">
        <f>'C1-Incomes'!EK54/'C1-Incomes'!$EH54</f>
        <v>0.15333909966112272</v>
      </c>
      <c r="EK52" s="59">
        <f>'C1-Incomes'!EL54/'C1-Incomes'!$EH54</f>
        <v>0.11981147684616215</v>
      </c>
      <c r="EL52" s="59">
        <f>'C1-Incomes'!EM54/'C1-Incomes'!$EH54</f>
        <v>6.8567666288309098E-2</v>
      </c>
      <c r="EM52" s="59">
        <f>'C1-Incomes'!EN54/'C1-Incomes'!$EH54</f>
        <v>2.9590956231782005E-2</v>
      </c>
      <c r="EN52" s="59"/>
      <c r="EO52" s="59"/>
      <c r="EP52" s="59">
        <f>'C1-Incomes'!EQ54/'C1-Incomes'!$EH54</f>
        <v>0.40672407066511707</v>
      </c>
      <c r="EQ52" s="59">
        <f>'C1-Incomes'!ER54/'C1-Incomes'!$EH54</f>
        <v>0.29714069478269162</v>
      </c>
      <c r="ER52" s="59">
        <f>'C1-Incomes'!ES54/'C1-Incomes'!$EH54</f>
        <v>0.15692324474151945</v>
      </c>
      <c r="ES52" s="59">
        <f>'C1-Incomes'!ET54/'C1-Incomes'!$EH54</f>
        <v>0.12230937151761366</v>
      </c>
      <c r="ET52" s="59">
        <f>'C1-Incomes'!EU54/'C1-Incomes'!$EH54</f>
        <v>6.9675442016462988E-2</v>
      </c>
      <c r="EU52" s="59">
        <f>'C1-Incomes'!EV54/'C1-Incomes'!$EH54</f>
        <v>2.9940924917119496E-2</v>
      </c>
      <c r="EV52" s="59"/>
      <c r="EW52" s="59"/>
      <c r="EX52" s="59">
        <f>'C1-Incomes'!EY54/'C1-Incomes'!$EX54</f>
        <v>0.38568927081796567</v>
      </c>
      <c r="EY52" s="59">
        <f>'C1-Incomes'!EZ54/'C1-Incomes'!$EX54</f>
        <v>0.28046480800915263</v>
      </c>
      <c r="EZ52" s="59">
        <f>'C1-Incomes'!FA54/'C1-Incomes'!$EX54</f>
        <v>0.14696344047345955</v>
      </c>
      <c r="FA52" s="59">
        <f>'C1-Incomes'!FB54/'C1-Incomes'!$EX54</f>
        <v>0.11437443374885924</v>
      </c>
      <c r="FB52" s="59">
        <f>'C1-Incomes'!FC54/'C1-Incomes'!$EX54</f>
        <v>6.5065247324399861E-2</v>
      </c>
      <c r="FC52" s="59">
        <f>'C1-Incomes'!FD54/'C1-Incomes'!$EX54</f>
        <v>2.7933100021531893E-2</v>
      </c>
      <c r="FD52" s="59"/>
      <c r="FF52" s="59">
        <f>'C1-Incomes'!FG54/'C1-Incomes'!$FF54</f>
        <v>0.37276912857605793</v>
      </c>
      <c r="FG52" s="59">
        <f>'C1-Incomes'!FH54/'C1-Incomes'!$FF54</f>
        <v>0.27037907842649894</v>
      </c>
      <c r="FH52" s="59">
        <f>'C1-Incomes'!FI54/'C1-Incomes'!$FF54</f>
        <v>0.14105903969996286</v>
      </c>
      <c r="FI52" s="59">
        <f>'C1-Incomes'!FJ54/'C1-Incomes'!$FF54</f>
        <v>0.1096448673406798</v>
      </c>
      <c r="FJ52" s="59">
        <f>'C1-Incomes'!FK54/'C1-Incomes'!$FF54</f>
        <v>6.2271929120808797E-2</v>
      </c>
      <c r="FK52" s="59">
        <f>'C1-Incomes'!FL54/'C1-Incomes'!$FF54</f>
        <v>2.671141661494782E-2</v>
      </c>
      <c r="FN52" s="59">
        <f>'C1-Incomes'!FO54/'C1-Incomes'!$FN54</f>
        <v>0.37197343811571054</v>
      </c>
      <c r="FO52" s="59">
        <f>'C1-Incomes'!FP54/'C1-Incomes'!$FN54</f>
        <v>0.26978861196484299</v>
      </c>
      <c r="FP52" s="59">
        <f>'C1-Incomes'!FQ54/'C1-Incomes'!$FN54</f>
        <v>0.14073010438743411</v>
      </c>
      <c r="FQ52" s="59">
        <f>'C1-Incomes'!FR54/'C1-Incomes'!$FN54</f>
        <v>0.10937453757030895</v>
      </c>
      <c r="FR52" s="59">
        <f>'C1-Incomes'!FS54/'C1-Incomes'!$FN54</f>
        <v>6.2121894068502596E-2</v>
      </c>
      <c r="FS52" s="59">
        <f>'C1-Incomes'!FT54/'C1-Incomes'!$FN54</f>
        <v>2.6646991854259453E-2</v>
      </c>
      <c r="FV52" s="59">
        <f>'C1-Incomes'!FW54/'C1-Incomes'!$FV54</f>
        <v>0.36723596568018585</v>
      </c>
      <c r="FW52" s="59">
        <f>'C1-Incomes'!FX54/'C1-Incomes'!$FV54</f>
        <v>0.2662840128863172</v>
      </c>
      <c r="FX52" s="59">
        <f>'C1-Incomes'!FY54/'C1-Incomes'!$FV54</f>
        <v>0.13885305927636254</v>
      </c>
      <c r="FY52" s="59">
        <f>'C1-Incomes'!FZ54/'C1-Incomes'!$FV54</f>
        <v>0.10790727486201855</v>
      </c>
      <c r="FZ52" s="59">
        <f>'C1-Incomes'!GA54/'C1-Incomes'!$FV54</f>
        <v>6.128292810585801E-2</v>
      </c>
      <c r="GA52" s="59">
        <f>'C1-Incomes'!GB54/'C1-Incomes'!$FV54</f>
        <v>2.6286119018415141E-2</v>
      </c>
      <c r="GE52" s="59">
        <f>'C1-Incomes'!GF54/'C1-Incomes'!$GE54</f>
        <v>0.35927112951046791</v>
      </c>
      <c r="GF52" s="59">
        <f>'C1-Incomes'!GG54/'C1-Incomes'!$GE54</f>
        <v>0.25977314829644604</v>
      </c>
      <c r="GG52" s="59">
        <f>'C1-Incomes'!GH54/'C1-Incomes'!$GE54</f>
        <v>0.13519109785952171</v>
      </c>
      <c r="GH52" s="59">
        <f>'C1-Incomes'!GI54/'C1-Incomes'!$GE54</f>
        <v>0.10504608411633469</v>
      </c>
      <c r="GI52" s="59">
        <f>'C1-Incomes'!GJ54/'C1-Incomes'!$GE54</f>
        <v>5.9639903421334003E-2</v>
      </c>
      <c r="GJ52" s="59">
        <f>'C1-Incomes'!GK54/'C1-Incomes'!$GE54</f>
        <v>2.5579391993977008E-2</v>
      </c>
      <c r="GM52" s="59">
        <f>'C1-Incomes'!GN54/'C1-Incomes'!$GM54</f>
        <v>0.34768627311106143</v>
      </c>
      <c r="GN52" s="59">
        <f>'C1-Incomes'!GO54/'C1-Incomes'!$GM54</f>
        <v>0.25139664828784081</v>
      </c>
      <c r="GO52" s="59">
        <f>'C1-Incomes'!GP54/'C1-Incomes'!$GM54</f>
        <v>0.13083180114309842</v>
      </c>
      <c r="GP52" s="59">
        <f>'C1-Incomes'!GQ54/'C1-Incomes'!$GM54</f>
        <v>0.10165882669471586</v>
      </c>
      <c r="GQ52" s="59">
        <f>'C1-Incomes'!GR54/'C1-Incomes'!$GM54</f>
        <v>5.7716788369612332E-2</v>
      </c>
      <c r="GR52" s="59">
        <f>'C1-Incomes'!GS54/'C1-Incomes'!$GM54</f>
        <v>2.4754573190868261E-2</v>
      </c>
      <c r="GU52" s="59">
        <f>'C1-Incomes'!GV54/'C1-Incomes'!$GU54</f>
        <v>0.31818544605371479</v>
      </c>
      <c r="GV52" s="59">
        <f>'C1-Incomes'!GW54/'C1-Incomes'!$GU54</f>
        <v>0.22368413656912145</v>
      </c>
      <c r="GW52" s="59">
        <f>'C1-Incomes'!GX54/'C1-Incomes'!$GU54</f>
        <v>0.11012983249412489</v>
      </c>
      <c r="GX52" s="59">
        <f>'C1-Incomes'!GY54/'C1-Incomes'!$GU54</f>
        <v>8.4170941676895969E-2</v>
      </c>
      <c r="GY52" s="59">
        <f>'C1-Incomes'!GZ54/'C1-Incomes'!$GU54</f>
        <v>4.675958784319021E-2</v>
      </c>
      <c r="GZ52" s="59">
        <f>'C1-Incomes'!HA54/'C1-Incomes'!$GU54</f>
        <v>2.006777662230038E-2</v>
      </c>
      <c r="HC52" s="59">
        <f>'C1-Incomes'!HD54/'C1-Incomes'!$HC54</f>
        <v>0.31219360251261774</v>
      </c>
      <c r="HD52" s="59">
        <f>'C1-Incomes'!HE54/'C1-Incomes'!$HC54</f>
        <v>0.21818652608964806</v>
      </c>
      <c r="HE52" s="59">
        <f>'C1-Incomes'!HF54/'C1-Incomes'!$HC54</f>
        <v>0.10600595620643299</v>
      </c>
      <c r="HF52" s="59">
        <f>'C1-Incomes'!HG54/'C1-Incomes'!$HC54</f>
        <v>8.0706375064063002E-2</v>
      </c>
      <c r="HG52" s="59">
        <f>'C1-Incomes'!HH54/'C1-Incomes'!$HC54</f>
        <v>4.4558241686668811E-2</v>
      </c>
      <c r="HH52" s="59">
        <f>'C1-Incomes'!HI54/'C1-Incomes'!$HC54</f>
        <v>1.9061433297410703E-2</v>
      </c>
      <c r="HK52" s="59">
        <f>'C1-Incomes'!HL54/'C1-Incomes'!$HK54</f>
        <v>0.30733567529155797</v>
      </c>
      <c r="HL52" s="59">
        <f>'C1-Incomes'!HM54/'C1-Incomes'!$HK54</f>
        <v>0.21374599694502036</v>
      </c>
      <c r="HM52" s="59">
        <f>'C1-Incomes'!HN54/'C1-Incomes'!$HK54</f>
        <v>0.1027475987943882</v>
      </c>
      <c r="HN52" s="59">
        <f>'C1-Incomes'!HO54/'C1-Incomes'!$HK54</f>
        <v>7.7905298439627166E-2</v>
      </c>
      <c r="HO52" s="59">
        <f>'C1-Incomes'!HP54/'C1-Incomes'!$HK54</f>
        <v>4.2597128773973876E-2</v>
      </c>
      <c r="HP52" s="59">
        <f>'C1-Incomes'!HQ54/'C1-Incomes'!$HK54</f>
        <v>1.7976818210406215E-2</v>
      </c>
      <c r="HS52" s="59">
        <f>'C1-Incomes'!HT54/'C1-Incomes'!$HS54</f>
        <v>0.30296102913548389</v>
      </c>
      <c r="HT52" s="59">
        <f>'C1-Incomes'!HU54/'C1-Incomes'!$HS54</f>
        <v>0.21002873474774589</v>
      </c>
      <c r="HU52" s="59">
        <f>'C1-Incomes'!HV54/'C1-Incomes'!$HS54</f>
        <v>0.10030812535581282</v>
      </c>
      <c r="HV52" s="59">
        <f>'C1-Incomes'!HW54/'C1-Incomes'!$HS54</f>
        <v>7.5909683856052096E-2</v>
      </c>
      <c r="HW52" s="59">
        <f>'C1-Incomes'!HX54/'C1-Incomes'!$HS54</f>
        <v>4.1411561129537588E-2</v>
      </c>
      <c r="HX52" s="59">
        <f>'C1-Incomes'!HY54/'C1-Incomes'!$HS54</f>
        <v>1.7412920735033754E-2</v>
      </c>
      <c r="IA52" s="59">
        <f>'C1-Incomes'!IB54/'C1-Incomes'!$IA54</f>
        <v>0.30766278900312721</v>
      </c>
      <c r="IB52" s="59">
        <f>'C1-Incomes'!IC54/'C1-Incomes'!$IA54</f>
        <v>0.21563227483884961</v>
      </c>
      <c r="IC52" s="59">
        <f>'C1-Incomes'!ID54/'C1-Incomes'!$IA54</f>
        <v>0.10536675375438738</v>
      </c>
      <c r="ID52" s="59">
        <f>'C1-Incomes'!IE54/'C1-Incomes'!$IA54</f>
        <v>8.0195087066057297E-2</v>
      </c>
      <c r="IE52" s="59">
        <f>'C1-Incomes'!IF54/'C1-Incomes'!$IA54</f>
        <v>4.4060260133831533E-2</v>
      </c>
      <c r="IF52" s="59">
        <f>'C1-Incomes'!IG54/'C1-Incomes'!$IA54</f>
        <v>1.8635030285208267E-2</v>
      </c>
      <c r="II52" s="59">
        <f>'C1-Incomes'!IJ54/'C1-Incomes'!$II54</f>
        <v>0.30834239676832792</v>
      </c>
      <c r="IJ52" s="59">
        <f>'C1-Incomes'!IK54/'C1-Incomes'!$II54</f>
        <v>0.21686764217195872</v>
      </c>
      <c r="IK52" s="59">
        <f>'C1-Incomes'!IL54/'C1-Incomes'!$II54</f>
        <v>0.10664194806685444</v>
      </c>
      <c r="IL52" s="59">
        <f>'C1-Incomes'!IM54/'C1-Incomes'!$II54</f>
        <v>8.1263953587436627E-2</v>
      </c>
      <c r="IM52" s="59">
        <f>'C1-Incomes'!IN54/'C1-Incomes'!$II54</f>
        <v>4.4658408723097009E-2</v>
      </c>
      <c r="IN52" s="59">
        <f>'C1-Incomes'!IO54/'C1-Incomes'!$II54</f>
        <v>1.8872490976574539E-2</v>
      </c>
      <c r="IQ52" s="59">
        <f>'C1-Incomes'!IR54/'C1-Incomes'!$IQ54</f>
        <v>0.30901737912204502</v>
      </c>
      <c r="IR52" s="59">
        <f>'C1-Incomes'!IS54/'C1-Incomes'!$IQ54</f>
        <v>0.21746774889868806</v>
      </c>
      <c r="IS52" s="59">
        <f>'C1-Incomes'!IT54/'C1-Incomes'!$IQ54</f>
        <v>0.10707294915196855</v>
      </c>
      <c r="IT52" s="59">
        <f>'C1-Incomes'!IU54/'C1-Incomes'!$IQ54</f>
        <v>8.1616855108210581E-2</v>
      </c>
      <c r="IU52" s="59">
        <f>'C1-Incomes'!IV54/'C1-Incomes'!$IQ54</f>
        <v>4.4887355355649437E-2</v>
      </c>
      <c r="IV52" s="59">
        <f>'C1-Incomes'!IW54/'C1-Incomes'!$IQ54</f>
        <v>1.8973269390886446E-2</v>
      </c>
      <c r="IY52" s="59">
        <f>'C1-Incomes'!IZ54/'C1-Incomes'!$IY54</f>
        <v>0.28930844105980374</v>
      </c>
      <c r="IZ52" s="59">
        <f>'C1-Incomes'!JA54/'C1-Incomes'!$IY54</f>
        <v>0.20193685200574685</v>
      </c>
      <c r="JA52" s="59">
        <f>'C1-Incomes'!JB54/'C1-Incomes'!$IY54</f>
        <v>9.8223339611121438E-2</v>
      </c>
      <c r="JB52" s="59">
        <f>'C1-Incomes'!JC54/'C1-Incomes'!$IY54</f>
        <v>7.4663412324016257E-2</v>
      </c>
      <c r="JC52" s="59">
        <f>'C1-Incomes'!JD54/'C1-Incomes'!$IY54</f>
        <v>4.0899000060021652E-2</v>
      </c>
      <c r="JD52" s="59">
        <f>'C1-Incomes'!JE54/'C1-Incomes'!$IY54</f>
        <v>1.7257660628146747E-2</v>
      </c>
      <c r="JE52" s="197"/>
      <c r="JF52" s="197"/>
      <c r="JG52" s="197"/>
      <c r="JH52" s="197"/>
      <c r="JI52" s="197"/>
      <c r="JJ52" s="197"/>
      <c r="JK52" s="197"/>
      <c r="JL52" s="197"/>
      <c r="JM52" s="197"/>
      <c r="JN52" s="197"/>
      <c r="JO52" s="197"/>
      <c r="JP52" s="197"/>
      <c r="JQ52" s="197"/>
      <c r="JR52" s="197"/>
      <c r="JS52" s="197"/>
      <c r="JT52" s="197"/>
      <c r="JU52" s="197"/>
      <c r="JV52" s="197"/>
      <c r="JW52" s="197"/>
      <c r="JX52" s="197"/>
      <c r="JY52" s="197"/>
      <c r="JZ52" s="197"/>
      <c r="KA52" s="197"/>
      <c r="KB52" s="197"/>
      <c r="KC52" s="197"/>
      <c r="KD52" s="197"/>
      <c r="KE52" s="197"/>
      <c r="KF52" s="197"/>
      <c r="KG52" s="197"/>
      <c r="KH52" s="197"/>
      <c r="KI52" s="197"/>
      <c r="KJ52" s="197"/>
      <c r="KK52" s="197"/>
      <c r="KL52" s="197"/>
      <c r="KM52" s="197"/>
      <c r="KN52" s="197"/>
      <c r="KO52" s="197"/>
      <c r="KP52" s="197"/>
      <c r="KQ52" s="197"/>
      <c r="KR52" s="197"/>
      <c r="KS52" s="197"/>
      <c r="KT52" s="197"/>
      <c r="KU52" s="197"/>
      <c r="KV52" s="197"/>
      <c r="KW52" s="197"/>
      <c r="KX52" s="197"/>
      <c r="KY52" s="197"/>
      <c r="KZ52" s="197"/>
      <c r="LA52" s="197"/>
      <c r="LB52" s="197"/>
      <c r="LC52" s="197"/>
      <c r="LD52" s="197"/>
      <c r="LE52" s="197"/>
      <c r="LF52" s="197"/>
      <c r="LG52" s="197"/>
      <c r="LH52" s="197"/>
      <c r="LI52" s="197"/>
      <c r="LJ52" s="197"/>
      <c r="LK52" s="197"/>
      <c r="LL52" s="197"/>
      <c r="LM52" s="197"/>
      <c r="LN52" s="197"/>
      <c r="LO52" s="197"/>
      <c r="LP52" s="197"/>
      <c r="LQ52" s="197"/>
      <c r="LR52" s="197"/>
      <c r="LS52" s="197"/>
      <c r="LT52" s="197"/>
      <c r="LU52" s="197"/>
      <c r="LV52" s="197"/>
      <c r="LW52" s="197"/>
      <c r="LX52" s="197"/>
      <c r="LY52" s="197"/>
      <c r="LZ52" s="197"/>
      <c r="MA52" s="197"/>
      <c r="MB52" s="197"/>
      <c r="MC52" s="197"/>
      <c r="MD52" s="197"/>
      <c r="ME52" s="197"/>
      <c r="MF52" s="197"/>
      <c r="MG52" s="197"/>
      <c r="MH52" s="197"/>
      <c r="MI52" s="197"/>
      <c r="MJ52" s="197"/>
      <c r="MK52" s="197"/>
      <c r="ML52" s="197"/>
      <c r="MM52" s="197"/>
      <c r="MN52" s="197"/>
      <c r="MO52" s="197"/>
      <c r="MP52" s="197"/>
      <c r="MQ52" s="197"/>
      <c r="MR52" s="197"/>
      <c r="MS52" s="197"/>
      <c r="MT52" s="197"/>
      <c r="MU52" s="197"/>
      <c r="MV52" s="197"/>
      <c r="MW52" s="197"/>
      <c r="MX52" s="197"/>
      <c r="MY52" s="197"/>
      <c r="MZ52" s="197"/>
      <c r="NA52" s="197"/>
      <c r="NB52" s="197"/>
      <c r="NC52" s="197"/>
      <c r="ND52" s="197"/>
      <c r="NE52" s="197"/>
      <c r="NF52" s="197"/>
      <c r="NG52" s="197"/>
      <c r="NH52" s="197"/>
      <c r="NI52" s="197"/>
      <c r="NJ52" s="197"/>
      <c r="NK52" s="197"/>
      <c r="NL52" s="197"/>
      <c r="NM52" s="197"/>
      <c r="NN52" s="197"/>
      <c r="NO52" s="197"/>
      <c r="NP52" s="197"/>
      <c r="NQ52" s="197"/>
      <c r="NR52" s="197"/>
      <c r="NS52" s="197"/>
      <c r="NT52" s="197"/>
      <c r="NU52" s="197"/>
      <c r="NV52" s="197"/>
      <c r="NW52" s="197"/>
      <c r="NX52" s="197"/>
      <c r="NY52" s="197"/>
      <c r="NZ52" s="197"/>
      <c r="OA52" s="197"/>
      <c r="OB52" s="197"/>
      <c r="OC52" s="197"/>
      <c r="OD52" s="197"/>
      <c r="OE52" s="197"/>
      <c r="OF52" s="197"/>
      <c r="OG52" s="197"/>
      <c r="OH52" s="197"/>
      <c r="OI52" s="197"/>
      <c r="OJ52" s="197"/>
      <c r="OK52" s="197"/>
      <c r="OL52" s="197"/>
      <c r="OM52" s="197"/>
      <c r="ON52" s="197"/>
      <c r="OO52" s="197"/>
      <c r="OP52" s="197"/>
      <c r="OQ52" s="197"/>
      <c r="OR52" s="197"/>
      <c r="OS52" s="197"/>
      <c r="OT52" s="197"/>
      <c r="OU52" s="197"/>
      <c r="OV52" s="197"/>
      <c r="OW52" s="197"/>
      <c r="OX52" s="197"/>
      <c r="OY52" s="197"/>
      <c r="OZ52" s="197"/>
      <c r="PA52" s="197"/>
      <c r="PB52" s="197"/>
    </row>
    <row r="53" spans="1:418" s="77" customFormat="1" ht="10.5" customHeight="1" x14ac:dyDescent="0.2">
      <c r="A53" s="48">
        <v>2007</v>
      </c>
      <c r="B53" s="59">
        <f>'C1-Incomes'!C55/'C1-Incomes'!$B55</f>
        <v>0.45952886865817305</v>
      </c>
      <c r="C53" s="59">
        <f>'C1-Incomes'!D55/'C1-Incomes'!$B55</f>
        <v>0.34161396395739169</v>
      </c>
      <c r="D53" s="59">
        <f>'C1-Incomes'!E55/'C1-Incomes'!$B55</f>
        <v>0.18507058152321654</v>
      </c>
      <c r="E53" s="59">
        <f>'C1-Incomes'!F55/'C1-Incomes'!$B55</f>
        <v>0.14449648615482591</v>
      </c>
      <c r="F53" s="59">
        <f>'C1-Incomes'!G55/'C1-Incomes'!$B55</f>
        <v>8.2165790066561731E-2</v>
      </c>
      <c r="G53" s="59">
        <f>'C1-Incomes'!H55/'C1-Incomes'!$B55</f>
        <v>3.5196934058300565E-2</v>
      </c>
      <c r="H53" s="199"/>
      <c r="J53" s="59">
        <f>'C1-Incomes'!K55/'C1-Incomes'!$J55</f>
        <v>0.38344385290919636</v>
      </c>
      <c r="K53" s="59">
        <f>'C1-Incomes'!L55/'C1-Incomes'!$J55</f>
        <v>0.27906815816067365</v>
      </c>
      <c r="L53" s="59">
        <f>'C1-Incomes'!M55/'C1-Incomes'!$J55</f>
        <v>0.14610594510750965</v>
      </c>
      <c r="M53" s="59">
        <f>'C1-Incomes'!N55/'C1-Incomes'!$J55</f>
        <v>0.11350128234031313</v>
      </c>
      <c r="N53" s="59">
        <f>'C1-Incomes'!O55/'C1-Incomes'!$J55</f>
        <v>6.4601484308223295E-2</v>
      </c>
      <c r="O53" s="59">
        <f>'C1-Incomes'!P55/'C1-Incomes'!$J55</f>
        <v>2.8146360160849218E-2</v>
      </c>
      <c r="P53" s="59"/>
      <c r="R53" s="59">
        <f>'C1-Incomes'!S55/'C1-Incomes'!$R55</f>
        <v>0.34430617385189838</v>
      </c>
      <c r="S53" s="59">
        <f>'C1-Incomes'!T55/'C1-Incomes'!$R55</f>
        <v>0.24913829276123053</v>
      </c>
      <c r="T53" s="59">
        <f>'C1-Incomes'!U55/'C1-Incomes'!$R55</f>
        <v>0.12947409854791339</v>
      </c>
      <c r="U53" s="59">
        <f>'C1-Incomes'!V55/'C1-Incomes'!$R55</f>
        <v>0.10043653346571206</v>
      </c>
      <c r="V53" s="59">
        <f>'C1-Incomes'!W55/'C1-Incomes'!$R55</f>
        <v>5.705522683830213E-2</v>
      </c>
      <c r="W53" s="59">
        <f>'C1-Incomes'!X55/'C1-Incomes'!$R55</f>
        <v>2.483693669524235E-2</v>
      </c>
      <c r="X53" s="59"/>
      <c r="Y53" s="59"/>
      <c r="Z53" s="59">
        <f>'C1-Incomes'!AA55/'C1-Incomes'!$Z55</f>
        <v>0.28253038069514347</v>
      </c>
      <c r="AA53" s="59">
        <f>'C1-Incomes'!AB55/'C1-Incomes'!$Z55</f>
        <v>0.19629003016854613</v>
      </c>
      <c r="AB53" s="59">
        <f>'C1-Incomes'!AC55/'C1-Incomes'!$Z55</f>
        <v>9.4563324470752594E-2</v>
      </c>
      <c r="AC53" s="59">
        <f>'C1-Incomes'!AD55/'C1-Incomes'!$Z55</f>
        <v>7.1502646840449074E-2</v>
      </c>
      <c r="AD53" s="59">
        <f>'C1-Incomes'!AE55/'C1-Incomes'!$Z55</f>
        <v>3.8905381676456595E-2</v>
      </c>
      <c r="AE53" s="59">
        <f>'C1-Incomes'!AF55/'C1-Incomes'!$Z55</f>
        <v>1.6622824923888002E-2</v>
      </c>
      <c r="AF53" s="200"/>
      <c r="AG53" s="195"/>
      <c r="AH53" s="59">
        <f>'C1-Incomes'!AI55/'C1-Incomes'!$AH55</f>
        <v>0.45139070942478943</v>
      </c>
      <c r="AI53" s="59">
        <f>'C1-Incomes'!AJ55/'C1-Incomes'!$AH55</f>
        <v>0.3346875509678689</v>
      </c>
      <c r="AJ53" s="59">
        <f>'C1-Incomes'!AK55/'C1-Incomes'!$AH55</f>
        <v>0.1805785320338357</v>
      </c>
      <c r="AK53" s="59">
        <f>'C1-Incomes'!AL55/'C1-Incomes'!$AH55</f>
        <v>0.14085705491693934</v>
      </c>
      <c r="AL53" s="59">
        <f>'C1-Incomes'!AM55/'C1-Incomes'!$AH55</f>
        <v>8.0015413605132285E-2</v>
      </c>
      <c r="AM53" s="59">
        <f>'C1-Incomes'!AN55/'C1-Incomes'!$AH55</f>
        <v>3.422285508789389E-2</v>
      </c>
      <c r="AN53" s="195"/>
      <c r="AO53" s="195"/>
      <c r="AP53" s="59"/>
      <c r="AQ53" s="59"/>
      <c r="AR53" s="59"/>
      <c r="AS53" s="59"/>
      <c r="AT53" s="59"/>
      <c r="AU53" s="59"/>
      <c r="AV53" s="197"/>
      <c r="AW53" s="60"/>
      <c r="AX53" s="59">
        <f>'C1-Incomes'!AY55/'C1-Incomes'!$AX55</f>
        <v>0.45458364720527888</v>
      </c>
      <c r="AY53" s="59">
        <f>'C1-Incomes'!AZ55/'C1-Incomes'!$AX55</f>
        <v>0.33836211331480825</v>
      </c>
      <c r="AZ53" s="59">
        <f>'C1-Incomes'!BA55/'C1-Incomes'!$AX55</f>
        <v>0.18391379392640647</v>
      </c>
      <c r="BA53" s="59">
        <f>'C1-Incomes'!BB55/'C1-Incomes'!$AX55</f>
        <v>0.14370308570383514</v>
      </c>
      <c r="BB53" s="59">
        <f>'C1-Incomes'!BC55/'C1-Incomes'!$AX55</f>
        <v>8.1736333401433797E-2</v>
      </c>
      <c r="BC53" s="59">
        <f>'C1-Incomes'!BD55/'C1-Incomes'!$AX55</f>
        <v>3.4868214404795553E-2</v>
      </c>
      <c r="BD53" s="60"/>
      <c r="BE53" s="60"/>
      <c r="BF53" s="59">
        <f>'C1-Incomes'!BG55/'C1-Incomes'!$BF55</f>
        <v>0.44779815351543512</v>
      </c>
      <c r="BG53" s="59">
        <f>'C1-Incomes'!BH55/'C1-Incomes'!$BF55</f>
        <v>0.33290656920778844</v>
      </c>
      <c r="BH53" s="59">
        <f>'C1-Incomes'!BI55/'C1-Incomes'!$BF55</f>
        <v>0.180899236259805</v>
      </c>
      <c r="BI53" s="59">
        <f>'C1-Incomes'!BJ55/'C1-Incomes'!$BF55</f>
        <v>0.14146055103424701</v>
      </c>
      <c r="BJ53" s="59">
        <f>'C1-Incomes'!BK55/'C1-Incomes'!$BF55</f>
        <v>8.0570714081451528E-2</v>
      </c>
      <c r="BK53" s="59">
        <f>'C1-Incomes'!BL55/'C1-Incomes'!$BF55</f>
        <v>3.4293147294567339E-2</v>
      </c>
      <c r="BL53" s="59"/>
      <c r="BM53" s="59"/>
      <c r="BN53" s="59">
        <f>'C1-Incomes'!BO55/'C1-Incomes'!$BN55</f>
        <v>0.41241840847807049</v>
      </c>
      <c r="BO53" s="59">
        <f>'C1-Incomes'!BP55/'C1-Incomes'!$BN55</f>
        <v>0.30569343402038357</v>
      </c>
      <c r="BP53" s="59">
        <f>'C1-Incomes'!BQ55/'C1-Incomes'!$BN55</f>
        <v>0.16543577742164467</v>
      </c>
      <c r="BQ53" s="59">
        <f>'C1-Incomes'!BR55/'C1-Incomes'!$BN55</f>
        <v>0.1296966964291531</v>
      </c>
      <c r="BR53" s="59">
        <f>'C1-Incomes'!BS55/'C1-Incomes'!$BN55</f>
        <v>7.4060770655191815E-2</v>
      </c>
      <c r="BS53" s="59">
        <f>'C1-Incomes'!BT55/'C1-Incomes'!$BN55</f>
        <v>3.1662489832708529E-2</v>
      </c>
      <c r="BT53" s="59"/>
      <c r="BU53" s="59"/>
      <c r="BV53" s="59">
        <f>'C1-Incomes'!BW55/'C1-Incomes'!$BV55</f>
        <v>0.41559246579068299</v>
      </c>
      <c r="BW53" s="59">
        <f>'C1-Incomes'!BX55/'C1-Incomes'!$BV55</f>
        <v>0.30924326420605075</v>
      </c>
      <c r="BX53" s="59">
        <f>'C1-Incomes'!BY55/'C1-Incomes'!$BV55</f>
        <v>0.16892829082122229</v>
      </c>
      <c r="BY53" s="59">
        <f>'C1-Incomes'!BZ55/'C1-Incomes'!$BV55</f>
        <v>0.13302018660740617</v>
      </c>
      <c r="BZ53" s="59">
        <f>'C1-Incomes'!CA55/'C1-Incomes'!$BV55</f>
        <v>7.6704367538856122E-2</v>
      </c>
      <c r="CA53" s="59">
        <f>'C1-Incomes'!CB55/'C1-Incomes'!$BV55</f>
        <v>3.3365826364444989E-2</v>
      </c>
      <c r="CB53" s="60"/>
      <c r="CC53" s="198"/>
      <c r="CD53" s="59">
        <f>'C1-Incomes'!CE55/'C1-Incomes'!$CD55</f>
        <v>0.41886276559889168</v>
      </c>
      <c r="CE53" s="59">
        <f>'C1-Incomes'!CF55/'C1-Incomes'!$CD55</f>
        <v>0.31278555295459365</v>
      </c>
      <c r="CF53" s="59">
        <f>'C1-Incomes'!CG55/'C1-Incomes'!$CD55</f>
        <v>0.17189689391687527</v>
      </c>
      <c r="CG53" s="59">
        <f>'C1-Incomes'!CH55/'C1-Incomes'!$CD55</f>
        <v>0.13561529097767028</v>
      </c>
      <c r="CH53" s="59">
        <f>'C1-Incomes'!CI55/'C1-Incomes'!$CD55</f>
        <v>7.8619989109994071E-2</v>
      </c>
      <c r="CI53" s="59">
        <f>'C1-Incomes'!CJ55/'C1-Incomes'!$CD55</f>
        <v>3.4482334116856972E-2</v>
      </c>
      <c r="CL53" s="59">
        <f>'C1-Incomes'!CM55/'C1-Incomes'!$CL55</f>
        <v>0.42123951430349804</v>
      </c>
      <c r="CM53" s="59">
        <f>'C1-Incomes'!CN55/'C1-Incomes'!$CL55</f>
        <v>0.31512908152730928</v>
      </c>
      <c r="CN53" s="59">
        <f>'C1-Incomes'!CO55/'C1-Incomes'!$CL55</f>
        <v>0.1735516305968075</v>
      </c>
      <c r="CO53" s="59">
        <f>'C1-Incomes'!CP55/'C1-Incomes'!$CL55</f>
        <v>0.13707089462918542</v>
      </c>
      <c r="CP53" s="59">
        <f>'C1-Incomes'!CQ55/'C1-Incomes'!$CL55</f>
        <v>7.973261020473503E-2</v>
      </c>
      <c r="CQ53" s="59">
        <f>'C1-Incomes'!CR55/'C1-Incomes'!$CL55</f>
        <v>3.5204360156349132E-2</v>
      </c>
      <c r="CR53" s="59"/>
      <c r="CS53" s="59"/>
      <c r="CT53" s="59">
        <f>'C1-Incomes'!CU55/'C1-Incomes'!$CT55</f>
        <v>0.42408468308785491</v>
      </c>
      <c r="CU53" s="59">
        <f>'C1-Incomes'!CV55/'C1-Incomes'!$CT55</f>
        <v>0.31818794650491566</v>
      </c>
      <c r="CV53" s="59">
        <f>'C1-Incomes'!CW55/'C1-Incomes'!$CT55</f>
        <v>0.17613038910094805</v>
      </c>
      <c r="CW53" s="59">
        <f>'C1-Incomes'!CX55/'C1-Incomes'!$CT55</f>
        <v>0.13924961961260313</v>
      </c>
      <c r="CX53" s="59">
        <f>'C1-Incomes'!CY55/'C1-Incomes'!$CT55</f>
        <v>8.1204268205823049E-2</v>
      </c>
      <c r="CY53" s="59">
        <f>'C1-Incomes'!CZ55/'C1-Incomes'!$CT55</f>
        <v>3.598071493227839E-2</v>
      </c>
      <c r="CZ53" s="59"/>
      <c r="DA53" s="59"/>
      <c r="DB53" s="59">
        <f>'C1-Incomes'!DC55/'C1-Incomes'!$DB55</f>
        <v>0.42683770714798519</v>
      </c>
      <c r="DC53" s="59">
        <f>'C1-Incomes'!DD55/'C1-Incomes'!$DB55</f>
        <v>0.32104561061873244</v>
      </c>
      <c r="DD53" s="59">
        <f>'C1-Incomes'!DE55/'C1-Incomes'!$DB55</f>
        <v>0.17840564335669787</v>
      </c>
      <c r="DE53" s="59">
        <f>'C1-Incomes'!DF55/'C1-Incomes'!$DB55</f>
        <v>0.14116978205626271</v>
      </c>
      <c r="DF53" s="59">
        <f>'C1-Incomes'!DG55/'C1-Incomes'!$DB55</f>
        <v>8.2410348695375168E-2</v>
      </c>
      <c r="DG53" s="59">
        <f>'C1-Incomes'!DH55/'C1-Incomes'!$DB55</f>
        <v>3.6511433213393001E-2</v>
      </c>
      <c r="DH53" s="59"/>
      <c r="DI53" s="1039"/>
      <c r="DJ53" s="59">
        <f>'C1-Incomes'!DK55/'C1-Incomes'!$DJ55</f>
        <v>0.41086248454555313</v>
      </c>
      <c r="DK53" s="59">
        <f>'C1-Incomes'!DL55/'C1-Incomes'!$DJ55</f>
        <v>0.30756217778687972</v>
      </c>
      <c r="DL53" s="59">
        <f>'C1-Incomes'!DM55/'C1-Incomes'!$DJ55</f>
        <v>0.16880015661785019</v>
      </c>
      <c r="DM53" s="59">
        <f>'C1-Incomes'!DN55/'C1-Incomes'!$DJ55</f>
        <v>0.1326206310635957</v>
      </c>
      <c r="DN53" s="59">
        <f>'C1-Incomes'!DO55/'C1-Incomes'!$DJ55</f>
        <v>7.6632768859288797E-2</v>
      </c>
      <c r="DO53" s="59">
        <f>'C1-Incomes'!DP55/'C1-Incomes'!$DJ55</f>
        <v>3.379461520961588E-2</v>
      </c>
      <c r="DP53" s="696"/>
      <c r="DQ53" s="503"/>
      <c r="DR53" s="59">
        <f>'C1-Incomes'!DS55/'C1-Incomes'!$DR55</f>
        <v>0.40947004383945984</v>
      </c>
      <c r="DS53" s="59">
        <f>'C1-Incomes'!DT55/'C1-Incomes'!$DR55</f>
        <v>0.3055356950211533</v>
      </c>
      <c r="DT53" s="59">
        <f>'C1-Incomes'!DU55/'C1-Incomes'!$DR55</f>
        <v>0.16644054317272292</v>
      </c>
      <c r="DU53" s="59">
        <f>'C1-Incomes'!DV55/'C1-Incomes'!$DR55</f>
        <v>0.13042910452348494</v>
      </c>
      <c r="DV53" s="59">
        <f>'C1-Incomes'!DW55/'C1-Incomes'!$DR55</f>
        <v>7.501137454305952E-2</v>
      </c>
      <c r="DW53" s="59">
        <f>'C1-Incomes'!DX55/'C1-Incomes'!$DR55</f>
        <v>3.2952711318938677E-2</v>
      </c>
      <c r="DX53" s="333"/>
      <c r="DZ53" s="59">
        <f>'C1-Incomes'!EA55/'C1-Incomes'!$DZ55</f>
        <v>0.40149683387446405</v>
      </c>
      <c r="EA53" s="59">
        <f>'C1-Incomes'!EB55/'C1-Incomes'!$DZ55</f>
        <v>0.29756856773846441</v>
      </c>
      <c r="EB53" s="59">
        <f>'C1-Incomes'!EC55/'C1-Incomes'!$DZ55</f>
        <v>0.1605667428525438</v>
      </c>
      <c r="EC53" s="59">
        <f>'C1-Incomes'!ED55/'C1-Incomes'!$DZ55</f>
        <v>0.1255852175987543</v>
      </c>
      <c r="ED53" s="59">
        <f>'C1-Incomes'!EE55/'C1-Incomes'!$DZ55</f>
        <v>7.2076121457950143E-2</v>
      </c>
      <c r="EE53" s="59">
        <f>'C1-Incomes'!EF55/'C1-Incomes'!$DZ55</f>
        <v>3.1624270625765741E-2</v>
      </c>
      <c r="EF53" s="59"/>
      <c r="EH53" s="59">
        <f>'C1-Incomes'!EI55/'C1-Incomes'!$EH55</f>
        <v>0.39104436099970824</v>
      </c>
      <c r="EI53" s="59">
        <f>'C1-Incomes'!EJ55/'C1-Incomes'!$EH55</f>
        <v>0.28675918671290218</v>
      </c>
      <c r="EJ53" s="59">
        <f>'C1-Incomes'!EK55/'C1-Incomes'!$EH55</f>
        <v>0.15243162152335388</v>
      </c>
      <c r="EK53" s="59">
        <f>'C1-Incomes'!EL55/'C1-Incomes'!$EH55</f>
        <v>0.11889777899794925</v>
      </c>
      <c r="EL53" s="59">
        <f>'C1-Incomes'!EM55/'C1-Incomes'!$EH55</f>
        <v>6.8081238323529442E-2</v>
      </c>
      <c r="EM53" s="59">
        <f>'C1-Incomes'!EN55/'C1-Incomes'!$EH55</f>
        <v>2.9836654170634969E-2</v>
      </c>
      <c r="EN53" s="59"/>
      <c r="EO53" s="59"/>
      <c r="EP53" s="59">
        <f>'C1-Incomes'!EQ55/'C1-Incomes'!$EH55</f>
        <v>0.40505002914455063</v>
      </c>
      <c r="EQ53" s="59">
        <f>'C1-Incomes'!ER55/'C1-Incomes'!$EH55</f>
        <v>0.2961243897626965</v>
      </c>
      <c r="ER53" s="59">
        <f>'C1-Incomes'!ES55/'C1-Incomes'!$EH55</f>
        <v>0.1562626579764857</v>
      </c>
      <c r="ES53" s="59">
        <f>'C1-Incomes'!ET55/'C1-Incomes'!$EH55</f>
        <v>0.12154993157138567</v>
      </c>
      <c r="ET53" s="59">
        <f>'C1-Incomes'!EU55/'C1-Incomes'!$EH55</f>
        <v>6.9251620865243321E-2</v>
      </c>
      <c r="EU53" s="59">
        <f>'C1-Incomes'!EV55/'C1-Incomes'!$EH55</f>
        <v>3.0201497410922196E-2</v>
      </c>
      <c r="EV53" s="59"/>
      <c r="EW53" s="59"/>
      <c r="EX53" s="59">
        <f>'C1-Incomes'!EY55/'C1-Incomes'!$EX55</f>
        <v>0.38344385290919636</v>
      </c>
      <c r="EY53" s="59">
        <f>'C1-Incomes'!EZ55/'C1-Incomes'!$EX55</f>
        <v>0.27906815816067365</v>
      </c>
      <c r="EZ53" s="59">
        <f>'C1-Incomes'!FA55/'C1-Incomes'!$EX55</f>
        <v>0.14610594510750965</v>
      </c>
      <c r="FA53" s="59">
        <f>'C1-Incomes'!FB55/'C1-Incomes'!$EX55</f>
        <v>0.11350128234031313</v>
      </c>
      <c r="FB53" s="59">
        <f>'C1-Incomes'!FC55/'C1-Incomes'!$EX55</f>
        <v>6.4601484308223295E-2</v>
      </c>
      <c r="FC53" s="59">
        <f>'C1-Incomes'!FD55/'C1-Incomes'!$EX55</f>
        <v>2.8146360160849218E-2</v>
      </c>
      <c r="FD53" s="59"/>
      <c r="FF53" s="59">
        <f>'C1-Incomes'!FG55/'C1-Incomes'!$FF55</f>
        <v>0.37023585079562604</v>
      </c>
      <c r="FG53" s="59">
        <f>'C1-Incomes'!FH55/'C1-Incomes'!$FF55</f>
        <v>0.26882538425994496</v>
      </c>
      <c r="FH53" s="59">
        <f>'C1-Incomes'!FI55/'C1-Incomes'!$FF55</f>
        <v>0.14002061120114662</v>
      </c>
      <c r="FI53" s="59">
        <f>'C1-Incomes'!FJ55/'C1-Incomes'!$FF55</f>
        <v>0.108644367349389</v>
      </c>
      <c r="FJ53" s="59">
        <f>'C1-Incomes'!FK55/'C1-Incomes'!$FF55</f>
        <v>6.1736330297786149E-2</v>
      </c>
      <c r="FK53" s="59">
        <f>'C1-Incomes'!FL55/'C1-Incomes'!$FF55</f>
        <v>2.6878295712208924E-2</v>
      </c>
      <c r="FN53" s="59">
        <f>'C1-Incomes'!FO55/'C1-Incomes'!$FN55</f>
        <v>0.36942506114357015</v>
      </c>
      <c r="FO53" s="59">
        <f>'C1-Incomes'!FP55/'C1-Incomes'!$FN55</f>
        <v>0.26821506147949142</v>
      </c>
      <c r="FP53" s="59">
        <f>'C1-Incomes'!FQ55/'C1-Incomes'!$FN55</f>
        <v>0.13966859971368706</v>
      </c>
      <c r="FQ53" s="59">
        <f>'C1-Incomes'!FR55/'C1-Incomes'!$FN55</f>
        <v>0.10837131274078626</v>
      </c>
      <c r="FR53" s="59">
        <f>'C1-Incomes'!FS55/'C1-Incomes'!$FN55</f>
        <v>6.1580278708539334E-2</v>
      </c>
      <c r="FS53" s="59">
        <f>'C1-Incomes'!FT55/'C1-Incomes'!$FN55</f>
        <v>2.6810295110707316E-2</v>
      </c>
      <c r="FV53" s="59">
        <f>'C1-Incomes'!FW55/'C1-Incomes'!$FV55</f>
        <v>0.36463017720248736</v>
      </c>
      <c r="FW53" s="59">
        <f>'C1-Incomes'!FX55/'C1-Incomes'!$FV55</f>
        <v>0.26466205799208137</v>
      </c>
      <c r="FX53" s="59">
        <f>'C1-Incomes'!FY55/'C1-Incomes'!$FV55</f>
        <v>0.137767521827006</v>
      </c>
      <c r="FY53" s="59">
        <f>'C1-Incomes'!FZ55/'C1-Incomes'!$FV55</f>
        <v>0.10688747392521822</v>
      </c>
      <c r="FZ53" s="59">
        <f>'C1-Incomes'!GA55/'C1-Incomes'!$FV55</f>
        <v>6.0731265928835217E-2</v>
      </c>
      <c r="GA53" s="59">
        <f>'C1-Incomes'!GB55/'C1-Incomes'!$FV55</f>
        <v>2.6439594528224343E-2</v>
      </c>
      <c r="GE53" s="59">
        <f>'C1-Incomes'!GF55/'C1-Incomes'!$GE55</f>
        <v>0.35625934324198122</v>
      </c>
      <c r="GF53" s="59">
        <f>'C1-Incomes'!GG55/'C1-Incomes'!$GE55</f>
        <v>0.25778754868834619</v>
      </c>
      <c r="GG53" s="59">
        <f>'C1-Incomes'!GH55/'C1-Incomes'!$GE55</f>
        <v>0.13396901019662866</v>
      </c>
      <c r="GH53" s="59">
        <f>'C1-Incomes'!GI55/'C1-Incomes'!$GE55</f>
        <v>0.10392335707981544</v>
      </c>
      <c r="GI53" s="59">
        <f>'C1-Incomes'!GJ55/'C1-Incomes'!$GE55</f>
        <v>5.9035995243811992E-2</v>
      </c>
      <c r="GJ53" s="59">
        <f>'C1-Incomes'!GK55/'C1-Incomes'!$GE55</f>
        <v>2.5699192832353317E-2</v>
      </c>
      <c r="GM53" s="59">
        <f>'C1-Incomes'!GN55/'C1-Incomes'!$GM55</f>
        <v>0.34430617385189838</v>
      </c>
      <c r="GN53" s="59">
        <f>'C1-Incomes'!GO55/'C1-Incomes'!$GM55</f>
        <v>0.24913829276123053</v>
      </c>
      <c r="GO53" s="59">
        <f>'C1-Incomes'!GP55/'C1-Incomes'!$GM55</f>
        <v>0.12947409854791339</v>
      </c>
      <c r="GP53" s="59">
        <f>'C1-Incomes'!GQ55/'C1-Incomes'!$GM55</f>
        <v>0.10043653346571206</v>
      </c>
      <c r="GQ53" s="59">
        <f>'C1-Incomes'!GR55/'C1-Incomes'!$GM55</f>
        <v>5.705522683830213E-2</v>
      </c>
      <c r="GR53" s="59">
        <f>'C1-Incomes'!GS55/'C1-Incomes'!$GM55</f>
        <v>2.483693669524235E-2</v>
      </c>
      <c r="GU53" s="59">
        <f>'C1-Incomes'!GV55/'C1-Incomes'!$GU55</f>
        <v>0.31261851820975273</v>
      </c>
      <c r="GV53" s="59">
        <f>'C1-Incomes'!GW55/'C1-Incomes'!$GU55</f>
        <v>0.21906162112766245</v>
      </c>
      <c r="GW53" s="59">
        <f>'C1-Incomes'!GX55/'C1-Incomes'!$GU55</f>
        <v>0.1070110351031595</v>
      </c>
      <c r="GX53" s="59">
        <f>'C1-Incomes'!GY55/'C1-Incomes'!$GU55</f>
        <v>8.1433715076074747E-2</v>
      </c>
      <c r="GY53" s="59">
        <f>'C1-Incomes'!GZ55/'C1-Incomes'!$GU55</f>
        <v>4.5070414829789018E-2</v>
      </c>
      <c r="GZ53" s="59">
        <f>'C1-Incomes'!HA55/'C1-Incomes'!$GU55</f>
        <v>1.9487118214742867E-2</v>
      </c>
      <c r="HC53" s="59">
        <f>'C1-Incomes'!HD55/'C1-Incomes'!$HC55</f>
        <v>0.30603141644201648</v>
      </c>
      <c r="HD53" s="59">
        <f>'C1-Incomes'!HE55/'C1-Incomes'!$HC55</f>
        <v>0.21299092011382278</v>
      </c>
      <c r="HE53" s="59">
        <f>'C1-Incomes'!HF55/'C1-Incomes'!$HC55</f>
        <v>0.10245983680960981</v>
      </c>
      <c r="HF53" s="59">
        <f>'C1-Incomes'!HG55/'C1-Incomes'!$HC55</f>
        <v>7.7584329073242697E-2</v>
      </c>
      <c r="HG53" s="59">
        <f>'C1-Incomes'!HH55/'C1-Incomes'!$HC55</f>
        <v>4.2554123453935097E-2</v>
      </c>
      <c r="HH53" s="59">
        <f>'C1-Incomes'!HI55/'C1-Incomes'!$HC55</f>
        <v>1.8363708083535442E-2</v>
      </c>
      <c r="HK53" s="59">
        <f>'C1-Incomes'!HL55/'C1-Incomes'!$HK55</f>
        <v>0.30208415089522428</v>
      </c>
      <c r="HL53" s="59">
        <f>'C1-Incomes'!HM55/'C1-Incomes'!$HK55</f>
        <v>0.20944101167578019</v>
      </c>
      <c r="HM53" s="59">
        <f>'C1-Incomes'!HN55/'C1-Incomes'!$HK55</f>
        <v>9.9867647731907608E-2</v>
      </c>
      <c r="HN53" s="59">
        <f>'C1-Incomes'!HO55/'C1-Incomes'!$HK55</f>
        <v>7.5351365776324883E-2</v>
      </c>
      <c r="HO53" s="59">
        <f>'C1-Incomes'!HP55/'C1-Incomes'!$HK55</f>
        <v>4.0985144709263753E-2</v>
      </c>
      <c r="HP53" s="59">
        <f>'C1-Incomes'!HQ55/'C1-Incomes'!$HK55</f>
        <v>1.7515190351597446E-2</v>
      </c>
      <c r="HS53" s="59">
        <f>'C1-Incomes'!HT55/'C1-Incomes'!$HS55</f>
        <v>0.29768958552828995</v>
      </c>
      <c r="HT53" s="59">
        <f>'C1-Incomes'!HU55/'C1-Incomes'!$HS55</f>
        <v>0.20566159863202388</v>
      </c>
      <c r="HU53" s="59">
        <f>'C1-Incomes'!HV55/'C1-Incomes'!$HS55</f>
        <v>9.7426174086394562E-2</v>
      </c>
      <c r="HV53" s="59">
        <f>'C1-Incomes'!HW55/'C1-Incomes'!$HS55</f>
        <v>7.3421903681074666E-2</v>
      </c>
      <c r="HW53" s="59">
        <f>'C1-Incomes'!HX55/'C1-Incomes'!$HS55</f>
        <v>3.9831818206501265E-2</v>
      </c>
      <c r="HX53" s="59">
        <f>'C1-Incomes'!HY55/'C1-Incomes'!$HS55</f>
        <v>1.6969167908604834E-2</v>
      </c>
      <c r="IA53" s="59">
        <f>'C1-Incomes'!IB55/'C1-Incomes'!$IA55</f>
        <v>0.30180945505854456</v>
      </c>
      <c r="IB53" s="59">
        <f>'C1-Incomes'!IC55/'C1-Incomes'!$IA55</f>
        <v>0.21096744502509385</v>
      </c>
      <c r="IC53" s="59">
        <f>'C1-Incomes'!ID55/'C1-Incomes'!$IA55</f>
        <v>0.1022138657419428</v>
      </c>
      <c r="ID53" s="59">
        <f>'C1-Incomes'!IE55/'C1-Incomes'!$IA55</f>
        <v>7.7472102691145878E-2</v>
      </c>
      <c r="IE53" s="59">
        <f>'C1-Incomes'!IF55/'C1-Incomes'!$IA55</f>
        <v>4.2344775774904919E-2</v>
      </c>
      <c r="IF53" s="59">
        <f>'C1-Incomes'!IG55/'C1-Incomes'!$IA55</f>
        <v>1.8146476751834117E-2</v>
      </c>
      <c r="II53" s="59">
        <f>'C1-Incomes'!IJ55/'C1-Incomes'!$II55</f>
        <v>0.30224960812227558</v>
      </c>
      <c r="IJ53" s="59">
        <f>'C1-Incomes'!IK55/'C1-Incomes'!$II55</f>
        <v>0.21197338813235311</v>
      </c>
      <c r="IK53" s="59">
        <f>'C1-Incomes'!IL55/'C1-Incomes'!$II55</f>
        <v>0.10334047077141677</v>
      </c>
      <c r="IL53" s="59">
        <f>'C1-Incomes'!IM55/'C1-Incomes'!$II55</f>
        <v>7.8370504520386852E-2</v>
      </c>
      <c r="IM53" s="59">
        <f>'C1-Incomes'!IN55/'C1-Incomes'!$II55</f>
        <v>4.2820655873397472E-2</v>
      </c>
      <c r="IN53" s="59">
        <f>'C1-Incomes'!IO55/'C1-Incomes'!$II55</f>
        <v>1.8328956245895853E-2</v>
      </c>
      <c r="IQ53" s="59">
        <f>'C1-Incomes'!IR55/'C1-Incomes'!$IQ55</f>
        <v>0.30233421525952725</v>
      </c>
      <c r="IR53" s="59">
        <f>'C1-Incomes'!IS55/'C1-Incomes'!$IQ55</f>
        <v>0.21204937484957023</v>
      </c>
      <c r="IS53" s="59">
        <f>'C1-Incomes'!IT55/'C1-Incomes'!$IQ55</f>
        <v>0.10339491629264377</v>
      </c>
      <c r="IT53" s="59">
        <f>'C1-Incomes'!IU55/'C1-Incomes'!$IQ55</f>
        <v>7.8415035448631598E-2</v>
      </c>
      <c r="IU53" s="59">
        <f>'C1-Incomes'!IV55/'C1-Incomes'!$IQ55</f>
        <v>4.284969403958136E-2</v>
      </c>
      <c r="IV53" s="59">
        <f>'C1-Incomes'!IW55/'C1-Incomes'!$IQ55</f>
        <v>1.8342044795840784E-2</v>
      </c>
      <c r="IY53" s="59">
        <f>'C1-Incomes'!IZ55/'C1-Incomes'!$IY55</f>
        <v>0.28253038069514347</v>
      </c>
      <c r="IZ53" s="59">
        <f>'C1-Incomes'!JA55/'C1-Incomes'!$IY55</f>
        <v>0.19629003016854613</v>
      </c>
      <c r="JA53" s="59">
        <f>'C1-Incomes'!JB55/'C1-Incomes'!$IY55</f>
        <v>9.4563324470752594E-2</v>
      </c>
      <c r="JB53" s="59">
        <f>'C1-Incomes'!JC55/'C1-Incomes'!$IY55</f>
        <v>7.1502646840449074E-2</v>
      </c>
      <c r="JC53" s="59">
        <f>'C1-Incomes'!JD55/'C1-Incomes'!$IY55</f>
        <v>3.8905381676456595E-2</v>
      </c>
      <c r="JD53" s="59">
        <f>'C1-Incomes'!JE55/'C1-Incomes'!$IY55</f>
        <v>1.6622824923888002E-2</v>
      </c>
      <c r="JE53" s="197"/>
      <c r="JF53" s="197"/>
      <c r="JG53" s="197"/>
      <c r="JH53" s="197"/>
      <c r="JI53" s="197"/>
      <c r="JJ53" s="197"/>
      <c r="JK53" s="197"/>
      <c r="JL53" s="197"/>
      <c r="JM53" s="197"/>
      <c r="JN53" s="197"/>
      <c r="JO53" s="197"/>
      <c r="JP53" s="197"/>
      <c r="JQ53" s="197"/>
      <c r="JR53" s="197"/>
      <c r="JS53" s="197"/>
      <c r="JT53" s="197"/>
      <c r="JU53" s="197"/>
      <c r="JV53" s="197"/>
      <c r="JW53" s="197"/>
      <c r="JX53" s="197"/>
      <c r="JY53" s="197"/>
      <c r="JZ53" s="197"/>
      <c r="KA53" s="197"/>
      <c r="KB53" s="197"/>
      <c r="KC53" s="197"/>
      <c r="KD53" s="197"/>
      <c r="KE53" s="197"/>
      <c r="KF53" s="197"/>
      <c r="KG53" s="197"/>
      <c r="KH53" s="197"/>
      <c r="KI53" s="197"/>
      <c r="KJ53" s="197"/>
      <c r="KK53" s="197"/>
      <c r="KL53" s="197"/>
      <c r="KM53" s="197"/>
      <c r="KN53" s="197"/>
      <c r="KO53" s="197"/>
      <c r="KP53" s="197"/>
      <c r="KQ53" s="197"/>
      <c r="KR53" s="197"/>
      <c r="KS53" s="197"/>
      <c r="KT53" s="197"/>
      <c r="KU53" s="197"/>
      <c r="KV53" s="197"/>
      <c r="KW53" s="197"/>
      <c r="KX53" s="197"/>
      <c r="KY53" s="197"/>
      <c r="KZ53" s="197"/>
      <c r="LA53" s="197"/>
      <c r="LB53" s="197"/>
      <c r="LC53" s="197"/>
      <c r="LD53" s="197"/>
      <c r="LE53" s="197"/>
      <c r="LF53" s="197"/>
      <c r="LG53" s="197"/>
      <c r="LH53" s="197"/>
      <c r="LI53" s="197"/>
      <c r="LJ53" s="197"/>
      <c r="LK53" s="197"/>
      <c r="LL53" s="197"/>
      <c r="LM53" s="197"/>
      <c r="LN53" s="197"/>
      <c r="LO53" s="197"/>
      <c r="LP53" s="197"/>
      <c r="LQ53" s="197"/>
      <c r="LR53" s="197"/>
      <c r="LS53" s="197"/>
      <c r="LT53" s="197"/>
      <c r="LU53" s="197"/>
      <c r="LV53" s="197"/>
      <c r="LW53" s="197"/>
      <c r="LX53" s="197"/>
      <c r="LY53" s="197"/>
      <c r="LZ53" s="197"/>
      <c r="MA53" s="197"/>
      <c r="MB53" s="197"/>
      <c r="MC53" s="197"/>
      <c r="MD53" s="197"/>
      <c r="ME53" s="197"/>
      <c r="MF53" s="197"/>
      <c r="MG53" s="197"/>
      <c r="MH53" s="197"/>
      <c r="MI53" s="197"/>
      <c r="MJ53" s="197"/>
      <c r="MK53" s="197"/>
      <c r="ML53" s="197"/>
      <c r="MM53" s="197"/>
      <c r="MN53" s="197"/>
      <c r="MO53" s="197"/>
      <c r="MP53" s="197"/>
      <c r="MQ53" s="197"/>
      <c r="MR53" s="197"/>
      <c r="MS53" s="197"/>
      <c r="MT53" s="197"/>
      <c r="MU53" s="197"/>
      <c r="MV53" s="197"/>
      <c r="MW53" s="197"/>
      <c r="MX53" s="197"/>
      <c r="MY53" s="197"/>
      <c r="MZ53" s="197"/>
      <c r="NA53" s="197"/>
      <c r="NB53" s="197"/>
      <c r="NC53" s="197"/>
      <c r="ND53" s="197"/>
      <c r="NE53" s="197"/>
      <c r="NF53" s="197"/>
      <c r="NG53" s="197"/>
      <c r="NH53" s="197"/>
      <c r="NI53" s="197"/>
      <c r="NJ53" s="197"/>
      <c r="NK53" s="197"/>
      <c r="NL53" s="197"/>
      <c r="NM53" s="197"/>
      <c r="NN53" s="197"/>
      <c r="NO53" s="197"/>
      <c r="NP53" s="197"/>
      <c r="NQ53" s="197"/>
      <c r="NR53" s="197"/>
      <c r="NS53" s="197"/>
      <c r="NT53" s="197"/>
      <c r="NU53" s="197"/>
      <c r="NV53" s="197"/>
      <c r="NW53" s="197"/>
      <c r="NX53" s="197"/>
      <c r="NY53" s="197"/>
      <c r="NZ53" s="197"/>
      <c r="OA53" s="197"/>
      <c r="OB53" s="197"/>
      <c r="OC53" s="197"/>
      <c r="OD53" s="197"/>
      <c r="OE53" s="197"/>
      <c r="OF53" s="197"/>
      <c r="OG53" s="197"/>
      <c r="OH53" s="197"/>
      <c r="OI53" s="197"/>
      <c r="OJ53" s="197"/>
      <c r="OK53" s="197"/>
      <c r="OL53" s="197"/>
      <c r="OM53" s="197"/>
      <c r="ON53" s="197"/>
      <c r="OO53" s="197"/>
      <c r="OP53" s="197"/>
      <c r="OQ53" s="197"/>
      <c r="OR53" s="197"/>
      <c r="OS53" s="197"/>
      <c r="OT53" s="197"/>
      <c r="OU53" s="197"/>
      <c r="OV53" s="197"/>
      <c r="OW53" s="197"/>
      <c r="OX53" s="197"/>
      <c r="OY53" s="197"/>
      <c r="OZ53" s="197"/>
      <c r="PA53" s="197"/>
      <c r="PB53" s="197"/>
    </row>
    <row r="54" spans="1:418" s="77" customFormat="1" ht="10.5" customHeight="1" x14ac:dyDescent="0.2">
      <c r="A54" s="48">
        <v>2008</v>
      </c>
      <c r="B54" s="59">
        <f>'C1-Incomes'!C56/'C1-Incomes'!$B56</f>
        <v>0.46342369138100514</v>
      </c>
      <c r="C54" s="59">
        <f>'C1-Incomes'!D56/'C1-Incomes'!$B56</f>
        <v>0.3415142248621148</v>
      </c>
      <c r="D54" s="59">
        <f>'C1-Incomes'!E56/'C1-Incomes'!$B56</f>
        <v>0.18090102275007411</v>
      </c>
      <c r="E54" s="59">
        <f>'C1-Incomes'!F56/'C1-Incomes'!$B56</f>
        <v>0.14041862600332186</v>
      </c>
      <c r="F54" s="59">
        <f>'C1-Incomes'!G56/'C1-Incomes'!$B56</f>
        <v>7.9229412007258151E-2</v>
      </c>
      <c r="G54" s="59">
        <f>'C1-Incomes'!H56/'C1-Incomes'!$B56</f>
        <v>3.425309429087961E-2</v>
      </c>
      <c r="H54" s="199"/>
      <c r="J54" s="59">
        <f>'C1-Incomes'!K56/'C1-Incomes'!$J56</f>
        <v>0.38189062084369929</v>
      </c>
      <c r="K54" s="59">
        <f>'C1-Incomes'!L56/'C1-Incomes'!$J56</f>
        <v>0.27459902283338822</v>
      </c>
      <c r="L54" s="59">
        <f>'C1-Incomes'!M56/'C1-Incomes'!$J56</f>
        <v>0.13955021491106612</v>
      </c>
      <c r="M54" s="59">
        <f>'C1-Incomes'!N56/'C1-Incomes'!$J56</f>
        <v>0.10736804863046781</v>
      </c>
      <c r="N54" s="59">
        <f>'C1-Incomes'!O56/'C1-Incomes'!$J56</f>
        <v>6.0143725175425218E-2</v>
      </c>
      <c r="O54" s="59">
        <f>'C1-Incomes'!P56/'C1-Incomes'!$J56</f>
        <v>2.6244204850460556E-2</v>
      </c>
      <c r="P54" s="59"/>
      <c r="R54" s="59">
        <f>'C1-Incomes'!S56/'C1-Incomes'!$R56</f>
        <v>0.33676750238387826</v>
      </c>
      <c r="S54" s="59">
        <f>'C1-Incomes'!T56/'C1-Incomes'!$R56</f>
        <v>0.24042887282683317</v>
      </c>
      <c r="T54" s="59">
        <f>'C1-Incomes'!U56/'C1-Incomes'!$R56</f>
        <v>0.1212739988736156</v>
      </c>
      <c r="U54" s="59">
        <f>'C1-Incomes'!V56/'C1-Incomes'!$R56</f>
        <v>9.316205221039299E-2</v>
      </c>
      <c r="V54" s="59">
        <f>'C1-Incomes'!W56/'C1-Incomes'!$R56</f>
        <v>5.2072023819197739E-2</v>
      </c>
      <c r="W54" s="59">
        <f>'C1-Incomes'!X56/'C1-Incomes'!$R56</f>
        <v>2.2697070856880032E-2</v>
      </c>
      <c r="X54" s="59"/>
      <c r="Y54" s="59"/>
      <c r="Z54" s="59">
        <f>'C1-Incomes'!AA56/'C1-Incomes'!$Z56</f>
        <v>0.26842797782053579</v>
      </c>
      <c r="AA54" s="59">
        <f>'C1-Incomes'!AB56/'C1-Incomes'!$Z56</f>
        <v>0.18324484986675457</v>
      </c>
      <c r="AB54" s="59">
        <f>'C1-Incomes'!AC56/'C1-Incomes'!$Z56</f>
        <v>8.4723553346400554E-2</v>
      </c>
      <c r="AC54" s="59">
        <f>'C1-Incomes'!AD56/'C1-Incomes'!$Z56</f>
        <v>6.3284765682957766E-2</v>
      </c>
      <c r="AD54" s="59">
        <f>'C1-Incomes'!AE56/'C1-Incomes'!$Z56</f>
        <v>3.3461743529264662E-2</v>
      </c>
      <c r="AE54" s="59">
        <f>'C1-Incomes'!AF56/'C1-Incomes'!$Z56</f>
        <v>1.4192556130991577E-2</v>
      </c>
      <c r="AF54" s="200"/>
      <c r="AG54" s="195"/>
      <c r="AH54" s="59">
        <f>'C1-Incomes'!AI56/'C1-Incomes'!$AH56</f>
        <v>0.45525250750641749</v>
      </c>
      <c r="AI54" s="59">
        <f>'C1-Incomes'!AJ56/'C1-Incomes'!$AH56</f>
        <v>0.33436829401199269</v>
      </c>
      <c r="AJ54" s="59">
        <f>'C1-Incomes'!AK56/'C1-Incomes'!$AH56</f>
        <v>0.17610621085567005</v>
      </c>
      <c r="AK54" s="59">
        <f>'C1-Incomes'!AL56/'C1-Incomes'!$AH56</f>
        <v>0.13654096776588512</v>
      </c>
      <c r="AL54" s="59">
        <f>'C1-Incomes'!AM56/'C1-Incomes'!$AH56</f>
        <v>7.6911903177164453E-2</v>
      </c>
      <c r="AM54" s="59">
        <f>'C1-Incomes'!AN56/'C1-Incomes'!$AH56</f>
        <v>3.3246149021993382E-2</v>
      </c>
      <c r="AN54" s="195"/>
      <c r="AO54" s="195"/>
      <c r="AP54" s="59"/>
      <c r="AQ54" s="59"/>
      <c r="AR54" s="59"/>
      <c r="AS54" s="59"/>
      <c r="AT54" s="59"/>
      <c r="AU54" s="59"/>
      <c r="AV54" s="197"/>
      <c r="AW54" s="60"/>
      <c r="AX54" s="59">
        <f>'C1-Incomes'!AY56/'C1-Incomes'!$AX56</f>
        <v>0.45813471016878377</v>
      </c>
      <c r="AY54" s="59">
        <f>'C1-Incomes'!AZ56/'C1-Incomes'!$AX56</f>
        <v>0.33767878929747641</v>
      </c>
      <c r="AZ54" s="59">
        <f>'C1-Incomes'!BA56/'C1-Incomes'!$AX56</f>
        <v>0.17926776706706951</v>
      </c>
      <c r="BA54" s="59">
        <f>'C1-Incomes'!BB56/'C1-Incomes'!$AX56</f>
        <v>0.13919670945143614</v>
      </c>
      <c r="BB54" s="59">
        <f>'C1-Incomes'!BC56/'C1-Incomes'!$AX56</f>
        <v>7.8474233455567477E-2</v>
      </c>
      <c r="BC54" s="59">
        <f>'C1-Incomes'!BD56/'C1-Incomes'!$AX56</f>
        <v>3.3756693967862933E-2</v>
      </c>
      <c r="BD54" s="60"/>
      <c r="BE54" s="60"/>
      <c r="BF54" s="59">
        <f>'C1-Incomes'!BG56/'C1-Incomes'!$BF56</f>
        <v>0.45046823832605842</v>
      </c>
      <c r="BG54" s="59">
        <f>'C1-Incomes'!BH56/'C1-Incomes'!$BF56</f>
        <v>0.33164217744547425</v>
      </c>
      <c r="BH54" s="59">
        <f>'C1-Incomes'!BI56/'C1-Incomes'!$BF56</f>
        <v>0.17587052078191776</v>
      </c>
      <c r="BI54" s="59">
        <f>'C1-Incomes'!BJ56/'C1-Incomes'!$BF56</f>
        <v>0.13662625738226411</v>
      </c>
      <c r="BJ54" s="59">
        <f>'C1-Incomes'!BK56/'C1-Incomes'!$BF56</f>
        <v>7.7214831735577527E-2</v>
      </c>
      <c r="BK54" s="59">
        <f>'C1-Incomes'!BL56/'C1-Incomes'!$BF56</f>
        <v>3.3253516556143919E-2</v>
      </c>
      <c r="BL54" s="59"/>
      <c r="BM54" s="59"/>
      <c r="BN54" s="59">
        <f>'C1-Incomes'!BO56/'C1-Incomes'!$BN56</f>
        <v>0.41209751542202822</v>
      </c>
      <c r="BO54" s="59">
        <f>'C1-Incomes'!BP56/'C1-Incomes'!$BN56</f>
        <v>0.30211354599299517</v>
      </c>
      <c r="BP54" s="59">
        <f>'C1-Incomes'!BQ56/'C1-Incomes'!$BN56</f>
        <v>0.15942822025416023</v>
      </c>
      <c r="BQ54" s="59">
        <f>'C1-Incomes'!BR56/'C1-Incomes'!$BN56</f>
        <v>0.12438614350989036</v>
      </c>
      <c r="BR54" s="59">
        <f>'C1-Incomes'!BS56/'C1-Incomes'!$BN56</f>
        <v>7.0896047556254047E-2</v>
      </c>
      <c r="BS54" s="59">
        <f>'C1-Incomes'!BT56/'C1-Incomes'!$BN56</f>
        <v>3.0676424673176526E-2</v>
      </c>
      <c r="BT54" s="59"/>
      <c r="BU54" s="59"/>
      <c r="BV54" s="59">
        <f>'C1-Incomes'!BW56/'C1-Incomes'!$BV56</f>
        <v>0.41442231228675869</v>
      </c>
      <c r="BW54" s="59">
        <f>'C1-Incomes'!BX56/'C1-Incomes'!$BV56</f>
        <v>0.30475292235680995</v>
      </c>
      <c r="BX54" s="59">
        <f>'C1-Incomes'!BY56/'C1-Incomes'!$BV56</f>
        <v>0.16216968588305175</v>
      </c>
      <c r="BY54" s="59">
        <f>'C1-Incomes'!BZ56/'C1-Incomes'!$BV56</f>
        <v>0.12686832200350209</v>
      </c>
      <c r="BZ54" s="59">
        <f>'C1-Incomes'!CA56/'C1-Incomes'!$BV56</f>
        <v>7.2899585223025309E-2</v>
      </c>
      <c r="CA54" s="59">
        <f>'C1-Incomes'!CB56/'C1-Incomes'!$BV56</f>
        <v>3.1865358286650207E-2</v>
      </c>
      <c r="CB54" s="60"/>
      <c r="CC54" s="198"/>
      <c r="CD54" s="59">
        <f>'C1-Incomes'!CE56/'C1-Incomes'!$CD56</f>
        <v>0.4163012666573675</v>
      </c>
      <c r="CE54" s="59">
        <f>'C1-Incomes'!CF56/'C1-Incomes'!$CD56</f>
        <v>0.30664776324838977</v>
      </c>
      <c r="CF54" s="59">
        <f>'C1-Incomes'!CG56/'C1-Incomes'!$CD56</f>
        <v>0.16381519694332966</v>
      </c>
      <c r="CG54" s="59">
        <f>'C1-Incomes'!CH56/'C1-Incomes'!$CD56</f>
        <v>0.12836885609741985</v>
      </c>
      <c r="CH54" s="59">
        <f>'C1-Incomes'!CI56/'C1-Incomes'!$CD56</f>
        <v>7.3966774148094869E-2</v>
      </c>
      <c r="CI54" s="59">
        <f>'C1-Incomes'!CJ56/'C1-Incomes'!$CD56</f>
        <v>3.2507886832770748E-2</v>
      </c>
      <c r="CL54" s="59">
        <f>'C1-Incomes'!CM56/'C1-Incomes'!$CL56</f>
        <v>0.41785426374677165</v>
      </c>
      <c r="CM54" s="59">
        <f>'C1-Incomes'!CN56/'C1-Incomes'!$CL56</f>
        <v>0.30820262830975753</v>
      </c>
      <c r="CN54" s="59">
        <f>'C1-Incomes'!CO56/'C1-Incomes'!$CL56</f>
        <v>0.16485097702879642</v>
      </c>
      <c r="CO54" s="59">
        <f>'C1-Incomes'!CP56/'C1-Incomes'!$CL56</f>
        <v>0.12924892400483162</v>
      </c>
      <c r="CP54" s="59">
        <f>'C1-Incomes'!CQ56/'C1-Incomes'!$CL56</f>
        <v>7.4578296182493467E-2</v>
      </c>
      <c r="CQ54" s="59">
        <f>'C1-Incomes'!CR56/'C1-Incomes'!$CL56</f>
        <v>3.2914222071525313E-2</v>
      </c>
      <c r="CR54" s="59"/>
      <c r="CS54" s="59"/>
      <c r="CT54" s="59">
        <f>'C1-Incomes'!CU56/'C1-Incomes'!$CT56</f>
        <v>0.42077757173035285</v>
      </c>
      <c r="CU54" s="59">
        <f>'C1-Incomes'!CV56/'C1-Incomes'!$CT56</f>
        <v>0.31132817558149739</v>
      </c>
      <c r="CV54" s="59">
        <f>'C1-Incomes'!CW56/'C1-Incomes'!$CT56</f>
        <v>0.16745998566505613</v>
      </c>
      <c r="CW54" s="59">
        <f>'C1-Incomes'!CX56/'C1-Incomes'!$CT56</f>
        <v>0.13154160598238276</v>
      </c>
      <c r="CX54" s="59">
        <f>'C1-Incomes'!CY56/'C1-Incomes'!$CT56</f>
        <v>7.6106699456062368E-2</v>
      </c>
      <c r="CY54" s="59">
        <f>'C1-Incomes'!CZ56/'C1-Incomes'!$CT56</f>
        <v>3.372632174867736E-2</v>
      </c>
      <c r="CZ54" s="59"/>
      <c r="DA54" s="59"/>
      <c r="DB54" s="59">
        <f>'C1-Incomes'!DC56/'C1-Incomes'!$DB56</f>
        <v>0.42429531009043209</v>
      </c>
      <c r="DC54" s="59">
        <f>'C1-Incomes'!DD56/'C1-Incomes'!$DB56</f>
        <v>0.31530391562284737</v>
      </c>
      <c r="DD54" s="59">
        <f>'C1-Incomes'!DE56/'C1-Incomes'!$DB56</f>
        <v>0.17080071708380432</v>
      </c>
      <c r="DE54" s="59">
        <f>'C1-Incomes'!DF56/'C1-Incomes'!$DB56</f>
        <v>0.13441110167678774</v>
      </c>
      <c r="DF54" s="59">
        <f>'C1-Incomes'!DG56/'C1-Incomes'!$DB56</f>
        <v>7.8130135318629584E-2</v>
      </c>
      <c r="DG54" s="59">
        <f>'C1-Incomes'!DH56/'C1-Incomes'!$DB56</f>
        <v>3.474395841685228E-2</v>
      </c>
      <c r="DH54" s="59"/>
      <c r="DI54" s="1039"/>
      <c r="DJ54" s="59">
        <f>'C1-Incomes'!DK56/'C1-Incomes'!$DJ56</f>
        <v>0.40871990157064925</v>
      </c>
      <c r="DK54" s="59">
        <f>'C1-Incomes'!DL56/'C1-Incomes'!$DJ56</f>
        <v>0.30302219742573483</v>
      </c>
      <c r="DL54" s="59">
        <f>'C1-Incomes'!DM56/'C1-Incomes'!$DJ56</f>
        <v>0.16203461950899273</v>
      </c>
      <c r="DM54" s="59">
        <f>'C1-Incomes'!DN56/'C1-Incomes'!$DJ56</f>
        <v>0.12627159336639893</v>
      </c>
      <c r="DN54" s="59">
        <f>'C1-Incomes'!DO56/'C1-Incomes'!$DJ56</f>
        <v>7.2097228063405308E-2</v>
      </c>
      <c r="DO54" s="59">
        <f>'C1-Incomes'!DP56/'C1-Incomes'!$DJ56</f>
        <v>3.1846856606605252E-2</v>
      </c>
      <c r="DP54" s="696"/>
      <c r="DQ54" s="503"/>
      <c r="DR54" s="59">
        <f>'C1-Incomes'!DS56/'C1-Incomes'!$DR56</f>
        <v>0.40749744757884432</v>
      </c>
      <c r="DS54" s="59">
        <f>'C1-Incomes'!DT56/'C1-Incomes'!$DR56</f>
        <v>0.30075348764184073</v>
      </c>
      <c r="DT54" s="59">
        <f>'C1-Incomes'!DU56/'C1-Incomes'!$DR56</f>
        <v>0.15941624658980974</v>
      </c>
      <c r="DU54" s="59">
        <f>'C1-Incomes'!DV56/'C1-Incomes'!$DR56</f>
        <v>0.12386118261615092</v>
      </c>
      <c r="DV54" s="59">
        <f>'C1-Incomes'!DW56/'C1-Incomes'!$DR56</f>
        <v>7.0304373724358021E-2</v>
      </c>
      <c r="DW54" s="59">
        <f>'C1-Incomes'!DX56/'C1-Incomes'!$DR56</f>
        <v>3.0906981821523113E-2</v>
      </c>
      <c r="DX54" s="333"/>
      <c r="DZ54" s="59">
        <f>'C1-Incomes'!EA56/'C1-Incomes'!$DZ56</f>
        <v>0.3995959500102636</v>
      </c>
      <c r="EA54" s="59">
        <f>'C1-Incomes'!EB56/'C1-Incomes'!$DZ56</f>
        <v>0.29291728295613906</v>
      </c>
      <c r="EB54" s="59">
        <f>'C1-Incomes'!EC56/'C1-Incomes'!$DZ56</f>
        <v>0.15371145457054658</v>
      </c>
      <c r="EC54" s="59">
        <f>'C1-Incomes'!ED56/'C1-Incomes'!$DZ56</f>
        <v>0.11918264122533648</v>
      </c>
      <c r="ED54" s="59">
        <f>'C1-Incomes'!EE56/'C1-Incomes'!$DZ56</f>
        <v>6.7455782738744391E-2</v>
      </c>
      <c r="EE54" s="59">
        <f>'C1-Incomes'!EF56/'C1-Incomes'!$DZ56</f>
        <v>2.9622975018697494E-2</v>
      </c>
      <c r="EF54" s="59"/>
      <c r="EH54" s="59">
        <f>'C1-Incomes'!EI56/'C1-Incomes'!$EH56</f>
        <v>0.38884568333813524</v>
      </c>
      <c r="EI54" s="59">
        <f>'C1-Incomes'!EJ56/'C1-Incomes'!$EH56</f>
        <v>0.28177195782879205</v>
      </c>
      <c r="EJ54" s="59">
        <f>'C1-Incomes'!EK56/'C1-Incomes'!$EH56</f>
        <v>0.1457270055674105</v>
      </c>
      <c r="EK54" s="59">
        <f>'C1-Incomes'!EL56/'C1-Incomes'!$EH56</f>
        <v>0.11269764320618567</v>
      </c>
      <c r="EL54" s="59">
        <f>'C1-Incomes'!EM56/'C1-Incomes'!$EH56</f>
        <v>6.3635973996682541E-2</v>
      </c>
      <c r="EM54" s="59">
        <f>'C1-Incomes'!EN56/'C1-Incomes'!$EH56</f>
        <v>2.7912247845624478E-2</v>
      </c>
      <c r="EN54" s="59"/>
      <c r="EO54" s="59"/>
      <c r="EP54" s="59">
        <f>'C1-Incomes'!EQ56/'C1-Incomes'!$EH56</f>
        <v>0.40648507086632696</v>
      </c>
      <c r="EQ54" s="59">
        <f>'C1-Incomes'!ER56/'C1-Incomes'!$EH56</f>
        <v>0.29372701451835276</v>
      </c>
      <c r="ER54" s="59">
        <f>'C1-Incomes'!ES56/'C1-Incomes'!$EH56</f>
        <v>0.15036250654944239</v>
      </c>
      <c r="ES54" s="59">
        <f>'C1-Incomes'!ET56/'C1-Incomes'!$EH56</f>
        <v>0.11584701530025659</v>
      </c>
      <c r="ET54" s="59">
        <f>'C1-Incomes'!EU56/'C1-Incomes'!$EH56</f>
        <v>6.4919705144916628E-2</v>
      </c>
      <c r="EU54" s="59">
        <f>'C1-Incomes'!EV56/'C1-Incomes'!$EH56</f>
        <v>2.8341062120862719E-2</v>
      </c>
      <c r="EV54" s="59"/>
      <c r="EW54" s="59"/>
      <c r="EX54" s="59">
        <f>'C1-Incomes'!EY56/'C1-Incomes'!$EX56</f>
        <v>0.38189062084369929</v>
      </c>
      <c r="EY54" s="59">
        <f>'C1-Incomes'!EZ56/'C1-Incomes'!$EX56</f>
        <v>0.27459902283338822</v>
      </c>
      <c r="EZ54" s="59">
        <f>'C1-Incomes'!FA56/'C1-Incomes'!$EX56</f>
        <v>0.13955021491106612</v>
      </c>
      <c r="FA54" s="59">
        <f>'C1-Incomes'!FB56/'C1-Incomes'!$EX56</f>
        <v>0.10736804863046781</v>
      </c>
      <c r="FB54" s="59">
        <f>'C1-Incomes'!FC56/'C1-Incomes'!$EX56</f>
        <v>6.0143725175425218E-2</v>
      </c>
      <c r="FC54" s="59">
        <f>'C1-Incomes'!FD56/'C1-Incomes'!$EX56</f>
        <v>2.6244204850460556E-2</v>
      </c>
      <c r="FD54" s="59"/>
      <c r="FF54" s="59">
        <f>'C1-Incomes'!FG56/'C1-Incomes'!$FF56</f>
        <v>0.36814379905757261</v>
      </c>
      <c r="FG54" s="59">
        <f>'C1-Incomes'!FH56/'C1-Incomes'!$FF56</f>
        <v>0.26394050307686812</v>
      </c>
      <c r="FH54" s="59">
        <f>'C1-Incomes'!FI56/'C1-Incomes'!$FF56</f>
        <v>0.13354392413068331</v>
      </c>
      <c r="FI54" s="59">
        <f>'C1-Incomes'!FJ56/'C1-Incomes'!$FF56</f>
        <v>0.1026209855636076</v>
      </c>
      <c r="FJ54" s="59">
        <f>'C1-Incomes'!FK56/'C1-Incomes'!$FF56</f>
        <v>5.7384825545055501E-2</v>
      </c>
      <c r="FK54" s="59">
        <f>'C1-Incomes'!FL56/'C1-Incomes'!$FF56</f>
        <v>2.5014284404342342E-2</v>
      </c>
      <c r="FN54" s="59">
        <f>'C1-Incomes'!FO56/'C1-Incomes'!$FN56</f>
        <v>0.36691547470544428</v>
      </c>
      <c r="FO54" s="59">
        <f>'C1-Incomes'!FP56/'C1-Incomes'!$FN56</f>
        <v>0.26302077297708254</v>
      </c>
      <c r="FP54" s="59">
        <f>'C1-Incomes'!FQ56/'C1-Incomes'!$FN56</f>
        <v>0.13302779421318606</v>
      </c>
      <c r="FQ54" s="59">
        <f>'C1-Incomes'!FR56/'C1-Incomes'!$FN56</f>
        <v>0.1022335397805299</v>
      </c>
      <c r="FR54" s="59">
        <f>'C1-Incomes'!FS56/'C1-Incomes'!$FN56</f>
        <v>5.7161024999899723E-2</v>
      </c>
      <c r="FS54" s="59">
        <f>'C1-Incomes'!FT56/'C1-Incomes'!$FN56</f>
        <v>2.4916584974978853E-2</v>
      </c>
      <c r="FV54" s="59">
        <f>'C1-Incomes'!FW56/'C1-Incomes'!$FV56</f>
        <v>0.35967175147721592</v>
      </c>
      <c r="FW54" s="59">
        <f>'C1-Incomes'!FX56/'C1-Incomes'!$FV56</f>
        <v>0.25762345456861019</v>
      </c>
      <c r="FX54" s="59">
        <f>'C1-Incomes'!FY56/'C1-Incomes'!$FV56</f>
        <v>0.1302037129689976</v>
      </c>
      <c r="FY54" s="59">
        <f>'C1-Incomes'!FZ56/'C1-Incomes'!$FV56</f>
        <v>0.10005380746573175</v>
      </c>
      <c r="FZ54" s="59">
        <f>'C1-Incomes'!GA56/'C1-Incomes'!$FV56</f>
        <v>5.5935966351260816E-2</v>
      </c>
      <c r="GA54" s="59">
        <f>'C1-Incomes'!GB56/'C1-Incomes'!$FV56</f>
        <v>2.4381425791489688E-2</v>
      </c>
      <c r="GE54" s="59">
        <f>'C1-Incomes'!GF56/'C1-Incomes'!$GE56</f>
        <v>0.35107035842324624</v>
      </c>
      <c r="GF54" s="59">
        <f>'C1-Incomes'!GG56/'C1-Incomes'!$GE56</f>
        <v>0.25064012994459933</v>
      </c>
      <c r="GG54" s="59">
        <f>'C1-Incomes'!GH56/'C1-Incomes'!$GE56</f>
        <v>0.12642462812058666</v>
      </c>
      <c r="GH54" s="59">
        <f>'C1-Incomes'!GI56/'C1-Incomes'!$GE56</f>
        <v>9.7118738683004149E-2</v>
      </c>
      <c r="GI54" s="59">
        <f>'C1-Incomes'!GJ56/'C1-Incomes'!$GE56</f>
        <v>5.4283575275595575E-2</v>
      </c>
      <c r="GJ54" s="59">
        <f>'C1-Incomes'!GK56/'C1-Incomes'!$GE56</f>
        <v>2.3661038385466692E-2</v>
      </c>
      <c r="GM54" s="59">
        <f>'C1-Incomes'!GN56/'C1-Incomes'!$GM56</f>
        <v>0.33676750238387826</v>
      </c>
      <c r="GN54" s="59">
        <f>'C1-Incomes'!GO56/'C1-Incomes'!$GM56</f>
        <v>0.24042887282683317</v>
      </c>
      <c r="GO54" s="59">
        <f>'C1-Incomes'!GP56/'C1-Incomes'!$GM56</f>
        <v>0.1212739988736156</v>
      </c>
      <c r="GP54" s="59">
        <f>'C1-Incomes'!GQ56/'C1-Incomes'!$GM56</f>
        <v>9.316205221039299E-2</v>
      </c>
      <c r="GQ54" s="59">
        <f>'C1-Incomes'!GR56/'C1-Incomes'!$GM56</f>
        <v>5.2072023819197739E-2</v>
      </c>
      <c r="GR54" s="59">
        <f>'C1-Incomes'!GS56/'C1-Incomes'!$GM56</f>
        <v>2.2697070856880032E-2</v>
      </c>
      <c r="GU54" s="59">
        <f>'C1-Incomes'!GV56/'C1-Incomes'!$GU56</f>
        <v>0.30672596444580025</v>
      </c>
      <c r="GV54" s="59">
        <f>'C1-Incomes'!GW56/'C1-Incomes'!$GU56</f>
        <v>0.21274411838978649</v>
      </c>
      <c r="GW54" s="59">
        <f>'C1-Incomes'!GX56/'C1-Incomes'!$GU56</f>
        <v>0.10132057505770925</v>
      </c>
      <c r="GX54" s="59">
        <f>'C1-Incomes'!GY56/'C1-Incomes'!$GU56</f>
        <v>7.6503963083281196E-2</v>
      </c>
      <c r="GY54" s="59">
        <f>'C1-Incomes'!GZ56/'C1-Incomes'!$GU56</f>
        <v>4.1652018182890715E-2</v>
      </c>
      <c r="GZ54" s="59">
        <f>'C1-Incomes'!HA56/'C1-Incomes'!$GU56</f>
        <v>1.8023653366078533E-2</v>
      </c>
      <c r="HC54" s="59">
        <f>'C1-Incomes'!HD56/'C1-Incomes'!$HC56</f>
        <v>0.30021116195905562</v>
      </c>
      <c r="HD54" s="59">
        <f>'C1-Incomes'!HE56/'C1-Incomes'!$HC56</f>
        <v>0.20678735720197181</v>
      </c>
      <c r="HE54" s="59">
        <f>'C1-Incomes'!HF56/'C1-Incomes'!$HC56</f>
        <v>9.6992354406792824E-2</v>
      </c>
      <c r="HF54" s="59">
        <f>'C1-Incomes'!HG56/'C1-Incomes'!$HC56</f>
        <v>7.2804140898724778E-2</v>
      </c>
      <c r="HG54" s="59">
        <f>'C1-Incomes'!HH56/'C1-Incomes'!$HC56</f>
        <v>3.9251522184802996E-2</v>
      </c>
      <c r="HH54" s="59">
        <f>'C1-Incomes'!HI56/'C1-Incomes'!$HC56</f>
        <v>1.6884421791451533E-2</v>
      </c>
      <c r="HK54" s="59">
        <f>'C1-Incomes'!HL56/'C1-Incomes'!$HK56</f>
        <v>0.29757079985149226</v>
      </c>
      <c r="HL54" s="59">
        <f>'C1-Incomes'!HM56/'C1-Incomes'!$HK56</f>
        <v>0.20443708516475168</v>
      </c>
      <c r="HM54" s="59">
        <f>'C1-Incomes'!HN56/'C1-Incomes'!$HK56</f>
        <v>9.5295614903080236E-2</v>
      </c>
      <c r="HN54" s="59">
        <f>'C1-Incomes'!HO56/'C1-Incomes'!$HK56</f>
        <v>7.1381040622636949E-2</v>
      </c>
      <c r="HO54" s="59">
        <f>'C1-Incomes'!HP56/'C1-Incomes'!$HK56</f>
        <v>3.8290222484104464E-2</v>
      </c>
      <c r="HP54" s="59">
        <f>'C1-Incomes'!HQ56/'C1-Incomes'!$HK56</f>
        <v>1.634903704374057E-2</v>
      </c>
      <c r="HS54" s="59">
        <f>'C1-Incomes'!HT56/'C1-Incomes'!$HS56</f>
        <v>0.29295129704713679</v>
      </c>
      <c r="HT54" s="59">
        <f>'C1-Incomes'!HU56/'C1-Incomes'!$HS56</f>
        <v>0.20046307315612968</v>
      </c>
      <c r="HU54" s="59">
        <f>'C1-Incomes'!HV56/'C1-Incomes'!$HS56</f>
        <v>9.2800961775174939E-2</v>
      </c>
      <c r="HV54" s="59">
        <f>'C1-Incomes'!HW56/'C1-Incomes'!$HS56</f>
        <v>6.9380415084686273E-2</v>
      </c>
      <c r="HW54" s="59">
        <f>'C1-Incomes'!HX56/'C1-Incomes'!$HS56</f>
        <v>3.7066451327236349E-2</v>
      </c>
      <c r="HX54" s="59">
        <f>'C1-Incomes'!HY56/'C1-Incomes'!$HS56</f>
        <v>1.5767885990487958E-2</v>
      </c>
      <c r="IA54" s="59">
        <f>'C1-Incomes'!IB56/'C1-Incomes'!$IA56</f>
        <v>0.29625128341480844</v>
      </c>
      <c r="IB54" s="59">
        <f>'C1-Incomes'!IC56/'C1-Incomes'!$IA56</f>
        <v>0.20501662241826679</v>
      </c>
      <c r="IC54" s="59">
        <f>'C1-Incomes'!ID56/'C1-Incomes'!$IA56</f>
        <v>9.7169350296019003E-2</v>
      </c>
      <c r="ID54" s="59">
        <f>'C1-Incomes'!IE56/'C1-Incomes'!$IA56</f>
        <v>7.3101239712694999E-2</v>
      </c>
      <c r="IE54" s="59">
        <f>'C1-Incomes'!IF56/'C1-Incomes'!$IA56</f>
        <v>3.9356056498980108E-2</v>
      </c>
      <c r="IF54" s="59">
        <f>'C1-Incomes'!IG56/'C1-Incomes'!$IA56</f>
        <v>1.6830581970930122E-2</v>
      </c>
      <c r="II54" s="59">
        <f>'C1-Incomes'!IJ56/'C1-Incomes'!$II56</f>
        <v>0.2965842392411373</v>
      </c>
      <c r="IJ54" s="59">
        <f>'C1-Incomes'!IK56/'C1-Incomes'!$II56</f>
        <v>0.20587447320840291</v>
      </c>
      <c r="IK54" s="59">
        <f>'C1-Incomes'!IL56/'C1-Incomes'!$II56</f>
        <v>9.8166719353875928E-2</v>
      </c>
      <c r="IL54" s="59">
        <f>'C1-Incomes'!IM56/'C1-Incomes'!$II56</f>
        <v>7.3869600502281058E-2</v>
      </c>
      <c r="IM54" s="59">
        <f>'C1-Incomes'!IN56/'C1-Incomes'!$II56</f>
        <v>3.973580518848549E-2</v>
      </c>
      <c r="IN54" s="59">
        <f>'C1-Incomes'!IO56/'C1-Incomes'!$II56</f>
        <v>1.6958106014744966E-2</v>
      </c>
      <c r="IQ54" s="59">
        <f>'C1-Incomes'!IR56/'C1-Incomes'!$IQ56</f>
        <v>0.28818589962198743</v>
      </c>
      <c r="IR54" s="59">
        <f>'C1-Incomes'!IS56/'C1-Incomes'!$IQ56</f>
        <v>0.1985742339227303</v>
      </c>
      <c r="IS54" s="59">
        <f>'C1-Incomes'!IT56/'C1-Incomes'!$IQ56</f>
        <v>9.3165308109847411E-2</v>
      </c>
      <c r="IT54" s="59">
        <f>'C1-Incomes'!IU56/'C1-Incomes'!$IQ56</f>
        <v>6.9851776186707598E-2</v>
      </c>
      <c r="IU54" s="59">
        <f>'C1-Incomes'!IV56/'C1-Incomes'!$IQ56</f>
        <v>3.7120689838734823E-2</v>
      </c>
      <c r="IV54" s="59">
        <f>'C1-Incomes'!IW56/'C1-Incomes'!$IQ56</f>
        <v>1.5779033369265467E-2</v>
      </c>
      <c r="IY54" s="59">
        <f>'C1-Incomes'!IZ56/'C1-Incomes'!$IY56</f>
        <v>0.26842797782053579</v>
      </c>
      <c r="IZ54" s="59">
        <f>'C1-Incomes'!JA56/'C1-Incomes'!$IY56</f>
        <v>0.18324484986675457</v>
      </c>
      <c r="JA54" s="59">
        <f>'C1-Incomes'!JB56/'C1-Incomes'!$IY56</f>
        <v>8.4723553346400554E-2</v>
      </c>
      <c r="JB54" s="59">
        <f>'C1-Incomes'!JC56/'C1-Incomes'!$IY56</f>
        <v>6.3284765682957766E-2</v>
      </c>
      <c r="JC54" s="59">
        <f>'C1-Incomes'!JD56/'C1-Incomes'!$IY56</f>
        <v>3.3461743529264662E-2</v>
      </c>
      <c r="JD54" s="59">
        <f>'C1-Incomes'!JE56/'C1-Incomes'!$IY56</f>
        <v>1.4192556130991577E-2</v>
      </c>
      <c r="JE54" s="197"/>
      <c r="JF54" s="197"/>
      <c r="JG54" s="197"/>
      <c r="JH54" s="197"/>
      <c r="JI54" s="197"/>
      <c r="JJ54" s="197"/>
      <c r="JK54" s="197"/>
      <c r="JL54" s="197"/>
      <c r="JM54" s="197"/>
      <c r="JN54" s="197"/>
      <c r="JO54" s="197"/>
      <c r="JP54" s="197"/>
      <c r="JQ54" s="197"/>
      <c r="JR54" s="197"/>
      <c r="JS54" s="197"/>
      <c r="JT54" s="197"/>
      <c r="JU54" s="197"/>
      <c r="JV54" s="197"/>
      <c r="JW54" s="197"/>
      <c r="JX54" s="197"/>
      <c r="JY54" s="197"/>
      <c r="JZ54" s="197"/>
      <c r="KA54" s="197"/>
      <c r="KB54" s="197"/>
      <c r="KC54" s="197"/>
      <c r="KD54" s="197"/>
      <c r="KE54" s="197"/>
      <c r="KF54" s="197"/>
      <c r="KG54" s="197"/>
      <c r="KH54" s="197"/>
      <c r="KI54" s="197"/>
      <c r="KJ54" s="197"/>
      <c r="KK54" s="197"/>
      <c r="KL54" s="197"/>
      <c r="KM54" s="197"/>
      <c r="KN54" s="197"/>
      <c r="KO54" s="197"/>
      <c r="KP54" s="197"/>
      <c r="KQ54" s="197"/>
      <c r="KR54" s="197"/>
      <c r="KS54" s="197"/>
      <c r="KT54" s="197"/>
      <c r="KU54" s="197"/>
      <c r="KV54" s="197"/>
      <c r="KW54" s="197"/>
      <c r="KX54" s="197"/>
      <c r="KY54" s="197"/>
      <c r="KZ54" s="197"/>
      <c r="LA54" s="197"/>
      <c r="LB54" s="197"/>
      <c r="LC54" s="197"/>
      <c r="LD54" s="197"/>
      <c r="LE54" s="197"/>
      <c r="LF54" s="197"/>
      <c r="LG54" s="197"/>
      <c r="LH54" s="197"/>
      <c r="LI54" s="197"/>
      <c r="LJ54" s="197"/>
      <c r="LK54" s="197"/>
      <c r="LL54" s="197"/>
      <c r="LM54" s="197"/>
      <c r="LN54" s="197"/>
      <c r="LO54" s="197"/>
      <c r="LP54" s="197"/>
      <c r="LQ54" s="197"/>
      <c r="LR54" s="197"/>
      <c r="LS54" s="197"/>
      <c r="LT54" s="197"/>
      <c r="LU54" s="197"/>
      <c r="LV54" s="197"/>
      <c r="LW54" s="197"/>
      <c r="LX54" s="197"/>
      <c r="LY54" s="197"/>
      <c r="LZ54" s="197"/>
      <c r="MA54" s="197"/>
      <c r="MB54" s="197"/>
      <c r="MC54" s="197"/>
      <c r="MD54" s="197"/>
      <c r="ME54" s="197"/>
      <c r="MF54" s="197"/>
      <c r="MG54" s="197"/>
      <c r="MH54" s="197"/>
      <c r="MI54" s="197"/>
      <c r="MJ54" s="197"/>
      <c r="MK54" s="197"/>
      <c r="ML54" s="197"/>
      <c r="MM54" s="197"/>
      <c r="MN54" s="197"/>
      <c r="MO54" s="197"/>
      <c r="MP54" s="197"/>
      <c r="MQ54" s="197"/>
      <c r="MR54" s="197"/>
      <c r="MS54" s="197"/>
      <c r="MT54" s="197"/>
      <c r="MU54" s="197"/>
      <c r="MV54" s="197"/>
      <c r="MW54" s="197"/>
      <c r="MX54" s="197"/>
      <c r="MY54" s="197"/>
      <c r="MZ54" s="197"/>
      <c r="NA54" s="197"/>
      <c r="NB54" s="197"/>
      <c r="NC54" s="197"/>
      <c r="ND54" s="197"/>
      <c r="NE54" s="197"/>
      <c r="NF54" s="197"/>
      <c r="NG54" s="197"/>
      <c r="NH54" s="197"/>
      <c r="NI54" s="197"/>
      <c r="NJ54" s="197"/>
      <c r="NK54" s="197"/>
      <c r="NL54" s="197"/>
      <c r="NM54" s="197"/>
      <c r="NN54" s="197"/>
      <c r="NO54" s="197"/>
      <c r="NP54" s="197"/>
      <c r="NQ54" s="197"/>
      <c r="NR54" s="197"/>
      <c r="NS54" s="197"/>
      <c r="NT54" s="197"/>
      <c r="NU54" s="197"/>
      <c r="NV54" s="197"/>
      <c r="NW54" s="197"/>
      <c r="NX54" s="197"/>
      <c r="NY54" s="197"/>
      <c r="NZ54" s="197"/>
      <c r="OA54" s="197"/>
      <c r="OB54" s="197"/>
      <c r="OC54" s="197"/>
      <c r="OD54" s="197"/>
      <c r="OE54" s="197"/>
      <c r="OF54" s="197"/>
      <c r="OG54" s="197"/>
      <c r="OH54" s="197"/>
      <c r="OI54" s="197"/>
      <c r="OJ54" s="197"/>
      <c r="OK54" s="197"/>
      <c r="OL54" s="197"/>
      <c r="OM54" s="197"/>
      <c r="ON54" s="197"/>
      <c r="OO54" s="197"/>
      <c r="OP54" s="197"/>
      <c r="OQ54" s="197"/>
      <c r="OR54" s="197"/>
      <c r="OS54" s="197"/>
      <c r="OT54" s="197"/>
      <c r="OU54" s="197"/>
      <c r="OV54" s="197"/>
      <c r="OW54" s="197"/>
      <c r="OX54" s="197"/>
      <c r="OY54" s="197"/>
      <c r="OZ54" s="197"/>
      <c r="PA54" s="197"/>
      <c r="PB54" s="197"/>
    </row>
    <row r="55" spans="1:418" s="77" customFormat="1" ht="10.5" customHeight="1" x14ac:dyDescent="0.2">
      <c r="A55" s="48">
        <v>2009</v>
      </c>
      <c r="B55" s="59">
        <f>'C1-Incomes'!C57/'C1-Incomes'!$B57</f>
        <v>0.45732826130893783</v>
      </c>
      <c r="C55" s="59">
        <f>'C1-Incomes'!D57/'C1-Incomes'!$B57</f>
        <v>0.33085986191777411</v>
      </c>
      <c r="D55" s="59">
        <f>'C1-Incomes'!E57/'C1-Incomes'!$B57</f>
        <v>0.16755037533105335</v>
      </c>
      <c r="E55" s="59">
        <f>'C1-Incomes'!F57/'C1-Incomes'!$B57</f>
        <v>0.1280311369970617</v>
      </c>
      <c r="F55" s="59">
        <f>'C1-Incomes'!G57/'C1-Incomes'!$B57</f>
        <v>7.0590802812911746E-2</v>
      </c>
      <c r="G55" s="59">
        <f>'C1-Incomes'!H57/'C1-Incomes'!$B57</f>
        <v>3.0364110380771706E-2</v>
      </c>
      <c r="H55" s="199"/>
      <c r="J55" s="59">
        <f>'C1-Incomes'!K57/'C1-Incomes'!$J57</f>
        <v>0.37736972718995332</v>
      </c>
      <c r="K55" s="59">
        <f>'C1-Incomes'!L57/'C1-Incomes'!$J57</f>
        <v>0.26745667931678091</v>
      </c>
      <c r="L55" s="59">
        <f>'C1-Incomes'!M57/'C1-Incomes'!$J57</f>
        <v>0.13091121874891942</v>
      </c>
      <c r="M55" s="59">
        <f>'C1-Incomes'!N57/'C1-Incomes'!$J57</f>
        <v>9.9325399352846622E-2</v>
      </c>
      <c r="N55" s="59">
        <f>'C1-Incomes'!O57/'C1-Incomes'!$J57</f>
        <v>5.5063100209195859E-2</v>
      </c>
      <c r="O55" s="59">
        <f>'C1-Incomes'!P57/'C1-Incomes'!$J57</f>
        <v>2.4686275369973996E-2</v>
      </c>
      <c r="P55" s="59"/>
      <c r="R55" s="59">
        <f>'C1-Incomes'!S57/'C1-Incomes'!$R57</f>
        <v>0.33014959116639553</v>
      </c>
      <c r="S55" s="59">
        <f>'C1-Incomes'!T57/'C1-Incomes'!$R57</f>
        <v>0.23220958754504972</v>
      </c>
      <c r="T55" s="59">
        <f>'C1-Incomes'!U57/'C1-Incomes'!$R57</f>
        <v>0.1127544427547378</v>
      </c>
      <c r="U55" s="59">
        <f>'C1-Incomes'!V57/'C1-Incomes'!$R57</f>
        <v>8.5380691767936209E-2</v>
      </c>
      <c r="V55" s="59">
        <f>'C1-Incomes'!W57/'C1-Incomes'!$R57</f>
        <v>4.7198793964718232E-2</v>
      </c>
      <c r="W55" s="59">
        <f>'C1-Incomes'!X57/'C1-Incomes'!$R57</f>
        <v>2.1130451569347012E-2</v>
      </c>
      <c r="X55" s="59"/>
      <c r="Y55" s="59"/>
      <c r="Z55" s="59">
        <f>'C1-Incomes'!AA57/'C1-Incomes'!$Z57</f>
        <v>0.25876091323354833</v>
      </c>
      <c r="AA55" s="59">
        <f>'C1-Incomes'!AB57/'C1-Incomes'!$Z57</f>
        <v>0.1740157026868856</v>
      </c>
      <c r="AB55" s="59">
        <f>'C1-Incomes'!AC57/'C1-Incomes'!$Z57</f>
        <v>7.7804968638845548E-2</v>
      </c>
      <c r="AC55" s="59">
        <f>'C1-Incomes'!AD57/'C1-Incomes'!$Z57</f>
        <v>5.7359698954817899E-2</v>
      </c>
      <c r="AD55" s="59">
        <f>'C1-Incomes'!AE57/'C1-Incomes'!$Z57</f>
        <v>2.9960354426224176E-2</v>
      </c>
      <c r="AE55" s="59">
        <f>'C1-Incomes'!AF57/'C1-Incomes'!$Z57</f>
        <v>1.3048332583457873E-2</v>
      </c>
      <c r="AF55" s="200"/>
      <c r="AG55" s="195"/>
      <c r="AH55" s="59">
        <f>'C1-Incomes'!AI57/'C1-Incomes'!$AH57</f>
        <v>0.45036797942347712</v>
      </c>
      <c r="AI55" s="59">
        <f>'C1-Incomes'!AJ57/'C1-Incomes'!$AH57</f>
        <v>0.32484860810002752</v>
      </c>
      <c r="AJ55" s="59">
        <f>'C1-Incomes'!AK57/'C1-Incomes'!$AH57</f>
        <v>0.1636361111022625</v>
      </c>
      <c r="AK55" s="59">
        <f>'C1-Incomes'!AL57/'C1-Incomes'!$AH57</f>
        <v>0.12488042207851069</v>
      </c>
      <c r="AL55" s="59">
        <f>'C1-Incomes'!AM57/'C1-Incomes'!$AH57</f>
        <v>6.8762423267557091E-2</v>
      </c>
      <c r="AM55" s="59">
        <f>'C1-Incomes'!AN57/'C1-Incomes'!$AH57</f>
        <v>2.962307799732591E-2</v>
      </c>
      <c r="AN55" s="195"/>
      <c r="AO55" s="195"/>
      <c r="AP55" s="59"/>
      <c r="AQ55" s="59"/>
      <c r="AR55" s="59"/>
      <c r="AS55" s="59"/>
      <c r="AT55" s="59"/>
      <c r="AU55" s="59"/>
      <c r="AV55" s="197"/>
      <c r="AW55" s="60"/>
      <c r="AX55" s="59">
        <f>'C1-Incomes'!AY57/'C1-Incomes'!$AX57</f>
        <v>0.45280465302506262</v>
      </c>
      <c r="AY55" s="59">
        <f>'C1-Incomes'!AZ57/'C1-Incomes'!$AX57</f>
        <v>0.32777902217168231</v>
      </c>
      <c r="AZ55" s="59">
        <f>'C1-Incomes'!BA57/'C1-Incomes'!$AX57</f>
        <v>0.16642660951446694</v>
      </c>
      <c r="BA55" s="59">
        <f>'C1-Incomes'!BB57/'C1-Incomes'!$AX57</f>
        <v>0.1272554570432122</v>
      </c>
      <c r="BB55" s="59">
        <f>'C1-Incomes'!BC57/'C1-Incomes'!$AX57</f>
        <v>7.0172848973729274E-2</v>
      </c>
      <c r="BC55" s="59">
        <f>'C1-Incomes'!BD57/'C1-Incomes'!$AX57</f>
        <v>3.0099475352191662E-2</v>
      </c>
      <c r="BD55" s="60"/>
      <c r="BE55" s="60"/>
      <c r="BF55" s="59">
        <f>'C1-Incomes'!BG57/'C1-Incomes'!$BF57</f>
        <v>0.44338750427809231</v>
      </c>
      <c r="BG55" s="59">
        <f>'C1-Incomes'!BH57/'C1-Incomes'!$BF57</f>
        <v>0.32049883885203712</v>
      </c>
      <c r="BH55" s="59">
        <f>'C1-Incomes'!BI57/'C1-Incomes'!$BF57</f>
        <v>0.16249501709951886</v>
      </c>
      <c r="BI55" s="59">
        <f>'C1-Incomes'!BJ57/'C1-Incomes'!$BF57</f>
        <v>0.12430897291424585</v>
      </c>
      <c r="BJ55" s="59">
        <f>'C1-Incomes'!BK57/'C1-Incomes'!$BF57</f>
        <v>6.8674120516381013E-2</v>
      </c>
      <c r="BK55" s="59">
        <f>'C1-Incomes'!BL57/'C1-Incomes'!$BF57</f>
        <v>2.9514609057138753E-2</v>
      </c>
      <c r="BL55" s="59"/>
      <c r="BM55" s="59"/>
      <c r="BN55" s="59">
        <f>'C1-Incomes'!BO57/'C1-Incomes'!$BN57</f>
        <v>0.40281073671861295</v>
      </c>
      <c r="BO55" s="59">
        <f>'C1-Incomes'!BP57/'C1-Incomes'!$BN57</f>
        <v>0.29004407199529897</v>
      </c>
      <c r="BP55" s="59">
        <f>'C1-Incomes'!BQ57/'C1-Incomes'!$BN57</f>
        <v>0.14629922888309324</v>
      </c>
      <c r="BQ55" s="59">
        <f>'C1-Incomes'!BR57/'C1-Incomes'!$BN57</f>
        <v>0.11232841718620457</v>
      </c>
      <c r="BR55" s="59">
        <f>'C1-Incomes'!BS57/'C1-Incomes'!$BN57</f>
        <v>6.289649978934729E-2</v>
      </c>
      <c r="BS55" s="59">
        <f>'C1-Incomes'!BT57/'C1-Incomes'!$BN57</f>
        <v>2.730172089082103E-2</v>
      </c>
      <c r="BT55" s="59"/>
      <c r="BU55" s="59"/>
      <c r="BV55" s="59">
        <f>'C1-Incomes'!BW57/'C1-Incomes'!$BV57</f>
        <v>0.40387653042161714</v>
      </c>
      <c r="BW55" s="59">
        <f>'C1-Incomes'!BX57/'C1-Incomes'!$BV57</f>
        <v>0.29133515143350941</v>
      </c>
      <c r="BX55" s="59">
        <f>'C1-Incomes'!BY57/'C1-Incomes'!$BV57</f>
        <v>0.14755019418906146</v>
      </c>
      <c r="BY55" s="59">
        <f>'C1-Incomes'!BZ57/'C1-Incomes'!$BV57</f>
        <v>0.11349535539071252</v>
      </c>
      <c r="BZ55" s="59">
        <f>'C1-Incomes'!CA57/'C1-Incomes'!$BV57</f>
        <v>6.3868746171212507E-2</v>
      </c>
      <c r="CA55" s="59">
        <f>'C1-Incomes'!CB57/'C1-Incomes'!$BV57</f>
        <v>2.7957254682142586E-2</v>
      </c>
      <c r="CB55" s="60"/>
      <c r="CC55" s="198"/>
      <c r="CD55" s="59">
        <f>'C1-Incomes'!CE57/'C1-Incomes'!$CD57</f>
        <v>0.41170172062626903</v>
      </c>
      <c r="CE55" s="59">
        <f>'C1-Incomes'!CF57/'C1-Incomes'!$CD57</f>
        <v>0.29947967689699256</v>
      </c>
      <c r="CF55" s="59">
        <f>'C1-Incomes'!CG57/'C1-Incomes'!$CD57</f>
        <v>0.15451715712421249</v>
      </c>
      <c r="CG55" s="59">
        <f>'C1-Incomes'!CH57/'C1-Incomes'!$CD57</f>
        <v>0.11963826299323231</v>
      </c>
      <c r="CH55" s="59">
        <f>'C1-Incomes'!CI57/'C1-Incomes'!$CD57</f>
        <v>6.8412141271893129E-2</v>
      </c>
      <c r="CI55" s="59">
        <f>'C1-Incomes'!CJ57/'C1-Incomes'!$CD57</f>
        <v>3.0983178340063821E-2</v>
      </c>
      <c r="CL55" s="59">
        <f>'C1-Incomes'!CM57/'C1-Incomes'!$CL57</f>
        <v>0.41335250732981943</v>
      </c>
      <c r="CM55" s="59">
        <f>'C1-Incomes'!CN57/'C1-Incomes'!$CL57</f>
        <v>0.30109529361334586</v>
      </c>
      <c r="CN55" s="59">
        <f>'C1-Incomes'!CO57/'C1-Incomes'!$CL57</f>
        <v>0.15563366005089441</v>
      </c>
      <c r="CO55" s="59">
        <f>'C1-Incomes'!CP57/'C1-Incomes'!$CL57</f>
        <v>0.12056188086476763</v>
      </c>
      <c r="CP55" s="59">
        <f>'C1-Incomes'!CQ57/'C1-Incomes'!$CL57</f>
        <v>6.9044844647118853E-2</v>
      </c>
      <c r="CQ55" s="59">
        <f>'C1-Incomes'!CR57/'C1-Incomes'!$CL57</f>
        <v>3.1482751417915844E-2</v>
      </c>
      <c r="CR55" s="59"/>
      <c r="CS55" s="59"/>
      <c r="CT55" s="59">
        <f>'C1-Incomes'!CU57/'C1-Incomes'!$CT57</f>
        <v>0.41657273132563444</v>
      </c>
      <c r="CU55" s="59">
        <f>'C1-Incomes'!CV57/'C1-Incomes'!$CT57</f>
        <v>0.30449946256071025</v>
      </c>
      <c r="CV55" s="59">
        <f>'C1-Incomes'!CW57/'C1-Incomes'!$CT57</f>
        <v>0.15846827959265974</v>
      </c>
      <c r="CW55" s="59">
        <f>'C1-Incomes'!CX57/'C1-Incomes'!$CT57</f>
        <v>0.12301930630369484</v>
      </c>
      <c r="CX55" s="59">
        <f>'C1-Incomes'!CY57/'C1-Incomes'!$CT57</f>
        <v>7.0734757054011152E-2</v>
      </c>
      <c r="CY55" s="59">
        <f>'C1-Incomes'!CZ57/'C1-Incomes'!$CT57</f>
        <v>3.2453706643457772E-2</v>
      </c>
      <c r="CZ55" s="59"/>
      <c r="DA55" s="59"/>
      <c r="DB55" s="59">
        <f>'C1-Incomes'!DC57/'C1-Incomes'!$DB57</f>
        <v>0.41651328988816844</v>
      </c>
      <c r="DC55" s="59">
        <f>'C1-Incomes'!DD57/'C1-Incomes'!$DB57</f>
        <v>0.30442921394923844</v>
      </c>
      <c r="DD55" s="59">
        <f>'C1-Incomes'!DE57/'C1-Incomes'!$DB57</f>
        <v>0.15842811884378469</v>
      </c>
      <c r="DE55" s="59">
        <f>'C1-Incomes'!DF57/'C1-Incomes'!$DB57</f>
        <v>0.12298434667813202</v>
      </c>
      <c r="DF55" s="59">
        <f>'C1-Incomes'!DG57/'C1-Incomes'!$DB57</f>
        <v>7.0704204834651063E-2</v>
      </c>
      <c r="DG55" s="59">
        <f>'C1-Incomes'!DH57/'C1-Incomes'!$DB57</f>
        <v>3.24367467942853E-2</v>
      </c>
      <c r="DH55" s="59"/>
      <c r="DI55" s="1039"/>
      <c r="DJ55" s="59">
        <f>'C1-Incomes'!DK57/'C1-Incomes'!$DJ57</f>
        <v>0.40141549676816823</v>
      </c>
      <c r="DK55" s="59">
        <f>'C1-Incomes'!DL57/'C1-Incomes'!$DJ57</f>
        <v>0.29282424821545949</v>
      </c>
      <c r="DL55" s="59">
        <f>'C1-Incomes'!DM57/'C1-Incomes'!$DJ57</f>
        <v>0.15122885914050541</v>
      </c>
      <c r="DM55" s="59">
        <f>'C1-Incomes'!DN57/'C1-Incomes'!$DJ57</f>
        <v>0.11642285882369852</v>
      </c>
      <c r="DN55" s="59">
        <f>'C1-Incomes'!DO57/'C1-Incomes'!$DJ57</f>
        <v>6.5880407439118355E-2</v>
      </c>
      <c r="DO55" s="59">
        <f>'C1-Incomes'!DP57/'C1-Incomes'!$DJ57</f>
        <v>2.9994232640769263E-2</v>
      </c>
      <c r="DP55" s="696"/>
      <c r="DQ55" s="503"/>
      <c r="DR55" s="59">
        <f>'C1-Incomes'!DS57/'C1-Incomes'!$DR57</f>
        <v>0.40014478365219197</v>
      </c>
      <c r="DS55" s="59">
        <f>'C1-Incomes'!DT57/'C1-Incomes'!$DR57</f>
        <v>0.29063931057154507</v>
      </c>
      <c r="DT55" s="59">
        <f>'C1-Incomes'!DU57/'C1-Incomes'!$DR57</f>
        <v>0.14853350106617252</v>
      </c>
      <c r="DU55" s="59">
        <f>'C1-Incomes'!DV57/'C1-Incomes'!$DR57</f>
        <v>0.11393499112009417</v>
      </c>
      <c r="DV55" s="59">
        <f>'C1-Incomes'!DW57/'C1-Incomes'!$DR57</f>
        <v>6.3964586908481516E-2</v>
      </c>
      <c r="DW55" s="59">
        <f>'C1-Incomes'!DX57/'C1-Incomes'!$DR57</f>
        <v>2.891828481465198E-2</v>
      </c>
      <c r="DX55" s="333"/>
      <c r="DZ55" s="59">
        <f>'C1-Incomes'!EA57/'C1-Incomes'!$DZ57</f>
        <v>0.3931071811024292</v>
      </c>
      <c r="EA55" s="59">
        <f>'C1-Incomes'!EB57/'C1-Incomes'!$DZ57</f>
        <v>0.28373164889409391</v>
      </c>
      <c r="EB55" s="59">
        <f>'C1-Incomes'!EC57/'C1-Incomes'!$DZ57</f>
        <v>0.14344041900278309</v>
      </c>
      <c r="EC55" s="59">
        <f>'C1-Incomes'!ED57/'C1-Incomes'!$DZ57</f>
        <v>0.10971462904448315</v>
      </c>
      <c r="ED55" s="59">
        <f>'C1-Incomes'!EE57/'C1-Incomes'!$DZ57</f>
        <v>6.1437768807445184E-2</v>
      </c>
      <c r="EE55" s="59">
        <f>'C1-Incomes'!EF57/'C1-Incomes'!$DZ57</f>
        <v>2.7725068410379288E-2</v>
      </c>
      <c r="EF55" s="59"/>
      <c r="EH55" s="59">
        <f>'C1-Incomes'!EI57/'C1-Incomes'!$EH57</f>
        <v>0.3830117086647386</v>
      </c>
      <c r="EI55" s="59">
        <f>'C1-Incomes'!EJ57/'C1-Incomes'!$EH57</f>
        <v>0.27303045883472427</v>
      </c>
      <c r="EJ55" s="59">
        <f>'C1-Incomes'!EK57/'C1-Incomes'!$EH57</f>
        <v>0.13589784716766851</v>
      </c>
      <c r="EK55" s="59">
        <f>'C1-Incomes'!EL57/'C1-Incomes'!$EH57</f>
        <v>0.10366538756744027</v>
      </c>
      <c r="EL55" s="59">
        <f>'C1-Incomes'!EM57/'C1-Incomes'!$EH57</f>
        <v>5.7894509177707179E-2</v>
      </c>
      <c r="EM55" s="59">
        <f>'C1-Incomes'!EN57/'C1-Incomes'!$EH57</f>
        <v>2.6091087832851211E-2</v>
      </c>
      <c r="EN55" s="59"/>
      <c r="EO55" s="59"/>
      <c r="EP55" s="59">
        <f>'C1-Incomes'!EQ57/'C1-Incomes'!$EH57</f>
        <v>0.39627231513711658</v>
      </c>
      <c r="EQ55" s="59">
        <f>'C1-Incomes'!ER57/'C1-Incomes'!$EH57</f>
        <v>0.28214239108242883</v>
      </c>
      <c r="ER55" s="59">
        <f>'C1-Incomes'!ES57/'C1-Incomes'!$EH57</f>
        <v>0.13922205794672329</v>
      </c>
      <c r="ES55" s="59">
        <f>'C1-Incomes'!ET57/'C1-Incomes'!$EH57</f>
        <v>0.10578082977377433</v>
      </c>
      <c r="ET55" s="59">
        <f>'C1-Incomes'!EU57/'C1-Incomes'!$EH57</f>
        <v>5.8702535555422153E-2</v>
      </c>
      <c r="EU55" s="59">
        <f>'C1-Incomes'!EV57/'C1-Incomes'!$EH57</f>
        <v>2.6350347939719732E-2</v>
      </c>
      <c r="EV55" s="59"/>
      <c r="EW55" s="59"/>
      <c r="EX55" s="59">
        <f>'C1-Incomes'!EY57/'C1-Incomes'!$EX57</f>
        <v>0.37736972718995332</v>
      </c>
      <c r="EY55" s="59">
        <f>'C1-Incomes'!EZ57/'C1-Incomes'!$EX57</f>
        <v>0.26745667931678091</v>
      </c>
      <c r="EZ55" s="59">
        <f>'C1-Incomes'!FA57/'C1-Incomes'!$EX57</f>
        <v>0.13091121874891942</v>
      </c>
      <c r="FA55" s="59">
        <f>'C1-Incomes'!FB57/'C1-Incomes'!$EX57</f>
        <v>9.9325399352846622E-2</v>
      </c>
      <c r="FB55" s="59">
        <f>'C1-Incomes'!FC57/'C1-Incomes'!$EX57</f>
        <v>5.5063100209195859E-2</v>
      </c>
      <c r="FC55" s="59">
        <f>'C1-Incomes'!FD57/'C1-Incomes'!$EX57</f>
        <v>2.4686275369973996E-2</v>
      </c>
      <c r="FD55" s="59"/>
      <c r="FF55" s="59">
        <f>'C1-Incomes'!FG57/'C1-Incomes'!$FF57</f>
        <v>0.36240464157872354</v>
      </c>
      <c r="FG55" s="59">
        <f>'C1-Incomes'!FH57/'C1-Incomes'!$FF57</f>
        <v>0.25603450038606512</v>
      </c>
      <c r="FH55" s="59">
        <f>'C1-Incomes'!FI57/'C1-Incomes'!$FF57</f>
        <v>0.12470112823661926</v>
      </c>
      <c r="FI55" s="59">
        <f>'C1-Incomes'!FJ57/'C1-Incomes'!$FF57</f>
        <v>9.4472521583765234E-2</v>
      </c>
      <c r="FJ55" s="59">
        <f>'C1-Incomes'!FK57/'C1-Incomes'!$FF57</f>
        <v>5.2244109511583849E-2</v>
      </c>
      <c r="FK55" s="59">
        <f>'C1-Incomes'!FL57/'C1-Incomes'!$FF57</f>
        <v>2.3394277803865167E-2</v>
      </c>
      <c r="FN55" s="59">
        <f>'C1-Incomes'!FO57/'C1-Incomes'!$FN57</f>
        <v>0.35915419012691241</v>
      </c>
      <c r="FO55" s="59">
        <f>'C1-Incomes'!FP57/'C1-Incomes'!$FN57</f>
        <v>0.25357002007245932</v>
      </c>
      <c r="FP55" s="59">
        <f>'C1-Incomes'!FQ57/'C1-Incomes'!$FN57</f>
        <v>0.12346152706614844</v>
      </c>
      <c r="FQ55" s="59">
        <f>'C1-Incomes'!FR57/'C1-Incomes'!$FN57</f>
        <v>9.3517731696700579E-2</v>
      </c>
      <c r="FR55" s="59">
        <f>'C1-Incomes'!FS57/'C1-Incomes'!$FN57</f>
        <v>5.1715889838309728E-2</v>
      </c>
      <c r="FS55" s="59">
        <f>'C1-Incomes'!FT57/'C1-Incomes'!$FN57</f>
        <v>2.3156947243195322E-2</v>
      </c>
      <c r="FV55" s="59">
        <f>'C1-Incomes'!FW57/'C1-Incomes'!$FV57</f>
        <v>0.35361852802786753</v>
      </c>
      <c r="FW55" s="59">
        <f>'C1-Incomes'!FX57/'C1-Incomes'!$FV57</f>
        <v>0.24958108620648986</v>
      </c>
      <c r="FX55" s="59">
        <f>'C1-Incomes'!FY57/'C1-Incomes'!$FV57</f>
        <v>0.12146319030419389</v>
      </c>
      <c r="FY55" s="59">
        <f>'C1-Incomes'!FZ57/'C1-Incomes'!$FV57</f>
        <v>9.1993984021876016E-2</v>
      </c>
      <c r="FZ55" s="59">
        <f>'C1-Incomes'!GA57/'C1-Incomes'!$FV57</f>
        <v>5.0866338680497683E-2</v>
      </c>
      <c r="GA55" s="59">
        <f>'C1-Incomes'!GB57/'C1-Incomes'!$FV57</f>
        <v>2.2775180349495518E-2</v>
      </c>
      <c r="GE55" s="59">
        <f>'C1-Incomes'!GF57/'C1-Incomes'!$GE57</f>
        <v>0.34451379164705614</v>
      </c>
      <c r="GF55" s="59">
        <f>'C1-Incomes'!GG57/'C1-Incomes'!$GE57</f>
        <v>0.24231259890194554</v>
      </c>
      <c r="GG55" s="59">
        <f>'C1-Incomes'!GH57/'C1-Incomes'!$GE57</f>
        <v>0.11766018083271693</v>
      </c>
      <c r="GH55" s="59">
        <f>'C1-Incomes'!GI57/'C1-Incomes'!$GE57</f>
        <v>8.9095448370842337E-2</v>
      </c>
      <c r="GI55" s="59">
        <f>'C1-Incomes'!GJ57/'C1-Incomes'!$GE57</f>
        <v>4.9252326536300031E-2</v>
      </c>
      <c r="GJ55" s="59">
        <f>'C1-Incomes'!GK57/'C1-Incomes'!$GE57</f>
        <v>2.204979858872895E-2</v>
      </c>
      <c r="GM55" s="59">
        <f>'C1-Incomes'!GN57/'C1-Incomes'!$GM57</f>
        <v>0.33014959116639553</v>
      </c>
      <c r="GN55" s="59">
        <f>'C1-Incomes'!GO57/'C1-Incomes'!$GM57</f>
        <v>0.23220958754504972</v>
      </c>
      <c r="GO55" s="59">
        <f>'C1-Incomes'!GP57/'C1-Incomes'!$GM57</f>
        <v>0.1127544427547378</v>
      </c>
      <c r="GP55" s="59">
        <f>'C1-Incomes'!GQ57/'C1-Incomes'!$GM57</f>
        <v>8.5380691767936209E-2</v>
      </c>
      <c r="GQ55" s="59">
        <f>'C1-Incomes'!GR57/'C1-Incomes'!$GM57</f>
        <v>4.7198793964718232E-2</v>
      </c>
      <c r="GR55" s="59">
        <f>'C1-Incomes'!GS57/'C1-Incomes'!$GM57</f>
        <v>2.1130451569347012E-2</v>
      </c>
      <c r="GU55" s="59">
        <f>'C1-Incomes'!GV57/'C1-Incomes'!$GU57</f>
        <v>0.30750296404472055</v>
      </c>
      <c r="GV55" s="59">
        <f>'C1-Incomes'!GW57/'C1-Incomes'!$GU57</f>
        <v>0.21171905550184558</v>
      </c>
      <c r="GW55" s="59">
        <f>'C1-Incomes'!GX57/'C1-Incomes'!$GU57</f>
        <v>9.8570721169614559E-2</v>
      </c>
      <c r="GX55" s="59">
        <f>'C1-Incomes'!GY57/'C1-Incomes'!$GU57</f>
        <v>7.3661855408748228E-2</v>
      </c>
      <c r="GY55" s="59">
        <f>'C1-Incomes'!GZ57/'C1-Incomes'!$GU57</f>
        <v>3.9929884657999785E-2</v>
      </c>
      <c r="GZ55" s="59">
        <f>'C1-Incomes'!HA57/'C1-Incomes'!$GU57</f>
        <v>1.7812482655948782E-2</v>
      </c>
      <c r="HC55" s="59">
        <f>'C1-Incomes'!HD57/'C1-Incomes'!$HC57</f>
        <v>0.30160541498792359</v>
      </c>
      <c r="HD55" s="59">
        <f>'C1-Incomes'!HE57/'C1-Incomes'!$HC57</f>
        <v>0.20645602271764094</v>
      </c>
      <c r="HE55" s="59">
        <f>'C1-Incomes'!HF57/'C1-Incomes'!$HC57</f>
        <v>9.4984751491076186E-2</v>
      </c>
      <c r="HF55" s="59">
        <f>'C1-Incomes'!HG57/'C1-Incomes'!$HC57</f>
        <v>7.0633702720995603E-2</v>
      </c>
      <c r="HG55" s="59">
        <f>'C1-Incomes'!HH57/'C1-Incomes'!$HC57</f>
        <v>3.7961231890006088E-2</v>
      </c>
      <c r="HH55" s="59">
        <f>'C1-Incomes'!HI57/'C1-Incomes'!$HC57</f>
        <v>1.6860722724900377E-2</v>
      </c>
      <c r="HK55" s="59">
        <f>'C1-Incomes'!HL57/'C1-Incomes'!$HK57</f>
        <v>0.29904007847038705</v>
      </c>
      <c r="HL55" s="59">
        <f>'C1-Incomes'!HM57/'C1-Incomes'!$HK57</f>
        <v>0.20418133997277813</v>
      </c>
      <c r="HM55" s="59">
        <f>'C1-Incomes'!HN57/'C1-Incomes'!$HK57</f>
        <v>9.3405169845283909E-2</v>
      </c>
      <c r="HN55" s="59">
        <f>'C1-Incomes'!HO57/'C1-Incomes'!$HK57</f>
        <v>6.9291906508625392E-2</v>
      </c>
      <c r="HO55" s="59">
        <f>'C1-Incomes'!HP57/'C1-Incomes'!$HK57</f>
        <v>3.7045635719336292E-2</v>
      </c>
      <c r="HP55" s="59">
        <f>'C1-Incomes'!HQ57/'C1-Incomes'!$HK57</f>
        <v>1.6303950617530837E-2</v>
      </c>
      <c r="HS55" s="59">
        <f>'C1-Incomes'!HT57/'C1-Incomes'!$HS57</f>
        <v>0.29384846258243164</v>
      </c>
      <c r="HT55" s="59">
        <f>'C1-Incomes'!HU57/'C1-Incomes'!$HS57</f>
        <v>0.19976642615804593</v>
      </c>
      <c r="HU55" s="59">
        <f>'C1-Incomes'!HV57/'C1-Incomes'!$HS57</f>
        <v>9.0611259560224214E-2</v>
      </c>
      <c r="HV55" s="59">
        <f>'C1-Incomes'!HW57/'C1-Incomes'!$HS57</f>
        <v>6.7060485225487312E-2</v>
      </c>
      <c r="HW55" s="59">
        <f>'C1-Incomes'!HX57/'C1-Incomes'!$HS57</f>
        <v>3.5670158222490943E-2</v>
      </c>
      <c r="HX55" s="59">
        <f>'C1-Incomes'!HY57/'C1-Incomes'!$HS57</f>
        <v>1.5598639219733061E-2</v>
      </c>
      <c r="IA55" s="59">
        <f>'C1-Incomes'!IB57/'C1-Incomes'!$IA57</f>
        <v>0.29642774981349734</v>
      </c>
      <c r="IB55" s="59">
        <f>'C1-Incomes'!IC57/'C1-Incomes'!$IA57</f>
        <v>0.2036410864307116</v>
      </c>
      <c r="IC55" s="59">
        <f>'C1-Incomes'!ID57/'C1-Incomes'!$IA57</f>
        <v>9.4617755610349519E-2</v>
      </c>
      <c r="ID55" s="59">
        <f>'C1-Incomes'!IE57/'C1-Incomes'!$IA57</f>
        <v>7.0449325194007512E-2</v>
      </c>
      <c r="IE55" s="59">
        <f>'C1-Incomes'!IF57/'C1-Incomes'!$IA57</f>
        <v>3.7828408452089492E-2</v>
      </c>
      <c r="IF55" s="59">
        <f>'C1-Incomes'!IG57/'C1-Incomes'!$IA57</f>
        <v>1.663486830642414E-2</v>
      </c>
      <c r="II55" s="59">
        <f>'C1-Incomes'!IJ57/'C1-Incomes'!$II57</f>
        <v>0.29684782277997601</v>
      </c>
      <c r="IJ55" s="59">
        <f>'C1-Incomes'!IK57/'C1-Incomes'!$II57</f>
        <v>0.20457105735831307</v>
      </c>
      <c r="IK55" s="59">
        <f>'C1-Incomes'!IL57/'C1-Incomes'!$II57</f>
        <v>9.5655650449754978E-2</v>
      </c>
      <c r="IL55" s="59">
        <f>'C1-Incomes'!IM57/'C1-Incomes'!$II57</f>
        <v>7.1295818120642632E-2</v>
      </c>
      <c r="IM55" s="59">
        <f>'C1-Incomes'!IN57/'C1-Incomes'!$II57</f>
        <v>3.8282191914039074E-2</v>
      </c>
      <c r="IN55" s="59">
        <f>'C1-Incomes'!IO57/'C1-Incomes'!$II57</f>
        <v>1.683681511102933E-2</v>
      </c>
      <c r="IQ55" s="59">
        <f>'C1-Incomes'!IR57/'C1-Incomes'!$IQ57</f>
        <v>0.27846744366635762</v>
      </c>
      <c r="IR55" s="59">
        <f>'C1-Incomes'!IS57/'C1-Incomes'!$IQ57</f>
        <v>0.18924141803276176</v>
      </c>
      <c r="IS55" s="59">
        <f>'C1-Incomes'!IT57/'C1-Incomes'!$IQ57</f>
        <v>8.601316941004461E-2</v>
      </c>
      <c r="IT55" s="59">
        <f>'C1-Incomes'!IU57/'C1-Incomes'!$IQ57</f>
        <v>6.3678970805412363E-2</v>
      </c>
      <c r="IU55" s="59">
        <f>'C1-Incomes'!IV57/'C1-Incomes'!$IQ57</f>
        <v>3.345334949751963E-2</v>
      </c>
      <c r="IV55" s="59">
        <f>'C1-Incomes'!IW57/'C1-Incomes'!$IQ57</f>
        <v>1.4609134305847031E-2</v>
      </c>
      <c r="IY55" s="59">
        <f>'C1-Incomes'!IZ57/'C1-Incomes'!$IY57</f>
        <v>0.25876091323354833</v>
      </c>
      <c r="IZ55" s="59">
        <f>'C1-Incomes'!JA57/'C1-Incomes'!$IY57</f>
        <v>0.1740157026868856</v>
      </c>
      <c r="JA55" s="59">
        <f>'C1-Incomes'!JB57/'C1-Incomes'!$IY57</f>
        <v>7.7804968638845548E-2</v>
      </c>
      <c r="JB55" s="59">
        <f>'C1-Incomes'!JC57/'C1-Incomes'!$IY57</f>
        <v>5.7359698954817899E-2</v>
      </c>
      <c r="JC55" s="59">
        <f>'C1-Incomes'!JD57/'C1-Incomes'!$IY57</f>
        <v>2.9960354426224176E-2</v>
      </c>
      <c r="JD55" s="59">
        <f>'C1-Incomes'!JE57/'C1-Incomes'!$IY57</f>
        <v>1.3048332583457873E-2</v>
      </c>
      <c r="JE55" s="197"/>
      <c r="JF55" s="197"/>
      <c r="JG55" s="197"/>
      <c r="JH55" s="197"/>
      <c r="JI55" s="197"/>
      <c r="JJ55" s="197"/>
      <c r="JK55" s="197"/>
      <c r="JL55" s="197"/>
      <c r="JM55" s="197"/>
      <c r="JN55" s="197"/>
      <c r="JO55" s="197"/>
      <c r="JP55" s="197"/>
      <c r="JQ55" s="197"/>
      <c r="JR55" s="197"/>
      <c r="JS55" s="197"/>
      <c r="JT55" s="197"/>
      <c r="JU55" s="197"/>
      <c r="JV55" s="197"/>
      <c r="JW55" s="197"/>
      <c r="JX55" s="197"/>
      <c r="JY55" s="197"/>
      <c r="JZ55" s="197"/>
      <c r="KA55" s="197"/>
      <c r="KB55" s="197"/>
      <c r="KC55" s="197"/>
      <c r="KD55" s="197"/>
      <c r="KE55" s="197"/>
      <c r="KF55" s="197"/>
      <c r="KG55" s="197"/>
      <c r="KH55" s="197"/>
      <c r="KI55" s="197"/>
      <c r="KJ55" s="197"/>
      <c r="KK55" s="197"/>
      <c r="KL55" s="197"/>
      <c r="KM55" s="197"/>
      <c r="KN55" s="197"/>
      <c r="KO55" s="197"/>
      <c r="KP55" s="197"/>
      <c r="KQ55" s="197"/>
      <c r="KR55" s="197"/>
      <c r="KS55" s="197"/>
      <c r="KT55" s="197"/>
      <c r="KU55" s="197"/>
      <c r="KV55" s="197"/>
      <c r="KW55" s="197"/>
      <c r="KX55" s="197"/>
      <c r="KY55" s="197"/>
      <c r="KZ55" s="197"/>
      <c r="LA55" s="197"/>
      <c r="LB55" s="197"/>
      <c r="LC55" s="197"/>
      <c r="LD55" s="197"/>
      <c r="LE55" s="197"/>
      <c r="LF55" s="197"/>
      <c r="LG55" s="197"/>
      <c r="LH55" s="197"/>
      <c r="LI55" s="197"/>
      <c r="LJ55" s="197"/>
      <c r="LK55" s="197"/>
      <c r="LL55" s="197"/>
      <c r="LM55" s="197"/>
      <c r="LN55" s="197"/>
      <c r="LO55" s="197"/>
      <c r="LP55" s="197"/>
      <c r="LQ55" s="197"/>
      <c r="LR55" s="197"/>
      <c r="LS55" s="197"/>
      <c r="LT55" s="197"/>
      <c r="LU55" s="197"/>
      <c r="LV55" s="197"/>
      <c r="LW55" s="197"/>
      <c r="LX55" s="197"/>
      <c r="LY55" s="197"/>
      <c r="LZ55" s="197"/>
      <c r="MA55" s="197"/>
      <c r="MB55" s="197"/>
      <c r="MC55" s="197"/>
      <c r="MD55" s="197"/>
      <c r="ME55" s="197"/>
      <c r="MF55" s="197"/>
      <c r="MG55" s="197"/>
      <c r="MH55" s="197"/>
      <c r="MI55" s="197"/>
      <c r="MJ55" s="197"/>
      <c r="MK55" s="197"/>
      <c r="ML55" s="197"/>
      <c r="MM55" s="197"/>
      <c r="MN55" s="197"/>
      <c r="MO55" s="197"/>
      <c r="MP55" s="197"/>
      <c r="MQ55" s="197"/>
      <c r="MR55" s="197"/>
      <c r="MS55" s="197"/>
      <c r="MT55" s="197"/>
      <c r="MU55" s="197"/>
      <c r="MV55" s="197"/>
      <c r="MW55" s="197"/>
      <c r="MX55" s="197"/>
      <c r="MY55" s="197"/>
      <c r="MZ55" s="197"/>
      <c r="NA55" s="197"/>
      <c r="NB55" s="197"/>
      <c r="NC55" s="197"/>
      <c r="ND55" s="197"/>
      <c r="NE55" s="197"/>
      <c r="NF55" s="197"/>
      <c r="NG55" s="197"/>
      <c r="NH55" s="197"/>
      <c r="NI55" s="197"/>
      <c r="NJ55" s="197"/>
      <c r="NK55" s="197"/>
      <c r="NL55" s="197"/>
      <c r="NM55" s="197"/>
      <c r="NN55" s="197"/>
      <c r="NO55" s="197"/>
      <c r="NP55" s="197"/>
      <c r="NQ55" s="197"/>
      <c r="NR55" s="197"/>
      <c r="NS55" s="197"/>
      <c r="NT55" s="197"/>
      <c r="NU55" s="197"/>
      <c r="NV55" s="197"/>
      <c r="NW55" s="197"/>
      <c r="NX55" s="197"/>
      <c r="NY55" s="197"/>
      <c r="NZ55" s="197"/>
      <c r="OA55" s="197"/>
      <c r="OB55" s="197"/>
      <c r="OC55" s="197"/>
      <c r="OD55" s="197"/>
      <c r="OE55" s="197"/>
      <c r="OF55" s="197"/>
      <c r="OG55" s="197"/>
      <c r="OH55" s="197"/>
      <c r="OI55" s="197"/>
      <c r="OJ55" s="197"/>
      <c r="OK55" s="197"/>
      <c r="OL55" s="197"/>
      <c r="OM55" s="197"/>
      <c r="ON55" s="197"/>
      <c r="OO55" s="197"/>
      <c r="OP55" s="197"/>
      <c r="OQ55" s="197"/>
      <c r="OR55" s="197"/>
      <c r="OS55" s="197"/>
      <c r="OT55" s="197"/>
      <c r="OU55" s="197"/>
      <c r="OV55" s="197"/>
      <c r="OW55" s="197"/>
      <c r="OX55" s="197"/>
      <c r="OY55" s="197"/>
      <c r="OZ55" s="197"/>
      <c r="PA55" s="197"/>
      <c r="PB55" s="197"/>
    </row>
    <row r="56" spans="1:418" s="77" customFormat="1" ht="10.5" customHeight="1" x14ac:dyDescent="0.2">
      <c r="A56" s="48">
        <v>2010</v>
      </c>
      <c r="B56" s="59">
        <f>'C1-Incomes'!C58/'C1-Incomes'!$B58</f>
        <v>0.46588933676479088</v>
      </c>
      <c r="C56" s="59">
        <f>'C1-Incomes'!D58/'C1-Incomes'!$B58</f>
        <v>0.33996511865541762</v>
      </c>
      <c r="D56" s="59">
        <f>'C1-Incomes'!E58/'C1-Incomes'!$B58</f>
        <v>0.17579080672847322</v>
      </c>
      <c r="E56" s="59">
        <f>'C1-Incomes'!F58/'C1-Incomes'!$B58</f>
        <v>0.1354128279971599</v>
      </c>
      <c r="F56" s="59">
        <f>'C1-Incomes'!G58/'C1-Incomes'!$B58</f>
        <v>7.5402174906588168E-2</v>
      </c>
      <c r="G56" s="59">
        <f>'C1-Incomes'!H58/'C1-Incomes'!$B58</f>
        <v>3.2754425339993509E-2</v>
      </c>
      <c r="H56" s="199"/>
      <c r="J56" s="59">
        <f>'C1-Incomes'!K58/'C1-Incomes'!$J58</f>
        <v>0.39089238152210198</v>
      </c>
      <c r="K56" s="59">
        <f>'C1-Incomes'!L58/'C1-Incomes'!$J58</f>
        <v>0.28199877383067057</v>
      </c>
      <c r="L56" s="59">
        <f>'C1-Incomes'!M58/'C1-Incomes'!$J58</f>
        <v>0.14296488171438282</v>
      </c>
      <c r="M56" s="59">
        <f>'C1-Incomes'!N58/'C1-Incomes'!$J58</f>
        <v>0.11026392533964471</v>
      </c>
      <c r="N56" s="59">
        <f>'C1-Incomes'!O58/'C1-Incomes'!$J58</f>
        <v>6.2887019420814247E-2</v>
      </c>
      <c r="O56" s="59">
        <f>'C1-Incomes'!P58/'C1-Incomes'!$J58</f>
        <v>2.8952893518513035E-2</v>
      </c>
      <c r="P56" s="59"/>
      <c r="R56" s="59">
        <f>'C1-Incomes'!S58/'C1-Incomes'!$R58</f>
        <v>0.34039904714381775</v>
      </c>
      <c r="S56" s="59">
        <f>'C1-Incomes'!T58/'C1-Incomes'!$R58</f>
        <v>0.24353711121197244</v>
      </c>
      <c r="T56" s="59">
        <f>'C1-Incomes'!U58/'C1-Incomes'!$R58</f>
        <v>0.12244289272562482</v>
      </c>
      <c r="U56" s="59">
        <f>'C1-Incomes'!V58/'C1-Incomes'!$R58</f>
        <v>9.4268556440056439E-2</v>
      </c>
      <c r="V56" s="59">
        <f>'C1-Incomes'!W58/'C1-Incomes'!$R58</f>
        <v>5.3629048755441923E-2</v>
      </c>
      <c r="W56" s="59">
        <f>'C1-Incomes'!X58/'C1-Incomes'!$R58</f>
        <v>2.4659773603480793E-2</v>
      </c>
      <c r="X56" s="59"/>
      <c r="Y56" s="59"/>
      <c r="Z56" s="59">
        <f>'C1-Incomes'!AA58/'C1-Incomes'!$Z58</f>
        <v>0.26779190732398478</v>
      </c>
      <c r="AA56" s="59">
        <f>'C1-Incomes'!AB58/'C1-Incomes'!$Z58</f>
        <v>0.18348888824790299</v>
      </c>
      <c r="AB56" s="59">
        <f>'C1-Incomes'!AC58/'C1-Incomes'!$Z58</f>
        <v>8.5720370581185562E-2</v>
      </c>
      <c r="AC56" s="59">
        <f>'C1-Incomes'!AD58/'C1-Incomes'!$Z58</f>
        <v>6.4471970004467555E-2</v>
      </c>
      <c r="AD56" s="59">
        <f>'C1-Incomes'!AE58/'C1-Incomes'!$Z58</f>
        <v>3.5003270165454688E-2</v>
      </c>
      <c r="AE56" s="59">
        <f>'C1-Incomes'!AF58/'C1-Incomes'!$Z58</f>
        <v>1.5982342734703687E-2</v>
      </c>
      <c r="AF56" s="333"/>
      <c r="AG56" s="195"/>
      <c r="AH56" s="59">
        <f>'C1-Incomes'!AI58/'C1-Incomes'!$AH58</f>
        <v>0.45888990764429416</v>
      </c>
      <c r="AI56" s="59">
        <f>'C1-Incomes'!AJ58/'C1-Incomes'!$AH58</f>
        <v>0.33390636486354575</v>
      </c>
      <c r="AJ56" s="59">
        <f>'C1-Incomes'!AK58/'C1-Incomes'!$AH58</f>
        <v>0.17179787860553344</v>
      </c>
      <c r="AK56" s="59">
        <f>'C1-Incomes'!AL58/'C1-Incomes'!$AH58</f>
        <v>0.13219508838822416</v>
      </c>
      <c r="AL56" s="59">
        <f>'C1-Incomes'!AM58/'C1-Incomes'!$AH58</f>
        <v>7.352868402999109E-2</v>
      </c>
      <c r="AM56" s="59">
        <f>'C1-Incomes'!AN58/'C1-Incomes'!$AH58</f>
        <v>3.1886279652889447E-2</v>
      </c>
      <c r="AN56" s="195"/>
      <c r="AO56" s="195"/>
      <c r="AP56" s="59"/>
      <c r="AQ56" s="59"/>
      <c r="AR56" s="59"/>
      <c r="AS56" s="59"/>
      <c r="AT56" s="59"/>
      <c r="AU56" s="59"/>
      <c r="AV56" s="197"/>
      <c r="AW56" s="60"/>
      <c r="AX56" s="59">
        <f>'C1-Incomes'!AY58/'C1-Incomes'!$AX58</f>
        <v>0.46132980724050965</v>
      </c>
      <c r="AY56" s="59">
        <f>'C1-Incomes'!AZ58/'C1-Incomes'!$AX58</f>
        <v>0.33683608156767908</v>
      </c>
      <c r="AZ56" s="59">
        <f>'C1-Incomes'!BA58/'C1-Incomes'!$AX58</f>
        <v>0.17446889047538655</v>
      </c>
      <c r="BA56" s="59">
        <f>'C1-Incomes'!BB58/'C1-Incomes'!$AX58</f>
        <v>0.1344740817039764</v>
      </c>
      <c r="BB56" s="59">
        <f>'C1-Incomes'!BC58/'C1-Incomes'!$AX58</f>
        <v>7.4872996418046608E-2</v>
      </c>
      <c r="BC56" s="59">
        <f>'C1-Incomes'!BD58/'C1-Incomes'!$AX58</f>
        <v>3.2316415543672955E-2</v>
      </c>
      <c r="BD56" s="60"/>
      <c r="BE56" s="60"/>
      <c r="BF56" s="59">
        <f>'C1-Incomes'!BG58/'C1-Incomes'!$BF58</f>
        <v>0.45108328052871233</v>
      </c>
      <c r="BG56" s="59">
        <f>'C1-Incomes'!BH58/'C1-Incomes'!$BF58</f>
        <v>0.32901618904704277</v>
      </c>
      <c r="BH56" s="59">
        <f>'C1-Incomes'!BI58/'C1-Incomes'!$BF58</f>
        <v>0.17018681968481936</v>
      </c>
      <c r="BI56" s="59">
        <f>'C1-Incomes'!BJ58/'C1-Incomes'!$BF58</f>
        <v>0.13119260280128345</v>
      </c>
      <c r="BJ56" s="59">
        <f>'C1-Incomes'!BK58/'C1-Incomes'!$BF58</f>
        <v>7.3113035136048596E-2</v>
      </c>
      <c r="BK56" s="59">
        <f>'C1-Incomes'!BL58/'C1-Incomes'!$BF58</f>
        <v>3.1482824406961631E-2</v>
      </c>
      <c r="BL56" s="59"/>
      <c r="BM56" s="59"/>
      <c r="BN56" s="59">
        <f>'C1-Incomes'!BO58/'C1-Incomes'!$BN58</f>
        <v>0.41022225435445669</v>
      </c>
      <c r="BO56" s="59">
        <f>'C1-Incomes'!BP58/'C1-Incomes'!$BN58</f>
        <v>0.29807018151456832</v>
      </c>
      <c r="BP56" s="59">
        <f>'C1-Incomes'!BQ58/'C1-Incomes'!$BN58</f>
        <v>0.15308304286902652</v>
      </c>
      <c r="BQ56" s="59">
        <f>'C1-Incomes'!BR58/'C1-Incomes'!$BN58</f>
        <v>0.11816857503940165</v>
      </c>
      <c r="BR56" s="59">
        <f>'C1-Incomes'!BS58/'C1-Incomes'!$BN58</f>
        <v>6.6584655693224026E-2</v>
      </c>
      <c r="BS56" s="59">
        <f>'C1-Incomes'!BT58/'C1-Incomes'!$BN58</f>
        <v>2.8860721526406636E-2</v>
      </c>
      <c r="BT56" s="59"/>
      <c r="BU56" s="59"/>
      <c r="BV56" s="59">
        <f>'C1-Incomes'!BW58/'C1-Incomes'!$BV58</f>
        <v>0.41184640151896384</v>
      </c>
      <c r="BW56" s="59">
        <f>'C1-Incomes'!BX58/'C1-Incomes'!$BV58</f>
        <v>0.29979222910306258</v>
      </c>
      <c r="BX56" s="59">
        <f>'C1-Incomes'!BY58/'C1-Incomes'!$BV58</f>
        <v>0.15482841124332933</v>
      </c>
      <c r="BY56" s="59">
        <f>'C1-Incomes'!BZ58/'C1-Incomes'!$BV58</f>
        <v>0.11978546414439553</v>
      </c>
      <c r="BZ56" s="59">
        <f>'C1-Incomes'!CA58/'C1-Incomes'!$BV58</f>
        <v>6.7920182209438087E-2</v>
      </c>
      <c r="CA56" s="59">
        <f>'C1-Incomes'!CB58/'C1-Incomes'!$BV58</f>
        <v>2.9712534562170167E-2</v>
      </c>
      <c r="CB56" s="60"/>
      <c r="CC56" s="198"/>
      <c r="CD56" s="59">
        <f>'C1-Incomes'!CE58/'C1-Incomes'!$CD58</f>
        <v>0.42494089310686478</v>
      </c>
      <c r="CE56" s="59">
        <f>'C1-Incomes'!CF58/'C1-Incomes'!$CD58</f>
        <v>0.31377280749746034</v>
      </c>
      <c r="CF56" s="59">
        <f>'C1-Incomes'!CG58/'C1-Incomes'!$CD58</f>
        <v>0.16695721820987194</v>
      </c>
      <c r="CG56" s="59">
        <f>'C1-Incomes'!CH58/'C1-Incomes'!$CD58</f>
        <v>0.13070945337325834</v>
      </c>
      <c r="CH56" s="59">
        <f>'C1-Incomes'!CI58/'C1-Incomes'!$CD58</f>
        <v>7.639029812830897E-2</v>
      </c>
      <c r="CI56" s="59">
        <f>'C1-Incomes'!CJ58/'C1-Incomes'!$CD58</f>
        <v>3.5417694573990459E-2</v>
      </c>
      <c r="CL56" s="59">
        <f>'C1-Incomes'!CM58/'C1-Incomes'!$CL58</f>
        <v>0.42740720814018934</v>
      </c>
      <c r="CM56" s="59">
        <f>'C1-Incomes'!CN58/'C1-Incomes'!$CL58</f>
        <v>0.31617764807715015</v>
      </c>
      <c r="CN56" s="59">
        <f>'C1-Incomes'!CO58/'C1-Incomes'!$CL58</f>
        <v>0.16868826460179637</v>
      </c>
      <c r="CO56" s="59">
        <f>'C1-Incomes'!CP58/'C1-Incomes'!$CL58</f>
        <v>0.13223407091111708</v>
      </c>
      <c r="CP56" s="59">
        <f>'C1-Incomes'!CQ58/'C1-Incomes'!$CL58</f>
        <v>7.751151607126297E-2</v>
      </c>
      <c r="CQ56" s="59">
        <f>'C1-Incomes'!CR58/'C1-Incomes'!$CL58</f>
        <v>3.6255155345908556E-2</v>
      </c>
      <c r="CR56" s="59"/>
      <c r="CS56" s="59"/>
      <c r="CT56" s="59">
        <f>'C1-Incomes'!CU58/'C1-Incomes'!$CT58</f>
        <v>0.43064888844832672</v>
      </c>
      <c r="CU56" s="59">
        <f>'C1-Incomes'!CV58/'C1-Incomes'!$CT58</f>
        <v>0.31962212728193479</v>
      </c>
      <c r="CV56" s="59">
        <f>'C1-Incomes'!CW58/'C1-Incomes'!$CT58</f>
        <v>0.17159461334111117</v>
      </c>
      <c r="CW56" s="59">
        <f>'C1-Incomes'!CX58/'C1-Incomes'!$CT58</f>
        <v>0.13474678502188742</v>
      </c>
      <c r="CX56" s="59">
        <f>'C1-Incomes'!CY58/'C1-Incomes'!$CT58</f>
        <v>7.9304595080387952E-2</v>
      </c>
      <c r="CY56" s="59">
        <f>'C1-Incomes'!CZ58/'C1-Incomes'!$CT58</f>
        <v>3.7313086638787948E-2</v>
      </c>
      <c r="CZ56" s="59"/>
      <c r="DA56" s="59"/>
      <c r="DB56" s="59">
        <f>'C1-Incomes'!DC58/'C1-Incomes'!$DB58</f>
        <v>0.43217654847503273</v>
      </c>
      <c r="DC56" s="59">
        <f>'C1-Incomes'!DD58/'C1-Incomes'!$DB58</f>
        <v>0.32100582658190935</v>
      </c>
      <c r="DD56" s="59">
        <f>'C1-Incomes'!DE58/'C1-Incomes'!$DB58</f>
        <v>0.1724783338043504</v>
      </c>
      <c r="DE56" s="59">
        <f>'C1-Incomes'!DF58/'C1-Incomes'!$DB58</f>
        <v>0.13544905851033265</v>
      </c>
      <c r="DF56" s="59">
        <f>'C1-Incomes'!DG58/'C1-Incomes'!$DB58</f>
        <v>7.9768711664069167E-2</v>
      </c>
      <c r="DG56" s="59">
        <f>'C1-Incomes'!DH58/'C1-Incomes'!$DB58</f>
        <v>3.7591272832553299E-2</v>
      </c>
      <c r="DH56" s="59"/>
      <c r="DI56" s="1039"/>
      <c r="DJ56" s="59">
        <f>'C1-Incomes'!DK58/'C1-Incomes'!$DJ58</f>
        <v>0.41726014385987714</v>
      </c>
      <c r="DK56" s="59">
        <f>'C1-Incomes'!DL58/'C1-Incomes'!$DJ58</f>
        <v>0.30903754994164512</v>
      </c>
      <c r="DL56" s="59">
        <f>'C1-Incomes'!DM58/'C1-Incomes'!$DJ58</f>
        <v>0.16454535953438498</v>
      </c>
      <c r="DM56" s="59">
        <f>'C1-Incomes'!DN58/'C1-Incomes'!$DJ58</f>
        <v>0.12850186676922576</v>
      </c>
      <c r="DN56" s="59">
        <f>'C1-Incomes'!DO58/'C1-Incomes'!$DJ58</f>
        <v>7.4685017400109924E-2</v>
      </c>
      <c r="DO56" s="59">
        <f>'C1-Incomes'!DP58/'C1-Incomes'!$DJ58</f>
        <v>3.4895870907052561E-2</v>
      </c>
      <c r="DP56" s="696"/>
      <c r="DQ56" s="503"/>
      <c r="DR56" s="59">
        <f>'C1-Incomes'!DS58/'C1-Incomes'!$DR58</f>
        <v>0.41538417499534064</v>
      </c>
      <c r="DS56" s="59">
        <f>'C1-Incomes'!DT58/'C1-Incomes'!$DR58</f>
        <v>0.30602401653190886</v>
      </c>
      <c r="DT56" s="59">
        <f>'C1-Incomes'!DU58/'C1-Incomes'!$DR58</f>
        <v>0.16114929916602908</v>
      </c>
      <c r="DU56" s="59">
        <f>'C1-Incomes'!DV58/'C1-Incomes'!$DR58</f>
        <v>0.12529746894515997</v>
      </c>
      <c r="DV56" s="59">
        <f>'C1-Incomes'!DW58/'C1-Incomes'!$DR58</f>
        <v>7.2269723457825022E-2</v>
      </c>
      <c r="DW56" s="59">
        <f>'C1-Incomes'!DX58/'C1-Incomes'!$DR58</f>
        <v>3.3552554390047826E-2</v>
      </c>
      <c r="DX56" s="333"/>
      <c r="DZ56" s="59">
        <f>'C1-Incomes'!EA58/'C1-Incomes'!$DZ58</f>
        <v>0.40800161176167454</v>
      </c>
      <c r="EA56" s="59">
        <f>'C1-Incomes'!EB58/'C1-Incomes'!$DZ58</f>
        <v>0.29877800916256664</v>
      </c>
      <c r="EB56" s="59">
        <f>'C1-Incomes'!EC58/'C1-Incomes'!$DZ58</f>
        <v>0.15572637432187078</v>
      </c>
      <c r="EC56" s="59">
        <f>'C1-Incomes'!ED58/'C1-Incomes'!$DZ58</f>
        <v>0.12084018302104836</v>
      </c>
      <c r="ED56" s="59">
        <f>'C1-Incomes'!EE58/'C1-Incomes'!$DZ58</f>
        <v>6.9513626019512997E-2</v>
      </c>
      <c r="EE56" s="59">
        <f>'C1-Incomes'!EF58/'C1-Incomes'!$DZ58</f>
        <v>3.2212577774903231E-2</v>
      </c>
      <c r="EF56" s="59"/>
      <c r="EH56" s="59">
        <f>'C1-Incomes'!EI58/'C1-Incomes'!$EH58</f>
        <v>0.39705063663682028</v>
      </c>
      <c r="EI56" s="59">
        <f>'C1-Incomes'!EJ58/'C1-Incomes'!$EH58</f>
        <v>0.28795271546292922</v>
      </c>
      <c r="EJ56" s="59">
        <f>'C1-Incomes'!EK58/'C1-Incomes'!$EH58</f>
        <v>0.14793618221127564</v>
      </c>
      <c r="EK56" s="59">
        <f>'C1-Incomes'!EL58/'C1-Incomes'!$EH58</f>
        <v>0.114460740607879</v>
      </c>
      <c r="EL56" s="59">
        <f>'C1-Incomes'!EM58/'C1-Incomes'!$EH58</f>
        <v>6.5695744865337483E-2</v>
      </c>
      <c r="EM56" s="59">
        <f>'C1-Incomes'!EN58/'C1-Incomes'!$EH58</f>
        <v>3.0410615045300113E-2</v>
      </c>
      <c r="EN56" s="59"/>
      <c r="EO56" s="59"/>
      <c r="EP56" s="59">
        <f>'C1-Incomes'!EQ58/'C1-Incomes'!$EH58</f>
        <v>0.40490948671024868</v>
      </c>
      <c r="EQ56" s="59">
        <f>'C1-Incomes'!ER58/'C1-Incomes'!$EH58</f>
        <v>0.2935005688520953</v>
      </c>
      <c r="ER56" s="59">
        <f>'C1-Incomes'!ES58/'C1-Incomes'!$EH58</f>
        <v>0.15004345527058557</v>
      </c>
      <c r="ES56" s="59">
        <f>'C1-Incomes'!ET58/'C1-Incomes'!$EH58</f>
        <v>0.11584231407644066</v>
      </c>
      <c r="ET56" s="59">
        <f>'C1-Incomes'!EU58/'C1-Incomes'!$EH58</f>
        <v>6.6206568094380636E-2</v>
      </c>
      <c r="EU56" s="59">
        <f>'C1-Incomes'!EV58/'C1-Incomes'!$EH58</f>
        <v>3.0567433371572424E-2</v>
      </c>
      <c r="EV56" s="59"/>
      <c r="EW56" s="59"/>
      <c r="EX56" s="59">
        <f>'C1-Incomes'!EY58/'C1-Incomes'!$EX58</f>
        <v>0.39089238152210198</v>
      </c>
      <c r="EY56" s="59">
        <f>'C1-Incomes'!EZ58/'C1-Incomes'!$EX58</f>
        <v>0.28199877383067057</v>
      </c>
      <c r="EZ56" s="59">
        <f>'C1-Incomes'!FA58/'C1-Incomes'!$EX58</f>
        <v>0.14296488171438282</v>
      </c>
      <c r="FA56" s="59">
        <f>'C1-Incomes'!FB58/'C1-Incomes'!$EX58</f>
        <v>0.11026392533964471</v>
      </c>
      <c r="FB56" s="59">
        <f>'C1-Incomes'!FC58/'C1-Incomes'!$EX58</f>
        <v>6.2887019420814247E-2</v>
      </c>
      <c r="FC56" s="59">
        <f>'C1-Incomes'!FD58/'C1-Incomes'!$EX58</f>
        <v>2.8952893518513035E-2</v>
      </c>
      <c r="FD56" s="59"/>
      <c r="FF56" s="59">
        <f>'C1-Incomes'!FG58/'C1-Incomes'!$FF58</f>
        <v>0.37580426242444631</v>
      </c>
      <c r="FG56" s="59">
        <f>'C1-Incomes'!FH58/'C1-Incomes'!$FF58</f>
        <v>0.27007896111927715</v>
      </c>
      <c r="FH56" s="59">
        <f>'C1-Incomes'!FI58/'C1-Incomes'!$FF58</f>
        <v>0.13618281101350857</v>
      </c>
      <c r="FI56" s="59">
        <f>'C1-Incomes'!FJ58/'C1-Incomes'!$FF58</f>
        <v>0.10488185574576403</v>
      </c>
      <c r="FJ56" s="59">
        <f>'C1-Incomes'!FK58/'C1-Incomes'!$FF58</f>
        <v>5.9695131381820747E-2</v>
      </c>
      <c r="FK56" s="59">
        <f>'C1-Incomes'!FL58/'C1-Incomes'!$FF58</f>
        <v>2.7451780246406321E-2</v>
      </c>
      <c r="FN56" s="59">
        <f>'C1-Incomes'!FO58/'C1-Incomes'!$FN58</f>
        <v>0.37233516348789453</v>
      </c>
      <c r="FO56" s="59">
        <f>'C1-Incomes'!FP58/'C1-Incomes'!$FN58</f>
        <v>0.26746600311834617</v>
      </c>
      <c r="FP56" s="59">
        <f>'C1-Incomes'!FQ58/'C1-Incomes'!$FN58</f>
        <v>0.1348012442594462</v>
      </c>
      <c r="FQ56" s="59">
        <f>'C1-Incomes'!FR58/'C1-Incomes'!$FN58</f>
        <v>0.10381113986308289</v>
      </c>
      <c r="FR56" s="59">
        <f>'C1-Incomes'!FS58/'C1-Incomes'!$FN58</f>
        <v>5.9083352164058946E-2</v>
      </c>
      <c r="FS56" s="59">
        <f>'C1-Incomes'!FT58/'C1-Incomes'!$FN58</f>
        <v>2.717109871232749E-2</v>
      </c>
      <c r="FV56" s="59">
        <f>'C1-Incomes'!FW58/'C1-Incomes'!$FV58</f>
        <v>0.36486855075285501</v>
      </c>
      <c r="FW56" s="59">
        <f>'C1-Incomes'!FX58/'C1-Incomes'!$FV58</f>
        <v>0.26201129534755419</v>
      </c>
      <c r="FX56" s="59">
        <f>'C1-Incomes'!FY58/'C1-Incomes'!$FV58</f>
        <v>0.13198869756159903</v>
      </c>
      <c r="FY56" s="59">
        <f>'C1-Incomes'!FZ58/'C1-Incomes'!$FV58</f>
        <v>0.10163391530427748</v>
      </c>
      <c r="FZ56" s="59">
        <f>'C1-Incomes'!GA58/'C1-Incomes'!$FV58</f>
        <v>5.7836501128502076E-2</v>
      </c>
      <c r="GA56" s="59">
        <f>'C1-Incomes'!GB58/'C1-Incomes'!$FV58</f>
        <v>2.6596198828453196E-2</v>
      </c>
      <c r="GE56" s="59">
        <f>'C1-Incomes'!GF58/'C1-Incomes'!$GE58</f>
        <v>0.35546964349021559</v>
      </c>
      <c r="GF56" s="59">
        <f>'C1-Incomes'!GG58/'C1-Incomes'!$GE58</f>
        <v>0.25431930795793678</v>
      </c>
      <c r="GG56" s="59">
        <f>'C1-Incomes'!GH58/'C1-Incomes'!$GE58</f>
        <v>0.12786384624249394</v>
      </c>
      <c r="GH56" s="59">
        <f>'C1-Incomes'!GI58/'C1-Incomes'!$GE58</f>
        <v>9.844213851728674E-2</v>
      </c>
      <c r="GI56" s="59">
        <f>'C1-Incomes'!GJ58/'C1-Incomes'!$GE58</f>
        <v>5.6003384856015907E-2</v>
      </c>
      <c r="GJ56" s="59">
        <f>'C1-Incomes'!GK58/'C1-Incomes'!$GE58</f>
        <v>2.5751543680659059E-2</v>
      </c>
      <c r="GM56" s="59">
        <f>'C1-Incomes'!GN58/'C1-Incomes'!$GM58</f>
        <v>0.34039904714381775</v>
      </c>
      <c r="GN56" s="59">
        <f>'C1-Incomes'!GO58/'C1-Incomes'!$GM58</f>
        <v>0.24353711121197244</v>
      </c>
      <c r="GO56" s="59">
        <f>'C1-Incomes'!GP58/'C1-Incomes'!$GM58</f>
        <v>0.12244289272562482</v>
      </c>
      <c r="GP56" s="59">
        <f>'C1-Incomes'!GQ58/'C1-Incomes'!$GM58</f>
        <v>9.4268556440056439E-2</v>
      </c>
      <c r="GQ56" s="59">
        <f>'C1-Incomes'!GR58/'C1-Incomes'!$GM58</f>
        <v>5.3629048755441923E-2</v>
      </c>
      <c r="GR56" s="59">
        <f>'C1-Incomes'!GS58/'C1-Incomes'!$GM58</f>
        <v>2.4659773603480793E-2</v>
      </c>
      <c r="GU56" s="59">
        <f>'C1-Incomes'!GV58/'C1-Incomes'!$GU58</f>
        <v>0.31726659704445503</v>
      </c>
      <c r="GV56" s="59">
        <f>'C1-Incomes'!GW58/'C1-Incomes'!$GU58</f>
        <v>0.22244069481259715</v>
      </c>
      <c r="GW56" s="59">
        <f>'C1-Incomes'!GX58/'C1-Incomes'!$GU58</f>
        <v>0.10758321365324085</v>
      </c>
      <c r="GX56" s="59">
        <f>'C1-Incomes'!GY58/'C1-Incomes'!$GU58</f>
        <v>8.1817355763669136E-2</v>
      </c>
      <c r="GY56" s="59">
        <f>'C1-Incomes'!GZ58/'C1-Incomes'!$GU58</f>
        <v>4.5891395530547552E-2</v>
      </c>
      <c r="GZ56" s="59">
        <f>'C1-Incomes'!HA58/'C1-Incomes'!$GU58</f>
        <v>2.1197930676397744E-2</v>
      </c>
      <c r="HC56" s="59">
        <f>'C1-Incomes'!HD58/'C1-Incomes'!$HC58</f>
        <v>0.31147961914376682</v>
      </c>
      <c r="HD56" s="59">
        <f>'C1-Incomes'!HE58/'C1-Incomes'!$HC58</f>
        <v>0.21721022505625423</v>
      </c>
      <c r="HE56" s="59">
        <f>'C1-Incomes'!HF58/'C1-Incomes'!$HC58</f>
        <v>0.10406334011434677</v>
      </c>
      <c r="HF56" s="59">
        <f>'C1-Incomes'!HG58/'C1-Incomes'!$HC58</f>
        <v>7.8833250906808677E-2</v>
      </c>
      <c r="HG56" s="59">
        <f>'C1-Incomes'!HH58/'C1-Incomes'!$HC58</f>
        <v>4.3967606412050809E-2</v>
      </c>
      <c r="HH56" s="59">
        <f>'C1-Incomes'!HI58/'C1-Incomes'!$HC58</f>
        <v>2.031355429178227E-2</v>
      </c>
      <c r="HK56" s="59">
        <f>'C1-Incomes'!HL58/'C1-Incomes'!$HK58</f>
        <v>0.30786319513874782</v>
      </c>
      <c r="HL56" s="59">
        <f>'C1-Incomes'!HM58/'C1-Incomes'!$HK58</f>
        <v>0.2138665112007215</v>
      </c>
      <c r="HM56" s="59">
        <f>'C1-Incomes'!HN58/'C1-Incomes'!$HK58</f>
        <v>0.10171398558986751</v>
      </c>
      <c r="HN56" s="59">
        <f>'C1-Incomes'!HO58/'C1-Incomes'!$HK58</f>
        <v>7.6844866068479123E-2</v>
      </c>
      <c r="HO56" s="59">
        <f>'C1-Incomes'!HP58/'C1-Incomes'!$HK58</f>
        <v>4.2543054136786301E-2</v>
      </c>
      <c r="HP56" s="59">
        <f>'C1-Incomes'!HQ58/'C1-Incomes'!$HK58</f>
        <v>1.943629300131559E-2</v>
      </c>
      <c r="HS56" s="59">
        <f>'C1-Incomes'!HT58/'C1-Incomes'!$HS58</f>
        <v>0.30275891697892054</v>
      </c>
      <c r="HT56" s="59">
        <f>'C1-Incomes'!HU58/'C1-Incomes'!$HS58</f>
        <v>0.2095367305803893</v>
      </c>
      <c r="HU56" s="59">
        <f>'C1-Incomes'!HV58/'C1-Incomes'!$HS58</f>
        <v>9.8870676270853108E-2</v>
      </c>
      <c r="HV56" s="59">
        <f>'C1-Incomes'!HW58/'C1-Incomes'!$HS58</f>
        <v>7.4542322055274224E-2</v>
      </c>
      <c r="HW56" s="59">
        <f>'C1-Incomes'!HX58/'C1-Incomes'!$HS58</f>
        <v>4.1095131409545321E-2</v>
      </c>
      <c r="HX56" s="59">
        <f>'C1-Incomes'!HY58/'C1-Incomes'!$HS58</f>
        <v>1.8678881074841881E-2</v>
      </c>
      <c r="IA56" s="59">
        <f>'C1-Incomes'!IB58/'C1-Incomes'!$IA58</f>
        <v>0.30614891732765737</v>
      </c>
      <c r="IB56" s="59">
        <f>'C1-Incomes'!IC58/'C1-Incomes'!$IA58</f>
        <v>0.21401066255596651</v>
      </c>
      <c r="IC56" s="59">
        <f>'C1-Incomes'!ID58/'C1-Incomes'!$IA58</f>
        <v>0.10339434117495667</v>
      </c>
      <c r="ID56" s="59">
        <f>'C1-Incomes'!IE58/'C1-Incomes'!$IA58</f>
        <v>7.839526938391804E-2</v>
      </c>
      <c r="IE56" s="59">
        <f>'C1-Incomes'!IF58/'C1-Incomes'!$IA58</f>
        <v>4.3572799927839245E-2</v>
      </c>
      <c r="IF56" s="59">
        <f>'C1-Incomes'!IG58/'C1-Incomes'!$IA58</f>
        <v>1.9928219817739876E-2</v>
      </c>
      <c r="II56" s="59">
        <f>'C1-Incomes'!IJ58/'C1-Incomes'!$II58</f>
        <v>0.30683233743342964</v>
      </c>
      <c r="IJ56" s="59">
        <f>'C1-Incomes'!IK58/'C1-Incomes'!$II58</f>
        <v>0.21518390858333813</v>
      </c>
      <c r="IK56" s="59">
        <f>'C1-Incomes'!IL58/'C1-Incomes'!$II58</f>
        <v>0.10474219793160351</v>
      </c>
      <c r="IL56" s="59">
        <f>'C1-Incomes'!IM58/'C1-Incomes'!$II58</f>
        <v>7.9533344362096581E-2</v>
      </c>
      <c r="IM56" s="59">
        <f>'C1-Incomes'!IN58/'C1-Incomes'!$II58</f>
        <v>4.4249613439828951E-2</v>
      </c>
      <c r="IN56" s="59">
        <f>'C1-Incomes'!IO58/'C1-Incomes'!$II58</f>
        <v>2.0260550308992153E-2</v>
      </c>
      <c r="IQ56" s="59">
        <f>'C1-Incomes'!IR58/'C1-Incomes'!$IQ58</f>
        <v>0.28820282143594944</v>
      </c>
      <c r="IR56" s="59">
        <f>'C1-Incomes'!IS58/'C1-Incomes'!$IQ58</f>
        <v>0.19946529729041546</v>
      </c>
      <c r="IS56" s="59">
        <f>'C1-Incomes'!IT58/'C1-Incomes'!$IQ58</f>
        <v>9.4700379894494494E-2</v>
      </c>
      <c r="IT56" s="59">
        <f>'C1-Incomes'!IU58/'C1-Incomes'!$IQ58</f>
        <v>7.1489501277544942E-2</v>
      </c>
      <c r="IU56" s="59">
        <f>'C1-Incomes'!IV58/'C1-Incomes'!$IQ58</f>
        <v>3.9038727245538994E-2</v>
      </c>
      <c r="IV56" s="59">
        <f>'C1-Incomes'!IW58/'C1-Incomes'!$IQ58</f>
        <v>1.7859823760884543E-2</v>
      </c>
      <c r="IY56" s="59">
        <f>'C1-Incomes'!IZ58/'C1-Incomes'!$IY58</f>
        <v>0.26779190732398478</v>
      </c>
      <c r="IZ56" s="59">
        <f>'C1-Incomes'!JA58/'C1-Incomes'!$IY58</f>
        <v>0.18348888824790299</v>
      </c>
      <c r="JA56" s="59">
        <f>'C1-Incomes'!JB58/'C1-Incomes'!$IY58</f>
        <v>8.5720370581185562E-2</v>
      </c>
      <c r="JB56" s="59">
        <f>'C1-Incomes'!JC58/'C1-Incomes'!$IY58</f>
        <v>6.4471970004467555E-2</v>
      </c>
      <c r="JC56" s="59">
        <f>'C1-Incomes'!JD58/'C1-Incomes'!$IY58</f>
        <v>3.5003270165454688E-2</v>
      </c>
      <c r="JD56" s="59">
        <f>'C1-Incomes'!JE58/'C1-Incomes'!$IY58</f>
        <v>1.5982342734703687E-2</v>
      </c>
      <c r="JE56" s="197"/>
      <c r="JF56" s="197"/>
      <c r="JG56" s="197"/>
      <c r="JH56" s="197"/>
      <c r="JI56" s="197"/>
      <c r="JJ56" s="197"/>
      <c r="JK56" s="197"/>
      <c r="JL56" s="197"/>
      <c r="JM56" s="197"/>
      <c r="JN56" s="197"/>
      <c r="JO56" s="197"/>
      <c r="JP56" s="197"/>
      <c r="JQ56" s="197"/>
      <c r="JR56" s="197"/>
      <c r="JS56" s="197"/>
      <c r="JT56" s="197"/>
      <c r="JU56" s="197"/>
      <c r="JV56" s="197"/>
      <c r="JW56" s="197"/>
      <c r="JX56" s="197"/>
      <c r="JY56" s="197"/>
      <c r="JZ56" s="197"/>
      <c r="KA56" s="197"/>
      <c r="KB56" s="197"/>
      <c r="KC56" s="197"/>
      <c r="KD56" s="197"/>
      <c r="KE56" s="197"/>
      <c r="KF56" s="197"/>
      <c r="KG56" s="197"/>
      <c r="KH56" s="197"/>
      <c r="KI56" s="197"/>
      <c r="KJ56" s="197"/>
      <c r="KK56" s="197"/>
      <c r="KL56" s="197"/>
      <c r="KM56" s="197"/>
      <c r="KN56" s="197"/>
      <c r="KO56" s="197"/>
      <c r="KP56" s="197"/>
      <c r="KQ56" s="197"/>
      <c r="KR56" s="197"/>
      <c r="KS56" s="197"/>
      <c r="KT56" s="197"/>
      <c r="KU56" s="197"/>
      <c r="KV56" s="197"/>
      <c r="KW56" s="197"/>
      <c r="KX56" s="197"/>
      <c r="KY56" s="197"/>
      <c r="KZ56" s="197"/>
      <c r="LA56" s="197"/>
      <c r="LB56" s="197"/>
      <c r="LC56" s="197"/>
      <c r="LD56" s="197"/>
      <c r="LE56" s="197"/>
      <c r="LF56" s="197"/>
      <c r="LG56" s="197"/>
      <c r="LH56" s="197"/>
      <c r="LI56" s="197"/>
      <c r="LJ56" s="197"/>
      <c r="LK56" s="197"/>
      <c r="LL56" s="197"/>
      <c r="LM56" s="197"/>
      <c r="LN56" s="197"/>
      <c r="LO56" s="197"/>
      <c r="LP56" s="197"/>
      <c r="LQ56" s="197"/>
      <c r="LR56" s="197"/>
      <c r="LS56" s="197"/>
      <c r="LT56" s="197"/>
      <c r="LU56" s="197"/>
      <c r="LV56" s="197"/>
      <c r="LW56" s="197"/>
      <c r="LX56" s="197"/>
      <c r="LY56" s="197"/>
      <c r="LZ56" s="197"/>
      <c r="MA56" s="197"/>
      <c r="MB56" s="197"/>
      <c r="MC56" s="197"/>
      <c r="MD56" s="197"/>
      <c r="ME56" s="197"/>
      <c r="MF56" s="197"/>
      <c r="MG56" s="197"/>
      <c r="MH56" s="197"/>
      <c r="MI56" s="197"/>
      <c r="MJ56" s="197"/>
      <c r="MK56" s="197"/>
      <c r="ML56" s="197"/>
      <c r="MM56" s="197"/>
      <c r="MN56" s="197"/>
      <c r="MO56" s="197"/>
      <c r="MP56" s="197"/>
      <c r="MQ56" s="197"/>
      <c r="MR56" s="197"/>
      <c r="MS56" s="197"/>
      <c r="MT56" s="197"/>
      <c r="MU56" s="197"/>
      <c r="MV56" s="197"/>
      <c r="MW56" s="197"/>
      <c r="MX56" s="197"/>
      <c r="MY56" s="197"/>
      <c r="MZ56" s="197"/>
      <c r="NA56" s="197"/>
      <c r="NB56" s="197"/>
      <c r="NC56" s="197"/>
      <c r="ND56" s="197"/>
      <c r="NE56" s="197"/>
      <c r="NF56" s="197"/>
      <c r="NG56" s="197"/>
      <c r="NH56" s="197"/>
      <c r="NI56" s="197"/>
      <c r="NJ56" s="197"/>
      <c r="NK56" s="197"/>
      <c r="NL56" s="197"/>
      <c r="NM56" s="197"/>
      <c r="NN56" s="197"/>
      <c r="NO56" s="197"/>
      <c r="NP56" s="197"/>
      <c r="NQ56" s="197"/>
      <c r="NR56" s="197"/>
      <c r="NS56" s="197"/>
      <c r="NT56" s="197"/>
      <c r="NU56" s="197"/>
      <c r="NV56" s="197"/>
      <c r="NW56" s="197"/>
      <c r="NX56" s="197"/>
      <c r="NY56" s="197"/>
      <c r="NZ56" s="197"/>
      <c r="OA56" s="197"/>
      <c r="OB56" s="197"/>
      <c r="OC56" s="197"/>
      <c r="OD56" s="197"/>
      <c r="OE56" s="197"/>
      <c r="OF56" s="197"/>
      <c r="OG56" s="197"/>
      <c r="OH56" s="197"/>
      <c r="OI56" s="197"/>
      <c r="OJ56" s="197"/>
      <c r="OK56" s="197"/>
      <c r="OL56" s="197"/>
      <c r="OM56" s="197"/>
      <c r="ON56" s="197"/>
      <c r="OO56" s="197"/>
      <c r="OP56" s="197"/>
      <c r="OQ56" s="197"/>
      <c r="OR56" s="197"/>
      <c r="OS56" s="197"/>
      <c r="OT56" s="197"/>
      <c r="OU56" s="197"/>
      <c r="OV56" s="197"/>
      <c r="OW56" s="197"/>
      <c r="OX56" s="197"/>
      <c r="OY56" s="197"/>
      <c r="OZ56" s="197"/>
      <c r="PA56" s="197"/>
      <c r="PB56" s="197"/>
    </row>
    <row r="57" spans="1:418" s="77" customFormat="1" ht="10.5" customHeight="1" x14ac:dyDescent="0.2">
      <c r="A57" s="48">
        <f>A56+1</f>
        <v>2011</v>
      </c>
      <c r="B57" s="59">
        <f>'C1-Incomes'!C59/'C1-Incomes'!$B59</f>
        <v>0.46810470625059381</v>
      </c>
      <c r="C57" s="59">
        <f>'C1-Incomes'!D59/'C1-Incomes'!$B59</f>
        <v>0.34165220750834874</v>
      </c>
      <c r="D57" s="59">
        <f>'C1-Incomes'!E59/'C1-Incomes'!$B59</f>
        <v>0.1748995357114809</v>
      </c>
      <c r="E57" s="59">
        <f>'C1-Incomes'!F59/'C1-Incomes'!$B59</f>
        <v>0.13352589750744095</v>
      </c>
      <c r="F57" s="59">
        <f>'C1-Incomes'!G59/'C1-Incomes'!$B59</f>
        <v>7.2694655505921357E-2</v>
      </c>
      <c r="G57" s="59">
        <f>'C1-Incomes'!H59/'C1-Incomes'!$B59</f>
        <v>2.9840173250002499E-2</v>
      </c>
      <c r="H57" s="199"/>
      <c r="J57" s="59">
        <f>'C1-Incomes'!K59/'C1-Incomes'!$J59</f>
        <v>0.38977190885856111</v>
      </c>
      <c r="K57" s="59">
        <f>'C1-Incomes'!L59/'C1-Incomes'!$J59</f>
        <v>0.27938572161538783</v>
      </c>
      <c r="L57" s="59">
        <f>'C1-Incomes'!M59/'C1-Incomes'!$J59</f>
        <v>0.13842295139515765</v>
      </c>
      <c r="M57" s="59">
        <f>'C1-Incomes'!N59/'C1-Incomes'!$J59</f>
        <v>0.10517067723151349</v>
      </c>
      <c r="N57" s="59">
        <f>'C1-Incomes'!O59/'C1-Incomes'!$J59</f>
        <v>5.7957854003290163E-2</v>
      </c>
      <c r="O57" s="59">
        <f>'C1-Incomes'!P59/'C1-Incomes'!$J59</f>
        <v>2.5028017531161979E-2</v>
      </c>
      <c r="P57" s="59"/>
      <c r="R57" s="59">
        <f>'C1-Incomes'!S59/'C1-Incomes'!$R59</f>
        <v>0.34078660818871037</v>
      </c>
      <c r="S57" s="59">
        <f>'C1-Incomes'!T59/'C1-Incomes'!$R59</f>
        <v>0.2423988125319424</v>
      </c>
      <c r="T57" s="59">
        <f>'C1-Incomes'!U59/'C1-Incomes'!$R59</f>
        <v>0.1191544734605352</v>
      </c>
      <c r="U57" s="59">
        <f>'C1-Incomes'!V59/'C1-Incomes'!$R59</f>
        <v>9.0440703217730109E-2</v>
      </c>
      <c r="V57" s="59">
        <f>'C1-Incomes'!W59/'C1-Incomes'!$R59</f>
        <v>4.970294621160886E-2</v>
      </c>
      <c r="W57" s="59">
        <f>'C1-Incomes'!X59/'C1-Incomes'!$R59</f>
        <v>2.1436612177020139E-2</v>
      </c>
      <c r="X57" s="59"/>
      <c r="Y57" s="59"/>
      <c r="Z57" s="59">
        <f>'C1-Incomes'!AA59/'C1-Incomes'!$Z59</f>
        <v>0.26681420084971713</v>
      </c>
      <c r="AA57" s="59">
        <f>'C1-Incomes'!AB59/'C1-Incomes'!$Z59</f>
        <v>0.18108564769088473</v>
      </c>
      <c r="AB57" s="59">
        <f>'C1-Incomes'!AC59/'C1-Incomes'!$Z59</f>
        <v>8.1359490192568745E-2</v>
      </c>
      <c r="AC57" s="59">
        <f>'C1-Incomes'!AD59/'C1-Incomes'!$Z59</f>
        <v>6.0027019644338431E-2</v>
      </c>
      <c r="AD57" s="59">
        <f>'C1-Incomes'!AE59/'C1-Incomes'!$Z59</f>
        <v>3.1035106179935882E-2</v>
      </c>
      <c r="AE57" s="59">
        <f>'C1-Incomes'!AF59/'C1-Incomes'!$Z59</f>
        <v>1.3084200706082159E-2</v>
      </c>
      <c r="AF57" s="200"/>
      <c r="AG57" s="195"/>
      <c r="AH57" s="59">
        <f>'C1-Incomes'!AI59/'C1-Incomes'!$AH59</f>
        <v>0.46077228658958047</v>
      </c>
      <c r="AI57" s="59">
        <f>'C1-Incomes'!AJ59/'C1-Incomes'!$AH59</f>
        <v>0.33543578152031212</v>
      </c>
      <c r="AJ57" s="59">
        <f>'C1-Incomes'!AK59/'C1-Incomes'!$AH59</f>
        <v>0.17101288211048174</v>
      </c>
      <c r="AK57" s="59">
        <f>'C1-Incomes'!AL59/'C1-Incomes'!$AH59</f>
        <v>0.13046914459108275</v>
      </c>
      <c r="AL57" s="59">
        <f>'C1-Incomes'!AM59/'C1-Incomes'!$AH59</f>
        <v>7.1049782898665717E-2</v>
      </c>
      <c r="AM57" s="59">
        <f>'C1-Incomes'!AN59/'C1-Incomes'!$AH59</f>
        <v>2.9250342712433468E-2</v>
      </c>
      <c r="AN57" s="195"/>
      <c r="AO57" s="195"/>
      <c r="AP57" s="59"/>
      <c r="AQ57" s="59"/>
      <c r="AR57" s="59"/>
      <c r="AS57" s="59"/>
      <c r="AT57" s="59"/>
      <c r="AU57" s="59"/>
      <c r="AV57" s="197"/>
      <c r="AW57" s="60"/>
      <c r="AX57" s="59">
        <f>'C1-Incomes'!AY59/'C1-Incomes'!$AX59</f>
        <v>0.46297723051902429</v>
      </c>
      <c r="AY57" s="59">
        <f>'C1-Incomes'!AZ59/'C1-Incomes'!$AX59</f>
        <v>0.33810262031937838</v>
      </c>
      <c r="AZ57" s="59">
        <f>'C1-Incomes'!BA59/'C1-Incomes'!$AX59</f>
        <v>0.17351467030538748</v>
      </c>
      <c r="BA57" s="59">
        <f>'C1-Incomes'!BB59/'C1-Incomes'!$AX59</f>
        <v>0.13261672514424738</v>
      </c>
      <c r="BB57" s="59">
        <f>'C1-Incomes'!BC59/'C1-Incomes'!$AX59</f>
        <v>7.2291596107031272E-2</v>
      </c>
      <c r="BC57" s="59">
        <f>'C1-Incomes'!BD59/'C1-Incomes'!$AX59</f>
        <v>2.9652048454564133E-2</v>
      </c>
      <c r="BD57" s="60"/>
      <c r="BE57" s="60"/>
      <c r="BF57" s="59">
        <f>'C1-Incomes'!BG59/'C1-Incomes'!$BF59</f>
        <v>0.45217192827891312</v>
      </c>
      <c r="BG57" s="59">
        <f>'C1-Incomes'!BH59/'C1-Incomes'!$BF59</f>
        <v>0.32988256176731895</v>
      </c>
      <c r="BH57" s="59">
        <f>'C1-Incomes'!BI59/'C1-Incomes'!$BF59</f>
        <v>0.16901254389139231</v>
      </c>
      <c r="BI57" s="59">
        <f>'C1-Incomes'!BJ59/'C1-Incomes'!$BF59</f>
        <v>0.12919810743288362</v>
      </c>
      <c r="BJ57" s="59">
        <f>'C1-Incomes'!BK59/'C1-Incomes'!$BF59</f>
        <v>7.0442001591921433E-2</v>
      </c>
      <c r="BK57" s="59">
        <f>'C1-Incomes'!BL59/'C1-Incomes'!$BF59</f>
        <v>2.8807287329509941E-2</v>
      </c>
      <c r="BL57" s="59"/>
      <c r="BM57" s="59"/>
      <c r="BN57" s="59">
        <f>'C1-Incomes'!BO59/'C1-Incomes'!$BN59</f>
        <v>0.41083193544470648</v>
      </c>
      <c r="BO57" s="59">
        <f>'C1-Incomes'!BP59/'C1-Incomes'!$BN59</f>
        <v>0.29796121651690083</v>
      </c>
      <c r="BP57" s="59">
        <f>'C1-Incomes'!BQ59/'C1-Incomes'!$BN59</f>
        <v>0.15147672392649897</v>
      </c>
      <c r="BQ57" s="59">
        <f>'C1-Incomes'!BR59/'C1-Incomes'!$BN59</f>
        <v>0.11578235971376268</v>
      </c>
      <c r="BR57" s="59">
        <f>'C1-Incomes'!BS59/'C1-Incomes'!$BN59</f>
        <v>6.3823224918960281E-2</v>
      </c>
      <c r="BS57" s="59">
        <f>'C1-Incomes'!BT59/'C1-Incomes'!$BN59</f>
        <v>2.6340391100832319E-2</v>
      </c>
      <c r="BT57" s="59"/>
      <c r="BU57" s="59"/>
      <c r="BV57" s="59">
        <f>'C1-Incomes'!BW59/'C1-Incomes'!$BV59</f>
        <v>0.41247936919861972</v>
      </c>
      <c r="BW57" s="59">
        <f>'C1-Incomes'!BX59/'C1-Incomes'!$BV59</f>
        <v>0.29983711922137468</v>
      </c>
      <c r="BX57" s="59">
        <f>'C1-Incomes'!BY59/'C1-Incomes'!$BV59</f>
        <v>0.15328369880170672</v>
      </c>
      <c r="BY57" s="59">
        <f>'C1-Incomes'!BZ59/'C1-Incomes'!$BV59</f>
        <v>0.11752964283100435</v>
      </c>
      <c r="BZ57" s="59">
        <f>'C1-Incomes'!CA59/'C1-Incomes'!$BV59</f>
        <v>6.5241190556170128E-2</v>
      </c>
      <c r="CA57" s="59">
        <f>'C1-Incomes'!CB59/'C1-Incomes'!$BV59</f>
        <v>2.7199481514577604E-2</v>
      </c>
      <c r="CB57" s="60"/>
      <c r="CC57" s="198"/>
      <c r="CD57" s="59">
        <f>'C1-Incomes'!CE59/'C1-Incomes'!$CD59</f>
        <v>0.42339243318512626</v>
      </c>
      <c r="CE57" s="59">
        <f>'C1-Incomes'!CF59/'C1-Incomes'!$CD59</f>
        <v>0.31096067013250389</v>
      </c>
      <c r="CF57" s="59">
        <f>'C1-Incomes'!CG59/'C1-Incomes'!$CD59</f>
        <v>0.16237991353127132</v>
      </c>
      <c r="CG57" s="59">
        <f>'C1-Incomes'!CH59/'C1-Incomes'!$CD59</f>
        <v>0.12559508952390971</v>
      </c>
      <c r="CH57" s="59">
        <f>'C1-Incomes'!CI59/'C1-Incomes'!$CD59</f>
        <v>7.1267108858390729E-2</v>
      </c>
      <c r="CI57" s="59">
        <f>'C1-Incomes'!CJ59/'C1-Incomes'!$CD59</f>
        <v>3.0977626860023786E-2</v>
      </c>
      <c r="CL57" s="59">
        <f>'C1-Incomes'!CM59/'C1-Incomes'!$CL59</f>
        <v>0.42589383126806907</v>
      </c>
      <c r="CM57" s="59">
        <f>'C1-Incomes'!CN59/'C1-Incomes'!$CL59</f>
        <v>0.31336778407140337</v>
      </c>
      <c r="CN57" s="59">
        <f>'C1-Incomes'!CO59/'C1-Incomes'!$CL59</f>
        <v>0.16385122278970773</v>
      </c>
      <c r="CO57" s="59">
        <f>'C1-Incomes'!CP59/'C1-Incomes'!$CL59</f>
        <v>0.1268588773605355</v>
      </c>
      <c r="CP57" s="59">
        <f>'C1-Incomes'!CQ59/'C1-Incomes'!$CL59</f>
        <v>7.2216654225613602E-2</v>
      </c>
      <c r="CQ57" s="59">
        <f>'C1-Incomes'!CR59/'C1-Incomes'!$CL59</f>
        <v>3.1636841687413347E-2</v>
      </c>
      <c r="CR57" s="59"/>
      <c r="CS57" s="59"/>
      <c r="CT57" s="59">
        <f>'C1-Incomes'!CU59/'C1-Incomes'!$CT59</f>
        <v>0.42915762488747994</v>
      </c>
      <c r="CU57" s="59">
        <f>'C1-Incomes'!CV59/'C1-Incomes'!$CT59</f>
        <v>0.31685159167408944</v>
      </c>
      <c r="CV57" s="59">
        <f>'C1-Incomes'!CW59/'C1-Incomes'!$CT59</f>
        <v>0.1665851502264756</v>
      </c>
      <c r="CW57" s="59">
        <f>'C1-Incomes'!CX59/'C1-Incomes'!$CT59</f>
        <v>0.12919405363120784</v>
      </c>
      <c r="CX57" s="59">
        <f>'C1-Incomes'!CY59/'C1-Incomes'!$CT59</f>
        <v>7.3821190598193712E-2</v>
      </c>
      <c r="CY57" s="59">
        <f>'C1-Incomes'!CZ59/'C1-Incomes'!$CT59</f>
        <v>3.2539359418915607E-2</v>
      </c>
      <c r="CZ57" s="59"/>
      <c r="DA57" s="59"/>
      <c r="DB57" s="59">
        <f>'C1-Incomes'!DC59/'C1-Incomes'!$DB59</f>
        <v>0.43121398691215601</v>
      </c>
      <c r="DC57" s="59">
        <f>'C1-Incomes'!DD59/'C1-Incomes'!$DB59</f>
        <v>0.31848509523100776</v>
      </c>
      <c r="DD57" s="59">
        <f>'C1-Incomes'!DE59/'C1-Incomes'!$DB59</f>
        <v>0.16728510361617613</v>
      </c>
      <c r="DE57" s="59">
        <f>'C1-Incomes'!DF59/'C1-Incomes'!$DB59</f>
        <v>0.12969547908582832</v>
      </c>
      <c r="DF57" s="59">
        <f>'C1-Incomes'!DG59/'C1-Incomes'!$DB59</f>
        <v>7.4070483987834904E-2</v>
      </c>
      <c r="DG57" s="59">
        <f>'C1-Incomes'!DH59/'C1-Incomes'!$DB59</f>
        <v>3.2644684046699901E-2</v>
      </c>
      <c r="DH57" s="59"/>
      <c r="DI57" s="1039"/>
      <c r="DJ57" s="59">
        <f>'C1-Incomes'!DK59/'C1-Incomes'!$DJ59</f>
        <v>0.41604306866899327</v>
      </c>
      <c r="DK57" s="59">
        <f>'C1-Incomes'!DL59/'C1-Incomes'!$DJ59</f>
        <v>0.30666317904399665</v>
      </c>
      <c r="DL57" s="59">
        <f>'C1-Incomes'!DM59/'C1-Incomes'!$DJ59</f>
        <v>0.15972805475997678</v>
      </c>
      <c r="DM57" s="59">
        <f>'C1-Incomes'!DN59/'C1-Incomes'!$DJ59</f>
        <v>0.12308721980066245</v>
      </c>
      <c r="DN57" s="59">
        <f>'C1-Incomes'!DO59/'C1-Incomes'!$DJ59</f>
        <v>6.9140442133638083E-2</v>
      </c>
      <c r="DO57" s="59">
        <f>'C1-Incomes'!DP59/'C1-Incomes'!$DJ59</f>
        <v>3.0321535749203897E-2</v>
      </c>
      <c r="DP57" s="696"/>
      <c r="DQ57" s="503"/>
      <c r="DR57" s="59">
        <f>'C1-Incomes'!DS59/'C1-Incomes'!$DR59</f>
        <v>0.41426689484617113</v>
      </c>
      <c r="DS57" s="59">
        <f>'C1-Incomes'!DT59/'C1-Incomes'!$DR59</f>
        <v>0.30355919194401654</v>
      </c>
      <c r="DT57" s="59">
        <f>'C1-Incomes'!DU59/'C1-Incomes'!$DR59</f>
        <v>0.156283862379995</v>
      </c>
      <c r="DU57" s="59">
        <f>'C1-Incomes'!DV59/'C1-Incomes'!$DR59</f>
        <v>0.11991618292805717</v>
      </c>
      <c r="DV57" s="59">
        <f>'C1-Incomes'!DW59/'C1-Incomes'!$DR59</f>
        <v>6.6777641177543215E-2</v>
      </c>
      <c r="DW57" s="59">
        <f>'C1-Incomes'!DX59/'C1-Incomes'!$DR59</f>
        <v>2.908390307596026E-2</v>
      </c>
      <c r="DX57" s="333"/>
      <c r="DZ57" s="59">
        <f>'C1-Incomes'!EA59/'C1-Incomes'!$DZ59</f>
        <v>0.40659513115092011</v>
      </c>
      <c r="EA57" s="59">
        <f>'C1-Incomes'!EB59/'C1-Incomes'!$DZ59</f>
        <v>0.29617047702554344</v>
      </c>
      <c r="EB57" s="59">
        <f>'C1-Incomes'!EC59/'C1-Incomes'!$DZ59</f>
        <v>0.15097570042378411</v>
      </c>
      <c r="EC57" s="59">
        <f>'C1-Incomes'!ED59/'C1-Incomes'!$DZ59</f>
        <v>0.11561142049715108</v>
      </c>
      <c r="ED57" s="59">
        <f>'C1-Incomes'!EE59/'C1-Incomes'!$DZ59</f>
        <v>6.4210685524422578E-2</v>
      </c>
      <c r="EE57" s="59">
        <f>'C1-Incomes'!EF59/'C1-Incomes'!$DZ59</f>
        <v>2.7913910360698905E-2</v>
      </c>
      <c r="EF57" s="59"/>
      <c r="EH57" s="59">
        <f>'C1-Incomes'!EI59/'C1-Incomes'!$EH59</f>
        <v>0.39570407670954505</v>
      </c>
      <c r="EI57" s="59">
        <f>'C1-Incomes'!EJ59/'C1-Incomes'!$EH59</f>
        <v>0.28536812180460042</v>
      </c>
      <c r="EJ57" s="59">
        <f>'C1-Incomes'!EK59/'C1-Incomes'!$EH59</f>
        <v>0.14342488299690548</v>
      </c>
      <c r="EK57" s="59">
        <f>'C1-Incomes'!EL59/'C1-Incomes'!$EH59</f>
        <v>0.10951572980670153</v>
      </c>
      <c r="EL57" s="59">
        <f>'C1-Incomes'!EM59/'C1-Incomes'!$EH59</f>
        <v>6.0687353410472017E-2</v>
      </c>
      <c r="EM57" s="59">
        <f>'C1-Incomes'!EN59/'C1-Incomes'!$EH59</f>
        <v>2.6354187092613727E-2</v>
      </c>
      <c r="EN57" s="59"/>
      <c r="EO57" s="59"/>
      <c r="EP57" s="59">
        <f>'C1-Incomes'!EQ59/'C1-Incomes'!$EH59</f>
        <v>0.40595027285753998</v>
      </c>
      <c r="EQ57" s="59">
        <f>'C1-Incomes'!ER59/'C1-Incomes'!$EH59</f>
        <v>0.29232883692970785</v>
      </c>
      <c r="ER57" s="59">
        <f>'C1-Incomes'!ES59/'C1-Incomes'!$EH59</f>
        <v>0.14599861960485067</v>
      </c>
      <c r="ES57" s="59">
        <f>'C1-Incomes'!ET59/'C1-Incomes'!$EH59</f>
        <v>0.1111057640502081</v>
      </c>
      <c r="ET57" s="59">
        <f>'C1-Incomes'!EU59/'C1-Incomes'!$EH59</f>
        <v>6.1342270916707707E-2</v>
      </c>
      <c r="EU57" s="59">
        <f>'C1-Incomes'!EV59/'C1-Incomes'!$EH59</f>
        <v>2.6543061069343527E-2</v>
      </c>
      <c r="EV57" s="59"/>
      <c r="EW57" s="59"/>
      <c r="EX57" s="59">
        <f>'C1-Incomes'!EY59/'C1-Incomes'!$EX59</f>
        <v>0.38977190885856111</v>
      </c>
      <c r="EY57" s="59">
        <f>'C1-Incomes'!EZ59/'C1-Incomes'!$EX59</f>
        <v>0.27938572161538783</v>
      </c>
      <c r="EZ57" s="59">
        <f>'C1-Incomes'!FA59/'C1-Incomes'!$EX59</f>
        <v>0.13842295139515765</v>
      </c>
      <c r="FA57" s="59">
        <f>'C1-Incomes'!FB59/'C1-Incomes'!$EX59</f>
        <v>0.10517067723151349</v>
      </c>
      <c r="FB57" s="59">
        <f>'C1-Incomes'!FC59/'C1-Incomes'!$EX59</f>
        <v>5.7957854003290163E-2</v>
      </c>
      <c r="FC57" s="59">
        <f>'C1-Incomes'!FD59/'C1-Incomes'!$EX59</f>
        <v>2.5028017531161979E-2</v>
      </c>
      <c r="FD57" s="59"/>
      <c r="FF57" s="59">
        <f>'C1-Incomes'!FG59/'C1-Incomes'!$FF59</f>
        <v>0.37457282956757715</v>
      </c>
      <c r="FG57" s="59">
        <f>'C1-Incomes'!FH59/'C1-Incomes'!$FF59</f>
        <v>0.26760253728551514</v>
      </c>
      <c r="FH57" s="59">
        <f>'C1-Incomes'!FI59/'C1-Incomes'!$FF59</f>
        <v>0.13188987127386423</v>
      </c>
      <c r="FI57" s="59">
        <f>'C1-Incomes'!FJ59/'C1-Incomes'!$FF59</f>
        <v>0.10015192400313262</v>
      </c>
      <c r="FJ57" s="59">
        <f>'C1-Incomes'!FK59/'C1-Incomes'!$FF59</f>
        <v>5.5059821771845929E-2</v>
      </c>
      <c r="FK57" s="59">
        <f>'C1-Incomes'!FL59/'C1-Incomes'!$FF59</f>
        <v>2.3751563156995992E-2</v>
      </c>
      <c r="FN57" s="59">
        <f>'C1-Incomes'!FO59/'C1-Incomes'!$FN59</f>
        <v>0.37200478172251999</v>
      </c>
      <c r="FO57" s="59">
        <f>'C1-Incomes'!FP59/'C1-Incomes'!$FN59</f>
        <v>0.26568203337723062</v>
      </c>
      <c r="FP57" s="59">
        <f>'C1-Incomes'!FQ59/'C1-Incomes'!$FN59</f>
        <v>0.13090270555808528</v>
      </c>
      <c r="FQ57" s="59">
        <f>'C1-Incomes'!FR59/'C1-Incomes'!$FN59</f>
        <v>9.9406577939619878E-2</v>
      </c>
      <c r="FR57" s="59">
        <f>'C1-Incomes'!FS59/'C1-Incomes'!$FN59</f>
        <v>5.464407801521666E-2</v>
      </c>
      <c r="FS57" s="59">
        <f>'C1-Incomes'!FT59/'C1-Incomes'!$FN59</f>
        <v>2.3572140183782869E-2</v>
      </c>
      <c r="FV57" s="59">
        <f>'C1-Incomes'!FW59/'C1-Incomes'!$FV59</f>
        <v>0.36459907847699063</v>
      </c>
      <c r="FW57" s="59">
        <f>'C1-Incomes'!FX59/'C1-Incomes'!$FV59</f>
        <v>0.2602995809032434</v>
      </c>
      <c r="FX57" s="59">
        <f>'C1-Incomes'!FY59/'C1-Incomes'!$FV59</f>
        <v>0.12818694639094752</v>
      </c>
      <c r="FY57" s="59">
        <f>'C1-Incomes'!FZ59/'C1-Incomes'!$FV59</f>
        <v>9.7332941817965007E-2</v>
      </c>
      <c r="FZ57" s="59">
        <f>'C1-Incomes'!GA59/'C1-Incomes'!$FV59</f>
        <v>5.3496571833550069E-2</v>
      </c>
      <c r="GA57" s="59">
        <f>'C1-Incomes'!GB59/'C1-Incomes'!$FV59</f>
        <v>2.3075689023763755E-2</v>
      </c>
      <c r="GE57" s="59">
        <f>'C1-Incomes'!GF59/'C1-Incomes'!$GE59</f>
        <v>0.3553068261244684</v>
      </c>
      <c r="GF57" s="59">
        <f>'C1-Incomes'!GG59/'C1-Incomes'!$GE59</f>
        <v>0.25272692842839728</v>
      </c>
      <c r="GG57" s="59">
        <f>'C1-Incomes'!GH59/'C1-Incomes'!$GE59</f>
        <v>0.12423140101899548</v>
      </c>
      <c r="GH57" s="59">
        <f>'C1-Incomes'!GI59/'C1-Incomes'!$GE59</f>
        <v>9.4294195959021929E-2</v>
      </c>
      <c r="GI57" s="59">
        <f>'C1-Incomes'!GJ59/'C1-Incomes'!$GE59</f>
        <v>5.1820686738085715E-2</v>
      </c>
      <c r="GJ57" s="59">
        <f>'C1-Incomes'!GK59/'C1-Incomes'!$GE59</f>
        <v>2.2349982224831099E-2</v>
      </c>
      <c r="GM57" s="59">
        <f>'C1-Incomes'!GN59/'C1-Incomes'!$GM59</f>
        <v>0.34078660818871037</v>
      </c>
      <c r="GN57" s="59">
        <f>'C1-Incomes'!GO59/'C1-Incomes'!$GM59</f>
        <v>0.2423988125319424</v>
      </c>
      <c r="GO57" s="59">
        <f>'C1-Incomes'!GP59/'C1-Incomes'!$GM59</f>
        <v>0.1191544734605352</v>
      </c>
      <c r="GP57" s="59">
        <f>'C1-Incomes'!GQ59/'C1-Incomes'!$GM59</f>
        <v>9.0440703217730109E-2</v>
      </c>
      <c r="GQ57" s="59">
        <f>'C1-Incomes'!GR59/'C1-Incomes'!$GM59</f>
        <v>4.970294621160886E-2</v>
      </c>
      <c r="GR57" s="59">
        <f>'C1-Incomes'!GS59/'C1-Incomes'!$GM59</f>
        <v>2.1436612177020139E-2</v>
      </c>
      <c r="GU57" s="59">
        <f>'C1-Incomes'!GV59/'C1-Incomes'!$GU59</f>
        <v>0.31468660849838614</v>
      </c>
      <c r="GV57" s="59">
        <f>'C1-Incomes'!GW59/'C1-Incomes'!$GU59</f>
        <v>0.21874337592930695</v>
      </c>
      <c r="GW57" s="59">
        <f>'C1-Incomes'!GX59/'C1-Incomes'!$GU59</f>
        <v>0.10276245414329231</v>
      </c>
      <c r="GX57" s="59">
        <f>'C1-Incomes'!GY59/'C1-Incomes'!$GU59</f>
        <v>7.689610296043832E-2</v>
      </c>
      <c r="GY57" s="59">
        <f>'C1-Incomes'!GZ59/'C1-Incomes'!$GU59</f>
        <v>4.1393754563272572E-2</v>
      </c>
      <c r="GZ57" s="59">
        <f>'C1-Incomes'!HA59/'C1-Incomes'!$GU59</f>
        <v>1.7864645203769274E-2</v>
      </c>
      <c r="HC57" s="59">
        <f>'C1-Incomes'!HD59/'C1-Incomes'!$HC59</f>
        <v>0.30866547036950065</v>
      </c>
      <c r="HD57" s="59">
        <f>'C1-Incomes'!HE59/'C1-Incomes'!$HC59</f>
        <v>0.21327009040640849</v>
      </c>
      <c r="HE57" s="59">
        <f>'C1-Incomes'!HF59/'C1-Incomes'!$HC59</f>
        <v>9.8935856608560052E-2</v>
      </c>
      <c r="HF57" s="59">
        <f>'C1-Incomes'!HG59/'C1-Incomes'!$HC59</f>
        <v>7.3666784024480209E-2</v>
      </c>
      <c r="HG57" s="59">
        <f>'C1-Incomes'!HH59/'C1-Incomes'!$HC59</f>
        <v>3.9288199633622581E-2</v>
      </c>
      <c r="HH57" s="59">
        <f>'C1-Incomes'!HI59/'C1-Incomes'!$HC59</f>
        <v>1.6879251816464866E-2</v>
      </c>
      <c r="HK57" s="59">
        <f>'C1-Incomes'!HL59/'C1-Incomes'!$HK59</f>
        <v>0.30527649346652069</v>
      </c>
      <c r="HL57" s="59">
        <f>'C1-Incomes'!HM59/'C1-Incomes'!$HK59</f>
        <v>0.21019036037988451</v>
      </c>
      <c r="HM57" s="59">
        <f>'C1-Incomes'!HN59/'C1-Incomes'!$HK59</f>
        <v>9.6880451900486553E-2</v>
      </c>
      <c r="HN57" s="59">
        <f>'C1-Incomes'!HO59/'C1-Incomes'!$HK59</f>
        <v>7.1944312139469502E-2</v>
      </c>
      <c r="HO57" s="59">
        <f>'C1-Incomes'!HP59/'C1-Incomes'!$HK59</f>
        <v>3.8078407915306561E-2</v>
      </c>
      <c r="HP57" s="59">
        <f>'C1-Incomes'!HQ59/'C1-Incomes'!$HK59</f>
        <v>1.618497783605902E-2</v>
      </c>
      <c r="HS57" s="59">
        <f>'C1-Incomes'!HT59/'C1-Incomes'!$HS59</f>
        <v>0.30007685716404064</v>
      </c>
      <c r="HT57" s="59">
        <f>'C1-Incomes'!HU59/'C1-Incomes'!$HS59</f>
        <v>0.2058947860708942</v>
      </c>
      <c r="HU57" s="59">
        <f>'C1-Incomes'!HV59/'C1-Incomes'!$HS59</f>
        <v>9.4251339090369132E-2</v>
      </c>
      <c r="HV57" s="59">
        <f>'C1-Incomes'!HW59/'C1-Incomes'!$HS59</f>
        <v>6.9816832684704164E-2</v>
      </c>
      <c r="HW57" s="59">
        <f>'C1-Incomes'!HX59/'C1-Incomes'!$HS59</f>
        <v>3.6798053194143754E-2</v>
      </c>
      <c r="HX57" s="59">
        <f>'C1-Incomes'!HY59/'C1-Incomes'!$HS59</f>
        <v>1.5540042006858596E-2</v>
      </c>
      <c r="IA57" s="59">
        <f>'C1-Incomes'!IB59/'C1-Incomes'!$IA59</f>
        <v>0.30295859973021128</v>
      </c>
      <c r="IB57" s="59">
        <f>'C1-Incomes'!IC59/'C1-Incomes'!$IA59</f>
        <v>0.20980799783038057</v>
      </c>
      <c r="IC57" s="59">
        <f>'C1-Incomes'!ID59/'C1-Incomes'!$IA59</f>
        <v>9.7827674384978372E-2</v>
      </c>
      <c r="ID57" s="59">
        <f>'C1-Incomes'!IE59/'C1-Incomes'!$IA59</f>
        <v>7.2829004776765391E-2</v>
      </c>
      <c r="IE57" s="59">
        <f>'C1-Incomes'!IF59/'C1-Incomes'!$IA59</f>
        <v>3.8669251765174432E-2</v>
      </c>
      <c r="IF57" s="59">
        <f>'C1-Incomes'!IG59/'C1-Incomes'!$IA59</f>
        <v>1.6422147861841822E-2</v>
      </c>
      <c r="II57" s="59">
        <f>'C1-Incomes'!IJ59/'C1-Incomes'!$II59</f>
        <v>0.30347833066465685</v>
      </c>
      <c r="IJ57" s="59">
        <f>'C1-Incomes'!IK59/'C1-Incomes'!$II59</f>
        <v>0.21083504430729519</v>
      </c>
      <c r="IK57" s="59">
        <f>'C1-Incomes'!IL59/'C1-Incomes'!$II59</f>
        <v>9.8981382430897838E-2</v>
      </c>
      <c r="IL57" s="59">
        <f>'C1-Incomes'!IM59/'C1-Incomes'!$II59</f>
        <v>7.3811892833080456E-2</v>
      </c>
      <c r="IM57" s="59">
        <f>'C1-Incomes'!IN59/'C1-Incomes'!$II59</f>
        <v>3.9197446672367346E-2</v>
      </c>
      <c r="IN57" s="59">
        <f>'C1-Incomes'!IO59/'C1-Incomes'!$II59</f>
        <v>1.665992036066271E-2</v>
      </c>
      <c r="IQ57" s="59">
        <f>'C1-Incomes'!IR59/'C1-Incomes'!$IQ59</f>
        <v>0.28612764010698166</v>
      </c>
      <c r="IR57" s="59">
        <f>'C1-Incomes'!IS59/'C1-Incomes'!$IQ59</f>
        <v>0.1959605778711549</v>
      </c>
      <c r="IS57" s="59">
        <f>'C1-Incomes'!IT59/'C1-Incomes'!$IQ59</f>
        <v>8.934820962819727E-2</v>
      </c>
      <c r="IT57" s="59">
        <f>'C1-Incomes'!IU59/'C1-Incomes'!$IQ59</f>
        <v>6.6183534181601208E-2</v>
      </c>
      <c r="IU57" s="59">
        <f>'C1-Incomes'!IV59/'C1-Incomes'!$IQ59</f>
        <v>3.4398903114415479E-2</v>
      </c>
      <c r="IV57" s="59">
        <f>'C1-Incomes'!IW59/'C1-Incomes'!$IQ59</f>
        <v>1.4540924808839029E-2</v>
      </c>
      <c r="IY57" s="59">
        <f>'C1-Incomes'!IZ59/'C1-Incomes'!$IY59</f>
        <v>0.26681420084971713</v>
      </c>
      <c r="IZ57" s="59">
        <f>'C1-Incomes'!JA59/'C1-Incomes'!$IY59</f>
        <v>0.18108564769088473</v>
      </c>
      <c r="JA57" s="59">
        <f>'C1-Incomes'!JB59/'C1-Incomes'!$IY59</f>
        <v>8.1359490192568745E-2</v>
      </c>
      <c r="JB57" s="59">
        <f>'C1-Incomes'!JC59/'C1-Incomes'!$IY59</f>
        <v>6.0027019644338431E-2</v>
      </c>
      <c r="JC57" s="59">
        <f>'C1-Incomes'!JD59/'C1-Incomes'!$IY59</f>
        <v>3.1035106179935882E-2</v>
      </c>
      <c r="JD57" s="59">
        <f>'C1-Incomes'!JE59/'C1-Incomes'!$IY59</f>
        <v>1.3084200706082159E-2</v>
      </c>
      <c r="JE57" s="197"/>
      <c r="JF57" s="197"/>
      <c r="JG57" s="197"/>
      <c r="JH57" s="197"/>
      <c r="JI57" s="197"/>
      <c r="JJ57" s="197"/>
      <c r="JK57" s="197"/>
      <c r="JL57" s="197"/>
      <c r="JM57" s="197"/>
      <c r="JN57" s="197"/>
      <c r="JO57" s="197"/>
      <c r="JP57" s="197"/>
      <c r="JQ57" s="197"/>
      <c r="JR57" s="197"/>
      <c r="JS57" s="197"/>
      <c r="JT57" s="197"/>
      <c r="JU57" s="197"/>
      <c r="JV57" s="197"/>
      <c r="JW57" s="197"/>
      <c r="JX57" s="197"/>
      <c r="JY57" s="197"/>
      <c r="JZ57" s="197"/>
      <c r="KA57" s="197"/>
      <c r="KB57" s="197"/>
      <c r="KC57" s="197"/>
      <c r="KD57" s="197"/>
      <c r="KE57" s="197"/>
      <c r="KF57" s="197"/>
      <c r="KG57" s="197"/>
      <c r="KH57" s="197"/>
      <c r="KI57" s="197"/>
      <c r="KJ57" s="197"/>
      <c r="KK57" s="197"/>
      <c r="KL57" s="197"/>
      <c r="KM57" s="197"/>
      <c r="KN57" s="197"/>
      <c r="KO57" s="197"/>
      <c r="KP57" s="197"/>
      <c r="KQ57" s="197"/>
      <c r="KR57" s="197"/>
      <c r="KS57" s="197"/>
      <c r="KT57" s="197"/>
      <c r="KU57" s="197"/>
      <c r="KV57" s="197"/>
      <c r="KW57" s="197"/>
      <c r="KX57" s="197"/>
      <c r="KY57" s="197"/>
      <c r="KZ57" s="197"/>
      <c r="LA57" s="197"/>
      <c r="LB57" s="197"/>
      <c r="LC57" s="197"/>
      <c r="LD57" s="197"/>
      <c r="LE57" s="197"/>
      <c r="LF57" s="197"/>
      <c r="LG57" s="197"/>
      <c r="LH57" s="197"/>
      <c r="LI57" s="197"/>
      <c r="LJ57" s="197"/>
      <c r="LK57" s="197"/>
      <c r="LL57" s="197"/>
      <c r="LM57" s="197"/>
      <c r="LN57" s="197"/>
      <c r="LO57" s="197"/>
      <c r="LP57" s="197"/>
      <c r="LQ57" s="197"/>
      <c r="LR57" s="197"/>
      <c r="LS57" s="197"/>
      <c r="LT57" s="197"/>
      <c r="LU57" s="197"/>
      <c r="LV57" s="197"/>
      <c r="LW57" s="197"/>
      <c r="LX57" s="197"/>
      <c r="LY57" s="197"/>
      <c r="LZ57" s="197"/>
      <c r="MA57" s="197"/>
      <c r="MB57" s="197"/>
      <c r="MC57" s="197"/>
      <c r="MD57" s="197"/>
      <c r="ME57" s="197"/>
      <c r="MF57" s="197"/>
      <c r="MG57" s="197"/>
      <c r="MH57" s="197"/>
      <c r="MI57" s="197"/>
      <c r="MJ57" s="197"/>
      <c r="MK57" s="197"/>
      <c r="ML57" s="197"/>
      <c r="MM57" s="197"/>
      <c r="MN57" s="197"/>
      <c r="MO57" s="197"/>
      <c r="MP57" s="197"/>
      <c r="MQ57" s="197"/>
      <c r="MR57" s="197"/>
      <c r="MS57" s="197"/>
      <c r="MT57" s="197"/>
      <c r="MU57" s="197"/>
      <c r="MV57" s="197"/>
      <c r="MW57" s="197"/>
      <c r="MX57" s="197"/>
      <c r="MY57" s="197"/>
      <c r="MZ57" s="197"/>
      <c r="NA57" s="197"/>
      <c r="NB57" s="197"/>
      <c r="NC57" s="197"/>
      <c r="ND57" s="197"/>
      <c r="NE57" s="197"/>
      <c r="NF57" s="197"/>
      <c r="NG57" s="197"/>
      <c r="NH57" s="197"/>
      <c r="NI57" s="197"/>
      <c r="NJ57" s="197"/>
      <c r="NK57" s="197"/>
      <c r="NL57" s="197"/>
      <c r="NM57" s="197"/>
      <c r="NN57" s="197"/>
      <c r="NO57" s="197"/>
      <c r="NP57" s="197"/>
      <c r="NQ57" s="197"/>
      <c r="NR57" s="197"/>
      <c r="NS57" s="197"/>
      <c r="NT57" s="197"/>
      <c r="NU57" s="197"/>
      <c r="NV57" s="197"/>
      <c r="NW57" s="197"/>
      <c r="NX57" s="197"/>
      <c r="NY57" s="197"/>
      <c r="NZ57" s="197"/>
      <c r="OA57" s="197"/>
      <c r="OB57" s="197"/>
      <c r="OC57" s="197"/>
      <c r="OD57" s="197"/>
      <c r="OE57" s="197"/>
      <c r="OF57" s="197"/>
      <c r="OG57" s="197"/>
      <c r="OH57" s="197"/>
      <c r="OI57" s="197"/>
      <c r="OJ57" s="197"/>
      <c r="OK57" s="197"/>
      <c r="OL57" s="197"/>
      <c r="OM57" s="197"/>
      <c r="ON57" s="197"/>
      <c r="OO57" s="197"/>
      <c r="OP57" s="197"/>
      <c r="OQ57" s="197"/>
      <c r="OR57" s="197"/>
      <c r="OS57" s="197"/>
      <c r="OT57" s="197"/>
      <c r="OU57" s="197"/>
      <c r="OV57" s="197"/>
      <c r="OW57" s="197"/>
      <c r="OX57" s="197"/>
      <c r="OY57" s="197"/>
      <c r="OZ57" s="197"/>
      <c r="PA57" s="197"/>
      <c r="PB57" s="197"/>
    </row>
    <row r="58" spans="1:418" s="77" customFormat="1" ht="10.5" customHeight="1" x14ac:dyDescent="0.2">
      <c r="A58" s="48">
        <f>A57+1</f>
        <v>2012</v>
      </c>
      <c r="B58" s="59">
        <f>'C1-Incomes'!C60/'C1-Incomes'!$B60</f>
        <v>0.48247944502137868</v>
      </c>
      <c r="C58" s="59">
        <f>'C1-Incomes'!D60/'C1-Incomes'!$B60</f>
        <v>0.35853727810897318</v>
      </c>
      <c r="D58" s="59">
        <f>'C1-Incomes'!E60/'C1-Incomes'!$B60</f>
        <v>0.19247966604562486</v>
      </c>
      <c r="E58" s="59">
        <f>'C1-Incomes'!F60/'C1-Incomes'!$B60</f>
        <v>0.14998670291390251</v>
      </c>
      <c r="F58" s="59">
        <f>'C1-Incomes'!G60/'C1-Incomes'!$B60</f>
        <v>8.5280658211469296E-2</v>
      </c>
      <c r="G58" s="59">
        <f>'C1-Incomes'!H60/'C1-Incomes'!$B60</f>
        <v>3.7297443558034125E-2</v>
      </c>
      <c r="H58" s="199"/>
      <c r="J58" s="59">
        <f>'C1-Incomes'!K60/'C1-Incomes'!$J60</f>
        <v>0.40273873080732059</v>
      </c>
      <c r="K58" s="59">
        <f>'C1-Incomes'!L60/'C1-Incomes'!$J60</f>
        <v>0.2934241346372537</v>
      </c>
      <c r="L58" s="59">
        <f>'C1-Incomes'!M60/'C1-Incomes'!$J60</f>
        <v>0.15229122380983121</v>
      </c>
      <c r="M58" s="59">
        <f>'C1-Incomes'!N60/'C1-Incomes'!$J60</f>
        <v>0.11860990050650373</v>
      </c>
      <c r="N58" s="59">
        <f>'C1-Incomes'!O60/'C1-Incomes'!$J60</f>
        <v>6.8872268011629129E-2</v>
      </c>
      <c r="O58" s="59">
        <f>'C1-Incomes'!P60/'C1-Incomes'!$J60</f>
        <v>3.1450932938671287E-2</v>
      </c>
      <c r="P58" s="59"/>
      <c r="R58" s="59">
        <f>'C1-Incomes'!S60/'C1-Incomes'!$R60</f>
        <v>0.35426884958009985</v>
      </c>
      <c r="S58" s="59">
        <f>'C1-Incomes'!T60/'C1-Incomes'!$R60</f>
        <v>0.25615113768313907</v>
      </c>
      <c r="T58" s="59">
        <f>'C1-Incomes'!U60/'C1-Incomes'!$R60</f>
        <v>0.13192084270089083</v>
      </c>
      <c r="U58" s="59">
        <f>'C1-Incomes'!V60/'C1-Incomes'!$R60</f>
        <v>0.10261712502101374</v>
      </c>
      <c r="V58" s="59">
        <f>'C1-Incomes'!W60/'C1-Incomes'!$R60</f>
        <v>5.9428316348775628E-2</v>
      </c>
      <c r="W58" s="59">
        <f>'C1-Incomes'!X60/'C1-Incomes'!$R60</f>
        <v>2.7111207282025419E-2</v>
      </c>
      <c r="X58" s="59"/>
      <c r="Y58" s="59"/>
      <c r="Z58" s="59">
        <f>'C1-Incomes'!AA60/'C1-Incomes'!$Z60</f>
        <v>0.28350015518595711</v>
      </c>
      <c r="AA58" s="59">
        <f>'C1-Incomes'!AB60/'C1-Incomes'!$Z60</f>
        <v>0.1961510771038103</v>
      </c>
      <c r="AB58" s="59">
        <f>'C1-Incomes'!AC60/'C1-Incomes'!$Z60</f>
        <v>9.3432484478077574E-2</v>
      </c>
      <c r="AC58" s="59">
        <f>'C1-Incomes'!AD60/'C1-Incomes'!$Z60</f>
        <v>7.0996266983406456E-2</v>
      </c>
      <c r="AD58" s="59">
        <f>'C1-Incomes'!AE60/'C1-Incomes'!$Z60</f>
        <v>3.9524362019882069E-2</v>
      </c>
      <c r="AE58" s="59">
        <f>'C1-Incomes'!AF60/'C1-Incomes'!$Z60</f>
        <v>1.8050891638142399E-2</v>
      </c>
      <c r="AF58" s="199"/>
      <c r="AG58" s="195"/>
      <c r="AH58" s="59">
        <f>'C1-Incomes'!AI60/'C1-Incomes'!$AH60</f>
        <v>0.47502488835753748</v>
      </c>
      <c r="AI58" s="59">
        <f>'C1-Incomes'!AJ60/'C1-Incomes'!$AH60</f>
        <v>0.3521575108952843</v>
      </c>
      <c r="AJ58" s="59">
        <f>'C1-Incomes'!AK60/'C1-Incomes'!$AH60</f>
        <v>0.18837733099936049</v>
      </c>
      <c r="AK58" s="59">
        <f>'C1-Incomes'!AL60/'C1-Incomes'!$AH60</f>
        <v>0.14672074119886216</v>
      </c>
      <c r="AL58" s="59">
        <f>'C1-Incomes'!AM60/'C1-Incomes'!$AH60</f>
        <v>8.3421918268742262E-2</v>
      </c>
      <c r="AM58" s="59">
        <f>'C1-Incomes'!AN60/'C1-Incomes'!$AH60</f>
        <v>3.6496679100793517E-2</v>
      </c>
      <c r="AN58" s="195"/>
      <c r="AO58" s="195"/>
      <c r="AP58" s="59"/>
      <c r="AQ58" s="59"/>
      <c r="AR58" s="59"/>
      <c r="AS58" s="59"/>
      <c r="AT58" s="59"/>
      <c r="AU58" s="59"/>
      <c r="AV58" s="197"/>
      <c r="AW58" s="60"/>
      <c r="AX58" s="59">
        <f>'C1-Incomes'!AY60/'C1-Incomes'!$AX60</f>
        <v>0.47700299523502232</v>
      </c>
      <c r="AY58" s="59">
        <f>'C1-Incomes'!AZ60/'C1-Incomes'!$AX60</f>
        <v>0.35446558724584593</v>
      </c>
      <c r="AZ58" s="59">
        <f>'C1-Incomes'!BA60/'C1-Incomes'!$AX60</f>
        <v>0.19054762590439758</v>
      </c>
      <c r="BA58" s="59">
        <f>'C1-Incomes'!BB60/'C1-Incomes'!$AX60</f>
        <v>0.14854445906110689</v>
      </c>
      <c r="BB58" s="59">
        <f>'C1-Incomes'!BC60/'C1-Incomes'!$AX60</f>
        <v>8.4428316220088687E-2</v>
      </c>
      <c r="BC58" s="59">
        <f>'C1-Incomes'!BD60/'C1-Incomes'!$AX60</f>
        <v>3.6800827458610998E-2</v>
      </c>
      <c r="BD58" s="60"/>
      <c r="BE58" s="60"/>
      <c r="BF58" s="59">
        <f>'C1-Incomes'!BG60/'C1-Incomes'!$BF60</f>
        <v>0.46583241690381166</v>
      </c>
      <c r="BG58" s="59">
        <f>'C1-Incomes'!BH60/'C1-Incomes'!$BF60</f>
        <v>0.34589906442623386</v>
      </c>
      <c r="BH58" s="59">
        <f>'C1-Incomes'!BI60/'C1-Incomes'!$BF60</f>
        <v>0.18581131838758286</v>
      </c>
      <c r="BI58" s="59">
        <f>'C1-Incomes'!BJ60/'C1-Incomes'!$BF60</f>
        <v>0.14488713433481207</v>
      </c>
      <c r="BJ58" s="59">
        <f>'C1-Incomes'!BK60/'C1-Incomes'!$BF60</f>
        <v>8.2331770347431735E-2</v>
      </c>
      <c r="BK58" s="59">
        <f>'C1-Incomes'!BL60/'C1-Incomes'!$BF60</f>
        <v>3.5758760134433347E-2</v>
      </c>
      <c r="BL58" s="59"/>
      <c r="BM58" s="59"/>
      <c r="BN58" s="59">
        <f>'C1-Incomes'!BO60/'C1-Incomes'!$BN60</f>
        <v>0.42524132654411856</v>
      </c>
      <c r="BO58" s="59">
        <f>'C1-Incomes'!BP60/'C1-Incomes'!$BN60</f>
        <v>0.31430044039047861</v>
      </c>
      <c r="BP58" s="59">
        <f>'C1-Incomes'!BQ60/'C1-Incomes'!$BN60</f>
        <v>0.16740885633823213</v>
      </c>
      <c r="BQ58" s="59">
        <f>'C1-Incomes'!BR60/'C1-Incomes'!$BN60</f>
        <v>0.1307800237315162</v>
      </c>
      <c r="BR58" s="59">
        <f>'C1-Incomes'!BS60/'C1-Incomes'!$BN60</f>
        <v>7.5166589138616111E-2</v>
      </c>
      <c r="BS58" s="59">
        <f>'C1-Incomes'!BT60/'C1-Incomes'!$BN60</f>
        <v>3.2993250328743881E-2</v>
      </c>
      <c r="BT58" s="59"/>
      <c r="BU58" s="59"/>
      <c r="BV58" s="59">
        <f>'C1-Incomes'!BW60/'C1-Incomes'!$BV60</f>
        <v>0.42767480092439603</v>
      </c>
      <c r="BW58" s="59">
        <f>'C1-Incomes'!BX60/'C1-Incomes'!$BV60</f>
        <v>0.31697439460408278</v>
      </c>
      <c r="BX58" s="59">
        <f>'C1-Incomes'!BY60/'C1-Incomes'!$BV60</f>
        <v>0.17017301099258811</v>
      </c>
      <c r="BY58" s="59">
        <f>'C1-Incomes'!BZ60/'C1-Incomes'!$BV60</f>
        <v>0.13338983490851355</v>
      </c>
      <c r="BZ58" s="59">
        <f>'C1-Incomes'!CA60/'C1-Incomes'!$BV60</f>
        <v>7.7324704477607281E-2</v>
      </c>
      <c r="CA58" s="59">
        <f>'C1-Incomes'!CB60/'C1-Incomes'!$BV60</f>
        <v>3.4356035921883833E-2</v>
      </c>
      <c r="CB58" s="60"/>
      <c r="CC58" s="198"/>
      <c r="CD58" s="59">
        <f>'C1-Incomes'!CE60/'C1-Incomes'!$CD60</f>
        <v>0.43853328348907883</v>
      </c>
      <c r="CE58" s="59">
        <f>'C1-Incomes'!CF60/'C1-Incomes'!$CD60</f>
        <v>0.32816684948581593</v>
      </c>
      <c r="CF58" s="59">
        <f>'C1-Incomes'!CG60/'C1-Incomes'!$CD60</f>
        <v>0.17974416465966014</v>
      </c>
      <c r="CG58" s="59">
        <f>'C1-Incomes'!CH60/'C1-Incomes'!$CD60</f>
        <v>0.14227030683431041</v>
      </c>
      <c r="CH58" s="59">
        <f>'C1-Incomes'!CI60/'C1-Incomes'!$CD60</f>
        <v>8.446270652219455E-2</v>
      </c>
      <c r="CI58" s="59">
        <f>'C1-Incomes'!CJ60/'C1-Incomes'!$CD60</f>
        <v>3.8884324571030977E-2</v>
      </c>
      <c r="CL58" s="59">
        <f>'C1-Incomes'!CM60/'C1-Incomes'!$CL60</f>
        <v>0.44155578309461807</v>
      </c>
      <c r="CM58" s="59">
        <f>'C1-Incomes'!CN60/'C1-Incomes'!$CL60</f>
        <v>0.33105315162887622</v>
      </c>
      <c r="CN58" s="59">
        <f>'C1-Incomes'!CO60/'C1-Incomes'!$CL60</f>
        <v>0.18151505551436412</v>
      </c>
      <c r="CO58" s="59">
        <f>'C1-Incomes'!CP60/'C1-Incomes'!$CL60</f>
        <v>0.14390421475202816</v>
      </c>
      <c r="CP58" s="59">
        <f>'C1-Incomes'!CQ60/'C1-Incomes'!$CL60</f>
        <v>8.5820312264342363E-2</v>
      </c>
      <c r="CQ58" s="59">
        <f>'C1-Incomes'!CR60/'C1-Incomes'!$CL60</f>
        <v>3.9772073621840251E-2</v>
      </c>
      <c r="CR58" s="59"/>
      <c r="CS58" s="59"/>
      <c r="CT58" s="59">
        <f>'C1-Incomes'!CU60/'C1-Incomes'!$CT60</f>
        <v>0.44485017157326728</v>
      </c>
      <c r="CU58" s="59">
        <f>'C1-Incomes'!CV60/'C1-Incomes'!$CT60</f>
        <v>0.33456565946719485</v>
      </c>
      <c r="CV58" s="59">
        <f>'C1-Incomes'!CW60/'C1-Incomes'!$CT60</f>
        <v>0.18433411229907723</v>
      </c>
      <c r="CW58" s="59">
        <f>'C1-Incomes'!CX60/'C1-Incomes'!$CT60</f>
        <v>0.1463373600367385</v>
      </c>
      <c r="CX58" s="59">
        <f>'C1-Incomes'!CY60/'C1-Incomes'!$CT60</f>
        <v>8.7571753507637642E-2</v>
      </c>
      <c r="CY58" s="59">
        <f>'C1-Incomes'!CZ60/'C1-Incomes'!$CT60</f>
        <v>4.0759883486113251E-2</v>
      </c>
      <c r="CZ58" s="59"/>
      <c r="DA58" s="59"/>
      <c r="DB58" s="59">
        <f>'C1-Incomes'!DC60/'C1-Incomes'!$DB60</f>
        <v>0.44696335125106984</v>
      </c>
      <c r="DC58" s="59">
        <f>'C1-Incomes'!DD60/'C1-Incomes'!$DB60</f>
        <v>0.33636460459175715</v>
      </c>
      <c r="DD58" s="59">
        <f>'C1-Incomes'!DE60/'C1-Incomes'!$DB60</f>
        <v>0.18544080649044928</v>
      </c>
      <c r="DE58" s="59">
        <f>'C1-Incomes'!DF60/'C1-Incomes'!$DB60</f>
        <v>0.1472373818713355</v>
      </c>
      <c r="DF58" s="59">
        <f>'C1-Incomes'!DG60/'C1-Incomes'!$DB60</f>
        <v>8.827538798906806E-2</v>
      </c>
      <c r="DG58" s="59">
        <f>'C1-Incomes'!DH60/'C1-Incomes'!$DB60</f>
        <v>4.1163711014294377E-2</v>
      </c>
      <c r="DH58" s="59"/>
      <c r="DI58" s="1039"/>
      <c r="DJ58" s="59">
        <f>'C1-Incomes'!DK60/'C1-Incomes'!$DJ60</f>
        <v>0.43041789191324792</v>
      </c>
      <c r="DK58" s="59">
        <f>'C1-Incomes'!DL60/'C1-Incomes'!$DJ60</f>
        <v>0.32260046467991943</v>
      </c>
      <c r="DL58" s="59">
        <f>'C1-Incomes'!DM60/'C1-Incomes'!$DJ60</f>
        <v>0.17616794629702265</v>
      </c>
      <c r="DM58" s="59">
        <f>'C1-Incomes'!DN60/'C1-Incomes'!$DJ60</f>
        <v>0.13899810154419892</v>
      </c>
      <c r="DN58" s="59">
        <f>'C1-Incomes'!DO60/'C1-Incomes'!$DJ60</f>
        <v>8.2141675240317347E-2</v>
      </c>
      <c r="DO58" s="59">
        <f>'C1-Incomes'!DP60/'C1-Incomes'!$DJ60</f>
        <v>3.8056581891495148E-2</v>
      </c>
      <c r="DP58" s="696"/>
      <c r="DQ58" s="503"/>
      <c r="DR58" s="59">
        <f>'C1-Incomes'!DS60/'C1-Incomes'!$DR60</f>
        <v>0.42817399924881827</v>
      </c>
      <c r="DS58" s="59">
        <f>'C1-Incomes'!DT60/'C1-Incomes'!$DR60</f>
        <v>0.31902646816013341</v>
      </c>
      <c r="DT58" s="59">
        <f>'C1-Incomes'!DU60/'C1-Incomes'!$DR60</f>
        <v>0.1719716335768138</v>
      </c>
      <c r="DU58" s="59">
        <f>'C1-Incomes'!DV60/'C1-Incomes'!$DR60</f>
        <v>0.13509075363376868</v>
      </c>
      <c r="DV58" s="59">
        <f>'C1-Incomes'!DW60/'C1-Incomes'!$DR60</f>
        <v>7.9173483805699371E-2</v>
      </c>
      <c r="DW58" s="59">
        <f>'C1-Incomes'!DX60/'C1-Incomes'!$DR60</f>
        <v>3.6451193592555102E-2</v>
      </c>
      <c r="DX58" s="333"/>
      <c r="DZ58" s="59">
        <f>'C1-Incomes'!EA60/'C1-Incomes'!$DZ60</f>
        <v>0.42010967245682884</v>
      </c>
      <c r="EA58" s="59">
        <f>'C1-Incomes'!EB60/'C1-Incomes'!$DZ60</f>
        <v>0.31109904616188949</v>
      </c>
      <c r="EB58" s="59">
        <f>'C1-Incomes'!EC60/'C1-Incomes'!$DZ60</f>
        <v>0.16610341224693076</v>
      </c>
      <c r="EC58" s="59">
        <f>'C1-Incomes'!ED60/'C1-Incomes'!$DZ60</f>
        <v>0.13023336431771626</v>
      </c>
      <c r="ED58" s="59">
        <f>'C1-Incomes'!EE60/'C1-Incomes'!$DZ60</f>
        <v>7.6165083794675417E-2</v>
      </c>
      <c r="EE58" s="59">
        <f>'C1-Incomes'!EF60/'C1-Incomes'!$DZ60</f>
        <v>3.5004085130744628E-2</v>
      </c>
      <c r="EF58" s="59"/>
      <c r="EH58" s="59">
        <f>'C1-Incomes'!EI60/'C1-Incomes'!$EH60</f>
        <v>0.40902479914159684</v>
      </c>
      <c r="EI58" s="59">
        <f>'C1-Incomes'!EJ60/'C1-Incomes'!$EH60</f>
        <v>0.2998929120803332</v>
      </c>
      <c r="EJ58" s="59">
        <f>'C1-Incomes'!EK60/'C1-Incomes'!$EH60</f>
        <v>0.15791741975509516</v>
      </c>
      <c r="EK58" s="59">
        <f>'C1-Incomes'!EL60/'C1-Incomes'!$EH60</f>
        <v>0.12352314730916042</v>
      </c>
      <c r="EL58" s="59">
        <f>'C1-Incomes'!EM60/'C1-Incomes'!$EH60</f>
        <v>7.2082035416856552E-2</v>
      </c>
      <c r="EM58" s="59">
        <f>'C1-Incomes'!EN60/'C1-Incomes'!$EH60</f>
        <v>3.3095026136796608E-2</v>
      </c>
      <c r="EN58" s="59"/>
      <c r="EO58" s="59"/>
      <c r="EP58" s="59">
        <f>'C1-Incomes'!EQ60/'C1-Incomes'!$EH60</f>
        <v>0.42003953908510838</v>
      </c>
      <c r="EQ58" s="59">
        <f>'C1-Incomes'!ER60/'C1-Incomes'!$EH60</f>
        <v>0.30737320155186582</v>
      </c>
      <c r="ER58" s="59">
        <f>'C1-Incomes'!ES60/'C1-Incomes'!$EH60</f>
        <v>0.16072187517692058</v>
      </c>
      <c r="ES58" s="59">
        <f>'C1-Incomes'!ET60/'C1-Incomes'!$EH60</f>
        <v>0.12534677284366263</v>
      </c>
      <c r="ET58" s="59">
        <f>'C1-Incomes'!EU60/'C1-Incomes'!$EH60</f>
        <v>7.289009102295109E-2</v>
      </c>
      <c r="EU58" s="59">
        <f>'C1-Incomes'!EV60/'C1-Incomes'!$EH60</f>
        <v>3.3337800572841012E-2</v>
      </c>
      <c r="EV58" s="59"/>
      <c r="EW58" s="59"/>
      <c r="EX58" s="59">
        <f>'C1-Incomes'!EY60/'C1-Incomes'!$EX60</f>
        <v>0.40273873080732059</v>
      </c>
      <c r="EY58" s="59">
        <f>'C1-Incomes'!EZ60/'C1-Incomes'!$EX60</f>
        <v>0.2934241346372537</v>
      </c>
      <c r="EZ58" s="59">
        <f>'C1-Incomes'!FA60/'C1-Incomes'!$EX60</f>
        <v>0.15229122380983121</v>
      </c>
      <c r="FA58" s="59">
        <f>'C1-Incomes'!FB60/'C1-Incomes'!$EX60</f>
        <v>0.11860990050650373</v>
      </c>
      <c r="FB58" s="59">
        <f>'C1-Incomes'!FC60/'C1-Incomes'!$EX60</f>
        <v>6.8872268011629129E-2</v>
      </c>
      <c r="FC58" s="59">
        <f>'C1-Incomes'!FD60/'C1-Incomes'!$EX60</f>
        <v>3.1450932938671287E-2</v>
      </c>
      <c r="FD58" s="59"/>
      <c r="FF58" s="59">
        <f>'C1-Incomes'!FG60/'C1-Incomes'!$FF60</f>
        <v>0.38684743210955769</v>
      </c>
      <c r="FG58" s="59">
        <f>'C1-Incomes'!FH60/'C1-Incomes'!$FF60</f>
        <v>0.28080787804668184</v>
      </c>
      <c r="FH58" s="59">
        <f>'C1-Incomes'!FI60/'C1-Incomes'!$FF60</f>
        <v>0.14498473631034522</v>
      </c>
      <c r="FI58" s="59">
        <f>'C1-Incomes'!FJ60/'C1-Incomes'!$FF60</f>
        <v>0.1128141284163902</v>
      </c>
      <c r="FJ58" s="59">
        <f>'C1-Incomes'!FK60/'C1-Incomes'!$FF60</f>
        <v>6.5359250617995468E-2</v>
      </c>
      <c r="FK58" s="59">
        <f>'C1-Incomes'!FL60/'C1-Incomes'!$FF60</f>
        <v>2.9821081685003817E-2</v>
      </c>
      <c r="FN58" s="59">
        <f>'C1-Incomes'!FO60/'C1-Incomes'!$FN60</f>
        <v>0.38492432415994904</v>
      </c>
      <c r="FO58" s="59">
        <f>'C1-Incomes'!FP60/'C1-Incomes'!$FN60</f>
        <v>0.2793241391460049</v>
      </c>
      <c r="FP58" s="59">
        <f>'C1-Incomes'!FQ60/'C1-Incomes'!$FN60</f>
        <v>0.14417836324982464</v>
      </c>
      <c r="FQ58" s="59">
        <f>'C1-Incomes'!FR60/'C1-Incomes'!$FN60</f>
        <v>0.11218265490138828</v>
      </c>
      <c r="FR58" s="59">
        <f>'C1-Incomes'!FS60/'C1-Incomes'!$FN60</f>
        <v>6.4992784847689999E-2</v>
      </c>
      <c r="FS58" s="59">
        <f>'C1-Incomes'!FT60/'C1-Incomes'!$FN60</f>
        <v>2.9653606157498527E-2</v>
      </c>
      <c r="FV58" s="59">
        <f>'C1-Incomes'!FW60/'C1-Incomes'!$FV60</f>
        <v>0.37877239847652422</v>
      </c>
      <c r="FW58" s="59">
        <f>'C1-Incomes'!FX60/'C1-Incomes'!$FV60</f>
        <v>0.27475584615734111</v>
      </c>
      <c r="FX58" s="59">
        <f>'C1-Incomes'!FY60/'C1-Incomes'!$FV60</f>
        <v>0.1417474360410875</v>
      </c>
      <c r="FY58" s="59">
        <f>'C1-Incomes'!FZ60/'C1-Incomes'!$FV60</f>
        <v>0.11027836632564016</v>
      </c>
      <c r="FZ58" s="59">
        <f>'C1-Incomes'!GA60/'C1-Incomes'!$FV60</f>
        <v>6.3880790417342376E-2</v>
      </c>
      <c r="GA58" s="59">
        <f>'C1-Incomes'!GB60/'C1-Incomes'!$FV60</f>
        <v>2.9144604334348224E-2</v>
      </c>
      <c r="GE58" s="59">
        <f>'C1-Incomes'!GF60/'C1-Incomes'!$GE60</f>
        <v>0.36894435991502506</v>
      </c>
      <c r="GF58" s="59">
        <f>'C1-Incomes'!GG60/'C1-Incomes'!$GE60</f>
        <v>0.26676214306175849</v>
      </c>
      <c r="GG58" s="59">
        <f>'C1-Incomes'!GH60/'C1-Incomes'!$GE60</f>
        <v>0.13738563502667289</v>
      </c>
      <c r="GH58" s="59">
        <f>'C1-Incomes'!GI60/'C1-Incomes'!$GE60</f>
        <v>0.10686801719110194</v>
      </c>
      <c r="GI58" s="59">
        <f>'C1-Incomes'!GJ60/'C1-Incomes'!$GE60</f>
        <v>6.1890121477274435E-2</v>
      </c>
      <c r="GJ58" s="59">
        <f>'C1-Incomes'!GK60/'C1-Incomes'!$GE60</f>
        <v>2.8234283169536398E-2</v>
      </c>
      <c r="GM58" s="59">
        <f>'C1-Incomes'!GN60/'C1-Incomes'!$GM60</f>
        <v>0.35426884958009985</v>
      </c>
      <c r="GN58" s="59">
        <f>'C1-Incomes'!GO60/'C1-Incomes'!$GM60</f>
        <v>0.25615113768313907</v>
      </c>
      <c r="GO58" s="59">
        <f>'C1-Incomes'!GP60/'C1-Incomes'!$GM60</f>
        <v>0.13192084270089083</v>
      </c>
      <c r="GP58" s="59">
        <f>'C1-Incomes'!GQ60/'C1-Incomes'!$GM60</f>
        <v>0.10261712502101374</v>
      </c>
      <c r="GQ58" s="59">
        <f>'C1-Incomes'!GR60/'C1-Incomes'!$GM60</f>
        <v>5.9428316348775628E-2</v>
      </c>
      <c r="GR58" s="59">
        <f>'C1-Incomes'!GS60/'C1-Incomes'!$GM60</f>
        <v>2.7111207282025419E-2</v>
      </c>
      <c r="GU58" s="59">
        <f>'C1-Incomes'!GV60/'C1-Incomes'!$GU60</f>
        <v>0.32775469588175321</v>
      </c>
      <c r="GV58" s="59">
        <f>'C1-Incomes'!GW60/'C1-Incomes'!$GU60</f>
        <v>0.23155692452419019</v>
      </c>
      <c r="GW58" s="59">
        <f>'C1-Incomes'!GX60/'C1-Incomes'!$GU60</f>
        <v>0.11399894835188271</v>
      </c>
      <c r="GX58" s="59">
        <f>'C1-Incomes'!GY60/'C1-Incomes'!$GU60</f>
        <v>8.7536479057746239E-2</v>
      </c>
      <c r="GY58" s="59">
        <f>'C1-Incomes'!GZ60/'C1-Incomes'!$GU60</f>
        <v>4.9910009241212833E-2</v>
      </c>
      <c r="GZ58" s="59">
        <f>'C1-Incomes'!HA60/'C1-Incomes'!$GU60</f>
        <v>2.2912733281671802E-2</v>
      </c>
      <c r="HC58" s="59">
        <f>'C1-Incomes'!HD60/'C1-Incomes'!$HC60</f>
        <v>0.32161460234588529</v>
      </c>
      <c r="HD58" s="59">
        <f>'C1-Incomes'!HE60/'C1-Incomes'!$HC60</f>
        <v>0.2259603177274507</v>
      </c>
      <c r="HE58" s="59">
        <f>'C1-Incomes'!HF60/'C1-Incomes'!$HC60</f>
        <v>0.11002303613405834</v>
      </c>
      <c r="HF58" s="59">
        <f>'C1-Incomes'!HG60/'C1-Incomes'!$HC60</f>
        <v>8.4166221919403178E-2</v>
      </c>
      <c r="HG58" s="59">
        <f>'C1-Incomes'!HH60/'C1-Incomes'!$HC60</f>
        <v>4.7693006314703343E-2</v>
      </c>
      <c r="HH58" s="59">
        <f>'C1-Incomes'!HI60/'C1-Incomes'!$HC60</f>
        <v>2.1942103016129109E-2</v>
      </c>
      <c r="HK58" s="59">
        <f>'C1-Incomes'!HL60/'C1-Incomes'!$HK60</f>
        <v>0.31762815110302428</v>
      </c>
      <c r="HL58" s="59">
        <f>'C1-Incomes'!HM60/'C1-Incomes'!$HK60</f>
        <v>0.22238585631999983</v>
      </c>
      <c r="HM58" s="59">
        <f>'C1-Incomes'!HN60/'C1-Incomes'!$HK60</f>
        <v>0.10754024088671692</v>
      </c>
      <c r="HN58" s="59">
        <f>'C1-Incomes'!HO60/'C1-Incomes'!$HK60</f>
        <v>8.1947564120629063E-2</v>
      </c>
      <c r="HO58" s="59">
        <f>'C1-Incomes'!HP60/'C1-Incomes'!$HK60</f>
        <v>4.6136989622533389E-2</v>
      </c>
      <c r="HP58" s="59">
        <f>'C1-Incomes'!HQ60/'C1-Incomes'!$HK60</f>
        <v>2.101876816544393E-2</v>
      </c>
      <c r="HS58" s="59">
        <f>'C1-Incomes'!HT60/'C1-Incomes'!$HS60</f>
        <v>0.3127345644840796</v>
      </c>
      <c r="HT58" s="59">
        <f>'C1-Incomes'!HU60/'C1-Incomes'!$HS60</f>
        <v>0.21823201942676099</v>
      </c>
      <c r="HU58" s="59">
        <f>'C1-Incomes'!HV60/'C1-Incomes'!$HS60</f>
        <v>0.10493941256017682</v>
      </c>
      <c r="HV58" s="59">
        <f>'C1-Incomes'!HW60/'C1-Incomes'!$HS60</f>
        <v>7.9856221770771466E-2</v>
      </c>
      <c r="HW58" s="59">
        <f>'C1-Incomes'!HX60/'C1-Incomes'!$HS60</f>
        <v>4.4833768405953836E-2</v>
      </c>
      <c r="HX58" s="59">
        <f>'C1-Incomes'!HY60/'C1-Incomes'!$HS60</f>
        <v>2.0347329812032248E-2</v>
      </c>
      <c r="IA58" s="59">
        <f>'C1-Incomes'!IB60/'C1-Incomes'!$IA60</f>
        <v>0.31619030297391587</v>
      </c>
      <c r="IB58" s="59">
        <f>'C1-Incomes'!IC60/'C1-Incomes'!$IA60</f>
        <v>0.22263086344329774</v>
      </c>
      <c r="IC58" s="59">
        <f>'C1-Incomes'!ID60/'C1-Incomes'!$IA60</f>
        <v>0.1090342052713506</v>
      </c>
      <c r="ID58" s="59">
        <f>'C1-Incomes'!IE60/'C1-Incomes'!$IA60</f>
        <v>8.3406984614066537E-2</v>
      </c>
      <c r="IE58" s="59">
        <f>'C1-Incomes'!IF60/'C1-Incomes'!$IA60</f>
        <v>4.7145679646773193E-2</v>
      </c>
      <c r="IF58" s="59">
        <f>'C1-Incomes'!IG60/'C1-Incomes'!$IA60</f>
        <v>2.1507588823175522E-2</v>
      </c>
      <c r="II58" s="59">
        <f>'C1-Incomes'!IJ60/'C1-Incomes'!$II60</f>
        <v>0.3168812431253632</v>
      </c>
      <c r="IJ58" s="59">
        <f>'C1-Incomes'!IK60/'C1-Incomes'!$II60</f>
        <v>0.22386036347996069</v>
      </c>
      <c r="IK58" s="59">
        <f>'C1-Incomes'!IL60/'C1-Incomes'!$II60</f>
        <v>0.11032943307641184</v>
      </c>
      <c r="IL58" s="59">
        <f>'C1-Incomes'!IM60/'C1-Incomes'!$II60</f>
        <v>8.4487465717086332E-2</v>
      </c>
      <c r="IM58" s="59">
        <f>'C1-Incomes'!IN60/'C1-Incomes'!$II60</f>
        <v>4.7788858877857186E-2</v>
      </c>
      <c r="IN58" s="59">
        <f>'C1-Incomes'!IO60/'C1-Incomes'!$II60</f>
        <v>2.1809220928660916E-2</v>
      </c>
      <c r="IQ58" s="59">
        <f>'C1-Incomes'!IR60/'C1-Incomes'!$IQ60</f>
        <v>0.3031452718106919</v>
      </c>
      <c r="IR58" s="59">
        <f>'C1-Incomes'!IS60/'C1-Incomes'!$IQ60</f>
        <v>0.21183543958516085</v>
      </c>
      <c r="IS58" s="59">
        <f>'C1-Incomes'!IT60/'C1-Incomes'!$IQ60</f>
        <v>0.10224923053576095</v>
      </c>
      <c r="IT58" s="59">
        <f>'C1-Incomes'!IU60/'C1-Incomes'!$IQ60</f>
        <v>7.7951152557292749E-2</v>
      </c>
      <c r="IU58" s="59">
        <f>'C1-Incomes'!IV60/'C1-Incomes'!$IQ60</f>
        <v>4.3595808956540062E-2</v>
      </c>
      <c r="IV58" s="59">
        <f>'C1-Incomes'!IW60/'C1-Incomes'!$IQ60</f>
        <v>1.9944240389492215E-2</v>
      </c>
      <c r="IY58" s="59">
        <f>'C1-Incomes'!IZ60/'C1-Incomes'!$IY60</f>
        <v>0.28350015518595711</v>
      </c>
      <c r="IZ58" s="59">
        <f>'C1-Incomes'!JA60/'C1-Incomes'!$IY60</f>
        <v>0.1961510771038103</v>
      </c>
      <c r="JA58" s="59">
        <f>'C1-Incomes'!JB60/'C1-Incomes'!$IY60</f>
        <v>9.3432484478077574E-2</v>
      </c>
      <c r="JB58" s="59">
        <f>'C1-Incomes'!JC60/'C1-Incomes'!$IY60</f>
        <v>7.0996266983406456E-2</v>
      </c>
      <c r="JC58" s="59">
        <f>'C1-Incomes'!JD60/'C1-Incomes'!$IY60</f>
        <v>3.9524362019882069E-2</v>
      </c>
      <c r="JD58" s="59">
        <f>'C1-Incomes'!JE60/'C1-Incomes'!$IY60</f>
        <v>1.8050891638142399E-2</v>
      </c>
      <c r="JE58" s="197"/>
      <c r="JF58" s="197"/>
      <c r="JG58" s="197"/>
      <c r="JH58" s="197"/>
      <c r="JI58" s="197"/>
      <c r="JJ58" s="197"/>
      <c r="JK58" s="197"/>
      <c r="JL58" s="197"/>
      <c r="JM58" s="197"/>
      <c r="JN58" s="197"/>
      <c r="JO58" s="197"/>
      <c r="JP58" s="197"/>
      <c r="JQ58" s="197"/>
      <c r="JR58" s="197"/>
      <c r="JS58" s="197"/>
      <c r="JT58" s="197"/>
      <c r="JU58" s="197"/>
      <c r="JV58" s="197"/>
      <c r="JW58" s="197"/>
      <c r="JX58" s="197"/>
      <c r="JY58" s="197"/>
      <c r="JZ58" s="197"/>
      <c r="KA58" s="197"/>
      <c r="KB58" s="197"/>
      <c r="KC58" s="197"/>
      <c r="KD58" s="197"/>
      <c r="KE58" s="197"/>
      <c r="KF58" s="197"/>
      <c r="KG58" s="197"/>
      <c r="KH58" s="197"/>
      <c r="KI58" s="197"/>
      <c r="KJ58" s="197"/>
      <c r="KK58" s="197"/>
      <c r="KL58" s="197"/>
      <c r="KM58" s="197"/>
      <c r="KN58" s="197"/>
      <c r="KO58" s="197"/>
      <c r="KP58" s="197"/>
      <c r="KQ58" s="197"/>
      <c r="KR58" s="197"/>
      <c r="KS58" s="197"/>
      <c r="KT58" s="197"/>
      <c r="KU58" s="197"/>
      <c r="KV58" s="197"/>
      <c r="KW58" s="197"/>
      <c r="KX58" s="197"/>
      <c r="KY58" s="197"/>
      <c r="KZ58" s="197"/>
      <c r="LA58" s="197"/>
      <c r="LB58" s="197"/>
      <c r="LC58" s="197"/>
      <c r="LD58" s="197"/>
      <c r="LE58" s="197"/>
      <c r="LF58" s="197"/>
      <c r="LG58" s="197"/>
      <c r="LH58" s="197"/>
      <c r="LI58" s="197"/>
      <c r="LJ58" s="197"/>
      <c r="LK58" s="197"/>
      <c r="LL58" s="197"/>
      <c r="LM58" s="197"/>
      <c r="LN58" s="197"/>
      <c r="LO58" s="197"/>
      <c r="LP58" s="197"/>
      <c r="LQ58" s="197"/>
      <c r="LR58" s="197"/>
      <c r="LS58" s="197"/>
      <c r="LT58" s="197"/>
      <c r="LU58" s="197"/>
      <c r="LV58" s="197"/>
      <c r="LW58" s="197"/>
      <c r="LX58" s="197"/>
      <c r="LY58" s="197"/>
      <c r="LZ58" s="197"/>
      <c r="MA58" s="197"/>
      <c r="MB58" s="197"/>
      <c r="MC58" s="197"/>
      <c r="MD58" s="197"/>
      <c r="ME58" s="197"/>
      <c r="MF58" s="197"/>
      <c r="MG58" s="197"/>
      <c r="MH58" s="197"/>
      <c r="MI58" s="197"/>
      <c r="MJ58" s="197"/>
      <c r="MK58" s="197"/>
      <c r="ML58" s="197"/>
      <c r="MM58" s="197"/>
      <c r="MN58" s="197"/>
      <c r="MO58" s="197"/>
      <c r="MP58" s="197"/>
      <c r="MQ58" s="197"/>
      <c r="MR58" s="197"/>
      <c r="MS58" s="197"/>
      <c r="MT58" s="197"/>
      <c r="MU58" s="197"/>
      <c r="MV58" s="197"/>
      <c r="MW58" s="197"/>
      <c r="MX58" s="197"/>
      <c r="MY58" s="197"/>
      <c r="MZ58" s="197"/>
      <c r="NA58" s="197"/>
      <c r="NB58" s="197"/>
      <c r="NC58" s="197"/>
      <c r="ND58" s="197"/>
      <c r="NE58" s="197"/>
      <c r="NF58" s="197"/>
      <c r="NG58" s="197"/>
      <c r="NH58" s="197"/>
      <c r="NI58" s="197"/>
      <c r="NJ58" s="197"/>
      <c r="NK58" s="197"/>
      <c r="NL58" s="197"/>
      <c r="NM58" s="197"/>
      <c r="NN58" s="197"/>
      <c r="NO58" s="197"/>
      <c r="NP58" s="197"/>
      <c r="NQ58" s="197"/>
      <c r="NR58" s="197"/>
      <c r="NS58" s="197"/>
      <c r="NT58" s="197"/>
      <c r="NU58" s="197"/>
      <c r="NV58" s="197"/>
      <c r="NW58" s="197"/>
      <c r="NX58" s="197"/>
      <c r="NY58" s="197"/>
      <c r="NZ58" s="197"/>
      <c r="OA58" s="197"/>
      <c r="OB58" s="197"/>
      <c r="OC58" s="197"/>
      <c r="OD58" s="197"/>
      <c r="OE58" s="197"/>
      <c r="OF58" s="197"/>
      <c r="OG58" s="197"/>
      <c r="OH58" s="197"/>
      <c r="OI58" s="197"/>
      <c r="OJ58" s="197"/>
      <c r="OK58" s="197"/>
      <c r="OL58" s="197"/>
      <c r="OM58" s="197"/>
      <c r="ON58" s="197"/>
      <c r="OO58" s="197"/>
      <c r="OP58" s="197"/>
      <c r="OQ58" s="197"/>
      <c r="OR58" s="197"/>
      <c r="OS58" s="197"/>
      <c r="OT58" s="197"/>
      <c r="OU58" s="197"/>
      <c r="OV58" s="197"/>
      <c r="OW58" s="197"/>
      <c r="OX58" s="197"/>
      <c r="OY58" s="197"/>
      <c r="OZ58" s="197"/>
      <c r="PA58" s="197"/>
      <c r="PB58" s="197"/>
    </row>
    <row r="59" spans="1:418" s="77" customFormat="1" ht="10.5" customHeight="1" x14ac:dyDescent="0.2">
      <c r="A59" s="48">
        <f>A58+1</f>
        <v>2013</v>
      </c>
      <c r="B59" s="59">
        <f>'C1-Incomes'!C61/'C1-Incomes'!$B61</f>
        <v>0.47175662197977214</v>
      </c>
      <c r="C59" s="59">
        <f>'C1-Incomes'!D61/'C1-Incomes'!$B61</f>
        <v>0.34583854691065946</v>
      </c>
      <c r="D59" s="59">
        <f>'C1-Incomes'!E61/'C1-Incomes'!$B61</f>
        <v>0.17793099911196669</v>
      </c>
      <c r="E59" s="59">
        <f>'C1-Incomes'!F61/'C1-Incomes'!$B61</f>
        <v>0.13598202999626979</v>
      </c>
      <c r="F59" s="59">
        <f>'C1-Incomes'!G61/'C1-Incomes'!$B61</f>
        <v>7.4663517582219965E-2</v>
      </c>
      <c r="G59" s="59">
        <f>'C1-Incomes'!H61/'C1-Incomes'!$B61</f>
        <v>3.1548922222559735E-2</v>
      </c>
      <c r="H59" s="59"/>
      <c r="J59" s="59">
        <f>'C1-Incomes'!K61/'C1-Incomes'!$J61</f>
        <v>0.39157707424278443</v>
      </c>
      <c r="K59" s="59">
        <f>'C1-Incomes'!L61/'C1-Incomes'!$J61</f>
        <v>0.28016780468416852</v>
      </c>
      <c r="L59" s="59">
        <f>'C1-Incomes'!M61/'C1-Incomes'!$J61</f>
        <v>0.13896760061229452</v>
      </c>
      <c r="M59" s="59">
        <f>'C1-Incomes'!N61/'C1-Incomes'!$J61</f>
        <v>0.10600288150234845</v>
      </c>
      <c r="N59" s="59">
        <f>'C1-Incomes'!O61/'C1-Incomes'!$J61</f>
        <v>5.9108297589906385E-2</v>
      </c>
      <c r="O59" s="59">
        <f>'C1-Incomes'!P61/'C1-Incomes'!$J61</f>
        <v>2.5815742807692089E-2</v>
      </c>
      <c r="P59" s="59"/>
      <c r="R59" s="59">
        <f>'C1-Incomes'!S61/'C1-Incomes'!$R61</f>
        <v>0.34519642810558837</v>
      </c>
      <c r="S59" s="59">
        <f>'C1-Incomes'!T61/'C1-Incomes'!$R61</f>
        <v>0.24512342798735695</v>
      </c>
      <c r="T59" s="59">
        <f>'C1-Incomes'!U61/'C1-Incomes'!$R61</f>
        <v>0.1205447789407159</v>
      </c>
      <c r="U59" s="59">
        <f>'C1-Incomes'!V61/'C1-Incomes'!$R61</f>
        <v>9.1749704611814503E-2</v>
      </c>
      <c r="V59" s="59">
        <f>'C1-Incomes'!W61/'C1-Incomes'!$R61</f>
        <v>5.1038799820476377E-2</v>
      </c>
      <c r="W59" s="59">
        <f>'C1-Incomes'!X61/'C1-Incomes'!$R61</f>
        <v>2.2260674913195961E-2</v>
      </c>
      <c r="X59" s="59"/>
      <c r="Y59" s="59"/>
      <c r="Z59" s="59">
        <f>'C1-Incomes'!AA61/'C1-Incomes'!$Z61</f>
        <v>0.27679958116382547</v>
      </c>
      <c r="AA59" s="59">
        <f>'C1-Incomes'!AB61/'C1-Incomes'!$Z61</f>
        <v>0.18704212457706931</v>
      </c>
      <c r="AB59" s="59">
        <f>'C1-Incomes'!AC61/'C1-Incomes'!$Z61</f>
        <v>8.280797718239509E-2</v>
      </c>
      <c r="AC59" s="59">
        <f>'C1-Incomes'!AD61/'C1-Incomes'!$Z61</f>
        <v>6.0545275258774005E-2</v>
      </c>
      <c r="AD59" s="59">
        <f>'C1-Incomes'!AE61/'C1-Incomes'!$Z61</f>
        <v>3.1260671320889943E-2</v>
      </c>
      <c r="AE59" s="59">
        <f>'C1-Incomes'!AF61/'C1-Incomes'!$Z61</f>
        <v>1.3180593675953671E-2</v>
      </c>
      <c r="AF59" s="196"/>
      <c r="AG59" s="195"/>
      <c r="AH59" s="59">
        <f>'C1-Incomes'!AI61/'C1-Incomes'!$AH61</f>
        <v>0.46446871254114569</v>
      </c>
      <c r="AI59" s="59">
        <f>'C1-Incomes'!AJ61/'C1-Incomes'!$AH61</f>
        <v>0.33963948655769594</v>
      </c>
      <c r="AJ59" s="59">
        <f>'C1-Incomes'!AK61/'C1-Incomes'!$AH61</f>
        <v>0.17404345892226927</v>
      </c>
      <c r="AK59" s="59">
        <f>'C1-Incomes'!AL61/'C1-Incomes'!$AH61</f>
        <v>0.1329318337193752</v>
      </c>
      <c r="AL59" s="59">
        <f>'C1-Incomes'!AM61/'C1-Incomes'!$AH61</f>
        <v>7.3040016802834909E-2</v>
      </c>
      <c r="AM59" s="59">
        <f>'C1-Incomes'!AN61/'C1-Incomes'!$AH61</f>
        <v>3.0937703752657073E-2</v>
      </c>
      <c r="AN59" s="195"/>
      <c r="AO59" s="195"/>
      <c r="AP59" s="59"/>
      <c r="AQ59" s="59"/>
      <c r="AR59" s="59"/>
      <c r="AS59" s="59"/>
      <c r="AT59" s="59"/>
      <c r="AU59" s="59"/>
      <c r="AV59" s="197"/>
      <c r="AW59" s="60"/>
      <c r="AX59" s="59">
        <f>'C1-Incomes'!AY61/'C1-Incomes'!$AX61</f>
        <v>0.4663791272524796</v>
      </c>
      <c r="AY59" s="59">
        <f>'C1-Incomes'!AZ61/'C1-Incomes'!$AX61</f>
        <v>0.34188981024152937</v>
      </c>
      <c r="AZ59" s="59">
        <f>'C1-Incomes'!BA61/'C1-Incomes'!$AX61</f>
        <v>0.17603164828673193</v>
      </c>
      <c r="BA59" s="59">
        <f>'C1-Incomes'!BB61/'C1-Incomes'!$AX61</f>
        <v>0.13459530376602327</v>
      </c>
      <c r="BB59" s="59">
        <f>'C1-Incomes'!BC61/'C1-Incomes'!$AX61</f>
        <v>7.4026089364939901E-2</v>
      </c>
      <c r="BC59" s="59">
        <f>'C1-Incomes'!BD61/'C1-Incomes'!$AX61</f>
        <v>3.1261767880903506E-2</v>
      </c>
      <c r="BD59" s="60"/>
      <c r="BE59" s="60"/>
      <c r="BF59" s="59">
        <f>'C1-Incomes'!BG61/'C1-Incomes'!$BF61</f>
        <v>0.45533428583884433</v>
      </c>
      <c r="BG59" s="59">
        <f>'C1-Incomes'!BH61/'C1-Incomes'!$BF61</f>
        <v>0.33324257032880511</v>
      </c>
      <c r="BH59" s="59">
        <f>'C1-Incomes'!BI61/'C1-Incomes'!$BF61</f>
        <v>0.1710932688250123</v>
      </c>
      <c r="BI59" s="59">
        <f>'C1-Incomes'!BJ61/'C1-Incomes'!$BF61</f>
        <v>0.13069379453388025</v>
      </c>
      <c r="BJ59" s="59">
        <f>'C1-Incomes'!BK61/'C1-Incomes'!$BF61</f>
        <v>7.1713511419745177E-2</v>
      </c>
      <c r="BK59" s="59">
        <f>'C1-Incomes'!BL61/'C1-Incomes'!$BF61</f>
        <v>2.9916702914975717E-2</v>
      </c>
      <c r="BL59" s="59"/>
      <c r="BM59" s="59"/>
      <c r="BN59" s="59">
        <f>'C1-Incomes'!BO61/'C1-Incomes'!$BN61</f>
        <v>0.41345604712508455</v>
      </c>
      <c r="BO59" s="59">
        <f>'C1-Incomes'!BP61/'C1-Incomes'!$BN61</f>
        <v>0.30037111810908429</v>
      </c>
      <c r="BP59" s="59">
        <f>'C1-Incomes'!BQ61/'C1-Incomes'!$BN61</f>
        <v>0.15344573015693216</v>
      </c>
      <c r="BQ59" s="59">
        <f>'C1-Incomes'!BR61/'C1-Incomes'!$BN61</f>
        <v>0.11768772863934911</v>
      </c>
      <c r="BR59" s="59">
        <f>'C1-Incomes'!BS61/'C1-Incomes'!$BN61</f>
        <v>6.5198194089565731E-2</v>
      </c>
      <c r="BS59" s="59">
        <f>'C1-Incomes'!BT61/'C1-Incomes'!$BN61</f>
        <v>2.7561902884483722E-2</v>
      </c>
      <c r="BT59" s="59"/>
      <c r="BU59" s="59"/>
      <c r="BV59" s="59">
        <f>'C1-Incomes'!BW61/'C1-Incomes'!$BV61</f>
        <v>0.41557650530125473</v>
      </c>
      <c r="BW59" s="59">
        <f>'C1-Incomes'!BX61/'C1-Incomes'!$BV61</f>
        <v>0.30280717315993982</v>
      </c>
      <c r="BX59" s="59">
        <f>'C1-Incomes'!BY61/'C1-Incomes'!$BV61</f>
        <v>0.15593337345642794</v>
      </c>
      <c r="BY59" s="59">
        <f>'C1-Incomes'!BZ61/'C1-Incomes'!$BV61</f>
        <v>0.12003132653860422</v>
      </c>
      <c r="BZ59" s="59">
        <f>'C1-Incomes'!CA61/'C1-Incomes'!$BV61</f>
        <v>6.7138631367447452E-2</v>
      </c>
      <c r="CA59" s="59">
        <f>'C1-Incomes'!CB61/'C1-Incomes'!$BV61</f>
        <v>2.8704163090591706E-2</v>
      </c>
      <c r="CB59" s="60"/>
      <c r="CC59" s="198"/>
      <c r="CD59" s="59">
        <f>'C1-Incomes'!CE61/'C1-Incomes'!$CD61</f>
        <v>0.42490563981410756</v>
      </c>
      <c r="CE59" s="59">
        <f>'C1-Incomes'!CF61/'C1-Incomes'!$CD61</f>
        <v>0.31252688186151123</v>
      </c>
      <c r="CF59" s="59">
        <f>'C1-Incomes'!CG61/'C1-Incomes'!$CD61</f>
        <v>0.16371535562004141</v>
      </c>
      <c r="CG59" s="59">
        <f>'C1-Incomes'!CH61/'C1-Incomes'!$CD61</f>
        <v>0.126917875775721</v>
      </c>
      <c r="CH59" s="59">
        <f>'C1-Incomes'!CI61/'C1-Incomes'!$CD61</f>
        <v>7.2579434268926338E-2</v>
      </c>
      <c r="CI59" s="59">
        <f>'C1-Incomes'!CJ61/'C1-Incomes'!$CD61</f>
        <v>3.1974287455346549E-2</v>
      </c>
      <c r="CL59" s="59">
        <f>'C1-Incomes'!CM61/'C1-Incomes'!$CL61</f>
        <v>0.42832418938242817</v>
      </c>
      <c r="CM59" s="59">
        <f>'C1-Incomes'!CN61/'C1-Incomes'!$CL61</f>
        <v>0.31558386894113805</v>
      </c>
      <c r="CN59" s="59">
        <f>'C1-Incomes'!CO61/'C1-Incomes'!$CL61</f>
        <v>0.16564883246638523</v>
      </c>
      <c r="CO59" s="59">
        <f>'C1-Incomes'!CP61/'C1-Incomes'!$CL61</f>
        <v>0.12870601243430191</v>
      </c>
      <c r="CP59" s="59">
        <f>'C1-Incomes'!CQ61/'C1-Incomes'!$CL61</f>
        <v>7.4085420731391849E-2</v>
      </c>
      <c r="CQ59" s="59">
        <f>'C1-Incomes'!CR61/'C1-Incomes'!$CL61</f>
        <v>3.2898474271767779E-2</v>
      </c>
      <c r="CR59" s="59"/>
      <c r="CS59" s="59"/>
      <c r="CT59" s="59">
        <f>'C1-Incomes'!CU61/'C1-Incomes'!$CT61</f>
        <v>0.43187163014394581</v>
      </c>
      <c r="CU59" s="59">
        <f>'C1-Incomes'!CV61/'C1-Incomes'!$CT61</f>
        <v>0.3191351191893767</v>
      </c>
      <c r="CV59" s="59">
        <f>'C1-Incomes'!CW61/'C1-Incomes'!$CT61</f>
        <v>0.16840265472631497</v>
      </c>
      <c r="CW59" s="59">
        <f>'C1-Incomes'!CX61/'C1-Incomes'!$CT61</f>
        <v>0.13112906884986622</v>
      </c>
      <c r="CX59" s="59">
        <f>'C1-Incomes'!CY61/'C1-Incomes'!$CT61</f>
        <v>7.5862462352182802E-2</v>
      </c>
      <c r="CY59" s="59">
        <f>'C1-Incomes'!CZ61/'C1-Incomes'!$CT61</f>
        <v>3.3870662425496391E-2</v>
      </c>
      <c r="CZ59" s="59"/>
      <c r="DA59" s="59"/>
      <c r="DB59" s="59">
        <f>'C1-Incomes'!DC61/'C1-Incomes'!$DB61</f>
        <v>0.43297233536173935</v>
      </c>
      <c r="DC59" s="59">
        <f>'C1-Incomes'!DD61/'C1-Incomes'!$DB61</f>
        <v>0.32003777442676112</v>
      </c>
      <c r="DD59" s="59">
        <f>'C1-Incomes'!DE61/'C1-Incomes'!$DB61</f>
        <v>0.16884648389514048</v>
      </c>
      <c r="DE59" s="59">
        <f>'C1-Incomes'!DF61/'C1-Incomes'!$DB61</f>
        <v>0.13145645749985141</v>
      </c>
      <c r="DF59" s="59">
        <f>'C1-Incomes'!DG61/'C1-Incomes'!$DB61</f>
        <v>7.6023623681196612E-2</v>
      </c>
      <c r="DG59" s="59">
        <f>'C1-Incomes'!DH61/'C1-Incomes'!$DB61</f>
        <v>3.3958692875116242E-2</v>
      </c>
      <c r="DH59" s="59"/>
      <c r="DI59" s="1039"/>
      <c r="DJ59" s="59">
        <f>'C1-Incomes'!DK61/'C1-Incomes'!$DJ61</f>
        <v>0.4178045289603054</v>
      </c>
      <c r="DK59" s="59">
        <f>'C1-Incomes'!DL61/'C1-Incomes'!$DJ61</f>
        <v>0.30811635398066056</v>
      </c>
      <c r="DL59" s="59">
        <f>'C1-Incomes'!DM61/'C1-Incomes'!$DJ61</f>
        <v>0.16144315800695938</v>
      </c>
      <c r="DM59" s="59">
        <f>'C1-Incomes'!DN61/'C1-Incomes'!$DJ61</f>
        <v>0.12492071408517925</v>
      </c>
      <c r="DN59" s="59">
        <f>'C1-Incomes'!DO61/'C1-Incomes'!$DJ61</f>
        <v>7.1145239181454475E-2</v>
      </c>
      <c r="DO59" s="59">
        <f>'C1-Incomes'!DP61/'C1-Incomes'!$DJ61</f>
        <v>3.1638777188199747E-2</v>
      </c>
      <c r="DP59" s="696"/>
      <c r="DQ59" s="503"/>
      <c r="DR59" s="59">
        <f>'C1-Incomes'!DS61/'C1-Incomes'!$DR61</f>
        <v>0.41667392948551002</v>
      </c>
      <c r="DS59" s="59">
        <f>'C1-Incomes'!DT61/'C1-Incomes'!$DR61</f>
        <v>0.30548373433196907</v>
      </c>
      <c r="DT59" s="59">
        <f>'C1-Incomes'!DU61/'C1-Incomes'!$DR61</f>
        <v>0.15815260508853818</v>
      </c>
      <c r="DU59" s="59">
        <f>'C1-Incomes'!DV61/'C1-Incomes'!$DR61</f>
        <v>0.12177829612859604</v>
      </c>
      <c r="DV59" s="59">
        <f>'C1-Incomes'!DW61/'C1-Incomes'!$DR61</f>
        <v>6.8699047936806229E-2</v>
      </c>
      <c r="DW59" s="59">
        <f>'C1-Incomes'!DX61/'C1-Incomes'!$DR61</f>
        <v>3.0288368505155028E-2</v>
      </c>
      <c r="DX59" s="333"/>
      <c r="DZ59" s="59">
        <f>'C1-Incomes'!EA61/'C1-Incomes'!$DZ61</f>
        <v>0.4089519199987523</v>
      </c>
      <c r="EA59" s="59">
        <f>'C1-Incomes'!EB61/'C1-Incomes'!$DZ61</f>
        <v>0.2979932208199676</v>
      </c>
      <c r="EB59" s="59">
        <f>'C1-Incomes'!EC61/'C1-Incomes'!$DZ61</f>
        <v>0.15280585401806623</v>
      </c>
      <c r="EC59" s="59">
        <f>'C1-Incomes'!ED61/'C1-Incomes'!$DZ61</f>
        <v>0.11742367895632984</v>
      </c>
      <c r="ED59" s="59">
        <f>'C1-Incomes'!EE61/'C1-Incomes'!$DZ61</f>
        <v>6.606278183436172E-2</v>
      </c>
      <c r="EE59" s="59">
        <f>'C1-Incomes'!EF61/'C1-Incomes'!$DZ61</f>
        <v>2.9076751304782721E-2</v>
      </c>
      <c r="EF59" s="59"/>
      <c r="EH59" s="59">
        <f>'C1-Incomes'!EI61/'C1-Incomes'!$EH61</f>
        <v>0.39809146160690323</v>
      </c>
      <c r="EI59" s="59">
        <f>'C1-Incomes'!EJ61/'C1-Incomes'!$EH61</f>
        <v>0.28710016449737891</v>
      </c>
      <c r="EJ59" s="59">
        <f>'C1-Incomes'!EK61/'C1-Incomes'!$EH61</f>
        <v>0.1451819718659941</v>
      </c>
      <c r="EK59" s="59">
        <f>'C1-Incomes'!EL61/'C1-Incomes'!$EH61</f>
        <v>0.11127565820142191</v>
      </c>
      <c r="EL59" s="59">
        <f>'C1-Incomes'!EM61/'C1-Incomes'!$EH61</f>
        <v>6.2458000063820976E-2</v>
      </c>
      <c r="EM59" s="59">
        <f>'C1-Incomes'!EN61/'C1-Incomes'!$EH61</f>
        <v>2.7460254319025823E-2</v>
      </c>
      <c r="EN59" s="59"/>
      <c r="EO59" s="59"/>
      <c r="EP59" s="59">
        <f>'C1-Incomes'!EQ61/'C1-Incomes'!$EH61</f>
        <v>0.41254909421018837</v>
      </c>
      <c r="EQ59" s="59">
        <f>'C1-Incomes'!ER61/'C1-Incomes'!$EH61</f>
        <v>0.29659576753181349</v>
      </c>
      <c r="ER59" s="59">
        <f>'C1-Incomes'!ES61/'C1-Incomes'!$EH61</f>
        <v>0.14847515864906696</v>
      </c>
      <c r="ES59" s="59">
        <f>'C1-Incomes'!ET61/'C1-Incomes'!$EH61</f>
        <v>0.11341412822592532</v>
      </c>
      <c r="ET59" s="59">
        <f>'C1-Incomes'!EU61/'C1-Incomes'!$EH61</f>
        <v>6.3414401438246393E-2</v>
      </c>
      <c r="EU59" s="59">
        <f>'C1-Incomes'!EV61/'C1-Incomes'!$EH61</f>
        <v>2.7737710183287162E-2</v>
      </c>
      <c r="EV59" s="59"/>
      <c r="EW59" s="59"/>
      <c r="EX59" s="59">
        <f>'C1-Incomes'!EY61/'C1-Incomes'!$EX61</f>
        <v>0.39157707424278443</v>
      </c>
      <c r="EY59" s="59">
        <f>'C1-Incomes'!EZ61/'C1-Incomes'!$EX61</f>
        <v>0.28016780468416852</v>
      </c>
      <c r="EZ59" s="59">
        <f>'C1-Incomes'!FA61/'C1-Incomes'!$EX61</f>
        <v>0.13896760061229452</v>
      </c>
      <c r="FA59" s="59">
        <f>'C1-Incomes'!FB61/'C1-Incomes'!$EX61</f>
        <v>0.10600288150234845</v>
      </c>
      <c r="FB59" s="59">
        <f>'C1-Incomes'!FC61/'C1-Incomes'!$EX61</f>
        <v>5.9108297589906385E-2</v>
      </c>
      <c r="FC59" s="59">
        <f>'C1-Incomes'!FD61/'C1-Incomes'!$EX61</f>
        <v>2.5815742807692089E-2</v>
      </c>
      <c r="FD59" s="59"/>
      <c r="FF59" s="59">
        <f>'C1-Incomes'!FG61/'C1-Incomes'!$FF61</f>
        <v>0.3763461799916199</v>
      </c>
      <c r="FG59" s="59">
        <f>'C1-Incomes'!FH61/'C1-Incomes'!$FF61</f>
        <v>0.26823785012538442</v>
      </c>
      <c r="FH59" s="59">
        <f>'C1-Incomes'!FI61/'C1-Incomes'!$FF61</f>
        <v>0.13228403313325238</v>
      </c>
      <c r="FI59" s="59">
        <f>'C1-Incomes'!FJ61/'C1-Incomes'!$FF61</f>
        <v>0.10071819727022013</v>
      </c>
      <c r="FJ59" s="59">
        <f>'C1-Incomes'!FK61/'C1-Incomes'!$FF61</f>
        <v>5.6055455278576166E-2</v>
      </c>
      <c r="FK59" s="59">
        <f>'C1-Incomes'!FL61/'C1-Incomes'!$FF61</f>
        <v>2.4453230388444169E-2</v>
      </c>
      <c r="FN59" s="59">
        <f>'C1-Incomes'!FO61/'C1-Incomes'!$FN61</f>
        <v>0.37498684742578953</v>
      </c>
      <c r="FO59" s="59">
        <f>'C1-Incomes'!FP61/'C1-Incomes'!$FN61</f>
        <v>0.26724463332367665</v>
      </c>
      <c r="FP59" s="59">
        <f>'C1-Incomes'!FQ61/'C1-Incomes'!$FN61</f>
        <v>0.13175223806006456</v>
      </c>
      <c r="FQ59" s="59">
        <f>'C1-Incomes'!FR61/'C1-Incomes'!$FN61</f>
        <v>0.10031422887383913</v>
      </c>
      <c r="FR59" s="59">
        <f>'C1-Incomes'!FS61/'C1-Incomes'!$FN61</f>
        <v>5.5827599206912444E-2</v>
      </c>
      <c r="FS59" s="59">
        <f>'C1-Incomes'!FT61/'C1-Incomes'!$FN61</f>
        <v>2.4353734600199472E-2</v>
      </c>
      <c r="FV59" s="59">
        <f>'C1-Incomes'!FW61/'C1-Incomes'!$FV61</f>
        <v>0.36898843161008138</v>
      </c>
      <c r="FW59" s="59">
        <f>'C1-Incomes'!FX61/'C1-Incomes'!$FV61</f>
        <v>0.2628619657772544</v>
      </c>
      <c r="FX59" s="59">
        <f>'C1-Incomes'!FY61/'C1-Incomes'!$FV61</f>
        <v>0.12951736188224419</v>
      </c>
      <c r="FY59" s="59">
        <f>'C1-Incomes'!FZ61/'C1-Incomes'!$FV61</f>
        <v>9.8599386241098111E-2</v>
      </c>
      <c r="FZ59" s="59">
        <f>'C1-Incomes'!GA61/'C1-Incomes'!$FV61</f>
        <v>5.4864212593940295E-2</v>
      </c>
      <c r="GA59" s="59">
        <f>'C1-Incomes'!GB61/'C1-Incomes'!$FV61</f>
        <v>2.3931772215169105E-2</v>
      </c>
      <c r="GE59" s="59">
        <f>'C1-Incomes'!GF61/'C1-Incomes'!$GE61</f>
        <v>0.35953628280107941</v>
      </c>
      <c r="GF59" s="59">
        <f>'C1-Incomes'!GG61/'C1-Incomes'!$GE61</f>
        <v>0.2553061357259323</v>
      </c>
      <c r="GG59" s="59">
        <f>'C1-Incomes'!GH61/'C1-Incomes'!$GE61</f>
        <v>0.12555234701955248</v>
      </c>
      <c r="GH59" s="59">
        <f>'C1-Incomes'!GI61/'C1-Incomes'!$GE61</f>
        <v>9.5561092347510326E-2</v>
      </c>
      <c r="GI59" s="59">
        <f>'C1-Incomes'!GJ61/'C1-Incomes'!$GE61</f>
        <v>5.3159009978137731E-2</v>
      </c>
      <c r="GJ59" s="59">
        <f>'C1-Incomes'!GK61/'C1-Incomes'!$GE61</f>
        <v>2.3185408826089032E-2</v>
      </c>
      <c r="GM59" s="59">
        <f>'C1-Incomes'!GN61/'C1-Incomes'!$GM61</f>
        <v>0.34519642810558837</v>
      </c>
      <c r="GN59" s="59">
        <f>'C1-Incomes'!GO61/'C1-Incomes'!$GM61</f>
        <v>0.24512342798735695</v>
      </c>
      <c r="GO59" s="59">
        <f>'C1-Incomes'!GP61/'C1-Incomes'!$GM61</f>
        <v>0.1205447789407159</v>
      </c>
      <c r="GP59" s="59">
        <f>'C1-Incomes'!GQ61/'C1-Incomes'!$GM61</f>
        <v>9.1749704611814503E-2</v>
      </c>
      <c r="GQ59" s="59">
        <f>'C1-Incomes'!GR61/'C1-Incomes'!$GM61</f>
        <v>5.1038799820476377E-2</v>
      </c>
      <c r="GR59" s="59">
        <f>'C1-Incomes'!GS61/'C1-Incomes'!$GM61</f>
        <v>2.2260674913195961E-2</v>
      </c>
      <c r="GU59" s="59">
        <f>'C1-Incomes'!GV61/'C1-Incomes'!$GU61</f>
        <v>0.3155554071538943</v>
      </c>
      <c r="GV59" s="59">
        <f>'C1-Incomes'!GW61/'C1-Incomes'!$GU61</f>
        <v>0.21751394947436564</v>
      </c>
      <c r="GW59" s="59">
        <f>'C1-Incomes'!GX61/'C1-Incomes'!$GU61</f>
        <v>0.10015179406580688</v>
      </c>
      <c r="GX59" s="59">
        <f>'C1-Incomes'!GY61/'C1-Incomes'!$GU61</f>
        <v>7.4469621605212685E-2</v>
      </c>
      <c r="GY59" s="59">
        <f>'C1-Incomes'!GZ61/'C1-Incomes'!$GU61</f>
        <v>4.0111901341185668E-2</v>
      </c>
      <c r="GZ59" s="59">
        <f>'C1-Incomes'!HA61/'C1-Incomes'!$GU61</f>
        <v>1.7351388555279425E-2</v>
      </c>
      <c r="HC59" s="59">
        <f>'C1-Incomes'!HD61/'C1-Incomes'!$HC61</f>
        <v>0.30863903143963756</v>
      </c>
      <c r="HD59" s="59">
        <f>'C1-Incomes'!HE61/'C1-Incomes'!$HC61</f>
        <v>0.21113805970917227</v>
      </c>
      <c r="HE59" s="59">
        <f>'C1-Incomes'!HF61/'C1-Incomes'!$HC61</f>
        <v>9.5379276885846964E-2</v>
      </c>
      <c r="HF59" s="59">
        <f>'C1-Incomes'!HG61/'C1-Incomes'!$HC61</f>
        <v>7.0306943345205195E-2</v>
      </c>
      <c r="HG59" s="59">
        <f>'C1-Incomes'!HH61/'C1-Incomes'!$HC61</f>
        <v>3.7348835661971988E-2</v>
      </c>
      <c r="HH59" s="59">
        <f>'C1-Incomes'!HI61/'C1-Incomes'!$HC61</f>
        <v>1.606353034082882E-2</v>
      </c>
      <c r="HK59" s="59">
        <f>'C1-Incomes'!HL61/'C1-Incomes'!$HK61</f>
        <v>0.30451152643222879</v>
      </c>
      <c r="HL59" s="59">
        <f>'C1-Incomes'!HM61/'C1-Incomes'!$HK61</f>
        <v>0.20738914397970845</v>
      </c>
      <c r="HM59" s="59">
        <f>'C1-Incomes'!HN61/'C1-Incomes'!$HK61</f>
        <v>9.283175657014496E-2</v>
      </c>
      <c r="HN59" s="59">
        <f>'C1-Incomes'!HO61/'C1-Incomes'!$HK61</f>
        <v>6.8154352305411323E-2</v>
      </c>
      <c r="HO59" s="59">
        <f>'C1-Incomes'!HP61/'C1-Incomes'!$HK61</f>
        <v>3.5772575973858252E-2</v>
      </c>
      <c r="HP59" s="59">
        <f>'C1-Incomes'!HQ61/'C1-Incomes'!$HK61</f>
        <v>1.5179424039058595E-2</v>
      </c>
      <c r="HS59" s="59">
        <f>'C1-Incomes'!HT61/'C1-Incomes'!$HS61</f>
        <v>0.29937709383271871</v>
      </c>
      <c r="HT59" s="59">
        <f>'C1-Incomes'!HU61/'C1-Incomes'!$HS61</f>
        <v>0.20303779769315111</v>
      </c>
      <c r="HU59" s="59">
        <f>'C1-Incomes'!HV61/'C1-Incomes'!$HS61</f>
        <v>9.0096080085176347E-2</v>
      </c>
      <c r="HV59" s="59">
        <f>'C1-Incomes'!HW61/'C1-Incomes'!$HS61</f>
        <v>6.5944428775273456E-2</v>
      </c>
      <c r="HW59" s="59">
        <f>'C1-Incomes'!HX61/'C1-Incomes'!$HS61</f>
        <v>3.4380220012306985E-2</v>
      </c>
      <c r="HX59" s="59">
        <f>'C1-Incomes'!HY61/'C1-Incomes'!$HS61</f>
        <v>1.4513076986309806E-2</v>
      </c>
      <c r="IA59" s="59">
        <f>'C1-Incomes'!IB61/'C1-Incomes'!$IA61</f>
        <v>0.30252109799424798</v>
      </c>
      <c r="IB59" s="59">
        <f>'C1-Incomes'!IC61/'C1-Incomes'!$IA61</f>
        <v>0.2072130156923612</v>
      </c>
      <c r="IC59" s="59">
        <f>'C1-Incomes'!ID61/'C1-Incomes'!$IA61</f>
        <v>9.396488602550486E-2</v>
      </c>
      <c r="ID59" s="59">
        <f>'C1-Incomes'!IE61/'C1-Incomes'!$IA61</f>
        <v>6.9225137445978371E-2</v>
      </c>
      <c r="IE59" s="59">
        <f>'C1-Incomes'!IF61/'C1-Incomes'!$IA61</f>
        <v>3.6393108502729338E-2</v>
      </c>
      <c r="IF59" s="59">
        <f>'C1-Incomes'!IG61/'C1-Incomes'!$IA61</f>
        <v>1.5453987816008152E-2</v>
      </c>
      <c r="II59" s="59">
        <f>'C1-Incomes'!IJ61/'C1-Incomes'!$II61</f>
        <v>0.30306862928629491</v>
      </c>
      <c r="IJ59" s="59">
        <f>'C1-Incomes'!IK61/'C1-Incomes'!$II61</f>
        <v>0.20822502807727941</v>
      </c>
      <c r="IK59" s="59">
        <f>'C1-Incomes'!IL61/'C1-Incomes'!$II61</f>
        <v>9.5123421395374649E-2</v>
      </c>
      <c r="IL59" s="59">
        <f>'C1-Incomes'!IM61/'C1-Incomes'!$II61</f>
        <v>7.0173617506094424E-2</v>
      </c>
      <c r="IM59" s="59">
        <f>'C1-Incomes'!IN61/'C1-Incomes'!$II61</f>
        <v>3.6899071579568239E-2</v>
      </c>
      <c r="IN59" s="59">
        <f>'C1-Incomes'!IO61/'C1-Incomes'!$II61</f>
        <v>1.5677261893510121E-2</v>
      </c>
      <c r="IQ59" s="59">
        <f>'C1-Incomes'!IR61/'C1-Incomes'!$IQ61</f>
        <v>0.29500164331027684</v>
      </c>
      <c r="IR59" s="59">
        <f>'C1-Incomes'!IS61/'C1-Incomes'!$IQ61</f>
        <v>0.2010941553984841</v>
      </c>
      <c r="IS59" s="59">
        <f>'C1-Incomes'!IT61/'C1-Incomes'!$IQ61</f>
        <v>9.0204591336879567E-2</v>
      </c>
      <c r="IT59" s="59">
        <f>'C1-Incomes'!IU61/'C1-Incomes'!$IQ61</f>
        <v>6.6159969926691778E-2</v>
      </c>
      <c r="IU59" s="59">
        <f>'C1-Incomes'!IV61/'C1-Incomes'!$IQ61</f>
        <v>3.4318106863632916E-2</v>
      </c>
      <c r="IV59" s="59">
        <f>'C1-Incomes'!IW61/'C1-Incomes'!$IQ61</f>
        <v>1.4503864939731553E-2</v>
      </c>
      <c r="IY59" s="59">
        <f>'C1-Incomes'!IZ61/'C1-Incomes'!$IY61</f>
        <v>0.27679958116382547</v>
      </c>
      <c r="IZ59" s="59">
        <f>'C1-Incomes'!JA61/'C1-Incomes'!$IY61</f>
        <v>0.18704212457706931</v>
      </c>
      <c r="JA59" s="59">
        <f>'C1-Incomes'!JB61/'C1-Incomes'!$IY61</f>
        <v>8.280797718239509E-2</v>
      </c>
      <c r="JB59" s="59">
        <f>'C1-Incomes'!JC61/'C1-Incomes'!$IY61</f>
        <v>6.0545275258774005E-2</v>
      </c>
      <c r="JC59" s="59">
        <f>'C1-Incomes'!JD61/'C1-Incomes'!$IY61</f>
        <v>3.1260671320889943E-2</v>
      </c>
      <c r="JD59" s="59">
        <f>'C1-Incomes'!JE61/'C1-Incomes'!$IY61</f>
        <v>1.3180593675953671E-2</v>
      </c>
      <c r="JE59" s="197"/>
      <c r="JF59" s="197"/>
      <c r="JG59" s="197"/>
      <c r="JH59" s="197"/>
      <c r="JI59" s="197"/>
      <c r="JJ59" s="197"/>
      <c r="JK59" s="197"/>
      <c r="JL59" s="197"/>
      <c r="JM59" s="197"/>
      <c r="JN59" s="197"/>
      <c r="JO59" s="197"/>
      <c r="JP59" s="197"/>
      <c r="JQ59" s="197"/>
      <c r="JR59" s="197"/>
      <c r="JS59" s="197"/>
      <c r="JT59" s="197"/>
      <c r="JU59" s="197"/>
      <c r="JV59" s="197"/>
      <c r="JW59" s="197"/>
      <c r="JX59" s="197"/>
      <c r="JY59" s="197"/>
      <c r="JZ59" s="197"/>
      <c r="KA59" s="197"/>
      <c r="KB59" s="197"/>
      <c r="KC59" s="197"/>
      <c r="KD59" s="197"/>
      <c r="KE59" s="197"/>
      <c r="KF59" s="197"/>
      <c r="KG59" s="197"/>
      <c r="KH59" s="197"/>
      <c r="KI59" s="197"/>
      <c r="KJ59" s="197"/>
      <c r="KK59" s="197"/>
      <c r="KL59" s="197"/>
      <c r="KM59" s="197"/>
      <c r="KN59" s="197"/>
      <c r="KO59" s="197"/>
      <c r="KP59" s="197"/>
      <c r="KQ59" s="197"/>
      <c r="KR59" s="197"/>
      <c r="KS59" s="197"/>
      <c r="KT59" s="197"/>
      <c r="KU59" s="197"/>
      <c r="KV59" s="197"/>
      <c r="KW59" s="197"/>
      <c r="KX59" s="197"/>
      <c r="KY59" s="197"/>
      <c r="KZ59" s="197"/>
      <c r="LA59" s="197"/>
      <c r="LB59" s="197"/>
      <c r="LC59" s="197"/>
      <c r="LD59" s="197"/>
      <c r="LE59" s="197"/>
      <c r="LF59" s="197"/>
      <c r="LG59" s="197"/>
      <c r="LH59" s="197"/>
      <c r="LI59" s="197"/>
      <c r="LJ59" s="197"/>
      <c r="LK59" s="197"/>
      <c r="LL59" s="197"/>
      <c r="LM59" s="197"/>
      <c r="LN59" s="197"/>
      <c r="LO59" s="197"/>
      <c r="LP59" s="197"/>
      <c r="LQ59" s="197"/>
      <c r="LR59" s="197"/>
      <c r="LS59" s="197"/>
      <c r="LT59" s="197"/>
      <c r="LU59" s="197"/>
      <c r="LV59" s="197"/>
      <c r="LW59" s="197"/>
      <c r="LX59" s="197"/>
      <c r="LY59" s="197"/>
      <c r="LZ59" s="197"/>
      <c r="MA59" s="197"/>
      <c r="MB59" s="197"/>
      <c r="MC59" s="197"/>
      <c r="MD59" s="197"/>
      <c r="ME59" s="197"/>
      <c r="MF59" s="197"/>
      <c r="MG59" s="197"/>
      <c r="MH59" s="197"/>
      <c r="MI59" s="197"/>
      <c r="MJ59" s="197"/>
      <c r="MK59" s="197"/>
      <c r="ML59" s="197"/>
      <c r="MM59" s="197"/>
      <c r="MN59" s="197"/>
      <c r="MO59" s="197"/>
      <c r="MP59" s="197"/>
      <c r="MQ59" s="197"/>
      <c r="MR59" s="197"/>
      <c r="MS59" s="197"/>
      <c r="MT59" s="197"/>
      <c r="MU59" s="197"/>
      <c r="MV59" s="197"/>
      <c r="MW59" s="197"/>
      <c r="MX59" s="197"/>
      <c r="MY59" s="197"/>
      <c r="MZ59" s="197"/>
      <c r="NA59" s="197"/>
      <c r="NB59" s="197"/>
      <c r="NC59" s="197"/>
      <c r="ND59" s="197"/>
      <c r="NE59" s="197"/>
      <c r="NF59" s="197"/>
      <c r="NG59" s="197"/>
      <c r="NH59" s="197"/>
      <c r="NI59" s="197"/>
      <c r="NJ59" s="197"/>
      <c r="NK59" s="197"/>
      <c r="NL59" s="197"/>
      <c r="NM59" s="197"/>
      <c r="NN59" s="197"/>
      <c r="NO59" s="197"/>
      <c r="NP59" s="197"/>
      <c r="NQ59" s="197"/>
      <c r="NR59" s="197"/>
      <c r="NS59" s="197"/>
      <c r="NT59" s="197"/>
      <c r="NU59" s="197"/>
      <c r="NV59" s="197"/>
      <c r="NW59" s="197"/>
      <c r="NX59" s="197"/>
      <c r="NY59" s="197"/>
      <c r="NZ59" s="197"/>
      <c r="OA59" s="197"/>
      <c r="OB59" s="197"/>
      <c r="OC59" s="197"/>
      <c r="OD59" s="197"/>
      <c r="OE59" s="197"/>
      <c r="OF59" s="197"/>
      <c r="OG59" s="197"/>
      <c r="OH59" s="197"/>
      <c r="OI59" s="197"/>
      <c r="OJ59" s="197"/>
      <c r="OK59" s="197"/>
      <c r="OL59" s="197"/>
      <c r="OM59" s="197"/>
      <c r="ON59" s="197"/>
      <c r="OO59" s="197"/>
      <c r="OP59" s="197"/>
      <c r="OQ59" s="197"/>
      <c r="OR59" s="197"/>
      <c r="OS59" s="197"/>
      <c r="OT59" s="197"/>
      <c r="OU59" s="197"/>
      <c r="OV59" s="197"/>
      <c r="OW59" s="197"/>
      <c r="OX59" s="197"/>
      <c r="OY59" s="197"/>
      <c r="OZ59" s="197"/>
      <c r="PA59" s="197"/>
      <c r="PB59" s="197"/>
    </row>
    <row r="60" spans="1:418" s="77" customFormat="1" ht="10.5" customHeight="1" x14ac:dyDescent="0.2">
      <c r="A60" s="48">
        <f>A59+1</f>
        <v>2014</v>
      </c>
      <c r="B60" s="59">
        <f>'C1-Incomes'!C62/'C1-Incomes'!$B62</f>
        <v>0.47725487603496919</v>
      </c>
      <c r="C60" s="59">
        <f>'C1-Incomes'!D62/'C1-Incomes'!$B62</f>
        <v>0.35211661778961068</v>
      </c>
      <c r="D60" s="59">
        <f>'C1-Incomes'!E62/'C1-Incomes'!$B62</f>
        <v>0.18396159361301589</v>
      </c>
      <c r="E60" s="59">
        <f>'C1-Incomes'!F62/'C1-Incomes'!$B62</f>
        <v>0.14127504949972064</v>
      </c>
      <c r="F60" s="59">
        <f>'C1-Incomes'!G62/'C1-Incomes'!$B62</f>
        <v>7.8338361072941898E-2</v>
      </c>
      <c r="G60" s="59">
        <f>'C1-Incomes'!H62/'C1-Incomes'!$B62</f>
        <v>3.322519848592443E-2</v>
      </c>
      <c r="H60" s="59"/>
      <c r="J60" s="59">
        <f>'C1-Incomes'!K62/'C1-Incomes'!$J62</f>
        <v>0.39546114940567656</v>
      </c>
      <c r="K60" s="59">
        <f>'C1-Incomes'!L62/'C1-Incomes'!$J62</f>
        <v>0.28489594640359545</v>
      </c>
      <c r="L60" s="59">
        <f>'C1-Incomes'!M62/'C1-Incomes'!$J62</f>
        <v>0.14277984870529348</v>
      </c>
      <c r="M60" s="59">
        <f>'C1-Incomes'!N62/'C1-Incomes'!$J62</f>
        <v>0.10943585382254289</v>
      </c>
      <c r="N60" s="59">
        <f>'C1-Incomes'!O62/'C1-Incomes'!$J62</f>
        <v>6.1335411612925633E-2</v>
      </c>
      <c r="O60" s="59">
        <f>'C1-Incomes'!P62/'C1-Incomes'!$J62</f>
        <v>2.6798409305958632E-2</v>
      </c>
      <c r="P60" s="59"/>
      <c r="R60" s="59">
        <f>'C1-Incomes'!S62/'C1-Incomes'!$R62</f>
        <v>0.34819286328477511</v>
      </c>
      <c r="S60" s="59">
        <f>'C1-Incomes'!T62/'C1-Incomes'!$R62</f>
        <v>0.24908904254265996</v>
      </c>
      <c r="T60" s="59">
        <f>'C1-Incomes'!U62/'C1-Incomes'!$R62</f>
        <v>0.12383528715122835</v>
      </c>
      <c r="U60" s="59">
        <f>'C1-Incomes'!V62/'C1-Incomes'!$R62</f>
        <v>9.4722942191381485E-2</v>
      </c>
      <c r="V60" s="59">
        <f>'C1-Incomes'!W62/'C1-Incomes'!$R62</f>
        <v>5.2962710780850221E-2</v>
      </c>
      <c r="W60" s="59">
        <f>'C1-Incomes'!X62/'C1-Incomes'!$R62</f>
        <v>2.3112629754701876E-2</v>
      </c>
      <c r="X60" s="59"/>
      <c r="Y60" s="59"/>
      <c r="Z60" s="59">
        <f>'C1-Incomes'!AA62/'C1-Incomes'!$Z62</f>
        <v>0.28124490712257594</v>
      </c>
      <c r="AA60" s="59">
        <f>'C1-Incomes'!AB62/'C1-Incomes'!$Z62</f>
        <v>0.19200179433048048</v>
      </c>
      <c r="AB60" s="59">
        <f>'C1-Incomes'!AC62/'C1-Incomes'!$Z62</f>
        <v>8.6381387551909522E-2</v>
      </c>
      <c r="AC60" s="59">
        <f>'C1-Incomes'!AD62/'C1-Incomes'!$Z62</f>
        <v>6.3682591855710624E-2</v>
      </c>
      <c r="AD60" s="59">
        <f>'C1-Incomes'!AE62/'C1-Incomes'!$Z62</f>
        <v>3.328272667171378E-2</v>
      </c>
      <c r="AE60" s="59">
        <f>'C1-Incomes'!AF62/'C1-Incomes'!$Z62</f>
        <v>1.4087291178012917E-2</v>
      </c>
      <c r="AF60" s="196"/>
      <c r="AG60" s="195"/>
      <c r="AH60" s="59">
        <f>'C1-Incomes'!AI62/'C1-Incomes'!$AH62</f>
        <v>0.47023190157122435</v>
      </c>
      <c r="AI60" s="59">
        <f>'C1-Incomes'!AJ62/'C1-Incomes'!$AH62</f>
        <v>0.34619292583844957</v>
      </c>
      <c r="AJ60" s="59">
        <f>'C1-Incomes'!AK62/'C1-Incomes'!$AH62</f>
        <v>0.18031008946391389</v>
      </c>
      <c r="AK60" s="59">
        <f>'C1-Incomes'!AL62/'C1-Incomes'!$AH62</f>
        <v>0.1384213341170365</v>
      </c>
      <c r="AL60" s="59">
        <f>'C1-Incomes'!AM62/'C1-Incomes'!$AH62</f>
        <v>7.6815127499980707E-2</v>
      </c>
      <c r="AM60" s="59">
        <f>'C1-Incomes'!AN62/'C1-Incomes'!$AH62</f>
        <v>3.26623924469778E-2</v>
      </c>
      <c r="AN60" s="195"/>
      <c r="AO60" s="195"/>
      <c r="AP60" s="59"/>
      <c r="AQ60" s="59"/>
      <c r="AR60" s="59"/>
      <c r="AS60" s="59"/>
      <c r="AT60" s="59"/>
      <c r="AU60" s="59"/>
      <c r="AV60" s="197"/>
      <c r="AW60" s="60"/>
      <c r="AX60" s="59">
        <f>'C1-Incomes'!AY62/'C1-Incomes'!$AX62</f>
        <v>0.47189584887641139</v>
      </c>
      <c r="AY60" s="59">
        <f>'C1-Incomes'!AZ62/'C1-Incomes'!$AX62</f>
        <v>0.34811885837004142</v>
      </c>
      <c r="AZ60" s="59">
        <f>'C1-Incomes'!BA62/'C1-Incomes'!$AX62</f>
        <v>0.18200942254031119</v>
      </c>
      <c r="BA60" s="59">
        <f>'C1-Incomes'!BB62/'C1-Incomes'!$AX62</f>
        <v>0.13983671969878961</v>
      </c>
      <c r="BB60" s="59">
        <f>'C1-Incomes'!BC62/'C1-Incomes'!$AX62</f>
        <v>7.7637173643269192E-2</v>
      </c>
      <c r="BC60" s="59">
        <f>'C1-Incomes'!BD62/'C1-Incomes'!$AX62</f>
        <v>3.2917252535015637E-2</v>
      </c>
      <c r="BD60" s="60"/>
      <c r="BE60" s="60"/>
      <c r="BF60" s="59">
        <f>'C1-Incomes'!BG62/'C1-Incomes'!$BF62</f>
        <v>0.46086574630754906</v>
      </c>
      <c r="BG60" s="59">
        <f>'C1-Incomes'!BH62/'C1-Incomes'!$BF62</f>
        <v>0.33944872761504569</v>
      </c>
      <c r="BH60" s="59">
        <f>'C1-Incomes'!BI62/'C1-Incomes'!$BF62</f>
        <v>0.17691432009654673</v>
      </c>
      <c r="BI60" s="59">
        <f>'C1-Incomes'!BJ62/'C1-Incomes'!$BF62</f>
        <v>0.13579624466224777</v>
      </c>
      <c r="BJ60" s="59">
        <f>'C1-Incomes'!BK62/'C1-Incomes'!$BF62</f>
        <v>7.5258229763002546E-2</v>
      </c>
      <c r="BK60" s="59">
        <f>'C1-Incomes'!BL62/'C1-Incomes'!$BF62</f>
        <v>3.1579884761805579E-2</v>
      </c>
      <c r="BL60" s="59"/>
      <c r="BM60" s="59"/>
      <c r="BN60" s="59">
        <f>'C1-Incomes'!BO62/'C1-Incomes'!$BN62</f>
        <v>0.41851618178002498</v>
      </c>
      <c r="BO60" s="59">
        <f>'C1-Incomes'!BP62/'C1-Incomes'!$BN62</f>
        <v>0.30597682498221457</v>
      </c>
      <c r="BP60" s="59">
        <f>'C1-Incomes'!BQ62/'C1-Incomes'!$BN62</f>
        <v>0.15889326616238297</v>
      </c>
      <c r="BQ60" s="59">
        <f>'C1-Incomes'!BR62/'C1-Incomes'!$BN62</f>
        <v>0.12248381630736575</v>
      </c>
      <c r="BR60" s="59">
        <f>'C1-Incomes'!BS62/'C1-Incomes'!$BN62</f>
        <v>6.8428264454215931E-2</v>
      </c>
      <c r="BS60" s="59">
        <f>'C1-Incomes'!BT62/'C1-Incomes'!$BN62</f>
        <v>2.9065349750493168E-2</v>
      </c>
      <c r="BT60" s="59"/>
      <c r="BU60" s="59"/>
      <c r="BV60" s="59">
        <f>'C1-Incomes'!BW62/'C1-Incomes'!$BV62</f>
        <v>0.42033027492491382</v>
      </c>
      <c r="BW60" s="59">
        <f>'C1-Incomes'!BX62/'C1-Incomes'!$BV62</f>
        <v>0.30799374407280844</v>
      </c>
      <c r="BX60" s="59">
        <f>'C1-Incomes'!BY62/'C1-Incomes'!$BV62</f>
        <v>0.16090553148425707</v>
      </c>
      <c r="BY60" s="59">
        <f>'C1-Incomes'!BZ62/'C1-Incomes'!$BV62</f>
        <v>0.12434399042324054</v>
      </c>
      <c r="BZ60" s="59">
        <f>'C1-Incomes'!CA62/'C1-Incomes'!$BV62</f>
        <v>7.0001163991399495E-2</v>
      </c>
      <c r="CA60" s="59">
        <f>'C1-Incomes'!CB62/'C1-Incomes'!$BV62</f>
        <v>3.0029047462232502E-2</v>
      </c>
      <c r="CB60" s="60"/>
      <c r="CC60" s="198"/>
      <c r="CD60" s="59">
        <f>'C1-Incomes'!CE62/'C1-Incomes'!$CD62</f>
        <v>0.42986047689657791</v>
      </c>
      <c r="CE60" s="59">
        <f>'C1-Incomes'!CF62/'C1-Incomes'!$CD62</f>
        <v>0.31781193076399233</v>
      </c>
      <c r="CF60" s="59">
        <f>'C1-Incomes'!CG62/'C1-Incomes'!$CD62</f>
        <v>0.16864109806562586</v>
      </c>
      <c r="CG60" s="59">
        <f>'C1-Incomes'!CH62/'C1-Incomes'!$CD62</f>
        <v>0.13136776480808787</v>
      </c>
      <c r="CH60" s="59">
        <f>'C1-Incomes'!CI62/'C1-Incomes'!$CD62</f>
        <v>7.5482880725570398E-2</v>
      </c>
      <c r="CI60" s="59">
        <f>'C1-Incomes'!CJ62/'C1-Incomes'!$CD62</f>
        <v>3.3352636990367279E-2</v>
      </c>
      <c r="CL60" s="59">
        <f>'C1-Incomes'!CM62/'C1-Incomes'!$CL62</f>
        <v>0.43320700188463146</v>
      </c>
      <c r="CM60" s="59">
        <f>'C1-Incomes'!CN62/'C1-Incomes'!$CL62</f>
        <v>0.32108849311156629</v>
      </c>
      <c r="CN60" s="59">
        <f>'C1-Incomes'!CO62/'C1-Incomes'!$CL62</f>
        <v>0.17065327766776892</v>
      </c>
      <c r="CO60" s="59">
        <f>'C1-Incomes'!CP62/'C1-Incomes'!$CL62</f>
        <v>0.13314405334995241</v>
      </c>
      <c r="CP60" s="59">
        <f>'C1-Incomes'!CQ62/'C1-Incomes'!$CL62</f>
        <v>7.6950789607935319E-2</v>
      </c>
      <c r="CQ60" s="59">
        <f>'C1-Incomes'!CR62/'C1-Incomes'!$CL62</f>
        <v>3.4326139322627125E-2</v>
      </c>
      <c r="CR60" s="59"/>
      <c r="CS60" s="59"/>
      <c r="CT60" s="59">
        <f>'C1-Incomes'!CU62/'C1-Incomes'!$CT62</f>
        <v>0.43642646486395548</v>
      </c>
      <c r="CU60" s="59">
        <f>'C1-Incomes'!CV62/'C1-Incomes'!$CT62</f>
        <v>0.32459224848196605</v>
      </c>
      <c r="CV60" s="59">
        <f>'C1-Incomes'!CW62/'C1-Incomes'!$CT62</f>
        <v>0.17333396834096571</v>
      </c>
      <c r="CW60" s="59">
        <f>'C1-Incomes'!CX62/'C1-Incomes'!$CT62</f>
        <v>0.1354661211229837</v>
      </c>
      <c r="CX60" s="59">
        <f>'C1-Incomes'!CY62/'C1-Incomes'!$CT62</f>
        <v>7.8666650653749212E-2</v>
      </c>
      <c r="CY60" s="59">
        <f>'C1-Incomes'!CZ62/'C1-Incomes'!$CT62</f>
        <v>3.526488229160727E-2</v>
      </c>
      <c r="CZ60" s="59"/>
      <c r="DA60" s="59"/>
      <c r="DB60" s="59">
        <f>'C1-Incomes'!DC62/'C1-Incomes'!$DB62</f>
        <v>0.43769116786232787</v>
      </c>
      <c r="DC60" s="59">
        <f>'C1-Incomes'!DD62/'C1-Incomes'!$DB62</f>
        <v>0.32556786479708505</v>
      </c>
      <c r="DD60" s="59">
        <f>'C1-Incomes'!DE62/'C1-Incomes'!$DB62</f>
        <v>0.17377247971667889</v>
      </c>
      <c r="DE60" s="59">
        <f>'C1-Incomes'!DF62/'C1-Incomes'!$DB62</f>
        <v>0.13585889642181714</v>
      </c>
      <c r="DF60" s="59">
        <f>'C1-Incomes'!DG62/'C1-Incomes'!$DB62</f>
        <v>7.8865310287707685E-2</v>
      </c>
      <c r="DG60" s="59">
        <f>'C1-Incomes'!DH62/'C1-Incomes'!$DB62</f>
        <v>3.5325324301383958E-2</v>
      </c>
      <c r="DH60" s="59"/>
      <c r="DI60" s="1039"/>
      <c r="DJ60" s="59">
        <f>'C1-Incomes'!DK62/'C1-Incomes'!$DJ62</f>
        <v>0.42181441562121785</v>
      </c>
      <c r="DK60" s="59">
        <f>'C1-Incomes'!DL62/'C1-Incomes'!$DJ62</f>
        <v>0.31303761087653453</v>
      </c>
      <c r="DL60" s="59">
        <f>'C1-Incomes'!DM62/'C1-Incomes'!$DJ62</f>
        <v>0.16594306397437861</v>
      </c>
      <c r="DM60" s="59">
        <f>'C1-Incomes'!DN62/'C1-Incomes'!$DJ62</f>
        <v>0.12901608294884684</v>
      </c>
      <c r="DN60" s="59">
        <f>'C1-Incomes'!DO62/'C1-Incomes'!$DJ62</f>
        <v>7.380421218031849E-2</v>
      </c>
      <c r="DO60" s="59">
        <f>'C1-Incomes'!DP62/'C1-Incomes'!$DJ62</f>
        <v>3.2821359640624582E-2</v>
      </c>
      <c r="DP60" s="696"/>
      <c r="DQ60" s="503"/>
      <c r="DR60" s="59">
        <f>'C1-Incomes'!DS62/'C1-Incomes'!$DR62</f>
        <v>0.42074446095523449</v>
      </c>
      <c r="DS60" s="59">
        <f>'C1-Incomes'!DT62/'C1-Incomes'!$DR62</f>
        <v>0.31043530103655942</v>
      </c>
      <c r="DT60" s="59">
        <f>'C1-Incomes'!DU62/'C1-Incomes'!$DR62</f>
        <v>0.16240661627009537</v>
      </c>
      <c r="DU60" s="59">
        <f>'C1-Incomes'!DV62/'C1-Incomes'!$DR62</f>
        <v>0.12566582318635222</v>
      </c>
      <c r="DV60" s="59">
        <f>'C1-Incomes'!DW62/'C1-Incomes'!$DR62</f>
        <v>7.1221848416315278E-2</v>
      </c>
      <c r="DW60" s="59">
        <f>'C1-Incomes'!DX62/'C1-Incomes'!$DR62</f>
        <v>3.1406884387396104E-2</v>
      </c>
      <c r="DX60" s="333"/>
      <c r="DZ60" s="59">
        <f>'C1-Incomes'!EA62/'C1-Incomes'!$DZ62</f>
        <v>0.41301134112820653</v>
      </c>
      <c r="EA60" s="59">
        <f>'C1-Incomes'!EB62/'C1-Incomes'!$DZ62</f>
        <v>0.30291936977765349</v>
      </c>
      <c r="EB60" s="59">
        <f>'C1-Incomes'!EC62/'C1-Incomes'!$DZ62</f>
        <v>0.15694556808265397</v>
      </c>
      <c r="EC60" s="59">
        <f>'C1-Incomes'!ED62/'C1-Incomes'!$DZ62</f>
        <v>0.12118790320985473</v>
      </c>
      <c r="ED60" s="59">
        <f>'C1-Incomes'!EE62/'C1-Incomes'!$DZ62</f>
        <v>6.8512325113814984E-2</v>
      </c>
      <c r="EE60" s="59">
        <f>'C1-Incomes'!EF62/'C1-Incomes'!$DZ62</f>
        <v>3.0166242432594012E-2</v>
      </c>
      <c r="EF60" s="59"/>
      <c r="EH60" s="59">
        <f>'C1-Incomes'!EI62/'C1-Incomes'!$EH62</f>
        <v>0.40233483521508362</v>
      </c>
      <c r="EI60" s="59">
        <f>'C1-Incomes'!EJ62/'C1-Incomes'!$EH62</f>
        <v>0.29202522053868296</v>
      </c>
      <c r="EJ60" s="59">
        <f>'C1-Incomes'!EK62/'C1-Incomes'!$EH62</f>
        <v>0.14927047325684104</v>
      </c>
      <c r="EK60" s="59">
        <f>'C1-Incomes'!EL62/'C1-Incomes'!$EH62</f>
        <v>0.11498028933552726</v>
      </c>
      <c r="EL60" s="59">
        <f>'C1-Incomes'!EM62/'C1-Incomes'!$EH62</f>
        <v>6.4834157444246782E-2</v>
      </c>
      <c r="EM60" s="59">
        <f>'C1-Incomes'!EN62/'C1-Incomes'!$EH62</f>
        <v>2.8513887231188282E-2</v>
      </c>
      <c r="EN60" s="59"/>
      <c r="EO60" s="59"/>
      <c r="EP60" s="59">
        <f>'C1-Incomes'!EQ62/'C1-Incomes'!$EH62</f>
        <v>0.41671102429376972</v>
      </c>
      <c r="EQ60" s="59">
        <f>'C1-Incomes'!ER62/'C1-Incomes'!$EH62</f>
        <v>0.30168489403969601</v>
      </c>
      <c r="ER60" s="59">
        <f>'C1-Incomes'!ES62/'C1-Incomes'!$EH62</f>
        <v>0.15259919178773088</v>
      </c>
      <c r="ES60" s="59">
        <f>'C1-Incomes'!ET62/'C1-Incomes'!$EH62</f>
        <v>0.11718001226951659</v>
      </c>
      <c r="ET60" s="59">
        <f>'C1-Incomes'!EU62/'C1-Incomes'!$EH62</f>
        <v>6.5839727539396972E-2</v>
      </c>
      <c r="EU60" s="59">
        <f>'C1-Incomes'!EV62/'C1-Incomes'!$EH62</f>
        <v>2.8810774294494159E-2</v>
      </c>
      <c r="EV60" s="59"/>
      <c r="EW60" s="59"/>
      <c r="EX60" s="59">
        <f>'C1-Incomes'!EY62/'C1-Incomes'!$EX62</f>
        <v>0.39546114940567656</v>
      </c>
      <c r="EY60" s="59">
        <f>'C1-Incomes'!EZ62/'C1-Incomes'!$EX62</f>
        <v>0.28489594640359545</v>
      </c>
      <c r="EZ60" s="59">
        <f>'C1-Incomes'!FA62/'C1-Incomes'!$EX62</f>
        <v>0.14277984870529348</v>
      </c>
      <c r="FA60" s="59">
        <f>'C1-Incomes'!FB62/'C1-Incomes'!$EX62</f>
        <v>0.10943585382254289</v>
      </c>
      <c r="FB60" s="59">
        <f>'C1-Incomes'!FC62/'C1-Incomes'!$EX62</f>
        <v>6.1335411612925633E-2</v>
      </c>
      <c r="FC60" s="59">
        <f>'C1-Incomes'!FD62/'C1-Incomes'!$EX62</f>
        <v>2.6798409305958632E-2</v>
      </c>
      <c r="FD60" s="59"/>
      <c r="FF60" s="59">
        <f>'C1-Incomes'!FG62/'C1-Incomes'!$FF62</f>
        <v>0.37984860468097542</v>
      </c>
      <c r="FG60" s="59">
        <f>'C1-Incomes'!FH62/'C1-Incomes'!$FF62</f>
        <v>0.27268369091212025</v>
      </c>
      <c r="FH60" s="59">
        <f>'C1-Incomes'!FI62/'C1-Incomes'!$FF62</f>
        <v>0.13590998486770958</v>
      </c>
      <c r="FI60" s="59">
        <f>'C1-Incomes'!FJ62/'C1-Incomes'!$FF62</f>
        <v>0.10401562768937854</v>
      </c>
      <c r="FJ60" s="59">
        <f>'C1-Incomes'!FK62/'C1-Incomes'!$FF62</f>
        <v>5.8169718473790669E-2</v>
      </c>
      <c r="FK60" s="59">
        <f>'C1-Incomes'!FL62/'C1-Incomes'!$FF62</f>
        <v>2.5388329665072699E-2</v>
      </c>
      <c r="FN60" s="59">
        <f>'C1-Incomes'!FO62/'C1-Incomes'!$FN62</f>
        <v>0.37911555585360918</v>
      </c>
      <c r="FO60" s="59">
        <f>'C1-Incomes'!FP62/'C1-Incomes'!$FN62</f>
        <v>0.27213830894165258</v>
      </c>
      <c r="FP60" s="59">
        <f>'C1-Incomes'!FQ62/'C1-Incomes'!$FN62</f>
        <v>0.13559857351111421</v>
      </c>
      <c r="FQ60" s="59">
        <f>'C1-Incomes'!FR62/'C1-Incomes'!$FN62</f>
        <v>0.10378161362772363</v>
      </c>
      <c r="FR60" s="59">
        <f>'C1-Incomes'!FS62/'C1-Incomes'!$FN62</f>
        <v>5.8041223679892638E-2</v>
      </c>
      <c r="FS60" s="59">
        <f>'C1-Incomes'!FT62/'C1-Incomes'!$FN62</f>
        <v>2.5332180709641387E-2</v>
      </c>
      <c r="FV60" s="59">
        <f>'C1-Incomes'!FW62/'C1-Incomes'!$FV62</f>
        <v>0.37279377834436983</v>
      </c>
      <c r="FW60" s="59">
        <f>'C1-Incomes'!FX62/'C1-Incomes'!$FV62</f>
        <v>0.26748878462684228</v>
      </c>
      <c r="FX60" s="59">
        <f>'C1-Incomes'!FY62/'C1-Incomes'!$FV62</f>
        <v>0.13320544354946753</v>
      </c>
      <c r="FY60" s="59">
        <f>'C1-Incomes'!FZ62/'C1-Incomes'!$FV62</f>
        <v>0.10193641426949866</v>
      </c>
      <c r="FZ60" s="59">
        <f>'C1-Incomes'!GA62/'C1-Incomes'!$FV62</f>
        <v>5.7000068616728128E-2</v>
      </c>
      <c r="GA60" s="59">
        <f>'C1-Incomes'!GB62/'C1-Incomes'!$FV62</f>
        <v>2.4876043222942731E-2</v>
      </c>
      <c r="GE60" s="59">
        <f>'C1-Incomes'!GF62/'C1-Incomes'!$GE62</f>
        <v>0.36311002565349337</v>
      </c>
      <c r="GF60" s="59">
        <f>'C1-Incomes'!GG62/'C1-Incomes'!$GE62</f>
        <v>0.25976043211918459</v>
      </c>
      <c r="GG60" s="59">
        <f>'C1-Incomes'!GH62/'C1-Incomes'!$GE62</f>
        <v>0.12914059716816831</v>
      </c>
      <c r="GH60" s="59">
        <f>'C1-Incomes'!GI62/'C1-Incomes'!$GE62</f>
        <v>9.8781030847713031E-2</v>
      </c>
      <c r="GI60" s="59">
        <f>'C1-Incomes'!GJ62/'C1-Incomes'!$GE62</f>
        <v>5.5231721549055569E-2</v>
      </c>
      <c r="GJ60" s="59">
        <f>'C1-Incomes'!GK62/'C1-Incomes'!$GE62</f>
        <v>2.4102813320115667E-2</v>
      </c>
      <c r="GM60" s="59">
        <f>'C1-Incomes'!GN62/'C1-Incomes'!$GM62</f>
        <v>0.34819286328477511</v>
      </c>
      <c r="GN60" s="59">
        <f>'C1-Incomes'!GO62/'C1-Incomes'!$GM62</f>
        <v>0.24908904254265996</v>
      </c>
      <c r="GO60" s="59">
        <f>'C1-Incomes'!GP62/'C1-Incomes'!$GM62</f>
        <v>0.12383528715122835</v>
      </c>
      <c r="GP60" s="59">
        <f>'C1-Incomes'!GQ62/'C1-Incomes'!$GM62</f>
        <v>9.4722942191381485E-2</v>
      </c>
      <c r="GQ60" s="59">
        <f>'C1-Incomes'!GR62/'C1-Incomes'!$GM62</f>
        <v>5.2962710780850221E-2</v>
      </c>
      <c r="GR60" s="59">
        <f>'C1-Incomes'!GS62/'C1-Incomes'!$GM62</f>
        <v>2.3112629754701876E-2</v>
      </c>
      <c r="GU60" s="59">
        <f>'C1-Incomes'!GV62/'C1-Incomes'!$GU62</f>
        <v>0.31762999056348024</v>
      </c>
      <c r="GV60" s="59">
        <f>'C1-Incomes'!GW62/'C1-Incomes'!$GU62</f>
        <v>0.22041316456689686</v>
      </c>
      <c r="GW60" s="59">
        <f>'C1-Incomes'!GX62/'C1-Incomes'!$GU62</f>
        <v>0.10224434799468196</v>
      </c>
      <c r="GX60" s="59">
        <f>'C1-Incomes'!GY62/'C1-Incomes'!$GU62</f>
        <v>7.6433529745498663E-2</v>
      </c>
      <c r="GY60" s="59">
        <f>'C1-Incomes'!GZ62/'C1-Incomes'!$GU62</f>
        <v>4.1269284855597915E-2</v>
      </c>
      <c r="GZ60" s="59">
        <f>'C1-Incomes'!HA62/'C1-Incomes'!$GU62</f>
        <v>1.7840194958796414E-2</v>
      </c>
      <c r="HC60" s="59">
        <f>'C1-Incomes'!HD62/'C1-Incomes'!$HC62</f>
        <v>0.31102642489154392</v>
      </c>
      <c r="HD60" s="59">
        <f>'C1-Incomes'!HE62/'C1-Incomes'!$HC62</f>
        <v>0.21429490919054675</v>
      </c>
      <c r="HE60" s="59">
        <f>'C1-Incomes'!HF62/'C1-Incomes'!$HC62</f>
        <v>9.784207204601203E-2</v>
      </c>
      <c r="HF60" s="59">
        <f>'C1-Incomes'!HG62/'C1-Incomes'!$HC62</f>
        <v>7.2663835272405081E-2</v>
      </c>
      <c r="HG60" s="59">
        <f>'C1-Incomes'!HH62/'C1-Incomes'!$HC62</f>
        <v>3.8756786671182021E-2</v>
      </c>
      <c r="HH60" s="59">
        <f>'C1-Incomes'!HI62/'C1-Incomes'!$HC62</f>
        <v>1.6674900492845073E-2</v>
      </c>
      <c r="HK60" s="59">
        <f>'C1-Incomes'!HL62/'C1-Incomes'!$HK62</f>
        <v>0.30684185474015296</v>
      </c>
      <c r="HL60" s="59">
        <f>'C1-Incomes'!HM62/'C1-Incomes'!$HK62</f>
        <v>0.21054581870048267</v>
      </c>
      <c r="HM60" s="59">
        <f>'C1-Incomes'!HN62/'C1-Incomes'!$HK62</f>
        <v>9.5327172079325229E-2</v>
      </c>
      <c r="HN60" s="59">
        <f>'C1-Incomes'!HO62/'C1-Incomes'!$HK62</f>
        <v>7.0498622341973169E-2</v>
      </c>
      <c r="HO60" s="59">
        <f>'C1-Incomes'!HP62/'C1-Incomes'!$HK62</f>
        <v>3.7210466272419231E-2</v>
      </c>
      <c r="HP60" s="59">
        <f>'C1-Incomes'!HQ62/'C1-Incomes'!$HK62</f>
        <v>1.5802089013413373E-2</v>
      </c>
      <c r="HS60" s="59">
        <f>'C1-Incomes'!HT62/'C1-Incomes'!$HS62</f>
        <v>0.30173031486409652</v>
      </c>
      <c r="HT60" s="59">
        <f>'C1-Incomes'!HU62/'C1-Incomes'!$HS62</f>
        <v>0.20624261960332804</v>
      </c>
      <c r="HU60" s="59">
        <f>'C1-Incomes'!HV62/'C1-Incomes'!$HS62</f>
        <v>9.2743891208860355E-2</v>
      </c>
      <c r="HV60" s="59">
        <f>'C1-Incomes'!HW62/'C1-Incomes'!$HS62</f>
        <v>6.8377423769109533E-2</v>
      </c>
      <c r="HW60" s="59">
        <f>'C1-Incomes'!HX62/'C1-Incomes'!$HS62</f>
        <v>3.5941150595538499E-2</v>
      </c>
      <c r="HX60" s="59">
        <f>'C1-Incomes'!HY62/'C1-Incomes'!$HS62</f>
        <v>1.5195000021326979E-2</v>
      </c>
      <c r="IA60" s="59">
        <f>'C1-Incomes'!IB62/'C1-Incomes'!$IA62</f>
        <v>0.30530880983030184</v>
      </c>
      <c r="IB60" s="59">
        <f>'C1-Incomes'!IC62/'C1-Incomes'!$IA62</f>
        <v>0.21067508658763845</v>
      </c>
      <c r="IC60" s="59">
        <f>'C1-Incomes'!ID62/'C1-Incomes'!$IA62</f>
        <v>9.6739255345187805E-2</v>
      </c>
      <c r="ID60" s="59">
        <f>'C1-Incomes'!IE62/'C1-Incomes'!$IA62</f>
        <v>7.1745516698976886E-2</v>
      </c>
      <c r="IE60" s="59">
        <f>'C1-Incomes'!IF62/'C1-Incomes'!$IA62</f>
        <v>3.8010003445985055E-2</v>
      </c>
      <c r="IF60" s="59">
        <f>'C1-Incomes'!IG62/'C1-Incomes'!$IA62</f>
        <v>1.616606638582541E-2</v>
      </c>
      <c r="II60" s="59">
        <f>'C1-Incomes'!IJ62/'C1-Incomes'!$II62</f>
        <v>0.30582614881694797</v>
      </c>
      <c r="IJ60" s="59">
        <f>'C1-Incomes'!IK62/'C1-Incomes'!$II62</f>
        <v>0.21174330193146426</v>
      </c>
      <c r="IK60" s="59">
        <f>'C1-Incomes'!IL62/'C1-Incomes'!$II62</f>
        <v>9.7947029989139789E-2</v>
      </c>
      <c r="IL60" s="59">
        <f>'C1-Incomes'!IM62/'C1-Incomes'!$II62</f>
        <v>7.2767951788751797E-2</v>
      </c>
      <c r="IM60" s="59">
        <f>'C1-Incomes'!IN62/'C1-Incomes'!$II62</f>
        <v>3.8563858992570491E-2</v>
      </c>
      <c r="IN60" s="59">
        <f>'C1-Incomes'!IO62/'C1-Incomes'!$II62</f>
        <v>1.639822715180075E-2</v>
      </c>
      <c r="IQ60" s="59">
        <f>'C1-Incomes'!IR62/'C1-Incomes'!$IQ62</f>
        <v>0.2992806504705427</v>
      </c>
      <c r="IR60" s="59">
        <f>'C1-Incomes'!IS62/'C1-Incomes'!$IQ62</f>
        <v>0.20591980133613824</v>
      </c>
      <c r="IS60" s="59">
        <f>'C1-Incomes'!IT62/'C1-Incomes'!$IQ62</f>
        <v>9.3862374984194225E-2</v>
      </c>
      <c r="IT60" s="59">
        <f>'C1-Incomes'!IU62/'C1-Incomes'!$IQ62</f>
        <v>6.9423151596270147E-2</v>
      </c>
      <c r="IU60" s="59">
        <f>'C1-Incomes'!IV62/'C1-Incomes'!$IQ62</f>
        <v>3.6421352664344202E-2</v>
      </c>
      <c r="IV60" s="59">
        <f>'C1-Incomes'!IW62/'C1-Incomes'!$IQ62</f>
        <v>1.5444705013185813E-2</v>
      </c>
      <c r="IY60" s="59">
        <f>'C1-Incomes'!IZ62/'C1-Incomes'!$IY62</f>
        <v>0.28124490712257594</v>
      </c>
      <c r="IZ60" s="59">
        <f>'C1-Incomes'!JA62/'C1-Incomes'!$IY62</f>
        <v>0.19200179433048048</v>
      </c>
      <c r="JA60" s="59">
        <f>'C1-Incomes'!JB62/'C1-Incomes'!$IY62</f>
        <v>8.6381387551909522E-2</v>
      </c>
      <c r="JB60" s="59">
        <f>'C1-Incomes'!JC62/'C1-Incomes'!$IY62</f>
        <v>6.3682591855710624E-2</v>
      </c>
      <c r="JC60" s="59">
        <f>'C1-Incomes'!JD62/'C1-Incomes'!$IY62</f>
        <v>3.328272667171378E-2</v>
      </c>
      <c r="JD60" s="59">
        <f>'C1-Incomes'!JE62/'C1-Incomes'!$IY62</f>
        <v>1.4087291178012917E-2</v>
      </c>
      <c r="JE60" s="197"/>
      <c r="JF60" s="197"/>
      <c r="JG60" s="197"/>
      <c r="JH60" s="197"/>
      <c r="JI60" s="197"/>
      <c r="JJ60" s="197"/>
      <c r="JK60" s="197"/>
      <c r="JL60" s="197"/>
      <c r="JM60" s="197"/>
      <c r="JN60" s="197"/>
      <c r="JO60" s="197"/>
      <c r="JP60" s="197"/>
      <c r="JQ60" s="197"/>
      <c r="JR60" s="197"/>
      <c r="JS60" s="197"/>
      <c r="JT60" s="197"/>
      <c r="JU60" s="197"/>
      <c r="JV60" s="197"/>
      <c r="JW60" s="197"/>
      <c r="JX60" s="197"/>
      <c r="JY60" s="197"/>
      <c r="JZ60" s="197"/>
      <c r="KA60" s="197"/>
      <c r="KB60" s="197"/>
      <c r="KC60" s="197"/>
      <c r="KD60" s="197"/>
      <c r="KE60" s="197"/>
      <c r="KF60" s="197"/>
      <c r="KG60" s="197"/>
      <c r="KH60" s="197"/>
      <c r="KI60" s="197"/>
      <c r="KJ60" s="197"/>
      <c r="KK60" s="197"/>
      <c r="KL60" s="197"/>
      <c r="KM60" s="197"/>
      <c r="KN60" s="197"/>
      <c r="KO60" s="197"/>
      <c r="KP60" s="197"/>
      <c r="KQ60" s="197"/>
      <c r="KR60" s="197"/>
      <c r="KS60" s="197"/>
      <c r="KT60" s="197"/>
      <c r="KU60" s="197"/>
      <c r="KV60" s="197"/>
      <c r="KW60" s="197"/>
      <c r="KX60" s="197"/>
      <c r="KY60" s="197"/>
      <c r="KZ60" s="197"/>
      <c r="LA60" s="197"/>
      <c r="LB60" s="197"/>
      <c r="LC60" s="197"/>
      <c r="LD60" s="197"/>
      <c r="LE60" s="197"/>
      <c r="LF60" s="197"/>
      <c r="LG60" s="197"/>
      <c r="LH60" s="197"/>
      <c r="LI60" s="197"/>
      <c r="LJ60" s="197"/>
      <c r="LK60" s="197"/>
      <c r="LL60" s="197"/>
      <c r="LM60" s="197"/>
      <c r="LN60" s="197"/>
      <c r="LO60" s="197"/>
      <c r="LP60" s="197"/>
      <c r="LQ60" s="197"/>
      <c r="LR60" s="197"/>
      <c r="LS60" s="197"/>
      <c r="LT60" s="197"/>
      <c r="LU60" s="197"/>
      <c r="LV60" s="197"/>
      <c r="LW60" s="197"/>
      <c r="LX60" s="197"/>
      <c r="LY60" s="197"/>
      <c r="LZ60" s="197"/>
      <c r="MA60" s="197"/>
      <c r="MB60" s="197"/>
      <c r="MC60" s="197"/>
      <c r="MD60" s="197"/>
      <c r="ME60" s="197"/>
      <c r="MF60" s="197"/>
      <c r="MG60" s="197"/>
      <c r="MH60" s="197"/>
      <c r="MI60" s="197"/>
      <c r="MJ60" s="197"/>
      <c r="MK60" s="197"/>
      <c r="ML60" s="197"/>
      <c r="MM60" s="197"/>
      <c r="MN60" s="197"/>
      <c r="MO60" s="197"/>
      <c r="MP60" s="197"/>
      <c r="MQ60" s="197"/>
      <c r="MR60" s="197"/>
      <c r="MS60" s="197"/>
      <c r="MT60" s="197"/>
      <c r="MU60" s="197"/>
      <c r="MV60" s="197"/>
      <c r="MW60" s="197"/>
      <c r="MX60" s="197"/>
      <c r="MY60" s="197"/>
      <c r="MZ60" s="197"/>
      <c r="NA60" s="197"/>
      <c r="NB60" s="197"/>
      <c r="NC60" s="197"/>
      <c r="ND60" s="197"/>
      <c r="NE60" s="197"/>
      <c r="NF60" s="197"/>
      <c r="NG60" s="197"/>
      <c r="NH60" s="197"/>
      <c r="NI60" s="197"/>
      <c r="NJ60" s="197"/>
      <c r="NK60" s="197"/>
      <c r="NL60" s="197"/>
      <c r="NM60" s="197"/>
      <c r="NN60" s="197"/>
      <c r="NO60" s="197"/>
      <c r="NP60" s="197"/>
      <c r="NQ60" s="197"/>
      <c r="NR60" s="197"/>
      <c r="NS60" s="197"/>
      <c r="NT60" s="197"/>
      <c r="NU60" s="197"/>
      <c r="NV60" s="197"/>
      <c r="NW60" s="197"/>
      <c r="NX60" s="197"/>
      <c r="NY60" s="197"/>
      <c r="NZ60" s="197"/>
      <c r="OA60" s="197"/>
      <c r="OB60" s="197"/>
      <c r="OC60" s="197"/>
      <c r="OD60" s="197"/>
      <c r="OE60" s="197"/>
      <c r="OF60" s="197"/>
      <c r="OG60" s="197"/>
      <c r="OH60" s="197"/>
      <c r="OI60" s="197"/>
      <c r="OJ60" s="197"/>
      <c r="OK60" s="197"/>
      <c r="OL60" s="197"/>
      <c r="OM60" s="197"/>
      <c r="ON60" s="197"/>
      <c r="OO60" s="197"/>
      <c r="OP60" s="197"/>
      <c r="OQ60" s="197"/>
      <c r="OR60" s="197"/>
      <c r="OS60" s="197"/>
      <c r="OT60" s="197"/>
      <c r="OU60" s="197"/>
      <c r="OV60" s="197"/>
      <c r="OW60" s="197"/>
      <c r="OX60" s="197"/>
      <c r="OY60" s="197"/>
      <c r="OZ60" s="197"/>
      <c r="PA60" s="197"/>
      <c r="PB60" s="197"/>
    </row>
    <row r="61" spans="1:418" s="77" customFormat="1" ht="10.5" customHeight="1" x14ac:dyDescent="0.2">
      <c r="A61" s="48">
        <f>A60+1</f>
        <v>2015</v>
      </c>
      <c r="B61" s="59">
        <f>'C1-Incomes'!C63/'C1-Incomes'!$B63</f>
        <v>0.4797522527874038</v>
      </c>
      <c r="C61" s="59">
        <f>'C1-Incomes'!D63/'C1-Incomes'!$B63</f>
        <v>0.35456224486447013</v>
      </c>
      <c r="D61" s="59">
        <f>'C1-Incomes'!E63/'C1-Incomes'!$B63</f>
        <v>0.18562615712261096</v>
      </c>
      <c r="E61" s="59">
        <f>'C1-Incomes'!F63/'C1-Incomes'!$B63</f>
        <v>0.14265405643576215</v>
      </c>
      <c r="F61" s="59">
        <f>'C1-Incomes'!G63/'C1-Incomes'!$B63</f>
        <v>7.9321767414827341E-2</v>
      </c>
      <c r="G61" s="59">
        <f>'C1-Incomes'!H63/'C1-Incomes'!$B63</f>
        <v>3.3885585000463368E-2</v>
      </c>
      <c r="H61" s="59"/>
      <c r="J61" s="59">
        <f>'C1-Incomes'!K63/'C1-Incomes'!$J63</f>
        <v>0.39328481941907656</v>
      </c>
      <c r="K61" s="59">
        <f>'C1-Incomes'!L63/'C1-Incomes'!$J63</f>
        <v>0.28278964051467498</v>
      </c>
      <c r="L61" s="59">
        <f>'C1-Incomes'!M63/'C1-Incomes'!$J63</f>
        <v>0.14118367565625728</v>
      </c>
      <c r="M61" s="59">
        <f>'C1-Incomes'!N63/'C1-Incomes'!$J63</f>
        <v>0.10816056100882566</v>
      </c>
      <c r="N61" s="59">
        <f>'C1-Incomes'!O63/'C1-Incomes'!$J63</f>
        <v>6.050308208043377E-2</v>
      </c>
      <c r="O61" s="59">
        <f>'C1-Incomes'!P63/'C1-Incomes'!$J63</f>
        <v>2.6550838240136664E-2</v>
      </c>
      <c r="P61" s="59"/>
      <c r="R61" s="59">
        <f>'C1-Incomes'!S63/'C1-Incomes'!$R63</f>
        <v>0.34581875020390701</v>
      </c>
      <c r="S61" s="59">
        <f>'C1-Incomes'!T63/'C1-Incomes'!$R63</f>
        <v>0.24686534234316279</v>
      </c>
      <c r="T61" s="59">
        <f>'C1-Incomes'!U63/'C1-Incomes'!$R63</f>
        <v>0.12226367697635226</v>
      </c>
      <c r="U61" s="59">
        <f>'C1-Incomes'!V63/'C1-Incomes'!$R63</f>
        <v>9.3464223070996943E-2</v>
      </c>
      <c r="V61" s="59">
        <f>'C1-Incomes'!W63/'C1-Incomes'!$R63</f>
        <v>5.2152947409730255E-2</v>
      </c>
      <c r="W61" s="59">
        <f>'C1-Incomes'!X63/'C1-Incomes'!$R63</f>
        <v>2.2860841923645805E-2</v>
      </c>
      <c r="X61" s="59"/>
      <c r="Y61" s="59"/>
      <c r="Z61" s="59">
        <f>'C1-Incomes'!AA63/'C1-Incomes'!$Z63</f>
        <v>0.27949007478346288</v>
      </c>
      <c r="AA61" s="59">
        <f>'C1-Incomes'!AB63/'C1-Incomes'!$Z63</f>
        <v>0.19029290739639887</v>
      </c>
      <c r="AB61" s="59">
        <f>'C1-Incomes'!AC63/'C1-Incomes'!$Z63</f>
        <v>8.5472598105556033E-2</v>
      </c>
      <c r="AC61" s="59">
        <f>'C1-Incomes'!AD63/'C1-Incomes'!$Z63</f>
        <v>6.2938221170945788E-2</v>
      </c>
      <c r="AD61" s="59">
        <f>'C1-Incomes'!AE63/'C1-Incomes'!$Z63</f>
        <v>3.3091910019640194E-2</v>
      </c>
      <c r="AE61" s="59">
        <f>'C1-Incomes'!AF63/'C1-Incomes'!$Z63</f>
        <v>1.4202156706370624E-2</v>
      </c>
      <c r="AF61" s="196"/>
      <c r="AG61" s="195"/>
      <c r="AH61" s="59">
        <f>'C1-Incomes'!AI63/'C1-Incomes'!$AH63</f>
        <v>0.47275131816783122</v>
      </c>
      <c r="AI61" s="59">
        <f>'C1-Incomes'!AJ63/'C1-Incomes'!$AH63</f>
        <v>0.34866917376567391</v>
      </c>
      <c r="AJ61" s="59">
        <f>'C1-Incomes'!AK63/'C1-Incomes'!$AH63</f>
        <v>0.18193854994537673</v>
      </c>
      <c r="AK61" s="59">
        <f>'C1-Incomes'!AL63/'C1-Incomes'!$AH63</f>
        <v>0.13973668017627991</v>
      </c>
      <c r="AL61" s="59">
        <f>'C1-Incomes'!AM63/'C1-Incomes'!$AH63</f>
        <v>7.7736857317393618E-2</v>
      </c>
      <c r="AM61" s="59">
        <f>'C1-Incomes'!AN63/'C1-Incomes'!$AH63</f>
        <v>3.3283703020531741E-2</v>
      </c>
      <c r="AN61" s="195"/>
      <c r="AO61" s="195"/>
      <c r="AP61" s="59"/>
      <c r="AQ61" s="59"/>
      <c r="AR61" s="59"/>
      <c r="AS61" s="59"/>
      <c r="AT61" s="59"/>
      <c r="AU61" s="59"/>
      <c r="AV61" s="197"/>
      <c r="AW61" s="60"/>
      <c r="AX61" s="59">
        <f>'C1-Incomes'!AY63/'C1-Incomes'!$AX63</f>
        <v>0.47424648531945796</v>
      </c>
      <c r="AY61" s="59">
        <f>'C1-Incomes'!AZ63/'C1-Incomes'!$AX63</f>
        <v>0.35038332948090184</v>
      </c>
      <c r="AZ61" s="59">
        <f>'C1-Incomes'!BA63/'C1-Incomes'!$AX63</f>
        <v>0.18346745327349573</v>
      </c>
      <c r="BA61" s="59">
        <f>'C1-Incomes'!BB63/'C1-Incomes'!$AX63</f>
        <v>0.14101184505571279</v>
      </c>
      <c r="BB61" s="59">
        <f>'C1-Incomes'!BC63/'C1-Incomes'!$AX63</f>
        <v>7.8438768567978392E-2</v>
      </c>
      <c r="BC61" s="59">
        <f>'C1-Incomes'!BD63/'C1-Incomes'!$AX63</f>
        <v>3.3504026377390306E-2</v>
      </c>
      <c r="BD61" s="60"/>
      <c r="BE61" s="60"/>
      <c r="BF61" s="59">
        <f>'C1-Incomes'!BG63/'C1-Incomes'!$BF63</f>
        <v>0.46338007060386688</v>
      </c>
      <c r="BG61" s="59">
        <f>'C1-Incomes'!BH63/'C1-Incomes'!$BF63</f>
        <v>0.34175083495656983</v>
      </c>
      <c r="BH61" s="59">
        <f>'C1-Incomes'!BI63/'C1-Incomes'!$BF63</f>
        <v>0.1783031585558186</v>
      </c>
      <c r="BI61" s="59">
        <f>'C1-Incomes'!BJ63/'C1-Incomes'!$BF63</f>
        <v>0.13690665089266768</v>
      </c>
      <c r="BJ61" s="59">
        <f>'C1-Incomes'!BK63/'C1-Incomes'!$BF63</f>
        <v>7.5954097647064137E-2</v>
      </c>
      <c r="BK61" s="59">
        <f>'C1-Incomes'!BL63/'C1-Incomes'!$BF63</f>
        <v>3.2099540972292104E-2</v>
      </c>
      <c r="BL61" s="59"/>
      <c r="BM61" s="59"/>
      <c r="BN61" s="59">
        <f>'C1-Incomes'!BO63/'C1-Incomes'!$BN63</f>
        <v>0.41993443411484493</v>
      </c>
      <c r="BO61" s="59">
        <f>'C1-Incomes'!BP63/'C1-Incomes'!$BN63</f>
        <v>0.3073352483267382</v>
      </c>
      <c r="BP61" s="59">
        <f>'C1-Incomes'!BQ63/'C1-Incomes'!$BN63</f>
        <v>0.15950579949102328</v>
      </c>
      <c r="BQ61" s="59">
        <f>'C1-Incomes'!BR63/'C1-Incomes'!$BN63</f>
        <v>0.1231766874555404</v>
      </c>
      <c r="BR61" s="59">
        <f>'C1-Incomes'!BS63/'C1-Incomes'!$BN63</f>
        <v>6.8979909337041664E-2</v>
      </c>
      <c r="BS61" s="59">
        <f>'C1-Incomes'!BT63/'C1-Incomes'!$BN63</f>
        <v>2.9547525825988442E-2</v>
      </c>
      <c r="BT61" s="59"/>
      <c r="BU61" s="59"/>
      <c r="BV61" s="59">
        <f>'C1-Incomes'!BW63/'C1-Incomes'!$BV63</f>
        <v>0.42158441385530832</v>
      </c>
      <c r="BW61" s="59">
        <f>'C1-Incomes'!BX63/'C1-Incomes'!$BV63</f>
        <v>0.3092273879313745</v>
      </c>
      <c r="BX61" s="59">
        <f>'C1-Incomes'!BY63/'C1-Incomes'!$BV63</f>
        <v>0.1613898547580471</v>
      </c>
      <c r="BY61" s="59">
        <f>'C1-Incomes'!BZ63/'C1-Incomes'!$BV63</f>
        <v>0.12495322050745017</v>
      </c>
      <c r="BZ61" s="59">
        <f>'C1-Incomes'!CA63/'C1-Incomes'!$BV63</f>
        <v>7.0424699661875631E-2</v>
      </c>
      <c r="CA61" s="59">
        <f>'C1-Incomes'!CB63/'C1-Incomes'!$BV63</f>
        <v>3.0394813432344139E-2</v>
      </c>
      <c r="CB61" s="60"/>
      <c r="CC61" s="198"/>
      <c r="CD61" s="59">
        <f>'C1-Incomes'!CE63/'C1-Incomes'!$CD63</f>
        <v>0.42914517445364503</v>
      </c>
      <c r="CE61" s="59">
        <f>'C1-Incomes'!CF63/'C1-Incomes'!$CD63</f>
        <v>0.31711285649567061</v>
      </c>
      <c r="CF61" s="59">
        <f>'C1-Incomes'!CG63/'C1-Incomes'!$CD63</f>
        <v>0.16779354164189941</v>
      </c>
      <c r="CG61" s="59">
        <f>'C1-Incomes'!CH63/'C1-Incomes'!$CD63</f>
        <v>0.1307506645745953</v>
      </c>
      <c r="CH61" s="59">
        <f>'C1-Incomes'!CI63/'C1-Incomes'!$CD63</f>
        <v>7.4952857850823645E-2</v>
      </c>
      <c r="CI61" s="59">
        <f>'C1-Incomes'!CJ63/'C1-Incomes'!$CD63</f>
        <v>3.3162757570632535E-2</v>
      </c>
      <c r="CL61" s="59">
        <f>'C1-Incomes'!CM63/'C1-Incomes'!$CL63</f>
        <v>0.43192195581964421</v>
      </c>
      <c r="CM61" s="59">
        <f>'C1-Incomes'!CN63/'C1-Incomes'!$CL63</f>
        <v>0.31984443972409587</v>
      </c>
      <c r="CN61" s="59">
        <f>'C1-Incomes'!CO63/'C1-Incomes'!$CL63</f>
        <v>0.16952793611131428</v>
      </c>
      <c r="CO61" s="59">
        <f>'C1-Incomes'!CP63/'C1-Incomes'!$CL63</f>
        <v>0.13235432329157246</v>
      </c>
      <c r="CP61" s="59">
        <f>'C1-Incomes'!CQ63/'C1-Incomes'!$CL63</f>
        <v>7.6339098344864853E-2</v>
      </c>
      <c r="CQ61" s="59">
        <f>'C1-Incomes'!CR63/'C1-Incomes'!$CL63</f>
        <v>3.4099411932411873E-2</v>
      </c>
      <c r="CR61" s="59"/>
      <c r="CS61" s="59"/>
      <c r="CT61" s="59">
        <f>'C1-Incomes'!CU63/'C1-Incomes'!$CT63</f>
        <v>0.43502352545286277</v>
      </c>
      <c r="CU61" s="59">
        <f>'C1-Incomes'!CV63/'C1-Incomes'!$CT63</f>
        <v>0.32312759870609897</v>
      </c>
      <c r="CV61" s="59">
        <f>'C1-Incomes'!CW63/'C1-Incomes'!$CT63</f>
        <v>0.1721211723309696</v>
      </c>
      <c r="CW61" s="59">
        <f>'C1-Incomes'!CX63/'C1-Incomes'!$CT63</f>
        <v>0.13459822678087188</v>
      </c>
      <c r="CX61" s="59">
        <f>'C1-Incomes'!CY63/'C1-Incomes'!$CT63</f>
        <v>7.7964993780884534E-2</v>
      </c>
      <c r="CY61" s="59">
        <f>'C1-Incomes'!CZ63/'C1-Incomes'!$CT63</f>
        <v>3.5008566301514103E-2</v>
      </c>
      <c r="CZ61" s="59"/>
      <c r="DA61" s="59"/>
      <c r="DB61" s="59">
        <f>'C1-Incomes'!DC63/'C1-Incomes'!$DB63</f>
        <v>0.43527207764572795</v>
      </c>
      <c r="DC61" s="59">
        <f>'C1-Incomes'!DD63/'C1-Incomes'!$DB63</f>
        <v>0.32337389325241855</v>
      </c>
      <c r="DD61" s="59">
        <f>'C1-Incomes'!DE63/'C1-Incomes'!$DB63</f>
        <v>0.17226577574121224</v>
      </c>
      <c r="DE61" s="59">
        <f>'C1-Incomes'!DF63/'C1-Incomes'!$DB63</f>
        <v>0.1347076760567594</v>
      </c>
      <c r="DF61" s="59">
        <f>'C1-Incomes'!DG63/'C1-Incomes'!$DB63</f>
        <v>7.8037191436840153E-2</v>
      </c>
      <c r="DG61" s="59">
        <f>'C1-Incomes'!DH63/'C1-Incomes'!$DB63</f>
        <v>3.502987515761026E-2</v>
      </c>
      <c r="DH61" s="59"/>
      <c r="DI61" s="1039"/>
      <c r="DJ61" s="59">
        <f>'C1-Incomes'!DK63/'C1-Incomes'!$DJ63</f>
        <v>0.4196134618298486</v>
      </c>
      <c r="DK61" s="59">
        <f>'C1-Incomes'!DL63/'C1-Incomes'!$DJ63</f>
        <v>0.31090943905218649</v>
      </c>
      <c r="DL61" s="59">
        <f>'C1-Incomes'!DM63/'C1-Incomes'!$DJ63</f>
        <v>0.16431581664292172</v>
      </c>
      <c r="DM61" s="59">
        <f>'C1-Incomes'!DN63/'C1-Incomes'!$DJ63</f>
        <v>0.12772216903475311</v>
      </c>
      <c r="DN61" s="59">
        <f>'C1-Incomes'!DO63/'C1-Incomes'!$DJ63</f>
        <v>7.2948621468494748E-2</v>
      </c>
      <c r="DO61" s="59">
        <f>'C1-Incomes'!DP63/'C1-Incomes'!$DJ63</f>
        <v>3.2551327333181404E-2</v>
      </c>
      <c r="DP61" s="696"/>
      <c r="DQ61" s="503"/>
      <c r="DR61" s="59">
        <f>'C1-Incomes'!DS63/'C1-Incomes'!$DR63</f>
        <v>0.41879066806696441</v>
      </c>
      <c r="DS61" s="59">
        <f>'C1-Incomes'!DT63/'C1-Incomes'!$DR63</f>
        <v>0.30855542927363083</v>
      </c>
      <c r="DT61" s="59">
        <f>'C1-Incomes'!DU63/'C1-Incomes'!$DR63</f>
        <v>0.16081478858004195</v>
      </c>
      <c r="DU61" s="59">
        <f>'C1-Incomes'!DV63/'C1-Incomes'!$DR63</f>
        <v>0.12444481677025142</v>
      </c>
      <c r="DV61" s="59">
        <f>'C1-Incomes'!DW63/'C1-Incomes'!$DR63</f>
        <v>7.0365510731876982E-2</v>
      </c>
      <c r="DW61" s="59">
        <f>'C1-Incomes'!DX63/'C1-Incomes'!$DR63</f>
        <v>3.1133035069283384E-2</v>
      </c>
      <c r="DX61" s="333"/>
      <c r="DZ61" s="59">
        <f>'C1-Incomes'!EA63/'C1-Incomes'!$DZ63</f>
        <v>0.41099802416266396</v>
      </c>
      <c r="EA61" s="59">
        <f>'C1-Incomes'!EB63/'C1-Incomes'!$DZ63</f>
        <v>0.30100591920909381</v>
      </c>
      <c r="EB61" s="59">
        <f>'C1-Incomes'!EC63/'C1-Incomes'!$DZ63</f>
        <v>0.15540986235786633</v>
      </c>
      <c r="EC61" s="59">
        <f>'C1-Incomes'!ED63/'C1-Incomes'!$DZ63</f>
        <v>0.12000248864692767</v>
      </c>
      <c r="ED61" s="59">
        <f>'C1-Incomes'!EE63/'C1-Incomes'!$DZ63</f>
        <v>6.7672909559264915E-2</v>
      </c>
      <c r="EE61" s="59">
        <f>'C1-Incomes'!EF63/'C1-Incomes'!$DZ63</f>
        <v>2.98966930887095E-2</v>
      </c>
      <c r="EF61" s="59"/>
      <c r="EH61" s="59">
        <f>'C1-Incomes'!EI63/'C1-Incomes'!$EH63</f>
        <v>0.40021361523578647</v>
      </c>
      <c r="EI61" s="59">
        <f>'C1-Incomes'!EJ63/'C1-Incomes'!$EH63</f>
        <v>0.2901164687319096</v>
      </c>
      <c r="EJ61" s="59">
        <f>'C1-Incomes'!EK63/'C1-Incomes'!$EH63</f>
        <v>0.14772678602813641</v>
      </c>
      <c r="EK61" s="59">
        <f>'C1-Incomes'!EL63/'C1-Incomes'!$EH63</f>
        <v>0.11378056459051925</v>
      </c>
      <c r="EL61" s="59">
        <f>'C1-Incomes'!EM63/'C1-Incomes'!$EH63</f>
        <v>6.3998983667308565E-2</v>
      </c>
      <c r="EM61" s="59">
        <f>'C1-Incomes'!EN63/'C1-Incomes'!$EH63</f>
        <v>2.8244771444152553E-2</v>
      </c>
      <c r="EN61" s="59"/>
      <c r="EO61" s="59"/>
      <c r="EP61" s="59">
        <f>'C1-Incomes'!EQ63/'C1-Incomes'!$EH63</f>
        <v>0.41474460605691305</v>
      </c>
      <c r="EQ61" s="59">
        <f>'C1-Incomes'!ER63/'C1-Incomes'!$EH63</f>
        <v>0.29969151911527381</v>
      </c>
      <c r="ER61" s="59">
        <f>'C1-Incomes'!ES63/'C1-Incomes'!$EH63</f>
        <v>0.15101607404494291</v>
      </c>
      <c r="ES61" s="59">
        <f>'C1-Incomes'!ET63/'C1-Incomes'!$EH63</f>
        <v>0.11592431746117374</v>
      </c>
      <c r="ET61" s="59">
        <f>'C1-Incomes'!EU63/'C1-Incomes'!$EH63</f>
        <v>6.496037928061564E-2</v>
      </c>
      <c r="EU61" s="59">
        <f>'C1-Incomes'!EV63/'C1-Incomes'!$EH63</f>
        <v>2.8548571134265097E-2</v>
      </c>
      <c r="EV61" s="59"/>
      <c r="EW61" s="59"/>
      <c r="EX61" s="59">
        <f>'C1-Incomes'!EY63/'C1-Incomes'!$EX63</f>
        <v>0.39328481941907656</v>
      </c>
      <c r="EY61" s="59">
        <f>'C1-Incomes'!EZ63/'C1-Incomes'!$EX63</f>
        <v>0.28278964051467498</v>
      </c>
      <c r="EZ61" s="59">
        <f>'C1-Incomes'!FA63/'C1-Incomes'!$EX63</f>
        <v>0.14118367565625728</v>
      </c>
      <c r="FA61" s="59">
        <f>'C1-Incomes'!FB63/'C1-Incomes'!$EX63</f>
        <v>0.10816056100882566</v>
      </c>
      <c r="FB61" s="59">
        <f>'C1-Incomes'!FC63/'C1-Incomes'!$EX63</f>
        <v>6.050308208043377E-2</v>
      </c>
      <c r="FC61" s="59">
        <f>'C1-Incomes'!FD63/'C1-Incomes'!$EX63</f>
        <v>2.6550838240136664E-2</v>
      </c>
      <c r="FD61" s="59"/>
      <c r="FF61" s="59">
        <f>'C1-Incomes'!FG63/'C1-Incomes'!$FF63</f>
        <v>0.3777710630390036</v>
      </c>
      <c r="FG61" s="59">
        <f>'C1-Incomes'!FH63/'C1-Incomes'!$FF63</f>
        <v>0.27064894419742147</v>
      </c>
      <c r="FH61" s="59">
        <f>'C1-Incomes'!FI63/'C1-Incomes'!$FF63</f>
        <v>0.13438787882080966</v>
      </c>
      <c r="FI61" s="59">
        <f>'C1-Incomes'!FJ63/'C1-Incomes'!$FF63</f>
        <v>0.10276085891336609</v>
      </c>
      <c r="FJ61" s="59">
        <f>'C1-Incomes'!FK63/'C1-Incomes'!$FF63</f>
        <v>5.7366584978840368E-2</v>
      </c>
      <c r="FK61" s="59">
        <f>'C1-Incomes'!FL63/'C1-Incomes'!$FF63</f>
        <v>2.5149202124127669E-2</v>
      </c>
      <c r="FN61" s="59">
        <f>'C1-Incomes'!FO63/'C1-Incomes'!$FN63</f>
        <v>0.37716350575119234</v>
      </c>
      <c r="FO61" s="59">
        <f>'C1-Incomes'!FP63/'C1-Incomes'!$FN63</f>
        <v>0.27018559423532706</v>
      </c>
      <c r="FP61" s="59">
        <f>'C1-Incomes'!FQ63/'C1-Incomes'!$FN63</f>
        <v>0.13413385193375246</v>
      </c>
      <c r="FQ61" s="59">
        <f>'C1-Incomes'!FR63/'C1-Incomes'!$FN63</f>
        <v>0.10256382303551266</v>
      </c>
      <c r="FR61" s="59">
        <f>'C1-Incomes'!FS63/'C1-Incomes'!$FN63</f>
        <v>5.7256008507799133E-2</v>
      </c>
      <c r="FS61" s="59">
        <f>'C1-Incomes'!FT63/'C1-Incomes'!$FN63</f>
        <v>2.5100668509173276E-2</v>
      </c>
      <c r="FV61" s="59">
        <f>'C1-Incomes'!FW63/'C1-Incomes'!$FV63</f>
        <v>0.37074913843860507</v>
      </c>
      <c r="FW61" s="59">
        <f>'C1-Incomes'!FX63/'C1-Incomes'!$FV63</f>
        <v>0.26547616744465963</v>
      </c>
      <c r="FX61" s="59">
        <f>'C1-Incomes'!FY63/'C1-Incomes'!$FV63</f>
        <v>0.13171746776085341</v>
      </c>
      <c r="FY61" s="59">
        <f>'C1-Incomes'!FZ63/'C1-Incomes'!$FV63</f>
        <v>0.10070216943273745</v>
      </c>
      <c r="FZ61" s="59">
        <f>'C1-Incomes'!GA63/'C1-Incomes'!$FV63</f>
        <v>5.6207272302346421E-2</v>
      </c>
      <c r="GA61" s="59">
        <f>'C1-Incomes'!GB63/'C1-Incomes'!$FV63</f>
        <v>2.463911973850191E-2</v>
      </c>
      <c r="GE61" s="59">
        <f>'C1-Incomes'!GF63/'C1-Incomes'!$GE63</f>
        <v>0.36099907010192339</v>
      </c>
      <c r="GF61" s="59">
        <f>'C1-Incomes'!GG63/'C1-Incomes'!$GE63</f>
        <v>0.25770192904152106</v>
      </c>
      <c r="GG61" s="59">
        <f>'C1-Incomes'!GH63/'C1-Incomes'!$GE63</f>
        <v>0.12763065527731021</v>
      </c>
      <c r="GH61" s="59">
        <f>'C1-Incomes'!GI63/'C1-Incomes'!$GE63</f>
        <v>9.7566998887521378E-2</v>
      </c>
      <c r="GI61" s="59">
        <f>'C1-Incomes'!GJ63/'C1-Incomes'!$GE63</f>
        <v>5.444229240573558E-2</v>
      </c>
      <c r="GJ61" s="59">
        <f>'C1-Incomes'!GK63/'C1-Incomes'!$GE63</f>
        <v>2.3864358630979646E-2</v>
      </c>
      <c r="GM61" s="59">
        <f>'C1-Incomes'!GN63/'C1-Incomes'!$GM63</f>
        <v>0.34581875020390701</v>
      </c>
      <c r="GN61" s="59">
        <f>'C1-Incomes'!GO63/'C1-Incomes'!$GM63</f>
        <v>0.24686534234316279</v>
      </c>
      <c r="GO61" s="59">
        <f>'C1-Incomes'!GP63/'C1-Incomes'!$GM63</f>
        <v>0.12226367697635226</v>
      </c>
      <c r="GP61" s="59">
        <f>'C1-Incomes'!GQ63/'C1-Incomes'!$GM63</f>
        <v>9.3464223070996943E-2</v>
      </c>
      <c r="GQ61" s="59">
        <f>'C1-Incomes'!GR63/'C1-Incomes'!$GM63</f>
        <v>5.2152947409730255E-2</v>
      </c>
      <c r="GR61" s="59">
        <f>'C1-Incomes'!GS63/'C1-Incomes'!$GM63</f>
        <v>2.2860841923645805E-2</v>
      </c>
      <c r="GU61" s="59">
        <f>'C1-Incomes'!GV63/'C1-Incomes'!$GU63</f>
        <v>0.31451552619947609</v>
      </c>
      <c r="GV61" s="59">
        <f>'C1-Incomes'!GW63/'C1-Incomes'!$GU63</f>
        <v>0.21762982239347714</v>
      </c>
      <c r="GW61" s="59">
        <f>'C1-Incomes'!GX63/'C1-Incomes'!$GU63</f>
        <v>0.10063841068910727</v>
      </c>
      <c r="GX61" s="59">
        <f>'C1-Incomes'!GY63/'C1-Incomes'!$GU63</f>
        <v>7.5106397979347164E-2</v>
      </c>
      <c r="GY61" s="59">
        <f>'C1-Incomes'!GZ63/'C1-Incomes'!$GU63</f>
        <v>4.0686818009269002E-2</v>
      </c>
      <c r="GZ61" s="59">
        <f>'C1-Incomes'!HA63/'C1-Incomes'!$GU63</f>
        <v>1.7803314691122608E-2</v>
      </c>
      <c r="HC61" s="59">
        <f>'C1-Incomes'!HD63/'C1-Incomes'!$HC63</f>
        <v>0.30766800537785133</v>
      </c>
      <c r="HD61" s="59">
        <f>'C1-Incomes'!HE63/'C1-Incomes'!$HC63</f>
        <v>0.21128939966937069</v>
      </c>
      <c r="HE61" s="59">
        <f>'C1-Incomes'!HF63/'C1-Incomes'!$HC63</f>
        <v>9.6020168615460283E-2</v>
      </c>
      <c r="HF61" s="59">
        <f>'C1-Incomes'!HG63/'C1-Incomes'!$HC63</f>
        <v>7.120443764260094E-2</v>
      </c>
      <c r="HG61" s="59">
        <f>'C1-Incomes'!HH63/'C1-Incomes'!$HC63</f>
        <v>3.8115988082193727E-2</v>
      </c>
      <c r="HH61" s="59">
        <f>'C1-Incomes'!HI63/'C1-Incomes'!$HC63</f>
        <v>1.6603025927424381E-2</v>
      </c>
      <c r="HK61" s="59">
        <f>'C1-Incomes'!HL63/'C1-Incomes'!$HK63</f>
        <v>0.30397147035773436</v>
      </c>
      <c r="HL61" s="59">
        <f>'C1-Incomes'!HM63/'C1-Incomes'!$HK63</f>
        <v>0.20791359488654515</v>
      </c>
      <c r="HM61" s="59">
        <f>'C1-Incomes'!HN63/'C1-Incomes'!$HK63</f>
        <v>9.3691887984854769E-2</v>
      </c>
      <c r="HN61" s="59">
        <f>'C1-Incomes'!HO63/'C1-Incomes'!$HK63</f>
        <v>6.918252649640079E-2</v>
      </c>
      <c r="HO61" s="59">
        <f>'C1-Incomes'!HP63/'C1-Incomes'!$HK63</f>
        <v>3.6672452825963216E-2</v>
      </c>
      <c r="HP61" s="59">
        <f>'C1-Incomes'!HQ63/'C1-Incomes'!$HK63</f>
        <v>1.5766864952362399E-2</v>
      </c>
      <c r="HS61" s="59">
        <f>'C1-Incomes'!HT63/'C1-Incomes'!$HS63</f>
        <v>0.29911996489757209</v>
      </c>
      <c r="HT61" s="59">
        <f>'C1-Incomes'!HU63/'C1-Incomes'!$HS63</f>
        <v>0.20377098701924842</v>
      </c>
      <c r="HU61" s="59">
        <f>'C1-Incomes'!HV63/'C1-Incomes'!$HS63</f>
        <v>9.1186228668997241E-2</v>
      </c>
      <c r="HV61" s="59">
        <f>'C1-Incomes'!HW63/'C1-Incomes'!$HS63</f>
        <v>6.7150358454863016E-2</v>
      </c>
      <c r="HW61" s="59">
        <f>'C1-Incomes'!HX63/'C1-Incomes'!$HS63</f>
        <v>3.5442673028458493E-2</v>
      </c>
      <c r="HX61" s="59">
        <f>'C1-Incomes'!HY63/'C1-Incomes'!$HS63</f>
        <v>1.5183200901664896E-2</v>
      </c>
      <c r="IA61" s="59">
        <f>'C1-Incomes'!IB63/'C1-Incomes'!$IA63</f>
        <v>0.30244347873007849</v>
      </c>
      <c r="IB61" s="59">
        <f>'C1-Incomes'!IC63/'C1-Incomes'!$IA63</f>
        <v>0.20803939178752032</v>
      </c>
      <c r="IC61" s="59">
        <f>'C1-Incomes'!ID63/'C1-Incomes'!$IA63</f>
        <v>9.5105665030894682E-2</v>
      </c>
      <c r="ID61" s="59">
        <f>'C1-Incomes'!IE63/'C1-Incomes'!$IA63</f>
        <v>7.0425629807291737E-2</v>
      </c>
      <c r="IE61" s="59">
        <f>'C1-Incomes'!IF63/'C1-Incomes'!$IA63</f>
        <v>3.7472571276880251E-2</v>
      </c>
      <c r="IF61" s="59">
        <f>'C1-Incomes'!IG63/'C1-Incomes'!$IA63</f>
        <v>1.6146651891525435E-2</v>
      </c>
      <c r="II61" s="59">
        <f>'C1-Incomes'!IJ63/'C1-Incomes'!$II63</f>
        <v>0.30264968735898412</v>
      </c>
      <c r="IJ61" s="59">
        <f>'C1-Incomes'!IK63/'C1-Incomes'!$II63</f>
        <v>0.20893481343991804</v>
      </c>
      <c r="IK61" s="59">
        <f>'C1-Incomes'!IL63/'C1-Incomes'!$II63</f>
        <v>9.6154183950202463E-2</v>
      </c>
      <c r="IL61" s="59">
        <f>'C1-Incomes'!IM63/'C1-Incomes'!$II63</f>
        <v>7.1299266647067205E-2</v>
      </c>
      <c r="IM61" s="59">
        <f>'C1-Incomes'!IN63/'C1-Incomes'!$II63</f>
        <v>3.7938446115524153E-2</v>
      </c>
      <c r="IN61" s="59">
        <f>'C1-Incomes'!IO63/'C1-Incomes'!$II63</f>
        <v>1.6342888345497231E-2</v>
      </c>
      <c r="IQ61" s="59">
        <f>'C1-Incomes'!IR63/'C1-Incomes'!$IQ63</f>
        <v>0.29695160888135874</v>
      </c>
      <c r="IR61" s="59">
        <f>'C1-Incomes'!IS63/'C1-Incomes'!$IQ63</f>
        <v>0.20388355091453597</v>
      </c>
      <c r="IS61" s="59">
        <f>'C1-Incomes'!IT63/'C1-Incomes'!$IQ63</f>
        <v>9.2657948420836148E-2</v>
      </c>
      <c r="IT61" s="59">
        <f>'C1-Incomes'!IU63/'C1-Incomes'!$IQ63</f>
        <v>6.844422784779837E-2</v>
      </c>
      <c r="IU61" s="59">
        <f>'C1-Incomes'!IV63/'C1-Incomes'!$IQ63</f>
        <v>3.6131655236022443E-2</v>
      </c>
      <c r="IV61" s="59">
        <f>'C1-Incomes'!IW63/'C1-Incomes'!$IQ63</f>
        <v>1.5540149698332558E-2</v>
      </c>
      <c r="IY61" s="59">
        <f>'C1-Incomes'!IZ63/'C1-Incomes'!$IY63</f>
        <v>0.27949007478346288</v>
      </c>
      <c r="IZ61" s="59">
        <f>'C1-Incomes'!JA63/'C1-Incomes'!$IY63</f>
        <v>0.19029290739639887</v>
      </c>
      <c r="JA61" s="59">
        <f>'C1-Incomes'!JB63/'C1-Incomes'!$IY63</f>
        <v>8.5472598105556033E-2</v>
      </c>
      <c r="JB61" s="59">
        <f>'C1-Incomes'!JC63/'C1-Incomes'!$IY63</f>
        <v>6.2938221170945788E-2</v>
      </c>
      <c r="JC61" s="59">
        <f>'C1-Incomes'!JD63/'C1-Incomes'!$IY63</f>
        <v>3.3091910019640194E-2</v>
      </c>
      <c r="JD61" s="59">
        <f>'C1-Incomes'!JE63/'C1-Incomes'!$IY63</f>
        <v>1.4202156706370624E-2</v>
      </c>
      <c r="JE61" s="197"/>
      <c r="JF61" s="197"/>
      <c r="JG61" s="197"/>
      <c r="JH61" s="197"/>
      <c r="JI61" s="197"/>
      <c r="JJ61" s="197"/>
      <c r="JK61" s="197"/>
      <c r="JL61" s="197"/>
      <c r="JM61" s="197"/>
      <c r="JN61" s="197"/>
      <c r="JO61" s="197"/>
      <c r="JP61" s="197"/>
      <c r="JQ61" s="197"/>
      <c r="JR61" s="197"/>
      <c r="JS61" s="197"/>
      <c r="JT61" s="197"/>
      <c r="JU61" s="197"/>
      <c r="JV61" s="197"/>
      <c r="JW61" s="197"/>
      <c r="JX61" s="197"/>
      <c r="JY61" s="197"/>
      <c r="JZ61" s="197"/>
      <c r="KA61" s="197"/>
      <c r="KB61" s="197"/>
      <c r="KC61" s="197"/>
      <c r="KD61" s="197"/>
      <c r="KE61" s="197"/>
      <c r="KF61" s="197"/>
      <c r="KG61" s="197"/>
      <c r="KH61" s="197"/>
      <c r="KI61" s="197"/>
      <c r="KJ61" s="197"/>
      <c r="KK61" s="197"/>
      <c r="KL61" s="197"/>
      <c r="KM61" s="197"/>
      <c r="KN61" s="197"/>
      <c r="KO61" s="197"/>
      <c r="KP61" s="197"/>
      <c r="KQ61" s="197"/>
      <c r="KR61" s="197"/>
      <c r="KS61" s="197"/>
      <c r="KT61" s="197"/>
      <c r="KU61" s="197"/>
      <c r="KV61" s="197"/>
      <c r="KW61" s="197"/>
      <c r="KX61" s="197"/>
      <c r="KY61" s="197"/>
      <c r="KZ61" s="197"/>
      <c r="LA61" s="197"/>
      <c r="LB61" s="197"/>
      <c r="LC61" s="197"/>
      <c r="LD61" s="197"/>
      <c r="LE61" s="197"/>
      <c r="LF61" s="197"/>
      <c r="LG61" s="197"/>
      <c r="LH61" s="197"/>
      <c r="LI61" s="197"/>
      <c r="LJ61" s="197"/>
      <c r="LK61" s="197"/>
      <c r="LL61" s="197"/>
      <c r="LM61" s="197"/>
      <c r="LN61" s="197"/>
      <c r="LO61" s="197"/>
      <c r="LP61" s="197"/>
      <c r="LQ61" s="197"/>
      <c r="LR61" s="197"/>
      <c r="LS61" s="197"/>
      <c r="LT61" s="197"/>
      <c r="LU61" s="197"/>
      <c r="LV61" s="197"/>
      <c r="LW61" s="197"/>
      <c r="LX61" s="197"/>
      <c r="LY61" s="197"/>
      <c r="LZ61" s="197"/>
      <c r="MA61" s="197"/>
      <c r="MB61" s="197"/>
      <c r="MC61" s="197"/>
      <c r="MD61" s="197"/>
      <c r="ME61" s="197"/>
      <c r="MF61" s="197"/>
      <c r="MG61" s="197"/>
      <c r="MH61" s="197"/>
      <c r="MI61" s="197"/>
      <c r="MJ61" s="197"/>
      <c r="MK61" s="197"/>
      <c r="ML61" s="197"/>
      <c r="MM61" s="197"/>
      <c r="MN61" s="197"/>
      <c r="MO61" s="197"/>
      <c r="MP61" s="197"/>
      <c r="MQ61" s="197"/>
      <c r="MR61" s="197"/>
      <c r="MS61" s="197"/>
      <c r="MT61" s="197"/>
      <c r="MU61" s="197"/>
      <c r="MV61" s="197"/>
      <c r="MW61" s="197"/>
      <c r="MX61" s="197"/>
      <c r="MY61" s="197"/>
      <c r="MZ61" s="197"/>
      <c r="NA61" s="197"/>
      <c r="NB61" s="197"/>
      <c r="NC61" s="197"/>
      <c r="ND61" s="197"/>
      <c r="NE61" s="197"/>
      <c r="NF61" s="197"/>
      <c r="NG61" s="197"/>
      <c r="NH61" s="197"/>
      <c r="NI61" s="197"/>
      <c r="NJ61" s="197"/>
      <c r="NK61" s="197"/>
      <c r="NL61" s="197"/>
      <c r="NM61" s="197"/>
      <c r="NN61" s="197"/>
      <c r="NO61" s="197"/>
      <c r="NP61" s="197"/>
      <c r="NQ61" s="197"/>
      <c r="NR61" s="197"/>
      <c r="NS61" s="197"/>
      <c r="NT61" s="197"/>
      <c r="NU61" s="197"/>
      <c r="NV61" s="197"/>
      <c r="NW61" s="197"/>
      <c r="NX61" s="197"/>
      <c r="NY61" s="197"/>
      <c r="NZ61" s="197"/>
      <c r="OA61" s="197"/>
      <c r="OB61" s="197"/>
      <c r="OC61" s="197"/>
      <c r="OD61" s="197"/>
      <c r="OE61" s="197"/>
      <c r="OF61" s="197"/>
      <c r="OG61" s="197"/>
      <c r="OH61" s="197"/>
      <c r="OI61" s="197"/>
      <c r="OJ61" s="197"/>
      <c r="OK61" s="197"/>
      <c r="OL61" s="197"/>
      <c r="OM61" s="197"/>
      <c r="ON61" s="197"/>
      <c r="OO61" s="197"/>
      <c r="OP61" s="197"/>
      <c r="OQ61" s="197"/>
      <c r="OR61" s="197"/>
      <c r="OS61" s="197"/>
      <c r="OT61" s="197"/>
      <c r="OU61" s="197"/>
      <c r="OV61" s="197"/>
      <c r="OW61" s="197"/>
      <c r="OX61" s="197"/>
      <c r="OY61" s="197"/>
      <c r="OZ61" s="197"/>
      <c r="PA61" s="197"/>
      <c r="PB61" s="197"/>
    </row>
    <row r="62" spans="1:418" s="125" customFormat="1" ht="8.25" customHeight="1" x14ac:dyDescent="0.3">
      <c r="A62" s="123"/>
      <c r="B62" s="55"/>
      <c r="C62" s="123"/>
      <c r="D62" s="123"/>
      <c r="E62" s="123"/>
      <c r="F62" s="123"/>
      <c r="G62" s="123"/>
      <c r="H62" s="123"/>
      <c r="JE62" s="61"/>
      <c r="JF62" s="61"/>
      <c r="JG62" s="61"/>
      <c r="JH62" s="61"/>
      <c r="JI62" s="61"/>
      <c r="JJ62" s="61"/>
      <c r="JK62" s="61"/>
      <c r="JL62" s="61"/>
      <c r="JM62" s="61"/>
      <c r="JN62" s="61"/>
      <c r="JO62" s="61"/>
      <c r="JP62" s="61"/>
      <c r="JQ62" s="61"/>
      <c r="JR62" s="61"/>
      <c r="JS62" s="61"/>
      <c r="JT62" s="61"/>
      <c r="JU62" s="61"/>
      <c r="JV62" s="61"/>
      <c r="JW62" s="61"/>
      <c r="JX62" s="61"/>
      <c r="JY62" s="61"/>
      <c r="JZ62" s="61"/>
      <c r="KA62" s="61"/>
      <c r="KB62" s="61"/>
      <c r="KC62" s="61"/>
      <c r="KD62" s="61"/>
      <c r="KE62" s="61"/>
      <c r="KF62" s="61"/>
      <c r="KG62" s="61"/>
      <c r="KH62" s="61"/>
      <c r="KI62" s="61"/>
      <c r="KJ62" s="61"/>
      <c r="KK62" s="61"/>
      <c r="KL62" s="61"/>
      <c r="KM62" s="61"/>
      <c r="KN62" s="61"/>
      <c r="KO62" s="61"/>
      <c r="KP62" s="61"/>
      <c r="KQ62" s="61"/>
      <c r="KR62" s="61"/>
      <c r="KS62" s="61"/>
      <c r="KT62" s="61"/>
      <c r="KU62" s="61"/>
      <c r="KV62" s="61"/>
      <c r="KW62" s="61"/>
      <c r="KX62" s="61"/>
      <c r="KY62" s="61"/>
      <c r="KZ62" s="61"/>
      <c r="LA62" s="61"/>
      <c r="LB62" s="61"/>
      <c r="LC62" s="61"/>
      <c r="LD62" s="61"/>
      <c r="LE62" s="61"/>
      <c r="LF62" s="61"/>
      <c r="LG62" s="61"/>
      <c r="LH62" s="61"/>
      <c r="LI62" s="61"/>
      <c r="LJ62" s="61"/>
      <c r="LK62" s="61"/>
      <c r="LL62" s="61"/>
      <c r="LM62" s="61"/>
      <c r="LN62" s="61"/>
      <c r="LO62" s="61"/>
      <c r="LP62" s="61"/>
      <c r="LQ62" s="61"/>
      <c r="LR62" s="61"/>
      <c r="LS62" s="61"/>
      <c r="LT62" s="61"/>
      <c r="LU62" s="61"/>
      <c r="LV62" s="61"/>
      <c r="LW62" s="61"/>
      <c r="LX62" s="61"/>
      <c r="LY62" s="61"/>
      <c r="LZ62" s="61"/>
      <c r="MA62" s="61"/>
      <c r="MB62" s="61"/>
      <c r="MC62" s="61"/>
      <c r="MD62" s="61"/>
      <c r="ME62" s="61"/>
      <c r="MF62" s="61"/>
      <c r="MG62" s="61"/>
      <c r="MH62" s="61"/>
      <c r="MI62" s="61"/>
      <c r="MJ62" s="61"/>
      <c r="MK62" s="61"/>
      <c r="ML62" s="61"/>
      <c r="MM62" s="61"/>
      <c r="MN62" s="61"/>
      <c r="MO62" s="61"/>
      <c r="MP62" s="61"/>
      <c r="MQ62" s="61"/>
      <c r="MR62" s="61"/>
      <c r="MS62" s="61"/>
      <c r="MT62" s="61"/>
      <c r="MU62" s="61"/>
      <c r="MV62" s="61"/>
      <c r="MW62" s="61"/>
      <c r="MX62" s="61"/>
      <c r="MY62" s="61"/>
      <c r="MZ62" s="61"/>
      <c r="NA62" s="61"/>
      <c r="NB62" s="61"/>
      <c r="NC62" s="61"/>
      <c r="ND62" s="61"/>
      <c r="NE62" s="61"/>
      <c r="NF62" s="61"/>
      <c r="NG62" s="61"/>
      <c r="NH62" s="61"/>
      <c r="NI62" s="61"/>
      <c r="NJ62" s="61"/>
      <c r="NK62" s="61"/>
      <c r="NL62" s="61"/>
      <c r="NM62" s="61"/>
      <c r="NN62" s="61"/>
      <c r="NO62" s="61"/>
      <c r="NP62" s="61"/>
      <c r="NQ62" s="61"/>
      <c r="NR62" s="61"/>
      <c r="NS62" s="61"/>
      <c r="NT62" s="61"/>
      <c r="NU62" s="61"/>
      <c r="NV62" s="61"/>
      <c r="NW62" s="61"/>
      <c r="NX62" s="61"/>
      <c r="NY62" s="61"/>
      <c r="NZ62" s="61"/>
      <c r="OA62" s="61"/>
      <c r="OB62" s="61"/>
      <c r="OC62" s="61"/>
      <c r="OD62" s="61"/>
      <c r="OE62" s="61"/>
      <c r="OF62" s="61"/>
      <c r="OG62" s="61"/>
      <c r="OH62" s="61"/>
      <c r="OI62" s="61"/>
      <c r="OJ62" s="61"/>
      <c r="OK62" s="61"/>
      <c r="OL62" s="61"/>
      <c r="OM62" s="61"/>
      <c r="ON62" s="61"/>
      <c r="OO62" s="61"/>
      <c r="OP62" s="61"/>
      <c r="OQ62" s="61"/>
      <c r="OR62" s="61"/>
      <c r="OS62" s="61"/>
      <c r="OT62" s="61"/>
      <c r="OU62" s="61"/>
      <c r="OV62" s="61"/>
      <c r="OW62" s="61"/>
      <c r="OX62" s="61"/>
      <c r="OY62" s="61"/>
      <c r="OZ62" s="61"/>
      <c r="PA62" s="61"/>
      <c r="PB62" s="61"/>
    </row>
    <row r="63" spans="1:418" x14ac:dyDescent="0.3">
      <c r="A63" s="192"/>
      <c r="B63" s="38"/>
      <c r="C63" s="38"/>
      <c r="D63" s="38"/>
      <c r="E63" s="38"/>
      <c r="F63" s="38"/>
      <c r="G63" s="38"/>
      <c r="H63" s="38"/>
      <c r="AF63" s="61"/>
      <c r="AG63" s="61"/>
      <c r="AH63" s="61"/>
      <c r="AI63" s="61"/>
      <c r="AJ63" s="61"/>
      <c r="AK63" s="61"/>
      <c r="AL63" s="61"/>
      <c r="AM63" s="61"/>
      <c r="AN63" s="61"/>
      <c r="AO63" s="61"/>
      <c r="AP63" s="61"/>
      <c r="AQ63" s="61"/>
      <c r="AR63" s="61"/>
      <c r="AS63" s="61"/>
      <c r="AT63" s="61"/>
      <c r="AU63" s="61"/>
      <c r="AV63" s="61"/>
      <c r="AW63" s="61"/>
      <c r="AX63" s="61"/>
      <c r="AY63" s="61"/>
      <c r="AZ63" s="61"/>
      <c r="BA63" s="61"/>
      <c r="BB63" s="61"/>
      <c r="BC63" s="61"/>
      <c r="BD63" s="61"/>
      <c r="BE63" s="61"/>
      <c r="BF63" s="61"/>
      <c r="BG63" s="61"/>
      <c r="BH63" s="61"/>
      <c r="BI63" s="61"/>
      <c r="BJ63" s="61"/>
      <c r="BK63" s="61"/>
      <c r="BL63" s="61"/>
      <c r="BM63" s="61"/>
      <c r="BN63" s="61"/>
      <c r="BO63" s="61"/>
      <c r="BP63" s="61"/>
      <c r="BQ63" s="61"/>
      <c r="BR63" s="61"/>
      <c r="BS63" s="61"/>
      <c r="BT63" s="61"/>
      <c r="BU63" s="61"/>
      <c r="BV63" s="61"/>
      <c r="BW63" s="61"/>
      <c r="BX63" s="61"/>
      <c r="BY63" s="61"/>
      <c r="BZ63" s="61"/>
      <c r="CA63" s="61"/>
      <c r="CB63" s="61"/>
      <c r="CC63" s="49"/>
      <c r="CD63" s="49"/>
      <c r="CE63" s="49"/>
      <c r="CF63" s="49"/>
      <c r="CG63" s="49"/>
      <c r="CH63" s="49"/>
      <c r="CI63" s="49"/>
      <c r="CK63" s="49"/>
      <c r="CL63" s="49"/>
      <c r="CM63" s="49"/>
      <c r="CN63" s="49"/>
      <c r="CO63" s="49"/>
      <c r="CP63" s="49"/>
      <c r="CQ63" s="49"/>
      <c r="CR63" s="49"/>
      <c r="CS63" s="49"/>
      <c r="CT63" s="49"/>
      <c r="CU63" s="49"/>
      <c r="CV63" s="49"/>
      <c r="CW63" s="49"/>
      <c r="CX63" s="49"/>
      <c r="CY63" s="49"/>
      <c r="CZ63" s="49"/>
      <c r="DA63" s="49"/>
      <c r="DB63" s="49"/>
      <c r="DC63" s="49"/>
      <c r="DD63" s="49"/>
      <c r="DE63" s="49"/>
      <c r="DF63" s="49"/>
      <c r="DG63" s="49"/>
      <c r="DH63" s="49"/>
      <c r="DI63" s="49"/>
      <c r="DJ63" s="49"/>
      <c r="DK63" s="49"/>
      <c r="DL63" s="49"/>
      <c r="DM63" s="49"/>
      <c r="DN63" s="49"/>
      <c r="DO63" s="49"/>
      <c r="DP63" s="49"/>
      <c r="DQ63" s="49"/>
      <c r="DR63" s="49"/>
      <c r="DS63" s="49"/>
      <c r="DT63" s="49"/>
      <c r="DU63" s="49"/>
      <c r="DV63" s="49"/>
      <c r="DZ63" s="34"/>
      <c r="EC63" s="34"/>
      <c r="FF63" s="284"/>
      <c r="FG63" s="284"/>
      <c r="FH63" s="284"/>
      <c r="FI63" s="284"/>
      <c r="FJ63" s="284"/>
      <c r="FK63" s="284"/>
    </row>
    <row r="64" spans="1:418" x14ac:dyDescent="0.3">
      <c r="A64" s="264" t="s">
        <v>233</v>
      </c>
      <c r="L64" s="284"/>
      <c r="T64" s="284"/>
      <c r="DA64" s="284"/>
      <c r="DD64" s="284"/>
      <c r="DQ64" s="495"/>
      <c r="EA64" s="284"/>
      <c r="FF64" s="284"/>
      <c r="FG64" s="284"/>
      <c r="FH64" s="284"/>
      <c r="FI64" s="284"/>
      <c r="FJ64" s="284"/>
      <c r="FK64" s="284"/>
      <c r="GO64" s="284"/>
      <c r="GW64" s="284"/>
      <c r="IS64" s="284"/>
    </row>
    <row r="65" spans="4:253" x14ac:dyDescent="0.3">
      <c r="T65" s="284"/>
      <c r="AB65" s="284"/>
      <c r="DA65" s="284"/>
      <c r="DL65" s="284"/>
      <c r="DQ65" s="682"/>
      <c r="DR65" s="252"/>
      <c r="EA65" s="284"/>
      <c r="FF65" s="284"/>
      <c r="FG65" s="284"/>
      <c r="FH65" s="284"/>
      <c r="FI65" s="284"/>
      <c r="FJ65" s="284"/>
      <c r="FK65" s="284"/>
      <c r="IS65" s="284"/>
    </row>
    <row r="66" spans="4:253" x14ac:dyDescent="0.3">
      <c r="D66" s="284"/>
      <c r="L66" s="284"/>
      <c r="T66" s="284"/>
      <c r="AB66" s="284"/>
      <c r="DQ66" s="682"/>
      <c r="DR66" s="252"/>
      <c r="EA66" s="284"/>
      <c r="FF66" s="284"/>
      <c r="FG66" s="284"/>
      <c r="FH66" s="284"/>
      <c r="FI66" s="284"/>
      <c r="FJ66" s="284"/>
      <c r="FK66" s="284"/>
      <c r="IS66" s="284"/>
    </row>
    <row r="67" spans="4:253" x14ac:dyDescent="0.3">
      <c r="DQ67" s="682"/>
      <c r="DR67" s="252"/>
      <c r="IS67" s="284"/>
    </row>
    <row r="68" spans="4:253" x14ac:dyDescent="0.3">
      <c r="DQ68" s="682"/>
      <c r="DR68" s="252"/>
      <c r="EH68" s="249"/>
      <c r="EI68" s="249"/>
      <c r="EJ68" s="249"/>
      <c r="EK68" s="249"/>
      <c r="EL68" s="249"/>
      <c r="EM68" s="249"/>
      <c r="EN68" s="249"/>
      <c r="EO68" s="249"/>
      <c r="EP68" s="249"/>
      <c r="EQ68" s="249"/>
      <c r="ER68" s="249"/>
      <c r="ES68" s="249"/>
      <c r="ET68" s="249"/>
      <c r="EU68" s="249"/>
      <c r="EV68" s="249"/>
      <c r="EW68" s="249"/>
      <c r="EX68" s="249"/>
      <c r="EY68" s="249"/>
      <c r="EZ68" s="249"/>
      <c r="FA68" s="249"/>
      <c r="FB68" s="249"/>
      <c r="FC68" s="249"/>
      <c r="IS68" s="284"/>
    </row>
    <row r="69" spans="4:253" x14ac:dyDescent="0.3">
      <c r="DQ69" s="682"/>
      <c r="DR69" s="252"/>
      <c r="IS69" s="284"/>
    </row>
    <row r="70" spans="4:253" x14ac:dyDescent="0.3">
      <c r="DQ70" s="682"/>
      <c r="DR70" s="252"/>
      <c r="IS70" s="284"/>
    </row>
    <row r="71" spans="4:253" x14ac:dyDescent="0.3">
      <c r="DQ71" s="682"/>
      <c r="DR71" s="252"/>
      <c r="IS71" s="284"/>
    </row>
    <row r="72" spans="4:253" x14ac:dyDescent="0.3">
      <c r="DQ72" s="682"/>
      <c r="DR72" s="252"/>
      <c r="DT72" s="284"/>
      <c r="IS72" s="284"/>
    </row>
    <row r="73" spans="4:253" x14ac:dyDescent="0.3">
      <c r="DQ73" s="682"/>
      <c r="DR73" s="252"/>
      <c r="DT73" s="1204"/>
      <c r="EH73" s="249"/>
      <c r="EI73" s="249"/>
      <c r="EJ73" s="249"/>
      <c r="EK73" s="249"/>
      <c r="EL73" s="249"/>
      <c r="EM73" s="249"/>
      <c r="EN73" s="249"/>
      <c r="EO73" s="249"/>
      <c r="EP73" s="249"/>
      <c r="EQ73" s="249"/>
      <c r="ER73" s="249"/>
      <c r="ES73" s="249"/>
      <c r="ET73" s="249"/>
      <c r="EU73" s="249"/>
      <c r="EV73" s="249"/>
      <c r="EW73" s="249"/>
      <c r="EX73" s="249"/>
      <c r="EY73" s="249"/>
      <c r="EZ73" s="249"/>
      <c r="FA73" s="249"/>
      <c r="FB73" s="249"/>
      <c r="FC73" s="249"/>
      <c r="IS73" s="284"/>
    </row>
    <row r="74" spans="4:253" x14ac:dyDescent="0.3">
      <c r="DQ74" s="682"/>
      <c r="DR74" s="252"/>
      <c r="IS74" s="284"/>
    </row>
    <row r="75" spans="4:253" x14ac:dyDescent="0.3">
      <c r="DQ75" s="682"/>
      <c r="DR75" s="252"/>
      <c r="IS75" s="284"/>
    </row>
    <row r="76" spans="4:253" x14ac:dyDescent="0.3">
      <c r="DQ76" s="682"/>
      <c r="DR76" s="252"/>
    </row>
    <row r="77" spans="4:253" x14ac:dyDescent="0.3">
      <c r="DQ77" s="682"/>
      <c r="DR77" s="252"/>
    </row>
    <row r="78" spans="4:253" x14ac:dyDescent="0.3">
      <c r="DQ78" s="682"/>
      <c r="DR78" s="252"/>
    </row>
    <row r="79" spans="4:253" x14ac:dyDescent="0.3">
      <c r="DQ79" s="682"/>
      <c r="DR79" s="252"/>
    </row>
    <row r="80" spans="4:253" x14ac:dyDescent="0.3">
      <c r="DQ80" s="682"/>
      <c r="DR80" s="252"/>
    </row>
    <row r="81" spans="121:122" x14ac:dyDescent="0.3">
      <c r="DQ81" s="682"/>
      <c r="DR81" s="252"/>
    </row>
    <row r="82" spans="121:122" x14ac:dyDescent="0.3">
      <c r="DQ82" s="682"/>
      <c r="DR82" s="252"/>
    </row>
    <row r="83" spans="121:122" x14ac:dyDescent="0.3">
      <c r="DQ83" s="682"/>
      <c r="DR83" s="252"/>
    </row>
    <row r="84" spans="121:122" x14ac:dyDescent="0.3">
      <c r="DQ84" s="682"/>
      <c r="DR84" s="252"/>
    </row>
    <row r="85" spans="121:122" x14ac:dyDescent="0.3">
      <c r="DQ85" s="682"/>
      <c r="DR85" s="252"/>
    </row>
    <row r="86" spans="121:122" x14ac:dyDescent="0.3">
      <c r="DQ86" s="682"/>
      <c r="DR86" s="252"/>
    </row>
    <row r="87" spans="121:122" x14ac:dyDescent="0.3">
      <c r="DQ87" s="682"/>
      <c r="DR87" s="252"/>
    </row>
    <row r="88" spans="121:122" x14ac:dyDescent="0.3">
      <c r="DQ88" s="682"/>
      <c r="DR88" s="252"/>
    </row>
    <row r="89" spans="121:122" x14ac:dyDescent="0.3">
      <c r="DQ89" s="682"/>
      <c r="DR89" s="252"/>
    </row>
    <row r="90" spans="121:122" x14ac:dyDescent="0.3">
      <c r="DQ90" s="682"/>
      <c r="DR90" s="252"/>
    </row>
    <row r="91" spans="121:122" x14ac:dyDescent="0.3">
      <c r="DQ91" s="682"/>
      <c r="DR91" s="252"/>
    </row>
    <row r="92" spans="121:122" x14ac:dyDescent="0.3">
      <c r="DQ92" s="682"/>
      <c r="DR92" s="252"/>
    </row>
    <row r="93" spans="121:122" x14ac:dyDescent="0.3">
      <c r="DQ93" s="682"/>
      <c r="DR93" s="252"/>
    </row>
    <row r="94" spans="121:122" x14ac:dyDescent="0.3">
      <c r="DQ94" s="682"/>
      <c r="DR94" s="252"/>
    </row>
    <row r="95" spans="121:122" x14ac:dyDescent="0.3">
      <c r="DQ95" s="682"/>
      <c r="DR95" s="252"/>
    </row>
    <row r="96" spans="121:122" x14ac:dyDescent="0.3">
      <c r="DQ96" s="682"/>
      <c r="DR96" s="252"/>
    </row>
    <row r="97" spans="121:122" x14ac:dyDescent="0.3">
      <c r="DQ97" s="682"/>
      <c r="DR97" s="252"/>
    </row>
    <row r="98" spans="121:122" x14ac:dyDescent="0.3">
      <c r="DQ98" s="682"/>
      <c r="DR98" s="252"/>
    </row>
    <row r="99" spans="121:122" x14ac:dyDescent="0.3">
      <c r="DQ99" s="682"/>
      <c r="DR99" s="252"/>
    </row>
    <row r="100" spans="121:122" x14ac:dyDescent="0.3">
      <c r="DQ100" s="682"/>
      <c r="DR100" s="252"/>
    </row>
    <row r="101" spans="121:122" x14ac:dyDescent="0.3">
      <c r="DQ101" s="682"/>
      <c r="DR101" s="252"/>
    </row>
    <row r="102" spans="121:122" x14ac:dyDescent="0.3">
      <c r="DQ102" s="682"/>
      <c r="DR102" s="252"/>
    </row>
    <row r="103" spans="121:122" x14ac:dyDescent="0.3">
      <c r="DQ103" s="682"/>
      <c r="DR103" s="252"/>
    </row>
    <row r="104" spans="121:122" x14ac:dyDescent="0.3">
      <c r="DQ104" s="682"/>
      <c r="DR104" s="252"/>
    </row>
    <row r="105" spans="121:122" x14ac:dyDescent="0.3">
      <c r="DQ105" s="682"/>
      <c r="DR105" s="252"/>
    </row>
    <row r="106" spans="121:122" x14ac:dyDescent="0.3">
      <c r="DQ106" s="682"/>
      <c r="DR106" s="252"/>
    </row>
    <row r="107" spans="121:122" x14ac:dyDescent="0.3">
      <c r="DQ107" s="682"/>
      <c r="DR107" s="252"/>
    </row>
    <row r="108" spans="121:122" x14ac:dyDescent="0.3">
      <c r="DQ108" s="682"/>
      <c r="DR108" s="252"/>
    </row>
    <row r="109" spans="121:122" x14ac:dyDescent="0.3">
      <c r="DQ109" s="682"/>
      <c r="DR109" s="252"/>
    </row>
    <row r="110" spans="121:122" x14ac:dyDescent="0.3">
      <c r="DQ110" s="682"/>
      <c r="DR110" s="252"/>
    </row>
    <row r="111" spans="121:122" x14ac:dyDescent="0.3">
      <c r="DQ111" s="682"/>
      <c r="DR111" s="252"/>
    </row>
    <row r="112" spans="121:122" x14ac:dyDescent="0.3">
      <c r="DQ112" s="682"/>
      <c r="DR112" s="252"/>
    </row>
    <row r="113" spans="121:122" x14ac:dyDescent="0.3">
      <c r="DQ113" s="682"/>
      <c r="DR113" s="252"/>
    </row>
    <row r="114" spans="121:122" x14ac:dyDescent="0.3">
      <c r="DQ114" s="682"/>
      <c r="DR114" s="252"/>
    </row>
    <row r="115" spans="121:122" x14ac:dyDescent="0.3">
      <c r="DQ115" s="682"/>
      <c r="DR115" s="252"/>
    </row>
    <row r="116" spans="121:122" x14ac:dyDescent="0.3">
      <c r="DQ116" s="682"/>
      <c r="DR116" s="252"/>
    </row>
    <row r="117" spans="121:122" x14ac:dyDescent="0.3">
      <c r="DQ117" s="682"/>
      <c r="DR117" s="252"/>
    </row>
    <row r="118" spans="121:122" x14ac:dyDescent="0.3">
      <c r="DQ118" s="682"/>
      <c r="DR118" s="252"/>
    </row>
    <row r="119" spans="121:122" x14ac:dyDescent="0.3">
      <c r="DQ119" s="682"/>
      <c r="DR119" s="252"/>
    </row>
    <row r="120" spans="121:122" x14ac:dyDescent="0.3">
      <c r="DQ120" s="682"/>
      <c r="DR120" s="252"/>
    </row>
    <row r="121" spans="121:122" x14ac:dyDescent="0.3">
      <c r="DQ121" s="682"/>
    </row>
    <row r="122" spans="121:122" x14ac:dyDescent="0.3">
      <c r="DQ122" s="682"/>
    </row>
  </sheetData>
  <mergeCells count="36">
    <mergeCell ref="EX2:FC2"/>
    <mergeCell ref="IY3:JD3"/>
    <mergeCell ref="IA3:IF3"/>
    <mergeCell ref="II3:IN3"/>
    <mergeCell ref="IQ3:IV3"/>
    <mergeCell ref="GM2:GR2"/>
    <mergeCell ref="IY2:JD2"/>
    <mergeCell ref="GU3:GZ3"/>
    <mergeCell ref="HK3:HP3"/>
    <mergeCell ref="HS3:HX3"/>
    <mergeCell ref="FF3:FK3"/>
    <mergeCell ref="EX3:FC3"/>
    <mergeCell ref="FN3:FS3"/>
    <mergeCell ref="FV3:GA3"/>
    <mergeCell ref="GE3:GJ3"/>
    <mergeCell ref="DB3:DG3"/>
    <mergeCell ref="DJ3:DO3"/>
    <mergeCell ref="BF3:BK3"/>
    <mergeCell ref="BV3:CA3"/>
    <mergeCell ref="CT3:CY3"/>
    <mergeCell ref="HC3:HH3"/>
    <mergeCell ref="GM3:GR3"/>
    <mergeCell ref="B3:G3"/>
    <mergeCell ref="R3:W3"/>
    <mergeCell ref="AP3:AU3"/>
    <mergeCell ref="AX3:BC3"/>
    <mergeCell ref="J3:O3"/>
    <mergeCell ref="Z3:AE3"/>
    <mergeCell ref="AH3:AM3"/>
    <mergeCell ref="EH3:EM3"/>
    <mergeCell ref="CD3:CI3"/>
    <mergeCell ref="CL3:CQ3"/>
    <mergeCell ref="DZ3:EE3"/>
    <mergeCell ref="EP3:EU3"/>
    <mergeCell ref="BN3:BS3"/>
    <mergeCell ref="DR3:DW3"/>
  </mergeCells>
  <hyperlinks>
    <hyperlink ref="J1" location="Index!A1" display="Index"/>
  </hyperlink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N125"/>
  <sheetViews>
    <sheetView workbookViewId="0">
      <selection activeCell="C6" sqref="C6"/>
    </sheetView>
  </sheetViews>
  <sheetFormatPr defaultRowHeight="14.4" x14ac:dyDescent="0.3"/>
  <cols>
    <col min="1" max="1" width="8.21875" customWidth="1"/>
    <col min="2" max="2" width="8.88671875" customWidth="1"/>
    <col min="3" max="5" width="8.21875" customWidth="1"/>
    <col min="6" max="6" width="10.109375" customWidth="1"/>
    <col min="7" max="7" width="11" customWidth="1"/>
    <col min="8" max="8" width="2.21875" style="539" customWidth="1"/>
    <col min="9" max="9" width="8.44140625" customWidth="1"/>
    <col min="10" max="11" width="6.88671875" customWidth="1"/>
    <col min="12" max="13" width="8" customWidth="1"/>
    <col min="15" max="15" width="1.88671875" customWidth="1"/>
    <col min="16" max="16" width="9" customWidth="1"/>
    <col min="17" max="19" width="7.5546875" customWidth="1"/>
    <col min="20" max="20" width="9.5546875" customWidth="1"/>
    <col min="21" max="21" width="9.44140625" customWidth="1"/>
    <col min="22" max="22" width="1.44140625" style="539" customWidth="1"/>
    <col min="23" max="23" width="8.77734375" style="539" customWidth="1"/>
    <col min="24" max="26" width="6.77734375" style="539" customWidth="1"/>
    <col min="27" max="27" width="8" style="539" customWidth="1"/>
    <col min="28" max="28" width="9.109375" style="539"/>
    <col min="29" max="29" width="5.44140625" customWidth="1"/>
    <col min="30" max="30" width="10.109375" customWidth="1"/>
    <col min="31" max="31" width="8.5546875" customWidth="1"/>
    <col min="32" max="33" width="8" customWidth="1"/>
    <col min="34" max="34" width="9" customWidth="1"/>
    <col min="36" max="36" width="2" customWidth="1"/>
    <col min="37" max="41" width="8" customWidth="1"/>
    <col min="43" max="43" width="1.77734375" customWidth="1"/>
    <col min="44" max="44" width="8.77734375" customWidth="1"/>
    <col min="45" max="45" width="8.109375" customWidth="1"/>
    <col min="46" max="46" width="7.5546875" customWidth="1"/>
    <col min="47" max="47" width="8.109375" customWidth="1"/>
    <col min="48" max="48" width="9.5546875" customWidth="1"/>
    <col min="50" max="50" width="2" style="539" customWidth="1"/>
    <col min="51" max="54" width="7.5546875" style="539" customWidth="1"/>
    <col min="55" max="55" width="8.77734375" style="539" customWidth="1"/>
    <col min="56" max="56" width="8.88671875" style="539" customWidth="1"/>
    <col min="57" max="57" width="5.44140625" customWidth="1"/>
    <col min="62" max="62" width="9.109375" customWidth="1"/>
    <col min="64" max="64" width="3.44140625" customWidth="1"/>
    <col min="65" max="65" width="12.44140625" customWidth="1"/>
    <col min="66" max="66" width="11.5546875" customWidth="1"/>
    <col min="67" max="67" width="15.21875" customWidth="1"/>
    <col min="68" max="68" width="15.88671875" style="1011" customWidth="1"/>
    <col min="69" max="69" width="1.109375" customWidth="1"/>
    <col min="70" max="70" width="11.77734375" customWidth="1"/>
    <col min="71" max="71" width="11.109375" customWidth="1"/>
    <col min="72" max="73" width="10.77734375" style="1281" customWidth="1"/>
    <col min="74" max="74" width="11.44140625" customWidth="1"/>
    <col min="75" max="75" width="11.109375" customWidth="1"/>
    <col min="76" max="76" width="1.5546875" customWidth="1"/>
    <col min="77" max="77" width="13.109375" customWidth="1"/>
    <col min="78" max="78" width="11.5546875" customWidth="1"/>
    <col min="79" max="80" width="11.109375" customWidth="1"/>
    <col min="81" max="82" width="11.77734375" customWidth="1"/>
    <col min="83" max="83" width="1.5546875" customWidth="1"/>
    <col min="84" max="84" width="10.77734375" customWidth="1"/>
    <col min="85" max="87" width="10.21875" customWidth="1"/>
    <col min="88" max="88" width="10.88671875" customWidth="1"/>
    <col min="89" max="89" width="11.21875" customWidth="1"/>
    <col min="91" max="91" width="11.77734375" customWidth="1"/>
    <col min="92" max="92" width="10.5546875" customWidth="1"/>
  </cols>
  <sheetData>
    <row r="1" spans="1:92" ht="15.6" x14ac:dyDescent="0.3">
      <c r="A1" s="178" t="s">
        <v>625</v>
      </c>
      <c r="B1" s="172"/>
      <c r="C1" s="172"/>
      <c r="D1" s="172"/>
      <c r="E1" s="172"/>
      <c r="F1" s="172"/>
      <c r="G1" s="1052" t="s">
        <v>504</v>
      </c>
      <c r="H1" s="1053"/>
      <c r="I1" s="172"/>
      <c r="J1" s="172"/>
      <c r="K1" s="172"/>
      <c r="L1" s="172"/>
      <c r="M1" s="172"/>
      <c r="N1" s="172"/>
      <c r="O1" s="172"/>
      <c r="P1" s="172"/>
      <c r="Q1" s="172"/>
      <c r="R1" s="172"/>
      <c r="S1" s="172"/>
      <c r="T1" s="172"/>
      <c r="U1" s="172"/>
      <c r="AC1" s="172"/>
      <c r="AD1" s="172"/>
      <c r="AE1" s="172"/>
      <c r="AF1" s="172"/>
      <c r="AG1" s="172"/>
      <c r="AH1" s="172"/>
      <c r="AI1" s="172"/>
      <c r="AJ1" s="172"/>
      <c r="AK1" s="172"/>
      <c r="AL1" s="172"/>
      <c r="AM1" s="172"/>
      <c r="AN1" s="172"/>
      <c r="AO1" s="172"/>
      <c r="AP1" s="172"/>
      <c r="AQ1" s="172"/>
      <c r="AR1" s="172"/>
      <c r="AS1" s="172"/>
      <c r="AT1" s="172"/>
      <c r="AU1" s="172"/>
      <c r="AV1" s="172"/>
      <c r="AW1" s="172"/>
      <c r="BF1" s="172"/>
      <c r="BG1" s="172"/>
      <c r="BH1" s="172"/>
      <c r="BI1" s="172"/>
      <c r="BJ1" s="172"/>
      <c r="BK1" s="172"/>
    </row>
    <row r="2" spans="1:92" s="172" customFormat="1" x14ac:dyDescent="0.3">
      <c r="A2" s="11"/>
      <c r="C2" s="11"/>
      <c r="D2" s="11"/>
      <c r="E2" s="11"/>
      <c r="F2" s="11"/>
      <c r="G2" s="11"/>
      <c r="H2" s="11"/>
      <c r="I2" s="478"/>
      <c r="J2" s="11"/>
      <c r="K2" s="11"/>
      <c r="L2" s="11"/>
      <c r="M2" s="11"/>
      <c r="N2" s="11"/>
      <c r="O2" s="11"/>
      <c r="P2" s="11"/>
      <c r="Q2" s="11"/>
      <c r="R2" s="11"/>
      <c r="S2" s="11"/>
      <c r="T2" s="11"/>
      <c r="U2" s="11"/>
      <c r="V2" s="11"/>
      <c r="W2" s="478"/>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2"/>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M2" s="11"/>
      <c r="CN2" s="11"/>
    </row>
    <row r="3" spans="1:92" s="172" customFormat="1" ht="15.6" x14ac:dyDescent="0.3">
      <c r="A3" s="253"/>
      <c r="B3" s="1447" t="s">
        <v>217</v>
      </c>
      <c r="C3" s="1447"/>
      <c r="D3" s="1447"/>
      <c r="E3" s="1447"/>
      <c r="F3" s="1447"/>
      <c r="G3" s="1447"/>
      <c r="H3" s="1447"/>
      <c r="I3" s="1447"/>
      <c r="J3" s="1447"/>
      <c r="K3" s="1447"/>
      <c r="L3" s="1447"/>
      <c r="M3" s="1447"/>
      <c r="N3" s="1447"/>
      <c r="O3" s="1447"/>
      <c r="P3" s="1447"/>
      <c r="Q3" s="1447"/>
      <c r="R3" s="1447"/>
      <c r="S3" s="1447"/>
      <c r="T3" s="1447"/>
      <c r="U3" s="1447"/>
      <c r="V3" s="1447"/>
      <c r="W3" s="1447"/>
      <c r="X3" s="1447"/>
      <c r="Y3" s="1447"/>
      <c r="Z3" s="1447"/>
      <c r="AA3" s="1447"/>
      <c r="AB3" s="1447"/>
      <c r="AD3" s="1448" t="s">
        <v>218</v>
      </c>
      <c r="AE3" s="1448"/>
      <c r="AF3" s="1448"/>
      <c r="AG3" s="1448"/>
      <c r="AH3" s="1448"/>
      <c r="AI3" s="1448"/>
      <c r="AJ3" s="1448"/>
      <c r="AK3" s="1448"/>
      <c r="AL3" s="1448"/>
      <c r="AM3" s="1448"/>
      <c r="AN3" s="1448"/>
      <c r="AO3" s="1448"/>
      <c r="AP3" s="1448"/>
      <c r="AQ3" s="1448"/>
      <c r="AR3" s="1448"/>
      <c r="AS3" s="1448"/>
      <c r="AT3" s="1448"/>
      <c r="AU3" s="1448"/>
      <c r="AV3" s="1448"/>
      <c r="AW3" s="1448"/>
      <c r="AX3" s="1448"/>
      <c r="AY3" s="1448"/>
      <c r="AZ3" s="1448"/>
      <c r="BA3" s="1448"/>
      <c r="BB3" s="1448"/>
      <c r="BC3" s="1448"/>
      <c r="BD3" s="1448"/>
      <c r="BF3" s="1447" t="s">
        <v>216</v>
      </c>
      <c r="BG3" s="1447"/>
      <c r="BH3" s="1447"/>
      <c r="BI3" s="1447"/>
      <c r="BJ3" s="1447"/>
      <c r="BK3" s="1447"/>
      <c r="BL3" s="12"/>
      <c r="BM3" s="1447" t="s">
        <v>2070</v>
      </c>
      <c r="BN3" s="1447"/>
      <c r="BO3" s="1447"/>
      <c r="BP3" s="1447"/>
      <c r="BQ3" s="1447"/>
      <c r="BR3" s="1447"/>
      <c r="BS3" s="1447"/>
      <c r="BT3" s="1447"/>
      <c r="BU3" s="1447"/>
      <c r="BV3" s="1447"/>
      <c r="BW3" s="1447"/>
      <c r="BX3" s="1447"/>
      <c r="BY3" s="1447"/>
      <c r="BZ3" s="1447"/>
      <c r="CA3" s="1447"/>
      <c r="CB3" s="1447"/>
      <c r="CC3" s="1447"/>
      <c r="CD3" s="1447"/>
      <c r="CE3" s="1447"/>
      <c r="CF3" s="1447"/>
      <c r="CG3" s="1447"/>
      <c r="CH3" s="1447"/>
      <c r="CI3" s="1447"/>
      <c r="CJ3" s="1447"/>
      <c r="CK3" s="1447"/>
      <c r="CM3" s="1445" t="s">
        <v>2225</v>
      </c>
      <c r="CN3" s="1445"/>
    </row>
    <row r="4" spans="1:92" s="172" customFormat="1" x14ac:dyDescent="0.3">
      <c r="A4" s="253"/>
      <c r="B4" s="1440" t="s">
        <v>686</v>
      </c>
      <c r="C4" s="1440"/>
      <c r="D4" s="1440"/>
      <c r="E4" s="1440"/>
      <c r="F4" s="1440"/>
      <c r="G4" s="1440"/>
      <c r="H4" s="18"/>
      <c r="I4" s="1437" t="s">
        <v>1632</v>
      </c>
      <c r="J4" s="1437"/>
      <c r="K4" s="1437"/>
      <c r="L4" s="1437"/>
      <c r="M4" s="1437"/>
      <c r="N4" s="1437"/>
      <c r="O4" s="23"/>
      <c r="P4" s="1446" t="s">
        <v>1633</v>
      </c>
      <c r="Q4" s="1446"/>
      <c r="R4" s="1446"/>
      <c r="S4" s="1446"/>
      <c r="T4" s="1446"/>
      <c r="U4" s="1446"/>
      <c r="V4" s="23"/>
      <c r="W4" s="1446" t="s">
        <v>1584</v>
      </c>
      <c r="X4" s="1446"/>
      <c r="Y4" s="1446"/>
      <c r="Z4" s="1446"/>
      <c r="AA4" s="1446"/>
      <c r="AB4" s="1446"/>
      <c r="AD4" s="1440" t="s">
        <v>687</v>
      </c>
      <c r="AE4" s="1440"/>
      <c r="AF4" s="1440"/>
      <c r="AG4" s="1440"/>
      <c r="AH4" s="1440"/>
      <c r="AI4" s="1440"/>
      <c r="AJ4" s="18"/>
      <c r="AK4" s="1446" t="str">
        <f>I4</f>
        <v>2. Pre-tax national income (by number of individuals)</v>
      </c>
      <c r="AL4" s="1446"/>
      <c r="AM4" s="1446"/>
      <c r="AN4" s="1446"/>
      <c r="AO4" s="1446"/>
      <c r="AP4" s="1446"/>
      <c r="AQ4" s="23"/>
      <c r="AR4" s="1437" t="str">
        <f>P4</f>
        <v>3. Pre-tax after-transfer national income (by number of indivs.)</v>
      </c>
      <c r="AS4" s="1437"/>
      <c r="AT4" s="1437"/>
      <c r="AU4" s="1437"/>
      <c r="AV4" s="1437"/>
      <c r="AW4" s="1437"/>
      <c r="AX4" s="23"/>
      <c r="AY4" s="1437" t="str">
        <f>W4</f>
        <v>4. After-tax national income (by number of individuals)</v>
      </c>
      <c r="AZ4" s="1437"/>
      <c r="BA4" s="1437"/>
      <c r="BB4" s="1437"/>
      <c r="BC4" s="1437"/>
      <c r="BD4" s="1437"/>
      <c r="BF4" s="1450" t="s">
        <v>1915</v>
      </c>
      <c r="BG4" s="1450"/>
      <c r="BH4" s="1450"/>
      <c r="BI4" s="1450"/>
      <c r="BJ4" s="1450"/>
      <c r="BK4" s="1450"/>
      <c r="BL4" s="12"/>
      <c r="BM4" s="1449" t="s">
        <v>1915</v>
      </c>
      <c r="BN4" s="1449"/>
      <c r="BO4" s="1449"/>
      <c r="BP4" s="1449"/>
      <c r="BQ4" s="12"/>
      <c r="BR4" s="1449" t="s">
        <v>2067</v>
      </c>
      <c r="BS4" s="1449"/>
      <c r="BT4" s="1449"/>
      <c r="BU4" s="1449"/>
      <c r="BV4" s="1449"/>
      <c r="BW4" s="1449"/>
      <c r="BX4" s="12"/>
      <c r="BY4" s="1449" t="s">
        <v>2068</v>
      </c>
      <c r="BZ4" s="1449"/>
      <c r="CA4" s="1449"/>
      <c r="CB4" s="1449"/>
      <c r="CC4" s="1449"/>
      <c r="CD4" s="1449"/>
      <c r="CF4" s="1449" t="s">
        <v>2069</v>
      </c>
      <c r="CG4" s="1449"/>
      <c r="CH4" s="1449"/>
      <c r="CI4" s="1449"/>
      <c r="CJ4" s="1449"/>
      <c r="CK4" s="1449"/>
      <c r="CM4" s="1357" t="s">
        <v>2227</v>
      </c>
      <c r="CN4" s="1357" t="s">
        <v>1460</v>
      </c>
    </row>
    <row r="5" spans="1:92" s="1011" customFormat="1" ht="11.25" customHeight="1" x14ac:dyDescent="0.3">
      <c r="A5" s="253"/>
      <c r="B5" s="49" t="s">
        <v>1145</v>
      </c>
      <c r="C5" s="663"/>
      <c r="D5" s="663"/>
      <c r="E5" s="663"/>
      <c r="F5" s="663"/>
      <c r="G5" s="663"/>
      <c r="H5" s="663"/>
      <c r="I5" s="49" t="s">
        <v>1145</v>
      </c>
      <c r="J5" s="23"/>
      <c r="K5" s="23"/>
      <c r="L5" s="23"/>
      <c r="M5" s="23"/>
      <c r="N5" s="23"/>
      <c r="O5" s="23"/>
      <c r="P5" s="49" t="s">
        <v>1145</v>
      </c>
      <c r="Q5" s="1194"/>
      <c r="R5" s="1194"/>
      <c r="S5" s="1194"/>
      <c r="T5" s="1194"/>
      <c r="U5" s="1194"/>
      <c r="V5" s="23"/>
      <c r="W5" s="49" t="s">
        <v>1145</v>
      </c>
      <c r="X5" s="1194"/>
      <c r="Y5" s="1194"/>
      <c r="Z5" s="1194"/>
      <c r="AA5" s="1194"/>
      <c r="AB5" s="1194"/>
      <c r="AD5" s="49" t="s">
        <v>24</v>
      </c>
      <c r="AE5" s="49" t="s">
        <v>25</v>
      </c>
      <c r="AF5" s="49" t="s">
        <v>26</v>
      </c>
      <c r="AG5" s="49" t="s">
        <v>28</v>
      </c>
      <c r="AH5" s="49" t="s">
        <v>27</v>
      </c>
      <c r="AI5" s="49" t="s">
        <v>23</v>
      </c>
      <c r="AJ5" s="663"/>
      <c r="AK5" s="49" t="s">
        <v>24</v>
      </c>
      <c r="AL5" s="49" t="s">
        <v>25</v>
      </c>
      <c r="AM5" s="49" t="s">
        <v>26</v>
      </c>
      <c r="AN5" s="49" t="s">
        <v>28</v>
      </c>
      <c r="AO5" s="49" t="s">
        <v>27</v>
      </c>
      <c r="AP5" s="49" t="s">
        <v>23</v>
      </c>
      <c r="AQ5" s="23"/>
      <c r="AR5" s="49" t="s">
        <v>24</v>
      </c>
      <c r="AS5" s="49" t="s">
        <v>25</v>
      </c>
      <c r="AT5" s="49" t="s">
        <v>26</v>
      </c>
      <c r="AU5" s="49" t="s">
        <v>28</v>
      </c>
      <c r="AV5" s="49" t="s">
        <v>27</v>
      </c>
      <c r="AW5" s="49" t="s">
        <v>23</v>
      </c>
      <c r="AX5" s="23"/>
      <c r="AY5" s="49" t="s">
        <v>24</v>
      </c>
      <c r="AZ5" s="49" t="s">
        <v>25</v>
      </c>
      <c r="BA5" s="49" t="s">
        <v>26</v>
      </c>
      <c r="BB5" s="49" t="s">
        <v>28</v>
      </c>
      <c r="BC5" s="49" t="s">
        <v>27</v>
      </c>
      <c r="BD5" s="49" t="s">
        <v>23</v>
      </c>
      <c r="BF5" s="347"/>
      <c r="BG5" s="347"/>
      <c r="BH5" s="347"/>
      <c r="BI5" s="347"/>
      <c r="BJ5" s="347"/>
      <c r="BK5" s="347"/>
      <c r="BL5" s="12"/>
      <c r="BM5" s="49" t="s">
        <v>1916</v>
      </c>
      <c r="BN5" s="49" t="s">
        <v>1913</v>
      </c>
      <c r="BO5" s="347" t="s">
        <v>1919</v>
      </c>
      <c r="BP5" s="347" t="s">
        <v>1918</v>
      </c>
      <c r="BQ5" s="12"/>
      <c r="BR5" s="49" t="s">
        <v>1916</v>
      </c>
      <c r="BS5" s="49" t="s">
        <v>1913</v>
      </c>
      <c r="BT5" s="49" t="s">
        <v>2065</v>
      </c>
      <c r="BU5" s="49" t="s">
        <v>2066</v>
      </c>
      <c r="BV5" s="255" t="s">
        <v>1919</v>
      </c>
      <c r="BW5" s="255" t="s">
        <v>1918</v>
      </c>
      <c r="BX5" s="12"/>
      <c r="BY5" s="49" t="s">
        <v>1916</v>
      </c>
      <c r="BZ5" s="49" t="s">
        <v>1913</v>
      </c>
      <c r="CA5" s="49" t="s">
        <v>2065</v>
      </c>
      <c r="CB5" s="49" t="s">
        <v>2066</v>
      </c>
      <c r="CC5" s="255" t="s">
        <v>1919</v>
      </c>
      <c r="CD5" s="255" t="s">
        <v>1918</v>
      </c>
      <c r="CF5" s="49" t="s">
        <v>1916</v>
      </c>
      <c r="CG5" s="49" t="s">
        <v>1913</v>
      </c>
      <c r="CH5" s="49" t="s">
        <v>2065</v>
      </c>
      <c r="CI5" s="49" t="s">
        <v>2066</v>
      </c>
      <c r="CJ5" s="255" t="s">
        <v>1919</v>
      </c>
      <c r="CK5" s="255" t="s">
        <v>1918</v>
      </c>
      <c r="CM5" s="1194" t="s">
        <v>2226</v>
      </c>
      <c r="CN5" s="1357" t="s">
        <v>2229</v>
      </c>
    </row>
    <row r="6" spans="1:92" s="256" customFormat="1" ht="10.5" customHeight="1" x14ac:dyDescent="0.25">
      <c r="A6" s="235"/>
      <c r="B6" s="254" t="s">
        <v>29</v>
      </c>
      <c r="C6" s="254" t="s">
        <v>19</v>
      </c>
      <c r="D6" s="254" t="s">
        <v>20</v>
      </c>
      <c r="E6" s="254" t="s">
        <v>21</v>
      </c>
      <c r="F6" s="254" t="s">
        <v>225</v>
      </c>
      <c r="G6" s="254" t="s">
        <v>22</v>
      </c>
      <c r="H6" s="254"/>
      <c r="I6" s="254" t="s">
        <v>29</v>
      </c>
      <c r="J6" s="254" t="s">
        <v>19</v>
      </c>
      <c r="K6" s="254" t="s">
        <v>20</v>
      </c>
      <c r="L6" s="254" t="s">
        <v>21</v>
      </c>
      <c r="M6" s="254" t="s">
        <v>225</v>
      </c>
      <c r="N6" s="254" t="s">
        <v>22</v>
      </c>
      <c r="O6" s="254"/>
      <c r="P6" s="254" t="s">
        <v>29</v>
      </c>
      <c r="Q6" s="254" t="s">
        <v>19</v>
      </c>
      <c r="R6" s="254" t="s">
        <v>20</v>
      </c>
      <c r="S6" s="254" t="s">
        <v>21</v>
      </c>
      <c r="T6" s="254" t="s">
        <v>225</v>
      </c>
      <c r="U6" s="254" t="s">
        <v>22</v>
      </c>
      <c r="V6" s="254"/>
      <c r="W6" s="254" t="s">
        <v>29</v>
      </c>
      <c r="X6" s="254" t="s">
        <v>19</v>
      </c>
      <c r="Y6" s="254" t="s">
        <v>20</v>
      </c>
      <c r="Z6" s="254" t="s">
        <v>21</v>
      </c>
      <c r="AA6" s="254" t="s">
        <v>225</v>
      </c>
      <c r="AB6" s="254" t="s">
        <v>22</v>
      </c>
      <c r="AD6" s="254" t="s">
        <v>13</v>
      </c>
      <c r="AE6" s="254" t="s">
        <v>14</v>
      </c>
      <c r="AF6" s="254" t="s">
        <v>15</v>
      </c>
      <c r="AG6" s="254" t="s">
        <v>16</v>
      </c>
      <c r="AH6" s="254" t="s">
        <v>17</v>
      </c>
      <c r="AI6" s="254" t="s">
        <v>18</v>
      </c>
      <c r="AJ6" s="254"/>
      <c r="AK6" s="254" t="s">
        <v>13</v>
      </c>
      <c r="AL6" s="254" t="s">
        <v>14</v>
      </c>
      <c r="AM6" s="254" t="s">
        <v>15</v>
      </c>
      <c r="AN6" s="254" t="s">
        <v>16</v>
      </c>
      <c r="AO6" s="254" t="s">
        <v>17</v>
      </c>
      <c r="AP6" s="254" t="s">
        <v>18</v>
      </c>
      <c r="AQ6" s="254"/>
      <c r="AR6" s="254" t="s">
        <v>13</v>
      </c>
      <c r="AS6" s="254" t="s">
        <v>14</v>
      </c>
      <c r="AT6" s="254" t="s">
        <v>15</v>
      </c>
      <c r="AU6" s="254" t="s">
        <v>16</v>
      </c>
      <c r="AV6" s="254" t="s">
        <v>17</v>
      </c>
      <c r="AW6" s="254" t="s">
        <v>18</v>
      </c>
      <c r="AX6" s="254"/>
      <c r="AY6" s="254" t="s">
        <v>13</v>
      </c>
      <c r="AZ6" s="254" t="s">
        <v>14</v>
      </c>
      <c r="BA6" s="254" t="s">
        <v>15</v>
      </c>
      <c r="BB6" s="254" t="s">
        <v>16</v>
      </c>
      <c r="BC6" s="254" t="s">
        <v>17</v>
      </c>
      <c r="BD6" s="254" t="s">
        <v>18</v>
      </c>
      <c r="BF6" s="254" t="s">
        <v>219</v>
      </c>
      <c r="BG6" s="254" t="s">
        <v>220</v>
      </c>
      <c r="BH6" s="254" t="s">
        <v>221</v>
      </c>
      <c r="BI6" s="254" t="s">
        <v>222</v>
      </c>
      <c r="BJ6" s="254" t="s">
        <v>223</v>
      </c>
      <c r="BK6" s="254" t="s">
        <v>224</v>
      </c>
      <c r="BL6" s="488"/>
      <c r="BM6" s="660" t="s">
        <v>1912</v>
      </c>
      <c r="BN6" s="660" t="s">
        <v>1914</v>
      </c>
      <c r="BO6" s="660" t="s">
        <v>1914</v>
      </c>
      <c r="BP6" s="660" t="s">
        <v>15</v>
      </c>
      <c r="BQ6" s="488"/>
      <c r="BR6" s="660" t="s">
        <v>1912</v>
      </c>
      <c r="BS6" s="660" t="s">
        <v>1914</v>
      </c>
      <c r="BT6" s="660" t="s">
        <v>221</v>
      </c>
      <c r="BU6" s="660" t="s">
        <v>15</v>
      </c>
      <c r="BV6" s="660" t="s">
        <v>1914</v>
      </c>
      <c r="BW6" s="660" t="s">
        <v>15</v>
      </c>
      <c r="BX6" s="488"/>
      <c r="BY6" s="660" t="s">
        <v>1912</v>
      </c>
      <c r="BZ6" s="660" t="s">
        <v>1914</v>
      </c>
      <c r="CA6" s="660" t="s">
        <v>221</v>
      </c>
      <c r="CB6" s="660" t="s">
        <v>15</v>
      </c>
      <c r="CC6" s="660" t="s">
        <v>1914</v>
      </c>
      <c r="CD6" s="660" t="s">
        <v>15</v>
      </c>
      <c r="CF6" s="660" t="s">
        <v>1912</v>
      </c>
      <c r="CG6" s="660" t="s">
        <v>1914</v>
      </c>
      <c r="CH6" s="660" t="s">
        <v>221</v>
      </c>
      <c r="CI6" s="660" t="s">
        <v>15</v>
      </c>
      <c r="CJ6" s="660" t="s">
        <v>1914</v>
      </c>
      <c r="CK6" s="660" t="s">
        <v>15</v>
      </c>
      <c r="CM6" s="1357" t="s">
        <v>2228</v>
      </c>
      <c r="CN6" s="1357" t="s">
        <v>1416</v>
      </c>
    </row>
    <row r="7" spans="1:92" s="256" customFormat="1" ht="10.5" customHeight="1" x14ac:dyDescent="0.25">
      <c r="A7" s="257"/>
      <c r="B7" s="257" t="s">
        <v>1118</v>
      </c>
      <c r="C7" s="701" t="s">
        <v>1118</v>
      </c>
      <c r="D7" s="701" t="s">
        <v>1118</v>
      </c>
      <c r="E7" s="701" t="s">
        <v>1118</v>
      </c>
      <c r="F7" s="701" t="s">
        <v>1118</v>
      </c>
      <c r="G7" s="701" t="s">
        <v>1118</v>
      </c>
      <c r="H7" s="257"/>
      <c r="I7" s="701" t="s">
        <v>1118</v>
      </c>
      <c r="J7" s="701" t="s">
        <v>1118</v>
      </c>
      <c r="K7" s="701" t="s">
        <v>1118</v>
      </c>
      <c r="L7" s="701" t="s">
        <v>1118</v>
      </c>
      <c r="M7" s="701" t="s">
        <v>1118</v>
      </c>
      <c r="N7" s="701" t="s">
        <v>1118</v>
      </c>
      <c r="O7" s="257"/>
      <c r="P7" s="701" t="s">
        <v>1118</v>
      </c>
      <c r="Q7" s="701" t="s">
        <v>1118</v>
      </c>
      <c r="R7" s="701" t="s">
        <v>1118</v>
      </c>
      <c r="S7" s="701" t="s">
        <v>1118</v>
      </c>
      <c r="T7" s="701" t="s">
        <v>1118</v>
      </c>
      <c r="U7" s="701" t="s">
        <v>1118</v>
      </c>
      <c r="V7" s="255"/>
      <c r="W7" s="701" t="s">
        <v>1118</v>
      </c>
      <c r="X7" s="701" t="s">
        <v>1118</v>
      </c>
      <c r="Y7" s="701" t="s">
        <v>1118</v>
      </c>
      <c r="Z7" s="701" t="s">
        <v>1118</v>
      </c>
      <c r="AA7" s="701" t="s">
        <v>1118</v>
      </c>
      <c r="AB7" s="701" t="s">
        <v>1118</v>
      </c>
      <c r="AD7" s="701" t="s">
        <v>1118</v>
      </c>
      <c r="AE7" s="701" t="s">
        <v>1118</v>
      </c>
      <c r="AF7" s="701" t="s">
        <v>1118</v>
      </c>
      <c r="AG7" s="701" t="s">
        <v>1118</v>
      </c>
      <c r="AH7" s="701" t="s">
        <v>1118</v>
      </c>
      <c r="AI7" s="701" t="s">
        <v>1118</v>
      </c>
      <c r="AJ7" s="257"/>
      <c r="AK7" s="701" t="s">
        <v>1118</v>
      </c>
      <c r="AL7" s="701" t="s">
        <v>1118</v>
      </c>
      <c r="AM7" s="701" t="s">
        <v>1118</v>
      </c>
      <c r="AN7" s="701" t="s">
        <v>1118</v>
      </c>
      <c r="AO7" s="701" t="s">
        <v>1118</v>
      </c>
      <c r="AP7" s="701" t="s">
        <v>1118</v>
      </c>
      <c r="AQ7" s="257"/>
      <c r="AR7" s="701" t="s">
        <v>1118</v>
      </c>
      <c r="AS7" s="701" t="s">
        <v>1118</v>
      </c>
      <c r="AT7" s="701" t="s">
        <v>1118</v>
      </c>
      <c r="AU7" s="701" t="s">
        <v>1118</v>
      </c>
      <c r="AV7" s="701" t="s">
        <v>1118</v>
      </c>
      <c r="AW7" s="701" t="s">
        <v>1118</v>
      </c>
      <c r="AX7" s="255"/>
      <c r="AY7" s="701" t="s">
        <v>1118</v>
      </c>
      <c r="AZ7" s="701" t="s">
        <v>1118</v>
      </c>
      <c r="BA7" s="701" t="s">
        <v>1118</v>
      </c>
      <c r="BB7" s="701" t="s">
        <v>1118</v>
      </c>
      <c r="BC7" s="701" t="s">
        <v>1118</v>
      </c>
      <c r="BD7" s="701" t="s">
        <v>1118</v>
      </c>
      <c r="BF7" s="701" t="s">
        <v>1118</v>
      </c>
      <c r="BG7" s="701" t="s">
        <v>1118</v>
      </c>
      <c r="BH7" s="701" t="s">
        <v>1118</v>
      </c>
      <c r="BI7" s="701" t="s">
        <v>1118</v>
      </c>
      <c r="BJ7" s="701" t="s">
        <v>1118</v>
      </c>
      <c r="BK7" s="701" t="s">
        <v>1118</v>
      </c>
      <c r="BL7" s="488"/>
      <c r="BM7" s="701" t="s">
        <v>1118</v>
      </c>
      <c r="BN7" s="701" t="s">
        <v>1118</v>
      </c>
      <c r="BO7" s="701" t="s">
        <v>1917</v>
      </c>
      <c r="BP7" s="701" t="s">
        <v>1917</v>
      </c>
      <c r="BQ7" s="701"/>
      <c r="BR7" s="701" t="s">
        <v>1118</v>
      </c>
      <c r="BS7" s="701" t="s">
        <v>1118</v>
      </c>
      <c r="BT7" s="701" t="s">
        <v>1118</v>
      </c>
      <c r="BU7" s="701" t="s">
        <v>1118</v>
      </c>
      <c r="BV7" s="701"/>
      <c r="BW7" s="701"/>
      <c r="BX7" s="311"/>
      <c r="BY7" s="701" t="s">
        <v>1118</v>
      </c>
      <c r="BZ7" s="701" t="s">
        <v>1118</v>
      </c>
      <c r="CA7" s="701" t="s">
        <v>1118</v>
      </c>
      <c r="CB7" s="701" t="s">
        <v>1118</v>
      </c>
      <c r="CC7" s="701"/>
      <c r="CD7" s="701"/>
      <c r="CE7" s="311"/>
      <c r="CF7" s="701" t="s">
        <v>1118</v>
      </c>
      <c r="CG7" s="701" t="s">
        <v>1118</v>
      </c>
      <c r="CH7" s="701" t="s">
        <v>1118</v>
      </c>
      <c r="CI7" s="701" t="s">
        <v>1118</v>
      </c>
      <c r="CJ7" s="701"/>
      <c r="CK7" s="701"/>
      <c r="CM7" s="1358"/>
      <c r="CN7" s="1356" t="s">
        <v>2230</v>
      </c>
    </row>
    <row r="8" spans="1:92" s="172" customFormat="1" ht="4.5" customHeight="1" x14ac:dyDescent="0.3">
      <c r="A8" s="18"/>
      <c r="B8" s="16"/>
      <c r="C8" s="16"/>
      <c r="D8" s="16"/>
      <c r="E8" s="16"/>
      <c r="F8" s="16"/>
      <c r="G8" s="16"/>
      <c r="H8" s="16"/>
      <c r="I8" s="258"/>
      <c r="J8" s="16"/>
      <c r="K8" s="16"/>
      <c r="L8" s="16"/>
      <c r="M8" s="16"/>
      <c r="N8" s="16"/>
      <c r="O8" s="16"/>
      <c r="P8" s="16"/>
      <c r="Q8" s="16"/>
      <c r="R8" s="16"/>
      <c r="S8" s="16"/>
      <c r="T8" s="16"/>
      <c r="U8" s="16"/>
      <c r="V8" s="16"/>
      <c r="W8" s="16"/>
      <c r="X8" s="16"/>
      <c r="Y8" s="16"/>
      <c r="Z8" s="16"/>
      <c r="AA8" s="16"/>
      <c r="AB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F8" s="16"/>
      <c r="BG8" s="16"/>
      <c r="BH8" s="16"/>
      <c r="BI8" s="16"/>
      <c r="BJ8" s="16"/>
      <c r="BK8" s="16"/>
      <c r="BL8" s="12"/>
      <c r="BP8" s="1011"/>
      <c r="BQ8" s="12"/>
      <c r="BR8" s="1281"/>
      <c r="BS8" s="1281"/>
      <c r="BT8" s="1281"/>
      <c r="BU8" s="1281"/>
      <c r="BV8" s="1281"/>
      <c r="BW8" s="1281"/>
      <c r="BX8" s="12"/>
      <c r="BY8" s="1281"/>
      <c r="BZ8" s="1281"/>
      <c r="CA8" s="1281"/>
      <c r="CB8" s="1281"/>
      <c r="CC8" s="1281"/>
      <c r="CD8" s="1281"/>
      <c r="CF8" s="1281"/>
      <c r="CG8" s="1281"/>
      <c r="CH8" s="1281"/>
      <c r="CI8" s="1281"/>
      <c r="CJ8" s="1281"/>
      <c r="CK8" s="1281"/>
    </row>
    <row r="9" spans="1:92" s="256" customFormat="1" ht="9.75" customHeight="1" x14ac:dyDescent="0.25">
      <c r="A9" s="254">
        <v>1960</v>
      </c>
      <c r="B9" s="258">
        <f>('C1-Incomes'!B8-'C1-Incomes'!C8)/'C0-Ref Stats'!$B6*1000*'C0-Ref Stats'!$AA6/0.9</f>
        <v>21798.363452893424</v>
      </c>
      <c r="C9" s="258">
        <f>('C1-Incomes'!C8-'C1-Incomes'!D8)/'C0-Ref Stats'!$B6*1000*'C0-Ref Stats'!$AA6/0.05</f>
        <v>62603.915022040419</v>
      </c>
      <c r="D9" s="258">
        <f>('C1-Incomes'!D8-'C1-Incomes'!E8)/'C0-Ref Stats'!$B6*1000*'C0-Ref Stats'!$AA6/0.04</f>
        <v>89905.23820691873</v>
      </c>
      <c r="E9" s="258">
        <f>('C1-Incomes'!E8-'C1-Incomes'!F8)/'C0-Ref Stats'!$B6*1000*'C0-Ref Stats'!$AA6/0.005</f>
        <v>158205.69990187197</v>
      </c>
      <c r="F9" s="258">
        <f>('C1-Incomes'!F8-'C1-Incomes'!G8)/'C0-Ref Stats'!$B6*1000*'C0-Ref Stats'!$AA6/0.004</f>
        <v>245005.91875536134</v>
      </c>
      <c r="G9" s="258">
        <f>('C1-Incomes'!G8-'C1-Incomes'!H8)/'C0-Ref Stats'!$B6*1000*'C0-Ref Stats'!$AA6/0.0009</f>
        <v>496243.39704558242</v>
      </c>
      <c r="H9" s="258"/>
      <c r="I9" s="258">
        <f>('C1-Incomes'!J8-'C1-Incomes'!K8)/'C0-Ref Stats'!$R6*1000*'C0-Ref Stats'!$AA6/0.9</f>
        <v>12056.201111417668</v>
      </c>
      <c r="J9" s="258">
        <f>('C1-Incomes'!K8-'C1-Incomes'!L8)/'C0-Ref Stats'!$R6*1000*'C0-Ref Stats'!$AA6/0.05</f>
        <v>34579.760366515657</v>
      </c>
      <c r="K9" s="258">
        <f>('C1-Incomes'!L8-'C1-Incomes'!M8)/'C0-Ref Stats'!$R6*1000*'C0-Ref Stats'!$AA6/0.04</f>
        <v>53965.683270906949</v>
      </c>
      <c r="L9" s="258">
        <f>('C1-Incomes'!M8-'C1-Incomes'!N8)/'C0-Ref Stats'!$R6*1000*'C0-Ref Stats'!$AA6/0.005</f>
        <v>97088.596652630513</v>
      </c>
      <c r="M9" s="258">
        <f>('C1-Incomes'!N8-'C1-Incomes'!O8)/'C0-Ref Stats'!$R6*1000*'C0-Ref Stats'!$AA6/0.004</f>
        <v>169872.27641853108</v>
      </c>
      <c r="N9" s="258">
        <f>('C1-Incomes'!O8-'C1-Incomes'!P8)/'C0-Ref Stats'!$R6*1000*'C0-Ref Stats'!$AA6/0.0009</f>
        <v>464794.97107092821</v>
      </c>
      <c r="O9" s="47"/>
      <c r="P9" s="258">
        <f>('C1-Incomes'!R8-'C1-Incomes'!S8)/'C0-Ref Stats'!$R6*1000*'C0-Ref Stats'!$AA6/0.9</f>
        <v>12944.08281365252</v>
      </c>
      <c r="Q9" s="258">
        <f>('C1-Incomes'!S8-'C1-Incomes'!T8)/'C0-Ref Stats'!$R6*1000*'C0-Ref Stats'!$AA6/0.05</f>
        <v>34948.159133350629</v>
      </c>
      <c r="R9" s="258">
        <f>('C1-Incomes'!T8-'C1-Incomes'!U8)/'C0-Ref Stats'!$R6*1000*'C0-Ref Stats'!$AA6/0.04</f>
        <v>54421.966486547717</v>
      </c>
      <c r="S9" s="258">
        <f>('C1-Incomes'!U8-'C1-Incomes'!V8)/'C0-Ref Stats'!$R6*1000*'C0-Ref Stats'!$AA6/0.005</f>
        <v>97775.252406614643</v>
      </c>
      <c r="T9" s="258">
        <f>('C1-Incomes'!V8-'C1-Incomes'!W8)/'C0-Ref Stats'!$R6*1000*'C0-Ref Stats'!$AA6/0.004</f>
        <v>170728.41113278552</v>
      </c>
      <c r="U9" s="258">
        <f>('C1-Incomes'!W8-'C1-Incomes'!X8)/'C0-Ref Stats'!$R6*1000*'C0-Ref Stats'!$AA6/0.0009</f>
        <v>465522.79845683806</v>
      </c>
      <c r="V9" s="258"/>
      <c r="W9" s="258">
        <f>('C1-Incomes'!Z8-'C1-Incomes'!AA8)/'C0-Ref Stats'!$R6*1000*'C0-Ref Stats'!$AA6/0.9</f>
        <v>13280.279797422469</v>
      </c>
      <c r="X9" s="258">
        <f>('C1-Incomes'!AA8-'C1-Incomes'!AB8)/'C0-Ref Stats'!$R6*1000*'C0-Ref Stats'!$AA6/0.05</f>
        <v>30705.286720773463</v>
      </c>
      <c r="Y9" s="258">
        <f>('C1-Incomes'!AB8-'C1-Incomes'!AC8)/'C0-Ref Stats'!$R6*1000*'C0-Ref Stats'!$AA6/0.04</f>
        <v>44270.463555634247</v>
      </c>
      <c r="Z9" s="258">
        <f>('C1-Incomes'!AC8-'C1-Incomes'!AD8)/'C0-Ref Stats'!$R6*1000*'C0-Ref Stats'!$AA6/0.005</f>
        <v>76661.828476486509</v>
      </c>
      <c r="AA9" s="258">
        <f>('C1-Incomes'!AD8-'C1-Incomes'!AE8)/'C0-Ref Stats'!$R6*1000*'C0-Ref Stats'!$AA6/0.004</f>
        <v>125294.50572905398</v>
      </c>
      <c r="AB9" s="258">
        <f>('C1-Incomes'!AE8-'C1-Incomes'!AF8)/'C0-Ref Stats'!$R6*1000*'C0-Ref Stats'!$AA6/0.0009</f>
        <v>309360.33691048453</v>
      </c>
      <c r="AD9" s="258">
        <f>'C1-Incomes'!C8/'C0-Ref Stats'!$B6*1000*'C0-Ref Stats'!$AA6/0.1</f>
        <v>91142.340752037446</v>
      </c>
      <c r="AE9" s="258">
        <f>'C1-Incomes'!D8/'C0-Ref Stats'!$B6*1000*'C0-Ref Stats'!$AA6/0.05</f>
        <v>119680.76648203449</v>
      </c>
      <c r="AF9" s="258">
        <f>'C1-Incomes'!E8/'C0-Ref Stats'!$B6*1000*'C0-Ref Stats'!$AA6/0.01</f>
        <v>238782.87958249767</v>
      </c>
      <c r="AG9" s="258">
        <f>'C1-Incomes'!F8/'C0-Ref Stats'!$B6*1000*'C0-Ref Stats'!$AA6/0.005</f>
        <v>319360.05926312326</v>
      </c>
      <c r="AH9" s="258">
        <f>'C1-Incomes'!G8/'C0-Ref Stats'!$B6*1000*'C0-Ref Stats'!$AA6/0.001</f>
        <v>616776.62129417097</v>
      </c>
      <c r="AI9" s="258">
        <f>'C1-Incomes'!H8/'C0-Ref Stats'!$B6*1000*'C0-Ref Stats'!$AA6/0.0001</f>
        <v>1701575.6395314664</v>
      </c>
      <c r="AJ9" s="47"/>
      <c r="AK9" s="258">
        <f>'C1-Incomes'!K8/'C0-Ref Stats'!$R6*1000*'C0-Ref Stats'!$AA6/0.1</f>
        <v>57163.770083298063</v>
      </c>
      <c r="AL9" s="258">
        <f>'C1-Incomes'!L8/'C0-Ref Stats'!$R6*1000*'C0-Ref Stats'!$AA6/0.05</f>
        <v>79747.779800080491</v>
      </c>
      <c r="AM9" s="258">
        <f>'C1-Incomes'!M8/'C0-Ref Stats'!$R6*1000*'C0-Ref Stats'!$AA6/0.01</f>
        <v>182876.1659167746</v>
      </c>
      <c r="AN9" s="258">
        <f>'C1-Incomes'!N8/'C0-Ref Stats'!$R6*1000*'C0-Ref Stats'!$AA6/0.005</f>
        <v>268663.73518091871</v>
      </c>
      <c r="AO9" s="258">
        <f>'C1-Incomes'!O8/'C0-Ref Stats'!$R6*1000*'C0-Ref Stats'!$AA6/0.001</f>
        <v>663829.57023046934</v>
      </c>
      <c r="AP9" s="258">
        <f>'C1-Incomes'!P8/'C0-Ref Stats'!$R6*1000*'C0-Ref Stats'!$AA6/0.0001</f>
        <v>2455140.9626663406</v>
      </c>
      <c r="AQ9" s="47"/>
      <c r="AR9" s="258">
        <f>'C1-Incomes'!S8/'C0-Ref Stats'!$R6*1000*'C0-Ref Stats'!$AA6/0.1</f>
        <v>57606.514098410989</v>
      </c>
      <c r="AS9" s="258">
        <f>'C1-Incomes'!T8/'C0-Ref Stats'!$R6*1000*'C0-Ref Stats'!$AA6/0.05</f>
        <v>80264.869063471342</v>
      </c>
      <c r="AT9" s="258">
        <f>'C1-Incomes'!U8/'C0-Ref Stats'!$R6*1000*'C0-Ref Stats'!$AA6/0.01</f>
        <v>183636.47937116591</v>
      </c>
      <c r="AU9" s="258">
        <f>'C1-Incomes'!V8/'C0-Ref Stats'!$R6*1000*'C0-Ref Stats'!$AA6/0.005</f>
        <v>269497.70633571711</v>
      </c>
      <c r="AV9" s="258">
        <f>'C1-Incomes'!W8/'C0-Ref Stats'!$R6*1000*'C0-Ref Stats'!$AA6/0.001</f>
        <v>664574.88714744372</v>
      </c>
      <c r="AW9" s="258">
        <f>'C1-Incomes'!X8/'C0-Ref Stats'!$R6*1000*'C0-Ref Stats'!$AA6/0.0001</f>
        <v>2456043.6853628941</v>
      </c>
      <c r="AX9" s="258"/>
      <c r="AY9" s="258">
        <f>'C1-Incomes'!AA8/'C0-Ref Stats'!$R6*1000*'C0-Ref Stats'!$AA6/0.1</f>
        <v>46146.975891111477</v>
      </c>
      <c r="AZ9" s="258">
        <f>'C1-Incomes'!AB8/'C0-Ref Stats'!$R6*1000*'C0-Ref Stats'!$AA6/0.05</f>
        <v>61588.665061449487</v>
      </c>
      <c r="BA9" s="258">
        <f>'C1-Incomes'!AC8/'C0-Ref Stats'!$R6*1000*'C0-Ref Stats'!$AA6/0.01</f>
        <v>130861.47108471047</v>
      </c>
      <c r="BB9" s="258">
        <f>'C1-Incomes'!AD8/'C0-Ref Stats'!$R6*1000*'C0-Ref Stats'!$AA6/0.005</f>
        <v>185061.11369293445</v>
      </c>
      <c r="BC9" s="258">
        <f>'C1-Incomes'!AE8/'C0-Ref Stats'!$R6*1000*'C0-Ref Stats'!$AA6/0.001</f>
        <v>424127.54554845643</v>
      </c>
      <c r="BD9" s="258">
        <f>'C1-Incomes'!AF8/'C0-Ref Stats'!$R6*1000*'C0-Ref Stats'!$AA6/0.0001</f>
        <v>1457032.4232902031</v>
      </c>
      <c r="BF9" s="258">
        <v>56500</v>
      </c>
      <c r="BG9" s="258">
        <v>70900</v>
      </c>
      <c r="BH9" s="258">
        <v>136600</v>
      </c>
      <c r="BI9" s="258">
        <v>188000</v>
      </c>
      <c r="BJ9" s="258">
        <v>360000</v>
      </c>
      <c r="BK9" s="258">
        <v>900000</v>
      </c>
      <c r="BL9" s="488"/>
      <c r="BM9" s="258">
        <v>99700</v>
      </c>
      <c r="BN9" s="258">
        <v>176784.85048493097</v>
      </c>
      <c r="BO9" s="1254">
        <f>BN9/BM9/(BN9/BM9-1)</f>
        <v>2.2933799491443523</v>
      </c>
      <c r="BP9" s="1254">
        <f>AF9/BH9/(AF9/BH9-1)</f>
        <v>2.3368188541771868</v>
      </c>
      <c r="BQ9" s="486"/>
      <c r="BR9" s="258">
        <v>140900</v>
      </c>
      <c r="BS9" s="258">
        <v>371390.92943081853</v>
      </c>
      <c r="BT9" s="258">
        <v>194700</v>
      </c>
      <c r="BU9" s="258">
        <v>511710.91196668881</v>
      </c>
      <c r="BV9" s="1254">
        <f>BS9/BR9/(BS9/BR9-1)</f>
        <v>1.6113038823173773</v>
      </c>
      <c r="BW9" s="1254">
        <f>BU9/BT9/(BU9/BT9-1)</f>
        <v>1.6141744421102415</v>
      </c>
      <c r="BY9" s="258">
        <v>140900</v>
      </c>
      <c r="BZ9" s="258">
        <v>374844.94586789882</v>
      </c>
      <c r="CA9" s="258">
        <v>194700</v>
      </c>
      <c r="CB9" s="258">
        <v>513869.5382044274</v>
      </c>
      <c r="CC9" s="1254">
        <f>BZ9/BY9/(BZ9/BY9-1)</f>
        <v>1.6022784526388603</v>
      </c>
      <c r="CD9" s="1254">
        <f>CB9/CA9/(CB9/CA9-1)</f>
        <v>1.6100206213141026</v>
      </c>
      <c r="CF9" s="258">
        <v>113000</v>
      </c>
      <c r="CG9" s="258">
        <v>265704.80135411874</v>
      </c>
      <c r="CH9" s="258">
        <v>150200</v>
      </c>
      <c r="CI9" s="258">
        <v>370484.22505327407</v>
      </c>
      <c r="CJ9" s="1254">
        <f>CG9/CF9/(CG9/CF9-1)</f>
        <v>1.7399898300378633</v>
      </c>
      <c r="CK9" s="1254">
        <f>CI9/CH9/(CI9/CH9-1)</f>
        <v>1.6818463735370759</v>
      </c>
      <c r="CM9" s="1183">
        <v>0.47490705090000002</v>
      </c>
      <c r="CN9" s="1183"/>
    </row>
    <row r="10" spans="1:92" s="256" customFormat="1" ht="9.75" customHeight="1" x14ac:dyDescent="0.25">
      <c r="A10" s="254">
        <v>1961</v>
      </c>
      <c r="B10" s="258"/>
      <c r="C10" s="258"/>
      <c r="D10" s="258"/>
      <c r="E10" s="258"/>
      <c r="F10" s="258"/>
      <c r="G10" s="258"/>
      <c r="H10" s="258"/>
      <c r="I10" s="258"/>
      <c r="J10" s="258"/>
      <c r="K10" s="258"/>
      <c r="L10" s="258"/>
      <c r="M10" s="258"/>
      <c r="N10" s="258"/>
      <c r="O10" s="47"/>
      <c r="P10" s="258"/>
      <c r="Q10" s="258"/>
      <c r="R10" s="258"/>
      <c r="S10" s="258"/>
      <c r="T10" s="258"/>
      <c r="U10" s="258"/>
      <c r="V10" s="258"/>
      <c r="W10" s="258"/>
      <c r="X10" s="258"/>
      <c r="Y10" s="258"/>
      <c r="Z10" s="258"/>
      <c r="AA10" s="258"/>
      <c r="AB10" s="258"/>
      <c r="AD10" s="258"/>
      <c r="AE10" s="258"/>
      <c r="AF10" s="258"/>
      <c r="AG10" s="258"/>
      <c r="AH10" s="258"/>
      <c r="AI10" s="258"/>
      <c r="AJ10" s="47"/>
      <c r="AK10" s="258"/>
      <c r="AL10" s="258"/>
      <c r="AM10" s="258"/>
      <c r="AN10" s="258"/>
      <c r="AO10" s="258"/>
      <c r="AP10" s="258"/>
      <c r="AQ10" s="47"/>
      <c r="AR10" s="258"/>
      <c r="AS10" s="258"/>
      <c r="AT10" s="258"/>
      <c r="AU10" s="258"/>
      <c r="AV10" s="258"/>
      <c r="AW10" s="258"/>
      <c r="AX10" s="258"/>
      <c r="AY10" s="258"/>
      <c r="AZ10" s="258"/>
      <c r="BA10" s="258"/>
      <c r="BB10" s="258"/>
      <c r="BC10" s="258"/>
      <c r="BD10" s="258"/>
      <c r="BF10" s="258"/>
      <c r="BG10" s="258"/>
      <c r="BH10" s="258"/>
      <c r="BI10" s="258"/>
      <c r="BJ10" s="258"/>
      <c r="BK10" s="258"/>
      <c r="BL10" s="488"/>
      <c r="BM10" s="258"/>
      <c r="BN10" s="258"/>
      <c r="BO10" s="1254"/>
      <c r="BP10" s="1254"/>
      <c r="BQ10" s="486"/>
      <c r="BR10" s="258"/>
      <c r="BS10" s="258"/>
      <c r="BT10" s="258"/>
      <c r="BU10" s="258"/>
      <c r="BV10" s="1254"/>
      <c r="BW10" s="1254"/>
      <c r="BX10" s="488"/>
      <c r="BY10" s="258"/>
      <c r="BZ10" s="258"/>
      <c r="CA10" s="258"/>
      <c r="CB10" s="258"/>
      <c r="CC10" s="1254"/>
      <c r="CD10" s="1254"/>
      <c r="CF10" s="258"/>
      <c r="CG10" s="258"/>
      <c r="CH10" s="258"/>
      <c r="CI10" s="258"/>
      <c r="CJ10" s="1254"/>
      <c r="CK10" s="1254"/>
      <c r="CM10" s="173"/>
      <c r="CN10" s="1183"/>
    </row>
    <row r="11" spans="1:92" s="256" customFormat="1" ht="9.75" customHeight="1" x14ac:dyDescent="0.25">
      <c r="A11" s="254">
        <v>1962</v>
      </c>
      <c r="B11" s="258">
        <f>('C1-Incomes'!B10-'C1-Incomes'!C10)/'C0-Ref Stats'!$B8*1000*'C0-Ref Stats'!$AA8/0.9</f>
        <v>22630.842805267777</v>
      </c>
      <c r="C11" s="258">
        <f>('C1-Incomes'!C10-'C1-Incomes'!D10)/'C0-Ref Stats'!$B8*1000*'C0-Ref Stats'!$AA8/0.05</f>
        <v>66940.962548659198</v>
      </c>
      <c r="D11" s="258">
        <f>('C1-Incomes'!D10-'C1-Incomes'!E10)/'C0-Ref Stats'!$B8*1000*'C0-Ref Stats'!$AA8/0.04</f>
        <v>95743.532122785589</v>
      </c>
      <c r="E11" s="258">
        <f>('C1-Incomes'!E10-'C1-Incomes'!F10)/'C0-Ref Stats'!$B8*1000*'C0-Ref Stats'!$AA8/0.005</f>
        <v>168617.72149459351</v>
      </c>
      <c r="F11" s="258">
        <f>('C1-Incomes'!F10-'C1-Incomes'!G10)/'C0-Ref Stats'!$B8*1000*'C0-Ref Stats'!$AA8/0.004</f>
        <v>259398.36486428403</v>
      </c>
      <c r="G11" s="258">
        <f>('C1-Incomes'!G10-'C1-Incomes'!H10)/'C0-Ref Stats'!$B8*1000*'C0-Ref Stats'!$AA8/0.0009</f>
        <v>507503.54718136485</v>
      </c>
      <c r="H11" s="258"/>
      <c r="I11" s="258">
        <f>('C1-Incomes'!J10-'C1-Incomes'!K10)/'C0-Ref Stats'!$R8*1000*'C0-Ref Stats'!$AA8/0.9</f>
        <v>13009.462978121104</v>
      </c>
      <c r="J11" s="258">
        <f>('C1-Incomes'!K10-'C1-Incomes'!L10)/'C0-Ref Stats'!$R8*1000*'C0-Ref Stats'!$AA8/0.05</f>
        <v>36810.140712227127</v>
      </c>
      <c r="K11" s="258">
        <f>('C1-Incomes'!L10-'C1-Incomes'!M10)/'C0-Ref Stats'!$R8*1000*'C0-Ref Stats'!$AA8/0.04</f>
        <v>55773.842382097348</v>
      </c>
      <c r="L11" s="258">
        <f>('C1-Incomes'!M10-'C1-Incomes'!N10)/'C0-Ref Stats'!$R8*1000*'C0-Ref Stats'!$AA8/0.005</f>
        <v>101862.43516216541</v>
      </c>
      <c r="M11" s="258">
        <f>('C1-Incomes'!N10-'C1-Incomes'!O10)/'C0-Ref Stats'!$R8*1000*'C0-Ref Stats'!$AA8/0.004</f>
        <v>184813.97972561853</v>
      </c>
      <c r="N11" s="258">
        <f>('C1-Incomes'!O10-'C1-Incomes'!P10)/'C0-Ref Stats'!$R8*1000*'C0-Ref Stats'!$AA8/0.0009</f>
        <v>508361.82395853853</v>
      </c>
      <c r="O11" s="47"/>
      <c r="P11" s="258">
        <f>('C1-Incomes'!R10-'C1-Incomes'!S10)/'C0-Ref Stats'!$R8*1000*'C0-Ref Stats'!$AA8/0.9</f>
        <v>14017.105664471223</v>
      </c>
      <c r="Q11" s="258">
        <f>('C1-Incomes'!S10-'C1-Incomes'!T10)/'C0-Ref Stats'!$R8*1000*'C0-Ref Stats'!$AA8/0.05</f>
        <v>37216.075471383549</v>
      </c>
      <c r="R11" s="258">
        <f>('C1-Incomes'!T10-'C1-Incomes'!U10)/'C0-Ref Stats'!$R8*1000*'C0-Ref Stats'!$AA8/0.04</f>
        <v>56292.643610966152</v>
      </c>
      <c r="S11" s="258">
        <f>('C1-Incomes'!U10-'C1-Incomes'!V10)/'C0-Ref Stats'!$R8*1000*'C0-Ref Stats'!$AA8/0.005</f>
        <v>102663.01514272427</v>
      </c>
      <c r="T11" s="258">
        <f>('C1-Incomes'!V10-'C1-Incomes'!W10)/'C0-Ref Stats'!$R8*1000*'C0-Ref Stats'!$AA8/0.004</f>
        <v>185822.44469376255</v>
      </c>
      <c r="U11" s="258">
        <f>('C1-Incomes'!W10-'C1-Incomes'!X10)/'C0-Ref Stats'!$R8*1000*'C0-Ref Stats'!$AA8/0.0009</f>
        <v>509214.25354890537</v>
      </c>
      <c r="V11" s="258"/>
      <c r="W11" s="258">
        <f>('C1-Incomes'!Z10-'C1-Incomes'!AA10)/'C0-Ref Stats'!$R8*1000*'C0-Ref Stats'!$AA8/0.9</f>
        <v>14204.839310075924</v>
      </c>
      <c r="X11" s="258">
        <f>('C1-Incomes'!AA10-'C1-Incomes'!AB10)/'C0-Ref Stats'!$R8*1000*'C0-Ref Stats'!$AA8/0.05</f>
        <v>32438.676579603252</v>
      </c>
      <c r="Y11" s="258">
        <f>('C1-Incomes'!AB10-'C1-Incomes'!AC10)/'C0-Ref Stats'!$R8*1000*'C0-Ref Stats'!$AA8/0.04</f>
        <v>46781.178044985492</v>
      </c>
      <c r="Z11" s="258">
        <f>('C1-Incomes'!AC10-'C1-Incomes'!AD10)/'C0-Ref Stats'!$R8*1000*'C0-Ref Stats'!$AA8/0.005</f>
        <v>81030.226244786827</v>
      </c>
      <c r="AA11" s="258">
        <f>('C1-Incomes'!AD10-'C1-Incomes'!AE10)/'C0-Ref Stats'!$R8*1000*'C0-Ref Stats'!$AA8/0.004</f>
        <v>138971.22286204266</v>
      </c>
      <c r="AB11" s="258">
        <f>('C1-Incomes'!AE10-'C1-Incomes'!AF10)/'C0-Ref Stats'!$R8*1000*'C0-Ref Stats'!$AA8/0.0009</f>
        <v>369239.49679094739</v>
      </c>
      <c r="AD11" s="258">
        <f>'C1-Incomes'!C10/'C0-Ref Stats'!$B8*1000*'C0-Ref Stats'!$AA8/0.1</f>
        <v>96823.682150948953</v>
      </c>
      <c r="AE11" s="258">
        <f>'C1-Incomes'!D10/'C0-Ref Stats'!$B8*1000*'C0-Ref Stats'!$AA8/0.05</f>
        <v>126706.40175323871</v>
      </c>
      <c r="AF11" s="258">
        <f>'C1-Incomes'!E10/'C0-Ref Stats'!$B8*1000*'C0-Ref Stats'!$AA8/0.01</f>
        <v>250557.88027505114</v>
      </c>
      <c r="AG11" s="258">
        <f>'C1-Incomes'!F10/'C0-Ref Stats'!$B8*1000*'C0-Ref Stats'!$AA8/0.005</f>
        <v>332498.03905550885</v>
      </c>
      <c r="AH11" s="258">
        <f>'C1-Incomes'!G10/'C0-Ref Stats'!$B8*1000*'C0-Ref Stats'!$AA8/0.001</f>
        <v>624896.73582040775</v>
      </c>
      <c r="AI11" s="258">
        <f>'C1-Incomes'!H10/'C0-Ref Stats'!$B8*1000*'C0-Ref Stats'!$AA8/0.0001</f>
        <v>1681435.4335717952</v>
      </c>
      <c r="AJ11" s="47"/>
      <c r="AK11" s="258">
        <f>'C1-Incomes'!K10/'C0-Ref Stats'!$R8*1000*'C0-Ref Stats'!$AA8/0.1</f>
        <v>60458.079373435648</v>
      </c>
      <c r="AL11" s="258">
        <f>'C1-Incomes'!L10/'C0-Ref Stats'!$R8*1000*'C0-Ref Stats'!$AA8/0.05</f>
        <v>84106.018034644178</v>
      </c>
      <c r="AM11" s="258">
        <f>'C1-Incomes'!M10/'C0-Ref Stats'!$R8*1000*'C0-Ref Stats'!$AA8/0.01</f>
        <v>197434.72064483148</v>
      </c>
      <c r="AN11" s="258">
        <f>'C1-Incomes'!N10/'C0-Ref Stats'!$R8*1000*'C0-Ref Stats'!$AA8/0.005</f>
        <v>293007.00612749753</v>
      </c>
      <c r="AO11" s="258">
        <f>'C1-Incomes'!O10/'C0-Ref Stats'!$R8*1000*'C0-Ref Stats'!$AA8/0.001</f>
        <v>725779.1117350139</v>
      </c>
      <c r="AP11" s="258">
        <f>'C1-Incomes'!P10/'C0-Ref Stats'!$R8*1000*'C0-Ref Stats'!$AA8/0.0001</f>
        <v>2682534.7017232915</v>
      </c>
      <c r="AQ11" s="47"/>
      <c r="AR11" s="258">
        <f>'C1-Incomes'!S10/'C0-Ref Stats'!$R8*1000*'C0-Ref Stats'!$AA8/0.1</f>
        <v>60957.672801649496</v>
      </c>
      <c r="AS11" s="258">
        <f>'C1-Incomes'!T10/'C0-Ref Stats'!$R8*1000*'C0-Ref Stats'!$AA8/0.05</f>
        <v>84699.270131915429</v>
      </c>
      <c r="AT11" s="258">
        <f>'C1-Incomes'!U10/'C0-Ref Stats'!$R8*1000*'C0-Ref Stats'!$AA8/0.01</f>
        <v>198325.7762157126</v>
      </c>
      <c r="AU11" s="258">
        <f>'C1-Incomes'!V10/'C0-Ref Stats'!$R8*1000*'C0-Ref Stats'!$AA8/0.005</f>
        <v>293988.53728870093</v>
      </c>
      <c r="AV11" s="258">
        <f>'C1-Incomes'!W10/'C0-Ref Stats'!$R8*1000*'C0-Ref Stats'!$AA8/0.001</f>
        <v>726652.90766845446</v>
      </c>
      <c r="AW11" s="258">
        <f>'C1-Incomes'!X10/'C0-Ref Stats'!$R8*1000*'C0-Ref Stats'!$AA8/0.0001</f>
        <v>2683600.7947443957</v>
      </c>
      <c r="AX11" s="258"/>
      <c r="AY11" s="258">
        <f>'C1-Incomes'!AA10/'C0-Ref Stats'!$R8*1000*'C0-Ref Stats'!$AA8/0.1</f>
        <v>49700.059535799934</v>
      </c>
      <c r="AZ11" s="258">
        <f>'C1-Incomes'!AB10/'C0-Ref Stats'!$R8*1000*'C0-Ref Stats'!$AA8/0.05</f>
        <v>66961.442491996626</v>
      </c>
      <c r="BA11" s="258">
        <f>'C1-Incomes'!AC10/'C0-Ref Stats'!$R8*1000*'C0-Ref Stats'!$AA8/0.01</f>
        <v>147682.50028004116</v>
      </c>
      <c r="BB11" s="258">
        <f>'C1-Incomes'!AD10/'C0-Ref Stats'!$R8*1000*'C0-Ref Stats'!$AA8/0.005</f>
        <v>214334.77431529554</v>
      </c>
      <c r="BC11" s="258">
        <f>'C1-Incomes'!AE10/'C0-Ref Stats'!$R8*1000*'C0-Ref Stats'!$AA8/0.001</f>
        <v>515788.98012830713</v>
      </c>
      <c r="BD11" s="258">
        <f>'C1-Incomes'!AF10/'C0-Ref Stats'!$R8*1000*'C0-Ref Stats'!$AA8/0.0001</f>
        <v>1834734.3301645443</v>
      </c>
      <c r="BF11" s="258">
        <v>60500</v>
      </c>
      <c r="BG11" s="258">
        <v>75400</v>
      </c>
      <c r="BH11" s="258">
        <v>146200</v>
      </c>
      <c r="BI11" s="258">
        <v>200000</v>
      </c>
      <c r="BJ11" s="258">
        <v>378000</v>
      </c>
      <c r="BK11" s="258">
        <v>900000</v>
      </c>
      <c r="BM11" s="258">
        <v>105700</v>
      </c>
      <c r="BN11" s="258">
        <v>186449.95028205507</v>
      </c>
      <c r="BO11" s="1254">
        <f t="shared" ref="BO11:BO64" si="0">BN11/BM11/(BN11/BM11-1)</f>
        <v>2.308979134114582</v>
      </c>
      <c r="BP11" s="1254">
        <f>AF11/BH11/(AF11/BH11-1)</f>
        <v>2.4009483482672085</v>
      </c>
      <c r="BQ11" s="486"/>
      <c r="BR11" s="258">
        <v>160800</v>
      </c>
      <c r="BS11" s="258">
        <v>364427.76447972102</v>
      </c>
      <c r="BT11" s="258">
        <v>235900</v>
      </c>
      <c r="BU11" s="258">
        <v>525708.29463250062</v>
      </c>
      <c r="BV11" s="1254">
        <f t="shared" ref="BV11" si="1">BS11/BR11/(BS11/BR11-1)</f>
        <v>1.7896762035906641</v>
      </c>
      <c r="BW11" s="1254">
        <f>BU11/BT11/(BU11/BT11-1)</f>
        <v>1.8139863639829201</v>
      </c>
      <c r="BX11" s="488"/>
      <c r="BY11" s="258">
        <v>160800</v>
      </c>
      <c r="BZ11" s="258">
        <v>368454.10706749657</v>
      </c>
      <c r="CA11" s="258">
        <v>235900</v>
      </c>
      <c r="CB11" s="258">
        <v>528391.38240200141</v>
      </c>
      <c r="CC11" s="1254">
        <f t="shared" ref="CC11" si="2">BZ11/BY11/(BZ11/BY11-1)</f>
        <v>1.7743646502870902</v>
      </c>
      <c r="CD11" s="1254">
        <f>CB11/CA11/(CB11/CA11-1)</f>
        <v>1.8065194880708588</v>
      </c>
      <c r="CF11" s="258">
        <v>120100</v>
      </c>
      <c r="CG11" s="258">
        <v>286769.17455058603</v>
      </c>
      <c r="CH11" s="258">
        <v>163200</v>
      </c>
      <c r="CI11" s="258">
        <v>400341.89655460278</v>
      </c>
      <c r="CJ11" s="1254">
        <f t="shared" ref="CJ11" si="3">CG11/CF11/(CG11/CF11-1)</f>
        <v>1.720589157076243</v>
      </c>
      <c r="CK11" s="1254">
        <f>CI11/CH11/(CI11/CH11-1)</f>
        <v>1.6881955587397548</v>
      </c>
      <c r="CM11" s="1183">
        <v>0.48394800789999998</v>
      </c>
      <c r="CN11" s="1183">
        <v>0.52122591510000005</v>
      </c>
    </row>
    <row r="12" spans="1:92" s="256" customFormat="1" ht="9.75" customHeight="1" x14ac:dyDescent="0.25">
      <c r="A12" s="254">
        <v>1963</v>
      </c>
      <c r="B12" s="258"/>
      <c r="C12" s="258"/>
      <c r="D12" s="258"/>
      <c r="E12" s="258"/>
      <c r="F12" s="258"/>
      <c r="G12" s="258"/>
      <c r="H12" s="258"/>
      <c r="I12" s="258"/>
      <c r="J12" s="258"/>
      <c r="K12" s="258"/>
      <c r="L12" s="258"/>
      <c r="M12" s="258"/>
      <c r="N12" s="258"/>
      <c r="O12" s="47"/>
      <c r="P12" s="258"/>
      <c r="Q12" s="258"/>
      <c r="R12" s="258"/>
      <c r="S12" s="258"/>
      <c r="T12" s="258"/>
      <c r="U12" s="258"/>
      <c r="V12" s="258"/>
      <c r="W12" s="258"/>
      <c r="X12" s="258"/>
      <c r="Y12" s="258"/>
      <c r="Z12" s="258"/>
      <c r="AA12" s="258"/>
      <c r="AB12" s="258"/>
      <c r="AD12" s="258"/>
      <c r="AE12" s="258"/>
      <c r="AF12" s="258"/>
      <c r="AG12" s="258"/>
      <c r="AH12" s="258"/>
      <c r="AI12" s="258"/>
      <c r="AJ12" s="47"/>
      <c r="AK12" s="258"/>
      <c r="AL12" s="258"/>
      <c r="AM12" s="258"/>
      <c r="AN12" s="258"/>
      <c r="AO12" s="258"/>
      <c r="AP12" s="258"/>
      <c r="AQ12" s="47"/>
      <c r="AR12" s="258"/>
      <c r="AS12" s="258"/>
      <c r="AT12" s="258"/>
      <c r="AU12" s="258"/>
      <c r="AV12" s="258"/>
      <c r="AW12" s="258"/>
      <c r="AX12" s="258"/>
      <c r="AY12" s="258"/>
      <c r="AZ12" s="258"/>
      <c r="BA12" s="258"/>
      <c r="BB12" s="258"/>
      <c r="BC12" s="258"/>
      <c r="BD12" s="258"/>
      <c r="BF12" s="258"/>
      <c r="BG12" s="258"/>
      <c r="BH12" s="258"/>
      <c r="BI12" s="258"/>
      <c r="BJ12" s="258"/>
      <c r="BK12" s="258"/>
      <c r="BM12" s="258"/>
      <c r="BN12" s="258"/>
      <c r="BO12" s="1254"/>
      <c r="BP12" s="1254"/>
      <c r="BQ12" s="486"/>
      <c r="BR12" s="258"/>
      <c r="BS12" s="258"/>
      <c r="BT12" s="258"/>
      <c r="BU12" s="258"/>
      <c r="BV12" s="1254"/>
      <c r="BW12" s="1254"/>
      <c r="BX12" s="488"/>
      <c r="BY12" s="258"/>
      <c r="BZ12" s="258"/>
      <c r="CA12" s="258"/>
      <c r="CB12" s="258"/>
      <c r="CC12" s="1254"/>
      <c r="CD12" s="1254"/>
      <c r="CF12" s="258"/>
      <c r="CG12" s="258"/>
      <c r="CH12" s="258"/>
      <c r="CI12" s="258"/>
      <c r="CJ12" s="1254"/>
      <c r="CK12" s="1254"/>
      <c r="CM12" s="1183"/>
      <c r="CN12" s="1183"/>
    </row>
    <row r="13" spans="1:92" s="256" customFormat="1" ht="9.75" customHeight="1" x14ac:dyDescent="0.25">
      <c r="A13" s="254">
        <v>1964</v>
      </c>
      <c r="B13" s="258">
        <f>('C1-Incomes'!B12-'C1-Incomes'!C12)/'C0-Ref Stats'!$B10*1000*'C0-Ref Stats'!$AA10/0.9</f>
        <v>25040.113433263035</v>
      </c>
      <c r="C13" s="258">
        <f>('C1-Incomes'!C12-'C1-Incomes'!D12)/'C0-Ref Stats'!$B10*1000*'C0-Ref Stats'!$AA10/0.05</f>
        <v>67215.055754280067</v>
      </c>
      <c r="D13" s="258">
        <f>('C1-Incomes'!D12-'C1-Incomes'!E12)/'C0-Ref Stats'!$B10*1000*'C0-Ref Stats'!$AA10/0.04</f>
        <v>94124.309042064837</v>
      </c>
      <c r="E13" s="258">
        <f>('C1-Incomes'!E12-'C1-Incomes'!F12)/'C0-Ref Stats'!$B10*1000*'C0-Ref Stats'!$AA10/0.005</f>
        <v>176040.91065333973</v>
      </c>
      <c r="F13" s="258">
        <f>('C1-Incomes'!F12-'C1-Incomes'!G12)/'C0-Ref Stats'!$B10*1000*'C0-Ref Stats'!$AA10/0.004</f>
        <v>272007.66391678498</v>
      </c>
      <c r="G13" s="258">
        <f>('C1-Incomes'!G12-'C1-Incomes'!H12)/'C0-Ref Stats'!$B10*1000*'C0-Ref Stats'!$AA10/0.0009</f>
        <v>529092.8984218596</v>
      </c>
      <c r="H13" s="258"/>
      <c r="I13" s="258">
        <f>('C1-Incomes'!J12-'C1-Incomes'!K12)/'C0-Ref Stats'!$R10*1000*'C0-Ref Stats'!$AA10/0.9</f>
        <v>14321.612276380267</v>
      </c>
      <c r="J13" s="258">
        <f>('C1-Incomes'!K12-'C1-Incomes'!L12)/'C0-Ref Stats'!$R10*1000*'C0-Ref Stats'!$AA10/0.05</f>
        <v>38586.298198075769</v>
      </c>
      <c r="K13" s="258">
        <f>('C1-Incomes'!L12-'C1-Incomes'!M12)/'C0-Ref Stats'!$R10*1000*'C0-Ref Stats'!$AA10/0.04</f>
        <v>58683.886196354259</v>
      </c>
      <c r="L13" s="258">
        <f>('C1-Incomes'!M12-'C1-Incomes'!N12)/'C0-Ref Stats'!$R10*1000*'C0-Ref Stats'!$AA10/0.005</f>
        <v>108422.41518005305</v>
      </c>
      <c r="M13" s="258">
        <f>('C1-Incomes'!N12-'C1-Incomes'!O12)/'C0-Ref Stats'!$R10*1000*'C0-Ref Stats'!$AA10/0.004</f>
        <v>207442.89940228523</v>
      </c>
      <c r="N13" s="258">
        <f>('C1-Incomes'!O12-'C1-Incomes'!P12)/'C0-Ref Stats'!$R10*1000*'C0-Ref Stats'!$AA10/0.0009</f>
        <v>591262.40285272221</v>
      </c>
      <c r="O13" s="47"/>
      <c r="P13" s="258">
        <f>('C1-Incomes'!R12-'C1-Incomes'!S12)/'C0-Ref Stats'!$R10*1000*'C0-Ref Stats'!$AA10/0.9</f>
        <v>15375.27386795233</v>
      </c>
      <c r="Q13" s="258">
        <f>('C1-Incomes'!S12-'C1-Incomes'!T12)/'C0-Ref Stats'!$R10*1000*'C0-Ref Stats'!$AA10/0.05</f>
        <v>38971.114095844234</v>
      </c>
      <c r="R13" s="258">
        <f>('C1-Incomes'!T12-'C1-Incomes'!U12)/'C0-Ref Stats'!$R10*1000*'C0-Ref Stats'!$AA10/0.04</f>
        <v>59215.110361696257</v>
      </c>
      <c r="S13" s="258">
        <f>('C1-Incomes'!U12-'C1-Incomes'!V12)/'C0-Ref Stats'!$R10*1000*'C0-Ref Stats'!$AA10/0.005</f>
        <v>109201.35078419925</v>
      </c>
      <c r="T13" s="258">
        <f>('C1-Incomes'!V12-'C1-Incomes'!W12)/'C0-Ref Stats'!$R10*1000*'C0-Ref Stats'!$AA10/0.004</f>
        <v>208586.85040396647</v>
      </c>
      <c r="U13" s="258">
        <f>('C1-Incomes'!W12-'C1-Incomes'!X12)/'C0-Ref Stats'!$R10*1000*'C0-Ref Stats'!$AA10/0.0009</f>
        <v>592167.91973499849</v>
      </c>
      <c r="V13" s="258"/>
      <c r="W13" s="258">
        <f>('C1-Incomes'!Z12-'C1-Incomes'!AA12)/'C0-Ref Stats'!$R10*1000*'C0-Ref Stats'!$AA10/0.9</f>
        <v>15624.102221433423</v>
      </c>
      <c r="X13" s="258">
        <f>('C1-Incomes'!AA12-'C1-Incomes'!AB12)/'C0-Ref Stats'!$R10*1000*'C0-Ref Stats'!$AA10/0.05</f>
        <v>34011.756935418583</v>
      </c>
      <c r="Y13" s="258">
        <f>('C1-Incomes'!AB12-'C1-Incomes'!AC12)/'C0-Ref Stats'!$R10*1000*'C0-Ref Stats'!$AA10/0.04</f>
        <v>48985.799458062997</v>
      </c>
      <c r="Z13" s="258">
        <f>('C1-Incomes'!AC12-'C1-Incomes'!AD12)/'C0-Ref Stats'!$R10*1000*'C0-Ref Stats'!$AA10/0.005</f>
        <v>87290.215288688123</v>
      </c>
      <c r="AA13" s="258">
        <f>('C1-Incomes'!AD12-'C1-Incomes'!AE12)/'C0-Ref Stats'!$R10*1000*'C0-Ref Stats'!$AA10/0.004</f>
        <v>157537.99940492006</v>
      </c>
      <c r="AB13" s="258">
        <f>('C1-Incomes'!AE12-'C1-Incomes'!AF12)/'C0-Ref Stats'!$R10*1000*'C0-Ref Stats'!$AA10/0.0009</f>
        <v>426186.84134573053</v>
      </c>
      <c r="AD13" s="258">
        <f>'C1-Incomes'!C12/'C0-Ref Stats'!$B10*1000*'C0-Ref Stats'!$AA10/0.1</f>
        <v>97510.627260253794</v>
      </c>
      <c r="AE13" s="258">
        <f>'C1-Incomes'!D12/'C0-Ref Stats'!$B10*1000*'C0-Ref Stats'!$AA10/0.05</f>
        <v>127806.19876622751</v>
      </c>
      <c r="AF13" s="258">
        <f>'C1-Incomes'!E12/'C0-Ref Stats'!$B10*1000*'C0-Ref Stats'!$AA10/0.01</f>
        <v>262533.75766287826</v>
      </c>
      <c r="AG13" s="258">
        <f>'C1-Incomes'!F12/'C0-Ref Stats'!$B10*1000*'C0-Ref Stats'!$AA10/0.005</f>
        <v>349026.60467241675</v>
      </c>
      <c r="AH13" s="258">
        <f>'C1-Incomes'!G12/'C0-Ref Stats'!$B10*1000*'C0-Ref Stats'!$AA10/0.001</f>
        <v>657102.36769494391</v>
      </c>
      <c r="AI13" s="258">
        <f>'C1-Incomes'!H12/'C0-Ref Stats'!$B10*1000*'C0-Ref Stats'!$AA10/0.0001</f>
        <v>1809187.5911527036</v>
      </c>
      <c r="AJ13" s="47"/>
      <c r="AK13" s="258">
        <f>'C1-Incomes'!K12/'C0-Ref Stats'!$R10*1000*'C0-Ref Stats'!$AA10/0.1</f>
        <v>65005.028252699303</v>
      </c>
      <c r="AL13" s="258">
        <f>'C1-Incomes'!L12/'C0-Ref Stats'!$R10*1000*'C0-Ref Stats'!$AA10/0.05</f>
        <v>91423.758307322816</v>
      </c>
      <c r="AM13" s="258">
        <f>'C1-Incomes'!M12/'C0-Ref Stats'!$R10*1000*'C0-Ref Stats'!$AA10/0.01</f>
        <v>222383.24675119706</v>
      </c>
      <c r="AN13" s="258">
        <f>'C1-Incomes'!N12/'C0-Ref Stats'!$R10*1000*'C0-Ref Stats'!$AA10/0.005</f>
        <v>336344.0783223412</v>
      </c>
      <c r="AO13" s="258">
        <f>'C1-Incomes'!O12/'C0-Ref Stats'!$R10*1000*'C0-Ref Stats'!$AA10/0.001</f>
        <v>851948.79400256509</v>
      </c>
      <c r="AP13" s="258">
        <f>'C1-Incomes'!P12/'C0-Ref Stats'!$R10*1000*'C0-Ref Stats'!$AA10/0.0001</f>
        <v>3198126.3143511498</v>
      </c>
      <c r="AQ13" s="47"/>
      <c r="AR13" s="258">
        <f>'C1-Incomes'!S12/'C0-Ref Stats'!$R10*1000*'C0-Ref Stats'!$AA10/0.1</f>
        <v>65503.909141206437</v>
      </c>
      <c r="AS13" s="258">
        <f>'C1-Incomes'!T12/'C0-Ref Stats'!$R10*1000*'C0-Ref Stats'!$AA10/0.05</f>
        <v>92036.704186568633</v>
      </c>
      <c r="AT13" s="258">
        <f>'C1-Incomes'!U12/'C0-Ref Stats'!$R10*1000*'C0-Ref Stats'!$AA10/0.01</f>
        <v>223323.07948605812</v>
      </c>
      <c r="AU13" s="258">
        <f>'C1-Incomes'!V12/'C0-Ref Stats'!$R10*1000*'C0-Ref Stats'!$AA10/0.005</f>
        <v>337444.80818791705</v>
      </c>
      <c r="AV13" s="258">
        <f>'C1-Incomes'!W12/'C0-Ref Stats'!$R10*1000*'C0-Ref Stats'!$AA10/0.001</f>
        <v>852876.63932371896</v>
      </c>
      <c r="AW13" s="258">
        <f>'C1-Incomes'!X12/'C0-Ref Stats'!$R10*1000*'C0-Ref Stats'!$AA10/0.0001</f>
        <v>3199255.1156222047</v>
      </c>
      <c r="AX13" s="258"/>
      <c r="AY13" s="258">
        <f>'C1-Incomes'!AA12/'C0-Ref Stats'!$R10*1000*'C0-Ref Stats'!$AA10/0.1</f>
        <v>53282.547675610746</v>
      </c>
      <c r="AZ13" s="258">
        <f>'C1-Incomes'!AB12/'C0-Ref Stats'!$R10*1000*'C0-Ref Stats'!$AA10/0.05</f>
        <v>72553.338415802908</v>
      </c>
      <c r="BA13" s="258">
        <f>'C1-Incomes'!AC12/'C0-Ref Stats'!$R10*1000*'C0-Ref Stats'!$AA10/0.01</f>
        <v>166823.49424676257</v>
      </c>
      <c r="BB13" s="258">
        <f>'C1-Incomes'!AD12/'C0-Ref Stats'!$R10*1000*'C0-Ref Stats'!$AA10/0.005</f>
        <v>246356.77320483699</v>
      </c>
      <c r="BC13" s="258">
        <f>'C1-Incomes'!AE12/'C0-Ref Stats'!$R10*1000*'C0-Ref Stats'!$AA10/0.001</f>
        <v>601631.86840450473</v>
      </c>
      <c r="BD13" s="258">
        <f>'C1-Incomes'!AF12/'C0-Ref Stats'!$R10*1000*'C0-Ref Stats'!$AA10/0.0001</f>
        <v>2180637.1119334735</v>
      </c>
      <c r="BF13" s="258">
        <v>62000</v>
      </c>
      <c r="BG13" s="258">
        <v>77000</v>
      </c>
      <c r="BH13" s="258">
        <v>149200</v>
      </c>
      <c r="BI13" s="258">
        <v>214000</v>
      </c>
      <c r="BJ13" s="258">
        <v>401000</v>
      </c>
      <c r="BK13" s="258">
        <v>960000</v>
      </c>
      <c r="BM13" s="258">
        <v>105100</v>
      </c>
      <c r="BN13" s="258">
        <v>190915.92540071526</v>
      </c>
      <c r="BO13" s="1254">
        <f t="shared" si="0"/>
        <v>2.2247144048058476</v>
      </c>
      <c r="BP13" s="1254">
        <f t="shared" ref="BP13:BP60" si="4">AF13/BH13/(AF13/BH13-1)</f>
        <v>2.316465659276993</v>
      </c>
      <c r="BQ13" s="486"/>
      <c r="BR13" s="258">
        <v>167100</v>
      </c>
      <c r="BS13" s="258">
        <v>394515.67135684349</v>
      </c>
      <c r="BT13" s="258">
        <v>252100</v>
      </c>
      <c r="BU13" s="258">
        <v>581059.67243600381</v>
      </c>
      <c r="BV13" s="1254">
        <f t="shared" ref="BV13" si="5">BS13/BR13/(BS13/BR13-1)</f>
        <v>1.7347778585487157</v>
      </c>
      <c r="BW13" s="1254">
        <f>BU13/BT13/(BU13/BT13-1)</f>
        <v>1.7663553350875976</v>
      </c>
      <c r="BX13" s="488"/>
      <c r="BY13" s="258">
        <v>167100</v>
      </c>
      <c r="BZ13" s="258">
        <v>398699.13236430025</v>
      </c>
      <c r="CA13" s="258">
        <v>252100</v>
      </c>
      <c r="CB13" s="258">
        <v>583947.06625087117</v>
      </c>
      <c r="CC13" s="1254">
        <f t="shared" ref="CC13" si="6">BZ13/BY13/(BZ13/BY13-1)</f>
        <v>1.721505293625865</v>
      </c>
      <c r="CD13" s="1254">
        <f>CB13/CA13/(CB13/CA13-1)</f>
        <v>1.7596872946570403</v>
      </c>
      <c r="CF13" s="258">
        <v>125000</v>
      </c>
      <c r="CG13" s="258">
        <v>309213.60655572411</v>
      </c>
      <c r="CH13" s="258">
        <v>175800</v>
      </c>
      <c r="CI13" s="258">
        <v>439147.70043297391</v>
      </c>
      <c r="CJ13" s="1254">
        <f t="shared" ref="CJ13" si="7">CG13/CF13/(CG13/CF13-1)</f>
        <v>1.6785600821630287</v>
      </c>
      <c r="CK13" s="1254">
        <f>CI13/CH13/(CI13/CH13-1)</f>
        <v>1.6675585156466701</v>
      </c>
      <c r="CM13" s="1183">
        <v>0.48371475539999997</v>
      </c>
      <c r="CN13" s="1183">
        <v>0.520260532</v>
      </c>
    </row>
    <row r="14" spans="1:92" s="256" customFormat="1" ht="9.75" customHeight="1" x14ac:dyDescent="0.25">
      <c r="A14" s="254">
        <v>1965</v>
      </c>
      <c r="B14" s="258"/>
      <c r="C14" s="258"/>
      <c r="D14" s="258"/>
      <c r="E14" s="258"/>
      <c r="F14" s="258"/>
      <c r="G14" s="258"/>
      <c r="H14" s="258"/>
      <c r="I14" s="258"/>
      <c r="J14" s="258"/>
      <c r="K14" s="258"/>
      <c r="L14" s="258"/>
      <c r="M14" s="258"/>
      <c r="N14" s="258"/>
      <c r="O14" s="47"/>
      <c r="P14" s="258"/>
      <c r="Q14" s="258"/>
      <c r="R14" s="258"/>
      <c r="S14" s="258"/>
      <c r="T14" s="258"/>
      <c r="U14" s="258"/>
      <c r="V14" s="258"/>
      <c r="W14" s="258"/>
      <c r="X14" s="258"/>
      <c r="Y14" s="258"/>
      <c r="Z14" s="258"/>
      <c r="AA14" s="258"/>
      <c r="AB14" s="258"/>
      <c r="AD14" s="258"/>
      <c r="AE14" s="258"/>
      <c r="AF14" s="258"/>
      <c r="AG14" s="258"/>
      <c r="AH14" s="258"/>
      <c r="AI14" s="258"/>
      <c r="AJ14" s="47"/>
      <c r="AK14" s="258"/>
      <c r="AL14" s="258"/>
      <c r="AM14" s="258"/>
      <c r="AN14" s="258"/>
      <c r="AO14" s="258"/>
      <c r="AP14" s="258"/>
      <c r="AQ14" s="47"/>
      <c r="AR14" s="258"/>
      <c r="AS14" s="258"/>
      <c r="AT14" s="258"/>
      <c r="AU14" s="258"/>
      <c r="AV14" s="258"/>
      <c r="AW14" s="258"/>
      <c r="AX14" s="258"/>
      <c r="AY14" s="258"/>
      <c r="AZ14" s="258"/>
      <c r="BA14" s="258"/>
      <c r="BB14" s="258"/>
      <c r="BC14" s="258"/>
      <c r="BD14" s="258"/>
      <c r="BF14" s="258"/>
      <c r="BG14" s="258"/>
      <c r="BH14" s="258"/>
      <c r="BI14" s="258"/>
      <c r="BJ14" s="258"/>
      <c r="BK14" s="258"/>
      <c r="BM14" s="258"/>
      <c r="BN14" s="258"/>
      <c r="BO14" s="1254"/>
      <c r="BP14" s="1254"/>
      <c r="BQ14" s="480"/>
      <c r="BR14" s="258"/>
      <c r="BS14" s="258"/>
      <c r="BT14" s="258"/>
      <c r="BU14" s="258"/>
      <c r="BV14" s="1254"/>
      <c r="BW14" s="1254"/>
      <c r="BY14" s="258"/>
      <c r="BZ14" s="258"/>
      <c r="CA14" s="258"/>
      <c r="CB14" s="258"/>
      <c r="CC14" s="1254"/>
      <c r="CD14" s="1254"/>
      <c r="CF14" s="258"/>
      <c r="CG14" s="258"/>
      <c r="CH14" s="258"/>
      <c r="CI14" s="258"/>
      <c r="CJ14" s="1254"/>
      <c r="CK14" s="1254"/>
      <c r="CM14" s="173"/>
      <c r="CN14" s="1183"/>
    </row>
    <row r="15" spans="1:92" s="256" customFormat="1" ht="9.75" customHeight="1" x14ac:dyDescent="0.25">
      <c r="A15" s="254">
        <v>1966</v>
      </c>
      <c r="B15" s="258">
        <f>('C1-Incomes'!B14-'C1-Incomes'!C14)/'C0-Ref Stats'!$B12*1000*'C0-Ref Stats'!$AA12/0.9</f>
        <v>26686.620295718876</v>
      </c>
      <c r="C15" s="258">
        <f>('C1-Incomes'!C14-'C1-Incomes'!D14)/'C0-Ref Stats'!$B12*1000*'C0-Ref Stats'!$AA12/0.05</f>
        <v>77888.64814967713</v>
      </c>
      <c r="D15" s="258">
        <f>('C1-Incomes'!D14-'C1-Incomes'!E14)/'C0-Ref Stats'!$B12*1000*'C0-Ref Stats'!$AA12/0.04</f>
        <v>111965.26411551083</v>
      </c>
      <c r="E15" s="258">
        <f>('C1-Incomes'!E14-'C1-Incomes'!F14)/'C0-Ref Stats'!$B12*1000*'C0-Ref Stats'!$AA12/0.005</f>
        <v>196728.97901361354</v>
      </c>
      <c r="F15" s="258">
        <f>('C1-Incomes'!F14-'C1-Incomes'!G14)/'C0-Ref Stats'!$B12*1000*'C0-Ref Stats'!$AA12/0.004</f>
        <v>302730.30779891356</v>
      </c>
      <c r="G15" s="258">
        <f>('C1-Incomes'!G14-'C1-Incomes'!H14)/'C0-Ref Stats'!$B12*1000*'C0-Ref Stats'!$AA12/0.0009</f>
        <v>606483.84553043614</v>
      </c>
      <c r="H15" s="258"/>
      <c r="I15" s="258">
        <f>('C1-Incomes'!J14-'C1-Incomes'!K14)/'C0-Ref Stats'!$R12*1000*'C0-Ref Stats'!$AA12/0.9</f>
        <v>15417.144445581291</v>
      </c>
      <c r="J15" s="258">
        <f>('C1-Incomes'!K14-'C1-Incomes'!L14)/'C0-Ref Stats'!$R12*1000*'C0-Ref Stats'!$AA12/0.05</f>
        <v>42242.117175081003</v>
      </c>
      <c r="K15" s="258">
        <f>('C1-Incomes'!L14-'C1-Incomes'!M14)/'C0-Ref Stats'!$R12*1000*'C0-Ref Stats'!$AA12/0.04</f>
        <v>64394.191516769395</v>
      </c>
      <c r="L15" s="258">
        <f>('C1-Incomes'!M14-'C1-Incomes'!N14)/'C0-Ref Stats'!$R12*1000*'C0-Ref Stats'!$AA12/0.005</f>
        <v>125805.77750462129</v>
      </c>
      <c r="M15" s="258">
        <f>('C1-Incomes'!N14-'C1-Incomes'!O14)/'C0-Ref Stats'!$R12*1000*'C0-Ref Stats'!$AA12/0.004</f>
        <v>218621.06246746579</v>
      </c>
      <c r="N15" s="258">
        <f>('C1-Incomes'!O14-'C1-Incomes'!P14)/'C0-Ref Stats'!$R12*1000*'C0-Ref Stats'!$AA12/0.0009</f>
        <v>641881.34337429272</v>
      </c>
      <c r="O15" s="47"/>
      <c r="P15" s="258">
        <f>('C1-Incomes'!R14-'C1-Incomes'!S14)/'C0-Ref Stats'!$R12*1000*'C0-Ref Stats'!$AA12/0.9</f>
        <v>16556.617067976782</v>
      </c>
      <c r="Q15" s="258">
        <f>('C1-Incomes'!S14-'C1-Incomes'!T14)/'C0-Ref Stats'!$R12*1000*'C0-Ref Stats'!$AA12/0.05</f>
        <v>42672.769982138016</v>
      </c>
      <c r="R15" s="258">
        <f>('C1-Incomes'!T14-'C1-Incomes'!U14)/'C0-Ref Stats'!$R12*1000*'C0-Ref Stats'!$AA12/0.04</f>
        <v>65030.620511285029</v>
      </c>
      <c r="S15" s="258">
        <f>('C1-Incomes'!U14-'C1-Incomes'!V14)/'C0-Ref Stats'!$R12*1000*'C0-Ref Stats'!$AA12/0.005</f>
        <v>126626.53643550379</v>
      </c>
      <c r="T15" s="258">
        <f>('C1-Incomes'!V14-'C1-Incomes'!W14)/'C0-Ref Stats'!$R12*1000*'C0-Ref Stats'!$AA12/0.004</f>
        <v>220165.37235002272</v>
      </c>
      <c r="U15" s="258">
        <f>('C1-Incomes'!W14-'C1-Incomes'!X14)/'C0-Ref Stats'!$R12*1000*'C0-Ref Stats'!$AA12/0.0009</f>
        <v>642921.71156902402</v>
      </c>
      <c r="V15" s="258"/>
      <c r="W15" s="258">
        <f>('C1-Incomes'!Z14-'C1-Incomes'!AA14)/'C0-Ref Stats'!$R12*1000*'C0-Ref Stats'!$AA12/0.9</f>
        <v>16755.678490368609</v>
      </c>
      <c r="X15" s="258">
        <f>('C1-Incomes'!AA14-'C1-Incomes'!AB14)/'C0-Ref Stats'!$R12*1000*'C0-Ref Stats'!$AA12/0.05</f>
        <v>37326.111485664194</v>
      </c>
      <c r="Y15" s="258">
        <f>('C1-Incomes'!AB14-'C1-Incomes'!AC14)/'C0-Ref Stats'!$R12*1000*'C0-Ref Stats'!$AA12/0.04</f>
        <v>54429.473044591323</v>
      </c>
      <c r="Z15" s="258">
        <f>('C1-Incomes'!AC14-'C1-Incomes'!AD14)/'C0-Ref Stats'!$R12*1000*'C0-Ref Stats'!$AA12/0.005</f>
        <v>100430.96327564458</v>
      </c>
      <c r="AA15" s="258">
        <f>('C1-Incomes'!AD14-'C1-Incomes'!AE14)/'C0-Ref Stats'!$R12*1000*'C0-Ref Stats'!$AA12/0.004</f>
        <v>172543.10368146407</v>
      </c>
      <c r="AB15" s="258">
        <f>('C1-Incomes'!AE14-'C1-Incomes'!AF14)/'C0-Ref Stats'!$R12*1000*'C0-Ref Stats'!$AA12/0.0009</f>
        <v>471934.76244977931</v>
      </c>
      <c r="AD15" s="258">
        <f>'C1-Incomes'!C14/'C0-Ref Stats'!$B12*1000*'C0-Ref Stats'!$AA12/0.1</f>
        <v>113252.75933429827</v>
      </c>
      <c r="AE15" s="258">
        <f>'C1-Incomes'!D14/'C0-Ref Stats'!$B12*1000*'C0-Ref Stats'!$AA12/0.05</f>
        <v>148616.87051891943</v>
      </c>
      <c r="AF15" s="258">
        <f>'C1-Incomes'!E14/'C0-Ref Stats'!$B12*1000*'C0-Ref Stats'!$AA12/0.01</f>
        <v>295223.29613255389</v>
      </c>
      <c r="AG15" s="258">
        <f>'C1-Incomes'!F14/'C0-Ref Stats'!$B12*1000*'C0-Ref Stats'!$AA12/0.005</f>
        <v>393717.61325149419</v>
      </c>
      <c r="AH15" s="258">
        <f>'C1-Incomes'!G14/'C0-Ref Stats'!$B12*1000*'C0-Ref Stats'!$AA12/0.001</f>
        <v>757666.83506181662</v>
      </c>
      <c r="AI15" s="258">
        <f>'C1-Incomes'!H14/'C0-Ref Stats'!$B12*1000*'C0-Ref Stats'!$AA12/0.0001</f>
        <v>2118313.7408442418</v>
      </c>
      <c r="AJ15" s="47"/>
      <c r="AK15" s="258">
        <f>'C1-Incomes'!K14/'C0-Ref Stats'!$R12*1000*'C0-Ref Stats'!$AA12/0.1</f>
        <v>71037.846790735581</v>
      </c>
      <c r="AL15" s="258">
        <f>'C1-Incomes'!L14/'C0-Ref Stats'!$R12*1000*'C0-Ref Stats'!$AA12/0.05</f>
        <v>99833.576406390144</v>
      </c>
      <c r="AM15" s="258">
        <f>'C1-Incomes'!M14/'C0-Ref Stats'!$R12*1000*'C0-Ref Stats'!$AA12/0.01</f>
        <v>241591.11596487314</v>
      </c>
      <c r="AN15" s="258">
        <f>'C1-Incomes'!N14/'C0-Ref Stats'!$R12*1000*'C0-Ref Stats'!$AA12/0.005</f>
        <v>357376.45442512509</v>
      </c>
      <c r="AO15" s="258">
        <f>'C1-Incomes'!O14/'C0-Ref Stats'!$R12*1000*'C0-Ref Stats'!$AA12/0.001</f>
        <v>912398.02225576201</v>
      </c>
      <c r="AP15" s="258">
        <f>'C1-Incomes'!P14/'C0-Ref Stats'!$R12*1000*'C0-Ref Stats'!$AA12/0.0001</f>
        <v>3347048.1321889865</v>
      </c>
      <c r="AQ15" s="47"/>
      <c r="AR15" s="258">
        <f>'C1-Incomes'!S14/'C0-Ref Stats'!$R12*1000*'C0-Ref Stats'!$AA12/0.1</f>
        <v>71621.219394138025</v>
      </c>
      <c r="AS15" s="258">
        <f>'C1-Incomes'!T14/'C0-Ref Stats'!$R12*1000*'C0-Ref Stats'!$AA12/0.05</f>
        <v>100569.66880613803</v>
      </c>
      <c r="AT15" s="258">
        <f>'C1-Incomes'!U14/'C0-Ref Stats'!$R12*1000*'C0-Ref Stats'!$AA12/0.01</f>
        <v>242725.86198555</v>
      </c>
      <c r="AU15" s="258">
        <f>'C1-Incomes'!V14/'C0-Ref Stats'!$R12*1000*'C0-Ref Stats'!$AA12/0.005</f>
        <v>358825.18753559614</v>
      </c>
      <c r="AV15" s="258">
        <f>'C1-Incomes'!W14/'C0-Ref Stats'!$R12*1000*'C0-Ref Stats'!$AA12/0.001</f>
        <v>913464.44827788987</v>
      </c>
      <c r="AW15" s="258">
        <f>'C1-Incomes'!X14/'C0-Ref Stats'!$R12*1000*'C0-Ref Stats'!$AA12/0.0001</f>
        <v>3348349.0786576844</v>
      </c>
      <c r="AX15" s="258"/>
      <c r="AY15" s="258">
        <f>'C1-Incomes'!AA14/'C0-Ref Stats'!$R12*1000*'C0-Ref Stats'!$AA12/0.1</f>
        <v>58990.528349866378</v>
      </c>
      <c r="AZ15" s="258">
        <f>'C1-Incomes'!AB14/'C0-Ref Stats'!$R12*1000*'C0-Ref Stats'!$AA12/0.05</f>
        <v>80654.945214068561</v>
      </c>
      <c r="BA15" s="258">
        <f>'C1-Incomes'!AC14/'C0-Ref Stats'!$R12*1000*'C0-Ref Stats'!$AA12/0.01</f>
        <v>185556.83389197756</v>
      </c>
      <c r="BB15" s="258">
        <f>'C1-Incomes'!AD14/'C0-Ref Stats'!$R12*1000*'C0-Ref Stats'!$AA12/0.005</f>
        <v>270682.70450831047</v>
      </c>
      <c r="BC15" s="258">
        <f>'C1-Incomes'!AE14/'C0-Ref Stats'!$R12*1000*'C0-Ref Stats'!$AA12/0.001</f>
        <v>663241.10781569639</v>
      </c>
      <c r="BD15" s="258">
        <f>'C1-Incomes'!AF14/'C0-Ref Stats'!$R12*1000*'C0-Ref Stats'!$AA12/0.0001</f>
        <v>2384998.2161089494</v>
      </c>
      <c r="BF15" s="258">
        <v>70400</v>
      </c>
      <c r="BG15" s="258">
        <v>88100</v>
      </c>
      <c r="BH15" s="258">
        <v>170000</v>
      </c>
      <c r="BI15" s="258">
        <v>235000</v>
      </c>
      <c r="BJ15" s="258">
        <v>440000</v>
      </c>
      <c r="BK15" s="258">
        <v>1110000</v>
      </c>
      <c r="BM15" s="258">
        <v>124100</v>
      </c>
      <c r="BN15" s="258">
        <v>219085.68147272849</v>
      </c>
      <c r="BO15" s="1254">
        <f t="shared" si="0"/>
        <v>2.306512708819493</v>
      </c>
      <c r="BP15" s="1254">
        <f t="shared" si="4"/>
        <v>2.3575748702545583</v>
      </c>
      <c r="BQ15" s="480"/>
      <c r="BR15" s="258">
        <v>195500</v>
      </c>
      <c r="BS15" s="258">
        <v>439458.19577137183</v>
      </c>
      <c r="BT15" s="258">
        <v>281700</v>
      </c>
      <c r="BU15" s="258">
        <v>641554.19149477698</v>
      </c>
      <c r="BV15" s="1254">
        <f t="shared" ref="BV15:BV64" si="8">BS15/BR15/(BS15/BR15-1)</f>
        <v>1.8013668054145433</v>
      </c>
      <c r="BW15" s="1254">
        <f>BU15/BT15/(BU15/BT15-1)</f>
        <v>1.7828170594035964</v>
      </c>
      <c r="BY15" s="258">
        <v>195500</v>
      </c>
      <c r="BZ15" s="258">
        <v>444523.25473074359</v>
      </c>
      <c r="CA15" s="258">
        <v>281700</v>
      </c>
      <c r="CB15" s="258">
        <v>645017.48941795598</v>
      </c>
      <c r="CC15" s="1254">
        <f t="shared" ref="CC15:CC64" si="9">BZ15/BY15/(BZ15/BY15-1)</f>
        <v>1.7850672428620546</v>
      </c>
      <c r="CD15" s="1254">
        <f>CB15/CA15/(CB15/CA15-1)</f>
        <v>1.7753549119016832</v>
      </c>
      <c r="CF15" s="258">
        <v>145000</v>
      </c>
      <c r="CG15" s="258">
        <v>351355.02879590192</v>
      </c>
      <c r="CH15" s="258">
        <v>196400</v>
      </c>
      <c r="CI15" s="258">
        <v>497107.67618592351</v>
      </c>
      <c r="CJ15" s="1254">
        <f t="shared" ref="CJ15:CJ64" si="10">CG15/CF15/(CG15/CF15-1)</f>
        <v>1.7026724807536147</v>
      </c>
      <c r="CK15" s="1254">
        <f>CI15/CH15/(CI15/CH15-1)</f>
        <v>1.6531259942914411</v>
      </c>
      <c r="CM15" s="1183">
        <v>0.48479099079999999</v>
      </c>
      <c r="CN15" s="1183">
        <v>0.52003965060000001</v>
      </c>
    </row>
    <row r="16" spans="1:92" s="256" customFormat="1" ht="9.75" customHeight="1" x14ac:dyDescent="0.25">
      <c r="A16" s="254">
        <v>1967</v>
      </c>
      <c r="B16" s="258">
        <f>('C1-Incomes'!B15-'C1-Incomes'!C15)/'C0-Ref Stats'!$B13*1000*'C0-Ref Stats'!$AA13/0.9</f>
        <v>27470.194355920768</v>
      </c>
      <c r="C16" s="258">
        <f>('C1-Incomes'!C15-'C1-Incomes'!D15)/'C0-Ref Stats'!$B13*1000*'C0-Ref Stats'!$AA13/0.05</f>
        <v>80250.559399969759</v>
      </c>
      <c r="D16" s="258">
        <f>('C1-Incomes'!D15-'C1-Incomes'!E15)/'C0-Ref Stats'!$B13*1000*'C0-Ref Stats'!$AA13/0.04</f>
        <v>115729.70004482442</v>
      </c>
      <c r="E16" s="258">
        <f>('C1-Incomes'!E15-'C1-Incomes'!F15)/'C0-Ref Stats'!$B13*1000*'C0-Ref Stats'!$AA13/0.005</f>
        <v>204290.51093796239</v>
      </c>
      <c r="F16" s="258">
        <f>('C1-Incomes'!F15-'C1-Incomes'!G15)/'C0-Ref Stats'!$B13*1000*'C0-Ref Stats'!$AA13/0.004</f>
        <v>315527.76552058005</v>
      </c>
      <c r="G16" s="258">
        <f>('C1-Incomes'!G15-'C1-Incomes'!H15)/'C0-Ref Stats'!$B13*1000*'C0-Ref Stats'!$AA13/0.0009</f>
        <v>630038.02154679492</v>
      </c>
      <c r="H16" s="258"/>
      <c r="I16" s="258">
        <f>('C1-Incomes'!J15-'C1-Incomes'!K15)/'C0-Ref Stats'!$R13*1000*'C0-Ref Stats'!$AA13/0.9</f>
        <v>15574.201536446857</v>
      </c>
      <c r="J16" s="258">
        <f>('C1-Incomes'!K15-'C1-Incomes'!L15)/'C0-Ref Stats'!$R13*1000*'C0-Ref Stats'!$AA13/0.05</f>
        <v>42882.892561941931</v>
      </c>
      <c r="K16" s="258">
        <f>('C1-Incomes'!L15-'C1-Incomes'!M15)/'C0-Ref Stats'!$R13*1000*'C0-Ref Stats'!$AA13/0.04</f>
        <v>65358.820838724605</v>
      </c>
      <c r="L16" s="258">
        <f>('C1-Incomes'!M15-'C1-Incomes'!N15)/'C0-Ref Stats'!$R13*1000*'C0-Ref Stats'!$AA13/0.005</f>
        <v>123428.03237422215</v>
      </c>
      <c r="M16" s="258">
        <f>('C1-Incomes'!N15-'C1-Incomes'!O15)/'C0-Ref Stats'!$R13*1000*'C0-Ref Stats'!$AA13/0.004</f>
        <v>220145.08603901236</v>
      </c>
      <c r="N16" s="258">
        <f>('C1-Incomes'!O15-'C1-Incomes'!P15)/'C0-Ref Stats'!$R13*1000*'C0-Ref Stats'!$AA13/0.0009</f>
        <v>622406.38288527413</v>
      </c>
      <c r="O16" s="47"/>
      <c r="P16" s="258">
        <f>('C1-Incomes'!R15-'C1-Incomes'!S15)/'C0-Ref Stats'!$R13*1000*'C0-Ref Stats'!$AA13/0.9</f>
        <v>16889.90406872741</v>
      </c>
      <c r="Q16" s="258">
        <f>('C1-Incomes'!S15-'C1-Incomes'!T15)/'C0-Ref Stats'!$R13*1000*'C0-Ref Stats'!$AA13/0.05</f>
        <v>43470.4631246715</v>
      </c>
      <c r="R16" s="258">
        <f>('C1-Incomes'!T15-'C1-Incomes'!U15)/'C0-Ref Stats'!$R13*1000*'C0-Ref Stats'!$AA13/0.04</f>
        <v>66002.189438680492</v>
      </c>
      <c r="S16" s="258">
        <f>('C1-Incomes'!U15-'C1-Incomes'!V15)/'C0-Ref Stats'!$R13*1000*'C0-Ref Stats'!$AA13/0.005</f>
        <v>125241.41528920695</v>
      </c>
      <c r="T16" s="258">
        <f>('C1-Incomes'!V15-'C1-Incomes'!W15)/'C0-Ref Stats'!$R13*1000*'C0-Ref Stats'!$AA13/0.004</f>
        <v>221448.41370121678</v>
      </c>
      <c r="U16" s="258">
        <f>('C1-Incomes'!W15-'C1-Incomes'!X15)/'C0-Ref Stats'!$R13*1000*'C0-Ref Stats'!$AA13/0.0009</f>
        <v>623946.57234396669</v>
      </c>
      <c r="V16" s="258"/>
      <c r="W16" s="258">
        <f>('C1-Incomes'!Z15-'C1-Incomes'!AA15)/'C0-Ref Stats'!$R13*1000*'C0-Ref Stats'!$AA13/0.9</f>
        <v>17076.334309931335</v>
      </c>
      <c r="X16" s="258">
        <f>('C1-Incomes'!AA15-'C1-Incomes'!AB15)/'C0-Ref Stats'!$R13*1000*'C0-Ref Stats'!$AA13/0.05</f>
        <v>37526.968706121952</v>
      </c>
      <c r="Y16" s="258">
        <f>('C1-Incomes'!AB15-'C1-Incomes'!AC15)/'C0-Ref Stats'!$R13*1000*'C0-Ref Stats'!$AA13/0.04</f>
        <v>54496.430733984205</v>
      </c>
      <c r="Z16" s="258">
        <f>('C1-Incomes'!AC15-'C1-Incomes'!AD15)/'C0-Ref Stats'!$R13*1000*'C0-Ref Stats'!$AA13/0.005</f>
        <v>96736.246243239002</v>
      </c>
      <c r="AA16" s="258">
        <f>('C1-Incomes'!AD15-'C1-Incomes'!AE15)/'C0-Ref Stats'!$R13*1000*'C0-Ref Stats'!$AA13/0.004</f>
        <v>162076.75294035327</v>
      </c>
      <c r="AB16" s="258">
        <f>('C1-Incomes'!AE15-'C1-Incomes'!AF15)/'C0-Ref Stats'!$R13*1000*'C0-Ref Stats'!$AA13/0.0009</f>
        <v>427174.86590634374</v>
      </c>
      <c r="AD16" s="258">
        <f>'C1-Incomes'!C15/'C0-Ref Stats'!$B13*1000*'C0-Ref Stats'!$AA13/0.1</f>
        <v>117081.57987828609</v>
      </c>
      <c r="AE16" s="258">
        <f>'C1-Incomes'!D15/'C0-Ref Stats'!$B13*1000*'C0-Ref Stats'!$AA13/0.05</f>
        <v>153912.6003566024</v>
      </c>
      <c r="AF16" s="258">
        <f>'C1-Incomes'!E15/'C0-Ref Stats'!$B13*1000*'C0-Ref Stats'!$AA13/0.01</f>
        <v>306644.20160371432</v>
      </c>
      <c r="AG16" s="258">
        <f>'C1-Incomes'!F15/'C0-Ref Stats'!$B13*1000*'C0-Ref Stats'!$AA13/0.005</f>
        <v>408997.89226946631</v>
      </c>
      <c r="AH16" s="258">
        <f>'C1-Incomes'!G15/'C0-Ref Stats'!$B13*1000*'C0-Ref Stats'!$AA13/0.001</f>
        <v>782878.39926501131</v>
      </c>
      <c r="AI16" s="258">
        <f>'C1-Incomes'!H15/'C0-Ref Stats'!$B13*1000*'C0-Ref Stats'!$AA13/0.0001</f>
        <v>2158441.7987289582</v>
      </c>
      <c r="AJ16" s="47"/>
      <c r="AK16" s="258">
        <f>'C1-Incomes'!K15/'C0-Ref Stats'!$R13*1000*'C0-Ref Stats'!$AA13/0.1</f>
        <v>71324.98109383171</v>
      </c>
      <c r="AL16" s="258">
        <f>'C1-Incomes'!L15/'C0-Ref Stats'!$R13*1000*'C0-Ref Stats'!$AA13/0.05</f>
        <v>99767.069625721459</v>
      </c>
      <c r="AM16" s="258">
        <f>'C1-Incomes'!M15/'C0-Ref Stats'!$R13*1000*'C0-Ref Stats'!$AA13/0.01</f>
        <v>237400.06477370902</v>
      </c>
      <c r="AN16" s="258">
        <f>'C1-Incomes'!N15/'C0-Ref Stats'!$R13*1000*'C0-Ref Stats'!$AA13/0.005</f>
        <v>351372.09717319586</v>
      </c>
      <c r="AO16" s="258">
        <f>'C1-Incomes'!O15/'C0-Ref Stats'!$R13*1000*'C0-Ref Stats'!$AA13/0.001</f>
        <v>876280.14170992968</v>
      </c>
      <c r="AP16" s="258">
        <f>'C1-Incomes'!P15/'C0-Ref Stats'!$R13*1000*'C0-Ref Stats'!$AA13/0.0001</f>
        <v>3161143.97113183</v>
      </c>
      <c r="AQ16" s="47"/>
      <c r="AR16" s="258">
        <f>'C1-Incomes'!S15/'C0-Ref Stats'!$R13*1000*'C0-Ref Stats'!$AA13/0.1</f>
        <v>72034.166906192564</v>
      </c>
      <c r="AS16" s="258">
        <f>'C1-Incomes'!T15/'C0-Ref Stats'!$R13*1000*'C0-Ref Stats'!$AA13/0.05</f>
        <v>100597.87068771363</v>
      </c>
      <c r="AT16" s="258">
        <f>'C1-Incomes'!U15/'C0-Ref Stats'!$R13*1000*'C0-Ref Stats'!$AA13/0.01</f>
        <v>238980.59568384616</v>
      </c>
      <c r="AU16" s="258">
        <f>'C1-Incomes'!V15/'C0-Ref Stats'!$R13*1000*'C0-Ref Stats'!$AA13/0.005</f>
        <v>352719.77607848536</v>
      </c>
      <c r="AV16" s="258">
        <f>'C1-Incomes'!W15/'C0-Ref Stats'!$R13*1000*'C0-Ref Stats'!$AA13/0.001</f>
        <v>877805.22558755951</v>
      </c>
      <c r="AW16" s="258">
        <f>'C1-Incomes'!X15/'C0-Ref Stats'!$R13*1000*'C0-Ref Stats'!$AA13/0.0001</f>
        <v>3162533.1047798954</v>
      </c>
      <c r="AX16" s="258"/>
      <c r="AY16" s="258">
        <f>'C1-Incomes'!AA15/'C0-Ref Stats'!$R13*1000*'C0-Ref Stats'!$AA13/0.1</f>
        <v>57805.697773685904</v>
      </c>
      <c r="AZ16" s="258">
        <f>'C1-Incomes'!AB15/'C0-Ref Stats'!$R13*1000*'C0-Ref Stats'!$AA13/0.05</f>
        <v>78084.426841249835</v>
      </c>
      <c r="BA16" s="258">
        <f>'C1-Incomes'!AC15/'C0-Ref Stats'!$R13*1000*'C0-Ref Stats'!$AA13/0.01</f>
        <v>172436.41127031247</v>
      </c>
      <c r="BB16" s="258">
        <f>'C1-Incomes'!AD15/'C0-Ref Stats'!$R13*1000*'C0-Ref Stats'!$AA13/0.005</f>
        <v>248136.57629738591</v>
      </c>
      <c r="BC16" s="258">
        <f>'C1-Incomes'!AE15/'C0-Ref Stats'!$R13*1000*'C0-Ref Stats'!$AA13/0.001</f>
        <v>592375.86972551665</v>
      </c>
      <c r="BD16" s="258">
        <f>'C1-Incomes'!AF15/'C0-Ref Stats'!$R13*1000*'C0-Ref Stats'!$AA13/0.0001</f>
        <v>2079184.9040980723</v>
      </c>
      <c r="BF16" s="258">
        <v>72200</v>
      </c>
      <c r="BG16" s="258">
        <v>90800</v>
      </c>
      <c r="BH16" s="258">
        <v>176700</v>
      </c>
      <c r="BI16" s="258">
        <v>243000</v>
      </c>
      <c r="BJ16" s="258">
        <v>462000</v>
      </c>
      <c r="BK16" s="258">
        <v>1140000</v>
      </c>
      <c r="BM16" s="258">
        <v>128300</v>
      </c>
      <c r="BN16" s="258">
        <v>227303.52231374095</v>
      </c>
      <c r="BO16" s="1254">
        <f t="shared" si="0"/>
        <v>2.2959134887486012</v>
      </c>
      <c r="BP16" s="1254">
        <f t="shared" si="4"/>
        <v>2.3598144266481009</v>
      </c>
      <c r="BQ16" s="480"/>
      <c r="BR16" s="258">
        <v>203700</v>
      </c>
      <c r="BS16" s="258">
        <v>442285.26720854925</v>
      </c>
      <c r="BT16" s="258">
        <v>287800</v>
      </c>
      <c r="BU16" s="258">
        <v>638540.543810501</v>
      </c>
      <c r="BV16" s="1254">
        <f t="shared" si="8"/>
        <v>1.8537828105787615</v>
      </c>
      <c r="BW16" s="1254">
        <f t="shared" ref="BW16:BW64" si="11">BU16/BT16/(BU16/BT16-1)</f>
        <v>1.8205495631423019</v>
      </c>
      <c r="BY16" s="258">
        <v>203800</v>
      </c>
      <c r="BZ16" s="258">
        <v>447392.6183768381</v>
      </c>
      <c r="CA16" s="258">
        <v>288100</v>
      </c>
      <c r="CB16" s="258">
        <v>642595.50299060112</v>
      </c>
      <c r="CC16" s="1254">
        <f t="shared" si="9"/>
        <v>1.8366427577239681</v>
      </c>
      <c r="CD16" s="1254">
        <f t="shared" ref="CD16:CD64" si="12">CB16/CA16/(CB16/CA16-1)</f>
        <v>1.812704244678778</v>
      </c>
      <c r="CF16" s="258">
        <v>148900</v>
      </c>
      <c r="CG16" s="258">
        <v>336223.07333396398</v>
      </c>
      <c r="CH16" s="258">
        <v>199500</v>
      </c>
      <c r="CI16" s="258">
        <v>467850.71384423733</v>
      </c>
      <c r="CJ16" s="1254">
        <f t="shared" si="10"/>
        <v>1.7948833923653258</v>
      </c>
      <c r="CK16" s="1254">
        <f t="shared" ref="CK16:CK64" si="13">CI16/CH16/(CI16/CH16-1)</f>
        <v>1.7434301073475014</v>
      </c>
      <c r="CM16" s="1183">
        <v>0.48486510300000002</v>
      </c>
      <c r="CN16" s="1183">
        <v>0.51574327679999998</v>
      </c>
    </row>
    <row r="17" spans="1:92" s="256" customFormat="1" ht="9.75" customHeight="1" x14ac:dyDescent="0.25">
      <c r="A17" s="254">
        <v>1968</v>
      </c>
      <c r="B17" s="258">
        <f>('C1-Incomes'!B16-'C1-Incomes'!C16)/'C0-Ref Stats'!$B14*1000*'C0-Ref Stats'!$AA14/0.9</f>
        <v>28565.564300677452</v>
      </c>
      <c r="C17" s="258">
        <f>('C1-Incomes'!C16-'C1-Incomes'!D16)/'C0-Ref Stats'!$B14*1000*'C0-Ref Stats'!$AA14/0.05</f>
        <v>83206.433199233288</v>
      </c>
      <c r="D17" s="258">
        <f>('C1-Incomes'!D16-'C1-Incomes'!E16)/'C0-Ref Stats'!$B14*1000*'C0-Ref Stats'!$AA14/0.04</f>
        <v>119541.26565684096</v>
      </c>
      <c r="E17" s="258">
        <f>('C1-Incomes'!E16-'C1-Incomes'!F16)/'C0-Ref Stats'!$B14*1000*'C0-Ref Stats'!$AA14/0.005</f>
        <v>210064.44488697971</v>
      </c>
      <c r="F17" s="258">
        <f>('C1-Incomes'!F16-'C1-Incomes'!G16)/'C0-Ref Stats'!$B14*1000*'C0-Ref Stats'!$AA14/0.004</f>
        <v>324692.03693650814</v>
      </c>
      <c r="G17" s="258">
        <f>('C1-Incomes'!G16-'C1-Incomes'!H16)/'C0-Ref Stats'!$B14*1000*'C0-Ref Stats'!$AA14/0.0009</f>
        <v>653631.37004299578</v>
      </c>
      <c r="H17" s="258"/>
      <c r="I17" s="258">
        <f>('C1-Incomes'!J16-'C1-Incomes'!K16)/'C0-Ref Stats'!$R14*1000*'C0-Ref Stats'!$AA14/0.9</f>
        <v>16335.083645715029</v>
      </c>
      <c r="J17" s="258">
        <f>('C1-Incomes'!K16-'C1-Incomes'!L16)/'C0-Ref Stats'!$R14*1000*'C0-Ref Stats'!$AA14/0.05</f>
        <v>44488.05371750475</v>
      </c>
      <c r="K17" s="258">
        <f>('C1-Incomes'!L16-'C1-Incomes'!M16)/'C0-Ref Stats'!$R14*1000*'C0-Ref Stats'!$AA14/0.04</f>
        <v>67704.08844673229</v>
      </c>
      <c r="L17" s="258">
        <f>('C1-Incomes'!M16-'C1-Incomes'!N16)/'C0-Ref Stats'!$R14*1000*'C0-Ref Stats'!$AA14/0.005</f>
        <v>125820.91180765869</v>
      </c>
      <c r="M17" s="258">
        <f>('C1-Incomes'!N16-'C1-Incomes'!O16)/'C0-Ref Stats'!$R14*1000*'C0-Ref Stats'!$AA14/0.004</f>
        <v>226929.4371011559</v>
      </c>
      <c r="N17" s="258">
        <f>('C1-Incomes'!O16-'C1-Incomes'!P16)/'C0-Ref Stats'!$R14*1000*'C0-Ref Stats'!$AA14/0.0009</f>
        <v>666651.7324674055</v>
      </c>
      <c r="O17" s="47"/>
      <c r="P17" s="258">
        <f>('C1-Incomes'!R16-'C1-Incomes'!S16)/'C0-Ref Stats'!$R14*1000*'C0-Ref Stats'!$AA14/0.9</f>
        <v>17796.443674924729</v>
      </c>
      <c r="Q17" s="258">
        <f>('C1-Incomes'!S16-'C1-Incomes'!T16)/'C0-Ref Stats'!$R14*1000*'C0-Ref Stats'!$AA14/0.05</f>
        <v>45068.420627032261</v>
      </c>
      <c r="R17" s="258">
        <f>('C1-Incomes'!T16-'C1-Incomes'!U16)/'C0-Ref Stats'!$R14*1000*'C0-Ref Stats'!$AA14/0.04</f>
        <v>68565.85312127111</v>
      </c>
      <c r="S17" s="258">
        <f>('C1-Incomes'!U16-'C1-Incomes'!V16)/'C0-Ref Stats'!$R14*1000*'C0-Ref Stats'!$AA14/0.005</f>
        <v>127250.64679907204</v>
      </c>
      <c r="T17" s="258">
        <f>('C1-Incomes'!V16-'C1-Incomes'!W16)/'C0-Ref Stats'!$R14*1000*'C0-Ref Stats'!$AA14/0.004</f>
        <v>228364.07568568914</v>
      </c>
      <c r="U17" s="258">
        <f>('C1-Incomes'!W16-'C1-Incomes'!X16)/'C0-Ref Stats'!$R14*1000*'C0-Ref Stats'!$AA14/0.0009</f>
        <v>668560.90693641163</v>
      </c>
      <c r="V17" s="258"/>
      <c r="W17" s="258">
        <f>('C1-Incomes'!Z16-'C1-Incomes'!AA16)/'C0-Ref Stats'!$R14*1000*'C0-Ref Stats'!$AA14/0.9</f>
        <v>17974.727127332237</v>
      </c>
      <c r="X17" s="258">
        <f>('C1-Incomes'!AA16-'C1-Incomes'!AB16)/'C0-Ref Stats'!$R14*1000*'C0-Ref Stats'!$AA14/0.05</f>
        <v>38687.819400962013</v>
      </c>
      <c r="Y17" s="258">
        <f>('C1-Incomes'!AB16-'C1-Incomes'!AC16)/'C0-Ref Stats'!$R14*1000*'C0-Ref Stats'!$AA14/0.04</f>
        <v>55753.612547251782</v>
      </c>
      <c r="Z17" s="258">
        <f>('C1-Incomes'!AC16-'C1-Incomes'!AD16)/'C0-Ref Stats'!$R14*1000*'C0-Ref Stats'!$AA14/0.005</f>
        <v>97592.88258878683</v>
      </c>
      <c r="AA17" s="258">
        <f>('C1-Incomes'!AD16-'C1-Incomes'!AE16)/'C0-Ref Stats'!$R14*1000*'C0-Ref Stats'!$AA14/0.004</f>
        <v>164454.96495682624</v>
      </c>
      <c r="AB17" s="258">
        <f>('C1-Incomes'!AE16-'C1-Incomes'!AF16)/'C0-Ref Stats'!$R14*1000*'C0-Ref Stats'!$AA14/0.0009</f>
        <v>447795.0908932694</v>
      </c>
      <c r="AD17" s="258">
        <f>'C1-Incomes'!C16/'C0-Ref Stats'!$B14*1000*'C0-Ref Stats'!$AA14/0.1</f>
        <v>120971.81872741767</v>
      </c>
      <c r="AE17" s="258">
        <f>'C1-Incomes'!D16/'C0-Ref Stats'!$B14*1000*'C0-Ref Stats'!$AA14/0.05</f>
        <v>158737.20425560203</v>
      </c>
      <c r="AF17" s="258">
        <f>'C1-Incomes'!E16/'C0-Ref Stats'!$B14*1000*'C0-Ref Stats'!$AA14/0.01</f>
        <v>315520.9586506465</v>
      </c>
      <c r="AG17" s="258">
        <f>'C1-Incomes'!F16/'C0-Ref Stats'!$B14*1000*'C0-Ref Stats'!$AA14/0.005</f>
        <v>420977.47241431323</v>
      </c>
      <c r="AH17" s="258">
        <f>'C1-Incomes'!G16/'C0-Ref Stats'!$B14*1000*'C0-Ref Stats'!$AA14/0.001</f>
        <v>806119.21432553325</v>
      </c>
      <c r="AI17" s="258">
        <f>'C1-Incomes'!H16/'C0-Ref Stats'!$B14*1000*'C0-Ref Stats'!$AA14/0.0001</f>
        <v>2178509.8128683721</v>
      </c>
      <c r="AJ17" s="47"/>
      <c r="AK17" s="258">
        <f>'C1-Incomes'!K16/'C0-Ref Stats'!$R14*1000*'C0-Ref Stats'!$AA14/0.1</f>
        <v>73952.905994533532</v>
      </c>
      <c r="AL17" s="258">
        <f>'C1-Incomes'!L16/'C0-Ref Stats'!$R14*1000*'C0-Ref Stats'!$AA14/0.05</f>
        <v>103417.7582715623</v>
      </c>
      <c r="AM17" s="258">
        <f>'C1-Incomes'!M16/'C0-Ref Stats'!$R14*1000*'C0-Ref Stats'!$AA14/0.01</f>
        <v>246272.43757088235</v>
      </c>
      <c r="AN17" s="258">
        <f>'C1-Incomes'!N16/'C0-Ref Stats'!$R14*1000*'C0-Ref Stats'!$AA14/0.005</f>
        <v>366723.96333410608</v>
      </c>
      <c r="AO17" s="258">
        <f>'C1-Incomes'!O16/'C0-Ref Stats'!$R14*1000*'C0-Ref Stats'!$AA14/0.001</f>
        <v>925902.06826590665</v>
      </c>
      <c r="AP17" s="258">
        <f>'C1-Incomes'!P16/'C0-Ref Stats'!$R14*1000*'C0-Ref Stats'!$AA14/0.0001</f>
        <v>3259155.0904524163</v>
      </c>
      <c r="AQ17" s="47"/>
      <c r="AR17" s="258">
        <f>'C1-Incomes'!S16/'C0-Ref Stats'!$R14*1000*'C0-Ref Stats'!$AA14/0.1</f>
        <v>74735.955032128186</v>
      </c>
      <c r="AS17" s="258">
        <f>'C1-Incomes'!T16/'C0-Ref Stats'!$R14*1000*'C0-Ref Stats'!$AA14/0.05</f>
        <v>104403.48943722408</v>
      </c>
      <c r="AT17" s="258">
        <f>'C1-Incomes'!U16/'C0-Ref Stats'!$R14*1000*'C0-Ref Stats'!$AA14/0.01</f>
        <v>247754.03470103597</v>
      </c>
      <c r="AU17" s="258">
        <f>'C1-Incomes'!V16/'C0-Ref Stats'!$R14*1000*'C0-Ref Stats'!$AA14/0.005</f>
        <v>368257.42260299996</v>
      </c>
      <c r="AV17" s="258">
        <f>'C1-Incomes'!W16/'C0-Ref Stats'!$R14*1000*'C0-Ref Stats'!$AA14/0.001</f>
        <v>927830.81027224311</v>
      </c>
      <c r="AW17" s="258">
        <f>'C1-Incomes'!X16/'C0-Ref Stats'!$R14*1000*'C0-Ref Stats'!$AA14/0.0001</f>
        <v>3261259.9402947272</v>
      </c>
      <c r="AX17" s="258"/>
      <c r="AY17" s="258">
        <f>'C1-Incomes'!AA16/'C0-Ref Stats'!$R14*1000*'C0-Ref Stats'!$AA14/0.1</f>
        <v>59196.093441287208</v>
      </c>
      <c r="AZ17" s="258">
        <f>'C1-Incomes'!AB16/'C0-Ref Stats'!$R14*1000*'C0-Ref Stats'!$AA14/0.05</f>
        <v>79704.367481612426</v>
      </c>
      <c r="BA17" s="258">
        <f>'C1-Incomes'!AC16/'C0-Ref Stats'!$R14*1000*'C0-Ref Stats'!$AA14/0.01</f>
        <v>175507.38721905497</v>
      </c>
      <c r="BB17" s="258">
        <f>'C1-Incomes'!AD16/'C0-Ref Stats'!$R14*1000*'C0-Ref Stats'!$AA14/0.005</f>
        <v>253421.89184932312</v>
      </c>
      <c r="BC17" s="258">
        <f>'C1-Incomes'!AE16/'C0-Ref Stats'!$R14*1000*'C0-Ref Stats'!$AA14/0.001</f>
        <v>609289.59941931069</v>
      </c>
      <c r="BD17" s="258">
        <f>'C1-Incomes'!AF16/'C0-Ref Stats'!$R14*1000*'C0-Ref Stats'!$AA14/0.0001</f>
        <v>2062740.1761536815</v>
      </c>
      <c r="BF17" s="258">
        <v>75200</v>
      </c>
      <c r="BG17" s="258">
        <v>94400</v>
      </c>
      <c r="BH17" s="258">
        <v>181300</v>
      </c>
      <c r="BI17" s="258">
        <v>249000</v>
      </c>
      <c r="BJ17" s="258">
        <v>478000</v>
      </c>
      <c r="BK17" s="258">
        <v>1140000</v>
      </c>
      <c r="BM17" s="258">
        <v>132100</v>
      </c>
      <c r="BN17" s="258">
        <v>234003.86664356382</v>
      </c>
      <c r="BO17" s="1254">
        <f t="shared" si="0"/>
        <v>2.2963197997388587</v>
      </c>
      <c r="BP17" s="1254">
        <f t="shared" si="4"/>
        <v>2.3507577491820184</v>
      </c>
      <c r="BQ17" s="480"/>
      <c r="BR17" s="258">
        <v>212100</v>
      </c>
      <c r="BS17" s="258">
        <v>458510.93846752215</v>
      </c>
      <c r="BT17" s="258">
        <v>293600</v>
      </c>
      <c r="BU17" s="258">
        <v>663055.19383869006</v>
      </c>
      <c r="BV17" s="1254">
        <f t="shared" si="8"/>
        <v>1.8607572428362611</v>
      </c>
      <c r="BW17" s="1254">
        <f t="shared" si="11"/>
        <v>1.7946836447187433</v>
      </c>
      <c r="BY17" s="258">
        <v>212200</v>
      </c>
      <c r="BZ17" s="258">
        <v>464291.16306261776</v>
      </c>
      <c r="CA17" s="258">
        <v>293700</v>
      </c>
      <c r="CB17" s="258">
        <v>667521.7048032803</v>
      </c>
      <c r="CC17" s="1254">
        <f t="shared" si="9"/>
        <v>1.8417589788630986</v>
      </c>
      <c r="CD17" s="1254">
        <f t="shared" si="12"/>
        <v>1.7856686656398311</v>
      </c>
      <c r="CF17" s="258">
        <v>150100</v>
      </c>
      <c r="CG17" s="258">
        <v>344051.39830217802</v>
      </c>
      <c r="CH17" s="258">
        <v>198100</v>
      </c>
      <c r="CI17" s="258">
        <v>478346.00604360428</v>
      </c>
      <c r="CJ17" s="1254">
        <f t="shared" si="10"/>
        <v>1.7739052222049096</v>
      </c>
      <c r="CK17" s="1254">
        <f t="shared" si="13"/>
        <v>1.7068789411014016</v>
      </c>
      <c r="CM17" s="1183">
        <v>0.4832066518</v>
      </c>
      <c r="CN17" s="1183">
        <v>0.51496402600000002</v>
      </c>
    </row>
    <row r="18" spans="1:92" s="256" customFormat="1" ht="9.75" customHeight="1" x14ac:dyDescent="0.25">
      <c r="A18" s="254">
        <v>1969</v>
      </c>
      <c r="B18" s="258">
        <f>('C1-Incomes'!B17-'C1-Incomes'!C17)/'C0-Ref Stats'!$B15*1000*'C0-Ref Stats'!$AA15/0.9</f>
        <v>29725.065329507492</v>
      </c>
      <c r="C18" s="258">
        <f>('C1-Incomes'!C17-'C1-Incomes'!D17)/'C0-Ref Stats'!$B15*1000*'C0-Ref Stats'!$AA15/0.05</f>
        <v>86070.808677524197</v>
      </c>
      <c r="D18" s="258">
        <f>('C1-Incomes'!D17-'C1-Incomes'!E17)/'C0-Ref Stats'!$B15*1000*'C0-Ref Stats'!$AA15/0.04</f>
        <v>122684.7401712946</v>
      </c>
      <c r="E18" s="258">
        <f>('C1-Incomes'!E17-'C1-Incomes'!F17)/'C0-Ref Stats'!$B15*1000*'C0-Ref Stats'!$AA15/0.005</f>
        <v>211112.9062254724</v>
      </c>
      <c r="F18" s="258">
        <f>('C1-Incomes'!F17-'C1-Incomes'!G17)/'C0-Ref Stats'!$B15*1000*'C0-Ref Stats'!$AA15/0.004</f>
        <v>319126.29759095493</v>
      </c>
      <c r="G18" s="258">
        <f>('C1-Incomes'!G17-'C1-Incomes'!H17)/'C0-Ref Stats'!$B15*1000*'C0-Ref Stats'!$AA15/0.0009</f>
        <v>622099.60269592411</v>
      </c>
      <c r="H18" s="258"/>
      <c r="I18" s="258">
        <f>('C1-Incomes'!J17-'C1-Incomes'!K17)/'C0-Ref Stats'!$R15*1000*'C0-Ref Stats'!$AA15/0.9</f>
        <v>17040.383221711276</v>
      </c>
      <c r="J18" s="258">
        <f>('C1-Incomes'!K17-'C1-Incomes'!L17)/'C0-Ref Stats'!$R15*1000*'C0-Ref Stats'!$AA15/0.05</f>
        <v>46121.789641372896</v>
      </c>
      <c r="K18" s="258">
        <f>('C1-Incomes'!L17-'C1-Incomes'!M17)/'C0-Ref Stats'!$R15*1000*'C0-Ref Stats'!$AA15/0.04</f>
        <v>68478.356637241683</v>
      </c>
      <c r="L18" s="258">
        <f>('C1-Incomes'!M17-'C1-Incomes'!N17)/'C0-Ref Stats'!$R15*1000*'C0-Ref Stats'!$AA15/0.005</f>
        <v>122710.92969499754</v>
      </c>
      <c r="M18" s="258">
        <f>('C1-Incomes'!N17-'C1-Incomes'!O17)/'C0-Ref Stats'!$R15*1000*'C0-Ref Stats'!$AA15/0.004</f>
        <v>214580.38485348824</v>
      </c>
      <c r="N18" s="258">
        <f>('C1-Incomes'!O17-'C1-Incomes'!P17)/'C0-Ref Stats'!$R15*1000*'C0-Ref Stats'!$AA15/0.0009</f>
        <v>574590.3286668876</v>
      </c>
      <c r="O18" s="47"/>
      <c r="P18" s="258">
        <f>('C1-Incomes'!R17-'C1-Incomes'!S17)/'C0-Ref Stats'!$R15*1000*'C0-Ref Stats'!$AA15/0.9</f>
        <v>18579.799727778256</v>
      </c>
      <c r="Q18" s="258">
        <f>('C1-Incomes'!S17-'C1-Incomes'!T17)/'C0-Ref Stats'!$R15*1000*'C0-Ref Stats'!$AA15/0.05</f>
        <v>46748.987120720871</v>
      </c>
      <c r="R18" s="258">
        <f>('C1-Incomes'!T17-'C1-Incomes'!U17)/'C0-Ref Stats'!$R15*1000*'C0-Ref Stats'!$AA15/0.04</f>
        <v>69296.203067080074</v>
      </c>
      <c r="S18" s="258">
        <f>('C1-Incomes'!U17-'C1-Incomes'!V17)/'C0-Ref Stats'!$R15*1000*'C0-Ref Stats'!$AA15/0.005</f>
        <v>123917.11300409917</v>
      </c>
      <c r="T18" s="258">
        <f>('C1-Incomes'!V17-'C1-Incomes'!W17)/'C0-Ref Stats'!$R15*1000*'C0-Ref Stats'!$AA15/0.004</f>
        <v>216137.36140797706</v>
      </c>
      <c r="U18" s="258">
        <f>('C1-Incomes'!W17-'C1-Incomes'!X17)/'C0-Ref Stats'!$R15*1000*'C0-Ref Stats'!$AA15/0.0009</f>
        <v>576158.74897383375</v>
      </c>
      <c r="V18" s="258"/>
      <c r="W18" s="258">
        <f>('C1-Incomes'!Z17-'C1-Incomes'!AA17)/'C0-Ref Stats'!$R15*1000*'C0-Ref Stats'!$AA15/0.9</f>
        <v>18660.723641920795</v>
      </c>
      <c r="X18" s="258">
        <f>('C1-Incomes'!AA17-'C1-Incomes'!AB17)/'C0-Ref Stats'!$R15*1000*'C0-Ref Stats'!$AA15/0.05</f>
        <v>39660.401556397024</v>
      </c>
      <c r="Y18" s="258">
        <f>('C1-Incomes'!AB17-'C1-Incomes'!AC17)/'C0-Ref Stats'!$R15*1000*'C0-Ref Stats'!$AA15/0.04</f>
        <v>56311.564136869711</v>
      </c>
      <c r="Z18" s="258">
        <f>('C1-Incomes'!AC17-'C1-Incomes'!AD17)/'C0-Ref Stats'!$R15*1000*'C0-Ref Stats'!$AA15/0.005</f>
        <v>95244.701966107343</v>
      </c>
      <c r="AA18" s="258">
        <f>('C1-Incomes'!AD17-'C1-Incomes'!AE17)/'C0-Ref Stats'!$R15*1000*'C0-Ref Stats'!$AA15/0.004</f>
        <v>157247.20655996504</v>
      </c>
      <c r="AB18" s="258">
        <f>('C1-Incomes'!AE17-'C1-Incomes'!AF17)/'C0-Ref Stats'!$R15*1000*'C0-Ref Stats'!$AA15/0.0009</f>
        <v>388498.94138531247</v>
      </c>
      <c r="AD18" s="258">
        <f>'C1-Incomes'!C17/'C0-Ref Stats'!$B15*1000*'C0-Ref Stats'!$AA15/0.1</f>
        <v>123121.994158243</v>
      </c>
      <c r="AE18" s="258">
        <f>'C1-Incomes'!D17/'C0-Ref Stats'!$B15*1000*'C0-Ref Stats'!$AA15/0.05</f>
        <v>160173.17963896185</v>
      </c>
      <c r="AF18" s="258">
        <f>'C1-Incomes'!E17/'C0-Ref Stats'!$B15*1000*'C0-Ref Stats'!$AA15/0.01</f>
        <v>310126.93750963086</v>
      </c>
      <c r="AG18" s="258">
        <f>'C1-Incomes'!F17/'C0-Ref Stats'!$B15*1000*'C0-Ref Stats'!$AA15/0.005</f>
        <v>409140.96879378933</v>
      </c>
      <c r="AH18" s="258">
        <f>'C1-Incomes'!G17/'C0-Ref Stats'!$B15*1000*'C0-Ref Stats'!$AA15/0.001</f>
        <v>769199.65360512678</v>
      </c>
      <c r="AI18" s="258">
        <f>'C1-Incomes'!H17/'C0-Ref Stats'!$B15*1000*'C0-Ref Stats'!$AA15/0.0001</f>
        <v>2093100.1117879522</v>
      </c>
      <c r="AJ18" s="47"/>
      <c r="AK18" s="258">
        <f>'C1-Incomes'!K17/'C0-Ref Stats'!$R15*1000*'C0-Ref Stats'!$AA15/0.1</f>
        <v>73365.527898061002</v>
      </c>
      <c r="AL18" s="258">
        <f>'C1-Incomes'!L17/'C0-Ref Stats'!$R15*1000*'C0-Ref Stats'!$AA15/0.05</f>
        <v>100609.26615474914</v>
      </c>
      <c r="AM18" s="258">
        <f>'C1-Incomes'!M17/'C0-Ref Stats'!$R15*1000*'C0-Ref Stats'!$AA15/0.01</f>
        <v>229132.90422477902</v>
      </c>
      <c r="AN18" s="258">
        <f>'C1-Incomes'!N17/'C0-Ref Stats'!$R15*1000*'C0-Ref Stats'!$AA15/0.005</f>
        <v>335554.87875456049</v>
      </c>
      <c r="AO18" s="258">
        <f>'C1-Incomes'!O17/'C0-Ref Stats'!$R15*1000*'C0-Ref Stats'!$AA15/0.001</f>
        <v>819452.85435884958</v>
      </c>
      <c r="AP18" s="258">
        <f>'C1-Incomes'!P17/'C0-Ref Stats'!$R15*1000*'C0-Ref Stats'!$AA15/0.0001</f>
        <v>3023215.5855865073</v>
      </c>
      <c r="AQ18" s="47"/>
      <c r="AR18" s="258">
        <f>'C1-Incomes'!S17/'C0-Ref Stats'!$R15*1000*'C0-Ref Stats'!$AA15/0.1</f>
        <v>74144.860743710567</v>
      </c>
      <c r="AS18" s="258">
        <f>'C1-Incomes'!T17/'C0-Ref Stats'!$R15*1000*'C0-Ref Stats'!$AA15/0.05</f>
        <v>101540.73436670027</v>
      </c>
      <c r="AT18" s="258">
        <f>'C1-Incomes'!U17/'C0-Ref Stats'!$R15*1000*'C0-Ref Stats'!$AA15/0.01</f>
        <v>230518.85956518099</v>
      </c>
      <c r="AU18" s="258">
        <f>'C1-Incomes'!V17/'C0-Ref Stats'!$R15*1000*'C0-Ref Stats'!$AA15/0.005</f>
        <v>337120.60612626281</v>
      </c>
      <c r="AV18" s="258">
        <f>'C1-Incomes'!W17/'C0-Ref Stats'!$R15*1000*'C0-Ref Stats'!$AA15/0.001</f>
        <v>821053.58499940624</v>
      </c>
      <c r="AW18" s="258">
        <f>'C1-Incomes'!X17/'C0-Ref Stats'!$R15*1000*'C0-Ref Stats'!$AA15/0.0001</f>
        <v>3025107.1092295581</v>
      </c>
      <c r="AX18" s="258"/>
      <c r="AY18" s="258">
        <f>'C1-Incomes'!AA17/'C0-Ref Stats'!$R15*1000*'C0-Ref Stats'!$AA15/0.1</f>
        <v>58782.313036720821</v>
      </c>
      <c r="AZ18" s="258">
        <f>'C1-Incomes'!AB17/'C0-Ref Stats'!$R15*1000*'C0-Ref Stats'!$AA15/0.05</f>
        <v>77904.224517044611</v>
      </c>
      <c r="BA18" s="258">
        <f>'C1-Incomes'!AC17/'C0-Ref Stats'!$R15*1000*'C0-Ref Stats'!$AA15/0.01</f>
        <v>164274.86603774424</v>
      </c>
      <c r="BB18" s="258">
        <f>'C1-Incomes'!AD17/'C0-Ref Stats'!$R15*1000*'C0-Ref Stats'!$AA15/0.005</f>
        <v>233305.0301093811</v>
      </c>
      <c r="BC18" s="258">
        <f>'C1-Incomes'!AE17/'C0-Ref Stats'!$R15*1000*'C0-Ref Stats'!$AA15/0.001</f>
        <v>537536.32430704532</v>
      </c>
      <c r="BD18" s="258">
        <f>'C1-Incomes'!AF17/'C0-Ref Stats'!$R15*1000*'C0-Ref Stats'!$AA15/0.0001</f>
        <v>1878872.7706026409</v>
      </c>
      <c r="BF18" s="258">
        <v>77900</v>
      </c>
      <c r="BG18" s="258">
        <v>97200</v>
      </c>
      <c r="BH18" s="258">
        <v>182900</v>
      </c>
      <c r="BI18" s="258">
        <v>249000</v>
      </c>
      <c r="BJ18" s="258">
        <v>459000</v>
      </c>
      <c r="BK18" s="258">
        <v>1110000</v>
      </c>
      <c r="BM18" s="258">
        <v>135400</v>
      </c>
      <c r="BN18" s="258">
        <v>232559.89136505974</v>
      </c>
      <c r="BO18" s="1254">
        <f t="shared" si="0"/>
        <v>2.3935791621180429</v>
      </c>
      <c r="BP18" s="1254">
        <f t="shared" si="4"/>
        <v>2.437588639482537</v>
      </c>
      <c r="BQ18" s="480"/>
      <c r="BR18" s="258">
        <v>210800</v>
      </c>
      <c r="BS18" s="258">
        <v>434085.31524132669</v>
      </c>
      <c r="BT18" s="258">
        <v>285000</v>
      </c>
      <c r="BU18" s="258">
        <v>617291.28987851518</v>
      </c>
      <c r="BV18" s="1254">
        <f t="shared" si="8"/>
        <v>1.9440835810100965</v>
      </c>
      <c r="BW18" s="1254">
        <f t="shared" si="11"/>
        <v>1.8576812233152282</v>
      </c>
      <c r="BY18" s="258">
        <v>210800</v>
      </c>
      <c r="BZ18" s="258">
        <v>439657.87413416698</v>
      </c>
      <c r="CA18" s="258">
        <v>285300</v>
      </c>
      <c r="CB18" s="258">
        <v>621413.59842510812</v>
      </c>
      <c r="CC18" s="1254">
        <f t="shared" si="9"/>
        <v>1.9210956835001418</v>
      </c>
      <c r="CD18" s="1254">
        <f t="shared" si="12"/>
        <v>1.8488201647800029</v>
      </c>
      <c r="CF18" s="258">
        <v>147400</v>
      </c>
      <c r="CG18" s="258">
        <v>326821.22609469522</v>
      </c>
      <c r="CH18" s="258">
        <v>190100</v>
      </c>
      <c r="CI18" s="258">
        <v>446848.80075328058</v>
      </c>
      <c r="CJ18" s="1254">
        <f t="shared" si="10"/>
        <v>1.8215304465827526</v>
      </c>
      <c r="CK18" s="1254">
        <f t="shared" si="13"/>
        <v>1.7404124165030632</v>
      </c>
      <c r="CM18" s="1183">
        <v>0.47894940809999997</v>
      </c>
      <c r="CN18" s="1183">
        <v>0.50393556340000001</v>
      </c>
    </row>
    <row r="19" spans="1:92" s="256" customFormat="1" ht="9.75" customHeight="1" x14ac:dyDescent="0.25">
      <c r="A19" s="254">
        <v>1970</v>
      </c>
      <c r="B19" s="258">
        <f>('C1-Incomes'!B18-'C1-Incomes'!C18)/'C0-Ref Stats'!$B16*1000*'C0-Ref Stats'!$AA16/0.9</f>
        <v>29827.442822948378</v>
      </c>
      <c r="C19" s="258">
        <f>('C1-Incomes'!C18-'C1-Incomes'!D18)/'C0-Ref Stats'!$B16*1000*'C0-Ref Stats'!$AA16/0.05</f>
        <v>87501.59903987468</v>
      </c>
      <c r="D19" s="258">
        <f>('C1-Incomes'!D18-'C1-Incomes'!E18)/'C0-Ref Stats'!$B16*1000*'C0-Ref Stats'!$AA16/0.04</f>
        <v>124043.32852818359</v>
      </c>
      <c r="E19" s="258">
        <f>('C1-Incomes'!E18-'C1-Incomes'!F18)/'C0-Ref Stats'!$B16*1000*'C0-Ref Stats'!$AA16/0.005</f>
        <v>208828.5608309517</v>
      </c>
      <c r="F19" s="258">
        <f>('C1-Incomes'!F18-'C1-Incomes'!G18)/'C0-Ref Stats'!$B16*1000*'C0-Ref Stats'!$AA16/0.004</f>
        <v>316274.95321220788</v>
      </c>
      <c r="G19" s="258">
        <f>('C1-Incomes'!G18-'C1-Incomes'!H18)/'C0-Ref Stats'!$B16*1000*'C0-Ref Stats'!$AA16/0.0009</f>
        <v>611573.21846394695</v>
      </c>
      <c r="H19" s="258"/>
      <c r="I19" s="258">
        <f>('C1-Incomes'!J18-'C1-Incomes'!K18)/'C0-Ref Stats'!$R16*1000*'C0-Ref Stats'!$AA16/0.9</f>
        <v>17382.568750847244</v>
      </c>
      <c r="J19" s="258">
        <f>('C1-Incomes'!K18-'C1-Incomes'!L18)/'C0-Ref Stats'!$R16*1000*'C0-Ref Stats'!$AA16/0.05</f>
        <v>46922.161910574818</v>
      </c>
      <c r="K19" s="258">
        <f>('C1-Incomes'!L18-'C1-Incomes'!M18)/'C0-Ref Stats'!$R16*1000*'C0-Ref Stats'!$AA16/0.04</f>
        <v>68639.610616082136</v>
      </c>
      <c r="L19" s="258">
        <f>('C1-Incomes'!M18-'C1-Incomes'!N18)/'C0-Ref Stats'!$R16*1000*'C0-Ref Stats'!$AA16/0.005</f>
        <v>119551.93290122683</v>
      </c>
      <c r="M19" s="258">
        <f>('C1-Incomes'!N18-'C1-Incomes'!O18)/'C0-Ref Stats'!$R16*1000*'C0-Ref Stats'!$AA16/0.004</f>
        <v>200583.89012120993</v>
      </c>
      <c r="N19" s="258">
        <f>('C1-Incomes'!O18-'C1-Incomes'!P18)/'C0-Ref Stats'!$R16*1000*'C0-Ref Stats'!$AA16/0.0009</f>
        <v>526655.24237407919</v>
      </c>
      <c r="O19" s="47"/>
      <c r="P19" s="258">
        <f>('C1-Incomes'!R18-'C1-Incomes'!S18)/'C0-Ref Stats'!$R16*1000*'C0-Ref Stats'!$AA16/0.9</f>
        <v>19197.641308633418</v>
      </c>
      <c r="Q19" s="258">
        <f>('C1-Incomes'!S18-'C1-Incomes'!T18)/'C0-Ref Stats'!$R16*1000*'C0-Ref Stats'!$AA16/0.05</f>
        <v>47651.232155243786</v>
      </c>
      <c r="R19" s="258">
        <f>('C1-Incomes'!T18-'C1-Incomes'!U18)/'C0-Ref Stats'!$R16*1000*'C0-Ref Stats'!$AA16/0.04</f>
        <v>69451.170009995636</v>
      </c>
      <c r="S19" s="258">
        <f>('C1-Incomes'!U18-'C1-Incomes'!V18)/'C0-Ref Stats'!$R16*1000*'C0-Ref Stats'!$AA16/0.005</f>
        <v>121128.49752462632</v>
      </c>
      <c r="T19" s="258">
        <f>('C1-Incomes'!V18-'C1-Incomes'!W18)/'C0-Ref Stats'!$R16*1000*'C0-Ref Stats'!$AA16/0.004</f>
        <v>202217.54002540559</v>
      </c>
      <c r="U19" s="258">
        <f>('C1-Incomes'!W18-'C1-Incomes'!X18)/'C0-Ref Stats'!$R16*1000*'C0-Ref Stats'!$AA16/0.0009</f>
        <v>528054.49592884607</v>
      </c>
      <c r="V19" s="258"/>
      <c r="W19" s="258">
        <f>('C1-Incomes'!Z18-'C1-Incomes'!AA18)/'C0-Ref Stats'!$R16*1000*'C0-Ref Stats'!$AA16/0.9</f>
        <v>19053.052781479626</v>
      </c>
      <c r="X19" s="258">
        <f>('C1-Incomes'!AA18-'C1-Incomes'!AB18)/'C0-Ref Stats'!$R16*1000*'C0-Ref Stats'!$AA16/0.05</f>
        <v>40125.161030751959</v>
      </c>
      <c r="Y19" s="258">
        <f>('C1-Incomes'!AB18-'C1-Incomes'!AC18)/'C0-Ref Stats'!$R16*1000*'C0-Ref Stats'!$AA16/0.04</f>
        <v>55404.703232707921</v>
      </c>
      <c r="Z19" s="258">
        <f>('C1-Incomes'!AC18-'C1-Incomes'!AD18)/'C0-Ref Stats'!$R16*1000*'C0-Ref Stats'!$AA16/0.005</f>
        <v>91987.127969358466</v>
      </c>
      <c r="AA19" s="258">
        <f>('C1-Incomes'!AD18-'C1-Incomes'!AE18)/'C0-Ref Stats'!$R16*1000*'C0-Ref Stats'!$AA16/0.004</f>
        <v>143488.09841110712</v>
      </c>
      <c r="AB19" s="258">
        <f>('C1-Incomes'!AE18-'C1-Incomes'!AF18)/'C0-Ref Stats'!$R16*1000*'C0-Ref Stats'!$AA16/0.0009</f>
        <v>342296.18776461313</v>
      </c>
      <c r="AD19" s="258">
        <f>'C1-Incomes'!C18/'C0-Ref Stats'!$B16*1000*'C0-Ref Stats'!$AA16/0.1</f>
        <v>123996.96158964024</v>
      </c>
      <c r="AE19" s="258">
        <f>'C1-Incomes'!D18/'C0-Ref Stats'!$B16*1000*'C0-Ref Stats'!$AA16/0.05</f>
        <v>160492.3241394058</v>
      </c>
      <c r="AF19" s="258">
        <f>'C1-Incomes'!E18/'C0-Ref Stats'!$B16*1000*'C0-Ref Stats'!$AA16/0.01</f>
        <v>306288.30658429471</v>
      </c>
      <c r="AG19" s="258">
        <f>'C1-Incomes'!F18/'C0-Ref Stats'!$B16*1000*'C0-Ref Stats'!$AA16/0.005</f>
        <v>403748.0523376377</v>
      </c>
      <c r="AH19" s="258">
        <f>'C1-Incomes'!G18/'C0-Ref Stats'!$B16*1000*'C0-Ref Stats'!$AA16/0.001</f>
        <v>753640.44883935689</v>
      </c>
      <c r="AI19" s="258">
        <f>'C1-Incomes'!H18/'C0-Ref Stats'!$B16*1000*'C0-Ref Stats'!$AA16/0.0001</f>
        <v>2032245.52221805</v>
      </c>
      <c r="AJ19" s="47"/>
      <c r="AK19" s="258">
        <f>'C1-Incomes'!K18/'C0-Ref Stats'!$R16*1000*'C0-Ref Stats'!$AA16/0.1</f>
        <v>72254.191149844759</v>
      </c>
      <c r="AL19" s="258">
        <f>'C1-Incomes'!L18/'C0-Ref Stats'!$R16*1000*'C0-Ref Stats'!$AA16/0.05</f>
        <v>97586.220389114693</v>
      </c>
      <c r="AM19" s="258">
        <f>'C1-Incomes'!M18/'C0-Ref Stats'!$R16*1000*'C0-Ref Stats'!$AA16/0.01</f>
        <v>213372.65948124501</v>
      </c>
      <c r="AN19" s="258">
        <f>'C1-Incomes'!N18/'C0-Ref Stats'!$R16*1000*'C0-Ref Stats'!$AA16/0.005</f>
        <v>307193.3860612631</v>
      </c>
      <c r="AO19" s="258">
        <f>'C1-Incomes'!O18/'C0-Ref Stats'!$R16*1000*'C0-Ref Stats'!$AA16/0.001</f>
        <v>733631.36982147594</v>
      </c>
      <c r="AP19" s="258">
        <f>'C1-Incomes'!P18/'C0-Ref Stats'!$R16*1000*'C0-Ref Stats'!$AA16/0.0001</f>
        <v>2596416.5168480454</v>
      </c>
      <c r="AQ19" s="47"/>
      <c r="AR19" s="258">
        <f>'C1-Incomes'!S18/'C0-Ref Stats'!$R16*1000*'C0-Ref Stats'!$AA16/0.1</f>
        <v>73102.422561314495</v>
      </c>
      <c r="AS19" s="258">
        <f>'C1-Incomes'!T18/'C0-Ref Stats'!$R16*1000*'C0-Ref Stats'!$AA16/0.05</f>
        <v>98553.612967385212</v>
      </c>
      <c r="AT19" s="258">
        <f>'C1-Incomes'!U18/'C0-Ref Stats'!$R16*1000*'C0-Ref Stats'!$AA16/0.01</f>
        <v>214963.38479694349</v>
      </c>
      <c r="AU19" s="258">
        <f>'C1-Incomes'!V18/'C0-Ref Stats'!$R16*1000*'C0-Ref Stats'!$AA16/0.005</f>
        <v>308798.27206926065</v>
      </c>
      <c r="AV19" s="258">
        <f>'C1-Incomes'!W18/'C0-Ref Stats'!$R16*1000*'C0-Ref Stats'!$AA16/0.001</f>
        <v>735121.20024468109</v>
      </c>
      <c r="AW19" s="258">
        <f>'C1-Incomes'!X18/'C0-Ref Stats'!$R16*1000*'C0-Ref Stats'!$AA16/0.0001</f>
        <v>2598721.5390871959</v>
      </c>
      <c r="AX19" s="258"/>
      <c r="AY19" s="258">
        <f>'C1-Incomes'!AA18/'C0-Ref Stats'!$R16*1000*'C0-Ref Stats'!$AA16/0.1</f>
        <v>57219.906960793036</v>
      </c>
      <c r="AZ19" s="258">
        <f>'C1-Incomes'!AB18/'C0-Ref Stats'!$R16*1000*'C0-Ref Stats'!$AA16/0.05</f>
        <v>74314.652890834113</v>
      </c>
      <c r="BA19" s="258">
        <f>'C1-Incomes'!AC18/'C0-Ref Stats'!$R16*1000*'C0-Ref Stats'!$AA16/0.01</f>
        <v>149954.45152333891</v>
      </c>
      <c r="BB19" s="258">
        <f>'C1-Incomes'!AD18/'C0-Ref Stats'!$R16*1000*'C0-Ref Stats'!$AA16/0.005</f>
        <v>207921.7750773193</v>
      </c>
      <c r="BC19" s="258">
        <f>'C1-Incomes'!AE18/'C0-Ref Stats'!$R16*1000*'C0-Ref Stats'!$AA16/0.001</f>
        <v>465656.48174216808</v>
      </c>
      <c r="BD19" s="258">
        <f>'C1-Incomes'!AF18/'C0-Ref Stats'!$R16*1000*'C0-Ref Stats'!$AA16/0.0001</f>
        <v>1575899.1275401625</v>
      </c>
      <c r="BF19" s="258">
        <v>79000</v>
      </c>
      <c r="BG19" s="258">
        <v>98900</v>
      </c>
      <c r="BH19" s="258">
        <v>182300</v>
      </c>
      <c r="BI19" s="258">
        <v>247000</v>
      </c>
      <c r="BJ19" s="258">
        <v>453000</v>
      </c>
      <c r="BK19" s="258">
        <v>1080000</v>
      </c>
      <c r="BM19" s="258">
        <v>137000</v>
      </c>
      <c r="BN19" s="258">
        <v>230932.92996199703</v>
      </c>
      <c r="BO19" s="1254">
        <f t="shared" si="0"/>
        <v>2.4584874554155487</v>
      </c>
      <c r="BP19" s="1254">
        <f t="shared" si="4"/>
        <v>2.4702999421648002</v>
      </c>
      <c r="BQ19" s="480"/>
      <c r="BR19" s="258">
        <v>208000</v>
      </c>
      <c r="BS19" s="258">
        <v>405750.41359100642</v>
      </c>
      <c r="BT19" s="258">
        <v>278400</v>
      </c>
      <c r="BU19" s="258">
        <v>566066.61842391605</v>
      </c>
      <c r="BV19" s="1254">
        <f t="shared" si="8"/>
        <v>2.0518309227417957</v>
      </c>
      <c r="BW19" s="1254">
        <f t="shared" si="11"/>
        <v>1.9677869525679188</v>
      </c>
      <c r="BY19" s="258">
        <v>208500</v>
      </c>
      <c r="BZ19" s="258">
        <v>411577.1348332339</v>
      </c>
      <c r="CA19" s="258">
        <v>279000</v>
      </c>
      <c r="CB19" s="258">
        <v>570732.98319422174</v>
      </c>
      <c r="CC19" s="1254">
        <f t="shared" si="9"/>
        <v>2.0267034748703705</v>
      </c>
      <c r="CD19" s="1254">
        <f t="shared" si="12"/>
        <v>1.9563539814565818</v>
      </c>
      <c r="CF19" s="258">
        <v>149000</v>
      </c>
      <c r="CG19" s="258">
        <v>300823.75835540192</v>
      </c>
      <c r="CH19" s="258">
        <v>189200</v>
      </c>
      <c r="CI19" s="258">
        <v>403168.94798662787</v>
      </c>
      <c r="CJ19" s="1254">
        <f t="shared" si="10"/>
        <v>1.9814010772359367</v>
      </c>
      <c r="CK19" s="1254">
        <f t="shared" si="13"/>
        <v>1.8842404553572147</v>
      </c>
      <c r="CM19" s="1183">
        <v>0.47802443039999998</v>
      </c>
      <c r="CN19" s="1183">
        <v>0.49943405219999998</v>
      </c>
    </row>
    <row r="20" spans="1:92" s="256" customFormat="1" ht="9.75" customHeight="1" x14ac:dyDescent="0.25">
      <c r="A20" s="254">
        <v>1971</v>
      </c>
      <c r="B20" s="258">
        <f>('C1-Incomes'!B19-'C1-Incomes'!C19)/'C0-Ref Stats'!$B17*1000*'C0-Ref Stats'!$AA17/0.9</f>
        <v>29591.406982443412</v>
      </c>
      <c r="C20" s="258">
        <f>('C1-Incomes'!C19-'C1-Incomes'!D19)/'C0-Ref Stats'!$B17*1000*'C0-Ref Stats'!$AA17/0.05</f>
        <v>88529.944597865775</v>
      </c>
      <c r="D20" s="258">
        <f>('C1-Incomes'!D19-'C1-Incomes'!E19)/'C0-Ref Stats'!$B17*1000*'C0-Ref Stats'!$AA17/0.04</f>
        <v>125060.70096396531</v>
      </c>
      <c r="E20" s="258">
        <f>('C1-Incomes'!E19-'C1-Incomes'!F19)/'C0-Ref Stats'!$B17*1000*'C0-Ref Stats'!$AA17/0.005</f>
        <v>209876.15770960102</v>
      </c>
      <c r="F20" s="258">
        <f>('C1-Incomes'!F19-'C1-Incomes'!G19)/'C0-Ref Stats'!$B17*1000*'C0-Ref Stats'!$AA17/0.004</f>
        <v>315200.8272186392</v>
      </c>
      <c r="G20" s="258">
        <f>('C1-Incomes'!G19-'C1-Incomes'!H19)/'C0-Ref Stats'!$B17*1000*'C0-Ref Stats'!$AA17/0.0009</f>
        <v>606097.68127163604</v>
      </c>
      <c r="H20" s="258"/>
      <c r="I20" s="258">
        <f>('C1-Incomes'!J19-'C1-Incomes'!K19)/'C0-Ref Stats'!$R17*1000*'C0-Ref Stats'!$AA17/0.9</f>
        <v>17251.545951021177</v>
      </c>
      <c r="J20" s="258">
        <f>('C1-Incomes'!K19-'C1-Incomes'!L19)/'C0-Ref Stats'!$R17*1000*'C0-Ref Stats'!$AA17/0.05</f>
        <v>47805.763016138924</v>
      </c>
      <c r="K20" s="258">
        <f>('C1-Incomes'!L19-'C1-Incomes'!M19)/'C0-Ref Stats'!$R17*1000*'C0-Ref Stats'!$AA17/0.04</f>
        <v>69771.950546591703</v>
      </c>
      <c r="L20" s="258">
        <f>('C1-Incomes'!M19-'C1-Incomes'!N19)/'C0-Ref Stats'!$R17*1000*'C0-Ref Stats'!$AA17/0.005</f>
        <v>120916.2567383579</v>
      </c>
      <c r="M20" s="258">
        <f>('C1-Incomes'!N19-'C1-Incomes'!O19)/'C0-Ref Stats'!$R17*1000*'C0-Ref Stats'!$AA17/0.004</f>
        <v>206094.87229616093</v>
      </c>
      <c r="N20" s="258">
        <f>('C1-Incomes'!O19-'C1-Incomes'!P19)/'C0-Ref Stats'!$R17*1000*'C0-Ref Stats'!$AA17/0.0009</f>
        <v>557263.90764315659</v>
      </c>
      <c r="O20" s="47"/>
      <c r="P20" s="258">
        <f>('C1-Incomes'!R19-'C1-Incomes'!S19)/'C0-Ref Stats'!$R17*1000*'C0-Ref Stats'!$AA17/0.9</f>
        <v>19255.42853674254</v>
      </c>
      <c r="Q20" s="258">
        <f>('C1-Incomes'!S19-'C1-Incomes'!T19)/'C0-Ref Stats'!$R17*1000*'C0-Ref Stats'!$AA17/0.05</f>
        <v>48595.661995777322</v>
      </c>
      <c r="R20" s="258">
        <f>('C1-Incomes'!T19-'C1-Incomes'!U19)/'C0-Ref Stats'!$R17*1000*'C0-Ref Stats'!$AA17/0.04</f>
        <v>70666.971872175534</v>
      </c>
      <c r="S20" s="258">
        <f>('C1-Incomes'!U19-'C1-Incomes'!V19)/'C0-Ref Stats'!$R17*1000*'C0-Ref Stats'!$AA17/0.005</f>
        <v>122139.27038031648</v>
      </c>
      <c r="T20" s="258">
        <f>('C1-Incomes'!V19-'C1-Incomes'!W19)/'C0-Ref Stats'!$R17*1000*'C0-Ref Stats'!$AA17/0.004</f>
        <v>208197.5520790233</v>
      </c>
      <c r="U20" s="258">
        <f>('C1-Incomes'!W19-'C1-Incomes'!X19)/'C0-Ref Stats'!$R17*1000*'C0-Ref Stats'!$AA17/0.0009</f>
        <v>559051.1304980861</v>
      </c>
      <c r="V20" s="258"/>
      <c r="W20" s="258">
        <f>('C1-Incomes'!Z19-'C1-Incomes'!AA19)/'C0-Ref Stats'!$R17*1000*'C0-Ref Stats'!$AA17/0.9</f>
        <v>19012.759682345073</v>
      </c>
      <c r="X20" s="258">
        <f>('C1-Incomes'!AA19-'C1-Incomes'!AB19)/'C0-Ref Stats'!$R17*1000*'C0-Ref Stats'!$AA17/0.05</f>
        <v>40358.30958306267</v>
      </c>
      <c r="Y20" s="258">
        <f>('C1-Incomes'!AB19-'C1-Incomes'!AC19)/'C0-Ref Stats'!$R17*1000*'C0-Ref Stats'!$AA17/0.04</f>
        <v>56078.465890397922</v>
      </c>
      <c r="Z20" s="258">
        <f>('C1-Incomes'!AC19-'C1-Incomes'!AD19)/'C0-Ref Stats'!$R17*1000*'C0-Ref Stats'!$AA17/0.005</f>
        <v>91235.94011412299</v>
      </c>
      <c r="AA20" s="258">
        <f>('C1-Incomes'!AD19-'C1-Incomes'!AE19)/'C0-Ref Stats'!$R17*1000*'C0-Ref Stats'!$AA17/0.004</f>
        <v>146673.88959243716</v>
      </c>
      <c r="AB20" s="258">
        <f>('C1-Incomes'!AE19-'C1-Incomes'!AF19)/'C0-Ref Stats'!$R17*1000*'C0-Ref Stats'!$AA17/0.0009</f>
        <v>366463.17486103403</v>
      </c>
      <c r="AD20" s="258">
        <f>'C1-Incomes'!C19/'C0-Ref Stats'!$B17*1000*'C0-Ref Stats'!$AA17/0.1</f>
        <v>124867.7004934406</v>
      </c>
      <c r="AE20" s="258">
        <f>'C1-Incomes'!D19/'C0-Ref Stats'!$B17*1000*'C0-Ref Stats'!$AA17/0.05</f>
        <v>161205.45638901545</v>
      </c>
      <c r="AF20" s="258">
        <f>'C1-Incomes'!E19/'C0-Ref Stats'!$B17*1000*'C0-Ref Stats'!$AA17/0.01</f>
        <v>305784.47808921593</v>
      </c>
      <c r="AG20" s="258">
        <f>'C1-Incomes'!F19/'C0-Ref Stats'!$B17*1000*'C0-Ref Stats'!$AA17/0.005</f>
        <v>401692.79846883076</v>
      </c>
      <c r="AH20" s="258">
        <f>'C1-Incomes'!G19/'C0-Ref Stats'!$B17*1000*'C0-Ref Stats'!$AA17/0.001</f>
        <v>747660.68346959725</v>
      </c>
      <c r="AI20" s="258">
        <f>'C1-Incomes'!H19/'C0-Ref Stats'!$B17*1000*'C0-Ref Stats'!$AA17/0.0001</f>
        <v>2021727.7032512501</v>
      </c>
      <c r="AJ20" s="47"/>
      <c r="AK20" s="258">
        <f>'C1-Incomes'!K19/'C0-Ref Stats'!$R17*1000*'C0-Ref Stats'!$AA17/0.1</f>
        <v>73880.469364808407</v>
      </c>
      <c r="AL20" s="258">
        <f>'C1-Incomes'!L19/'C0-Ref Stats'!$R17*1000*'C0-Ref Stats'!$AA17/0.05</f>
        <v>99955.175713477904</v>
      </c>
      <c r="AM20" s="258">
        <f>'C1-Incomes'!M19/'C0-Ref Stats'!$R17*1000*'C0-Ref Stats'!$AA17/0.01</f>
        <v>220688.07638102275</v>
      </c>
      <c r="AN20" s="258">
        <f>'C1-Incomes'!N19/'C0-Ref Stats'!$R17*1000*'C0-Ref Stats'!$AA17/0.005</f>
        <v>320459.89602368756</v>
      </c>
      <c r="AO20" s="258">
        <f>'C1-Incomes'!O19/'C0-Ref Stats'!$R17*1000*'C0-Ref Stats'!$AA17/0.001</f>
        <v>777919.99093379418</v>
      </c>
      <c r="AP20" s="258">
        <f>'C1-Incomes'!P19/'C0-Ref Stats'!$R17*1000*'C0-Ref Stats'!$AA17/0.0001</f>
        <v>2763824.7405495341</v>
      </c>
      <c r="AQ20" s="47"/>
      <c r="AR20" s="258">
        <f>'C1-Incomes'!S19/'C0-Ref Stats'!$R17*1000*'C0-Ref Stats'!$AA17/0.1</f>
        <v>74796.385731811562</v>
      </c>
      <c r="AS20" s="258">
        <f>'C1-Incomes'!T19/'C0-Ref Stats'!$R17*1000*'C0-Ref Stats'!$AA17/0.05</f>
        <v>100997.10946784583</v>
      </c>
      <c r="AT20" s="258">
        <f>'C1-Incomes'!U19/'C0-Ref Stats'!$R17*1000*'C0-Ref Stats'!$AA17/0.01</f>
        <v>222317.65985052698</v>
      </c>
      <c r="AU20" s="258">
        <f>'C1-Incomes'!V19/'C0-Ref Stats'!$R17*1000*'C0-Ref Stats'!$AA17/0.005</f>
        <v>322496.04932073748</v>
      </c>
      <c r="AV20" s="258">
        <f>'C1-Incomes'!W19/'C0-Ref Stats'!$R17*1000*'C0-Ref Stats'!$AA17/0.001</f>
        <v>779690.03828759422</v>
      </c>
      <c r="AW20" s="258">
        <f>'C1-Incomes'!X19/'C0-Ref Stats'!$R17*1000*'C0-Ref Stats'!$AA17/0.0001</f>
        <v>2765440.2083931663</v>
      </c>
      <c r="AX20" s="258"/>
      <c r="AY20" s="258">
        <f>'C1-Incomes'!AA19/'C0-Ref Stats'!$R17*1000*'C0-Ref Stats'!$AA17/0.1</f>
        <v>58029.467374866334</v>
      </c>
      <c r="AZ20" s="258">
        <f>'C1-Incomes'!AB19/'C0-Ref Stats'!$R17*1000*'C0-Ref Stats'!$AA17/0.05</f>
        <v>75700.625166669997</v>
      </c>
      <c r="BA20" s="258">
        <f>'C1-Incomes'!AC19/'C0-Ref Stats'!$R17*1000*'C0-Ref Stats'!$AA17/0.01</f>
        <v>154189.26227175837</v>
      </c>
      <c r="BB20" s="258">
        <f>'C1-Incomes'!AD19/'C0-Ref Stats'!$R17*1000*'C0-Ref Stats'!$AA17/0.005</f>
        <v>217142.58442939373</v>
      </c>
      <c r="BC20" s="258">
        <f>'C1-Incomes'!AE19/'C0-Ref Stats'!$R17*1000*'C0-Ref Stats'!$AA17/0.001</f>
        <v>499017.36377722002</v>
      </c>
      <c r="BD20" s="258">
        <f>'C1-Incomes'!AF19/'C0-Ref Stats'!$R17*1000*'C0-Ref Stats'!$AA17/0.0001</f>
        <v>1692005.0640228936</v>
      </c>
      <c r="BF20" s="258">
        <v>79700</v>
      </c>
      <c r="BG20" s="258">
        <v>100200</v>
      </c>
      <c r="BH20" s="258">
        <v>184400</v>
      </c>
      <c r="BI20" s="258">
        <v>246000</v>
      </c>
      <c r="BJ20" s="258">
        <v>450000</v>
      </c>
      <c r="BK20" s="258">
        <v>1070000</v>
      </c>
      <c r="BM20" s="258">
        <v>137400</v>
      </c>
      <c r="BN20" s="258">
        <v>231151.70097976847</v>
      </c>
      <c r="BO20" s="1254">
        <f t="shared" si="0"/>
        <v>2.4655734089523431</v>
      </c>
      <c r="BP20" s="1254">
        <f t="shared" si="4"/>
        <v>2.519139867821226</v>
      </c>
      <c r="BQ20" s="480"/>
      <c r="BR20" s="258">
        <v>214500</v>
      </c>
      <c r="BS20" s="258">
        <v>422305.60664409125</v>
      </c>
      <c r="BT20" s="258">
        <v>284100</v>
      </c>
      <c r="BU20" s="258">
        <v>593009.15837909596</v>
      </c>
      <c r="BV20" s="1254">
        <f t="shared" si="8"/>
        <v>2.0322146907584369</v>
      </c>
      <c r="BW20" s="1254">
        <f t="shared" si="11"/>
        <v>1.9196878509226654</v>
      </c>
      <c r="BY20" s="258">
        <v>214600</v>
      </c>
      <c r="BZ20" s="258">
        <v>428770.6188075458</v>
      </c>
      <c r="CA20" s="258">
        <v>284400</v>
      </c>
      <c r="CB20" s="258">
        <v>597960.63351778174</v>
      </c>
      <c r="CC20" s="1254">
        <f t="shared" si="9"/>
        <v>2.0020048557306547</v>
      </c>
      <c r="CD20" s="1254">
        <f t="shared" si="12"/>
        <v>1.9070016118074717</v>
      </c>
      <c r="CF20" s="258">
        <v>153500</v>
      </c>
      <c r="CG20" s="258">
        <v>310582.64299041632</v>
      </c>
      <c r="CH20" s="258">
        <v>195800</v>
      </c>
      <c r="CI20" s="258">
        <v>419123.51259192778</v>
      </c>
      <c r="CJ20" s="1254">
        <f t="shared" si="10"/>
        <v>1.9771926234355828</v>
      </c>
      <c r="CK20" s="1254">
        <f t="shared" si="13"/>
        <v>1.8767549718680063</v>
      </c>
      <c r="CM20" s="1183">
        <v>0.48531598339999998</v>
      </c>
      <c r="CN20" s="1183">
        <v>0.5091959372</v>
      </c>
    </row>
    <row r="21" spans="1:92" s="256" customFormat="1" ht="9.75" customHeight="1" x14ac:dyDescent="0.25">
      <c r="A21" s="254">
        <v>1972</v>
      </c>
      <c r="B21" s="258">
        <f>('C1-Incomes'!B20-'C1-Incomes'!C20)/'C0-Ref Stats'!$B18*1000*'C0-Ref Stats'!$AA18/0.9</f>
        <v>30884.732273103866</v>
      </c>
      <c r="C21" s="258">
        <f>('C1-Incomes'!C20-'C1-Incomes'!D20)/'C0-Ref Stats'!$B18*1000*'C0-Ref Stats'!$AA18/0.05</f>
        <v>91902.951383468477</v>
      </c>
      <c r="D21" s="258">
        <f>('C1-Incomes'!D20-'C1-Incomes'!E20)/'C0-Ref Stats'!$B18*1000*'C0-Ref Stats'!$AA18/0.04</f>
        <v>129368.30694393301</v>
      </c>
      <c r="E21" s="258">
        <f>('C1-Incomes'!E20-'C1-Incomes'!F20)/'C0-Ref Stats'!$B18*1000*'C0-Ref Stats'!$AA18/0.005</f>
        <v>217820.40368676389</v>
      </c>
      <c r="F21" s="258">
        <f>('C1-Incomes'!F20-'C1-Incomes'!G20)/'C0-Ref Stats'!$B18*1000*'C0-Ref Stats'!$AA18/0.004</f>
        <v>325869.37043590727</v>
      </c>
      <c r="G21" s="258">
        <f>('C1-Incomes'!G20-'C1-Incomes'!H20)/'C0-Ref Stats'!$B18*1000*'C0-Ref Stats'!$AA18/0.0009</f>
        <v>630602.36517459538</v>
      </c>
      <c r="H21" s="258"/>
      <c r="I21" s="258">
        <f>('C1-Incomes'!J20-'C1-Incomes'!K20)/'C0-Ref Stats'!$R18*1000*'C0-Ref Stats'!$AA18/0.9</f>
        <v>18512.417530493178</v>
      </c>
      <c r="J21" s="258">
        <f>('C1-Incomes'!K20-'C1-Incomes'!L20)/'C0-Ref Stats'!$R18*1000*'C0-Ref Stats'!$AA18/0.05</f>
        <v>50745.045028537621</v>
      </c>
      <c r="K21" s="258">
        <f>('C1-Incomes'!L20-'C1-Incomes'!M20)/'C0-Ref Stats'!$R18*1000*'C0-Ref Stats'!$AA18/0.04</f>
        <v>74353.557181102238</v>
      </c>
      <c r="L21" s="258">
        <f>('C1-Incomes'!M20-'C1-Incomes'!N20)/'C0-Ref Stats'!$R18*1000*'C0-Ref Stats'!$AA18/0.005</f>
        <v>131695.8637326328</v>
      </c>
      <c r="M21" s="258">
        <f>('C1-Incomes'!N20-'C1-Incomes'!O20)/'C0-Ref Stats'!$R18*1000*'C0-Ref Stats'!$AA18/0.004</f>
        <v>226089.75475137704</v>
      </c>
      <c r="N21" s="258">
        <f>('C1-Incomes'!O20-'C1-Incomes'!P20)/'C0-Ref Stats'!$R18*1000*'C0-Ref Stats'!$AA18/0.0009</f>
        <v>609812.51349242672</v>
      </c>
      <c r="O21" s="47"/>
      <c r="P21" s="258">
        <f>('C1-Incomes'!R20-'C1-Incomes'!S20)/'C0-Ref Stats'!$R18*1000*'C0-Ref Stats'!$AA18/0.9</f>
        <v>20673.848933287558</v>
      </c>
      <c r="Q21" s="258">
        <f>('C1-Incomes'!S20-'C1-Incomes'!T20)/'C0-Ref Stats'!$R18*1000*'C0-Ref Stats'!$AA18/0.05</f>
        <v>51532.695189140148</v>
      </c>
      <c r="R21" s="258">
        <f>('C1-Incomes'!T20-'C1-Incomes'!U20)/'C0-Ref Stats'!$R18*1000*'C0-Ref Stats'!$AA18/0.04</f>
        <v>75404.830586408178</v>
      </c>
      <c r="S21" s="258">
        <f>('C1-Incomes'!U20-'C1-Incomes'!V20)/'C0-Ref Stats'!$R18*1000*'C0-Ref Stats'!$AA18/0.005</f>
        <v>133303.66571440373</v>
      </c>
      <c r="T21" s="258">
        <f>('C1-Incomes'!V20-'C1-Incomes'!W20)/'C0-Ref Stats'!$R18*1000*'C0-Ref Stats'!$AA18/0.004</f>
        <v>228462.34382357399</v>
      </c>
      <c r="U21" s="258">
        <f>('C1-Incomes'!W20-'C1-Incomes'!X20)/'C0-Ref Stats'!$R18*1000*'C0-Ref Stats'!$AA18/0.0009</f>
        <v>610785.41127880185</v>
      </c>
      <c r="V21" s="258"/>
      <c r="W21" s="258">
        <f>('C1-Incomes'!Z20-'C1-Incomes'!AA20)/'C0-Ref Stats'!$R18*1000*'C0-Ref Stats'!$AA18/0.9</f>
        <v>20379.424280728679</v>
      </c>
      <c r="X21" s="258">
        <f>('C1-Incomes'!AA20-'C1-Incomes'!AB20)/'C0-Ref Stats'!$R18*1000*'C0-Ref Stats'!$AA18/0.05</f>
        <v>43040.217120324611</v>
      </c>
      <c r="Y21" s="258">
        <f>('C1-Incomes'!AB20-'C1-Incomes'!AC20)/'C0-Ref Stats'!$R18*1000*'C0-Ref Stats'!$AA18/0.04</f>
        <v>59503.195257550055</v>
      </c>
      <c r="Z21" s="258">
        <f>('C1-Incomes'!AC20-'C1-Incomes'!AD20)/'C0-Ref Stats'!$R18*1000*'C0-Ref Stats'!$AA18/0.005</f>
        <v>99688.572202561583</v>
      </c>
      <c r="AA21" s="258">
        <f>('C1-Incomes'!AD20-'C1-Incomes'!AE20)/'C0-Ref Stats'!$R18*1000*'C0-Ref Stats'!$AA18/0.004</f>
        <v>163654.48156069499</v>
      </c>
      <c r="AB21" s="258">
        <f>('C1-Incomes'!AE20-'C1-Incomes'!AF20)/'C0-Ref Stats'!$R18*1000*'C0-Ref Stats'!$AA18/0.0009</f>
        <v>408365.53193136724</v>
      </c>
      <c r="AD21" s="258">
        <f>'C1-Incomes'!C20/'C0-Ref Stats'!$B18*1000*'C0-Ref Stats'!$AA18/0.1</f>
        <v>129420.09478362098</v>
      </c>
      <c r="AE21" s="258">
        <f>'C1-Incomes'!D20/'C0-Ref Stats'!$B18*1000*'C0-Ref Stats'!$AA18/0.05</f>
        <v>166937.23818377347</v>
      </c>
      <c r="AF21" s="258">
        <f>'C1-Incomes'!E20/'C0-Ref Stats'!$B18*1000*'C0-Ref Stats'!$AA18/0.01</f>
        <v>317212.96314313519</v>
      </c>
      <c r="AG21" s="258">
        <f>'C1-Incomes'!F20/'C0-Ref Stats'!$B18*1000*'C0-Ref Stats'!$AA18/0.005</f>
        <v>416605.52259950642</v>
      </c>
      <c r="AH21" s="258">
        <f>'C1-Incomes'!G20/'C0-Ref Stats'!$B18*1000*'C0-Ref Stats'!$AA18/0.001</f>
        <v>779550.13125390338</v>
      </c>
      <c r="AI21" s="258">
        <f>'C1-Incomes'!H20/'C0-Ref Stats'!$B18*1000*'C0-Ref Stats'!$AA18/0.0001</f>
        <v>2120080.0259676771</v>
      </c>
      <c r="AJ21" s="47"/>
      <c r="AK21" s="258">
        <f>'C1-Incomes'!K20/'C0-Ref Stats'!$R18*1000*'C0-Ref Stats'!$AA18/0.1</f>
        <v>79235.485830704289</v>
      </c>
      <c r="AL21" s="258">
        <f>'C1-Incomes'!L20/'C0-Ref Stats'!$R18*1000*'C0-Ref Stats'!$AA18/0.05</f>
        <v>107725.92663287095</v>
      </c>
      <c r="AM21" s="258">
        <f>'C1-Incomes'!M20/'C0-Ref Stats'!$R18*1000*'C0-Ref Stats'!$AA18/0.01</f>
        <v>241215.40443994585</v>
      </c>
      <c r="AN21" s="258">
        <f>'C1-Incomes'!N20/'C0-Ref Stats'!$R18*1000*'C0-Ref Stats'!$AA18/0.005</f>
        <v>350734.94514725899</v>
      </c>
      <c r="AO21" s="258">
        <f>'C1-Incomes'!O20/'C0-Ref Stats'!$R18*1000*'C0-Ref Stats'!$AA18/0.001</f>
        <v>849315.70673078671</v>
      </c>
      <c r="AP21" s="258">
        <f>'C1-Incomes'!P20/'C0-Ref Stats'!$R18*1000*'C0-Ref Stats'!$AA18/0.0001</f>
        <v>3004844.445876027</v>
      </c>
      <c r="AQ21" s="47"/>
      <c r="AR21" s="258">
        <f>'C1-Incomes'!S20/'C0-Ref Stats'!$R18*1000*'C0-Ref Stats'!$AA18/0.1</f>
        <v>80235.869800670451</v>
      </c>
      <c r="AS21" s="258">
        <f>'C1-Incomes'!T20/'C0-Ref Stats'!$R18*1000*'C0-Ref Stats'!$AA18/0.05</f>
        <v>108939.04441220072</v>
      </c>
      <c r="AT21" s="258">
        <f>'C1-Incomes'!U20/'C0-Ref Stats'!$R18*1000*'C0-Ref Stats'!$AA18/0.01</f>
        <v>243075.89971537099</v>
      </c>
      <c r="AU21" s="258">
        <f>'C1-Incomes'!V20/'C0-Ref Stats'!$R18*1000*'C0-Ref Stats'!$AA18/0.005</f>
        <v>352848.1337163382</v>
      </c>
      <c r="AV21" s="258">
        <f>'C1-Incomes'!W20/'C0-Ref Stats'!$R18*1000*'C0-Ref Stats'!$AA18/0.001</f>
        <v>850391.29328739492</v>
      </c>
      <c r="AW21" s="258">
        <f>'C1-Incomes'!X20/'C0-Ref Stats'!$R18*1000*'C0-Ref Stats'!$AA18/0.0001</f>
        <v>3006844.2313647335</v>
      </c>
      <c r="AX21" s="258"/>
      <c r="AY21" s="258">
        <f>'C1-Incomes'!AA20/'C0-Ref Stats'!$R18*1000*'C0-Ref Stats'!$AA18/0.1</f>
        <v>62432.456362935976</v>
      </c>
      <c r="AZ21" s="258">
        <f>'C1-Incomes'!AB20/'C0-Ref Stats'!$R18*1000*'C0-Ref Stats'!$AA18/0.05</f>
        <v>81824.695605547342</v>
      </c>
      <c r="BA21" s="258">
        <f>'C1-Incomes'!AC20/'C0-Ref Stats'!$R18*1000*'C0-Ref Stats'!$AA18/0.01</f>
        <v>171110.69699753652</v>
      </c>
      <c r="BB21" s="258">
        <f>'C1-Incomes'!AD20/'C0-Ref Stats'!$R18*1000*'C0-Ref Stats'!$AA18/0.005</f>
        <v>242532.8217925115</v>
      </c>
      <c r="BC21" s="258">
        <f>'C1-Incomes'!AE20/'C0-Ref Stats'!$R18*1000*'C0-Ref Stats'!$AA18/0.001</f>
        <v>558046.18271977745</v>
      </c>
      <c r="BD21" s="258">
        <f>'C1-Incomes'!AF20/'C0-Ref Stats'!$R18*1000*'C0-Ref Stats'!$AA18/0.0001</f>
        <v>1905172.0398154696</v>
      </c>
      <c r="BF21" s="258">
        <v>83100</v>
      </c>
      <c r="BG21" s="258">
        <v>103700</v>
      </c>
      <c r="BH21" s="258">
        <v>191900</v>
      </c>
      <c r="BI21" s="258">
        <v>256000</v>
      </c>
      <c r="BJ21" s="258">
        <v>466000</v>
      </c>
      <c r="BK21" s="258">
        <v>1120000</v>
      </c>
      <c r="BM21" s="258">
        <v>141800</v>
      </c>
      <c r="BN21" s="258">
        <v>239577.63478149686</v>
      </c>
      <c r="BO21" s="1254">
        <f t="shared" si="0"/>
        <v>2.4502293936325996</v>
      </c>
      <c r="BP21" s="1254">
        <f t="shared" si="4"/>
        <v>2.5313659112889035</v>
      </c>
      <c r="BQ21" s="480"/>
      <c r="BR21" s="258">
        <v>215200</v>
      </c>
      <c r="BS21" s="258">
        <v>446087.8258006298</v>
      </c>
      <c r="BT21" s="258">
        <v>298700</v>
      </c>
      <c r="BU21" s="258">
        <v>634138.17517650605</v>
      </c>
      <c r="BV21" s="1254">
        <f t="shared" si="8"/>
        <v>1.9320543396074243</v>
      </c>
      <c r="BW21" s="1254">
        <f t="shared" si="11"/>
        <v>1.890477059871988</v>
      </c>
      <c r="BY21" s="258">
        <v>215400</v>
      </c>
      <c r="BZ21" s="258">
        <v>453415.63260222645</v>
      </c>
      <c r="CA21" s="258">
        <v>299300</v>
      </c>
      <c r="CB21" s="258">
        <v>639739.10379065573</v>
      </c>
      <c r="CC21" s="1254">
        <f t="shared" si="9"/>
        <v>1.9049825746528934</v>
      </c>
      <c r="CD21" s="1254">
        <f t="shared" si="12"/>
        <v>1.8791587002415762</v>
      </c>
      <c r="CF21" s="258">
        <v>156400</v>
      </c>
      <c r="CG21" s="258">
        <v>333987.94001110038</v>
      </c>
      <c r="CH21" s="258">
        <v>201700</v>
      </c>
      <c r="CI21" s="258">
        <v>454320.87848661095</v>
      </c>
      <c r="CJ21" s="1254">
        <f t="shared" si="10"/>
        <v>1.8806904342165578</v>
      </c>
      <c r="CK21" s="1254">
        <f t="shared" si="13"/>
        <v>1.7984296516120708</v>
      </c>
      <c r="CM21" s="1183">
        <v>0.48329023430000001</v>
      </c>
      <c r="CN21" s="1183">
        <v>0.50923655680000002</v>
      </c>
    </row>
    <row r="22" spans="1:92" s="256" customFormat="1" ht="9.75" customHeight="1" x14ac:dyDescent="0.25">
      <c r="A22" s="254">
        <v>1973</v>
      </c>
      <c r="B22" s="258">
        <f>('C1-Incomes'!B21-'C1-Incomes'!C21)/'C0-Ref Stats'!$B19*1000*'C0-Ref Stats'!$AA19/0.9</f>
        <v>31725.355116333085</v>
      </c>
      <c r="C22" s="258">
        <f>('C1-Incomes'!C21-'C1-Incomes'!D21)/'C0-Ref Stats'!$B19*1000*'C0-Ref Stats'!$AA19/0.05</f>
        <v>94548.304648336154</v>
      </c>
      <c r="D22" s="258">
        <f>('C1-Incomes'!D21-'C1-Incomes'!E21)/'C0-Ref Stats'!$B19*1000*'C0-Ref Stats'!$AA19/0.04</f>
        <v>135255.89985048806</v>
      </c>
      <c r="E22" s="258">
        <f>('C1-Incomes'!E21-'C1-Incomes'!F21)/'C0-Ref Stats'!$B19*1000*'C0-Ref Stats'!$AA19/0.005</f>
        <v>225318.57062752842</v>
      </c>
      <c r="F22" s="258">
        <f>('C1-Incomes'!F21-'C1-Incomes'!G21)/'C0-Ref Stats'!$B19*1000*'C0-Ref Stats'!$AA19/0.004</f>
        <v>334699.33496898762</v>
      </c>
      <c r="G22" s="258">
        <f>('C1-Incomes'!G21-'C1-Incomes'!H21)/'C0-Ref Stats'!$B19*1000*'C0-Ref Stats'!$AA19/0.0009</f>
        <v>645366.07070158911</v>
      </c>
      <c r="H22" s="258"/>
      <c r="I22" s="258">
        <f>('C1-Incomes'!J21-'C1-Incomes'!K21)/'C0-Ref Stats'!$R19*1000*'C0-Ref Stats'!$AA19/0.9</f>
        <v>19357.715545888866</v>
      </c>
      <c r="J22" s="258">
        <f>('C1-Incomes'!K21-'C1-Incomes'!L21)/'C0-Ref Stats'!$R19*1000*'C0-Ref Stats'!$AA19/0.05</f>
        <v>52616.210258815008</v>
      </c>
      <c r="K22" s="258">
        <f>('C1-Incomes'!L21-'C1-Incomes'!M21)/'C0-Ref Stats'!$R19*1000*'C0-Ref Stats'!$AA19/0.04</f>
        <v>77488.280323618383</v>
      </c>
      <c r="L22" s="258">
        <f>('C1-Incomes'!M21-'C1-Incomes'!N21)/'C0-Ref Stats'!$R19*1000*'C0-Ref Stats'!$AA19/0.005</f>
        <v>139043.64754495522</v>
      </c>
      <c r="M22" s="258">
        <f>('C1-Incomes'!N21-'C1-Incomes'!O21)/'C0-Ref Stats'!$R19*1000*'C0-Ref Stats'!$AA19/0.004</f>
        <v>238507.11028843289</v>
      </c>
      <c r="N22" s="258">
        <f>('C1-Incomes'!O21-'C1-Incomes'!P21)/'C0-Ref Stats'!$R19*1000*'C0-Ref Stats'!$AA19/0.0009</f>
        <v>613982.52275422728</v>
      </c>
      <c r="O22" s="47"/>
      <c r="P22" s="258">
        <f>('C1-Incomes'!R21-'C1-Incomes'!S21)/'C0-Ref Stats'!$R19*1000*'C0-Ref Stats'!$AA19/0.9</f>
        <v>21663.266910892398</v>
      </c>
      <c r="Q22" s="258">
        <f>('C1-Incomes'!S21-'C1-Incomes'!T21)/'C0-Ref Stats'!$R19*1000*'C0-Ref Stats'!$AA19/0.05</f>
        <v>53455.861493442062</v>
      </c>
      <c r="R22" s="258">
        <f>('C1-Incomes'!T21-'C1-Incomes'!U21)/'C0-Ref Stats'!$R19*1000*'C0-Ref Stats'!$AA19/0.04</f>
        <v>78608.68861976589</v>
      </c>
      <c r="S22" s="258">
        <f>('C1-Incomes'!U21-'C1-Incomes'!V21)/'C0-Ref Stats'!$R19*1000*'C0-Ref Stats'!$AA19/0.005</f>
        <v>141188.91893055459</v>
      </c>
      <c r="T22" s="258">
        <f>('C1-Incomes'!V21-'C1-Incomes'!W21)/'C0-Ref Stats'!$R19*1000*'C0-Ref Stats'!$AA19/0.004</f>
        <v>241130.4245051223</v>
      </c>
      <c r="U22" s="258">
        <f>('C1-Incomes'!W21-'C1-Incomes'!X21)/'C0-Ref Stats'!$R19*1000*'C0-Ref Stats'!$AA19/0.0009</f>
        <v>615427.22609016625</v>
      </c>
      <c r="V22" s="258"/>
      <c r="W22" s="258">
        <f>('C1-Incomes'!Z21-'C1-Incomes'!AA21)/'C0-Ref Stats'!$R19*1000*'C0-Ref Stats'!$AA19/0.9</f>
        <v>21121.274668662518</v>
      </c>
      <c r="X22" s="258">
        <f>('C1-Incomes'!AA21-'C1-Incomes'!AB21)/'C0-Ref Stats'!$R19*1000*'C0-Ref Stats'!$AA19/0.05</f>
        <v>44629.027266690922</v>
      </c>
      <c r="Y22" s="258">
        <f>('C1-Incomes'!AB21-'C1-Incomes'!AC21)/'C0-Ref Stats'!$R19*1000*'C0-Ref Stats'!$AA19/0.04</f>
        <v>63074.991430145128</v>
      </c>
      <c r="Z22" s="258">
        <f>('C1-Incomes'!AC21-'C1-Incomes'!AD21)/'C0-Ref Stats'!$R19*1000*'C0-Ref Stats'!$AA19/0.005</f>
        <v>109363.11218378355</v>
      </c>
      <c r="AA22" s="258">
        <f>('C1-Incomes'!AD21-'C1-Incomes'!AE21)/'C0-Ref Stats'!$R19*1000*'C0-Ref Stats'!$AA19/0.004</f>
        <v>181942.30580951928</v>
      </c>
      <c r="AB22" s="258">
        <f>('C1-Incomes'!AE21-'C1-Incomes'!AF21)/'C0-Ref Stats'!$R19*1000*'C0-Ref Stats'!$AA19/0.0009</f>
        <v>445872.58524868044</v>
      </c>
      <c r="AD22" s="258">
        <f>'C1-Incomes'!C21/'C0-Ref Stats'!$B19*1000*'C0-Ref Stats'!$AA19/0.1</f>
        <v>133909.06818876456</v>
      </c>
      <c r="AE22" s="258">
        <f>'C1-Incomes'!D21/'C0-Ref Stats'!$B19*1000*'C0-Ref Stats'!$AA19/0.05</f>
        <v>173269.83172919299</v>
      </c>
      <c r="AF22" s="258">
        <f>'C1-Incomes'!E21/'C0-Ref Stats'!$B19*1000*'C0-Ref Stats'!$AA19/0.01</f>
        <v>325325.55924401287</v>
      </c>
      <c r="AG22" s="258">
        <f>'C1-Incomes'!F21/'C0-Ref Stats'!$B19*1000*'C0-Ref Stats'!$AA19/0.005</f>
        <v>425332.54786049726</v>
      </c>
      <c r="AH22" s="258">
        <f>'C1-Incomes'!G21/'C0-Ref Stats'!$B19*1000*'C0-Ref Stats'!$AA19/0.001</f>
        <v>787865.39942653617</v>
      </c>
      <c r="AI22" s="258">
        <f>'C1-Incomes'!H21/'C0-Ref Stats'!$B19*1000*'C0-Ref Stats'!$AA19/0.0001</f>
        <v>2070359.3579510611</v>
      </c>
      <c r="AJ22" s="47"/>
      <c r="AK22" s="258">
        <f>'C1-Incomes'!K21/'C0-Ref Stats'!$R19*1000*'C0-Ref Stats'!$AA19/0.1</f>
        <v>82214.32930282531</v>
      </c>
      <c r="AL22" s="258">
        <f>'C1-Incomes'!L21/'C0-Ref Stats'!$R19*1000*'C0-Ref Stats'!$AA19/0.05</f>
        <v>111812.44834683562</v>
      </c>
      <c r="AM22" s="258">
        <f>'C1-Incomes'!M21/'C0-Ref Stats'!$R19*1000*'C0-Ref Stats'!$AA19/0.01</f>
        <v>249109.12043970457</v>
      </c>
      <c r="AN22" s="258">
        <f>'C1-Incomes'!N21/'C0-Ref Stats'!$R19*1000*'C0-Ref Stats'!$AA19/0.005</f>
        <v>359174.59333445382</v>
      </c>
      <c r="AO22" s="258">
        <f>'C1-Incomes'!O21/'C0-Ref Stats'!$R19*1000*'C0-Ref Stats'!$AA19/0.001</f>
        <v>841844.5255185375</v>
      </c>
      <c r="AP22" s="258">
        <f>'C1-Incomes'!P21/'C0-Ref Stats'!$R19*1000*'C0-Ref Stats'!$AA19/0.0001</f>
        <v>2892602.5503973304</v>
      </c>
      <c r="AQ22" s="47"/>
      <c r="AR22" s="258">
        <f>'C1-Incomes'!S21/'C0-Ref Stats'!$R19*1000*'C0-Ref Stats'!$AA19/0.1</f>
        <v>83309.115588015862</v>
      </c>
      <c r="AS22" s="258">
        <f>'C1-Incomes'!T21/'C0-Ref Stats'!$R19*1000*'C0-Ref Stats'!$AA19/0.05</f>
        <v>113162.36968258968</v>
      </c>
      <c r="AT22" s="258">
        <f>'C1-Incomes'!U21/'C0-Ref Stats'!$R19*1000*'C0-Ref Stats'!$AA19/0.01</f>
        <v>251377.09393388487</v>
      </c>
      <c r="AU22" s="258">
        <f>'C1-Incomes'!V21/'C0-Ref Stats'!$R19*1000*'C0-Ref Stats'!$AA19/0.005</f>
        <v>361565.26893721509</v>
      </c>
      <c r="AV22" s="258">
        <f>'C1-Incomes'!W21/'C0-Ref Stats'!$R19*1000*'C0-Ref Stats'!$AA19/0.001</f>
        <v>843304.64666558628</v>
      </c>
      <c r="AW22" s="258">
        <f>'C1-Incomes'!X21/'C0-Ref Stats'!$R19*1000*'C0-Ref Stats'!$AA19/0.0001</f>
        <v>2894201.4318443676</v>
      </c>
      <c r="AX22" s="258"/>
      <c r="AY22" s="258">
        <f>'C1-Incomes'!AA21/'C0-Ref Stats'!$R19*1000*'C0-Ref Stats'!$AA19/0.1</f>
        <v>66342.268391959296</v>
      </c>
      <c r="AZ22" s="258">
        <f>'C1-Incomes'!AB21/'C0-Ref Stats'!$R19*1000*'C0-Ref Stats'!$AA19/0.05</f>
        <v>88055.509517227692</v>
      </c>
      <c r="BA22" s="258">
        <f>'C1-Incomes'!AC21/'C0-Ref Stats'!$R19*1000*'C0-Ref Stats'!$AA19/0.01</f>
        <v>187977.58186555796</v>
      </c>
      <c r="BB22" s="258">
        <f>'C1-Incomes'!AD21/'C0-Ref Stats'!$R19*1000*'C0-Ref Stats'!$AA19/0.005</f>
        <v>266592.05154733238</v>
      </c>
      <c r="BC22" s="258">
        <f>'C1-Incomes'!AE21/'C0-Ref Stats'!$R19*1000*'C0-Ref Stats'!$AA19/0.001</f>
        <v>605191.03449858469</v>
      </c>
      <c r="BD22" s="258">
        <f>'C1-Incomes'!AF21/'C0-Ref Stats'!$R19*1000*'C0-Ref Stats'!$AA19/0.0001</f>
        <v>2039057.0777477233</v>
      </c>
      <c r="BF22" s="258">
        <v>85400</v>
      </c>
      <c r="BG22" s="258">
        <v>107700</v>
      </c>
      <c r="BH22" s="258">
        <v>198100</v>
      </c>
      <c r="BI22" s="258">
        <v>264000</v>
      </c>
      <c r="BJ22" s="258">
        <v>476000</v>
      </c>
      <c r="BK22" s="258">
        <v>1150000</v>
      </c>
      <c r="BM22" s="258">
        <v>150200</v>
      </c>
      <c r="BN22" s="258">
        <v>247724.29282746103</v>
      </c>
      <c r="BO22" s="1254">
        <f t="shared" si="0"/>
        <v>2.5401290862547681</v>
      </c>
      <c r="BP22" s="1254">
        <f t="shared" si="4"/>
        <v>2.5570770620080605</v>
      </c>
      <c r="BQ22" s="480"/>
      <c r="BR22" s="258">
        <v>231600</v>
      </c>
      <c r="BS22" s="258">
        <v>461157.225670074</v>
      </c>
      <c r="BT22" s="258">
        <v>312700</v>
      </c>
      <c r="BU22" s="258">
        <v>648967.90870930022</v>
      </c>
      <c r="BV22" s="1254">
        <f t="shared" si="8"/>
        <v>2.0088987585730016</v>
      </c>
      <c r="BW22" s="1254">
        <f t="shared" si="11"/>
        <v>1.9299132980017</v>
      </c>
      <c r="BY22" s="258">
        <v>231700</v>
      </c>
      <c r="BZ22" s="258">
        <v>469485.04359651217</v>
      </c>
      <c r="CA22" s="258">
        <v>313500</v>
      </c>
      <c r="CB22" s="258">
        <v>655219.30453881214</v>
      </c>
      <c r="CC22" s="1254">
        <f t="shared" si="9"/>
        <v>1.9744094771291096</v>
      </c>
      <c r="CD22" s="1254">
        <f t="shared" si="12"/>
        <v>1.9174196360463243</v>
      </c>
      <c r="CF22" s="258">
        <v>167100</v>
      </c>
      <c r="CG22" s="258">
        <v>361509.51147968549</v>
      </c>
      <c r="CH22" s="258">
        <v>215500</v>
      </c>
      <c r="CI22" s="258">
        <v>493795.38452129049</v>
      </c>
      <c r="CJ22" s="1254">
        <f t="shared" si="10"/>
        <v>1.8595258469000415</v>
      </c>
      <c r="CK22" s="1254">
        <f t="shared" si="13"/>
        <v>1.7743570752015601</v>
      </c>
      <c r="CM22" s="1183">
        <v>0.4858029733</v>
      </c>
      <c r="CN22" s="1183">
        <v>0.5045032653</v>
      </c>
    </row>
    <row r="23" spans="1:92" s="256" customFormat="1" ht="9.75" customHeight="1" x14ac:dyDescent="0.25">
      <c r="A23" s="254">
        <v>1974</v>
      </c>
      <c r="B23" s="258">
        <f>('C1-Incomes'!B22-'C1-Incomes'!C22)/'C0-Ref Stats'!$B20*1000*'C0-Ref Stats'!$AA20/0.9</f>
        <v>30520.287310531974</v>
      </c>
      <c r="C23" s="258">
        <f>('C1-Incomes'!C22-'C1-Incomes'!D22)/'C0-Ref Stats'!$B20*1000*'C0-Ref Stats'!$AA20/0.05</f>
        <v>91597.433562222534</v>
      </c>
      <c r="D23" s="258">
        <f>('C1-Incomes'!D22-'C1-Incomes'!E22)/'C0-Ref Stats'!$B20*1000*'C0-Ref Stats'!$AA20/0.04</f>
        <v>130569.42449214404</v>
      </c>
      <c r="E23" s="258">
        <f>('C1-Incomes'!E22-'C1-Incomes'!F22)/'C0-Ref Stats'!$B20*1000*'C0-Ref Stats'!$AA20/0.005</f>
        <v>219664.25068285965</v>
      </c>
      <c r="F23" s="258">
        <f>('C1-Incomes'!F22-'C1-Incomes'!G22)/'C0-Ref Stats'!$B20*1000*'C0-Ref Stats'!$AA20/0.004</f>
        <v>333748.80389052455</v>
      </c>
      <c r="G23" s="258">
        <f>('C1-Incomes'!G22-'C1-Incomes'!H22)/'C0-Ref Stats'!$B20*1000*'C0-Ref Stats'!$AA20/0.0009</f>
        <v>694797.43175759341</v>
      </c>
      <c r="H23" s="258"/>
      <c r="I23" s="258">
        <f>('C1-Incomes'!J22-'C1-Incomes'!K22)/'C0-Ref Stats'!$R20*1000*'C0-Ref Stats'!$AA20/0.9</f>
        <v>18588.567723269614</v>
      </c>
      <c r="J23" s="258">
        <f>('C1-Incomes'!K22-'C1-Incomes'!L22)/'C0-Ref Stats'!$R20*1000*'C0-Ref Stats'!$AA20/0.05</f>
        <v>51175.809860664755</v>
      </c>
      <c r="K23" s="258">
        <f>('C1-Incomes'!L22-'C1-Incomes'!M22)/'C0-Ref Stats'!$R20*1000*'C0-Ref Stats'!$AA20/0.04</f>
        <v>75042.618308534889</v>
      </c>
      <c r="L23" s="258">
        <f>('C1-Incomes'!M22-'C1-Incomes'!N22)/'C0-Ref Stats'!$R20*1000*'C0-Ref Stats'!$AA20/0.005</f>
        <v>132055.76188328522</v>
      </c>
      <c r="M23" s="258">
        <f>('C1-Incomes'!N22-'C1-Incomes'!O22)/'C0-Ref Stats'!$R20*1000*'C0-Ref Stats'!$AA20/0.004</f>
        <v>218205.6122996902</v>
      </c>
      <c r="N23" s="258">
        <f>('C1-Incomes'!O22-'C1-Incomes'!P22)/'C0-Ref Stats'!$R20*1000*'C0-Ref Stats'!$AA20/0.0009</f>
        <v>573589.29292547074</v>
      </c>
      <c r="O23" s="47"/>
      <c r="P23" s="258">
        <f>('C1-Incomes'!R22-'C1-Incomes'!S22)/'C0-Ref Stats'!$R20*1000*'C0-Ref Stats'!$AA20/0.9</f>
        <v>21030.772614856211</v>
      </c>
      <c r="Q23" s="258">
        <f>('C1-Incomes'!S22-'C1-Incomes'!T22)/'C0-Ref Stats'!$R20*1000*'C0-Ref Stats'!$AA20/0.05</f>
        <v>52058.266362347138</v>
      </c>
      <c r="R23" s="258">
        <f>('C1-Incomes'!T22-'C1-Incomes'!U22)/'C0-Ref Stats'!$R20*1000*'C0-Ref Stats'!$AA20/0.04</f>
        <v>76217.36284061255</v>
      </c>
      <c r="S23" s="258">
        <f>('C1-Incomes'!U22-'C1-Incomes'!V22)/'C0-Ref Stats'!$R20*1000*'C0-Ref Stats'!$AA20/0.005</f>
        <v>133876.66577303247</v>
      </c>
      <c r="T23" s="258">
        <f>('C1-Incomes'!V22-'C1-Incomes'!W22)/'C0-Ref Stats'!$R20*1000*'C0-Ref Stats'!$AA20/0.004</f>
        <v>220144.53809919959</v>
      </c>
      <c r="U23" s="258">
        <f>('C1-Incomes'!W22-'C1-Incomes'!X22)/'C0-Ref Stats'!$R20*1000*'C0-Ref Stats'!$AA20/0.0009</f>
        <v>575847.71734589257</v>
      </c>
      <c r="V23" s="258"/>
      <c r="W23" s="258">
        <f>('C1-Incomes'!Z22-'C1-Incomes'!AA22)/'C0-Ref Stats'!$R20*1000*'C0-Ref Stats'!$AA20/0.9</f>
        <v>20344.266730856358</v>
      </c>
      <c r="X23" s="258">
        <f>('C1-Incomes'!AA22-'C1-Incomes'!AB22)/'C0-Ref Stats'!$R20*1000*'C0-Ref Stats'!$AA20/0.05</f>
        <v>42745.758311116515</v>
      </c>
      <c r="Y23" s="258">
        <f>('C1-Incomes'!AB22-'C1-Incomes'!AC22)/'C0-Ref Stats'!$R20*1000*'C0-Ref Stats'!$AA20/0.04</f>
        <v>60649.824834772415</v>
      </c>
      <c r="Z23" s="258">
        <f>('C1-Incomes'!AC22-'C1-Incomes'!AD22)/'C0-Ref Stats'!$R20*1000*'C0-Ref Stats'!$AA20/0.005</f>
        <v>102098.7628029163</v>
      </c>
      <c r="AA23" s="258">
        <f>('C1-Incomes'!AD22-'C1-Incomes'!AE22)/'C0-Ref Stats'!$R20*1000*'C0-Ref Stats'!$AA20/0.004</f>
        <v>165793.72855646163</v>
      </c>
      <c r="AB23" s="258">
        <f>('C1-Incomes'!AE22-'C1-Incomes'!AF22)/'C0-Ref Stats'!$R20*1000*'C0-Ref Stats'!$AA20/0.0009</f>
        <v>411909.37710513372</v>
      </c>
      <c r="AD23" s="258">
        <f>'C1-Incomes'!C22/'C0-Ref Stats'!$B20*1000*'C0-Ref Stats'!$AA20/0.1</f>
        <v>130900.37257391239</v>
      </c>
      <c r="AE23" s="258">
        <f>'C1-Incomes'!D22/'C0-Ref Stats'!$B20*1000*'C0-Ref Stats'!$AA20/0.05</f>
        <v>170203.31158560221</v>
      </c>
      <c r="AF23" s="258">
        <f>'C1-Incomes'!E22/'C0-Ref Stats'!$B20*1000*'C0-Ref Stats'!$AA20/0.01</f>
        <v>328738.85995943489</v>
      </c>
      <c r="AG23" s="258">
        <f>'C1-Incomes'!F22/'C0-Ref Stats'!$B20*1000*'C0-Ref Stats'!$AA20/0.005</f>
        <v>437813.46923601022</v>
      </c>
      <c r="AH23" s="258">
        <f>'C1-Incomes'!G22/'C0-Ref Stats'!$B20*1000*'C0-Ref Stats'!$AA20/0.001</f>
        <v>854072.13061795256</v>
      </c>
      <c r="AI23" s="258">
        <f>'C1-Incomes'!H22/'C0-Ref Stats'!$B20*1000*'C0-Ref Stats'!$AA20/0.0001</f>
        <v>2287544.420361185</v>
      </c>
      <c r="AJ23" s="47"/>
      <c r="AK23" s="258">
        <f>'C1-Incomes'!K22/'C0-Ref Stats'!$R20*1000*'C0-Ref Stats'!$AA20/0.1</f>
        <v>78690.986116104308</v>
      </c>
      <c r="AL23" s="258">
        <f>'C1-Incomes'!L22/'C0-Ref Stats'!$R20*1000*'C0-Ref Stats'!$AA20/0.05</f>
        <v>106206.16237154386</v>
      </c>
      <c r="AM23" s="258">
        <f>'C1-Incomes'!M22/'C0-Ref Stats'!$R20*1000*'C0-Ref Stats'!$AA20/0.01</f>
        <v>230860.33862357971</v>
      </c>
      <c r="AN23" s="258">
        <f>'C1-Incomes'!N22/'C0-Ref Stats'!$R20*1000*'C0-Ref Stats'!$AA20/0.005</f>
        <v>329664.91536387423</v>
      </c>
      <c r="AO23" s="258">
        <f>'C1-Incomes'!O22/'C0-Ref Stats'!$R20*1000*'C0-Ref Stats'!$AA20/0.001</f>
        <v>775502.12762061052</v>
      </c>
      <c r="AP23" s="258">
        <f>'C1-Incomes'!P22/'C0-Ref Stats'!$R20*1000*'C0-Ref Stats'!$AA20/0.0001</f>
        <v>2592717.6398768681</v>
      </c>
      <c r="AQ23" s="47"/>
      <c r="AR23" s="258">
        <f>'C1-Incomes'!S22/'C0-Ref Stats'!$R20*1000*'C0-Ref Stats'!$AA20/0.1</f>
        <v>79793.899829551432</v>
      </c>
      <c r="AS23" s="258">
        <f>'C1-Incomes'!T22/'C0-Ref Stats'!$R20*1000*'C0-Ref Stats'!$AA20/0.05</f>
        <v>107529.53329675573</v>
      </c>
      <c r="AT23" s="258">
        <f>'C1-Incomes'!U22/'C0-Ref Stats'!$R20*1000*'C0-Ref Stats'!$AA20/0.01</f>
        <v>232778.21512132851</v>
      </c>
      <c r="AU23" s="258">
        <f>'C1-Incomes'!V22/'C0-Ref Stats'!$R20*1000*'C0-Ref Stats'!$AA20/0.005</f>
        <v>331679.7644696245</v>
      </c>
      <c r="AV23" s="258">
        <f>'C1-Incomes'!W22/'C0-Ref Stats'!$R20*1000*'C0-Ref Stats'!$AA20/0.001</f>
        <v>777820.66995132412</v>
      </c>
      <c r="AW23" s="258">
        <f>'C1-Incomes'!X22/'C0-Ref Stats'!$R20*1000*'C0-Ref Stats'!$AA20/0.0001</f>
        <v>2595577.2434002073</v>
      </c>
      <c r="AX23" s="258"/>
      <c r="AY23" s="258">
        <f>'C1-Incomes'!AA22/'C0-Ref Stats'!$R20*1000*'C0-Ref Stats'!$AA20/0.1</f>
        <v>62889.62001866279</v>
      </c>
      <c r="AZ23" s="258">
        <f>'C1-Incomes'!AB22/'C0-Ref Stats'!$R20*1000*'C0-Ref Stats'!$AA20/0.05</f>
        <v>83033.481726209066</v>
      </c>
      <c r="BA23" s="258">
        <f>'C1-Incomes'!AC22/'C0-Ref Stats'!$R20*1000*'C0-Ref Stats'!$AA20/0.01</f>
        <v>172568.10929195565</v>
      </c>
      <c r="BB23" s="258">
        <f>'C1-Incomes'!AD22/'C0-Ref Stats'!$R20*1000*'C0-Ref Stats'!$AA20/0.005</f>
        <v>243037.45578099493</v>
      </c>
      <c r="BC23" s="258">
        <f>'C1-Incomes'!AE22/'C0-Ref Stats'!$R20*1000*'C0-Ref Stats'!$AA20/0.001</f>
        <v>552012.36467912828</v>
      </c>
      <c r="BD23" s="258">
        <f>'C1-Incomes'!AF22/'C0-Ref Stats'!$R20*1000*'C0-Ref Stats'!$AA20/0.0001</f>
        <v>1812939.2528450787</v>
      </c>
      <c r="BF23" s="258">
        <v>82300</v>
      </c>
      <c r="BG23" s="258">
        <v>103700</v>
      </c>
      <c r="BH23" s="258">
        <v>192500</v>
      </c>
      <c r="BI23" s="258">
        <v>258000</v>
      </c>
      <c r="BJ23" s="258">
        <v>495000</v>
      </c>
      <c r="BK23" s="258">
        <v>1270000</v>
      </c>
      <c r="BM23" s="258">
        <v>145400</v>
      </c>
      <c r="BN23" s="258">
        <v>246146.20706787991</v>
      </c>
      <c r="BO23" s="1254">
        <f t="shared" si="0"/>
        <v>2.4432305119142961</v>
      </c>
      <c r="BP23" s="1254">
        <f t="shared" si="4"/>
        <v>2.4129595627658427</v>
      </c>
      <c r="BQ23" s="480"/>
      <c r="BR23" s="258">
        <v>215500</v>
      </c>
      <c r="BS23" s="258">
        <v>434389.12417646119</v>
      </c>
      <c r="BT23" s="258">
        <v>289400</v>
      </c>
      <c r="BU23" s="258">
        <v>614134.44810150715</v>
      </c>
      <c r="BV23" s="1254">
        <f t="shared" si="8"/>
        <v>1.9845167082228856</v>
      </c>
      <c r="BW23" s="1254">
        <f t="shared" si="11"/>
        <v>1.8911897142170082</v>
      </c>
      <c r="BY23" s="258">
        <v>215400</v>
      </c>
      <c r="BZ23" s="258">
        <v>441973.5079468402</v>
      </c>
      <c r="CA23" s="258">
        <v>289800</v>
      </c>
      <c r="CB23" s="258">
        <v>620197.3763882675</v>
      </c>
      <c r="CC23" s="1254">
        <f t="shared" si="9"/>
        <v>1.9506848437485385</v>
      </c>
      <c r="CD23" s="1254">
        <f t="shared" si="12"/>
        <v>1.8771256090709407</v>
      </c>
      <c r="CF23" s="258">
        <v>154000</v>
      </c>
      <c r="CG23" s="258">
        <v>335326.83048326976</v>
      </c>
      <c r="CH23" s="258">
        <v>197400</v>
      </c>
      <c r="CI23" s="258">
        <v>461720.10551187367</v>
      </c>
      <c r="CJ23" s="1254">
        <f t="shared" si="10"/>
        <v>1.8492951627156409</v>
      </c>
      <c r="CK23" s="1254">
        <f t="shared" si="13"/>
        <v>1.746821735780264</v>
      </c>
      <c r="CM23" s="1183">
        <v>0.48930999289999999</v>
      </c>
      <c r="CN23" s="1183">
        <v>0.50605465900000002</v>
      </c>
    </row>
    <row r="24" spans="1:92" s="256" customFormat="1" ht="9.75" customHeight="1" x14ac:dyDescent="0.25">
      <c r="A24" s="254">
        <v>1975</v>
      </c>
      <c r="B24" s="258">
        <f>('C1-Incomes'!B23-'C1-Incomes'!C23)/'C0-Ref Stats'!$B21*1000*'C0-Ref Stats'!$AA21/0.9</f>
        <v>29064.712798583711</v>
      </c>
      <c r="C24" s="258">
        <f>('C1-Incomes'!C23-'C1-Incomes'!D23)/'C0-Ref Stats'!$B21*1000*'C0-Ref Stats'!$AA21/0.05</f>
        <v>90621.935230044619</v>
      </c>
      <c r="D24" s="258">
        <f>('C1-Incomes'!D23-'C1-Incomes'!E23)/'C0-Ref Stats'!$B21*1000*'C0-Ref Stats'!$AA21/0.04</f>
        <v>127729.0536981667</v>
      </c>
      <c r="E24" s="258">
        <f>('C1-Incomes'!E23-'C1-Incomes'!F23)/'C0-Ref Stats'!$B21*1000*'C0-Ref Stats'!$AA21/0.005</f>
        <v>212925.26333072063</v>
      </c>
      <c r="F24" s="258">
        <f>('C1-Incomes'!F23-'C1-Incomes'!G23)/'C0-Ref Stats'!$B21*1000*'C0-Ref Stats'!$AA21/0.004</f>
        <v>321202.48051319353</v>
      </c>
      <c r="G24" s="258">
        <f>('C1-Incomes'!G23-'C1-Incomes'!H23)/'C0-Ref Stats'!$B21*1000*'C0-Ref Stats'!$AA21/0.0009</f>
        <v>638076.56928345852</v>
      </c>
      <c r="H24" s="258"/>
      <c r="I24" s="258">
        <f>('C1-Incomes'!J23-'C1-Incomes'!K23)/'C0-Ref Stats'!$R21*1000*'C0-Ref Stats'!$AA21/0.9</f>
        <v>18409.332283487034</v>
      </c>
      <c r="J24" s="258">
        <f>('C1-Incomes'!K23-'C1-Incomes'!L23)/'C0-Ref Stats'!$R21*1000*'C0-Ref Stats'!$AA21/0.05</f>
        <v>51127.101851703832</v>
      </c>
      <c r="K24" s="258">
        <f>('C1-Incomes'!L23-'C1-Incomes'!M23)/'C0-Ref Stats'!$R21*1000*'C0-Ref Stats'!$AA21/0.04</f>
        <v>74453.403989538478</v>
      </c>
      <c r="L24" s="258">
        <f>('C1-Incomes'!M23-'C1-Incomes'!N23)/'C0-Ref Stats'!$R21*1000*'C0-Ref Stats'!$AA21/0.005</f>
        <v>130177.90386639147</v>
      </c>
      <c r="M24" s="258">
        <f>('C1-Incomes'!N23-'C1-Incomes'!O23)/'C0-Ref Stats'!$R21*1000*'C0-Ref Stats'!$AA21/0.004</f>
        <v>219203.29070885616</v>
      </c>
      <c r="N24" s="258">
        <f>('C1-Incomes'!O23-'C1-Incomes'!P23)/'C0-Ref Stats'!$R21*1000*'C0-Ref Stats'!$AA21/0.0009</f>
        <v>558565.34707770019</v>
      </c>
      <c r="O24" s="47"/>
      <c r="P24" s="258">
        <f>('C1-Incomes'!R23-'C1-Incomes'!S23)/'C0-Ref Stats'!$R21*1000*'C0-Ref Stats'!$AA21/0.9</f>
        <v>21289.456446474589</v>
      </c>
      <c r="Q24" s="258">
        <f>('C1-Incomes'!S23-'C1-Incomes'!T23)/'C0-Ref Stats'!$R21*1000*'C0-Ref Stats'!$AA21/0.05</f>
        <v>52100.683716282423</v>
      </c>
      <c r="R24" s="258">
        <f>('C1-Incomes'!T23-'C1-Incomes'!U23)/'C0-Ref Stats'!$R21*1000*'C0-Ref Stats'!$AA21/0.04</f>
        <v>75665.477288753711</v>
      </c>
      <c r="S24" s="258">
        <f>('C1-Incomes'!U23-'C1-Incomes'!V23)/'C0-Ref Stats'!$R21*1000*'C0-Ref Stats'!$AA21/0.005</f>
        <v>132091.15112992591</v>
      </c>
      <c r="T24" s="258">
        <f>('C1-Incomes'!V23-'C1-Incomes'!W23)/'C0-Ref Stats'!$R21*1000*'C0-Ref Stats'!$AA21/0.004</f>
        <v>221552.46721935982</v>
      </c>
      <c r="U24" s="258">
        <f>('C1-Incomes'!W23-'C1-Incomes'!X23)/'C0-Ref Stats'!$R21*1000*'C0-Ref Stats'!$AA21/0.0009</f>
        <v>560688.6504800861</v>
      </c>
      <c r="V24" s="258"/>
      <c r="W24" s="258">
        <f>('C1-Incomes'!Z23-'C1-Incomes'!AA23)/'C0-Ref Stats'!$R21*1000*'C0-Ref Stats'!$AA21/0.9</f>
        <v>20377.718100446051</v>
      </c>
      <c r="X24" s="258">
        <f>('C1-Incomes'!AA23-'C1-Incomes'!AB23)/'C0-Ref Stats'!$R21*1000*'C0-Ref Stats'!$AA21/0.05</f>
        <v>41702.341822521616</v>
      </c>
      <c r="Y24" s="258">
        <f>('C1-Incomes'!AB23-'C1-Incomes'!AC23)/'C0-Ref Stats'!$R21*1000*'C0-Ref Stats'!$AA21/0.04</f>
        <v>57974.419736532727</v>
      </c>
      <c r="Z24" s="258">
        <f>('C1-Incomes'!AC23-'C1-Incomes'!AD23)/'C0-Ref Stats'!$R21*1000*'C0-Ref Stats'!$AA21/0.005</f>
        <v>96726.870647807518</v>
      </c>
      <c r="AA24" s="258">
        <f>('C1-Incomes'!AD23-'C1-Incomes'!AE23)/'C0-Ref Stats'!$R21*1000*'C0-Ref Stats'!$AA21/0.004</f>
        <v>159505.29587222688</v>
      </c>
      <c r="AB24" s="258">
        <f>('C1-Incomes'!AE23-'C1-Incomes'!AF23)/'C0-Ref Stats'!$R21*1000*'C0-Ref Stats'!$AA21/0.0009</f>
        <v>391568.12699518615</v>
      </c>
      <c r="AD24" s="258">
        <f>'C1-Incomes'!C23/'C0-Ref Stats'!$B21*1000*'C0-Ref Stats'!$AA21/0.1</f>
        <v>127802.37522665517</v>
      </c>
      <c r="AE24" s="258">
        <f>'C1-Incomes'!D23/'C0-Ref Stats'!$B21*1000*'C0-Ref Stats'!$AA21/0.05</f>
        <v>164982.81522326573</v>
      </c>
      <c r="AF24" s="258">
        <f>'C1-Incomes'!E23/'C0-Ref Stats'!$B21*1000*'C0-Ref Stats'!$AA21/0.01</f>
        <v>313997.86132366204</v>
      </c>
      <c r="AG24" s="258">
        <f>'C1-Incomes'!F23/'C0-Ref Stats'!$B21*1000*'C0-Ref Stats'!$AA21/0.005</f>
        <v>415070.45931660361</v>
      </c>
      <c r="AH24" s="258">
        <f>'C1-Incomes'!G23/'C0-Ref Stats'!$B21*1000*'C0-Ref Stats'!$AA21/0.001</f>
        <v>790542.37453024369</v>
      </c>
      <c r="AI24" s="258">
        <f>'C1-Incomes'!H23/'C0-Ref Stats'!$B21*1000*'C0-Ref Stats'!$AA21/0.0001</f>
        <v>2162734.6217513103</v>
      </c>
      <c r="AJ24" s="47"/>
      <c r="AK24" s="258">
        <f>'C1-Incomes'!K23/'C0-Ref Stats'!$R21*1000*'C0-Ref Stats'!$AA21/0.1</f>
        <v>78294.681329167433</v>
      </c>
      <c r="AL24" s="258">
        <f>'C1-Incomes'!L23/'C0-Ref Stats'!$R21*1000*'C0-Ref Stats'!$AA21/0.05</f>
        <v>105462.26080663103</v>
      </c>
      <c r="AM24" s="258">
        <f>'C1-Incomes'!M23/'C0-Ref Stats'!$R21*1000*'C0-Ref Stats'!$AA21/0.01</f>
        <v>229497.68807500121</v>
      </c>
      <c r="AN24" s="258">
        <f>'C1-Incomes'!N23/'C0-Ref Stats'!$R21*1000*'C0-Ref Stats'!$AA21/0.005</f>
        <v>328817.47228361096</v>
      </c>
      <c r="AO24" s="258">
        <f>'C1-Incomes'!O23/'C0-Ref Stats'!$R21*1000*'C0-Ref Stats'!$AA21/0.001</f>
        <v>767274.19858263026</v>
      </c>
      <c r="AP24" s="258">
        <f>'C1-Incomes'!P23/'C0-Ref Stats'!$R21*1000*'C0-Ref Stats'!$AA21/0.0001</f>
        <v>2645653.8621270014</v>
      </c>
      <c r="AQ24" s="47"/>
      <c r="AR24" s="258">
        <f>'C1-Incomes'!S23/'C0-Ref Stats'!$R21*1000*'C0-Ref Stats'!$AA21/0.1</f>
        <v>79478.501601938289</v>
      </c>
      <c r="AS24" s="258">
        <f>'C1-Incomes'!T23/'C0-Ref Stats'!$R21*1000*'C0-Ref Stats'!$AA21/0.05</f>
        <v>106856.31948759417</v>
      </c>
      <c r="AT24" s="258">
        <f>'C1-Incomes'!U23/'C0-Ref Stats'!$R21*1000*'C0-Ref Stats'!$AA21/0.01</f>
        <v>231619.68828295602</v>
      </c>
      <c r="AU24" s="258">
        <f>'C1-Incomes'!V23/'C0-Ref Stats'!$R21*1000*'C0-Ref Stats'!$AA21/0.005</f>
        <v>331148.22543598607</v>
      </c>
      <c r="AV24" s="258">
        <f>'C1-Incomes'!W23/'C0-Ref Stats'!$R21*1000*'C0-Ref Stats'!$AA21/0.001</f>
        <v>769531.25830249104</v>
      </c>
      <c r="AW24" s="258">
        <f>'C1-Incomes'!X23/'C0-Ref Stats'!$R21*1000*'C0-Ref Stats'!$AA21/0.0001</f>
        <v>2649114.7287041363</v>
      </c>
      <c r="AX24" s="258"/>
      <c r="AY24" s="258">
        <f>'C1-Incomes'!AA23/'C0-Ref Stats'!$R21*1000*'C0-Ref Stats'!$AA21/0.1</f>
        <v>60579.274966810604</v>
      </c>
      <c r="AZ24" s="258">
        <f>'C1-Incomes'!AB23/'C0-Ref Stats'!$R21*1000*'C0-Ref Stats'!$AA21/0.05</f>
        <v>79456.208111099579</v>
      </c>
      <c r="BA24" s="258">
        <f>'C1-Incomes'!AC23/'C0-Ref Stats'!$R21*1000*'C0-Ref Stats'!$AA21/0.01</f>
        <v>165383.36160936693</v>
      </c>
      <c r="BB24" s="258">
        <f>'C1-Incomes'!AD23/'C0-Ref Stats'!$R21*1000*'C0-Ref Stats'!$AA21/0.005</f>
        <v>234039.8525709263</v>
      </c>
      <c r="BC24" s="258">
        <f>'C1-Incomes'!AE23/'C0-Ref Stats'!$R21*1000*'C0-Ref Stats'!$AA21/0.001</f>
        <v>532178.07936572412</v>
      </c>
      <c r="BD24" s="258">
        <f>'C1-Incomes'!AF23/'C0-Ref Stats'!$R21*1000*'C0-Ref Stats'!$AA21/0.0001</f>
        <v>1797667.6507005652</v>
      </c>
      <c r="BF24" s="258">
        <v>81500</v>
      </c>
      <c r="BG24" s="258">
        <v>102400</v>
      </c>
      <c r="BH24" s="258">
        <v>186600</v>
      </c>
      <c r="BI24" s="258">
        <v>249000</v>
      </c>
      <c r="BJ24" s="258">
        <v>465000</v>
      </c>
      <c r="BK24" s="258">
        <v>1160000</v>
      </c>
      <c r="BM24" s="258">
        <v>140600</v>
      </c>
      <c r="BN24" s="258">
        <v>236340.10247377082</v>
      </c>
      <c r="BO24" s="1254">
        <f t="shared" si="0"/>
        <v>2.468559113340401</v>
      </c>
      <c r="BP24" s="1254">
        <f t="shared" si="4"/>
        <v>2.4647027670733914</v>
      </c>
      <c r="BQ24" s="480"/>
      <c r="BR24" s="258">
        <v>213700</v>
      </c>
      <c r="BS24" s="258">
        <v>424245.17087309679</v>
      </c>
      <c r="BT24" s="258">
        <v>290900</v>
      </c>
      <c r="BU24" s="258">
        <v>595285.91363116237</v>
      </c>
      <c r="BV24" s="1254">
        <f t="shared" si="8"/>
        <v>2.014984096352439</v>
      </c>
      <c r="BW24" s="1254">
        <f t="shared" si="11"/>
        <v>1.9556946855053752</v>
      </c>
      <c r="BY24" s="258">
        <v>213700</v>
      </c>
      <c r="BZ24" s="258">
        <v>432696.0801521875</v>
      </c>
      <c r="CA24" s="258">
        <v>291100</v>
      </c>
      <c r="CB24" s="258">
        <v>601805.23530448158</v>
      </c>
      <c r="CC24" s="1254">
        <f t="shared" si="9"/>
        <v>1.9758165527505924</v>
      </c>
      <c r="CD24" s="1254">
        <f t="shared" si="12"/>
        <v>1.9369008530375451</v>
      </c>
      <c r="CF24" s="258">
        <v>160800</v>
      </c>
      <c r="CG24" s="258">
        <v>321243.4370204467</v>
      </c>
      <c r="CH24" s="258">
        <v>204200</v>
      </c>
      <c r="CI24" s="258">
        <v>433508.32711799949</v>
      </c>
      <c r="CJ24" s="1254">
        <f t="shared" si="10"/>
        <v>2.0022223593945316</v>
      </c>
      <c r="CK24" s="1254">
        <f t="shared" si="13"/>
        <v>1.8905040761774037</v>
      </c>
      <c r="CM24" s="1183">
        <v>0.50052942840000003</v>
      </c>
      <c r="CN24" s="1183">
        <v>0.51663399259999998</v>
      </c>
    </row>
    <row r="25" spans="1:92" s="256" customFormat="1" ht="9.75" customHeight="1" x14ac:dyDescent="0.25">
      <c r="A25" s="254">
        <v>1976</v>
      </c>
      <c r="B25" s="258">
        <f>('C1-Incomes'!B24-'C1-Incomes'!C24)/'C0-Ref Stats'!$B22*1000*'C0-Ref Stats'!$AA22/0.9</f>
        <v>30007.09695734363</v>
      </c>
      <c r="C25" s="258">
        <f>('C1-Incomes'!C24-'C1-Incomes'!D24)/'C0-Ref Stats'!$B22*1000*'C0-Ref Stats'!$AA22/0.05</f>
        <v>92867.530323981802</v>
      </c>
      <c r="D25" s="258">
        <f>('C1-Incomes'!D24-'C1-Incomes'!E24)/'C0-Ref Stats'!$B22*1000*'C0-Ref Stats'!$AA22/0.04</f>
        <v>130690.9418199753</v>
      </c>
      <c r="E25" s="258">
        <f>('C1-Incomes'!E24-'C1-Incomes'!F24)/'C0-Ref Stats'!$B22*1000*'C0-Ref Stats'!$AA22/0.005</f>
        <v>215815.28085501509</v>
      </c>
      <c r="F25" s="258">
        <f>('C1-Incomes'!F24-'C1-Incomes'!G24)/'C0-Ref Stats'!$B22*1000*'C0-Ref Stats'!$AA22/0.004</f>
        <v>323578.84973910678</v>
      </c>
      <c r="G25" s="258">
        <f>('C1-Incomes'!G24-'C1-Incomes'!H24)/'C0-Ref Stats'!$B22*1000*'C0-Ref Stats'!$AA22/0.0009</f>
        <v>645711.28365589993</v>
      </c>
      <c r="H25" s="258"/>
      <c r="I25" s="258">
        <f>('C1-Incomes'!J24-'C1-Incomes'!K24)/'C0-Ref Stats'!$R22*1000*'C0-Ref Stats'!$AA22/0.9</f>
        <v>19171.277373920002</v>
      </c>
      <c r="J25" s="258">
        <f>('C1-Incomes'!K24-'C1-Incomes'!L24)/'C0-Ref Stats'!$R22*1000*'C0-Ref Stats'!$AA22/0.05</f>
        <v>53566.074272261831</v>
      </c>
      <c r="K25" s="258">
        <f>('C1-Incomes'!L24-'C1-Incomes'!M24)/'C0-Ref Stats'!$R22*1000*'C0-Ref Stats'!$AA22/0.04</f>
        <v>77008.473088267783</v>
      </c>
      <c r="L25" s="258">
        <f>('C1-Incomes'!M24-'C1-Incomes'!N24)/'C0-Ref Stats'!$R22*1000*'C0-Ref Stats'!$AA22/0.005</f>
        <v>135813.89236903333</v>
      </c>
      <c r="M25" s="258">
        <f>('C1-Incomes'!N24-'C1-Incomes'!O24)/'C0-Ref Stats'!$R22*1000*'C0-Ref Stats'!$AA22/0.004</f>
        <v>225981.46173811247</v>
      </c>
      <c r="N25" s="258">
        <f>('C1-Incomes'!O24-'C1-Incomes'!P24)/'C0-Ref Stats'!$R22*1000*'C0-Ref Stats'!$AA22/0.0009</f>
        <v>586747.46957254119</v>
      </c>
      <c r="O25" s="47"/>
      <c r="P25" s="258">
        <f>('C1-Incomes'!R24-'C1-Incomes'!S24)/'C0-Ref Stats'!$R22*1000*'C0-Ref Stats'!$AA22/0.9</f>
        <v>22090.438697858153</v>
      </c>
      <c r="Q25" s="258">
        <f>('C1-Incomes'!S24-'C1-Incomes'!T24)/'C0-Ref Stats'!$R22*1000*'C0-Ref Stats'!$AA22/0.05</f>
        <v>54621.797075469884</v>
      </c>
      <c r="R25" s="258">
        <f>('C1-Incomes'!T24-'C1-Incomes'!U24)/'C0-Ref Stats'!$R22*1000*'C0-Ref Stats'!$AA22/0.04</f>
        <v>78456.702267059198</v>
      </c>
      <c r="S25" s="258">
        <f>('C1-Incomes'!U24-'C1-Incomes'!V24)/'C0-Ref Stats'!$R22*1000*'C0-Ref Stats'!$AA22/0.005</f>
        <v>138137.27376140226</v>
      </c>
      <c r="T25" s="258">
        <f>('C1-Incomes'!V24-'C1-Incomes'!W24)/'C0-Ref Stats'!$R22*1000*'C0-Ref Stats'!$AA22/0.004</f>
        <v>228672.14115088893</v>
      </c>
      <c r="U25" s="258">
        <f>('C1-Incomes'!W24-'C1-Incomes'!X24)/'C0-Ref Stats'!$R22*1000*'C0-Ref Stats'!$AA22/0.0009</f>
        <v>589195.87304041942</v>
      </c>
      <c r="V25" s="258"/>
      <c r="W25" s="258">
        <f>('C1-Incomes'!Z24-'C1-Incomes'!AA24)/'C0-Ref Stats'!$R22*1000*'C0-Ref Stats'!$AA22/0.9</f>
        <v>21185.444308600614</v>
      </c>
      <c r="X25" s="258">
        <f>('C1-Incomes'!AA24-'C1-Incomes'!AB24)/'C0-Ref Stats'!$R22*1000*'C0-Ref Stats'!$AA22/0.05</f>
        <v>43756.445640360493</v>
      </c>
      <c r="Y25" s="258">
        <f>('C1-Incomes'!AB24-'C1-Incomes'!AC24)/'C0-Ref Stats'!$R22*1000*'C0-Ref Stats'!$AA22/0.04</f>
        <v>60465.234291482884</v>
      </c>
      <c r="Z25" s="258">
        <f>('C1-Incomes'!AC24-'C1-Incomes'!AD24)/'C0-Ref Stats'!$R22*1000*'C0-Ref Stats'!$AA22/0.005</f>
        <v>102232.02035347323</v>
      </c>
      <c r="AA25" s="258">
        <f>('C1-Incomes'!AD24-'C1-Incomes'!AE24)/'C0-Ref Stats'!$R22*1000*'C0-Ref Stats'!$AA22/0.004</f>
        <v>166384.05272720684</v>
      </c>
      <c r="AB25" s="258">
        <f>('C1-Incomes'!AE24-'C1-Incomes'!AF24)/'C0-Ref Stats'!$R22*1000*'C0-Ref Stats'!$AA22/0.0009</f>
        <v>407179.93899544171</v>
      </c>
      <c r="AD25" s="258">
        <f>'C1-Incomes'!C24/'C0-Ref Stats'!$B22*1000*'C0-Ref Stats'!$AA22/0.1</f>
        <v>130483.94383229456</v>
      </c>
      <c r="AE25" s="258">
        <f>'C1-Incomes'!D24/'C0-Ref Stats'!$B22*1000*'C0-Ref Stats'!$AA22/0.05</f>
        <v>168100.35734060733</v>
      </c>
      <c r="AF25" s="258">
        <f>'C1-Incomes'!E24/'C0-Ref Stats'!$B22*1000*'C0-Ref Stats'!$AA22/0.01</f>
        <v>317738.01942313561</v>
      </c>
      <c r="AG25" s="258">
        <f>'C1-Incomes'!F24/'C0-Ref Stats'!$B22*1000*'C0-Ref Stats'!$AA22/0.005</f>
        <v>419660.75799125602</v>
      </c>
      <c r="AH25" s="258">
        <f>'C1-Incomes'!G24/'C0-Ref Stats'!$B22*1000*'C0-Ref Stats'!$AA22/0.001</f>
        <v>803988.39099985303</v>
      </c>
      <c r="AI25" s="258">
        <f>'C1-Incomes'!H24/'C0-Ref Stats'!$B22*1000*'C0-Ref Stats'!$AA22/0.0001</f>
        <v>2228482.3570954306</v>
      </c>
      <c r="AJ25" s="47"/>
      <c r="AK25" s="258">
        <f>'C1-Incomes'!K24/'C0-Ref Stats'!$R22*1000*'C0-Ref Stats'!$AA22/0.1</f>
        <v>81544.501090794438</v>
      </c>
      <c r="AL25" s="258">
        <f>'C1-Incomes'!L24/'C0-Ref Stats'!$R22*1000*'C0-Ref Stats'!$AA22/0.05</f>
        <v>109522.92790932705</v>
      </c>
      <c r="AM25" s="258">
        <f>'C1-Incomes'!M24/'C0-Ref Stats'!$R22*1000*'C0-Ref Stats'!$AA22/0.01</f>
        <v>239580.74719356417</v>
      </c>
      <c r="AN25" s="258">
        <f>'C1-Incomes'!N24/'C0-Ref Stats'!$R22*1000*'C0-Ref Stats'!$AA22/0.005</f>
        <v>343347.60201809503</v>
      </c>
      <c r="AO25" s="258">
        <f>'C1-Incomes'!O24/'C0-Ref Stats'!$R22*1000*'C0-Ref Stats'!$AA22/0.001</f>
        <v>812812.16313802521</v>
      </c>
      <c r="AP25" s="258">
        <f>'C1-Incomes'!P24/'C0-Ref Stats'!$R22*1000*'C0-Ref Stats'!$AA22/0.0001</f>
        <v>2847394.4052273822</v>
      </c>
      <c r="AQ25" s="47"/>
      <c r="AR25" s="258">
        <f>'C1-Incomes'!S24/'C0-Ref Stats'!$R22*1000*'C0-Ref Stats'!$AA22/0.1</f>
        <v>82900.263680163785</v>
      </c>
      <c r="AS25" s="258">
        <f>'C1-Incomes'!T24/'C0-Ref Stats'!$R22*1000*'C0-Ref Stats'!$AA22/0.05</f>
        <v>111178.73028485768</v>
      </c>
      <c r="AT25" s="258">
        <f>'C1-Incomes'!U24/'C0-Ref Stats'!$R22*1000*'C0-Ref Stats'!$AA22/0.01</f>
        <v>242066.84235605167</v>
      </c>
      <c r="AU25" s="258">
        <f>'C1-Incomes'!V24/'C0-Ref Stats'!$R22*1000*'C0-Ref Stats'!$AA22/0.005</f>
        <v>345996.4109507011</v>
      </c>
      <c r="AV25" s="258">
        <f>'C1-Incomes'!W24/'C0-Ref Stats'!$R22*1000*'C0-Ref Stats'!$AA22/0.001</f>
        <v>815293.49014994979</v>
      </c>
      <c r="AW25" s="258">
        <f>'C1-Incomes'!X24/'C0-Ref Stats'!$R22*1000*'C0-Ref Stats'!$AA22/0.0001</f>
        <v>2850172.0441357233</v>
      </c>
      <c r="AX25" s="258"/>
      <c r="AY25" s="258">
        <f>'C1-Incomes'!AA24/'C0-Ref Stats'!$R22*1000*'C0-Ref Stats'!$AA22/0.1</f>
        <v>63416.698940164606</v>
      </c>
      <c r="AZ25" s="258">
        <f>'C1-Incomes'!AB24/'C0-Ref Stats'!$R22*1000*'C0-Ref Stats'!$AA22/0.05</f>
        <v>83076.952239968712</v>
      </c>
      <c r="BA25" s="258">
        <f>'C1-Incomes'!AC24/'C0-Ref Stats'!$R22*1000*'C0-Ref Stats'!$AA22/0.01</f>
        <v>173523.82403391213</v>
      </c>
      <c r="BB25" s="258">
        <f>'C1-Incomes'!AD24/'C0-Ref Stats'!$R22*1000*'C0-Ref Stats'!$AA22/0.005</f>
        <v>244815.62771435091</v>
      </c>
      <c r="BC25" s="258">
        <f>'C1-Incomes'!AE24/'C0-Ref Stats'!$R22*1000*'C0-Ref Stats'!$AA22/0.001</f>
        <v>558541.92766292742</v>
      </c>
      <c r="BD25" s="258">
        <f>'C1-Incomes'!AF24/'C0-Ref Stats'!$R22*1000*'C0-Ref Stats'!$AA22/0.0001</f>
        <v>1920799.8256702984</v>
      </c>
      <c r="BF25" s="258">
        <v>83800</v>
      </c>
      <c r="BG25" s="258">
        <v>105100</v>
      </c>
      <c r="BH25" s="258">
        <v>189300</v>
      </c>
      <c r="BI25" s="258">
        <v>253000</v>
      </c>
      <c r="BJ25" s="258">
        <v>469000</v>
      </c>
      <c r="BK25" s="258">
        <v>1180000</v>
      </c>
      <c r="BM25" s="258">
        <v>143700</v>
      </c>
      <c r="BN25" s="258">
        <v>240053.40531917123</v>
      </c>
      <c r="BO25" s="1254">
        <f t="shared" si="0"/>
        <v>2.4913847572277588</v>
      </c>
      <c r="BP25" s="1254">
        <f t="shared" si="4"/>
        <v>2.4738626525869742</v>
      </c>
      <c r="BQ25" s="480"/>
      <c r="BR25" s="258">
        <v>219000</v>
      </c>
      <c r="BS25" s="258">
        <v>434908.54597459384</v>
      </c>
      <c r="BT25" s="258">
        <v>295200</v>
      </c>
      <c r="BU25" s="258">
        <v>610584.28794021031</v>
      </c>
      <c r="BV25" s="1254">
        <f t="shared" si="8"/>
        <v>2.0143183495190131</v>
      </c>
      <c r="BW25" s="1254">
        <f t="shared" si="11"/>
        <v>1.9360009717921118</v>
      </c>
      <c r="BY25" s="258">
        <v>219200</v>
      </c>
      <c r="BZ25" s="258">
        <v>443901.74757527915</v>
      </c>
      <c r="CA25" s="258">
        <v>296100</v>
      </c>
      <c r="CB25" s="258">
        <v>617548.97495991085</v>
      </c>
      <c r="CC25" s="1254">
        <f t="shared" si="9"/>
        <v>1.9755153325034289</v>
      </c>
      <c r="CD25" s="1254">
        <f t="shared" si="12"/>
        <v>1.921141528097664</v>
      </c>
      <c r="CF25" s="258">
        <v>154300</v>
      </c>
      <c r="CG25" s="258">
        <v>324628.26237299835</v>
      </c>
      <c r="CH25" s="258">
        <v>198600</v>
      </c>
      <c r="CI25" s="258">
        <v>442361.54595347785</v>
      </c>
      <c r="CJ25" s="1254">
        <f t="shared" si="10"/>
        <v>1.9058978107937343</v>
      </c>
      <c r="CK25" s="1254">
        <f t="shared" si="13"/>
        <v>1.814730638596717</v>
      </c>
      <c r="CM25" s="1183">
        <v>0.49673494670000001</v>
      </c>
      <c r="CN25" s="1183">
        <v>0.51185653470000003</v>
      </c>
    </row>
    <row r="26" spans="1:92" s="256" customFormat="1" ht="9.75" customHeight="1" x14ac:dyDescent="0.25">
      <c r="A26" s="254">
        <v>1977</v>
      </c>
      <c r="B26" s="258">
        <f>('C1-Incomes'!B25-'C1-Incomes'!C25)/'C0-Ref Stats'!$B23*1000*'C0-Ref Stats'!$AA23/0.9</f>
        <v>30299.659067939629</v>
      </c>
      <c r="C26" s="258">
        <f>('C1-Incomes'!C25-'C1-Incomes'!D25)/'C0-Ref Stats'!$B23*1000*'C0-Ref Stats'!$AA23/0.05</f>
        <v>93992.927389166143</v>
      </c>
      <c r="D26" s="258">
        <f>('C1-Incomes'!D25-'C1-Incomes'!E25)/'C0-Ref Stats'!$B23*1000*'C0-Ref Stats'!$AA23/0.04</f>
        <v>132012.1828353701</v>
      </c>
      <c r="E26" s="258">
        <f>('C1-Incomes'!E25-'C1-Incomes'!F25)/'C0-Ref Stats'!$B23*1000*'C0-Ref Stats'!$AA23/0.005</f>
        <v>217698.14150639335</v>
      </c>
      <c r="F26" s="258">
        <f>('C1-Incomes'!F25-'C1-Incomes'!G25)/'C0-Ref Stats'!$B23*1000*'C0-Ref Stats'!$AA23/0.004</f>
        <v>328081.80586063024</v>
      </c>
      <c r="G26" s="258">
        <f>('C1-Incomes'!G25-'C1-Incomes'!H25)/'C0-Ref Stats'!$B23*1000*'C0-Ref Stats'!$AA23/0.0009</f>
        <v>663252.49596926779</v>
      </c>
      <c r="H26" s="258"/>
      <c r="I26" s="258">
        <f>('C1-Incomes'!J25-'C1-Incomes'!K25)/'C0-Ref Stats'!$R23*1000*'C0-Ref Stats'!$AA23/0.9</f>
        <v>20196.221828393573</v>
      </c>
      <c r="J26" s="258">
        <f>('C1-Incomes'!K25-'C1-Incomes'!L25)/'C0-Ref Stats'!$R23*1000*'C0-Ref Stats'!$AA23/0.05</f>
        <v>55103.768966758311</v>
      </c>
      <c r="K26" s="258">
        <f>('C1-Incomes'!L25-'C1-Incomes'!M25)/'C0-Ref Stats'!$R23*1000*'C0-Ref Stats'!$AA23/0.04</f>
        <v>80443.244307251385</v>
      </c>
      <c r="L26" s="258">
        <f>('C1-Incomes'!M25-'C1-Incomes'!N25)/'C0-Ref Stats'!$R23*1000*'C0-Ref Stats'!$AA23/0.005</f>
        <v>141316.12401955493</v>
      </c>
      <c r="M26" s="258">
        <f>('C1-Incomes'!N25-'C1-Incomes'!O25)/'C0-Ref Stats'!$R23*1000*'C0-Ref Stats'!$AA23/0.004</f>
        <v>239490.90276844759</v>
      </c>
      <c r="N26" s="258">
        <f>('C1-Incomes'!O25-'C1-Incomes'!P25)/'C0-Ref Stats'!$R23*1000*'C0-Ref Stats'!$AA23/0.0009</f>
        <v>624324.84800390026</v>
      </c>
      <c r="O26" s="47"/>
      <c r="P26" s="258">
        <f>('C1-Incomes'!R25-'C1-Incomes'!S25)/'C0-Ref Stats'!$R23*1000*'C0-Ref Stats'!$AA23/0.9</f>
        <v>23128.323190479972</v>
      </c>
      <c r="Q26" s="258">
        <f>('C1-Incomes'!S25-'C1-Incomes'!T25)/'C0-Ref Stats'!$R23*1000*'C0-Ref Stats'!$AA23/0.05</f>
        <v>56224.038002614405</v>
      </c>
      <c r="R26" s="258">
        <f>('C1-Incomes'!T25-'C1-Incomes'!U25)/'C0-Ref Stats'!$R23*1000*'C0-Ref Stats'!$AA23/0.04</f>
        <v>81875.814793353755</v>
      </c>
      <c r="S26" s="258">
        <f>('C1-Incomes'!U25-'C1-Incomes'!V25)/'C0-Ref Stats'!$R23*1000*'C0-Ref Stats'!$AA23/0.005</f>
        <v>143810.91903238458</v>
      </c>
      <c r="T26" s="258">
        <f>('C1-Incomes'!V25-'C1-Incomes'!W25)/'C0-Ref Stats'!$R23*1000*'C0-Ref Stats'!$AA23/0.004</f>
        <v>241935.96265140935</v>
      </c>
      <c r="U26" s="258">
        <f>('C1-Incomes'!W25-'C1-Incomes'!X25)/'C0-Ref Stats'!$R23*1000*'C0-Ref Stats'!$AA23/0.0009</f>
        <v>627356.7236596978</v>
      </c>
      <c r="V26" s="258"/>
      <c r="W26" s="258">
        <f>('C1-Incomes'!Z25-'C1-Incomes'!AA25)/'C0-Ref Stats'!$R23*1000*'C0-Ref Stats'!$AA23/0.9</f>
        <v>22190.712104320282</v>
      </c>
      <c r="X26" s="258">
        <f>('C1-Incomes'!AA25-'C1-Incomes'!AB25)/'C0-Ref Stats'!$R23*1000*'C0-Ref Stats'!$AA23/0.05</f>
        <v>45361.300843346304</v>
      </c>
      <c r="Y26" s="258">
        <f>('C1-Incomes'!AB25-'C1-Incomes'!AC25)/'C0-Ref Stats'!$R23*1000*'C0-Ref Stats'!$AA23/0.04</f>
        <v>63454.934989802961</v>
      </c>
      <c r="Z26" s="258">
        <f>('C1-Incomes'!AC25-'C1-Incomes'!AD25)/'C0-Ref Stats'!$R23*1000*'C0-Ref Stats'!$AA23/0.005</f>
        <v>109423.62326434669</v>
      </c>
      <c r="AA26" s="258">
        <f>('C1-Incomes'!AD25-'C1-Incomes'!AE25)/'C0-Ref Stats'!$R23*1000*'C0-Ref Stats'!$AA23/0.004</f>
        <v>181552.54695448038</v>
      </c>
      <c r="AB26" s="258">
        <f>('C1-Incomes'!AE25-'C1-Incomes'!AF25)/'C0-Ref Stats'!$R23*1000*'C0-Ref Stats'!$AA23/0.0009</f>
        <v>458735.50473212922</v>
      </c>
      <c r="AD26" s="258">
        <f>'C1-Incomes'!C25/'C0-Ref Stats'!$B23*1000*'C0-Ref Stats'!$AA23/0.1</f>
        <v>132053.67703710689</v>
      </c>
      <c r="AE26" s="258">
        <f>'C1-Incomes'!D25/'C0-Ref Stats'!$B23*1000*'C0-Ref Stats'!$AA23/0.05</f>
        <v>170114.4266850476</v>
      </c>
      <c r="AF26" s="258">
        <f>'C1-Incomes'!E25/'C0-Ref Stats'!$B23*1000*'C0-Ref Stats'!$AA23/0.01</f>
        <v>322523.40208375774</v>
      </c>
      <c r="AG26" s="258">
        <f>'C1-Incomes'!F25/'C0-Ref Stats'!$B23*1000*'C0-Ref Stats'!$AA23/0.005</f>
        <v>427348.66266112204</v>
      </c>
      <c r="AH26" s="258">
        <f>'C1-Incomes'!G25/'C0-Ref Stats'!$B23*1000*'C0-Ref Stats'!$AA23/0.001</f>
        <v>824416.0898630895</v>
      </c>
      <c r="AI26" s="258">
        <f>'C1-Incomes'!H25/'C0-Ref Stats'!$B23*1000*'C0-Ref Stats'!$AA23/0.0001</f>
        <v>2274888.4349074848</v>
      </c>
      <c r="AJ26" s="47"/>
      <c r="AK26" s="258">
        <f>'C1-Incomes'!K25/'C0-Ref Stats'!$R23*1000*'C0-Ref Stats'!$AA23/0.1</f>
        <v>85049.808404697847</v>
      </c>
      <c r="AL26" s="258">
        <f>'C1-Incomes'!L25/'C0-Ref Stats'!$R23*1000*'C0-Ref Stats'!$AA23/0.05</f>
        <v>114995.84784263738</v>
      </c>
      <c r="AM26" s="258">
        <f>'C1-Incomes'!M25/'C0-Ref Stats'!$R23*1000*'C0-Ref Stats'!$AA23/0.01</f>
        <v>253206.2619841813</v>
      </c>
      <c r="AN26" s="258">
        <f>'C1-Incomes'!N25/'C0-Ref Stats'!$R23*1000*'C0-Ref Stats'!$AA23/0.005</f>
        <v>365096.39994880767</v>
      </c>
      <c r="AO26" s="258">
        <f>'C1-Incomes'!O25/'C0-Ref Stats'!$R23*1000*'C0-Ref Stats'!$AA23/0.001</f>
        <v>867518.38867024786</v>
      </c>
      <c r="AP26" s="258">
        <f>'C1-Incomes'!P25/'C0-Ref Stats'!$R23*1000*'C0-Ref Stats'!$AA23/0.0001</f>
        <v>3056260.2546673766</v>
      </c>
      <c r="AQ26" s="47"/>
      <c r="AR26" s="258">
        <f>'C1-Incomes'!S25/'C0-Ref Stats'!$R23*1000*'C0-Ref Stats'!$AA23/0.1</f>
        <v>86435.705241953518</v>
      </c>
      <c r="AS26" s="258">
        <f>'C1-Incomes'!T25/'C0-Ref Stats'!$R23*1000*'C0-Ref Stats'!$AA23/0.05</f>
        <v>116647.37248129262</v>
      </c>
      <c r="AT26" s="258">
        <f>'C1-Incomes'!U25/'C0-Ref Stats'!$R23*1000*'C0-Ref Stats'!$AA23/0.01</f>
        <v>255733.60323304814</v>
      </c>
      <c r="AU26" s="258">
        <f>'C1-Incomes'!V25/'C0-Ref Stats'!$R23*1000*'C0-Ref Stats'!$AA23/0.005</f>
        <v>367656.28743371164</v>
      </c>
      <c r="AV26" s="258">
        <f>'C1-Incomes'!W25/'C0-Ref Stats'!$R23*1000*'C0-Ref Stats'!$AA23/0.001</f>
        <v>870537.58656292094</v>
      </c>
      <c r="AW26" s="258">
        <f>'C1-Incomes'!X25/'C0-Ref Stats'!$R23*1000*'C0-Ref Stats'!$AA23/0.0001</f>
        <v>3059165.3526919279</v>
      </c>
      <c r="AX26" s="258"/>
      <c r="AY26" s="258">
        <f>'C1-Incomes'!AA25/'C0-Ref Stats'!$R23*1000*'C0-Ref Stats'!$AA23/0.1</f>
        <v>67099.323574977796</v>
      </c>
      <c r="AZ26" s="258">
        <f>'C1-Incomes'!AB25/'C0-Ref Stats'!$R23*1000*'C0-Ref Stats'!$AA23/0.05</f>
        <v>88837.346306609295</v>
      </c>
      <c r="BA26" s="258">
        <f>'C1-Incomes'!AC25/'C0-Ref Stats'!$R23*1000*'C0-Ref Stats'!$AA23/0.01</f>
        <v>190366.99157383459</v>
      </c>
      <c r="BB26" s="258">
        <f>'C1-Incomes'!AD25/'C0-Ref Stats'!$R23*1000*'C0-Ref Stats'!$AA23/0.005</f>
        <v>271310.35988332244</v>
      </c>
      <c r="BC26" s="258">
        <f>'C1-Incomes'!AE25/'C0-Ref Stats'!$R23*1000*'C0-Ref Stats'!$AA23/0.001</f>
        <v>630341.61159869086</v>
      </c>
      <c r="BD26" s="258">
        <f>'C1-Incomes'!AF25/'C0-Ref Stats'!$R23*1000*'C0-Ref Stats'!$AA23/0.0001</f>
        <v>2174796.5733977449</v>
      </c>
      <c r="BF26" s="258">
        <v>84600</v>
      </c>
      <c r="BG26" s="258">
        <v>106300</v>
      </c>
      <c r="BH26" s="258">
        <v>190900</v>
      </c>
      <c r="BI26" s="258">
        <v>254000</v>
      </c>
      <c r="BJ26" s="258">
        <v>477000</v>
      </c>
      <c r="BK26" s="258">
        <v>1210000</v>
      </c>
      <c r="BM26" s="258">
        <v>145300</v>
      </c>
      <c r="BN26" s="258">
        <v>243211.77420454327</v>
      </c>
      <c r="BO26" s="1254">
        <f t="shared" si="0"/>
        <v>2.4839890419763004</v>
      </c>
      <c r="BP26" s="1254">
        <f t="shared" si="4"/>
        <v>2.4503499907905586</v>
      </c>
      <c r="BQ26" s="480"/>
      <c r="BR26" s="258">
        <v>229100</v>
      </c>
      <c r="BS26" s="258">
        <v>451246.50528981554</v>
      </c>
      <c r="BT26" s="258">
        <v>303000</v>
      </c>
      <c r="BU26" s="258">
        <v>635420.23782940139</v>
      </c>
      <c r="BV26" s="1254">
        <f t="shared" si="8"/>
        <v>2.0313013913998459</v>
      </c>
      <c r="BW26" s="1254">
        <f t="shared" si="11"/>
        <v>1.9114968510295698</v>
      </c>
      <c r="BY26" s="258">
        <v>229100</v>
      </c>
      <c r="BZ26" s="258">
        <v>460555.38141905976</v>
      </c>
      <c r="CA26" s="258">
        <v>303300</v>
      </c>
      <c r="CB26" s="258">
        <v>643006.89099696034</v>
      </c>
      <c r="CC26" s="1254">
        <f t="shared" si="9"/>
        <v>1.9898236048580127</v>
      </c>
      <c r="CD26" s="1254">
        <f t="shared" si="12"/>
        <v>1.8928285178728208</v>
      </c>
      <c r="CF26" s="258">
        <v>164500</v>
      </c>
      <c r="CG26" s="258">
        <v>350106.49929645855</v>
      </c>
      <c r="CH26" s="258">
        <v>208000</v>
      </c>
      <c r="CI26" s="258">
        <v>478613.55655754969</v>
      </c>
      <c r="CJ26" s="1254">
        <f t="shared" si="10"/>
        <v>1.8862836195043668</v>
      </c>
      <c r="CK26" s="1254">
        <f t="shared" si="13"/>
        <v>1.768623725455402</v>
      </c>
      <c r="CM26" s="1183">
        <v>0.49732063209999999</v>
      </c>
      <c r="CN26" s="1183">
        <v>0.5151977405</v>
      </c>
    </row>
    <row r="27" spans="1:92" s="256" customFormat="1" ht="9.75" customHeight="1" x14ac:dyDescent="0.25">
      <c r="A27" s="254">
        <v>1978</v>
      </c>
      <c r="B27" s="258">
        <f>('C1-Incomes'!B26-'C1-Incomes'!C26)/'C0-Ref Stats'!$B24*1000*'C0-Ref Stats'!$AA24/0.9</f>
        <v>31066.755473918631</v>
      </c>
      <c r="C27" s="258">
        <f>('C1-Incomes'!C26-'C1-Incomes'!D26)/'C0-Ref Stats'!$B24*1000*'C0-Ref Stats'!$AA24/0.05</f>
        <v>96141.21397077656</v>
      </c>
      <c r="D27" s="258">
        <f>('C1-Incomes'!D26-'C1-Incomes'!E26)/'C0-Ref Stats'!$B24*1000*'C0-Ref Stats'!$AA24/0.04</f>
        <v>135116.18027429504</v>
      </c>
      <c r="E27" s="258">
        <f>('C1-Incomes'!E26-'C1-Incomes'!F26)/'C0-Ref Stats'!$B24*1000*'C0-Ref Stats'!$AA24/0.005</f>
        <v>223388.95057247879</v>
      </c>
      <c r="F27" s="258">
        <f>('C1-Incomes'!F26-'C1-Incomes'!G26)/'C0-Ref Stats'!$B24*1000*'C0-Ref Stats'!$AA24/0.004</f>
        <v>337075.5062256548</v>
      </c>
      <c r="G27" s="258">
        <f>('C1-Incomes'!G26-'C1-Incomes'!H26)/'C0-Ref Stats'!$B24*1000*'C0-Ref Stats'!$AA24/0.0009</f>
        <v>689082.0417882672</v>
      </c>
      <c r="H27" s="258"/>
      <c r="I27" s="258">
        <f>('C1-Incomes'!J26-'C1-Incomes'!K26)/'C0-Ref Stats'!$R24*1000*'C0-Ref Stats'!$AA24/0.9</f>
        <v>21027.314649956959</v>
      </c>
      <c r="J27" s="258">
        <f>('C1-Incomes'!K26-'C1-Incomes'!L26)/'C0-Ref Stats'!$R24*1000*'C0-Ref Stats'!$AA24/0.05</f>
        <v>57802.167962713138</v>
      </c>
      <c r="K27" s="258">
        <f>('C1-Incomes'!L26-'C1-Incomes'!M26)/'C0-Ref Stats'!$R24*1000*'C0-Ref Stats'!$AA24/0.04</f>
        <v>83076.943763260919</v>
      </c>
      <c r="L27" s="258">
        <f>('C1-Incomes'!M26-'C1-Incomes'!N26)/'C0-Ref Stats'!$R24*1000*'C0-Ref Stats'!$AA24/0.005</f>
        <v>145142.64953606468</v>
      </c>
      <c r="M27" s="258">
        <f>('C1-Incomes'!N26-'C1-Incomes'!O26)/'C0-Ref Stats'!$R24*1000*'C0-Ref Stats'!$AA24/0.004</f>
        <v>245256.58636121589</v>
      </c>
      <c r="N27" s="258">
        <f>('C1-Incomes'!O26-'C1-Incomes'!P26)/'C0-Ref Stats'!$R24*1000*'C0-Ref Stats'!$AA24/0.0009</f>
        <v>650724.74698983808</v>
      </c>
      <c r="O27" s="47"/>
      <c r="P27" s="258">
        <f>('C1-Incomes'!R26-'C1-Incomes'!S26)/'C0-Ref Stats'!$R24*1000*'C0-Ref Stats'!$AA24/0.9</f>
        <v>23929.065562793203</v>
      </c>
      <c r="Q27" s="258">
        <f>('C1-Incomes'!S26-'C1-Incomes'!T26)/'C0-Ref Stats'!$R24*1000*'C0-Ref Stats'!$AA24/0.05</f>
        <v>58884.495751210219</v>
      </c>
      <c r="R27" s="258">
        <f>('C1-Incomes'!T26-'C1-Incomes'!U26)/'C0-Ref Stats'!$R24*1000*'C0-Ref Stats'!$AA24/0.04</f>
        <v>84461.624267833162</v>
      </c>
      <c r="S27" s="258">
        <f>('C1-Incomes'!U26-'C1-Incomes'!V26)/'C0-Ref Stats'!$R24*1000*'C0-Ref Stats'!$AA24/0.005</f>
        <v>147252.046731885</v>
      </c>
      <c r="T27" s="258">
        <f>('C1-Incomes'!V26-'C1-Incomes'!W26)/'C0-Ref Stats'!$R24*1000*'C0-Ref Stats'!$AA24/0.004</f>
        <v>248285.99898110205</v>
      </c>
      <c r="U27" s="258">
        <f>('C1-Incomes'!W26-'C1-Incomes'!X26)/'C0-Ref Stats'!$R24*1000*'C0-Ref Stats'!$AA24/0.0009</f>
        <v>653298.27789313532</v>
      </c>
      <c r="V27" s="258"/>
      <c r="W27" s="258">
        <f>('C1-Incomes'!Z26-'C1-Incomes'!AA26)/'C0-Ref Stats'!$R24*1000*'C0-Ref Stats'!$AA24/0.9</f>
        <v>22951.038443597728</v>
      </c>
      <c r="X27" s="258">
        <f>('C1-Incomes'!AA26-'C1-Incomes'!AB26)/'C0-Ref Stats'!$R24*1000*'C0-Ref Stats'!$AA24/0.05</f>
        <v>47854.629930641036</v>
      </c>
      <c r="Y27" s="258">
        <f>('C1-Incomes'!AB26-'C1-Incomes'!AC26)/'C0-Ref Stats'!$R24*1000*'C0-Ref Stats'!$AA24/0.04</f>
        <v>66863.137285092947</v>
      </c>
      <c r="Z27" s="258">
        <f>('C1-Incomes'!AC26-'C1-Incomes'!AD26)/'C0-Ref Stats'!$R24*1000*'C0-Ref Stats'!$AA24/0.005</f>
        <v>115998.30629264184</v>
      </c>
      <c r="AA27" s="258">
        <f>('C1-Incomes'!AD26-'C1-Incomes'!AE26)/'C0-Ref Stats'!$R24*1000*'C0-Ref Stats'!$AA24/0.004</f>
        <v>190214.20712142772</v>
      </c>
      <c r="AB27" s="258">
        <f>('C1-Incomes'!AE26-'C1-Incomes'!AF26)/'C0-Ref Stats'!$R24*1000*'C0-Ref Stats'!$AA24/0.0009</f>
        <v>494438.43597461347</v>
      </c>
      <c r="AD27" s="258">
        <f>'C1-Incomes'!C26/'C0-Ref Stats'!$B24*1000*'C0-Ref Stats'!$AA24/0.1</f>
        <v>135354.86126982362</v>
      </c>
      <c r="AE27" s="258">
        <f>'C1-Incomes'!D26/'C0-Ref Stats'!$B24*1000*'C0-Ref Stats'!$AA24/0.05</f>
        <v>174568.50856887063</v>
      </c>
      <c r="AF27" s="258">
        <f>'C1-Incomes'!E26/'C0-Ref Stats'!$B24*1000*'C0-Ref Stats'!$AA24/0.01</f>
        <v>332377.82174717297</v>
      </c>
      <c r="AG27" s="258">
        <f>'C1-Incomes'!F26/'C0-Ref Stats'!$B24*1000*'C0-Ref Stats'!$AA24/0.005</f>
        <v>441366.69292186736</v>
      </c>
      <c r="AH27" s="258">
        <f>'C1-Incomes'!G26/'C0-Ref Stats'!$B24*1000*'C0-Ref Stats'!$AA24/0.001</f>
        <v>858531.4397067175</v>
      </c>
      <c r="AI27" s="258">
        <f>'C1-Incomes'!H26/'C0-Ref Stats'!$B24*1000*'C0-Ref Stats'!$AA24/0.0001</f>
        <v>2383576.0209727706</v>
      </c>
      <c r="AJ27" s="47"/>
      <c r="AK27" s="258">
        <f>'C1-Incomes'!K26/'C0-Ref Stats'!$R24*1000*'C0-Ref Stats'!$AA24/0.1</f>
        <v>88191.772079571121</v>
      </c>
      <c r="AL27" s="258">
        <f>'C1-Incomes'!L26/'C0-Ref Stats'!$R24*1000*'C0-Ref Stats'!$AA24/0.05</f>
        <v>118581.37619642909</v>
      </c>
      <c r="AM27" s="258">
        <f>'C1-Incomes'!M26/'C0-Ref Stats'!$R24*1000*'C0-Ref Stats'!$AA24/0.01</f>
        <v>260599.10592910188</v>
      </c>
      <c r="AN27" s="258">
        <f>'C1-Incomes'!N26/'C0-Ref Stats'!$R24*1000*'C0-Ref Stats'!$AA24/0.005</f>
        <v>376055.5623221391</v>
      </c>
      <c r="AO27" s="258">
        <f>'C1-Incomes'!O26/'C0-Ref Stats'!$R24*1000*'C0-Ref Stats'!$AA24/0.001</f>
        <v>899251.46616583189</v>
      </c>
      <c r="AP27" s="258">
        <f>'C1-Incomes'!P26/'C0-Ref Stats'!$R24*1000*'C0-Ref Stats'!$AA24/0.0001</f>
        <v>3135991.9387497758</v>
      </c>
      <c r="AQ27" s="47"/>
      <c r="AR27" s="258">
        <f>'C1-Incomes'!S26/'C0-Ref Stats'!$R24*1000*'C0-Ref Stats'!$AA24/0.1</f>
        <v>89541.403266888228</v>
      </c>
      <c r="AS27" s="258">
        <f>'C1-Incomes'!T26/'C0-Ref Stats'!$R24*1000*'C0-Ref Stats'!$AA24/0.05</f>
        <v>120198.31078256623</v>
      </c>
      <c r="AT27" s="258">
        <f>'C1-Incomes'!U26/'C0-Ref Stats'!$R24*1000*'C0-Ref Stats'!$AA24/0.01</f>
        <v>263145.05684149847</v>
      </c>
      <c r="AU27" s="258">
        <f>'C1-Incomes'!V26/'C0-Ref Stats'!$R24*1000*'C0-Ref Stats'!$AA24/0.005</f>
        <v>379038.06695111195</v>
      </c>
      <c r="AV27" s="258">
        <f>'C1-Incomes'!W26/'C0-Ref Stats'!$R24*1000*'C0-Ref Stats'!$AA24/0.001</f>
        <v>902046.33883115149</v>
      </c>
      <c r="AW27" s="258">
        <f>'C1-Incomes'!X26/'C0-Ref Stats'!$R24*1000*'C0-Ref Stats'!$AA24/0.0001</f>
        <v>3140778.8872732981</v>
      </c>
      <c r="AX27" s="258"/>
      <c r="AY27" s="258">
        <f>'C1-Incomes'!AA26/'C0-Ref Stats'!$R24*1000*'C0-Ref Stats'!$AA24/0.1</f>
        <v>70878.439766519325</v>
      </c>
      <c r="AZ27" s="258">
        <f>'C1-Incomes'!AB26/'C0-Ref Stats'!$R24*1000*'C0-Ref Stats'!$AA24/0.05</f>
        <v>93902.249602397613</v>
      </c>
      <c r="BA27" s="258">
        <f>'C1-Incomes'!AC26/'C0-Ref Stats'!$R24*1000*'C0-Ref Stats'!$AA24/0.01</f>
        <v>202058.6988716163</v>
      </c>
      <c r="BB27" s="258">
        <f>'C1-Incomes'!AD26/'C0-Ref Stats'!$R24*1000*'C0-Ref Stats'!$AA24/0.005</f>
        <v>288119.09145059076</v>
      </c>
      <c r="BC27" s="258">
        <f>'C1-Incomes'!AE26/'C0-Ref Stats'!$R24*1000*'C0-Ref Stats'!$AA24/0.001</f>
        <v>679738.62876724289</v>
      </c>
      <c r="BD27" s="258">
        <f>'C1-Incomes'!AF26/'C0-Ref Stats'!$R24*1000*'C0-Ref Stats'!$AA24/0.0001</f>
        <v>2347440.3639009073</v>
      </c>
      <c r="BF27" s="258">
        <v>86600</v>
      </c>
      <c r="BG27" s="258">
        <v>108500</v>
      </c>
      <c r="BH27" s="258">
        <v>196200</v>
      </c>
      <c r="BI27" s="258">
        <v>261000</v>
      </c>
      <c r="BJ27" s="258">
        <v>496000</v>
      </c>
      <c r="BK27" s="258">
        <v>1270000</v>
      </c>
      <c r="BM27" s="258">
        <v>148900</v>
      </c>
      <c r="BN27" s="258">
        <v>250149.24036049368</v>
      </c>
      <c r="BO27" s="1254">
        <f t="shared" si="0"/>
        <v>2.4706283175048798</v>
      </c>
      <c r="BP27" s="1254">
        <f t="shared" si="4"/>
        <v>2.4407632423748402</v>
      </c>
      <c r="BQ27" s="480"/>
      <c r="BR27" s="258">
        <v>233400</v>
      </c>
      <c r="BS27" s="258">
        <v>462342.72696494032</v>
      </c>
      <c r="BT27" s="258">
        <v>311600</v>
      </c>
      <c r="BU27" s="258">
        <v>650572.801497621</v>
      </c>
      <c r="BV27" s="1254">
        <f t="shared" si="8"/>
        <v>2.0194689435831794</v>
      </c>
      <c r="BW27" s="1254">
        <f t="shared" si="11"/>
        <v>1.91924779399207</v>
      </c>
      <c r="BY27" s="258">
        <v>233700</v>
      </c>
      <c r="BZ27" s="258">
        <v>471522.86568933364</v>
      </c>
      <c r="CA27" s="258">
        <v>312200</v>
      </c>
      <c r="CB27" s="258">
        <v>658451.64314464608</v>
      </c>
      <c r="CC27" s="1254">
        <f t="shared" si="9"/>
        <v>1.982664132494647</v>
      </c>
      <c r="CD27" s="1254">
        <f t="shared" si="12"/>
        <v>1.9016563709694194</v>
      </c>
      <c r="CF27" s="258">
        <v>164100</v>
      </c>
      <c r="CG27" s="258">
        <v>363972.53456352814</v>
      </c>
      <c r="CH27" s="258">
        <v>211400</v>
      </c>
      <c r="CI27" s="258">
        <v>502908.16299692006</v>
      </c>
      <c r="CJ27" s="1254">
        <f t="shared" si="10"/>
        <v>1.8210232604412284</v>
      </c>
      <c r="CK27" s="1254">
        <f t="shared" si="13"/>
        <v>1.725194100318328</v>
      </c>
      <c r="CM27" s="1183">
        <v>0.4949554893</v>
      </c>
      <c r="CN27" s="1183">
        <v>0.51137283369999997</v>
      </c>
    </row>
    <row r="28" spans="1:92" s="256" customFormat="1" ht="9.75" customHeight="1" x14ac:dyDescent="0.25">
      <c r="A28" s="254">
        <v>1979</v>
      </c>
      <c r="B28" s="523">
        <f>('C1-Incomes'!B27-'C1-Incomes'!C27)/'C0-Ref Stats'!$B25*1000*'C0-Ref Stats'!$AA25/0.9</f>
        <v>31283.994673915658</v>
      </c>
      <c r="C28" s="523">
        <f>('C1-Incomes'!C27-'C1-Incomes'!D27)/'C0-Ref Stats'!$B25*1000*'C0-Ref Stats'!$AA25/0.05</f>
        <v>96192.958647212887</v>
      </c>
      <c r="D28" s="523">
        <f>('C1-Incomes'!D27-'C1-Incomes'!E27)/'C0-Ref Stats'!$B25*1000*'C0-Ref Stats'!$AA25/0.04</f>
        <v>134775.22351118797</v>
      </c>
      <c r="E28" s="523">
        <f>('C1-Incomes'!E27-'C1-Incomes'!F27)/'C0-Ref Stats'!$B25*1000*'C0-Ref Stats'!$AA25/0.005</f>
        <v>224544.17099986513</v>
      </c>
      <c r="F28" s="523">
        <f>('C1-Incomes'!F27-'C1-Incomes'!G27)/'C0-Ref Stats'!$B25*1000*'C0-Ref Stats'!$AA25/0.004</f>
        <v>339173.28283541987</v>
      </c>
      <c r="G28" s="523">
        <f>('C1-Incomes'!G27-'C1-Incomes'!H27)/'C0-Ref Stats'!$B25*1000*'C0-Ref Stats'!$AA25/0.0009</f>
        <v>712575.74638640997</v>
      </c>
      <c r="H28" s="523"/>
      <c r="I28" s="258">
        <f>('C1-Incomes'!J27-'C1-Incomes'!K27)/'C0-Ref Stats'!$R25*1000*'C0-Ref Stats'!$AA25/0.9</f>
        <v>20948.451052534918</v>
      </c>
      <c r="J28" s="258">
        <f>('C1-Incomes'!K27-'C1-Incomes'!L27)/'C0-Ref Stats'!$R25*1000*'C0-Ref Stats'!$AA25/0.05</f>
        <v>57151.950302182595</v>
      </c>
      <c r="K28" s="258">
        <f>('C1-Incomes'!L27-'C1-Incomes'!M27)/'C0-Ref Stats'!$R25*1000*'C0-Ref Stats'!$AA25/0.04</f>
        <v>83049.29989844076</v>
      </c>
      <c r="L28" s="258">
        <f>('C1-Incomes'!M27-'C1-Incomes'!N27)/'C0-Ref Stats'!$R25*1000*'C0-Ref Stats'!$AA25/0.005</f>
        <v>144460.5761781621</v>
      </c>
      <c r="M28" s="258">
        <f>('C1-Incomes'!N27-'C1-Incomes'!O27)/'C0-Ref Stats'!$R25*1000*'C0-Ref Stats'!$AA25/0.004</f>
        <v>244315.09854296118</v>
      </c>
      <c r="N28" s="258">
        <f>('C1-Incomes'!O27-'C1-Incomes'!P27)/'C0-Ref Stats'!$R25*1000*'C0-Ref Stats'!$AA25/0.0009</f>
        <v>657300.46838754811</v>
      </c>
      <c r="O28" s="47"/>
      <c r="P28" s="258">
        <f>('C1-Incomes'!R27-'C1-Incomes'!S27)/'C0-Ref Stats'!$R25*1000*'C0-Ref Stats'!$AA25/0.9</f>
        <v>23881.406795918043</v>
      </c>
      <c r="Q28" s="258">
        <f>('C1-Incomes'!S27-'C1-Incomes'!T27)/'C0-Ref Stats'!$R25*1000*'C0-Ref Stats'!$AA25/0.05</f>
        <v>58191.379613550802</v>
      </c>
      <c r="R28" s="258">
        <f>('C1-Incomes'!T27-'C1-Incomes'!U27)/'C0-Ref Stats'!$R25*1000*'C0-Ref Stats'!$AA25/0.04</f>
        <v>84367.211769686721</v>
      </c>
      <c r="S28" s="258">
        <f>('C1-Incomes'!U27-'C1-Incomes'!V27)/'C0-Ref Stats'!$R25*1000*'C0-Ref Stats'!$AA25/0.005</f>
        <v>146295.33973269354</v>
      </c>
      <c r="T28" s="258">
        <f>('C1-Incomes'!V27-'C1-Incomes'!W27)/'C0-Ref Stats'!$R25*1000*'C0-Ref Stats'!$AA25/0.004</f>
        <v>246363.71221207108</v>
      </c>
      <c r="U28" s="258">
        <f>('C1-Incomes'!W27-'C1-Incomes'!X27)/'C0-Ref Stats'!$R25*1000*'C0-Ref Stats'!$AA25/0.0009</f>
        <v>658818.5821661189</v>
      </c>
      <c r="V28" s="258"/>
      <c r="W28" s="258">
        <f>('C1-Incomes'!Z27-'C1-Incomes'!AA27)/'C0-Ref Stats'!$R25*1000*'C0-Ref Stats'!$AA25/0.9</f>
        <v>22929.433458531093</v>
      </c>
      <c r="X28" s="258">
        <f>('C1-Incomes'!AA27-'C1-Incomes'!AB27)/'C0-Ref Stats'!$R25*1000*'C0-Ref Stats'!$AA25/0.05</f>
        <v>47115.720428582834</v>
      </c>
      <c r="Y28" s="258">
        <f>('C1-Incomes'!AB27-'C1-Incomes'!AC27)/'C0-Ref Stats'!$R25*1000*'C0-Ref Stats'!$AA25/0.04</f>
        <v>66759.992058210046</v>
      </c>
      <c r="Z28" s="258">
        <f>('C1-Incomes'!AC27-'C1-Incomes'!AD27)/'C0-Ref Stats'!$R25*1000*'C0-Ref Stats'!$AA25/0.005</f>
        <v>114080.03963744035</v>
      </c>
      <c r="AA28" s="258">
        <f>('C1-Incomes'!AD27-'C1-Incomes'!AE27)/'C0-Ref Stats'!$R25*1000*'C0-Ref Stats'!$AA25/0.004</f>
        <v>187228.48803825429</v>
      </c>
      <c r="AB28" s="258">
        <f>('C1-Incomes'!AE27-'C1-Incomes'!AF27)/'C0-Ref Stats'!$R25*1000*'C0-Ref Stats'!$AA25/0.0009</f>
        <v>487176.06860899896</v>
      </c>
      <c r="AD28" s="258">
        <f>'C1-Incomes'!C27/'C0-Ref Stats'!$B25*1000*'C0-Ref Stats'!$AA25/0.1</f>
        <v>135752.72633874751</v>
      </c>
      <c r="AE28" s="258">
        <f>'C1-Incomes'!D27/'C0-Ref Stats'!$B25*1000*'C0-Ref Stats'!$AA25/0.05</f>
        <v>175312.49403028219</v>
      </c>
      <c r="AF28" s="258">
        <f>'C1-Incomes'!E27/'C0-Ref Stats'!$B25*1000*'C0-Ref Stats'!$AA25/0.01</f>
        <v>337461.57610665919</v>
      </c>
      <c r="AG28" s="258">
        <f>'C1-Incomes'!F27/'C0-Ref Stats'!$B25*1000*'C0-Ref Stats'!$AA25/0.005</f>
        <v>450378.98121345317</v>
      </c>
      <c r="AH28" s="258">
        <f>'C1-Incomes'!G27/'C0-Ref Stats'!$B25*1000*'C0-Ref Stats'!$AA25/0.001</f>
        <v>895201.77472558629</v>
      </c>
      <c r="AI28" s="258">
        <f>'C1-Incomes'!H27/'C0-Ref Stats'!$B25*1000*'C0-Ref Stats'!$AA25/0.0001</f>
        <v>2538836.0297781723</v>
      </c>
      <c r="AJ28" s="47"/>
      <c r="AK28" s="258">
        <f>'C1-Incomes'!K27/'C0-Ref Stats'!$R25*1000*'C0-Ref Stats'!$AA25/0.1</f>
        <v>88043.048835980997</v>
      </c>
      <c r="AL28" s="258">
        <f>'C1-Incomes'!L27/'C0-Ref Stats'!$R25*1000*'C0-Ref Stats'!$AA25/0.05</f>
        <v>118934.14736977941</v>
      </c>
      <c r="AM28" s="258">
        <f>'C1-Incomes'!M27/'C0-Ref Stats'!$R25*1000*'C0-Ref Stats'!$AA25/0.01</f>
        <v>262473.53725513414</v>
      </c>
      <c r="AN28" s="258">
        <f>'C1-Incomes'!N27/'C0-Ref Stats'!$R25*1000*'C0-Ref Stats'!$AA25/0.005</f>
        <v>380486.49833210616</v>
      </c>
      <c r="AO28" s="258">
        <f>'C1-Incomes'!O27/'C0-Ref Stats'!$R25*1000*'C0-Ref Stats'!$AA25/0.001</f>
        <v>925172.09748868609</v>
      </c>
      <c r="AP28" s="258">
        <f>'C1-Incomes'!P27/'C0-Ref Stats'!$R25*1000*'C0-Ref Stats'!$AA25/0.0001</f>
        <v>3336016.7593989265</v>
      </c>
      <c r="AQ28" s="47"/>
      <c r="AR28" s="258">
        <f>'C1-Incomes'!S27/'C0-Ref Stats'!$R25*1000*'C0-Ref Stats'!$AA25/0.1</f>
        <v>89279.717483427768</v>
      </c>
      <c r="AS28" s="258">
        <f>'C1-Incomes'!T27/'C0-Ref Stats'!$R25*1000*'C0-Ref Stats'!$AA25/0.05</f>
        <v>120368.05535330471</v>
      </c>
      <c r="AT28" s="258">
        <f>'C1-Incomes'!U27/'C0-Ref Stats'!$R25*1000*'C0-Ref Stats'!$AA25/0.01</f>
        <v>264371.42968777672</v>
      </c>
      <c r="AU28" s="258">
        <f>'C1-Incomes'!V27/'C0-Ref Stats'!$R25*1000*'C0-Ref Stats'!$AA25/0.005</f>
        <v>382447.51964285987</v>
      </c>
      <c r="AV28" s="258">
        <f>'C1-Incomes'!W27/'C0-Ref Stats'!$R25*1000*'C0-Ref Stats'!$AA25/0.001</f>
        <v>926782.74936601508</v>
      </c>
      <c r="AW28" s="258">
        <f>'C1-Incomes'!X27/'C0-Ref Stats'!$R25*1000*'C0-Ref Stats'!$AA25/0.0001</f>
        <v>3338460.254165079</v>
      </c>
      <c r="AX28" s="258"/>
      <c r="AY28" s="258">
        <f>'C1-Incomes'!AA27/'C0-Ref Stats'!$R25*1000*'C0-Ref Stats'!$AA25/0.1</f>
        <v>70214.221575945572</v>
      </c>
      <c r="AZ28" s="258">
        <f>'C1-Incomes'!AB27/'C0-Ref Stats'!$R25*1000*'C0-Ref Stats'!$AA25/0.05</f>
        <v>93312.722723308296</v>
      </c>
      <c r="BA28" s="258">
        <f>'C1-Incomes'!AC27/'C0-Ref Stats'!$R25*1000*'C0-Ref Stats'!$AA25/0.01</f>
        <v>199523.64538370137</v>
      </c>
      <c r="BB28" s="258">
        <f>'C1-Incomes'!AD27/'C0-Ref Stats'!$R25*1000*'C0-Ref Stats'!$AA25/0.005</f>
        <v>284967.25112996239</v>
      </c>
      <c r="BC28" s="258">
        <f>'C1-Incomes'!AE27/'C0-Ref Stats'!$R25*1000*'C0-Ref Stats'!$AA25/0.001</f>
        <v>675922.30349679489</v>
      </c>
      <c r="BD28" s="258">
        <f>'C1-Incomes'!AF27/'C0-Ref Stats'!$R25*1000*'C0-Ref Stats'!$AA25/0.0001</f>
        <v>2374638.4174869573</v>
      </c>
      <c r="BF28" s="258">
        <v>86700</v>
      </c>
      <c r="BG28" s="258">
        <v>108600</v>
      </c>
      <c r="BH28" s="258">
        <v>196000</v>
      </c>
      <c r="BI28" s="258">
        <v>263000</v>
      </c>
      <c r="BJ28" s="258">
        <v>504000</v>
      </c>
      <c r="BK28" s="258">
        <v>1340000</v>
      </c>
      <c r="BM28" s="258">
        <v>148200</v>
      </c>
      <c r="BN28" s="258">
        <v>252642.35388700844</v>
      </c>
      <c r="BO28" s="1254">
        <f t="shared" si="0"/>
        <v>2.4189645721728081</v>
      </c>
      <c r="BP28" s="1254">
        <f t="shared" si="4"/>
        <v>2.3855352484707217</v>
      </c>
      <c r="BQ28" s="480"/>
      <c r="BR28" s="258">
        <v>224600</v>
      </c>
      <c r="BS28" s="258">
        <v>463990.99679727707</v>
      </c>
      <c r="BT28" s="258">
        <v>314500</v>
      </c>
      <c r="BU28" s="258">
        <v>654088.33004214475</v>
      </c>
      <c r="BV28" s="1254">
        <f t="shared" si="8"/>
        <v>1.9382140640410028</v>
      </c>
      <c r="BW28" s="1254">
        <f t="shared" si="11"/>
        <v>1.9261213421585153</v>
      </c>
      <c r="BY28" s="258">
        <v>224900</v>
      </c>
      <c r="BZ28" s="258">
        <v>472096.43397788587</v>
      </c>
      <c r="CA28" s="258">
        <v>314500</v>
      </c>
      <c r="CB28" s="258">
        <v>659932.55559060571</v>
      </c>
      <c r="CC28" s="1254">
        <f t="shared" si="9"/>
        <v>1.9098027685145309</v>
      </c>
      <c r="CD28" s="1254">
        <f t="shared" si="12"/>
        <v>1.9104526915891915</v>
      </c>
      <c r="CF28" s="258">
        <v>164600</v>
      </c>
      <c r="CG28" s="258">
        <v>366592.49004607659</v>
      </c>
      <c r="CH28" s="258">
        <v>215300</v>
      </c>
      <c r="CI28" s="258">
        <v>501450.95823145384</v>
      </c>
      <c r="CJ28" s="1254">
        <f t="shared" si="10"/>
        <v>1.8148817808149849</v>
      </c>
      <c r="CK28" s="1254">
        <f t="shared" si="13"/>
        <v>1.7524000664916668</v>
      </c>
      <c r="CM28" s="1183">
        <v>0.4926777222</v>
      </c>
      <c r="CN28" s="1183">
        <v>0.51135266989999995</v>
      </c>
    </row>
    <row r="29" spans="1:92" s="256" customFormat="1" ht="9.75" customHeight="1" x14ac:dyDescent="0.25">
      <c r="A29" s="254">
        <v>1980</v>
      </c>
      <c r="B29" s="258">
        <f>('C1-Incomes'!B28-'C1-Incomes'!C28)/'C0-Ref Stats'!$B26*1000*'C0-Ref Stats'!$AA26/0.9</f>
        <v>30289.057546192638</v>
      </c>
      <c r="C29" s="258">
        <f>('C1-Incomes'!C28-'C1-Incomes'!D28)/'C0-Ref Stats'!$B26*1000*'C0-Ref Stats'!$AA26/0.05</f>
        <v>95317.91262577931</v>
      </c>
      <c r="D29" s="258">
        <f>('C1-Incomes'!D28-'C1-Incomes'!E28)/'C0-Ref Stats'!$B26*1000*'C0-Ref Stats'!$AA26/0.04</f>
        <v>133571.76302173419</v>
      </c>
      <c r="E29" s="258">
        <f>('C1-Incomes'!E28-'C1-Incomes'!F28)/'C0-Ref Stats'!$B26*1000*'C0-Ref Stats'!$AA26/0.005</f>
        <v>220983.5888935955</v>
      </c>
      <c r="F29" s="258">
        <f>('C1-Incomes'!F28-'C1-Incomes'!G28)/'C0-Ref Stats'!$B26*1000*'C0-Ref Stats'!$AA26/0.004</f>
        <v>335794.60216625221</v>
      </c>
      <c r="G29" s="258">
        <f>('C1-Incomes'!G28-'C1-Incomes'!H28)/'C0-Ref Stats'!$B26*1000*'C0-Ref Stats'!$AA26/0.0009</f>
        <v>709322.74301631283</v>
      </c>
      <c r="H29" s="258"/>
      <c r="I29" s="258">
        <f>('C1-Incomes'!J28-'C1-Incomes'!K28)/'C0-Ref Stats'!$R26*1000*'C0-Ref Stats'!$AA26/0.9</f>
        <v>20010.430072085437</v>
      </c>
      <c r="J29" s="258">
        <f>('C1-Incomes'!K28-'C1-Incomes'!L28)/'C0-Ref Stats'!$R26*1000*'C0-Ref Stats'!$AA26/0.05</f>
        <v>55691.459293618318</v>
      </c>
      <c r="K29" s="258">
        <f>('C1-Incomes'!L28-'C1-Incomes'!M28)/'C0-Ref Stats'!$R26*1000*'C0-Ref Stats'!$AA26/0.04</f>
        <v>80807.389487764274</v>
      </c>
      <c r="L29" s="258">
        <f>('C1-Incomes'!M28-'C1-Incomes'!N28)/'C0-Ref Stats'!$R26*1000*'C0-Ref Stats'!$AA26/0.005</f>
        <v>138421.09476449181</v>
      </c>
      <c r="M29" s="258">
        <f>('C1-Incomes'!N28-'C1-Incomes'!O28)/'C0-Ref Stats'!$R26*1000*'C0-Ref Stats'!$AA26/0.004</f>
        <v>230843.35644429017</v>
      </c>
      <c r="N29" s="258">
        <f>('C1-Incomes'!O28-'C1-Incomes'!P28)/'C0-Ref Stats'!$R26*1000*'C0-Ref Stats'!$AA26/0.0009</f>
        <v>602447.59195693256</v>
      </c>
      <c r="O29" s="47"/>
      <c r="P29" s="258">
        <f>('C1-Incomes'!R28-'C1-Incomes'!S28)/'C0-Ref Stats'!$R26*1000*'C0-Ref Stats'!$AA26/0.9</f>
        <v>23130.618186060045</v>
      </c>
      <c r="Q29" s="258">
        <f>('C1-Incomes'!S28-'C1-Incomes'!T28)/'C0-Ref Stats'!$R26*1000*'C0-Ref Stats'!$AA26/0.05</f>
        <v>56684.514274629815</v>
      </c>
      <c r="R29" s="258">
        <f>('C1-Incomes'!T28-'C1-Incomes'!U28)/'C0-Ref Stats'!$R26*1000*'C0-Ref Stats'!$AA26/0.04</f>
        <v>82114.441368145097</v>
      </c>
      <c r="S29" s="258">
        <f>('C1-Incomes'!U28-'C1-Incomes'!V28)/'C0-Ref Stats'!$R26*1000*'C0-Ref Stats'!$AA26/0.005</f>
        <v>140321.46748609879</v>
      </c>
      <c r="T29" s="258">
        <f>('C1-Incomes'!V28-'C1-Incomes'!W28)/'C0-Ref Stats'!$R26*1000*'C0-Ref Stats'!$AA26/0.004</f>
        <v>232805.91107261699</v>
      </c>
      <c r="U29" s="258">
        <f>('C1-Incomes'!W28-'C1-Incomes'!X28)/'C0-Ref Stats'!$R26*1000*'C0-Ref Stats'!$AA26/0.0009</f>
        <v>604430.83969865635</v>
      </c>
      <c r="V29" s="258"/>
      <c r="W29" s="258">
        <f>('C1-Incomes'!Z28-'C1-Incomes'!AA28)/'C0-Ref Stats'!$R26*1000*'C0-Ref Stats'!$AA26/0.9</f>
        <v>22104.231479554466</v>
      </c>
      <c r="X29" s="258">
        <f>('C1-Incomes'!AA28-'C1-Incomes'!AB28)/'C0-Ref Stats'!$R26*1000*'C0-Ref Stats'!$AA26/0.05</f>
        <v>45109.56301821705</v>
      </c>
      <c r="Y29" s="258">
        <f>('C1-Incomes'!AB28-'C1-Incomes'!AC28)/'C0-Ref Stats'!$R26*1000*'C0-Ref Stats'!$AA26/0.04</f>
        <v>63409.783128334137</v>
      </c>
      <c r="Z29" s="258">
        <f>('C1-Incomes'!AC28-'C1-Incomes'!AD28)/'C0-Ref Stats'!$R26*1000*'C0-Ref Stats'!$AA26/0.005</f>
        <v>105276.4640172637</v>
      </c>
      <c r="AA29" s="258">
        <f>('C1-Incomes'!AD28-'C1-Incomes'!AE28)/'C0-Ref Stats'!$R26*1000*'C0-Ref Stats'!$AA26/0.004</f>
        <v>169995.22217566884</v>
      </c>
      <c r="AB29" s="258">
        <f>('C1-Incomes'!AE28-'C1-Incomes'!AF28)/'C0-Ref Stats'!$R26*1000*'C0-Ref Stats'!$AA26/0.0009</f>
        <v>427610.12052546541</v>
      </c>
      <c r="AD29" s="258">
        <f>'C1-Incomes'!C28/'C0-Ref Stats'!$B26*1000*'C0-Ref Stats'!$AA26/0.1</f>
        <v>134572.64632491785</v>
      </c>
      <c r="AE29" s="258">
        <f>'C1-Incomes'!D28/'C0-Ref Stats'!$B26*1000*'C0-Ref Stats'!$AA26/0.05</f>
        <v>173827.38002405642</v>
      </c>
      <c r="AF29" s="258">
        <f>'C1-Incomes'!E28/'C0-Ref Stats'!$B26*1000*'C0-Ref Stats'!$AA26/0.01</f>
        <v>334849.84803334525</v>
      </c>
      <c r="AG29" s="258">
        <f>'C1-Incomes'!F28/'C0-Ref Stats'!$B26*1000*'C0-Ref Stats'!$AA26/0.005</f>
        <v>448716.10717309488</v>
      </c>
      <c r="AH29" s="258">
        <f>'C1-Incomes'!G28/'C0-Ref Stats'!$B26*1000*'C0-Ref Stats'!$AA26/0.001</f>
        <v>900402.12720046553</v>
      </c>
      <c r="AI29" s="258">
        <f>'C1-Incomes'!H28/'C0-Ref Stats'!$B26*1000*'C0-Ref Stats'!$AA26/0.0001</f>
        <v>2620116.5848578396</v>
      </c>
      <c r="AJ29" s="47"/>
      <c r="AK29" s="258">
        <f>'C1-Incomes'!K28/'C0-Ref Stats'!$R26*1000*'C0-Ref Stats'!$AA26/0.1</f>
        <v>84691.712089007531</v>
      </c>
      <c r="AL29" s="258">
        <f>'C1-Incomes'!L28/'C0-Ref Stats'!$R26*1000*'C0-Ref Stats'!$AA26/0.05</f>
        <v>113691.96488439677</v>
      </c>
      <c r="AM29" s="258">
        <f>'C1-Incomes'!M28/'C0-Ref Stats'!$R26*1000*'C0-Ref Stats'!$AA26/0.01</f>
        <v>245230.2664709267</v>
      </c>
      <c r="AN29" s="258">
        <f>'C1-Incomes'!N28/'C0-Ref Stats'!$R26*1000*'C0-Ref Stats'!$AA26/0.005</f>
        <v>352039.43817736156</v>
      </c>
      <c r="AO29" s="258">
        <f>'C1-Incomes'!O28/'C0-Ref Stats'!$R26*1000*'C0-Ref Stats'!$AA26/0.001</f>
        <v>836823.7651096473</v>
      </c>
      <c r="AP29" s="258">
        <f>'C1-Incomes'!P28/'C0-Ref Stats'!$R26*1000*'C0-Ref Stats'!$AA26/0.0001</f>
        <v>2946209.3234840799</v>
      </c>
      <c r="AQ29" s="47"/>
      <c r="AR29" s="258">
        <f>'C1-Incomes'!S28/'C0-Ref Stats'!$R26*1000*'C0-Ref Stats'!$AA26/0.1</f>
        <v>85904.905959417476</v>
      </c>
      <c r="AS29" s="258">
        <f>'C1-Incomes'!T28/'C0-Ref Stats'!$R26*1000*'C0-Ref Stats'!$AA26/0.05</f>
        <v>115125.2976442051</v>
      </c>
      <c r="AT29" s="258">
        <f>'C1-Incomes'!U28/'C0-Ref Stats'!$R26*1000*'C0-Ref Stats'!$AA26/0.01</f>
        <v>247168.72274844517</v>
      </c>
      <c r="AU29" s="258">
        <f>'C1-Incomes'!V28/'C0-Ref Stats'!$R26*1000*'C0-Ref Stats'!$AA26/0.005</f>
        <v>354015.97801079153</v>
      </c>
      <c r="AV29" s="258">
        <f>'C1-Incomes'!W28/'C0-Ref Stats'!$R26*1000*'C0-Ref Stats'!$AA26/0.001</f>
        <v>838856.24576348974</v>
      </c>
      <c r="AW29" s="258">
        <f>'C1-Incomes'!X28/'C0-Ref Stats'!$R26*1000*'C0-Ref Stats'!$AA26/0.0001</f>
        <v>2948684.9003469888</v>
      </c>
      <c r="AX29" s="258"/>
      <c r="AY29" s="258">
        <f>'C1-Incomes'!AA28/'C0-Ref Stats'!$R26*1000*'C0-Ref Stats'!$AA26/0.1</f>
        <v>65847.270779671497</v>
      </c>
      <c r="AZ29" s="258">
        <f>'C1-Incomes'!AB28/'C0-Ref Stats'!$R26*1000*'C0-Ref Stats'!$AA26/0.05</f>
        <v>86584.978541125965</v>
      </c>
      <c r="BA29" s="258">
        <f>'C1-Incomes'!AC28/'C0-Ref Stats'!$R26*1000*'C0-Ref Stats'!$AA26/0.01</f>
        <v>179285.76019229321</v>
      </c>
      <c r="BB29" s="258">
        <f>'C1-Incomes'!AD28/'C0-Ref Stats'!$R26*1000*'C0-Ref Stats'!$AA26/0.005</f>
        <v>253295.05636732274</v>
      </c>
      <c r="BC29" s="258">
        <f>'C1-Incomes'!AE28/'C0-Ref Stats'!$R26*1000*'C0-Ref Stats'!$AA26/0.001</f>
        <v>586494.39313393831</v>
      </c>
      <c r="BD29" s="258">
        <f>'C1-Incomes'!AF28/'C0-Ref Stats'!$R26*1000*'C0-Ref Stats'!$AA26/0.0001</f>
        <v>2016452.8466101945</v>
      </c>
      <c r="BF29" s="258">
        <v>85700</v>
      </c>
      <c r="BG29" s="258">
        <v>107800</v>
      </c>
      <c r="BH29" s="258">
        <v>194000</v>
      </c>
      <c r="BI29" s="258">
        <v>258000</v>
      </c>
      <c r="BJ29" s="258">
        <v>500000</v>
      </c>
      <c r="BK29" s="258">
        <v>1350000</v>
      </c>
      <c r="BM29" s="258">
        <v>147100</v>
      </c>
      <c r="BN29" s="258">
        <v>250350.5179254986</v>
      </c>
      <c r="BO29" s="1254">
        <f t="shared" si="0"/>
        <v>2.4246901899915061</v>
      </c>
      <c r="BP29" s="1254">
        <f t="shared" si="4"/>
        <v>2.3773532787488123</v>
      </c>
      <c r="BQ29" s="480"/>
      <c r="BR29" s="258">
        <v>214600</v>
      </c>
      <c r="BS29" s="258">
        <v>435254.0742125386</v>
      </c>
      <c r="BT29" s="258">
        <v>300800</v>
      </c>
      <c r="BU29" s="258">
        <v>607341.72826607793</v>
      </c>
      <c r="BV29" s="1254">
        <f t="shared" si="8"/>
        <v>1.9725630526690063</v>
      </c>
      <c r="BW29" s="1254">
        <f t="shared" si="11"/>
        <v>1.9812693420287169</v>
      </c>
      <c r="BY29" s="258">
        <v>214900</v>
      </c>
      <c r="BZ29" s="258">
        <v>444104.27204431902</v>
      </c>
      <c r="CA29" s="258">
        <v>301000</v>
      </c>
      <c r="CB29" s="258">
        <v>614912.48360829067</v>
      </c>
      <c r="CC29" s="1254">
        <f t="shared" si="9"/>
        <v>1.9375915993330477</v>
      </c>
      <c r="CD29" s="1254">
        <f t="shared" si="12"/>
        <v>1.958865976083948</v>
      </c>
      <c r="CF29" s="258">
        <v>157100</v>
      </c>
      <c r="CG29" s="258">
        <v>335172.49028420285</v>
      </c>
      <c r="CH29" s="258">
        <v>206700</v>
      </c>
      <c r="CI29" s="258">
        <v>452046.50055277342</v>
      </c>
      <c r="CJ29" s="1254">
        <f t="shared" si="10"/>
        <v>1.8822249846074999</v>
      </c>
      <c r="CK29" s="1254">
        <f t="shared" si="13"/>
        <v>1.8424819572901929</v>
      </c>
      <c r="CM29" s="1183">
        <v>0.50182770430000001</v>
      </c>
      <c r="CN29" s="1183">
        <v>0.51379253179999995</v>
      </c>
    </row>
    <row r="30" spans="1:92" s="256" customFormat="1" ht="9.75" customHeight="1" x14ac:dyDescent="0.25">
      <c r="A30" s="254">
        <v>1981</v>
      </c>
      <c r="B30" s="258">
        <f>('C1-Incomes'!B29-'C1-Incomes'!C29)/'C0-Ref Stats'!$B27*1000*'C0-Ref Stats'!$AA27/0.9</f>
        <v>30055.416223947475</v>
      </c>
      <c r="C30" s="258">
        <f>('C1-Incomes'!C29-'C1-Incomes'!D29)/'C0-Ref Stats'!$B27*1000*'C0-Ref Stats'!$AA27/0.05</f>
        <v>95490.853886838318</v>
      </c>
      <c r="D30" s="258">
        <f>('C1-Incomes'!D29-'C1-Incomes'!E29)/'C0-Ref Stats'!$B27*1000*'C0-Ref Stats'!$AA27/0.04</f>
        <v>132786.34574033078</v>
      </c>
      <c r="E30" s="258">
        <f>('C1-Incomes'!E29-'C1-Incomes'!F29)/'C0-Ref Stats'!$B27*1000*'C0-Ref Stats'!$AA27/0.005</f>
        <v>214673.85437343945</v>
      </c>
      <c r="F30" s="258">
        <f>('C1-Incomes'!F29-'C1-Incomes'!G29)/'C0-Ref Stats'!$B27*1000*'C0-Ref Stats'!$AA27/0.004</f>
        <v>324722.00077136373</v>
      </c>
      <c r="G30" s="258">
        <f>('C1-Incomes'!G29-'C1-Incomes'!H29)/'C0-Ref Stats'!$B27*1000*'C0-Ref Stats'!$AA27/0.0009</f>
        <v>690711.38596091385</v>
      </c>
      <c r="H30" s="258"/>
      <c r="I30" s="258">
        <f>('C1-Incomes'!J29-'C1-Incomes'!K29)/'C0-Ref Stats'!$R27*1000*'C0-Ref Stats'!$AA27/0.9</f>
        <v>20522.188869916183</v>
      </c>
      <c r="J30" s="258">
        <f>('C1-Incomes'!K29-'C1-Incomes'!L29)/'C0-Ref Stats'!$R27*1000*'C0-Ref Stats'!$AA27/0.05</f>
        <v>57380.489169902357</v>
      </c>
      <c r="K30" s="258">
        <f>('C1-Incomes'!L29-'C1-Incomes'!M29)/'C0-Ref Stats'!$R27*1000*'C0-Ref Stats'!$AA27/0.04</f>
        <v>82787.381311701567</v>
      </c>
      <c r="L30" s="258">
        <f>('C1-Incomes'!M29-'C1-Incomes'!N29)/'C0-Ref Stats'!$R27*1000*'C0-Ref Stats'!$AA27/0.005</f>
        <v>138751.77759963306</v>
      </c>
      <c r="M30" s="258">
        <f>('C1-Incomes'!N29-'C1-Incomes'!O29)/'C0-Ref Stats'!$R27*1000*'C0-Ref Stats'!$AA27/0.004</f>
        <v>227420.27147953218</v>
      </c>
      <c r="N30" s="258">
        <f>('C1-Incomes'!O29-'C1-Incomes'!P29)/'C0-Ref Stats'!$R27*1000*'C0-Ref Stats'!$AA27/0.0009</f>
        <v>587231.22089240584</v>
      </c>
      <c r="O30" s="47"/>
      <c r="P30" s="258">
        <f>('C1-Incomes'!R29-'C1-Incomes'!S29)/'C0-Ref Stats'!$R27*1000*'C0-Ref Stats'!$AA27/0.9</f>
        <v>23722.912571179018</v>
      </c>
      <c r="Q30" s="258">
        <f>('C1-Incomes'!S29-'C1-Incomes'!T29)/'C0-Ref Stats'!$R27*1000*'C0-Ref Stats'!$AA27/0.05</f>
        <v>58625.082275930763</v>
      </c>
      <c r="R30" s="258">
        <f>('C1-Incomes'!T29-'C1-Incomes'!U29)/'C0-Ref Stats'!$R27*1000*'C0-Ref Stats'!$AA27/0.04</f>
        <v>84296.61553535414</v>
      </c>
      <c r="S30" s="258">
        <f>('C1-Incomes'!U29-'C1-Incomes'!V29)/'C0-Ref Stats'!$R27*1000*'C0-Ref Stats'!$AA27/0.005</f>
        <v>140730.32770352505</v>
      </c>
      <c r="T30" s="258">
        <f>('C1-Incomes'!V29-'C1-Incomes'!W29)/'C0-Ref Stats'!$R27*1000*'C0-Ref Stats'!$AA27/0.004</f>
        <v>229585.04268901623</v>
      </c>
      <c r="U30" s="258">
        <f>('C1-Incomes'!W29-'C1-Incomes'!X29)/'C0-Ref Stats'!$R27*1000*'C0-Ref Stats'!$AA27/0.0009</f>
        <v>588962.74493111845</v>
      </c>
      <c r="V30" s="258"/>
      <c r="W30" s="258">
        <f>('C1-Incomes'!Z29-'C1-Incomes'!AA29)/'C0-Ref Stats'!$R27*1000*'C0-Ref Stats'!$AA27/0.9</f>
        <v>22591.126557919048</v>
      </c>
      <c r="X30" s="258">
        <f>('C1-Incomes'!AA29-'C1-Incomes'!AB29)/'C0-Ref Stats'!$R27*1000*'C0-Ref Stats'!$AA27/0.05</f>
        <v>46120.927236149422</v>
      </c>
      <c r="Y30" s="258">
        <f>('C1-Incomes'!AB29-'C1-Incomes'!AC29)/'C0-Ref Stats'!$R27*1000*'C0-Ref Stats'!$AA27/0.04</f>
        <v>65211.504773864945</v>
      </c>
      <c r="Z30" s="258">
        <f>('C1-Incomes'!AC29-'C1-Incomes'!AD29)/'C0-Ref Stats'!$R27*1000*'C0-Ref Stats'!$AA27/0.005</f>
        <v>108827.84834576739</v>
      </c>
      <c r="AA30" s="258">
        <f>('C1-Incomes'!AD29-'C1-Incomes'!AE29)/'C0-Ref Stats'!$R27*1000*'C0-Ref Stats'!$AA27/0.004</f>
        <v>170202.82966937768</v>
      </c>
      <c r="AB30" s="258">
        <f>('C1-Incomes'!AE29-'C1-Incomes'!AF29)/'C0-Ref Stats'!$R27*1000*'C0-Ref Stats'!$AA27/0.0009</f>
        <v>433854.45663905528</v>
      </c>
      <c r="AD30" s="258">
        <f>'C1-Incomes'!C29/'C0-Ref Stats'!$B27*1000*'C0-Ref Stats'!$AA27/0.1</f>
        <v>133366.85004941878</v>
      </c>
      <c r="AE30" s="258">
        <f>'C1-Incomes'!D29/'C0-Ref Stats'!$B27*1000*'C0-Ref Stats'!$AA27/0.05</f>
        <v>171242.84621199922</v>
      </c>
      <c r="AF30" s="258">
        <f>'C1-Incomes'!E29/'C0-Ref Stats'!$B27*1000*'C0-Ref Stats'!$AA27/0.01</f>
        <v>325068.84809867304</v>
      </c>
      <c r="AG30" s="258">
        <f>'C1-Incomes'!F29/'C0-Ref Stats'!$B27*1000*'C0-Ref Stats'!$AA27/0.005</f>
        <v>435463.84182390664</v>
      </c>
      <c r="AH30" s="258">
        <f>'C1-Incomes'!G29/'C0-Ref Stats'!$B27*1000*'C0-Ref Stats'!$AA27/0.001</f>
        <v>878431.20603407838</v>
      </c>
      <c r="AI30" s="258">
        <f>'C1-Incomes'!H29/'C0-Ref Stats'!$B27*1000*'C0-Ref Stats'!$AA27/0.0001</f>
        <v>2567909.5866925591</v>
      </c>
      <c r="AJ30" s="47"/>
      <c r="AK30" s="258">
        <f>'C1-Incomes'!K29/'C0-Ref Stats'!$R27*1000*'C0-Ref Stats'!$AA27/0.1</f>
        <v>85965.354292523916</v>
      </c>
      <c r="AL30" s="258">
        <f>'C1-Incomes'!L29/'C0-Ref Stats'!$R27*1000*'C0-Ref Stats'!$AA27/0.05</f>
        <v>114550.21941514545</v>
      </c>
      <c r="AM30" s="258">
        <f>'C1-Incomes'!M29/'C0-Ref Stats'!$R27*1000*'C0-Ref Stats'!$AA27/0.01</f>
        <v>241601.57182892098</v>
      </c>
      <c r="AN30" s="258">
        <f>'C1-Incomes'!N29/'C0-Ref Stats'!$R27*1000*'C0-Ref Stats'!$AA27/0.005</f>
        <v>344451.36605820892</v>
      </c>
      <c r="AO30" s="258">
        <f>'C1-Incomes'!O29/'C0-Ref Stats'!$R27*1000*'C0-Ref Stats'!$AA27/0.001</f>
        <v>812575.74437291583</v>
      </c>
      <c r="AP30" s="258">
        <f>'C1-Incomes'!P29/'C0-Ref Stats'!$R27*1000*'C0-Ref Stats'!$AA27/0.0001</f>
        <v>2840676.4556975076</v>
      </c>
      <c r="AQ30" s="47"/>
      <c r="AR30" s="258">
        <f>'C1-Incomes'!S29/'C0-Ref Stats'!$R27*1000*'C0-Ref Stats'!$AA27/0.1</f>
        <v>87394.590787573718</v>
      </c>
      <c r="AS30" s="258">
        <f>'C1-Incomes'!T29/'C0-Ref Stats'!$R27*1000*'C0-Ref Stats'!$AA27/0.05</f>
        <v>116164.09929921666</v>
      </c>
      <c r="AT30" s="258">
        <f>'C1-Incomes'!U29/'C0-Ref Stats'!$R27*1000*'C0-Ref Stats'!$AA27/0.01</f>
        <v>243634.03435466683</v>
      </c>
      <c r="AU30" s="258">
        <f>'C1-Incomes'!V29/'C0-Ref Stats'!$R27*1000*'C0-Ref Stats'!$AA27/0.005</f>
        <v>346537.7410058087</v>
      </c>
      <c r="AV30" s="258">
        <f>'C1-Incomes'!W29/'C0-Ref Stats'!$R27*1000*'C0-Ref Stats'!$AA27/0.001</f>
        <v>814348.53427297866</v>
      </c>
      <c r="AW30" s="258">
        <f>'C1-Incomes'!X29/'C0-Ref Stats'!$R27*1000*'C0-Ref Stats'!$AA27/0.0001</f>
        <v>2842820.6383497198</v>
      </c>
      <c r="AX30" s="258"/>
      <c r="AY30" s="258">
        <f>'C1-Incomes'!AA29/'C0-Ref Stats'!$R27*1000*'C0-Ref Stats'!$AA27/0.1</f>
        <v>67344.841839554923</v>
      </c>
      <c r="AZ30" s="258">
        <f>'C1-Incomes'!AB29/'C0-Ref Stats'!$R27*1000*'C0-Ref Stats'!$AA27/0.05</f>
        <v>88568.756442960439</v>
      </c>
      <c r="BA30" s="258">
        <f>'C1-Incomes'!AC29/'C0-Ref Stats'!$R27*1000*'C0-Ref Stats'!$AA27/0.01</f>
        <v>181997.76311934239</v>
      </c>
      <c r="BB30" s="258">
        <f>'C1-Incomes'!AD29/'C0-Ref Stats'!$R27*1000*'C0-Ref Stats'!$AA27/0.005</f>
        <v>255167.67789291739</v>
      </c>
      <c r="BC30" s="258">
        <f>'C1-Incomes'!AE29/'C0-Ref Stats'!$R27*1000*'C0-Ref Stats'!$AA27/0.001</f>
        <v>595027.07078707637</v>
      </c>
      <c r="BD30" s="258">
        <f>'C1-Incomes'!AF29/'C0-Ref Stats'!$R27*1000*'C0-Ref Stats'!$AA27/0.0001</f>
        <v>2045580.5981192656</v>
      </c>
      <c r="BF30" s="258">
        <v>85900</v>
      </c>
      <c r="BG30" s="258">
        <v>108000</v>
      </c>
      <c r="BH30" s="258">
        <v>189200</v>
      </c>
      <c r="BI30" s="258">
        <v>251000</v>
      </c>
      <c r="BJ30" s="258">
        <v>489000</v>
      </c>
      <c r="BK30" s="258">
        <v>1320000</v>
      </c>
      <c r="BM30" s="258">
        <v>145500</v>
      </c>
      <c r="BN30" s="258">
        <v>244252.12985167457</v>
      </c>
      <c r="BO30" s="1254">
        <f t="shared" si="0"/>
        <v>2.4733859433567722</v>
      </c>
      <c r="BP30" s="1254">
        <f t="shared" si="4"/>
        <v>2.3925193497084476</v>
      </c>
      <c r="BQ30" s="480"/>
      <c r="BR30" s="258">
        <v>217400</v>
      </c>
      <c r="BS30" s="258">
        <v>426820.56626892422</v>
      </c>
      <c r="BT30" s="258">
        <v>293700</v>
      </c>
      <c r="BU30" s="258">
        <v>592278.13674621121</v>
      </c>
      <c r="BV30" s="1254">
        <f t="shared" si="8"/>
        <v>2.0381024360369131</v>
      </c>
      <c r="BW30" s="1254">
        <f t="shared" si="11"/>
        <v>1.9836621100279772</v>
      </c>
      <c r="BY30" s="258">
        <v>218100</v>
      </c>
      <c r="BZ30" s="258">
        <v>436093.13688352151</v>
      </c>
      <c r="CA30" s="258">
        <v>293900</v>
      </c>
      <c r="CB30" s="258">
        <v>599825.62651195237</v>
      </c>
      <c r="CC30" s="1254">
        <f t="shared" si="9"/>
        <v>2.0004902132149947</v>
      </c>
      <c r="CD30" s="1254">
        <f t="shared" si="12"/>
        <v>1.9606910128809278</v>
      </c>
      <c r="CF30" s="258">
        <v>158500</v>
      </c>
      <c r="CG30" s="258">
        <v>336967.71027610434</v>
      </c>
      <c r="CH30" s="258">
        <v>203100</v>
      </c>
      <c r="CI30" s="258">
        <v>453622.71609433566</v>
      </c>
      <c r="CJ30" s="1254">
        <f t="shared" si="10"/>
        <v>1.8881158376200793</v>
      </c>
      <c r="CK30" s="1254">
        <f t="shared" si="13"/>
        <v>1.8107049259497956</v>
      </c>
      <c r="CM30" s="1183">
        <v>0.50571764819999998</v>
      </c>
      <c r="CN30" s="1183">
        <v>0.51130961949999998</v>
      </c>
    </row>
    <row r="31" spans="1:92" s="256" customFormat="1" ht="9.75" customHeight="1" x14ac:dyDescent="0.25">
      <c r="A31" s="254">
        <v>1982</v>
      </c>
      <c r="B31" s="258">
        <f>('C1-Incomes'!B30-'C1-Incomes'!C30)/'C0-Ref Stats'!$B28*1000*'C0-Ref Stats'!$AA28/0.9</f>
        <v>29366.693854943776</v>
      </c>
      <c r="C31" s="258">
        <f>('C1-Incomes'!C30-'C1-Incomes'!D30)/'C0-Ref Stats'!$B28*1000*'C0-Ref Stats'!$AA28/0.05</f>
        <v>95826.108593597019</v>
      </c>
      <c r="D31" s="258">
        <f>('C1-Incomes'!D30-'C1-Incomes'!E30)/'C0-Ref Stats'!$B28*1000*'C0-Ref Stats'!$AA28/0.04</f>
        <v>133202.77566495514</v>
      </c>
      <c r="E31" s="258">
        <f>('C1-Incomes'!E30-'C1-Incomes'!F30)/'C0-Ref Stats'!$B28*1000*'C0-Ref Stats'!$AA28/0.005</f>
        <v>217138.51709154731</v>
      </c>
      <c r="F31" s="258">
        <f>('C1-Incomes'!F30-'C1-Incomes'!G30)/'C0-Ref Stats'!$B28*1000*'C0-Ref Stats'!$AA28/0.004</f>
        <v>334140.06763065694</v>
      </c>
      <c r="G31" s="258">
        <f>('C1-Incomes'!G30-'C1-Incomes'!H30)/'C0-Ref Stats'!$B28*1000*'C0-Ref Stats'!$AA28/0.0009</f>
        <v>746533.94910094352</v>
      </c>
      <c r="H31" s="258"/>
      <c r="I31" s="258">
        <f>('C1-Incomes'!J30-'C1-Incomes'!K30)/'C0-Ref Stats'!$R28*1000*'C0-Ref Stats'!$AA28/0.9</f>
        <v>20008.662474314227</v>
      </c>
      <c r="J31" s="258">
        <f>('C1-Incomes'!K30-'C1-Incomes'!L30)/'C0-Ref Stats'!$R28*1000*'C0-Ref Stats'!$AA28/0.05</f>
        <v>57412.014223270511</v>
      </c>
      <c r="K31" s="258">
        <f>('C1-Incomes'!L30-'C1-Incomes'!M30)/'C0-Ref Stats'!$R28*1000*'C0-Ref Stats'!$AA28/0.04</f>
        <v>81498.527421729945</v>
      </c>
      <c r="L31" s="258">
        <f>('C1-Incomes'!M30-'C1-Incomes'!N30)/'C0-Ref Stats'!$R28*1000*'C0-Ref Stats'!$AA28/0.005</f>
        <v>134542.92299429388</v>
      </c>
      <c r="M31" s="258">
        <f>('C1-Incomes'!N30-'C1-Incomes'!O30)/'C0-Ref Stats'!$R28*1000*'C0-Ref Stats'!$AA28/0.004</f>
        <v>221532.06688838152</v>
      </c>
      <c r="N31" s="258">
        <f>('C1-Incomes'!O30-'C1-Incomes'!P30)/'C0-Ref Stats'!$R28*1000*'C0-Ref Stats'!$AA28/0.0009</f>
        <v>597060.48400718183</v>
      </c>
      <c r="O31" s="47"/>
      <c r="P31" s="258">
        <f>('C1-Incomes'!R30-'C1-Incomes'!S30)/'C0-Ref Stats'!$R28*1000*'C0-Ref Stats'!$AA28/0.9</f>
        <v>23366.747120340366</v>
      </c>
      <c r="Q31" s="258">
        <f>('C1-Incomes'!S30-'C1-Incomes'!T30)/'C0-Ref Stats'!$R28*1000*'C0-Ref Stats'!$AA28/0.05</f>
        <v>58724.326104835323</v>
      </c>
      <c r="R31" s="258">
        <f>('C1-Incomes'!T30-'C1-Incomes'!U30)/'C0-Ref Stats'!$R28*1000*'C0-Ref Stats'!$AA28/0.04</f>
        <v>83066.353134340316</v>
      </c>
      <c r="S31" s="258">
        <f>('C1-Incomes'!U30-'C1-Incomes'!V30)/'C0-Ref Stats'!$R28*1000*'C0-Ref Stats'!$AA28/0.005</f>
        <v>136603.252291905</v>
      </c>
      <c r="T31" s="258">
        <f>('C1-Incomes'!V30-'C1-Incomes'!W30)/'C0-Ref Stats'!$R28*1000*'C0-Ref Stats'!$AA28/0.004</f>
        <v>223611.97528190224</v>
      </c>
      <c r="U31" s="258">
        <f>('C1-Incomes'!W30-'C1-Incomes'!X30)/'C0-Ref Stats'!$R28*1000*'C0-Ref Stats'!$AA28/0.0009</f>
        <v>598496.59756770649</v>
      </c>
      <c r="V31" s="258"/>
      <c r="W31" s="258">
        <f>('C1-Incomes'!Z30-'C1-Incomes'!AA30)/'C0-Ref Stats'!$R28*1000*'C0-Ref Stats'!$AA28/0.9</f>
        <v>22214.147199444731</v>
      </c>
      <c r="X31" s="258">
        <f>('C1-Incomes'!AA30-'C1-Incomes'!AB30)/'C0-Ref Stats'!$R28*1000*'C0-Ref Stats'!$AA28/0.05</f>
        <v>45534.315771235582</v>
      </c>
      <c r="Y31" s="258">
        <f>('C1-Incomes'!AB30-'C1-Incomes'!AC30)/'C0-Ref Stats'!$R28*1000*'C0-Ref Stats'!$AA28/0.04</f>
        <v>63168.68131498513</v>
      </c>
      <c r="Z31" s="258">
        <f>('C1-Incomes'!AC30-'C1-Incomes'!AD30)/'C0-Ref Stats'!$R28*1000*'C0-Ref Stats'!$AA28/0.005</f>
        <v>101157.42900246807</v>
      </c>
      <c r="AA31" s="258">
        <f>('C1-Incomes'!AD30-'C1-Incomes'!AE30)/'C0-Ref Stats'!$R28*1000*'C0-Ref Stats'!$AA28/0.004</f>
        <v>162346.87315475219</v>
      </c>
      <c r="AB31" s="258">
        <f>('C1-Incomes'!AE30-'C1-Incomes'!AF30)/'C0-Ref Stats'!$R28*1000*'C0-Ref Stats'!$AA28/0.0009</f>
        <v>419013.40449983254</v>
      </c>
      <c r="AD31" s="258">
        <f>'C1-Incomes'!C30/'C0-Ref Stats'!$B28*1000*'C0-Ref Stats'!$AA28/0.1</f>
        <v>135216.12180054674</v>
      </c>
      <c r="AE31" s="258">
        <f>'C1-Incomes'!D30/'C0-Ref Stats'!$B28*1000*'C0-Ref Stats'!$AA28/0.05</f>
        <v>174606.13500749649</v>
      </c>
      <c r="AF31" s="258">
        <f>'C1-Incomes'!E30/'C0-Ref Stats'!$B28*1000*'C0-Ref Stats'!$AA28/0.01</f>
        <v>340219.57237766177</v>
      </c>
      <c r="AG31" s="258">
        <f>'C1-Incomes'!F30/'C0-Ref Stats'!$B28*1000*'C0-Ref Stats'!$AA28/0.005</f>
        <v>463300.62766377622</v>
      </c>
      <c r="AH31" s="258">
        <f>'C1-Incomes'!G30/'C0-Ref Stats'!$B28*1000*'C0-Ref Stats'!$AA28/0.001</f>
        <v>979942.86779625306</v>
      </c>
      <c r="AI31" s="258">
        <f>'C1-Incomes'!H30/'C0-Ref Stats'!$B28*1000*'C0-Ref Stats'!$AA28/0.0001</f>
        <v>3080623.1360540385</v>
      </c>
      <c r="AJ31" s="47"/>
      <c r="AK31" s="258">
        <f>'C1-Incomes'!K30/'C0-Ref Stats'!$R28*1000*'C0-Ref Stats'!$AA28/0.1</f>
        <v>85295.61331726225</v>
      </c>
      <c r="AL31" s="258">
        <f>'C1-Incomes'!L30/'C0-Ref Stats'!$R28*1000*'C0-Ref Stats'!$AA28/0.05</f>
        <v>113179.21241125395</v>
      </c>
      <c r="AM31" s="258">
        <f>'C1-Incomes'!M30/'C0-Ref Stats'!$R28*1000*'C0-Ref Stats'!$AA28/0.01</f>
        <v>239901.95236935015</v>
      </c>
      <c r="AN31" s="258">
        <f>'C1-Incomes'!N30/'C0-Ref Stats'!$R28*1000*'C0-Ref Stats'!$AA28/0.005</f>
        <v>345260.98174440634</v>
      </c>
      <c r="AO31" s="258">
        <f>'C1-Incomes'!O30/'C0-Ref Stats'!$R28*1000*'C0-Ref Stats'!$AA28/0.001</f>
        <v>840176.64116850588</v>
      </c>
      <c r="AP31" s="258">
        <f>'C1-Incomes'!P30/'C0-Ref Stats'!$R28*1000*'C0-Ref Stats'!$AA28/0.0001</f>
        <v>3028222.0556204212</v>
      </c>
      <c r="AQ31" s="47"/>
      <c r="AR31" s="258">
        <f>'C1-Incomes'!S30/'C0-Ref Stats'!$R28*1000*'C0-Ref Stats'!$AA28/0.1</f>
        <v>86780.561138824574</v>
      </c>
      <c r="AS31" s="258">
        <f>'C1-Incomes'!T30/'C0-Ref Stats'!$R28*1000*'C0-Ref Stats'!$AA28/0.05</f>
        <v>114836.79617281382</v>
      </c>
      <c r="AT31" s="258">
        <f>'C1-Incomes'!U30/'C0-Ref Stats'!$R28*1000*'C0-Ref Stats'!$AA28/0.01</f>
        <v>241918.56832670796</v>
      </c>
      <c r="AU31" s="258">
        <f>'C1-Incomes'!V30/'C0-Ref Stats'!$R28*1000*'C0-Ref Stats'!$AA28/0.005</f>
        <v>347233.88436151086</v>
      </c>
      <c r="AV31" s="258">
        <f>'C1-Incomes'!W30/'C0-Ref Stats'!$R28*1000*'C0-Ref Stats'!$AA28/0.001</f>
        <v>841721.52067994536</v>
      </c>
      <c r="AW31" s="258">
        <f>'C1-Incomes'!X30/'C0-Ref Stats'!$R28*1000*'C0-Ref Stats'!$AA28/0.0001</f>
        <v>3030745.8286900958</v>
      </c>
      <c r="AX31" s="258"/>
      <c r="AY31" s="258">
        <f>'C1-Incomes'!AA30/'C0-Ref Stats'!$R28*1000*'C0-Ref Stats'!$AA28/0.1</f>
        <v>65446.086367522948</v>
      </c>
      <c r="AZ31" s="258">
        <f>'C1-Incomes'!AB30/'C0-Ref Stats'!$R28*1000*'C0-Ref Stats'!$AA28/0.05</f>
        <v>85357.856963810336</v>
      </c>
      <c r="BA31" s="258">
        <f>'C1-Incomes'!AC30/'C0-Ref Stats'!$R28*1000*'C0-Ref Stats'!$AA28/0.01</f>
        <v>174114.55955911111</v>
      </c>
      <c r="BB31" s="258">
        <f>'C1-Incomes'!AD30/'C0-Ref Stats'!$R28*1000*'C0-Ref Stats'!$AA28/0.005</f>
        <v>247071.69011575411</v>
      </c>
      <c r="BC31" s="258">
        <f>'C1-Incomes'!AE30/'C0-Ref Stats'!$R28*1000*'C0-Ref Stats'!$AA28/0.001</f>
        <v>585970.95795976173</v>
      </c>
      <c r="BD31" s="258">
        <f>'C1-Incomes'!AF30/'C0-Ref Stats'!$R28*1000*'C0-Ref Stats'!$AA28/0.0001</f>
        <v>2088588.9390991253</v>
      </c>
      <c r="BF31" s="258">
        <v>86300</v>
      </c>
      <c r="BG31" s="258">
        <v>108100</v>
      </c>
      <c r="BH31" s="258">
        <v>190900</v>
      </c>
      <c r="BI31" s="258">
        <v>253000</v>
      </c>
      <c r="BJ31" s="258">
        <v>510000</v>
      </c>
      <c r="BK31" s="258">
        <v>1500000</v>
      </c>
      <c r="BM31" s="258">
        <v>146400</v>
      </c>
      <c r="BN31" s="258">
        <v>252252.50855123595</v>
      </c>
      <c r="BO31" s="1254">
        <f t="shared" si="0"/>
        <v>2.3830565000652562</v>
      </c>
      <c r="BP31" s="1254">
        <f t="shared" si="4"/>
        <v>2.2784660239795773</v>
      </c>
      <c r="BQ31" s="480"/>
      <c r="BR31" s="258">
        <v>207000</v>
      </c>
      <c r="BS31" s="258">
        <v>419052.09278650302</v>
      </c>
      <c r="BT31" s="258">
        <v>286000</v>
      </c>
      <c r="BU31" s="258">
        <v>585051.662547588</v>
      </c>
      <c r="BV31" s="1254">
        <f t="shared" si="8"/>
        <v>1.9761752278880382</v>
      </c>
      <c r="BW31" s="1254">
        <f t="shared" si="11"/>
        <v>1.9563564956088111</v>
      </c>
      <c r="BY31" s="258">
        <v>207300</v>
      </c>
      <c r="BZ31" s="258">
        <v>428623.35520690947</v>
      </c>
      <c r="CA31" s="258">
        <v>285900</v>
      </c>
      <c r="CB31" s="258">
        <v>593282.64274533023</v>
      </c>
      <c r="CC31" s="1254">
        <f t="shared" si="9"/>
        <v>1.936638610987081</v>
      </c>
      <c r="CD31" s="1254">
        <f t="shared" si="12"/>
        <v>1.9301110740884324</v>
      </c>
      <c r="CF31" s="258">
        <v>154600</v>
      </c>
      <c r="CG31" s="258">
        <v>320818.61513200757</v>
      </c>
      <c r="CH31" s="258">
        <v>198600</v>
      </c>
      <c r="CI31" s="258">
        <v>431817.74102475453</v>
      </c>
      <c r="CJ31" s="1254">
        <f t="shared" si="10"/>
        <v>1.9301003974628217</v>
      </c>
      <c r="CK31" s="1254">
        <f t="shared" si="13"/>
        <v>1.8515647185645276</v>
      </c>
      <c r="CM31" s="1183">
        <v>0.51821300140000004</v>
      </c>
      <c r="CN31" s="1183">
        <v>0.51398754609999997</v>
      </c>
    </row>
    <row r="32" spans="1:92" s="256" customFormat="1" ht="9.75" customHeight="1" x14ac:dyDescent="0.25">
      <c r="A32" s="254">
        <v>1983</v>
      </c>
      <c r="B32" s="258">
        <f>('C1-Incomes'!B31-'C1-Incomes'!C31)/'C0-Ref Stats'!$B29*1000*'C0-Ref Stats'!$AA29/0.9</f>
        <v>28810.655831847587</v>
      </c>
      <c r="C32" s="258">
        <f>('C1-Incomes'!C31-'C1-Incomes'!D31)/'C0-Ref Stats'!$B29*1000*'C0-Ref Stats'!$AA29/0.05</f>
        <v>95923.465594816982</v>
      </c>
      <c r="D32" s="258">
        <f>('C1-Incomes'!D31-'C1-Incomes'!E31)/'C0-Ref Stats'!$B29*1000*'C0-Ref Stats'!$AA29/0.04</f>
        <v>134063.1467794769</v>
      </c>
      <c r="E32" s="258">
        <f>('C1-Incomes'!E31-'C1-Incomes'!F31)/'C0-Ref Stats'!$B29*1000*'C0-Ref Stats'!$AA29/0.005</f>
        <v>215200.09876295362</v>
      </c>
      <c r="F32" s="258">
        <f>('C1-Incomes'!F31-'C1-Incomes'!G31)/'C0-Ref Stats'!$B29*1000*'C0-Ref Stats'!$AA29/0.004</f>
        <v>335460.36290624033</v>
      </c>
      <c r="G32" s="258">
        <f>('C1-Incomes'!G31-'C1-Incomes'!H31)/'C0-Ref Stats'!$B29*1000*'C0-Ref Stats'!$AA29/0.0009</f>
        <v>764065.6245114851</v>
      </c>
      <c r="H32" s="258"/>
      <c r="I32" s="258">
        <f>('C1-Incomes'!J31-'C1-Incomes'!K31)/'C0-Ref Stats'!$R29*1000*'C0-Ref Stats'!$AA29/0.9</f>
        <v>20428.744200403489</v>
      </c>
      <c r="J32" s="258">
        <f>('C1-Incomes'!K31-'C1-Incomes'!L31)/'C0-Ref Stats'!$R29*1000*'C0-Ref Stats'!$AA29/0.05</f>
        <v>58433.759860732367</v>
      </c>
      <c r="K32" s="258">
        <f>('C1-Incomes'!L31-'C1-Incomes'!M31)/'C0-Ref Stats'!$R29*1000*'C0-Ref Stats'!$AA29/0.04</f>
        <v>84077.479323084452</v>
      </c>
      <c r="L32" s="258">
        <f>('C1-Incomes'!M31-'C1-Incomes'!N31)/'C0-Ref Stats'!$R29*1000*'C0-Ref Stats'!$AA29/0.005</f>
        <v>138823.61897163029</v>
      </c>
      <c r="M32" s="258">
        <f>('C1-Incomes'!N31-'C1-Incomes'!O31)/'C0-Ref Stats'!$R29*1000*'C0-Ref Stats'!$AA29/0.004</f>
        <v>233726.6789970471</v>
      </c>
      <c r="N32" s="258">
        <f>('C1-Incomes'!O31-'C1-Incomes'!P31)/'C0-Ref Stats'!$R29*1000*'C0-Ref Stats'!$AA29/0.0009</f>
        <v>626476.75786362006</v>
      </c>
      <c r="O32" s="47"/>
      <c r="P32" s="258">
        <f>('C1-Incomes'!R31-'C1-Incomes'!S31)/'C0-Ref Stats'!$R29*1000*'C0-Ref Stats'!$AA29/0.9</f>
        <v>23874.837650475016</v>
      </c>
      <c r="Q32" s="258">
        <f>('C1-Incomes'!S31-'C1-Incomes'!T31)/'C0-Ref Stats'!$R29*1000*'C0-Ref Stats'!$AA29/0.05</f>
        <v>59800.17032639715</v>
      </c>
      <c r="R32" s="258">
        <f>('C1-Incomes'!T31-'C1-Incomes'!U31)/'C0-Ref Stats'!$R29*1000*'C0-Ref Stats'!$AA29/0.04</f>
        <v>85659.71604639283</v>
      </c>
      <c r="S32" s="258">
        <f>('C1-Incomes'!U31-'C1-Incomes'!V31)/'C0-Ref Stats'!$R29*1000*'C0-Ref Stats'!$AA29/0.005</f>
        <v>140757.3051511446</v>
      </c>
      <c r="T32" s="258">
        <f>('C1-Incomes'!V31-'C1-Incomes'!W31)/'C0-Ref Stats'!$R29*1000*'C0-Ref Stats'!$AA29/0.004</f>
        <v>235917.59446153944</v>
      </c>
      <c r="U32" s="258">
        <f>('C1-Incomes'!W31-'C1-Incomes'!X31)/'C0-Ref Stats'!$R29*1000*'C0-Ref Stats'!$AA29/0.0009</f>
        <v>628204.30297976604</v>
      </c>
      <c r="V32" s="258"/>
      <c r="W32" s="258">
        <f>('C1-Incomes'!Z31-'C1-Incomes'!AA31)/'C0-Ref Stats'!$R29*1000*'C0-Ref Stats'!$AA29/0.9</f>
        <v>22673.31856729119</v>
      </c>
      <c r="X32" s="258">
        <f>('C1-Incomes'!AA31-'C1-Incomes'!AB31)/'C0-Ref Stats'!$R29*1000*'C0-Ref Stats'!$AA29/0.05</f>
        <v>46982.197547061376</v>
      </c>
      <c r="Y32" s="258">
        <f>('C1-Incomes'!AB31-'C1-Incomes'!AC31)/'C0-Ref Stats'!$R29*1000*'C0-Ref Stats'!$AA29/0.04</f>
        <v>65336.24118240508</v>
      </c>
      <c r="Z32" s="258">
        <f>('C1-Incomes'!AC31-'C1-Incomes'!AD31)/'C0-Ref Stats'!$R29*1000*'C0-Ref Stats'!$AA29/0.005</f>
        <v>105473.80631858954</v>
      </c>
      <c r="AA32" s="258">
        <f>('C1-Incomes'!AD31-'C1-Incomes'!AE31)/'C0-Ref Stats'!$R29*1000*'C0-Ref Stats'!$AA29/0.004</f>
        <v>171273.66957965752</v>
      </c>
      <c r="AB32" s="258">
        <f>('C1-Incomes'!AE31-'C1-Incomes'!AF31)/'C0-Ref Stats'!$R29*1000*'C0-Ref Stats'!$AA29/0.0009</f>
        <v>432337.1083842715</v>
      </c>
      <c r="AD32" s="258">
        <f>'C1-Incomes'!C31/'C0-Ref Stats'!$B29*1000*'C0-Ref Stats'!$AA29/0.1</f>
        <v>136068.46301834669</v>
      </c>
      <c r="AE32" s="258">
        <f>'C1-Incomes'!D31/'C0-Ref Stats'!$B29*1000*'C0-Ref Stats'!$AA29/0.05</f>
        <v>176213.46044187641</v>
      </c>
      <c r="AF32" s="258">
        <f>'C1-Incomes'!E31/'C0-Ref Stats'!$B29*1000*'C0-Ref Stats'!$AA29/0.01</f>
        <v>344814.71509147465</v>
      </c>
      <c r="AG32" s="258">
        <f>'C1-Incomes'!F31/'C0-Ref Stats'!$B29*1000*'C0-Ref Stats'!$AA29/0.005</f>
        <v>474429.33141999564</v>
      </c>
      <c r="AH32" s="258">
        <f>'C1-Incomes'!G31/'C0-Ref Stats'!$B29*1000*'C0-Ref Stats'!$AA29/0.001</f>
        <v>1030305.2054750168</v>
      </c>
      <c r="AI32" s="258">
        <f>'C1-Incomes'!H31/'C0-Ref Stats'!$B29*1000*'C0-Ref Stats'!$AA29/0.0001</f>
        <v>3426461.434146801</v>
      </c>
      <c r="AJ32" s="47"/>
      <c r="AK32" s="258">
        <f>'C1-Incomes'!K31/'C0-Ref Stats'!$R29*1000*'C0-Ref Stats'!$AA29/0.1</f>
        <v>87990.537040262163</v>
      </c>
      <c r="AL32" s="258">
        <f>'C1-Incomes'!L31/'C0-Ref Stats'!$R29*1000*'C0-Ref Stats'!$AA29/0.05</f>
        <v>117547.31421979197</v>
      </c>
      <c r="AM32" s="258">
        <f>'C1-Incomes'!M31/'C0-Ref Stats'!$R29*1000*'C0-Ref Stats'!$AA29/0.01</f>
        <v>251426.65380662211</v>
      </c>
      <c r="AN32" s="258">
        <f>'C1-Incomes'!N31/'C0-Ref Stats'!$R29*1000*'C0-Ref Stats'!$AA29/0.005</f>
        <v>364029.68864161387</v>
      </c>
      <c r="AO32" s="258">
        <f>'C1-Incomes'!O31/'C0-Ref Stats'!$R29*1000*'C0-Ref Stats'!$AA29/0.001</f>
        <v>885241.72721988114</v>
      </c>
      <c r="AP32" s="258">
        <f>'C1-Incomes'!P31/'C0-Ref Stats'!$R29*1000*'C0-Ref Stats'!$AA29/0.0001</f>
        <v>3214126.4514262308</v>
      </c>
      <c r="AQ32" s="47"/>
      <c r="AR32" s="258">
        <f>'C1-Incomes'!S31/'C0-Ref Stats'!$R29*1000*'C0-Ref Stats'!$AA29/0.1</f>
        <v>89508.888380278368</v>
      </c>
      <c r="AS32" s="258">
        <f>'C1-Incomes'!T31/'C0-Ref Stats'!$R29*1000*'C0-Ref Stats'!$AA29/0.05</f>
        <v>119217.60643415956</v>
      </c>
      <c r="AT32" s="258">
        <f>'C1-Incomes'!U31/'C0-Ref Stats'!$R29*1000*'C0-Ref Stats'!$AA29/0.01</f>
        <v>253449.16798522644</v>
      </c>
      <c r="AU32" s="258">
        <f>'C1-Incomes'!V31/'C0-Ref Stats'!$R29*1000*'C0-Ref Stats'!$AA29/0.005</f>
        <v>366141.03081930836</v>
      </c>
      <c r="AV32" s="258">
        <f>'C1-Incomes'!W31/'C0-Ref Stats'!$R29*1000*'C0-Ref Stats'!$AA29/0.001</f>
        <v>887034.77625038405</v>
      </c>
      <c r="AW32" s="258">
        <f>'C1-Incomes'!X31/'C0-Ref Stats'!$R29*1000*'C0-Ref Stats'!$AA29/0.0001</f>
        <v>3216509.0356859462</v>
      </c>
      <c r="AX32" s="258"/>
      <c r="AY32" s="258">
        <f>'C1-Incomes'!AA31/'C0-Ref Stats'!$R29*1000*'C0-Ref Stats'!$AA29/0.1</f>
        <v>67789.297966489787</v>
      </c>
      <c r="AZ32" s="258">
        <f>'C1-Incomes'!AB31/'C0-Ref Stats'!$R29*1000*'C0-Ref Stats'!$AA29/0.05</f>
        <v>88596.39838591819</v>
      </c>
      <c r="BA32" s="258">
        <f>'C1-Incomes'!AC31/'C0-Ref Stats'!$R29*1000*'C0-Ref Stats'!$AA29/0.01</f>
        <v>181637.02719997073</v>
      </c>
      <c r="BB32" s="258">
        <f>'C1-Incomes'!AD31/'C0-Ref Stats'!$R29*1000*'C0-Ref Stats'!$AA29/0.005</f>
        <v>257800.24808135189</v>
      </c>
      <c r="BC32" s="258">
        <f>'C1-Incomes'!AE31/'C0-Ref Stats'!$R29*1000*'C0-Ref Stats'!$AA29/0.001</f>
        <v>603906.56208812958</v>
      </c>
      <c r="BD32" s="258">
        <f>'C1-Incomes'!AF31/'C0-Ref Stats'!$R29*1000*'C0-Ref Stats'!$AA29/0.0001</f>
        <v>2148031.6454228521</v>
      </c>
      <c r="BF32" s="258">
        <v>86000</v>
      </c>
      <c r="BG32" s="258">
        <v>108700</v>
      </c>
      <c r="BH32" s="258">
        <v>189600</v>
      </c>
      <c r="BI32" s="258">
        <v>253000</v>
      </c>
      <c r="BJ32" s="258">
        <v>514000</v>
      </c>
      <c r="BK32" s="258">
        <v>1600000</v>
      </c>
      <c r="BM32" s="258">
        <v>146900</v>
      </c>
      <c r="BN32" s="258">
        <v>254676.13767899189</v>
      </c>
      <c r="BO32" s="1254">
        <f t="shared" si="0"/>
        <v>2.3630104322121603</v>
      </c>
      <c r="BP32" s="1254">
        <f t="shared" si="4"/>
        <v>2.2215336663682992</v>
      </c>
      <c r="BQ32" s="480"/>
      <c r="BR32" s="258">
        <v>209600</v>
      </c>
      <c r="BS32" s="258">
        <v>430342.42892387405</v>
      </c>
      <c r="BT32" s="258">
        <v>296000</v>
      </c>
      <c r="BU32" s="258">
        <v>603641.6446497608</v>
      </c>
      <c r="BV32" s="1254">
        <f t="shared" si="8"/>
        <v>1.9495229395717277</v>
      </c>
      <c r="BW32" s="1254">
        <f t="shared" si="11"/>
        <v>1.9621584240878234</v>
      </c>
      <c r="BY32" s="258">
        <v>210100</v>
      </c>
      <c r="BZ32" s="258">
        <v>440156.7998427705</v>
      </c>
      <c r="CA32" s="258">
        <v>295900</v>
      </c>
      <c r="CB32" s="258">
        <v>612701.69451335096</v>
      </c>
      <c r="CC32" s="1254">
        <f t="shared" si="9"/>
        <v>1.9132527277767502</v>
      </c>
      <c r="CD32" s="1254">
        <f t="shared" si="12"/>
        <v>1.9340227818368878</v>
      </c>
      <c r="CF32" s="258">
        <v>156500</v>
      </c>
      <c r="CG32" s="258">
        <v>329272.04182445584</v>
      </c>
      <c r="CH32" s="258">
        <v>208500</v>
      </c>
      <c r="CI32" s="258">
        <v>445087.57072614797</v>
      </c>
      <c r="CJ32" s="1254">
        <f t="shared" si="10"/>
        <v>1.905817853093448</v>
      </c>
      <c r="CK32" s="1254">
        <f t="shared" si="13"/>
        <v>1.881280446644175</v>
      </c>
      <c r="CM32" s="1183">
        <v>0.52661918100000005</v>
      </c>
      <c r="CN32" s="1183">
        <v>0.51914276920000002</v>
      </c>
    </row>
    <row r="33" spans="1:92" s="256" customFormat="1" ht="9.75" customHeight="1" x14ac:dyDescent="0.25">
      <c r="A33" s="254">
        <v>1984</v>
      </c>
      <c r="B33" s="258">
        <f>('C1-Incomes'!B32-'C1-Incomes'!C32)/'C0-Ref Stats'!$B30*1000*'C0-Ref Stats'!$AA30/0.9</f>
        <v>29827.77797827161</v>
      </c>
      <c r="C33" s="258">
        <f>('C1-Incomes'!C32-'C1-Incomes'!D32)/'C0-Ref Stats'!$B30*1000*'C0-Ref Stats'!$AA30/0.05</f>
        <v>98824.704916695729</v>
      </c>
      <c r="D33" s="258">
        <f>('C1-Incomes'!D32-'C1-Incomes'!E32)/'C0-Ref Stats'!$B30*1000*'C0-Ref Stats'!$AA30/0.04</f>
        <v>138831.67333783041</v>
      </c>
      <c r="E33" s="258">
        <f>('C1-Incomes'!E32-'C1-Incomes'!F32)/'C0-Ref Stats'!$B30*1000*'C0-Ref Stats'!$AA30/0.005</f>
        <v>223487.78794069175</v>
      </c>
      <c r="F33" s="258">
        <f>('C1-Incomes'!F32-'C1-Incomes'!G32)/'C0-Ref Stats'!$B30*1000*'C0-Ref Stats'!$AA30/0.004</f>
        <v>354059.17317238339</v>
      </c>
      <c r="G33" s="258">
        <f>('C1-Incomes'!G32-'C1-Incomes'!H32)/'C0-Ref Stats'!$B30*1000*'C0-Ref Stats'!$AA30/0.0009</f>
        <v>844349.77705581207</v>
      </c>
      <c r="H33" s="258"/>
      <c r="I33" s="258">
        <f>('C1-Incomes'!J32-'C1-Incomes'!K32)/'C0-Ref Stats'!$R30*1000*'C0-Ref Stats'!$AA30/0.9</f>
        <v>21793.436384809294</v>
      </c>
      <c r="J33" s="258">
        <f>('C1-Incomes'!K32-'C1-Incomes'!L32)/'C0-Ref Stats'!$R30*1000*'C0-Ref Stats'!$AA30/0.05</f>
        <v>61745.108978822012</v>
      </c>
      <c r="K33" s="258">
        <f>('C1-Incomes'!L32-'C1-Incomes'!M32)/'C0-Ref Stats'!$R30*1000*'C0-Ref Stats'!$AA30/0.04</f>
        <v>89178.685220829473</v>
      </c>
      <c r="L33" s="258">
        <f>('C1-Incomes'!M32-'C1-Incomes'!N32)/'C0-Ref Stats'!$R30*1000*'C0-Ref Stats'!$AA30/0.005</f>
        <v>151696.80588939844</v>
      </c>
      <c r="M33" s="258">
        <f>('C1-Incomes'!N32-'C1-Incomes'!O32)/'C0-Ref Stats'!$R30*1000*'C0-Ref Stats'!$AA30/0.004</f>
        <v>255413.63407538075</v>
      </c>
      <c r="N33" s="258">
        <f>('C1-Incomes'!O32-'C1-Incomes'!P32)/'C0-Ref Stats'!$R30*1000*'C0-Ref Stats'!$AA30/0.0009</f>
        <v>688315.49174017506</v>
      </c>
      <c r="O33" s="47"/>
      <c r="P33" s="258">
        <f>('C1-Incomes'!R32-'C1-Incomes'!S32)/'C0-Ref Stats'!$R30*1000*'C0-Ref Stats'!$AA30/0.9</f>
        <v>25143.623342363993</v>
      </c>
      <c r="Q33" s="258">
        <f>('C1-Incomes'!S32-'C1-Incomes'!T32)/'C0-Ref Stats'!$R30*1000*'C0-Ref Stats'!$AA30/0.05</f>
        <v>63109.867561177067</v>
      </c>
      <c r="R33" s="258">
        <f>('C1-Incomes'!T32-'C1-Incomes'!U32)/'C0-Ref Stats'!$R30*1000*'C0-Ref Stats'!$AA30/0.04</f>
        <v>90763.055897687227</v>
      </c>
      <c r="S33" s="258">
        <f>('C1-Incomes'!U32-'C1-Incomes'!V32)/'C0-Ref Stats'!$R30*1000*'C0-Ref Stats'!$AA30/0.005</f>
        <v>153714.50588727579</v>
      </c>
      <c r="T33" s="258">
        <f>('C1-Incomes'!V32-'C1-Incomes'!W32)/'C0-Ref Stats'!$R30*1000*'C0-Ref Stats'!$AA30/0.004</f>
        <v>257871.84723157354</v>
      </c>
      <c r="U33" s="258">
        <f>('C1-Incomes'!W32-'C1-Incomes'!X32)/'C0-Ref Stats'!$R30*1000*'C0-Ref Stats'!$AA30/0.0009</f>
        <v>689787.59553178877</v>
      </c>
      <c r="V33" s="258"/>
      <c r="W33" s="258">
        <f>('C1-Incomes'!Z32-'C1-Incomes'!AA32)/'C0-Ref Stats'!$R30*1000*'C0-Ref Stats'!$AA30/0.9</f>
        <v>23938.645706147054</v>
      </c>
      <c r="X33" s="258">
        <f>('C1-Incomes'!AA32-'C1-Incomes'!AB32)/'C0-Ref Stats'!$R30*1000*'C0-Ref Stats'!$AA30/0.05</f>
        <v>50850.554084559197</v>
      </c>
      <c r="Y33" s="258">
        <f>('C1-Incomes'!AB32-'C1-Incomes'!AC32)/'C0-Ref Stats'!$R30*1000*'C0-Ref Stats'!$AA30/0.04</f>
        <v>71324.059293770566</v>
      </c>
      <c r="Z33" s="258">
        <f>('C1-Incomes'!AC32-'C1-Incomes'!AD32)/'C0-Ref Stats'!$R30*1000*'C0-Ref Stats'!$AA30/0.005</f>
        <v>120252.21843611539</v>
      </c>
      <c r="AA33" s="258">
        <f>('C1-Incomes'!AD32-'C1-Incomes'!AE32)/'C0-Ref Stats'!$R30*1000*'C0-Ref Stats'!$AA30/0.004</f>
        <v>199050.3517786141</v>
      </c>
      <c r="AB33" s="258">
        <f>('C1-Incomes'!AE32-'C1-Incomes'!AF32)/'C0-Ref Stats'!$R30*1000*'C0-Ref Stats'!$AA30/0.0009</f>
        <v>491928.83673887339</v>
      </c>
      <c r="AD33" s="258">
        <f>'C1-Incomes'!C32/'C0-Ref Stats'!$B30*1000*'C0-Ref Stats'!$AA30/0.1</f>
        <v>141901.65521828894</v>
      </c>
      <c r="AE33" s="258">
        <f>'C1-Incomes'!D32/'C0-Ref Stats'!$B30*1000*'C0-Ref Stats'!$AA30/0.05</f>
        <v>184978.60551988217</v>
      </c>
      <c r="AF33" s="258">
        <f>'C1-Incomes'!E32/'C0-Ref Stats'!$B30*1000*'C0-Ref Stats'!$AA30/0.01</f>
        <v>369566.33424808941</v>
      </c>
      <c r="AG33" s="258">
        <f>'C1-Incomes'!F32/'C0-Ref Stats'!$B30*1000*'C0-Ref Stats'!$AA30/0.005</f>
        <v>515644.88055548706</v>
      </c>
      <c r="AH33" s="258">
        <f>'C1-Incomes'!G32/'C0-Ref Stats'!$B30*1000*'C0-Ref Stats'!$AA30/0.001</f>
        <v>1161987.7100879021</v>
      </c>
      <c r="AI33" s="258">
        <f>'C1-Incomes'!H32/'C0-Ref Stats'!$B30*1000*'C0-Ref Stats'!$AA30/0.0001</f>
        <v>4020729.1073767124</v>
      </c>
      <c r="AJ33" s="47"/>
      <c r="AK33" s="258">
        <f>'C1-Incomes'!K32/'C0-Ref Stats'!$R30*1000*'C0-Ref Stats'!$AA30/0.1</f>
        <v>94256.864053735553</v>
      </c>
      <c r="AL33" s="258">
        <f>'C1-Incomes'!L32/'C0-Ref Stats'!$R30*1000*'C0-Ref Stats'!$AA30/0.05</f>
        <v>126768.61912864909</v>
      </c>
      <c r="AM33" s="258">
        <f>'C1-Incomes'!M32/'C0-Ref Stats'!$R30*1000*'C0-Ref Stats'!$AA30/0.01</f>
        <v>277128.35475992749</v>
      </c>
      <c r="AN33" s="258">
        <f>'C1-Incomes'!N32/'C0-Ref Stats'!$R30*1000*'C0-Ref Stats'!$AA30/0.005</f>
        <v>402559.90363045665</v>
      </c>
      <c r="AO33" s="258">
        <f>'C1-Incomes'!O32/'C0-Ref Stats'!$R30*1000*'C0-Ref Stats'!$AA30/0.001</f>
        <v>991144.98185075994</v>
      </c>
      <c r="AP33" s="258">
        <f>'C1-Incomes'!P32/'C0-Ref Stats'!$R30*1000*'C0-Ref Stats'!$AA30/0.0001</f>
        <v>3716610.3928460251</v>
      </c>
      <c r="AQ33" s="47"/>
      <c r="AR33" s="258">
        <f>'C1-Incomes'!S32/'C0-Ref Stats'!$R30*1000*'C0-Ref Stats'!$AA30/0.1</f>
        <v>95787.825467721064</v>
      </c>
      <c r="AS33" s="258">
        <f>'C1-Incomes'!T32/'C0-Ref Stats'!$R30*1000*'C0-Ref Stats'!$AA30/0.05</f>
        <v>128465.78337426504</v>
      </c>
      <c r="AT33" s="258">
        <f>'C1-Incomes'!U32/'C0-Ref Stats'!$R30*1000*'C0-Ref Stats'!$AA30/0.01</f>
        <v>279276.69328057638</v>
      </c>
      <c r="AU33" s="258">
        <f>'C1-Incomes'!V32/'C0-Ref Stats'!$R30*1000*'C0-Ref Stats'!$AA30/0.005</f>
        <v>404838.88067387685</v>
      </c>
      <c r="AV33" s="258">
        <f>'C1-Incomes'!W32/'C0-Ref Stats'!$R30*1000*'C0-Ref Stats'!$AA30/0.001</f>
        <v>992707.01444309007</v>
      </c>
      <c r="AW33" s="258">
        <f>'C1-Incomes'!X32/'C0-Ref Stats'!$R30*1000*'C0-Ref Stats'!$AA30/0.0001</f>
        <v>3718981.784644803</v>
      </c>
      <c r="AX33" s="258"/>
      <c r="AY33" s="258">
        <f>'C1-Incomes'!AA32/'C0-Ref Stats'!$R30*1000*'C0-Ref Stats'!$AA30/0.1</f>
        <v>74949.892932439252</v>
      </c>
      <c r="AZ33" s="258">
        <f>'C1-Incomes'!AB32/'C0-Ref Stats'!$R30*1000*'C0-Ref Stats'!$AA30/0.05</f>
        <v>99049.231780319315</v>
      </c>
      <c r="BA33" s="258">
        <f>'C1-Incomes'!AC32/'C0-Ref Stats'!$R30*1000*'C0-Ref Stats'!$AA30/0.01</f>
        <v>209949.92172651432</v>
      </c>
      <c r="BB33" s="258">
        <f>'C1-Incomes'!AD32/'C0-Ref Stats'!$R30*1000*'C0-Ref Stats'!$AA30/0.005</f>
        <v>299647.62501691323</v>
      </c>
      <c r="BC33" s="258">
        <f>'C1-Incomes'!AE32/'C0-Ref Stats'!$R30*1000*'C0-Ref Stats'!$AA30/0.001</f>
        <v>702036.71797011001</v>
      </c>
      <c r="BD33" s="258">
        <f>'C1-Incomes'!AF32/'C0-Ref Stats'!$R30*1000*'C0-Ref Stats'!$AA30/0.0001</f>
        <v>2593007.6490512388</v>
      </c>
      <c r="BF33" s="258">
        <v>88500</v>
      </c>
      <c r="BG33" s="258">
        <v>112300</v>
      </c>
      <c r="BH33" s="258">
        <v>196300</v>
      </c>
      <c r="BI33" s="258">
        <v>264000</v>
      </c>
      <c r="BJ33" s="258">
        <v>547000</v>
      </c>
      <c r="BK33" s="258">
        <v>1840000</v>
      </c>
      <c r="BM33" s="258">
        <v>152300</v>
      </c>
      <c r="BN33" s="258">
        <v>270312.1102745707</v>
      </c>
      <c r="BO33" s="1254">
        <f t="shared" si="0"/>
        <v>2.2905455181307581</v>
      </c>
      <c r="BP33" s="1254">
        <f t="shared" si="4"/>
        <v>2.1329379181008705</v>
      </c>
      <c r="BQ33" s="480"/>
      <c r="BR33" s="258">
        <v>222300</v>
      </c>
      <c r="BS33" s="258">
        <v>464806.49647751189</v>
      </c>
      <c r="BT33" s="258">
        <v>311200</v>
      </c>
      <c r="BU33" s="258">
        <v>656635.12263188569</v>
      </c>
      <c r="BV33" s="1254">
        <f t="shared" si="8"/>
        <v>1.9166764735336248</v>
      </c>
      <c r="BW33" s="1254">
        <f t="shared" si="11"/>
        <v>1.9008927570217911</v>
      </c>
      <c r="BY33" s="258">
        <v>222900</v>
      </c>
      <c r="BZ33" s="258">
        <v>475274.95676726894</v>
      </c>
      <c r="CA33" s="258">
        <v>311300</v>
      </c>
      <c r="CB33" s="258">
        <v>667108.01621924911</v>
      </c>
      <c r="CC33" s="1254">
        <f t="shared" si="9"/>
        <v>1.8832096609551885</v>
      </c>
      <c r="CD33" s="1254">
        <f t="shared" si="12"/>
        <v>1.8749100239725256</v>
      </c>
      <c r="CF33" s="258">
        <v>168700</v>
      </c>
      <c r="CG33" s="258">
        <v>369875.75844007416</v>
      </c>
      <c r="CH33" s="258">
        <v>224300</v>
      </c>
      <c r="CI33" s="258">
        <v>506276.5531648632</v>
      </c>
      <c r="CJ33" s="1254">
        <f t="shared" si="10"/>
        <v>1.8385702199316027</v>
      </c>
      <c r="CK33" s="1254">
        <f t="shared" si="13"/>
        <v>1.7954562089737247</v>
      </c>
      <c r="CM33" s="1183">
        <v>0.5277454868</v>
      </c>
      <c r="CN33" s="1183">
        <v>0.51465930240000002</v>
      </c>
    </row>
    <row r="34" spans="1:92" s="256" customFormat="1" ht="9.75" customHeight="1" x14ac:dyDescent="0.25">
      <c r="A34" s="254">
        <v>1985</v>
      </c>
      <c r="B34" s="258">
        <f>('C1-Incomes'!B33-'C1-Incomes'!C33)/'C0-Ref Stats'!$B31*1000*'C0-Ref Stats'!$AA31/0.9</f>
        <v>30165.680676503183</v>
      </c>
      <c r="C34" s="258">
        <f>('C1-Incomes'!C33-'C1-Incomes'!D33)/'C0-Ref Stats'!$B31*1000*'C0-Ref Stats'!$AA31/0.05</f>
        <v>100646.76207557725</v>
      </c>
      <c r="D34" s="258">
        <f>('C1-Incomes'!D33-'C1-Incomes'!E33)/'C0-Ref Stats'!$B31*1000*'C0-Ref Stats'!$AA31/0.04</f>
        <v>142084.01895582071</v>
      </c>
      <c r="E34" s="258">
        <f>('C1-Incomes'!E33-'C1-Incomes'!F33)/'C0-Ref Stats'!$B31*1000*'C0-Ref Stats'!$AA31/0.005</f>
        <v>230535.45512475789</v>
      </c>
      <c r="F34" s="258">
        <f>('C1-Incomes'!F33-'C1-Incomes'!G33)/'C0-Ref Stats'!$B31*1000*'C0-Ref Stats'!$AA31/0.004</f>
        <v>370050.78884026723</v>
      </c>
      <c r="G34" s="258">
        <f>('C1-Incomes'!G33-'C1-Incomes'!H33)/'C0-Ref Stats'!$B31*1000*'C0-Ref Stats'!$AA31/0.0009</f>
        <v>904150.26516116934</v>
      </c>
      <c r="H34" s="258"/>
      <c r="I34" s="258">
        <f>('C1-Incomes'!J33-'C1-Incomes'!K33)/'C0-Ref Stats'!$R31*1000*'C0-Ref Stats'!$AA31/0.9</f>
        <v>22410.718462001114</v>
      </c>
      <c r="J34" s="258">
        <f>('C1-Incomes'!K33-'C1-Incomes'!L33)/'C0-Ref Stats'!$R31*1000*'C0-Ref Stats'!$AA31/0.05</f>
        <v>63118.291873468552</v>
      </c>
      <c r="K34" s="258">
        <f>('C1-Incomes'!L33-'C1-Incomes'!M33)/'C0-Ref Stats'!$R31*1000*'C0-Ref Stats'!$AA31/0.04</f>
        <v>90799.336939824687</v>
      </c>
      <c r="L34" s="258">
        <f>('C1-Incomes'!M33-'C1-Incomes'!N33)/'C0-Ref Stats'!$R31*1000*'C0-Ref Stats'!$AA31/0.005</f>
        <v>151215.23062267448</v>
      </c>
      <c r="M34" s="258">
        <f>('C1-Incomes'!N33-'C1-Incomes'!O33)/'C0-Ref Stats'!$R31*1000*'C0-Ref Stats'!$AA31/0.004</f>
        <v>258471.1568900393</v>
      </c>
      <c r="N34" s="258">
        <f>('C1-Incomes'!O33-'C1-Incomes'!P33)/'C0-Ref Stats'!$R31*1000*'C0-Ref Stats'!$AA31/0.0009</f>
        <v>758478.85388086655</v>
      </c>
      <c r="O34" s="47"/>
      <c r="P34" s="258">
        <f>('C1-Incomes'!R33-'C1-Incomes'!S33)/'C0-Ref Stats'!$R31*1000*'C0-Ref Stats'!$AA31/0.9</f>
        <v>25780.430785598746</v>
      </c>
      <c r="Q34" s="258">
        <f>('C1-Incomes'!S33-'C1-Incomes'!T33)/'C0-Ref Stats'!$R31*1000*'C0-Ref Stats'!$AA31/0.05</f>
        <v>64655.710788497563</v>
      </c>
      <c r="R34" s="258">
        <f>('C1-Incomes'!T33-'C1-Incomes'!U33)/'C0-Ref Stats'!$R31*1000*'C0-Ref Stats'!$AA31/0.04</f>
        <v>92666.127004519483</v>
      </c>
      <c r="S34" s="258">
        <f>('C1-Incomes'!U33-'C1-Incomes'!V33)/'C0-Ref Stats'!$R31*1000*'C0-Ref Stats'!$AA31/0.005</f>
        <v>154412.7454636386</v>
      </c>
      <c r="T34" s="258">
        <f>('C1-Incomes'!V33-'C1-Incomes'!W33)/'C0-Ref Stats'!$R31*1000*'C0-Ref Stats'!$AA31/0.004</f>
        <v>261674.19438968648</v>
      </c>
      <c r="U34" s="258">
        <f>('C1-Incomes'!W33-'C1-Incomes'!X33)/'C0-Ref Stats'!$R31*1000*'C0-Ref Stats'!$AA31/0.0009</f>
        <v>761060.24839139183</v>
      </c>
      <c r="V34" s="258"/>
      <c r="W34" s="258">
        <f>('C1-Incomes'!Z33-'C1-Incomes'!AA33)/'C0-Ref Stats'!$R31*1000*'C0-Ref Stats'!$AA31/0.9</f>
        <v>24623.209215487463</v>
      </c>
      <c r="X34" s="258">
        <f>('C1-Incomes'!AA33-'C1-Incomes'!AB33)/'C0-Ref Stats'!$R31*1000*'C0-Ref Stats'!$AA31/0.05</f>
        <v>52286.009555155979</v>
      </c>
      <c r="Y34" s="258">
        <f>('C1-Incomes'!AB33-'C1-Incomes'!AC33)/'C0-Ref Stats'!$R31*1000*'C0-Ref Stats'!$AA31/0.04</f>
        <v>73005.853284544151</v>
      </c>
      <c r="Z34" s="258">
        <f>('C1-Incomes'!AC33-'C1-Incomes'!AD33)/'C0-Ref Stats'!$R31*1000*'C0-Ref Stats'!$AA31/0.005</f>
        <v>118032.63207546856</v>
      </c>
      <c r="AA34" s="258">
        <f>('C1-Incomes'!AD33-'C1-Incomes'!AE33)/'C0-Ref Stats'!$R31*1000*'C0-Ref Stats'!$AA31/0.004</f>
        <v>195942.32521327914</v>
      </c>
      <c r="AB34" s="258">
        <f>('C1-Incomes'!AE33-'C1-Incomes'!AF33)/'C0-Ref Stats'!$R31*1000*'C0-Ref Stats'!$AA31/0.0009</f>
        <v>535824.01587341027</v>
      </c>
      <c r="AD34" s="258">
        <f>'C1-Incomes'!C33/'C0-Ref Stats'!$B31*1000*'C0-Ref Stats'!$AA31/0.1</f>
        <v>145651.40902631916</v>
      </c>
      <c r="AE34" s="258">
        <f>'C1-Incomes'!D33/'C0-Ref Stats'!$B31*1000*'C0-Ref Stats'!$AA31/0.05</f>
        <v>190656.05597706107</v>
      </c>
      <c r="AF34" s="258">
        <f>'C1-Incomes'!E33/'C0-Ref Stats'!$B31*1000*'C0-Ref Stats'!$AA31/0.01</f>
        <v>384944.2040620225</v>
      </c>
      <c r="AG34" s="258">
        <f>'C1-Incomes'!F33/'C0-Ref Stats'!$B31*1000*'C0-Ref Stats'!$AA31/0.005</f>
        <v>539352.95299928705</v>
      </c>
      <c r="AH34" s="258">
        <f>'C1-Incomes'!G33/'C0-Ref Stats'!$B31*1000*'C0-Ref Stats'!$AA31/0.001</f>
        <v>1216561.6096353666</v>
      </c>
      <c r="AI34" s="258">
        <f>'C1-Incomes'!H33/'C0-Ref Stats'!$B31*1000*'C0-Ref Stats'!$AA31/0.0001</f>
        <v>4028263.7099031433</v>
      </c>
      <c r="AJ34" s="47"/>
      <c r="AK34" s="258">
        <f>'C1-Incomes'!K33/'C0-Ref Stats'!$R31*1000*'C0-Ref Stats'!$AA31/0.1</f>
        <v>96381.994562016916</v>
      </c>
      <c r="AL34" s="258">
        <f>'C1-Incomes'!L33/'C0-Ref Stats'!$R31*1000*'C0-Ref Stats'!$AA31/0.05</f>
        <v>129645.6972505653</v>
      </c>
      <c r="AM34" s="258">
        <f>'C1-Incomes'!M33/'C0-Ref Stats'!$R31*1000*'C0-Ref Stats'!$AA31/0.01</f>
        <v>285031.13849352783</v>
      </c>
      <c r="AN34" s="258">
        <f>'C1-Incomes'!N33/'C0-Ref Stats'!$R31*1000*'C0-Ref Stats'!$AA31/0.005</f>
        <v>418847.04636438115</v>
      </c>
      <c r="AO34" s="258">
        <f>'C1-Incomes'!O33/'C0-Ref Stats'!$R31*1000*'C0-Ref Stats'!$AA31/0.001</f>
        <v>1060350.6042617485</v>
      </c>
      <c r="AP34" s="258">
        <f>'C1-Incomes'!P33/'C0-Ref Stats'!$R31*1000*'C0-Ref Stats'!$AA31/0.0001</f>
        <v>3777196.3576896871</v>
      </c>
      <c r="AQ34" s="47"/>
      <c r="AR34" s="258">
        <f>'C1-Incomes'!S33/'C0-Ref Stats'!$R31*1000*'C0-Ref Stats'!$AA31/0.1</f>
        <v>98215.239379117367</v>
      </c>
      <c r="AS34" s="258">
        <f>'C1-Incomes'!T33/'C0-Ref Stats'!$R31*1000*'C0-Ref Stats'!$AA31/0.05</f>
        <v>131774.76796973721</v>
      </c>
      <c r="AT34" s="258">
        <f>'C1-Incomes'!U33/'C0-Ref Stats'!$R31*1000*'C0-Ref Stats'!$AA31/0.01</f>
        <v>288209.33183060808</v>
      </c>
      <c r="AU34" s="258">
        <f>'C1-Incomes'!V33/'C0-Ref Stats'!$R31*1000*'C0-Ref Stats'!$AA31/0.005</f>
        <v>422005.91819757747</v>
      </c>
      <c r="AV34" s="258">
        <f>'C1-Incomes'!W33/'C0-Ref Stats'!$R31*1000*'C0-Ref Stats'!$AA31/0.001</f>
        <v>1063332.8134291414</v>
      </c>
      <c r="AW34" s="258">
        <f>'C1-Incomes'!X33/'C0-Ref Stats'!$R31*1000*'C0-Ref Stats'!$AA31/0.0001</f>
        <v>3783785.8987688888</v>
      </c>
      <c r="AX34" s="258"/>
      <c r="AY34" s="258">
        <f>'C1-Incomes'!AA33/'C0-Ref Stats'!$R31*1000*'C0-Ref Stats'!$AA31/0.1</f>
        <v>76469.688340757013</v>
      </c>
      <c r="AZ34" s="258">
        <f>'C1-Incomes'!AB33/'C0-Ref Stats'!$R31*1000*'C0-Ref Stats'!$AA31/0.05</f>
        <v>100653.36712635803</v>
      </c>
      <c r="BA34" s="258">
        <f>'C1-Incomes'!AC33/'C0-Ref Stats'!$R31*1000*'C0-Ref Stats'!$AA31/0.01</f>
        <v>211243.42249361362</v>
      </c>
      <c r="BB34" s="258">
        <f>'C1-Incomes'!AD33/'C0-Ref Stats'!$R31*1000*'C0-Ref Stats'!$AA31/0.005</f>
        <v>304454.21291175869</v>
      </c>
      <c r="BC34" s="258">
        <f>'C1-Incomes'!AE33/'C0-Ref Stats'!$R31*1000*'C0-Ref Stats'!$AA31/0.001</f>
        <v>738501.763705677</v>
      </c>
      <c r="BD34" s="258">
        <f>'C1-Incomes'!AF33/'C0-Ref Stats'!$R31*1000*'C0-Ref Stats'!$AA31/0.0001</f>
        <v>2562601.4941960778</v>
      </c>
      <c r="BF34" s="258">
        <v>90100</v>
      </c>
      <c r="BG34" s="258">
        <v>114800</v>
      </c>
      <c r="BH34" s="258">
        <v>201100</v>
      </c>
      <c r="BI34" s="258">
        <v>272000</v>
      </c>
      <c r="BJ34" s="258">
        <v>587000</v>
      </c>
      <c r="BK34" s="258">
        <v>1890000</v>
      </c>
      <c r="BM34" s="258">
        <v>155800</v>
      </c>
      <c r="BN34" s="258">
        <v>279617.02303241112</v>
      </c>
      <c r="BO34" s="1254">
        <f t="shared" si="0"/>
        <v>2.2583083988315309</v>
      </c>
      <c r="BP34" s="1254">
        <f t="shared" si="4"/>
        <v>2.0938609733497828</v>
      </c>
      <c r="BQ34" s="480"/>
      <c r="BR34" s="258">
        <v>223200</v>
      </c>
      <c r="BS34" s="258">
        <v>473471.76590843761</v>
      </c>
      <c r="BT34" s="258">
        <v>318800</v>
      </c>
      <c r="BU34" s="258">
        <v>673221.68453480781</v>
      </c>
      <c r="BV34" s="1254">
        <f t="shared" si="8"/>
        <v>1.8918305234704667</v>
      </c>
      <c r="BW34" s="1254">
        <f t="shared" si="11"/>
        <v>1.8994934957730853</v>
      </c>
      <c r="BY34" s="258">
        <v>225500</v>
      </c>
      <c r="BZ34" s="258">
        <v>480479.05867120938</v>
      </c>
      <c r="CA34" s="258">
        <v>320600</v>
      </c>
      <c r="CB34" s="258">
        <v>682932.67312440579</v>
      </c>
      <c r="CC34" s="1254">
        <f t="shared" si="9"/>
        <v>1.8843863538251504</v>
      </c>
      <c r="CD34" s="1254">
        <f t="shared" si="12"/>
        <v>1.8848222194136024</v>
      </c>
      <c r="CF34" s="258">
        <v>168500</v>
      </c>
      <c r="CG34" s="258">
        <v>367842.30799950327</v>
      </c>
      <c r="CH34" s="258">
        <v>228200</v>
      </c>
      <c r="CI34" s="258">
        <v>509617.14153060899</v>
      </c>
      <c r="CJ34" s="1254">
        <f t="shared" si="10"/>
        <v>1.8452796683803816</v>
      </c>
      <c r="CK34" s="1254">
        <f t="shared" si="13"/>
        <v>1.8108958777664912</v>
      </c>
      <c r="CM34" s="1183">
        <v>0.53139364700000002</v>
      </c>
      <c r="CN34" s="1183">
        <v>0.51149009219999997</v>
      </c>
    </row>
    <row r="35" spans="1:92" s="256" customFormat="1" ht="9.75" customHeight="1" x14ac:dyDescent="0.25">
      <c r="A35" s="254">
        <v>1986</v>
      </c>
      <c r="B35" s="258">
        <f>('C1-Incomes'!B34-'C1-Incomes'!C34)/'C0-Ref Stats'!$B32*1000*'C0-Ref Stats'!$AA32/0.9</f>
        <v>30236.860547459131</v>
      </c>
      <c r="C35" s="258">
        <f>('C1-Incomes'!C34-'C1-Incomes'!D34)/'C0-Ref Stats'!$B32*1000*'C0-Ref Stats'!$AA32/0.05</f>
        <v>102842.06387974857</v>
      </c>
      <c r="D35" s="258">
        <f>('C1-Incomes'!D34-'C1-Incomes'!E34)/'C0-Ref Stats'!$B32*1000*'C0-Ref Stats'!$AA32/0.04</f>
        <v>145941.22442653516</v>
      </c>
      <c r="E35" s="258">
        <f>('C1-Incomes'!E34-'C1-Incomes'!F34)/'C0-Ref Stats'!$B32*1000*'C0-Ref Stats'!$AA32/0.005</f>
        <v>240230.22888556062</v>
      </c>
      <c r="F35" s="258">
        <f>('C1-Incomes'!F34-'C1-Incomes'!G34)/'C0-Ref Stats'!$B32*1000*'C0-Ref Stats'!$AA32/0.004</f>
        <v>384450.70791019697</v>
      </c>
      <c r="G35" s="258">
        <f>('C1-Incomes'!G34-'C1-Incomes'!H34)/'C0-Ref Stats'!$B32*1000*'C0-Ref Stats'!$AA32/0.0009</f>
        <v>894468.35309860588</v>
      </c>
      <c r="H35" s="258"/>
      <c r="I35" s="258">
        <f>('C1-Incomes'!J34-'C1-Incomes'!K34)/'C0-Ref Stats'!$R32*1000*'C0-Ref Stats'!$AA32/0.9</f>
        <v>22834.031525640785</v>
      </c>
      <c r="J35" s="258">
        <f>('C1-Incomes'!K34-'C1-Incomes'!L34)/'C0-Ref Stats'!$R32*1000*'C0-Ref Stats'!$AA32/0.05</f>
        <v>65302.42463751234</v>
      </c>
      <c r="K35" s="258">
        <f>('C1-Incomes'!L34-'C1-Incomes'!M34)/'C0-Ref Stats'!$R32*1000*'C0-Ref Stats'!$AA32/0.04</f>
        <v>92241.189971501823</v>
      </c>
      <c r="L35" s="258">
        <f>('C1-Incomes'!M34-'C1-Incomes'!N34)/'C0-Ref Stats'!$R32*1000*'C0-Ref Stats'!$AA32/0.005</f>
        <v>155121.84967010358</v>
      </c>
      <c r="M35" s="258">
        <f>('C1-Incomes'!N34-'C1-Incomes'!O34)/'C0-Ref Stats'!$R32*1000*'C0-Ref Stats'!$AA32/0.004</f>
        <v>261007.12678415389</v>
      </c>
      <c r="N35" s="258">
        <f>('C1-Incomes'!O34-'C1-Incomes'!P34)/'C0-Ref Stats'!$R32*1000*'C0-Ref Stats'!$AA32/0.0009</f>
        <v>706830.81338449311</v>
      </c>
      <c r="O35" s="47"/>
      <c r="P35" s="258">
        <f>('C1-Incomes'!R34-'C1-Incomes'!S34)/'C0-Ref Stats'!$R32*1000*'C0-Ref Stats'!$AA32/0.9</f>
        <v>26338.558336747261</v>
      </c>
      <c r="Q35" s="258">
        <f>('C1-Incomes'!S34-'C1-Incomes'!T34)/'C0-Ref Stats'!$R32*1000*'C0-Ref Stats'!$AA32/0.05</f>
        <v>66832.136138805261</v>
      </c>
      <c r="R35" s="258">
        <f>('C1-Incomes'!T34-'C1-Incomes'!U34)/'C0-Ref Stats'!$R32*1000*'C0-Ref Stats'!$AA32/0.04</f>
        <v>94109.196949433404</v>
      </c>
      <c r="S35" s="258">
        <f>('C1-Incomes'!U34-'C1-Incomes'!V34)/'C0-Ref Stats'!$R32*1000*'C0-Ref Stats'!$AA32/0.005</f>
        <v>157334.98035219908</v>
      </c>
      <c r="T35" s="258">
        <f>('C1-Incomes'!V34-'C1-Incomes'!W34)/'C0-Ref Stats'!$R32*1000*'C0-Ref Stats'!$AA32/0.004</f>
        <v>264367.95573988935</v>
      </c>
      <c r="U35" s="258">
        <f>('C1-Incomes'!W34-'C1-Incomes'!X34)/'C0-Ref Stats'!$R32*1000*'C0-Ref Stats'!$AA32/0.0009</f>
        <v>709285.85273095197</v>
      </c>
      <c r="V35" s="258"/>
      <c r="W35" s="258">
        <f>('C1-Incomes'!Z34-'C1-Incomes'!AA34)/'C0-Ref Stats'!$R32*1000*'C0-Ref Stats'!$AA32/0.9</f>
        <v>25195.613258381705</v>
      </c>
      <c r="X35" s="258">
        <f>('C1-Incomes'!AA34-'C1-Incomes'!AB34)/'C0-Ref Stats'!$R32*1000*'C0-Ref Stats'!$AA32/0.05</f>
        <v>54076.529756790114</v>
      </c>
      <c r="Y35" s="258">
        <f>('C1-Incomes'!AB34-'C1-Incomes'!AC34)/'C0-Ref Stats'!$R32*1000*'C0-Ref Stats'!$AA32/0.04</f>
        <v>73348.384924799262</v>
      </c>
      <c r="Z35" s="258">
        <f>('C1-Incomes'!AC34-'C1-Incomes'!AD34)/'C0-Ref Stats'!$R32*1000*'C0-Ref Stats'!$AA32/0.005</f>
        <v>117595.31213976814</v>
      </c>
      <c r="AA35" s="258">
        <f>('C1-Incomes'!AD34-'C1-Incomes'!AE34)/'C0-Ref Stats'!$R32*1000*'C0-Ref Stats'!$AA32/0.004</f>
        <v>187085.98144289994</v>
      </c>
      <c r="AB35" s="258">
        <f>('C1-Incomes'!AE34-'C1-Incomes'!AF34)/'C0-Ref Stats'!$R32*1000*'C0-Ref Stats'!$AA32/0.0009</f>
        <v>484526.04408940562</v>
      </c>
      <c r="AD35" s="258">
        <f>'C1-Incomes'!C34/'C0-Ref Stats'!$B32*1000*'C0-Ref Stats'!$AA32/0.1</f>
        <v>149539.82380024763</v>
      </c>
      <c r="AE35" s="258">
        <f>'C1-Incomes'!D34/'C0-Ref Stats'!$B32*1000*'C0-Ref Stats'!$AA32/0.05</f>
        <v>196237.58372074668</v>
      </c>
      <c r="AF35" s="258">
        <f>'C1-Incomes'!E34/'C0-Ref Stats'!$B32*1000*'C0-Ref Stats'!$AA32/0.01</f>
        <v>397423.02089759288</v>
      </c>
      <c r="AG35" s="258">
        <f>'C1-Incomes'!F34/'C0-Ref Stats'!$B32*1000*'C0-Ref Stats'!$AA32/0.005</f>
        <v>554615.81290962512</v>
      </c>
      <c r="AH35" s="258">
        <f>'C1-Incomes'!G34/'C0-Ref Stats'!$B32*1000*'C0-Ref Stats'!$AA32/0.001</f>
        <v>1235276.2329073378</v>
      </c>
      <c r="AI35" s="258">
        <f>'C1-Incomes'!H34/'C0-Ref Stats'!$B32*1000*'C0-Ref Stats'!$AA32/0.0001</f>
        <v>4302547.1511859242</v>
      </c>
      <c r="AJ35" s="47"/>
      <c r="AK35" s="258">
        <f>'C1-Incomes'!K34/'C0-Ref Stats'!$R32*1000*'C0-Ref Stats'!$AA32/0.1</f>
        <v>97727.632390168757</v>
      </c>
      <c r="AL35" s="258">
        <f>'C1-Incomes'!L34/'C0-Ref Stats'!$R32*1000*'C0-Ref Stats'!$AA32/0.05</f>
        <v>130152.8401428252</v>
      </c>
      <c r="AM35" s="258">
        <f>'C1-Incomes'!M34/'C0-Ref Stats'!$R32*1000*'C0-Ref Stats'!$AA32/0.01</f>
        <v>281799.44082811865</v>
      </c>
      <c r="AN35" s="258">
        <f>'C1-Incomes'!N34/'C0-Ref Stats'!$R32*1000*'C0-Ref Stats'!$AA32/0.005</f>
        <v>408477.03198613384</v>
      </c>
      <c r="AO35" s="258">
        <f>'C1-Incomes'!O34/'C0-Ref Stats'!$R32*1000*'C0-Ref Stats'!$AA32/0.001</f>
        <v>998356.65279405366</v>
      </c>
      <c r="AP35" s="258">
        <f>'C1-Incomes'!P34/'C0-Ref Stats'!$R32*1000*'C0-Ref Stats'!$AA32/0.0001</f>
        <v>3622089.2074800972</v>
      </c>
      <c r="AQ35" s="47"/>
      <c r="AR35" s="258">
        <f>'C1-Incomes'!S34/'C0-Ref Stats'!$R32*1000*'C0-Ref Stats'!$AA32/0.1</f>
        <v>99509.730562892466</v>
      </c>
      <c r="AS35" s="258">
        <f>'C1-Incomes'!T34/'C0-Ref Stats'!$R32*1000*'C0-Ref Stats'!$AA32/0.05</f>
        <v>132187.32498697966</v>
      </c>
      <c r="AT35" s="258">
        <f>'C1-Incomes'!U34/'C0-Ref Stats'!$R32*1000*'C0-Ref Stats'!$AA32/0.01</f>
        <v>284499.83713716472</v>
      </c>
      <c r="AU35" s="258">
        <f>'C1-Incomes'!V34/'C0-Ref Stats'!$R32*1000*'C0-Ref Stats'!$AA32/0.005</f>
        <v>411664.69392213045</v>
      </c>
      <c r="AV35" s="258">
        <f>'C1-Incomes'!W34/'C0-Ref Stats'!$R32*1000*'C0-Ref Stats'!$AA32/0.001</f>
        <v>1000851.6466510948</v>
      </c>
      <c r="AW35" s="258">
        <f>'C1-Incomes'!X34/'C0-Ref Stats'!$R32*1000*'C0-Ref Stats'!$AA32/0.0001</f>
        <v>3624943.791932378</v>
      </c>
      <c r="AX35" s="258"/>
      <c r="AY35" s="258">
        <f>'C1-Incomes'!AA34/'C0-Ref Stats'!$R32*1000*'C0-Ref Stats'!$AA32/0.1</f>
        <v>76473.340273106151</v>
      </c>
      <c r="AZ35" s="258">
        <f>'C1-Incomes'!AB34/'C0-Ref Stats'!$R32*1000*'C0-Ref Stats'!$AA32/0.05</f>
        <v>98870.150789422187</v>
      </c>
      <c r="BA35" s="258">
        <f>'C1-Incomes'!AC34/'C0-Ref Stats'!$R32*1000*'C0-Ref Stats'!$AA32/0.01</f>
        <v>200957.21424791383</v>
      </c>
      <c r="BB35" s="258">
        <f>'C1-Incomes'!AD34/'C0-Ref Stats'!$R32*1000*'C0-Ref Stats'!$AA32/0.005</f>
        <v>284319.1163560595</v>
      </c>
      <c r="BC35" s="258">
        <f>'C1-Incomes'!AE34/'C0-Ref Stats'!$R32*1000*'C0-Ref Stats'!$AA32/0.001</f>
        <v>673251.65600869805</v>
      </c>
      <c r="BD35" s="258">
        <f>'C1-Incomes'!AF34/'C0-Ref Stats'!$R32*1000*'C0-Ref Stats'!$AA32/0.0001</f>
        <v>2371782.1632823292</v>
      </c>
      <c r="BF35" s="258">
        <v>91700</v>
      </c>
      <c r="BG35" s="258">
        <v>117600</v>
      </c>
      <c r="BH35" s="258">
        <v>208900</v>
      </c>
      <c r="BI35" s="258">
        <v>285000</v>
      </c>
      <c r="BJ35" s="258">
        <v>603000</v>
      </c>
      <c r="BK35" s="258">
        <v>1900000</v>
      </c>
      <c r="BM35" s="258">
        <v>160400</v>
      </c>
      <c r="BN35" s="258">
        <v>288781.51901973976</v>
      </c>
      <c r="BO35" s="1254">
        <f t="shared" si="0"/>
        <v>2.2494010136718909</v>
      </c>
      <c r="BP35" s="1254">
        <f t="shared" si="4"/>
        <v>2.1080874845172146</v>
      </c>
      <c r="BQ35" s="480"/>
      <c r="BR35" s="258">
        <v>225200</v>
      </c>
      <c r="BS35" s="258">
        <v>470103.4896334309</v>
      </c>
      <c r="BT35" s="258">
        <v>321900</v>
      </c>
      <c r="BU35" s="258">
        <v>667589.52514863538</v>
      </c>
      <c r="BV35" s="1254">
        <f t="shared" si="8"/>
        <v>1.9195459008651818</v>
      </c>
      <c r="BW35" s="1254">
        <f t="shared" si="11"/>
        <v>1.9311823951321447</v>
      </c>
      <c r="BY35" s="258">
        <v>227700</v>
      </c>
      <c r="BZ35" s="258">
        <v>476593.99843871308</v>
      </c>
      <c r="CA35" s="258">
        <v>324500</v>
      </c>
      <c r="CB35" s="258">
        <v>676829.30824753956</v>
      </c>
      <c r="CC35" s="1254">
        <f t="shared" si="9"/>
        <v>1.914847290124869</v>
      </c>
      <c r="CD35" s="1254">
        <f t="shared" si="12"/>
        <v>1.9210133599558874</v>
      </c>
      <c r="CF35" s="258">
        <v>167800</v>
      </c>
      <c r="CG35" s="258">
        <v>356811.25377567241</v>
      </c>
      <c r="CH35" s="258">
        <v>229700</v>
      </c>
      <c r="CI35" s="258">
        <v>492415.84865527588</v>
      </c>
      <c r="CJ35" s="1254">
        <f t="shared" si="10"/>
        <v>1.8877778261772342</v>
      </c>
      <c r="CK35" s="1254">
        <f t="shared" si="13"/>
        <v>1.8743286755471009</v>
      </c>
      <c r="CM35" s="1183">
        <v>0.54108429280000003</v>
      </c>
      <c r="CN35" s="1183">
        <v>0.51318228880000005</v>
      </c>
    </row>
    <row r="36" spans="1:92" s="256" customFormat="1" ht="9.75" customHeight="1" x14ac:dyDescent="0.25">
      <c r="A36" s="254">
        <v>1987</v>
      </c>
      <c r="B36" s="258">
        <f>('C1-Incomes'!B35-'C1-Incomes'!C35)/'C0-Ref Stats'!$B33*1000*'C0-Ref Stats'!$AA33/0.9</f>
        <v>30544.938540989395</v>
      </c>
      <c r="C36" s="258">
        <f>('C1-Incomes'!C35-'C1-Incomes'!D35)/'C0-Ref Stats'!$B33*1000*'C0-Ref Stats'!$AA33/0.05</f>
        <v>104205.09877857465</v>
      </c>
      <c r="D36" s="258">
        <f>('C1-Incomes'!D35-'C1-Incomes'!E35)/'C0-Ref Stats'!$B33*1000*'C0-Ref Stats'!$AA33/0.04</f>
        <v>150512.19178344923</v>
      </c>
      <c r="E36" s="258">
        <f>('C1-Incomes'!E35-'C1-Incomes'!F35)/'C0-Ref Stats'!$B33*1000*'C0-Ref Stats'!$AA33/0.005</f>
        <v>264684.33736821072</v>
      </c>
      <c r="F36" s="258">
        <f>('C1-Incomes'!F35-'C1-Incomes'!G35)/'C0-Ref Stats'!$B33*1000*'C0-Ref Stats'!$AA33/0.004</f>
        <v>446778.45651920303</v>
      </c>
      <c r="G36" s="258">
        <f>('C1-Incomes'!G35-'C1-Incomes'!H35)/'C0-Ref Stats'!$B33*1000*'C0-Ref Stats'!$AA33/0.0009</f>
        <v>1184100.6446388199</v>
      </c>
      <c r="H36" s="258"/>
      <c r="I36" s="258">
        <f>('C1-Incomes'!J35-'C1-Incomes'!K35)/'C0-Ref Stats'!$R33*1000*'C0-Ref Stats'!$AA33/0.9</f>
        <v>23705.523531887717</v>
      </c>
      <c r="J36" s="258">
        <f>('C1-Incomes'!K35-'C1-Incomes'!L35)/'C0-Ref Stats'!$R33*1000*'C0-Ref Stats'!$AA33/0.05</f>
        <v>66996.968857637185</v>
      </c>
      <c r="K36" s="258">
        <f>('C1-Incomes'!L35-'C1-Incomes'!M35)/'C0-Ref Stats'!$R33*1000*'C0-Ref Stats'!$AA33/0.04</f>
        <v>96205.184331400349</v>
      </c>
      <c r="L36" s="258">
        <f>('C1-Incomes'!M35-'C1-Incomes'!N35)/'C0-Ref Stats'!$R33*1000*'C0-Ref Stats'!$AA33/0.005</f>
        <v>165635.80268965603</v>
      </c>
      <c r="M36" s="258">
        <f>('C1-Incomes'!N35-'C1-Incomes'!O35)/'C0-Ref Stats'!$R33*1000*'C0-Ref Stats'!$AA33/0.004</f>
        <v>280491.31403347687</v>
      </c>
      <c r="N36" s="258">
        <f>('C1-Incomes'!O35-'C1-Incomes'!P35)/'C0-Ref Stats'!$R33*1000*'C0-Ref Stats'!$AA33/0.0009</f>
        <v>770483.94306625135</v>
      </c>
      <c r="O36" s="47"/>
      <c r="P36" s="258">
        <f>('C1-Incomes'!R35-'C1-Incomes'!S35)/'C0-Ref Stats'!$R33*1000*'C0-Ref Stats'!$AA33/0.9</f>
        <v>27261.199614646939</v>
      </c>
      <c r="Q36" s="258">
        <f>('C1-Incomes'!S35-'C1-Incomes'!T35)/'C0-Ref Stats'!$R33*1000*'C0-Ref Stats'!$AA33/0.05</f>
        <v>68549.861924436889</v>
      </c>
      <c r="R36" s="258">
        <f>('C1-Incomes'!T35-'C1-Incomes'!U35)/'C0-Ref Stats'!$R33*1000*'C0-Ref Stats'!$AA33/0.04</f>
        <v>98037.820412326881</v>
      </c>
      <c r="S36" s="258">
        <f>('C1-Incomes'!U35-'C1-Incomes'!V35)/'C0-Ref Stats'!$R33*1000*'C0-Ref Stats'!$AA33/0.005</f>
        <v>168383.13815379748</v>
      </c>
      <c r="T36" s="258">
        <f>('C1-Incomes'!V35-'C1-Incomes'!W35)/'C0-Ref Stats'!$R33*1000*'C0-Ref Stats'!$AA33/0.004</f>
        <v>282877.29714056285</v>
      </c>
      <c r="U36" s="258">
        <f>('C1-Incomes'!W35-'C1-Incomes'!X35)/'C0-Ref Stats'!$R33*1000*'C0-Ref Stats'!$AA33/0.0009</f>
        <v>774141.77041608293</v>
      </c>
      <c r="V36" s="258"/>
      <c r="W36" s="258">
        <f>('C1-Incomes'!Z35-'C1-Incomes'!AA35)/'C0-Ref Stats'!$R33*1000*'C0-Ref Stats'!$AA33/0.9</f>
        <v>26208.31497455858</v>
      </c>
      <c r="X36" s="258">
        <f>('C1-Incomes'!AA35-'C1-Incomes'!AB35)/'C0-Ref Stats'!$R33*1000*'C0-Ref Stats'!$AA33/0.05</f>
        <v>55323.966677653494</v>
      </c>
      <c r="Y36" s="258">
        <f>('C1-Incomes'!AB35-'C1-Incomes'!AC35)/'C0-Ref Stats'!$R33*1000*'C0-Ref Stats'!$AA33/0.04</f>
        <v>75518.429919640417</v>
      </c>
      <c r="Z36" s="258">
        <f>('C1-Incomes'!AC35-'C1-Incomes'!AD35)/'C0-Ref Stats'!$R33*1000*'C0-Ref Stats'!$AA33/0.005</f>
        <v>125971.12249874562</v>
      </c>
      <c r="AA36" s="258">
        <f>('C1-Incomes'!AD35-'C1-Incomes'!AE35)/'C0-Ref Stats'!$R33*1000*'C0-Ref Stats'!$AA33/0.004</f>
        <v>205733.55065834449</v>
      </c>
      <c r="AB36" s="258">
        <f>('C1-Incomes'!AE35-'C1-Incomes'!AF35)/'C0-Ref Stats'!$R33*1000*'C0-Ref Stats'!$AA33/0.0009</f>
        <v>535202.09513943782</v>
      </c>
      <c r="AD36" s="258">
        <f>'C1-Incomes'!C35/'C0-Ref Stats'!$B33*1000*'C0-Ref Stats'!$AA33/0.1</f>
        <v>159843.82118781522</v>
      </c>
      <c r="AE36" s="258">
        <f>'C1-Incomes'!D35/'C0-Ref Stats'!$B33*1000*'C0-Ref Stats'!$AA33/0.05</f>
        <v>215482.54359705577</v>
      </c>
      <c r="AF36" s="258">
        <f>'C1-Incomes'!E35/'C0-Ref Stats'!$B33*1000*'C0-Ref Stats'!$AA33/0.01</f>
        <v>475363.95085148187</v>
      </c>
      <c r="AG36" s="258">
        <f>'C1-Incomes'!F35/'C0-Ref Stats'!$B33*1000*'C0-Ref Stats'!$AA33/0.005</f>
        <v>686043.56433475309</v>
      </c>
      <c r="AH36" s="258">
        <f>'C1-Incomes'!G35/'C0-Ref Stats'!$B33*1000*'C0-Ref Stats'!$AA33/0.001</f>
        <v>1643103.995596953</v>
      </c>
      <c r="AI36" s="258">
        <f>'C1-Incomes'!H35/'C0-Ref Stats'!$B33*1000*'C0-Ref Stats'!$AA33/0.0001</f>
        <v>5774134.1542201471</v>
      </c>
      <c r="AJ36" s="47"/>
      <c r="AK36" s="258">
        <f>'C1-Incomes'!K35/'C0-Ref Stats'!$R33*1000*'C0-Ref Stats'!$AA33/0.1</f>
        <v>102522.69682557791</v>
      </c>
      <c r="AL36" s="258">
        <f>'C1-Incomes'!L35/'C0-Ref Stats'!$R33*1000*'C0-Ref Stats'!$AA33/0.05</f>
        <v>138048.42479351864</v>
      </c>
      <c r="AM36" s="258">
        <f>'C1-Incomes'!M35/'C0-Ref Stats'!$R33*1000*'C0-Ref Stats'!$AA33/0.01</f>
        <v>305421.38664199197</v>
      </c>
      <c r="AN36" s="258">
        <f>'C1-Incomes'!N35/'C0-Ref Stats'!$R33*1000*'C0-Ref Stats'!$AA33/0.005</f>
        <v>445206.97059432784</v>
      </c>
      <c r="AO36" s="258">
        <f>'C1-Incomes'!O35/'C0-Ref Stats'!$R33*1000*'C0-Ref Stats'!$AA33/0.001</f>
        <v>1104069.5968377318</v>
      </c>
      <c r="AP36" s="258">
        <f>'C1-Incomes'!P35/'C0-Ref Stats'!$R33*1000*'C0-Ref Stats'!$AA33/0.0001</f>
        <v>4106340.4807810565</v>
      </c>
      <c r="AQ36" s="47"/>
      <c r="AR36" s="258">
        <f>'C1-Incomes'!S35/'C0-Ref Stats'!$R33*1000*'C0-Ref Stats'!$AA33/0.1</f>
        <v>104300.77811741424</v>
      </c>
      <c r="AS36" s="258">
        <f>'C1-Incomes'!T35/'C0-Ref Stats'!$R33*1000*'C0-Ref Stats'!$AA33/0.05</f>
        <v>140051.69431039158</v>
      </c>
      <c r="AT36" s="258">
        <f>'C1-Incomes'!U35/'C0-Ref Stats'!$R33*1000*'C0-Ref Stats'!$AA33/0.01</f>
        <v>308107.18990265037</v>
      </c>
      <c r="AU36" s="258">
        <f>'C1-Incomes'!V35/'C0-Ref Stats'!$R33*1000*'C0-Ref Stats'!$AA33/0.005</f>
        <v>447831.24165150331</v>
      </c>
      <c r="AV36" s="258">
        <f>'C1-Incomes'!W35/'C0-Ref Stats'!$R33*1000*'C0-Ref Stats'!$AA33/0.001</f>
        <v>1107647.0196952648</v>
      </c>
      <c r="AW36" s="258">
        <f>'C1-Incomes'!X35/'C0-Ref Stats'!$R33*1000*'C0-Ref Stats'!$AA33/0.0001</f>
        <v>4109194.2632079008</v>
      </c>
      <c r="AX36" s="258"/>
      <c r="AY36" s="258">
        <f>'C1-Incomes'!AA35/'C0-Ref Stats'!$R33*1000*'C0-Ref Stats'!$AA33/0.1</f>
        <v>79997.604790796875</v>
      </c>
      <c r="AZ36" s="258">
        <f>'C1-Incomes'!AB35/'C0-Ref Stats'!$R33*1000*'C0-Ref Stats'!$AA33/0.05</f>
        <v>104671.24290394025</v>
      </c>
      <c r="BA36" s="258">
        <f>'C1-Incomes'!AC35/'C0-Ref Stats'!$R33*1000*'C0-Ref Stats'!$AA33/0.01</f>
        <v>221282.49484113962</v>
      </c>
      <c r="BB36" s="258">
        <f>'C1-Incomes'!AD35/'C0-Ref Stats'!$R33*1000*'C0-Ref Stats'!$AA33/0.005</f>
        <v>316593.86718353356</v>
      </c>
      <c r="BC36" s="258">
        <f>'C1-Incomes'!AE35/'C0-Ref Stats'!$R33*1000*'C0-Ref Stats'!$AA33/0.001</f>
        <v>760035.13328428997</v>
      </c>
      <c r="BD36" s="258">
        <f>'C1-Incomes'!AF35/'C0-Ref Stats'!$R33*1000*'C0-Ref Stats'!$AA33/0.0001</f>
        <v>2783532.4765879582</v>
      </c>
      <c r="BF36" s="258">
        <v>92800</v>
      </c>
      <c r="BG36" s="258">
        <v>119500</v>
      </c>
      <c r="BH36" s="258">
        <v>226200</v>
      </c>
      <c r="BI36" s="258">
        <v>320000</v>
      </c>
      <c r="BJ36" s="258">
        <v>743000</v>
      </c>
      <c r="BK36" s="258">
        <v>2670000</v>
      </c>
      <c r="BM36" s="258">
        <v>166000</v>
      </c>
      <c r="BN36" s="258">
        <v>332786.51240561588</v>
      </c>
      <c r="BO36" s="1254">
        <f t="shared" si="0"/>
        <v>1.9952843164937513</v>
      </c>
      <c r="BP36" s="1254">
        <f t="shared" si="4"/>
        <v>1.9078359819989776</v>
      </c>
      <c r="BQ36" s="480"/>
      <c r="BR36" s="258">
        <v>237600</v>
      </c>
      <c r="BS36" s="258">
        <v>497489.80830325413</v>
      </c>
      <c r="BT36" s="258">
        <v>348700</v>
      </c>
      <c r="BU36" s="258">
        <v>708255.63189805893</v>
      </c>
      <c r="BV36" s="1254">
        <f t="shared" si="8"/>
        <v>1.9142336190527134</v>
      </c>
      <c r="BW36" s="1254">
        <f t="shared" si="11"/>
        <v>1.9698081995246379</v>
      </c>
      <c r="BY36" s="258">
        <v>239900</v>
      </c>
      <c r="BZ36" s="258">
        <v>505172.63935948297</v>
      </c>
      <c r="CA36" s="258">
        <v>349900</v>
      </c>
      <c r="CB36" s="258">
        <v>719789.92277584702</v>
      </c>
      <c r="CC36" s="1254">
        <f t="shared" si="9"/>
        <v>1.9043525958020144</v>
      </c>
      <c r="CD36" s="1254">
        <f t="shared" si="12"/>
        <v>1.9459571036003569</v>
      </c>
      <c r="CF36" s="258">
        <v>175200</v>
      </c>
      <c r="CG36" s="258">
        <v>377224.26301631087</v>
      </c>
      <c r="CH36" s="258">
        <v>242200</v>
      </c>
      <c r="CI36" s="258">
        <v>525024.13058924791</v>
      </c>
      <c r="CJ36" s="1254">
        <f t="shared" si="10"/>
        <v>1.86722256715202</v>
      </c>
      <c r="CK36" s="1254">
        <f t="shared" si="13"/>
        <v>1.8563625723710002</v>
      </c>
      <c r="CM36" s="1183">
        <v>0.54886869729999999</v>
      </c>
      <c r="CN36" s="1183">
        <v>0.51907081050000003</v>
      </c>
    </row>
    <row r="37" spans="1:92" s="256" customFormat="1" ht="9.75" customHeight="1" x14ac:dyDescent="0.25">
      <c r="A37" s="254">
        <v>1988</v>
      </c>
      <c r="B37" s="258">
        <f>('C1-Incomes'!B36-'C1-Incomes'!C36)/'C0-Ref Stats'!$B34*1000*'C0-Ref Stats'!$AA34/0.9</f>
        <v>30900.434982370352</v>
      </c>
      <c r="C37" s="258">
        <f>('C1-Incomes'!C36-'C1-Incomes'!D36)/'C0-Ref Stats'!$B34*1000*'C0-Ref Stats'!$AA34/0.05</f>
        <v>106499.66142348912</v>
      </c>
      <c r="D37" s="258">
        <f>('C1-Incomes'!D36-'C1-Incomes'!E36)/'C0-Ref Stats'!$B34*1000*'C0-Ref Stats'!$AA34/0.04</f>
        <v>158320.06960116976</v>
      </c>
      <c r="E37" s="258">
        <f>('C1-Incomes'!E36-'C1-Incomes'!F36)/'C0-Ref Stats'!$B34*1000*'C0-Ref Stats'!$AA34/0.005</f>
        <v>297627.92936551507</v>
      </c>
      <c r="F37" s="258">
        <f>('C1-Incomes'!F36-'C1-Incomes'!G36)/'C0-Ref Stats'!$B34*1000*'C0-Ref Stats'!$AA34/0.004</f>
        <v>550471.85105410405</v>
      </c>
      <c r="G37" s="258">
        <f>('C1-Incomes'!G36-'C1-Incomes'!H36)/'C0-Ref Stats'!$B34*1000*'C0-Ref Stats'!$AA34/0.0009</f>
        <v>1647968.6503074572</v>
      </c>
      <c r="H37" s="258"/>
      <c r="I37" s="258">
        <f>('C1-Incomes'!J36-'C1-Incomes'!K36)/'C0-Ref Stats'!$R34*1000*'C0-Ref Stats'!$AA34/0.9</f>
        <v>23772.928899600538</v>
      </c>
      <c r="J37" s="258">
        <f>('C1-Incomes'!K36-'C1-Incomes'!L36)/'C0-Ref Stats'!$R34*1000*'C0-Ref Stats'!$AA34/0.05</f>
        <v>67911.619029979716</v>
      </c>
      <c r="K37" s="258">
        <f>('C1-Incomes'!L36-'C1-Incomes'!M36)/'C0-Ref Stats'!$R34*1000*'C0-Ref Stats'!$AA34/0.04</f>
        <v>99238.880822040548</v>
      </c>
      <c r="L37" s="258">
        <f>('C1-Incomes'!M36-'C1-Incomes'!N36)/'C0-Ref Stats'!$R34*1000*'C0-Ref Stats'!$AA34/0.005</f>
        <v>179193.27933777045</v>
      </c>
      <c r="M37" s="258">
        <f>('C1-Incomes'!N36-'C1-Incomes'!O36)/'C0-Ref Stats'!$R34*1000*'C0-Ref Stats'!$AA34/0.004</f>
        <v>327662.73676682141</v>
      </c>
      <c r="N37" s="258">
        <f>('C1-Incomes'!O36-'C1-Incomes'!P36)/'C0-Ref Stats'!$R34*1000*'C0-Ref Stats'!$AA34/0.0009</f>
        <v>1043310.551025534</v>
      </c>
      <c r="O37" s="47"/>
      <c r="P37" s="258">
        <f>('C1-Incomes'!R36-'C1-Incomes'!S36)/'C0-Ref Stats'!$R34*1000*'C0-Ref Stats'!$AA34/0.9</f>
        <v>27336.330625496848</v>
      </c>
      <c r="Q37" s="258">
        <f>('C1-Incomes'!S36-'C1-Incomes'!T36)/'C0-Ref Stats'!$R34*1000*'C0-Ref Stats'!$AA34/0.05</f>
        <v>69507.030205894946</v>
      </c>
      <c r="R37" s="258">
        <f>('C1-Incomes'!T36-'C1-Incomes'!U36)/'C0-Ref Stats'!$R34*1000*'C0-Ref Stats'!$AA34/0.04</f>
        <v>101240.65304533705</v>
      </c>
      <c r="S37" s="258">
        <f>('C1-Incomes'!U36-'C1-Incomes'!V36)/'C0-Ref Stats'!$R34*1000*'C0-Ref Stats'!$AA34/0.005</f>
        <v>181080.25769365986</v>
      </c>
      <c r="T37" s="258">
        <f>('C1-Incomes'!V36-'C1-Incomes'!W36)/'C0-Ref Stats'!$R34*1000*'C0-Ref Stats'!$AA34/0.004</f>
        <v>330344.73391285888</v>
      </c>
      <c r="U37" s="258">
        <f>('C1-Incomes'!W36-'C1-Incomes'!X36)/'C0-Ref Stats'!$R34*1000*'C0-Ref Stats'!$AA34/0.0009</f>
        <v>1046277.5956260174</v>
      </c>
      <c r="V37" s="258"/>
      <c r="W37" s="258">
        <f>('C1-Incomes'!Z36-'C1-Incomes'!AA36)/'C0-Ref Stats'!$R34*1000*'C0-Ref Stats'!$AA34/0.9</f>
        <v>26291.898498900267</v>
      </c>
      <c r="X37" s="258">
        <f>('C1-Incomes'!AA36-'C1-Incomes'!AB36)/'C0-Ref Stats'!$R34*1000*'C0-Ref Stats'!$AA34/0.05</f>
        <v>56671.89713068679</v>
      </c>
      <c r="Y37" s="258">
        <f>('C1-Incomes'!AB36-'C1-Incomes'!AC36)/'C0-Ref Stats'!$R34*1000*'C0-Ref Stats'!$AA34/0.04</f>
        <v>79980.09276174166</v>
      </c>
      <c r="Z37" s="258">
        <f>('C1-Incomes'!AC36-'C1-Incomes'!AD36)/'C0-Ref Stats'!$R34*1000*'C0-Ref Stats'!$AA34/0.005</f>
        <v>140949.26858277826</v>
      </c>
      <c r="AA37" s="258">
        <f>('C1-Incomes'!AD36-'C1-Incomes'!AE36)/'C0-Ref Stats'!$R34*1000*'C0-Ref Stats'!$AA34/0.004</f>
        <v>248199.71306738126</v>
      </c>
      <c r="AB37" s="258">
        <f>('C1-Incomes'!AE36-'C1-Incomes'!AF36)/'C0-Ref Stats'!$R34*1000*'C0-Ref Stats'!$AA34/0.0009</f>
        <v>765807.2790365963</v>
      </c>
      <c r="AD37" s="258">
        <f>'C1-Incomes'!C36/'C0-Ref Stats'!$B34*1000*'C0-Ref Stats'!$AA34/0.1</f>
        <v>177600.75898612937</v>
      </c>
      <c r="AE37" s="258">
        <f>'C1-Incomes'!D36/'C0-Ref Stats'!$B34*1000*'C0-Ref Stats'!$AA34/0.05</f>
        <v>248701.8565487696</v>
      </c>
      <c r="AF37" s="258">
        <f>'C1-Incomes'!E36/'C0-Ref Stats'!$B34*1000*'C0-Ref Stats'!$AA34/0.01</f>
        <v>610229.00433916913</v>
      </c>
      <c r="AG37" s="258">
        <f>'C1-Incomes'!F36/'C0-Ref Stats'!$B34*1000*'C0-Ref Stats'!$AA34/0.005</f>
        <v>922830.07931282313</v>
      </c>
      <c r="AH37" s="258">
        <f>'C1-Incomes'!G36/'C0-Ref Stats'!$B34*1000*'C0-Ref Stats'!$AA34/0.001</f>
        <v>2412262.9923476996</v>
      </c>
      <c r="AI37" s="258">
        <f>'C1-Incomes'!H36/'C0-Ref Stats'!$B34*1000*'C0-Ref Stats'!$AA34/0.0001</f>
        <v>9290912.0707098823</v>
      </c>
      <c r="AJ37" s="47"/>
      <c r="AK37" s="258">
        <f>'C1-Incomes'!K36/'C0-Ref Stats'!$R34*1000*'C0-Ref Stats'!$AA34/0.1</f>
        <v>111459.54134230467</v>
      </c>
      <c r="AL37" s="258">
        <f>'C1-Incomes'!L36/'C0-Ref Stats'!$R34*1000*'C0-Ref Stats'!$AA34/0.05</f>
        <v>155007.46365462962</v>
      </c>
      <c r="AM37" s="258">
        <f>'C1-Incomes'!M36/'C0-Ref Stats'!$R34*1000*'C0-Ref Stats'!$AA34/0.01</f>
        <v>378081.79498498584</v>
      </c>
      <c r="AN37" s="258">
        <f>'C1-Incomes'!N36/'C0-Ref Stats'!$R34*1000*'C0-Ref Stats'!$AA34/0.005</f>
        <v>576970.31063220114</v>
      </c>
      <c r="AO37" s="258">
        <f>'C1-Incomes'!O36/'C0-Ref Stats'!$R34*1000*'C0-Ref Stats'!$AA34/0.001</f>
        <v>1574200.6060937205</v>
      </c>
      <c r="AP37" s="258">
        <f>'C1-Incomes'!P36/'C0-Ref Stats'!$R34*1000*'C0-Ref Stats'!$AA34/0.0001</f>
        <v>6352211.101707398</v>
      </c>
      <c r="AQ37" s="47"/>
      <c r="AR37" s="258">
        <f>'C1-Incomes'!S36/'C0-Ref Stats'!$R34*1000*'C0-Ref Stats'!$AA34/0.1</f>
        <v>113289.55572899542</v>
      </c>
      <c r="AS37" s="258">
        <f>'C1-Incomes'!T36/'C0-Ref Stats'!$R34*1000*'C0-Ref Stats'!$AA34/0.05</f>
        <v>157072.0812520959</v>
      </c>
      <c r="AT37" s="258">
        <f>'C1-Incomes'!U36/'C0-Ref Stats'!$R34*1000*'C0-Ref Stats'!$AA34/0.01</f>
        <v>380397.79407913127</v>
      </c>
      <c r="AU37" s="258">
        <f>'C1-Incomes'!V36/'C0-Ref Stats'!$R34*1000*'C0-Ref Stats'!$AA34/0.005</f>
        <v>579715.33046460256</v>
      </c>
      <c r="AV37" s="258">
        <f>'C1-Incomes'!W36/'C0-Ref Stats'!$R34*1000*'C0-Ref Stats'!$AA34/0.001</f>
        <v>1577197.7166715777</v>
      </c>
      <c r="AW37" s="258">
        <f>'C1-Incomes'!X36/'C0-Ref Stats'!$R34*1000*'C0-Ref Stats'!$AA34/0.0001</f>
        <v>6355478.8060816191</v>
      </c>
      <c r="AX37" s="258"/>
      <c r="AY37" s="258">
        <f>'C1-Incomes'!AA36/'C0-Ref Stats'!$R34*1000*'C0-Ref Stats'!$AA34/0.1</f>
        <v>88788.775660049389</v>
      </c>
      <c r="AZ37" s="258">
        <f>'C1-Incomes'!AB36/'C0-Ref Stats'!$R34*1000*'C0-Ref Stats'!$AA34/0.05</f>
        <v>120905.65418941202</v>
      </c>
      <c r="BA37" s="258">
        <f>'C1-Incomes'!AC36/'C0-Ref Stats'!$R34*1000*'C0-Ref Stats'!$AA34/0.01</f>
        <v>284607.8999000935</v>
      </c>
      <c r="BB37" s="258">
        <f>'C1-Incomes'!AD36/'C0-Ref Stats'!$R34*1000*'C0-Ref Stats'!$AA34/0.005</f>
        <v>428266.53121740866</v>
      </c>
      <c r="BC37" s="258">
        <f>'C1-Incomes'!AE36/'C0-Ref Stats'!$R34*1000*'C0-Ref Stats'!$AA34/0.001</f>
        <v>1148533.8038175185</v>
      </c>
      <c r="BD37" s="258">
        <f>'C1-Incomes'!AF36/'C0-Ref Stats'!$R34*1000*'C0-Ref Stats'!$AA34/0.0001</f>
        <v>4593072.5268458175</v>
      </c>
      <c r="BF37" s="258">
        <v>94300</v>
      </c>
      <c r="BG37" s="258">
        <v>122900</v>
      </c>
      <c r="BH37" s="258">
        <v>248300</v>
      </c>
      <c r="BI37" s="258">
        <v>370000</v>
      </c>
      <c r="BJ37" s="258">
        <v>969000</v>
      </c>
      <c r="BK37" s="258">
        <v>4030000</v>
      </c>
      <c r="BM37" s="258">
        <v>175800</v>
      </c>
      <c r="BN37" s="258">
        <v>407296.3633192234</v>
      </c>
      <c r="BO37" s="1254">
        <f t="shared" si="0"/>
        <v>1.7594071780625746</v>
      </c>
      <c r="BP37" s="1254">
        <f t="shared" si="4"/>
        <v>1.6860461499993913</v>
      </c>
      <c r="BQ37" s="480"/>
      <c r="BR37" s="258">
        <v>246100</v>
      </c>
      <c r="BS37" s="258">
        <v>586635.52740599168</v>
      </c>
      <c r="BT37" s="258">
        <v>370200</v>
      </c>
      <c r="BU37" s="258">
        <v>871819.93759763381</v>
      </c>
      <c r="BV37" s="1254">
        <f t="shared" si="8"/>
        <v>1.7226852419031033</v>
      </c>
      <c r="BW37" s="1254">
        <f t="shared" si="11"/>
        <v>1.7380089431312633</v>
      </c>
      <c r="BY37" s="258">
        <v>249200</v>
      </c>
      <c r="BZ37" s="258">
        <v>594836.08300750831</v>
      </c>
      <c r="CA37" s="258">
        <v>371700</v>
      </c>
      <c r="CB37" s="258">
        <v>884817.31857619155</v>
      </c>
      <c r="CC37" s="1254">
        <f t="shared" si="9"/>
        <v>1.7209895385679006</v>
      </c>
      <c r="CD37" s="1254">
        <f t="shared" si="12"/>
        <v>1.7243957405908668</v>
      </c>
      <c r="CF37" s="258">
        <v>184300</v>
      </c>
      <c r="CG37" s="258">
        <v>458502.2100532098</v>
      </c>
      <c r="CH37" s="258">
        <v>264000</v>
      </c>
      <c r="CI37" s="258">
        <v>671087.43155181943</v>
      </c>
      <c r="CJ37" s="1254">
        <f t="shared" si="10"/>
        <v>1.6721317088007277</v>
      </c>
      <c r="CK37" s="1254">
        <f t="shared" si="13"/>
        <v>1.6485093361728969</v>
      </c>
      <c r="CM37" s="1183">
        <v>0.56292185809999995</v>
      </c>
      <c r="CN37" s="1183">
        <v>0.53012061040000003</v>
      </c>
    </row>
    <row r="38" spans="1:92" s="256" customFormat="1" ht="9.75" customHeight="1" x14ac:dyDescent="0.25">
      <c r="A38" s="254">
        <v>1989</v>
      </c>
      <c r="B38" s="258">
        <f>('C1-Incomes'!B37-'C1-Incomes'!C37)/'C0-Ref Stats'!$B35*1000*'C0-Ref Stats'!$AA35/0.9</f>
        <v>30876.89031390347</v>
      </c>
      <c r="C38" s="258">
        <f>('C1-Incomes'!C37-'C1-Incomes'!D37)/'C0-Ref Stats'!$B35*1000*'C0-Ref Stats'!$AA35/0.05</f>
        <v>107424.36684790323</v>
      </c>
      <c r="D38" s="258">
        <f>('C1-Incomes'!D37-'C1-Incomes'!E37)/'C0-Ref Stats'!$B35*1000*'C0-Ref Stats'!$AA35/0.04</f>
        <v>160942.01888333165</v>
      </c>
      <c r="E38" s="258">
        <f>('C1-Incomes'!E37-'C1-Incomes'!F37)/'C0-Ref Stats'!$B35*1000*'C0-Ref Stats'!$AA35/0.005</f>
        <v>299792.1335664909</v>
      </c>
      <c r="F38" s="258">
        <f>('C1-Incomes'!F37-'C1-Incomes'!G37)/'C0-Ref Stats'!$B35*1000*'C0-Ref Stats'!$AA35/0.004</f>
        <v>535472.29912772158</v>
      </c>
      <c r="G38" s="258">
        <f>('C1-Incomes'!G37-'C1-Incomes'!H37)/'C0-Ref Stats'!$B35*1000*'C0-Ref Stats'!$AA35/0.0009</f>
        <v>1530653.2767772293</v>
      </c>
      <c r="H38" s="258"/>
      <c r="I38" s="258">
        <f>('C1-Incomes'!J37-'C1-Incomes'!K37)/'C0-Ref Stats'!$R35*1000*'C0-Ref Stats'!$AA35/0.9</f>
        <v>24130.489594466704</v>
      </c>
      <c r="J38" s="258">
        <f>('C1-Incomes'!K37-'C1-Incomes'!L37)/'C0-Ref Stats'!$R35*1000*'C0-Ref Stats'!$AA35/0.05</f>
        <v>69095.592815111551</v>
      </c>
      <c r="K38" s="258">
        <f>('C1-Incomes'!L37-'C1-Incomes'!M37)/'C0-Ref Stats'!$R35*1000*'C0-Ref Stats'!$AA35/0.04</f>
        <v>101341.54820613225</v>
      </c>
      <c r="L38" s="258">
        <f>('C1-Incomes'!M37-'C1-Incomes'!N37)/'C0-Ref Stats'!$R35*1000*'C0-Ref Stats'!$AA35/0.005</f>
        <v>180364.25286390079</v>
      </c>
      <c r="M38" s="258">
        <f>('C1-Incomes'!N37-'C1-Incomes'!O37)/'C0-Ref Stats'!$R35*1000*'C0-Ref Stats'!$AA35/0.004</f>
        <v>324242.87805596495</v>
      </c>
      <c r="N38" s="258">
        <f>('C1-Incomes'!O37-'C1-Incomes'!P37)/'C0-Ref Stats'!$R35*1000*'C0-Ref Stats'!$AA35/0.0009</f>
        <v>980094.92664472549</v>
      </c>
      <c r="O38" s="47"/>
      <c r="P38" s="258">
        <f>('C1-Incomes'!R37-'C1-Incomes'!S37)/'C0-Ref Stats'!$R35*1000*'C0-Ref Stats'!$AA35/0.9</f>
        <v>27810.462283151093</v>
      </c>
      <c r="Q38" s="258">
        <f>('C1-Incomes'!S37-'C1-Incomes'!T37)/'C0-Ref Stats'!$R35*1000*'C0-Ref Stats'!$AA35/0.05</f>
        <v>70819.488805289089</v>
      </c>
      <c r="R38" s="258">
        <f>('C1-Incomes'!T37-'C1-Incomes'!U37)/'C0-Ref Stats'!$R35*1000*'C0-Ref Stats'!$AA35/0.04</f>
        <v>103153.64040632434</v>
      </c>
      <c r="S38" s="258">
        <f>('C1-Incomes'!U37-'C1-Incomes'!V37)/'C0-Ref Stats'!$R35*1000*'C0-Ref Stats'!$AA35/0.005</f>
        <v>183430.95632317083</v>
      </c>
      <c r="T38" s="258">
        <f>('C1-Incomes'!V37-'C1-Incomes'!W37)/'C0-Ref Stats'!$R35*1000*'C0-Ref Stats'!$AA35/0.004</f>
        <v>326115.58675227012</v>
      </c>
      <c r="U38" s="258">
        <f>('C1-Incomes'!W37-'C1-Incomes'!X37)/'C0-Ref Stats'!$R35*1000*'C0-Ref Stats'!$AA35/0.0009</f>
        <v>985661.23204520938</v>
      </c>
      <c r="V38" s="258"/>
      <c r="W38" s="258">
        <f>('C1-Incomes'!Z37-'C1-Incomes'!AA37)/'C0-Ref Stats'!$R35*1000*'C0-Ref Stats'!$AA35/0.9</f>
        <v>26742.739108410882</v>
      </c>
      <c r="X38" s="258">
        <f>('C1-Incomes'!AA37-'C1-Incomes'!AB37)/'C0-Ref Stats'!$R35*1000*'C0-Ref Stats'!$AA35/0.05</f>
        <v>57229.501540206234</v>
      </c>
      <c r="Y38" s="258">
        <f>('C1-Incomes'!AB37-'C1-Incomes'!AC37)/'C0-Ref Stats'!$R35*1000*'C0-Ref Stats'!$AA35/0.04</f>
        <v>80911.772024160091</v>
      </c>
      <c r="Z38" s="258">
        <f>('C1-Incomes'!AC37-'C1-Incomes'!AD37)/'C0-Ref Stats'!$R35*1000*'C0-Ref Stats'!$AA35/0.005</f>
        <v>139863.44887490739</v>
      </c>
      <c r="AA38" s="258">
        <f>('C1-Incomes'!AD37-'C1-Incomes'!AE37)/'C0-Ref Stats'!$R35*1000*'C0-Ref Stats'!$AA35/0.004</f>
        <v>241739.43671071046</v>
      </c>
      <c r="AB38" s="258">
        <f>('C1-Incomes'!AE37-'C1-Incomes'!AF37)/'C0-Ref Stats'!$R35*1000*'C0-Ref Stats'!$AA35/0.0009</f>
        <v>712900.42252768553</v>
      </c>
      <c r="AD38" s="258">
        <f>'C1-Incomes'!C37/'C0-Ref Stats'!$B35*1000*'C0-Ref Stats'!$AA35/0.1</f>
        <v>176439.95629737363</v>
      </c>
      <c r="AE38" s="258">
        <f>'C1-Incomes'!D37/'C0-Ref Stats'!$B35*1000*'C0-Ref Stats'!$AA35/0.05</f>
        <v>245455.54574684409</v>
      </c>
      <c r="AF38" s="258">
        <f>'C1-Incomes'!E37/'C0-Ref Stats'!$B35*1000*'C0-Ref Stats'!$AA35/0.01</f>
        <v>583509.65320089413</v>
      </c>
      <c r="AG38" s="258">
        <f>'C1-Incomes'!F37/'C0-Ref Stats'!$B35*1000*'C0-Ref Stats'!$AA35/0.005</f>
        <v>867227.1728352973</v>
      </c>
      <c r="AH38" s="258">
        <f>'C1-Incomes'!G37/'C0-Ref Stats'!$B35*1000*'C0-Ref Stats'!$AA35/0.001</f>
        <v>2194246.6676656003</v>
      </c>
      <c r="AI38" s="258">
        <f>'C1-Incomes'!H37/'C0-Ref Stats'!$B35*1000*'C0-Ref Stats'!$AA35/0.0001</f>
        <v>8166587.1856609434</v>
      </c>
      <c r="AJ38" s="47"/>
      <c r="AK38" s="258">
        <f>'C1-Incomes'!K37/'C0-Ref Stats'!$R35*1000*'C0-Ref Stats'!$AA35/0.1</f>
        <v>111673.73741812505</v>
      </c>
      <c r="AL38" s="258">
        <f>'C1-Incomes'!L37/'C0-Ref Stats'!$R35*1000*'C0-Ref Stats'!$AA35/0.05</f>
        <v>154251.88202113856</v>
      </c>
      <c r="AM38" s="258">
        <f>'C1-Incomes'!M37/'C0-Ref Stats'!$R35*1000*'C0-Ref Stats'!$AA35/0.01</f>
        <v>365893.21728116384</v>
      </c>
      <c r="AN38" s="258">
        <f>'C1-Incomes'!N37/'C0-Ref Stats'!$R35*1000*'C0-Ref Stats'!$AA35/0.005</f>
        <v>551422.18169842684</v>
      </c>
      <c r="AO38" s="258">
        <f>'C1-Incomes'!O37/'C0-Ref Stats'!$R35*1000*'C0-Ref Stats'!$AA35/0.001</f>
        <v>1460139.3962682746</v>
      </c>
      <c r="AP38" s="258">
        <f>'C1-Incomes'!P37/'C0-Ref Stats'!$R35*1000*'C0-Ref Stats'!$AA35/0.0001</f>
        <v>5780539.6228802167</v>
      </c>
      <c r="AQ38" s="47"/>
      <c r="AR38" s="258">
        <f>'C1-Incomes'!S37/'C0-Ref Stats'!$R35*1000*'C0-Ref Stats'!$AA35/0.1</f>
        <v>113542.1427187324</v>
      </c>
      <c r="AS38" s="258">
        <f>'C1-Incomes'!T37/'C0-Ref Stats'!$R35*1000*'C0-Ref Stats'!$AA35/0.05</f>
        <v>156264.79663217571</v>
      </c>
      <c r="AT38" s="258">
        <f>'C1-Incomes'!U37/'C0-Ref Stats'!$R35*1000*'C0-Ref Stats'!$AA35/0.01</f>
        <v>368709.42153558147</v>
      </c>
      <c r="AU38" s="258">
        <f>'C1-Incomes'!V37/'C0-Ref Stats'!$R35*1000*'C0-Ref Stats'!$AA35/0.005</f>
        <v>553987.88674799202</v>
      </c>
      <c r="AV38" s="258">
        <f>'C1-Incomes'!W37/'C0-Ref Stats'!$R35*1000*'C0-Ref Stats'!$AA35/0.001</f>
        <v>1465477.0867308793</v>
      </c>
      <c r="AW38" s="258">
        <f>'C1-Incomes'!X37/'C0-Ref Stats'!$R35*1000*'C0-Ref Stats'!$AA35/0.0001</f>
        <v>5783819.7789019085</v>
      </c>
      <c r="AX38" s="258"/>
      <c r="AY38" s="258">
        <f>'C1-Incomes'!AA37/'C0-Ref Stats'!$R35*1000*'C0-Ref Stats'!$AA35/0.1</f>
        <v>88163.351608113779</v>
      </c>
      <c r="AZ38" s="258">
        <f>'C1-Incomes'!AB37/'C0-Ref Stats'!$R35*1000*'C0-Ref Stats'!$AA35/0.05</f>
        <v>119097.20167602133</v>
      </c>
      <c r="BA38" s="258">
        <f>'C1-Incomes'!AC37/'C0-Ref Stats'!$R35*1000*'C0-Ref Stats'!$AA35/0.01</f>
        <v>271838.92028346634</v>
      </c>
      <c r="BB38" s="258">
        <f>'C1-Incomes'!AD37/'C0-Ref Stats'!$R35*1000*'C0-Ref Stats'!$AA35/0.005</f>
        <v>403814.39169202535</v>
      </c>
      <c r="BC38" s="258">
        <f>'C1-Incomes'!AE37/'C0-Ref Stats'!$R35*1000*'C0-Ref Stats'!$AA35/0.001</f>
        <v>1052114.2116172849</v>
      </c>
      <c r="BD38" s="258">
        <f>'C1-Incomes'!AF37/'C0-Ref Stats'!$R35*1000*'C0-Ref Stats'!$AA35/0.0001</f>
        <v>4105038.3134236815</v>
      </c>
      <c r="BF38" s="258">
        <v>94800</v>
      </c>
      <c r="BG38" s="258">
        <v>124500</v>
      </c>
      <c r="BH38" s="258">
        <v>250900</v>
      </c>
      <c r="BI38" s="258">
        <v>370000</v>
      </c>
      <c r="BJ38" s="258">
        <v>928000</v>
      </c>
      <c r="BK38" s="258">
        <v>3610000</v>
      </c>
      <c r="BM38" s="258">
        <v>178800</v>
      </c>
      <c r="BN38" s="258">
        <v>395652.95115808543</v>
      </c>
      <c r="BO38" s="1254">
        <f t="shared" si="0"/>
        <v>1.8245218662929568</v>
      </c>
      <c r="BP38" s="1254">
        <f t="shared" si="4"/>
        <v>1.7543376976147411</v>
      </c>
      <c r="BQ38" s="480"/>
      <c r="BR38" s="258">
        <v>251500</v>
      </c>
      <c r="BS38" s="258">
        <v>574319.10065383546</v>
      </c>
      <c r="BT38" s="258">
        <v>378100</v>
      </c>
      <c r="BU38" s="258">
        <v>839393.61371885042</v>
      </c>
      <c r="BV38" s="1254">
        <f t="shared" si="8"/>
        <v>1.7790740990561393</v>
      </c>
      <c r="BW38" s="1254">
        <f t="shared" si="11"/>
        <v>1.8196514947428788</v>
      </c>
      <c r="BY38" s="258">
        <v>254200</v>
      </c>
      <c r="BZ38" s="258">
        <v>581944.65457717213</v>
      </c>
      <c r="CA38" s="258">
        <v>379700</v>
      </c>
      <c r="CB38" s="258">
        <v>850952.2828577162</v>
      </c>
      <c r="CC38" s="1254">
        <f t="shared" si="9"/>
        <v>1.7756038014653417</v>
      </c>
      <c r="CD38" s="1254">
        <f t="shared" si="12"/>
        <v>1.8057255398264918</v>
      </c>
      <c r="CF38" s="258">
        <v>185500</v>
      </c>
      <c r="CG38" s="258">
        <v>444883.96272076026</v>
      </c>
      <c r="CH38" s="258">
        <v>267700</v>
      </c>
      <c r="CI38" s="258">
        <v>639116.54229717946</v>
      </c>
      <c r="CJ38" s="1254">
        <f t="shared" si="10"/>
        <v>1.7151560106269945</v>
      </c>
      <c r="CK38" s="1254">
        <f t="shared" si="13"/>
        <v>1.7207541116620668</v>
      </c>
      <c r="CM38" s="1183">
        <v>0.56126281649999998</v>
      </c>
      <c r="CN38" s="1183">
        <v>0.52833255609999996</v>
      </c>
    </row>
    <row r="39" spans="1:92" s="256" customFormat="1" ht="9.75" customHeight="1" x14ac:dyDescent="0.25">
      <c r="A39" s="254">
        <v>1990</v>
      </c>
      <c r="B39" s="258">
        <f>('C1-Incomes'!B38-'C1-Incomes'!C38)/'C0-Ref Stats'!$B36*1000*'C0-Ref Stats'!$AA36/0.9</f>
        <v>30592.177767125235</v>
      </c>
      <c r="C39" s="258">
        <f>('C1-Incomes'!C38-'C1-Incomes'!D38)/'C0-Ref Stats'!$B36*1000*'C0-Ref Stats'!$AA36/0.05</f>
        <v>106963.59722561177</v>
      </c>
      <c r="D39" s="258">
        <f>('C1-Incomes'!D38-'C1-Incomes'!E38)/'C0-Ref Stats'!$B36*1000*'C0-Ref Stats'!$AA36/0.04</f>
        <v>160988.33072736941</v>
      </c>
      <c r="E39" s="258">
        <f>('C1-Incomes'!E38-'C1-Incomes'!F38)/'C0-Ref Stats'!$B36*1000*'C0-Ref Stats'!$AA36/0.005</f>
        <v>301467.17239143915</v>
      </c>
      <c r="F39" s="258">
        <f>('C1-Incomes'!F38-'C1-Incomes'!G38)/'C0-Ref Stats'!$B36*1000*'C0-Ref Stats'!$AA36/0.004</f>
        <v>554100.36043082748</v>
      </c>
      <c r="G39" s="258">
        <f>('C1-Incomes'!G38-'C1-Incomes'!H38)/'C0-Ref Stats'!$B36*1000*'C0-Ref Stats'!$AA36/0.0009</f>
        <v>1558096.8895947565</v>
      </c>
      <c r="H39" s="258"/>
      <c r="I39" s="258">
        <f>('C1-Incomes'!J38-'C1-Incomes'!K38)/'C0-Ref Stats'!$R36*1000*'C0-Ref Stats'!$AA36/0.9</f>
        <v>23724.219352988261</v>
      </c>
      <c r="J39" s="258">
        <f>('C1-Incomes'!K38-'C1-Incomes'!L38)/'C0-Ref Stats'!$R36*1000*'C0-Ref Stats'!$AA36/0.05</f>
        <v>69106.13251671147</v>
      </c>
      <c r="K39" s="258">
        <f>('C1-Incomes'!L38-'C1-Incomes'!M38)/'C0-Ref Stats'!$R36*1000*'C0-Ref Stats'!$AA36/0.04</f>
        <v>102186.16803666904</v>
      </c>
      <c r="L39" s="258">
        <f>('C1-Incomes'!M38-'C1-Incomes'!N38)/'C0-Ref Stats'!$R36*1000*'C0-Ref Stats'!$AA36/0.005</f>
        <v>183469.36251154193</v>
      </c>
      <c r="M39" s="258">
        <f>('C1-Incomes'!N38-'C1-Incomes'!O38)/'C0-Ref Stats'!$R36*1000*'C0-Ref Stats'!$AA36/0.004</f>
        <v>327753.94534833485</v>
      </c>
      <c r="N39" s="258">
        <f>('C1-Incomes'!O38-'C1-Incomes'!P38)/'C0-Ref Stats'!$R36*1000*'C0-Ref Stats'!$AA36/0.0009</f>
        <v>974536.68003889825</v>
      </c>
      <c r="O39" s="47"/>
      <c r="P39" s="258">
        <f>('C1-Incomes'!R38-'C1-Incomes'!S38)/'C0-Ref Stats'!$R36*1000*'C0-Ref Stats'!$AA36/0.9</f>
        <v>27567.757392183048</v>
      </c>
      <c r="Q39" s="258">
        <f>('C1-Incomes'!S38-'C1-Incomes'!T38)/'C0-Ref Stats'!$R36*1000*'C0-Ref Stats'!$AA36/0.05</f>
        <v>70779.225187081218</v>
      </c>
      <c r="R39" s="258">
        <f>('C1-Incomes'!T38-'C1-Incomes'!U38)/'C0-Ref Stats'!$R36*1000*'C0-Ref Stats'!$AA36/0.04</f>
        <v>104122.1747479278</v>
      </c>
      <c r="S39" s="258">
        <f>('C1-Incomes'!U38-'C1-Incomes'!V38)/'C0-Ref Stats'!$R36*1000*'C0-Ref Stats'!$AA36/0.005</f>
        <v>185851.34090028223</v>
      </c>
      <c r="T39" s="258">
        <f>('C1-Incomes'!V38-'C1-Incomes'!W38)/'C0-Ref Stats'!$R36*1000*'C0-Ref Stats'!$AA36/0.004</f>
        <v>329493.17142715736</v>
      </c>
      <c r="U39" s="258">
        <f>('C1-Incomes'!W38-'C1-Incomes'!X38)/'C0-Ref Stats'!$R36*1000*'C0-Ref Stats'!$AA36/0.0009</f>
        <v>979122.38134244794</v>
      </c>
      <c r="V39" s="258"/>
      <c r="W39" s="258">
        <f>('C1-Incomes'!Z38-'C1-Incomes'!AA38)/'C0-Ref Stats'!$R36*1000*'C0-Ref Stats'!$AA36/0.9</f>
        <v>26423.169112529973</v>
      </c>
      <c r="X39" s="258">
        <f>('C1-Incomes'!AA38-'C1-Incomes'!AB38)/'C0-Ref Stats'!$R36*1000*'C0-Ref Stats'!$AA36/0.05</f>
        <v>56771.427143603512</v>
      </c>
      <c r="Y39" s="258">
        <f>('C1-Incomes'!AB38-'C1-Incomes'!AC38)/'C0-Ref Stats'!$R36*1000*'C0-Ref Stats'!$AA36/0.04</f>
        <v>80933.250328219554</v>
      </c>
      <c r="Z39" s="258">
        <f>('C1-Incomes'!AC38-'C1-Incomes'!AD38)/'C0-Ref Stats'!$R36*1000*'C0-Ref Stats'!$AA36/0.005</f>
        <v>140385.29876528427</v>
      </c>
      <c r="AA39" s="258">
        <f>('C1-Incomes'!AD38-'C1-Incomes'!AE38)/'C0-Ref Stats'!$R36*1000*'C0-Ref Stats'!$AA36/0.004</f>
        <v>244204.52412539534</v>
      </c>
      <c r="AB39" s="258">
        <f>('C1-Incomes'!AE38-'C1-Incomes'!AF38)/'C0-Ref Stats'!$R36*1000*'C0-Ref Stats'!$AA36/0.0009</f>
        <v>702296.78813100606</v>
      </c>
      <c r="AD39" s="258">
        <f>'C1-Incomes'!C38/'C0-Ref Stats'!$B36*1000*'C0-Ref Stats'!$AA36/0.1</f>
        <v>177463.64168362162</v>
      </c>
      <c r="AE39" s="258">
        <f>'C1-Incomes'!D38/'C0-Ref Stats'!$B36*1000*'C0-Ref Stats'!$AA36/0.05</f>
        <v>247963.68614163148</v>
      </c>
      <c r="AF39" s="258">
        <f>'C1-Incomes'!E38/'C0-Ref Stats'!$B36*1000*'C0-Ref Stats'!$AA36/0.01</f>
        <v>595865.10779867985</v>
      </c>
      <c r="AG39" s="258">
        <f>'C1-Incomes'!F38/'C0-Ref Stats'!$B36*1000*'C0-Ref Stats'!$AA36/0.005</f>
        <v>890263.04320592061</v>
      </c>
      <c r="AH39" s="258">
        <f>'C1-Incomes'!G38/'C0-Ref Stats'!$B36*1000*'C0-Ref Stats'!$AA36/0.001</f>
        <v>2234913.7743062926</v>
      </c>
      <c r="AI39" s="258">
        <f>'C1-Incomes'!H38/'C0-Ref Stats'!$B36*1000*'C0-Ref Stats'!$AA36/0.0001</f>
        <v>8326265.73671012</v>
      </c>
      <c r="AJ39" s="47"/>
      <c r="AK39" s="258">
        <f>'C1-Incomes'!K38/'C0-Ref Stats'!$R36*1000*'C0-Ref Stats'!$AA36/0.1</f>
        <v>112193.3045066643</v>
      </c>
      <c r="AL39" s="258">
        <f>'C1-Incomes'!L38/'C0-Ref Stats'!$R36*1000*'C0-Ref Stats'!$AA36/0.05</f>
        <v>155280.47649661711</v>
      </c>
      <c r="AM39" s="258">
        <f>'C1-Incomes'!M38/'C0-Ref Stats'!$R36*1000*'C0-Ref Stats'!$AA36/0.01</f>
        <v>367657.71033640928</v>
      </c>
      <c r="AN39" s="258">
        <f>'C1-Incomes'!N38/'C0-Ref Stats'!$R36*1000*'C0-Ref Stats'!$AA36/0.005</f>
        <v>551846.05816127663</v>
      </c>
      <c r="AO39" s="258">
        <f>'C1-Incomes'!O38/'C0-Ref Stats'!$R36*1000*'C0-Ref Stats'!$AA36/0.001</f>
        <v>1448214.5094130435</v>
      </c>
      <c r="AP39" s="258">
        <f>'C1-Incomes'!P38/'C0-Ref Stats'!$R36*1000*'C0-Ref Stats'!$AA36/0.0001</f>
        <v>5711314.9737803508</v>
      </c>
      <c r="AQ39" s="47"/>
      <c r="AR39" s="258">
        <f>'C1-Incomes'!S38/'C0-Ref Stats'!$R36*1000*'C0-Ref Stats'!$AA36/0.1</f>
        <v>114036.5920112989</v>
      </c>
      <c r="AS39" s="258">
        <f>'C1-Incomes'!T38/'C0-Ref Stats'!$R36*1000*'C0-Ref Stats'!$AA36/0.05</f>
        <v>157293.95883551659</v>
      </c>
      <c r="AT39" s="258">
        <f>'C1-Incomes'!U38/'C0-Ref Stats'!$R36*1000*'C0-Ref Stats'!$AA36/0.01</f>
        <v>369981.09518587176</v>
      </c>
      <c r="AU39" s="258">
        <f>'C1-Incomes'!V38/'C0-Ref Stats'!$R36*1000*'C0-Ref Stats'!$AA36/0.005</f>
        <v>554110.84947146126</v>
      </c>
      <c r="AV39" s="258">
        <f>'C1-Incomes'!W38/'C0-Ref Stats'!$R36*1000*'C0-Ref Stats'!$AA36/0.001</f>
        <v>1452581.5616486769</v>
      </c>
      <c r="AW39" s="258">
        <f>'C1-Incomes'!X38/'C0-Ref Stats'!$R36*1000*'C0-Ref Stats'!$AA36/0.0001</f>
        <v>5713714.1844047355</v>
      </c>
      <c r="AX39" s="258"/>
      <c r="AY39" s="258">
        <f>'C1-Incomes'!AA38/'C0-Ref Stats'!$R36*1000*'C0-Ref Stats'!$AA36/0.1</f>
        <v>87902.798839131836</v>
      </c>
      <c r="AZ39" s="258">
        <f>'C1-Incomes'!AB38/'C0-Ref Stats'!$R36*1000*'C0-Ref Stats'!$AA36/0.05</f>
        <v>119034.17053466018</v>
      </c>
      <c r="BA39" s="258">
        <f>'C1-Incomes'!AC38/'C0-Ref Stats'!$R36*1000*'C0-Ref Stats'!$AA36/0.01</f>
        <v>271437.85136042268</v>
      </c>
      <c r="BB39" s="258">
        <f>'C1-Incomes'!AD38/'C0-Ref Stats'!$R36*1000*'C0-Ref Stats'!$AA36/0.005</f>
        <v>402490.40395556117</v>
      </c>
      <c r="BC39" s="258">
        <f>'C1-Incomes'!AE38/'C0-Ref Stats'!$R36*1000*'C0-Ref Stats'!$AA36/0.001</f>
        <v>1035633.9232762241</v>
      </c>
      <c r="BD39" s="258">
        <f>'C1-Incomes'!AF38/'C0-Ref Stats'!$R36*1000*'C0-Ref Stats'!$AA36/0.0001</f>
        <v>4035668.1395831858</v>
      </c>
      <c r="BF39" s="258">
        <v>94300</v>
      </c>
      <c r="BG39" s="258">
        <v>123800</v>
      </c>
      <c r="BH39" s="258">
        <v>253000</v>
      </c>
      <c r="BI39" s="258">
        <v>374000</v>
      </c>
      <c r="BJ39" s="258">
        <v>951000</v>
      </c>
      <c r="BK39" s="258">
        <v>3650000</v>
      </c>
      <c r="BM39" s="258">
        <v>179300</v>
      </c>
      <c r="BN39" s="258">
        <v>402534.46393614</v>
      </c>
      <c r="BO39" s="1254">
        <f t="shared" si="0"/>
        <v>1.8031913927559671</v>
      </c>
      <c r="BP39" s="1254">
        <f t="shared" si="4"/>
        <v>1.7378995244641635</v>
      </c>
      <c r="BQ39" s="480"/>
      <c r="BR39" s="258">
        <v>256100</v>
      </c>
      <c r="BS39" s="258">
        <v>582161.66533373354</v>
      </c>
      <c r="BT39" s="258">
        <v>384600</v>
      </c>
      <c r="BU39" s="258">
        <v>845170.20632613939</v>
      </c>
      <c r="BV39" s="1254">
        <f t="shared" si="8"/>
        <v>1.7854342513336374</v>
      </c>
      <c r="BW39" s="1254">
        <f t="shared" si="11"/>
        <v>1.8350518438173933</v>
      </c>
      <c r="BY39" s="258">
        <v>259100</v>
      </c>
      <c r="BZ39" s="258">
        <v>589738.71226619126</v>
      </c>
      <c r="CA39" s="258">
        <v>386100</v>
      </c>
      <c r="CB39" s="258">
        <v>856483.22842319089</v>
      </c>
      <c r="CC39" s="1254">
        <f t="shared" si="9"/>
        <v>1.783634796494741</v>
      </c>
      <c r="CD39" s="1254">
        <f t="shared" si="12"/>
        <v>1.8208200817326685</v>
      </c>
      <c r="CF39" s="258">
        <v>189800</v>
      </c>
      <c r="CG39" s="258">
        <v>447972.6840050405</v>
      </c>
      <c r="CH39" s="258">
        <v>273100</v>
      </c>
      <c r="CI39" s="258">
        <v>639991.98999416665</v>
      </c>
      <c r="CJ39" s="1254">
        <f t="shared" si="10"/>
        <v>1.7351668544310226</v>
      </c>
      <c r="CK39" s="1254">
        <f t="shared" si="13"/>
        <v>1.744360758610026</v>
      </c>
      <c r="CM39" s="1183">
        <v>0.56388666050000003</v>
      </c>
      <c r="CN39" s="1183">
        <v>0.53311601230000005</v>
      </c>
    </row>
    <row r="40" spans="1:92" s="256" customFormat="1" ht="9.75" customHeight="1" x14ac:dyDescent="0.25">
      <c r="A40" s="254">
        <v>1991</v>
      </c>
      <c r="B40" s="258">
        <f>('C1-Incomes'!B39-'C1-Incomes'!C39)/'C0-Ref Stats'!$B37*1000*'C0-Ref Stats'!$AA37/0.9</f>
        <v>29907.685822201085</v>
      </c>
      <c r="C40" s="258">
        <f>('C1-Incomes'!C39-'C1-Incomes'!D39)/'C0-Ref Stats'!$B37*1000*'C0-Ref Stats'!$AA37/0.05</f>
        <v>106318.32653321643</v>
      </c>
      <c r="D40" s="258">
        <f>('C1-Incomes'!D39-'C1-Incomes'!E39)/'C0-Ref Stats'!$B37*1000*'C0-Ref Stats'!$AA37/0.04</f>
        <v>160341.2374800535</v>
      </c>
      <c r="E40" s="258">
        <f>('C1-Incomes'!E39-'C1-Incomes'!F39)/'C0-Ref Stats'!$B37*1000*'C0-Ref Stats'!$AA37/0.005</f>
        <v>297324.61229747097</v>
      </c>
      <c r="F40" s="258">
        <f>('C1-Incomes'!F39-'C1-Incomes'!G39)/'C0-Ref Stats'!$B37*1000*'C0-Ref Stats'!$AA37/0.004</f>
        <v>517973.19113805721</v>
      </c>
      <c r="G40" s="258">
        <f>('C1-Incomes'!G39-'C1-Incomes'!H39)/'C0-Ref Stats'!$B37*1000*'C0-Ref Stats'!$AA37/0.0009</f>
        <v>1393678.4868381771</v>
      </c>
      <c r="H40" s="258"/>
      <c r="I40" s="258">
        <f>('C1-Incomes'!J39-'C1-Incomes'!K39)/'C0-Ref Stats'!$R37*1000*'C0-Ref Stats'!$AA37/0.9</f>
        <v>23324.316054974934</v>
      </c>
      <c r="J40" s="258">
        <f>('C1-Incomes'!K39-'C1-Incomes'!L39)/'C0-Ref Stats'!$R37*1000*'C0-Ref Stats'!$AA37/0.05</f>
        <v>68865.645169432944</v>
      </c>
      <c r="K40" s="258">
        <f>('C1-Incomes'!L39-'C1-Incomes'!M39)/'C0-Ref Stats'!$R37*1000*'C0-Ref Stats'!$AA37/0.04</f>
        <v>102881.03996330542</v>
      </c>
      <c r="L40" s="258">
        <f>('C1-Incomes'!M39-'C1-Incomes'!N39)/'C0-Ref Stats'!$R37*1000*'C0-Ref Stats'!$AA37/0.005</f>
        <v>181025.44702706754</v>
      </c>
      <c r="M40" s="258">
        <f>('C1-Incomes'!N39-'C1-Incomes'!O39)/'C0-Ref Stats'!$R37*1000*'C0-Ref Stats'!$AA37/0.004</f>
        <v>314029.94664242584</v>
      </c>
      <c r="N40" s="258">
        <f>('C1-Incomes'!O39-'C1-Incomes'!P39)/'C0-Ref Stats'!$R37*1000*'C0-Ref Stats'!$AA37/0.0009</f>
        <v>913331.25963836792</v>
      </c>
      <c r="O40" s="47"/>
      <c r="P40" s="258">
        <f>('C1-Incomes'!R39-'C1-Incomes'!S39)/'C0-Ref Stats'!$R37*1000*'C0-Ref Stats'!$AA37/0.9</f>
        <v>27499.180994307208</v>
      </c>
      <c r="Q40" s="258">
        <f>('C1-Incomes'!S39-'C1-Incomes'!T39)/'C0-Ref Stats'!$R37*1000*'C0-Ref Stats'!$AA37/0.05</f>
        <v>70626.782785267569</v>
      </c>
      <c r="R40" s="258">
        <f>('C1-Incomes'!T39-'C1-Incomes'!U39)/'C0-Ref Stats'!$R37*1000*'C0-Ref Stats'!$AA37/0.04</f>
        <v>104805.3795050495</v>
      </c>
      <c r="S40" s="258">
        <f>('C1-Incomes'!U39-'C1-Incomes'!V39)/'C0-Ref Stats'!$R37*1000*'C0-Ref Stats'!$AA37/0.005</f>
        <v>183076.46457644249</v>
      </c>
      <c r="T40" s="258">
        <f>('C1-Incomes'!V39-'C1-Incomes'!W39)/'C0-Ref Stats'!$R37*1000*'C0-Ref Stats'!$AA37/0.004</f>
        <v>316678.32329249691</v>
      </c>
      <c r="U40" s="258">
        <f>('C1-Incomes'!W39-'C1-Incomes'!X39)/'C0-Ref Stats'!$R37*1000*'C0-Ref Stats'!$AA37/0.0009</f>
        <v>916437.55160398514</v>
      </c>
      <c r="V40" s="258"/>
      <c r="W40" s="258">
        <f>('C1-Incomes'!Z39-'C1-Incomes'!AA39)/'C0-Ref Stats'!$R37*1000*'C0-Ref Stats'!$AA37/0.9</f>
        <v>26185.680330837335</v>
      </c>
      <c r="X40" s="258">
        <f>('C1-Incomes'!AA39-'C1-Incomes'!AB39)/'C0-Ref Stats'!$R37*1000*'C0-Ref Stats'!$AA37/0.05</f>
        <v>55995.389402806519</v>
      </c>
      <c r="Y40" s="258">
        <f>('C1-Incomes'!AB39-'C1-Incomes'!AC39)/'C0-Ref Stats'!$R37*1000*'C0-Ref Stats'!$AA37/0.04</f>
        <v>79989.2839863017</v>
      </c>
      <c r="Z40" s="258">
        <f>('C1-Incomes'!AC39-'C1-Incomes'!AD39)/'C0-Ref Stats'!$R37*1000*'C0-Ref Stats'!$AA37/0.005</f>
        <v>133437.16921317196</v>
      </c>
      <c r="AA40" s="258">
        <f>('C1-Incomes'!AD39-'C1-Incomes'!AE39)/'C0-Ref Stats'!$R37*1000*'C0-Ref Stats'!$AA37/0.004</f>
        <v>227424.51164619386</v>
      </c>
      <c r="AB40" s="258">
        <f>('C1-Incomes'!AE39-'C1-Incomes'!AF39)/'C0-Ref Stats'!$R37*1000*'C0-Ref Stats'!$AA37/0.0009</f>
        <v>625106.26663122838</v>
      </c>
      <c r="AD40" s="258">
        <f>'C1-Incomes'!C39/'C0-Ref Stats'!$B37*1000*'C0-Ref Stats'!$AA37/0.1</f>
        <v>172535.8816116651</v>
      </c>
      <c r="AE40" s="258">
        <f>'C1-Incomes'!D39/'C0-Ref Stats'!$B37*1000*'C0-Ref Stats'!$AA37/0.05</f>
        <v>238753.43669011368</v>
      </c>
      <c r="AF40" s="258">
        <f>'C1-Incomes'!E39/'C0-Ref Stats'!$B37*1000*'C0-Ref Stats'!$AA37/0.01</f>
        <v>552402.23353035457</v>
      </c>
      <c r="AG40" s="258">
        <f>'C1-Incomes'!F39/'C0-Ref Stats'!$B37*1000*'C0-Ref Stats'!$AA37/0.005</f>
        <v>807479.85476323811</v>
      </c>
      <c r="AH40" s="258">
        <f>'C1-Incomes'!G39/'C0-Ref Stats'!$B37*1000*'C0-Ref Stats'!$AA37/0.001</f>
        <v>1965506.509263962</v>
      </c>
      <c r="AI40" s="258">
        <f>'C1-Incomes'!H39/'C0-Ref Stats'!$B37*1000*'C0-Ref Stats'!$AA37/0.0001</f>
        <v>7111958.7110960251</v>
      </c>
      <c r="AJ40" s="47"/>
      <c r="AK40" s="258">
        <f>'C1-Incomes'!K39/'C0-Ref Stats'!$R37*1000*'C0-Ref Stats'!$AA37/0.1</f>
        <v>110599.67229000287</v>
      </c>
      <c r="AL40" s="258">
        <f>'C1-Incomes'!L39/'C0-Ref Stats'!$R37*1000*'C0-Ref Stats'!$AA37/0.05</f>
        <v>152333.69941057276</v>
      </c>
      <c r="AM40" s="258">
        <f>'C1-Incomes'!M39/'C0-Ref Stats'!$R37*1000*'C0-Ref Stats'!$AA37/0.01</f>
        <v>350144.33719964221</v>
      </c>
      <c r="AN40" s="258">
        <f>'C1-Incomes'!N39/'C0-Ref Stats'!$R37*1000*'C0-Ref Stats'!$AA37/0.005</f>
        <v>519263.22737221699</v>
      </c>
      <c r="AO40" s="258">
        <f>'C1-Incomes'!O39/'C0-Ref Stats'!$R37*1000*'C0-Ref Stats'!$AA37/0.001</f>
        <v>1340196.3502913818</v>
      </c>
      <c r="AP40" s="258">
        <f>'C1-Incomes'!P39/'C0-Ref Stats'!$R37*1000*'C0-Ref Stats'!$AA37/0.0001</f>
        <v>5181982.1661685091</v>
      </c>
      <c r="AQ40" s="47"/>
      <c r="AR40" s="258">
        <f>'C1-Incomes'!S39/'C0-Ref Stats'!$R37*1000*'C0-Ref Stats'!$AA37/0.1</f>
        <v>112491.68279596693</v>
      </c>
      <c r="AS40" s="258">
        <f>'C1-Incomes'!T39/'C0-Ref Stats'!$R37*1000*'C0-Ref Stats'!$AA37/0.05</f>
        <v>154356.58280666629</v>
      </c>
      <c r="AT40" s="258">
        <f>'C1-Incomes'!U39/'C0-Ref Stats'!$R37*1000*'C0-Ref Stats'!$AA37/0.01</f>
        <v>352561.39601313358</v>
      </c>
      <c r="AU40" s="258">
        <f>'C1-Incomes'!V39/'C0-Ref Stats'!$R37*1000*'C0-Ref Stats'!$AA37/0.005</f>
        <v>522046.32744982454</v>
      </c>
      <c r="AV40" s="258">
        <f>'C1-Incomes'!W39/'C0-Ref Stats'!$R37*1000*'C0-Ref Stats'!$AA37/0.001</f>
        <v>1343518.3440791359</v>
      </c>
      <c r="AW40" s="258">
        <f>'C1-Incomes'!X39/'C0-Ref Stats'!$R37*1000*'C0-Ref Stats'!$AA37/0.0001</f>
        <v>5187245.4763554921</v>
      </c>
      <c r="AX40" s="258"/>
      <c r="AY40" s="258">
        <f>'C1-Incomes'!AA39/'C0-Ref Stats'!$R37*1000*'C0-Ref Stats'!$AA37/0.1</f>
        <v>84847.511430913044</v>
      </c>
      <c r="AZ40" s="258">
        <f>'C1-Incomes'!AB39/'C0-Ref Stats'!$R37*1000*'C0-Ref Stats'!$AA37/0.05</f>
        <v>113699.63345901958</v>
      </c>
      <c r="BA40" s="258">
        <f>'C1-Incomes'!AC39/'C0-Ref Stats'!$R37*1000*'C0-Ref Stats'!$AA37/0.01</f>
        <v>248541.0313498911</v>
      </c>
      <c r="BB40" s="258">
        <f>'C1-Incomes'!AD39/'C0-Ref Stats'!$R37*1000*'C0-Ref Stats'!$AA37/0.005</f>
        <v>363644.89348661021</v>
      </c>
      <c r="BC40" s="258">
        <f>'C1-Incomes'!AE39/'C0-Ref Stats'!$R37*1000*'C0-Ref Stats'!$AA37/0.001</f>
        <v>908526.42084827565</v>
      </c>
      <c r="BD40" s="258">
        <f>'C1-Incomes'!AF39/'C0-Ref Stats'!$R37*1000*'C0-Ref Stats'!$AA37/0.0001</f>
        <v>3459307.8088017018</v>
      </c>
      <c r="BF40" s="258">
        <v>93600</v>
      </c>
      <c r="BG40" s="258">
        <v>123600</v>
      </c>
      <c r="BH40" s="258">
        <v>251500</v>
      </c>
      <c r="BI40" s="258">
        <v>364000</v>
      </c>
      <c r="BJ40" s="258">
        <v>873000</v>
      </c>
      <c r="BK40" s="258">
        <v>3190000</v>
      </c>
      <c r="BM40" s="258">
        <v>178500</v>
      </c>
      <c r="BN40" s="258">
        <v>379562.56168376963</v>
      </c>
      <c r="BO40" s="1254">
        <f t="shared" si="0"/>
        <v>1.8877833770005579</v>
      </c>
      <c r="BP40" s="1254">
        <f t="shared" si="4"/>
        <v>1.8358196516166074</v>
      </c>
      <c r="BQ40" s="480"/>
      <c r="BR40" s="258">
        <v>261600</v>
      </c>
      <c r="BS40" s="258">
        <v>564083.97701056791</v>
      </c>
      <c r="BT40" s="258">
        <v>386600</v>
      </c>
      <c r="BU40" s="258">
        <v>804017.06557711016</v>
      </c>
      <c r="BV40" s="1254">
        <f t="shared" si="8"/>
        <v>1.8648391977167786</v>
      </c>
      <c r="BW40" s="1254">
        <f t="shared" si="11"/>
        <v>1.9261720036901142</v>
      </c>
      <c r="BY40" s="258">
        <v>264200</v>
      </c>
      <c r="BZ40" s="258">
        <v>571047.65487669106</v>
      </c>
      <c r="CA40" s="258">
        <v>387900</v>
      </c>
      <c r="CB40" s="258">
        <v>814142.24573757057</v>
      </c>
      <c r="CC40" s="1254">
        <f t="shared" si="9"/>
        <v>1.8610135870393751</v>
      </c>
      <c r="CD40" s="1254">
        <f t="shared" si="12"/>
        <v>1.9100458809022482</v>
      </c>
      <c r="CF40" s="258">
        <v>192900</v>
      </c>
      <c r="CG40" s="258">
        <v>419394.01499732619</v>
      </c>
      <c r="CH40" s="258">
        <v>273800</v>
      </c>
      <c r="CI40" s="258">
        <v>585103.66175799049</v>
      </c>
      <c r="CJ40" s="1254">
        <f t="shared" si="10"/>
        <v>1.8516781337567669</v>
      </c>
      <c r="CK40" s="1254">
        <f t="shared" si="13"/>
        <v>1.8795270780105824</v>
      </c>
      <c r="CM40" s="1183">
        <v>0.56581740229999999</v>
      </c>
      <c r="CN40" s="1183">
        <v>0.5345848755</v>
      </c>
    </row>
    <row r="41" spans="1:92" s="256" customFormat="1" ht="9.75" customHeight="1" x14ac:dyDescent="0.25">
      <c r="A41" s="254">
        <v>1992</v>
      </c>
      <c r="B41" s="258">
        <f>('C1-Incomes'!B40-'C1-Incomes'!C40)/'C0-Ref Stats'!$B38*1000*'C0-Ref Stats'!$AA38/0.9</f>
        <v>29479.979453283715</v>
      </c>
      <c r="C41" s="258">
        <f>('C1-Incomes'!C40-'C1-Incomes'!D40)/'C0-Ref Stats'!$B38*1000*'C0-Ref Stats'!$AA38/0.05</f>
        <v>106779.38947945902</v>
      </c>
      <c r="D41" s="258">
        <f>('C1-Incomes'!D40-'C1-Incomes'!E40)/'C0-Ref Stats'!$B38*1000*'C0-Ref Stats'!$AA38/0.04</f>
        <v>162588.67851548977</v>
      </c>
      <c r="E41" s="258">
        <f>('C1-Incomes'!E40-'C1-Incomes'!F40)/'C0-Ref Stats'!$B38*1000*'C0-Ref Stats'!$AA38/0.005</f>
        <v>306876.26765664772</v>
      </c>
      <c r="F41" s="258">
        <f>('C1-Incomes'!F40-'C1-Incomes'!G40)/'C0-Ref Stats'!$B38*1000*'C0-Ref Stats'!$AA38/0.004</f>
        <v>556452.19757019496</v>
      </c>
      <c r="G41" s="258">
        <f>('C1-Incomes'!G40-'C1-Incomes'!H40)/'C0-Ref Stats'!$B38*1000*'C0-Ref Stats'!$AA38/0.0009</f>
        <v>1596165.2175577576</v>
      </c>
      <c r="H41" s="258"/>
      <c r="I41" s="258">
        <f>('C1-Incomes'!J40-'C1-Incomes'!K40)/'C0-Ref Stats'!$R38*1000*'C0-Ref Stats'!$AA38/0.9</f>
        <v>23518.278540920117</v>
      </c>
      <c r="J41" s="258">
        <f>('C1-Incomes'!K40-'C1-Incomes'!L40)/'C0-Ref Stats'!$R38*1000*'C0-Ref Stats'!$AA38/0.05</f>
        <v>70972.808977203778</v>
      </c>
      <c r="K41" s="258">
        <f>('C1-Incomes'!L40-'C1-Incomes'!M40)/'C0-Ref Stats'!$R38*1000*'C0-Ref Stats'!$AA38/0.04</f>
        <v>107209.78638309664</v>
      </c>
      <c r="L41" s="258">
        <f>('C1-Incomes'!M40-'C1-Incomes'!N40)/'C0-Ref Stats'!$R38*1000*'C0-Ref Stats'!$AA38/0.005</f>
        <v>189906.02052363957</v>
      </c>
      <c r="M41" s="258">
        <f>('C1-Incomes'!N40-'C1-Incomes'!O40)/'C0-Ref Stats'!$R38*1000*'C0-Ref Stats'!$AA38/0.004</f>
        <v>334890.73789081845</v>
      </c>
      <c r="N41" s="258">
        <f>('C1-Incomes'!O40-'C1-Incomes'!P40)/'C0-Ref Stats'!$R38*1000*'C0-Ref Stats'!$AA38/0.0009</f>
        <v>1006012.3525078946</v>
      </c>
      <c r="O41" s="47"/>
      <c r="P41" s="258">
        <f>('C1-Incomes'!R40-'C1-Incomes'!S40)/'C0-Ref Stats'!$R38*1000*'C0-Ref Stats'!$AA38/0.9</f>
        <v>28054.164017978601</v>
      </c>
      <c r="Q41" s="258">
        <f>('C1-Incomes'!S40-'C1-Incomes'!T40)/'C0-Ref Stats'!$R38*1000*'C0-Ref Stats'!$AA38/0.05</f>
        <v>72817.385034782958</v>
      </c>
      <c r="R41" s="258">
        <f>('C1-Incomes'!T40-'C1-Incomes'!U40)/'C0-Ref Stats'!$R38*1000*'C0-Ref Stats'!$AA38/0.04</f>
        <v>109298.75266208059</v>
      </c>
      <c r="S41" s="258">
        <f>('C1-Incomes'!U40-'C1-Incomes'!V40)/'C0-Ref Stats'!$R38*1000*'C0-Ref Stats'!$AA38/0.005</f>
        <v>192178.23492711817</v>
      </c>
      <c r="T41" s="258">
        <f>('C1-Incomes'!V40-'C1-Incomes'!W40)/'C0-Ref Stats'!$R38*1000*'C0-Ref Stats'!$AA38/0.004</f>
        <v>336942.34417845478</v>
      </c>
      <c r="U41" s="258">
        <f>('C1-Incomes'!W40-'C1-Incomes'!X40)/'C0-Ref Stats'!$R38*1000*'C0-Ref Stats'!$AA38/0.0009</f>
        <v>1009647.7521703014</v>
      </c>
      <c r="V41" s="258"/>
      <c r="W41" s="258">
        <f>('C1-Incomes'!Z40-'C1-Incomes'!AA40)/'C0-Ref Stats'!$R38*1000*'C0-Ref Stats'!$AA38/0.9</f>
        <v>26696.336898871192</v>
      </c>
      <c r="X41" s="258">
        <f>('C1-Incomes'!AA40-'C1-Incomes'!AB40)/'C0-Ref Stats'!$R38*1000*'C0-Ref Stats'!$AA38/0.05</f>
        <v>57378.173980411906</v>
      </c>
      <c r="Y41" s="258">
        <f>('C1-Incomes'!AB40-'C1-Incomes'!AC40)/'C0-Ref Stats'!$R38*1000*'C0-Ref Stats'!$AA38/0.04</f>
        <v>82422.489436288772</v>
      </c>
      <c r="Z41" s="258">
        <f>('C1-Incomes'!AC40-'C1-Incomes'!AD40)/'C0-Ref Stats'!$R38*1000*'C0-Ref Stats'!$AA38/0.005</f>
        <v>137934.58274888655</v>
      </c>
      <c r="AA41" s="258">
        <f>('C1-Incomes'!AD40-'C1-Incomes'!AE40)/'C0-Ref Stats'!$R38*1000*'C0-Ref Stats'!$AA38/0.004</f>
        <v>234653.64878654585</v>
      </c>
      <c r="AB41" s="258">
        <f>('C1-Incomes'!AE40-'C1-Incomes'!AF40)/'C0-Ref Stats'!$R38*1000*'C0-Ref Stats'!$AA38/0.0009</f>
        <v>667128.03622738575</v>
      </c>
      <c r="AD41" s="258">
        <f>'C1-Incomes'!C40/'C0-Ref Stats'!$B38*1000*'C0-Ref Stats'!$AA38/0.1</f>
        <v>179411.17137365715</v>
      </c>
      <c r="AE41" s="258">
        <f>'C1-Incomes'!D40/'C0-Ref Stats'!$B38*1000*'C0-Ref Stats'!$AA38/0.05</f>
        <v>252042.95326785525</v>
      </c>
      <c r="AF41" s="258">
        <f>'C1-Incomes'!E40/'C0-Ref Stats'!$B38*1000*'C0-Ref Stats'!$AA38/0.01</f>
        <v>609860.05227731727</v>
      </c>
      <c r="AG41" s="258">
        <f>'C1-Incomes'!F40/'C0-Ref Stats'!$B38*1000*'C0-Ref Stats'!$AA38/0.005</f>
        <v>912843.83689798682</v>
      </c>
      <c r="AH41" s="258">
        <f>'C1-Incomes'!G40/'C0-Ref Stats'!$B38*1000*'C0-Ref Stats'!$AA38/0.001</f>
        <v>2338410.3942091549</v>
      </c>
      <c r="AI41" s="258">
        <f>'C1-Incomes'!H40/'C0-Ref Stats'!$B38*1000*'C0-Ref Stats'!$AA38/0.0001</f>
        <v>9018616.9840717297</v>
      </c>
      <c r="AJ41" s="47"/>
      <c r="AK41" s="258">
        <f>'C1-Incomes'!K40/'C0-Ref Stats'!$R38*1000*'C0-Ref Stats'!$AA38/0.1</f>
        <v>116420.78791063944</v>
      </c>
      <c r="AL41" s="258">
        <f>'C1-Incomes'!L40/'C0-Ref Stats'!$R38*1000*'C0-Ref Stats'!$AA38/0.05</f>
        <v>161868.76684407509</v>
      </c>
      <c r="AM41" s="258">
        <f>'C1-Incomes'!M40/'C0-Ref Stats'!$R38*1000*'C0-Ref Stats'!$AA38/0.01</f>
        <v>380504.68868798885</v>
      </c>
      <c r="AN41" s="258">
        <f>'C1-Incomes'!N40/'C0-Ref Stats'!$R38*1000*'C0-Ref Stats'!$AA38/0.005</f>
        <v>571103.35685233807</v>
      </c>
      <c r="AO41" s="258">
        <f>'C1-Incomes'!O40/'C0-Ref Stats'!$R38*1000*'C0-Ref Stats'!$AA38/0.001</f>
        <v>1515953.8326984169</v>
      </c>
      <c r="AP41" s="258">
        <f>'C1-Incomes'!P40/'C0-Ref Stats'!$R38*1000*'C0-Ref Stats'!$AA38/0.0001</f>
        <v>6105427.1544131171</v>
      </c>
      <c r="AQ41" s="47"/>
      <c r="AR41" s="258">
        <f>'C1-Incomes'!S40/'C0-Ref Stats'!$R38*1000*'C0-Ref Stats'!$AA38/0.1</f>
        <v>118410.3184799415</v>
      </c>
      <c r="AS41" s="258">
        <f>'C1-Incomes'!T40/'C0-Ref Stats'!$R38*1000*'C0-Ref Stats'!$AA38/0.05</f>
        <v>164003.25192510008</v>
      </c>
      <c r="AT41" s="258">
        <f>'C1-Incomes'!U40/'C0-Ref Stats'!$R38*1000*'C0-Ref Stats'!$AA38/0.01</f>
        <v>382821.24897717795</v>
      </c>
      <c r="AU41" s="258">
        <f>'C1-Incomes'!V40/'C0-Ref Stats'!$R38*1000*'C0-Ref Stats'!$AA38/0.005</f>
        <v>573464.26302723773</v>
      </c>
      <c r="AV41" s="258">
        <f>'C1-Incomes'!W40/'C0-Ref Stats'!$R38*1000*'C0-Ref Stats'!$AA38/0.001</f>
        <v>1519551.9384223695</v>
      </c>
      <c r="AW41" s="258">
        <f>'C1-Incomes'!X40/'C0-Ref Stats'!$R38*1000*'C0-Ref Stats'!$AA38/0.0001</f>
        <v>6108689.6146909855</v>
      </c>
      <c r="AX41" s="258"/>
      <c r="AY41" s="258">
        <f>'C1-Incomes'!AA40/'C0-Ref Stats'!$R38*1000*'C0-Ref Stats'!$AA38/0.1</f>
        <v>87818.266512939997</v>
      </c>
      <c r="AZ41" s="258">
        <f>'C1-Incomes'!AB40/'C0-Ref Stats'!$R38*1000*'C0-Ref Stats'!$AA38/0.05</f>
        <v>118258.35904546811</v>
      </c>
      <c r="BA41" s="258">
        <f>'C1-Incomes'!AC40/'C0-Ref Stats'!$R38*1000*'C0-Ref Stats'!$AA38/0.01</f>
        <v>261601.83748218545</v>
      </c>
      <c r="BB41" s="258">
        <f>'C1-Incomes'!AD40/'C0-Ref Stats'!$R38*1000*'C0-Ref Stats'!$AA38/0.005</f>
        <v>385269.09221548442</v>
      </c>
      <c r="BC41" s="258">
        <f>'C1-Incomes'!AE40/'C0-Ref Stats'!$R38*1000*'C0-Ref Stats'!$AA38/0.001</f>
        <v>987730.86593123875</v>
      </c>
      <c r="BD41" s="258">
        <f>'C1-Incomes'!AF40/'C0-Ref Stats'!$R38*1000*'C0-Ref Stats'!$AA38/0.0001</f>
        <v>3873156.3332659155</v>
      </c>
      <c r="BF41" s="258">
        <v>93900</v>
      </c>
      <c r="BG41" s="258">
        <v>124000</v>
      </c>
      <c r="BH41" s="258">
        <v>257700</v>
      </c>
      <c r="BI41" s="258">
        <v>382000</v>
      </c>
      <c r="BJ41" s="258">
        <v>960000</v>
      </c>
      <c r="BK41" s="258">
        <v>3850000</v>
      </c>
      <c r="BM41" s="258">
        <v>181600</v>
      </c>
      <c r="BN41" s="258">
        <v>410863.17386571236</v>
      </c>
      <c r="BO41" s="1254">
        <f t="shared" si="0"/>
        <v>1.7921027914686796</v>
      </c>
      <c r="BP41" s="1254">
        <f t="shared" si="4"/>
        <v>1.7317695415295646</v>
      </c>
      <c r="BQ41" s="480"/>
      <c r="BR41" s="258">
        <v>269300</v>
      </c>
      <c r="BS41" s="258">
        <v>605467.76545279729</v>
      </c>
      <c r="BT41" s="258">
        <v>407700</v>
      </c>
      <c r="BU41" s="258">
        <v>870916.87486253399</v>
      </c>
      <c r="BV41" s="1254">
        <f t="shared" si="8"/>
        <v>1.8010881103881851</v>
      </c>
      <c r="BW41" s="1254">
        <f t="shared" si="11"/>
        <v>1.8801492823874144</v>
      </c>
      <c r="BY41" s="258">
        <v>271100</v>
      </c>
      <c r="BZ41" s="258">
        <v>613729.66169355041</v>
      </c>
      <c r="CA41" s="258">
        <v>409400</v>
      </c>
      <c r="CB41" s="258">
        <v>883907.70697096421</v>
      </c>
      <c r="CC41" s="1254">
        <f t="shared" si="9"/>
        <v>1.7912333061300254</v>
      </c>
      <c r="CD41" s="1254">
        <f t="shared" si="12"/>
        <v>1.8627889367981367</v>
      </c>
      <c r="CF41" s="258">
        <v>197000</v>
      </c>
      <c r="CG41" s="258">
        <v>440128.40599541919</v>
      </c>
      <c r="CH41" s="258">
        <v>289300</v>
      </c>
      <c r="CI41" s="258">
        <v>619346.96825890697</v>
      </c>
      <c r="CJ41" s="1254">
        <f t="shared" si="10"/>
        <v>1.8102714250662744</v>
      </c>
      <c r="CK41" s="1254">
        <f t="shared" si="13"/>
        <v>1.8765419101594571</v>
      </c>
      <c r="CM41" s="1183">
        <v>0.57647975080000002</v>
      </c>
      <c r="CN41" s="1183">
        <v>0.54623053560000001</v>
      </c>
    </row>
    <row r="42" spans="1:92" s="256" customFormat="1" ht="9.75" customHeight="1" x14ac:dyDescent="0.25">
      <c r="A42" s="254">
        <v>1993</v>
      </c>
      <c r="B42" s="258">
        <f>('C1-Incomes'!B41-'C1-Incomes'!C41)/'C0-Ref Stats'!$B39*1000*'C0-Ref Stats'!$AA39/0.9</f>
        <v>29196.226228785137</v>
      </c>
      <c r="C42" s="258">
        <f>('C1-Incomes'!C41-'C1-Incomes'!D41)/'C0-Ref Stats'!$B39*1000*'C0-Ref Stats'!$AA39/0.05</f>
        <v>106333.71461157102</v>
      </c>
      <c r="D42" s="258">
        <f>('C1-Incomes'!D41-'C1-Incomes'!E41)/'C0-Ref Stats'!$B39*1000*'C0-Ref Stats'!$AA39/0.04</f>
        <v>162142.59335648717</v>
      </c>
      <c r="E42" s="258">
        <f>('C1-Incomes'!E41-'C1-Incomes'!F41)/'C0-Ref Stats'!$B39*1000*'C0-Ref Stats'!$AA39/0.005</f>
        <v>302246.55480095389</v>
      </c>
      <c r="F42" s="258">
        <f>('C1-Incomes'!F41-'C1-Incomes'!G41)/'C0-Ref Stats'!$B39*1000*'C0-Ref Stats'!$AA39/0.004</f>
        <v>529084.62523550785</v>
      </c>
      <c r="G42" s="258">
        <f>('C1-Incomes'!G41-'C1-Incomes'!H41)/'C0-Ref Stats'!$B39*1000*'C0-Ref Stats'!$AA39/0.0009</f>
        <v>1465598.2277166499</v>
      </c>
      <c r="H42" s="258"/>
      <c r="I42" s="258">
        <f>('C1-Incomes'!J41-'C1-Incomes'!K41)/'C0-Ref Stats'!$R39*1000*'C0-Ref Stats'!$AA39/0.9</f>
        <v>23904.179124681978</v>
      </c>
      <c r="J42" s="258">
        <f>('C1-Incomes'!K41-'C1-Incomes'!L41)/'C0-Ref Stats'!$R39*1000*'C0-Ref Stats'!$AA39/0.05</f>
        <v>72074.790219046408</v>
      </c>
      <c r="K42" s="258">
        <f>('C1-Incomes'!L41-'C1-Incomes'!M41)/'C0-Ref Stats'!$R39*1000*'C0-Ref Stats'!$AA39/0.04</f>
        <v>109212.54073859779</v>
      </c>
      <c r="L42" s="258">
        <f>('C1-Incomes'!M41-'C1-Incomes'!N41)/'C0-Ref Stats'!$R39*1000*'C0-Ref Stats'!$AA39/0.005</f>
        <v>188851.42050995913</v>
      </c>
      <c r="M42" s="258">
        <f>('C1-Incomes'!N41-'C1-Incomes'!O41)/'C0-Ref Stats'!$R39*1000*'C0-Ref Stats'!$AA39/0.004</f>
        <v>322668.53339874611</v>
      </c>
      <c r="N42" s="258">
        <f>('C1-Incomes'!O41-'C1-Incomes'!P41)/'C0-Ref Stats'!$R39*1000*'C0-Ref Stats'!$AA39/0.0009</f>
        <v>934952.92370383511</v>
      </c>
      <c r="O42" s="47"/>
      <c r="P42" s="258">
        <f>('C1-Incomes'!R41-'C1-Incomes'!S41)/'C0-Ref Stats'!$R39*1000*'C0-Ref Stats'!$AA39/0.9</f>
        <v>28580.640072966635</v>
      </c>
      <c r="Q42" s="258">
        <f>('C1-Incomes'!S41-'C1-Incomes'!T41)/'C0-Ref Stats'!$R39*1000*'C0-Ref Stats'!$AA39/0.05</f>
        <v>73979.327389103972</v>
      </c>
      <c r="R42" s="258">
        <f>('C1-Incomes'!T41-'C1-Incomes'!U41)/'C0-Ref Stats'!$R39*1000*'C0-Ref Stats'!$AA39/0.04</f>
        <v>111054.66973537304</v>
      </c>
      <c r="S42" s="258">
        <f>('C1-Incomes'!U41-'C1-Incomes'!V41)/'C0-Ref Stats'!$R39*1000*'C0-Ref Stats'!$AA39/0.005</f>
        <v>191061.00900211569</v>
      </c>
      <c r="T42" s="258">
        <f>('C1-Incomes'!V41-'C1-Incomes'!W41)/'C0-Ref Stats'!$R39*1000*'C0-Ref Stats'!$AA39/0.004</f>
        <v>324781.76264683419</v>
      </c>
      <c r="U42" s="258">
        <f>('C1-Incomes'!W41-'C1-Incomes'!X41)/'C0-Ref Stats'!$R39*1000*'C0-Ref Stats'!$AA39/0.0009</f>
        <v>938152.21430240746</v>
      </c>
      <c r="V42" s="258"/>
      <c r="W42" s="258">
        <f>('C1-Incomes'!Z41-'C1-Incomes'!AA41)/'C0-Ref Stats'!$R39*1000*'C0-Ref Stats'!$AA39/0.9</f>
        <v>27145.993216925253</v>
      </c>
      <c r="X42" s="258">
        <f>('C1-Incomes'!AA41-'C1-Incomes'!AB41)/'C0-Ref Stats'!$R39*1000*'C0-Ref Stats'!$AA39/0.05</f>
        <v>58330.675697928455</v>
      </c>
      <c r="Y42" s="258">
        <f>('C1-Incomes'!AB41-'C1-Incomes'!AC41)/'C0-Ref Stats'!$R39*1000*'C0-Ref Stats'!$AA39/0.04</f>
        <v>83858.972437467761</v>
      </c>
      <c r="Z42" s="258">
        <f>('C1-Incomes'!AC41-'C1-Incomes'!AD41)/'C0-Ref Stats'!$R39*1000*'C0-Ref Stats'!$AA39/0.005</f>
        <v>138002.31040223196</v>
      </c>
      <c r="AA42" s="258">
        <f>('C1-Incomes'!AD41-'C1-Incomes'!AE41)/'C0-Ref Stats'!$R39*1000*'C0-Ref Stats'!$AA39/0.004</f>
        <v>219927.44243253753</v>
      </c>
      <c r="AB42" s="258">
        <f>('C1-Incomes'!AE41-'C1-Incomes'!AF41)/'C0-Ref Stats'!$R39*1000*'C0-Ref Stats'!$AA39/0.0009</f>
        <v>578875.72364660609</v>
      </c>
      <c r="AD42" s="258">
        <f>'C1-Incomes'!C41/'C0-Ref Stats'!$B39*1000*'C0-Ref Stats'!$AA39/0.1</f>
        <v>175225.37740180461</v>
      </c>
      <c r="AE42" s="258">
        <f>'C1-Incomes'!D41/'C0-Ref Stats'!$B39*1000*'C0-Ref Stats'!$AA39/0.05</f>
        <v>244117.0401920382</v>
      </c>
      <c r="AF42" s="258">
        <f>'C1-Incomes'!E41/'C0-Ref Stats'!$B39*1000*'C0-Ref Stats'!$AA39/0.01</f>
        <v>572014.82753424253</v>
      </c>
      <c r="AG42" s="258">
        <f>'C1-Incomes'!F41/'C0-Ref Stats'!$B39*1000*'C0-Ref Stats'!$AA39/0.005</f>
        <v>841783.10026753135</v>
      </c>
      <c r="AH42" s="258">
        <f>'C1-Incomes'!G41/'C0-Ref Stats'!$B39*1000*'C0-Ref Stats'!$AA39/0.001</f>
        <v>2092577.0003956249</v>
      </c>
      <c r="AI42" s="258">
        <f>'C1-Incomes'!H41/'C0-Ref Stats'!$B39*1000*'C0-Ref Stats'!$AA39/0.0001</f>
        <v>7735385.9545063991</v>
      </c>
      <c r="AJ42" s="47"/>
      <c r="AK42" s="258">
        <f>'C1-Incomes'!K41/'C0-Ref Stats'!$R39*1000*'C0-Ref Stats'!$AA39/0.1</f>
        <v>115994.91763089153</v>
      </c>
      <c r="AL42" s="258">
        <f>'C1-Incomes'!L41/'C0-Ref Stats'!$R39*1000*'C0-Ref Stats'!$AA39/0.05</f>
        <v>159915.04504273663</v>
      </c>
      <c r="AM42" s="258">
        <f>'C1-Incomes'!M41/'C0-Ref Stats'!$R39*1000*'C0-Ref Stats'!$AA39/0.01</f>
        <v>362725.06225929211</v>
      </c>
      <c r="AN42" s="258">
        <f>'C1-Incomes'!N41/'C0-Ref Stats'!$R39*1000*'C0-Ref Stats'!$AA39/0.005</f>
        <v>536598.70400862501</v>
      </c>
      <c r="AO42" s="258">
        <f>'C1-Incomes'!O41/'C0-Ref Stats'!$R39*1000*'C0-Ref Stats'!$AA39/0.001</f>
        <v>1392319.3864481407</v>
      </c>
      <c r="AP42" s="258">
        <f>'C1-Incomes'!P41/'C0-Ref Stats'!$R39*1000*'C0-Ref Stats'!$AA39/0.0001</f>
        <v>5508617.5511468882</v>
      </c>
      <c r="AQ42" s="47"/>
      <c r="AR42" s="258">
        <f>'C1-Incomes'!S41/'C0-Ref Stats'!$R39*1000*'C0-Ref Stats'!$AA39/0.1</f>
        <v>117910.32246326683</v>
      </c>
      <c r="AS42" s="258">
        <f>'C1-Incomes'!T41/'C0-Ref Stats'!$R39*1000*'C0-Ref Stats'!$AA39/0.05</f>
        <v>161841.31753742971</v>
      </c>
      <c r="AT42" s="258">
        <f>'C1-Incomes'!U41/'C0-Ref Stats'!$R39*1000*'C0-Ref Stats'!$AA39/0.01</f>
        <v>364987.90874565631</v>
      </c>
      <c r="AU42" s="258">
        <f>'C1-Incomes'!V41/'C0-Ref Stats'!$R39*1000*'C0-Ref Stats'!$AA39/0.005</f>
        <v>538914.80848919693</v>
      </c>
      <c r="AV42" s="258">
        <f>'C1-Incomes'!W41/'C0-Ref Stats'!$R39*1000*'C0-Ref Stats'!$AA39/0.001</f>
        <v>1395446.9918586486</v>
      </c>
      <c r="AW42" s="258">
        <f>'C1-Incomes'!X41/'C0-Ref Stats'!$R39*1000*'C0-Ref Stats'!$AA39/0.0001</f>
        <v>5511099.9898648197</v>
      </c>
      <c r="AX42" s="258"/>
      <c r="AY42" s="258">
        <f>'C1-Incomes'!AA41/'C0-Ref Stats'!$R39*1000*'C0-Ref Stats'!$AA39/0.1</f>
        <v>86818.580172991831</v>
      </c>
      <c r="AZ42" s="258">
        <f>'C1-Incomes'!AB41/'C0-Ref Stats'!$R39*1000*'C0-Ref Stats'!$AA39/0.05</f>
        <v>115306.48464805521</v>
      </c>
      <c r="BA42" s="258">
        <f>'C1-Incomes'!AC41/'C0-Ref Stats'!$R39*1000*'C0-Ref Stats'!$AA39/0.01</f>
        <v>241096.53349040498</v>
      </c>
      <c r="BB42" s="258">
        <f>'C1-Incomes'!AD41/'C0-Ref Stats'!$R39*1000*'C0-Ref Stats'!$AA39/0.005</f>
        <v>344190.75657857803</v>
      </c>
      <c r="BC42" s="258">
        <f>'C1-Incomes'!AE41/'C0-Ref Stats'!$R39*1000*'C0-Ref Stats'!$AA39/0.001</f>
        <v>841244.01316274016</v>
      </c>
      <c r="BD42" s="258">
        <f>'C1-Incomes'!AF41/'C0-Ref Stats'!$R39*1000*'C0-Ref Stats'!$AA39/0.0001</f>
        <v>3202558.6188079482</v>
      </c>
      <c r="BF42" s="258">
        <v>93800</v>
      </c>
      <c r="BG42" s="258">
        <v>123700</v>
      </c>
      <c r="BH42" s="258">
        <v>256700</v>
      </c>
      <c r="BI42" s="258">
        <v>371000</v>
      </c>
      <c r="BJ42" s="258">
        <v>891000</v>
      </c>
      <c r="BK42" s="258">
        <v>3420000</v>
      </c>
      <c r="BM42" s="258">
        <v>181200</v>
      </c>
      <c r="BN42" s="258">
        <v>391766.15675359539</v>
      </c>
      <c r="BO42" s="1254">
        <f t="shared" si="0"/>
        <v>1.8605371480092137</v>
      </c>
      <c r="BP42" s="1254">
        <f t="shared" si="4"/>
        <v>1.8141069736789428</v>
      </c>
      <c r="BQ42" s="480"/>
      <c r="BR42" s="258">
        <v>270200</v>
      </c>
      <c r="BS42" s="258">
        <v>593222.25894711318</v>
      </c>
      <c r="BT42" s="258">
        <v>413900</v>
      </c>
      <c r="BU42" s="258">
        <v>841586.42704862007</v>
      </c>
      <c r="BV42" s="1254">
        <f t="shared" si="8"/>
        <v>1.8364748636230623</v>
      </c>
      <c r="BW42" s="1254">
        <f t="shared" si="11"/>
        <v>1.9677651050472715</v>
      </c>
      <c r="BY42" s="258">
        <v>272700</v>
      </c>
      <c r="BZ42" s="258">
        <v>601351.09946218121</v>
      </c>
      <c r="CA42" s="258">
        <v>414900</v>
      </c>
      <c r="CB42" s="258">
        <v>853608.98882468557</v>
      </c>
      <c r="CC42" s="1254">
        <f t="shared" si="9"/>
        <v>1.82975532546904</v>
      </c>
      <c r="CD42" s="1254">
        <f t="shared" si="12"/>
        <v>1.9457294255846671</v>
      </c>
      <c r="CF42" s="258">
        <v>197700</v>
      </c>
      <c r="CG42" s="258">
        <v>421505.46312434715</v>
      </c>
      <c r="CH42" s="258">
        <v>290100</v>
      </c>
      <c r="CI42" s="258">
        <v>578894.97808219423</v>
      </c>
      <c r="CJ42" s="1254">
        <f t="shared" si="10"/>
        <v>1.8833564526981952</v>
      </c>
      <c r="CK42" s="1254">
        <f t="shared" si="13"/>
        <v>2.0045188525315503</v>
      </c>
      <c r="CM42" s="1183">
        <v>0.57446571329999996</v>
      </c>
      <c r="CN42" s="1183">
        <v>0.54410220799999998</v>
      </c>
    </row>
    <row r="43" spans="1:92" s="256" customFormat="1" ht="9.75" customHeight="1" x14ac:dyDescent="0.25">
      <c r="A43" s="254">
        <v>1994</v>
      </c>
      <c r="B43" s="258">
        <f>('C1-Incomes'!B42-'C1-Incomes'!C42)/'C0-Ref Stats'!$B40*1000*'C0-Ref Stats'!$AA40/0.9</f>
        <v>29736.788358362668</v>
      </c>
      <c r="C43" s="258">
        <f>('C1-Incomes'!C42-'C1-Incomes'!D42)/'C0-Ref Stats'!$B40*1000*'C0-Ref Stats'!$AA40/0.05</f>
        <v>108066.55933271053</v>
      </c>
      <c r="D43" s="258">
        <f>('C1-Incomes'!D42-'C1-Incomes'!E42)/'C0-Ref Stats'!$B40*1000*'C0-Ref Stats'!$AA40/0.04</f>
        <v>165357.38081616219</v>
      </c>
      <c r="E43" s="258">
        <f>('C1-Incomes'!E42-'C1-Incomes'!F42)/'C0-Ref Stats'!$B40*1000*'C0-Ref Stats'!$AA40/0.005</f>
        <v>310542.47680364689</v>
      </c>
      <c r="F43" s="258">
        <f>('C1-Incomes'!F42-'C1-Incomes'!G42)/'C0-Ref Stats'!$B40*1000*'C0-Ref Stats'!$AA40/0.004</f>
        <v>539226.73530078889</v>
      </c>
      <c r="G43" s="258">
        <f>('C1-Incomes'!G42-'C1-Incomes'!H42)/'C0-Ref Stats'!$B40*1000*'C0-Ref Stats'!$AA40/0.0009</f>
        <v>1486174.0855402711</v>
      </c>
      <c r="H43" s="258"/>
      <c r="I43" s="258">
        <f>('C1-Incomes'!J42-'C1-Incomes'!K42)/'C0-Ref Stats'!$R40*1000*'C0-Ref Stats'!$AA40/0.9</f>
        <v>25061.438711365121</v>
      </c>
      <c r="J43" s="258">
        <f>('C1-Incomes'!K42-'C1-Incomes'!L42)/'C0-Ref Stats'!$R40*1000*'C0-Ref Stats'!$AA40/0.05</f>
        <v>74454.840507082932</v>
      </c>
      <c r="K43" s="258">
        <f>('C1-Incomes'!L42-'C1-Incomes'!M42)/'C0-Ref Stats'!$R40*1000*'C0-Ref Stats'!$AA40/0.04</f>
        <v>112933.0446601233</v>
      </c>
      <c r="L43" s="258">
        <f>('C1-Incomes'!M42-'C1-Incomes'!N42)/'C0-Ref Stats'!$R40*1000*'C0-Ref Stats'!$AA40/0.005</f>
        <v>197922.54844270769</v>
      </c>
      <c r="M43" s="258">
        <f>('C1-Incomes'!N42-'C1-Incomes'!O42)/'C0-Ref Stats'!$R40*1000*'C0-Ref Stats'!$AA40/0.004</f>
        <v>335226.08209120185</v>
      </c>
      <c r="N43" s="258">
        <f>('C1-Incomes'!O42-'C1-Incomes'!P42)/'C0-Ref Stats'!$R40*1000*'C0-Ref Stats'!$AA40/0.0009</f>
        <v>978099.26036948466</v>
      </c>
      <c r="O43" s="47"/>
      <c r="P43" s="258">
        <f>('C1-Incomes'!R42-'C1-Incomes'!S42)/'C0-Ref Stats'!$R40*1000*'C0-Ref Stats'!$AA40/0.9</f>
        <v>29837.62009140346</v>
      </c>
      <c r="Q43" s="258">
        <f>('C1-Incomes'!S42-'C1-Incomes'!T42)/'C0-Ref Stats'!$R40*1000*'C0-Ref Stats'!$AA40/0.05</f>
        <v>76297.56575942316</v>
      </c>
      <c r="R43" s="258">
        <f>('C1-Incomes'!T42-'C1-Incomes'!U42)/'C0-Ref Stats'!$R40*1000*'C0-Ref Stats'!$AA40/0.04</f>
        <v>114964.73764614473</v>
      </c>
      <c r="S43" s="258">
        <f>('C1-Incomes'!U42-'C1-Incomes'!V42)/'C0-Ref Stats'!$R40*1000*'C0-Ref Stats'!$AA40/0.005</f>
        <v>199560.93693717662</v>
      </c>
      <c r="T43" s="258">
        <f>('C1-Incomes'!V42-'C1-Incomes'!W42)/'C0-Ref Stats'!$R40*1000*'C0-Ref Stats'!$AA40/0.004</f>
        <v>338251.05469934293</v>
      </c>
      <c r="U43" s="258">
        <f>('C1-Incomes'!W42-'C1-Incomes'!X42)/'C0-Ref Stats'!$R40*1000*'C0-Ref Stats'!$AA40/0.0009</f>
        <v>981881.6337900823</v>
      </c>
      <c r="V43" s="258"/>
      <c r="W43" s="258">
        <f>('C1-Incomes'!Z42-'C1-Incomes'!AA42)/'C0-Ref Stats'!$R40*1000*'C0-Ref Stats'!$AA40/0.9</f>
        <v>28355.728302304175</v>
      </c>
      <c r="X43" s="258">
        <f>('C1-Incomes'!AA42-'C1-Incomes'!AB42)/'C0-Ref Stats'!$R40*1000*'C0-Ref Stats'!$AA40/0.05</f>
        <v>60538.378181044769</v>
      </c>
      <c r="Y43" s="258">
        <f>('C1-Incomes'!AB42-'C1-Incomes'!AC42)/'C0-Ref Stats'!$R40*1000*'C0-Ref Stats'!$AA40/0.04</f>
        <v>87162.425128944407</v>
      </c>
      <c r="Z43" s="258">
        <f>('C1-Incomes'!AC42-'C1-Incomes'!AD42)/'C0-Ref Stats'!$R40*1000*'C0-Ref Stats'!$AA40/0.005</f>
        <v>144681.5392800041</v>
      </c>
      <c r="AA43" s="258">
        <f>('C1-Incomes'!AD42-'C1-Incomes'!AE42)/'C0-Ref Stats'!$R40*1000*'C0-Ref Stats'!$AA40/0.004</f>
        <v>231056.99001271205</v>
      </c>
      <c r="AB43" s="258">
        <f>('C1-Incomes'!AE42-'C1-Incomes'!AF42)/'C0-Ref Stats'!$R40*1000*'C0-Ref Stats'!$AA40/0.0009</f>
        <v>616130.05482763355</v>
      </c>
      <c r="AD43" s="258">
        <f>'C1-Incomes'!C42/'C0-Ref Stats'!$B40*1000*'C0-Ref Stats'!$AA40/0.1</f>
        <v>178426.08392928203</v>
      </c>
      <c r="AE43" s="258">
        <f>'C1-Incomes'!D42/'C0-Ref Stats'!$B40*1000*'C0-Ref Stats'!$AA40/0.05</f>
        <v>248785.60852585349</v>
      </c>
      <c r="AF43" s="258">
        <f>'C1-Incomes'!E42/'C0-Ref Stats'!$B40*1000*'C0-Ref Stats'!$AA40/0.01</f>
        <v>582498.5193646187</v>
      </c>
      <c r="AG43" s="258">
        <f>'C1-Incomes'!F42/'C0-Ref Stats'!$B40*1000*'C0-Ref Stats'!$AA40/0.005</f>
        <v>854454.56192559062</v>
      </c>
      <c r="AH43" s="258">
        <f>'C1-Incomes'!G42/'C0-Ref Stats'!$B40*1000*'C0-Ref Stats'!$AA40/0.001</f>
        <v>2115365.8684247979</v>
      </c>
      <c r="AI43" s="258">
        <f>'C1-Incomes'!H42/'C0-Ref Stats'!$B40*1000*'C0-Ref Stats'!$AA40/0.0001</f>
        <v>7778091.9143855385</v>
      </c>
      <c r="AJ43" s="47"/>
      <c r="AK43" s="258">
        <f>'C1-Incomes'!K42/'C0-Ref Stats'!$R40*1000*'C0-Ref Stats'!$AA40/0.1</f>
        <v>120258.58263026197</v>
      </c>
      <c r="AL43" s="258">
        <f>'C1-Incomes'!L42/'C0-Ref Stats'!$R40*1000*'C0-Ref Stats'!$AA40/0.05</f>
        <v>166062.32475344095</v>
      </c>
      <c r="AM43" s="258">
        <f>'C1-Incomes'!M42/'C0-Ref Stats'!$R40*1000*'C0-Ref Stats'!$AA40/0.01</f>
        <v>378579.44512671162</v>
      </c>
      <c r="AN43" s="258">
        <f>'C1-Incomes'!N42/'C0-Ref Stats'!$R40*1000*'C0-Ref Stats'!$AA40/0.005</f>
        <v>559236.34181071562</v>
      </c>
      <c r="AO43" s="258">
        <f>'C1-Incomes'!O42/'C0-Ref Stats'!$R40*1000*'C0-Ref Stats'!$AA40/0.001</f>
        <v>1455277.3806887707</v>
      </c>
      <c r="AP43" s="258">
        <f>'C1-Incomes'!P42/'C0-Ref Stats'!$R40*1000*'C0-Ref Stats'!$AA40/0.0001</f>
        <v>5749880.4635623451</v>
      </c>
      <c r="AQ43" s="47"/>
      <c r="AR43" s="258">
        <f>'C1-Incomes'!S42/'C0-Ref Stats'!$R40*1000*'C0-Ref Stats'!$AA40/0.1</f>
        <v>122233.64340200738</v>
      </c>
      <c r="AS43" s="258">
        <f>'C1-Incomes'!T42/'C0-Ref Stats'!$R40*1000*'C0-Ref Stats'!$AA40/0.05</f>
        <v>168169.72104459163</v>
      </c>
      <c r="AT43" s="258">
        <f>'C1-Incomes'!U42/'C0-Ref Stats'!$R40*1000*'C0-Ref Stats'!$AA40/0.01</f>
        <v>380989.6546383794</v>
      </c>
      <c r="AU43" s="258">
        <f>'C1-Incomes'!V42/'C0-Ref Stats'!$R40*1000*'C0-Ref Stats'!$AA40/0.005</f>
        <v>562418.37233958207</v>
      </c>
      <c r="AV43" s="258">
        <f>'C1-Incomes'!W42/'C0-Ref Stats'!$R40*1000*'C0-Ref Stats'!$AA40/0.001</f>
        <v>1459087.6429005386</v>
      </c>
      <c r="AW43" s="258">
        <f>'C1-Incomes'!X42/'C0-Ref Stats'!$R40*1000*'C0-Ref Stats'!$AA40/0.0001</f>
        <v>5753941.7248946466</v>
      </c>
      <c r="AX43" s="258"/>
      <c r="AY43" s="258">
        <f>'C1-Incomes'!AA42/'C0-Ref Stats'!$R40*1000*'C0-Ref Stats'!$AA40/0.1</f>
        <v>90609.97539381079</v>
      </c>
      <c r="AZ43" s="258">
        <f>'C1-Incomes'!AB42/'C0-Ref Stats'!$R40*1000*'C0-Ref Stats'!$AA40/0.05</f>
        <v>120681.57260657682</v>
      </c>
      <c r="BA43" s="258">
        <f>'C1-Incomes'!AC42/'C0-Ref Stats'!$R40*1000*'C0-Ref Stats'!$AA40/0.01</f>
        <v>254758.16251710642</v>
      </c>
      <c r="BB43" s="258">
        <f>'C1-Incomes'!AD42/'C0-Ref Stats'!$R40*1000*'C0-Ref Stats'!$AA40/0.005</f>
        <v>364834.78575420874</v>
      </c>
      <c r="BC43" s="258">
        <f>'C1-Incomes'!AE42/'C0-Ref Stats'!$R40*1000*'C0-Ref Stats'!$AA40/0.001</f>
        <v>899945.9687201957</v>
      </c>
      <c r="BD43" s="258">
        <f>'C1-Incomes'!AF42/'C0-Ref Stats'!$R40*1000*'C0-Ref Stats'!$AA40/0.0001</f>
        <v>3454289.1937532555</v>
      </c>
      <c r="BF43" s="258">
        <v>95000</v>
      </c>
      <c r="BG43" s="258">
        <v>125700</v>
      </c>
      <c r="BH43" s="258">
        <v>262800</v>
      </c>
      <c r="BI43" s="258">
        <v>380000</v>
      </c>
      <c r="BJ43" s="258">
        <v>905000</v>
      </c>
      <c r="BK43" s="258">
        <v>3470000</v>
      </c>
      <c r="BM43" s="258">
        <v>185500</v>
      </c>
      <c r="BN43" s="258">
        <v>399703.99977301148</v>
      </c>
      <c r="BO43" s="1254">
        <f t="shared" si="0"/>
        <v>1.8659969010689408</v>
      </c>
      <c r="BP43" s="1254">
        <f t="shared" si="4"/>
        <v>1.8220244514184769</v>
      </c>
      <c r="BQ43" s="480"/>
      <c r="BR43" s="258">
        <v>278400</v>
      </c>
      <c r="BS43" s="258">
        <v>614375.21812303714</v>
      </c>
      <c r="BT43" s="258">
        <v>430900</v>
      </c>
      <c r="BU43" s="258">
        <v>870721.0449927093</v>
      </c>
      <c r="BV43" s="1254">
        <f t="shared" si="8"/>
        <v>1.8286325448505174</v>
      </c>
      <c r="BW43" s="1254">
        <f t="shared" si="11"/>
        <v>1.9797166481816322</v>
      </c>
      <c r="BY43" s="258">
        <v>280300</v>
      </c>
      <c r="BZ43" s="258">
        <v>622245.55228130042</v>
      </c>
      <c r="CA43" s="258">
        <v>432200</v>
      </c>
      <c r="CB43" s="258">
        <v>882826.63719760766</v>
      </c>
      <c r="CC43" s="1254">
        <f t="shared" si="9"/>
        <v>1.8197211460420228</v>
      </c>
      <c r="CD43" s="1254">
        <f t="shared" si="12"/>
        <v>1.9591088593603769</v>
      </c>
      <c r="CF43" s="258">
        <v>204100</v>
      </c>
      <c r="CG43" s="258">
        <v>439728.30746894848</v>
      </c>
      <c r="CH43" s="258">
        <v>299200</v>
      </c>
      <c r="CI43" s="258">
        <v>603468.48931279255</v>
      </c>
      <c r="CJ43" s="1254">
        <f t="shared" si="10"/>
        <v>1.8661947377731629</v>
      </c>
      <c r="CK43" s="1254">
        <f t="shared" si="13"/>
        <v>1.9833420498973127</v>
      </c>
      <c r="CM43" s="1183">
        <v>0.57268459790000004</v>
      </c>
      <c r="CN43" s="1183">
        <v>0.54163736299999998</v>
      </c>
    </row>
    <row r="44" spans="1:92" s="256" customFormat="1" ht="9.75" customHeight="1" x14ac:dyDescent="0.25">
      <c r="A44" s="254">
        <v>1995</v>
      </c>
      <c r="B44" s="258">
        <f>('C1-Incomes'!B43-'C1-Incomes'!C43)/'C0-Ref Stats'!$B41*1000*'C0-Ref Stats'!$AA41/0.9</f>
        <v>30363.014320077094</v>
      </c>
      <c r="C44" s="258">
        <f>('C1-Incomes'!C43-'C1-Incomes'!D43)/'C0-Ref Stats'!$B41*1000*'C0-Ref Stats'!$AA41/0.05</f>
        <v>111468.44260834242</v>
      </c>
      <c r="D44" s="258">
        <f>('C1-Incomes'!D43-'C1-Incomes'!E43)/'C0-Ref Stats'!$B41*1000*'C0-Ref Stats'!$AA41/0.04</f>
        <v>172122.71291074945</v>
      </c>
      <c r="E44" s="258">
        <f>('C1-Incomes'!E43-'C1-Incomes'!F43)/'C0-Ref Stats'!$B41*1000*'C0-Ref Stats'!$AA41/0.005</f>
        <v>327069.74610006745</v>
      </c>
      <c r="F44" s="258">
        <f>('C1-Incomes'!F43-'C1-Incomes'!G43)/'C0-Ref Stats'!$B41*1000*'C0-Ref Stats'!$AA41/0.004</f>
        <v>578344.68550545874</v>
      </c>
      <c r="G44" s="258">
        <f>('C1-Incomes'!G43-'C1-Incomes'!H43)/'C0-Ref Stats'!$B41*1000*'C0-Ref Stats'!$AA41/0.0009</f>
        <v>1627556.7819186454</v>
      </c>
      <c r="H44" s="258"/>
      <c r="I44" s="258">
        <f>('C1-Incomes'!J43-'C1-Incomes'!K43)/'C0-Ref Stats'!$R41*1000*'C0-Ref Stats'!$AA41/0.9</f>
        <v>25259.478960719131</v>
      </c>
      <c r="J44" s="258">
        <f>('C1-Incomes'!K43-'C1-Incomes'!L43)/'C0-Ref Stats'!$R41*1000*'C0-Ref Stats'!$AA41/0.05</f>
        <v>75751.906576407608</v>
      </c>
      <c r="K44" s="258">
        <f>('C1-Incomes'!L43-'C1-Incomes'!M43)/'C0-Ref Stats'!$R41*1000*'C0-Ref Stats'!$AA41/0.04</f>
        <v>115398.63618974232</v>
      </c>
      <c r="L44" s="258">
        <f>('C1-Incomes'!M43-'C1-Incomes'!N43)/'C0-Ref Stats'!$R41*1000*'C0-Ref Stats'!$AA41/0.005</f>
        <v>204655.34592473693</v>
      </c>
      <c r="M44" s="258">
        <f>('C1-Incomes'!N43-'C1-Incomes'!O43)/'C0-Ref Stats'!$R41*1000*'C0-Ref Stats'!$AA41/0.004</f>
        <v>360253.76313011756</v>
      </c>
      <c r="N44" s="258">
        <f>('C1-Incomes'!O43-'C1-Incomes'!P43)/'C0-Ref Stats'!$R41*1000*'C0-Ref Stats'!$AA41/0.0009</f>
        <v>1064879.2242894704</v>
      </c>
      <c r="O44" s="47"/>
      <c r="P44" s="258">
        <f>('C1-Incomes'!R43-'C1-Incomes'!S43)/'C0-Ref Stats'!$R41*1000*'C0-Ref Stats'!$AA41/0.9</f>
        <v>30133.517475772929</v>
      </c>
      <c r="Q44" s="258">
        <f>('C1-Incomes'!S43-'C1-Incomes'!T43)/'C0-Ref Stats'!$R41*1000*'C0-Ref Stats'!$AA41/0.05</f>
        <v>77528.809098140351</v>
      </c>
      <c r="R44" s="258">
        <f>('C1-Incomes'!T43-'C1-Incomes'!U43)/'C0-Ref Stats'!$R41*1000*'C0-Ref Stats'!$AA41/0.04</f>
        <v>117591.66353247801</v>
      </c>
      <c r="S44" s="258">
        <f>('C1-Incomes'!U43-'C1-Incomes'!V43)/'C0-Ref Stats'!$R41*1000*'C0-Ref Stats'!$AA41/0.005</f>
        <v>207259.39881584086</v>
      </c>
      <c r="T44" s="258">
        <f>('C1-Incomes'!V43-'C1-Incomes'!W43)/'C0-Ref Stats'!$R41*1000*'C0-Ref Stats'!$AA41/0.004</f>
        <v>362601.35399191629</v>
      </c>
      <c r="U44" s="258">
        <f>('C1-Incomes'!W43-'C1-Incomes'!X43)/'C0-Ref Stats'!$R41*1000*'C0-Ref Stats'!$AA41/0.0009</f>
        <v>1068307.5297000776</v>
      </c>
      <c r="V44" s="258"/>
      <c r="W44" s="258">
        <f>('C1-Incomes'!Z43-'C1-Incomes'!AA43)/'C0-Ref Stats'!$R41*1000*'C0-Ref Stats'!$AA41/0.9</f>
        <v>28656.132092922449</v>
      </c>
      <c r="X44" s="258">
        <f>('C1-Incomes'!AA43-'C1-Incomes'!AB43)/'C0-Ref Stats'!$R41*1000*'C0-Ref Stats'!$AA41/0.05</f>
        <v>61825.317090359968</v>
      </c>
      <c r="Y44" s="258">
        <f>('C1-Incomes'!AB43-'C1-Incomes'!AC43)/'C0-Ref Stats'!$R41*1000*'C0-Ref Stats'!$AA41/0.04</f>
        <v>89385.199699342847</v>
      </c>
      <c r="Z44" s="258">
        <f>('C1-Incomes'!AC43-'C1-Incomes'!AD43)/'C0-Ref Stats'!$R41*1000*'C0-Ref Stats'!$AA41/0.005</f>
        <v>150018.22257857412</v>
      </c>
      <c r="AA44" s="258">
        <f>('C1-Incomes'!AD43-'C1-Incomes'!AE43)/'C0-Ref Stats'!$R41*1000*'C0-Ref Stats'!$AA41/0.004</f>
        <v>247126.52180909974</v>
      </c>
      <c r="AB44" s="258">
        <f>('C1-Incomes'!AE43-'C1-Incomes'!AF43)/'C0-Ref Stats'!$R41*1000*'C0-Ref Stats'!$AA41/0.0009</f>
        <v>674877.22656673775</v>
      </c>
      <c r="AD44" s="258">
        <f>'C1-Incomes'!C43/'C0-Ref Stats'!$B41*1000*'C0-Ref Stats'!$AA41/0.1</f>
        <v>187332.01910394232</v>
      </c>
      <c r="AE44" s="258">
        <f>'C1-Incomes'!D43/'C0-Ref Stats'!$B41*1000*'C0-Ref Stats'!$AA41/0.05</f>
        <v>263195.5955995422</v>
      </c>
      <c r="AF44" s="258">
        <f>'C1-Incomes'!E43/'C0-Ref Stats'!$B41*1000*'C0-Ref Stats'!$AA41/0.01</f>
        <v>627487.12635471323</v>
      </c>
      <c r="AG44" s="258">
        <f>'C1-Incomes'!F43/'C0-Ref Stats'!$B41*1000*'C0-Ref Stats'!$AA41/0.005</f>
        <v>927904.50660935871</v>
      </c>
      <c r="AH44" s="258">
        <f>'C1-Incomes'!G43/'C0-Ref Stats'!$B41*1000*'C0-Ref Stats'!$AA41/0.001</f>
        <v>2326143.7910249587</v>
      </c>
      <c r="AI44" s="258">
        <f>'C1-Incomes'!H43/'C0-Ref Stats'!$B41*1000*'C0-Ref Stats'!$AA41/0.0001</f>
        <v>8613426.8729817811</v>
      </c>
      <c r="AJ44" s="47"/>
      <c r="AK44" s="258">
        <f>'C1-Incomes'!K43/'C0-Ref Stats'!$R41*1000*'C0-Ref Stats'!$AA41/0.1</f>
        <v>124544.23994911111</v>
      </c>
      <c r="AL44" s="258">
        <f>'C1-Incomes'!L43/'C0-Ref Stats'!$R41*1000*'C0-Ref Stats'!$AA41/0.05</f>
        <v>173336.57332181459</v>
      </c>
      <c r="AM44" s="258">
        <f>'C1-Incomes'!M43/'C0-Ref Stats'!$R41*1000*'C0-Ref Stats'!$AA41/0.01</f>
        <v>405088.32185010385</v>
      </c>
      <c r="AN44" s="258">
        <f>'C1-Incomes'!N43/'C0-Ref Stats'!$R41*1000*'C0-Ref Stats'!$AA41/0.005</f>
        <v>605521.29777547077</v>
      </c>
      <c r="AO44" s="258">
        <f>'C1-Incomes'!O43/'C0-Ref Stats'!$R41*1000*'C0-Ref Stats'!$AA41/0.001</f>
        <v>1586591.4363568835</v>
      </c>
      <c r="AP44" s="258">
        <f>'C1-Incomes'!P43/'C0-Ref Stats'!$R41*1000*'C0-Ref Stats'!$AA41/0.0001</f>
        <v>6282001.3449636027</v>
      </c>
      <c r="AQ44" s="47"/>
      <c r="AR44" s="258">
        <f>'C1-Incomes'!S43/'C0-Ref Stats'!$R41*1000*'C0-Ref Stats'!$AA41/0.1</f>
        <v>126567.67153679182</v>
      </c>
      <c r="AS44" s="258">
        <f>'C1-Incomes'!T43/'C0-Ref Stats'!$R41*1000*'C0-Ref Stats'!$AA41/0.05</f>
        <v>175606.53397544325</v>
      </c>
      <c r="AT44" s="258">
        <f>'C1-Incomes'!U43/'C0-Ref Stats'!$R41*1000*'C0-Ref Stats'!$AA41/0.01</f>
        <v>407666.01574730442</v>
      </c>
      <c r="AU44" s="258">
        <f>'C1-Incomes'!V43/'C0-Ref Stats'!$R41*1000*'C0-Ref Stats'!$AA41/0.005</f>
        <v>608072.63267876778</v>
      </c>
      <c r="AV44" s="258">
        <f>'C1-Incomes'!W43/'C0-Ref Stats'!$R41*1000*'C0-Ref Stats'!$AA41/0.001</f>
        <v>1589957.7474261743</v>
      </c>
      <c r="AW44" s="258">
        <f>'C1-Incomes'!X43/'C0-Ref Stats'!$R41*1000*'C0-Ref Stats'!$AA41/0.0001</f>
        <v>6284809.7069610413</v>
      </c>
      <c r="AX44" s="258"/>
      <c r="AY44" s="258">
        <f>'C1-Incomes'!AA43/'C0-Ref Stats'!$R41*1000*'C0-Ref Stats'!$AA41/0.1</f>
        <v>93974.335252138451</v>
      </c>
      <c r="AZ44" s="258">
        <f>'C1-Incomes'!AB43/'C0-Ref Stats'!$R41*1000*'C0-Ref Stats'!$AA41/0.05</f>
        <v>126123.35341391696</v>
      </c>
      <c r="BA44" s="258">
        <f>'C1-Incomes'!AC43/'C0-Ref Stats'!$R41*1000*'C0-Ref Stats'!$AA41/0.01</f>
        <v>273075.96827221336</v>
      </c>
      <c r="BB44" s="258">
        <f>'C1-Incomes'!AD43/'C0-Ref Stats'!$R41*1000*'C0-Ref Stats'!$AA41/0.005</f>
        <v>396133.71396585263</v>
      </c>
      <c r="BC44" s="258">
        <f>'C1-Incomes'!AE43/'C0-Ref Stats'!$R41*1000*'C0-Ref Stats'!$AA41/0.001</f>
        <v>992162.48259286396</v>
      </c>
      <c r="BD44" s="258">
        <f>'C1-Incomes'!AF43/'C0-Ref Stats'!$R41*1000*'C0-Ref Stats'!$AA41/0.0001</f>
        <v>3847729.7868280001</v>
      </c>
      <c r="BF44" s="258">
        <v>97100</v>
      </c>
      <c r="BG44" s="258">
        <v>130300</v>
      </c>
      <c r="BH44" s="258">
        <v>273200</v>
      </c>
      <c r="BI44" s="258">
        <v>403000</v>
      </c>
      <c r="BJ44" s="258">
        <v>988000</v>
      </c>
      <c r="BK44" s="258">
        <v>3880000</v>
      </c>
      <c r="BM44" s="258">
        <v>193300</v>
      </c>
      <c r="BN44" s="258">
        <v>426577.25377166027</v>
      </c>
      <c r="BO44" s="1254">
        <f t="shared" si="0"/>
        <v>1.8286277246268023</v>
      </c>
      <c r="BP44" s="1254">
        <f t="shared" si="4"/>
        <v>1.7711259587978125</v>
      </c>
      <c r="BQ44" s="480"/>
      <c r="BR44" s="258">
        <v>285000</v>
      </c>
      <c r="BS44" s="258">
        <v>647268.28205140424</v>
      </c>
      <c r="BT44" s="258">
        <v>442900</v>
      </c>
      <c r="BU44" s="258">
        <v>927738.41165378341</v>
      </c>
      <c r="BV44" s="1254">
        <f t="shared" si="8"/>
        <v>1.7867097786925763</v>
      </c>
      <c r="BW44" s="1254">
        <f t="shared" si="11"/>
        <v>1.9135002288479341</v>
      </c>
      <c r="BY44" s="258">
        <v>288800</v>
      </c>
      <c r="BZ44" s="258">
        <v>655914.69523246773</v>
      </c>
      <c r="CA44" s="258">
        <v>444400</v>
      </c>
      <c r="CB44" s="258">
        <v>940470.93438508245</v>
      </c>
      <c r="CC44" s="1254">
        <f t="shared" si="9"/>
        <v>1.7866751283740452</v>
      </c>
      <c r="CD44" s="1254">
        <f t="shared" si="12"/>
        <v>1.8958396253367826</v>
      </c>
      <c r="CF44" s="258">
        <v>207200</v>
      </c>
      <c r="CG44" s="258">
        <v>462152.18132387038</v>
      </c>
      <c r="CH44" s="258">
        <v>305600</v>
      </c>
      <c r="CI44" s="258">
        <v>641852.65331951086</v>
      </c>
      <c r="CJ44" s="1254">
        <f t="shared" si="10"/>
        <v>1.8127014208079675</v>
      </c>
      <c r="CK44" s="1254">
        <f t="shared" si="13"/>
        <v>1.9088404120624605</v>
      </c>
      <c r="CM44" s="1183">
        <v>0.57617982079999996</v>
      </c>
      <c r="CN44" s="1183">
        <v>0.54348449570000001</v>
      </c>
    </row>
    <row r="45" spans="1:92" s="256" customFormat="1" ht="9.75" customHeight="1" x14ac:dyDescent="0.25">
      <c r="A45" s="254">
        <v>1996</v>
      </c>
      <c r="B45" s="258">
        <f>('C1-Incomes'!B44-'C1-Incomes'!C44)/'C0-Ref Stats'!$B42*1000*'C0-Ref Stats'!$AA42/0.9</f>
        <v>30928.103611911392</v>
      </c>
      <c r="C45" s="258">
        <f>('C1-Incomes'!C44-'C1-Incomes'!D44)/'C0-Ref Stats'!$B42*1000*'C0-Ref Stats'!$AA42/0.05</f>
        <v>113792.0770602108</v>
      </c>
      <c r="D45" s="258">
        <f>('C1-Incomes'!D44-'C1-Incomes'!E44)/'C0-Ref Stats'!$B42*1000*'C0-Ref Stats'!$AA42/0.04</f>
        <v>178448.28574559605</v>
      </c>
      <c r="E45" s="258">
        <f>('C1-Incomes'!E44-'C1-Incomes'!F44)/'C0-Ref Stats'!$B42*1000*'C0-Ref Stats'!$AA42/0.005</f>
        <v>343437.12706090981</v>
      </c>
      <c r="F45" s="258">
        <f>('C1-Incomes'!F44-'C1-Incomes'!G44)/'C0-Ref Stats'!$B42*1000*'C0-Ref Stats'!$AA42/0.004</f>
        <v>612753.50812006171</v>
      </c>
      <c r="G45" s="258">
        <f>('C1-Incomes'!G44-'C1-Incomes'!H44)/'C0-Ref Stats'!$B42*1000*'C0-Ref Stats'!$AA42/0.0009</f>
        <v>1769514.1952938619</v>
      </c>
      <c r="H45" s="258"/>
      <c r="I45" s="258">
        <f>('C1-Incomes'!J44-'C1-Incomes'!K44)/'C0-Ref Stats'!$R42*1000*'C0-Ref Stats'!$AA42/0.9</f>
        <v>25996.036785653203</v>
      </c>
      <c r="J45" s="258">
        <f>('C1-Incomes'!K44-'C1-Incomes'!L44)/'C0-Ref Stats'!$R42*1000*'C0-Ref Stats'!$AA42/0.05</f>
        <v>78359.837634185795</v>
      </c>
      <c r="K45" s="258">
        <f>('C1-Incomes'!L44-'C1-Incomes'!M44)/'C0-Ref Stats'!$R42*1000*'C0-Ref Stats'!$AA42/0.04</f>
        <v>120882.27055000793</v>
      </c>
      <c r="L45" s="258">
        <f>('C1-Incomes'!M44-'C1-Incomes'!N44)/'C0-Ref Stats'!$R42*1000*'C0-Ref Stats'!$AA42/0.005</f>
        <v>217206.6070865338</v>
      </c>
      <c r="M45" s="258">
        <f>('C1-Incomes'!N44-'C1-Incomes'!O44)/'C0-Ref Stats'!$R42*1000*'C0-Ref Stats'!$AA42/0.004</f>
        <v>386446.97914476955</v>
      </c>
      <c r="N45" s="258">
        <f>('C1-Incomes'!O44-'C1-Incomes'!P44)/'C0-Ref Stats'!$R42*1000*'C0-Ref Stats'!$AA42/0.0009</f>
        <v>1147662.6986507608</v>
      </c>
      <c r="O45" s="47"/>
      <c r="P45" s="258">
        <f>('C1-Incomes'!R44-'C1-Incomes'!S44)/'C0-Ref Stats'!$R42*1000*'C0-Ref Stats'!$AA42/0.9</f>
        <v>30965.691162796422</v>
      </c>
      <c r="Q45" s="258">
        <f>('C1-Incomes'!S44-'C1-Incomes'!T44)/'C0-Ref Stats'!$R42*1000*'C0-Ref Stats'!$AA42/0.05</f>
        <v>80493.951264584815</v>
      </c>
      <c r="R45" s="258">
        <f>('C1-Incomes'!T44-'C1-Incomes'!U44)/'C0-Ref Stats'!$R42*1000*'C0-Ref Stats'!$AA42/0.04</f>
        <v>123124.68999646889</v>
      </c>
      <c r="S45" s="258">
        <f>('C1-Incomes'!U44-'C1-Incomes'!V44)/'C0-Ref Stats'!$R42*1000*'C0-Ref Stats'!$AA42/0.005</f>
        <v>219886.93830932424</v>
      </c>
      <c r="T45" s="258">
        <f>('C1-Incomes'!V44-'C1-Incomes'!W44)/'C0-Ref Stats'!$R42*1000*'C0-Ref Stats'!$AA42/0.004</f>
        <v>389031.57206108881</v>
      </c>
      <c r="U45" s="258">
        <f>('C1-Incomes'!W44-'C1-Incomes'!X44)/'C0-Ref Stats'!$R42*1000*'C0-Ref Stats'!$AA42/0.0009</f>
        <v>1151074.1383095107</v>
      </c>
      <c r="V45" s="258"/>
      <c r="W45" s="258">
        <f>('C1-Incomes'!Z44-'C1-Incomes'!AA44)/'C0-Ref Stats'!$R42*1000*'C0-Ref Stats'!$AA42/0.9</f>
        <v>29509.603386001356</v>
      </c>
      <c r="X45" s="258">
        <f>('C1-Incomes'!AA44-'C1-Incomes'!AB44)/'C0-Ref Stats'!$R42*1000*'C0-Ref Stats'!$AA42/0.05</f>
        <v>64195.570701918929</v>
      </c>
      <c r="Y45" s="258">
        <f>('C1-Incomes'!AB44-'C1-Incomes'!AC44)/'C0-Ref Stats'!$R42*1000*'C0-Ref Stats'!$AA42/0.04</f>
        <v>94401.05185333878</v>
      </c>
      <c r="Z45" s="258">
        <f>('C1-Incomes'!AC44-'C1-Incomes'!AD44)/'C0-Ref Stats'!$R42*1000*'C0-Ref Stats'!$AA42/0.005</f>
        <v>163614.51101908661</v>
      </c>
      <c r="AA45" s="258">
        <f>('C1-Incomes'!AD44-'C1-Incomes'!AE44)/'C0-Ref Stats'!$R42*1000*'C0-Ref Stats'!$AA42/0.004</f>
        <v>266008.93743803998</v>
      </c>
      <c r="AB45" s="258">
        <f>('C1-Incomes'!AE44-'C1-Incomes'!AF44)/'C0-Ref Stats'!$R42*1000*'C0-Ref Stats'!$AA42/0.0009</f>
        <v>729223.12045426213</v>
      </c>
      <c r="AD45" s="258">
        <f>'C1-Incomes'!C44/'C0-Ref Stats'!$B42*1000*'C0-Ref Stats'!$AA42/0.1</f>
        <v>195637.05789595051</v>
      </c>
      <c r="AE45" s="258">
        <f>'C1-Incomes'!D44/'C0-Ref Stats'!$B42*1000*'C0-Ref Stats'!$AA42/0.05</f>
        <v>277482.03873169032</v>
      </c>
      <c r="AF45" s="258">
        <f>'C1-Incomes'!E44/'C0-Ref Stats'!$B42*1000*'C0-Ref Stats'!$AA42/0.01</f>
        <v>673617.05067606736</v>
      </c>
      <c r="AG45" s="258">
        <f>'C1-Incomes'!F44/'C0-Ref Stats'!$B42*1000*'C0-Ref Stats'!$AA42/0.005</f>
        <v>1003796.9742912247</v>
      </c>
      <c r="AH45" s="258">
        <f>'C1-Incomes'!G44/'C0-Ref Stats'!$B42*1000*'C0-Ref Stats'!$AA42/0.001</f>
        <v>2567970.838975877</v>
      </c>
      <c r="AI45" s="258">
        <f>'C1-Incomes'!H44/'C0-Ref Stats'!$B42*1000*'C0-Ref Stats'!$AA42/0.0001</f>
        <v>9754080.6321140099</v>
      </c>
      <c r="AJ45" s="47"/>
      <c r="AK45" s="258">
        <f>'C1-Incomes'!K44/'C0-Ref Stats'!$R42*1000*'C0-Ref Stats'!$AA42/0.1</f>
        <v>131087.19270957256</v>
      </c>
      <c r="AL45" s="258">
        <f>'C1-Incomes'!L44/'C0-Ref Stats'!$R42*1000*'C0-Ref Stats'!$AA42/0.05</f>
        <v>183814.54778495934</v>
      </c>
      <c r="AM45" s="258">
        <f>'C1-Incomes'!M44/'C0-Ref Stats'!$R42*1000*'C0-Ref Stats'!$AA42/0.01</f>
        <v>435543.65672476514</v>
      </c>
      <c r="AN45" s="258">
        <f>'C1-Incomes'!N44/'C0-Ref Stats'!$R42*1000*'C0-Ref Stats'!$AA42/0.005</f>
        <v>653880.70636299648</v>
      </c>
      <c r="AO45" s="258">
        <f>'C1-Incomes'!O44/'C0-Ref Stats'!$R42*1000*'C0-Ref Stats'!$AA42/0.001</f>
        <v>1723615.6152359038</v>
      </c>
      <c r="AP45" s="258">
        <f>'C1-Incomes'!P44/'C0-Ref Stats'!$R42*1000*'C0-Ref Stats'!$AA42/0.0001</f>
        <v>6907191.8645021897</v>
      </c>
      <c r="AQ45" s="47"/>
      <c r="AR45" s="258">
        <f>'C1-Incomes'!S44/'C0-Ref Stats'!$R42*1000*'C0-Ref Stats'!$AA42/0.1</f>
        <v>133321.79272666611</v>
      </c>
      <c r="AS45" s="258">
        <f>'C1-Incomes'!T44/'C0-Ref Stats'!$R42*1000*'C0-Ref Stats'!$AA42/0.05</f>
        <v>186149.63418874735</v>
      </c>
      <c r="AT45" s="258">
        <f>'C1-Incomes'!U44/'C0-Ref Stats'!$R42*1000*'C0-Ref Stats'!$AA42/0.01</f>
        <v>438249.41095786134</v>
      </c>
      <c r="AU45" s="258">
        <f>'C1-Incomes'!V44/'C0-Ref Stats'!$R42*1000*'C0-Ref Stats'!$AA42/0.005</f>
        <v>656611.88360639836</v>
      </c>
      <c r="AV45" s="258">
        <f>'C1-Incomes'!W44/'C0-Ref Stats'!$R42*1000*'C0-Ref Stats'!$AA42/0.001</f>
        <v>1726933.1297876358</v>
      </c>
      <c r="AW45" s="258">
        <f>'C1-Incomes'!X44/'C0-Ref Stats'!$R42*1000*'C0-Ref Stats'!$AA42/0.0001</f>
        <v>6909664.0530907642</v>
      </c>
      <c r="AX45" s="258"/>
      <c r="AY45" s="258">
        <f>'C1-Incomes'!AA44/'C0-Ref Stats'!$R42*1000*'C0-Ref Stats'!$AA42/0.1</f>
        <v>99465.045676264868</v>
      </c>
      <c r="AZ45" s="258">
        <f>'C1-Incomes'!AB44/'C0-Ref Stats'!$R42*1000*'C0-Ref Stats'!$AA42/0.05</f>
        <v>134734.52065061079</v>
      </c>
      <c r="BA45" s="258">
        <f>'C1-Incomes'!AC44/'C0-Ref Stats'!$R42*1000*'C0-Ref Stats'!$AA42/0.01</f>
        <v>296068.39583969879</v>
      </c>
      <c r="BB45" s="258">
        <f>'C1-Incomes'!AD44/'C0-Ref Stats'!$R42*1000*'C0-Ref Stats'!$AA42/0.005</f>
        <v>428522.28066031099</v>
      </c>
      <c r="BC45" s="258">
        <f>'C1-Incomes'!AE44/'C0-Ref Stats'!$R42*1000*'C0-Ref Stats'!$AA42/0.001</f>
        <v>1078575.6535493953</v>
      </c>
      <c r="BD45" s="258">
        <f>'C1-Incomes'!AF44/'C0-Ref Stats'!$R42*1000*'C0-Ref Stats'!$AA42/0.0001</f>
        <v>4222748.4514055941</v>
      </c>
      <c r="BF45" s="258">
        <v>98700</v>
      </c>
      <c r="BG45" s="258">
        <v>133800</v>
      </c>
      <c r="BH45" s="258">
        <v>288500</v>
      </c>
      <c r="BI45" s="258">
        <v>424000</v>
      </c>
      <c r="BJ45" s="258">
        <v>1060000</v>
      </c>
      <c r="BK45" s="258">
        <v>4290000</v>
      </c>
      <c r="BM45" s="258">
        <v>201700</v>
      </c>
      <c r="BN45" s="258">
        <v>455219.28688449535</v>
      </c>
      <c r="BO45" s="1254">
        <f t="shared" si="0"/>
        <v>1.7956002183451056</v>
      </c>
      <c r="BP45" s="1254">
        <f t="shared" si="4"/>
        <v>1.7491228952172917</v>
      </c>
      <c r="BQ45" s="480"/>
      <c r="BR45" s="258">
        <v>304100</v>
      </c>
      <c r="BS45" s="258">
        <v>683660.52938316518</v>
      </c>
      <c r="BT45" s="258">
        <v>459800</v>
      </c>
      <c r="BU45" s="258">
        <v>988559.35665504006</v>
      </c>
      <c r="BV45" s="1254">
        <f t="shared" si="8"/>
        <v>1.8011897351239385</v>
      </c>
      <c r="BW45" s="1254">
        <f t="shared" si="11"/>
        <v>1.8695827207838354</v>
      </c>
      <c r="BY45" s="258">
        <v>307600</v>
      </c>
      <c r="BZ45" s="258">
        <v>692936.67529128108</v>
      </c>
      <c r="CA45" s="258">
        <v>462000</v>
      </c>
      <c r="CB45" s="258">
        <v>1002853.8813622402</v>
      </c>
      <c r="CC45" s="1254">
        <f t="shared" si="9"/>
        <v>1.798262972937837</v>
      </c>
      <c r="CD45" s="1254">
        <f t="shared" si="12"/>
        <v>1.8542048340974606</v>
      </c>
      <c r="CF45" s="258">
        <v>218400</v>
      </c>
      <c r="CG45" s="258">
        <v>490151.52980612841</v>
      </c>
      <c r="CH45" s="258">
        <v>311200</v>
      </c>
      <c r="CI45" s="258">
        <v>686723.52216914669</v>
      </c>
      <c r="CJ45" s="1254">
        <f t="shared" si="10"/>
        <v>1.8036753285466682</v>
      </c>
      <c r="CK45" s="1254">
        <f t="shared" si="13"/>
        <v>1.8287097388797566</v>
      </c>
      <c r="CM45" s="1183">
        <v>0.57938951520000004</v>
      </c>
      <c r="CN45" s="1183">
        <v>0.54783292829999997</v>
      </c>
    </row>
    <row r="46" spans="1:92" s="256" customFormat="1" ht="9.75" customHeight="1" x14ac:dyDescent="0.25">
      <c r="A46" s="254">
        <v>1997</v>
      </c>
      <c r="B46" s="258">
        <f>('C1-Incomes'!B45-'C1-Incomes'!C45)/'C0-Ref Stats'!$B43*1000*'C0-Ref Stats'!$AA43/0.9</f>
        <v>31954.600957097628</v>
      </c>
      <c r="C46" s="258">
        <f>('C1-Incomes'!C45-'C1-Incomes'!D45)/'C0-Ref Stats'!$B43*1000*'C0-Ref Stats'!$AA43/0.05</f>
        <v>117401.49854724802</v>
      </c>
      <c r="D46" s="258">
        <f>('C1-Incomes'!D45-'C1-Incomes'!E45)/'C0-Ref Stats'!$B43*1000*'C0-Ref Stats'!$AA43/0.04</f>
        <v>186418.85195794239</v>
      </c>
      <c r="E46" s="258">
        <f>('C1-Incomes'!E45-'C1-Incomes'!F45)/'C0-Ref Stats'!$B43*1000*'C0-Ref Stats'!$AA43/0.005</f>
        <v>361624.12657394342</v>
      </c>
      <c r="F46" s="258">
        <f>('C1-Incomes'!F45-'C1-Incomes'!G45)/'C0-Ref Stats'!$B43*1000*'C0-Ref Stats'!$AA43/0.004</f>
        <v>658651.65415235388</v>
      </c>
      <c r="G46" s="258">
        <f>('C1-Incomes'!G45-'C1-Incomes'!H45)/'C0-Ref Stats'!$B43*1000*'C0-Ref Stats'!$AA43/0.0009</f>
        <v>1987097.6129920573</v>
      </c>
      <c r="H46" s="258"/>
      <c r="I46" s="258">
        <f>('C1-Incomes'!J45-'C1-Incomes'!K45)/'C0-Ref Stats'!$R43*1000*'C0-Ref Stats'!$AA43/0.9</f>
        <v>26812.719520705556</v>
      </c>
      <c r="J46" s="258">
        <f>('C1-Incomes'!K45-'C1-Incomes'!L45)/'C0-Ref Stats'!$R43*1000*'C0-Ref Stats'!$AA43/0.05</f>
        <v>81052.396641883824</v>
      </c>
      <c r="K46" s="258">
        <f>('C1-Incomes'!L45-'C1-Incomes'!M45)/'C0-Ref Stats'!$R43*1000*'C0-Ref Stats'!$AA43/0.04</f>
        <v>126200.18503463743</v>
      </c>
      <c r="L46" s="258">
        <f>('C1-Incomes'!M45-'C1-Incomes'!N45)/'C0-Ref Stats'!$R43*1000*'C0-Ref Stats'!$AA43/0.005</f>
        <v>230184.99253132817</v>
      </c>
      <c r="M46" s="258">
        <f>('C1-Incomes'!N45-'C1-Incomes'!O45)/'C0-Ref Stats'!$R43*1000*'C0-Ref Stats'!$AA43/0.004</f>
        <v>414673.40639223735</v>
      </c>
      <c r="N46" s="258">
        <f>('C1-Incomes'!O45-'C1-Incomes'!P45)/'C0-Ref Stats'!$R43*1000*'C0-Ref Stats'!$AA43/0.0009</f>
        <v>1288293.7551266272</v>
      </c>
      <c r="O46" s="47"/>
      <c r="P46" s="258">
        <f>('C1-Incomes'!R45-'C1-Incomes'!S45)/'C0-Ref Stats'!$R43*1000*'C0-Ref Stats'!$AA43/0.9</f>
        <v>31790.779517866304</v>
      </c>
      <c r="Q46" s="258">
        <f>('C1-Incomes'!S45-'C1-Incomes'!T45)/'C0-Ref Stats'!$R43*1000*'C0-Ref Stats'!$AA43/0.05</f>
        <v>83384.738442839473</v>
      </c>
      <c r="R46" s="258">
        <f>('C1-Incomes'!T45-'C1-Incomes'!U45)/'C0-Ref Stats'!$R43*1000*'C0-Ref Stats'!$AA43/0.04</f>
        <v>128402.62316031121</v>
      </c>
      <c r="S46" s="258">
        <f>('C1-Incomes'!U45-'C1-Incomes'!V45)/'C0-Ref Stats'!$R43*1000*'C0-Ref Stats'!$AA43/0.005</f>
        <v>233137.25002487173</v>
      </c>
      <c r="T46" s="258">
        <f>('C1-Incomes'!V45-'C1-Incomes'!W45)/'C0-Ref Stats'!$R43*1000*'C0-Ref Stats'!$AA43/0.004</f>
        <v>417577.86483325699</v>
      </c>
      <c r="U46" s="258">
        <f>('C1-Incomes'!W45-'C1-Incomes'!X45)/'C0-Ref Stats'!$R43*1000*'C0-Ref Stats'!$AA43/0.0009</f>
        <v>1290668.9590886903</v>
      </c>
      <c r="V46" s="258"/>
      <c r="W46" s="258">
        <f>('C1-Incomes'!Z45-'C1-Incomes'!AA45)/'C0-Ref Stats'!$R43*1000*'C0-Ref Stats'!$AA43/0.9</f>
        <v>30456.81033758878</v>
      </c>
      <c r="X46" s="258">
        <f>('C1-Incomes'!AA45-'C1-Incomes'!AB45)/'C0-Ref Stats'!$R43*1000*'C0-Ref Stats'!$AA43/0.05</f>
        <v>67053.560122460214</v>
      </c>
      <c r="Y46" s="258">
        <f>('C1-Incomes'!AB45-'C1-Incomes'!AC45)/'C0-Ref Stats'!$R43*1000*'C0-Ref Stats'!$AA43/0.04</f>
        <v>99110.692626342352</v>
      </c>
      <c r="Z46" s="258">
        <f>('C1-Incomes'!AC45-'C1-Incomes'!AD45)/'C0-Ref Stats'!$R43*1000*'C0-Ref Stats'!$AA43/0.005</f>
        <v>171268.27505687517</v>
      </c>
      <c r="AA46" s="258">
        <f>('C1-Incomes'!AD45-'C1-Incomes'!AE45)/'C0-Ref Stats'!$R43*1000*'C0-Ref Stats'!$AA43/0.004</f>
        <v>290288.18632982997</v>
      </c>
      <c r="AB46" s="258">
        <f>('C1-Incomes'!AE45-'C1-Incomes'!AF45)/'C0-Ref Stats'!$R43*1000*'C0-Ref Stats'!$AA43/0.0009</f>
        <v>828336.86519038223</v>
      </c>
      <c r="AD46" s="258">
        <f>'C1-Incomes'!C45/'C0-Ref Stats'!$B43*1000*'C0-Ref Stats'!$AA43/0.1</f>
        <v>206675.83405962729</v>
      </c>
      <c r="AE46" s="258">
        <f>'C1-Incomes'!D45/'C0-Ref Stats'!$B43*1000*'C0-Ref Stats'!$AA43/0.05</f>
        <v>295950.16957200656</v>
      </c>
      <c r="AF46" s="258">
        <f>'C1-Incomes'!E45/'C0-Ref Stats'!$B43*1000*'C0-Ref Stats'!$AA43/0.01</f>
        <v>734075.44002826337</v>
      </c>
      <c r="AG46" s="258">
        <f>'C1-Incomes'!F45/'C0-Ref Stats'!$B43*1000*'C0-Ref Stats'!$AA43/0.005</f>
        <v>1106526.7534825832</v>
      </c>
      <c r="AH46" s="258">
        <f>'C1-Incomes'!G45/'C0-Ref Stats'!$B43*1000*'C0-Ref Stats'!$AA43/0.001</f>
        <v>2898027.1508035008</v>
      </c>
      <c r="AI46" s="258">
        <f>'C1-Incomes'!H45/'C0-Ref Stats'!$B43*1000*'C0-Ref Stats'!$AA43/0.0001</f>
        <v>11096392.991106492</v>
      </c>
      <c r="AJ46" s="47"/>
      <c r="AK46" s="258">
        <f>'C1-Incomes'!K45/'C0-Ref Stats'!$R43*1000*'C0-Ref Stats'!$AA43/0.1</f>
        <v>138438.54344406092</v>
      </c>
      <c r="AL46" s="258">
        <f>'C1-Incomes'!L45/'C0-Ref Stats'!$R43*1000*'C0-Ref Stats'!$AA43/0.05</f>
        <v>195824.69024623808</v>
      </c>
      <c r="AM46" s="258">
        <f>'C1-Incomes'!M45/'C0-Ref Stats'!$R43*1000*'C0-Ref Stats'!$AA43/0.01</f>
        <v>474322.71109264076</v>
      </c>
      <c r="AN46" s="258">
        <f>'C1-Incomes'!N45/'C0-Ref Stats'!$R43*1000*'C0-Ref Stats'!$AA43/0.005</f>
        <v>718460.4296539533</v>
      </c>
      <c r="AO46" s="258">
        <f>'C1-Incomes'!O45/'C0-Ref Stats'!$R43*1000*'C0-Ref Stats'!$AA43/0.001</f>
        <v>1933608.5227008171</v>
      </c>
      <c r="AP46" s="258">
        <f>'C1-Incomes'!P45/'C0-Ref Stats'!$R43*1000*'C0-Ref Stats'!$AA43/0.0001</f>
        <v>7741441.4308685251</v>
      </c>
      <c r="AQ46" s="47"/>
      <c r="AR46" s="258">
        <f>'C1-Incomes'!S45/'C0-Ref Stats'!$R43*1000*'C0-Ref Stats'!$AA43/0.1</f>
        <v>140774.92868589275</v>
      </c>
      <c r="AS46" s="258">
        <f>'C1-Incomes'!T45/'C0-Ref Stats'!$R43*1000*'C0-Ref Stats'!$AA43/0.05</f>
        <v>198165.11892894603</v>
      </c>
      <c r="AT46" s="258">
        <f>'C1-Incomes'!U45/'C0-Ref Stats'!$R43*1000*'C0-Ref Stats'!$AA43/0.01</f>
        <v>477215.10200348531</v>
      </c>
      <c r="AU46" s="258">
        <f>'C1-Incomes'!V45/'C0-Ref Stats'!$R43*1000*'C0-Ref Stats'!$AA43/0.005</f>
        <v>721292.95398209884</v>
      </c>
      <c r="AV46" s="258">
        <f>'C1-Incomes'!W45/'C0-Ref Stats'!$R43*1000*'C0-Ref Stats'!$AA43/0.001</f>
        <v>1936153.3105774662</v>
      </c>
      <c r="AW46" s="258">
        <f>'C1-Incomes'!X45/'C0-Ref Stats'!$R43*1000*'C0-Ref Stats'!$AA43/0.0001</f>
        <v>7745512.473976451</v>
      </c>
      <c r="AX46" s="258"/>
      <c r="AY46" s="258">
        <f>'C1-Incomes'!AA45/'C0-Ref Stats'!$R43*1000*'C0-Ref Stats'!$AA43/0.1</f>
        <v>105641.67793073518</v>
      </c>
      <c r="AZ46" s="258">
        <f>'C1-Incomes'!AB45/'C0-Ref Stats'!$R43*1000*'C0-Ref Stats'!$AA43/0.05</f>
        <v>144229.79573901015</v>
      </c>
      <c r="BA46" s="258">
        <f>'C1-Incomes'!AC45/'C0-Ref Stats'!$R43*1000*'C0-Ref Stats'!$AA43/0.01</f>
        <v>324706.20818968129</v>
      </c>
      <c r="BB46" s="258">
        <f>'C1-Incomes'!AD45/'C0-Ref Stats'!$R43*1000*'C0-Ref Stats'!$AA43/0.005</f>
        <v>478144.14132248756</v>
      </c>
      <c r="BC46" s="258">
        <f>'C1-Incomes'!AE45/'C0-Ref Stats'!$R43*1000*'C0-Ref Stats'!$AA43/0.001</f>
        <v>1229567.9612931178</v>
      </c>
      <c r="BD46" s="258">
        <f>'C1-Incomes'!AF45/'C0-Ref Stats'!$R43*1000*'C0-Ref Stats'!$AA43/0.0001</f>
        <v>4840647.8262177352</v>
      </c>
      <c r="BF46" s="258">
        <v>102200</v>
      </c>
      <c r="BG46" s="258">
        <v>138000</v>
      </c>
      <c r="BH46" s="258">
        <v>301700</v>
      </c>
      <c r="BI46" s="258">
        <v>447000</v>
      </c>
      <c r="BJ46" s="258">
        <v>1170000</v>
      </c>
      <c r="BK46" s="258">
        <v>4890000</v>
      </c>
      <c r="BM46" s="258">
        <v>211300</v>
      </c>
      <c r="BN46" s="258">
        <v>491622.1058752673</v>
      </c>
      <c r="BO46" s="1254">
        <f t="shared" si="0"/>
        <v>1.7537757300311538</v>
      </c>
      <c r="BP46" s="1254">
        <f t="shared" si="4"/>
        <v>1.6977732129749983</v>
      </c>
      <c r="BQ46" s="480"/>
      <c r="BR46" s="258">
        <v>320800</v>
      </c>
      <c r="BS46" s="258">
        <v>730285.72621503205</v>
      </c>
      <c r="BT46" s="258">
        <v>479200</v>
      </c>
      <c r="BU46" s="258">
        <v>1067720.4973772066</v>
      </c>
      <c r="BV46" s="1254">
        <f t="shared" si="8"/>
        <v>1.7834216908247962</v>
      </c>
      <c r="BW46" s="1254">
        <f t="shared" si="11"/>
        <v>1.8142452168371315</v>
      </c>
      <c r="BY46" s="258">
        <v>323300</v>
      </c>
      <c r="BZ46" s="258">
        <v>740608.67065061885</v>
      </c>
      <c r="CA46" s="258">
        <v>481100</v>
      </c>
      <c r="CB46" s="258">
        <v>1084547.4364099079</v>
      </c>
      <c r="CC46" s="1254">
        <f t="shared" si="9"/>
        <v>1.7747262943181805</v>
      </c>
      <c r="CD46" s="1254">
        <f t="shared" si="12"/>
        <v>1.7972525376231774</v>
      </c>
      <c r="CF46" s="258">
        <v>226100</v>
      </c>
      <c r="CG46" s="258">
        <v>526786.91394903138</v>
      </c>
      <c r="CH46" s="258">
        <v>321100</v>
      </c>
      <c r="CI46" s="258">
        <v>748191.02779951156</v>
      </c>
      <c r="CJ46" s="1254">
        <f t="shared" si="10"/>
        <v>1.7519449284657782</v>
      </c>
      <c r="CK46" s="1254">
        <f t="shared" si="13"/>
        <v>1.7518303572294507</v>
      </c>
      <c r="CM46" s="1183">
        <v>0.58061939340000002</v>
      </c>
      <c r="CN46" s="1183">
        <v>0.55000038650000005</v>
      </c>
    </row>
    <row r="47" spans="1:92" s="256" customFormat="1" ht="9.75" customHeight="1" x14ac:dyDescent="0.25">
      <c r="A47" s="254">
        <v>1998</v>
      </c>
      <c r="B47" s="258">
        <f>('C1-Incomes'!B46-'C1-Incomes'!C46)/'C0-Ref Stats'!$B44*1000*'C0-Ref Stats'!$AA44/0.9</f>
        <v>33479.952678569236</v>
      </c>
      <c r="C47" s="258">
        <f>('C1-Incomes'!C46-'C1-Incomes'!D46)/'C0-Ref Stats'!$B44*1000*'C0-Ref Stats'!$AA44/0.05</f>
        <v>122938.86639768883</v>
      </c>
      <c r="D47" s="258">
        <f>('C1-Incomes'!D46-'C1-Incomes'!E46)/'C0-Ref Stats'!$B44*1000*'C0-Ref Stats'!$AA44/0.04</f>
        <v>196656.69332930824</v>
      </c>
      <c r="E47" s="258">
        <f>('C1-Incomes'!E46-'C1-Incomes'!F46)/'C0-Ref Stats'!$B44*1000*'C0-Ref Stats'!$AA44/0.005</f>
        <v>384457.41161788604</v>
      </c>
      <c r="F47" s="258">
        <f>('C1-Incomes'!F46-'C1-Incomes'!G46)/'C0-Ref Stats'!$B44*1000*'C0-Ref Stats'!$AA44/0.004</f>
        <v>706194.97078024363</v>
      </c>
      <c r="G47" s="258">
        <f>('C1-Incomes'!G46-'C1-Incomes'!H46)/'C0-Ref Stats'!$B44*1000*'C0-Ref Stats'!$AA44/0.0009</f>
        <v>2193474.3764153789</v>
      </c>
      <c r="H47" s="258"/>
      <c r="I47" s="258">
        <f>('C1-Incomes'!J46-'C1-Incomes'!K46)/'C0-Ref Stats'!$R44*1000*'C0-Ref Stats'!$AA44/0.9</f>
        <v>28012.433959003924</v>
      </c>
      <c r="J47" s="258">
        <f>('C1-Incomes'!K46-'C1-Incomes'!L46)/'C0-Ref Stats'!$R44*1000*'C0-Ref Stats'!$AA44/0.05</f>
        <v>83725.086250346008</v>
      </c>
      <c r="K47" s="258">
        <f>('C1-Incomes'!L46-'C1-Incomes'!M46)/'C0-Ref Stats'!$R44*1000*'C0-Ref Stats'!$AA44/0.04</f>
        <v>131199.55230426032</v>
      </c>
      <c r="L47" s="258">
        <f>('C1-Incomes'!M46-'C1-Incomes'!N46)/'C0-Ref Stats'!$R44*1000*'C0-Ref Stats'!$AA44/0.005</f>
        <v>241660.13797651677</v>
      </c>
      <c r="M47" s="258">
        <f>('C1-Incomes'!N46-'C1-Incomes'!O46)/'C0-Ref Stats'!$R44*1000*'C0-Ref Stats'!$AA44/0.004</f>
        <v>433640.87078029534</v>
      </c>
      <c r="N47" s="258">
        <f>('C1-Incomes'!O46-'C1-Incomes'!P46)/'C0-Ref Stats'!$R44*1000*'C0-Ref Stats'!$AA44/0.0009</f>
        <v>1382426.1049428002</v>
      </c>
      <c r="O47" s="47"/>
      <c r="P47" s="258">
        <f>('C1-Incomes'!R46-'C1-Incomes'!S46)/'C0-Ref Stats'!$R44*1000*'C0-Ref Stats'!$AA44/0.9</f>
        <v>33002.33247206633</v>
      </c>
      <c r="Q47" s="258">
        <f>('C1-Incomes'!S46-'C1-Incomes'!T46)/'C0-Ref Stats'!$R44*1000*'C0-Ref Stats'!$AA44/0.05</f>
        <v>86081.558924331854</v>
      </c>
      <c r="R47" s="258">
        <f>('C1-Incomes'!T46-'C1-Incomes'!U46)/'C0-Ref Stats'!$R44*1000*'C0-Ref Stats'!$AA44/0.04</f>
        <v>133562.73907852935</v>
      </c>
      <c r="S47" s="258">
        <f>('C1-Incomes'!U46-'C1-Incomes'!V46)/'C0-Ref Stats'!$R44*1000*'C0-Ref Stats'!$AA44/0.005</f>
        <v>243657.11228399858</v>
      </c>
      <c r="T47" s="258">
        <f>('C1-Incomes'!V46-'C1-Incomes'!W46)/'C0-Ref Stats'!$R44*1000*'C0-Ref Stats'!$AA44/0.004</f>
        <v>437701.12886595924</v>
      </c>
      <c r="U47" s="258">
        <f>('C1-Incomes'!W46-'C1-Incomes'!X46)/'C0-Ref Stats'!$R44*1000*'C0-Ref Stats'!$AA44/0.0009</f>
        <v>1381574.2599448238</v>
      </c>
      <c r="V47" s="258"/>
      <c r="W47" s="258">
        <f>('C1-Incomes'!Z46-'C1-Incomes'!AA46)/'C0-Ref Stats'!$R44*1000*'C0-Ref Stats'!$AA44/0.9</f>
        <v>31744.037216776323</v>
      </c>
      <c r="X47" s="258">
        <f>('C1-Incomes'!AA46-'C1-Incomes'!AB46)/'C0-Ref Stats'!$R44*1000*'C0-Ref Stats'!$AA44/0.05</f>
        <v>69880.385690112569</v>
      </c>
      <c r="Y47" s="258">
        <f>('C1-Incomes'!AB46-'C1-Incomes'!AC46)/'C0-Ref Stats'!$R44*1000*'C0-Ref Stats'!$AA44/0.04</f>
        <v>103779.16865865664</v>
      </c>
      <c r="Z47" s="258">
        <f>('C1-Incomes'!AC46-'C1-Incomes'!AD46)/'C0-Ref Stats'!$R44*1000*'C0-Ref Stats'!$AA44/0.005</f>
        <v>180943.45906440937</v>
      </c>
      <c r="AA47" s="258">
        <f>('C1-Incomes'!AD46-'C1-Incomes'!AE46)/'C0-Ref Stats'!$R44*1000*'C0-Ref Stats'!$AA44/0.004</f>
        <v>303226.95560128352</v>
      </c>
      <c r="AB47" s="258">
        <f>('C1-Incomes'!AE46-'C1-Incomes'!AF46)/'C0-Ref Stats'!$R44*1000*'C0-Ref Stats'!$AA44/0.0009</f>
        <v>893603.47742530436</v>
      </c>
      <c r="AD47" s="258">
        <f>'C1-Incomes'!C46/'C0-Ref Stats'!$B44*1000*'C0-Ref Stats'!$AA44/0.1</f>
        <v>219833.21299204987</v>
      </c>
      <c r="AE47" s="258">
        <f>'C1-Incomes'!D46/'C0-Ref Stats'!$B44*1000*'C0-Ref Stats'!$AA44/0.05</f>
        <v>316727.55958641093</v>
      </c>
      <c r="AF47" s="258">
        <f>'C1-Incomes'!E46/'C0-Ref Stats'!$B44*1000*'C0-Ref Stats'!$AA44/0.01</f>
        <v>797011.02461482154</v>
      </c>
      <c r="AG47" s="258">
        <f>'C1-Incomes'!F46/'C0-Ref Stats'!$B44*1000*'C0-Ref Stats'!$AA44/0.005</f>
        <v>1209564.6376117573</v>
      </c>
      <c r="AH47" s="258">
        <f>'C1-Incomes'!G46/'C0-Ref Stats'!$B44*1000*'C0-Ref Stats'!$AA44/0.001</f>
        <v>3223043.3049378111</v>
      </c>
      <c r="AI47" s="258">
        <f>'C1-Incomes'!H46/'C0-Ref Stats'!$B44*1000*'C0-Ref Stats'!$AA44/0.0001</f>
        <v>12489163.6616397</v>
      </c>
      <c r="AJ47" s="47"/>
      <c r="AK47" s="258">
        <f>'C1-Incomes'!K46/'C0-Ref Stats'!$R44*1000*'C0-Ref Stats'!$AA44/0.1</f>
        <v>144459.81134255999</v>
      </c>
      <c r="AL47" s="258">
        <f>'C1-Incomes'!L46/'C0-Ref Stats'!$R44*1000*'C0-Ref Stats'!$AA44/0.05</f>
        <v>205194.536434774</v>
      </c>
      <c r="AM47" s="258">
        <f>'C1-Incomes'!M46/'C0-Ref Stats'!$R44*1000*'C0-Ref Stats'!$AA44/0.01</f>
        <v>501174.47295682883</v>
      </c>
      <c r="AN47" s="258">
        <f>'C1-Incomes'!N46/'C0-Ref Stats'!$R44*1000*'C0-Ref Stats'!$AA44/0.005</f>
        <v>760688.80793714104</v>
      </c>
      <c r="AO47" s="258">
        <f>'C1-Incomes'!O46/'C0-Ref Stats'!$R44*1000*'C0-Ref Stats'!$AA44/0.001</f>
        <v>2068880.5565645234</v>
      </c>
      <c r="AP47" s="258">
        <f>'C1-Incomes'!P46/'C0-Ref Stats'!$R44*1000*'C0-Ref Stats'!$AA44/0.0001</f>
        <v>8246970.6211600322</v>
      </c>
      <c r="AQ47" s="47"/>
      <c r="AR47" s="258">
        <f>'C1-Incomes'!S46/'C0-Ref Stats'!$R44*1000*'C0-Ref Stats'!$AA44/0.1</f>
        <v>146841.98711052426</v>
      </c>
      <c r="AS47" s="258">
        <f>'C1-Incomes'!T46/'C0-Ref Stats'!$R44*1000*'C0-Ref Stats'!$AA44/0.05</f>
        <v>207602.41529671679</v>
      </c>
      <c r="AT47" s="258">
        <f>'C1-Incomes'!U46/'C0-Ref Stats'!$R44*1000*'C0-Ref Stats'!$AA44/0.01</f>
        <v>503761.12016946636</v>
      </c>
      <c r="AU47" s="258">
        <f>'C1-Incomes'!V46/'C0-Ref Stats'!$R44*1000*'C0-Ref Stats'!$AA44/0.005</f>
        <v>763865.12805493409</v>
      </c>
      <c r="AV47" s="258">
        <f>'C1-Incomes'!W46/'C0-Ref Stats'!$R44*1000*'C0-Ref Stats'!$AA44/0.001</f>
        <v>2068521.1248108335</v>
      </c>
      <c r="AW47" s="258">
        <f>'C1-Incomes'!X46/'C0-Ref Stats'!$R44*1000*'C0-Ref Stats'!$AA44/0.0001</f>
        <v>8251042.908604919</v>
      </c>
      <c r="AX47" s="258"/>
      <c r="AY47" s="258">
        <f>'C1-Incomes'!AA46/'C0-Ref Stats'!$R44*1000*'C0-Ref Stats'!$AA44/0.1</f>
        <v>110875.52010363407</v>
      </c>
      <c r="AZ47" s="258">
        <f>'C1-Incomes'!AB46/'C0-Ref Stats'!$R44*1000*'C0-Ref Stats'!$AA44/0.05</f>
        <v>151870.65451715555</v>
      </c>
      <c r="BA47" s="258">
        <f>'C1-Incomes'!AC46/'C0-Ref Stats'!$R44*1000*'C0-Ref Stats'!$AA44/0.01</f>
        <v>344236.59795115131</v>
      </c>
      <c r="BB47" s="258">
        <f>'C1-Incomes'!AD46/'C0-Ref Stats'!$R44*1000*'C0-Ref Stats'!$AA44/0.005</f>
        <v>507529.7368378932</v>
      </c>
      <c r="BC47" s="258">
        <f>'C1-Incomes'!AE46/'C0-Ref Stats'!$R44*1000*'C0-Ref Stats'!$AA44/0.001</f>
        <v>1324740.8617843322</v>
      </c>
      <c r="BD47" s="258">
        <f>'C1-Incomes'!AF46/'C0-Ref Stats'!$R44*1000*'C0-Ref Stats'!$AA44/0.0001</f>
        <v>5204977.3210155824</v>
      </c>
      <c r="BF47" s="258">
        <v>106700</v>
      </c>
      <c r="BG47" s="258">
        <v>145000</v>
      </c>
      <c r="BH47" s="258">
        <v>321700</v>
      </c>
      <c r="BI47" s="258">
        <v>478000</v>
      </c>
      <c r="BJ47" s="258">
        <v>1260000</v>
      </c>
      <c r="BK47" s="258">
        <v>5530000</v>
      </c>
      <c r="BM47" s="258">
        <v>223500</v>
      </c>
      <c r="BN47" s="258">
        <v>530385.70481570181</v>
      </c>
      <c r="BO47" s="1254">
        <f t="shared" si="0"/>
        <v>1.7282841673391773</v>
      </c>
      <c r="BP47" s="1254">
        <f t="shared" si="4"/>
        <v>1.6768199838425724</v>
      </c>
      <c r="BQ47" s="480"/>
      <c r="BR47" s="258">
        <v>333600</v>
      </c>
      <c r="BS47" s="258">
        <v>766096.61876507476</v>
      </c>
      <c r="BT47" s="258">
        <v>496800</v>
      </c>
      <c r="BU47" s="258">
        <v>1127539.7938837681</v>
      </c>
      <c r="BV47" s="1254">
        <f t="shared" si="8"/>
        <v>1.7713355099804982</v>
      </c>
      <c r="BW47" s="1254">
        <f t="shared" si="11"/>
        <v>1.7876465141686457</v>
      </c>
      <c r="BY47" s="258">
        <v>336400</v>
      </c>
      <c r="BZ47" s="258">
        <v>776781.33537083364</v>
      </c>
      <c r="CA47" s="258">
        <v>498800</v>
      </c>
      <c r="CB47" s="258">
        <v>1145091.5867795891</v>
      </c>
      <c r="CC47" s="1254">
        <f t="shared" si="9"/>
        <v>1.7638834187119359</v>
      </c>
      <c r="CD47" s="1254">
        <f t="shared" si="12"/>
        <v>1.7717878589221221</v>
      </c>
      <c r="CF47" s="258">
        <v>232900</v>
      </c>
      <c r="CG47" s="258">
        <v>554498.96620248887</v>
      </c>
      <c r="CH47" s="258">
        <v>328300</v>
      </c>
      <c r="CI47" s="258">
        <v>792716.50276891957</v>
      </c>
      <c r="CJ47" s="1254">
        <f t="shared" si="10"/>
        <v>1.7241938702419797</v>
      </c>
      <c r="CK47" s="1254">
        <f t="shared" si="13"/>
        <v>1.706908557388954</v>
      </c>
      <c r="CM47" s="1183">
        <v>0.58119068350000003</v>
      </c>
      <c r="CN47" s="1183">
        <v>0.54824558059999995</v>
      </c>
    </row>
    <row r="48" spans="1:92" s="256" customFormat="1" ht="9.75" customHeight="1" x14ac:dyDescent="0.25">
      <c r="A48" s="254">
        <v>1999</v>
      </c>
      <c r="B48" s="258">
        <f>('C1-Incomes'!B47-'C1-Incomes'!C47)/'C0-Ref Stats'!$B45*1000*'C0-Ref Stats'!$AA45/0.9</f>
        <v>35001.846126247612</v>
      </c>
      <c r="C48" s="258">
        <f>('C1-Incomes'!C47-'C1-Incomes'!D47)/'C0-Ref Stats'!$B45*1000*'C0-Ref Stats'!$AA45/0.05</f>
        <v>128426.93160141357</v>
      </c>
      <c r="D48" s="258">
        <f>('C1-Incomes'!D47-'C1-Incomes'!E47)/'C0-Ref Stats'!$B45*1000*'C0-Ref Stats'!$AA45/0.04</f>
        <v>206661.85396169024</v>
      </c>
      <c r="E48" s="258">
        <f>('C1-Incomes'!E47-'C1-Incomes'!F47)/'C0-Ref Stats'!$B45*1000*'C0-Ref Stats'!$AA45/0.005</f>
        <v>407751.07009657094</v>
      </c>
      <c r="F48" s="258">
        <f>('C1-Incomes'!F47-'C1-Incomes'!G47)/'C0-Ref Stats'!$B45*1000*'C0-Ref Stats'!$AA45/0.004</f>
        <v>754584.99082746007</v>
      </c>
      <c r="G48" s="258">
        <f>('C1-Incomes'!G47-'C1-Incomes'!H47)/'C0-Ref Stats'!$B45*1000*'C0-Ref Stats'!$AA45/0.0009</f>
        <v>2422400.903551803</v>
      </c>
      <c r="H48" s="258"/>
      <c r="I48" s="258">
        <f>('C1-Incomes'!J47-'C1-Incomes'!K47)/'C0-Ref Stats'!$R45*1000*'C0-Ref Stats'!$AA45/0.9</f>
        <v>29406.318323454583</v>
      </c>
      <c r="J48" s="258">
        <f>('C1-Incomes'!K47-'C1-Incomes'!L47)/'C0-Ref Stats'!$R45*1000*'C0-Ref Stats'!$AA45/0.05</f>
        <v>86966.536672300543</v>
      </c>
      <c r="K48" s="258">
        <f>('C1-Incomes'!L47-'C1-Incomes'!M47)/'C0-Ref Stats'!$R45*1000*'C0-Ref Stats'!$AA45/0.04</f>
        <v>137282.75101348181</v>
      </c>
      <c r="L48" s="258">
        <f>('C1-Incomes'!M47-'C1-Incomes'!N47)/'C0-Ref Stats'!$R45*1000*'C0-Ref Stats'!$AA45/0.005</f>
        <v>257685.55631722923</v>
      </c>
      <c r="M48" s="258">
        <f>('C1-Incomes'!N47-'C1-Incomes'!O47)/'C0-Ref Stats'!$R45*1000*'C0-Ref Stats'!$AA45/0.004</f>
        <v>477624.13512082561</v>
      </c>
      <c r="N48" s="258">
        <f>('C1-Incomes'!O47-'C1-Incomes'!P47)/'C0-Ref Stats'!$R45*1000*'C0-Ref Stats'!$AA45/0.0009</f>
        <v>1525794.4392450049</v>
      </c>
      <c r="O48" s="47"/>
      <c r="P48" s="258">
        <f>('C1-Incomes'!R47-'C1-Incomes'!S47)/'C0-Ref Stats'!$R45*1000*'C0-Ref Stats'!$AA45/0.9</f>
        <v>34577.667439437006</v>
      </c>
      <c r="Q48" s="258">
        <f>('C1-Incomes'!S47-'C1-Incomes'!T47)/'C0-Ref Stats'!$R45*1000*'C0-Ref Stats'!$AA45/0.05</f>
        <v>89383.516006525024</v>
      </c>
      <c r="R48" s="258">
        <f>('C1-Incomes'!T47-'C1-Incomes'!U47)/'C0-Ref Stats'!$R45*1000*'C0-Ref Stats'!$AA45/0.04</f>
        <v>139439.25992528335</v>
      </c>
      <c r="S48" s="258">
        <f>('C1-Incomes'!U47-'C1-Incomes'!V47)/'C0-Ref Stats'!$R45*1000*'C0-Ref Stats'!$AA45/0.005</f>
        <v>260296.01427711389</v>
      </c>
      <c r="T48" s="258">
        <f>('C1-Incomes'!V47-'C1-Incomes'!W47)/'C0-Ref Stats'!$R45*1000*'C0-Ref Stats'!$AA45/0.004</f>
        <v>480261.39383277181</v>
      </c>
      <c r="U48" s="258">
        <f>('C1-Incomes'!W47-'C1-Incomes'!X47)/'C0-Ref Stats'!$R45*1000*'C0-Ref Stats'!$AA45/0.0009</f>
        <v>1528850.3665797652</v>
      </c>
      <c r="V48" s="258"/>
      <c r="W48" s="258">
        <f>('C1-Incomes'!Z47-'C1-Incomes'!AA47)/'C0-Ref Stats'!$R45*1000*'C0-Ref Stats'!$AA45/0.9</f>
        <v>33395.040000518595</v>
      </c>
      <c r="X48" s="258">
        <f>('C1-Incomes'!AA47-'C1-Incomes'!AB47)/'C0-Ref Stats'!$R45*1000*'C0-Ref Stats'!$AA45/0.05</f>
        <v>73014.695711299108</v>
      </c>
      <c r="Y48" s="258">
        <f>('C1-Incomes'!AB47-'C1-Incomes'!AC47)/'C0-Ref Stats'!$R45*1000*'C0-Ref Stats'!$AA45/0.04</f>
        <v>107841.85247735743</v>
      </c>
      <c r="Z48" s="258">
        <f>('C1-Incomes'!AC47-'C1-Incomes'!AD47)/'C0-Ref Stats'!$R45*1000*'C0-Ref Stats'!$AA45/0.005</f>
        <v>192937.77326306462</v>
      </c>
      <c r="AA48" s="258">
        <f>('C1-Incomes'!AD47-'C1-Incomes'!AE47)/'C0-Ref Stats'!$R45*1000*'C0-Ref Stats'!$AA45/0.004</f>
        <v>333806.95149821468</v>
      </c>
      <c r="AB48" s="258">
        <f>('C1-Incomes'!AE47-'C1-Incomes'!AF47)/'C0-Ref Stats'!$R45*1000*'C0-Ref Stats'!$AA45/0.0009</f>
        <v>994461.87469685695</v>
      </c>
      <c r="AD48" s="258">
        <f>'C1-Incomes'!C47/'C0-Ref Stats'!$B45*1000*'C0-Ref Stats'!$AA45/0.1</f>
        <v>233726.00261617298</v>
      </c>
      <c r="AE48" s="258">
        <f>'C1-Incomes'!D47/'C0-Ref Stats'!$B45*1000*'C0-Ref Stats'!$AA45/0.05</f>
        <v>339025.07363093243</v>
      </c>
      <c r="AF48" s="258">
        <f>'C1-Incomes'!E47/'C0-Ref Stats'!$B45*1000*'C0-Ref Stats'!$AA45/0.01</f>
        <v>868477.952307901</v>
      </c>
      <c r="AG48" s="258">
        <f>'C1-Incomes'!F47/'C0-Ref Stats'!$B45*1000*'C0-Ref Stats'!$AA45/0.005</f>
        <v>1329204.8345192315</v>
      </c>
      <c r="AH48" s="258">
        <f>'C1-Incomes'!G47/'C0-Ref Stats'!$B45*1000*'C0-Ref Stats'!$AA45/0.001</f>
        <v>3627684.2092863168</v>
      </c>
      <c r="AI48" s="258">
        <f>'C1-Incomes'!H47/'C0-Ref Stats'!$B45*1000*'C0-Ref Stats'!$AA45/0.0001</f>
        <v>14475233.960896941</v>
      </c>
      <c r="AJ48" s="47"/>
      <c r="AK48" s="258">
        <f>'C1-Incomes'!K47/'C0-Ref Stats'!$R45*1000*'C0-Ref Stats'!$AA45/0.1</f>
        <v>153424.37022200818</v>
      </c>
      <c r="AL48" s="258">
        <f>'C1-Incomes'!L47/'C0-Ref Stats'!$R45*1000*'C0-Ref Stats'!$AA45/0.05</f>
        <v>219882.20377171581</v>
      </c>
      <c r="AM48" s="258">
        <f>'C1-Incomes'!M47/'C0-Ref Stats'!$R45*1000*'C0-Ref Stats'!$AA45/0.01</f>
        <v>550280.01480465184</v>
      </c>
      <c r="AN48" s="258">
        <f>'C1-Incomes'!N47/'C0-Ref Stats'!$R45*1000*'C0-Ref Stats'!$AA45/0.005</f>
        <v>842874.4732920744</v>
      </c>
      <c r="AO48" s="258">
        <f>'C1-Incomes'!O47/'C0-Ref Stats'!$R45*1000*'C0-Ref Stats'!$AA45/0.001</f>
        <v>2303875.8259770707</v>
      </c>
      <c r="AP48" s="258">
        <f>'C1-Incomes'!P47/'C0-Ref Stats'!$R45*1000*'C0-Ref Stats'!$AA45/0.0001</f>
        <v>9306608.3065656628</v>
      </c>
      <c r="AQ48" s="47"/>
      <c r="AR48" s="258">
        <f>'C1-Incomes'!S47/'C0-Ref Stats'!$R45*1000*'C0-Ref Stats'!$AA45/0.1</f>
        <v>155761.58933589418</v>
      </c>
      <c r="AS48" s="258">
        <f>'C1-Incomes'!T47/'C0-Ref Stats'!$R45*1000*'C0-Ref Stats'!$AA45/0.05</f>
        <v>222139.66266526323</v>
      </c>
      <c r="AT48" s="258">
        <f>'C1-Incomes'!U47/'C0-Ref Stats'!$R45*1000*'C0-Ref Stats'!$AA45/0.01</f>
        <v>552941.27362518315</v>
      </c>
      <c r="AU48" s="258">
        <f>'C1-Incomes'!V47/'C0-Ref Stats'!$R45*1000*'C0-Ref Stats'!$AA45/0.005</f>
        <v>845586.53297325235</v>
      </c>
      <c r="AV48" s="258">
        <f>'C1-Incomes'!W47/'C0-Ref Stats'!$R45*1000*'C0-Ref Stats'!$AA45/0.001</f>
        <v>2306887.0895351749</v>
      </c>
      <c r="AW48" s="258">
        <f>'C1-Incomes'!X47/'C0-Ref Stats'!$R45*1000*'C0-Ref Stats'!$AA45/0.0001</f>
        <v>9309217.5961338617</v>
      </c>
      <c r="AX48" s="258"/>
      <c r="AY48" s="258">
        <f>'C1-Incomes'!AA47/'C0-Ref Stats'!$R45*1000*'C0-Ref Stats'!$AA45/0.1</f>
        <v>117525.88947731329</v>
      </c>
      <c r="AZ48" s="258">
        <f>'C1-Incomes'!AB47/'C0-Ref Stats'!$R45*1000*'C0-Ref Stats'!$AA45/0.05</f>
        <v>162037.08324332745</v>
      </c>
      <c r="BA48" s="258">
        <f>'C1-Incomes'!AC47/'C0-Ref Stats'!$R45*1000*'C0-Ref Stats'!$AA45/0.01</f>
        <v>378818.00630720763</v>
      </c>
      <c r="BB48" s="258">
        <f>'C1-Incomes'!AD47/'C0-Ref Stats'!$R45*1000*'C0-Ref Stats'!$AA45/0.005</f>
        <v>564698.23935135058</v>
      </c>
      <c r="BC48" s="258">
        <f>'C1-Incomes'!AE47/'C0-Ref Stats'!$R45*1000*'C0-Ref Stats'!$AA45/0.001</f>
        <v>1488263.3907638944</v>
      </c>
      <c r="BD48" s="258">
        <f>'C1-Incomes'!AF47/'C0-Ref Stats'!$R45*1000*'C0-Ref Stats'!$AA45/0.0001</f>
        <v>5932477.035367229</v>
      </c>
      <c r="BF48" s="258">
        <v>111300</v>
      </c>
      <c r="BG48" s="258">
        <v>151900</v>
      </c>
      <c r="BH48" s="258">
        <v>340000</v>
      </c>
      <c r="BI48" s="258">
        <v>506000</v>
      </c>
      <c r="BJ48" s="258">
        <v>1367000</v>
      </c>
      <c r="BK48" s="258">
        <v>6210000</v>
      </c>
      <c r="BM48" s="258">
        <v>234500</v>
      </c>
      <c r="BN48" s="258">
        <v>573079.63715845183</v>
      </c>
      <c r="BO48" s="1254">
        <f t="shared" si="0"/>
        <v>1.6925992418447078</v>
      </c>
      <c r="BP48" s="1254">
        <f t="shared" si="4"/>
        <v>1.6433570189923641</v>
      </c>
      <c r="BQ48" s="480"/>
      <c r="BR48" s="258">
        <v>342200</v>
      </c>
      <c r="BS48" s="258">
        <v>813531.88916194474</v>
      </c>
      <c r="BT48" s="258">
        <v>517200</v>
      </c>
      <c r="BU48" s="258">
        <v>1210049.4283708862</v>
      </c>
      <c r="BV48" s="1254">
        <f t="shared" si="8"/>
        <v>1.7260276842469779</v>
      </c>
      <c r="BW48" s="1254">
        <f t="shared" si="11"/>
        <v>1.7464825383721612</v>
      </c>
      <c r="BY48" s="258">
        <v>345300</v>
      </c>
      <c r="BZ48" s="258">
        <v>824575.08321563608</v>
      </c>
      <c r="CA48" s="258">
        <v>519600</v>
      </c>
      <c r="CB48" s="258">
        <v>1227965.1371894933</v>
      </c>
      <c r="CC48" s="1254">
        <f t="shared" si="9"/>
        <v>1.7204630745317553</v>
      </c>
      <c r="CD48" s="1254">
        <f t="shared" si="12"/>
        <v>1.7335200064497285</v>
      </c>
      <c r="CF48" s="258">
        <v>238200</v>
      </c>
      <c r="CG48" s="258">
        <v>588333.15059459396</v>
      </c>
      <c r="CH48" s="258">
        <v>337600</v>
      </c>
      <c r="CI48" s="258">
        <v>851373.94194181752</v>
      </c>
      <c r="CJ48" s="1254">
        <f t="shared" si="10"/>
        <v>1.6803126170586538</v>
      </c>
      <c r="CK48" s="1254">
        <f t="shared" si="13"/>
        <v>1.6570983314646808</v>
      </c>
      <c r="CM48" s="1183">
        <v>0.58370997609999997</v>
      </c>
      <c r="CN48" s="1183">
        <v>0.54743453679999998</v>
      </c>
    </row>
    <row r="49" spans="1:92" s="256" customFormat="1" ht="9.75" customHeight="1" x14ac:dyDescent="0.25">
      <c r="A49" s="254">
        <v>2000</v>
      </c>
      <c r="B49" s="258">
        <f>('C1-Incomes'!B48-'C1-Incomes'!C48)/'C0-Ref Stats'!$B46*1000*'C0-Ref Stats'!$AA46/0.9</f>
        <v>35446.979593345117</v>
      </c>
      <c r="C49" s="258">
        <f>('C1-Incomes'!C48-'C1-Incomes'!D48)/'C0-Ref Stats'!$B46*1000*'C0-Ref Stats'!$AA46/0.05</f>
        <v>131826.87473190218</v>
      </c>
      <c r="D49" s="258">
        <f>('C1-Incomes'!D48-'C1-Incomes'!E48)/'C0-Ref Stats'!$B46*1000*'C0-Ref Stats'!$AA46/0.04</f>
        <v>214452.55381620294</v>
      </c>
      <c r="E49" s="258">
        <f>('C1-Incomes'!E48-'C1-Incomes'!F48)/'C0-Ref Stats'!$B46*1000*'C0-Ref Stats'!$AA46/0.005</f>
        <v>424294.04635688424</v>
      </c>
      <c r="F49" s="258">
        <f>('C1-Incomes'!F48-'C1-Incomes'!G48)/'C0-Ref Stats'!$B46*1000*'C0-Ref Stats'!$AA46/0.004</f>
        <v>801862.09340722277</v>
      </c>
      <c r="G49" s="258">
        <f>('C1-Incomes'!G48-'C1-Incomes'!H48)/'C0-Ref Stats'!$B46*1000*'C0-Ref Stats'!$AA46/0.0009</f>
        <v>2681287.0341468109</v>
      </c>
      <c r="H49" s="258"/>
      <c r="I49" s="258">
        <f>('C1-Incomes'!J48-'C1-Incomes'!K48)/'C0-Ref Stats'!$R46*1000*'C0-Ref Stats'!$AA46/0.9</f>
        <v>29439.034403637139</v>
      </c>
      <c r="J49" s="258">
        <f>('C1-Incomes'!K48-'C1-Incomes'!L48)/'C0-Ref Stats'!$R46*1000*'C0-Ref Stats'!$AA46/0.05</f>
        <v>88272.228240177763</v>
      </c>
      <c r="K49" s="258">
        <f>('C1-Incomes'!L48-'C1-Incomes'!M48)/'C0-Ref Stats'!$R46*1000*'C0-Ref Stats'!$AA46/0.04</f>
        <v>140104.70977490552</v>
      </c>
      <c r="L49" s="258">
        <f>('C1-Incomes'!M48-'C1-Incomes'!N48)/'C0-Ref Stats'!$R46*1000*'C0-Ref Stats'!$AA46/0.005</f>
        <v>266800.59824942664</v>
      </c>
      <c r="M49" s="258">
        <f>('C1-Incomes'!N48-'C1-Incomes'!O48)/'C0-Ref Stats'!$R46*1000*'C0-Ref Stats'!$AA46/0.004</f>
        <v>494800.53339190042</v>
      </c>
      <c r="N49" s="258">
        <f>('C1-Incomes'!O48-'C1-Incomes'!P48)/'C0-Ref Stats'!$R46*1000*'C0-Ref Stats'!$AA46/0.0009</f>
        <v>1610959.6688874573</v>
      </c>
      <c r="O49" s="47"/>
      <c r="P49" s="258">
        <f>('C1-Incomes'!R48-'C1-Incomes'!S48)/'C0-Ref Stats'!$R46*1000*'C0-Ref Stats'!$AA46/0.9</f>
        <v>34564.291233693155</v>
      </c>
      <c r="Q49" s="258">
        <f>('C1-Incomes'!S48-'C1-Incomes'!T48)/'C0-Ref Stats'!$R46*1000*'C0-Ref Stats'!$AA46/0.05</f>
        <v>90754.633643595473</v>
      </c>
      <c r="R49" s="258">
        <f>('C1-Incomes'!T48-'C1-Incomes'!U48)/'C0-Ref Stats'!$R46*1000*'C0-Ref Stats'!$AA46/0.04</f>
        <v>142521.85011444971</v>
      </c>
      <c r="S49" s="258">
        <f>('C1-Incomes'!U48-'C1-Incomes'!V48)/'C0-Ref Stats'!$R46*1000*'C0-Ref Stats'!$AA46/0.005</f>
        <v>269884.60338533175</v>
      </c>
      <c r="T49" s="258">
        <f>('C1-Incomes'!V48-'C1-Incomes'!W48)/'C0-Ref Stats'!$R46*1000*'C0-Ref Stats'!$AA46/0.004</f>
        <v>497795.33082318242</v>
      </c>
      <c r="U49" s="258">
        <f>('C1-Incomes'!W48-'C1-Incomes'!X48)/'C0-Ref Stats'!$R46*1000*'C0-Ref Stats'!$AA46/0.0009</f>
        <v>1614002.7774765193</v>
      </c>
      <c r="V49" s="258"/>
      <c r="W49" s="258">
        <f>('C1-Incomes'!Z48-'C1-Incomes'!AA48)/'C0-Ref Stats'!$R46*1000*'C0-Ref Stats'!$AA46/0.9</f>
        <v>33473.216804936688</v>
      </c>
      <c r="X49" s="258">
        <f>('C1-Incomes'!AA48-'C1-Incomes'!AB48)/'C0-Ref Stats'!$R46*1000*'C0-Ref Stats'!$AA46/0.05</f>
        <v>74577.127102285187</v>
      </c>
      <c r="Y49" s="258">
        <f>('C1-Incomes'!AB48-'C1-Incomes'!AC48)/'C0-Ref Stats'!$R46*1000*'C0-Ref Stats'!$AA46/0.04</f>
        <v>111067.10983042317</v>
      </c>
      <c r="Z49" s="258">
        <f>('C1-Incomes'!AC48-'C1-Incomes'!AD48)/'C0-Ref Stats'!$R46*1000*'C0-Ref Stats'!$AA46/0.005</f>
        <v>200765.10282488284</v>
      </c>
      <c r="AA49" s="258">
        <f>('C1-Incomes'!AD48-'C1-Incomes'!AE48)/'C0-Ref Stats'!$R46*1000*'C0-Ref Stats'!$AA46/0.004</f>
        <v>347420.65561916633</v>
      </c>
      <c r="AB49" s="258">
        <f>('C1-Incomes'!AE48-'C1-Incomes'!AF48)/'C0-Ref Stats'!$R46*1000*'C0-Ref Stats'!$AA46/0.0009</f>
        <v>1057363.6435184842</v>
      </c>
      <c r="AD49" s="258">
        <f>'C1-Incomes'!C48/'C0-Ref Stats'!$B46*1000*'C0-Ref Stats'!$AA46/0.1</f>
        <v>245904.67169665155</v>
      </c>
      <c r="AE49" s="258">
        <f>'C1-Incomes'!D48/'C0-Ref Stats'!$B46*1000*'C0-Ref Stats'!$AA46/0.05</f>
        <v>359982.46866140096</v>
      </c>
      <c r="AF49" s="258">
        <f>'C1-Incomes'!E48/'C0-Ref Stats'!$B46*1000*'C0-Ref Stats'!$AA46/0.01</f>
        <v>942102.12804219313</v>
      </c>
      <c r="AG49" s="258">
        <f>'C1-Incomes'!F48/'C0-Ref Stats'!$B46*1000*'C0-Ref Stats'!$AA46/0.005</f>
        <v>1459910.2097275022</v>
      </c>
      <c r="AH49" s="258">
        <f>'C1-Incomes'!G48/'C0-Ref Stats'!$B46*1000*'C0-Ref Stats'!$AA46/0.001</f>
        <v>4092102.6750086206</v>
      </c>
      <c r="AI49" s="258">
        <f>'C1-Incomes'!H48/'C0-Ref Stats'!$B46*1000*'C0-Ref Stats'!$AA46/0.0001</f>
        <v>16789443.442764901</v>
      </c>
      <c r="AJ49" s="47"/>
      <c r="AK49" s="258">
        <f>'C1-Incomes'!K48/'C0-Ref Stats'!$R46*1000*'C0-Ref Stats'!$AA46/0.1</f>
        <v>157995.59483847785</v>
      </c>
      <c r="AL49" s="258">
        <f>'C1-Incomes'!L48/'C0-Ref Stats'!$R46*1000*'C0-Ref Stats'!$AA46/0.05</f>
        <v>227718.96143677799</v>
      </c>
      <c r="AM49" s="258">
        <f>'C1-Incomes'!M48/'C0-Ref Stats'!$R46*1000*'C0-Ref Stats'!$AA46/0.01</f>
        <v>578175.96808426769</v>
      </c>
      <c r="AN49" s="258">
        <f>'C1-Incomes'!N48/'C0-Ref Stats'!$R46*1000*'C0-Ref Stats'!$AA46/0.005</f>
        <v>889551.33791910869</v>
      </c>
      <c r="AO49" s="258">
        <f>'C1-Incomes'!O48/'C0-Ref Stats'!$R46*1000*'C0-Ref Stats'!$AA46/0.001</f>
        <v>2468554.5560279414</v>
      </c>
      <c r="AP49" s="258">
        <f>'C1-Incomes'!P48/'C0-Ref Stats'!$R46*1000*'C0-Ref Stats'!$AA46/0.0001</f>
        <v>10186908.540292298</v>
      </c>
      <c r="AQ49" s="47"/>
      <c r="AR49" s="258">
        <f>'C1-Incomes'!S48/'C0-Ref Stats'!$R46*1000*'C0-Ref Stats'!$AA46/0.1</f>
        <v>160507.83329486605</v>
      </c>
      <c r="AS49" s="258">
        <f>'C1-Incomes'!T48/'C0-Ref Stats'!$R46*1000*'C0-Ref Stats'!$AA46/0.05</f>
        <v>230261.03294613661</v>
      </c>
      <c r="AT49" s="258">
        <f>'C1-Incomes'!U48/'C0-Ref Stats'!$R46*1000*'C0-Ref Stats'!$AA46/0.01</f>
        <v>581217.76427288435</v>
      </c>
      <c r="AU49" s="258">
        <f>'C1-Incomes'!V48/'C0-Ref Stats'!$R46*1000*'C0-Ref Stats'!$AA46/0.005</f>
        <v>892550.92516043677</v>
      </c>
      <c r="AV49" s="258">
        <f>'C1-Incomes'!W48/'C0-Ref Stats'!$R46*1000*'C0-Ref Stats'!$AA46/0.001</f>
        <v>2471573.3025094545</v>
      </c>
      <c r="AW49" s="258">
        <f>'C1-Incomes'!X48/'C0-Ref Stats'!$R46*1000*'C0-Ref Stats'!$AA46/0.0001</f>
        <v>10189708.02780587</v>
      </c>
      <c r="AX49" s="258"/>
      <c r="AY49" s="258">
        <f>'C1-Incomes'!AA48/'C0-Ref Stats'!$R46*1000*'C0-Ref Stats'!$AA46/0.1</f>
        <v>121687.95243853623</v>
      </c>
      <c r="AZ49" s="258">
        <f>'C1-Incomes'!AB48/'C0-Ref Stats'!$R46*1000*'C0-Ref Stats'!$AA46/0.05</f>
        <v>168798.77777478733</v>
      </c>
      <c r="BA49" s="258">
        <f>'C1-Incomes'!AC48/'C0-Ref Stats'!$R46*1000*'C0-Ref Stats'!$AA46/0.01</f>
        <v>399725.44955224398</v>
      </c>
      <c r="BB49" s="258">
        <f>'C1-Incomes'!AD48/'C0-Ref Stats'!$R46*1000*'C0-Ref Stats'!$AA46/0.005</f>
        <v>598685.79627960501</v>
      </c>
      <c r="BC49" s="258">
        <f>'C1-Incomes'!AE48/'C0-Ref Stats'!$R46*1000*'C0-Ref Stats'!$AA46/0.001</f>
        <v>1603746.3589213605</v>
      </c>
      <c r="BD49" s="258">
        <f>'C1-Incomes'!AF48/'C0-Ref Stats'!$R46*1000*'C0-Ref Stats'!$AA46/0.0001</f>
        <v>6521190.7975472473</v>
      </c>
      <c r="BF49" s="258">
        <v>114100</v>
      </c>
      <c r="BG49" s="258">
        <v>156300</v>
      </c>
      <c r="BH49" s="258">
        <v>353700</v>
      </c>
      <c r="BI49" s="258">
        <v>529000</v>
      </c>
      <c r="BJ49" s="258">
        <v>1475000</v>
      </c>
      <c r="BK49" s="258">
        <v>7060000</v>
      </c>
      <c r="BM49" s="258">
        <v>244500</v>
      </c>
      <c r="BN49" s="258">
        <v>615706.9758659302</v>
      </c>
      <c r="BO49" s="1254">
        <f t="shared" si="0"/>
        <v>1.6586621908967214</v>
      </c>
      <c r="BP49" s="1254">
        <f t="shared" si="4"/>
        <v>1.601119511883609</v>
      </c>
      <c r="BQ49" s="480"/>
      <c r="BR49" s="258">
        <v>350800</v>
      </c>
      <c r="BS49" s="258">
        <v>861292.71886694559</v>
      </c>
      <c r="BT49" s="258">
        <v>537200</v>
      </c>
      <c r="BU49" s="258">
        <v>1292759.9770998913</v>
      </c>
      <c r="BV49" s="1254">
        <f t="shared" si="8"/>
        <v>1.6871792427884407</v>
      </c>
      <c r="BW49" s="1254">
        <f t="shared" si="11"/>
        <v>1.7109958392210838</v>
      </c>
      <c r="BY49" s="258">
        <v>353700</v>
      </c>
      <c r="BZ49" s="258">
        <v>873255.26061965944</v>
      </c>
      <c r="CA49" s="258">
        <v>539700</v>
      </c>
      <c r="CB49" s="258">
        <v>1312886.2853364088</v>
      </c>
      <c r="CC49" s="1254">
        <f t="shared" si="9"/>
        <v>1.6807745524088267</v>
      </c>
      <c r="CD49" s="1254">
        <f t="shared" si="12"/>
        <v>1.6980206584564286</v>
      </c>
      <c r="CF49" s="258">
        <v>244400</v>
      </c>
      <c r="CG49" s="258">
        <v>627311.01975882286</v>
      </c>
      <c r="CH49" s="258">
        <v>351000</v>
      </c>
      <c r="CI49" s="258">
        <v>916055.48042562522</v>
      </c>
      <c r="CJ49" s="1254">
        <f t="shared" si="10"/>
        <v>1.6382683897526265</v>
      </c>
      <c r="CK49" s="1254">
        <f t="shared" si="13"/>
        <v>1.6211779412096152</v>
      </c>
      <c r="CM49" s="1183">
        <v>0.59124460629999998</v>
      </c>
      <c r="CN49" s="1183">
        <v>0.55372794380000001</v>
      </c>
    </row>
    <row r="50" spans="1:92" s="256" customFormat="1" ht="9.75" customHeight="1" x14ac:dyDescent="0.25">
      <c r="A50" s="254">
        <v>2001</v>
      </c>
      <c r="B50" s="258">
        <f>('C1-Incomes'!B49-'C1-Incomes'!C49)/'C0-Ref Stats'!$B47*1000*'C0-Ref Stats'!$AA47/0.9</f>
        <v>34980.177474711396</v>
      </c>
      <c r="C50" s="258">
        <f>('C1-Incomes'!C49-'C1-Incomes'!D49)/'C0-Ref Stats'!$B47*1000*'C0-Ref Stats'!$AA47/0.05</f>
        <v>131502.4993380635</v>
      </c>
      <c r="D50" s="258">
        <f>('C1-Incomes'!D49-'C1-Incomes'!E49)/'C0-Ref Stats'!$B47*1000*'C0-Ref Stats'!$AA47/0.04</f>
        <v>210096.61496173227</v>
      </c>
      <c r="E50" s="258">
        <f>('C1-Incomes'!E49-'C1-Incomes'!F49)/'C0-Ref Stats'!$B47*1000*'C0-Ref Stats'!$AA47/0.005</f>
        <v>411272.91972478252</v>
      </c>
      <c r="F50" s="258">
        <f>('C1-Incomes'!F49-'C1-Incomes'!G49)/'C0-Ref Stats'!$B47*1000*'C0-Ref Stats'!$AA47/0.004</f>
        <v>761022.00080963701</v>
      </c>
      <c r="G50" s="258">
        <f>('C1-Incomes'!G49-'C1-Incomes'!H49)/'C0-Ref Stats'!$B47*1000*'C0-Ref Stats'!$AA47/0.0009</f>
        <v>2377099.8897286477</v>
      </c>
      <c r="H50" s="258"/>
      <c r="I50" s="258">
        <f>('C1-Incomes'!J49-'C1-Incomes'!K49)/'C0-Ref Stats'!$R47*1000*'C0-Ref Stats'!$AA47/0.9</f>
        <v>29658.626359895501</v>
      </c>
      <c r="J50" s="258">
        <f>('C1-Incomes'!K49-'C1-Incomes'!L49)/'C0-Ref Stats'!$R47*1000*'C0-Ref Stats'!$AA47/0.05</f>
        <v>89453.034625600601</v>
      </c>
      <c r="K50" s="258">
        <f>('C1-Incomes'!L49-'C1-Incomes'!M49)/'C0-Ref Stats'!$R47*1000*'C0-Ref Stats'!$AA47/0.04</f>
        <v>138950.0062731223</v>
      </c>
      <c r="L50" s="258">
        <f>('C1-Incomes'!M49-'C1-Incomes'!N49)/'C0-Ref Stats'!$R47*1000*'C0-Ref Stats'!$AA47/0.005</f>
        <v>257962.0636331717</v>
      </c>
      <c r="M50" s="258">
        <f>('C1-Incomes'!N49-'C1-Incomes'!O49)/'C0-Ref Stats'!$R47*1000*'C0-Ref Stats'!$AA47/0.004</f>
        <v>474494.75569837954</v>
      </c>
      <c r="N50" s="258">
        <f>('C1-Incomes'!O49-'C1-Incomes'!P49)/'C0-Ref Stats'!$R47*1000*'C0-Ref Stats'!$AA47/0.0009</f>
        <v>1448628.0270227634</v>
      </c>
      <c r="O50" s="47"/>
      <c r="P50" s="258">
        <f>('C1-Incomes'!R49-'C1-Incomes'!S49)/'C0-Ref Stats'!$R47*1000*'C0-Ref Stats'!$AA47/0.9</f>
        <v>35084.649746382238</v>
      </c>
      <c r="Q50" s="258">
        <f>('C1-Incomes'!S49-'C1-Incomes'!T49)/'C0-Ref Stats'!$R47*1000*'C0-Ref Stats'!$AA47/0.05</f>
        <v>92031.800329709993</v>
      </c>
      <c r="R50" s="258">
        <f>('C1-Incomes'!T49-'C1-Incomes'!U49)/'C0-Ref Stats'!$R47*1000*'C0-Ref Stats'!$AA47/0.04</f>
        <v>141524.84980123266</v>
      </c>
      <c r="S50" s="258">
        <f>('C1-Incomes'!U49-'C1-Incomes'!V49)/'C0-Ref Stats'!$R47*1000*'C0-Ref Stats'!$AA47/0.005</f>
        <v>260576.09782046761</v>
      </c>
      <c r="T50" s="258">
        <f>('C1-Incomes'!V49-'C1-Incomes'!W49)/'C0-Ref Stats'!$R47*1000*'C0-Ref Stats'!$AA47/0.004</f>
        <v>477584.87907759094</v>
      </c>
      <c r="U50" s="258">
        <f>('C1-Incomes'!W49-'C1-Incomes'!X49)/'C0-Ref Stats'!$R47*1000*'C0-Ref Stats'!$AA47/0.0009</f>
        <v>1452291.0205811486</v>
      </c>
      <c r="V50" s="258"/>
      <c r="W50" s="258">
        <f>('C1-Incomes'!Z49-'C1-Incomes'!AA49)/'C0-Ref Stats'!$R47*1000*'C0-Ref Stats'!$AA47/0.9</f>
        <v>33782.127423143029</v>
      </c>
      <c r="X50" s="258">
        <f>('C1-Incomes'!AA49-'C1-Incomes'!AB49)/'C0-Ref Stats'!$R47*1000*'C0-Ref Stats'!$AA47/0.05</f>
        <v>73985.691310827897</v>
      </c>
      <c r="Y50" s="258">
        <f>('C1-Incomes'!AB49-'C1-Incomes'!AC49)/'C0-Ref Stats'!$R47*1000*'C0-Ref Stats'!$AA47/0.04</f>
        <v>108748.92271425715</v>
      </c>
      <c r="Z50" s="258">
        <f>('C1-Incomes'!AC49-'C1-Incomes'!AD49)/'C0-Ref Stats'!$R47*1000*'C0-Ref Stats'!$AA47/0.005</f>
        <v>190148.21142558788</v>
      </c>
      <c r="AA50" s="258">
        <f>('C1-Incomes'!AD49-'C1-Incomes'!AE49)/'C0-Ref Stats'!$R47*1000*'C0-Ref Stats'!$AA47/0.004</f>
        <v>327970.29518463631</v>
      </c>
      <c r="AB50" s="258">
        <f>('C1-Incomes'!AE49-'C1-Incomes'!AF49)/'C0-Ref Stats'!$R47*1000*'C0-Ref Stats'!$AA47/0.0009</f>
        <v>924923.22144643194</v>
      </c>
      <c r="AD50" s="258">
        <f>'C1-Incomes'!C49/'C0-Ref Stats'!$B47*1000*'C0-Ref Stats'!$AA47/0.1</f>
        <v>235847.85801001132</v>
      </c>
      <c r="AE50" s="258">
        <f>'C1-Incomes'!D49/'C0-Ref Stats'!$B47*1000*'C0-Ref Stats'!$AA47/0.05</f>
        <v>340193.21668195917</v>
      </c>
      <c r="AF50" s="258">
        <f>'C1-Incomes'!E49/'C0-Ref Stats'!$B47*1000*'C0-Ref Stats'!$AA47/0.01</f>
        <v>860579.62356286694</v>
      </c>
      <c r="AG50" s="258">
        <f>'C1-Incomes'!F49/'C0-Ref Stats'!$B47*1000*'C0-Ref Stats'!$AA47/0.005</f>
        <v>1309886.3274009512</v>
      </c>
      <c r="AH50" s="258">
        <f>'C1-Incomes'!G49/'C0-Ref Stats'!$B47*1000*'C0-Ref Stats'!$AA47/0.001</f>
        <v>3505343.6337662088</v>
      </c>
      <c r="AI50" s="258">
        <f>'C1-Incomes'!H49/'C0-Ref Stats'!$B47*1000*'C0-Ref Stats'!$AA47/0.0001</f>
        <v>13659537.330104252</v>
      </c>
      <c r="AJ50" s="47"/>
      <c r="AK50" s="258">
        <f>'C1-Incomes'!K49/'C0-Ref Stats'!$R47*1000*'C0-Ref Stats'!$AA47/0.1</f>
        <v>153794.75323148994</v>
      </c>
      <c r="AL50" s="258">
        <f>'C1-Incomes'!L49/'C0-Ref Stats'!$R47*1000*'C0-Ref Stats'!$AA47/0.05</f>
        <v>218136.47183737924</v>
      </c>
      <c r="AM50" s="258">
        <f>'C1-Incomes'!M49/'C0-Ref Stats'!$R47*1000*'C0-Ref Stats'!$AA47/0.01</f>
        <v>534882.33409440704</v>
      </c>
      <c r="AN50" s="258">
        <f>'C1-Incomes'!N49/'C0-Ref Stats'!$R47*1000*'C0-Ref Stats'!$AA47/0.005</f>
        <v>811802.60455564223</v>
      </c>
      <c r="AO50" s="258">
        <f>'C1-Incomes'!O49/'C0-Ref Stats'!$R47*1000*'C0-Ref Stats'!$AA47/0.001</f>
        <v>2161033.9999846937</v>
      </c>
      <c r="AP50" s="258">
        <f>'C1-Incomes'!P49/'C0-Ref Stats'!$R47*1000*'C0-Ref Stats'!$AA47/0.0001</f>
        <v>8572687.7566420659</v>
      </c>
      <c r="AQ50" s="47"/>
      <c r="AR50" s="258">
        <f>'C1-Incomes'!S49/'C0-Ref Stats'!$R47*1000*'C0-Ref Stats'!$AA47/0.1</f>
        <v>156405.06366679759</v>
      </c>
      <c r="AS50" s="258">
        <f>'C1-Incomes'!T49/'C0-Ref Stats'!$R47*1000*'C0-Ref Stats'!$AA47/0.05</f>
        <v>220778.32700388515</v>
      </c>
      <c r="AT50" s="258">
        <f>'C1-Incomes'!U49/'C0-Ref Stats'!$R47*1000*'C0-Ref Stats'!$AA47/0.01</f>
        <v>537792.23581449524</v>
      </c>
      <c r="AU50" s="258">
        <f>'C1-Incomes'!V49/'C0-Ref Stats'!$R47*1000*'C0-Ref Stats'!$AA47/0.005</f>
        <v>815008.37380852294</v>
      </c>
      <c r="AV50" s="258">
        <f>'C1-Incomes'!W49/'C0-Ref Stats'!$R47*1000*'C0-Ref Stats'!$AA47/0.001</f>
        <v>2164702.3527322509</v>
      </c>
      <c r="AW50" s="258">
        <f>'C1-Incomes'!X49/'C0-Ref Stats'!$R47*1000*'C0-Ref Stats'!$AA47/0.0001</f>
        <v>8576404.3420921694</v>
      </c>
      <c r="AX50" s="258"/>
      <c r="AY50" s="258">
        <f>'C1-Incomes'!AA49/'C0-Ref Stats'!$R47*1000*'C0-Ref Stats'!$AA47/0.1</f>
        <v>116683.27257577359</v>
      </c>
      <c r="AZ50" s="258">
        <f>'C1-Incomes'!AB49/'C0-Ref Stats'!$R47*1000*'C0-Ref Stats'!$AA47/0.05</f>
        <v>159380.8538407193</v>
      </c>
      <c r="BA50" s="258">
        <f>'C1-Incomes'!AC49/'C0-Ref Stats'!$R47*1000*'C0-Ref Stats'!$AA47/0.01</f>
        <v>361908.57834656787</v>
      </c>
      <c r="BB50" s="258">
        <f>'C1-Incomes'!AD49/'C0-Ref Stats'!$R47*1000*'C0-Ref Stats'!$AA47/0.005</f>
        <v>533668.94526754785</v>
      </c>
      <c r="BC50" s="258">
        <f>'C1-Incomes'!AE49/'C0-Ref Stats'!$R47*1000*'C0-Ref Stats'!$AA47/0.001</f>
        <v>1356463.5455991945</v>
      </c>
      <c r="BD50" s="258">
        <f>'C1-Incomes'!AF49/'C0-Ref Stats'!$R47*1000*'C0-Ref Stats'!$AA47/0.0001</f>
        <v>5240326.4629740585</v>
      </c>
      <c r="BF50" s="258">
        <v>113400</v>
      </c>
      <c r="BG50" s="258">
        <v>155600</v>
      </c>
      <c r="BH50" s="258">
        <v>344200</v>
      </c>
      <c r="BI50" s="258">
        <v>507000</v>
      </c>
      <c r="BJ50" s="258">
        <v>1371000</v>
      </c>
      <c r="BK50" s="258">
        <v>5930000</v>
      </c>
      <c r="BM50" s="258">
        <v>238700</v>
      </c>
      <c r="BN50" s="258">
        <v>570847.33421901485</v>
      </c>
      <c r="BO50" s="1254">
        <f t="shared" si="0"/>
        <v>1.7186569796239985</v>
      </c>
      <c r="BP50" s="1254">
        <f t="shared" si="4"/>
        <v>1.66656386947479</v>
      </c>
      <c r="BQ50" s="480"/>
      <c r="BR50" s="258">
        <v>346900</v>
      </c>
      <c r="BS50" s="258">
        <v>814900.90660229116</v>
      </c>
      <c r="BT50" s="258">
        <v>521700</v>
      </c>
      <c r="BU50" s="258">
        <v>1206397.7929496842</v>
      </c>
      <c r="BV50" s="1254">
        <f t="shared" si="8"/>
        <v>1.7412378803248707</v>
      </c>
      <c r="BW50" s="1254">
        <f t="shared" si="11"/>
        <v>1.7619419915938559</v>
      </c>
      <c r="BY50" s="258">
        <v>350300</v>
      </c>
      <c r="BZ50" s="258">
        <v>826165.7603682077</v>
      </c>
      <c r="CA50" s="258">
        <v>525000</v>
      </c>
      <c r="CB50" s="258">
        <v>1224729.168263441</v>
      </c>
      <c r="CC50" s="1254">
        <f t="shared" si="9"/>
        <v>1.7361319707661895</v>
      </c>
      <c r="CD50" s="1254">
        <f t="shared" si="12"/>
        <v>1.7502902891742007</v>
      </c>
      <c r="CF50" s="258">
        <v>249200</v>
      </c>
      <c r="CG50" s="258">
        <v>581910.18449669587</v>
      </c>
      <c r="CH50" s="258">
        <v>347500</v>
      </c>
      <c r="CI50" s="258">
        <v>832781.40696437145</v>
      </c>
      <c r="CJ50" s="1254">
        <f t="shared" si="10"/>
        <v>1.7490002158394247</v>
      </c>
      <c r="CK50" s="1254">
        <f t="shared" si="13"/>
        <v>1.7160793614034193</v>
      </c>
      <c r="CM50" s="1183">
        <v>0.58861304349999999</v>
      </c>
      <c r="CN50" s="1183">
        <v>0.55094546</v>
      </c>
    </row>
    <row r="51" spans="1:92" s="256" customFormat="1" ht="9.75" customHeight="1" x14ac:dyDescent="0.25">
      <c r="A51" s="254">
        <v>2002</v>
      </c>
      <c r="B51" s="258">
        <f>('C1-Incomes'!B50-'C1-Incomes'!C50)/'C0-Ref Stats'!$B48*1000*'C0-Ref Stats'!$AA48/0.9</f>
        <v>33897.169575206186</v>
      </c>
      <c r="C51" s="258">
        <f>('C1-Incomes'!C50-'C1-Incomes'!D50)/'C0-Ref Stats'!$B48*1000*'C0-Ref Stats'!$AA48/0.05</f>
        <v>128488.0110759097</v>
      </c>
      <c r="D51" s="258">
        <f>('C1-Incomes'!D50-'C1-Incomes'!E50)/'C0-Ref Stats'!$B48*1000*'C0-Ref Stats'!$AA48/0.04</f>
        <v>203932.11123382597</v>
      </c>
      <c r="E51" s="258">
        <f>('C1-Incomes'!E50-'C1-Incomes'!F50)/'C0-Ref Stats'!$B48*1000*'C0-Ref Stats'!$AA48/0.005</f>
        <v>393293.63744856766</v>
      </c>
      <c r="F51" s="258">
        <f>('C1-Incomes'!F50-'C1-Incomes'!G50)/'C0-Ref Stats'!$B48*1000*'C0-Ref Stats'!$AA48/0.004</f>
        <v>716668.27660163329</v>
      </c>
      <c r="G51" s="258">
        <f>('C1-Incomes'!G50-'C1-Incomes'!H50)/'C0-Ref Stats'!$B48*1000*'C0-Ref Stats'!$AA48/0.0009</f>
        <v>2147910.4358563893</v>
      </c>
      <c r="H51" s="258"/>
      <c r="I51" s="258">
        <f>('C1-Incomes'!J50-'C1-Incomes'!K50)/'C0-Ref Stats'!$R48*1000*'C0-Ref Stats'!$AA48/0.9</f>
        <v>29732.138053713148</v>
      </c>
      <c r="J51" s="258">
        <f>('C1-Incomes'!K50-'C1-Incomes'!L50)/'C0-Ref Stats'!$R48*1000*'C0-Ref Stats'!$AA48/0.05</f>
        <v>89408.792873602026</v>
      </c>
      <c r="K51" s="258">
        <f>('C1-Incomes'!L50-'C1-Incomes'!M50)/'C0-Ref Stats'!$R48*1000*'C0-Ref Stats'!$AA48/0.04</f>
        <v>139356.80424843656</v>
      </c>
      <c r="L51" s="258">
        <f>('C1-Incomes'!M50-'C1-Incomes'!N50)/'C0-Ref Stats'!$R48*1000*'C0-Ref Stats'!$AA48/0.005</f>
        <v>253899.42081460991</v>
      </c>
      <c r="M51" s="258">
        <f>('C1-Incomes'!N50-'C1-Incomes'!O50)/'C0-Ref Stats'!$R48*1000*'C0-Ref Stats'!$AA48/0.004</f>
        <v>449795.98424902337</v>
      </c>
      <c r="N51" s="258">
        <f>('C1-Incomes'!O50-'C1-Incomes'!P50)/'C0-Ref Stats'!$R48*1000*'C0-Ref Stats'!$AA48/0.0009</f>
        <v>1334105.5953599592</v>
      </c>
      <c r="O51" s="47"/>
      <c r="P51" s="258">
        <f>('C1-Incomes'!R50-'C1-Incomes'!S50)/'C0-Ref Stats'!$R48*1000*'C0-Ref Stats'!$AA48/0.9</f>
        <v>35463.640408135776</v>
      </c>
      <c r="Q51" s="258">
        <f>('C1-Incomes'!S50-'C1-Incomes'!T50)/'C0-Ref Stats'!$R48*1000*'C0-Ref Stats'!$AA48/0.05</f>
        <v>92328.960534270329</v>
      </c>
      <c r="R51" s="258">
        <f>('C1-Incomes'!T50-'C1-Incomes'!U50)/'C0-Ref Stats'!$R48*1000*'C0-Ref Stats'!$AA48/0.04</f>
        <v>141863.34520788424</v>
      </c>
      <c r="S51" s="258">
        <f>('C1-Incomes'!U50-'C1-Incomes'!V50)/'C0-Ref Stats'!$R48*1000*'C0-Ref Stats'!$AA48/0.005</f>
        <v>256456.27919501439</v>
      </c>
      <c r="T51" s="258">
        <f>('C1-Incomes'!V50-'C1-Incomes'!W50)/'C0-Ref Stats'!$R48*1000*'C0-Ref Stats'!$AA48/0.004</f>
        <v>453837.47718383127</v>
      </c>
      <c r="U51" s="258">
        <f>('C1-Incomes'!W50-'C1-Incomes'!X50)/'C0-Ref Stats'!$R48*1000*'C0-Ref Stats'!$AA48/0.0009</f>
        <v>1335412.3089935097</v>
      </c>
      <c r="V51" s="258"/>
      <c r="W51" s="258">
        <f>('C1-Incomes'!Z50-'C1-Incomes'!AA50)/'C0-Ref Stats'!$R48*1000*'C0-Ref Stats'!$AA48/0.9</f>
        <v>33980.707461831233</v>
      </c>
      <c r="X51" s="258">
        <f>('C1-Incomes'!AA50-'C1-Incomes'!AB50)/'C0-Ref Stats'!$R48*1000*'C0-Ref Stats'!$AA48/0.05</f>
        <v>72873.336903828967</v>
      </c>
      <c r="Y51" s="258">
        <f>('C1-Incomes'!AB50-'C1-Incomes'!AC50)/'C0-Ref Stats'!$R48*1000*'C0-Ref Stats'!$AA48/0.04</f>
        <v>106618.02075567005</v>
      </c>
      <c r="Z51" s="258">
        <f>('C1-Incomes'!AC50-'C1-Incomes'!AD50)/'C0-Ref Stats'!$R48*1000*'C0-Ref Stats'!$AA48/0.005</f>
        <v>182596.02196869094</v>
      </c>
      <c r="AA51" s="258">
        <f>('C1-Incomes'!AD50-'C1-Incomes'!AE50)/'C0-Ref Stats'!$R48*1000*'C0-Ref Stats'!$AA48/0.004</f>
        <v>307644.88004873169</v>
      </c>
      <c r="AB51" s="258">
        <f>('C1-Incomes'!AE50-'C1-Incomes'!AF50)/'C0-Ref Stats'!$R48*1000*'C0-Ref Stats'!$AA48/0.0009</f>
        <v>840270.76423096936</v>
      </c>
      <c r="AD51" s="258">
        <f>'C1-Incomes'!C50/'C0-Ref Stats'!$B48*1000*'C0-Ref Stats'!$AA48/0.1</f>
        <v>225541.97490089244</v>
      </c>
      <c r="AE51" s="258">
        <f>'C1-Incomes'!D50/'C0-Ref Stats'!$B48*1000*'C0-Ref Stats'!$AA48/0.05</f>
        <v>322595.93872587522</v>
      </c>
      <c r="AF51" s="258">
        <f>'C1-Incomes'!E50/'C0-Ref Stats'!$B48*1000*'C0-Ref Stats'!$AA48/0.01</f>
        <v>797251.24869407224</v>
      </c>
      <c r="AG51" s="258">
        <f>'C1-Incomes'!F50/'C0-Ref Stats'!$B48*1000*'C0-Ref Stats'!$AA48/0.005</f>
        <v>1201208.8599395768</v>
      </c>
      <c r="AH51" s="258">
        <f>'C1-Incomes'!G50/'C0-Ref Stats'!$B48*1000*'C0-Ref Stats'!$AA48/0.001</f>
        <v>3139371.1932913507</v>
      </c>
      <c r="AI51" s="258">
        <f>'C1-Incomes'!H50/'C0-Ref Stats'!$B48*1000*'C0-Ref Stats'!$AA48/0.0001</f>
        <v>12062518.010206001</v>
      </c>
      <c r="AJ51" s="47"/>
      <c r="AK51" s="258">
        <f>'C1-Incomes'!K50/'C0-Ref Stats'!$R48*1000*'C0-Ref Stats'!$AA48/0.1</f>
        <v>150958.25733154686</v>
      </c>
      <c r="AL51" s="258">
        <f>'C1-Incomes'!L50/'C0-Ref Stats'!$R48*1000*'C0-Ref Stats'!$AA48/0.05</f>
        <v>212507.72178949171</v>
      </c>
      <c r="AM51" s="258">
        <f>'C1-Incomes'!M50/'C0-Ref Stats'!$R48*1000*'C0-Ref Stats'!$AA48/0.01</f>
        <v>505111.39195371233</v>
      </c>
      <c r="AN51" s="258">
        <f>'C1-Incomes'!N50/'C0-Ref Stats'!$R48*1000*'C0-Ref Stats'!$AA48/0.005</f>
        <v>756323.3630928148</v>
      </c>
      <c r="AO51" s="258">
        <f>'C1-Incomes'!O50/'C0-Ref Stats'!$R48*1000*'C0-Ref Stats'!$AA48/0.001</f>
        <v>1982432.8784679808</v>
      </c>
      <c r="AP51" s="258">
        <f>'C1-Incomes'!P50/'C0-Ref Stats'!$R48*1000*'C0-Ref Stats'!$AA48/0.0001</f>
        <v>7817378.4264401728</v>
      </c>
      <c r="AQ51" s="47"/>
      <c r="AR51" s="258">
        <f>'C1-Incomes'!S50/'C0-Ref Stats'!$R48*1000*'C0-Ref Stats'!$AA48/0.1</f>
        <v>153725.24233473864</v>
      </c>
      <c r="AS51" s="258">
        <f>'C1-Incomes'!T50/'C0-Ref Stats'!$R48*1000*'C0-Ref Stats'!$AA48/0.05</f>
        <v>215121.52413520691</v>
      </c>
      <c r="AT51" s="258">
        <f>'C1-Incomes'!U50/'C0-Ref Stats'!$R48*1000*'C0-Ref Stats'!$AA48/0.01</f>
        <v>508154.23984449753</v>
      </c>
      <c r="AU51" s="258">
        <f>'C1-Incomes'!V50/'C0-Ref Stats'!$R48*1000*'C0-Ref Stats'!$AA48/0.005</f>
        <v>759852.20049398055</v>
      </c>
      <c r="AV51" s="258">
        <f>'C1-Incomes'!W50/'C0-Ref Stats'!$R48*1000*'C0-Ref Stats'!$AA48/0.001</f>
        <v>1983911.093734578</v>
      </c>
      <c r="AW51" s="258">
        <f>'C1-Incomes'!X50/'C0-Ref Stats'!$R48*1000*'C0-Ref Stats'!$AA48/0.0001</f>
        <v>7820400.1564041944</v>
      </c>
      <c r="AX51" s="258"/>
      <c r="AY51" s="258">
        <f>'C1-Incomes'!AA50/'C0-Ref Stats'!$R48*1000*'C0-Ref Stats'!$AA48/0.1</f>
        <v>112721.17186173813</v>
      </c>
      <c r="AZ51" s="258">
        <f>'C1-Incomes'!AB50/'C0-Ref Stats'!$R48*1000*'C0-Ref Stats'!$AA48/0.05</f>
        <v>152569.00681964727</v>
      </c>
      <c r="BA51" s="258">
        <f>'C1-Incomes'!AC50/'C0-Ref Stats'!$R48*1000*'C0-Ref Stats'!$AA48/0.01</f>
        <v>336372.95107555628</v>
      </c>
      <c r="BB51" s="258">
        <f>'C1-Incomes'!AD50/'C0-Ref Stats'!$R48*1000*'C0-Ref Stats'!$AA48/0.005</f>
        <v>490149.88018242148</v>
      </c>
      <c r="BC51" s="258">
        <f>'C1-Incomes'!AE50/'C0-Ref Stats'!$R48*1000*'C0-Ref Stats'!$AA48/0.001</f>
        <v>1220169.8807171807</v>
      </c>
      <c r="BD51" s="258">
        <f>'C1-Incomes'!AF50/'C0-Ref Stats'!$R48*1000*'C0-Ref Stats'!$AA48/0.0001</f>
        <v>4639261.9290930815</v>
      </c>
      <c r="BF51" s="258">
        <v>111400</v>
      </c>
      <c r="BG51" s="258">
        <v>152100</v>
      </c>
      <c r="BH51" s="258">
        <v>329900</v>
      </c>
      <c r="BI51" s="258">
        <v>486000</v>
      </c>
      <c r="BJ51" s="258">
        <v>1257000</v>
      </c>
      <c r="BK51" s="258">
        <v>5310000</v>
      </c>
      <c r="BM51" s="258">
        <v>229400</v>
      </c>
      <c r="BN51" s="258">
        <v>533622.41794055421</v>
      </c>
      <c r="BO51" s="1254">
        <f t="shared" si="0"/>
        <v>1.7540535689412122</v>
      </c>
      <c r="BP51" s="1254">
        <f t="shared" si="4"/>
        <v>1.7058930535049288</v>
      </c>
      <c r="BQ51" s="480"/>
      <c r="BR51" s="258">
        <v>346300</v>
      </c>
      <c r="BS51" s="258">
        <v>780835.48459022725</v>
      </c>
      <c r="BT51" s="258">
        <v>519300</v>
      </c>
      <c r="BU51" s="258">
        <v>1140941.9298436223</v>
      </c>
      <c r="BV51" s="1254">
        <f t="shared" si="8"/>
        <v>1.7969429707830777</v>
      </c>
      <c r="BW51" s="1254">
        <f t="shared" si="11"/>
        <v>1.8353683608997113</v>
      </c>
      <c r="BY51" s="258">
        <v>349800</v>
      </c>
      <c r="BZ51" s="258">
        <v>792416.98376553215</v>
      </c>
      <c r="CA51" s="258">
        <v>522800</v>
      </c>
      <c r="CB51" s="258">
        <v>1159403.1842563935</v>
      </c>
      <c r="CC51" s="1254">
        <f t="shared" si="9"/>
        <v>1.7902995430136948</v>
      </c>
      <c r="CD51" s="1254">
        <f t="shared" si="12"/>
        <v>1.8212337181609841</v>
      </c>
      <c r="CF51" s="258">
        <v>258000</v>
      </c>
      <c r="CG51" s="258">
        <v>548832.64443700563</v>
      </c>
      <c r="CH51" s="258">
        <v>360900</v>
      </c>
      <c r="CI51" s="258">
        <v>773797.14932945534</v>
      </c>
      <c r="CJ51" s="1254">
        <f t="shared" si="10"/>
        <v>1.8871081184831808</v>
      </c>
      <c r="CK51" s="1254">
        <f t="shared" si="13"/>
        <v>1.8740675506868993</v>
      </c>
      <c r="CM51" s="1183">
        <v>0.59007034749999998</v>
      </c>
      <c r="CN51" s="1183">
        <v>0.55225916509999995</v>
      </c>
    </row>
    <row r="52" spans="1:92" s="256" customFormat="1" ht="9.75" customHeight="1" x14ac:dyDescent="0.25">
      <c r="A52" s="254">
        <v>2003</v>
      </c>
      <c r="B52" s="258">
        <f>('C1-Incomes'!B51-'C1-Incomes'!C51)/'C0-Ref Stats'!$B49*1000*'C0-Ref Stats'!$AA49/0.9</f>
        <v>33281.558036166338</v>
      </c>
      <c r="C52" s="258">
        <f>('C1-Incomes'!C51-'C1-Incomes'!D51)/'C0-Ref Stats'!$B49*1000*'C0-Ref Stats'!$AA49/0.05</f>
        <v>127910.11800143424</v>
      </c>
      <c r="D52" s="258">
        <f>('C1-Incomes'!D51-'C1-Incomes'!E51)/'C0-Ref Stats'!$B49*1000*'C0-Ref Stats'!$AA49/0.04</f>
        <v>202465.45726762997</v>
      </c>
      <c r="E52" s="258">
        <f>('C1-Incomes'!E51-'C1-Incomes'!F51)/'C0-Ref Stats'!$B49*1000*'C0-Ref Stats'!$AA49/0.005</f>
        <v>392368.25978539936</v>
      </c>
      <c r="F52" s="258">
        <f>('C1-Incomes'!F51-'C1-Incomes'!G51)/'C0-Ref Stats'!$B49*1000*'C0-Ref Stats'!$AA49/0.004</f>
        <v>711734.51398004161</v>
      </c>
      <c r="G52" s="258">
        <f>('C1-Incomes'!G51-'C1-Incomes'!H51)/'C0-Ref Stats'!$B49*1000*'C0-Ref Stats'!$AA49/0.0009</f>
        <v>2155679.9085082929</v>
      </c>
      <c r="H52" s="258"/>
      <c r="I52" s="258">
        <f>('C1-Incomes'!J51-'C1-Incomes'!K51)/'C0-Ref Stats'!$R49*1000*'C0-Ref Stats'!$AA49/0.9</f>
        <v>29831.851137010504</v>
      </c>
      <c r="J52" s="258">
        <f>('C1-Incomes'!K51-'C1-Incomes'!L51)/'C0-Ref Stats'!$R49*1000*'C0-Ref Stats'!$AA49/0.05</f>
        <v>91321.121808964992</v>
      </c>
      <c r="K52" s="258">
        <f>('C1-Incomes'!L51-'C1-Incomes'!M51)/'C0-Ref Stats'!$R49*1000*'C0-Ref Stats'!$AA49/0.04</f>
        <v>140872.66968683316</v>
      </c>
      <c r="L52" s="258">
        <f>('C1-Incomes'!M51-'C1-Incomes'!N51)/'C0-Ref Stats'!$R49*1000*'C0-Ref Stats'!$AA49/0.005</f>
        <v>255935.33083213223</v>
      </c>
      <c r="M52" s="258">
        <f>('C1-Incomes'!N51-'C1-Incomes'!O51)/'C0-Ref Stats'!$R49*1000*'C0-Ref Stats'!$AA49/0.004</f>
        <v>459068.05183907016</v>
      </c>
      <c r="N52" s="258">
        <f>('C1-Incomes'!O51-'C1-Incomes'!P51)/'C0-Ref Stats'!$R49*1000*'C0-Ref Stats'!$AA49/0.0009</f>
        <v>1383832.3331732491</v>
      </c>
      <c r="O52" s="47"/>
      <c r="P52" s="258">
        <f>('C1-Incomes'!R51-'C1-Incomes'!S51)/'C0-Ref Stats'!$R49*1000*'C0-Ref Stats'!$AA49/0.9</f>
        <v>35685.920782292582</v>
      </c>
      <c r="Q52" s="258">
        <f>('C1-Incomes'!S51-'C1-Incomes'!T51)/'C0-Ref Stats'!$R49*1000*'C0-Ref Stats'!$AA49/0.05</f>
        <v>94110.47173691378</v>
      </c>
      <c r="R52" s="258">
        <f>('C1-Incomes'!T51-'C1-Incomes'!U51)/'C0-Ref Stats'!$R49*1000*'C0-Ref Stats'!$AA49/0.04</f>
        <v>143516.28367115257</v>
      </c>
      <c r="S52" s="258">
        <f>('C1-Incomes'!U51-'C1-Incomes'!V51)/'C0-Ref Stats'!$R49*1000*'C0-Ref Stats'!$AA49/0.005</f>
        <v>259194.03609633533</v>
      </c>
      <c r="T52" s="258">
        <f>('C1-Incomes'!V51-'C1-Incomes'!W51)/'C0-Ref Stats'!$R49*1000*'C0-Ref Stats'!$AA49/0.004</f>
        <v>461875.48481447139</v>
      </c>
      <c r="U52" s="258">
        <f>('C1-Incomes'!W51-'C1-Incomes'!X51)/'C0-Ref Stats'!$R49*1000*'C0-Ref Stats'!$AA49/0.0009</f>
        <v>1387658.1611996957</v>
      </c>
      <c r="V52" s="258"/>
      <c r="W52" s="258">
        <f>('C1-Incomes'!Z51-'C1-Incomes'!AA51)/'C0-Ref Stats'!$R49*1000*'C0-Ref Stats'!$AA49/0.9</f>
        <v>34147.054629683793</v>
      </c>
      <c r="X52" s="258">
        <f>('C1-Incomes'!AA51-'C1-Incomes'!AB51)/'C0-Ref Stats'!$R49*1000*'C0-Ref Stats'!$AA49/0.05</f>
        <v>74070.845738447781</v>
      </c>
      <c r="Y52" s="258">
        <f>('C1-Incomes'!AB51-'C1-Incomes'!AC51)/'C0-Ref Stats'!$R49*1000*'C0-Ref Stats'!$AA49/0.04</f>
        <v>108350.45175007747</v>
      </c>
      <c r="Z52" s="258">
        <f>('C1-Incomes'!AC51-'C1-Incomes'!AD51)/'C0-Ref Stats'!$R49*1000*'C0-Ref Stats'!$AA49/0.005</f>
        <v>186077.19240849148</v>
      </c>
      <c r="AA52" s="258">
        <f>('C1-Incomes'!AD51-'C1-Incomes'!AE51)/'C0-Ref Stats'!$R49*1000*'C0-Ref Stats'!$AA49/0.004</f>
        <v>314715.36952641967</v>
      </c>
      <c r="AB52" s="258">
        <f>('C1-Incomes'!AE51-'C1-Incomes'!AF51)/'C0-Ref Stats'!$R49*1000*'C0-Ref Stats'!$AA49/0.0009</f>
        <v>882797.67095626937</v>
      </c>
      <c r="AD52" s="258">
        <f>'C1-Incomes'!C51/'C0-Ref Stats'!$B49*1000*'C0-Ref Stats'!$AA49/0.1</f>
        <v>225141.57709577834</v>
      </c>
      <c r="AE52" s="258">
        <f>'C1-Incomes'!D51/'C0-Ref Stats'!$B49*1000*'C0-Ref Stats'!$AA49/0.05</f>
        <v>322373.03619012248</v>
      </c>
      <c r="AF52" s="258">
        <f>'C1-Incomes'!E51/'C0-Ref Stats'!$B49*1000*'C0-Ref Stats'!$AA49/0.01</f>
        <v>802003.35188009252</v>
      </c>
      <c r="AG52" s="258">
        <f>'C1-Incomes'!F51/'C0-Ref Stats'!$B49*1000*'C0-Ref Stats'!$AA49/0.005</f>
        <v>1211638.4439747857</v>
      </c>
      <c r="AH52" s="258">
        <f>'C1-Incomes'!G51/'C0-Ref Stats'!$B49*1000*'C0-Ref Stats'!$AA49/0.001</f>
        <v>3211254.1639537634</v>
      </c>
      <c r="AI52" s="258">
        <f>'C1-Incomes'!H51/'C0-Ref Stats'!$B49*1000*'C0-Ref Stats'!$AA49/0.0001</f>
        <v>12711422.462962998</v>
      </c>
      <c r="AJ52" s="47"/>
      <c r="AK52" s="258">
        <f>'C1-Incomes'!K51/'C0-Ref Stats'!$R49*1000*'C0-Ref Stats'!$AA49/0.1</f>
        <v>154345.59921708811</v>
      </c>
      <c r="AL52" s="258">
        <f>'C1-Incomes'!L51/'C0-Ref Stats'!$R49*1000*'C0-Ref Stats'!$AA49/0.05</f>
        <v>217370.07662521122</v>
      </c>
      <c r="AM52" s="258">
        <f>'C1-Incomes'!M51/'C0-Ref Stats'!$R49*1000*'C0-Ref Stats'!$AA49/0.01</f>
        <v>523359.70437872357</v>
      </c>
      <c r="AN52" s="258">
        <f>'C1-Incomes'!N51/'C0-Ref Stats'!$R49*1000*'C0-Ref Stats'!$AA49/0.005</f>
        <v>790784.07792531501</v>
      </c>
      <c r="AO52" s="258">
        <f>'C1-Incomes'!O51/'C0-Ref Stats'!$R49*1000*'C0-Ref Stats'!$AA49/0.001</f>
        <v>2117648.1822702945</v>
      </c>
      <c r="AP52" s="258">
        <f>'C1-Incomes'!P51/'C0-Ref Stats'!$R49*1000*'C0-Ref Stats'!$AA49/0.0001</f>
        <v>8721990.8241437022</v>
      </c>
      <c r="AQ52" s="47"/>
      <c r="AR52" s="258">
        <f>'C1-Incomes'!S51/'C0-Ref Stats'!$R49*1000*'C0-Ref Stats'!$AA49/0.1</f>
        <v>157112.25495276149</v>
      </c>
      <c r="AS52" s="258">
        <f>'C1-Incomes'!T51/'C0-Ref Stats'!$R49*1000*'C0-Ref Stats'!$AA49/0.05</f>
        <v>220114.0381686092</v>
      </c>
      <c r="AT52" s="258">
        <f>'C1-Incomes'!U51/'C0-Ref Stats'!$R49*1000*'C0-Ref Stats'!$AA49/0.01</f>
        <v>526505.05615843588</v>
      </c>
      <c r="AU52" s="258">
        <f>'C1-Incomes'!V51/'C0-Ref Stats'!$R49*1000*'C0-Ref Stats'!$AA49/0.005</f>
        <v>793816.0762205366</v>
      </c>
      <c r="AV52" s="258">
        <f>'C1-Incomes'!W51/'C0-Ref Stats'!$R49*1000*'C0-Ref Stats'!$AA49/0.001</f>
        <v>2121578.4418447977</v>
      </c>
      <c r="AW52" s="258">
        <f>'C1-Incomes'!X51/'C0-Ref Stats'!$R49*1000*'C0-Ref Stats'!$AA49/0.0001</f>
        <v>8726860.9676507153</v>
      </c>
      <c r="AX52" s="258"/>
      <c r="AY52" s="258">
        <f>'C1-Incomes'!AA51/'C0-Ref Stats'!$R49*1000*'C0-Ref Stats'!$AA49/0.1</f>
        <v>115508.76858461124</v>
      </c>
      <c r="AZ52" s="258">
        <f>'C1-Incomes'!AB51/'C0-Ref Stats'!$R49*1000*'C0-Ref Stats'!$AA49/0.05</f>
        <v>156946.69143077466</v>
      </c>
      <c r="BA52" s="258">
        <f>'C1-Incomes'!AC51/'C0-Ref Stats'!$R49*1000*'C0-Ref Stats'!$AA49/0.01</f>
        <v>351331.65015356359</v>
      </c>
      <c r="BB52" s="258">
        <f>'C1-Incomes'!AD51/'C0-Ref Stats'!$R49*1000*'C0-Ref Stats'!$AA49/0.005</f>
        <v>516586.10789863579</v>
      </c>
      <c r="BC52" s="258">
        <f>'C1-Incomes'!AE51/'C0-Ref Stats'!$R49*1000*'C0-Ref Stats'!$AA49/0.001</f>
        <v>1324069.0613874996</v>
      </c>
      <c r="BD52" s="258">
        <f>'C1-Incomes'!AF51/'C0-Ref Stats'!$R49*1000*'C0-Ref Stats'!$AA49/0.0001</f>
        <v>5295511.5752685731</v>
      </c>
      <c r="BF52" s="258">
        <v>110900</v>
      </c>
      <c r="BG52" s="258">
        <v>151000</v>
      </c>
      <c r="BH52" s="258">
        <v>330000</v>
      </c>
      <c r="BI52" s="258">
        <v>486000</v>
      </c>
      <c r="BJ52" s="258">
        <v>1254000</v>
      </c>
      <c r="BK52" s="258">
        <v>5350000</v>
      </c>
      <c r="BM52" s="258">
        <v>227500</v>
      </c>
      <c r="BN52" s="258">
        <v>534889.68933033955</v>
      </c>
      <c r="BO52" s="1254">
        <f t="shared" si="0"/>
        <v>1.7401028983620681</v>
      </c>
      <c r="BP52" s="1254">
        <f t="shared" si="4"/>
        <v>1.6991475774176981</v>
      </c>
      <c r="BQ52" s="480"/>
      <c r="BR52" s="258">
        <v>356300</v>
      </c>
      <c r="BS52" s="258">
        <v>806319.86662744323</v>
      </c>
      <c r="BT52" s="258">
        <v>533300</v>
      </c>
      <c r="BU52" s="258">
        <v>1180685.7017996917</v>
      </c>
      <c r="BV52" s="1254">
        <f t="shared" si="8"/>
        <v>1.7917428238673052</v>
      </c>
      <c r="BW52" s="1254">
        <f t="shared" si="11"/>
        <v>1.8237747582584221</v>
      </c>
      <c r="BY52" s="258">
        <v>359900</v>
      </c>
      <c r="BZ52" s="258">
        <v>817881.72330914903</v>
      </c>
      <c r="CA52" s="258">
        <v>536600</v>
      </c>
      <c r="CB52" s="258">
        <v>1199433.3007021914</v>
      </c>
      <c r="CC52" s="1254">
        <f t="shared" si="9"/>
        <v>1.7858392195206849</v>
      </c>
      <c r="CD52" s="1254">
        <f t="shared" si="12"/>
        <v>1.8095549807644509</v>
      </c>
      <c r="CF52" s="258">
        <v>265500</v>
      </c>
      <c r="CG52" s="258">
        <v>570595.29622425279</v>
      </c>
      <c r="CH52" s="258">
        <v>376300</v>
      </c>
      <c r="CI52" s="258">
        <v>808358.23545351566</v>
      </c>
      <c r="CJ52" s="1254">
        <f t="shared" si="10"/>
        <v>1.8702199059957016</v>
      </c>
      <c r="CK52" s="1254">
        <f t="shared" si="13"/>
        <v>1.8709474073674621</v>
      </c>
      <c r="CM52" s="1183">
        <v>0.594903454</v>
      </c>
      <c r="CN52" s="1183">
        <v>0.56058299919999999</v>
      </c>
    </row>
    <row r="53" spans="1:92" s="256" customFormat="1" ht="9.75" customHeight="1" x14ac:dyDescent="0.25">
      <c r="A53" s="254">
        <v>2004</v>
      </c>
      <c r="B53" s="258">
        <f>('C1-Incomes'!B52-'C1-Incomes'!C52)/'C0-Ref Stats'!$B50*1000*'C0-Ref Stats'!$AA50/0.9</f>
        <v>33634.616887426426</v>
      </c>
      <c r="C53" s="258">
        <f>('C1-Incomes'!C52-'C1-Incomes'!D52)/'C0-Ref Stats'!$B50*1000*'C0-Ref Stats'!$AA50/0.05</f>
        <v>130050.82572530178</v>
      </c>
      <c r="D53" s="258">
        <f>('C1-Incomes'!D52-'C1-Incomes'!E52)/'C0-Ref Stats'!$B50*1000*'C0-Ref Stats'!$AA50/0.04</f>
        <v>209066.03768982459</v>
      </c>
      <c r="E53" s="258">
        <f>('C1-Incomes'!E52-'C1-Incomes'!F52)/'C0-Ref Stats'!$B50*1000*'C0-Ref Stats'!$AA50/0.005</f>
        <v>412326.92779851687</v>
      </c>
      <c r="F53" s="258">
        <f>('C1-Incomes'!F52-'C1-Incomes'!G52)/'C0-Ref Stats'!$B50*1000*'C0-Ref Stats'!$AA50/0.004</f>
        <v>769746.89118063706</v>
      </c>
      <c r="G53" s="258">
        <f>('C1-Incomes'!G52-'C1-Incomes'!H52)/'C0-Ref Stats'!$B50*1000*'C0-Ref Stats'!$AA50/0.0009</f>
        <v>2442446.8279278255</v>
      </c>
      <c r="H53" s="258"/>
      <c r="I53" s="258">
        <f>('C1-Incomes'!J52-'C1-Incomes'!K52)/'C0-Ref Stats'!$R50*1000*'C0-Ref Stats'!$AA50/0.9</f>
        <v>30386.830716330009</v>
      </c>
      <c r="J53" s="258">
        <f>('C1-Incomes'!K52-'C1-Incomes'!L52)/'C0-Ref Stats'!$R50*1000*'C0-Ref Stats'!$AA50/0.05</f>
        <v>92829.715518169178</v>
      </c>
      <c r="K53" s="258">
        <f>('C1-Incomes'!L52-'C1-Incomes'!M52)/'C0-Ref Stats'!$R50*1000*'C0-Ref Stats'!$AA50/0.04</f>
        <v>145701.59526219007</v>
      </c>
      <c r="L53" s="258">
        <f>('C1-Incomes'!M52-'C1-Incomes'!N52)/'C0-Ref Stats'!$R50*1000*'C0-Ref Stats'!$AA50/0.005</f>
        <v>271239.46982636483</v>
      </c>
      <c r="M53" s="258">
        <f>('C1-Incomes'!N52-'C1-Incomes'!O52)/'C0-Ref Stats'!$R50*1000*'C0-Ref Stats'!$AA50/0.004</f>
        <v>489020.07776699698</v>
      </c>
      <c r="N53" s="258">
        <f>('C1-Incomes'!O52-'C1-Incomes'!P52)/'C0-Ref Stats'!$R50*1000*'C0-Ref Stats'!$AA50/0.0009</f>
        <v>1560590.5275528582</v>
      </c>
      <c r="O53" s="47"/>
      <c r="P53" s="258">
        <f>('C1-Incomes'!R52-'C1-Incomes'!S52)/'C0-Ref Stats'!$R50*1000*'C0-Ref Stats'!$AA50/0.9</f>
        <v>36376.897109375692</v>
      </c>
      <c r="Q53" s="258">
        <f>('C1-Incomes'!S52-'C1-Incomes'!T52)/'C0-Ref Stats'!$R50*1000*'C0-Ref Stats'!$AA50/0.05</f>
        <v>95786.784228136123</v>
      </c>
      <c r="R53" s="258">
        <f>('C1-Incomes'!T52-'C1-Incomes'!U52)/'C0-Ref Stats'!$R50*1000*'C0-Ref Stats'!$AA50/0.04</f>
        <v>148455.45389818389</v>
      </c>
      <c r="S53" s="258">
        <f>('C1-Incomes'!U52-'C1-Incomes'!V52)/'C0-Ref Stats'!$R50*1000*'C0-Ref Stats'!$AA50/0.005</f>
        <v>273884.76177443884</v>
      </c>
      <c r="T53" s="258">
        <f>('C1-Incomes'!V52-'C1-Incomes'!W52)/'C0-Ref Stats'!$R50*1000*'C0-Ref Stats'!$AA50/0.004</f>
        <v>492399.78171021573</v>
      </c>
      <c r="U53" s="258">
        <f>('C1-Incomes'!W52-'C1-Incomes'!X52)/'C0-Ref Stats'!$R50*1000*'C0-Ref Stats'!$AA50/0.0009</f>
        <v>1564231.7538978267</v>
      </c>
      <c r="V53" s="258"/>
      <c r="W53" s="258">
        <f>('C1-Incomes'!Z52-'C1-Incomes'!AA52)/'C0-Ref Stats'!$R50*1000*'C0-Ref Stats'!$AA50/0.9</f>
        <v>34895.526515426522</v>
      </c>
      <c r="X53" s="258">
        <f>('C1-Incomes'!AA52-'C1-Incomes'!AB52)/'C0-Ref Stats'!$R50*1000*'C0-Ref Stats'!$AA50/0.05</f>
        <v>76173.234771141142</v>
      </c>
      <c r="Y53" s="258">
        <f>('C1-Incomes'!AB52-'C1-Incomes'!AC52)/'C0-Ref Stats'!$R50*1000*'C0-Ref Stats'!$AA50/0.04</f>
        <v>112413.65987345627</v>
      </c>
      <c r="Z53" s="258">
        <f>('C1-Incomes'!AC52-'C1-Incomes'!AD52)/'C0-Ref Stats'!$R50*1000*'C0-Ref Stats'!$AA50/0.005</f>
        <v>196567.18310894808</v>
      </c>
      <c r="AA53" s="258">
        <f>('C1-Incomes'!AD52-'C1-Incomes'!AE52)/'C0-Ref Stats'!$R50*1000*'C0-Ref Stats'!$AA50/0.004</f>
        <v>338174.47465482214</v>
      </c>
      <c r="AB53" s="258">
        <f>('C1-Incomes'!AE52-'C1-Incomes'!AF52)/'C0-Ref Stats'!$R50*1000*'C0-Ref Stats'!$AA50/0.0009</f>
        <v>990649.81956846663</v>
      </c>
      <c r="AD53" s="258">
        <f>'C1-Incomes'!C52/'C0-Ref Stats'!$B50*1000*'C0-Ref Stats'!$AA50/0.1</f>
        <v>237619.2997015357</v>
      </c>
      <c r="AE53" s="258">
        <f>'C1-Incomes'!D52/'C0-Ref Stats'!$B50*1000*'C0-Ref Stats'!$AA50/0.05</f>
        <v>345187.77367776964</v>
      </c>
      <c r="AF53" s="258">
        <f>'C1-Incomes'!E52/'C0-Ref Stats'!$B50*1000*'C0-Ref Stats'!$AA50/0.01</f>
        <v>889674.71762954991</v>
      </c>
      <c r="AG53" s="258">
        <f>'C1-Incomes'!F52/'C0-Ref Stats'!$B50*1000*'C0-Ref Stats'!$AA50/0.005</f>
        <v>1367022.5074605828</v>
      </c>
      <c r="AH53" s="258">
        <f>'C1-Incomes'!G52/'C0-Ref Stats'!$B50*1000*'C0-Ref Stats'!$AA50/0.001</f>
        <v>3756124.9725803658</v>
      </c>
      <c r="AI53" s="258">
        <f>'C1-Incomes'!H52/'C0-Ref Stats'!$B50*1000*'C0-Ref Stats'!$AA50/0.0001</f>
        <v>15579228.274453226</v>
      </c>
      <c r="AJ53" s="47"/>
      <c r="AK53" s="258">
        <f>'C1-Incomes'!K52/'C0-Ref Stats'!$R50*1000*'C0-Ref Stats'!$AA50/0.1</f>
        <v>162512.30025900068</v>
      </c>
      <c r="AL53" s="258">
        <f>'C1-Incomes'!L52/'C0-Ref Stats'!$R50*1000*'C0-Ref Stats'!$AA50/0.05</f>
        <v>232194.88499983214</v>
      </c>
      <c r="AM53" s="258">
        <f>'C1-Incomes'!M52/'C0-Ref Stats'!$R50*1000*'C0-Ref Stats'!$AA50/0.01</f>
        <v>578168.04395040055</v>
      </c>
      <c r="AN53" s="258">
        <f>'C1-Incomes'!N52/'C0-Ref Stats'!$R50*1000*'C0-Ref Stats'!$AA50/0.005</f>
        <v>885096.61807443609</v>
      </c>
      <c r="AO53" s="258">
        <f>'C1-Incomes'!O52/'C0-Ref Stats'!$R50*1000*'C0-Ref Stats'!$AA50/0.001</f>
        <v>2469402.7793041924</v>
      </c>
      <c r="AP53" s="258">
        <f>'C1-Incomes'!P52/'C0-Ref Stats'!$R50*1000*'C0-Ref Stats'!$AA50/0.0001</f>
        <v>10648713.045066198</v>
      </c>
      <c r="AQ53" s="47"/>
      <c r="AR53" s="258">
        <f>'C1-Incomes'!S52/'C0-Ref Stats'!$R50*1000*'C0-Ref Stats'!$AA50/0.1</f>
        <v>165396.70910484466</v>
      </c>
      <c r="AS53" s="258">
        <f>'C1-Incomes'!T52/'C0-Ref Stats'!$R50*1000*'C0-Ref Stats'!$AA50/0.05</f>
        <v>235006.63398155317</v>
      </c>
      <c r="AT53" s="258">
        <f>'C1-Incomes'!U52/'C0-Ref Stats'!$R50*1000*'C0-Ref Stats'!$AA50/0.01</f>
        <v>581211.35431503039</v>
      </c>
      <c r="AU53" s="258">
        <f>'C1-Incomes'!V52/'C0-Ref Stats'!$R50*1000*'C0-Ref Stats'!$AA50/0.005</f>
        <v>888537.94685562188</v>
      </c>
      <c r="AV53" s="258">
        <f>'C1-Incomes'!W52/'C0-Ref Stats'!$R50*1000*'C0-Ref Stats'!$AA50/0.001</f>
        <v>2473090.6074372465</v>
      </c>
      <c r="AW53" s="258">
        <f>'C1-Incomes'!X52/'C0-Ref Stats'!$R50*1000*'C0-Ref Stats'!$AA50/0.0001</f>
        <v>10652820.289292026</v>
      </c>
      <c r="AX53" s="258"/>
      <c r="AY53" s="258">
        <f>'C1-Incomes'!AA52/'C0-Ref Stats'!$R50*1000*'C0-Ref Stats'!$AA50/0.1</f>
        <v>121934.04704266909</v>
      </c>
      <c r="AZ53" s="258">
        <f>'C1-Incomes'!AB52/'C0-Ref Stats'!$R50*1000*'C0-Ref Stats'!$AA50/0.05</f>
        <v>167694.85931419703</v>
      </c>
      <c r="BA53" s="258">
        <f>'C1-Incomes'!AC52/'C0-Ref Stats'!$R50*1000*'C0-Ref Stats'!$AA50/0.01</f>
        <v>388819.65707716026</v>
      </c>
      <c r="BB53" s="258">
        <f>'C1-Incomes'!AD52/'C0-Ref Stats'!$R50*1000*'C0-Ref Stats'!$AA50/0.005</f>
        <v>581072.13104537234</v>
      </c>
      <c r="BC53" s="258">
        <f>'C1-Incomes'!AE52/'C0-Ref Stats'!$R50*1000*'C0-Ref Stats'!$AA50/0.001</f>
        <v>1552662.756607573</v>
      </c>
      <c r="BD53" s="258">
        <f>'C1-Incomes'!AF52/'C0-Ref Stats'!$R50*1000*'C0-Ref Stats'!$AA50/0.0001</f>
        <v>6610779.1899595316</v>
      </c>
      <c r="BF53" s="258">
        <v>112400</v>
      </c>
      <c r="BG53" s="258">
        <v>154400</v>
      </c>
      <c r="BH53" s="258">
        <v>342900</v>
      </c>
      <c r="BI53" s="258">
        <v>515000</v>
      </c>
      <c r="BJ53" s="258">
        <v>1389000</v>
      </c>
      <c r="BK53" s="258">
        <v>6230000</v>
      </c>
      <c r="BM53" s="258">
        <v>236400</v>
      </c>
      <c r="BN53" s="258">
        <v>584751.68600863265</v>
      </c>
      <c r="BO53" s="1254">
        <f t="shared" si="0"/>
        <v>1.6786245323185882</v>
      </c>
      <c r="BP53" s="1254">
        <f t="shared" si="4"/>
        <v>1.6271321422588547</v>
      </c>
      <c r="BQ53" s="480"/>
      <c r="BR53" s="258">
        <v>370300</v>
      </c>
      <c r="BS53" s="258">
        <v>873696.66315372207</v>
      </c>
      <c r="BT53" s="258">
        <v>560900</v>
      </c>
      <c r="BU53" s="258">
        <v>1299875.6424124888</v>
      </c>
      <c r="BV53" s="1254">
        <f t="shared" si="8"/>
        <v>1.7356028100784642</v>
      </c>
      <c r="BW53" s="1254">
        <f t="shared" si="11"/>
        <v>1.7590236643915134</v>
      </c>
      <c r="BY53" s="258">
        <v>373700</v>
      </c>
      <c r="BZ53" s="258">
        <v>885768.2771101899</v>
      </c>
      <c r="CA53" s="258">
        <v>563400</v>
      </c>
      <c r="CB53" s="258">
        <v>1319820.386860657</v>
      </c>
      <c r="CC53" s="1254">
        <f t="shared" si="9"/>
        <v>1.7297854928818115</v>
      </c>
      <c r="CD53" s="1254">
        <f t="shared" si="12"/>
        <v>1.7448239230281164</v>
      </c>
      <c r="CF53" s="258">
        <v>274400</v>
      </c>
      <c r="CG53" s="258">
        <v>620383.86516872211</v>
      </c>
      <c r="CH53" s="258">
        <v>396600</v>
      </c>
      <c r="CI53" s="258">
        <v>895127.26496136107</v>
      </c>
      <c r="CJ53" s="1254">
        <f t="shared" si="10"/>
        <v>1.7931005680458145</v>
      </c>
      <c r="CK53" s="1254">
        <f t="shared" si="13"/>
        <v>1.7955432488346228</v>
      </c>
      <c r="CM53" s="1183">
        <v>0.60366032670000003</v>
      </c>
      <c r="CN53" s="1183">
        <v>0.56832040829999997</v>
      </c>
    </row>
    <row r="54" spans="1:92" s="256" customFormat="1" ht="9.75" customHeight="1" x14ac:dyDescent="0.25">
      <c r="A54" s="254">
        <v>2005</v>
      </c>
      <c r="B54" s="258">
        <f>('C1-Incomes'!B53-'C1-Incomes'!C53)/'C0-Ref Stats'!$B51*1000*'C0-Ref Stats'!$AA51/0.9</f>
        <v>33782.914193953293</v>
      </c>
      <c r="C54" s="258">
        <f>('C1-Incomes'!C53-'C1-Incomes'!D53)/'C0-Ref Stats'!$B51*1000*'C0-Ref Stats'!$AA51/0.05</f>
        <v>131963.02773394255</v>
      </c>
      <c r="D54" s="258">
        <f>('C1-Incomes'!D53-'C1-Incomes'!E53)/'C0-Ref Stats'!$B51*1000*'C0-Ref Stats'!$AA51/0.04</f>
        <v>215291.85697664789</v>
      </c>
      <c r="E54" s="258">
        <f>('C1-Incomes'!E53-'C1-Incomes'!F53)/'C0-Ref Stats'!$B51*1000*'C0-Ref Stats'!$AA51/0.005</f>
        <v>437511.85158308659</v>
      </c>
      <c r="F54" s="258">
        <f>('C1-Incomes'!F53-'C1-Incomes'!G53)/'C0-Ref Stats'!$B51*1000*'C0-Ref Stats'!$AA51/0.004</f>
        <v>838019.63705775246</v>
      </c>
      <c r="G54" s="258">
        <f>('C1-Incomes'!G53-'C1-Incomes'!H53)/'C0-Ref Stats'!$B51*1000*'C0-Ref Stats'!$AA51/0.0009</f>
        <v>2778144.1491255853</v>
      </c>
      <c r="H54" s="258"/>
      <c r="I54" s="258">
        <f>('C1-Incomes'!J53-'C1-Incomes'!K53)/'C0-Ref Stats'!$R51*1000*'C0-Ref Stats'!$AA51/0.9</f>
        <v>31094.577194585159</v>
      </c>
      <c r="J54" s="258">
        <f>('C1-Incomes'!K53-'C1-Incomes'!L53)/'C0-Ref Stats'!$R51*1000*'C0-Ref Stats'!$AA51/0.05</f>
        <v>95103.267867698087</v>
      </c>
      <c r="K54" s="258">
        <f>('C1-Incomes'!L53-'C1-Incomes'!M53)/'C0-Ref Stats'!$R51*1000*'C0-Ref Stats'!$AA51/0.04</f>
        <v>151069.01211668472</v>
      </c>
      <c r="L54" s="258">
        <f>('C1-Incomes'!M53-'C1-Incomes'!N53)/'C0-Ref Stats'!$R51*1000*'C0-Ref Stats'!$AA51/0.005</f>
        <v>286607.8491245312</v>
      </c>
      <c r="M54" s="258">
        <f>('C1-Incomes'!N53-'C1-Incomes'!O53)/'C0-Ref Stats'!$R51*1000*'C0-Ref Stats'!$AA51/0.004</f>
        <v>537952.5745802942</v>
      </c>
      <c r="N54" s="258">
        <f>('C1-Incomes'!O53-'C1-Incomes'!P53)/'C0-Ref Stats'!$R51*1000*'C0-Ref Stats'!$AA51/0.0009</f>
        <v>1786629.2969191158</v>
      </c>
      <c r="O54" s="47"/>
      <c r="P54" s="258">
        <f>('C1-Incomes'!R53-'C1-Incomes'!S53)/'C0-Ref Stats'!$R51*1000*'C0-Ref Stats'!$AA51/0.9</f>
        <v>37280.410243477818</v>
      </c>
      <c r="Q54" s="258">
        <f>('C1-Incomes'!S53-'C1-Incomes'!T53)/'C0-Ref Stats'!$R51*1000*'C0-Ref Stats'!$AA51/0.05</f>
        <v>97913.2104731</v>
      </c>
      <c r="R54" s="258">
        <f>('C1-Incomes'!T53-'C1-Incomes'!U53)/'C0-Ref Stats'!$R51*1000*'C0-Ref Stats'!$AA51/0.04</f>
        <v>153817.97529010524</v>
      </c>
      <c r="S54" s="258">
        <f>('C1-Incomes'!U53-'C1-Incomes'!V53)/'C0-Ref Stats'!$R51*1000*'C0-Ref Stats'!$AA51/0.005</f>
        <v>289542.92932250211</v>
      </c>
      <c r="T54" s="258">
        <f>('C1-Incomes'!V53-'C1-Incomes'!W53)/'C0-Ref Stats'!$R51*1000*'C0-Ref Stats'!$AA51/0.004</f>
        <v>541343.07523355365</v>
      </c>
      <c r="U54" s="258">
        <f>('C1-Incomes'!W53-'C1-Incomes'!X53)/'C0-Ref Stats'!$R51*1000*'C0-Ref Stats'!$AA51/0.0009</f>
        <v>1789955.4362223106</v>
      </c>
      <c r="V54" s="258"/>
      <c r="W54" s="258">
        <f>('C1-Incomes'!Z53-'C1-Incomes'!AA53)/'C0-Ref Stats'!$R51*1000*'C0-Ref Stats'!$AA51/0.9</f>
        <v>35940.86294766111</v>
      </c>
      <c r="X54" s="258">
        <f>('C1-Incomes'!AA53-'C1-Incomes'!AB53)/'C0-Ref Stats'!$R51*1000*'C0-Ref Stats'!$AA51/0.05</f>
        <v>78334.21699846891</v>
      </c>
      <c r="Y54" s="258">
        <f>('C1-Incomes'!AB53-'C1-Incomes'!AC53)/'C0-Ref Stats'!$R51*1000*'C0-Ref Stats'!$AA51/0.04</f>
        <v>116646.90615326063</v>
      </c>
      <c r="Z54" s="258">
        <f>('C1-Incomes'!AC53-'C1-Incomes'!AD53)/'C0-Ref Stats'!$R51*1000*'C0-Ref Stats'!$AA51/0.005</f>
        <v>207059.31557755711</v>
      </c>
      <c r="AA54" s="258">
        <f>('C1-Incomes'!AD53-'C1-Incomes'!AE53)/'C0-Ref Stats'!$R51*1000*'C0-Ref Stats'!$AA51/0.004</f>
        <v>367471.78390682157</v>
      </c>
      <c r="AB54" s="258">
        <f>('C1-Incomes'!AE53-'C1-Incomes'!AF53)/'C0-Ref Stats'!$R51*1000*'C0-Ref Stats'!$AA51/0.0009</f>
        <v>1128993.5791209838</v>
      </c>
      <c r="AD54" s="258">
        <f>'C1-Incomes'!C53/'C0-Ref Stats'!$B51*1000*'C0-Ref Stats'!$AA51/0.1</f>
        <v>250843.60194615848</v>
      </c>
      <c r="AE54" s="258">
        <f>'C1-Incomes'!D53/'C0-Ref Stats'!$B51*1000*'C0-Ref Stats'!$AA51/0.05</f>
        <v>369724.17615837429</v>
      </c>
      <c r="AF54" s="258">
        <f>'C1-Incomes'!E53/'C0-Ref Stats'!$B51*1000*'C0-Ref Stats'!$AA51/0.01</f>
        <v>987453.45288528001</v>
      </c>
      <c r="AG54" s="258">
        <f>'C1-Incomes'!F53/'C0-Ref Stats'!$B51*1000*'C0-Ref Stats'!$AA51/0.005</f>
        <v>1537395.0541874738</v>
      </c>
      <c r="AH54" s="258">
        <f>'C1-Incomes'!G53/'C0-Ref Stats'!$B51*1000*'C0-Ref Stats'!$AA51/0.001</f>
        <v>4334896.7227063598</v>
      </c>
      <c r="AI54" s="258">
        <f>'C1-Incomes'!H53/'C0-Ref Stats'!$B51*1000*'C0-Ref Stats'!$AA51/0.0001</f>
        <v>18345669.884933323</v>
      </c>
      <c r="AJ54" s="47"/>
      <c r="AK54" s="258">
        <f>'C1-Incomes'!K53/'C0-Ref Stats'!$R51*1000*'C0-Ref Stats'!$AA51/0.1</f>
        <v>172468.64052919415</v>
      </c>
      <c r="AL54" s="258">
        <f>'C1-Incomes'!L53/'C0-Ref Stats'!$R51*1000*'C0-Ref Stats'!$AA51/0.05</f>
        <v>249834.0131906902</v>
      </c>
      <c r="AM54" s="258">
        <f>'C1-Incomes'!M53/'C0-Ref Stats'!$R51*1000*'C0-Ref Stats'!$AA51/0.01</f>
        <v>644894.01748671208</v>
      </c>
      <c r="AN54" s="258">
        <f>'C1-Incomes'!N53/'C0-Ref Stats'!$R51*1000*'C0-Ref Stats'!$AA51/0.005</f>
        <v>1003180.185848893</v>
      </c>
      <c r="AO54" s="258">
        <f>'C1-Incomes'!O53/'C0-Ref Stats'!$R51*1000*'C0-Ref Stats'!$AA51/0.001</f>
        <v>2864090.6309232879</v>
      </c>
      <c r="AP54" s="258">
        <f>'C1-Incomes'!P53/'C0-Ref Stats'!$R51*1000*'C0-Ref Stats'!$AA51/0.0001</f>
        <v>12561242.63696084</v>
      </c>
      <c r="AQ54" s="47"/>
      <c r="AR54" s="258">
        <f>'C1-Incomes'!S53/'C0-Ref Stats'!$R51*1000*'C0-Ref Stats'!$AA51/0.1</f>
        <v>175288.15235880352</v>
      </c>
      <c r="AS54" s="258">
        <f>'C1-Incomes'!T53/'C0-Ref Stats'!$R51*1000*'C0-Ref Stats'!$AA51/0.05</f>
        <v>252663.09424450702</v>
      </c>
      <c r="AT54" s="258">
        <f>'C1-Incomes'!U53/'C0-Ref Stats'!$R51*1000*'C0-Ref Stats'!$AA51/0.01</f>
        <v>648043.57006211439</v>
      </c>
      <c r="AU54" s="258">
        <f>'C1-Incomes'!V53/'C0-Ref Stats'!$R51*1000*'C0-Ref Stats'!$AA51/0.005</f>
        <v>1006544.2108017264</v>
      </c>
      <c r="AV54" s="258">
        <f>'C1-Incomes'!W53/'C0-Ref Stats'!$R51*1000*'C0-Ref Stats'!$AA51/0.001</f>
        <v>2867348.7530744178</v>
      </c>
      <c r="AW54" s="258">
        <f>'C1-Incomes'!X53/'C0-Ref Stats'!$R51*1000*'C0-Ref Stats'!$AA51/0.0001</f>
        <v>12563888.60474338</v>
      </c>
      <c r="AX54" s="258"/>
      <c r="AY54" s="258">
        <f>'C1-Incomes'!AA53/'C0-Ref Stats'!$R51*1000*'C0-Ref Stats'!$AA51/0.1</f>
        <v>128852.07712197627</v>
      </c>
      <c r="AZ54" s="258">
        <f>'C1-Incomes'!AB53/'C0-Ref Stats'!$R51*1000*'C0-Ref Stats'!$AA51/0.05</f>
        <v>179369.93724548366</v>
      </c>
      <c r="BA54" s="258">
        <f>'C1-Incomes'!AC53/'C0-Ref Stats'!$R51*1000*'C0-Ref Stats'!$AA51/0.01</f>
        <v>430262.06161437591</v>
      </c>
      <c r="BB54" s="258">
        <f>'C1-Incomes'!AD53/'C0-Ref Stats'!$R51*1000*'C0-Ref Stats'!$AA51/0.005</f>
        <v>653464.80765119474</v>
      </c>
      <c r="BC54" s="258">
        <f>'C1-Incomes'!AE53/'C0-Ref Stats'!$R51*1000*'C0-Ref Stats'!$AA51/0.001</f>
        <v>1797436.902628687</v>
      </c>
      <c r="BD54" s="258">
        <f>'C1-Incomes'!AF53/'C0-Ref Stats'!$R51*1000*'C0-Ref Stats'!$AA51/0.0001</f>
        <v>7813426.8141980153</v>
      </c>
      <c r="BF54" s="258">
        <v>113700</v>
      </c>
      <c r="BG54" s="258">
        <v>157300</v>
      </c>
      <c r="BH54" s="258">
        <v>360700</v>
      </c>
      <c r="BI54" s="258">
        <v>551000</v>
      </c>
      <c r="BJ54" s="258">
        <v>1546000</v>
      </c>
      <c r="BK54" s="258">
        <v>7270000</v>
      </c>
      <c r="BM54" s="258">
        <v>244900</v>
      </c>
      <c r="BN54" s="258">
        <v>639292.56846693938</v>
      </c>
      <c r="BO54" s="1254">
        <f t="shared" si="0"/>
        <v>1.6209549052913483</v>
      </c>
      <c r="BP54" s="1254">
        <f t="shared" si="4"/>
        <v>1.5755054054182003</v>
      </c>
      <c r="BQ54" s="480"/>
      <c r="BR54" s="258">
        <v>380500</v>
      </c>
      <c r="BS54" s="258">
        <v>949257.55957627657</v>
      </c>
      <c r="BT54" s="258">
        <v>594400</v>
      </c>
      <c r="BU54" s="258">
        <v>1434004.8006199156</v>
      </c>
      <c r="BV54" s="1254">
        <f t="shared" si="8"/>
        <v>1.669002096927682</v>
      </c>
      <c r="BW54" s="1254">
        <f t="shared" si="11"/>
        <v>1.7079521217138462</v>
      </c>
      <c r="BY54" s="258">
        <v>383300</v>
      </c>
      <c r="BZ54" s="258">
        <v>962238.28496200556</v>
      </c>
      <c r="CA54" s="258">
        <v>597600</v>
      </c>
      <c r="CB54" s="258">
        <v>1455524.4896965222</v>
      </c>
      <c r="CC54" s="1254">
        <f t="shared" si="9"/>
        <v>1.6620740240475806</v>
      </c>
      <c r="CD54" s="1254">
        <f t="shared" si="12"/>
        <v>1.6965647993232971</v>
      </c>
      <c r="CF54" s="258">
        <v>272700</v>
      </c>
      <c r="CG54" s="258">
        <v>671511.82861340255</v>
      </c>
      <c r="CH54" s="258">
        <v>411300</v>
      </c>
      <c r="CI54" s="258">
        <v>985876.69617079513</v>
      </c>
      <c r="CJ54" s="1254">
        <f t="shared" si="10"/>
        <v>1.6837811229123498</v>
      </c>
      <c r="CK54" s="1254">
        <f t="shared" si="13"/>
        <v>1.7158313289436637</v>
      </c>
      <c r="CM54" s="1183">
        <v>0.61133664409999999</v>
      </c>
      <c r="CN54" s="1183">
        <v>0.57367476549999996</v>
      </c>
    </row>
    <row r="55" spans="1:92" s="256" customFormat="1" ht="9.75" customHeight="1" x14ac:dyDescent="0.25">
      <c r="A55" s="254">
        <v>2006</v>
      </c>
      <c r="B55" s="258">
        <f>('C1-Incomes'!B54-'C1-Incomes'!C54)/'C0-Ref Stats'!$B52*1000*'C0-Ref Stats'!$AA52/0.9</f>
        <v>34250.702336816459</v>
      </c>
      <c r="C55" s="258">
        <f>('C1-Incomes'!C54-'C1-Incomes'!D54)/'C0-Ref Stats'!$B52*1000*'C0-Ref Stats'!$AA52/0.05</f>
        <v>135100.57495704058</v>
      </c>
      <c r="D55" s="258">
        <f>('C1-Incomes'!D54-'C1-Incomes'!E54)/'C0-Ref Stats'!$B52*1000*'C0-Ref Stats'!$AA52/0.04</f>
        <v>222814.34976502569</v>
      </c>
      <c r="E55" s="258">
        <f>('C1-Incomes'!E54-'C1-Incomes'!F54)/'C0-Ref Stats'!$B52*1000*'C0-Ref Stats'!$AA52/0.005</f>
        <v>456781.00785502902</v>
      </c>
      <c r="F55" s="258">
        <f>('C1-Incomes'!F54-'C1-Incomes'!G54)/'C0-Ref Stats'!$B52*1000*'C0-Ref Stats'!$AA52/0.004</f>
        <v>882558.20153738826</v>
      </c>
      <c r="G55" s="258">
        <f>('C1-Incomes'!G54-'C1-Incomes'!H54)/'C0-Ref Stats'!$B52*1000*'C0-Ref Stats'!$AA52/0.0009</f>
        <v>2948811.6026611109</v>
      </c>
      <c r="H55" s="258"/>
      <c r="I55" s="258">
        <f>('C1-Incomes'!J54-'C1-Incomes'!K54)/'C0-Ref Stats'!$R52*1000*'C0-Ref Stats'!$AA52/0.9</f>
        <v>31732.915805897304</v>
      </c>
      <c r="J55" s="258">
        <f>('C1-Incomes'!K54-'C1-Incomes'!L54)/'C0-Ref Stats'!$R52*1000*'C0-Ref Stats'!$AA52/0.05</f>
        <v>97838.796373652513</v>
      </c>
      <c r="K55" s="258">
        <f>('C1-Incomes'!L54-'C1-Incomes'!M54)/'C0-Ref Stats'!$R52*1000*'C0-Ref Stats'!$AA52/0.04</f>
        <v>155163.69441653788</v>
      </c>
      <c r="L55" s="258">
        <f>('C1-Incomes'!M54-'C1-Incomes'!N54)/'C0-Ref Stats'!$R52*1000*'C0-Ref Stats'!$AA52/0.005</f>
        <v>303015.96300292201</v>
      </c>
      <c r="M55" s="258">
        <f>('C1-Incomes'!N54-'C1-Incomes'!O54)/'C0-Ref Stats'!$R52*1000*'C0-Ref Stats'!$AA52/0.004</f>
        <v>573102.4090256854</v>
      </c>
      <c r="N55" s="258">
        <f>('C1-Incomes'!O54-'C1-Incomes'!P54)/'C0-Ref Stats'!$R52*1000*'C0-Ref Stats'!$AA52/0.0009</f>
        <v>1918103.0837977196</v>
      </c>
      <c r="O55" s="47"/>
      <c r="P55" s="258">
        <f>('C1-Incomes'!R54-'C1-Incomes'!S54)/'C0-Ref Stats'!$R52*1000*'C0-Ref Stats'!$AA52/0.9</f>
        <v>38037.635141866231</v>
      </c>
      <c r="Q55" s="258">
        <f>('C1-Incomes'!S54-'C1-Incomes'!T54)/'C0-Ref Stats'!$R52*1000*'C0-Ref Stats'!$AA52/0.05</f>
        <v>101066.91057987804</v>
      </c>
      <c r="R55" s="258">
        <f>('C1-Incomes'!T54-'C1-Incomes'!U54)/'C0-Ref Stats'!$R52*1000*'C0-Ref Stats'!$AA52/0.04</f>
        <v>158183.1460012586</v>
      </c>
      <c r="S55" s="258">
        <f>('C1-Incomes'!U54-'C1-Incomes'!V54)/'C0-Ref Stats'!$R52*1000*'C0-Ref Stats'!$AA52/0.005</f>
        <v>306203.54013600061</v>
      </c>
      <c r="T55" s="258">
        <f>('C1-Incomes'!V54-'C1-Incomes'!W54)/'C0-Ref Stats'!$R52*1000*'C0-Ref Stats'!$AA52/0.004</f>
        <v>576527.07473082631</v>
      </c>
      <c r="U55" s="258">
        <f>('C1-Incomes'!W54-'C1-Incomes'!X54)/'C0-Ref Stats'!$R52*1000*'C0-Ref Stats'!$AA52/0.0009</f>
        <v>1922088.5024395969</v>
      </c>
      <c r="V55" s="258"/>
      <c r="W55" s="258">
        <f>('C1-Incomes'!Z54-'C1-Incomes'!AA54)/'C0-Ref Stats'!$R52*1000*'C0-Ref Stats'!$AA52/0.9</f>
        <v>36711.577829502079</v>
      </c>
      <c r="X55" s="258">
        <f>('C1-Incomes'!AA54-'C1-Incomes'!AB54)/'C0-Ref Stats'!$R52*1000*'C0-Ref Stats'!$AA52/0.05</f>
        <v>81239.01195015246</v>
      </c>
      <c r="Y55" s="258">
        <f>('C1-Incomes'!AB54-'C1-Incomes'!AC54)/'C0-Ref Stats'!$R52*1000*'C0-Ref Stats'!$AA52/0.04</f>
        <v>120542.3777345737</v>
      </c>
      <c r="Z55" s="258">
        <f>('C1-Incomes'!AC54-'C1-Incomes'!AD54)/'C0-Ref Stats'!$R52*1000*'C0-Ref Stats'!$AA52/0.005</f>
        <v>219062.65356323964</v>
      </c>
      <c r="AA55" s="258">
        <f>('C1-Incomes'!AD54-'C1-Incomes'!AE54)/'C0-Ref Stats'!$R52*1000*'C0-Ref Stats'!$AA52/0.004</f>
        <v>392431.26986442955</v>
      </c>
      <c r="AB55" s="258">
        <f>('C1-Incomes'!AE54-'C1-Incomes'!AF54)/'C0-Ref Stats'!$R52*1000*'C0-Ref Stats'!$AA52/0.0009</f>
        <v>1221220.1786119509</v>
      </c>
      <c r="AD55" s="258">
        <f>'C1-Incomes'!C54/'C0-Ref Stats'!$B52*1000*'C0-Ref Stats'!$AA52/0.1</f>
        <v>260310.21722982565</v>
      </c>
      <c r="AE55" s="258">
        <f>'C1-Incomes'!D54/'C0-Ref Stats'!$B52*1000*'C0-Ref Stats'!$AA52/0.05</f>
        <v>385519.85950261069</v>
      </c>
      <c r="AF55" s="258">
        <f>'C1-Incomes'!E54/'C0-Ref Stats'!$B52*1000*'C0-Ref Stats'!$AA52/0.01</f>
        <v>1036341.8984529508</v>
      </c>
      <c r="AG55" s="258">
        <f>'C1-Incomes'!F54/'C0-Ref Stats'!$B52*1000*'C0-Ref Stats'!$AA52/0.005</f>
        <v>1615902.7890508724</v>
      </c>
      <c r="AH55" s="258">
        <f>'C1-Incomes'!G54/'C0-Ref Stats'!$B52*1000*'C0-Ref Stats'!$AA52/0.001</f>
        <v>4549281.1391048096</v>
      </c>
      <c r="AI55" s="258">
        <f>'C1-Incomes'!H54/'C0-Ref Stats'!$B52*1000*'C0-Ref Stats'!$AA52/0.0001</f>
        <v>18953506.967098102</v>
      </c>
      <c r="AJ55" s="47"/>
      <c r="AK55" s="258">
        <f>'C1-Incomes'!K54/'C0-Ref Stats'!$R52*1000*'C0-Ref Stats'!$AA52/0.1</f>
        <v>179308.94120896832</v>
      </c>
      <c r="AL55" s="258">
        <f>'C1-Incomes'!L54/'C0-Ref Stats'!$R52*1000*'C0-Ref Stats'!$AA52/0.05</f>
        <v>260779.08604428414</v>
      </c>
      <c r="AM55" s="258">
        <f>'C1-Incomes'!M54/'C0-Ref Stats'!$R52*1000*'C0-Ref Stats'!$AA52/0.01</f>
        <v>683240.65255526907</v>
      </c>
      <c r="AN55" s="258">
        <f>'C1-Incomes'!N54/'C0-Ref Stats'!$R52*1000*'C0-Ref Stats'!$AA52/0.005</f>
        <v>1063465.3421076159</v>
      </c>
      <c r="AO55" s="258">
        <f>'C1-Incomes'!O54/'C0-Ref Stats'!$R52*1000*'C0-Ref Stats'!$AA52/0.001</f>
        <v>3024917.0744353393</v>
      </c>
      <c r="AP55" s="258">
        <f>'C1-Incomes'!P54/'C0-Ref Stats'!$R52*1000*'C0-Ref Stats'!$AA52/0.0001</f>
        <v>12986242.990173912</v>
      </c>
      <c r="AQ55" s="47"/>
      <c r="AR55" s="258">
        <f>'C1-Incomes'!S54/'C0-Ref Stats'!$R52*1000*'C0-Ref Stats'!$AA52/0.1</f>
        <v>182468.13994176371</v>
      </c>
      <c r="AS55" s="258">
        <f>'C1-Incomes'!T54/'C0-Ref Stats'!$R52*1000*'C0-Ref Stats'!$AA52/0.05</f>
        <v>263869.36930364947</v>
      </c>
      <c r="AT55" s="258">
        <f>'C1-Incomes'!U54/'C0-Ref Stats'!$R52*1000*'C0-Ref Stats'!$AA52/0.01</f>
        <v>686614.26251321263</v>
      </c>
      <c r="AU55" s="258">
        <f>'C1-Incomes'!V54/'C0-Ref Stats'!$R52*1000*'C0-Ref Stats'!$AA52/0.005</f>
        <v>1067024.9848904249</v>
      </c>
      <c r="AV55" s="258">
        <f>'C1-Incomes'!W54/'C0-Ref Stats'!$R52*1000*'C0-Ref Stats'!$AA52/0.001</f>
        <v>3029016.6255288189</v>
      </c>
      <c r="AW55" s="258">
        <f>'C1-Incomes'!X54/'C0-Ref Stats'!$R52*1000*'C0-Ref Stats'!$AA52/0.0001</f>
        <v>12991369.733331816</v>
      </c>
      <c r="AX55" s="258"/>
      <c r="AY55" s="258">
        <f>'C1-Incomes'!AA54/'C0-Ref Stats'!$R52*1000*'C0-Ref Stats'!$AA52/0.1</f>
        <v>134500.99829359839</v>
      </c>
      <c r="AZ55" s="258">
        <f>'C1-Incomes'!AB54/'C0-Ref Stats'!$R52*1000*'C0-Ref Stats'!$AA52/0.05</f>
        <v>187762.98463704428</v>
      </c>
      <c r="BA55" s="258">
        <f>'C1-Incomes'!AC54/'C0-Ref Stats'!$R52*1000*'C0-Ref Stats'!$AA52/0.01</f>
        <v>456645.41224692675</v>
      </c>
      <c r="BB55" s="258">
        <f>'C1-Incomes'!AD54/'C0-Ref Stats'!$R52*1000*'C0-Ref Stats'!$AA52/0.005</f>
        <v>694228.17093061376</v>
      </c>
      <c r="BC55" s="258">
        <f>'C1-Incomes'!AE54/'C0-Ref Stats'!$R52*1000*'C0-Ref Stats'!$AA52/0.001</f>
        <v>1901415.7751953509</v>
      </c>
      <c r="BD55" s="258">
        <f>'C1-Incomes'!AF54/'C0-Ref Stats'!$R52*1000*'C0-Ref Stats'!$AA52/0.0001</f>
        <v>8023176.1444459511</v>
      </c>
      <c r="BF55" s="258">
        <v>116200</v>
      </c>
      <c r="BG55" s="258">
        <v>161700</v>
      </c>
      <c r="BH55" s="258">
        <v>375600</v>
      </c>
      <c r="BI55" s="258">
        <v>578000</v>
      </c>
      <c r="BJ55" s="258">
        <v>1639000</v>
      </c>
      <c r="BK55" s="258">
        <v>7600000</v>
      </c>
      <c r="BM55" s="258">
        <v>253800</v>
      </c>
      <c r="BN55" s="258">
        <v>669298.62583966018</v>
      </c>
      <c r="BO55" s="1254">
        <f t="shared" si="0"/>
        <v>1.6108323450820285</v>
      </c>
      <c r="BP55" s="1254">
        <f t="shared" si="4"/>
        <v>1.5684519187892021</v>
      </c>
      <c r="BQ55" s="480"/>
      <c r="BR55" s="258">
        <v>388800</v>
      </c>
      <c r="BS55" s="258">
        <v>995140.97482333041</v>
      </c>
      <c r="BT55" s="258">
        <v>613100</v>
      </c>
      <c r="BU55" s="258">
        <v>1509984.3393214375</v>
      </c>
      <c r="BV55" s="1254">
        <f t="shared" si="8"/>
        <v>1.6412233646477292</v>
      </c>
      <c r="BW55" s="1254">
        <f t="shared" si="11"/>
        <v>1.6835887004826706</v>
      </c>
      <c r="BY55" s="258">
        <v>392200</v>
      </c>
      <c r="BZ55" s="258">
        <v>1008430.0032558166</v>
      </c>
      <c r="CA55" s="258">
        <v>616800</v>
      </c>
      <c r="CB55" s="258">
        <v>1531141.183828227</v>
      </c>
      <c r="CC55" s="1254">
        <f t="shared" si="9"/>
        <v>1.6364506725213528</v>
      </c>
      <c r="CD55" s="1254">
        <f t="shared" si="12"/>
        <v>1.6745840731110231</v>
      </c>
      <c r="CF55" s="258">
        <v>278400</v>
      </c>
      <c r="CG55" s="258">
        <v>704095.95052100206</v>
      </c>
      <c r="CH55" s="258">
        <v>418500</v>
      </c>
      <c r="CI55" s="258">
        <v>1036673.236433377</v>
      </c>
      <c r="CJ55" s="1254">
        <f t="shared" si="10"/>
        <v>1.6539878983092768</v>
      </c>
      <c r="CK55" s="1254">
        <f t="shared" si="13"/>
        <v>1.6769946923205294</v>
      </c>
      <c r="CM55" s="1183">
        <v>0.61692787869999999</v>
      </c>
      <c r="CN55" s="1183">
        <v>0.57636925880000001</v>
      </c>
    </row>
    <row r="56" spans="1:92" s="256" customFormat="1" ht="9.75" customHeight="1" x14ac:dyDescent="0.25">
      <c r="A56" s="254">
        <v>2007</v>
      </c>
      <c r="B56" s="258">
        <f>('C1-Incomes'!B55-'C1-Incomes'!C55)/'C0-Ref Stats'!$B53*1000*'C0-Ref Stats'!$AA53/0.9</f>
        <v>35186.075656425855</v>
      </c>
      <c r="C56" s="258">
        <f>('C1-Incomes'!C55-'C1-Incomes'!D55)/'C0-Ref Stats'!$B53*1000*'C0-Ref Stats'!$AA53/0.05</f>
        <v>138178.20288640328</v>
      </c>
      <c r="D56" s="258">
        <f>('C1-Incomes'!D55-'C1-Incomes'!E55)/'C0-Ref Stats'!$B53*1000*'C0-Ref Stats'!$AA53/0.04</f>
        <v>229306.07578197381</v>
      </c>
      <c r="E56" s="258">
        <f>('C1-Incomes'!E55-'C1-Incomes'!F55)/'C0-Ref Stats'!$B53*1000*'C0-Ref Stats'!$AA53/0.005</f>
        <v>475466.23524588265</v>
      </c>
      <c r="F56" s="258">
        <f>('C1-Incomes'!F55-'C1-Incomes'!G55)/'C0-Ref Stats'!$B53*1000*'C0-Ref Stats'!$AA53/0.004</f>
        <v>913025.32873075374</v>
      </c>
      <c r="G56" s="258">
        <f>('C1-Incomes'!G55-'C1-Incomes'!H55)/'C0-Ref Stats'!$B53*1000*'C0-Ref Stats'!$AA53/0.0009</f>
        <v>3057794.6261429694</v>
      </c>
      <c r="H56" s="258"/>
      <c r="I56" s="258">
        <f>('C1-Incomes'!J55-'C1-Incomes'!K55)/'C0-Ref Stats'!$R53*1000*'C0-Ref Stats'!$AA53/0.9</f>
        <v>31539.762459869384</v>
      </c>
      <c r="J56" s="258">
        <f>('C1-Incomes'!K55-'C1-Incomes'!L55)/'C0-Ref Stats'!$R53*1000*'C0-Ref Stats'!$AA53/0.05</f>
        <v>96107.586341870439</v>
      </c>
      <c r="K56" s="258">
        <f>('C1-Incomes'!L55-'C1-Incomes'!M55)/'C0-Ref Stats'!$R53*1000*'C0-Ref Stats'!$AA53/0.04</f>
        <v>153037.0336935409</v>
      </c>
      <c r="L56" s="258">
        <f>('C1-Incomes'!M55-'C1-Incomes'!N55)/'C0-Ref Stats'!$R53*1000*'C0-Ref Stats'!$AA53/0.005</f>
        <v>300218.88233613496</v>
      </c>
      <c r="M56" s="258">
        <f>('C1-Incomes'!N55-'C1-Incomes'!O55)/'C0-Ref Stats'!$R53*1000*'C0-Ref Stats'!$AA53/0.004</f>
        <v>562827.57839267165</v>
      </c>
      <c r="N56" s="258">
        <f>('C1-Incomes'!O55-'C1-Incomes'!P55)/'C0-Ref Stats'!$R53*1000*'C0-Ref Stats'!$AA53/0.0009</f>
        <v>1864851.9870873848</v>
      </c>
      <c r="O56" s="47"/>
      <c r="P56" s="258">
        <f>('C1-Incomes'!R55-'C1-Incomes'!S55)/'C0-Ref Stats'!$R53*1000*'C0-Ref Stats'!$AA53/0.9</f>
        <v>38024.394387388762</v>
      </c>
      <c r="Q56" s="258">
        <f>('C1-Incomes'!S55-'C1-Incomes'!T55)/'C0-Ref Stats'!$R53*1000*'C0-Ref Stats'!$AA53/0.05</f>
        <v>99339.990994750769</v>
      </c>
      <c r="R56" s="258">
        <f>('C1-Incomes'!T55-'C1-Incomes'!U55)/'C0-Ref Stats'!$R53*1000*'C0-Ref Stats'!$AA53/0.04</f>
        <v>156137.76201736191</v>
      </c>
      <c r="S56" s="258">
        <f>('C1-Incomes'!U55-'C1-Incomes'!V55)/'C0-Ref Stats'!$R53*1000*'C0-Ref Stats'!$AA53/0.005</f>
        <v>303105.56678541313</v>
      </c>
      <c r="T56" s="258">
        <f>('C1-Incomes'!V55-'C1-Incomes'!W55)/'C0-Ref Stats'!$R53*1000*'C0-Ref Stats'!$AA53/0.004</f>
        <v>566039.0039578717</v>
      </c>
      <c r="U56" s="258">
        <f>('C1-Incomes'!W55-'C1-Incomes'!X55)/'C0-Ref Stats'!$R53*1000*'C0-Ref Stats'!$AA53/0.0009</f>
        <v>1868373.503047619</v>
      </c>
      <c r="V56" s="258"/>
      <c r="W56" s="258">
        <f>('C1-Incomes'!Z55-'C1-Incomes'!AA55)/'C0-Ref Stats'!$R53*1000*'C0-Ref Stats'!$AA53/0.9</f>
        <v>36701.9587354662</v>
      </c>
      <c r="X56" s="258">
        <f>('C1-Incomes'!AA55-'C1-Incomes'!AB55)/'C0-Ref Stats'!$R53*1000*'C0-Ref Stats'!$AA53/0.05</f>
        <v>79408.820417606301</v>
      </c>
      <c r="Y56" s="258">
        <f>('C1-Incomes'!AB55-'C1-Incomes'!AC55)/'C0-Ref Stats'!$R53*1000*'C0-Ref Stats'!$AA53/0.04</f>
        <v>117085.52978833613</v>
      </c>
      <c r="Z56" s="258">
        <f>('C1-Incomes'!AC55-'C1-Incomes'!AD55)/'C0-Ref Stats'!$R53*1000*'C0-Ref Stats'!$AA53/0.005</f>
        <v>212339.25853401033</v>
      </c>
      <c r="AA56" s="258">
        <f>('C1-Incomes'!AD55-'C1-Incomes'!AE55)/'C0-Ref Stats'!$R53*1000*'C0-Ref Stats'!$AA53/0.004</f>
        <v>375188.40654443001</v>
      </c>
      <c r="AB56" s="258">
        <f>('C1-Incomes'!AE55-'C1-Incomes'!AF55)/'C0-Ref Stats'!$R53*1000*'C0-Ref Stats'!$AA53/0.0009</f>
        <v>1139857.9904272754</v>
      </c>
      <c r="AD56" s="258">
        <f>'C1-Incomes'!C55/'C0-Ref Stats'!$B53*1000*'C0-Ref Stats'!$AA53/0.1</f>
        <v>269248.71544753766</v>
      </c>
      <c r="AE56" s="258">
        <f>'C1-Incomes'!D55/'C0-Ref Stats'!$B53*1000*'C0-Ref Stats'!$AA53/0.05</f>
        <v>400319.22800867195</v>
      </c>
      <c r="AF56" s="258">
        <f>'C1-Incomes'!E55/'C0-Ref Stats'!$B53*1000*'C0-Ref Stats'!$AA53/0.01</f>
        <v>1084371.8369154648</v>
      </c>
      <c r="AG56" s="258">
        <f>'C1-Incomes'!F55/'C0-Ref Stats'!$B53*1000*'C0-Ref Stats'!$AA53/0.005</f>
        <v>1693277.4385850471</v>
      </c>
      <c r="AH56" s="258">
        <f>'C1-Incomes'!G55/'C0-Ref Stats'!$B53*1000*'C0-Ref Stats'!$AA53/0.001</f>
        <v>4814285.8780022208</v>
      </c>
      <c r="AI56" s="258">
        <f>'C1-Incomes'!H55/'C0-Ref Stats'!$B53*1000*'C0-Ref Stats'!$AA53/0.0001</f>
        <v>20622707.144735478</v>
      </c>
      <c r="AJ56" s="47"/>
      <c r="AK56" s="258">
        <f>'C1-Incomes'!K55/'C0-Ref Stats'!$R53*1000*'C0-Ref Stats'!$AA53/0.1</f>
        <v>176534.69655708154</v>
      </c>
      <c r="AL56" s="258">
        <f>'C1-Incomes'!L55/'C0-Ref Stats'!$R53*1000*'C0-Ref Stats'!$AA53/0.05</f>
        <v>256961.80677229262</v>
      </c>
      <c r="AM56" s="258">
        <f>'C1-Incomes'!M55/'C0-Ref Stats'!$R53*1000*'C0-Ref Stats'!$AA53/0.01</f>
        <v>672660.89908729959</v>
      </c>
      <c r="AN56" s="258">
        <f>'C1-Incomes'!N55/'C0-Ref Stats'!$R53*1000*'C0-Ref Stats'!$AA53/0.005</f>
        <v>1045102.9158384643</v>
      </c>
      <c r="AO56" s="258">
        <f>'C1-Incomes'!O55/'C0-Ref Stats'!$R53*1000*'C0-Ref Stats'!$AA53/0.001</f>
        <v>2974204.2656216347</v>
      </c>
      <c r="AP56" s="258">
        <f>'C1-Incomes'!P55/'C0-Ref Stats'!$R53*1000*'C0-Ref Stats'!$AA53/0.0001</f>
        <v>12958374.772429883</v>
      </c>
      <c r="AQ56" s="47"/>
      <c r="AR56" s="258">
        <f>'C1-Incomes'!S55/'C0-Ref Stats'!$R53*1000*'C0-Ref Stats'!$AA53/0.1</f>
        <v>179700.18780442647</v>
      </c>
      <c r="AS56" s="258">
        <f>'C1-Incomes'!T55/'C0-Ref Stats'!$R53*1000*'C0-Ref Stats'!$AA53/0.05</f>
        <v>260060.38461410216</v>
      </c>
      <c r="AT56" s="258">
        <f>'C1-Incomes'!U55/'C0-Ref Stats'!$R53*1000*'C0-Ref Stats'!$AA53/0.01</f>
        <v>675750.87500106334</v>
      </c>
      <c r="AU56" s="258">
        <f>'C1-Incomes'!V55/'C0-Ref Stats'!$R53*1000*'C0-Ref Stats'!$AA53/0.005</f>
        <v>1048396.1832167135</v>
      </c>
      <c r="AV56" s="258">
        <f>'C1-Incomes'!W55/'C0-Ref Stats'!$R53*1000*'C0-Ref Stats'!$AA53/0.001</f>
        <v>2977824.9002520801</v>
      </c>
      <c r="AW56" s="258">
        <f>'C1-Incomes'!X55/'C0-Ref Stats'!$R53*1000*'C0-Ref Stats'!$AA53/0.0001</f>
        <v>12962887.47509223</v>
      </c>
      <c r="AX56" s="258"/>
      <c r="AY56" s="258">
        <f>'C1-Incomes'!AA55/'C0-Ref Stats'!$R53*1000*'C0-Ref Stats'!$AA53/0.1</f>
        <v>130074.86707871911</v>
      </c>
      <c r="AZ56" s="258">
        <f>'C1-Incomes'!AB55/'C0-Ref Stats'!$R53*1000*'C0-Ref Stats'!$AA53/0.05</f>
        <v>180740.91373983189</v>
      </c>
      <c r="BA56" s="258">
        <f>'C1-Incomes'!AC55/'C0-Ref Stats'!$R53*1000*'C0-Ref Stats'!$AA53/0.01</f>
        <v>435362.44954581489</v>
      </c>
      <c r="BB56" s="258">
        <f>'C1-Incomes'!AD55/'C0-Ref Stats'!$R53*1000*'C0-Ref Stats'!$AA53/0.005</f>
        <v>658385.64055761951</v>
      </c>
      <c r="BC56" s="258">
        <f>'C1-Incomes'!AE55/'C0-Ref Stats'!$R53*1000*'C0-Ref Stats'!$AA53/0.001</f>
        <v>1791174.576610378</v>
      </c>
      <c r="BD56" s="258">
        <f>'C1-Incomes'!AF55/'C0-Ref Stats'!$R53*1000*'C0-Ref Stats'!$AA53/0.0001</f>
        <v>7653023.8522583004</v>
      </c>
      <c r="BF56" s="258">
        <v>118600</v>
      </c>
      <c r="BG56" s="258">
        <v>165600</v>
      </c>
      <c r="BH56" s="258">
        <v>391000</v>
      </c>
      <c r="BI56" s="258">
        <v>596000</v>
      </c>
      <c r="BJ56" s="258">
        <v>1703000</v>
      </c>
      <c r="BK56" s="258">
        <v>7880000</v>
      </c>
      <c r="BM56" s="258">
        <v>261400</v>
      </c>
      <c r="BN56" s="258">
        <v>698408.77620475914</v>
      </c>
      <c r="BO56" s="1254">
        <f t="shared" si="0"/>
        <v>1.5981573236815771</v>
      </c>
      <c r="BP56" s="1254">
        <f t="shared" si="4"/>
        <v>1.5639109914521525</v>
      </c>
      <c r="BQ56" s="480"/>
      <c r="BR56" s="258">
        <v>377600</v>
      </c>
      <c r="BS56" s="258">
        <v>983088.82549294026</v>
      </c>
      <c r="BT56" s="258">
        <v>609300</v>
      </c>
      <c r="BU56" s="258">
        <v>1491562.0441560408</v>
      </c>
      <c r="BV56" s="1254">
        <f t="shared" si="8"/>
        <v>1.6236283546481447</v>
      </c>
      <c r="BW56" s="1254">
        <f t="shared" si="11"/>
        <v>1.6906111444280114</v>
      </c>
      <c r="BY56" s="258">
        <v>381400</v>
      </c>
      <c r="BZ56" s="258">
        <v>995814.4277969856</v>
      </c>
      <c r="CA56" s="258">
        <v>613900</v>
      </c>
      <c r="CB56" s="258">
        <v>1511695.7365535032</v>
      </c>
      <c r="CC56" s="1254">
        <f t="shared" si="9"/>
        <v>1.6207536521685033</v>
      </c>
      <c r="CD56" s="1254">
        <f t="shared" si="12"/>
        <v>1.6837858267813408</v>
      </c>
      <c r="CF56" s="258">
        <v>268900</v>
      </c>
      <c r="CG56" s="258">
        <v>677864.34093439917</v>
      </c>
      <c r="CH56" s="258">
        <v>408300</v>
      </c>
      <c r="CI56" s="258">
        <v>994595.04582950205</v>
      </c>
      <c r="CJ56" s="1254">
        <f t="shared" si="10"/>
        <v>1.6575145387630104</v>
      </c>
      <c r="CK56" s="1254">
        <f t="shared" si="13"/>
        <v>1.6964070443787034</v>
      </c>
      <c r="CM56" s="1183">
        <v>0.61865129429999999</v>
      </c>
      <c r="CN56" s="1183">
        <v>0.569463155</v>
      </c>
    </row>
    <row r="57" spans="1:92" s="256" customFormat="1" ht="9.75" customHeight="1" x14ac:dyDescent="0.25">
      <c r="A57" s="254">
        <v>2008</v>
      </c>
      <c r="B57" s="258">
        <f>('C1-Incomes'!B56-'C1-Incomes'!C56)/'C0-Ref Stats'!$B54*1000*'C0-Ref Stats'!$AA54/0.9</f>
        <v>33399.509771192068</v>
      </c>
      <c r="C57" s="258">
        <f>('C1-Incomes'!C56-'C1-Incomes'!D56)/'C0-Ref Stats'!$B54*1000*'C0-Ref Stats'!$AA54/0.05</f>
        <v>136589.88358282929</v>
      </c>
      <c r="D57" s="258">
        <f>('C1-Incomes'!D56-'C1-Incomes'!E56)/'C0-Ref Stats'!$B54*1000*'C0-Ref Stats'!$AA54/0.04</f>
        <v>224942.93516317784</v>
      </c>
      <c r="E57" s="258">
        <f>('C1-Incomes'!E56-'C1-Incomes'!F56)/'C0-Ref Stats'!$B54*1000*'C0-Ref Stats'!$AA54/0.005</f>
        <v>453573.13231585559</v>
      </c>
      <c r="F57" s="258">
        <f>('C1-Incomes'!F56-'C1-Incomes'!G56)/'C0-Ref Stats'!$B54*1000*'C0-Ref Stats'!$AA54/0.004</f>
        <v>856970.73563111015</v>
      </c>
      <c r="G57" s="258">
        <f>('C1-Incomes'!G56-'C1-Incomes'!H56)/'C0-Ref Stats'!$B54*1000*'C0-Ref Stats'!$AA54/0.0009</f>
        <v>2799577.5044683856</v>
      </c>
      <c r="H57" s="258"/>
      <c r="I57" s="258">
        <f>('C1-Incomes'!J56-'C1-Incomes'!K56)/'C0-Ref Stats'!$R54*1000*'C0-Ref Stats'!$AA54/0.9</f>
        <v>30660.351736752764</v>
      </c>
      <c r="J57" s="258">
        <f>('C1-Incomes'!K56-'C1-Incomes'!L56)/'C0-Ref Stats'!$R54*1000*'C0-Ref Stats'!$AA54/0.05</f>
        <v>95796.582931524332</v>
      </c>
      <c r="K57" s="258">
        <f>('C1-Incomes'!L56-'C1-Incomes'!M56)/'C0-Ref Stats'!$R54*1000*'C0-Ref Stats'!$AA54/0.04</f>
        <v>150724.92357102971</v>
      </c>
      <c r="L57" s="258">
        <f>('C1-Incomes'!M56-'C1-Incomes'!N56)/'C0-Ref Stats'!$R54*1000*'C0-Ref Stats'!$AA54/0.005</f>
        <v>287342.30994668946</v>
      </c>
      <c r="M57" s="258">
        <f>('C1-Incomes'!N56-'C1-Incomes'!O56)/'C0-Ref Stats'!$R54*1000*'C0-Ref Stats'!$AA54/0.004</f>
        <v>527060.00541293004</v>
      </c>
      <c r="N57" s="258">
        <f>('C1-Incomes'!O56-'C1-Incomes'!P56)/'C0-Ref Stats'!$R54*1000*'C0-Ref Stats'!$AA54/0.0009</f>
        <v>1681532.8353200597</v>
      </c>
      <c r="O57" s="47"/>
      <c r="P57" s="258">
        <f>('C1-Incomes'!R56-'C1-Incomes'!S56)/'C0-Ref Stats'!$R54*1000*'C0-Ref Stats'!$AA54/0.9</f>
        <v>38054.516573830202</v>
      </c>
      <c r="Q57" s="258">
        <f>('C1-Incomes'!S56-'C1-Incomes'!T56)/'C0-Ref Stats'!$R54*1000*'C0-Ref Stats'!$AA54/0.05</f>
        <v>99497.777612536272</v>
      </c>
      <c r="R57" s="258">
        <f>('C1-Incomes'!T56-'C1-Incomes'!U56)/'C0-Ref Stats'!$R54*1000*'C0-Ref Stats'!$AA54/0.04</f>
        <v>153827.76883683688</v>
      </c>
      <c r="S57" s="258">
        <f>('C1-Incomes'!U56-'C1-Incomes'!V56)/'C0-Ref Stats'!$R54*1000*'C0-Ref Stats'!$AA54/0.005</f>
        <v>290337.97036697197</v>
      </c>
      <c r="T57" s="258">
        <f>('C1-Incomes'!V56-'C1-Incomes'!W56)/'C0-Ref Stats'!$R54*1000*'C0-Ref Stats'!$AA54/0.004</f>
        <v>530468.2199858235</v>
      </c>
      <c r="U57" s="258">
        <f>('C1-Incomes'!W56-'C1-Incomes'!X56)/'C0-Ref Stats'!$R54*1000*'C0-Ref Stats'!$AA54/0.0009</f>
        <v>1685456.6662187474</v>
      </c>
      <c r="V57" s="258"/>
      <c r="W57" s="258">
        <f>('C1-Incomes'!Z56-'C1-Incomes'!AA56)/'C0-Ref Stats'!$R54*1000*'C0-Ref Stats'!$AA54/0.9</f>
        <v>36288.486697420798</v>
      </c>
      <c r="X57" s="258">
        <f>('C1-Incomes'!AA56-'C1-Incomes'!AB56)/'C0-Ref Stats'!$R54*1000*'C0-Ref Stats'!$AA54/0.05</f>
        <v>76056.766543580612</v>
      </c>
      <c r="Y57" s="258">
        <f>('C1-Incomes'!AB56-'C1-Incomes'!AC56)/'C0-Ref Stats'!$R54*1000*'C0-Ref Stats'!$AA54/0.04</f>
        <v>109957.38576724259</v>
      </c>
      <c r="Z57" s="258">
        <f>('C1-Incomes'!AC56-'C1-Incomes'!AD56)/'C0-Ref Stats'!$R54*1000*'C0-Ref Stats'!$AA54/0.005</f>
        <v>191418.75949666681</v>
      </c>
      <c r="AA57" s="258">
        <f>('C1-Incomes'!AD56-'C1-Incomes'!AE56)/'C0-Ref Stats'!$R54*1000*'C0-Ref Stats'!$AA54/0.004</f>
        <v>332847.98997962591</v>
      </c>
      <c r="AB57" s="258">
        <f>('C1-Incomes'!AE56-'C1-Incomes'!AF56)/'C0-Ref Stats'!$R54*1000*'C0-Ref Stats'!$AA54/0.0009</f>
        <v>955817.9227373543</v>
      </c>
      <c r="AD57" s="258">
        <f>'C1-Incomes'!C56/'C0-Ref Stats'!$B54*1000*'C0-Ref Stats'!$AA54/0.1</f>
        <v>259614.7365038633</v>
      </c>
      <c r="AE57" s="258">
        <f>'C1-Incomes'!D56/'C0-Ref Stats'!$B54*1000*'C0-Ref Stats'!$AA54/0.05</f>
        <v>382639.58942489733</v>
      </c>
      <c r="AF57" s="258">
        <f>'C1-Incomes'!E56/'C0-Ref Stats'!$B54*1000*'C0-Ref Stats'!$AA54/0.01</f>
        <v>1013426.2064717753</v>
      </c>
      <c r="AG57" s="258">
        <f>'C1-Incomes'!F56/'C0-Ref Stats'!$B54*1000*'C0-Ref Stats'!$AA54/0.005</f>
        <v>1573279.2806276949</v>
      </c>
      <c r="AH57" s="258">
        <f>'C1-Incomes'!G56/'C0-Ref Stats'!$B54*1000*'C0-Ref Stats'!$AA54/0.001</f>
        <v>4438513.460614034</v>
      </c>
      <c r="AI57" s="258">
        <f>'C1-Incomes'!H56/'C0-Ref Stats'!$B54*1000*'C0-Ref Stats'!$AA54/0.0001</f>
        <v>19188937.065924868</v>
      </c>
      <c r="AJ57" s="47"/>
      <c r="AK57" s="258">
        <f>'C1-Incomes'!K56/'C0-Ref Stats'!$R54*1000*'C0-Ref Stats'!$AA54/0.1</f>
        <v>170487.79778128071</v>
      </c>
      <c r="AL57" s="258">
        <f>'C1-Incomes'!L56/'C0-Ref Stats'!$R54*1000*'C0-Ref Stats'!$AA54/0.05</f>
        <v>245179.0126310371</v>
      </c>
      <c r="AM57" s="258">
        <f>'C1-Incomes'!M56/'C0-Ref Stats'!$R54*1000*'C0-Ref Stats'!$AA54/0.01</f>
        <v>622995.3688710666</v>
      </c>
      <c r="AN57" s="258">
        <f>'C1-Incomes'!N56/'C0-Ref Stats'!$R54*1000*'C0-Ref Stats'!$AA54/0.005</f>
        <v>958648.42779544357</v>
      </c>
      <c r="AO57" s="258">
        <f>'C1-Incomes'!O56/'C0-Ref Stats'!$R54*1000*'C0-Ref Stats'!$AA54/0.001</f>
        <v>2685002.1173254987</v>
      </c>
      <c r="AP57" s="258">
        <f>'C1-Incomes'!P56/'C0-Ref Stats'!$R54*1000*'C0-Ref Stats'!$AA54/0.0001</f>
        <v>11716225.655374449</v>
      </c>
      <c r="AQ57" s="47"/>
      <c r="AR57" s="258">
        <f>'C1-Incomes'!S56/'C0-Ref Stats'!$R54*1000*'C0-Ref Stats'!$AA54/0.1</f>
        <v>173905.4116369774</v>
      </c>
      <c r="AS57" s="258">
        <f>'C1-Incomes'!T56/'C0-Ref Stats'!$R54*1000*'C0-Ref Stats'!$AA54/0.05</f>
        <v>248313.04566141847</v>
      </c>
      <c r="AT57" s="258">
        <f>'C1-Incomes'!U56/'C0-Ref Stats'!$R54*1000*'C0-Ref Stats'!$AA54/0.01</f>
        <v>626254.1529597448</v>
      </c>
      <c r="AU57" s="258">
        <f>'C1-Incomes'!V56/'C0-Ref Stats'!$R54*1000*'C0-Ref Stats'!$AA54/0.005</f>
        <v>962170.33555251767</v>
      </c>
      <c r="AV57" s="258">
        <f>'C1-Incomes'!W56/'C0-Ref Stats'!$R54*1000*'C0-Ref Stats'!$AA54/0.001</f>
        <v>2688978.7978192945</v>
      </c>
      <c r="AW57" s="258">
        <f>'C1-Incomes'!X56/'C0-Ref Stats'!$R54*1000*'C0-Ref Stats'!$AA54/0.0001</f>
        <v>11720677.982224222</v>
      </c>
      <c r="AX57" s="258"/>
      <c r="AY57" s="258">
        <f>'C1-Incomes'!AA56/'C0-Ref Stats'!$R54*1000*'C0-Ref Stats'!$AA54/0.1</f>
        <v>119834.55252981048</v>
      </c>
      <c r="AZ57" s="258">
        <f>'C1-Incomes'!AB56/'C0-Ref Stats'!$R54*1000*'C0-Ref Stats'!$AA54/0.05</f>
        <v>163612.33851604033</v>
      </c>
      <c r="BA57" s="258">
        <f>'C1-Incomes'!AC56/'C0-Ref Stats'!$R54*1000*'C0-Ref Stats'!$AA54/0.01</f>
        <v>378232.14951123128</v>
      </c>
      <c r="BB57" s="258">
        <f>'C1-Incomes'!AD56/'C0-Ref Stats'!$R54*1000*'C0-Ref Stats'!$AA54/0.005</f>
        <v>565045.53952579573</v>
      </c>
      <c r="BC57" s="258">
        <f>'C1-Incomes'!AE56/'C0-Ref Stats'!$R54*1000*'C0-Ref Stats'!$AA54/0.001</f>
        <v>1493835.7377104752</v>
      </c>
      <c r="BD57" s="258">
        <f>'C1-Incomes'!AF56/'C0-Ref Stats'!$R54*1000*'C0-Ref Stats'!$AA54/0.0001</f>
        <v>6335996.0724685658</v>
      </c>
      <c r="BF57" s="258">
        <v>117100</v>
      </c>
      <c r="BG57" s="258">
        <v>163400</v>
      </c>
      <c r="BH57" s="258">
        <v>375000</v>
      </c>
      <c r="BI57" s="258">
        <v>567000</v>
      </c>
      <c r="BJ57" s="258">
        <v>1570000</v>
      </c>
      <c r="BK57" s="258">
        <v>7240000</v>
      </c>
      <c r="BM57" s="258">
        <v>255700</v>
      </c>
      <c r="BN57" s="258">
        <v>658655.64805280755</v>
      </c>
      <c r="BO57" s="1254">
        <f t="shared" si="0"/>
        <v>1.6345611514210379</v>
      </c>
      <c r="BP57" s="1254">
        <f t="shared" si="4"/>
        <v>1.5873819028708351</v>
      </c>
      <c r="BQ57" s="480"/>
      <c r="BR57" s="258">
        <v>371900</v>
      </c>
      <c r="BS57" s="258">
        <v>924088.59335629351</v>
      </c>
      <c r="BT57" s="258">
        <v>578800</v>
      </c>
      <c r="BU57" s="258">
        <v>1382217.44034578</v>
      </c>
      <c r="BV57" s="1254">
        <f t="shared" si="8"/>
        <v>1.6735017790561924</v>
      </c>
      <c r="BW57" s="1254">
        <f t="shared" si="11"/>
        <v>1.7204224988579937</v>
      </c>
      <c r="BY57" s="258">
        <v>375400</v>
      </c>
      <c r="BZ57" s="258">
        <v>936438.45800966106</v>
      </c>
      <c r="CA57" s="258">
        <v>582100</v>
      </c>
      <c r="CB57" s="258">
        <v>1401624.0907237704</v>
      </c>
      <c r="CC57" s="1254">
        <f t="shared" si="9"/>
        <v>1.6691163406725598</v>
      </c>
      <c r="CD57" s="1254">
        <f t="shared" si="12"/>
        <v>1.7102902850432533</v>
      </c>
      <c r="CF57" s="258">
        <v>273900</v>
      </c>
      <c r="CG57" s="258">
        <v>600582.23617328424</v>
      </c>
      <c r="CH57" s="258">
        <v>393800</v>
      </c>
      <c r="CI57" s="258">
        <v>861089.66087606235</v>
      </c>
      <c r="CJ57" s="1254">
        <f t="shared" si="10"/>
        <v>1.8384294267372205</v>
      </c>
      <c r="CK57" s="1254">
        <f t="shared" si="13"/>
        <v>1.8427321059526849</v>
      </c>
      <c r="CM57" s="1183">
        <v>0.63350491590000002</v>
      </c>
      <c r="CN57" s="1183">
        <v>0.57806038410000005</v>
      </c>
    </row>
    <row r="58" spans="1:92" s="256" customFormat="1" ht="9.75" customHeight="1" x14ac:dyDescent="0.25">
      <c r="A58" s="254">
        <v>2009</v>
      </c>
      <c r="B58" s="258">
        <f>('C1-Incomes'!B57-'C1-Incomes'!C57)/'C0-Ref Stats'!$B55*1000*'C0-Ref Stats'!$AA55/0.9</f>
        <v>31697.936608627399</v>
      </c>
      <c r="C58" s="258">
        <f>('C1-Incomes'!C57-'C1-Incomes'!D57)/'C0-Ref Stats'!$B55*1000*'C0-Ref Stats'!$AA55/0.05</f>
        <v>132968.36075924928</v>
      </c>
      <c r="D58" s="258">
        <f>('C1-Incomes'!D57-'C1-Incomes'!E57)/'C0-Ref Stats'!$B55*1000*'C0-Ref Stats'!$AA55/0.04</f>
        <v>214628.66249997867</v>
      </c>
      <c r="E58" s="258">
        <f>('C1-Incomes'!E57-'C1-Incomes'!F57)/'C0-Ref Stats'!$B55*1000*'C0-Ref Stats'!$AA55/0.005</f>
        <v>415503.6645535428</v>
      </c>
      <c r="F58" s="258">
        <f>('C1-Incomes'!F57-'C1-Incomes'!G57)/'C0-Ref Stats'!$B55*1000*'C0-Ref Stats'!$AA55/0.004</f>
        <v>754906.67181476334</v>
      </c>
      <c r="G58" s="258">
        <f>('C1-Incomes'!G57-'C1-Incomes'!H57)/'C0-Ref Stats'!$B55*1000*'C0-Ref Stats'!$AA55/0.0009</f>
        <v>2349676.712047521</v>
      </c>
      <c r="H58" s="258"/>
      <c r="I58" s="258">
        <f>('C1-Incomes'!J57-'C1-Incomes'!K57)/'C0-Ref Stats'!$R55*1000*'C0-Ref Stats'!$AA55/0.9</f>
        <v>29922.887257282426</v>
      </c>
      <c r="J58" s="258">
        <f>('C1-Incomes'!K57-'C1-Incomes'!L57)/'C0-Ref Stats'!$R55*1000*'C0-Ref Stats'!$AA55/0.05</f>
        <v>95081.280012061063</v>
      </c>
      <c r="K58" s="258">
        <f>('C1-Incomes'!L57-'C1-Incomes'!M57)/'C0-Ref Stats'!$R55*1000*'C0-Ref Stats'!$AA55/0.04</f>
        <v>147649.86302638002</v>
      </c>
      <c r="L58" s="258">
        <f>('C1-Incomes'!M57-'C1-Incomes'!N57)/'C0-Ref Stats'!$R55*1000*'C0-Ref Stats'!$AA55/0.005</f>
        <v>273235.99850254122</v>
      </c>
      <c r="M58" s="258">
        <f>('C1-Incomes'!N57-'C1-Incomes'!O57)/'C0-Ref Stats'!$R55*1000*'C0-Ref Stats'!$AA55/0.004</f>
        <v>478618.79689107015</v>
      </c>
      <c r="N58" s="258">
        <f>('C1-Incomes'!O57-'C1-Incomes'!P57)/'C0-Ref Stats'!$R55*1000*'C0-Ref Stats'!$AA55/0.0009</f>
        <v>1459874.8962139853</v>
      </c>
      <c r="O58" s="47"/>
      <c r="P58" s="258">
        <f>('C1-Incomes'!R57-'C1-Incomes'!S57)/'C0-Ref Stats'!$R55*1000*'C0-Ref Stats'!$AA55/0.9</f>
        <v>37625.186806785947</v>
      </c>
      <c r="Q58" s="258">
        <f>('C1-Incomes'!S57-'C1-Incomes'!T57)/'C0-Ref Stats'!$R55*1000*'C0-Ref Stats'!$AA55/0.05</f>
        <v>99022.402469660345</v>
      </c>
      <c r="R58" s="258">
        <f>('C1-Incomes'!T57-'C1-Incomes'!U57)/'C0-Ref Stats'!$R55*1000*'C0-Ref Stats'!$AA55/0.04</f>
        <v>150969.15186757979</v>
      </c>
      <c r="S58" s="258">
        <f>('C1-Incomes'!U57-'C1-Incomes'!V57)/'C0-Ref Stats'!$R55*1000*'C0-Ref Stats'!$AA55/0.005</f>
        <v>276762.76159832161</v>
      </c>
      <c r="T58" s="258">
        <f>('C1-Incomes'!V57-'C1-Incomes'!W57)/'C0-Ref Stats'!$R55*1000*'C0-Ref Stats'!$AA55/0.004</f>
        <v>482548.3856860993</v>
      </c>
      <c r="U58" s="258">
        <f>('C1-Incomes'!W57-'C1-Incomes'!X57)/'C0-Ref Stats'!$R55*1000*'C0-Ref Stats'!$AA55/0.0009</f>
        <v>1464246.7025988547</v>
      </c>
      <c r="V58" s="258"/>
      <c r="W58" s="258">
        <f>('C1-Incomes'!Z57-'C1-Incomes'!AA57)/'C0-Ref Stats'!$R55*1000*'C0-Ref Stats'!$AA55/0.9</f>
        <v>35623.086376238411</v>
      </c>
      <c r="X58" s="258">
        <f>('C1-Incomes'!AA57-'C1-Incomes'!AB57)/'C0-Ref Stats'!$R55*1000*'C0-Ref Stats'!$AA55/0.05</f>
        <v>73309.608418011412</v>
      </c>
      <c r="Y58" s="258">
        <f>('C1-Incomes'!AB57-'C1-Incomes'!AC57)/'C0-Ref Stats'!$R55*1000*'C0-Ref Stats'!$AA55/0.04</f>
        <v>104034.95361527854</v>
      </c>
      <c r="Z58" s="258">
        <f>('C1-Incomes'!AC57-'C1-Incomes'!AD57)/'C0-Ref Stats'!$R55*1000*'C0-Ref Stats'!$AA55/0.005</f>
        <v>176863.64867916796</v>
      </c>
      <c r="AA58" s="258">
        <f>('C1-Incomes'!AD57-'C1-Incomes'!AE57)/'C0-Ref Stats'!$R55*1000*'C0-Ref Stats'!$AA55/0.004</f>
        <v>296275.62509792042</v>
      </c>
      <c r="AB58" s="258">
        <f>('C1-Incomes'!AE57-'C1-Incomes'!AF57)/'C0-Ref Stats'!$R55*1000*'C0-Ref Stats'!$AA55/0.0009</f>
        <v>812772.05379148643</v>
      </c>
      <c r="AD58" s="258">
        <f>'C1-Incomes'!C57/'C0-Ref Stats'!$B55*1000*'C0-Ref Stats'!$AA55/0.1</f>
        <v>240416.53696842727</v>
      </c>
      <c r="AE58" s="258">
        <f>'C1-Incomes'!D57/'C0-Ref Stats'!$B55*1000*'C0-Ref Stats'!$AA55/0.05</f>
        <v>347864.7131776053</v>
      </c>
      <c r="AF58" s="258">
        <f>'C1-Incomes'!E57/'C0-Ref Stats'!$B55*1000*'C0-Ref Stats'!$AA55/0.01</f>
        <v>880808.91588811169</v>
      </c>
      <c r="AG58" s="258">
        <f>'C1-Incomes'!F57/'C0-Ref Stats'!$B55*1000*'C0-Ref Stats'!$AA55/0.005</f>
        <v>1346114.1672226808</v>
      </c>
      <c r="AH58" s="258">
        <f>'C1-Incomes'!G57/'C0-Ref Stats'!$B55*1000*'C0-Ref Stats'!$AA55/0.001</f>
        <v>3710944.1488543493</v>
      </c>
      <c r="AI58" s="258">
        <f>'C1-Incomes'!H57/'C0-Ref Stats'!$B55*1000*'C0-Ref Stats'!$AA55/0.0001</f>
        <v>15962351.080115806</v>
      </c>
      <c r="AJ58" s="47"/>
      <c r="AK58" s="258">
        <f>'C1-Incomes'!K57/'C0-Ref Stats'!$R55*1000*'C0-Ref Stats'!$AA55/0.1</f>
        <v>163223.55440650482</v>
      </c>
      <c r="AL58" s="258">
        <f>'C1-Incomes'!L57/'C0-Ref Stats'!$R55*1000*'C0-Ref Stats'!$AA55/0.05</f>
        <v>231365.82880094857</v>
      </c>
      <c r="AM58" s="258">
        <f>'C1-Incomes'!M57/'C0-Ref Stats'!$R55*1000*'C0-Ref Stats'!$AA55/0.01</f>
        <v>566229.6918992229</v>
      </c>
      <c r="AN58" s="258">
        <f>'C1-Incomes'!N57/'C0-Ref Stats'!$R55*1000*'C0-Ref Stats'!$AA55/0.005</f>
        <v>859223.38529590447</v>
      </c>
      <c r="AO58" s="258">
        <f>'C1-Incomes'!O57/'C0-Ref Stats'!$R55*1000*'C0-Ref Stats'!$AA55/0.001</f>
        <v>2381641.7389152418</v>
      </c>
      <c r="AP58" s="258">
        <f>'C1-Incomes'!P57/'C0-Ref Stats'!$R55*1000*'C0-Ref Stats'!$AA55/0.0001</f>
        <v>10677543.323226551</v>
      </c>
      <c r="AQ58" s="47"/>
      <c r="AR58" s="258">
        <f>'C1-Incomes'!S57/'C0-Ref Stats'!$R55*1000*'C0-Ref Stats'!$AA55/0.1</f>
        <v>166899.14479719012</v>
      </c>
      <c r="AS58" s="258">
        <f>'C1-Incomes'!T57/'C0-Ref Stats'!$R55*1000*'C0-Ref Stats'!$AA55/0.05</f>
        <v>234775.88712471988</v>
      </c>
      <c r="AT58" s="258">
        <f>'C1-Incomes'!U57/'C0-Ref Stats'!$R55*1000*'C0-Ref Stats'!$AA55/0.01</f>
        <v>570002.82815328031</v>
      </c>
      <c r="AU58" s="258">
        <f>'C1-Incomes'!V57/'C0-Ref Stats'!$R55*1000*'C0-Ref Stats'!$AA55/0.005</f>
        <v>863242.89470823889</v>
      </c>
      <c r="AV58" s="258">
        <f>'C1-Incomes'!W57/'C0-Ref Stats'!$R55*1000*'C0-Ref Stats'!$AA55/0.001</f>
        <v>2386020.9307967969</v>
      </c>
      <c r="AW58" s="258">
        <f>'C1-Incomes'!X57/'C0-Ref Stats'!$R55*1000*'C0-Ref Stats'!$AA55/0.0001</f>
        <v>10681988.984578282</v>
      </c>
      <c r="AX58" s="258"/>
      <c r="AY58" s="258">
        <f>'C1-Incomes'!AA57/'C0-Ref Stats'!$R55*1000*'C0-Ref Stats'!$AA55/0.1</f>
        <v>111921.73044748831</v>
      </c>
      <c r="AZ58" s="258">
        <f>'C1-Incomes'!AB57/'C0-Ref Stats'!$R55*1000*'C0-Ref Stats'!$AA55/0.05</f>
        <v>150533.85247696523</v>
      </c>
      <c r="BA58" s="258">
        <f>'C1-Incomes'!AC57/'C0-Ref Stats'!$R55*1000*'C0-Ref Stats'!$AA55/0.01</f>
        <v>336529.44792371197</v>
      </c>
      <c r="BB58" s="258">
        <f>'C1-Incomes'!AD57/'C0-Ref Stats'!$R55*1000*'C0-Ref Stats'!$AA55/0.005</f>
        <v>496195.24716825591</v>
      </c>
      <c r="BC58" s="258">
        <f>'C1-Incomes'!AE57/'C0-Ref Stats'!$R55*1000*'C0-Ref Stats'!$AA55/0.001</f>
        <v>1295873.7354495982</v>
      </c>
      <c r="BD58" s="258">
        <f>'C1-Incomes'!AF57/'C0-Ref Stats'!$R55*1000*'C0-Ref Stats'!$AA55/0.0001</f>
        <v>5643788.8703726036</v>
      </c>
      <c r="BF58" s="258">
        <v>114000</v>
      </c>
      <c r="BG58" s="258">
        <v>158500</v>
      </c>
      <c r="BH58" s="258">
        <v>347700</v>
      </c>
      <c r="BI58" s="258">
        <v>516000</v>
      </c>
      <c r="BJ58" s="258">
        <v>1339000</v>
      </c>
      <c r="BK58" s="258">
        <v>5970000</v>
      </c>
      <c r="BM58" s="258">
        <v>243400</v>
      </c>
      <c r="BN58" s="258">
        <v>583179.19540804927</v>
      </c>
      <c r="BO58" s="1254">
        <f t="shared" si="0"/>
        <v>1.7163475671537067</v>
      </c>
      <c r="BP58" s="1254">
        <f t="shared" si="4"/>
        <v>1.6522119395072636</v>
      </c>
      <c r="BQ58" s="480"/>
      <c r="BR58" s="258">
        <v>366900</v>
      </c>
      <c r="BS58" s="258">
        <v>857053.39642339631</v>
      </c>
      <c r="BT58" s="258">
        <v>553900</v>
      </c>
      <c r="BU58" s="258">
        <v>1260640.6257950608</v>
      </c>
      <c r="BV58" s="1254">
        <f t="shared" si="8"/>
        <v>1.7485411764505463</v>
      </c>
      <c r="BW58" s="1254">
        <f t="shared" si="11"/>
        <v>1.7837387292924898</v>
      </c>
      <c r="BY58" s="258">
        <v>371800</v>
      </c>
      <c r="BZ58" s="258">
        <v>869296.98580301052</v>
      </c>
      <c r="CA58" s="258">
        <v>557400</v>
      </c>
      <c r="CB58" s="258">
        <v>1278935.6714539728</v>
      </c>
      <c r="CC58" s="1254">
        <f t="shared" si="9"/>
        <v>1.747341211323878</v>
      </c>
      <c r="CD58" s="1254">
        <f t="shared" si="12"/>
        <v>1.7725189786899633</v>
      </c>
      <c r="CF58" s="258">
        <v>282600</v>
      </c>
      <c r="CG58" s="258">
        <v>544651.61150397325</v>
      </c>
      <c r="CH58" s="258">
        <v>402200</v>
      </c>
      <c r="CI58" s="258">
        <v>766919.79436324514</v>
      </c>
      <c r="CJ58" s="1254">
        <f t="shared" si="10"/>
        <v>2.0784135170094733</v>
      </c>
      <c r="CK58" s="1254">
        <f t="shared" si="13"/>
        <v>2.1027643857449267</v>
      </c>
      <c r="CM58" s="1183">
        <v>0.6374642626</v>
      </c>
      <c r="CN58" s="1183">
        <v>0.58044478970000002</v>
      </c>
    </row>
    <row r="59" spans="1:92" s="256" customFormat="1" ht="9.75" customHeight="1" x14ac:dyDescent="0.25">
      <c r="A59" s="254">
        <v>2010</v>
      </c>
      <c r="B59" s="258">
        <f>('C1-Incomes'!B58-'C1-Incomes'!C58)/'C0-Ref Stats'!$B56*1000*'C0-Ref Stats'!$AA56/0.9</f>
        <v>31357.686213602974</v>
      </c>
      <c r="C59" s="258">
        <f>('C1-Incomes'!C58-'C1-Incomes'!D58)/'C0-Ref Stats'!$B56*1000*'C0-Ref Stats'!$AA56/0.05</f>
        <v>133074.40390065045</v>
      </c>
      <c r="D59" s="258">
        <f>('C1-Incomes'!D58-'C1-Incomes'!E58)/'C0-Ref Stats'!$B56*1000*'C0-Ref Stats'!$AA56/0.04</f>
        <v>216870.50179360362</v>
      </c>
      <c r="E59" s="258">
        <f>('C1-Incomes'!E58-'C1-Incomes'!F58)/'C0-Ref Stats'!$B56*1000*'C0-Ref Stats'!$AA56/0.005</f>
        <v>426707.0727979925</v>
      </c>
      <c r="F59" s="258">
        <f>('C1-Incomes'!F58-'C1-Incomes'!G58)/'C0-Ref Stats'!$B56*1000*'C0-Ref Stats'!$AA56/0.004</f>
        <v>792726.9678161022</v>
      </c>
      <c r="G59" s="258">
        <f>('C1-Incomes'!G58-'C1-Incomes'!H58)/'C0-Ref Stats'!$B56*1000*'C0-Ref Stats'!$AA56/0.0009</f>
        <v>2503853.3035927592</v>
      </c>
      <c r="H59" s="258"/>
      <c r="I59" s="258">
        <f>('C1-Incomes'!J58-'C1-Incomes'!K58)/'C0-Ref Stats'!$R56*1000*'C0-Ref Stats'!$AA56/0.9</f>
        <v>29943.591711750199</v>
      </c>
      <c r="J59" s="258">
        <f>('C1-Incomes'!K58-'C1-Incomes'!L58)/'C0-Ref Stats'!$R56*1000*'C0-Ref Stats'!$AA56/0.05</f>
        <v>96357.328880299799</v>
      </c>
      <c r="K59" s="258">
        <f>('C1-Incomes'!L58-'C1-Incomes'!M58)/'C0-Ref Stats'!$R56*1000*'C0-Ref Stats'!$AA56/0.04</f>
        <v>153784.67515420838</v>
      </c>
      <c r="L59" s="258">
        <f>('C1-Incomes'!M58-'C1-Incomes'!N58)/'C0-Ref Stats'!$R56*1000*'C0-Ref Stats'!$AA56/0.005</f>
        <v>289362.88133916975</v>
      </c>
      <c r="M59" s="258">
        <f>('C1-Incomes'!N58-'C1-Incomes'!O58)/'C0-Ref Stats'!$R56*1000*'C0-Ref Stats'!$AA56/0.004</f>
        <v>524033.52705144481</v>
      </c>
      <c r="N59" s="258">
        <f>('C1-Incomes'!O58-'C1-Incomes'!P58)/'C0-Ref Stats'!$R56*1000*'C0-Ref Stats'!$AA56/0.0009</f>
        <v>1668193.8959371347</v>
      </c>
      <c r="O59" s="47"/>
      <c r="P59" s="258">
        <f>('C1-Incomes'!R58-'C1-Incomes'!S58)/'C0-Ref Stats'!$R56*1000*'C0-Ref Stats'!$AA56/0.9</f>
        <v>38084.590494059681</v>
      </c>
      <c r="Q59" s="258">
        <f>('C1-Incomes'!S58-'C1-Incomes'!T58)/'C0-Ref Stats'!$R56*1000*'C0-Ref Stats'!$AA56/0.05</f>
        <v>100668.51582330729</v>
      </c>
      <c r="R59" s="258">
        <f>('C1-Incomes'!T58-'C1-Incomes'!U58)/'C0-Ref Stats'!$R56*1000*'C0-Ref Stats'!$AA56/0.04</f>
        <v>157316.37939775165</v>
      </c>
      <c r="S59" s="258">
        <f>('C1-Incomes'!U58-'C1-Incomes'!V58)/'C0-Ref Stats'!$R56*1000*'C0-Ref Stats'!$AA56/0.005</f>
        <v>292815.60304251988</v>
      </c>
      <c r="T59" s="258">
        <f>('C1-Incomes'!V58-'C1-Incomes'!W58)/'C0-Ref Stats'!$R56*1000*'C0-Ref Stats'!$AA56/0.004</f>
        <v>527957.51022345049</v>
      </c>
      <c r="U59" s="258">
        <f>('C1-Incomes'!W58-'C1-Incomes'!X58)/'C0-Ref Stats'!$R56*1000*'C0-Ref Stats'!$AA56/0.0009</f>
        <v>1672652.194171004</v>
      </c>
      <c r="V59" s="258"/>
      <c r="W59" s="258">
        <f>('C1-Incomes'!Z58-'C1-Incomes'!AA58)/'C0-Ref Stats'!$R56*1000*'C0-Ref Stats'!$AA56/0.9</f>
        <v>35995.182076490237</v>
      </c>
      <c r="X59" s="258">
        <f>('C1-Incomes'!AA58-'C1-Incomes'!AB58)/'C0-Ref Stats'!$R56*1000*'C0-Ref Stats'!$AA56/0.05</f>
        <v>74597.707849308892</v>
      </c>
      <c r="Y59" s="258">
        <f>('C1-Incomes'!AB58-'C1-Incomes'!AC58)/'C0-Ref Stats'!$R56*1000*'C0-Ref Stats'!$AA56/0.04</f>
        <v>108141.25338707803</v>
      </c>
      <c r="Z59" s="258">
        <f>('C1-Incomes'!AC58-'C1-Incomes'!AD58)/'C0-Ref Stats'!$R56*1000*'C0-Ref Stats'!$AA56/0.005</f>
        <v>188021.97072640923</v>
      </c>
      <c r="AA59" s="258">
        <f>('C1-Incomes'!AD58-'C1-Incomes'!AE58)/'C0-Ref Stats'!$R56*1000*'C0-Ref Stats'!$AA56/0.004</f>
        <v>325951.7697856318</v>
      </c>
      <c r="AB59" s="258">
        <f>('C1-Incomes'!AE58-'C1-Incomes'!AF58)/'C0-Ref Stats'!$R56*1000*'C0-Ref Stats'!$AA56/0.0009</f>
        <v>935064.43452617899</v>
      </c>
      <c r="AD59" s="258">
        <f>'C1-Incomes'!C58/'C0-Ref Stats'!$B56*1000*'C0-Ref Stats'!$AA56/0.1</f>
        <v>246171.65269906519</v>
      </c>
      <c r="AE59" s="258">
        <f>'C1-Incomes'!D58/'C0-Ref Stats'!$B56*1000*'C0-Ref Stats'!$AA56/0.05</f>
        <v>359268.90149747994</v>
      </c>
      <c r="AF59" s="258">
        <f>'C1-Incomes'!E58/'C0-Ref Stats'!$B56*1000*'C0-Ref Stats'!$AA56/0.01</f>
        <v>928862.50031298515</v>
      </c>
      <c r="AG59" s="258">
        <f>'C1-Incomes'!F58/'C0-Ref Stats'!$B56*1000*'C0-Ref Stats'!$AA56/0.005</f>
        <v>1431017.9278279776</v>
      </c>
      <c r="AH59" s="258">
        <f>'C1-Incomes'!G58/'C0-Ref Stats'!$B56*1000*'C0-Ref Stats'!$AA56/0.001</f>
        <v>3984181.7678754791</v>
      </c>
      <c r="AI59" s="258">
        <f>'C1-Incomes'!H58/'C0-Ref Stats'!$B56*1000*'C0-Ref Stats'!$AA56/0.0001</f>
        <v>17307137.946419965</v>
      </c>
      <c r="AJ59" s="47"/>
      <c r="AK59" s="258">
        <f>'C1-Incomes'!K58/'C0-Ref Stats'!$R56*1000*'C0-Ref Stats'!$AA56/0.1</f>
        <v>172945.62353861943</v>
      </c>
      <c r="AL59" s="258">
        <f>'C1-Incomes'!L58/'C0-Ref Stats'!$R56*1000*'C0-Ref Stats'!$AA56/0.05</f>
        <v>249533.91819693905</v>
      </c>
      <c r="AM59" s="258">
        <f>'C1-Incomes'!M58/'C0-Ref Stats'!$R56*1000*'C0-Ref Stats'!$AA56/0.01</f>
        <v>632530.89036786184</v>
      </c>
      <c r="AN59" s="258">
        <f>'C1-Incomes'!N58/'C0-Ref Stats'!$R56*1000*'C0-Ref Stats'!$AA56/0.005</f>
        <v>975698.89939655387</v>
      </c>
      <c r="AO59" s="258">
        <f>'C1-Incomes'!O58/'C0-Ref Stats'!$R56*1000*'C0-Ref Stats'!$AA56/0.001</f>
        <v>2782360.3887769906</v>
      </c>
      <c r="AP59" s="258">
        <f>'C1-Incomes'!P58/'C0-Ref Stats'!$R56*1000*'C0-Ref Stats'!$AA56/0.0001</f>
        <v>12809858.824335685</v>
      </c>
      <c r="AQ59" s="47"/>
      <c r="AR59" s="258">
        <f>'C1-Incomes'!S58/'C0-Ref Stats'!$R56*1000*'C0-Ref Stats'!$AA56/0.1</f>
        <v>176888.19934255522</v>
      </c>
      <c r="AS59" s="258">
        <f>'C1-Incomes'!T58/'C0-Ref Stats'!$R56*1000*'C0-Ref Stats'!$AA56/0.05</f>
        <v>253107.88286180323</v>
      </c>
      <c r="AT59" s="258">
        <f>'C1-Incomes'!U58/'C0-Ref Stats'!$R56*1000*'C0-Ref Stats'!$AA56/0.01</f>
        <v>636273.89671800938</v>
      </c>
      <c r="AU59" s="258">
        <f>'C1-Incomes'!V58/'C0-Ref Stats'!$R56*1000*'C0-Ref Stats'!$AA56/0.005</f>
        <v>979732.19039349898</v>
      </c>
      <c r="AV59" s="258">
        <f>'C1-Incomes'!W58/'C0-Ref Stats'!$R56*1000*'C0-Ref Stats'!$AA56/0.001</f>
        <v>2786830.9110736926</v>
      </c>
      <c r="AW59" s="258">
        <f>'C1-Incomes'!X58/'C0-Ref Stats'!$R56*1000*'C0-Ref Stats'!$AA56/0.0001</f>
        <v>12814439.363197889</v>
      </c>
      <c r="AX59" s="258"/>
      <c r="AY59" s="258">
        <f>'C1-Incomes'!AA58/'C0-Ref Stats'!$R56*1000*'C0-Ref Stats'!$AA56/0.1</f>
        <v>118481.29928143669</v>
      </c>
      <c r="AZ59" s="258">
        <f>'C1-Incomes'!AB58/'C0-Ref Stats'!$R56*1000*'C0-Ref Stats'!$AA56/0.05</f>
        <v>162364.89071356447</v>
      </c>
      <c r="BA59" s="258">
        <f>'C1-Incomes'!AC58/'C0-Ref Stats'!$R56*1000*'C0-Ref Stats'!$AA56/0.01</f>
        <v>379259.44001951034</v>
      </c>
      <c r="BB59" s="258">
        <f>'C1-Incomes'!AD58/'C0-Ref Stats'!$R56*1000*'C0-Ref Stats'!$AA56/0.005</f>
        <v>570496.90931261145</v>
      </c>
      <c r="BC59" s="258">
        <f>'C1-Incomes'!AE58/'C0-Ref Stats'!$R56*1000*'C0-Ref Stats'!$AA56/0.001</f>
        <v>1548677.4674205305</v>
      </c>
      <c r="BD59" s="258">
        <f>'C1-Incomes'!AF58/'C0-Ref Stats'!$R56*1000*'C0-Ref Stats'!$AA56/0.0001</f>
        <v>7071194.7634696942</v>
      </c>
      <c r="BF59" s="258">
        <v>113800</v>
      </c>
      <c r="BG59" s="258">
        <v>159500</v>
      </c>
      <c r="BH59" s="258">
        <v>355300</v>
      </c>
      <c r="BI59" s="258">
        <v>532000</v>
      </c>
      <c r="BJ59" s="258">
        <v>1422000</v>
      </c>
      <c r="BK59" s="258">
        <v>6440000</v>
      </c>
      <c r="BM59" s="258">
        <v>245800</v>
      </c>
      <c r="BN59" s="258">
        <v>609630.11065469496</v>
      </c>
      <c r="BO59" s="1254">
        <f t="shared" si="0"/>
        <v>1.675590042719924</v>
      </c>
      <c r="BP59" s="1254">
        <f t="shared" si="4"/>
        <v>1.6194616973845357</v>
      </c>
      <c r="BQ59" s="480"/>
      <c r="BR59" s="258">
        <v>379900</v>
      </c>
      <c r="BS59" s="258">
        <v>933379.17543231521</v>
      </c>
      <c r="BT59" s="258">
        <v>577400</v>
      </c>
      <c r="BU59" s="258">
        <v>1397405.2771191066</v>
      </c>
      <c r="BV59" s="1254">
        <f t="shared" si="8"/>
        <v>1.6863853544322878</v>
      </c>
      <c r="BW59" s="1254">
        <f t="shared" si="11"/>
        <v>1.7041418099509766</v>
      </c>
      <c r="BY59" s="258">
        <v>384400</v>
      </c>
      <c r="BZ59" s="258">
        <v>946132.70070454536</v>
      </c>
      <c r="CA59" s="258">
        <v>581500</v>
      </c>
      <c r="CB59" s="258">
        <v>1416433.7064802432</v>
      </c>
      <c r="CC59" s="1254">
        <f t="shared" si="9"/>
        <v>1.6843112382773369</v>
      </c>
      <c r="CD59" s="1254">
        <f t="shared" si="12"/>
        <v>1.6964624801786701</v>
      </c>
      <c r="CF59" s="258">
        <v>291900</v>
      </c>
      <c r="CG59" s="258">
        <v>594269.56038011843</v>
      </c>
      <c r="CH59" s="258">
        <v>418500</v>
      </c>
      <c r="CI59" s="258">
        <v>855598.51774042216</v>
      </c>
      <c r="CJ59" s="1254">
        <f t="shared" si="10"/>
        <v>1.9653749525350475</v>
      </c>
      <c r="CK59" s="1254">
        <f t="shared" si="13"/>
        <v>1.9574500553409171</v>
      </c>
      <c r="CM59" s="1183">
        <v>0.64216720670000005</v>
      </c>
      <c r="CN59" s="1183">
        <v>0.58949481749999999</v>
      </c>
    </row>
    <row r="60" spans="1:92" s="256" customFormat="1" ht="9.75" customHeight="1" x14ac:dyDescent="0.25">
      <c r="A60" s="254">
        <v>2011</v>
      </c>
      <c r="B60" s="258">
        <f>('C1-Incomes'!B59-'C1-Incomes'!C59)/'C0-Ref Stats'!$B57*1000*'C0-Ref Stats'!$AA57/0.9</f>
        <v>31216.664968881738</v>
      </c>
      <c r="C60" s="258">
        <f>('C1-Incomes'!C59-'C1-Incomes'!D59)/'C0-Ref Stats'!$B57*1000*'C0-Ref Stats'!$AA57/0.05</f>
        <v>133585.79407235488</v>
      </c>
      <c r="D60" s="258">
        <f>('C1-Incomes'!D59-'C1-Incomes'!E59)/'C0-Ref Stats'!$B57*1000*'C0-Ref Stats'!$AA57/0.04</f>
        <v>220199.16863285255</v>
      </c>
      <c r="E60" s="258">
        <f>('C1-Incomes'!E59-'C1-Incomes'!F59)/'C0-Ref Stats'!$B57*1000*'C0-Ref Stats'!$AA57/0.005</f>
        <v>437075.61085169466</v>
      </c>
      <c r="F60" s="258">
        <f>('C1-Incomes'!F59-'C1-Incomes'!G59)/'C0-Ref Stats'!$B57*1000*'C0-Ref Stats'!$AA57/0.004</f>
        <v>803284.81524756504</v>
      </c>
      <c r="G60" s="258">
        <f>('C1-Incomes'!G59-'C1-Incomes'!H59)/'C0-Ref Stats'!$B57*1000*'C0-Ref Stats'!$AA57/0.0009</f>
        <v>2515107.8242632025</v>
      </c>
      <c r="H60" s="258"/>
      <c r="I60" s="258">
        <f>('C1-Incomes'!J59-'C1-Incomes'!K59)/'C0-Ref Stats'!$R57*1000*'C0-Ref Stats'!$AA57/0.9</f>
        <v>30403.201624818288</v>
      </c>
      <c r="J60" s="258">
        <f>('C1-Incomes'!K59-'C1-Incomes'!L59)/'C0-Ref Stats'!$R57*1000*'C0-Ref Stats'!$AA57/0.05</f>
        <v>98995.251135173894</v>
      </c>
      <c r="K60" s="258">
        <f>('C1-Incomes'!L59-'C1-Incomes'!M59)/'C0-Ref Stats'!$R57*1000*'C0-Ref Stats'!$AA57/0.04</f>
        <v>158020.73143354853</v>
      </c>
      <c r="L60" s="258">
        <f>('C1-Incomes'!M59-'C1-Incomes'!N59)/'C0-Ref Stats'!$R57*1000*'C0-Ref Stats'!$AA57/0.005</f>
        <v>298209.16129605583</v>
      </c>
      <c r="M60" s="258">
        <f>('C1-Incomes'!N59-'C1-Incomes'!O59)/'C0-Ref Stats'!$R57*1000*'C0-Ref Stats'!$AA57/0.004</f>
        <v>529260.65853492811</v>
      </c>
      <c r="N60" s="258">
        <f>('C1-Incomes'!O59-'C1-Incomes'!P59)/'C0-Ref Stats'!$R57*1000*'C0-Ref Stats'!$AA57/0.0009</f>
        <v>1640652.8513980787</v>
      </c>
      <c r="O60" s="47"/>
      <c r="P60" s="258">
        <f>('C1-Incomes'!R59-'C1-Incomes'!S59)/'C0-Ref Stats'!$R57*1000*'C0-Ref Stats'!$AA57/0.9</f>
        <v>38365.993449773123</v>
      </c>
      <c r="Q60" s="258">
        <f>('C1-Incomes'!S59-'C1-Incomes'!T59)/'C0-Ref Stats'!$R57*1000*'C0-Ref Stats'!$AA57/0.05</f>
        <v>103070.44770435074</v>
      </c>
      <c r="R60" s="258">
        <f>('C1-Incomes'!T59-'C1-Incomes'!U59)/'C0-Ref Stats'!$R57*1000*'C0-Ref Stats'!$AA57/0.04</f>
        <v>161387.51153435017</v>
      </c>
      <c r="S60" s="258">
        <f>('C1-Incomes'!U59-'C1-Incomes'!V59)/'C0-Ref Stats'!$R57*1000*'C0-Ref Stats'!$AA57/0.005</f>
        <v>300803.68550285749</v>
      </c>
      <c r="T60" s="258">
        <f>('C1-Incomes'!V59-'C1-Incomes'!W59)/'C0-Ref Stats'!$R57*1000*'C0-Ref Stats'!$AA57/0.004</f>
        <v>533457.78623549396</v>
      </c>
      <c r="U60" s="258">
        <f>('C1-Incomes'!W59-'C1-Incomes'!X59)/'C0-Ref Stats'!$R57*1000*'C0-Ref Stats'!$AA57/0.0009</f>
        <v>1645090.952173156</v>
      </c>
      <c r="V60" s="258"/>
      <c r="W60" s="258">
        <f>('C1-Incomes'!Z59-'C1-Incomes'!AA59)/'C0-Ref Stats'!$R57*1000*'C0-Ref Stats'!$AA57/0.9</f>
        <v>36529.284152998684</v>
      </c>
      <c r="X60" s="258">
        <f>('C1-Incomes'!AA59-'C1-Incomes'!AB59)/'C0-Ref Stats'!$R57*1000*'C0-Ref Stats'!$AA57/0.05</f>
        <v>76882.078561652408</v>
      </c>
      <c r="Y60" s="258">
        <f>('C1-Incomes'!AB59-'C1-Incomes'!AC59)/'C0-Ref Stats'!$R57*1000*'C0-Ref Stats'!$AA57/0.04</f>
        <v>111794.05800235595</v>
      </c>
      <c r="Z60" s="258">
        <f>('C1-Incomes'!AC59-'C1-Incomes'!AD59)/'C0-Ref Stats'!$R57*1000*'C0-Ref Stats'!$AA57/0.005</f>
        <v>191311.36781983654</v>
      </c>
      <c r="AA60" s="258">
        <f>('C1-Incomes'!AD59-'C1-Incomes'!AE59)/'C0-Ref Stats'!$R57*1000*'C0-Ref Stats'!$AA57/0.004</f>
        <v>325002.3601374026</v>
      </c>
      <c r="AB60" s="258">
        <f>('C1-Incomes'!AE59-'C1-Incomes'!AF59)/'C0-Ref Stats'!$R57*1000*'C0-Ref Stats'!$AA57/0.0009</f>
        <v>894362.28527336055</v>
      </c>
      <c r="AD60" s="258">
        <f>'C1-Incomes'!C59/'C0-Ref Stats'!$B57*1000*'C0-Ref Stats'!$AA57/0.1</f>
        <v>247255.44973593048</v>
      </c>
      <c r="AE60" s="258">
        <f>'C1-Incomes'!D59/'C0-Ref Stats'!$B57*1000*'C0-Ref Stats'!$AA57/0.05</f>
        <v>360925.10539950611</v>
      </c>
      <c r="AF60" s="258">
        <f>'C1-Incomes'!E59/'C0-Ref Stats'!$B57*1000*'C0-Ref Stats'!$AA57/0.01</f>
        <v>923828.85246612038</v>
      </c>
      <c r="AG60" s="258">
        <f>'C1-Incomes'!F59/'C0-Ref Stats'!$B57*1000*'C0-Ref Stats'!$AA57/0.005</f>
        <v>1410582.0940805462</v>
      </c>
      <c r="AH60" s="258">
        <f>'C1-Incomes'!G59/'C0-Ref Stats'!$B57*1000*'C0-Ref Stats'!$AA57/0.001</f>
        <v>3839771.2094124709</v>
      </c>
      <c r="AI60" s="258">
        <f>'C1-Incomes'!H59/'C0-Ref Stats'!$B57*1000*'C0-Ref Stats'!$AA57/0.0001</f>
        <v>15761741.675755886</v>
      </c>
      <c r="AJ60" s="47"/>
      <c r="AK60" s="258">
        <f>'C1-Incomes'!K59/'C0-Ref Stats'!$R57*1000*'C0-Ref Stats'!$AA57/0.1</f>
        <v>174775.34538758907</v>
      </c>
      <c r="AL60" s="258">
        <f>'C1-Incomes'!L59/'C0-Ref Stats'!$R57*1000*'C0-Ref Stats'!$AA57/0.05</f>
        <v>250555.43964000433</v>
      </c>
      <c r="AM60" s="258">
        <f>'C1-Incomes'!M59/'C0-Ref Stats'!$R57*1000*'C0-Ref Stats'!$AA57/0.01</f>
        <v>620694.27246582729</v>
      </c>
      <c r="AN60" s="258">
        <f>'C1-Incomes'!N59/'C0-Ref Stats'!$R57*1000*'C0-Ref Stats'!$AA57/0.005</f>
        <v>943179.38363559893</v>
      </c>
      <c r="AO60" s="258">
        <f>'C1-Incomes'!O59/'C0-Ref Stats'!$R57*1000*'C0-Ref Stats'!$AA57/0.001</f>
        <v>2598854.284038282</v>
      </c>
      <c r="AP60" s="258">
        <f>'C1-Incomes'!P59/'C0-Ref Stats'!$R57*1000*'C0-Ref Stats'!$AA57/0.0001</f>
        <v>11222667.17780011</v>
      </c>
      <c r="AQ60" s="47"/>
      <c r="AR60" s="258">
        <f>'C1-Incomes'!S59/'C0-Ref Stats'!$R57*1000*'C0-Ref Stats'!$AA57/0.1</f>
        <v>178502.97408935457</v>
      </c>
      <c r="AS60" s="258">
        <f>'C1-Incomes'!T59/'C0-Ref Stats'!$R57*1000*'C0-Ref Stats'!$AA57/0.05</f>
        <v>253935.50047435841</v>
      </c>
      <c r="AT60" s="258">
        <f>'C1-Incomes'!U59/'C0-Ref Stats'!$R57*1000*'C0-Ref Stats'!$AA57/0.01</f>
        <v>624127.45623439143</v>
      </c>
      <c r="AU60" s="258">
        <f>'C1-Incomes'!V59/'C0-Ref Stats'!$R57*1000*'C0-Ref Stats'!$AA57/0.005</f>
        <v>947451.22696592531</v>
      </c>
      <c r="AV60" s="258">
        <f>'C1-Incomes'!W59/'C0-Ref Stats'!$R57*1000*'C0-Ref Stats'!$AA57/0.001</f>
        <v>2603424.9898876511</v>
      </c>
      <c r="AW60" s="258">
        <f>'C1-Incomes'!X59/'C0-Ref Stats'!$R57*1000*'C0-Ref Stats'!$AA57/0.0001</f>
        <v>11228431.329318102</v>
      </c>
      <c r="AX60" s="258"/>
      <c r="AY60" s="258">
        <f>'C1-Incomes'!AA59/'C0-Ref Stats'!$R57*1000*'C0-Ref Stats'!$AA57/0.1</f>
        <v>119640.59578310422</v>
      </c>
      <c r="AZ60" s="258">
        <f>'C1-Incomes'!AB59/'C0-Ref Stats'!$R57*1000*'C0-Ref Stats'!$AA57/0.05</f>
        <v>162399.11300455598</v>
      </c>
      <c r="BA60" s="258">
        <f>'C1-Incomes'!AC59/'C0-Ref Stats'!$R57*1000*'C0-Ref Stats'!$AA57/0.01</f>
        <v>364819.33301335631</v>
      </c>
      <c r="BB60" s="258">
        <f>'C1-Incomes'!AD59/'C0-Ref Stats'!$R57*1000*'C0-Ref Stats'!$AA57/0.005</f>
        <v>538327.29820687603</v>
      </c>
      <c r="BC60" s="258">
        <f>'C1-Incomes'!AE59/'C0-Ref Stats'!$R57*1000*'C0-Ref Stats'!$AA57/0.001</f>
        <v>1391627.0504847697</v>
      </c>
      <c r="BD60" s="258">
        <f>'C1-Incomes'!AF59/'C0-Ref Stats'!$R57*1000*'C0-Ref Stats'!$AA57/0.0001</f>
        <v>5867009.9373874534</v>
      </c>
      <c r="BF60" s="258">
        <v>113900</v>
      </c>
      <c r="BG60" s="258">
        <v>160800</v>
      </c>
      <c r="BH60" s="258">
        <v>363100</v>
      </c>
      <c r="BI60" s="258">
        <v>543000</v>
      </c>
      <c r="BJ60" s="258">
        <v>1441000</v>
      </c>
      <c r="BK60" s="258">
        <v>6290000</v>
      </c>
      <c r="BM60" s="258">
        <v>250200</v>
      </c>
      <c r="BN60" s="258">
        <v>610086.68835945765</v>
      </c>
      <c r="BO60" s="1254">
        <f t="shared" si="0"/>
        <v>1.6952188232927867</v>
      </c>
      <c r="BP60" s="1254">
        <f t="shared" si="4"/>
        <v>1.6475500563294785</v>
      </c>
      <c r="BQ60" s="480"/>
      <c r="BR60" s="258">
        <v>393500</v>
      </c>
      <c r="BS60" s="258">
        <v>925589.57715838659</v>
      </c>
      <c r="BT60" s="258">
        <v>589900</v>
      </c>
      <c r="BU60" s="258">
        <v>1370135.017293955</v>
      </c>
      <c r="BV60" s="1254">
        <f t="shared" si="8"/>
        <v>1.7395371322653577</v>
      </c>
      <c r="BW60" s="1254">
        <f t="shared" si="11"/>
        <v>1.7560542489440127</v>
      </c>
      <c r="BY60" s="258">
        <v>398100</v>
      </c>
      <c r="BZ60" s="258">
        <v>937971.80713091476</v>
      </c>
      <c r="CA60" s="258">
        <v>592600</v>
      </c>
      <c r="CB60" s="258">
        <v>1388462.757659782</v>
      </c>
      <c r="CC60" s="1254">
        <f t="shared" si="9"/>
        <v>1.7373972760601366</v>
      </c>
      <c r="CD60" s="1254">
        <f t="shared" si="12"/>
        <v>1.7446007421462064</v>
      </c>
      <c r="CF60" s="258">
        <v>297700</v>
      </c>
      <c r="CG60" s="258">
        <v>581667.80090801045</v>
      </c>
      <c r="CH60" s="258">
        <v>417900</v>
      </c>
      <c r="CI60" s="258">
        <v>823436.8518878523</v>
      </c>
      <c r="CJ60" s="1254">
        <f t="shared" si="10"/>
        <v>2.0483582964268474</v>
      </c>
      <c r="CK60" s="1254">
        <f t="shared" si="13"/>
        <v>2.0304858807642141</v>
      </c>
      <c r="CM60" s="1183">
        <v>0.64380341880000003</v>
      </c>
      <c r="CN60" s="1183">
        <v>0.58983325959999999</v>
      </c>
    </row>
    <row r="61" spans="1:92" s="256" customFormat="1" ht="9.75" customHeight="1" x14ac:dyDescent="0.25">
      <c r="A61" s="254">
        <v>2012</v>
      </c>
      <c r="B61" s="258">
        <f>('C1-Incomes'!B60-'C1-Incomes'!C60)/'C0-Ref Stats'!$B58*1000*'C0-Ref Stats'!$AA58/0.9</f>
        <v>31313.533706093873</v>
      </c>
      <c r="C61" s="258">
        <f>('C1-Incomes'!C60-'C1-Incomes'!D60)/'C0-Ref Stats'!$B58*1000*'C0-Ref Stats'!$AA58/0.05</f>
        <v>134988.28077429402</v>
      </c>
      <c r="D61" s="258">
        <f>('C1-Incomes'!D60-'C1-Incomes'!E60)/'C0-Ref Stats'!$B58*1000*'C0-Ref Stats'!$AA58/0.04</f>
        <v>226071.48277629909</v>
      </c>
      <c r="E61" s="258">
        <f>('C1-Incomes'!E60-'C1-Incomes'!F60)/'C0-Ref Stats'!$B58*1000*'C0-Ref Stats'!$AA58/0.005</f>
        <v>462800.69011626526</v>
      </c>
      <c r="F61" s="258">
        <f>('C1-Incomes'!F60-'C1-Incomes'!G60)/'C0-Ref Stats'!$B58*1000*'C0-Ref Stats'!$AA58/0.004</f>
        <v>880910.62425299396</v>
      </c>
      <c r="G61" s="258">
        <f>('C1-Incomes'!G60-'C1-Incomes'!H60)/'C0-Ref Stats'!$B58*1000*'C0-Ref Stats'!$AA58/0.0009</f>
        <v>2903312.7185434182</v>
      </c>
      <c r="H61" s="258"/>
      <c r="I61" s="258">
        <f>('C1-Incomes'!J60-'C1-Incomes'!K60)/'C0-Ref Stats'!$R58*1000*'C0-Ref Stats'!$AA58/0.9</f>
        <v>30425.044453903829</v>
      </c>
      <c r="J61" s="258">
        <f>('C1-Incomes'!K60-'C1-Incomes'!L60)/'C0-Ref Stats'!$R58*1000*'C0-Ref Stats'!$AA58/0.05</f>
        <v>100234.56927610317</v>
      </c>
      <c r="K61" s="258">
        <f>('C1-Incomes'!L60-'C1-Incomes'!M60)/'C0-Ref Stats'!$R58*1000*'C0-Ref Stats'!$AA58/0.04</f>
        <v>161762.43867585884</v>
      </c>
      <c r="L61" s="258">
        <f>('C1-Incomes'!M60-'C1-Incomes'!N60)/'C0-Ref Stats'!$R58*1000*'C0-Ref Stats'!$AA58/0.005</f>
        <v>308836.4273610746</v>
      </c>
      <c r="M61" s="258">
        <f>('C1-Incomes'!N60-'C1-Incomes'!O60)/'C0-Ref Stats'!$R58*1000*'C0-Ref Stats'!$AA58/0.004</f>
        <v>570078.28146992775</v>
      </c>
      <c r="N61" s="258">
        <f>('C1-Incomes'!O60-'C1-Incomes'!P60)/'C0-Ref Stats'!$R58*1000*'C0-Ref Stats'!$AA58/0.0009</f>
        <v>1906277.6072155994</v>
      </c>
      <c r="O61" s="47"/>
      <c r="P61" s="258">
        <f>('C1-Incomes'!R60-'C1-Incomes'!S60)/'C0-Ref Stats'!$R58*1000*'C0-Ref Stats'!$AA58/0.9</f>
        <v>38174.377651276656</v>
      </c>
      <c r="Q61" s="258">
        <f>('C1-Incomes'!S60-'C1-Incomes'!T60)/'C0-Ref Stats'!$R58*1000*'C0-Ref Stats'!$AA58/0.05</f>
        <v>104409.53103217299</v>
      </c>
      <c r="R61" s="258">
        <f>('C1-Incomes'!T60-'C1-Incomes'!U60)/'C0-Ref Stats'!$R58*1000*'C0-Ref Stats'!$AA58/0.04</f>
        <v>165245.73632417255</v>
      </c>
      <c r="S61" s="258">
        <f>('C1-Incomes'!U60-'C1-Incomes'!V60)/'C0-Ref Stats'!$R58*1000*'C0-Ref Stats'!$AA58/0.005</f>
        <v>311828.24806067819</v>
      </c>
      <c r="T61" s="258">
        <f>('C1-Incomes'!V60-'C1-Incomes'!W60)/'C0-Ref Stats'!$R58*1000*'C0-Ref Stats'!$AA58/0.004</f>
        <v>574478.75262854341</v>
      </c>
      <c r="U61" s="258">
        <f>('C1-Incomes'!W60-'C1-Incomes'!X60)/'C0-Ref Stats'!$R58*1000*'C0-Ref Stats'!$AA58/0.0009</f>
        <v>1910525.0309039445</v>
      </c>
      <c r="V61" s="258"/>
      <c r="W61" s="258">
        <f>('C1-Incomes'!Z60-'C1-Incomes'!AA60)/'C0-Ref Stats'!$R58*1000*'C0-Ref Stats'!$AA58/0.9</f>
        <v>36499.169906414674</v>
      </c>
      <c r="X61" s="258">
        <f>('C1-Incomes'!AA60-'C1-Incomes'!AB60)/'C0-Ref Stats'!$R58*1000*'C0-Ref Stats'!$AA58/0.05</f>
        <v>80093.582117237194</v>
      </c>
      <c r="Y61" s="258">
        <f>('C1-Incomes'!AB60-'C1-Incomes'!AC60)/'C0-Ref Stats'!$R58*1000*'C0-Ref Stats'!$AA58/0.04</f>
        <v>117733.06905567802</v>
      </c>
      <c r="Z61" s="258">
        <f>('C1-Incomes'!AC60-'C1-Incomes'!AD60)/'C0-Ref Stats'!$R58*1000*'C0-Ref Stats'!$AA58/0.005</f>
        <v>205725.92954211409</v>
      </c>
      <c r="AA61" s="258">
        <f>('C1-Incomes'!AD60-'C1-Incomes'!AE60)/'C0-Ref Stats'!$R58*1000*'C0-Ref Stats'!$AA58/0.004</f>
        <v>360721.83873127901</v>
      </c>
      <c r="AB61" s="258">
        <f>('C1-Incomes'!AE60-'C1-Incomes'!AF60)/'C0-Ref Stats'!$R58*1000*'C0-Ref Stats'!$AA58/0.0009</f>
        <v>1093878.5955311602</v>
      </c>
      <c r="AD61" s="258">
        <f>'C1-Incomes'!C60/'C0-Ref Stats'!$B58*1000*'C0-Ref Stats'!$AA58/0.1</f>
        <v>262739.76167610713</v>
      </c>
      <c r="AE61" s="258">
        <f>'C1-Incomes'!D60/'C0-Ref Stats'!$B58*1000*'C0-Ref Stats'!$AA58/0.05</f>
        <v>390491.2425779202</v>
      </c>
      <c r="AF61" s="258">
        <f>'C1-Incomes'!E60/'C0-Ref Stats'!$B58*1000*'C0-Ref Stats'!$AA58/0.01</f>
        <v>1048170.2817844045</v>
      </c>
      <c r="AG61" s="258">
        <f>'C1-Incomes'!F60/'C0-Ref Stats'!$B58*1000*'C0-Ref Stats'!$AA58/0.005</f>
        <v>1633539.8734525437</v>
      </c>
      <c r="AH61" s="258">
        <f>'C1-Incomes'!G60/'C0-Ref Stats'!$B58*1000*'C0-Ref Stats'!$AA58/0.001</f>
        <v>4644056.8702507429</v>
      </c>
      <c r="AI61" s="258">
        <f>'C1-Incomes'!H60/'C0-Ref Stats'!$B58*1000*'C0-Ref Stats'!$AA58/0.0001</f>
        <v>20310754.235616662</v>
      </c>
      <c r="AJ61" s="47"/>
      <c r="AK61" s="258">
        <f>'C1-Incomes'!K60/'C0-Ref Stats'!$R58*1000*'C0-Ref Stats'!$AA58/0.1</f>
        <v>184642.96913503177</v>
      </c>
      <c r="AL61" s="258">
        <f>'C1-Incomes'!L60/'C0-Ref Stats'!$R58*1000*'C0-Ref Stats'!$AA58/0.05</f>
        <v>269051.36899396038</v>
      </c>
      <c r="AM61" s="258">
        <f>'C1-Incomes'!M60/'C0-Ref Stats'!$R58*1000*'C0-Ref Stats'!$AA58/0.01</f>
        <v>698207.09026636672</v>
      </c>
      <c r="AN61" s="258">
        <f>'C1-Incomes'!N60/'C0-Ref Stats'!$R58*1000*'C0-Ref Stats'!$AA58/0.005</f>
        <v>1087577.7531716588</v>
      </c>
      <c r="AO61" s="258">
        <f>'C1-Incomes'!O60/'C0-Ref Stats'!$R58*1000*'C0-Ref Stats'!$AA58/0.001</f>
        <v>3157575.639978583</v>
      </c>
      <c r="AP61" s="258">
        <f>'C1-Incomes'!P60/'C0-Ref Stats'!$R58*1000*'C0-Ref Stats'!$AA58/0.0001</f>
        <v>14419257.934845436</v>
      </c>
      <c r="AQ61" s="47"/>
      <c r="AR61" s="258">
        <f>'C1-Incomes'!S60/'C0-Ref Stats'!$R58*1000*'C0-Ref Stats'!$AA58/0.1</f>
        <v>188493.20743847982</v>
      </c>
      <c r="AS61" s="258">
        <f>'C1-Incomes'!T60/'C0-Ref Stats'!$R58*1000*'C0-Ref Stats'!$AA58/0.05</f>
        <v>272576.88384478667</v>
      </c>
      <c r="AT61" s="258">
        <f>'C1-Incomes'!U60/'C0-Ref Stats'!$R58*1000*'C0-Ref Stats'!$AA58/0.01</f>
        <v>701901.47392724315</v>
      </c>
      <c r="AU61" s="258">
        <f>'C1-Incomes'!V60/'C0-Ref Stats'!$R58*1000*'C0-Ref Stats'!$AA58/0.005</f>
        <v>1091974.6997938079</v>
      </c>
      <c r="AV61" s="258">
        <f>'C1-Incomes'!W60/'C0-Ref Stats'!$R58*1000*'C0-Ref Stats'!$AA58/0.001</f>
        <v>3161958.4884548662</v>
      </c>
      <c r="AW61" s="258">
        <f>'C1-Incomes'!X60/'C0-Ref Stats'!$R58*1000*'C0-Ref Stats'!$AA58/0.0001</f>
        <v>14424859.60641316</v>
      </c>
      <c r="AX61" s="258"/>
      <c r="AY61" s="258">
        <f>'C1-Incomes'!AA60/'C0-Ref Stats'!$R58*1000*'C0-Ref Stats'!$AA58/0.1</f>
        <v>129975.85926597727</v>
      </c>
      <c r="AZ61" s="258">
        <f>'C1-Incomes'!AB60/'C0-Ref Stats'!$R58*1000*'C0-Ref Stats'!$AA58/0.05</f>
        <v>179858.1364147173</v>
      </c>
      <c r="BA61" s="258">
        <f>'C1-Incomes'!AC60/'C0-Ref Stats'!$R58*1000*'C0-Ref Stats'!$AA58/0.01</f>
        <v>428358.40585087455</v>
      </c>
      <c r="BB61" s="258">
        <f>'C1-Incomes'!AD60/'C0-Ref Stats'!$R58*1000*'C0-Ref Stats'!$AA58/0.005</f>
        <v>650990.88215963519</v>
      </c>
      <c r="BC61" s="258">
        <f>'C1-Incomes'!AE60/'C0-Ref Stats'!$R58*1000*'C0-Ref Stats'!$AA58/0.001</f>
        <v>1812067.0558730599</v>
      </c>
      <c r="BD61" s="258">
        <f>'C1-Incomes'!AF60/'C0-Ref Stats'!$R58*1000*'C0-Ref Stats'!$AA58/0.0001</f>
        <v>8275763.1989501575</v>
      </c>
      <c r="BF61" s="258">
        <v>114900</v>
      </c>
      <c r="BG61" s="258">
        <v>162900</v>
      </c>
      <c r="BH61" s="258">
        <v>381600</v>
      </c>
      <c r="BI61" s="258">
        <v>580000</v>
      </c>
      <c r="BJ61" s="258">
        <v>1623000</v>
      </c>
      <c r="BK61" s="258">
        <v>7530000</v>
      </c>
      <c r="BM61" s="258">
        <v>258100</v>
      </c>
      <c r="BN61" s="258">
        <v>678032.23958236934</v>
      </c>
      <c r="BO61" s="1254">
        <f t="shared" si="0"/>
        <v>1.6146229693073468</v>
      </c>
      <c r="BP61" s="1254">
        <f>AF61/BH61/(AF61/BH61-1)</f>
        <v>1.5724827680262901</v>
      </c>
      <c r="BQ61" s="480"/>
      <c r="BR61" s="258">
        <v>402700</v>
      </c>
      <c r="BS61" s="258">
        <v>1010165.4819574016</v>
      </c>
      <c r="BT61" s="258">
        <v>612500</v>
      </c>
      <c r="BU61" s="258">
        <v>1528279.2868847039</v>
      </c>
      <c r="BV61" s="1254">
        <f t="shared" si="8"/>
        <v>1.6629183253382605</v>
      </c>
      <c r="BW61" s="1254">
        <f t="shared" si="11"/>
        <v>1.6688292788141139</v>
      </c>
      <c r="BY61" s="258">
        <v>406500</v>
      </c>
      <c r="BZ61" s="258">
        <v>1023180.9089343533</v>
      </c>
      <c r="CA61" s="258">
        <v>616500</v>
      </c>
      <c r="CB61" s="258">
        <v>1547492.5982782412</v>
      </c>
      <c r="CC61" s="1254">
        <f t="shared" si="9"/>
        <v>1.6591739651912472</v>
      </c>
      <c r="CD61" s="1254">
        <f t="shared" si="12"/>
        <v>1.662196456921508</v>
      </c>
      <c r="CF61" s="258">
        <v>302500</v>
      </c>
      <c r="CG61" s="258">
        <v>659319.70161635603</v>
      </c>
      <c r="CH61" s="258">
        <v>436300</v>
      </c>
      <c r="CI61" s="258">
        <v>960890.43994789186</v>
      </c>
      <c r="CJ61" s="1254">
        <f t="shared" si="10"/>
        <v>1.8477670897366558</v>
      </c>
      <c r="CK61" s="1254">
        <f t="shared" si="13"/>
        <v>1.8316964374023632</v>
      </c>
      <c r="CM61" s="1183">
        <v>0.65120602640000003</v>
      </c>
      <c r="CN61" s="1183">
        <v>0.59935063669999999</v>
      </c>
    </row>
    <row r="62" spans="1:92" s="256" customFormat="1" ht="9.75" customHeight="1" x14ac:dyDescent="0.25">
      <c r="A62" s="254">
        <v>2013</v>
      </c>
      <c r="B62" s="258">
        <f>('C1-Incomes'!B61-'C1-Incomes'!C61)/'C0-Ref Stats'!$B59*1000*'C0-Ref Stats'!$AA59/0.9</f>
        <v>31582.939689689403</v>
      </c>
      <c r="C62" s="258">
        <f>('C1-Incomes'!C61-'C1-Incomes'!D61)/'C0-Ref Stats'!$B59*1000*'C0-Ref Stats'!$AA59/0.05</f>
        <v>135512.41047597397</v>
      </c>
      <c r="D62" s="258">
        <f>('C1-Incomes'!D61-'C1-Incomes'!E61)/'C0-Ref Stats'!$B59*1000*'C0-Ref Stats'!$AA59/0.04</f>
        <v>225876.59205024707</v>
      </c>
      <c r="E62" s="258">
        <f>('C1-Incomes'!E61-'C1-Incomes'!F61)/'C0-Ref Stats'!$B59*1000*'C0-Ref Stats'!$AA59/0.005</f>
        <v>451452.73375011195</v>
      </c>
      <c r="F62" s="258">
        <f>('C1-Incomes'!F61-'C1-Incomes'!G61)/'C0-Ref Stats'!$B59*1000*'C0-Ref Stats'!$AA59/0.004</f>
        <v>824883.50257379992</v>
      </c>
      <c r="G62" s="258">
        <f>('C1-Incomes'!G61-'C1-Incomes'!H61)/'C0-Ref Stats'!$B59*1000*'C0-Ref Stats'!$AA59/0.0009</f>
        <v>2577761.9212055104</v>
      </c>
      <c r="H62" s="258"/>
      <c r="I62" s="258">
        <f>('C1-Incomes'!J61-'C1-Incomes'!K61)/'C0-Ref Stats'!$R59*1000*'C0-Ref Stats'!$AA59/0.9</f>
        <v>31133.754263338298</v>
      </c>
      <c r="J62" s="258">
        <f>('C1-Incomes'!K61-'C1-Incomes'!L61)/'C0-Ref Stats'!$R59*1000*'C0-Ref Stats'!$AA59/0.05</f>
        <v>102617.10421582829</v>
      </c>
      <c r="K62" s="258">
        <f>('C1-Incomes'!L61-'C1-Incomes'!M61)/'C0-Ref Stats'!$R59*1000*'C0-Ref Stats'!$AA59/0.04</f>
        <v>162571.25769185106</v>
      </c>
      <c r="L62" s="258">
        <f>('C1-Incomes'!M61-'C1-Incomes'!N61)/'C0-Ref Stats'!$R59*1000*'C0-Ref Stats'!$AA59/0.005</f>
        <v>303632.18695829215</v>
      </c>
      <c r="M62" s="258">
        <f>('C1-Incomes'!N61-'C1-Incomes'!O61)/'C0-Ref Stats'!$R59*1000*'C0-Ref Stats'!$AA59/0.004</f>
        <v>539922.12941145024</v>
      </c>
      <c r="N62" s="258">
        <f>('C1-Incomes'!O61-'C1-Incomes'!P61)/'C0-Ref Stats'!$R59*1000*'C0-Ref Stats'!$AA59/0.0009</f>
        <v>1703621.2402716081</v>
      </c>
      <c r="O62" s="47"/>
      <c r="P62" s="258">
        <f>('C1-Incomes'!R61-'C1-Incomes'!S61)/'C0-Ref Stats'!$R59*1000*'C0-Ref Stats'!$AA59/0.9</f>
        <v>38874.517803362345</v>
      </c>
      <c r="Q62" s="258">
        <f>('C1-Incomes'!S61-'C1-Incomes'!T61)/'C0-Ref Stats'!$R59*1000*'C0-Ref Stats'!$AA59/0.05</f>
        <v>106940.79301153989</v>
      </c>
      <c r="R62" s="258">
        <f>('C1-Incomes'!T61-'C1-Incomes'!U61)/'C0-Ref Stats'!$R59*1000*'C0-Ref Stats'!$AA59/0.04</f>
        <v>166410.26432721829</v>
      </c>
      <c r="S62" s="258">
        <f>('C1-Incomes'!U61-'C1-Incomes'!V61)/'C0-Ref Stats'!$R59*1000*'C0-Ref Stats'!$AA59/0.005</f>
        <v>307712.17810206802</v>
      </c>
      <c r="T62" s="258">
        <f>('C1-Incomes'!V61-'C1-Incomes'!W61)/'C0-Ref Stats'!$R59*1000*'C0-Ref Stats'!$AA59/0.004</f>
        <v>543810.07332889037</v>
      </c>
      <c r="U62" s="258">
        <f>('C1-Incomes'!W61-'C1-Incomes'!X61)/'C0-Ref Stats'!$R59*1000*'C0-Ref Stats'!$AA59/0.0009</f>
        <v>1708505.8436972857</v>
      </c>
      <c r="V62" s="258"/>
      <c r="W62" s="258">
        <f>('C1-Incomes'!Z61-'C1-Incomes'!AA61)/'C0-Ref Stats'!$R59*1000*'C0-Ref Stats'!$AA59/0.9</f>
        <v>37007.061863528499</v>
      </c>
      <c r="X62" s="258">
        <f>('C1-Incomes'!AA61-'C1-Incomes'!AB61)/'C0-Ref Stats'!$R59*1000*'C0-Ref Stats'!$AA59/0.05</f>
        <v>82674.005597730662</v>
      </c>
      <c r="Y62" s="258">
        <f>('C1-Incomes'!AB61-'C1-Incomes'!AC61)/'C0-Ref Stats'!$R59*1000*'C0-Ref Stats'!$AA59/0.04</f>
        <v>120010.2867895532</v>
      </c>
      <c r="Z62" s="258">
        <f>('C1-Incomes'!AC61-'C1-Incomes'!AD61)/'C0-Ref Stats'!$R59*1000*'C0-Ref Stats'!$AA59/0.005</f>
        <v>205057.80950633952</v>
      </c>
      <c r="AA62" s="258">
        <f>('C1-Incomes'!AD61-'C1-Incomes'!AE61)/'C0-Ref Stats'!$R59*1000*'C0-Ref Stats'!$AA59/0.004</f>
        <v>337169.13362343225</v>
      </c>
      <c r="AB62" s="258">
        <f>('C1-Incomes'!AE61-'C1-Incomes'!AF61)/'C0-Ref Stats'!$R59*1000*'C0-Ref Stats'!$AA59/0.0009</f>
        <v>925179.98396669014</v>
      </c>
      <c r="AD62" s="258">
        <f>'C1-Incomes'!C61/'C0-Ref Stats'!$B59*1000*'C0-Ref Stats'!$AA59/0.1</f>
        <v>253851.07327678381</v>
      </c>
      <c r="AE62" s="258">
        <f>'C1-Incomes'!D61/'C0-Ref Stats'!$B59*1000*'C0-Ref Stats'!$AA59/0.05</f>
        <v>372189.7360775937</v>
      </c>
      <c r="AF62" s="258">
        <f>'C1-Incomes'!E61/'C0-Ref Stats'!$B59*1000*'C0-Ref Stats'!$AA59/0.01</f>
        <v>957442.31218698004</v>
      </c>
      <c r="AG62" s="258">
        <f>'C1-Incomes'!F61/'C0-Ref Stats'!$B59*1000*'C0-Ref Stats'!$AA59/0.005</f>
        <v>1463431.8906238482</v>
      </c>
      <c r="AH62" s="258">
        <f>'C1-Incomes'!G61/'C0-Ref Stats'!$B59*1000*'C0-Ref Stats'!$AA59/0.001</f>
        <v>4017625.442824041</v>
      </c>
      <c r="AI62" s="258">
        <f>'C1-Incomes'!H61/'C0-Ref Stats'!$B59*1000*'C0-Ref Stats'!$AA59/0.0001</f>
        <v>16976397.137390818</v>
      </c>
      <c r="AJ62" s="47"/>
      <c r="AK62" s="258">
        <f>'C1-Incomes'!K61/'C0-Ref Stats'!$R59*1000*'C0-Ref Stats'!$AA59/0.1</f>
        <v>180337.35251697197</v>
      </c>
      <c r="AL62" s="258">
        <f>'C1-Incomes'!L61/'C0-Ref Stats'!$R59*1000*'C0-Ref Stats'!$AA59/0.05</f>
        <v>258057.60081811561</v>
      </c>
      <c r="AM62" s="258">
        <f>'C1-Incomes'!M61/'C0-Ref Stats'!$R59*1000*'C0-Ref Stats'!$AA59/0.01</f>
        <v>640002.97332317382</v>
      </c>
      <c r="AN62" s="258">
        <f>'C1-Incomes'!N61/'C0-Ref Stats'!$R59*1000*'C0-Ref Stats'!$AA59/0.005</f>
        <v>976373.75968805572</v>
      </c>
      <c r="AO62" s="258">
        <f>'C1-Incomes'!O61/'C0-Ref Stats'!$R59*1000*'C0-Ref Stats'!$AA59/0.001</f>
        <v>2722180.280794478</v>
      </c>
      <c r="AP62" s="258">
        <f>'C1-Incomes'!P61/'C0-Ref Stats'!$R59*1000*'C0-Ref Stats'!$AA59/0.0001</f>
        <v>11889211.64550031</v>
      </c>
      <c r="AQ62" s="47"/>
      <c r="AR62" s="258">
        <f>'C1-Incomes'!S61/'C0-Ref Stats'!$R59*1000*'C0-Ref Stats'!$AA59/0.1</f>
        <v>184443.25503756589</v>
      </c>
      <c r="AS62" s="258">
        <f>'C1-Incomes'!T61/'C0-Ref Stats'!$R59*1000*'C0-Ref Stats'!$AA59/0.05</f>
        <v>261945.7170635919</v>
      </c>
      <c r="AT62" s="258">
        <f>'C1-Incomes'!U61/'C0-Ref Stats'!$R59*1000*'C0-Ref Stats'!$AA59/0.01</f>
        <v>644087.52800908627</v>
      </c>
      <c r="AU62" s="258">
        <f>'C1-Incomes'!V61/'C0-Ref Stats'!$R59*1000*'C0-Ref Stats'!$AA59/0.005</f>
        <v>980462.87791610451</v>
      </c>
      <c r="AV62" s="258">
        <f>'C1-Incomes'!W61/'C0-Ref Stats'!$R59*1000*'C0-Ref Stats'!$AA59/0.001</f>
        <v>2727074.0962649602</v>
      </c>
      <c r="AW62" s="258">
        <f>'C1-Incomes'!X61/'C0-Ref Stats'!$R59*1000*'C0-Ref Stats'!$AA59/0.0001</f>
        <v>11894188.369374033</v>
      </c>
      <c r="AX62" s="258"/>
      <c r="AY62" s="258">
        <f>'C1-Incomes'!AA61/'C0-Ref Stats'!$R59*1000*'C0-Ref Stats'!$AA59/0.1</f>
        <v>127477.59903640249</v>
      </c>
      <c r="AZ62" s="258">
        <f>'C1-Incomes'!AB61/'C0-Ref Stats'!$R59*1000*'C0-Ref Stats'!$AA59/0.05</f>
        <v>172281.19247507435</v>
      </c>
      <c r="BA62" s="258">
        <f>'C1-Incomes'!AC61/'C0-Ref Stats'!$R59*1000*'C0-Ref Stats'!$AA59/0.01</f>
        <v>381364.81521715893</v>
      </c>
      <c r="BB62" s="258">
        <f>'C1-Incomes'!AD61/'C0-Ref Stats'!$R59*1000*'C0-Ref Stats'!$AA59/0.005</f>
        <v>557671.82092797826</v>
      </c>
      <c r="BC62" s="258">
        <f>'C1-Incomes'!AE61/'C0-Ref Stats'!$R59*1000*'C0-Ref Stats'!$AA59/0.001</f>
        <v>1439682.5701461623</v>
      </c>
      <c r="BD62" s="258">
        <f>'C1-Incomes'!AF61/'C0-Ref Stats'!$R59*1000*'C0-Ref Stats'!$AA59/0.0001</f>
        <v>6070205.8457614146</v>
      </c>
      <c r="BF62" s="258">
        <v>115500</v>
      </c>
      <c r="BG62" s="258">
        <v>163600</v>
      </c>
      <c r="BH62" s="258">
        <v>376200</v>
      </c>
      <c r="BI62" s="258">
        <v>561000</v>
      </c>
      <c r="BJ62" s="258">
        <v>1477000</v>
      </c>
      <c r="BK62" s="258">
        <v>6480000</v>
      </c>
      <c r="BM62" s="258">
        <v>258500</v>
      </c>
      <c r="BN62" s="258">
        <v>631592.2041937043</v>
      </c>
      <c r="BO62" s="1254">
        <f t="shared" si="0"/>
        <v>1.6928582186771997</v>
      </c>
      <c r="BP62" s="1254">
        <f>AF62/BH62/(AF62/BH62-1)</f>
        <v>1.6472343669966341</v>
      </c>
      <c r="BQ62" s="480"/>
      <c r="BR62" s="258">
        <v>409600</v>
      </c>
      <c r="BS62" s="258">
        <v>944290.19316438236</v>
      </c>
      <c r="BT62" s="258">
        <v>605300</v>
      </c>
      <c r="BU62" s="258">
        <v>1394115.9380771974</v>
      </c>
      <c r="BV62" s="1254">
        <f t="shared" si="8"/>
        <v>1.7660510801141152</v>
      </c>
      <c r="BW62" s="1254">
        <f t="shared" si="11"/>
        <v>1.767352649434883</v>
      </c>
      <c r="BY62" s="258">
        <v>414100</v>
      </c>
      <c r="BZ62" s="258">
        <v>957609.16570195334</v>
      </c>
      <c r="CA62" s="258">
        <v>609800</v>
      </c>
      <c r="CB62" s="258">
        <v>1413777.1323228478</v>
      </c>
      <c r="CC62" s="1254">
        <f t="shared" si="9"/>
        <v>1.7619006746007333</v>
      </c>
      <c r="CD62" s="1254">
        <f t="shared" si="12"/>
        <v>1.7584792844022417</v>
      </c>
      <c r="CF62" s="258">
        <v>299200</v>
      </c>
      <c r="CG62" s="258">
        <v>608607.68014424457</v>
      </c>
      <c r="CH62" s="258">
        <v>418200</v>
      </c>
      <c r="CI62" s="258">
        <v>854790.77389991144</v>
      </c>
      <c r="CJ62" s="1254">
        <f t="shared" si="10"/>
        <v>1.9670089632568726</v>
      </c>
      <c r="CK62" s="1254">
        <f t="shared" si="13"/>
        <v>1.9578764028024842</v>
      </c>
      <c r="CM62" s="1183">
        <v>0.64296007430000002</v>
      </c>
      <c r="CN62" s="1183">
        <v>0.59271051220000004</v>
      </c>
    </row>
    <row r="63" spans="1:92" s="256" customFormat="1" ht="9.75" customHeight="1" x14ac:dyDescent="0.25">
      <c r="A63" s="660">
        <v>2014</v>
      </c>
      <c r="B63" s="258">
        <f>('C1-Incomes'!B62-'C1-Incomes'!C62)/'C0-Ref Stats'!$B60*1000*'C0-Ref Stats'!$AA60/0.9</f>
        <v>32130.270622398581</v>
      </c>
      <c r="C63" s="258">
        <f>('C1-Incomes'!C62-'C1-Incomes'!D62)/'C0-Ref Stats'!$B60*1000*'C0-Ref Stats'!$AA60/0.05</f>
        <v>138448.1012439685</v>
      </c>
      <c r="D63" s="258">
        <f>('C1-Incomes'!D62-'C1-Incomes'!E62)/'C0-Ref Stats'!$B60*1000*'C0-Ref Stats'!$AA60/0.04</f>
        <v>232550.22223336194</v>
      </c>
      <c r="E63" s="258">
        <f>('C1-Incomes'!E62-'C1-Incomes'!F62)/'C0-Ref Stats'!$B60*1000*'C0-Ref Stats'!$AA60/0.005</f>
        <v>472267.3196845323</v>
      </c>
      <c r="F63" s="258">
        <f>('C1-Incomes'!F62-'C1-Incomes'!G62)/'C0-Ref Stats'!$B60*1000*'C0-Ref Stats'!$AA60/0.004</f>
        <v>870383.79923211411</v>
      </c>
      <c r="G63" s="258">
        <f>('C1-Incomes'!G62-'C1-Incomes'!H62)/'C0-Ref Stats'!$B60*1000*'C0-Ref Stats'!$AA60/0.0009</f>
        <v>2772858.2364550238</v>
      </c>
      <c r="H63" s="258"/>
      <c r="I63" s="258">
        <f>('C1-Incomes'!J62-'C1-Incomes'!K62)/'C0-Ref Stats'!$R60*1000*'C0-Ref Stats'!$AA60/0.9</f>
        <v>31744.177111435354</v>
      </c>
      <c r="J63" s="258">
        <f>('C1-Incomes'!K62-'C1-Incomes'!L62)/'C0-Ref Stats'!$R60*1000*'C0-Ref Stats'!$AA60/0.05</f>
        <v>104503.49864887711</v>
      </c>
      <c r="K63" s="258">
        <f>('C1-Incomes'!L62-'C1-Incomes'!M62)/'C0-Ref Stats'!$R60*1000*'C0-Ref Stats'!$AA60/0.04</f>
        <v>167905.78116514924</v>
      </c>
      <c r="L63" s="258">
        <f>('C1-Incomes'!M62-'C1-Incomes'!N62)/'C0-Ref Stats'!$R60*1000*'C0-Ref Stats'!$AA60/0.005</f>
        <v>315159.20285626437</v>
      </c>
      <c r="M63" s="258">
        <f>('C1-Incomes'!N62-'C1-Incomes'!O62)/'C0-Ref Stats'!$R60*1000*'C0-Ref Stats'!$AA60/0.004</f>
        <v>568291.8722367509</v>
      </c>
      <c r="N63" s="258">
        <f>('C1-Incomes'!O62-'C1-Incomes'!P62)/'C0-Ref Stats'!$R60*1000*'C0-Ref Stats'!$AA60/0.0009</f>
        <v>1813528.9684899312</v>
      </c>
      <c r="O63" s="47"/>
      <c r="P63" s="258">
        <f>('C1-Incomes'!R62-'C1-Incomes'!S62)/'C0-Ref Stats'!$R60*1000*'C0-Ref Stats'!$AA60/0.9</f>
        <v>39699.50997849046</v>
      </c>
      <c r="Q63" s="258">
        <f>('C1-Incomes'!S62-'C1-Incomes'!T62)/'C0-Ref Stats'!$R60*1000*'C0-Ref Stats'!$AA60/0.05</f>
        <v>108649.80172683674</v>
      </c>
      <c r="R63" s="258">
        <f>('C1-Incomes'!T62-'C1-Incomes'!U62)/'C0-Ref Stats'!$R60*1000*'C0-Ref Stats'!$AA60/0.04</f>
        <v>171648.22187119722</v>
      </c>
      <c r="S63" s="258">
        <f>('C1-Incomes'!U62-'C1-Incomes'!V62)/'C0-Ref Stats'!$R60*1000*'C0-Ref Stats'!$AA60/0.005</f>
        <v>319165.34438378795</v>
      </c>
      <c r="T63" s="258">
        <f>('C1-Incomes'!V62-'C1-Incomes'!W62)/'C0-Ref Stats'!$R60*1000*'C0-Ref Stats'!$AA60/0.004</f>
        <v>572283.79653339833</v>
      </c>
      <c r="U63" s="258">
        <f>('C1-Incomes'!W62-'C1-Incomes'!X62)/'C0-Ref Stats'!$R60*1000*'C0-Ref Stats'!$AA60/0.0009</f>
        <v>1818073.9712797399</v>
      </c>
      <c r="V63" s="258"/>
      <c r="W63" s="258">
        <f>('C1-Incomes'!Z62-'C1-Incomes'!AA62)/'C0-Ref Stats'!$R60*1000*'C0-Ref Stats'!$AA60/0.9</f>
        <v>37741.635022585237</v>
      </c>
      <c r="X63" s="258">
        <f>('C1-Incomes'!AA62-'C1-Incomes'!AB62)/'C0-Ref Stats'!$R60*1000*'C0-Ref Stats'!$AA60/0.05</f>
        <v>84350.369748761485</v>
      </c>
      <c r="Y63" s="258">
        <f>('C1-Incomes'!AB62-'C1-Incomes'!AC62)/'C0-Ref Stats'!$R60*1000*'C0-Ref Stats'!$AA60/0.04</f>
        <v>124787.22567564009</v>
      </c>
      <c r="Z63" s="258">
        <f>('C1-Incomes'!AC62-'C1-Incomes'!AD62)/'C0-Ref Stats'!$R60*1000*'C0-Ref Stats'!$AA60/0.005</f>
        <v>214543.36922182757</v>
      </c>
      <c r="AA63" s="258">
        <f>('C1-Incomes'!AD62-'C1-Incomes'!AE62)/'C0-Ref Stats'!$R60*1000*'C0-Ref Stats'!$AA60/0.004</f>
        <v>359164.95239195623</v>
      </c>
      <c r="AB63" s="258">
        <f>('C1-Incomes'!AE62-'C1-Incomes'!AF62)/'C0-Ref Stats'!$R60*1000*'C0-Ref Stats'!$AA60/0.0009</f>
        <v>1007947.1125589458</v>
      </c>
      <c r="AD63" s="258">
        <f>'C1-Incomes'!C62/'C0-Ref Stats'!$B60*1000*'C0-Ref Stats'!$AA60/0.1</f>
        <v>264008.1151957293</v>
      </c>
      <c r="AE63" s="258">
        <f>'C1-Incomes'!D62/'C0-Ref Stats'!$B60*1000*'C0-Ref Stats'!$AA60/0.05</f>
        <v>389568.12914749002</v>
      </c>
      <c r="AF63" s="258">
        <f>'C1-Incomes'!E62/'C0-Ref Stats'!$B60*1000*'C0-Ref Stats'!$AA60/0.01</f>
        <v>1017639.7568040023</v>
      </c>
      <c r="AG63" s="258">
        <f>'C1-Incomes'!F62/'C0-Ref Stats'!$B60*1000*'C0-Ref Stats'!$AA60/0.005</f>
        <v>1563012.1939234724</v>
      </c>
      <c r="AH63" s="258">
        <f>'C1-Incomes'!G62/'C0-Ref Stats'!$B60*1000*'C0-Ref Stats'!$AA60/0.001</f>
        <v>4333525.7726889048</v>
      </c>
      <c r="AI63" s="258">
        <f>'C1-Incomes'!H62/'C0-Ref Stats'!$B60*1000*'C0-Ref Stats'!$AA60/0.0001</f>
        <v>18379533.598793842</v>
      </c>
      <c r="AJ63" s="47"/>
      <c r="AK63" s="258">
        <f>'C1-Incomes'!K62/'C0-Ref Stats'!$R60*1000*'C0-Ref Stats'!$AA60/0.1</f>
        <v>186890.05478433226</v>
      </c>
      <c r="AL63" s="258">
        <f>'C1-Incomes'!L62/'C0-Ref Stats'!$R60*1000*'C0-Ref Stats'!$AA60/0.05</f>
        <v>269276.61091978737</v>
      </c>
      <c r="AM63" s="258">
        <f>'C1-Incomes'!M62/'C0-Ref Stats'!$R60*1000*'C0-Ref Stats'!$AA60/0.01</f>
        <v>674759.92993834009</v>
      </c>
      <c r="AN63" s="258">
        <f>'C1-Incomes'!N62/'C0-Ref Stats'!$R60*1000*'C0-Ref Stats'!$AA60/0.005</f>
        <v>1034360.6570204158</v>
      </c>
      <c r="AO63" s="258">
        <f>'C1-Incomes'!O62/'C0-Ref Stats'!$R60*1000*'C0-Ref Stats'!$AA60/0.001</f>
        <v>2898635.7961550741</v>
      </c>
      <c r="AP63" s="258">
        <f>'C1-Incomes'!P62/'C0-Ref Stats'!$R60*1000*'C0-Ref Stats'!$AA60/0.0001</f>
        <v>12664597.245141363</v>
      </c>
      <c r="AQ63" s="47"/>
      <c r="AR63" s="258">
        <f>'C1-Incomes'!S62/'C0-Ref Stats'!$R60*1000*'C0-Ref Stats'!$AA60/0.1</f>
        <v>190865.92865593571</v>
      </c>
      <c r="AS63" s="258">
        <f>'C1-Incomes'!T62/'C0-Ref Stats'!$R60*1000*'C0-Ref Stats'!$AA60/0.05</f>
        <v>273082.05558503466</v>
      </c>
      <c r="AT63" s="258">
        <f>'C1-Incomes'!U62/'C0-Ref Stats'!$R60*1000*'C0-Ref Stats'!$AA60/0.01</f>
        <v>678817.39044038462</v>
      </c>
      <c r="AU63" s="258">
        <f>'C1-Incomes'!V62/'C0-Ref Stats'!$R60*1000*'C0-Ref Stats'!$AA60/0.005</f>
        <v>1038469.436496981</v>
      </c>
      <c r="AV63" s="258">
        <f>'C1-Incomes'!W62/'C0-Ref Stats'!$R60*1000*'C0-Ref Stats'!$AA60/0.001</f>
        <v>2903211.9963513124</v>
      </c>
      <c r="AW63" s="258">
        <f>'C1-Incomes'!X62/'C0-Ref Stats'!$R60*1000*'C0-Ref Stats'!$AA60/0.0001</f>
        <v>12669454.221995467</v>
      </c>
      <c r="AX63" s="258"/>
      <c r="AY63" s="258">
        <f>'C1-Incomes'!AA62/'C0-Ref Stats'!$R60*1000*'C0-Ref Stats'!$AA60/0.1</f>
        <v>132912.84427186969</v>
      </c>
      <c r="AZ63" s="258">
        <f>'C1-Incomes'!AB62/'C0-Ref Stats'!$R60*1000*'C0-Ref Stats'!$AA60/0.05</f>
        <v>181475.31879497785</v>
      </c>
      <c r="BA63" s="258">
        <f>'C1-Incomes'!AC62/'C0-Ref Stats'!$R60*1000*'C0-Ref Stats'!$AA60/0.01</f>
        <v>408227.6912723289</v>
      </c>
      <c r="BB63" s="258">
        <f>'C1-Incomes'!AD62/'C0-Ref Stats'!$R60*1000*'C0-Ref Stats'!$AA60/0.005</f>
        <v>601912.0133228302</v>
      </c>
      <c r="BC63" s="258">
        <f>'C1-Incomes'!AE62/'C0-Ref Stats'!$R60*1000*'C0-Ref Stats'!$AA60/0.001</f>
        <v>1572900.2570463263</v>
      </c>
      <c r="BD63" s="258">
        <f>'C1-Incomes'!AF62/'C0-Ref Stats'!$R60*1000*'C0-Ref Stats'!$AA60/0.0001</f>
        <v>6657478.5574327493</v>
      </c>
      <c r="BF63" s="258">
        <v>117900</v>
      </c>
      <c r="BG63" s="258">
        <v>167500</v>
      </c>
      <c r="BH63" s="258">
        <v>392400</v>
      </c>
      <c r="BI63" s="258">
        <v>589000</v>
      </c>
      <c r="BJ63" s="258">
        <v>1574000</v>
      </c>
      <c r="BK63" s="258">
        <v>7080000</v>
      </c>
      <c r="BM63" s="258">
        <v>265900</v>
      </c>
      <c r="BN63" s="258">
        <v>667153.36464516609</v>
      </c>
      <c r="BO63" s="1254">
        <f t="shared" si="0"/>
        <v>1.6626735709372531</v>
      </c>
      <c r="BP63" s="1254">
        <f>AF63/BH63/(AF63/BH63-1)</f>
        <v>1.6275992460968984</v>
      </c>
      <c r="BQ63" s="480"/>
      <c r="BR63" s="258">
        <v>419400</v>
      </c>
      <c r="BS63" s="258">
        <v>986088.28428942733</v>
      </c>
      <c r="BT63" s="258">
        <v>631900</v>
      </c>
      <c r="BU63" s="258">
        <v>1464566.4869862311</v>
      </c>
      <c r="BV63" s="1254">
        <f t="shared" si="8"/>
        <v>1.7400894135757321</v>
      </c>
      <c r="BW63" s="1254">
        <f t="shared" si="11"/>
        <v>1.7588872734473928</v>
      </c>
      <c r="BY63" s="258">
        <v>424200</v>
      </c>
      <c r="BZ63" s="258">
        <v>999462.19943743094</v>
      </c>
      <c r="CA63" s="258">
        <v>635800</v>
      </c>
      <c r="CB63" s="258">
        <v>1484249.5824621762</v>
      </c>
      <c r="CC63" s="1254">
        <f t="shared" si="9"/>
        <v>1.7374028754450408</v>
      </c>
      <c r="CD63" s="1254">
        <f t="shared" si="12"/>
        <v>1.749366860615249</v>
      </c>
      <c r="CF63" s="258">
        <v>306300</v>
      </c>
      <c r="CG63" s="258">
        <v>643775.06310781382</v>
      </c>
      <c r="CH63" s="258">
        <v>435700</v>
      </c>
      <c r="CI63" s="258">
        <v>911611.62615397735</v>
      </c>
      <c r="CJ63" s="1254">
        <f t="shared" si="10"/>
        <v>1.9076226171477022</v>
      </c>
      <c r="CK63" s="1254">
        <f t="shared" si="13"/>
        <v>1.9155061067136714</v>
      </c>
      <c r="CM63" s="1183">
        <v>0.64518196790000004</v>
      </c>
      <c r="CN63" s="1183">
        <v>0.59562265999999997</v>
      </c>
    </row>
    <row r="64" spans="1:92" s="256" customFormat="1" ht="9.75" customHeight="1" x14ac:dyDescent="0.25">
      <c r="A64" s="660">
        <v>2015</v>
      </c>
      <c r="B64" s="258">
        <f>('C1-Incomes'!B63-'C1-Incomes'!C63)/'C0-Ref Stats'!$B61*1000*'C0-Ref Stats'!$AA61/0.9</f>
        <v>32961.918361753436</v>
      </c>
      <c r="C64" s="258">
        <f>('C1-Incomes'!C63-'C1-Incomes'!D63)/'C0-Ref Stats'!$B61*1000*'C0-Ref Stats'!$AA61/0.05</f>
        <v>142772.46018555315</v>
      </c>
      <c r="D64" s="258">
        <f>('C1-Incomes'!D63-'C1-Incomes'!E63)/'C0-Ref Stats'!$B61*1000*'C0-Ref Stats'!$AA61/0.04</f>
        <v>240828.13458119085</v>
      </c>
      <c r="E64" s="258">
        <f>('C1-Incomes'!E63-'C1-Incomes'!F63)/'C0-Ref Stats'!$B61*1000*'C0-Ref Stats'!$AA61/0.005</f>
        <v>490073.65972686245</v>
      </c>
      <c r="F64" s="258">
        <f>('C1-Incomes'!F63-'C1-Incomes'!G63)/'C0-Ref Stats'!$B61*1000*'C0-Ref Stats'!$AA61/0.004</f>
        <v>902838.29982937162</v>
      </c>
      <c r="G64" s="258">
        <f>('C1-Incomes'!G63-'C1-Incomes'!H63)/'C0-Ref Stats'!$B61*1000*'C0-Ref Stats'!$AA61/0.0009</f>
        <v>2878751.0247497354</v>
      </c>
      <c r="H64" s="258"/>
      <c r="I64" s="258">
        <f>('C1-Incomes'!J63-'C1-Incomes'!K63)/'C0-Ref Stats'!$R61*1000*'C0-Ref Stats'!$AA61/0.9</f>
        <v>32737.528559424591</v>
      </c>
      <c r="J64" s="258">
        <f>('C1-Incomes'!K63-'C1-Incomes'!L63)/'C0-Ref Stats'!$R61*1000*'C0-Ref Stats'!$AA61/0.05</f>
        <v>107319.06079680457</v>
      </c>
      <c r="K64" s="258">
        <f>('C1-Incomes'!L63-'C1-Incomes'!M63)/'C0-Ref Stats'!$R61*1000*'C0-Ref Stats'!$AA61/0.04</f>
        <v>171919.48217237252</v>
      </c>
      <c r="L64" s="258">
        <f>('C1-Incomes'!M63-'C1-Incomes'!N63)/'C0-Ref Stats'!$R61*1000*'C0-Ref Stats'!$AA61/0.005</f>
        <v>320738.84885183763</v>
      </c>
      <c r="M64" s="258">
        <f>('C1-Incomes'!N63-'C1-Incomes'!O63)/'C0-Ref Stats'!$R61*1000*'C0-Ref Stats'!$AA61/0.004</f>
        <v>578594.91351241933</v>
      </c>
      <c r="N64" s="258">
        <f>('C1-Incomes'!O63-'C1-Incomes'!P63)/'C0-Ref Stats'!$R61*1000*'C0-Ref Stats'!$AA61/0.0009</f>
        <v>1832017.0451545534</v>
      </c>
      <c r="O64" s="47"/>
      <c r="P64" s="258">
        <f>('C1-Incomes'!R63-'C1-Incomes'!S63)/'C0-Ref Stats'!$R61*1000*'C0-Ref Stats'!$AA61/0.9</f>
        <v>41015.394497128495</v>
      </c>
      <c r="Q64" s="258">
        <f>('C1-Incomes'!S63-'C1-Incomes'!T63)/'C0-Ref Stats'!$R61*1000*'C0-Ref Stats'!$AA61/0.05</f>
        <v>111673.99724030202</v>
      </c>
      <c r="R64" s="258">
        <f>('C1-Incomes'!T63-'C1-Incomes'!U63)/'C0-Ref Stats'!$R61*1000*'C0-Ref Stats'!$AA61/0.04</f>
        <v>175774.21454110375</v>
      </c>
      <c r="S64" s="258">
        <f>('C1-Incomes'!U63-'C1-Incomes'!V63)/'C0-Ref Stats'!$R61*1000*'C0-Ref Stats'!$AA61/0.005</f>
        <v>325016.61190637317</v>
      </c>
      <c r="T64" s="258">
        <f>('C1-Incomes'!V63-'C1-Incomes'!W63)/'C0-Ref Stats'!$R61*1000*'C0-Ref Stats'!$AA61/0.004</f>
        <v>582773.67398528883</v>
      </c>
      <c r="U64" s="258">
        <f>('C1-Incomes'!W63-'C1-Incomes'!X63)/'C0-Ref Stats'!$R61*1000*'C0-Ref Stats'!$AA61/0.0009</f>
        <v>1836535.7651839424</v>
      </c>
      <c r="V64" s="258"/>
      <c r="W64" s="258">
        <f>('C1-Incomes'!Z63-'C1-Incomes'!AA63)/'C0-Ref Stats'!$R61*1000*'C0-Ref Stats'!$AA61/0.9</f>
        <v>38877.73662955554</v>
      </c>
      <c r="X64" s="258">
        <f>('C1-Incomes'!AA63-'C1-Incomes'!AB63)/'C0-Ref Stats'!$R61*1000*'C0-Ref Stats'!$AA61/0.05</f>
        <v>86633.2433286335</v>
      </c>
      <c r="Y64" s="258">
        <f>('C1-Incomes'!AB63-'C1-Incomes'!AC63)/'C0-Ref Stats'!$R61*1000*'C0-Ref Stats'!$AA61/0.04</f>
        <v>127259.13314559456</v>
      </c>
      <c r="Z64" s="258">
        <f>('C1-Incomes'!AC63-'C1-Incomes'!AD63)/'C0-Ref Stats'!$R61*1000*'C0-Ref Stats'!$AA61/0.005</f>
        <v>218866.38527025256</v>
      </c>
      <c r="AA64" s="258">
        <f>('C1-Incomes'!AD63-'C1-Incomes'!AE63)/'C0-Ref Stats'!$R61*1000*'C0-Ref Stats'!$AA61/0.004</f>
        <v>362354.93964914844</v>
      </c>
      <c r="AB64" s="258">
        <f>('C1-Incomes'!AE63-'C1-Incomes'!AF63)/'C0-Ref Stats'!$R61*1000*'C0-Ref Stats'!$AA61/0.0009</f>
        <v>1019265.4238452852</v>
      </c>
      <c r="AD64" s="258">
        <f>'C1-Incomes'!C63/'C0-Ref Stats'!$B61*1000*'C0-Ref Stats'!$AA61/0.1</f>
        <v>273565.80028409476</v>
      </c>
      <c r="AE64" s="258">
        <f>'C1-Incomes'!D63/'C0-Ref Stats'!$B61*1000*'C0-Ref Stats'!$AA61/0.05</f>
        <v>404359.1403826364</v>
      </c>
      <c r="AF64" s="258">
        <f>'C1-Incomes'!E63/'C0-Ref Stats'!$B61*1000*'C0-Ref Stats'!$AA61/0.01</f>
        <v>1058483.1635884186</v>
      </c>
      <c r="AG64" s="258">
        <f>'C1-Incomes'!F63/'C0-Ref Stats'!$B61*1000*'C0-Ref Stats'!$AA61/0.005</f>
        <v>1626892.6674499745</v>
      </c>
      <c r="AH64" s="258">
        <f>'C1-Incomes'!G63/'C0-Ref Stats'!$B61*1000*'C0-Ref Stats'!$AA61/0.001</f>
        <v>4523110.1379323862</v>
      </c>
      <c r="AI64" s="258">
        <f>'C1-Incomes'!H63/'C0-Ref Stats'!$B61*1000*'C0-Ref Stats'!$AA61/0.0001</f>
        <v>19322342.15657625</v>
      </c>
      <c r="AJ64" s="47"/>
      <c r="AK64" s="258">
        <f>'C1-Incomes'!K63/'C0-Ref Stats'!$R61*1000*'C0-Ref Stats'!$AA61/0.1</f>
        <v>190990.04076102213</v>
      </c>
      <c r="AL64" s="258">
        <f>'C1-Incomes'!L63/'C0-Ref Stats'!$R61*1000*'C0-Ref Stats'!$AA61/0.05</f>
        <v>274661.02072523971</v>
      </c>
      <c r="AM64" s="258">
        <f>'C1-Incomes'!M63/'C0-Ref Stats'!$R61*1000*'C0-Ref Stats'!$AA61/0.01</f>
        <v>685627.17493670864</v>
      </c>
      <c r="AN64" s="258">
        <f>'C1-Incomes'!N63/'C0-Ref Stats'!$R61*1000*'C0-Ref Stats'!$AA61/0.005</f>
        <v>1050515.5010215798</v>
      </c>
      <c r="AO64" s="258">
        <f>'C1-Incomes'!O63/'C0-Ref Stats'!$R61*1000*'C0-Ref Stats'!$AA61/0.001</f>
        <v>2938197.851058221</v>
      </c>
      <c r="AP64" s="258">
        <f>'C1-Incomes'!P63/'C0-Ref Stats'!$R61*1000*'C0-Ref Stats'!$AA61/0.0001</f>
        <v>12893825.104191236</v>
      </c>
      <c r="AQ64" s="47"/>
      <c r="AR64" s="258">
        <f>'C1-Incomes'!S63/'C0-Ref Stats'!$R61*1000*'C0-Ref Stats'!$AA61/0.1</f>
        <v>195137.10033242992</v>
      </c>
      <c r="AS64" s="258">
        <f>'C1-Incomes'!T63/'C0-Ref Stats'!$R61*1000*'C0-Ref Stats'!$AA61/0.05</f>
        <v>278600.20342455781</v>
      </c>
      <c r="AT64" s="258">
        <f>'C1-Incomes'!U63/'C0-Ref Stats'!$R61*1000*'C0-Ref Stats'!$AA61/0.01</f>
        <v>689904.15895837417</v>
      </c>
      <c r="AU64" s="258">
        <f>'C1-Incomes'!V63/'C0-Ref Stats'!$R61*1000*'C0-Ref Stats'!$AA61/0.005</f>
        <v>1054791.7060103752</v>
      </c>
      <c r="AV64" s="258">
        <f>'C1-Incomes'!W63/'C0-Ref Stats'!$R61*1000*'C0-Ref Stats'!$AA61/0.001</f>
        <v>2942863.8341107205</v>
      </c>
      <c r="AW64" s="258">
        <f>'C1-Incomes'!X63/'C0-Ref Stats'!$R61*1000*'C0-Ref Stats'!$AA61/0.0001</f>
        <v>12899816.45445173</v>
      </c>
      <c r="AX64" s="258"/>
      <c r="AY64" s="258">
        <f>'C1-Incomes'!AA63/'C0-Ref Stats'!$R61*1000*'C0-Ref Stats'!$AA61/0.1</f>
        <v>135728.14230514044</v>
      </c>
      <c r="AZ64" s="258">
        <f>'C1-Incomes'!AB63/'C0-Ref Stats'!$R61*1000*'C0-Ref Stats'!$AA61/0.05</f>
        <v>184823.0412816474</v>
      </c>
      <c r="BA64" s="258">
        <f>'C1-Incomes'!AC63/'C0-Ref Stats'!$R61*1000*'C0-Ref Stats'!$AA61/0.01</f>
        <v>415078.6738258588</v>
      </c>
      <c r="BB64" s="258">
        <f>'C1-Incomes'!AD63/'C0-Ref Stats'!$R61*1000*'C0-Ref Stats'!$AA61/0.005</f>
        <v>611290.96238146513</v>
      </c>
      <c r="BC64" s="258">
        <f>'C1-Incomes'!AE63/'C0-Ref Stats'!$R61*1000*'C0-Ref Stats'!$AA61/0.001</f>
        <v>1607035.0533107324</v>
      </c>
      <c r="BD64" s="258">
        <f>'C1-Incomes'!AF63/'C0-Ref Stats'!$R61*1000*'C0-Ref Stats'!$AA61/0.0001</f>
        <v>6896961.7184997546</v>
      </c>
      <c r="BF64" s="258">
        <v>121000</v>
      </c>
      <c r="BG64" s="258">
        <v>173200</v>
      </c>
      <c r="BH64" s="258">
        <v>407300</v>
      </c>
      <c r="BI64" s="258">
        <v>610000</v>
      </c>
      <c r="BJ64" s="258">
        <v>1636000</v>
      </c>
      <c r="BK64" s="258">
        <v>7330000</v>
      </c>
      <c r="BL64" s="488"/>
      <c r="BM64" s="258">
        <v>275100</v>
      </c>
      <c r="BN64" s="258">
        <v>693216.00675675669</v>
      </c>
      <c r="BO64" s="1254">
        <f t="shared" si="0"/>
        <v>1.6579513712806557</v>
      </c>
      <c r="BP64" s="1254">
        <f>AF64/BH64/(AF64/BH64-1)</f>
        <v>1.6254768593148619</v>
      </c>
      <c r="BQ64" s="480"/>
      <c r="BR64" s="258">
        <v>425400</v>
      </c>
      <c r="BS64" s="258">
        <v>1002882.9810356573</v>
      </c>
      <c r="BT64" s="258">
        <v>645000</v>
      </c>
      <c r="BU64" s="258">
        <v>1488898.0955030662</v>
      </c>
      <c r="BV64" s="1254">
        <f t="shared" si="8"/>
        <v>1.7366450856042339</v>
      </c>
      <c r="BW64" s="1254">
        <f t="shared" si="11"/>
        <v>1.7643102922462472</v>
      </c>
      <c r="BY64" s="258">
        <v>429400</v>
      </c>
      <c r="BZ64" s="258">
        <v>1016369.3700586919</v>
      </c>
      <c r="CA64" s="258">
        <v>648800</v>
      </c>
      <c r="CB64" s="258">
        <v>1508540.1261998396</v>
      </c>
      <c r="CC64" s="1254">
        <f t="shared" si="9"/>
        <v>1.7315543568432943</v>
      </c>
      <c r="CD64" s="1254">
        <f t="shared" si="12"/>
        <v>1.7546466428963579</v>
      </c>
      <c r="CF64" s="258">
        <v>307000</v>
      </c>
      <c r="CG64" s="258">
        <v>652984.48568559717</v>
      </c>
      <c r="CH64" s="258">
        <v>441700</v>
      </c>
      <c r="CI64" s="258">
        <v>925195.83488530549</v>
      </c>
      <c r="CJ64" s="1254">
        <f t="shared" si="10"/>
        <v>1.8873230237236036</v>
      </c>
      <c r="CK64" s="1254">
        <f t="shared" si="13"/>
        <v>1.9135549225667678</v>
      </c>
      <c r="CM64" s="1183">
        <v>0.64619418569999998</v>
      </c>
      <c r="CN64" s="1183">
        <v>0.59373254440000001</v>
      </c>
    </row>
    <row r="65" spans="1:92" s="256" customFormat="1" ht="9.75" customHeight="1" x14ac:dyDescent="0.25">
      <c r="A65" s="660"/>
      <c r="B65" s="258"/>
      <c r="C65" s="258"/>
      <c r="D65" s="258"/>
      <c r="E65" s="258"/>
      <c r="F65" s="258"/>
      <c r="G65" s="258"/>
      <c r="H65" s="258"/>
      <c r="I65" s="258"/>
      <c r="J65" s="258"/>
      <c r="K65" s="258"/>
      <c r="L65" s="258"/>
      <c r="M65" s="258"/>
      <c r="N65" s="258"/>
      <c r="O65" s="47"/>
      <c r="P65" s="258"/>
      <c r="Q65" s="258"/>
      <c r="R65" s="258"/>
      <c r="S65" s="258"/>
      <c r="T65" s="258"/>
      <c r="U65" s="258"/>
      <c r="V65" s="258"/>
      <c r="W65" s="258"/>
      <c r="X65" s="258"/>
      <c r="Y65" s="258"/>
      <c r="Z65" s="258"/>
      <c r="AA65" s="258"/>
      <c r="AB65" s="258"/>
      <c r="AD65" s="258"/>
      <c r="AE65" s="258"/>
      <c r="AF65" s="258"/>
      <c r="AG65" s="258"/>
      <c r="AH65" s="258"/>
      <c r="AI65" s="258"/>
      <c r="AJ65" s="47"/>
      <c r="AK65" s="258"/>
      <c r="AL65" s="258"/>
      <c r="AM65" s="258"/>
      <c r="AN65" s="258"/>
      <c r="AO65" s="258"/>
      <c r="AP65" s="258"/>
      <c r="AQ65" s="47"/>
      <c r="AR65" s="258"/>
      <c r="AS65" s="258"/>
      <c r="AT65" s="258"/>
      <c r="AU65" s="258"/>
      <c r="AV65" s="258"/>
      <c r="AW65" s="258"/>
      <c r="AX65" s="258"/>
      <c r="AY65" s="258"/>
      <c r="AZ65" s="258"/>
      <c r="BA65" s="258"/>
      <c r="BB65" s="258"/>
      <c r="BC65" s="258"/>
      <c r="BD65" s="258"/>
      <c r="BF65" s="258"/>
      <c r="BG65" s="258"/>
      <c r="BH65" s="258"/>
      <c r="BI65" s="258"/>
      <c r="BJ65" s="258"/>
      <c r="BK65" s="258"/>
      <c r="BL65" s="488"/>
      <c r="BM65" s="480"/>
      <c r="BN65" s="480"/>
      <c r="BO65" s="480"/>
      <c r="BP65" s="480"/>
      <c r="BQ65" s="480"/>
      <c r="BR65" s="480"/>
      <c r="BS65" s="480"/>
      <c r="BT65" s="480"/>
      <c r="BU65" s="480"/>
      <c r="BV65" s="480"/>
      <c r="BW65" s="480"/>
      <c r="BY65" s="480"/>
      <c r="BZ65" s="480"/>
      <c r="CA65" s="480"/>
      <c r="CB65" s="480"/>
      <c r="CC65" s="480"/>
      <c r="CD65" s="480"/>
      <c r="CF65" s="480"/>
      <c r="CG65" s="480"/>
      <c r="CH65" s="480"/>
      <c r="CI65" s="480"/>
      <c r="CJ65" s="480"/>
      <c r="CK65" s="480"/>
    </row>
    <row r="66" spans="1:92" s="172" customFormat="1" ht="6.75" customHeight="1" x14ac:dyDescent="0.3">
      <c r="A66" s="171"/>
      <c r="B66" s="233"/>
      <c r="C66" s="233"/>
      <c r="D66" s="233"/>
      <c r="E66" s="233"/>
      <c r="F66" s="233"/>
      <c r="G66" s="233"/>
      <c r="H66" s="233"/>
      <c r="I66" s="233"/>
      <c r="J66" s="233"/>
      <c r="K66" s="233"/>
      <c r="L66" s="233"/>
      <c r="M66" s="233"/>
      <c r="N66" s="233"/>
      <c r="O66" s="233"/>
      <c r="P66" s="55"/>
      <c r="Q66" s="233"/>
      <c r="R66" s="233"/>
      <c r="S66" s="233"/>
      <c r="T66" s="233"/>
      <c r="U66" s="233"/>
      <c r="V66" s="233"/>
      <c r="W66" s="233"/>
      <c r="X66" s="233"/>
      <c r="Y66" s="233"/>
      <c r="Z66" s="233"/>
      <c r="AA66" s="233"/>
      <c r="AB66" s="233"/>
      <c r="AC66" s="11"/>
      <c r="AD66" s="233"/>
      <c r="AE66" s="233"/>
      <c r="AF66" s="233"/>
      <c r="AG66" s="233"/>
      <c r="AH66" s="233"/>
      <c r="AI66" s="233"/>
      <c r="AJ66" s="233"/>
      <c r="AK66" s="233"/>
      <c r="AL66" s="233"/>
      <c r="AM66" s="233"/>
      <c r="AN66" s="233"/>
      <c r="AO66" s="233"/>
      <c r="AP66" s="233"/>
      <c r="AQ66" s="233"/>
      <c r="AR66" s="233"/>
      <c r="AS66" s="233"/>
      <c r="AT66" s="233"/>
      <c r="AU66" s="233"/>
      <c r="AV66" s="233"/>
      <c r="AW66" s="233"/>
      <c r="AX66" s="233"/>
      <c r="AY66" s="233"/>
      <c r="AZ66" s="233"/>
      <c r="BA66" s="233"/>
      <c r="BB66" s="233"/>
      <c r="BC66" s="233"/>
      <c r="BD66" s="233"/>
      <c r="BF66" s="233"/>
      <c r="BG66" s="233"/>
      <c r="BH66" s="233"/>
      <c r="BI66" s="233"/>
      <c r="BJ66" s="233"/>
      <c r="BK66" s="233"/>
      <c r="BL66" s="12"/>
      <c r="BM66" s="11"/>
      <c r="BN66" s="11"/>
      <c r="BO66" s="11"/>
      <c r="BP66" s="11"/>
      <c r="BQ66" s="11"/>
      <c r="BR66" s="11"/>
      <c r="BS66" s="11"/>
      <c r="BT66" s="11"/>
      <c r="BU66" s="11"/>
      <c r="BV66" s="11"/>
      <c r="BW66" s="11"/>
      <c r="BX66" s="11"/>
      <c r="BY66" s="11"/>
      <c r="BZ66" s="11"/>
      <c r="CA66" s="11"/>
      <c r="CB66" s="11"/>
      <c r="CC66" s="11"/>
      <c r="CD66" s="11"/>
      <c r="CE66" s="11"/>
      <c r="CF66" s="11"/>
      <c r="CG66" s="11"/>
      <c r="CH66" s="11"/>
      <c r="CI66" s="11"/>
      <c r="CJ66" s="11"/>
      <c r="CK66" s="11"/>
      <c r="CM66" s="11"/>
      <c r="CN66" s="11"/>
    </row>
    <row r="67" spans="1:92" s="172" customFormat="1" ht="10.5" customHeight="1" x14ac:dyDescent="0.3">
      <c r="A67" s="235"/>
      <c r="H67" s="539"/>
      <c r="P67" s="24"/>
      <c r="V67" s="539"/>
      <c r="W67" s="539"/>
      <c r="X67" s="539"/>
      <c r="Y67" s="539"/>
      <c r="Z67" s="539"/>
      <c r="AA67" s="539"/>
      <c r="AB67" s="539"/>
      <c r="AX67" s="539"/>
      <c r="AY67" s="539"/>
      <c r="AZ67" s="539"/>
      <c r="BA67" s="539"/>
      <c r="BB67" s="539"/>
      <c r="BC67" s="539"/>
      <c r="BD67" s="539"/>
      <c r="BF67" s="227"/>
      <c r="BG67" s="227"/>
      <c r="BH67" s="227"/>
      <c r="BI67" s="227"/>
      <c r="BJ67" s="227"/>
      <c r="BK67" s="227"/>
      <c r="BL67" s="12"/>
      <c r="BN67" s="24"/>
      <c r="BO67" s="24"/>
      <c r="BP67" s="24"/>
      <c r="BQ67" s="24"/>
      <c r="BR67" s="24"/>
      <c r="BS67" s="24"/>
      <c r="BT67" s="24"/>
      <c r="BU67" s="24"/>
      <c r="BV67" s="24"/>
      <c r="BW67" s="49"/>
      <c r="BX67" s="49"/>
      <c r="BY67" s="49"/>
      <c r="BZ67" s="49"/>
    </row>
    <row r="68" spans="1:92" s="172" customFormat="1" ht="12.75" customHeight="1" x14ac:dyDescent="0.3">
      <c r="A68" s="264" t="s">
        <v>1850</v>
      </c>
      <c r="B68" s="72"/>
      <c r="H68" s="539"/>
      <c r="I68" s="72"/>
      <c r="P68" s="249"/>
      <c r="Q68" s="8"/>
      <c r="R68" s="8"/>
      <c r="S68" s="8"/>
      <c r="T68" s="8"/>
      <c r="U68" s="8"/>
      <c r="V68" s="8"/>
      <c r="W68" s="72"/>
      <c r="X68" s="8"/>
      <c r="Y68" s="8"/>
      <c r="Z68" s="8"/>
      <c r="AA68" s="8"/>
      <c r="AB68" s="8"/>
      <c r="AX68" s="539"/>
      <c r="AY68" s="539"/>
      <c r="AZ68" s="539"/>
      <c r="BA68" s="539"/>
      <c r="BB68" s="539"/>
      <c r="BC68" s="539"/>
      <c r="BD68" s="539"/>
      <c r="BM68" s="8"/>
      <c r="BN68" s="24"/>
      <c r="BO68" s="24"/>
      <c r="BP68" s="48"/>
      <c r="BQ68" s="24"/>
      <c r="BR68" s="56"/>
      <c r="BS68" s="56"/>
      <c r="BT68" s="56"/>
      <c r="BU68" s="56"/>
      <c r="BV68" s="56"/>
      <c r="BW68" s="1290"/>
      <c r="BX68" s="1290"/>
      <c r="BY68" s="1290"/>
      <c r="BZ68" s="1290"/>
    </row>
    <row r="69" spans="1:92" s="502" customFormat="1" ht="12.75" customHeight="1" x14ac:dyDescent="0.3">
      <c r="A69" s="524" t="s">
        <v>1849</v>
      </c>
      <c r="B69" s="72"/>
      <c r="H69" s="539"/>
      <c r="I69" s="72"/>
      <c r="P69" s="249"/>
      <c r="Q69" s="8"/>
      <c r="R69" s="8"/>
      <c r="S69" s="8"/>
      <c r="T69" s="8"/>
      <c r="U69" s="8"/>
      <c r="V69" s="8"/>
      <c r="W69" s="8"/>
      <c r="X69" s="8"/>
      <c r="Y69" s="8"/>
      <c r="Z69" s="8"/>
      <c r="AA69" s="8"/>
      <c r="AB69" s="8"/>
      <c r="AX69" s="539"/>
      <c r="AY69" s="539"/>
      <c r="AZ69" s="539"/>
      <c r="BA69" s="539"/>
      <c r="BB69" s="539"/>
      <c r="BC69" s="539"/>
      <c r="BD69" s="539"/>
      <c r="BF69" s="227"/>
      <c r="BG69" s="227"/>
      <c r="BH69" s="227"/>
      <c r="BI69" s="227"/>
      <c r="BJ69" s="227"/>
      <c r="BK69" s="227"/>
      <c r="BM69" s="1289"/>
      <c r="BN69" s="24"/>
      <c r="BO69" s="24"/>
      <c r="BP69" s="48"/>
      <c r="BQ69" s="24"/>
      <c r="BR69" s="24"/>
      <c r="BS69" s="24"/>
      <c r="BT69" s="24"/>
      <c r="BU69" s="24"/>
      <c r="BV69" s="24"/>
      <c r="BW69" s="1290"/>
      <c r="BX69" s="1290"/>
      <c r="BY69" s="1290"/>
      <c r="BZ69" s="1290"/>
    </row>
    <row r="70" spans="1:92" s="502" customFormat="1" ht="12.75" customHeight="1" x14ac:dyDescent="0.3">
      <c r="A70" s="524" t="s">
        <v>1851</v>
      </c>
      <c r="B70" s="72"/>
      <c r="H70" s="539"/>
      <c r="I70" s="72"/>
      <c r="P70" s="249"/>
      <c r="Q70" s="8"/>
      <c r="R70" s="8"/>
      <c r="S70" s="8"/>
      <c r="T70" s="8"/>
      <c r="U70" s="8"/>
      <c r="V70" s="8"/>
      <c r="W70" s="8"/>
      <c r="X70" s="8"/>
      <c r="Y70" s="8"/>
      <c r="Z70" s="8"/>
      <c r="AA70" s="8"/>
      <c r="AB70" s="8"/>
      <c r="AX70" s="539"/>
      <c r="AY70" s="539"/>
      <c r="AZ70" s="539"/>
      <c r="BA70" s="539"/>
      <c r="BB70" s="539"/>
      <c r="BC70" s="539"/>
      <c r="BD70" s="539"/>
      <c r="BF70" s="227"/>
      <c r="BG70" s="227"/>
      <c r="BH70" s="227"/>
      <c r="BI70" s="227"/>
      <c r="BJ70" s="227"/>
      <c r="BK70" s="227"/>
      <c r="BM70" s="1289"/>
      <c r="BN70" s="24"/>
      <c r="BO70" s="24"/>
      <c r="BP70" s="48"/>
      <c r="BQ70" s="24"/>
      <c r="BR70" s="24"/>
      <c r="BS70" s="24"/>
      <c r="BT70" s="24"/>
      <c r="BU70" s="24"/>
      <c r="BV70" s="24"/>
      <c r="BW70" s="1290"/>
      <c r="BX70" s="1290"/>
      <c r="BY70" s="1290"/>
      <c r="BZ70" s="1290"/>
    </row>
    <row r="71" spans="1:92" s="502" customFormat="1" ht="12.75" customHeight="1" x14ac:dyDescent="0.3">
      <c r="A71" s="524" t="s">
        <v>1852</v>
      </c>
      <c r="B71" s="72"/>
      <c r="H71" s="539"/>
      <c r="I71" s="72"/>
      <c r="P71" s="249"/>
      <c r="Q71" s="8"/>
      <c r="R71" s="8"/>
      <c r="S71" s="8"/>
      <c r="T71" s="8"/>
      <c r="U71" s="8"/>
      <c r="V71" s="8"/>
      <c r="W71" s="8"/>
      <c r="X71" s="8"/>
      <c r="Y71" s="8"/>
      <c r="Z71" s="8"/>
      <c r="AA71" s="8"/>
      <c r="AB71" s="8"/>
      <c r="AX71" s="539"/>
      <c r="AY71" s="539"/>
      <c r="AZ71" s="539"/>
      <c r="BA71" s="539"/>
      <c r="BB71" s="539"/>
      <c r="BC71" s="539"/>
      <c r="BD71" s="539"/>
      <c r="BF71" s="227"/>
      <c r="BG71" s="227"/>
      <c r="BH71" s="227"/>
      <c r="BI71" s="227"/>
      <c r="BJ71" s="227"/>
      <c r="BK71" s="227"/>
      <c r="BM71" s="1289"/>
      <c r="BN71" s="24"/>
      <c r="BO71" s="24"/>
      <c r="BP71" s="48"/>
      <c r="BQ71" s="24"/>
      <c r="BR71" s="24"/>
      <c r="BS71" s="24"/>
      <c r="BT71" s="24"/>
      <c r="BU71" s="24"/>
      <c r="BV71" s="24"/>
      <c r="BW71" s="1290"/>
      <c r="BX71" s="1290"/>
      <c r="BY71" s="1290"/>
      <c r="BZ71" s="1290"/>
    </row>
    <row r="72" spans="1:92" s="502" customFormat="1" ht="12.75" customHeight="1" x14ac:dyDescent="0.3">
      <c r="A72" s="524" t="s">
        <v>2071</v>
      </c>
      <c r="B72" s="72"/>
      <c r="H72" s="539"/>
      <c r="I72" s="72"/>
      <c r="P72" s="249"/>
      <c r="Q72" s="8"/>
      <c r="R72" s="8"/>
      <c r="S72" s="8"/>
      <c r="T72" s="8"/>
      <c r="U72" s="8"/>
      <c r="V72" s="8"/>
      <c r="W72" s="8"/>
      <c r="X72" s="8"/>
      <c r="Y72" s="8"/>
      <c r="Z72" s="8"/>
      <c r="AA72" s="8"/>
      <c r="AB72" s="8"/>
      <c r="AX72" s="539"/>
      <c r="AY72" s="539"/>
      <c r="AZ72" s="539"/>
      <c r="BA72" s="539"/>
      <c r="BB72" s="539"/>
      <c r="BC72" s="539"/>
      <c r="BD72" s="539"/>
      <c r="BF72" s="227"/>
      <c r="BG72" s="227"/>
      <c r="BH72" s="227"/>
      <c r="BI72" s="227"/>
      <c r="BJ72" s="227"/>
      <c r="BK72" s="227"/>
      <c r="BM72" s="1289"/>
      <c r="BN72" s="24"/>
      <c r="BO72" s="24"/>
      <c r="BP72" s="48"/>
      <c r="BQ72" s="24"/>
      <c r="BR72" s="24"/>
      <c r="BS72" s="24"/>
      <c r="BT72" s="24"/>
      <c r="BU72" s="24"/>
      <c r="BV72" s="24"/>
      <c r="BW72" s="1290"/>
      <c r="BX72" s="1290"/>
      <c r="BY72" s="1290"/>
      <c r="BZ72" s="1290"/>
    </row>
    <row r="73" spans="1:92" x14ac:dyDescent="0.3">
      <c r="A73" s="264" t="s">
        <v>233</v>
      </c>
      <c r="B73" s="172"/>
      <c r="C73" s="172"/>
      <c r="D73" s="172"/>
      <c r="E73" s="172"/>
      <c r="F73" s="172"/>
      <c r="G73" s="172"/>
      <c r="I73" s="172"/>
      <c r="J73" s="172"/>
      <c r="K73" s="172"/>
      <c r="L73" s="172"/>
      <c r="M73" s="172"/>
      <c r="N73" s="172"/>
      <c r="O73" s="172"/>
      <c r="P73" s="24"/>
      <c r="Q73" s="172"/>
      <c r="R73" s="172"/>
      <c r="S73" s="172"/>
      <c r="T73" s="172"/>
      <c r="U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BF73" s="172"/>
      <c r="BG73" s="172"/>
      <c r="BH73" s="172"/>
      <c r="BI73" s="172"/>
      <c r="BJ73" s="172"/>
      <c r="BK73" s="172"/>
      <c r="BM73" s="1289"/>
      <c r="BN73" s="24"/>
      <c r="BO73" s="24"/>
      <c r="BP73" s="48"/>
      <c r="BQ73" s="24"/>
      <c r="BR73" s="24"/>
      <c r="BS73" s="24"/>
      <c r="BT73" s="24"/>
      <c r="BU73" s="24"/>
      <c r="BV73" s="24"/>
      <c r="BW73" s="1290"/>
      <c r="BX73" s="1290"/>
      <c r="BY73" s="1290"/>
      <c r="BZ73" s="1290"/>
    </row>
    <row r="74" spans="1:92" x14ac:dyDescent="0.3">
      <c r="B74" s="72"/>
      <c r="I74" s="72"/>
      <c r="P74" s="72"/>
      <c r="W74" s="72"/>
      <c r="BM74" s="1289"/>
      <c r="BN74" s="24"/>
      <c r="BO74" s="24"/>
      <c r="BP74" s="48"/>
      <c r="BQ74" s="24"/>
      <c r="BR74" s="24"/>
      <c r="BS74" s="24"/>
      <c r="BT74" s="24"/>
      <c r="BU74" s="24"/>
      <c r="BV74" s="24"/>
      <c r="BW74" s="1290"/>
      <c r="BX74" s="1290"/>
      <c r="BY74" s="1290"/>
      <c r="BZ74" s="1290"/>
    </row>
    <row r="75" spans="1:92" x14ac:dyDescent="0.3">
      <c r="A75" s="524"/>
      <c r="B75" s="72"/>
      <c r="I75" s="72"/>
      <c r="P75" s="72"/>
      <c r="W75" s="72"/>
      <c r="BM75" s="1289"/>
      <c r="BN75" s="24"/>
      <c r="BO75" s="24"/>
      <c r="BP75" s="48"/>
      <c r="BQ75" s="24"/>
      <c r="BR75" s="24"/>
      <c r="BS75" s="24"/>
      <c r="BT75" s="24"/>
      <c r="BU75" s="24"/>
      <c r="BV75" s="24"/>
      <c r="BW75" s="1290"/>
      <c r="BX75" s="1290"/>
      <c r="BY75" s="1290"/>
      <c r="BZ75" s="1290"/>
    </row>
    <row r="76" spans="1:92" x14ac:dyDescent="0.3">
      <c r="A76" s="524"/>
      <c r="B76" s="559"/>
      <c r="C76" s="559"/>
      <c r="D76" s="559"/>
      <c r="E76" s="559"/>
      <c r="F76" s="559"/>
      <c r="G76" s="559"/>
      <c r="I76" s="559"/>
      <c r="J76" s="559"/>
      <c r="K76" s="559"/>
      <c r="L76" s="559"/>
      <c r="M76" s="559"/>
      <c r="N76" s="559"/>
      <c r="P76" s="559"/>
      <c r="Q76" s="559"/>
      <c r="R76" s="559"/>
      <c r="S76" s="559"/>
      <c r="T76" s="559"/>
      <c r="U76" s="559"/>
      <c r="W76" s="559"/>
      <c r="X76" s="559"/>
      <c r="Y76" s="559"/>
      <c r="Z76" s="559"/>
      <c r="AA76" s="559"/>
      <c r="AB76" s="559"/>
      <c r="AF76" s="559"/>
      <c r="AM76" s="559"/>
      <c r="AT76" s="559"/>
      <c r="BA76" s="559"/>
      <c r="BM76" s="1289"/>
      <c r="BN76" s="24"/>
      <c r="BO76" s="24"/>
      <c r="BP76" s="48"/>
      <c r="BQ76" s="24"/>
      <c r="BR76" s="24"/>
      <c r="BS76" s="24"/>
      <c r="BT76" s="24"/>
      <c r="BU76" s="24"/>
      <c r="BV76" s="24"/>
      <c r="BW76" s="1290"/>
      <c r="BX76" s="1290"/>
      <c r="BY76" s="1290"/>
      <c r="BZ76" s="1290"/>
    </row>
    <row r="77" spans="1:92" x14ac:dyDescent="0.3">
      <c r="A77" s="524"/>
      <c r="B77" s="559"/>
      <c r="C77" s="559"/>
      <c r="D77" s="559"/>
      <c r="E77" s="559"/>
      <c r="F77" s="559"/>
      <c r="G77" s="559"/>
      <c r="I77" s="559"/>
      <c r="J77" s="559"/>
      <c r="K77" s="559"/>
      <c r="L77" s="559"/>
      <c r="M77" s="559"/>
      <c r="N77" s="559"/>
      <c r="P77" s="559"/>
      <c r="Q77" s="559"/>
      <c r="R77" s="559"/>
      <c r="S77" s="559"/>
      <c r="T77" s="559"/>
      <c r="U77" s="559"/>
      <c r="W77" s="559"/>
      <c r="X77" s="559"/>
      <c r="Y77" s="559"/>
      <c r="Z77" s="559"/>
      <c r="AA77" s="559"/>
      <c r="AB77" s="559"/>
      <c r="AF77" s="559"/>
      <c r="AM77" s="559"/>
      <c r="AT77" s="559"/>
      <c r="BA77" s="559"/>
      <c r="BM77" s="1289"/>
      <c r="BN77" s="24"/>
      <c r="BO77" s="24"/>
      <c r="BP77" s="48"/>
      <c r="BQ77" s="24"/>
      <c r="BR77" s="24"/>
      <c r="BS77" s="24"/>
      <c r="BT77" s="24"/>
      <c r="BU77" s="24"/>
      <c r="BV77" s="24"/>
      <c r="BW77" s="1290"/>
      <c r="BX77" s="1290"/>
      <c r="BY77" s="1290"/>
      <c r="BZ77" s="1290"/>
    </row>
    <row r="78" spans="1:92" x14ac:dyDescent="0.3">
      <c r="A78" s="524"/>
      <c r="B78" s="559"/>
      <c r="C78" s="559"/>
      <c r="D78" s="559"/>
      <c r="E78" s="559"/>
      <c r="F78" s="559"/>
      <c r="G78" s="559"/>
      <c r="I78" s="559"/>
      <c r="J78" s="559"/>
      <c r="K78" s="559"/>
      <c r="L78" s="559"/>
      <c r="M78" s="559"/>
      <c r="N78" s="559"/>
      <c r="P78" s="559"/>
      <c r="Q78" s="559"/>
      <c r="R78" s="559"/>
      <c r="S78" s="559"/>
      <c r="T78" s="559"/>
      <c r="U78" s="559"/>
      <c r="W78" s="559"/>
      <c r="X78" s="559"/>
      <c r="Y78" s="559"/>
      <c r="Z78" s="559"/>
      <c r="AA78" s="559"/>
      <c r="AB78" s="559"/>
      <c r="AF78" s="559"/>
      <c r="AM78" s="559"/>
      <c r="AT78" s="559"/>
      <c r="BA78" s="559"/>
      <c r="BM78" s="1289"/>
      <c r="BN78" s="24"/>
      <c r="BO78" s="24"/>
      <c r="BP78" s="48"/>
      <c r="BQ78" s="24"/>
      <c r="BR78" s="24"/>
      <c r="BS78" s="24"/>
      <c r="BT78" s="24"/>
      <c r="BU78" s="24"/>
      <c r="BV78" s="24"/>
      <c r="BW78" s="1290"/>
      <c r="BX78" s="1290"/>
      <c r="BY78" s="1290"/>
      <c r="BZ78" s="1290"/>
    </row>
    <row r="79" spans="1:92" x14ac:dyDescent="0.3">
      <c r="BM79" s="1289"/>
      <c r="BN79" s="24"/>
      <c r="BO79" s="24"/>
      <c r="BP79" s="48"/>
      <c r="BQ79" s="24"/>
      <c r="BR79" s="24"/>
      <c r="BS79" s="24"/>
      <c r="BT79" s="24"/>
      <c r="BU79" s="24"/>
      <c r="BV79" s="24"/>
      <c r="BW79" s="1290"/>
      <c r="BX79" s="1290"/>
      <c r="BY79" s="1290"/>
      <c r="BZ79" s="1290"/>
    </row>
    <row r="80" spans="1:92" x14ac:dyDescent="0.3">
      <c r="BM80" s="1289"/>
      <c r="BN80" s="24"/>
      <c r="BO80" s="24"/>
      <c r="BP80" s="48"/>
      <c r="BQ80" s="24"/>
      <c r="BR80" s="24"/>
      <c r="BS80" s="24"/>
      <c r="BT80" s="24"/>
      <c r="BU80" s="24"/>
      <c r="BV80" s="24"/>
      <c r="BW80" s="1290"/>
      <c r="BX80" s="1290"/>
      <c r="BY80" s="1290"/>
      <c r="BZ80" s="1290"/>
    </row>
    <row r="81" spans="65:78" x14ac:dyDescent="0.3">
      <c r="BM81" s="1289"/>
      <c r="BN81" s="24"/>
      <c r="BO81" s="24"/>
      <c r="BP81" s="48"/>
      <c r="BQ81" s="24"/>
      <c r="BR81" s="24"/>
      <c r="BS81" s="24"/>
      <c r="BT81" s="24"/>
      <c r="BU81" s="24"/>
      <c r="BV81" s="24"/>
      <c r="BW81" s="1290"/>
      <c r="BX81" s="1290"/>
      <c r="BY81" s="1290"/>
      <c r="BZ81" s="1290"/>
    </row>
    <row r="82" spans="65:78" x14ac:dyDescent="0.3">
      <c r="BM82" s="1289"/>
      <c r="BN82" s="24"/>
      <c r="BO82" s="24"/>
      <c r="BP82" s="48"/>
      <c r="BQ82" s="24"/>
      <c r="BR82" s="24"/>
      <c r="BS82" s="24"/>
      <c r="BT82" s="24"/>
      <c r="BU82" s="24"/>
      <c r="BV82" s="24"/>
      <c r="BW82" s="1290"/>
      <c r="BX82" s="1290"/>
      <c r="BY82" s="1290"/>
      <c r="BZ82" s="1290"/>
    </row>
    <row r="83" spans="65:78" x14ac:dyDescent="0.3">
      <c r="BM83" s="1289"/>
      <c r="BN83" s="24"/>
      <c r="BO83" s="24"/>
      <c r="BP83" s="48"/>
      <c r="BQ83" s="24"/>
      <c r="BR83" s="24"/>
      <c r="BS83" s="24"/>
      <c r="BT83" s="24"/>
      <c r="BU83" s="24"/>
      <c r="BV83" s="24"/>
      <c r="BW83" s="1290"/>
      <c r="BX83" s="1290"/>
      <c r="BY83" s="1290"/>
      <c r="BZ83" s="1290"/>
    </row>
    <row r="84" spans="65:78" x14ac:dyDescent="0.3">
      <c r="BM84" s="1289"/>
      <c r="BN84" s="24"/>
      <c r="BO84" s="24"/>
      <c r="BP84" s="48"/>
      <c r="BQ84" s="24"/>
      <c r="BR84" s="24"/>
      <c r="BS84" s="24"/>
      <c r="BT84" s="24"/>
      <c r="BU84" s="24"/>
      <c r="BV84" s="24"/>
      <c r="BW84" s="1290"/>
      <c r="BX84" s="1290"/>
      <c r="BY84" s="1290"/>
      <c r="BZ84" s="1290"/>
    </row>
    <row r="85" spans="65:78" x14ac:dyDescent="0.3">
      <c r="BM85" s="1289"/>
      <c r="BN85" s="24"/>
      <c r="BO85" s="24"/>
      <c r="BP85" s="48"/>
      <c r="BQ85" s="24"/>
      <c r="BR85" s="24"/>
      <c r="BS85" s="24"/>
      <c r="BT85" s="24"/>
      <c r="BU85" s="24"/>
      <c r="BV85" s="24"/>
      <c r="BW85" s="1290"/>
      <c r="BX85" s="1290"/>
      <c r="BY85" s="1290"/>
      <c r="BZ85" s="1290"/>
    </row>
    <row r="86" spans="65:78" x14ac:dyDescent="0.3">
      <c r="BM86" s="1289"/>
      <c r="BN86" s="24"/>
      <c r="BO86" s="24"/>
      <c r="BP86" s="48"/>
      <c r="BQ86" s="24"/>
      <c r="BR86" s="24"/>
      <c r="BS86" s="24"/>
      <c r="BT86" s="24"/>
      <c r="BU86" s="24"/>
      <c r="BV86" s="24"/>
      <c r="BW86" s="1290"/>
      <c r="BX86" s="1290"/>
      <c r="BY86" s="1290"/>
      <c r="BZ86" s="1290"/>
    </row>
    <row r="87" spans="65:78" x14ac:dyDescent="0.3">
      <c r="BM87" s="1289"/>
      <c r="BN87" s="24"/>
      <c r="BO87" s="24"/>
      <c r="BP87" s="48"/>
      <c r="BQ87" s="24"/>
      <c r="BR87" s="24"/>
      <c r="BS87" s="24"/>
      <c r="BT87" s="24"/>
      <c r="BU87" s="24"/>
      <c r="BV87" s="24"/>
      <c r="BW87" s="1290"/>
      <c r="BX87" s="1290"/>
      <c r="BY87" s="1290"/>
      <c r="BZ87" s="1290"/>
    </row>
    <row r="88" spans="65:78" x14ac:dyDescent="0.3">
      <c r="BM88" s="1289"/>
      <c r="BN88" s="24"/>
      <c r="BO88" s="24"/>
      <c r="BP88" s="48"/>
      <c r="BQ88" s="24"/>
      <c r="BR88" s="24"/>
      <c r="BS88" s="24"/>
      <c r="BT88" s="24"/>
      <c r="BU88" s="24"/>
      <c r="BV88" s="24"/>
      <c r="BW88" s="1290"/>
      <c r="BX88" s="1290"/>
      <c r="BY88" s="1290"/>
      <c r="BZ88" s="1290"/>
    </row>
    <row r="89" spans="65:78" x14ac:dyDescent="0.3">
      <c r="BM89" s="1289"/>
      <c r="BN89" s="24"/>
      <c r="BO89" s="24"/>
      <c r="BP89" s="48"/>
      <c r="BQ89" s="24"/>
      <c r="BR89" s="24"/>
      <c r="BS89" s="24"/>
      <c r="BT89" s="24"/>
      <c r="BU89" s="24"/>
      <c r="BV89" s="24"/>
      <c r="BW89" s="1290"/>
      <c r="BX89" s="1290"/>
      <c r="BY89" s="1290"/>
      <c r="BZ89" s="1290"/>
    </row>
    <row r="90" spans="65:78" x14ac:dyDescent="0.3">
      <c r="BM90" s="1289"/>
      <c r="BN90" s="24"/>
      <c r="BO90" s="24"/>
      <c r="BP90" s="48"/>
      <c r="BQ90" s="24"/>
      <c r="BR90" s="24"/>
      <c r="BS90" s="24"/>
      <c r="BT90" s="24"/>
      <c r="BU90" s="24"/>
      <c r="BV90" s="24"/>
      <c r="BW90" s="1290"/>
      <c r="BX90" s="1290"/>
      <c r="BY90" s="1290"/>
      <c r="BZ90" s="1290"/>
    </row>
    <row r="91" spans="65:78" x14ac:dyDescent="0.3">
      <c r="BM91" s="1289"/>
      <c r="BN91" s="24"/>
      <c r="BO91" s="24"/>
      <c r="BP91" s="48"/>
      <c r="BQ91" s="24"/>
      <c r="BR91" s="24"/>
      <c r="BS91" s="24"/>
      <c r="BT91" s="24"/>
      <c r="BU91" s="24"/>
      <c r="BV91" s="24"/>
      <c r="BW91" s="1290"/>
      <c r="BX91" s="1290"/>
      <c r="BY91" s="1290"/>
      <c r="BZ91" s="1290"/>
    </row>
    <row r="92" spans="65:78" x14ac:dyDescent="0.3">
      <c r="BM92" s="1289"/>
      <c r="BN92" s="24"/>
      <c r="BO92" s="24"/>
      <c r="BP92" s="48"/>
      <c r="BQ92" s="24"/>
      <c r="BR92" s="24"/>
      <c r="BS92" s="24"/>
      <c r="BT92" s="24"/>
      <c r="BU92" s="24"/>
      <c r="BV92" s="24"/>
      <c r="BW92" s="1290"/>
      <c r="BX92" s="1290"/>
      <c r="BY92" s="1290"/>
      <c r="BZ92" s="1290"/>
    </row>
    <row r="93" spans="65:78" x14ac:dyDescent="0.3">
      <c r="BM93" s="1289"/>
      <c r="BN93" s="24"/>
      <c r="BO93" s="24"/>
      <c r="BP93" s="48"/>
      <c r="BQ93" s="24"/>
      <c r="BR93" s="24"/>
      <c r="BS93" s="24"/>
      <c r="BT93" s="24"/>
      <c r="BU93" s="24"/>
      <c r="BV93" s="24"/>
      <c r="BW93" s="1290"/>
      <c r="BX93" s="1290"/>
      <c r="BY93" s="1290"/>
      <c r="BZ93" s="1290"/>
    </row>
    <row r="94" spans="65:78" x14ac:dyDescent="0.3">
      <c r="BM94" s="1289"/>
      <c r="BN94" s="24"/>
      <c r="BO94" s="24"/>
      <c r="BP94" s="48"/>
      <c r="BQ94" s="24"/>
      <c r="BR94" s="24"/>
      <c r="BS94" s="24"/>
      <c r="BT94" s="24"/>
      <c r="BU94" s="24"/>
      <c r="BV94" s="24"/>
      <c r="BW94" s="1290"/>
      <c r="BX94" s="1290"/>
      <c r="BY94" s="1290"/>
      <c r="BZ94" s="1290"/>
    </row>
    <row r="95" spans="65:78" x14ac:dyDescent="0.3">
      <c r="BM95" s="1289"/>
      <c r="BN95" s="24"/>
      <c r="BO95" s="24"/>
      <c r="BP95" s="48"/>
      <c r="BQ95" s="24"/>
      <c r="BR95" s="24"/>
      <c r="BS95" s="24"/>
      <c r="BT95" s="24"/>
      <c r="BU95" s="24"/>
      <c r="BV95" s="24"/>
      <c r="BW95" s="1290"/>
      <c r="BX95" s="1290"/>
      <c r="BY95" s="1290"/>
      <c r="BZ95" s="1290"/>
    </row>
    <row r="96" spans="65:78" x14ac:dyDescent="0.3">
      <c r="BM96" s="1289"/>
      <c r="BN96" s="24"/>
      <c r="BO96" s="24"/>
      <c r="BP96" s="48"/>
      <c r="BQ96" s="24"/>
      <c r="BR96" s="24"/>
      <c r="BS96" s="24"/>
      <c r="BT96" s="24"/>
      <c r="BU96" s="24"/>
      <c r="BV96" s="24"/>
      <c r="BW96" s="1290"/>
      <c r="BX96" s="1290"/>
      <c r="BY96" s="1290"/>
      <c r="BZ96" s="1290"/>
    </row>
    <row r="97" spans="65:78" x14ac:dyDescent="0.3">
      <c r="BM97" s="1289"/>
      <c r="BN97" s="24"/>
      <c r="BO97" s="24"/>
      <c r="BP97" s="48"/>
      <c r="BQ97" s="24"/>
      <c r="BR97" s="24"/>
      <c r="BS97" s="24"/>
      <c r="BT97" s="24"/>
      <c r="BU97" s="24"/>
      <c r="BV97" s="24"/>
      <c r="BW97" s="1290"/>
      <c r="BX97" s="1290"/>
      <c r="BY97" s="1290"/>
      <c r="BZ97" s="1290"/>
    </row>
    <row r="98" spans="65:78" x14ac:dyDescent="0.3">
      <c r="BM98" s="1289"/>
      <c r="BN98" s="24"/>
      <c r="BO98" s="24"/>
      <c r="BP98" s="48"/>
      <c r="BQ98" s="24"/>
      <c r="BR98" s="24"/>
      <c r="BS98" s="24"/>
      <c r="BT98" s="24"/>
      <c r="BU98" s="24"/>
      <c r="BV98" s="24"/>
      <c r="BW98" s="1290"/>
      <c r="BX98" s="1290"/>
      <c r="BY98" s="1290"/>
      <c r="BZ98" s="1290"/>
    </row>
    <row r="99" spans="65:78" x14ac:dyDescent="0.3">
      <c r="BM99" s="1289"/>
      <c r="BN99" s="24"/>
      <c r="BO99" s="24"/>
      <c r="BP99" s="48"/>
      <c r="BQ99" s="24"/>
      <c r="BR99" s="24"/>
      <c r="BS99" s="24"/>
      <c r="BT99" s="24"/>
      <c r="BU99" s="24"/>
      <c r="BV99" s="24"/>
      <c r="BW99" s="1290"/>
      <c r="BX99" s="1290"/>
      <c r="BY99" s="1290"/>
      <c r="BZ99" s="1290"/>
    </row>
    <row r="100" spans="65:78" x14ac:dyDescent="0.3">
      <c r="BM100" s="1289"/>
      <c r="BN100" s="24"/>
      <c r="BO100" s="24"/>
      <c r="BP100" s="48"/>
      <c r="BQ100" s="24"/>
      <c r="BR100" s="24"/>
      <c r="BS100" s="24"/>
      <c r="BT100" s="24"/>
      <c r="BU100" s="24"/>
      <c r="BV100" s="24"/>
      <c r="BW100" s="1290"/>
      <c r="BX100" s="1290"/>
      <c r="BY100" s="1290"/>
      <c r="BZ100" s="1290"/>
    </row>
    <row r="101" spans="65:78" x14ac:dyDescent="0.3">
      <c r="BM101" s="1289"/>
      <c r="BN101" s="24"/>
      <c r="BO101" s="24"/>
      <c r="BP101" s="48"/>
      <c r="BQ101" s="24"/>
      <c r="BR101" s="24"/>
      <c r="BS101" s="24"/>
      <c r="BT101" s="24"/>
      <c r="BU101" s="24"/>
      <c r="BV101" s="24"/>
      <c r="BW101" s="1290"/>
      <c r="BX101" s="1290"/>
      <c r="BY101" s="1290"/>
      <c r="BZ101" s="1290"/>
    </row>
    <row r="102" spans="65:78" x14ac:dyDescent="0.3">
      <c r="BM102" s="1289"/>
      <c r="BN102" s="24"/>
      <c r="BO102" s="24"/>
      <c r="BP102" s="48"/>
      <c r="BQ102" s="24"/>
      <c r="BR102" s="24"/>
      <c r="BS102" s="24"/>
      <c r="BT102" s="24"/>
      <c r="BU102" s="24"/>
      <c r="BV102" s="24"/>
      <c r="BW102" s="1290"/>
      <c r="BX102" s="1290"/>
      <c r="BY102" s="1290"/>
      <c r="BZ102" s="1290"/>
    </row>
    <row r="103" spans="65:78" x14ac:dyDescent="0.3">
      <c r="BM103" s="1289"/>
      <c r="BN103" s="24"/>
      <c r="BO103" s="24"/>
      <c r="BP103" s="48"/>
      <c r="BQ103" s="24"/>
      <c r="BR103" s="24"/>
      <c r="BS103" s="24"/>
      <c r="BT103" s="24"/>
      <c r="BU103" s="24"/>
      <c r="BV103" s="24"/>
      <c r="BW103" s="1290"/>
      <c r="BX103" s="1290"/>
      <c r="BY103" s="1290"/>
      <c r="BZ103" s="1290"/>
    </row>
    <row r="104" spans="65:78" x14ac:dyDescent="0.3">
      <c r="BM104" s="1289"/>
      <c r="BN104" s="24"/>
      <c r="BO104" s="24"/>
      <c r="BP104" s="48"/>
      <c r="BQ104" s="24"/>
      <c r="BR104" s="24"/>
      <c r="BS104" s="24"/>
      <c r="BT104" s="24"/>
      <c r="BU104" s="24"/>
      <c r="BV104" s="24"/>
      <c r="BW104" s="1290"/>
      <c r="BX104" s="1290"/>
      <c r="BY104" s="1290"/>
      <c r="BZ104" s="1290"/>
    </row>
    <row r="105" spans="65:78" x14ac:dyDescent="0.3">
      <c r="BM105" s="1289"/>
      <c r="BN105" s="24"/>
      <c r="BO105" s="24"/>
      <c r="BP105" s="48"/>
      <c r="BQ105" s="24"/>
      <c r="BR105" s="24"/>
      <c r="BS105" s="24"/>
      <c r="BT105" s="24"/>
      <c r="BU105" s="24"/>
      <c r="BV105" s="24"/>
      <c r="BW105" s="1290"/>
      <c r="BX105" s="1290"/>
      <c r="BY105" s="1290"/>
      <c r="BZ105" s="1290"/>
    </row>
    <row r="106" spans="65:78" x14ac:dyDescent="0.3">
      <c r="BM106" s="1289"/>
      <c r="BN106" s="24"/>
      <c r="BO106" s="24"/>
      <c r="BP106" s="48"/>
      <c r="BQ106" s="24"/>
      <c r="BR106" s="24"/>
      <c r="BS106" s="24"/>
      <c r="BT106" s="24"/>
      <c r="BU106" s="24"/>
      <c r="BV106" s="24"/>
      <c r="BW106" s="1290"/>
      <c r="BX106" s="1290"/>
      <c r="BY106" s="1290"/>
      <c r="BZ106" s="1290"/>
    </row>
    <row r="107" spans="65:78" x14ac:dyDescent="0.3">
      <c r="BM107" s="1289"/>
      <c r="BN107" s="24"/>
      <c r="BO107" s="24"/>
      <c r="BP107" s="48"/>
      <c r="BQ107" s="24"/>
      <c r="BR107" s="24"/>
      <c r="BS107" s="24"/>
      <c r="BT107" s="24"/>
      <c r="BU107" s="24"/>
      <c r="BV107" s="24"/>
      <c r="BW107" s="1290"/>
      <c r="BX107" s="1290"/>
      <c r="BY107" s="1290"/>
      <c r="BZ107" s="1290"/>
    </row>
    <row r="108" spans="65:78" x14ac:dyDescent="0.3">
      <c r="BM108" s="1289"/>
      <c r="BN108" s="24"/>
      <c r="BO108" s="24"/>
      <c r="BP108" s="48"/>
      <c r="BQ108" s="24"/>
      <c r="BR108" s="24"/>
      <c r="BS108" s="24"/>
      <c r="BT108" s="24"/>
      <c r="BU108" s="24"/>
      <c r="BV108" s="24"/>
      <c r="BW108" s="1290"/>
      <c r="BX108" s="1290"/>
      <c r="BY108" s="1290"/>
      <c r="BZ108" s="1290"/>
    </row>
    <row r="109" spans="65:78" x14ac:dyDescent="0.3">
      <c r="BM109" s="1289"/>
      <c r="BN109" s="24"/>
      <c r="BO109" s="24"/>
      <c r="BP109" s="48"/>
      <c r="BQ109" s="24"/>
      <c r="BR109" s="24"/>
      <c r="BS109" s="24"/>
      <c r="BT109" s="24"/>
      <c r="BU109" s="24"/>
      <c r="BV109" s="24"/>
      <c r="BW109" s="1290"/>
      <c r="BX109" s="1290"/>
      <c r="BY109" s="1290"/>
      <c r="BZ109" s="1290"/>
    </row>
    <row r="110" spans="65:78" x14ac:dyDescent="0.3">
      <c r="BM110" s="1289"/>
      <c r="BN110" s="24"/>
      <c r="BO110" s="24"/>
      <c r="BP110" s="48"/>
      <c r="BQ110" s="24"/>
      <c r="BR110" s="24"/>
      <c r="BS110" s="24"/>
      <c r="BT110" s="24"/>
      <c r="BU110" s="24"/>
      <c r="BV110" s="24"/>
      <c r="BW110" s="1290"/>
      <c r="BX110" s="1290"/>
      <c r="BY110" s="1290"/>
      <c r="BZ110" s="1290"/>
    </row>
    <row r="111" spans="65:78" x14ac:dyDescent="0.3">
      <c r="BM111" s="1289"/>
      <c r="BN111" s="24"/>
      <c r="BO111" s="24"/>
      <c r="BP111" s="48"/>
      <c r="BQ111" s="24"/>
      <c r="BR111" s="24"/>
      <c r="BS111" s="24"/>
      <c r="BT111" s="24"/>
      <c r="BU111" s="24"/>
      <c r="BV111" s="24"/>
      <c r="BW111" s="1290"/>
      <c r="BX111" s="1290"/>
      <c r="BY111" s="1290"/>
      <c r="BZ111" s="1290"/>
    </row>
    <row r="112" spans="65:78" x14ac:dyDescent="0.3">
      <c r="BM112" s="1289"/>
      <c r="BN112" s="24"/>
      <c r="BO112" s="24"/>
      <c r="BP112" s="48"/>
      <c r="BQ112" s="24"/>
      <c r="BR112" s="24"/>
      <c r="BS112" s="24"/>
      <c r="BT112" s="24"/>
      <c r="BU112" s="24"/>
      <c r="BV112" s="24"/>
      <c r="BW112" s="1290"/>
      <c r="BX112" s="1290"/>
      <c r="BY112" s="1290"/>
      <c r="BZ112" s="1290"/>
    </row>
    <row r="113" spans="65:78" x14ac:dyDescent="0.3">
      <c r="BM113" s="1289"/>
      <c r="BN113" s="24"/>
      <c r="BO113" s="24"/>
      <c r="BP113" s="48"/>
      <c r="BQ113" s="24"/>
      <c r="BR113" s="24"/>
      <c r="BS113" s="24"/>
      <c r="BT113" s="24"/>
      <c r="BU113" s="24"/>
      <c r="BV113" s="24"/>
      <c r="BW113" s="1290"/>
      <c r="BX113" s="1290"/>
      <c r="BY113" s="1290"/>
      <c r="BZ113" s="1290"/>
    </row>
    <row r="114" spans="65:78" x14ac:dyDescent="0.3">
      <c r="BM114" s="1289"/>
      <c r="BN114" s="24"/>
      <c r="BO114" s="24"/>
      <c r="BP114" s="48"/>
      <c r="BQ114" s="24"/>
      <c r="BR114" s="24"/>
      <c r="BS114" s="24"/>
      <c r="BT114" s="24"/>
      <c r="BU114" s="24"/>
      <c r="BV114" s="24"/>
      <c r="BW114" s="1290"/>
      <c r="BX114" s="1290"/>
      <c r="BY114" s="1290"/>
      <c r="BZ114" s="1290"/>
    </row>
    <row r="115" spans="65:78" x14ac:dyDescent="0.3">
      <c r="BM115" s="1289"/>
      <c r="BN115" s="24"/>
      <c r="BO115" s="24"/>
      <c r="BP115" s="48"/>
      <c r="BQ115" s="24"/>
      <c r="BR115" s="24"/>
      <c r="BS115" s="24"/>
      <c r="BT115" s="24"/>
      <c r="BU115" s="24"/>
      <c r="BV115" s="24"/>
      <c r="BW115" s="1290"/>
      <c r="BX115" s="1290"/>
      <c r="BY115" s="1290"/>
      <c r="BZ115" s="1290"/>
    </row>
    <row r="116" spans="65:78" x14ac:dyDescent="0.3">
      <c r="BM116" s="1289"/>
      <c r="BN116" s="24"/>
      <c r="BO116" s="24"/>
      <c r="BP116" s="48"/>
      <c r="BQ116" s="24"/>
      <c r="BR116" s="24"/>
      <c r="BS116" s="24"/>
      <c r="BT116" s="24"/>
      <c r="BU116" s="24"/>
      <c r="BV116" s="24"/>
      <c r="BW116" s="1290"/>
      <c r="BX116" s="1290"/>
      <c r="BY116" s="1290"/>
      <c r="BZ116" s="1290"/>
    </row>
    <row r="117" spans="65:78" x14ac:dyDescent="0.3">
      <c r="BM117" s="1289"/>
      <c r="BN117" s="24"/>
      <c r="BO117" s="24"/>
      <c r="BP117" s="48"/>
      <c r="BQ117" s="24"/>
      <c r="BR117" s="24"/>
      <c r="BS117" s="24"/>
      <c r="BT117" s="24"/>
      <c r="BU117" s="24"/>
      <c r="BV117" s="24"/>
      <c r="BW117" s="1290"/>
      <c r="BX117" s="1290"/>
      <c r="BY117" s="1290"/>
      <c r="BZ117" s="1290"/>
    </row>
    <row r="118" spans="65:78" x14ac:dyDescent="0.3">
      <c r="BM118" s="1289"/>
      <c r="BN118" s="24"/>
      <c r="BO118" s="24"/>
      <c r="BP118" s="48"/>
      <c r="BQ118" s="24"/>
      <c r="BR118" s="24"/>
      <c r="BS118" s="24"/>
      <c r="BT118" s="24"/>
      <c r="BU118" s="24"/>
      <c r="BV118" s="24"/>
      <c r="BW118" s="1290"/>
      <c r="BX118" s="1290"/>
      <c r="BY118" s="1290"/>
      <c r="BZ118" s="1290"/>
    </row>
    <row r="119" spans="65:78" x14ac:dyDescent="0.3">
      <c r="BM119" s="1289"/>
      <c r="BN119" s="24"/>
      <c r="BO119" s="24"/>
      <c r="BP119" s="48"/>
      <c r="BQ119" s="24"/>
      <c r="BR119" s="24"/>
      <c r="BS119" s="24"/>
      <c r="BT119" s="24"/>
      <c r="BU119" s="24"/>
      <c r="BV119" s="24"/>
      <c r="BW119" s="1290"/>
      <c r="BX119" s="1290"/>
      <c r="BY119" s="1290"/>
      <c r="BZ119" s="1290"/>
    </row>
    <row r="120" spans="65:78" x14ac:dyDescent="0.3">
      <c r="BM120" s="1289"/>
      <c r="BN120" s="24"/>
      <c r="BO120" s="24"/>
      <c r="BP120" s="48"/>
      <c r="BQ120" s="24"/>
      <c r="BR120" s="24"/>
      <c r="BS120" s="24"/>
      <c r="BT120" s="24"/>
      <c r="BU120" s="24"/>
      <c r="BV120" s="24"/>
      <c r="BW120" s="1290"/>
      <c r="BX120" s="1290"/>
      <c r="BY120" s="1290"/>
      <c r="BZ120" s="1290"/>
    </row>
    <row r="121" spans="65:78" x14ac:dyDescent="0.3">
      <c r="BM121" s="1289"/>
      <c r="BN121" s="24"/>
      <c r="BO121" s="24"/>
      <c r="BP121" s="48"/>
      <c r="BQ121" s="24"/>
      <c r="BR121" s="24"/>
      <c r="BS121" s="24"/>
      <c r="BT121" s="24"/>
      <c r="BU121" s="24"/>
      <c r="BV121" s="24"/>
      <c r="BW121" s="1290"/>
      <c r="BX121" s="1290"/>
      <c r="BY121" s="1290"/>
      <c r="BZ121" s="1290"/>
    </row>
    <row r="122" spans="65:78" x14ac:dyDescent="0.3">
      <c r="BM122" s="1289"/>
      <c r="BN122" s="24"/>
      <c r="BO122" s="24"/>
      <c r="BP122" s="48"/>
      <c r="BQ122" s="24"/>
      <c r="BR122" s="24"/>
      <c r="BS122" s="24"/>
      <c r="BT122" s="24"/>
      <c r="BU122" s="24"/>
      <c r="BV122" s="24"/>
      <c r="BW122" s="1290"/>
      <c r="BX122" s="1290"/>
      <c r="BY122" s="1290"/>
      <c r="BZ122" s="1290"/>
    </row>
    <row r="123" spans="65:78" x14ac:dyDescent="0.3">
      <c r="BM123" s="1289"/>
      <c r="BN123" s="24"/>
      <c r="BO123" s="24"/>
      <c r="BP123" s="48"/>
      <c r="BQ123" s="24"/>
      <c r="BR123" s="24"/>
      <c r="BS123" s="24"/>
      <c r="BT123" s="24"/>
      <c r="BU123" s="24"/>
      <c r="BV123" s="24"/>
      <c r="BW123" s="1290"/>
      <c r="BX123" s="1290"/>
      <c r="BY123" s="1290"/>
      <c r="BZ123" s="1290"/>
    </row>
    <row r="124" spans="65:78" x14ac:dyDescent="0.3">
      <c r="BM124" s="1289"/>
    </row>
    <row r="125" spans="65:78" x14ac:dyDescent="0.3">
      <c r="BM125" s="1289"/>
    </row>
  </sheetData>
  <mergeCells count="18">
    <mergeCell ref="BF4:BK4"/>
    <mergeCell ref="BM3:CK3"/>
    <mergeCell ref="CM3:CN3"/>
    <mergeCell ref="B4:G4"/>
    <mergeCell ref="I4:N4"/>
    <mergeCell ref="P4:U4"/>
    <mergeCell ref="AD4:AI4"/>
    <mergeCell ref="B3:AB3"/>
    <mergeCell ref="AD3:BD3"/>
    <mergeCell ref="AK4:AP4"/>
    <mergeCell ref="AR4:AW4"/>
    <mergeCell ref="W4:AB4"/>
    <mergeCell ref="AY4:BD4"/>
    <mergeCell ref="BR4:BW4"/>
    <mergeCell ref="BY4:CD4"/>
    <mergeCell ref="CF4:CK4"/>
    <mergeCell ref="BF3:BK3"/>
    <mergeCell ref="BM4:BP4"/>
  </mergeCells>
  <hyperlinks>
    <hyperlink ref="G1" location="Index!A1" display="Index"/>
  </hyperlink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V132"/>
  <sheetViews>
    <sheetView workbookViewId="0">
      <selection activeCell="M63" sqref="M63"/>
    </sheetView>
  </sheetViews>
  <sheetFormatPr defaultColWidth="9.109375" defaultRowHeight="14.4" x14ac:dyDescent="0.3"/>
  <cols>
    <col min="1" max="1" width="7.88671875" style="24" customWidth="1"/>
    <col min="2" max="2" width="9.21875" style="24" customWidth="1"/>
    <col min="3" max="4" width="7.77734375" style="24" customWidth="1"/>
    <col min="5" max="5" width="7.88671875" style="24" customWidth="1"/>
    <col min="6" max="6" width="7.21875" style="24" customWidth="1"/>
    <col min="7" max="7" width="8.109375" style="24" customWidth="1"/>
    <col min="8" max="8" width="9.109375" style="24" customWidth="1"/>
    <col min="9" max="9" width="2.5546875" style="24" customWidth="1"/>
    <col min="10" max="10" width="9.21875" style="24" customWidth="1"/>
    <col min="11" max="15" width="8" style="24" customWidth="1"/>
    <col min="16" max="16" width="8.5546875" style="24" customWidth="1"/>
    <col min="17" max="17" width="1.21875" style="24" customWidth="1"/>
    <col min="18" max="18" width="8" style="24" customWidth="1"/>
    <col min="19" max="24" width="8.44140625" style="24" customWidth="1"/>
    <col min="25" max="25" width="2" style="24" customWidth="1"/>
    <col min="26" max="26" width="8.77734375" style="24" customWidth="1"/>
    <col min="27" max="31" width="8" style="24" customWidth="1"/>
    <col min="32" max="32" width="9" style="24" customWidth="1"/>
    <col min="33" max="33" width="1.77734375" style="24" customWidth="1"/>
    <col min="34" max="34" width="7.5546875" style="24" customWidth="1"/>
    <col min="35" max="39" width="7.88671875" style="24" customWidth="1"/>
    <col min="40" max="40" width="8.5546875" style="24" customWidth="1"/>
    <col min="41" max="41" width="2" style="24" customWidth="1"/>
    <col min="42" max="42" width="7.5546875" style="24" customWidth="1"/>
    <col min="43" max="48" width="8.21875" style="24" customWidth="1"/>
    <col min="49" max="49" width="1.5546875" style="24" customWidth="1"/>
    <col min="50" max="50" width="8.21875" style="24" customWidth="1"/>
    <col min="51" max="54" width="8.109375" style="24" customWidth="1"/>
    <col min="55" max="56" width="9.21875" style="24" bestFit="1" customWidth="1"/>
    <col min="57" max="57" width="2.44140625" style="24" customWidth="1"/>
    <col min="58" max="64" width="9.21875" style="24" bestFit="1" customWidth="1"/>
    <col min="65" max="65" width="2.5546875" style="24" customWidth="1"/>
    <col min="66" max="66" width="9.44140625" style="24" customWidth="1"/>
    <col min="67" max="67" width="10.77734375" style="24" bestFit="1" customWidth="1"/>
    <col min="68" max="72" width="9.21875" style="24" bestFit="1" customWidth="1"/>
    <col min="73" max="16384" width="9.109375" style="24"/>
  </cols>
  <sheetData>
    <row r="1" spans="1:74" ht="15.6" x14ac:dyDescent="0.3">
      <c r="A1" s="178" t="s">
        <v>1634</v>
      </c>
      <c r="B1" s="178"/>
      <c r="J1" s="34"/>
      <c r="L1" s="463" t="s">
        <v>504</v>
      </c>
      <c r="R1" s="442"/>
      <c r="S1" s="442"/>
      <c r="T1" s="442"/>
      <c r="U1" s="442"/>
      <c r="V1" s="442"/>
      <c r="W1" s="442"/>
      <c r="X1" s="442"/>
    </row>
    <row r="2" spans="1:74" x14ac:dyDescent="0.3">
      <c r="A2" s="125"/>
      <c r="B2" s="125"/>
      <c r="C2" s="125"/>
      <c r="D2" s="125"/>
      <c r="E2" s="125"/>
      <c r="F2" s="125"/>
      <c r="G2" s="125"/>
      <c r="H2" s="125"/>
      <c r="I2" s="125"/>
      <c r="J2" s="191"/>
      <c r="K2" s="125"/>
      <c r="L2" s="125"/>
      <c r="M2" s="125"/>
      <c r="N2" s="125"/>
      <c r="O2" s="125"/>
      <c r="P2" s="125"/>
      <c r="Q2" s="125"/>
      <c r="R2" s="191"/>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row>
    <row r="3" spans="1:74" x14ac:dyDescent="0.3">
      <c r="B3" s="1453" t="s">
        <v>1405</v>
      </c>
      <c r="C3" s="1453"/>
      <c r="D3" s="1453"/>
      <c r="E3" s="1453"/>
      <c r="F3" s="1453"/>
      <c r="G3" s="1453"/>
      <c r="H3" s="1453"/>
      <c r="J3" s="1453" t="s">
        <v>2077</v>
      </c>
      <c r="K3" s="1453"/>
      <c r="L3" s="1453"/>
      <c r="M3" s="1453"/>
      <c r="N3" s="1453"/>
      <c r="O3" s="1453"/>
      <c r="P3" s="1453"/>
      <c r="R3" s="1453" t="s">
        <v>2091</v>
      </c>
      <c r="S3" s="1453"/>
      <c r="T3" s="1453"/>
      <c r="U3" s="1453"/>
      <c r="V3" s="1453"/>
      <c r="W3" s="1453"/>
      <c r="X3" s="1453"/>
      <c r="Z3" s="1453" t="s">
        <v>2095</v>
      </c>
      <c r="AA3" s="1453"/>
      <c r="AB3" s="1453"/>
      <c r="AC3" s="1453"/>
      <c r="AD3" s="1453"/>
      <c r="AE3" s="1453"/>
      <c r="AF3" s="1453"/>
      <c r="AH3" s="1453" t="s">
        <v>2078</v>
      </c>
      <c r="AI3" s="1453"/>
      <c r="AJ3" s="1453"/>
      <c r="AK3" s="1453"/>
      <c r="AL3" s="1453"/>
      <c r="AM3" s="1453"/>
      <c r="AN3" s="1453"/>
      <c r="AP3" s="1451" t="s">
        <v>2096</v>
      </c>
      <c r="AQ3" s="1451"/>
      <c r="AR3" s="1451"/>
      <c r="AS3" s="1451"/>
      <c r="AT3" s="1451"/>
      <c r="AU3" s="1451"/>
      <c r="AV3" s="1451"/>
      <c r="AW3" s="447"/>
      <c r="AX3" s="1452" t="s">
        <v>2079</v>
      </c>
      <c r="AY3" s="1452"/>
      <c r="AZ3" s="1452"/>
      <c r="BA3" s="1452"/>
      <c r="BB3" s="1452"/>
      <c r="BC3" s="1452"/>
      <c r="BD3" s="1452"/>
      <c r="BE3" s="582"/>
      <c r="BF3" s="1454" t="s">
        <v>1848</v>
      </c>
      <c r="BG3" s="1454"/>
      <c r="BH3" s="1454"/>
      <c r="BI3" s="1454"/>
      <c r="BJ3" s="1454"/>
      <c r="BK3" s="1454"/>
      <c r="BL3" s="1454"/>
      <c r="BM3" s="447"/>
      <c r="BN3" s="1452" t="s">
        <v>2087</v>
      </c>
      <c r="BO3" s="1452"/>
      <c r="BP3" s="1452"/>
      <c r="BQ3" s="1452"/>
      <c r="BR3" s="1452"/>
      <c r="BS3" s="1452"/>
      <c r="BT3" s="1452"/>
    </row>
    <row r="4" spans="1:74" x14ac:dyDescent="0.3">
      <c r="B4" s="49" t="s">
        <v>246</v>
      </c>
      <c r="C4" s="49" t="s">
        <v>24</v>
      </c>
      <c r="D4" s="49" t="s">
        <v>25</v>
      </c>
      <c r="E4" s="49" t="s">
        <v>26</v>
      </c>
      <c r="F4" s="49" t="s">
        <v>28</v>
      </c>
      <c r="G4" s="49" t="s">
        <v>27</v>
      </c>
      <c r="H4" s="49" t="s">
        <v>23</v>
      </c>
      <c r="J4" s="49" t="s">
        <v>246</v>
      </c>
      <c r="K4" s="49" t="s">
        <v>24</v>
      </c>
      <c r="L4" s="49" t="s">
        <v>25</v>
      </c>
      <c r="M4" s="49" t="s">
        <v>26</v>
      </c>
      <c r="N4" s="49" t="s">
        <v>28</v>
      </c>
      <c r="O4" s="49" t="s">
        <v>27</v>
      </c>
      <c r="P4" s="49" t="s">
        <v>23</v>
      </c>
      <c r="R4" s="49" t="s">
        <v>246</v>
      </c>
      <c r="S4" s="49" t="s">
        <v>24</v>
      </c>
      <c r="T4" s="49" t="s">
        <v>25</v>
      </c>
      <c r="U4" s="49" t="s">
        <v>26</v>
      </c>
      <c r="V4" s="49" t="s">
        <v>28</v>
      </c>
      <c r="W4" s="49" t="s">
        <v>27</v>
      </c>
      <c r="X4" s="49" t="s">
        <v>23</v>
      </c>
      <c r="Z4" s="49" t="s">
        <v>246</v>
      </c>
      <c r="AA4" s="49" t="s">
        <v>24</v>
      </c>
      <c r="AB4" s="49" t="s">
        <v>25</v>
      </c>
      <c r="AC4" s="49" t="s">
        <v>26</v>
      </c>
      <c r="AD4" s="49" t="s">
        <v>28</v>
      </c>
      <c r="AE4" s="49" t="s">
        <v>27</v>
      </c>
      <c r="AF4" s="49" t="s">
        <v>23</v>
      </c>
      <c r="AH4" s="49" t="s">
        <v>246</v>
      </c>
      <c r="AI4" s="49" t="s">
        <v>24</v>
      </c>
      <c r="AJ4" s="49" t="s">
        <v>25</v>
      </c>
      <c r="AK4" s="49" t="s">
        <v>26</v>
      </c>
      <c r="AL4" s="49" t="s">
        <v>28</v>
      </c>
      <c r="AM4" s="49" t="s">
        <v>27</v>
      </c>
      <c r="AN4" s="49" t="s">
        <v>23</v>
      </c>
      <c r="AP4" s="49" t="s">
        <v>246</v>
      </c>
      <c r="AQ4" s="49" t="s">
        <v>24</v>
      </c>
      <c r="AR4" s="49" t="s">
        <v>25</v>
      </c>
      <c r="AS4" s="49" t="s">
        <v>26</v>
      </c>
      <c r="AT4" s="49" t="s">
        <v>28</v>
      </c>
      <c r="AU4" s="49" t="s">
        <v>27</v>
      </c>
      <c r="AV4" s="49" t="s">
        <v>23</v>
      </c>
      <c r="AW4" s="49"/>
      <c r="AX4" s="49" t="s">
        <v>246</v>
      </c>
      <c r="AY4" s="49" t="s">
        <v>24</v>
      </c>
      <c r="AZ4" s="49" t="s">
        <v>25</v>
      </c>
      <c r="BA4" s="49" t="s">
        <v>26</v>
      </c>
      <c r="BB4" s="49" t="s">
        <v>28</v>
      </c>
      <c r="BC4" s="49" t="s">
        <v>27</v>
      </c>
      <c r="BD4" s="49" t="s">
        <v>23</v>
      </c>
      <c r="BE4" s="49"/>
      <c r="BF4" s="49" t="s">
        <v>246</v>
      </c>
      <c r="BG4" s="49" t="s">
        <v>24</v>
      </c>
      <c r="BH4" s="49" t="s">
        <v>25</v>
      </c>
      <c r="BI4" s="49" t="s">
        <v>26</v>
      </c>
      <c r="BJ4" s="49" t="s">
        <v>28</v>
      </c>
      <c r="BK4" s="49" t="s">
        <v>27</v>
      </c>
      <c r="BL4" s="49" t="s">
        <v>23</v>
      </c>
      <c r="BM4" s="49"/>
      <c r="BN4" s="49" t="s">
        <v>246</v>
      </c>
      <c r="BO4" s="49" t="s">
        <v>24</v>
      </c>
      <c r="BP4" s="49" t="s">
        <v>25</v>
      </c>
      <c r="BQ4" s="49" t="s">
        <v>26</v>
      </c>
      <c r="BR4" s="49" t="s">
        <v>28</v>
      </c>
      <c r="BS4" s="49" t="s">
        <v>27</v>
      </c>
      <c r="BT4" s="49" t="s">
        <v>23</v>
      </c>
    </row>
    <row r="5" spans="1:74" x14ac:dyDescent="0.3">
      <c r="A5" s="443"/>
      <c r="B5" s="48" t="s">
        <v>32</v>
      </c>
      <c r="C5" s="48" t="s">
        <v>13</v>
      </c>
      <c r="D5" s="48" t="s">
        <v>14</v>
      </c>
      <c r="E5" s="48" t="s">
        <v>15</v>
      </c>
      <c r="F5" s="48" t="s">
        <v>16</v>
      </c>
      <c r="G5" s="48" t="s">
        <v>17</v>
      </c>
      <c r="H5" s="48" t="s">
        <v>18</v>
      </c>
      <c r="J5" s="48" t="s">
        <v>32</v>
      </c>
      <c r="K5" s="48" t="s">
        <v>13</v>
      </c>
      <c r="L5" s="48" t="s">
        <v>14</v>
      </c>
      <c r="M5" s="48" t="s">
        <v>15</v>
      </c>
      <c r="N5" s="48" t="s">
        <v>16</v>
      </c>
      <c r="O5" s="48" t="s">
        <v>17</v>
      </c>
      <c r="P5" s="48" t="s">
        <v>18</v>
      </c>
      <c r="R5" s="48" t="s">
        <v>32</v>
      </c>
      <c r="S5" s="48" t="s">
        <v>13</v>
      </c>
      <c r="T5" s="48" t="s">
        <v>14</v>
      </c>
      <c r="U5" s="48" t="s">
        <v>15</v>
      </c>
      <c r="V5" s="48" t="s">
        <v>16</v>
      </c>
      <c r="W5" s="48" t="s">
        <v>17</v>
      </c>
      <c r="X5" s="48" t="s">
        <v>18</v>
      </c>
      <c r="Z5" s="48" t="s">
        <v>32</v>
      </c>
      <c r="AA5" s="48" t="s">
        <v>13</v>
      </c>
      <c r="AB5" s="48" t="s">
        <v>14</v>
      </c>
      <c r="AC5" s="48" t="s">
        <v>15</v>
      </c>
      <c r="AD5" s="48" t="s">
        <v>16</v>
      </c>
      <c r="AE5" s="48" t="s">
        <v>17</v>
      </c>
      <c r="AF5" s="48" t="s">
        <v>18</v>
      </c>
      <c r="AH5" s="48" t="s">
        <v>32</v>
      </c>
      <c r="AI5" s="48" t="s">
        <v>13</v>
      </c>
      <c r="AJ5" s="48" t="s">
        <v>14</v>
      </c>
      <c r="AK5" s="48" t="s">
        <v>15</v>
      </c>
      <c r="AL5" s="48" t="s">
        <v>16</v>
      </c>
      <c r="AM5" s="48" t="s">
        <v>17</v>
      </c>
      <c r="AN5" s="48" t="s">
        <v>18</v>
      </c>
      <c r="AP5" s="48" t="s">
        <v>32</v>
      </c>
      <c r="AQ5" s="48" t="s">
        <v>13</v>
      </c>
      <c r="AR5" s="48" t="s">
        <v>14</v>
      </c>
      <c r="AS5" s="48" t="s">
        <v>15</v>
      </c>
      <c r="AT5" s="48" t="s">
        <v>16</v>
      </c>
      <c r="AU5" s="48" t="s">
        <v>17</v>
      </c>
      <c r="AV5" s="48" t="s">
        <v>18</v>
      </c>
      <c r="AW5" s="48"/>
      <c r="AX5" s="48" t="s">
        <v>32</v>
      </c>
      <c r="AY5" s="48" t="s">
        <v>13</v>
      </c>
      <c r="AZ5" s="48" t="s">
        <v>14</v>
      </c>
      <c r="BA5" s="48" t="s">
        <v>15</v>
      </c>
      <c r="BB5" s="48" t="s">
        <v>16</v>
      </c>
      <c r="BC5" s="48" t="s">
        <v>17</v>
      </c>
      <c r="BD5" s="48" t="s">
        <v>18</v>
      </c>
      <c r="BE5" s="48"/>
      <c r="BF5" s="48" t="s">
        <v>32</v>
      </c>
      <c r="BG5" s="48" t="s">
        <v>13</v>
      </c>
      <c r="BH5" s="48" t="s">
        <v>14</v>
      </c>
      <c r="BI5" s="48" t="s">
        <v>15</v>
      </c>
      <c r="BJ5" s="48" t="s">
        <v>16</v>
      </c>
      <c r="BK5" s="48" t="s">
        <v>17</v>
      </c>
      <c r="BL5" s="48" t="s">
        <v>18</v>
      </c>
      <c r="BM5" s="48"/>
      <c r="BN5" s="48" t="s">
        <v>32</v>
      </c>
      <c r="BO5" s="48" t="s">
        <v>13</v>
      </c>
      <c r="BP5" s="48" t="s">
        <v>14</v>
      </c>
      <c r="BQ5" s="48" t="s">
        <v>15</v>
      </c>
      <c r="BR5" s="48" t="s">
        <v>16</v>
      </c>
      <c r="BS5" s="48" t="s">
        <v>17</v>
      </c>
      <c r="BT5" s="48" t="s">
        <v>18</v>
      </c>
    </row>
    <row r="6" spans="1:74" x14ac:dyDescent="0.3">
      <c r="A6" s="125"/>
      <c r="B6" s="53" t="s">
        <v>12</v>
      </c>
      <c r="C6" s="53" t="s">
        <v>12</v>
      </c>
      <c r="D6" s="53" t="s">
        <v>12</v>
      </c>
      <c r="E6" s="53" t="s">
        <v>12</v>
      </c>
      <c r="F6" s="53" t="s">
        <v>12</v>
      </c>
      <c r="G6" s="53" t="s">
        <v>12</v>
      </c>
      <c r="H6" s="53" t="s">
        <v>12</v>
      </c>
      <c r="J6" s="53" t="s">
        <v>12</v>
      </c>
      <c r="K6" s="53" t="s">
        <v>12</v>
      </c>
      <c r="L6" s="53" t="s">
        <v>12</v>
      </c>
      <c r="M6" s="53" t="s">
        <v>12</v>
      </c>
      <c r="N6" s="53" t="s">
        <v>12</v>
      </c>
      <c r="O6" s="53" t="s">
        <v>12</v>
      </c>
      <c r="P6" s="53" t="s">
        <v>12</v>
      </c>
      <c r="R6" s="53" t="s">
        <v>12</v>
      </c>
      <c r="S6" s="53" t="s">
        <v>12</v>
      </c>
      <c r="T6" s="53" t="s">
        <v>12</v>
      </c>
      <c r="U6" s="53" t="s">
        <v>12</v>
      </c>
      <c r="V6" s="53" t="s">
        <v>12</v>
      </c>
      <c r="W6" s="53" t="s">
        <v>12</v>
      </c>
      <c r="X6" s="53" t="s">
        <v>12</v>
      </c>
      <c r="Z6" s="53" t="s">
        <v>12</v>
      </c>
      <c r="AA6" s="53" t="s">
        <v>12</v>
      </c>
      <c r="AB6" s="53" t="s">
        <v>12</v>
      </c>
      <c r="AC6" s="53" t="s">
        <v>12</v>
      </c>
      <c r="AD6" s="53" t="s">
        <v>12</v>
      </c>
      <c r="AE6" s="53" t="s">
        <v>12</v>
      </c>
      <c r="AF6" s="53" t="s">
        <v>12</v>
      </c>
      <c r="AH6" s="53" t="s">
        <v>12</v>
      </c>
      <c r="AI6" s="53" t="s">
        <v>12</v>
      </c>
      <c r="AJ6" s="53" t="s">
        <v>12</v>
      </c>
      <c r="AK6" s="53" t="s">
        <v>12</v>
      </c>
      <c r="AL6" s="53" t="s">
        <v>12</v>
      </c>
      <c r="AM6" s="53" t="s">
        <v>12</v>
      </c>
      <c r="AN6" s="53" t="s">
        <v>12</v>
      </c>
      <c r="AP6" s="53" t="s">
        <v>12</v>
      </c>
      <c r="AQ6" s="53" t="s">
        <v>12</v>
      </c>
      <c r="AR6" s="53" t="s">
        <v>12</v>
      </c>
      <c r="AS6" s="53" t="s">
        <v>12</v>
      </c>
      <c r="AT6" s="53" t="s">
        <v>12</v>
      </c>
      <c r="AU6" s="53" t="s">
        <v>12</v>
      </c>
      <c r="AV6" s="53" t="s">
        <v>12</v>
      </c>
      <c r="AW6" s="49"/>
      <c r="AX6" s="53" t="s">
        <v>12</v>
      </c>
      <c r="AY6" s="53" t="s">
        <v>12</v>
      </c>
      <c r="AZ6" s="53" t="s">
        <v>12</v>
      </c>
      <c r="BA6" s="53" t="s">
        <v>12</v>
      </c>
      <c r="BB6" s="53" t="s">
        <v>12</v>
      </c>
      <c r="BC6" s="53" t="s">
        <v>12</v>
      </c>
      <c r="BD6" s="53" t="s">
        <v>12</v>
      </c>
      <c r="BE6" s="49"/>
      <c r="BF6" s="53" t="s">
        <v>12</v>
      </c>
      <c r="BG6" s="53" t="s">
        <v>12</v>
      </c>
      <c r="BH6" s="53" t="s">
        <v>12</v>
      </c>
      <c r="BI6" s="53" t="s">
        <v>12</v>
      </c>
      <c r="BJ6" s="53" t="s">
        <v>12</v>
      </c>
      <c r="BK6" s="53" t="s">
        <v>12</v>
      </c>
      <c r="BL6" s="53" t="s">
        <v>12</v>
      </c>
      <c r="BM6" s="49"/>
      <c r="BN6" s="53" t="s">
        <v>12</v>
      </c>
      <c r="BO6" s="53" t="s">
        <v>12</v>
      </c>
      <c r="BP6" s="53" t="s">
        <v>12</v>
      </c>
      <c r="BQ6" s="53" t="s">
        <v>12</v>
      </c>
      <c r="BR6" s="53" t="s">
        <v>12</v>
      </c>
      <c r="BS6" s="53" t="s">
        <v>12</v>
      </c>
      <c r="BT6" s="53" t="s">
        <v>12</v>
      </c>
      <c r="BV6" s="49"/>
    </row>
    <row r="7" spans="1:74" ht="12" customHeight="1" x14ac:dyDescent="0.3">
      <c r="A7" s="448">
        <v>1960</v>
      </c>
      <c r="B7" s="442">
        <v>479858.94903999998</v>
      </c>
      <c r="C7" s="442">
        <v>165573.82846680001</v>
      </c>
      <c r="D7" s="442">
        <v>115494.0025298</v>
      </c>
      <c r="E7" s="442">
        <v>52969.751438799998</v>
      </c>
      <c r="F7" s="442">
        <v>38908.983031800002</v>
      </c>
      <c r="G7" s="442">
        <v>19227.703706799999</v>
      </c>
      <c r="H7" s="442">
        <v>7111.2714927999996</v>
      </c>
      <c r="J7" s="442"/>
      <c r="K7" s="442"/>
      <c r="L7" s="442"/>
      <c r="M7" s="442"/>
      <c r="N7" s="442"/>
      <c r="O7" s="442"/>
      <c r="P7" s="442"/>
      <c r="Q7" s="444"/>
      <c r="R7" s="442"/>
      <c r="S7" s="442"/>
      <c r="T7" s="442"/>
      <c r="U7" s="442"/>
      <c r="V7" s="442"/>
      <c r="W7" s="442"/>
      <c r="X7" s="442"/>
      <c r="Y7" s="442"/>
      <c r="Z7" s="703">
        <f>'T-T1'!AC9</f>
        <v>10787.053956</v>
      </c>
      <c r="AA7" s="442">
        <v>10046.008470000001</v>
      </c>
      <c r="AB7" s="442">
        <v>9300.2088860000003</v>
      </c>
      <c r="AC7" s="442">
        <v>6966.9117500000002</v>
      </c>
      <c r="AD7" s="442">
        <v>5776.7246370000003</v>
      </c>
      <c r="AE7" s="442">
        <v>3605.0741600000001</v>
      </c>
      <c r="AF7" s="442">
        <v>1539.6105399999999</v>
      </c>
      <c r="AG7" s="442"/>
      <c r="AH7" s="442"/>
      <c r="AI7" s="442"/>
      <c r="AJ7" s="442"/>
      <c r="AK7" s="442"/>
      <c r="AL7" s="442"/>
      <c r="AM7" s="442"/>
      <c r="AN7" s="442"/>
      <c r="AO7" s="442"/>
      <c r="AP7" s="703">
        <f>'T-T1'!AJ9+'T-T1'!AK9+'T-T1'!AL9</f>
        <v>18539.14089136523</v>
      </c>
      <c r="AQ7" s="442">
        <v>14345.466770000001</v>
      </c>
      <c r="AR7" s="442">
        <v>13130.2605</v>
      </c>
      <c r="AS7" s="442">
        <v>9767.1975220000004</v>
      </c>
      <c r="AT7" s="442">
        <v>8167.1914909999996</v>
      </c>
      <c r="AU7" s="442">
        <v>5192.6044089999996</v>
      </c>
      <c r="AV7" s="442">
        <v>2327.9516170000002</v>
      </c>
      <c r="AW7" s="442"/>
      <c r="AX7" s="703">
        <f>'T-T1'!X9+'T-T1'!Y9+'T-T1'!Z9</f>
        <v>21885</v>
      </c>
      <c r="AY7" s="442">
        <v>13700.01</v>
      </c>
      <c r="AZ7" s="442">
        <v>11599.05</v>
      </c>
      <c r="BA7" s="442">
        <v>7265.82</v>
      </c>
      <c r="BB7" s="442">
        <v>5930.835</v>
      </c>
      <c r="BC7" s="442">
        <v>3567.2550000000001</v>
      </c>
      <c r="BD7" s="442">
        <v>1488.18</v>
      </c>
      <c r="BE7" s="442"/>
      <c r="BF7" s="442"/>
      <c r="BG7" s="442"/>
      <c r="BH7" s="442"/>
      <c r="BI7" s="442"/>
      <c r="BJ7" s="442"/>
      <c r="BK7" s="442"/>
      <c r="BL7" s="442"/>
      <c r="BM7" s="442"/>
      <c r="BN7" s="442"/>
      <c r="BO7" s="442"/>
      <c r="BP7" s="442"/>
      <c r="BQ7" s="442"/>
      <c r="BR7" s="442"/>
      <c r="BS7" s="442"/>
      <c r="BT7" s="442"/>
    </row>
    <row r="8" spans="1:74" ht="7.5" customHeight="1" x14ac:dyDescent="0.3">
      <c r="A8" s="448"/>
      <c r="B8" s="239"/>
      <c r="C8" s="442"/>
      <c r="D8" s="442"/>
      <c r="E8" s="442"/>
      <c r="F8" s="442"/>
      <c r="G8" s="442"/>
      <c r="H8" s="442"/>
      <c r="K8" s="442"/>
      <c r="L8" s="442"/>
      <c r="M8" s="442"/>
      <c r="N8" s="442"/>
      <c r="O8" s="442"/>
      <c r="P8" s="442"/>
      <c r="Q8" s="444"/>
      <c r="R8" s="444"/>
      <c r="S8" s="442"/>
      <c r="T8" s="442"/>
      <c r="U8" s="442"/>
      <c r="V8" s="442"/>
      <c r="W8" s="442"/>
      <c r="X8" s="442"/>
      <c r="Y8" s="442"/>
      <c r="Z8" s="703"/>
      <c r="AA8" s="442"/>
      <c r="AB8" s="442"/>
      <c r="AC8" s="442"/>
      <c r="AD8" s="442"/>
      <c r="AE8" s="442"/>
      <c r="AF8" s="442"/>
      <c r="AG8" s="442"/>
      <c r="AH8" s="442"/>
      <c r="AI8" s="442"/>
      <c r="AJ8" s="442"/>
      <c r="AK8" s="442"/>
      <c r="AL8" s="442"/>
      <c r="AM8" s="442"/>
      <c r="AN8" s="442"/>
      <c r="AO8" s="442"/>
      <c r="AP8" s="442"/>
      <c r="AQ8" s="442"/>
      <c r="AR8" s="442"/>
      <c r="AS8" s="442"/>
      <c r="AT8" s="442"/>
      <c r="AU8" s="442"/>
      <c r="AV8" s="442"/>
      <c r="AW8" s="442"/>
      <c r="AX8" s="34"/>
      <c r="AY8" s="442"/>
      <c r="AZ8" s="442"/>
      <c r="BA8" s="442"/>
      <c r="BB8" s="442"/>
      <c r="BC8" s="442"/>
      <c r="BD8" s="442"/>
      <c r="BE8" s="442"/>
      <c r="BF8" s="34"/>
      <c r="BG8" s="442"/>
      <c r="BH8" s="442"/>
      <c r="BI8" s="442"/>
      <c r="BJ8" s="442"/>
      <c r="BK8" s="442"/>
      <c r="BL8" s="442"/>
      <c r="BM8" s="442"/>
      <c r="BO8" s="442"/>
      <c r="BP8" s="442"/>
      <c r="BQ8" s="442"/>
      <c r="BR8" s="442"/>
      <c r="BS8" s="442"/>
      <c r="BT8" s="442"/>
    </row>
    <row r="9" spans="1:74" ht="12" customHeight="1" x14ac:dyDescent="0.3">
      <c r="A9" s="448">
        <v>1962</v>
      </c>
      <c r="B9" s="442">
        <v>535187.89294000005</v>
      </c>
      <c r="C9" s="442">
        <v>182245.35603509998</v>
      </c>
      <c r="D9" s="442">
        <v>126764.9531731</v>
      </c>
      <c r="E9" s="442">
        <v>59514.892518100009</v>
      </c>
      <c r="F9" s="442">
        <v>44162.142352099996</v>
      </c>
      <c r="G9" s="442">
        <v>21877.9481571</v>
      </c>
      <c r="H9" s="442">
        <v>8086.2557471</v>
      </c>
      <c r="J9" s="442">
        <f>'T-T1'!C11+'T-T1'!E11+'T-T1'!G11+'T-T1'!I11</f>
        <v>315256.15049987962</v>
      </c>
      <c r="K9" s="442">
        <v>74943.068811999998</v>
      </c>
      <c r="L9" s="442">
        <v>40978.264592</v>
      </c>
      <c r="M9" s="442">
        <v>10247.26469</v>
      </c>
      <c r="N9" s="442">
        <v>6308.4735147000001</v>
      </c>
      <c r="O9" s="442">
        <v>1838.8239129999999</v>
      </c>
      <c r="P9" s="442">
        <v>280.44724649</v>
      </c>
      <c r="Q9" s="444"/>
      <c r="R9" s="442">
        <f>'T-T1'!K11+'T-T1'!L11+'T-T1'!N11+'T-T1'!O11+'T-T1'!P11+'T-T1'!Q11+'T-T1'!S11+'T-T1'!T11+'T-T1'!AG11+'T-T1'!AH11</f>
        <v>61896.121144001008</v>
      </c>
      <c r="S9" s="442">
        <v>26584.151078999999</v>
      </c>
      <c r="T9" s="442">
        <v>20972.925147000002</v>
      </c>
      <c r="U9" s="442">
        <v>9344.2284261999994</v>
      </c>
      <c r="V9" s="442">
        <v>5856.5749555000002</v>
      </c>
      <c r="W9" s="442">
        <v>1745.3433731</v>
      </c>
      <c r="X9" s="442">
        <v>377.55480922999999</v>
      </c>
      <c r="Y9" s="442"/>
      <c r="Z9" s="703">
        <f>'T-T1'!AC11</f>
        <v>12228.072388000001</v>
      </c>
      <c r="AA9" s="442">
        <v>11474.014380000001</v>
      </c>
      <c r="AB9" s="442">
        <v>10623.908170000001</v>
      </c>
      <c r="AC9" s="442">
        <v>8021.8983930000004</v>
      </c>
      <c r="AD9" s="442">
        <v>6808.9800139999998</v>
      </c>
      <c r="AE9" s="442">
        <v>4218.1567070000001</v>
      </c>
      <c r="AF9" s="442">
        <v>1729.466132</v>
      </c>
      <c r="AG9" s="442"/>
      <c r="AH9" s="703">
        <f>'T-T1'!AN11+'T-T1'!AQ11+'T-T1'!AU11</f>
        <v>10157.308141949572</v>
      </c>
      <c r="AI9" s="442">
        <v>5453.2854969999999</v>
      </c>
      <c r="AJ9" s="442">
        <v>4630.6997890000002</v>
      </c>
      <c r="AK9" s="442">
        <v>2934.4441470000002</v>
      </c>
      <c r="AL9" s="442">
        <v>2142.5683469999999</v>
      </c>
      <c r="AM9" s="442">
        <v>892.09349940000004</v>
      </c>
      <c r="AN9" s="442">
        <v>268.77215369999999</v>
      </c>
      <c r="AO9" s="442"/>
      <c r="AP9" s="703">
        <f>'T-T1'!AJ11+'T-T1'!AK11+'T-T1'!AL11</f>
        <v>24925.707674375008</v>
      </c>
      <c r="AQ9" s="442">
        <v>19610.801080000001</v>
      </c>
      <c r="AR9" s="442">
        <v>17959.639749999998</v>
      </c>
      <c r="AS9" s="442">
        <v>13498.18455</v>
      </c>
      <c r="AT9" s="442">
        <v>11496.418170000001</v>
      </c>
      <c r="AU9" s="442">
        <v>7295.3935110000002</v>
      </c>
      <c r="AV9" s="442">
        <v>3149.241031</v>
      </c>
      <c r="AW9" s="442"/>
      <c r="AX9" s="703">
        <f>'T-T1'!X11+'T-T1'!Y11+'T-T1'!Z11</f>
        <v>23296</v>
      </c>
      <c r="AY9" s="442">
        <v>12328.370269999999</v>
      </c>
      <c r="AZ9" s="442">
        <v>10209.811470000001</v>
      </c>
      <c r="BA9" s="442">
        <v>6702.5016729999998</v>
      </c>
      <c r="BB9" s="442">
        <v>5515.0793249999997</v>
      </c>
      <c r="BC9" s="442">
        <v>3300.1281090000002</v>
      </c>
      <c r="BD9" s="442">
        <v>1380.86436</v>
      </c>
      <c r="BE9" s="442"/>
      <c r="BF9" s="442">
        <f>'T-T1'!AD11+'T-T1'!AO11+'T-T1'!AR11+'T-T1'!AV11+'T-T1'!BI11+'T-T1'!BJ11</f>
        <v>22226.079305374173</v>
      </c>
      <c r="BG9" s="442">
        <v>4857.758253</v>
      </c>
      <c r="BH9" s="442">
        <v>2773.260307</v>
      </c>
      <c r="BI9" s="442">
        <v>751.53865540000004</v>
      </c>
      <c r="BJ9" s="442">
        <v>469.82754899999998</v>
      </c>
      <c r="BK9" s="442">
        <v>143.45342009999999</v>
      </c>
      <c r="BL9" s="442">
        <v>21.262989900000001</v>
      </c>
      <c r="BM9" s="442"/>
      <c r="BN9" s="442">
        <f>B9-J9-R9-Z9-AH9-AP9-AX9-BF9</f>
        <v>65202.453786420672</v>
      </c>
      <c r="BO9" s="442">
        <f t="shared" ref="BO9:BT9" si="0">C9-K9-S9-AA9-AI9-AQ9-AY9-BG9</f>
        <v>26993.906664099988</v>
      </c>
      <c r="BP9" s="442">
        <f t="shared" si="0"/>
        <v>18616.443948099994</v>
      </c>
      <c r="BQ9" s="442">
        <f t="shared" si="0"/>
        <v>8014.8319835000111</v>
      </c>
      <c r="BR9" s="442">
        <f t="shared" si="0"/>
        <v>5564.2204768999918</v>
      </c>
      <c r="BS9" s="442">
        <f t="shared" si="0"/>
        <v>2444.5556244999984</v>
      </c>
      <c r="BT9" s="442">
        <f t="shared" si="0"/>
        <v>878.64702478000015</v>
      </c>
      <c r="BU9" s="452"/>
      <c r="BV9" s="1081"/>
    </row>
    <row r="10" spans="1:74" ht="11.25" customHeight="1" x14ac:dyDescent="0.3">
      <c r="A10" s="448"/>
      <c r="B10" s="442"/>
      <c r="C10" s="442"/>
      <c r="D10" s="442"/>
      <c r="E10" s="442"/>
      <c r="F10" s="442"/>
      <c r="G10" s="442"/>
      <c r="H10" s="442"/>
      <c r="K10" s="442"/>
      <c r="L10" s="442"/>
      <c r="M10" s="442"/>
      <c r="N10" s="442"/>
      <c r="O10" s="442"/>
      <c r="P10" s="442"/>
      <c r="Q10" s="444"/>
      <c r="R10" s="442"/>
      <c r="S10" s="442"/>
      <c r="T10" s="442"/>
      <c r="U10" s="442"/>
      <c r="V10" s="442"/>
      <c r="W10" s="442"/>
      <c r="X10" s="442"/>
      <c r="Y10" s="442"/>
      <c r="Z10" s="703"/>
      <c r="AA10" s="442"/>
      <c r="AB10" s="442"/>
      <c r="AC10" s="442"/>
      <c r="AD10" s="442"/>
      <c r="AE10" s="442"/>
      <c r="AF10" s="442"/>
      <c r="AG10" s="442"/>
      <c r="AH10" s="442"/>
      <c r="AI10" s="442"/>
      <c r="AJ10" s="442"/>
      <c r="AK10" s="442"/>
      <c r="AL10" s="442"/>
      <c r="AM10" s="442"/>
      <c r="AN10" s="442"/>
      <c r="AO10" s="442"/>
      <c r="AP10" s="442"/>
      <c r="AQ10" s="442"/>
      <c r="AR10" s="442"/>
      <c r="AS10" s="442"/>
      <c r="AT10" s="442"/>
      <c r="AU10" s="442"/>
      <c r="AV10" s="442"/>
      <c r="AW10" s="442"/>
      <c r="AX10" s="34"/>
      <c r="AY10" s="442"/>
      <c r="AZ10" s="442"/>
      <c r="BA10" s="442"/>
      <c r="BB10" s="442"/>
      <c r="BC10" s="442"/>
      <c r="BD10" s="442"/>
      <c r="BE10" s="442"/>
      <c r="BF10" s="34"/>
      <c r="BG10" s="442"/>
      <c r="BH10" s="442"/>
      <c r="BI10" s="442"/>
      <c r="BJ10" s="442"/>
      <c r="BK10" s="442"/>
      <c r="BL10" s="442"/>
      <c r="BM10" s="442"/>
      <c r="BO10" s="442"/>
      <c r="BP10" s="442"/>
      <c r="BQ10" s="442"/>
      <c r="BR10" s="442"/>
      <c r="BS10" s="442"/>
      <c r="BT10" s="442"/>
      <c r="BU10" s="452"/>
      <c r="BV10" s="1081"/>
    </row>
    <row r="11" spans="1:74" ht="12" customHeight="1" x14ac:dyDescent="0.3">
      <c r="A11" s="448">
        <v>1964</v>
      </c>
      <c r="B11" s="442">
        <v>608340.22254999995</v>
      </c>
      <c r="C11" s="442">
        <v>203946.71184400003</v>
      </c>
      <c r="D11" s="442">
        <v>143416.40479500004</v>
      </c>
      <c r="E11" s="442">
        <v>69770.498011000003</v>
      </c>
      <c r="F11" s="442">
        <v>52762.279062000001</v>
      </c>
      <c r="G11" s="442">
        <v>26729.033102000001</v>
      </c>
      <c r="H11" s="442">
        <v>10033.798360000001</v>
      </c>
      <c r="J11" s="442">
        <f>'T-T1'!C13+'T-T1'!E13+'T-T1'!G13+'T-T1'!I13</f>
        <v>356399.96553278121</v>
      </c>
      <c r="K11" s="442">
        <v>93260.827680000002</v>
      </c>
      <c r="L11" s="442">
        <v>52235.302309999999</v>
      </c>
      <c r="M11" s="442">
        <v>12280.93982</v>
      </c>
      <c r="N11" s="442">
        <v>7138.1201529999998</v>
      </c>
      <c r="O11" s="442">
        <v>2069.6930360000001</v>
      </c>
      <c r="P11" s="442">
        <v>286.28939020000001</v>
      </c>
      <c r="Q11" s="444"/>
      <c r="R11" s="442">
        <f>'T-T1'!K13+'T-T1'!L13+'T-T1'!N13+'T-T1'!O13+'T-T1'!P13+'T-T1'!Q13+'T-T1'!S13+'T-T1'!T13+'T-T1'!AG13+'T-T1'!AH13</f>
        <v>65711.016298614006</v>
      </c>
      <c r="S11" s="442">
        <v>23169.568380000001</v>
      </c>
      <c r="T11" s="442">
        <v>19787.43649</v>
      </c>
      <c r="U11" s="442">
        <v>11266.265568999999</v>
      </c>
      <c r="V11" s="442">
        <v>6897.6175660999997</v>
      </c>
      <c r="W11" s="442">
        <v>1681.7553899</v>
      </c>
      <c r="X11" s="442">
        <v>161.87497815</v>
      </c>
      <c r="Y11" s="442"/>
      <c r="Z11" s="703">
        <f>'T-T1'!AC13</f>
        <v>12719.134177</v>
      </c>
      <c r="AA11" s="442">
        <v>12485.556350000001</v>
      </c>
      <c r="AB11" s="442">
        <v>11765.206</v>
      </c>
      <c r="AC11" s="442">
        <v>9112.1205900000004</v>
      </c>
      <c r="AD11" s="442">
        <v>7897.6807520000002</v>
      </c>
      <c r="AE11" s="442">
        <v>4855.1191250000002</v>
      </c>
      <c r="AF11" s="442">
        <v>1993.0365839999999</v>
      </c>
      <c r="AG11" s="442"/>
      <c r="AH11" s="703">
        <f>'T-T1'!AN13+'T-T1'!AQ13+'T-T1'!AU13</f>
        <v>13405.100286375708</v>
      </c>
      <c r="AI11" s="442">
        <v>6581.4508939999996</v>
      </c>
      <c r="AJ11" s="442">
        <v>5497.2962450000005</v>
      </c>
      <c r="AK11" s="442">
        <v>3321.2213660000002</v>
      </c>
      <c r="AL11" s="442">
        <v>2491.884744</v>
      </c>
      <c r="AM11" s="442">
        <v>1062.1712689999999</v>
      </c>
      <c r="AN11" s="442">
        <v>316.79902700000002</v>
      </c>
      <c r="AO11" s="442"/>
      <c r="AP11" s="703">
        <f>'T-T1'!AJ13+'T-T1'!AK13+'T-T1'!AL13</f>
        <v>31363.076663807427</v>
      </c>
      <c r="AQ11" s="442">
        <v>25127.45752</v>
      </c>
      <c r="AR11" s="442">
        <v>23383.070899999999</v>
      </c>
      <c r="AS11" s="442">
        <v>18128.840909999999</v>
      </c>
      <c r="AT11" s="442">
        <v>15715.271790000001</v>
      </c>
      <c r="AU11" s="442">
        <v>9875.0816009999999</v>
      </c>
      <c r="AV11" s="442">
        <v>4279.6240580000003</v>
      </c>
      <c r="AW11" s="442"/>
      <c r="AX11" s="703">
        <f>'T-T1'!X13+'T-T1'!Y13+'T-T1'!Z13</f>
        <v>26573</v>
      </c>
      <c r="AY11" s="442">
        <v>14604.40789</v>
      </c>
      <c r="AZ11" s="442">
        <v>12285.687089999999</v>
      </c>
      <c r="BA11" s="442">
        <v>8290.5452050000004</v>
      </c>
      <c r="BB11" s="442">
        <v>6991.9715630000001</v>
      </c>
      <c r="BC11" s="442">
        <v>4212.3281020000004</v>
      </c>
      <c r="BD11" s="442">
        <v>1782.991947</v>
      </c>
      <c r="BE11" s="442"/>
      <c r="BF11" s="442">
        <f>'T-T1'!AD13+'T-T1'!AO13+'T-T1'!AR13+'T-T1'!AV13+'T-T1'!BI13+'T-T1'!BJ13</f>
        <v>27577.604116099712</v>
      </c>
      <c r="BG11" s="442">
        <v>6604.4072450000003</v>
      </c>
      <c r="BH11" s="442">
        <v>3883.3900269999999</v>
      </c>
      <c r="BI11" s="442">
        <v>976.93720559999997</v>
      </c>
      <c r="BJ11" s="442">
        <v>576.48664120000001</v>
      </c>
      <c r="BK11" s="442">
        <v>167.8056248</v>
      </c>
      <c r="BL11" s="442">
        <v>25.34761065</v>
      </c>
      <c r="BM11" s="442"/>
      <c r="BN11" s="442">
        <f>B11-J11-R11-Z11-AH11-AP11-AX11-BF11</f>
        <v>74591.325475321893</v>
      </c>
      <c r="BO11" s="442">
        <f t="shared" ref="BO11" si="1">C11-K11-S11-AA11-AI11-AQ11-AY11-BG11</f>
        <v>22113.035885000041</v>
      </c>
      <c r="BP11" s="442">
        <f t="shared" ref="BP11" si="2">D11-L11-T11-AB11-AJ11-AR11-AZ11-BH11</f>
        <v>14579.015733000053</v>
      </c>
      <c r="BQ11" s="442">
        <f t="shared" ref="BQ11" si="3">E11-M11-U11-AC11-AK11-AS11-BA11-BI11</f>
        <v>6393.627345400012</v>
      </c>
      <c r="BR11" s="442">
        <f t="shared" ref="BR11" si="4">F11-N11-V11-AD11-AL11-AT11-BB11-BJ11</f>
        <v>5053.2458527000035</v>
      </c>
      <c r="BS11" s="442">
        <f t="shared" ref="BS11" si="5">G11-O11-W11-AE11-AM11-AU11-BC11-BK11</f>
        <v>2805.0789542999996</v>
      </c>
      <c r="BT11" s="442">
        <f t="shared" ref="BT11" si="6">H11-P11-X11-AF11-AN11-AV11-BD11-BL11</f>
        <v>1187.8347650000021</v>
      </c>
      <c r="BU11" s="452"/>
      <c r="BV11" s="1081"/>
    </row>
    <row r="12" spans="1:74" ht="6" customHeight="1" x14ac:dyDescent="0.3">
      <c r="A12" s="448"/>
      <c r="B12" s="442"/>
      <c r="C12" s="442"/>
      <c r="D12" s="442"/>
      <c r="E12" s="442"/>
      <c r="F12" s="442"/>
      <c r="G12" s="442"/>
      <c r="H12" s="442"/>
      <c r="K12" s="442"/>
      <c r="L12" s="442"/>
      <c r="M12" s="442"/>
      <c r="N12" s="442"/>
      <c r="O12" s="442"/>
      <c r="P12" s="442"/>
      <c r="Q12" s="444"/>
      <c r="R12" s="444"/>
      <c r="S12" s="442"/>
      <c r="T12" s="442"/>
      <c r="U12" s="442"/>
      <c r="V12" s="442"/>
      <c r="W12" s="442"/>
      <c r="X12" s="442"/>
      <c r="Y12" s="442"/>
      <c r="Z12" s="703"/>
      <c r="AA12" s="442"/>
      <c r="AB12" s="442"/>
      <c r="AC12" s="442"/>
      <c r="AD12" s="442"/>
      <c r="AE12" s="442"/>
      <c r="AF12" s="442"/>
      <c r="AG12" s="442"/>
      <c r="AH12" s="442"/>
      <c r="AI12" s="442"/>
      <c r="AJ12" s="442"/>
      <c r="AK12" s="442"/>
      <c r="AL12" s="442"/>
      <c r="AM12" s="442"/>
      <c r="AN12" s="442"/>
      <c r="AO12" s="442"/>
      <c r="AP12" s="442"/>
      <c r="AQ12" s="442"/>
      <c r="AR12" s="442"/>
      <c r="AS12" s="442"/>
      <c r="AT12" s="442"/>
      <c r="AU12" s="442"/>
      <c r="AV12" s="442"/>
      <c r="AW12" s="442"/>
      <c r="AX12" s="34"/>
      <c r="AY12" s="442"/>
      <c r="AZ12" s="442"/>
      <c r="BA12" s="442"/>
      <c r="BB12" s="442"/>
      <c r="BC12" s="442"/>
      <c r="BD12" s="442"/>
      <c r="BE12" s="442"/>
      <c r="BF12" s="34"/>
      <c r="BG12" s="442"/>
      <c r="BH12" s="442"/>
      <c r="BI12" s="442"/>
      <c r="BJ12" s="442"/>
      <c r="BK12" s="442"/>
      <c r="BL12" s="442"/>
      <c r="BM12" s="442"/>
      <c r="BO12" s="442"/>
      <c r="BP12" s="442"/>
      <c r="BQ12" s="442"/>
      <c r="BR12" s="442"/>
      <c r="BS12" s="442"/>
      <c r="BT12" s="442"/>
      <c r="BU12" s="452"/>
      <c r="BV12" s="1081"/>
    </row>
    <row r="13" spans="1:74" ht="12" customHeight="1" x14ac:dyDescent="0.3">
      <c r="A13" s="448">
        <v>1966</v>
      </c>
      <c r="B13" s="442">
        <v>719693.75590999995</v>
      </c>
      <c r="C13" s="442">
        <v>243695.94166500002</v>
      </c>
      <c r="D13" s="442">
        <v>171239.969335</v>
      </c>
      <c r="E13" s="442">
        <v>82878.039189999996</v>
      </c>
      <c r="F13" s="442">
        <v>61299.14934399999</v>
      </c>
      <c r="G13" s="442">
        <v>31299.892275999999</v>
      </c>
      <c r="H13" s="442">
        <v>11482.077276</v>
      </c>
      <c r="J13" s="442">
        <f>'T-T1'!C15+'T-T1'!E15+'T-T1'!G15+'T-T1'!I15</f>
        <v>424651.09450503904</v>
      </c>
      <c r="K13" s="442">
        <v>98770.104189999998</v>
      </c>
      <c r="L13" s="442">
        <v>53437.849820000003</v>
      </c>
      <c r="M13" s="442">
        <v>13186.30553</v>
      </c>
      <c r="N13" s="442">
        <v>7678.751886</v>
      </c>
      <c r="O13" s="442">
        <v>2191.3068880000001</v>
      </c>
      <c r="P13" s="442">
        <v>315.26256660000001</v>
      </c>
      <c r="Q13" s="444"/>
      <c r="R13" s="442">
        <f>'T-T1'!K15+'T-T1'!L15+'T-T1'!N15+'T-T1'!O15+'T-T1'!P15+'T-T1'!Q15+'T-T1'!S15+'T-T1'!T15+'T-T1'!AG15+'T-T1'!AH15</f>
        <v>75663.1522577</v>
      </c>
      <c r="S13" s="442">
        <v>38070.842014000002</v>
      </c>
      <c r="T13" s="442">
        <v>30761.488571999998</v>
      </c>
      <c r="U13" s="442">
        <v>14352.034578000001</v>
      </c>
      <c r="V13" s="442">
        <v>9149.8011248000003</v>
      </c>
      <c r="W13" s="442">
        <v>3240.0090553</v>
      </c>
      <c r="X13" s="442">
        <v>727.23249548000001</v>
      </c>
      <c r="Y13" s="442"/>
      <c r="Z13" s="703">
        <f>'T-T1'!AC15</f>
        <v>17916.760021999999</v>
      </c>
      <c r="AA13" s="442">
        <v>15675.009959999999</v>
      </c>
      <c r="AB13" s="442">
        <v>14643.753280000001</v>
      </c>
      <c r="AC13" s="442">
        <v>11151.265649999999</v>
      </c>
      <c r="AD13" s="442">
        <v>9372.4077749999997</v>
      </c>
      <c r="AE13" s="442">
        <v>5672.878874</v>
      </c>
      <c r="AF13" s="442">
        <v>2315.8491330000002</v>
      </c>
      <c r="AG13" s="442"/>
      <c r="AH13" s="703">
        <f>'T-T1'!AN15+'T-T1'!AQ15+'T-T1'!AU15</f>
        <v>15653.58826</v>
      </c>
      <c r="AI13" s="442">
        <v>8664.155471</v>
      </c>
      <c r="AJ13" s="442">
        <v>7219.1167649999998</v>
      </c>
      <c r="AK13" s="442">
        <v>4214.9060639999998</v>
      </c>
      <c r="AL13" s="442">
        <v>3082.0318670000001</v>
      </c>
      <c r="AM13" s="442">
        <v>1410.7356130000001</v>
      </c>
      <c r="AN13" s="442">
        <v>418.88449680000002</v>
      </c>
      <c r="AO13" s="442"/>
      <c r="AP13" s="703">
        <f>'T-T1'!AJ15+'T-T1'!AK15+'T-T1'!AL15</f>
        <v>41571</v>
      </c>
      <c r="AQ13" s="442">
        <v>32162.60327</v>
      </c>
      <c r="AR13" s="442">
        <v>29515.02045</v>
      </c>
      <c r="AS13" s="442">
        <v>22122.903829999999</v>
      </c>
      <c r="AT13" s="442">
        <v>18611.747510000001</v>
      </c>
      <c r="AU13" s="442">
        <v>11521.0496</v>
      </c>
      <c r="AV13" s="442">
        <v>4822.4219970000004</v>
      </c>
      <c r="AW13" s="442"/>
      <c r="AX13" s="703">
        <f>'T-T1'!X15+'T-T1'!Y15+'T-T1'!Z15</f>
        <v>32232</v>
      </c>
      <c r="AY13" s="442">
        <v>16603.380590000001</v>
      </c>
      <c r="AZ13" s="442">
        <v>13785.43478</v>
      </c>
      <c r="BA13" s="442">
        <v>9044.4786029999996</v>
      </c>
      <c r="BB13" s="442">
        <v>7387.4427530000003</v>
      </c>
      <c r="BC13" s="442">
        <v>4394.7817059999998</v>
      </c>
      <c r="BD13" s="442">
        <v>1786.444129</v>
      </c>
      <c r="BE13" s="442"/>
      <c r="BF13" s="442">
        <f>'T-T1'!AD15+'T-T1'!AO15+'T-T1'!AR15+'T-T1'!AV15+'T-T1'!BI15+'T-T1'!BJ15</f>
        <v>31594.740285838972</v>
      </c>
      <c r="BG13" s="442">
        <v>6838.1001239999996</v>
      </c>
      <c r="BH13" s="442">
        <v>3866.5481829999999</v>
      </c>
      <c r="BI13" s="442">
        <v>1077.1295500000001</v>
      </c>
      <c r="BJ13" s="442">
        <v>647.91478300000006</v>
      </c>
      <c r="BK13" s="442">
        <v>190.6284837</v>
      </c>
      <c r="BL13" s="442">
        <v>27.666937610000002</v>
      </c>
      <c r="BM13" s="442"/>
      <c r="BN13" s="442">
        <f>B13-J13-R13-Z13-AH13-AP13-AX13-BF13</f>
        <v>80411.42057942196</v>
      </c>
      <c r="BO13" s="442">
        <f t="shared" ref="BO13" si="7">C13-K13-S13-AA13-AI13-AQ13-AY13-BG13</f>
        <v>26911.746046000011</v>
      </c>
      <c r="BP13" s="442">
        <f t="shared" ref="BP13" si="8">D13-L13-T13-AB13-AJ13-AR13-AZ13-BH13</f>
        <v>18010.757484999998</v>
      </c>
      <c r="BQ13" s="442">
        <f t="shared" ref="BQ13" si="9">E13-M13-U13-AC13-AK13-AS13-BA13-BI13</f>
        <v>7729.015384999997</v>
      </c>
      <c r="BR13" s="442">
        <f t="shared" ref="BR13" si="10">F13-N13-V13-AD13-AL13-AT13-BB13-BJ13</f>
        <v>5369.0516451999929</v>
      </c>
      <c r="BS13" s="442">
        <f t="shared" ref="BS13" si="11">G13-O13-W13-AE13-AM13-AU13-BC13-BK13</f>
        <v>2678.5020559999998</v>
      </c>
      <c r="BT13" s="442">
        <f t="shared" ref="BT13" si="12">H13-P13-X13-AF13-AN13-AV13-BD13-BL13</f>
        <v>1068.3155205099986</v>
      </c>
      <c r="BU13" s="452"/>
      <c r="BV13" s="1081"/>
    </row>
    <row r="14" spans="1:74" ht="12" customHeight="1" x14ac:dyDescent="0.3">
      <c r="A14" s="448">
        <v>1967</v>
      </c>
      <c r="B14" s="442">
        <v>760197.31680999999</v>
      </c>
      <c r="C14" s="442">
        <v>256373.08008100002</v>
      </c>
      <c r="D14" s="442">
        <v>179303.17357499999</v>
      </c>
      <c r="E14" s="442">
        <v>85331.934034999998</v>
      </c>
      <c r="F14" s="442">
        <v>63149.225856999998</v>
      </c>
      <c r="G14" s="442">
        <v>31497.328915999999</v>
      </c>
      <c r="H14" s="442">
        <v>11362.529705999999</v>
      </c>
      <c r="J14" s="442">
        <f>'T-T1'!C16+'T-T1'!E16+'T-T1'!G16+'T-T1'!I16</f>
        <v>455271.9546143348</v>
      </c>
      <c r="K14" s="442">
        <v>105861.4834</v>
      </c>
      <c r="L14" s="442">
        <v>58015.448060000002</v>
      </c>
      <c r="M14" s="442">
        <v>14081.16409</v>
      </c>
      <c r="N14" s="442">
        <v>8209.8122270000003</v>
      </c>
      <c r="O14" s="442">
        <v>2235.6306169999998</v>
      </c>
      <c r="P14" s="442">
        <v>343.12424920000001</v>
      </c>
      <c r="Q14" s="444"/>
      <c r="R14" s="442">
        <f>'T-T1'!K16+'T-T1'!L16+'T-T1'!N16+'T-T1'!O16+'T-T1'!P16+'T-T1'!Q16+'T-T1'!S16+'T-T1'!T16+'T-T1'!AG16+'T-T1'!AH16</f>
        <v>77049.510577599998</v>
      </c>
      <c r="S14" s="442">
        <v>38738.793784000001</v>
      </c>
      <c r="T14" s="442">
        <v>31066.570620999999</v>
      </c>
      <c r="U14" s="442">
        <v>14560.489586</v>
      </c>
      <c r="V14" s="442">
        <v>9251.2376471999996</v>
      </c>
      <c r="W14" s="442">
        <v>3252.8931118</v>
      </c>
      <c r="X14" s="442">
        <v>775.95563729000003</v>
      </c>
      <c r="Y14" s="442"/>
      <c r="Z14" s="703">
        <f>'T-T1'!AC16</f>
        <v>18281.988443999999</v>
      </c>
      <c r="AA14" s="442">
        <v>15980.25129</v>
      </c>
      <c r="AB14" s="442">
        <v>14888.26712</v>
      </c>
      <c r="AC14" s="442">
        <v>11503.968629999999</v>
      </c>
      <c r="AD14" s="442">
        <v>9735.2292469999993</v>
      </c>
      <c r="AE14" s="442">
        <v>5877.298871</v>
      </c>
      <c r="AF14" s="442">
        <v>2341.5468540000002</v>
      </c>
      <c r="AG14" s="442"/>
      <c r="AH14" s="703">
        <f>'T-T1'!AN16+'T-T1'!AQ16+'T-T1'!AU16</f>
        <v>17808.235490999999</v>
      </c>
      <c r="AI14" s="442">
        <v>9401.2063400000006</v>
      </c>
      <c r="AJ14" s="442">
        <v>7686.9922980000001</v>
      </c>
      <c r="AK14" s="442">
        <v>4643.2956359999998</v>
      </c>
      <c r="AL14" s="442">
        <v>3434.9481649999998</v>
      </c>
      <c r="AM14" s="442">
        <v>1556.9501789999999</v>
      </c>
      <c r="AN14" s="442">
        <v>466.84215890000002</v>
      </c>
      <c r="AO14" s="442"/>
      <c r="AP14" s="703">
        <f>'T-T1'!AJ16+'T-T1'!AK16+'T-T1'!AL16</f>
        <v>39457</v>
      </c>
      <c r="AQ14" s="442">
        <v>30574.247810000001</v>
      </c>
      <c r="AR14" s="442">
        <v>27950.384409999999</v>
      </c>
      <c r="AS14" s="442">
        <v>20928.144749999999</v>
      </c>
      <c r="AT14" s="442">
        <v>17732.369409999999</v>
      </c>
      <c r="AU14" s="442">
        <v>10758.59605</v>
      </c>
      <c r="AV14" s="442">
        <v>4413.9138139999995</v>
      </c>
      <c r="AW14" s="442"/>
      <c r="AX14" s="703">
        <f>'T-T1'!X16+'T-T1'!Y16+'T-T1'!Z16</f>
        <v>30992.000000000004</v>
      </c>
      <c r="AY14" s="442">
        <v>16277.96192</v>
      </c>
      <c r="AZ14" s="442">
        <v>13581.28688</v>
      </c>
      <c r="BA14" s="442">
        <v>9061.7833989999999</v>
      </c>
      <c r="BB14" s="442">
        <v>7486.2739510000001</v>
      </c>
      <c r="BC14" s="442">
        <v>4385.3999629999998</v>
      </c>
      <c r="BD14" s="442">
        <v>1757.350038</v>
      </c>
      <c r="BE14" s="442"/>
      <c r="BF14" s="442">
        <f>'T-T1'!AD16+'T-T1'!AO16+'T-T1'!AR16+'T-T1'!AV16+'T-T1'!BI16+'T-T1'!BJ16</f>
        <v>34997.183102149211</v>
      </c>
      <c r="BG14" s="442">
        <v>7618.9693420000003</v>
      </c>
      <c r="BH14" s="442">
        <v>4337.3728570000003</v>
      </c>
      <c r="BI14" s="442">
        <v>1225.3951</v>
      </c>
      <c r="BJ14" s="442">
        <v>719.83441719999996</v>
      </c>
      <c r="BK14" s="442">
        <v>228.0718914</v>
      </c>
      <c r="BL14" s="442">
        <v>31.125356750000002</v>
      </c>
      <c r="BM14" s="442"/>
      <c r="BN14" s="442">
        <f t="shared" ref="BN14:BN61" si="13">B14-J14-R14-Z14-AH14-AP14-AX14-BF14</f>
        <v>86339.44458091601</v>
      </c>
      <c r="BO14" s="442">
        <f t="shared" ref="BO14:BO62" si="14">C14-K14-S14-AA14-AI14-AQ14-AY14-BG14</f>
        <v>31920.166195000009</v>
      </c>
      <c r="BP14" s="442">
        <f t="shared" ref="BP14:BP62" si="15">D14-L14-T14-AB14-AJ14-AR14-AZ14-BH14</f>
        <v>21776.851329000005</v>
      </c>
      <c r="BQ14" s="442">
        <f t="shared" ref="BQ14:BQ62" si="16">E14-M14-U14-AC14-AK14-AS14-BA14-BI14</f>
        <v>9327.692843999992</v>
      </c>
      <c r="BR14" s="442">
        <f t="shared" ref="BR14:BR62" si="17">F14-N14-V14-AD14-AL14-AT14-BB14-BJ14</f>
        <v>6579.5207925999957</v>
      </c>
      <c r="BS14" s="442">
        <f t="shared" ref="BS14:BS62" si="18">G14-O14-W14-AE14-AM14-AU14-BC14-BK14</f>
        <v>3202.4882328000012</v>
      </c>
      <c r="BT14" s="442">
        <f t="shared" ref="BT14:BT62" si="19">H14-P14-X14-AF14-AN14-AV14-BD14-BL14</f>
        <v>1232.6715978599989</v>
      </c>
      <c r="BU14" s="452"/>
      <c r="BV14" s="1081"/>
    </row>
    <row r="15" spans="1:74" ht="12" customHeight="1" x14ac:dyDescent="0.3">
      <c r="A15" s="448">
        <v>1968</v>
      </c>
      <c r="B15" s="442">
        <v>832068.07926000003</v>
      </c>
      <c r="C15" s="442">
        <v>278473.21325600002</v>
      </c>
      <c r="D15" s="442">
        <v>194712.263611</v>
      </c>
      <c r="E15" s="442">
        <v>92735.067140999992</v>
      </c>
      <c r="F15" s="442">
        <v>69045.833341000005</v>
      </c>
      <c r="G15" s="442">
        <v>34865.286312000004</v>
      </c>
      <c r="H15" s="442">
        <v>12272.504756</v>
      </c>
      <c r="J15" s="442">
        <f>'T-T1'!C17+'T-T1'!E17+'T-T1'!G17+'T-T1'!I17</f>
        <v>502108.63878948218</v>
      </c>
      <c r="K15" s="442">
        <v>115586.0601</v>
      </c>
      <c r="L15" s="442">
        <v>63117.167540000002</v>
      </c>
      <c r="M15" s="442">
        <v>15027.439179999999</v>
      </c>
      <c r="N15" s="442">
        <v>8887.7640730000003</v>
      </c>
      <c r="O15" s="442">
        <v>2427.2648789999998</v>
      </c>
      <c r="P15" s="442">
        <v>394.55811269999998</v>
      </c>
      <c r="Q15" s="444"/>
      <c r="R15" s="442">
        <f>'T-T1'!K17+'T-T1'!L17+'T-T1'!N17+'T-T1'!O17+'T-T1'!P17+'T-T1'!Q17+'T-T1'!S17+'T-T1'!T17+'T-T1'!AG17+'T-T1'!AH17</f>
        <v>81664.259645800004</v>
      </c>
      <c r="S15" s="442">
        <v>42039.790971000002</v>
      </c>
      <c r="T15" s="442">
        <v>33894.001493000003</v>
      </c>
      <c r="U15" s="442">
        <v>16719.319518</v>
      </c>
      <c r="V15" s="442">
        <v>10834.587029</v>
      </c>
      <c r="W15" s="442">
        <v>3705.0972013999999</v>
      </c>
      <c r="X15" s="442">
        <v>988.95027605999996</v>
      </c>
      <c r="Y15" s="442"/>
      <c r="Z15" s="703">
        <f>'T-T1'!AC17</f>
        <v>20056.839042</v>
      </c>
      <c r="AA15" s="442">
        <v>17494.569179999999</v>
      </c>
      <c r="AB15" s="442">
        <v>16257.223840000001</v>
      </c>
      <c r="AC15" s="442">
        <v>12360.74048</v>
      </c>
      <c r="AD15" s="442">
        <v>10500.38507</v>
      </c>
      <c r="AE15" s="442">
        <v>6551.8704109999999</v>
      </c>
      <c r="AF15" s="442">
        <v>2431.1153519999998</v>
      </c>
      <c r="AG15" s="442"/>
      <c r="AH15" s="703">
        <f>'T-T1'!AN17+'T-T1'!AQ17+'T-T1'!AU17</f>
        <v>19921.836402999998</v>
      </c>
      <c r="AI15" s="442">
        <v>10531.378049999999</v>
      </c>
      <c r="AJ15" s="442">
        <v>8745.5175789999994</v>
      </c>
      <c r="AK15" s="442">
        <v>5141.9835860000003</v>
      </c>
      <c r="AL15" s="442">
        <v>3800.2298970000002</v>
      </c>
      <c r="AM15" s="442">
        <v>1726.757611</v>
      </c>
      <c r="AN15" s="442">
        <v>546.8085691</v>
      </c>
      <c r="AO15" s="442"/>
      <c r="AP15" s="703">
        <f>'T-T1'!AJ17+'T-T1'!AK17+'T-T1'!AL17</f>
        <v>38584</v>
      </c>
      <c r="AQ15" s="442">
        <v>29870.576850000001</v>
      </c>
      <c r="AR15" s="442">
        <v>27244.689869999998</v>
      </c>
      <c r="AS15" s="442">
        <v>20269.670719999998</v>
      </c>
      <c r="AT15" s="442">
        <v>17199.85842</v>
      </c>
      <c r="AU15" s="442">
        <v>10718.010899999999</v>
      </c>
      <c r="AV15" s="442">
        <v>4207.4427070000002</v>
      </c>
      <c r="AW15" s="442"/>
      <c r="AX15" s="703">
        <f>'T-T1'!X17+'T-T1'!Y17+'T-T1'!Z17</f>
        <v>37164</v>
      </c>
      <c r="AY15" s="442">
        <v>19817.849320000001</v>
      </c>
      <c r="AZ15" s="442">
        <v>16626.89359</v>
      </c>
      <c r="BA15" s="442">
        <v>11094.28162</v>
      </c>
      <c r="BB15" s="442">
        <v>9204.3206090000003</v>
      </c>
      <c r="BC15" s="442">
        <v>5548.3593449999998</v>
      </c>
      <c r="BD15" s="442">
        <v>2143.8595099999998</v>
      </c>
      <c r="BE15" s="442"/>
      <c r="BF15" s="442">
        <f>'T-T1'!AD17+'T-T1'!AO17+'T-T1'!AR17+'T-T1'!AV17+'T-T1'!BI17+'T-T1'!BJ17</f>
        <v>37032.788230389822</v>
      </c>
      <c r="BG15" s="442">
        <v>7905.8528539999998</v>
      </c>
      <c r="BH15" s="442">
        <v>4617.1329320000004</v>
      </c>
      <c r="BI15" s="442">
        <v>1182.0546469999999</v>
      </c>
      <c r="BJ15" s="442">
        <v>721.41723490000004</v>
      </c>
      <c r="BK15" s="442">
        <v>219.2374974</v>
      </c>
      <c r="BL15" s="442">
        <v>34.898467670000002</v>
      </c>
      <c r="BM15" s="442"/>
      <c r="BN15" s="442">
        <f t="shared" si="13"/>
        <v>95535.717149328033</v>
      </c>
      <c r="BO15" s="442">
        <f t="shared" si="14"/>
        <v>35227.135931000019</v>
      </c>
      <c r="BP15" s="442">
        <f t="shared" si="15"/>
        <v>24209.636766999989</v>
      </c>
      <c r="BQ15" s="442">
        <f t="shared" si="16"/>
        <v>10939.577389999988</v>
      </c>
      <c r="BR15" s="442">
        <f t="shared" si="17"/>
        <v>7897.2710081000023</v>
      </c>
      <c r="BS15" s="442">
        <f t="shared" si="18"/>
        <v>3968.6884672000056</v>
      </c>
      <c r="BT15" s="442">
        <f t="shared" si="19"/>
        <v>1524.8717614700006</v>
      </c>
      <c r="BU15" s="452"/>
      <c r="BV15" s="1081"/>
    </row>
    <row r="16" spans="1:74" ht="12" customHeight="1" x14ac:dyDescent="0.3">
      <c r="A16" s="448">
        <v>1969</v>
      </c>
      <c r="B16" s="442">
        <v>899520.59916999994</v>
      </c>
      <c r="C16" s="442">
        <v>291069.119252</v>
      </c>
      <c r="D16" s="442">
        <v>199577.726265</v>
      </c>
      <c r="E16" s="442">
        <v>90905.789864999999</v>
      </c>
      <c r="F16" s="442">
        <v>66563.729464000004</v>
      </c>
      <c r="G16" s="442">
        <v>32510.830006999997</v>
      </c>
      <c r="H16" s="442">
        <v>11994.252928</v>
      </c>
      <c r="J16" s="442">
        <f>'T-T1'!C18+'T-T1'!E18+'T-T1'!G18+'T-T1'!I18</f>
        <v>552804.05879147234</v>
      </c>
      <c r="K16" s="442">
        <v>128364.12519999999</v>
      </c>
      <c r="L16" s="442">
        <v>69797.540290000004</v>
      </c>
      <c r="M16" s="442">
        <v>17130.899580000001</v>
      </c>
      <c r="N16" s="442">
        <v>10022.55582</v>
      </c>
      <c r="O16" s="442">
        <v>2945.789401</v>
      </c>
      <c r="P16" s="442">
        <v>498.79524959999998</v>
      </c>
      <c r="Q16" s="444"/>
      <c r="R16" s="442">
        <f>'T-T1'!K18+'T-T1'!L18+'T-T1'!N18+'T-T1'!O18+'T-T1'!P18+'T-T1'!Q18+'T-T1'!S18+'T-T1'!T18+'T-T1'!AG18+'T-T1'!AH18</f>
        <v>84944.008713999996</v>
      </c>
      <c r="S16" s="442">
        <v>43084.749924000003</v>
      </c>
      <c r="T16" s="442">
        <v>34546.912168000003</v>
      </c>
      <c r="U16" s="442">
        <v>16854.277850999999</v>
      </c>
      <c r="V16" s="442">
        <v>10925.664092999999</v>
      </c>
      <c r="W16" s="442">
        <v>3750.2052143999999</v>
      </c>
      <c r="X16" s="442">
        <v>961.72748340999999</v>
      </c>
      <c r="Y16" s="442"/>
      <c r="Z16" s="703">
        <f>'T-T1'!AC18</f>
        <v>20352.037507000001</v>
      </c>
      <c r="AA16" s="442">
        <v>17122.740679999999</v>
      </c>
      <c r="AB16" s="442">
        <v>16019.195299999999</v>
      </c>
      <c r="AC16" s="442">
        <v>11808.92699</v>
      </c>
      <c r="AD16" s="442">
        <v>9976.7708289999991</v>
      </c>
      <c r="AE16" s="442">
        <v>5957.6500990000004</v>
      </c>
      <c r="AF16" s="442">
        <v>2400.341289</v>
      </c>
      <c r="AG16" s="442"/>
      <c r="AH16" s="703">
        <f>'T-T1'!AN18+'T-T1'!AQ18+'T-T1'!AU18</f>
        <v>23262.475332000002</v>
      </c>
      <c r="AI16" s="442">
        <v>11679.28119</v>
      </c>
      <c r="AJ16" s="442">
        <v>9618.9693619999998</v>
      </c>
      <c r="AK16" s="442">
        <v>5756.7563280000004</v>
      </c>
      <c r="AL16" s="442">
        <v>4319.3584339999998</v>
      </c>
      <c r="AM16" s="442">
        <v>2026.430685</v>
      </c>
      <c r="AN16" s="442">
        <v>654.85094030000005</v>
      </c>
      <c r="AO16" s="442"/>
      <c r="AP16" s="703">
        <f>'T-T1'!AJ18+'T-T1'!AK18+'T-T1'!AL18</f>
        <v>34200</v>
      </c>
      <c r="AQ16" s="442">
        <v>25147.080399999999</v>
      </c>
      <c r="AR16" s="442">
        <v>23044.321240000001</v>
      </c>
      <c r="AS16" s="442">
        <v>16839.460640000001</v>
      </c>
      <c r="AT16" s="442">
        <v>14318.97445</v>
      </c>
      <c r="AU16" s="442">
        <v>8892.6056970000009</v>
      </c>
      <c r="AV16" s="442">
        <v>3845.6138139999998</v>
      </c>
      <c r="AW16" s="442"/>
      <c r="AX16" s="703">
        <f>'T-T1'!X18+'T-T1'!Y18+'T-T1'!Z18</f>
        <v>36958</v>
      </c>
      <c r="AY16" s="442">
        <v>18193.516049999998</v>
      </c>
      <c r="AZ16" s="442">
        <v>15064.331920000001</v>
      </c>
      <c r="BA16" s="442">
        <v>9696.4645110000001</v>
      </c>
      <c r="BB16" s="442">
        <v>8009.2696059999998</v>
      </c>
      <c r="BC16" s="442">
        <v>4772.6080279999996</v>
      </c>
      <c r="BD16" s="442">
        <v>2011.211145</v>
      </c>
      <c r="BE16" s="442"/>
      <c r="BF16" s="442">
        <f>'T-T1'!AD18+'T-T1'!AO18+'T-T1'!AR18+'T-T1'!AV18+'T-T1'!BI18+'T-T1'!BJ18</f>
        <v>42892.376597867609</v>
      </c>
      <c r="BG16" s="442">
        <v>9467.5913999999993</v>
      </c>
      <c r="BH16" s="442">
        <v>5573.0408669999997</v>
      </c>
      <c r="BI16" s="442">
        <v>1777.3133769999999</v>
      </c>
      <c r="BJ16" s="442">
        <v>1226.1168950000001</v>
      </c>
      <c r="BK16" s="442">
        <v>500.3188313</v>
      </c>
      <c r="BL16" s="442">
        <v>122.2575799</v>
      </c>
      <c r="BM16" s="442"/>
      <c r="BN16" s="442">
        <f t="shared" si="13"/>
        <v>104107.64222765999</v>
      </c>
      <c r="BO16" s="442">
        <f t="shared" si="14"/>
        <v>38010.034407999992</v>
      </c>
      <c r="BP16" s="442">
        <f t="shared" si="15"/>
        <v>25913.41511799999</v>
      </c>
      <c r="BQ16" s="442">
        <f t="shared" si="16"/>
        <v>11041.690587999998</v>
      </c>
      <c r="BR16" s="442">
        <f t="shared" si="17"/>
        <v>7765.0193369999988</v>
      </c>
      <c r="BS16" s="442">
        <f t="shared" si="18"/>
        <v>3665.222051299992</v>
      </c>
      <c r="BT16" s="442">
        <f t="shared" si="19"/>
        <v>1499.4554267899998</v>
      </c>
      <c r="BU16" s="452"/>
      <c r="BV16" s="1081"/>
    </row>
    <row r="17" spans="1:74" ht="12" customHeight="1" x14ac:dyDescent="0.3">
      <c r="A17" s="448">
        <v>1970</v>
      </c>
      <c r="B17" s="442">
        <v>940148.70322000002</v>
      </c>
      <c r="C17" s="442">
        <v>297028.78507499996</v>
      </c>
      <c r="D17" s="442">
        <v>200582.942117</v>
      </c>
      <c r="E17" s="442">
        <v>87715.080336999992</v>
      </c>
      <c r="F17" s="442">
        <v>63141.858481000003</v>
      </c>
      <c r="G17" s="442">
        <v>30158.753562000002</v>
      </c>
      <c r="H17" s="442">
        <v>10673.573827</v>
      </c>
      <c r="J17" s="442">
        <f>'T-T1'!C19+'T-T1'!E19+'T-T1'!G19+'T-T1'!I19</f>
        <v>589429.9581940996</v>
      </c>
      <c r="K17" s="442">
        <v>138130.82829999999</v>
      </c>
      <c r="L17" s="442">
        <v>75994.066340000005</v>
      </c>
      <c r="M17" s="442">
        <v>17753.556100000002</v>
      </c>
      <c r="N17" s="442">
        <v>9998.9565849999999</v>
      </c>
      <c r="O17" s="442">
        <v>2816.2070840000001</v>
      </c>
      <c r="P17" s="442">
        <v>402.21008180000001</v>
      </c>
      <c r="Q17" s="444"/>
      <c r="R17" s="442">
        <f>'T-T1'!K19+'T-T1'!L19+'T-T1'!N19+'T-T1'!O19+'T-T1'!P19+'T-T1'!Q19+'T-T1'!S19+'T-T1'!T19+'T-T1'!AG19+'T-T1'!AH19</f>
        <v>85809.301892500007</v>
      </c>
      <c r="S17" s="442">
        <v>43746.780791999998</v>
      </c>
      <c r="T17" s="442">
        <v>35532.748332000003</v>
      </c>
      <c r="U17" s="442">
        <v>18125.299594</v>
      </c>
      <c r="V17" s="442">
        <v>12002.570709</v>
      </c>
      <c r="W17" s="442">
        <v>4311.7538352000001</v>
      </c>
      <c r="X17" s="442">
        <v>1079.1388767999999</v>
      </c>
      <c r="Y17" s="442"/>
      <c r="Z17" s="703">
        <f>'T-T1'!AC19</f>
        <v>20021.628756999999</v>
      </c>
      <c r="AA17" s="442">
        <v>16479.430520000002</v>
      </c>
      <c r="AB17" s="442">
        <v>15073.81531</v>
      </c>
      <c r="AC17" s="442">
        <v>11365.790499999999</v>
      </c>
      <c r="AD17" s="442">
        <v>9656.7604140000003</v>
      </c>
      <c r="AE17" s="442">
        <v>5921.375129</v>
      </c>
      <c r="AF17" s="442">
        <v>2444.8032149999999</v>
      </c>
      <c r="AG17" s="442"/>
      <c r="AH17" s="703">
        <f>'T-T1'!AN19+'T-T1'!AQ19+'T-T1'!AU19</f>
        <v>26657.178389000001</v>
      </c>
      <c r="AI17" s="442">
        <v>13289.77664</v>
      </c>
      <c r="AJ17" s="442">
        <v>10977.65257</v>
      </c>
      <c r="AK17" s="442">
        <v>6524.8467099999998</v>
      </c>
      <c r="AL17" s="442">
        <v>4996.5786319999997</v>
      </c>
      <c r="AM17" s="442">
        <v>2379.0066499999998</v>
      </c>
      <c r="AN17" s="442">
        <v>747.72889610000004</v>
      </c>
      <c r="AO17" s="442"/>
      <c r="AP17" s="703">
        <f>'T-T1'!AJ19+'T-T1'!AK19+'T-T1'!AL19</f>
        <v>27180</v>
      </c>
      <c r="AQ17" s="442">
        <v>19141.01901</v>
      </c>
      <c r="AR17" s="442">
        <v>17138.716369999998</v>
      </c>
      <c r="AS17" s="442">
        <v>12594.88623</v>
      </c>
      <c r="AT17" s="442">
        <v>10707.125690000001</v>
      </c>
      <c r="AU17" s="442">
        <v>6725.1587509999999</v>
      </c>
      <c r="AV17" s="442">
        <v>2868.2130069999998</v>
      </c>
      <c r="AW17" s="442"/>
      <c r="AX17" s="703">
        <f>'T-T1'!X19+'T-T1'!Y19+'T-T1'!Z19</f>
        <v>31263</v>
      </c>
      <c r="AY17" s="442">
        <v>14817.813200000001</v>
      </c>
      <c r="AZ17" s="442">
        <v>11999.98583</v>
      </c>
      <c r="BA17" s="442">
        <v>7634.4709400000002</v>
      </c>
      <c r="BB17" s="442">
        <v>6299.6913979999999</v>
      </c>
      <c r="BC17" s="442">
        <v>3782.7013820000002</v>
      </c>
      <c r="BD17" s="442">
        <v>1564.70307</v>
      </c>
      <c r="BE17" s="442"/>
      <c r="BF17" s="442">
        <f>'T-T1'!AD19+'T-T1'!AO19+'T-T1'!AR19+'T-T1'!AV19+'T-T1'!BI19+'T-T1'!BJ19</f>
        <v>49133.898429805406</v>
      </c>
      <c r="BG17" s="442">
        <v>10613.061879999999</v>
      </c>
      <c r="BH17" s="442">
        <v>6197.6696240000001</v>
      </c>
      <c r="BI17" s="442">
        <v>1659.9719480000001</v>
      </c>
      <c r="BJ17" s="442">
        <v>1003.1624870000001</v>
      </c>
      <c r="BK17" s="442">
        <v>288.2784896</v>
      </c>
      <c r="BL17" s="442">
        <v>44.573917299999998</v>
      </c>
      <c r="BM17" s="442"/>
      <c r="BN17" s="442">
        <f t="shared" si="13"/>
        <v>110653.73755759498</v>
      </c>
      <c r="BO17" s="442">
        <f t="shared" si="14"/>
        <v>40810.074732999965</v>
      </c>
      <c r="BP17" s="442">
        <f t="shared" si="15"/>
        <v>27668.287740999986</v>
      </c>
      <c r="BQ17" s="442">
        <f t="shared" si="16"/>
        <v>12056.258314999994</v>
      </c>
      <c r="BR17" s="442">
        <f t="shared" si="17"/>
        <v>8477.0125660000031</v>
      </c>
      <c r="BS17" s="442">
        <f t="shared" si="18"/>
        <v>3934.2722411999998</v>
      </c>
      <c r="BT17" s="442">
        <f t="shared" si="19"/>
        <v>1522.2027630000005</v>
      </c>
      <c r="BU17" s="452"/>
      <c r="BV17" s="1081"/>
    </row>
    <row r="18" spans="1:74" ht="12" customHeight="1" x14ac:dyDescent="0.3">
      <c r="A18" s="448">
        <v>1971</v>
      </c>
      <c r="B18" s="442">
        <v>1017016.3473</v>
      </c>
      <c r="C18" s="442">
        <v>327905.24529299996</v>
      </c>
      <c r="D18" s="442">
        <v>221816.58219299998</v>
      </c>
      <c r="E18" s="442">
        <v>97948.454362999997</v>
      </c>
      <c r="F18" s="442">
        <v>71115.195745000005</v>
      </c>
      <c r="G18" s="442">
        <v>34526.587017999998</v>
      </c>
      <c r="H18" s="442">
        <v>12266.741634</v>
      </c>
      <c r="J18" s="442">
        <f>'T-T1'!C20+'T-T1'!E20+'T-T1'!G20+'T-T1'!I20</f>
        <v>626571.88267136901</v>
      </c>
      <c r="K18" s="442">
        <v>147659.3371</v>
      </c>
      <c r="L18" s="442">
        <v>80543.632320000004</v>
      </c>
      <c r="M18" s="442">
        <v>18820.436020000001</v>
      </c>
      <c r="N18" s="442">
        <v>10362.09152</v>
      </c>
      <c r="O18" s="442">
        <v>2740.334065</v>
      </c>
      <c r="P18" s="442">
        <v>378.83666740000001</v>
      </c>
      <c r="Q18" s="444"/>
      <c r="R18" s="442">
        <f>'T-T1'!K20+'T-T1'!L20+'T-T1'!N20+'T-T1'!O20+'T-T1'!P20+'T-T1'!Q20+'T-T1'!S20+'T-T1'!T20+'T-T1'!AG20+'T-T1'!AH20</f>
        <v>92382.144096600008</v>
      </c>
      <c r="S18" s="442">
        <v>47341.406404000001</v>
      </c>
      <c r="T18" s="442">
        <v>38575.956158000001</v>
      </c>
      <c r="U18" s="442">
        <v>19365.264631999999</v>
      </c>
      <c r="V18" s="442">
        <v>13302.106394</v>
      </c>
      <c r="W18" s="442">
        <v>5020.1172100000003</v>
      </c>
      <c r="X18" s="442">
        <v>1343.0427036999999</v>
      </c>
      <c r="Y18" s="442"/>
      <c r="Z18" s="703">
        <f>'T-T1'!AC20</f>
        <v>20256.331445</v>
      </c>
      <c r="AA18" s="442">
        <v>17023.231469999999</v>
      </c>
      <c r="AB18" s="442">
        <v>15534.669190000001</v>
      </c>
      <c r="AC18" s="442">
        <v>11608.82245</v>
      </c>
      <c r="AD18" s="442">
        <v>9760.1040599999997</v>
      </c>
      <c r="AE18" s="442">
        <v>6092.9313709999997</v>
      </c>
      <c r="AF18" s="442">
        <v>2435.9346</v>
      </c>
      <c r="AG18" s="442"/>
      <c r="AH18" s="703">
        <f>'T-T1'!AN20+'T-T1'!AQ20+'T-T1'!AU20</f>
        <v>28981.614892999998</v>
      </c>
      <c r="AI18" s="442">
        <v>15289.24965</v>
      </c>
      <c r="AJ18" s="442">
        <v>12493.883809999999</v>
      </c>
      <c r="AK18" s="442">
        <v>7313.9667820000004</v>
      </c>
      <c r="AL18" s="442">
        <v>5477.752109</v>
      </c>
      <c r="AM18" s="442">
        <v>2600.3834379999998</v>
      </c>
      <c r="AN18" s="442">
        <v>802.81347100000005</v>
      </c>
      <c r="AO18" s="442"/>
      <c r="AP18" s="703">
        <f>'T-T1'!AJ20+'T-T1'!AK20+'T-T1'!AL20</f>
        <v>37455</v>
      </c>
      <c r="AQ18" s="442">
        <v>26820.924029999998</v>
      </c>
      <c r="AR18" s="442">
        <v>23879.78255</v>
      </c>
      <c r="AS18" s="442">
        <v>17296.83208</v>
      </c>
      <c r="AT18" s="442">
        <v>14523.774649999999</v>
      </c>
      <c r="AU18" s="442">
        <v>9166.5557809999991</v>
      </c>
      <c r="AV18" s="442">
        <v>3831.3100730000001</v>
      </c>
      <c r="AW18" s="442"/>
      <c r="AX18" s="703">
        <f>'T-T1'!X20+'T-T1'!Y20+'T-T1'!Z20</f>
        <v>34808.000000000007</v>
      </c>
      <c r="AY18" s="442">
        <v>17104.7628</v>
      </c>
      <c r="AZ18" s="442">
        <v>13835.646710000001</v>
      </c>
      <c r="BA18" s="442">
        <v>8768.393317</v>
      </c>
      <c r="BB18" s="442">
        <v>7146.3854540000002</v>
      </c>
      <c r="BC18" s="442">
        <v>4322.6598560000002</v>
      </c>
      <c r="BD18" s="442">
        <v>1759.076237</v>
      </c>
      <c r="BE18" s="442"/>
      <c r="BF18" s="442">
        <f>'T-T1'!AD20+'T-T1'!AO20+'T-T1'!AR20+'T-T1'!AV20+'T-T1'!BI20+'T-T1'!BJ20</f>
        <v>56175.959396720958</v>
      </c>
      <c r="BG18" s="442">
        <v>12088.12586</v>
      </c>
      <c r="BH18" s="442">
        <v>6974.2327930000001</v>
      </c>
      <c r="BI18" s="442">
        <v>1836.730284</v>
      </c>
      <c r="BJ18" s="442">
        <v>1089.2622140000001</v>
      </c>
      <c r="BK18" s="442">
        <v>320.83220160000002</v>
      </c>
      <c r="BL18" s="442">
        <v>45.73107177</v>
      </c>
      <c r="BM18" s="442"/>
      <c r="BN18" s="442">
        <f t="shared" si="13"/>
        <v>120385.41479731005</v>
      </c>
      <c r="BO18" s="442">
        <f t="shared" si="14"/>
        <v>44578.207978999955</v>
      </c>
      <c r="BP18" s="442">
        <f t="shared" si="15"/>
        <v>29978.778661999972</v>
      </c>
      <c r="BQ18" s="442">
        <f t="shared" si="16"/>
        <v>12938.008798000003</v>
      </c>
      <c r="BR18" s="442">
        <f t="shared" si="17"/>
        <v>9453.7193440000028</v>
      </c>
      <c r="BS18" s="442">
        <f t="shared" si="18"/>
        <v>4262.7730953999999</v>
      </c>
      <c r="BT18" s="442">
        <f t="shared" si="19"/>
        <v>1669.9968101299974</v>
      </c>
      <c r="BU18" s="452"/>
      <c r="BV18" s="1081"/>
    </row>
    <row r="19" spans="1:74" ht="12" customHeight="1" x14ac:dyDescent="0.3">
      <c r="A19" s="448">
        <v>1972</v>
      </c>
      <c r="B19" s="442">
        <v>1122975.8569</v>
      </c>
      <c r="C19" s="442">
        <v>361930.18189999997</v>
      </c>
      <c r="D19" s="442">
        <v>246034.10841000002</v>
      </c>
      <c r="E19" s="442">
        <v>110181.86395999999</v>
      </c>
      <c r="F19" s="442">
        <v>80103.98444900001</v>
      </c>
      <c r="G19" s="442">
        <v>38794.863817000005</v>
      </c>
      <c r="H19" s="442">
        <v>13725.465118</v>
      </c>
      <c r="J19" s="442">
        <f>'T-T1'!C21+'T-T1'!E21+'T-T1'!G21+'T-T1'!I21</f>
        <v>688053.66012162494</v>
      </c>
      <c r="K19" s="442">
        <v>159583.99789999999</v>
      </c>
      <c r="L19" s="442">
        <v>86536.23461</v>
      </c>
      <c r="M19" s="442">
        <v>20347.480820000001</v>
      </c>
      <c r="N19" s="442">
        <v>11387.34309</v>
      </c>
      <c r="O19" s="442">
        <v>3050.2583540000001</v>
      </c>
      <c r="P19" s="442">
        <v>484.54128989999998</v>
      </c>
      <c r="Q19" s="444"/>
      <c r="R19" s="442">
        <f>'T-T1'!K21+'T-T1'!L21+'T-T1'!N21+'T-T1'!O21+'T-T1'!P21+'T-T1'!Q21+'T-T1'!S21+'T-T1'!T21+'T-T1'!AG21+'T-T1'!AH21</f>
        <v>106073.67381160001</v>
      </c>
      <c r="S19" s="442">
        <v>54359.342324999998</v>
      </c>
      <c r="T19" s="442">
        <v>43395.887354999999</v>
      </c>
      <c r="U19" s="442">
        <v>21326.074248000001</v>
      </c>
      <c r="V19" s="442">
        <v>14430.024957</v>
      </c>
      <c r="W19" s="442">
        <v>5590.9341934000004</v>
      </c>
      <c r="X19" s="442">
        <v>1616.3528432999999</v>
      </c>
      <c r="Y19" s="442"/>
      <c r="Z19" s="703">
        <f>'T-T1'!AC21</f>
        <v>22056.556623</v>
      </c>
      <c r="AA19" s="442">
        <v>18436.373869999999</v>
      </c>
      <c r="AB19" s="442">
        <v>16995.890579999999</v>
      </c>
      <c r="AC19" s="442">
        <v>12496.2868</v>
      </c>
      <c r="AD19" s="442">
        <v>10517.299150000001</v>
      </c>
      <c r="AE19" s="442">
        <v>6382.2655050000003</v>
      </c>
      <c r="AF19" s="442">
        <v>2519.6811069999999</v>
      </c>
      <c r="AG19" s="442"/>
      <c r="AH19" s="703">
        <f>'T-T1'!AN21+'T-T1'!AQ21+'T-T1'!AU21</f>
        <v>33591.271927000002</v>
      </c>
      <c r="AI19" s="442">
        <v>17562.107080000002</v>
      </c>
      <c r="AJ19" s="442">
        <v>14449.73928</v>
      </c>
      <c r="AK19" s="442">
        <v>8180.0727919999999</v>
      </c>
      <c r="AL19" s="442">
        <v>6123.8271450000002</v>
      </c>
      <c r="AM19" s="442">
        <v>2910.3753510000001</v>
      </c>
      <c r="AN19" s="442">
        <v>890.12374939999995</v>
      </c>
      <c r="AO19" s="442"/>
      <c r="AP19" s="703">
        <f>'T-T1'!AJ21+'T-T1'!AK21+'T-T1'!AL21</f>
        <v>48035</v>
      </c>
      <c r="AQ19" s="442">
        <v>33949.458960000004</v>
      </c>
      <c r="AR19" s="442">
        <v>30440.667119999998</v>
      </c>
      <c r="AS19" s="442">
        <v>21764.562140000002</v>
      </c>
      <c r="AT19" s="442">
        <v>18253.809519999999</v>
      </c>
      <c r="AU19" s="442">
        <v>11220.36119</v>
      </c>
      <c r="AV19" s="442">
        <v>4617.4236780000001</v>
      </c>
      <c r="AW19" s="442"/>
      <c r="AX19" s="703">
        <f>'T-T1'!X21+'T-T1'!Y21+'T-T1'!Z21</f>
        <v>39110.000000000007</v>
      </c>
      <c r="AY19" s="442">
        <v>19279.018329999999</v>
      </c>
      <c r="AZ19" s="442">
        <v>15774.82352</v>
      </c>
      <c r="BA19" s="442">
        <v>9978.2826019999993</v>
      </c>
      <c r="BB19" s="442">
        <v>8153.5039919999999</v>
      </c>
      <c r="BC19" s="442">
        <v>4834.9811790000003</v>
      </c>
      <c r="BD19" s="442">
        <v>1945.022164</v>
      </c>
      <c r="BE19" s="442"/>
      <c r="BF19" s="442">
        <f>'T-T1'!AD21+'T-T1'!AO21+'T-T1'!AR21+'T-T1'!AV21+'T-T1'!BI21+'T-T1'!BJ21</f>
        <v>59130.774645895093</v>
      </c>
      <c r="BG19" s="442">
        <v>13060.776610000001</v>
      </c>
      <c r="BH19" s="442">
        <v>7407.1422110000003</v>
      </c>
      <c r="BI19" s="442">
        <v>1918.553989</v>
      </c>
      <c r="BJ19" s="442">
        <v>1145.546337</v>
      </c>
      <c r="BK19" s="442">
        <v>331.32963410000002</v>
      </c>
      <c r="BL19" s="442">
        <v>55.135202829999997</v>
      </c>
      <c r="BM19" s="442"/>
      <c r="BN19" s="442">
        <f t="shared" si="13"/>
        <v>126924.91977087993</v>
      </c>
      <c r="BO19" s="442">
        <f t="shared" si="14"/>
        <v>45699.106824999973</v>
      </c>
      <c r="BP19" s="442">
        <f t="shared" si="15"/>
        <v>31033.723734000021</v>
      </c>
      <c r="BQ19" s="442">
        <f t="shared" si="16"/>
        <v>14170.550568999985</v>
      </c>
      <c r="BR19" s="442">
        <f t="shared" si="17"/>
        <v>10092.630258000014</v>
      </c>
      <c r="BS19" s="442">
        <f t="shared" si="18"/>
        <v>4474.3584105000082</v>
      </c>
      <c r="BT19" s="442">
        <f t="shared" si="19"/>
        <v>1597.1850835700004</v>
      </c>
      <c r="BU19" s="452"/>
      <c r="BV19" s="1081"/>
    </row>
    <row r="20" spans="1:74" ht="12" customHeight="1" x14ac:dyDescent="0.3">
      <c r="A20" s="448">
        <v>1973</v>
      </c>
      <c r="B20" s="442">
        <v>1256980.1410999999</v>
      </c>
      <c r="C20" s="442">
        <v>402995.98435700004</v>
      </c>
      <c r="D20" s="442">
        <v>274039.62342700001</v>
      </c>
      <c r="E20" s="442">
        <v>122107.63750699999</v>
      </c>
      <c r="F20" s="442">
        <v>88029.617235999991</v>
      </c>
      <c r="G20" s="442">
        <v>41265.308142000002</v>
      </c>
      <c r="H20" s="442">
        <v>14178.881249</v>
      </c>
      <c r="J20" s="442">
        <f>'T-T1'!C22+'T-T1'!E22+'T-T1'!G22+'T-T1'!I22</f>
        <v>769073.02056745149</v>
      </c>
      <c r="K20" s="442">
        <v>175973.01620000001</v>
      </c>
      <c r="L20" s="442">
        <v>94176.199359999999</v>
      </c>
      <c r="M20" s="442">
        <v>22274.32806</v>
      </c>
      <c r="N20" s="442">
        <v>12590.81143</v>
      </c>
      <c r="O20" s="442">
        <v>3444.153014</v>
      </c>
      <c r="P20" s="442">
        <v>500.62101430000001</v>
      </c>
      <c r="Q20" s="444"/>
      <c r="R20" s="442">
        <f>'T-T1'!K22+'T-T1'!L22+'T-T1'!N22+'T-T1'!O22+'T-T1'!P22+'T-T1'!Q22+'T-T1'!S22+'T-T1'!T22+'T-T1'!AG22+'T-T1'!AH22</f>
        <v>123426.84086199998</v>
      </c>
      <c r="S20" s="442">
        <v>63637.988379000002</v>
      </c>
      <c r="T20" s="442">
        <v>50921.170593000003</v>
      </c>
      <c r="U20" s="442">
        <v>24366.018634</v>
      </c>
      <c r="V20" s="442">
        <v>16454.304086</v>
      </c>
      <c r="W20" s="442">
        <v>6546.9436059999998</v>
      </c>
      <c r="X20" s="442">
        <v>1813.0899416</v>
      </c>
      <c r="Y20" s="442"/>
      <c r="Z20" s="703">
        <f>'T-T1'!AC22</f>
        <v>24079.922827999999</v>
      </c>
      <c r="AA20" s="442">
        <v>19943.13018</v>
      </c>
      <c r="AB20" s="442">
        <v>18543.411359999998</v>
      </c>
      <c r="AC20" s="442">
        <v>13842.45515</v>
      </c>
      <c r="AD20" s="442">
        <v>11423.18578</v>
      </c>
      <c r="AE20" s="442">
        <v>6681.3363600000002</v>
      </c>
      <c r="AF20" s="442">
        <v>2649.0013979999999</v>
      </c>
      <c r="AG20" s="442"/>
      <c r="AH20" s="703">
        <f>'T-T1'!AN22+'T-T1'!AQ22+'T-T1'!AU22</f>
        <v>38721.573928999998</v>
      </c>
      <c r="AI20" s="442">
        <v>19611.324229999998</v>
      </c>
      <c r="AJ20" s="442">
        <v>16308.15372</v>
      </c>
      <c r="AK20" s="442">
        <v>9309.0566070000004</v>
      </c>
      <c r="AL20" s="442">
        <v>6971.207316</v>
      </c>
      <c r="AM20" s="442">
        <v>3402.2729989999998</v>
      </c>
      <c r="AN20" s="442">
        <v>1063.895939</v>
      </c>
      <c r="AO20" s="442"/>
      <c r="AP20" s="703">
        <f>'T-T1'!AJ22+'T-T1'!AK22+'T-T1'!AL22</f>
        <v>53509.999999999993</v>
      </c>
      <c r="AQ20" s="442">
        <v>36617.935689999998</v>
      </c>
      <c r="AR20" s="442">
        <v>32906.174359999997</v>
      </c>
      <c r="AS20" s="442">
        <v>23457.705259999999</v>
      </c>
      <c r="AT20" s="442">
        <v>19327.405890000002</v>
      </c>
      <c r="AU20" s="442">
        <v>11381.274170000001</v>
      </c>
      <c r="AV20" s="442">
        <v>4591.3142630000002</v>
      </c>
      <c r="AW20" s="442"/>
      <c r="AX20" s="703">
        <f>'T-T1'!X22+'T-T1'!Y22+'T-T1'!Z22</f>
        <v>45632</v>
      </c>
      <c r="AY20" s="442">
        <v>20767.596699999998</v>
      </c>
      <c r="AZ20" s="442">
        <v>16705.243439999998</v>
      </c>
      <c r="BA20" s="442">
        <v>10246.607379999999</v>
      </c>
      <c r="BB20" s="442">
        <v>8179.256797</v>
      </c>
      <c r="BC20" s="442">
        <v>4614.4009509999996</v>
      </c>
      <c r="BD20" s="442">
        <v>1802.97846</v>
      </c>
      <c r="BE20" s="442"/>
      <c r="BF20" s="442">
        <f>'T-T1'!AD22+'T-T1'!AO22+'T-T1'!AR22+'T-T1'!AV22+'T-T1'!BI22+'T-T1'!BJ22</f>
        <v>64059.656099648513</v>
      </c>
      <c r="BG20" s="442">
        <v>13568.63992</v>
      </c>
      <c r="BH20" s="442">
        <v>7823.168874</v>
      </c>
      <c r="BI20" s="442">
        <v>1989.082684</v>
      </c>
      <c r="BJ20" s="442">
        <v>1210.5525</v>
      </c>
      <c r="BK20" s="442">
        <v>354.27492369999999</v>
      </c>
      <c r="BL20" s="442">
        <v>52.95477339</v>
      </c>
      <c r="BM20" s="442"/>
      <c r="BN20" s="442">
        <f t="shared" si="13"/>
        <v>138477.1268138999</v>
      </c>
      <c r="BO20" s="442">
        <f t="shared" si="14"/>
        <v>52876.353058000037</v>
      </c>
      <c r="BP20" s="442">
        <f t="shared" si="15"/>
        <v>36656.101720000013</v>
      </c>
      <c r="BQ20" s="442">
        <f t="shared" si="16"/>
        <v>16622.383732000002</v>
      </c>
      <c r="BR20" s="442">
        <f t="shared" si="17"/>
        <v>11872.893436999984</v>
      </c>
      <c r="BS20" s="442">
        <f t="shared" si="18"/>
        <v>4840.6521182999959</v>
      </c>
      <c r="BT20" s="442">
        <f t="shared" si="19"/>
        <v>1705.0254597099995</v>
      </c>
      <c r="BU20" s="452"/>
      <c r="BV20" s="1081"/>
    </row>
    <row r="21" spans="1:74" ht="12" customHeight="1" x14ac:dyDescent="0.3">
      <c r="A21" s="448">
        <v>1974</v>
      </c>
      <c r="B21" s="442">
        <v>1350769.412</v>
      </c>
      <c r="C21" s="442">
        <v>432107.8090200001</v>
      </c>
      <c r="D21" s="442">
        <v>291599.54901999998</v>
      </c>
      <c r="E21" s="442">
        <v>126769.98985</v>
      </c>
      <c r="F21" s="442">
        <v>90512.771106</v>
      </c>
      <c r="G21" s="442">
        <v>42584.359632</v>
      </c>
      <c r="H21" s="442">
        <v>14237.126690999999</v>
      </c>
      <c r="J21" s="442">
        <f>'T-T1'!C23+'T-T1'!E23+'T-T1'!G23+'T-T1'!I23</f>
        <v>840836.58158312202</v>
      </c>
      <c r="K21" s="442">
        <v>193233.2249</v>
      </c>
      <c r="L21" s="442">
        <v>104915.9782</v>
      </c>
      <c r="M21" s="442">
        <v>25476.71286</v>
      </c>
      <c r="N21" s="442">
        <v>14651.192059999999</v>
      </c>
      <c r="O21" s="442">
        <v>4308.2079350000004</v>
      </c>
      <c r="P21" s="442">
        <v>574.16077800000005</v>
      </c>
      <c r="Q21" s="444"/>
      <c r="R21" s="442">
        <f>'T-T1'!K23+'T-T1'!L23+'T-T1'!N23+'T-T1'!O23+'T-T1'!P23+'T-T1'!Q23+'T-T1'!S23+'T-T1'!T23+'T-T1'!AG23+'T-T1'!AH23</f>
        <v>123585.73328659999</v>
      </c>
      <c r="S21" s="442">
        <v>72821.331592999995</v>
      </c>
      <c r="T21" s="442">
        <v>59106.678883</v>
      </c>
      <c r="U21" s="442">
        <v>29786.738807999998</v>
      </c>
      <c r="V21" s="442">
        <v>20457.912112999998</v>
      </c>
      <c r="W21" s="442">
        <v>8479.9554410000001</v>
      </c>
      <c r="X21" s="442">
        <v>2431.3728495999999</v>
      </c>
      <c r="Y21" s="442"/>
      <c r="Z21" s="703">
        <f>'T-T1'!AC23</f>
        <v>26874.549663000002</v>
      </c>
      <c r="AA21" s="442">
        <v>21573.277549999999</v>
      </c>
      <c r="AB21" s="442">
        <v>19792.680970000001</v>
      </c>
      <c r="AC21" s="442">
        <v>14275.11803</v>
      </c>
      <c r="AD21" s="442">
        <v>11901.20225</v>
      </c>
      <c r="AE21" s="442">
        <v>7256.0648590000001</v>
      </c>
      <c r="AF21" s="442">
        <v>2982.9219419999999</v>
      </c>
      <c r="AG21" s="442"/>
      <c r="AH21" s="703">
        <f>'T-T1'!AN23+'T-T1'!AQ23+'T-T1'!AU23</f>
        <v>46819.802559000003</v>
      </c>
      <c r="AI21" s="442">
        <v>22685.524689999998</v>
      </c>
      <c r="AJ21" s="442">
        <v>18642.220840000002</v>
      </c>
      <c r="AK21" s="442">
        <v>10518.434800000001</v>
      </c>
      <c r="AL21" s="442">
        <v>7923.5273539999998</v>
      </c>
      <c r="AM21" s="442">
        <v>3926.8674580000002</v>
      </c>
      <c r="AN21" s="442">
        <v>1270.2384970000001</v>
      </c>
      <c r="AO21" s="442"/>
      <c r="AP21" s="703">
        <f>'T-T1'!AJ23+'T-T1'!AK23+'T-T1'!AL23</f>
        <v>39701</v>
      </c>
      <c r="AQ21" s="442">
        <v>25307.336520000001</v>
      </c>
      <c r="AR21" s="442">
        <v>22433.463380000001</v>
      </c>
      <c r="AS21" s="442">
        <v>15497.85677</v>
      </c>
      <c r="AT21" s="442">
        <v>12870.41077</v>
      </c>
      <c r="AU21" s="442">
        <v>7854.7333570000001</v>
      </c>
      <c r="AV21" s="442">
        <v>3249.1633419999998</v>
      </c>
      <c r="AW21" s="442"/>
      <c r="AX21" s="703">
        <f>'T-T1'!X23+'T-T1'!Y23+'T-T1'!Z23</f>
        <v>47235</v>
      </c>
      <c r="AY21" s="442">
        <v>18916.367149999998</v>
      </c>
      <c r="AZ21" s="442">
        <v>14572.0623</v>
      </c>
      <c r="BA21" s="442">
        <v>8166.7782219999999</v>
      </c>
      <c r="BB21" s="442">
        <v>6451.3181340000001</v>
      </c>
      <c r="BC21" s="442">
        <v>3662.2399639999999</v>
      </c>
      <c r="BD21" s="442">
        <v>1435.3409730000001</v>
      </c>
      <c r="BE21" s="442"/>
      <c r="BF21" s="442">
        <f>'T-T1'!AD23+'T-T1'!AO23+'T-T1'!AR23+'T-T1'!AV23+'T-T1'!BI23+'T-T1'!BJ23</f>
        <v>74682.291078206006</v>
      </c>
      <c r="BG21" s="442">
        <v>15695.63067</v>
      </c>
      <c r="BH21" s="442">
        <v>8839.0569090000008</v>
      </c>
      <c r="BI21" s="442">
        <v>2344.1673209999999</v>
      </c>
      <c r="BJ21" s="442">
        <v>1391.159723</v>
      </c>
      <c r="BK21" s="442">
        <v>433.56663200000003</v>
      </c>
      <c r="BL21" s="442">
        <v>67.122779640000005</v>
      </c>
      <c r="BM21" s="442"/>
      <c r="BN21" s="442">
        <f t="shared" si="13"/>
        <v>151034.45383007199</v>
      </c>
      <c r="BO21" s="442">
        <f t="shared" si="14"/>
        <v>61875.115947000115</v>
      </c>
      <c r="BP21" s="442">
        <f t="shared" si="15"/>
        <v>43297.40753799997</v>
      </c>
      <c r="BQ21" s="442">
        <f t="shared" si="16"/>
        <v>20704.183039000003</v>
      </c>
      <c r="BR21" s="442">
        <f t="shared" si="17"/>
        <v>14866.048701999996</v>
      </c>
      <c r="BS21" s="442">
        <f t="shared" si="18"/>
        <v>6662.7239860000027</v>
      </c>
      <c r="BT21" s="442">
        <f t="shared" si="19"/>
        <v>2226.8055297599985</v>
      </c>
      <c r="BU21" s="452"/>
      <c r="BV21" s="1081"/>
    </row>
    <row r="22" spans="1:74" ht="12" customHeight="1" x14ac:dyDescent="0.3">
      <c r="A22" s="448">
        <v>1975</v>
      </c>
      <c r="B22" s="442">
        <v>1451147.608</v>
      </c>
      <c r="C22" s="442">
        <v>465684.72011999995</v>
      </c>
      <c r="D22" s="442">
        <v>313636.65177</v>
      </c>
      <c r="E22" s="442">
        <v>136501.69440000001</v>
      </c>
      <c r="F22" s="442">
        <v>97787.787083000003</v>
      </c>
      <c r="G22" s="442">
        <v>45636.288998999997</v>
      </c>
      <c r="H22" s="442">
        <v>15735.942179</v>
      </c>
      <c r="J22" s="442">
        <f>'T-T1'!C24+'T-T1'!E24+'T-T1'!G24+'T-T1'!I24</f>
        <v>890872.20799443754</v>
      </c>
      <c r="K22" s="442">
        <v>213057.95689999999</v>
      </c>
      <c r="L22" s="442">
        <v>116539.0757</v>
      </c>
      <c r="M22" s="442">
        <v>29423.173729999999</v>
      </c>
      <c r="N22" s="442">
        <v>17067.573359999999</v>
      </c>
      <c r="O22" s="442">
        <v>4679.6954009999999</v>
      </c>
      <c r="P22" s="442">
        <v>743.96166100000005</v>
      </c>
      <c r="Q22" s="444"/>
      <c r="R22" s="442">
        <f>'T-T1'!K24+'T-T1'!L24+'T-T1'!N24+'T-T1'!O24+'T-T1'!P24+'T-T1'!Q24+'T-T1'!S24+'T-T1'!T24+'T-T1'!AG24+'T-T1'!AH24</f>
        <v>128963.9159281</v>
      </c>
      <c r="S22" s="442">
        <v>67421.415611999997</v>
      </c>
      <c r="T22" s="442">
        <v>54927.810654000001</v>
      </c>
      <c r="U22" s="442">
        <v>27016.232201999999</v>
      </c>
      <c r="V22" s="442">
        <v>18625.207914999999</v>
      </c>
      <c r="W22" s="442">
        <v>7556.8344932999998</v>
      </c>
      <c r="X22" s="442">
        <v>2169.0937853</v>
      </c>
      <c r="Y22" s="442"/>
      <c r="Z22" s="703">
        <f>'T-T1'!AC24</f>
        <v>27878.415185999998</v>
      </c>
      <c r="AA22" s="442">
        <v>22640.088390000001</v>
      </c>
      <c r="AB22" s="442">
        <v>20611.982619999999</v>
      </c>
      <c r="AC22" s="442">
        <v>15161.12436</v>
      </c>
      <c r="AD22" s="442">
        <v>12492.076999999999</v>
      </c>
      <c r="AE22" s="442">
        <v>7486.1076869999997</v>
      </c>
      <c r="AF22" s="442">
        <v>3063.500732</v>
      </c>
      <c r="AG22" s="442"/>
      <c r="AH22" s="703">
        <f>'T-T1'!AN24+'T-T1'!AQ24+'T-T1'!AU24</f>
        <v>51907.558004999999</v>
      </c>
      <c r="AI22" s="442">
        <v>24611.747729999999</v>
      </c>
      <c r="AJ22" s="442">
        <v>19951.71069</v>
      </c>
      <c r="AK22" s="442">
        <v>11648.090550000001</v>
      </c>
      <c r="AL22" s="442">
        <v>8604.2359969999998</v>
      </c>
      <c r="AM22" s="442">
        <v>4192.5021379999998</v>
      </c>
      <c r="AN22" s="442">
        <v>1338.0183219999999</v>
      </c>
      <c r="AO22" s="442"/>
      <c r="AP22" s="703">
        <f>'T-T1'!AJ24+'T-T1'!AK24+'T-T1'!AL24</f>
        <v>54253</v>
      </c>
      <c r="AQ22" s="442">
        <v>34907.470840000002</v>
      </c>
      <c r="AR22" s="442">
        <v>30512.925770000002</v>
      </c>
      <c r="AS22" s="442">
        <v>21320.825120000001</v>
      </c>
      <c r="AT22" s="442">
        <v>17423.40927</v>
      </c>
      <c r="AU22" s="442">
        <v>10488.15043</v>
      </c>
      <c r="AV22" s="442">
        <v>4414.269886</v>
      </c>
      <c r="AW22" s="442"/>
      <c r="AX22" s="703">
        <f>'T-T1'!X24+'T-T1'!Y24+'T-T1'!Z24</f>
        <v>46264</v>
      </c>
      <c r="AY22" s="442">
        <v>19200.200659999999</v>
      </c>
      <c r="AZ22" s="442">
        <v>14722.808660000001</v>
      </c>
      <c r="BA22" s="442">
        <v>8522.1750840000004</v>
      </c>
      <c r="BB22" s="442">
        <v>6644.0539280000003</v>
      </c>
      <c r="BC22" s="442">
        <v>3724.8919340000002</v>
      </c>
      <c r="BD22" s="442">
        <v>1494.862719</v>
      </c>
      <c r="BE22" s="442"/>
      <c r="BF22" s="442">
        <f>'T-T1'!AD24+'T-T1'!AO24+'T-T1'!AR24+'T-T1'!AV24+'T-T1'!BI24+'T-T1'!BJ24</f>
        <v>90773.927690109471</v>
      </c>
      <c r="BG22" s="442">
        <v>19666.787369999998</v>
      </c>
      <c r="BH22" s="442">
        <v>11008.33476</v>
      </c>
      <c r="BI22" s="442">
        <v>2975.1363590000001</v>
      </c>
      <c r="BJ22" s="442">
        <v>1700.9372619999999</v>
      </c>
      <c r="BK22" s="442">
        <v>497.87188170000002</v>
      </c>
      <c r="BL22" s="442">
        <v>83.903152059999996</v>
      </c>
      <c r="BM22" s="442"/>
      <c r="BN22" s="442">
        <f t="shared" si="13"/>
        <v>160234.58319635299</v>
      </c>
      <c r="BO22" s="442">
        <f t="shared" si="14"/>
        <v>64179.052617999994</v>
      </c>
      <c r="BP22" s="442">
        <f t="shared" si="15"/>
        <v>45362.002916000005</v>
      </c>
      <c r="BQ22" s="442">
        <f t="shared" si="16"/>
        <v>20434.936995000007</v>
      </c>
      <c r="BR22" s="442">
        <f t="shared" si="17"/>
        <v>15230.292351000015</v>
      </c>
      <c r="BS22" s="442">
        <f t="shared" si="18"/>
        <v>7010.235034000003</v>
      </c>
      <c r="BT22" s="442">
        <f t="shared" si="19"/>
        <v>2428.3319216400005</v>
      </c>
      <c r="BU22" s="452"/>
      <c r="BV22" s="1081"/>
    </row>
    <row r="23" spans="1:74" ht="12" customHeight="1" x14ac:dyDescent="0.3">
      <c r="A23" s="448">
        <v>1976</v>
      </c>
      <c r="B23" s="442">
        <v>1614768.9053</v>
      </c>
      <c r="C23" s="442">
        <v>518232.11856600002</v>
      </c>
      <c r="D23" s="442">
        <v>348020.39501600002</v>
      </c>
      <c r="E23" s="442">
        <v>152258.504896</v>
      </c>
      <c r="F23" s="442">
        <v>109102.240383</v>
      </c>
      <c r="G23" s="442">
        <v>51655.888952000001</v>
      </c>
      <c r="H23" s="442">
        <v>18095.778566000001</v>
      </c>
      <c r="J23" s="442">
        <f>'T-T1'!C25+'T-T1'!E25+'T-T1'!G25+'T-T1'!I25</f>
        <v>991108.05251425435</v>
      </c>
      <c r="K23" s="442">
        <v>238307.0503</v>
      </c>
      <c r="L23" s="442">
        <v>130549.11810000001</v>
      </c>
      <c r="M23" s="442">
        <v>32578.36318</v>
      </c>
      <c r="N23" s="442">
        <v>18967.263770000001</v>
      </c>
      <c r="O23" s="442">
        <v>5648.2727679999998</v>
      </c>
      <c r="P23" s="442">
        <v>859.01052460000005</v>
      </c>
      <c r="Q23" s="444"/>
      <c r="R23" s="442">
        <f>'T-T1'!K25+'T-T1'!L25+'T-T1'!N25+'T-T1'!O25+'T-T1'!P25+'T-T1'!Q25+'T-T1'!S25+'T-T1'!T25+'T-T1'!AG25+'T-T1'!AH25</f>
        <v>141544.81658136999</v>
      </c>
      <c r="S23" s="442">
        <v>71540.425799999997</v>
      </c>
      <c r="T23" s="442">
        <v>57226.181552000002</v>
      </c>
      <c r="U23" s="442">
        <v>28744.307561000001</v>
      </c>
      <c r="V23" s="442">
        <v>19874.596710999998</v>
      </c>
      <c r="W23" s="442">
        <v>7956.8140209000003</v>
      </c>
      <c r="X23" s="442">
        <v>2523.2445201999999</v>
      </c>
      <c r="Y23" s="442"/>
      <c r="Z23" s="703">
        <f>'T-T1'!AC25</f>
        <v>30989.453348999999</v>
      </c>
      <c r="AA23" s="442">
        <v>25265.9532</v>
      </c>
      <c r="AB23" s="442">
        <v>23170.640329999998</v>
      </c>
      <c r="AC23" s="442">
        <v>16793.39214</v>
      </c>
      <c r="AD23" s="442">
        <v>13795.965389999999</v>
      </c>
      <c r="AE23" s="442">
        <v>8353.6861719999997</v>
      </c>
      <c r="AF23" s="442">
        <v>3387.9179939999999</v>
      </c>
      <c r="AG23" s="442"/>
      <c r="AH23" s="703">
        <f>'T-T1'!AN25+'T-T1'!AQ25+'T-T1'!AU25</f>
        <v>58689.451129000001</v>
      </c>
      <c r="AI23" s="442">
        <v>28793.663260000001</v>
      </c>
      <c r="AJ23" s="442">
        <v>23146.791300000001</v>
      </c>
      <c r="AK23" s="442">
        <v>12839.40142</v>
      </c>
      <c r="AL23" s="442">
        <v>9466.2828669999999</v>
      </c>
      <c r="AM23" s="442">
        <v>4561.5822889999999</v>
      </c>
      <c r="AN23" s="442">
        <v>1538.1224649999999</v>
      </c>
      <c r="AO23" s="442"/>
      <c r="AP23" s="703">
        <f>'T-T1'!AJ25+'T-T1'!AK25+'T-T1'!AL25</f>
        <v>70036</v>
      </c>
      <c r="AQ23" s="442">
        <v>45507.569130000003</v>
      </c>
      <c r="AR23" s="442">
        <v>39941.358769999999</v>
      </c>
      <c r="AS23" s="442">
        <v>27454.790430000001</v>
      </c>
      <c r="AT23" s="442">
        <v>22419.021990000001</v>
      </c>
      <c r="AU23" s="442">
        <v>13569.85217</v>
      </c>
      <c r="AV23" s="442">
        <v>5618.4855770000004</v>
      </c>
      <c r="AW23" s="442"/>
      <c r="AX23" s="703">
        <f>'T-T1'!X25+'T-T1'!Y25+'T-T1'!Z25</f>
        <v>59418</v>
      </c>
      <c r="AY23" s="442">
        <v>25470.91358</v>
      </c>
      <c r="AZ23" s="442">
        <v>19720.102429999999</v>
      </c>
      <c r="BA23" s="442">
        <v>11322.70091</v>
      </c>
      <c r="BB23" s="442">
        <v>8860.4071339999991</v>
      </c>
      <c r="BC23" s="442">
        <v>5030.2334330000003</v>
      </c>
      <c r="BD23" s="442">
        <v>2009.9179019999999</v>
      </c>
      <c r="BE23" s="442"/>
      <c r="BF23" s="442">
        <f>'T-T1'!AD25+'T-T1'!AO25+'T-T1'!AR25+'T-T1'!AV25+'T-T1'!BI25+'T-T1'!BJ25</f>
        <v>91516.216762717537</v>
      </c>
      <c r="BG23" s="442">
        <v>19879.015749999999</v>
      </c>
      <c r="BH23" s="442">
        <v>11149.62945</v>
      </c>
      <c r="BI23" s="442">
        <v>3020.6614410000002</v>
      </c>
      <c r="BJ23" s="442">
        <v>1768.5598219999999</v>
      </c>
      <c r="BK23" s="442">
        <v>531.03403030000004</v>
      </c>
      <c r="BL23" s="442">
        <v>86.464713709999998</v>
      </c>
      <c r="BM23" s="442"/>
      <c r="BN23" s="442">
        <f t="shared" si="13"/>
        <v>171466.91496365814</v>
      </c>
      <c r="BO23" s="442">
        <f t="shared" si="14"/>
        <v>63467.527546000019</v>
      </c>
      <c r="BP23" s="442">
        <f t="shared" si="15"/>
        <v>43116.573084000011</v>
      </c>
      <c r="BQ23" s="442">
        <f t="shared" si="16"/>
        <v>19504.887813999991</v>
      </c>
      <c r="BR23" s="442">
        <f t="shared" si="17"/>
        <v>13950.142698999987</v>
      </c>
      <c r="BS23" s="442">
        <f t="shared" si="18"/>
        <v>6004.4140688000007</v>
      </c>
      <c r="BT23" s="442">
        <f t="shared" si="19"/>
        <v>2072.6148694900021</v>
      </c>
      <c r="BU23" s="452"/>
      <c r="BV23" s="1081"/>
    </row>
    <row r="24" spans="1:74" ht="12" customHeight="1" x14ac:dyDescent="0.3">
      <c r="A24" s="448">
        <v>1977</v>
      </c>
      <c r="B24" s="442">
        <v>1798653.4867</v>
      </c>
      <c r="C24" s="442">
        <v>573336.10544700001</v>
      </c>
      <c r="D24" s="442">
        <v>387603.88048700005</v>
      </c>
      <c r="E24" s="442">
        <v>170690.910237</v>
      </c>
      <c r="F24" s="442">
        <v>123059.03563199998</v>
      </c>
      <c r="G24" s="442">
        <v>58480.979991999993</v>
      </c>
      <c r="H24" s="442">
        <v>20602.801869999999</v>
      </c>
      <c r="J24" s="442">
        <f>'T-T1'!C26+'T-T1'!E26+'T-T1'!G26+'T-T1'!I26</f>
        <v>1100884.3048168714</v>
      </c>
      <c r="K24" s="442">
        <v>263013.39799999999</v>
      </c>
      <c r="L24" s="442">
        <v>145075.58619999999</v>
      </c>
      <c r="M24" s="442">
        <v>37341.829160000001</v>
      </c>
      <c r="N24" s="442">
        <v>21950.075440000001</v>
      </c>
      <c r="O24" s="442">
        <v>6525.7847430000002</v>
      </c>
      <c r="P24" s="442">
        <v>1017.0011500000001</v>
      </c>
      <c r="Q24" s="444"/>
      <c r="R24" s="442">
        <f>'T-T1'!K26+'T-T1'!L26+'T-T1'!N26+'T-T1'!O26+'T-T1'!P26+'T-T1'!Q26+'T-T1'!S26+'T-T1'!T26+'T-T1'!AG26+'T-T1'!AH26</f>
        <v>155624.2995696</v>
      </c>
      <c r="S24" s="442">
        <v>78555.811142000006</v>
      </c>
      <c r="T24" s="442">
        <v>63224.603223999999</v>
      </c>
      <c r="U24" s="442">
        <v>31094.982301</v>
      </c>
      <c r="V24" s="442">
        <v>21503.111145999999</v>
      </c>
      <c r="W24" s="442">
        <v>8997.3329933000005</v>
      </c>
      <c r="X24" s="442">
        <v>2789.6527368000002</v>
      </c>
      <c r="Y24" s="442"/>
      <c r="Z24" s="703">
        <f>'T-T1'!AC26</f>
        <v>33715.975324999999</v>
      </c>
      <c r="AA24" s="442">
        <v>27204.871179999998</v>
      </c>
      <c r="AB24" s="442">
        <v>24965.594290000001</v>
      </c>
      <c r="AC24" s="442">
        <v>18056.873790000001</v>
      </c>
      <c r="AD24" s="442">
        <v>14891.582350000001</v>
      </c>
      <c r="AE24" s="442">
        <v>8985.2443870000006</v>
      </c>
      <c r="AF24" s="442">
        <v>3706.425956</v>
      </c>
      <c r="AG24" s="442"/>
      <c r="AH24" s="703">
        <f>'T-T1'!AN26+'T-T1'!AQ26+'T-T1'!AU26</f>
        <v>65876.532636000004</v>
      </c>
      <c r="AI24" s="442">
        <v>30276.761040000001</v>
      </c>
      <c r="AJ24" s="442">
        <v>24425.07905</v>
      </c>
      <c r="AK24" s="442">
        <v>13784.16634</v>
      </c>
      <c r="AL24" s="442">
        <v>10220.819750000001</v>
      </c>
      <c r="AM24" s="442">
        <v>5072.6293489999998</v>
      </c>
      <c r="AN24" s="442">
        <v>1654.1272630000001</v>
      </c>
      <c r="AO24" s="442"/>
      <c r="AP24" s="703">
        <f>'T-T1'!AJ26+'T-T1'!AK26+'T-T1'!AL26</f>
        <v>86572.999999999985</v>
      </c>
      <c r="AQ24" s="442">
        <v>55014.551760000002</v>
      </c>
      <c r="AR24" s="442">
        <v>48164.99037</v>
      </c>
      <c r="AS24" s="442">
        <v>32947.136530000003</v>
      </c>
      <c r="AT24" s="442">
        <v>26969.79738</v>
      </c>
      <c r="AU24" s="442">
        <v>16253.229789999999</v>
      </c>
      <c r="AV24" s="442">
        <v>6866.390641</v>
      </c>
      <c r="AW24" s="442"/>
      <c r="AX24" s="703">
        <f>'T-T1'!X26+'T-T1'!Y26+'T-T1'!Z26</f>
        <v>68504</v>
      </c>
      <c r="AY24" s="442">
        <v>27565.29034</v>
      </c>
      <c r="AZ24" s="442">
        <v>21003.676950000001</v>
      </c>
      <c r="BA24" s="442">
        <v>11757.546609999999</v>
      </c>
      <c r="BB24" s="442">
        <v>9154.9185629999993</v>
      </c>
      <c r="BC24" s="442">
        <v>5125.3221590000003</v>
      </c>
      <c r="BD24" s="442">
        <v>2057.295505</v>
      </c>
      <c r="BE24" s="442"/>
      <c r="BF24" s="442">
        <f>'T-T1'!AD26+'T-T1'!AO26+'T-T1'!AR26+'T-T1'!AV26+'T-T1'!BI26+'T-T1'!BJ26</f>
        <v>110119.81610073654</v>
      </c>
      <c r="BG24" s="442">
        <v>23333.25893</v>
      </c>
      <c r="BH24" s="442">
        <v>13499.50181</v>
      </c>
      <c r="BI24" s="442">
        <v>3672.9741100000001</v>
      </c>
      <c r="BJ24" s="442">
        <v>2138.2517680000001</v>
      </c>
      <c r="BK24" s="442">
        <v>643.00371189999998</v>
      </c>
      <c r="BL24" s="442">
        <v>99.801152930000001</v>
      </c>
      <c r="BM24" s="442"/>
      <c r="BN24" s="442">
        <f t="shared" si="13"/>
        <v>177355.55825179198</v>
      </c>
      <c r="BO24" s="442">
        <f t="shared" si="14"/>
        <v>68372.163054999997</v>
      </c>
      <c r="BP24" s="442">
        <f t="shared" si="15"/>
        <v>47244.848593000053</v>
      </c>
      <c r="BQ24" s="442">
        <f t="shared" si="16"/>
        <v>22035.401396000019</v>
      </c>
      <c r="BR24" s="442">
        <f t="shared" si="17"/>
        <v>16230.47923499999</v>
      </c>
      <c r="BS24" s="442">
        <f t="shared" si="18"/>
        <v>6878.4328588000008</v>
      </c>
      <c r="BT24" s="442">
        <f t="shared" si="19"/>
        <v>2412.1074652700008</v>
      </c>
      <c r="BU24" s="452"/>
      <c r="BV24" s="1081"/>
    </row>
    <row r="25" spans="1:74" ht="12" customHeight="1" x14ac:dyDescent="0.3">
      <c r="A25" s="448">
        <v>1978</v>
      </c>
      <c r="B25" s="442">
        <v>2029937.6701</v>
      </c>
      <c r="C25" s="442">
        <v>645275.90276799991</v>
      </c>
      <c r="D25" s="442">
        <v>433814.30473799998</v>
      </c>
      <c r="E25" s="442">
        <v>190673.48276799999</v>
      </c>
      <c r="F25" s="442">
        <v>137574.961216</v>
      </c>
      <c r="G25" s="442">
        <v>65795.854642999999</v>
      </c>
      <c r="H25" s="442">
        <v>22945.224726</v>
      </c>
      <c r="J25" s="442">
        <f>'T-T1'!C27+'T-T1'!E27+'T-T1'!G27+'T-T1'!I27</f>
        <v>1246720.0971703923</v>
      </c>
      <c r="K25" s="442">
        <v>300329.97700000001</v>
      </c>
      <c r="L25" s="442">
        <v>167768.7635</v>
      </c>
      <c r="M25" s="442">
        <v>45300.038970000001</v>
      </c>
      <c r="N25" s="442">
        <v>26566.555619999999</v>
      </c>
      <c r="O25" s="442">
        <v>7863.7681309999998</v>
      </c>
      <c r="P25" s="442">
        <v>1306.520992</v>
      </c>
      <c r="Q25" s="444"/>
      <c r="R25" s="442">
        <f>'T-T1'!K27+'T-T1'!L27+'T-T1'!N27+'T-T1'!O27+'T-T1'!P27+'T-T1'!Q27+'T-T1'!S27+'T-T1'!T27+'T-T1'!AG27+'T-T1'!AH27</f>
        <v>177996.4104354</v>
      </c>
      <c r="S25" s="442">
        <v>88526.087543999995</v>
      </c>
      <c r="T25" s="442">
        <v>70146.586817000003</v>
      </c>
      <c r="U25" s="442">
        <v>34191.422185000003</v>
      </c>
      <c r="V25" s="442">
        <v>24003.771374</v>
      </c>
      <c r="W25" s="442">
        <v>10511.22251</v>
      </c>
      <c r="X25" s="442">
        <v>3315.216038</v>
      </c>
      <c r="Y25" s="442"/>
      <c r="Z25" s="703">
        <f>'T-T1'!AC27</f>
        <v>37619.598560999999</v>
      </c>
      <c r="AA25" s="442">
        <v>30113.862099999998</v>
      </c>
      <c r="AB25" s="442">
        <v>27328.734830000001</v>
      </c>
      <c r="AC25" s="442">
        <v>19908.625540000001</v>
      </c>
      <c r="AD25" s="442">
        <v>16509.819670000001</v>
      </c>
      <c r="AE25" s="442">
        <v>10074.099840000001</v>
      </c>
      <c r="AF25" s="442">
        <v>4210.4775380000001</v>
      </c>
      <c r="AG25" s="442"/>
      <c r="AH25" s="703">
        <f>'T-T1'!AN27+'T-T1'!AQ27+'T-T1'!AU27</f>
        <v>73642.821899999995</v>
      </c>
      <c r="AI25" s="442">
        <v>33341.39415</v>
      </c>
      <c r="AJ25" s="442">
        <v>26415.347849999998</v>
      </c>
      <c r="AK25" s="442">
        <v>14867.368899999999</v>
      </c>
      <c r="AL25" s="442">
        <v>11438.257750000001</v>
      </c>
      <c r="AM25" s="442">
        <v>5875.3317989999996</v>
      </c>
      <c r="AN25" s="442">
        <v>1975.7627030000001</v>
      </c>
      <c r="AO25" s="442"/>
      <c r="AP25" s="703">
        <f>'T-T1'!AJ27+'T-T1'!AK27+'T-T1'!AL27</f>
        <v>102918</v>
      </c>
      <c r="AQ25" s="442">
        <v>63251.857369999998</v>
      </c>
      <c r="AR25" s="442">
        <v>54434.966840000001</v>
      </c>
      <c r="AS25" s="442">
        <v>37244.201309999997</v>
      </c>
      <c r="AT25" s="442">
        <v>30535.245930000001</v>
      </c>
      <c r="AU25" s="442">
        <v>18431.64414</v>
      </c>
      <c r="AV25" s="442">
        <v>7669.1516799999999</v>
      </c>
      <c r="AW25" s="442"/>
      <c r="AX25" s="703">
        <f>'T-T1'!X27+'T-T1'!Y27+'T-T1'!Z27</f>
        <v>77852</v>
      </c>
      <c r="AY25" s="442">
        <v>30417.07633</v>
      </c>
      <c r="AZ25" s="442">
        <v>22737.112509999999</v>
      </c>
      <c r="BA25" s="442">
        <v>12570.656429999999</v>
      </c>
      <c r="BB25" s="442">
        <v>9810.6585279999999</v>
      </c>
      <c r="BC25" s="442">
        <v>5471.0773950000003</v>
      </c>
      <c r="BD25" s="442">
        <v>2161.0473440000001</v>
      </c>
      <c r="BE25" s="442"/>
      <c r="BF25" s="442">
        <f>'T-T1'!AD27+'T-T1'!AO27+'T-T1'!AR27+'T-T1'!AV27+'T-T1'!BI27+'T-T1'!BJ27</f>
        <v>121495.73473961983</v>
      </c>
      <c r="BG25" s="442">
        <v>25949.967909999999</v>
      </c>
      <c r="BH25" s="442">
        <v>14848.76511</v>
      </c>
      <c r="BI25" s="442">
        <v>4076.725363</v>
      </c>
      <c r="BJ25" s="442">
        <v>2392.6278670000002</v>
      </c>
      <c r="BK25" s="442">
        <v>737.24420120000002</v>
      </c>
      <c r="BL25" s="442">
        <v>120.9448106</v>
      </c>
      <c r="BM25" s="442"/>
      <c r="BN25" s="442">
        <f t="shared" si="13"/>
        <v>191693.00729358796</v>
      </c>
      <c r="BO25" s="442">
        <f t="shared" si="14"/>
        <v>73345.680363999883</v>
      </c>
      <c r="BP25" s="442">
        <f t="shared" si="15"/>
        <v>50134.027280999973</v>
      </c>
      <c r="BQ25" s="442">
        <f t="shared" si="16"/>
        <v>22514.444069999983</v>
      </c>
      <c r="BR25" s="442">
        <f t="shared" si="17"/>
        <v>16318.024476999992</v>
      </c>
      <c r="BS25" s="442">
        <f t="shared" si="18"/>
        <v>6831.4666267999992</v>
      </c>
      <c r="BT25" s="442">
        <f t="shared" si="19"/>
        <v>2186.1036204000006</v>
      </c>
      <c r="BU25" s="452"/>
      <c r="BV25" s="1081"/>
    </row>
    <row r="26" spans="1:74" ht="12" customHeight="1" x14ac:dyDescent="0.3">
      <c r="A26" s="448">
        <v>1979</v>
      </c>
      <c r="B26" s="442">
        <v>2248152.8843</v>
      </c>
      <c r="C26" s="442">
        <v>715651.42932700005</v>
      </c>
      <c r="D26" s="442">
        <v>483373.72277699999</v>
      </c>
      <c r="E26" s="442">
        <v>213349.67902699998</v>
      </c>
      <c r="F26" s="442">
        <v>154637.82204900001</v>
      </c>
      <c r="G26" s="442">
        <v>75201.931634000008</v>
      </c>
      <c r="H26" s="442">
        <v>27116.566199000001</v>
      </c>
      <c r="J26" s="442">
        <f>'T-T1'!C28+'T-T1'!E28+'T-T1'!G28+'T-T1'!I28</f>
        <v>1398395.2229331022</v>
      </c>
      <c r="K26" s="442">
        <v>339509.4227</v>
      </c>
      <c r="L26" s="442">
        <v>190282.7402</v>
      </c>
      <c r="M26" s="442">
        <v>52016.260820000003</v>
      </c>
      <c r="N26" s="442">
        <v>30971.334729999999</v>
      </c>
      <c r="O26" s="442">
        <v>9575.0436890000001</v>
      </c>
      <c r="P26" s="442">
        <v>1650.8287700000001</v>
      </c>
      <c r="Q26" s="444"/>
      <c r="R26" s="442">
        <f>'T-T1'!K28+'T-T1'!L28+'T-T1'!N28+'T-T1'!O28+'T-T1'!P28+'T-T1'!Q28+'T-T1'!S28+'T-T1'!T28+'T-T1'!AG28+'T-T1'!AH28</f>
        <v>192407.77637757</v>
      </c>
      <c r="S26" s="442">
        <v>94964.770109000005</v>
      </c>
      <c r="T26" s="442">
        <v>76798.513552000004</v>
      </c>
      <c r="U26" s="442">
        <v>38565.211885999997</v>
      </c>
      <c r="V26" s="442">
        <v>27178.725350000001</v>
      </c>
      <c r="W26" s="442">
        <v>11873.78764</v>
      </c>
      <c r="X26" s="442">
        <v>3953.1559238</v>
      </c>
      <c r="Y26" s="442"/>
      <c r="Z26" s="703">
        <f>'T-T1'!AC28</f>
        <v>40599.964314999997</v>
      </c>
      <c r="AA26" s="442">
        <v>32536.797009999998</v>
      </c>
      <c r="AB26" s="442">
        <v>29739.273420000001</v>
      </c>
      <c r="AC26" s="442">
        <v>21625.328140000001</v>
      </c>
      <c r="AD26" s="442">
        <v>17949.69356</v>
      </c>
      <c r="AE26" s="442">
        <v>10964.11526</v>
      </c>
      <c r="AF26" s="442">
        <v>4561.3875600000001</v>
      </c>
      <c r="AG26" s="442"/>
      <c r="AH26" s="703">
        <f>'T-T1'!AN28+'T-T1'!AQ28+'T-T1'!AU28</f>
        <v>88625.324290000004</v>
      </c>
      <c r="AI26" s="442">
        <v>39651.418360000003</v>
      </c>
      <c r="AJ26" s="442">
        <v>31904.025280000002</v>
      </c>
      <c r="AK26" s="442">
        <v>18041.440040000001</v>
      </c>
      <c r="AL26" s="442">
        <v>13643.826929999999</v>
      </c>
      <c r="AM26" s="442">
        <v>6959.027231</v>
      </c>
      <c r="AN26" s="442">
        <v>2332.9051690000001</v>
      </c>
      <c r="AO26" s="442"/>
      <c r="AP26" s="703">
        <f>'T-T1'!AJ28+'T-T1'!AK28+'T-T1'!AL28</f>
        <v>101444</v>
      </c>
      <c r="AQ26" s="442">
        <v>62797.206319999998</v>
      </c>
      <c r="AR26" s="442">
        <v>54707.72047</v>
      </c>
      <c r="AS26" s="442">
        <v>38047.375780000002</v>
      </c>
      <c r="AT26" s="442">
        <v>31569.200430000001</v>
      </c>
      <c r="AU26" s="442">
        <v>19572.424009999999</v>
      </c>
      <c r="AV26" s="442">
        <v>8558.034087</v>
      </c>
      <c r="AW26" s="442"/>
      <c r="AX26" s="703">
        <f>'T-T1'!X28+'T-T1'!Y28+'T-T1'!Z28</f>
        <v>80737</v>
      </c>
      <c r="AY26" s="442">
        <v>31878.6276</v>
      </c>
      <c r="AZ26" s="442">
        <v>24203.005160000001</v>
      </c>
      <c r="BA26" s="442">
        <v>13701.02541</v>
      </c>
      <c r="BB26" s="442">
        <v>10786.910459999999</v>
      </c>
      <c r="BC26" s="442">
        <v>6168.040207</v>
      </c>
      <c r="BD26" s="442">
        <v>2550.6621770000002</v>
      </c>
      <c r="BE26" s="442"/>
      <c r="BF26" s="442">
        <f>'T-T1'!AD28+'T-T1'!AO28+'T-T1'!AR28+'T-T1'!AV28+'T-T1'!BI28+'T-T1'!BJ28</f>
        <v>140389.4622336723</v>
      </c>
      <c r="BG26" s="442">
        <v>30377.253239999998</v>
      </c>
      <c r="BH26" s="442">
        <v>17475.073530000001</v>
      </c>
      <c r="BI26" s="442">
        <v>4911.955414</v>
      </c>
      <c r="BJ26" s="442">
        <v>2914.7212979999999</v>
      </c>
      <c r="BK26" s="442">
        <v>920.37673770000004</v>
      </c>
      <c r="BL26" s="442">
        <v>156.98074560000001</v>
      </c>
      <c r="BM26" s="442"/>
      <c r="BN26" s="442">
        <f t="shared" si="13"/>
        <v>205554.13415065556</v>
      </c>
      <c r="BO26" s="442">
        <f t="shared" si="14"/>
        <v>83935.933988000004</v>
      </c>
      <c r="BP26" s="442">
        <f t="shared" si="15"/>
        <v>58263.371164999982</v>
      </c>
      <c r="BQ26" s="442">
        <f t="shared" si="16"/>
        <v>26441.081536999973</v>
      </c>
      <c r="BR26" s="442">
        <f t="shared" si="17"/>
        <v>19623.409291000022</v>
      </c>
      <c r="BS26" s="442">
        <f t="shared" si="18"/>
        <v>9169.1168593000093</v>
      </c>
      <c r="BT26" s="442">
        <f t="shared" si="19"/>
        <v>3352.6117666000009</v>
      </c>
      <c r="BU26" s="452"/>
      <c r="BV26" s="1081"/>
    </row>
    <row r="27" spans="1:74" ht="12" customHeight="1" x14ac:dyDescent="0.3">
      <c r="A27" s="448">
        <v>1980</v>
      </c>
      <c r="B27" s="442">
        <v>2426754.0954999998</v>
      </c>
      <c r="C27" s="442">
        <v>776197.69566700002</v>
      </c>
      <c r="D27" s="442">
        <v>520992.19027700007</v>
      </c>
      <c r="E27" s="442">
        <v>224753.00480699996</v>
      </c>
      <c r="F27" s="442">
        <v>161321.68895699998</v>
      </c>
      <c r="G27" s="442">
        <v>76694.715708999996</v>
      </c>
      <c r="H27" s="442">
        <v>27001.944244999999</v>
      </c>
      <c r="J27" s="442">
        <f>'T-T1'!C29+'T-T1'!E29+'T-T1'!G29+'T-T1'!I29</f>
        <v>1533896.3592612371</v>
      </c>
      <c r="K27" s="442">
        <v>391191.73849999998</v>
      </c>
      <c r="L27" s="442">
        <v>222597.44709999999</v>
      </c>
      <c r="M27" s="442">
        <v>61743.389600000002</v>
      </c>
      <c r="N27" s="442">
        <v>37240.56755</v>
      </c>
      <c r="O27" s="442">
        <v>12045.862709999999</v>
      </c>
      <c r="P27" s="442">
        <v>2262.509685</v>
      </c>
      <c r="Q27" s="444"/>
      <c r="R27" s="442">
        <f>'T-T1'!K29+'T-T1'!L29+'T-T1'!N29+'T-T1'!O29+'T-T1'!P29+'T-T1'!Q29+'T-T1'!S29+'T-T1'!T29+'T-T1'!AG29+'T-T1'!AH29</f>
        <v>185957.51524267902</v>
      </c>
      <c r="S27" s="442">
        <v>89774.014551</v>
      </c>
      <c r="T27" s="442">
        <v>72436.070758000002</v>
      </c>
      <c r="U27" s="442">
        <v>37640.334376999999</v>
      </c>
      <c r="V27" s="442">
        <v>27087.573464000001</v>
      </c>
      <c r="W27" s="442">
        <v>12369.744277</v>
      </c>
      <c r="X27" s="442">
        <v>4271.7750365000002</v>
      </c>
      <c r="Y27" s="442"/>
      <c r="Z27" s="703">
        <f>'T-T1'!AC29</f>
        <v>46771.313756000003</v>
      </c>
      <c r="AA27" s="442">
        <v>36470.767720000003</v>
      </c>
      <c r="AB27" s="442">
        <v>33325.072500000002</v>
      </c>
      <c r="AC27" s="442">
        <v>23961.39717</v>
      </c>
      <c r="AD27" s="442">
        <v>19552.442299999999</v>
      </c>
      <c r="AE27" s="442">
        <v>11545.711079999999</v>
      </c>
      <c r="AF27" s="442">
        <v>4923.5115960000003</v>
      </c>
      <c r="AG27" s="442"/>
      <c r="AH27" s="703">
        <f>'T-T1'!AN29+'T-T1'!AQ29+'T-T1'!AU29</f>
        <v>118054.44169599999</v>
      </c>
      <c r="AI27" s="442">
        <v>50620.109179999999</v>
      </c>
      <c r="AJ27" s="442">
        <v>39925.626349999999</v>
      </c>
      <c r="AK27" s="442">
        <v>21796.256700000002</v>
      </c>
      <c r="AL27" s="442">
        <v>16515.991160000001</v>
      </c>
      <c r="AM27" s="442">
        <v>8360.4702460000008</v>
      </c>
      <c r="AN27" s="442">
        <v>2857.6691919999998</v>
      </c>
      <c r="AO27" s="442"/>
      <c r="AP27" s="703">
        <f>'T-T1'!AJ29+'T-T1'!AK29+'T-T1'!AL29</f>
        <v>72300</v>
      </c>
      <c r="AQ27" s="442">
        <v>44525.637920000001</v>
      </c>
      <c r="AR27" s="442">
        <v>38910.274290000001</v>
      </c>
      <c r="AS27" s="442">
        <v>26748.809310000001</v>
      </c>
      <c r="AT27" s="442">
        <v>21842.42958</v>
      </c>
      <c r="AU27" s="442">
        <v>13081.78973</v>
      </c>
      <c r="AV27" s="442">
        <v>5670.4403739999998</v>
      </c>
      <c r="AW27" s="442"/>
      <c r="AX27" s="703">
        <f>'T-T1'!X29+'T-T1'!Y29+'T-T1'!Z29</f>
        <v>75484.000000000015</v>
      </c>
      <c r="AY27" s="442">
        <v>30721.968130000001</v>
      </c>
      <c r="AZ27" s="442">
        <v>23493.701120000002</v>
      </c>
      <c r="BA27" s="442">
        <v>13301.135190000001</v>
      </c>
      <c r="BB27" s="442">
        <v>10395.652609999999</v>
      </c>
      <c r="BC27" s="442">
        <v>5811.3754570000001</v>
      </c>
      <c r="BD27" s="442">
        <v>2398.2199350000001</v>
      </c>
      <c r="BE27" s="442"/>
      <c r="BF27" s="442">
        <f>'T-T1'!AD29+'T-T1'!AO29+'T-T1'!AR29+'T-T1'!AV29+'T-T1'!BI29+'T-T1'!BJ29</f>
        <v>165715.14248603373</v>
      </c>
      <c r="BG27" s="442">
        <v>37535.705410000002</v>
      </c>
      <c r="BH27" s="442">
        <v>21790.589540000001</v>
      </c>
      <c r="BI27" s="442">
        <v>6305.2718020000002</v>
      </c>
      <c r="BJ27" s="442">
        <v>3755.4870329999999</v>
      </c>
      <c r="BK27" s="442">
        <v>1201.134843</v>
      </c>
      <c r="BL27" s="442">
        <v>226.95208589999999</v>
      </c>
      <c r="BM27" s="442"/>
      <c r="BN27" s="442">
        <f t="shared" si="13"/>
        <v>228575.32305804989</v>
      </c>
      <c r="BO27" s="442">
        <f t="shared" si="14"/>
        <v>95357.754256000073</v>
      </c>
      <c r="BP27" s="442">
        <f t="shared" si="15"/>
        <v>68513.408619000053</v>
      </c>
      <c r="BQ27" s="442">
        <f t="shared" si="16"/>
        <v>33256.410657999979</v>
      </c>
      <c r="BR27" s="442">
        <f t="shared" si="17"/>
        <v>24931.545259999973</v>
      </c>
      <c r="BS27" s="442">
        <f t="shared" si="18"/>
        <v>12278.627365999995</v>
      </c>
      <c r="BT27" s="442">
        <f t="shared" si="19"/>
        <v>4390.8663405999987</v>
      </c>
      <c r="BU27" s="452"/>
      <c r="BV27" s="1081"/>
    </row>
    <row r="28" spans="1:74" ht="12" customHeight="1" x14ac:dyDescent="0.3">
      <c r="A28" s="448">
        <v>1981</v>
      </c>
      <c r="B28" s="442">
        <v>2722132.7376000001</v>
      </c>
      <c r="C28" s="442">
        <v>864570.81051100011</v>
      </c>
      <c r="D28" s="442">
        <v>576027.26621100004</v>
      </c>
      <c r="E28" s="442">
        <v>242983.54668099998</v>
      </c>
      <c r="F28" s="442">
        <v>173210.82381700003</v>
      </c>
      <c r="G28" s="442">
        <v>81722.372425000009</v>
      </c>
      <c r="H28" s="442">
        <v>28569.25288</v>
      </c>
      <c r="J28" s="442">
        <f>'T-T1'!C30+'T-T1'!E30+'T-T1'!G30+'T-T1'!I30</f>
        <v>1696884.3875956591</v>
      </c>
      <c r="K28" s="442">
        <v>434231.07939999999</v>
      </c>
      <c r="L28" s="442">
        <v>245197.11600000001</v>
      </c>
      <c r="M28" s="442">
        <v>69545.972129999995</v>
      </c>
      <c r="N28" s="442">
        <v>42458.166709999998</v>
      </c>
      <c r="O28" s="442">
        <v>13832.28781</v>
      </c>
      <c r="P28" s="442">
        <v>2676.8033540000001</v>
      </c>
      <c r="Q28" s="444"/>
      <c r="R28" s="442">
        <f>'T-T1'!K30+'T-T1'!L30+'T-T1'!N30+'T-T1'!O30+'T-T1'!P30+'T-T1'!Q30+'T-T1'!S30+'T-T1'!T30+'T-T1'!AG30+'T-T1'!AH30</f>
        <v>198785</v>
      </c>
      <c r="S28" s="442">
        <v>93076.447077999997</v>
      </c>
      <c r="T28" s="442">
        <v>75349.221393999993</v>
      </c>
      <c r="U28" s="442">
        <v>39513.880444000002</v>
      </c>
      <c r="V28" s="442">
        <v>28591.025217999999</v>
      </c>
      <c r="W28" s="442">
        <v>13799.867048</v>
      </c>
      <c r="X28" s="442">
        <v>5036.1027966000001</v>
      </c>
      <c r="Y28" s="442"/>
      <c r="Z28" s="703">
        <f>'T-T1'!AC30</f>
        <v>59252.195582</v>
      </c>
      <c r="AA28" s="442">
        <v>43409.749109999997</v>
      </c>
      <c r="AB28" s="442">
        <v>38827.045449999998</v>
      </c>
      <c r="AC28" s="442">
        <v>25821.49856</v>
      </c>
      <c r="AD28" s="442">
        <v>20631.337820000001</v>
      </c>
      <c r="AE28" s="442">
        <v>12006.651159999999</v>
      </c>
      <c r="AF28" s="442">
        <v>5151.8933429999997</v>
      </c>
      <c r="AG28" s="442"/>
      <c r="AH28" s="703">
        <f>'T-T1'!AN30+'T-T1'!AQ30+'T-T1'!AU30</f>
        <v>158449.75961100002</v>
      </c>
      <c r="AI28" s="442">
        <v>70473.202170000004</v>
      </c>
      <c r="AJ28" s="442">
        <v>55219.301180000002</v>
      </c>
      <c r="AK28" s="442">
        <v>29533.23084</v>
      </c>
      <c r="AL28" s="442">
        <v>22036.103780000001</v>
      </c>
      <c r="AM28" s="442">
        <v>11353.35736</v>
      </c>
      <c r="AN28" s="442">
        <v>3970.4697259999998</v>
      </c>
      <c r="AO28" s="442"/>
      <c r="AP28" s="703">
        <f>'T-T1'!AJ30+'T-T1'!AK30+'T-T1'!AL30</f>
        <v>89399</v>
      </c>
      <c r="AQ28" s="442">
        <v>51367.739280000002</v>
      </c>
      <c r="AR28" s="442">
        <v>43749.169410000002</v>
      </c>
      <c r="AS28" s="442">
        <v>28506.544610000001</v>
      </c>
      <c r="AT28" s="442">
        <v>23083.066149999999</v>
      </c>
      <c r="AU28" s="442">
        <v>13786.695170000001</v>
      </c>
      <c r="AV28" s="442">
        <v>6024.3663200000001</v>
      </c>
      <c r="AW28" s="442"/>
      <c r="AX28" s="703">
        <f>'T-T1'!X30+'T-T1'!Y30+'T-T1'!Z30</f>
        <v>70315</v>
      </c>
      <c r="AY28" s="442">
        <v>26826.945070000002</v>
      </c>
      <c r="AZ28" s="442">
        <v>19790.440180000001</v>
      </c>
      <c r="BA28" s="442">
        <v>10464.84137</v>
      </c>
      <c r="BB28" s="442">
        <v>8029.5763619999998</v>
      </c>
      <c r="BC28" s="442">
        <v>4412.0698410000005</v>
      </c>
      <c r="BD28" s="442">
        <v>1812.274093</v>
      </c>
      <c r="BE28" s="442"/>
      <c r="BF28" s="442">
        <f>'T-T1'!AD30+'T-T1'!AO30+'T-T1'!AR30+'T-T1'!AV30+'T-T1'!BI30+'T-T1'!BJ30</f>
        <v>178609.15639208167</v>
      </c>
      <c r="BG28" s="442">
        <v>39748.101150000002</v>
      </c>
      <c r="BH28" s="442">
        <v>22836.78513</v>
      </c>
      <c r="BI28" s="442">
        <v>6379.8430040000003</v>
      </c>
      <c r="BJ28" s="442">
        <v>3835.6395859999998</v>
      </c>
      <c r="BK28" s="442">
        <v>1213.344654</v>
      </c>
      <c r="BL28" s="442">
        <v>237.26487159999999</v>
      </c>
      <c r="BM28" s="442"/>
      <c r="BN28" s="442">
        <f t="shared" si="13"/>
        <v>270438.23841925943</v>
      </c>
      <c r="BO28" s="442">
        <f t="shared" si="14"/>
        <v>105437.54725300014</v>
      </c>
      <c r="BP28" s="442">
        <f t="shared" si="15"/>
        <v>75058.187466999982</v>
      </c>
      <c r="BQ28" s="442">
        <f t="shared" si="16"/>
        <v>33217.735722999947</v>
      </c>
      <c r="BR28" s="442">
        <f t="shared" si="17"/>
        <v>24545.908191000035</v>
      </c>
      <c r="BS28" s="442">
        <f t="shared" si="18"/>
        <v>11318.099382000011</v>
      </c>
      <c r="BT28" s="442">
        <f t="shared" si="19"/>
        <v>3660.0783758000011</v>
      </c>
      <c r="BU28" s="452"/>
      <c r="BV28" s="1081"/>
    </row>
    <row r="29" spans="1:74" ht="12" customHeight="1" x14ac:dyDescent="0.3">
      <c r="A29" s="448">
        <v>1982</v>
      </c>
      <c r="B29" s="442">
        <v>2840413.7584000002</v>
      </c>
      <c r="C29" s="442">
        <v>912957.641176</v>
      </c>
      <c r="D29" s="442">
        <v>605704.22542600008</v>
      </c>
      <c r="E29" s="442">
        <v>256777.94206599999</v>
      </c>
      <c r="F29" s="442">
        <v>184774.24525400001</v>
      </c>
      <c r="G29" s="442">
        <v>89927.917117999998</v>
      </c>
      <c r="H29" s="442">
        <v>32412.434324999998</v>
      </c>
      <c r="J29" s="442">
        <f>'T-T1'!C31+'T-T1'!E31+'T-T1'!G31+'T-T1'!I31</f>
        <v>1774031.820775321</v>
      </c>
      <c r="K29" s="442">
        <v>488132.05930000002</v>
      </c>
      <c r="L29" s="442">
        <v>277894.51510000002</v>
      </c>
      <c r="M29" s="442">
        <v>81503.627640000006</v>
      </c>
      <c r="N29" s="442">
        <v>50290.529949999996</v>
      </c>
      <c r="O29" s="442">
        <v>16084.34799</v>
      </c>
      <c r="P29" s="442">
        <v>3209.968809</v>
      </c>
      <c r="Q29" s="444"/>
      <c r="R29" s="442">
        <f>'T-T1'!K31+'T-T1'!L31+'T-T1'!N31+'T-T1'!O31+'T-T1'!P31+'T-T1'!Q31+'T-T1'!S31+'T-T1'!T31+'T-T1'!AG31+'T-T1'!AH31</f>
        <v>200352.55987612999</v>
      </c>
      <c r="S29" s="442">
        <v>91669.367010000002</v>
      </c>
      <c r="T29" s="442">
        <v>75333.219530000002</v>
      </c>
      <c r="U29" s="442">
        <v>41443.740781</v>
      </c>
      <c r="V29" s="442">
        <v>31283.982866999999</v>
      </c>
      <c r="W29" s="442">
        <v>16402.610513</v>
      </c>
      <c r="X29" s="442">
        <v>6557.1310205999998</v>
      </c>
      <c r="Y29" s="442"/>
      <c r="Z29" s="703">
        <f>'T-T1'!AC31</f>
        <v>62155.303655999996</v>
      </c>
      <c r="AA29" s="442">
        <v>45857.566169999998</v>
      </c>
      <c r="AB29" s="442">
        <v>41104.248729999999</v>
      </c>
      <c r="AC29" s="442">
        <v>27665.471860000001</v>
      </c>
      <c r="AD29" s="442">
        <v>22625.480329999999</v>
      </c>
      <c r="AE29" s="442">
        <v>14143.61736</v>
      </c>
      <c r="AF29" s="442">
        <v>6065.0750909999997</v>
      </c>
      <c r="AG29" s="442"/>
      <c r="AH29" s="703">
        <f>'T-T1'!AN31+'T-T1'!AQ31+'T-T1'!AU31</f>
        <v>178576.76320399999</v>
      </c>
      <c r="AI29" s="442">
        <v>76549.388519999993</v>
      </c>
      <c r="AJ29" s="442">
        <v>60572.388780000001</v>
      </c>
      <c r="AK29" s="442">
        <v>32561.221320000001</v>
      </c>
      <c r="AL29" s="442">
        <v>24225.16301</v>
      </c>
      <c r="AM29" s="442">
        <v>13325.412689999999</v>
      </c>
      <c r="AN29" s="442">
        <v>5121.9090759999999</v>
      </c>
      <c r="AO29" s="442"/>
      <c r="AP29" s="703">
        <f>'T-T1'!AJ31+'T-T1'!AK31+'T-T1'!AL31</f>
        <v>85642.000000000015</v>
      </c>
      <c r="AQ29" s="442">
        <v>48180.42267</v>
      </c>
      <c r="AR29" s="442">
        <v>40836.93376</v>
      </c>
      <c r="AS29" s="442">
        <v>26839.543809999999</v>
      </c>
      <c r="AT29" s="442">
        <v>22103.378280000001</v>
      </c>
      <c r="AU29" s="442">
        <v>14008.164339999999</v>
      </c>
      <c r="AV29" s="442">
        <v>6179.6432480000003</v>
      </c>
      <c r="AW29" s="442"/>
      <c r="AX29" s="703">
        <f>'T-T1'!X31+'T-T1'!Y31+'T-T1'!Z31</f>
        <v>51294</v>
      </c>
      <c r="AY29" s="442">
        <v>19544.42913</v>
      </c>
      <c r="AZ29" s="442">
        <v>14323.50346</v>
      </c>
      <c r="BA29" s="442">
        <v>7583.1987840000002</v>
      </c>
      <c r="BB29" s="442">
        <v>5876.3411919999999</v>
      </c>
      <c r="BC29" s="442">
        <v>3409.348254</v>
      </c>
      <c r="BD29" s="442">
        <v>1424.5076859999999</v>
      </c>
      <c r="BE29" s="442"/>
      <c r="BF29" s="442">
        <f>'T-T1'!AD31+'T-T1'!AO31+'T-T1'!AR31+'T-T1'!AV31+'T-T1'!BI31+'T-T1'!BJ31</f>
        <v>212978.84878234862</v>
      </c>
      <c r="BG29" s="442">
        <v>51359.003230000002</v>
      </c>
      <c r="BH29" s="442">
        <v>29093.163089999998</v>
      </c>
      <c r="BI29" s="442">
        <v>8301.1370499999994</v>
      </c>
      <c r="BJ29" s="442">
        <v>5000.0251790000002</v>
      </c>
      <c r="BK29" s="442">
        <v>1575.6999149999999</v>
      </c>
      <c r="BL29" s="442">
        <v>306.05211450000002</v>
      </c>
      <c r="BM29" s="442"/>
      <c r="BN29" s="442">
        <f t="shared" si="13"/>
        <v>275382.46210620069</v>
      </c>
      <c r="BO29" s="442">
        <f t="shared" si="14"/>
        <v>91665.405146000005</v>
      </c>
      <c r="BP29" s="442">
        <f t="shared" si="15"/>
        <v>66546.252976000062</v>
      </c>
      <c r="BQ29" s="442">
        <f t="shared" si="16"/>
        <v>30880.000820999994</v>
      </c>
      <c r="BR29" s="442">
        <f t="shared" si="17"/>
        <v>23369.344445999999</v>
      </c>
      <c r="BS29" s="442">
        <f t="shared" si="18"/>
        <v>10978.71605600001</v>
      </c>
      <c r="BT29" s="442">
        <f t="shared" si="19"/>
        <v>3548.1472798999994</v>
      </c>
      <c r="BU29" s="452"/>
      <c r="BV29" s="1081"/>
    </row>
    <row r="30" spans="1:74" ht="12" customHeight="1" x14ac:dyDescent="0.3">
      <c r="A30" s="448">
        <v>1983</v>
      </c>
      <c r="B30" s="442">
        <v>3060514.7870999998</v>
      </c>
      <c r="C30" s="442">
        <v>990609.15102899994</v>
      </c>
      <c r="D30" s="442">
        <v>661681.63680899993</v>
      </c>
      <c r="E30" s="442">
        <v>283059.465769</v>
      </c>
      <c r="F30" s="442">
        <v>204914.72886999999</v>
      </c>
      <c r="G30" s="442">
        <v>99661.689240000007</v>
      </c>
      <c r="H30" s="442">
        <v>36185.062422000003</v>
      </c>
      <c r="J30" s="442">
        <f>'T-T1'!C32+'T-T1'!E32+'T-T1'!G32+'T-T1'!I32</f>
        <v>1882182.6644562609</v>
      </c>
      <c r="K30" s="442">
        <v>534597.45510000002</v>
      </c>
      <c r="L30" s="442">
        <v>314214.64679999999</v>
      </c>
      <c r="M30" s="442">
        <v>93714.445760000002</v>
      </c>
      <c r="N30" s="442">
        <v>58964.9277</v>
      </c>
      <c r="O30" s="442">
        <v>20612.724719999998</v>
      </c>
      <c r="P30" s="442">
        <v>4468.4167020000004</v>
      </c>
      <c r="Q30" s="444"/>
      <c r="R30" s="442">
        <f>'T-T1'!K32+'T-T1'!L32+'T-T1'!N32+'T-T1'!O32+'T-T1'!P32+'T-T1'!Q32+'T-T1'!S32+'T-T1'!T32+'T-T1'!AG32+'T-T1'!AH32</f>
        <v>213457.9010863</v>
      </c>
      <c r="S30" s="442">
        <v>98255.257832999996</v>
      </c>
      <c r="T30" s="442">
        <v>79972.933743000001</v>
      </c>
      <c r="U30" s="442">
        <v>45761.098015000003</v>
      </c>
      <c r="V30" s="442">
        <v>34836.199391000002</v>
      </c>
      <c r="W30" s="442">
        <v>18651.855204</v>
      </c>
      <c r="X30" s="442">
        <v>8110.6668550000004</v>
      </c>
      <c r="Y30" s="442"/>
      <c r="Z30" s="703">
        <f>'T-T1'!AC32</f>
        <v>59737.564020999998</v>
      </c>
      <c r="AA30" s="442">
        <v>43750.147040000003</v>
      </c>
      <c r="AB30" s="442">
        <v>39186.546549999999</v>
      </c>
      <c r="AC30" s="442">
        <v>27034.24382</v>
      </c>
      <c r="AD30" s="442">
        <v>22054.17886</v>
      </c>
      <c r="AE30" s="442">
        <v>13145.46234</v>
      </c>
      <c r="AF30" s="442">
        <v>5707.6056930000004</v>
      </c>
      <c r="AG30" s="442"/>
      <c r="AH30" s="703">
        <f>'T-T1'!AN32+'T-T1'!AQ32+'T-T1'!AU32</f>
        <v>178528.425219</v>
      </c>
      <c r="AI30" s="442">
        <v>74476.050789999994</v>
      </c>
      <c r="AJ30" s="442">
        <v>58789.314989999999</v>
      </c>
      <c r="AK30" s="442">
        <v>31790.742139999998</v>
      </c>
      <c r="AL30" s="442">
        <v>24036.821479999999</v>
      </c>
      <c r="AM30" s="442">
        <v>12559.08404</v>
      </c>
      <c r="AN30" s="442">
        <v>4592.4948690000001</v>
      </c>
      <c r="AO30" s="442"/>
      <c r="AP30" s="703">
        <f>'T-T1'!AJ32+'T-T1'!AK32+'T-T1'!AL32</f>
        <v>115654.99999999999</v>
      </c>
      <c r="AQ30" s="442">
        <v>62727.679060000002</v>
      </c>
      <c r="AR30" s="442">
        <v>52584.61535</v>
      </c>
      <c r="AS30" s="442">
        <v>34287.839229999998</v>
      </c>
      <c r="AT30" s="442">
        <v>27944.663799999998</v>
      </c>
      <c r="AU30" s="442">
        <v>16880.44123</v>
      </c>
      <c r="AV30" s="442">
        <v>7225.229859</v>
      </c>
      <c r="AW30" s="442"/>
      <c r="AX30" s="703">
        <f>'T-T1'!X32+'T-T1'!Y32+'T-T1'!Z32</f>
        <v>66419</v>
      </c>
      <c r="AY30" s="442">
        <v>24985.881119999998</v>
      </c>
      <c r="AZ30" s="442">
        <v>18253.05773</v>
      </c>
      <c r="BA30" s="442">
        <v>9519.6511530000007</v>
      </c>
      <c r="BB30" s="442">
        <v>7332.5078549999998</v>
      </c>
      <c r="BC30" s="442">
        <v>4052.7972840000002</v>
      </c>
      <c r="BD30" s="442">
        <v>1628.2049919999999</v>
      </c>
      <c r="BE30" s="442"/>
      <c r="BF30" s="442">
        <f>'T-T1'!AD32+'T-T1'!AO32+'T-T1'!AR32+'T-T1'!AV32+'T-T1'!BI32+'T-T1'!BJ32</f>
        <v>249526.60605379922</v>
      </c>
      <c r="BG30" s="442">
        <v>60263.084640000001</v>
      </c>
      <c r="BH30" s="442">
        <v>35303.042110000002</v>
      </c>
      <c r="BI30" s="442">
        <v>10491.239729999999</v>
      </c>
      <c r="BJ30" s="442">
        <v>6490.2537190000003</v>
      </c>
      <c r="BK30" s="442">
        <v>2172.8441419999999</v>
      </c>
      <c r="BL30" s="442">
        <v>434.28440719999998</v>
      </c>
      <c r="BM30" s="442"/>
      <c r="BN30" s="442">
        <f t="shared" si="13"/>
        <v>295007.62626363972</v>
      </c>
      <c r="BO30" s="442">
        <f t="shared" si="14"/>
        <v>91553.595445999919</v>
      </c>
      <c r="BP30" s="442">
        <f t="shared" si="15"/>
        <v>63377.47953599989</v>
      </c>
      <c r="BQ30" s="442">
        <f t="shared" si="16"/>
        <v>30460.205921000001</v>
      </c>
      <c r="BR30" s="442">
        <f t="shared" si="17"/>
        <v>23255.176064999996</v>
      </c>
      <c r="BS30" s="442">
        <f t="shared" si="18"/>
        <v>11586.480280000009</v>
      </c>
      <c r="BT30" s="442">
        <f t="shared" si="19"/>
        <v>4018.1590447999997</v>
      </c>
      <c r="BU30" s="452"/>
      <c r="BV30" s="1081"/>
    </row>
    <row r="31" spans="1:74" ht="12" customHeight="1" x14ac:dyDescent="0.3">
      <c r="A31" s="448">
        <v>1984</v>
      </c>
      <c r="B31" s="442">
        <v>3443988.0337</v>
      </c>
      <c r="C31" s="442">
        <v>1117844.285934</v>
      </c>
      <c r="D31" s="442">
        <v>751709.58609400003</v>
      </c>
      <c r="E31" s="442">
        <v>328661.84436400002</v>
      </c>
      <c r="F31" s="442">
        <v>238709.02800399999</v>
      </c>
      <c r="G31" s="442">
        <v>117545.365594</v>
      </c>
      <c r="H31" s="442">
        <v>44077.338370999998</v>
      </c>
      <c r="J31" s="442">
        <f>'T-T1'!C33+'T-T1'!E33+'T-T1'!G33+'T-T1'!I33</f>
        <v>2067302</v>
      </c>
      <c r="K31" s="442">
        <v>585907.74939999997</v>
      </c>
      <c r="L31" s="442">
        <v>345435.62359999999</v>
      </c>
      <c r="M31" s="442">
        <v>107908.4607</v>
      </c>
      <c r="N31" s="442">
        <v>69934.110690000001</v>
      </c>
      <c r="O31" s="442">
        <v>26132.73907</v>
      </c>
      <c r="P31" s="442">
        <v>5829.8758539999999</v>
      </c>
      <c r="Q31" s="444"/>
      <c r="R31" s="442">
        <f>'T-T1'!K33+'T-T1'!L33+'T-T1'!N33+'T-T1'!O33+'T-T1'!P33+'T-T1'!Q33+'T-T1'!S33+'T-T1'!T33+'T-T1'!AG33+'T-T1'!AH33</f>
        <v>262744.62745133002</v>
      </c>
      <c r="S31" s="442">
        <v>123936.40760000001</v>
      </c>
      <c r="T31" s="442">
        <v>100713.33008</v>
      </c>
      <c r="U31" s="442">
        <v>57799.892312999997</v>
      </c>
      <c r="V31" s="442">
        <v>43990.211834000002</v>
      </c>
      <c r="W31" s="442">
        <v>24788.812059</v>
      </c>
      <c r="X31" s="442">
        <v>11726.797237000001</v>
      </c>
      <c r="Y31" s="442"/>
      <c r="Z31" s="703">
        <f>'T-T1'!AC33</f>
        <v>60761.826352999997</v>
      </c>
      <c r="AA31" s="442">
        <v>43251.450389999998</v>
      </c>
      <c r="AB31" s="442">
        <v>38335.66545</v>
      </c>
      <c r="AC31" s="442">
        <v>26189.805629999999</v>
      </c>
      <c r="AD31" s="442">
        <v>20604.092789999999</v>
      </c>
      <c r="AE31" s="442">
        <v>11897.39156</v>
      </c>
      <c r="AF31" s="442">
        <v>5398.5386680000001</v>
      </c>
      <c r="AG31" s="442"/>
      <c r="AH31" s="703">
        <f>'T-T1'!AN33+'T-T1'!AQ33+'T-T1'!AU33</f>
        <v>203766.75339800003</v>
      </c>
      <c r="AI31" s="442">
        <v>87815.628370000006</v>
      </c>
      <c r="AJ31" s="442">
        <v>69282.595650000003</v>
      </c>
      <c r="AK31" s="442">
        <v>38719.99106</v>
      </c>
      <c r="AL31" s="442">
        <v>29156.859369999998</v>
      </c>
      <c r="AM31" s="442">
        <v>16262.901879999999</v>
      </c>
      <c r="AN31" s="442">
        <v>5839.9865609999997</v>
      </c>
      <c r="AO31" s="442"/>
      <c r="AP31" s="703">
        <f>'T-T1'!AJ33+'T-T1'!AK33+'T-T1'!AL33</f>
        <v>149543</v>
      </c>
      <c r="AQ31" s="442">
        <v>75950.231480000002</v>
      </c>
      <c r="AR31" s="442">
        <v>62505.291669999999</v>
      </c>
      <c r="AS31" s="442">
        <v>40239.373339999998</v>
      </c>
      <c r="AT31" s="442">
        <v>32000.245330000002</v>
      </c>
      <c r="AU31" s="442">
        <v>19085.780839999999</v>
      </c>
      <c r="AV31" s="442">
        <v>8638.0885330000001</v>
      </c>
      <c r="AW31" s="442"/>
      <c r="AX31" s="703">
        <f>'T-T1'!X33+'T-T1'!Y33+'T-T1'!Z33</f>
        <v>81477</v>
      </c>
      <c r="AY31" s="442">
        <v>29141.068599999999</v>
      </c>
      <c r="AZ31" s="442">
        <v>20837.206429999998</v>
      </c>
      <c r="BA31" s="442">
        <v>10654.561949999999</v>
      </c>
      <c r="BB31" s="442">
        <v>8014.5126799999998</v>
      </c>
      <c r="BC31" s="442">
        <v>4399.8516490000002</v>
      </c>
      <c r="BD31" s="442">
        <v>1798.552101</v>
      </c>
      <c r="BE31" s="442"/>
      <c r="BF31" s="442">
        <f>'T-T1'!AD33+'T-T1'!AO33+'T-T1'!AR33+'T-T1'!AV33+'T-T1'!BI33+'T-T1'!BJ33</f>
        <v>286674.6026606583</v>
      </c>
      <c r="BG31" s="442">
        <v>74299.868459999998</v>
      </c>
      <c r="BH31" s="442">
        <v>46584.447749999999</v>
      </c>
      <c r="BI31" s="442">
        <v>19603.106299999999</v>
      </c>
      <c r="BJ31" s="442">
        <v>15513.286410000001</v>
      </c>
      <c r="BK31" s="442">
        <v>10787.721079999999</v>
      </c>
      <c r="BL31" s="442">
        <v>540.67454129999999</v>
      </c>
      <c r="BM31" s="442"/>
      <c r="BN31" s="442">
        <f t="shared" si="13"/>
        <v>331718.22383701173</v>
      </c>
      <c r="BO31" s="442">
        <f t="shared" si="14"/>
        <v>97541.881634000019</v>
      </c>
      <c r="BP31" s="442">
        <f t="shared" si="15"/>
        <v>68015.425464000029</v>
      </c>
      <c r="BQ31" s="442">
        <f t="shared" si="16"/>
        <v>27546.653071000052</v>
      </c>
      <c r="BR31" s="442">
        <f t="shared" si="17"/>
        <v>19495.708899999983</v>
      </c>
      <c r="BS31" s="442">
        <f t="shared" si="18"/>
        <v>4190.1674560000029</v>
      </c>
      <c r="BT31" s="442">
        <f t="shared" si="19"/>
        <v>4304.8248757000001</v>
      </c>
      <c r="BU31" s="452"/>
      <c r="BV31" s="1081"/>
    </row>
    <row r="32" spans="1:74" ht="12" customHeight="1" x14ac:dyDescent="0.3">
      <c r="A32" s="448">
        <v>1985</v>
      </c>
      <c r="B32" s="442">
        <v>3684187.6332999999</v>
      </c>
      <c r="C32" s="442">
        <v>1191261.359779</v>
      </c>
      <c r="D32" s="442">
        <v>801196.89521899994</v>
      </c>
      <c r="E32" s="442">
        <v>352292.54505900003</v>
      </c>
      <c r="F32" s="442">
        <v>258843.10874600001</v>
      </c>
      <c r="G32" s="442">
        <v>131057.124146</v>
      </c>
      <c r="H32" s="442">
        <v>46685.359538999997</v>
      </c>
      <c r="J32" s="442">
        <f>'T-T1'!C34+'T-T1'!E34+'T-T1'!G34+'T-T1'!I34</f>
        <v>2220431</v>
      </c>
      <c r="K32" s="442">
        <v>635551.77390000003</v>
      </c>
      <c r="L32" s="442">
        <v>377503.45529999997</v>
      </c>
      <c r="M32" s="442">
        <v>119215.5077</v>
      </c>
      <c r="N32" s="442">
        <v>76144.576870000004</v>
      </c>
      <c r="O32" s="442">
        <v>28690.39774</v>
      </c>
      <c r="P32" s="442">
        <v>5872.3956090000001</v>
      </c>
      <c r="Q32" s="444"/>
      <c r="R32" s="442">
        <f>'T-T1'!K34+'T-T1'!L34+'T-T1'!N34+'T-T1'!O34+'T-T1'!P34+'T-T1'!Q34+'T-T1'!S34+'T-T1'!T34+'T-T1'!AG34+'T-T1'!AH34</f>
        <v>280243.82722156</v>
      </c>
      <c r="S32" s="442">
        <v>129695.32778000001</v>
      </c>
      <c r="T32" s="442">
        <v>107189.83289999999</v>
      </c>
      <c r="U32" s="442">
        <v>63826.361850000001</v>
      </c>
      <c r="V32" s="442">
        <v>50261.261836999998</v>
      </c>
      <c r="W32" s="442">
        <v>30398.925755</v>
      </c>
      <c r="X32" s="442">
        <v>13371.165965</v>
      </c>
      <c r="Y32" s="442"/>
      <c r="Z32" s="703">
        <f>'T-T1'!AC34</f>
        <v>68926.739717999997</v>
      </c>
      <c r="AA32" s="442">
        <v>48420.220529999999</v>
      </c>
      <c r="AB32" s="442">
        <v>43051.859790000002</v>
      </c>
      <c r="AC32" s="442">
        <v>29662.182140000001</v>
      </c>
      <c r="AD32" s="442">
        <v>24923.778180000001</v>
      </c>
      <c r="AE32" s="442">
        <v>14996.787109999999</v>
      </c>
      <c r="AF32" s="442">
        <v>6551.0311460000003</v>
      </c>
      <c r="AG32" s="442"/>
      <c r="AH32" s="703">
        <f>'T-T1'!AN34+'T-T1'!AQ34+'T-T1'!AU34</f>
        <v>213845.98749999999</v>
      </c>
      <c r="AI32" s="442">
        <v>92487.620379999993</v>
      </c>
      <c r="AJ32" s="442">
        <v>74223.356679999997</v>
      </c>
      <c r="AK32" s="442">
        <v>42985.297149999999</v>
      </c>
      <c r="AL32" s="442">
        <v>34220.985460000004</v>
      </c>
      <c r="AM32" s="442">
        <v>19735.85355</v>
      </c>
      <c r="AN32" s="442">
        <v>8211.8628019999996</v>
      </c>
      <c r="AO32" s="442"/>
      <c r="AP32" s="703">
        <f>'T-T1'!AJ34+'T-T1'!AK34+'T-T1'!AL34</f>
        <v>157536</v>
      </c>
      <c r="AQ32" s="442">
        <v>77192.034029999995</v>
      </c>
      <c r="AR32" s="442">
        <v>62792.761279999999</v>
      </c>
      <c r="AS32" s="442">
        <v>40060.655149999999</v>
      </c>
      <c r="AT32" s="442">
        <v>33230.377339999999</v>
      </c>
      <c r="AU32" s="442">
        <v>20062.572489999999</v>
      </c>
      <c r="AV32" s="442">
        <v>8662.6783479999995</v>
      </c>
      <c r="AW32" s="442"/>
      <c r="AX32" s="703">
        <f>'T-T1'!X34+'T-T1'!Y34+'T-T1'!Z34</f>
        <v>81610</v>
      </c>
      <c r="AY32" s="442">
        <v>29009.15756</v>
      </c>
      <c r="AZ32" s="442">
        <v>20779.687600000001</v>
      </c>
      <c r="BA32" s="442">
        <v>10699.32761</v>
      </c>
      <c r="BB32" s="442">
        <v>8374.6636789999993</v>
      </c>
      <c r="BC32" s="442">
        <v>4700.8094289999999</v>
      </c>
      <c r="BD32" s="442">
        <v>1924.0198949999999</v>
      </c>
      <c r="BE32" s="442"/>
      <c r="BF32" s="442">
        <f>'T-T1'!AD34+'T-T1'!AO34+'T-T1'!AR34+'T-T1'!AV34+'T-T1'!BI34+'T-T1'!BJ34</f>
        <v>304360.44018363563</v>
      </c>
      <c r="BG32" s="442">
        <v>71262.580470000001</v>
      </c>
      <c r="BH32" s="442">
        <v>41596.569490000002</v>
      </c>
      <c r="BI32" s="442">
        <v>12451.09389</v>
      </c>
      <c r="BJ32" s="442">
        <v>7724.7746070000003</v>
      </c>
      <c r="BK32" s="442">
        <v>2685.299023</v>
      </c>
      <c r="BL32" s="442">
        <v>542.52468020000003</v>
      </c>
      <c r="BM32" s="442"/>
      <c r="BN32" s="442">
        <f t="shared" si="13"/>
        <v>357233.6386768042</v>
      </c>
      <c r="BO32" s="442">
        <f t="shared" si="14"/>
        <v>107642.64512900008</v>
      </c>
      <c r="BP32" s="442">
        <f t="shared" si="15"/>
        <v>74059.372178999969</v>
      </c>
      <c r="BQ32" s="442">
        <f t="shared" si="16"/>
        <v>33392.119569000031</v>
      </c>
      <c r="BR32" s="442">
        <f t="shared" si="17"/>
        <v>23962.690773000009</v>
      </c>
      <c r="BS32" s="442">
        <f t="shared" si="18"/>
        <v>9786.4790490000014</v>
      </c>
      <c r="BT32" s="442">
        <f t="shared" si="19"/>
        <v>1549.6810937999976</v>
      </c>
      <c r="BU32" s="452"/>
      <c r="BV32" s="1081"/>
    </row>
    <row r="33" spans="1:74" ht="12" customHeight="1" x14ac:dyDescent="0.3">
      <c r="A33" s="448">
        <v>1986</v>
      </c>
      <c r="B33" s="442">
        <v>3848203.7167000002</v>
      </c>
      <c r="C33" s="442">
        <v>1240216.9354900001</v>
      </c>
      <c r="D33" s="442">
        <v>825855.24994000001</v>
      </c>
      <c r="E33" s="442">
        <v>357618.85392999998</v>
      </c>
      <c r="F33" s="442">
        <v>259189.81174400004</v>
      </c>
      <c r="G33" s="442">
        <v>126696.902214</v>
      </c>
      <c r="H33" s="442">
        <v>45966.286782000003</v>
      </c>
      <c r="J33" s="442">
        <f>'T-T1'!C35+'T-T1'!E35+'T-T1'!G35+'T-T1'!I35</f>
        <v>2358172</v>
      </c>
      <c r="K33" s="442">
        <v>693542.60660000006</v>
      </c>
      <c r="L33" s="442">
        <v>413104.97810000001</v>
      </c>
      <c r="M33" s="442">
        <v>132916.35149999999</v>
      </c>
      <c r="N33" s="442">
        <v>85295.802949999998</v>
      </c>
      <c r="O33" s="442">
        <v>27862.72724</v>
      </c>
      <c r="P33" s="442">
        <v>8138.7056279999997</v>
      </c>
      <c r="Q33" s="444"/>
      <c r="R33" s="442">
        <f>'T-T1'!K35+'T-T1'!L35+'T-T1'!N35+'T-T1'!O35+'T-T1'!P35+'T-T1'!Q35+'T-T1'!S35+'T-T1'!T35+'T-T1'!AG35+'T-T1'!AH35</f>
        <v>294857.05501155998</v>
      </c>
      <c r="S33" s="442">
        <v>135315.44177</v>
      </c>
      <c r="T33" s="442">
        <v>109738.88095999999</v>
      </c>
      <c r="U33" s="442">
        <v>65667.673599999995</v>
      </c>
      <c r="V33" s="442">
        <v>50142.474090000003</v>
      </c>
      <c r="W33" s="442">
        <v>28379.357452</v>
      </c>
      <c r="X33" s="442">
        <v>13258.341609999999</v>
      </c>
      <c r="Y33" s="442"/>
      <c r="Z33" s="703">
        <f>'T-T1'!AC35</f>
        <v>73952.057375000004</v>
      </c>
      <c r="AA33" s="442">
        <v>50122.361649999999</v>
      </c>
      <c r="AB33" s="442">
        <v>44779.83481</v>
      </c>
      <c r="AC33" s="442">
        <v>30603.533149999999</v>
      </c>
      <c r="AD33" s="442">
        <v>25003.487369999999</v>
      </c>
      <c r="AE33" s="442">
        <v>16656.633999999998</v>
      </c>
      <c r="AF33" s="442">
        <v>5415.2755829999996</v>
      </c>
      <c r="AG33" s="442"/>
      <c r="AH33" s="703">
        <f>'T-T1'!AN35+'T-T1'!AQ35+'T-T1'!AU35</f>
        <v>203144.76941200002</v>
      </c>
      <c r="AI33" s="442">
        <v>86633.017070000002</v>
      </c>
      <c r="AJ33" s="442">
        <v>70275.808120000002</v>
      </c>
      <c r="AK33" s="442">
        <v>41057.3675</v>
      </c>
      <c r="AL33" s="442">
        <v>31893.097239999999</v>
      </c>
      <c r="AM33" s="442">
        <v>17243.43663</v>
      </c>
      <c r="AN33" s="442">
        <v>6825.564934</v>
      </c>
      <c r="AO33" s="442"/>
      <c r="AP33" s="703">
        <f>'T-T1'!AJ35+'T-T1'!AK35+'T-T1'!AL35</f>
        <v>108518.99999999999</v>
      </c>
      <c r="AQ33" s="442">
        <v>53242.440360000001</v>
      </c>
      <c r="AR33" s="442">
        <v>43570.509510000004</v>
      </c>
      <c r="AS33" s="442">
        <v>27870.866119999999</v>
      </c>
      <c r="AT33" s="442">
        <v>22757.906749999998</v>
      </c>
      <c r="AU33" s="442">
        <v>14769.135979999999</v>
      </c>
      <c r="AV33" s="442">
        <v>5215.1773030000004</v>
      </c>
      <c r="AW33" s="442"/>
      <c r="AX33" s="703">
        <f>'T-T1'!X35+'T-T1'!Y35+'T-T1'!Z35</f>
        <v>91871.000000000015</v>
      </c>
      <c r="AY33" s="442">
        <v>32740.708269999999</v>
      </c>
      <c r="AZ33" s="442">
        <v>23476.558140000001</v>
      </c>
      <c r="BA33" s="442">
        <v>12162.47741</v>
      </c>
      <c r="BB33" s="442">
        <v>9364.2993029999998</v>
      </c>
      <c r="BC33" s="442">
        <v>5370.9540539999998</v>
      </c>
      <c r="BD33" s="442">
        <v>1915.51638</v>
      </c>
      <c r="BE33" s="442"/>
      <c r="BF33" s="442">
        <f>'T-T1'!AD35+'T-T1'!AO35+'T-T1'!AR35+'T-T1'!AV35+'T-T1'!BI35+'T-T1'!BJ35</f>
        <v>349693.60532669513</v>
      </c>
      <c r="BG33" s="442">
        <v>82574.844689999998</v>
      </c>
      <c r="BH33" s="442">
        <v>47901.132819999999</v>
      </c>
      <c r="BI33" s="442">
        <v>14448.44793</v>
      </c>
      <c r="BJ33" s="442">
        <v>8878.6534759999995</v>
      </c>
      <c r="BK33" s="442">
        <v>2806.8960029999998</v>
      </c>
      <c r="BL33" s="442">
        <v>783.89788510000005</v>
      </c>
      <c r="BM33" s="442"/>
      <c r="BN33" s="442">
        <f t="shared" si="13"/>
        <v>367994.22957474506</v>
      </c>
      <c r="BO33" s="442">
        <f t="shared" si="14"/>
        <v>106045.51507999998</v>
      </c>
      <c r="BP33" s="442">
        <f t="shared" si="15"/>
        <v>73007.547480000008</v>
      </c>
      <c r="BQ33" s="442">
        <f t="shared" si="16"/>
        <v>32892.136720000017</v>
      </c>
      <c r="BR33" s="442">
        <f t="shared" si="17"/>
        <v>25854.09056500002</v>
      </c>
      <c r="BS33" s="442">
        <f t="shared" si="18"/>
        <v>13607.760854999995</v>
      </c>
      <c r="BT33" s="442">
        <f t="shared" si="19"/>
        <v>4413.8074589000007</v>
      </c>
      <c r="BU33" s="452"/>
      <c r="BV33" s="1081"/>
    </row>
    <row r="34" spans="1:74" ht="12" customHeight="1" x14ac:dyDescent="0.3">
      <c r="A34" s="448">
        <v>1987</v>
      </c>
      <c r="B34" s="442">
        <v>4119197.5964000002</v>
      </c>
      <c r="C34" s="442">
        <v>1336967.822531</v>
      </c>
      <c r="D34" s="442">
        <v>900124.10722100001</v>
      </c>
      <c r="E34" s="442">
        <v>398290.894501</v>
      </c>
      <c r="F34" s="442">
        <v>290290.54662099999</v>
      </c>
      <c r="G34" s="442">
        <v>143978.413611</v>
      </c>
      <c r="H34" s="442">
        <v>53549.557913999997</v>
      </c>
      <c r="J34" s="442">
        <f>'T-T1'!C36+'T-T1'!E36+'T-T1'!G36+'T-T1'!I36</f>
        <v>2530263</v>
      </c>
      <c r="K34" s="442">
        <v>727290.70200000005</v>
      </c>
      <c r="L34" s="442">
        <v>441178.50799999997</v>
      </c>
      <c r="M34" s="442">
        <v>151369.26639999999</v>
      </c>
      <c r="N34" s="442">
        <v>100748.9941</v>
      </c>
      <c r="O34" s="442">
        <v>40248.992330000001</v>
      </c>
      <c r="P34" s="442">
        <v>10141.356</v>
      </c>
      <c r="Q34" s="444"/>
      <c r="R34" s="442">
        <f>'T-T1'!K36+'T-T1'!L36+'T-T1'!N36+'T-T1'!O36+'T-T1'!P36+'T-T1'!Q36+'T-T1'!S36+'T-T1'!T36+'T-T1'!AG36+'T-T1'!AH36</f>
        <v>335100.924711</v>
      </c>
      <c r="S34" s="442">
        <v>157095.22938999999</v>
      </c>
      <c r="T34" s="442">
        <v>129127.94796</v>
      </c>
      <c r="U34" s="442">
        <v>77234.482355</v>
      </c>
      <c r="V34" s="442">
        <v>60685.413290999997</v>
      </c>
      <c r="W34" s="442">
        <v>35994.325907999999</v>
      </c>
      <c r="X34" s="442">
        <v>17007.114991999999</v>
      </c>
      <c r="Y34" s="442"/>
      <c r="Z34" s="703">
        <f>'T-T1'!AC36</f>
        <v>78236.591654999997</v>
      </c>
      <c r="AA34" s="442">
        <v>50258.14428</v>
      </c>
      <c r="AB34" s="442">
        <v>43505.526169999997</v>
      </c>
      <c r="AC34" s="442">
        <v>27859.242470000001</v>
      </c>
      <c r="AD34" s="442">
        <v>22042.488809999999</v>
      </c>
      <c r="AE34" s="442">
        <v>12845.70853</v>
      </c>
      <c r="AF34" s="442">
        <v>5653.54306</v>
      </c>
      <c r="AG34" s="442"/>
      <c r="AH34" s="703">
        <f>'T-T1'!AN36+'T-T1'!AQ36+'T-T1'!AU36</f>
        <v>202592.89170400001</v>
      </c>
      <c r="AI34" s="442">
        <v>94816.948550000001</v>
      </c>
      <c r="AJ34" s="442">
        <v>78799.377659999998</v>
      </c>
      <c r="AK34" s="442">
        <v>47864.131730000001</v>
      </c>
      <c r="AL34" s="442">
        <v>38139.369780000001</v>
      </c>
      <c r="AM34" s="442">
        <v>22149.226170000002</v>
      </c>
      <c r="AN34" s="442">
        <v>8854.1504889999997</v>
      </c>
      <c r="AO34" s="442"/>
      <c r="AP34" s="703">
        <f>'T-T1'!AJ36+'T-T1'!AK36+'T-T1'!AL36</f>
        <v>123230</v>
      </c>
      <c r="AQ34" s="442">
        <v>54148.436410000002</v>
      </c>
      <c r="AR34" s="442">
        <v>42578.567190000002</v>
      </c>
      <c r="AS34" s="442">
        <v>24864.419760000001</v>
      </c>
      <c r="AT34" s="442">
        <v>19428.018309999999</v>
      </c>
      <c r="AU34" s="442">
        <v>11140.25577</v>
      </c>
      <c r="AV34" s="442">
        <v>4770.563427</v>
      </c>
      <c r="AW34" s="442"/>
      <c r="AX34" s="703">
        <f>'T-T1'!X36+'T-T1'!Y36+'T-T1'!Z36</f>
        <v>112702</v>
      </c>
      <c r="AY34" s="442">
        <v>38042.697979999997</v>
      </c>
      <c r="AZ34" s="442">
        <v>26947.204259999999</v>
      </c>
      <c r="BA34" s="442">
        <v>13316.1237</v>
      </c>
      <c r="BB34" s="442">
        <v>10021.576300000001</v>
      </c>
      <c r="BC34" s="442">
        <v>5372.0070100000003</v>
      </c>
      <c r="BD34" s="442">
        <v>2186.2459899999999</v>
      </c>
      <c r="BE34" s="442"/>
      <c r="BF34" s="442">
        <f>'T-T1'!AD36+'T-T1'!AO36+'T-T1'!AR36+'T-T1'!AV36+'T-T1'!BI36+'T-T1'!BJ36</f>
        <v>352939.41846015002</v>
      </c>
      <c r="BG34" s="442">
        <v>82058.816749999998</v>
      </c>
      <c r="BH34" s="442">
        <v>48529.987500000003</v>
      </c>
      <c r="BI34" s="442">
        <v>15191.483469999999</v>
      </c>
      <c r="BJ34" s="442">
        <v>9476.4610990000001</v>
      </c>
      <c r="BK34" s="442">
        <v>3612.465087</v>
      </c>
      <c r="BL34" s="442">
        <v>854.31384089999995</v>
      </c>
      <c r="BM34" s="442"/>
      <c r="BN34" s="442">
        <f t="shared" si="13"/>
        <v>384132.76986985025</v>
      </c>
      <c r="BO34" s="442">
        <f t="shared" si="14"/>
        <v>133256.847171</v>
      </c>
      <c r="BP34" s="442">
        <f t="shared" si="15"/>
        <v>89456.988480999993</v>
      </c>
      <c r="BQ34" s="442">
        <f t="shared" si="16"/>
        <v>40591.744616000004</v>
      </c>
      <c r="BR34" s="442">
        <f t="shared" si="17"/>
        <v>29748.224930999982</v>
      </c>
      <c r="BS34" s="442">
        <f t="shared" si="18"/>
        <v>12615.432805999983</v>
      </c>
      <c r="BT34" s="442">
        <f t="shared" si="19"/>
        <v>4082.2701150999987</v>
      </c>
      <c r="BU34" s="452"/>
      <c r="BV34" s="1081"/>
    </row>
    <row r="35" spans="1:74" ht="12" customHeight="1" x14ac:dyDescent="0.3">
      <c r="A35" s="448">
        <v>1988</v>
      </c>
      <c r="B35" s="442">
        <v>4493372.5432000002</v>
      </c>
      <c r="C35" s="442">
        <v>1539043.5456009998</v>
      </c>
      <c r="D35" s="442">
        <v>1070178.6208009999</v>
      </c>
      <c r="E35" s="442">
        <v>522058.80203100003</v>
      </c>
      <c r="F35" s="442">
        <v>398342.94215100002</v>
      </c>
      <c r="G35" s="442">
        <v>217367.060111</v>
      </c>
      <c r="H35" s="442">
        <v>87711.912131000005</v>
      </c>
      <c r="J35" s="442">
        <f>'T-T1'!C37+'T-T1'!E37+'T-T1'!G37+'T-T1'!I37</f>
        <v>2750445</v>
      </c>
      <c r="K35" s="442">
        <v>814917.11580000003</v>
      </c>
      <c r="L35" s="442">
        <v>505263.82169999997</v>
      </c>
      <c r="M35" s="442">
        <v>192150.29089999999</v>
      </c>
      <c r="N35" s="442">
        <v>134890.13879999999</v>
      </c>
      <c r="O35" s="442">
        <v>57951.738210000003</v>
      </c>
      <c r="P35" s="442">
        <v>17454.065739999998</v>
      </c>
      <c r="Q35" s="444"/>
      <c r="R35" s="442">
        <f>'T-T1'!K37+'T-T1'!L37+'T-T1'!N37+'T-T1'!O37+'T-T1'!P37+'T-T1'!Q37+'T-T1'!S37+'T-T1'!T37+'T-T1'!AG37+'T-T1'!AH37</f>
        <v>390742.97996290005</v>
      </c>
      <c r="S35" s="442">
        <v>204172.13621</v>
      </c>
      <c r="T35" s="442">
        <v>172457.26045</v>
      </c>
      <c r="U35" s="442">
        <v>110994.01187</v>
      </c>
      <c r="V35" s="442">
        <v>89755.969240999999</v>
      </c>
      <c r="W35" s="442">
        <v>55830.013181000002</v>
      </c>
      <c r="X35" s="442">
        <v>24680.587392000001</v>
      </c>
      <c r="Y35" s="442"/>
      <c r="Z35" s="703">
        <f>'T-T1'!AC37</f>
        <v>89601.428436000002</v>
      </c>
      <c r="AA35" s="442">
        <v>61612.153160000002</v>
      </c>
      <c r="AB35" s="442">
        <v>54598.175450000002</v>
      </c>
      <c r="AC35" s="442">
        <v>37327.707900000001</v>
      </c>
      <c r="AD35" s="442">
        <v>31282.91877</v>
      </c>
      <c r="AE35" s="442">
        <v>21082.006560000002</v>
      </c>
      <c r="AF35" s="442">
        <v>10826.92229</v>
      </c>
      <c r="AG35" s="442"/>
      <c r="AH35" s="703">
        <f>'T-T1'!AN37+'T-T1'!AQ37+'T-T1'!AU37</f>
        <v>222204.36225599999</v>
      </c>
      <c r="AI35" s="442">
        <v>107900.20389999999</v>
      </c>
      <c r="AJ35" s="442">
        <v>90338.448180000007</v>
      </c>
      <c r="AK35" s="442">
        <v>55206.833409999999</v>
      </c>
      <c r="AL35" s="442">
        <v>44350.466339999999</v>
      </c>
      <c r="AM35" s="442">
        <v>26859.790209999999</v>
      </c>
      <c r="AN35" s="442">
        <v>10963.69787</v>
      </c>
      <c r="AO35" s="442"/>
      <c r="AP35" s="703">
        <f>'T-T1'!AJ37+'T-T1'!AK37+'T-T1'!AL37</f>
        <v>143329.99999999997</v>
      </c>
      <c r="AQ35" s="442">
        <v>67754.951270000005</v>
      </c>
      <c r="AR35" s="442">
        <v>55167.682630000003</v>
      </c>
      <c r="AS35" s="442">
        <v>35257.506609999997</v>
      </c>
      <c r="AT35" s="442">
        <v>29191.001629999999</v>
      </c>
      <c r="AU35" s="442">
        <v>19008.252519999998</v>
      </c>
      <c r="AV35" s="442">
        <v>9321.3576749999993</v>
      </c>
      <c r="AW35" s="442"/>
      <c r="AX35" s="703">
        <f>'T-T1'!X37+'T-T1'!Y37+'T-T1'!Z37</f>
        <v>124266</v>
      </c>
      <c r="AY35" s="442">
        <v>44197.17065</v>
      </c>
      <c r="AZ35" s="442">
        <v>32278.49927</v>
      </c>
      <c r="BA35" s="442">
        <v>17447.221649999999</v>
      </c>
      <c r="BB35" s="442">
        <v>13791.50166</v>
      </c>
      <c r="BC35" s="442">
        <v>8226.3114509999996</v>
      </c>
      <c r="BD35" s="442">
        <v>3702.6082919999999</v>
      </c>
      <c r="BE35" s="442"/>
      <c r="BF35" s="442">
        <f>'T-T1'!AD37+'T-T1'!AO37+'T-T1'!AR37+'T-T1'!AV37+'T-T1'!BI37+'T-T1'!BJ37</f>
        <v>351396.46590033401</v>
      </c>
      <c r="BG35" s="442">
        <v>84243.130600000004</v>
      </c>
      <c r="BH35" s="442">
        <v>52549.078739999997</v>
      </c>
      <c r="BI35" s="442">
        <v>19260.818599999999</v>
      </c>
      <c r="BJ35" s="442">
        <v>13274.68677</v>
      </c>
      <c r="BK35" s="442">
        <v>6290.4079899999997</v>
      </c>
      <c r="BL35" s="442">
        <v>1747.6196870000001</v>
      </c>
      <c r="BM35" s="442"/>
      <c r="BN35" s="442">
        <f t="shared" si="13"/>
        <v>421386.30664476618</v>
      </c>
      <c r="BO35" s="442">
        <f t="shared" si="14"/>
        <v>154246.68401099983</v>
      </c>
      <c r="BP35" s="442">
        <f t="shared" si="15"/>
        <v>107525.65438099997</v>
      </c>
      <c r="BQ35" s="442">
        <f t="shared" si="16"/>
        <v>54414.411091000016</v>
      </c>
      <c r="BR35" s="442">
        <f t="shared" si="17"/>
        <v>41806.258940000065</v>
      </c>
      <c r="BS35" s="442">
        <f t="shared" si="18"/>
        <v>22118.53998899999</v>
      </c>
      <c r="BT35" s="442">
        <f t="shared" si="19"/>
        <v>9015.0531849999952</v>
      </c>
      <c r="BU35" s="452"/>
      <c r="BV35" s="1081"/>
    </row>
    <row r="36" spans="1:74" ht="12" customHeight="1" x14ac:dyDescent="0.3">
      <c r="A36" s="448">
        <v>1989</v>
      </c>
      <c r="B36" s="442">
        <v>4782196.0384999998</v>
      </c>
      <c r="C36" s="442">
        <v>1623988.8070089999</v>
      </c>
      <c r="D36" s="442">
        <v>1121585.6818889999</v>
      </c>
      <c r="E36" s="442">
        <v>532091.52228899987</v>
      </c>
      <c r="F36" s="442">
        <v>400946.306499</v>
      </c>
      <c r="G36" s="442">
        <v>212337.30427899997</v>
      </c>
      <c r="H36" s="442">
        <v>84062.124748999995</v>
      </c>
      <c r="J36" s="442">
        <f>'T-T1'!C38+'T-T1'!E38+'T-T1'!G38+'T-T1'!I38</f>
        <v>2916419</v>
      </c>
      <c r="K36" s="442">
        <v>858190.01419999998</v>
      </c>
      <c r="L36" s="442">
        <v>528136.52780000004</v>
      </c>
      <c r="M36" s="442">
        <v>187276.88089999999</v>
      </c>
      <c r="N36" s="442">
        <v>127962.84910000001</v>
      </c>
      <c r="O36" s="442">
        <v>52799.866260000003</v>
      </c>
      <c r="P36" s="442">
        <v>13702.180420000001</v>
      </c>
      <c r="Q36" s="444"/>
      <c r="R36" s="442">
        <f>'T-T1'!K38+'T-T1'!L38+'T-T1'!N38+'T-T1'!O38+'T-T1'!P38+'T-T1'!Q38+'T-T1'!S38+'T-T1'!T38+'T-T1'!AG38+'T-T1'!AH38</f>
        <v>406136.8287212</v>
      </c>
      <c r="S36" s="442">
        <v>212534.61269000001</v>
      </c>
      <c r="T36" s="442">
        <v>179247.45843999999</v>
      </c>
      <c r="U36" s="442">
        <v>115990.26108</v>
      </c>
      <c r="V36" s="442">
        <v>93133.761079000004</v>
      </c>
      <c r="W36" s="442">
        <v>56757.894307000002</v>
      </c>
      <c r="X36" s="442">
        <v>25391.238397000001</v>
      </c>
      <c r="Y36" s="442"/>
      <c r="Z36" s="703">
        <f>'T-T1'!AC38</f>
        <v>94019.539069000006</v>
      </c>
      <c r="AA36" s="442">
        <v>63539.471539999999</v>
      </c>
      <c r="AB36" s="442">
        <v>56250.051480000002</v>
      </c>
      <c r="AC36" s="442">
        <v>38166.782220000001</v>
      </c>
      <c r="AD36" s="442">
        <v>31559.226569999999</v>
      </c>
      <c r="AE36" s="442">
        <v>20059.774259999998</v>
      </c>
      <c r="AF36" s="442">
        <v>10078.149020000001</v>
      </c>
      <c r="AG36" s="442"/>
      <c r="AH36" s="703">
        <f>'T-T1'!AN38+'T-T1'!AQ38+'T-T1'!AU38</f>
        <v>259963.246316</v>
      </c>
      <c r="AI36" s="442">
        <v>126417.20110000001</v>
      </c>
      <c r="AJ36" s="442">
        <v>105306.6207</v>
      </c>
      <c r="AK36" s="442">
        <v>66818.704180000001</v>
      </c>
      <c r="AL36" s="442">
        <v>53664.540309999997</v>
      </c>
      <c r="AM36" s="442">
        <v>31833.615450000001</v>
      </c>
      <c r="AN36" s="442">
        <v>13464.228569999999</v>
      </c>
      <c r="AO36" s="442"/>
      <c r="AP36" s="703">
        <f>'T-T1'!AJ38+'T-T1'!AK38+'T-T1'!AL38</f>
        <v>110199</v>
      </c>
      <c r="AQ36" s="442">
        <v>51339.253340000003</v>
      </c>
      <c r="AR36" s="442">
        <v>41593.744830000003</v>
      </c>
      <c r="AS36" s="442">
        <v>26141.663100000002</v>
      </c>
      <c r="AT36" s="442">
        <v>21347.057339999999</v>
      </c>
      <c r="AU36" s="442">
        <v>13324.96242</v>
      </c>
      <c r="AV36" s="442">
        <v>6459.3924219999999</v>
      </c>
      <c r="AW36" s="442"/>
      <c r="AX36" s="703">
        <f>'T-T1'!X38+'T-T1'!Y38+'T-T1'!Z38</f>
        <v>124422</v>
      </c>
      <c r="AY36" s="442">
        <v>44431.965539999997</v>
      </c>
      <c r="AZ36" s="442">
        <v>32394.106500000002</v>
      </c>
      <c r="BA36" s="442">
        <v>17420.116170000001</v>
      </c>
      <c r="BB36" s="442">
        <v>13666.90271</v>
      </c>
      <c r="BC36" s="442">
        <v>7929.153894</v>
      </c>
      <c r="BD36" s="442">
        <v>3541.4627209999999</v>
      </c>
      <c r="BE36" s="442"/>
      <c r="BF36" s="442">
        <f>'T-T1'!AD38+'T-T1'!AO38+'T-T1'!AR38+'T-T1'!AV38+'T-T1'!BI38+'T-T1'!BJ38</f>
        <v>406669.02943736798</v>
      </c>
      <c r="BG36" s="442">
        <v>97148.677320000003</v>
      </c>
      <c r="BH36" s="442">
        <v>59171.552649999998</v>
      </c>
      <c r="BI36" s="442">
        <v>19588.342850000001</v>
      </c>
      <c r="BJ36" s="442">
        <v>13179.68231</v>
      </c>
      <c r="BK36" s="442">
        <v>5480.9644410000001</v>
      </c>
      <c r="BL36" s="442">
        <v>1266.171713</v>
      </c>
      <c r="BM36" s="442"/>
      <c r="BN36" s="442">
        <f t="shared" si="13"/>
        <v>464367.39495643164</v>
      </c>
      <c r="BO36" s="442">
        <f t="shared" si="14"/>
        <v>170387.61127899989</v>
      </c>
      <c r="BP36" s="442">
        <f t="shared" si="15"/>
        <v>119485.61948899986</v>
      </c>
      <c r="BQ36" s="442">
        <f t="shared" si="16"/>
        <v>60688.771788999889</v>
      </c>
      <c r="BR36" s="442">
        <f t="shared" si="17"/>
        <v>46432.287079999995</v>
      </c>
      <c r="BS36" s="442">
        <f t="shared" si="18"/>
        <v>24151.073246999957</v>
      </c>
      <c r="BT36" s="442">
        <f t="shared" si="19"/>
        <v>10159.301485999986</v>
      </c>
      <c r="BU36" s="452"/>
      <c r="BV36" s="1081"/>
    </row>
    <row r="37" spans="1:74" ht="12" customHeight="1" x14ac:dyDescent="0.3">
      <c r="A37" s="448">
        <v>1990</v>
      </c>
      <c r="B37" s="442">
        <v>5036094.3466999996</v>
      </c>
      <c r="C37" s="442">
        <v>1734714.4650539998</v>
      </c>
      <c r="D37" s="442">
        <v>1200460.624204</v>
      </c>
      <c r="E37" s="442">
        <v>568466.31901400001</v>
      </c>
      <c r="F37" s="442">
        <v>426627.66008399997</v>
      </c>
      <c r="G37" s="442">
        <v>223920.551144</v>
      </c>
      <c r="H37" s="442">
        <v>88307.414984000003</v>
      </c>
      <c r="J37" s="442">
        <f>'T-T1'!C39+'T-T1'!E39+'T-T1'!G39+'T-T1'!I39</f>
        <v>3107638</v>
      </c>
      <c r="K37" s="442">
        <v>920493.64500000002</v>
      </c>
      <c r="L37" s="442">
        <v>569741.24739999999</v>
      </c>
      <c r="M37" s="442">
        <v>208532.67129999999</v>
      </c>
      <c r="N37" s="442">
        <v>142669.60219999999</v>
      </c>
      <c r="O37" s="442">
        <v>60212.401089999999</v>
      </c>
      <c r="P37" s="442">
        <v>16797.186020000001</v>
      </c>
      <c r="Q37" s="444"/>
      <c r="R37" s="442">
        <f>'T-T1'!K39+'T-T1'!L39+'T-T1'!N39+'T-T1'!O39+'T-T1'!P39+'T-T1'!Q39+'T-T1'!S39+'T-T1'!T39+'T-T1'!AG39+'T-T1'!AH39</f>
        <v>423573.8532439</v>
      </c>
      <c r="S37" s="442">
        <v>226261.96492999999</v>
      </c>
      <c r="T37" s="442">
        <v>194007.95313000001</v>
      </c>
      <c r="U37" s="442">
        <v>127407.73177</v>
      </c>
      <c r="V37" s="442">
        <v>102095.92952000001</v>
      </c>
      <c r="W37" s="442">
        <v>60156.182514</v>
      </c>
      <c r="X37" s="442">
        <v>27129.14719</v>
      </c>
      <c r="Y37" s="442"/>
      <c r="Z37" s="703">
        <f>'T-T1'!AC39</f>
        <v>93367.124536000003</v>
      </c>
      <c r="AA37" s="442">
        <v>62142.884969999999</v>
      </c>
      <c r="AB37" s="442">
        <v>54908.340080000002</v>
      </c>
      <c r="AC37" s="442">
        <v>37717.813340000001</v>
      </c>
      <c r="AD37" s="442">
        <v>31601.98661</v>
      </c>
      <c r="AE37" s="442">
        <v>20626.450410000001</v>
      </c>
      <c r="AF37" s="442">
        <v>10299.86831</v>
      </c>
      <c r="AG37" s="442"/>
      <c r="AH37" s="703">
        <f>'T-T1'!AN39+'T-T1'!AQ39+'T-T1'!AU39</f>
        <v>269424.68692800001</v>
      </c>
      <c r="AI37" s="442">
        <v>131321.6323</v>
      </c>
      <c r="AJ37" s="442">
        <v>109097.4552</v>
      </c>
      <c r="AK37" s="442">
        <v>68815.324399999998</v>
      </c>
      <c r="AL37" s="442">
        <v>55977.138529999997</v>
      </c>
      <c r="AM37" s="442">
        <v>33661.397380000002</v>
      </c>
      <c r="AN37" s="442">
        <v>14401.960719999999</v>
      </c>
      <c r="AO37" s="442"/>
      <c r="AP37" s="703">
        <f>'T-T1'!AJ39+'T-T1'!AK39+'T-T1'!AL39</f>
        <v>102666</v>
      </c>
      <c r="AQ37" s="442">
        <v>48502.307549999998</v>
      </c>
      <c r="AR37" s="442">
        <v>38186.664169999996</v>
      </c>
      <c r="AS37" s="442">
        <v>22324.77997</v>
      </c>
      <c r="AT37" s="442">
        <v>18229.436570000002</v>
      </c>
      <c r="AU37" s="442">
        <v>11413.98576</v>
      </c>
      <c r="AV37" s="442">
        <v>5473.9712460000001</v>
      </c>
      <c r="AW37" s="442"/>
      <c r="AX37" s="703">
        <f>'T-T1'!X39+'T-T1'!Y39+'T-T1'!Z39</f>
        <v>121816</v>
      </c>
      <c r="AY37" s="442">
        <v>47556.714160000003</v>
      </c>
      <c r="AZ37" s="442">
        <v>34306.099280000002</v>
      </c>
      <c r="BA37" s="442">
        <v>16733.67713</v>
      </c>
      <c r="BB37" s="442">
        <v>13002.24769</v>
      </c>
      <c r="BC37" s="442">
        <v>7488.487803</v>
      </c>
      <c r="BD37" s="442">
        <v>3283.6386969999999</v>
      </c>
      <c r="BE37" s="442"/>
      <c r="BF37" s="442">
        <f>'T-T1'!AD39+'T-T1'!AO39+'T-T1'!AR39+'T-T1'!AV39+'T-T1'!BI39+'T-T1'!BJ39</f>
        <v>422196.29965727101</v>
      </c>
      <c r="BG37" s="442">
        <v>116323.44530000001</v>
      </c>
      <c r="BH37" s="442">
        <v>73145.613519999999</v>
      </c>
      <c r="BI37" s="442">
        <v>23307.746790000001</v>
      </c>
      <c r="BJ37" s="442">
        <v>15392.147000000001</v>
      </c>
      <c r="BK37" s="442">
        <v>6296.3308360000001</v>
      </c>
      <c r="BL37" s="442">
        <v>1583.6429860000001</v>
      </c>
      <c r="BM37" s="442"/>
      <c r="BN37" s="442">
        <f t="shared" si="13"/>
        <v>495412.38233482861</v>
      </c>
      <c r="BO37" s="442">
        <f t="shared" si="14"/>
        <v>182111.87084399979</v>
      </c>
      <c r="BP37" s="442">
        <f t="shared" si="15"/>
        <v>127067.251424</v>
      </c>
      <c r="BQ37" s="442">
        <f t="shared" si="16"/>
        <v>63626.574314000012</v>
      </c>
      <c r="BR37" s="442">
        <f t="shared" si="17"/>
        <v>47659.171964000008</v>
      </c>
      <c r="BS37" s="442">
        <f t="shared" si="18"/>
        <v>24065.315350999987</v>
      </c>
      <c r="BT37" s="442">
        <f t="shared" si="19"/>
        <v>9337.9998150000065</v>
      </c>
      <c r="BU37" s="452"/>
      <c r="BV37" s="1081"/>
    </row>
    <row r="38" spans="1:74" ht="12" customHeight="1" x14ac:dyDescent="0.3">
      <c r="A38" s="448">
        <v>1991</v>
      </c>
      <c r="B38" s="442">
        <v>5186123.0979000004</v>
      </c>
      <c r="C38" s="442">
        <v>1789548.7625400003</v>
      </c>
      <c r="D38" s="442">
        <v>1232411.3518100001</v>
      </c>
      <c r="E38" s="442">
        <v>566548.12113999994</v>
      </c>
      <c r="F38" s="442">
        <v>420094.76462999999</v>
      </c>
      <c r="G38" s="442">
        <v>216849.35141</v>
      </c>
      <c r="H38" s="442">
        <v>83846.629749999993</v>
      </c>
      <c r="J38" s="442">
        <f>'T-T1'!C40+'T-T1'!E40+'T-T1'!G40+'T-T1'!I40</f>
        <v>3204774</v>
      </c>
      <c r="K38" s="442">
        <v>944649.32720000006</v>
      </c>
      <c r="L38" s="442">
        <v>584959.49179999996</v>
      </c>
      <c r="M38" s="442">
        <v>208539.77660000001</v>
      </c>
      <c r="N38" s="442">
        <v>138230.07509999999</v>
      </c>
      <c r="O38" s="442">
        <v>55574.204059999996</v>
      </c>
      <c r="P38" s="442">
        <v>14511.334860000001</v>
      </c>
      <c r="Q38" s="444"/>
      <c r="R38" s="442">
        <f>'T-T1'!K40+'T-T1'!L40+'T-T1'!N40+'T-T1'!O40+'T-T1'!P40+'T-T1'!Q40+'T-T1'!S40+'T-T1'!T40+'T-T1'!AG40+'T-T1'!AH40</f>
        <v>427570</v>
      </c>
      <c r="S38" s="442">
        <v>224923.52538000001</v>
      </c>
      <c r="T38" s="442">
        <v>191479.38312000001</v>
      </c>
      <c r="U38" s="442">
        <v>119995.7877</v>
      </c>
      <c r="V38" s="442">
        <v>95898.187779</v>
      </c>
      <c r="W38" s="442">
        <v>56565.495734999997</v>
      </c>
      <c r="X38" s="442">
        <v>24958.038611</v>
      </c>
      <c r="Y38" s="442"/>
      <c r="Z38" s="703">
        <f>'T-T1'!AC40</f>
        <v>90456.468634000004</v>
      </c>
      <c r="AA38" s="442">
        <v>60521.076849999998</v>
      </c>
      <c r="AB38" s="442">
        <v>52633.220589999997</v>
      </c>
      <c r="AC38" s="442">
        <v>36883.632969999999</v>
      </c>
      <c r="AD38" s="442">
        <v>30760.168559999998</v>
      </c>
      <c r="AE38" s="442">
        <v>19791.21227</v>
      </c>
      <c r="AF38" s="442">
        <v>9724.7730730000003</v>
      </c>
      <c r="AG38" s="442"/>
      <c r="AH38" s="703">
        <f>'T-T1'!AN40+'T-T1'!AQ40+'T-T1'!AU40</f>
        <v>255501.56562000001</v>
      </c>
      <c r="AI38" s="442">
        <v>127952.10679999999</v>
      </c>
      <c r="AJ38" s="442">
        <v>105161.0304</v>
      </c>
      <c r="AK38" s="442">
        <v>68729.262690000003</v>
      </c>
      <c r="AL38" s="442">
        <v>56321.410949999998</v>
      </c>
      <c r="AM38" s="442">
        <v>34056.254650000003</v>
      </c>
      <c r="AN38" s="442">
        <v>14502.630639999999</v>
      </c>
      <c r="AO38" s="442"/>
      <c r="AP38" s="703">
        <f>'T-T1'!AJ40+'T-T1'!AK40+'T-T1'!AL40</f>
        <v>132225</v>
      </c>
      <c r="AQ38" s="442">
        <v>68103.816340000005</v>
      </c>
      <c r="AR38" s="442">
        <v>53990.667170000001</v>
      </c>
      <c r="AS38" s="442">
        <v>32053.492409999999</v>
      </c>
      <c r="AT38" s="442">
        <v>26167.820049999998</v>
      </c>
      <c r="AU38" s="442">
        <v>16419.892889999999</v>
      </c>
      <c r="AV38" s="442">
        <v>7792.7984610000003</v>
      </c>
      <c r="AW38" s="442"/>
      <c r="AX38" s="703">
        <f>'T-T1'!X40+'T-T1'!Y40+'T-T1'!Z40</f>
        <v>117813.00000000001</v>
      </c>
      <c r="AY38" s="442">
        <v>50252.915639999999</v>
      </c>
      <c r="AZ38" s="442">
        <v>36593.486629999999</v>
      </c>
      <c r="BA38" s="442">
        <v>17919.83394</v>
      </c>
      <c r="BB38" s="442">
        <v>13940.931780000001</v>
      </c>
      <c r="BC38" s="442">
        <v>8078.9718069999999</v>
      </c>
      <c r="BD38" s="442">
        <v>3560.4195690000001</v>
      </c>
      <c r="BE38" s="442"/>
      <c r="BF38" s="442">
        <f>'T-T1'!AD40+'T-T1'!AO40+'T-T1'!AR40+'T-T1'!AV40+'T-T1'!BI40+'T-T1'!BJ40</f>
        <v>426637.77272415999</v>
      </c>
      <c r="BG38" s="442">
        <v>124552.7311</v>
      </c>
      <c r="BH38" s="442">
        <v>79100.943469999998</v>
      </c>
      <c r="BI38" s="442">
        <v>23101.945909999999</v>
      </c>
      <c r="BJ38" s="442">
        <v>14661.23875</v>
      </c>
      <c r="BK38" s="442">
        <v>5221.6671020000003</v>
      </c>
      <c r="BL38" s="442">
        <v>1179.906475</v>
      </c>
      <c r="BM38" s="442"/>
      <c r="BN38" s="442">
        <f t="shared" si="13"/>
        <v>531145.29092184035</v>
      </c>
      <c r="BO38" s="442">
        <f t="shared" si="14"/>
        <v>188593.26323000019</v>
      </c>
      <c r="BP38" s="442">
        <f t="shared" si="15"/>
        <v>128493.1286300002</v>
      </c>
      <c r="BQ38" s="442">
        <f t="shared" si="16"/>
        <v>59324.388919999968</v>
      </c>
      <c r="BR38" s="442">
        <f t="shared" si="17"/>
        <v>44114.931660999995</v>
      </c>
      <c r="BS38" s="442">
        <f t="shared" si="18"/>
        <v>21141.652896</v>
      </c>
      <c r="BT38" s="442">
        <f t="shared" si="19"/>
        <v>7616.7280609999907</v>
      </c>
      <c r="BU38" s="452"/>
      <c r="BV38" s="1081"/>
    </row>
    <row r="39" spans="1:74" ht="12" customHeight="1" x14ac:dyDescent="0.3">
      <c r="A39" s="448">
        <v>1992</v>
      </c>
      <c r="B39" s="442">
        <v>5499747.9360999996</v>
      </c>
      <c r="C39" s="442">
        <v>1951580.8791799997</v>
      </c>
      <c r="D39" s="442">
        <v>1356716.4248699998</v>
      </c>
      <c r="E39" s="442">
        <v>637846.28862999997</v>
      </c>
      <c r="F39" s="442">
        <v>478674.99063999997</v>
      </c>
      <c r="G39" s="442">
        <v>254121.84255999999</v>
      </c>
      <c r="H39" s="442">
        <v>102346.28289</v>
      </c>
      <c r="J39" s="442">
        <f>'T-T1'!C41+'T-T1'!E41+'T-T1'!G41+'T-T1'!I41</f>
        <v>3390914</v>
      </c>
      <c r="K39" s="442">
        <v>1036373.297</v>
      </c>
      <c r="L39" s="442">
        <v>657474.68940000003</v>
      </c>
      <c r="M39" s="442">
        <v>249759.71090000001</v>
      </c>
      <c r="N39" s="442">
        <v>174655.82139999999</v>
      </c>
      <c r="O39" s="442">
        <v>80379.800010000006</v>
      </c>
      <c r="P39" s="442">
        <v>25826.33095</v>
      </c>
      <c r="Q39" s="444"/>
      <c r="R39" s="442">
        <f>'T-T1'!K41+'T-T1'!L41+'T-T1'!N41+'T-T1'!O41+'T-T1'!P41+'T-T1'!Q41+'T-T1'!S41+'T-T1'!T41+'T-T1'!AG41+'T-T1'!AH41</f>
        <v>487896</v>
      </c>
      <c r="S39" s="442">
        <v>244560.24098</v>
      </c>
      <c r="T39" s="442">
        <v>207404.02324000001</v>
      </c>
      <c r="U39" s="442">
        <v>129812.94237</v>
      </c>
      <c r="V39" s="442">
        <v>103478.42276</v>
      </c>
      <c r="W39" s="442">
        <v>60306.471422000002</v>
      </c>
      <c r="X39" s="442">
        <v>27264.651053000001</v>
      </c>
      <c r="Y39" s="442"/>
      <c r="Z39" s="703">
        <f>'T-T1'!AC41</f>
        <v>90552.067022000003</v>
      </c>
      <c r="AA39" s="442">
        <v>61621.485249999998</v>
      </c>
      <c r="AB39" s="442">
        <v>52725.524790000003</v>
      </c>
      <c r="AC39" s="442">
        <v>37128.441319999998</v>
      </c>
      <c r="AD39" s="442">
        <v>30706.730920000002</v>
      </c>
      <c r="AE39" s="442">
        <v>20839.43564</v>
      </c>
      <c r="AF39" s="442">
        <v>10563.30276</v>
      </c>
      <c r="AG39" s="442"/>
      <c r="AH39" s="703">
        <f>'T-T1'!AN41+'T-T1'!AQ41+'T-T1'!AU41</f>
        <v>212209.01650699999</v>
      </c>
      <c r="AI39" s="442">
        <v>109793.71890000001</v>
      </c>
      <c r="AJ39" s="442">
        <v>90946.576939999999</v>
      </c>
      <c r="AK39" s="442">
        <v>60014.955670000003</v>
      </c>
      <c r="AL39" s="442">
        <v>49267.909749999999</v>
      </c>
      <c r="AM39" s="442">
        <v>29865.090649999998</v>
      </c>
      <c r="AN39" s="442">
        <v>12792.00872</v>
      </c>
      <c r="AO39" s="442"/>
      <c r="AP39" s="703">
        <f>'T-T1'!AJ41+'T-T1'!AK41+'T-T1'!AL41</f>
        <v>137067</v>
      </c>
      <c r="AQ39" s="442">
        <v>74280.180300000007</v>
      </c>
      <c r="AR39" s="442">
        <v>58820.947310000003</v>
      </c>
      <c r="AS39" s="442">
        <v>34763.647429999997</v>
      </c>
      <c r="AT39" s="442">
        <v>28265.0281</v>
      </c>
      <c r="AU39" s="442">
        <v>18389.348580000002</v>
      </c>
      <c r="AV39" s="442">
        <v>8951.0733650000002</v>
      </c>
      <c r="AW39" s="442"/>
      <c r="AX39" s="703">
        <f>'T-T1'!X41+'T-T1'!Y41+'T-T1'!Z41</f>
        <v>131914</v>
      </c>
      <c r="AY39" s="442">
        <v>60134.246099999997</v>
      </c>
      <c r="AZ39" s="442">
        <v>44390.40928</v>
      </c>
      <c r="BA39" s="442">
        <v>21879.909309999999</v>
      </c>
      <c r="BB39" s="442">
        <v>17088.956109999999</v>
      </c>
      <c r="BC39" s="442">
        <v>10250.255209999999</v>
      </c>
      <c r="BD39" s="442">
        <v>4651.8392869999998</v>
      </c>
      <c r="BE39" s="442"/>
      <c r="BF39" s="442">
        <f>'T-T1'!AD41+'T-T1'!AO41+'T-T1'!AR41+'T-T1'!AV41+'T-T1'!BI41+'T-T1'!BJ41</f>
        <v>481976.46955292003</v>
      </c>
      <c r="BG39" s="442">
        <v>153472.22589999999</v>
      </c>
      <c r="BH39" s="442">
        <v>99117.630799999999</v>
      </c>
      <c r="BI39" s="442">
        <v>30674.54925</v>
      </c>
      <c r="BJ39" s="442">
        <v>20347.727739999998</v>
      </c>
      <c r="BK39" s="442">
        <v>8295.8665120000005</v>
      </c>
      <c r="BL39" s="442">
        <v>2241.7873399999999</v>
      </c>
      <c r="BM39" s="442"/>
      <c r="BN39" s="442">
        <f t="shared" si="13"/>
        <v>567219.38301807968</v>
      </c>
      <c r="BO39" s="442">
        <f t="shared" si="14"/>
        <v>211345.48474999968</v>
      </c>
      <c r="BP39" s="442">
        <f t="shared" si="15"/>
        <v>145836.62310999969</v>
      </c>
      <c r="BQ39" s="442">
        <f t="shared" si="16"/>
        <v>73812.132379999981</v>
      </c>
      <c r="BR39" s="442">
        <f t="shared" si="17"/>
        <v>54864.393859999982</v>
      </c>
      <c r="BS39" s="442">
        <f t="shared" si="18"/>
        <v>25795.574535999978</v>
      </c>
      <c r="BT39" s="442">
        <f t="shared" si="19"/>
        <v>10055.289415000003</v>
      </c>
      <c r="BU39" s="452"/>
      <c r="BV39" s="1081"/>
    </row>
    <row r="40" spans="1:74" ht="12" customHeight="1" x14ac:dyDescent="0.3">
      <c r="A40" s="448">
        <v>1993</v>
      </c>
      <c r="B40" s="442">
        <v>5754784.1842999998</v>
      </c>
      <c r="C40" s="442">
        <v>2015886.8654170001</v>
      </c>
      <c r="D40" s="442">
        <v>1389589.4986970001</v>
      </c>
      <c r="E40" s="442">
        <v>630383.38549699995</v>
      </c>
      <c r="F40" s="442">
        <v>466280.03256700002</v>
      </c>
      <c r="G40" s="442">
        <v>241972.52956699999</v>
      </c>
      <c r="H40" s="442">
        <v>95734.795926999999</v>
      </c>
      <c r="J40" s="442">
        <f>'T-T1'!C42+'T-T1'!E42+'T-T1'!G42+'T-T1'!I42</f>
        <v>3529915</v>
      </c>
      <c r="K40" s="442">
        <v>1069227.102</v>
      </c>
      <c r="L40" s="442">
        <v>674970.38970000006</v>
      </c>
      <c r="M40" s="442">
        <v>247086.09950000001</v>
      </c>
      <c r="N40" s="442">
        <v>166823.1715</v>
      </c>
      <c r="O40" s="442">
        <v>72879.061799999996</v>
      </c>
      <c r="P40" s="442">
        <v>21561.311000000002</v>
      </c>
      <c r="Q40" s="444"/>
      <c r="R40" s="442">
        <f>'T-T1'!K42+'T-T1'!L42+'T-T1'!N42+'T-T1'!O42+'T-T1'!P42+'T-T1'!Q42+'T-T1'!S42+'T-T1'!T42+'T-T1'!AG42+'T-T1'!AH42</f>
        <v>530003</v>
      </c>
      <c r="S40" s="442">
        <v>262188.42180000001</v>
      </c>
      <c r="T40" s="442">
        <v>217697.86314</v>
      </c>
      <c r="U40" s="442">
        <v>131274.95936000001</v>
      </c>
      <c r="V40" s="442">
        <v>105648.72026</v>
      </c>
      <c r="W40" s="442">
        <v>62129.201266999997</v>
      </c>
      <c r="X40" s="442">
        <v>27996.691911000002</v>
      </c>
      <c r="Y40" s="442"/>
      <c r="Z40" s="703">
        <f>'T-T1'!AC42</f>
        <v>92635.028957000002</v>
      </c>
      <c r="AA40" s="442">
        <v>61179.804609999999</v>
      </c>
      <c r="AB40" s="442">
        <v>52131.737260000002</v>
      </c>
      <c r="AC40" s="442">
        <v>35698.74338</v>
      </c>
      <c r="AD40" s="442">
        <v>29673.450720000001</v>
      </c>
      <c r="AE40" s="442">
        <v>19617.645359999999</v>
      </c>
      <c r="AF40" s="442">
        <v>9891.5278080000007</v>
      </c>
      <c r="AG40" s="442"/>
      <c r="AH40" s="703">
        <f>'T-T1'!AN42+'T-T1'!AQ42+'T-T1'!AU42</f>
        <v>182791.80886799999</v>
      </c>
      <c r="AI40" s="442">
        <v>98516.288499999995</v>
      </c>
      <c r="AJ40" s="442">
        <v>82625.606020000007</v>
      </c>
      <c r="AK40" s="442">
        <v>55131.58627</v>
      </c>
      <c r="AL40" s="442">
        <v>45435.157859999999</v>
      </c>
      <c r="AM40" s="442">
        <v>27626.222389999999</v>
      </c>
      <c r="AN40" s="442">
        <v>12117.01777</v>
      </c>
      <c r="AO40" s="442"/>
      <c r="AP40" s="703">
        <f>'T-T1'!AJ42+'T-T1'!AK42+'T-T1'!AL42</f>
        <v>145644.00000000003</v>
      </c>
      <c r="AQ40" s="442">
        <v>76754.378469999996</v>
      </c>
      <c r="AR40" s="442">
        <v>60595.685689999998</v>
      </c>
      <c r="AS40" s="442">
        <v>35076.997470000002</v>
      </c>
      <c r="AT40" s="442">
        <v>28472.974549999999</v>
      </c>
      <c r="AU40" s="442">
        <v>18358.501619999999</v>
      </c>
      <c r="AV40" s="442">
        <v>8968.1684679999998</v>
      </c>
      <c r="AW40" s="442"/>
      <c r="AX40" s="703">
        <f>'T-T1'!X42+'T-T1'!Y42+'T-T1'!Z42</f>
        <v>155047</v>
      </c>
      <c r="AY40" s="442">
        <v>69295.270850000001</v>
      </c>
      <c r="AZ40" s="442">
        <v>51246.447780000002</v>
      </c>
      <c r="BA40" s="442">
        <v>24969.384399999999</v>
      </c>
      <c r="BB40" s="442">
        <v>19447.742300000002</v>
      </c>
      <c r="BC40" s="442">
        <v>11663.72458</v>
      </c>
      <c r="BD40" s="442">
        <v>5356.9400180000002</v>
      </c>
      <c r="BE40" s="442"/>
      <c r="BF40" s="442">
        <f>'T-T1'!AD42+'T-T1'!AO42+'T-T1'!AR42+'T-T1'!AV42+'T-T1'!BI42+'T-T1'!BJ42</f>
        <v>515393.32180183701</v>
      </c>
      <c r="BG40" s="442">
        <v>158482.69039999999</v>
      </c>
      <c r="BH40" s="442">
        <v>102827.13830000001</v>
      </c>
      <c r="BI40" s="442">
        <v>29815.869790000001</v>
      </c>
      <c r="BJ40" s="442">
        <v>18396.373889999999</v>
      </c>
      <c r="BK40" s="442">
        <v>7093.0802299999996</v>
      </c>
      <c r="BL40" s="442">
        <v>1750.6715340000001</v>
      </c>
      <c r="BM40" s="442"/>
      <c r="BN40" s="442">
        <f t="shared" si="13"/>
        <v>603355.02467316273</v>
      </c>
      <c r="BO40" s="442">
        <f t="shared" si="14"/>
        <v>220242.9087870002</v>
      </c>
      <c r="BP40" s="442">
        <f t="shared" si="15"/>
        <v>147494.63080699998</v>
      </c>
      <c r="BQ40" s="442">
        <f t="shared" si="16"/>
        <v>71329.745326999939</v>
      </c>
      <c r="BR40" s="442">
        <f t="shared" si="17"/>
        <v>52382.441487000018</v>
      </c>
      <c r="BS40" s="442">
        <f t="shared" si="18"/>
        <v>22605.092320000011</v>
      </c>
      <c r="BT40" s="442">
        <f t="shared" si="19"/>
        <v>8092.4674179999975</v>
      </c>
      <c r="BU40" s="452"/>
      <c r="BV40" s="1081"/>
    </row>
    <row r="41" spans="1:74" ht="12" customHeight="1" x14ac:dyDescent="0.3">
      <c r="A41" s="448">
        <v>1994</v>
      </c>
      <c r="B41" s="442">
        <v>6140229.0157000003</v>
      </c>
      <c r="C41" s="442">
        <v>2135311.2091100002</v>
      </c>
      <c r="D41" s="442">
        <v>1474301.1920699999</v>
      </c>
      <c r="E41" s="442">
        <v>672205.60481999989</v>
      </c>
      <c r="F41" s="442">
        <v>496489.98145999998</v>
      </c>
      <c r="G41" s="442">
        <v>258399.02944000001</v>
      </c>
      <c r="H41" s="442">
        <v>102094.86871</v>
      </c>
      <c r="J41" s="442">
        <f>'T-T1'!C43+'T-T1'!E43+'T-T1'!G43+'T-T1'!I43</f>
        <v>3709705</v>
      </c>
      <c r="K41" s="442">
        <v>1107286.459</v>
      </c>
      <c r="L41" s="442">
        <v>692819.59160000004</v>
      </c>
      <c r="M41" s="442">
        <v>249287.6183</v>
      </c>
      <c r="N41" s="442">
        <v>163122.2574</v>
      </c>
      <c r="O41" s="442">
        <v>67514.813779999997</v>
      </c>
      <c r="P41" s="442">
        <v>18778.957419999999</v>
      </c>
      <c r="Q41" s="444"/>
      <c r="R41" s="442">
        <f>'T-T1'!K43+'T-T1'!L43+'T-T1'!N43+'T-T1'!O43+'T-T1'!P43+'T-T1'!Q43+'T-T1'!S43+'T-T1'!T43+'T-T1'!AG43+'T-T1'!AH43</f>
        <v>580131</v>
      </c>
      <c r="S41" s="442">
        <v>293789.23353000003</v>
      </c>
      <c r="T41" s="442">
        <v>247238.33324000001</v>
      </c>
      <c r="U41" s="442">
        <v>151883.73113</v>
      </c>
      <c r="V41" s="442">
        <v>122893.27318</v>
      </c>
      <c r="W41" s="442">
        <v>74476.289397</v>
      </c>
      <c r="X41" s="442">
        <v>33165.457968000002</v>
      </c>
      <c r="Y41" s="442"/>
      <c r="Z41" s="703">
        <f>'T-T1'!AC43</f>
        <v>96295.132379000002</v>
      </c>
      <c r="AA41" s="442">
        <v>64087.885970000003</v>
      </c>
      <c r="AB41" s="442">
        <v>55922.929279999997</v>
      </c>
      <c r="AC41" s="442">
        <v>38920.50879</v>
      </c>
      <c r="AD41" s="442">
        <v>33172.12629</v>
      </c>
      <c r="AE41" s="442">
        <v>21635.558410000001</v>
      </c>
      <c r="AF41" s="442">
        <v>10916.921259999999</v>
      </c>
      <c r="AG41" s="442"/>
      <c r="AH41" s="703">
        <f>'T-T1'!AN43+'T-T1'!AQ43+'T-T1'!AU43</f>
        <v>180403.209256</v>
      </c>
      <c r="AI41" s="442">
        <v>98958.876310000007</v>
      </c>
      <c r="AJ41" s="442">
        <v>84185.246780000001</v>
      </c>
      <c r="AK41" s="442">
        <v>57960.143600000003</v>
      </c>
      <c r="AL41" s="442">
        <v>48381.790359999999</v>
      </c>
      <c r="AM41" s="442">
        <v>30051.27708</v>
      </c>
      <c r="AN41" s="442">
        <v>13249.606229999999</v>
      </c>
      <c r="AO41" s="442"/>
      <c r="AP41" s="703">
        <f>'T-T1'!AJ43+'T-T1'!AK43+'T-T1'!AL43</f>
        <v>192800</v>
      </c>
      <c r="AQ41" s="442">
        <v>98335.517850000004</v>
      </c>
      <c r="AR41" s="442">
        <v>77798.217879999997</v>
      </c>
      <c r="AS41" s="442">
        <v>44646.31005</v>
      </c>
      <c r="AT41" s="442">
        <v>36740.27867</v>
      </c>
      <c r="AU41" s="442">
        <v>23329.13623</v>
      </c>
      <c r="AV41" s="442">
        <v>11353.10421</v>
      </c>
      <c r="AW41" s="442"/>
      <c r="AX41" s="703">
        <f>'T-T1'!X43+'T-T1'!Y43+'T-T1'!Z43</f>
        <v>172671</v>
      </c>
      <c r="AY41" s="442">
        <v>75502.812969999999</v>
      </c>
      <c r="AZ41" s="442">
        <v>56096.610339999999</v>
      </c>
      <c r="BA41" s="442">
        <v>27705.30373</v>
      </c>
      <c r="BB41" s="442">
        <v>21815.914430000001</v>
      </c>
      <c r="BC41" s="442">
        <v>13168.374589999999</v>
      </c>
      <c r="BD41" s="442">
        <v>6094.0232050000004</v>
      </c>
      <c r="BE41" s="442"/>
      <c r="BF41" s="442">
        <f>'T-T1'!AD43+'T-T1'!AO43+'T-T1'!AR43+'T-T1'!AV43+'T-T1'!BI43+'T-T1'!BJ43</f>
        <v>529952.04497988499</v>
      </c>
      <c r="BG41" s="442">
        <v>156748.80979999999</v>
      </c>
      <c r="BH41" s="442">
        <v>100576.3455</v>
      </c>
      <c r="BI41" s="442">
        <v>27592.000410000001</v>
      </c>
      <c r="BJ41" s="442">
        <v>16800.067019999999</v>
      </c>
      <c r="BK41" s="442">
        <v>6252.9286549999997</v>
      </c>
      <c r="BL41" s="442">
        <v>1427.4631509999999</v>
      </c>
      <c r="BM41" s="442"/>
      <c r="BN41" s="442">
        <f t="shared" si="13"/>
        <v>678271.62908511539</v>
      </c>
      <c r="BO41" s="442">
        <f t="shared" si="14"/>
        <v>240601.61368000013</v>
      </c>
      <c r="BP41" s="442">
        <f t="shared" si="15"/>
        <v>159663.91744999989</v>
      </c>
      <c r="BQ41" s="442">
        <f t="shared" si="16"/>
        <v>74209.988809999952</v>
      </c>
      <c r="BR41" s="442">
        <f t="shared" si="17"/>
        <v>53564.274109999969</v>
      </c>
      <c r="BS41" s="442">
        <f t="shared" si="18"/>
        <v>21970.651298000015</v>
      </c>
      <c r="BT41" s="442">
        <f t="shared" si="19"/>
        <v>7109.3352659999873</v>
      </c>
      <c r="BU41" s="452"/>
      <c r="BV41" s="1081"/>
    </row>
    <row r="42" spans="1:74" ht="12" customHeight="1" x14ac:dyDescent="0.3">
      <c r="A42" s="448">
        <v>1995</v>
      </c>
      <c r="B42" s="442">
        <v>6479476.4874999998</v>
      </c>
      <c r="C42" s="442">
        <v>2293345.7571999999</v>
      </c>
      <c r="D42" s="442">
        <v>1595901.5654100003</v>
      </c>
      <c r="E42" s="442">
        <v>745925.77271000005</v>
      </c>
      <c r="F42" s="442">
        <v>557500.57157000003</v>
      </c>
      <c r="G42" s="442">
        <v>292153.43403</v>
      </c>
      <c r="H42" s="442">
        <v>115676.17368000001</v>
      </c>
      <c r="J42" s="442">
        <f>'T-T1'!C44+'T-T1'!E44+'T-T1'!G44+'T-T1'!I44</f>
        <v>3886097</v>
      </c>
      <c r="K42" s="442">
        <v>1180287.422</v>
      </c>
      <c r="L42" s="442">
        <v>748363.97640000004</v>
      </c>
      <c r="M42" s="442">
        <v>278361.3786</v>
      </c>
      <c r="N42" s="442">
        <v>186067.0288</v>
      </c>
      <c r="O42" s="442">
        <v>80387.205799999996</v>
      </c>
      <c r="P42" s="442">
        <v>23537.35399</v>
      </c>
      <c r="Q42" s="444"/>
      <c r="R42" s="442">
        <f>'T-T1'!K44+'T-T1'!L44+'T-T1'!N44+'T-T1'!O44+'T-T1'!P44+'T-T1'!Q44+'T-T1'!S44+'T-T1'!T44+'T-T1'!AG44+'T-T1'!AH44</f>
        <v>623240</v>
      </c>
      <c r="S42" s="442">
        <v>306630.62747000001</v>
      </c>
      <c r="T42" s="442">
        <v>256386.50677000001</v>
      </c>
      <c r="U42" s="442">
        <v>158030.20913</v>
      </c>
      <c r="V42" s="442">
        <v>128795.38243</v>
      </c>
      <c r="W42" s="442">
        <v>75639.681576999996</v>
      </c>
      <c r="X42" s="442">
        <v>32661.975716000001</v>
      </c>
      <c r="Y42" s="442"/>
      <c r="Z42" s="703">
        <f>'T-T1'!AC44</f>
        <v>109264.776423</v>
      </c>
      <c r="AA42" s="442">
        <v>75384.813389999996</v>
      </c>
      <c r="AB42" s="442">
        <v>65058.630299999997</v>
      </c>
      <c r="AC42" s="442">
        <v>44919.675199999998</v>
      </c>
      <c r="AD42" s="442">
        <v>38029.133040000001</v>
      </c>
      <c r="AE42" s="442">
        <v>24825.471269999998</v>
      </c>
      <c r="AF42" s="442">
        <v>12627.503769999999</v>
      </c>
      <c r="AG42" s="442"/>
      <c r="AH42" s="703">
        <f>'T-T1'!AN44+'T-T1'!AQ44+'T-T1'!AU44</f>
        <v>208889.24456999998</v>
      </c>
      <c r="AI42" s="442">
        <v>114940.2724</v>
      </c>
      <c r="AJ42" s="442">
        <v>97050.487890000004</v>
      </c>
      <c r="AK42" s="442">
        <v>65798.71686</v>
      </c>
      <c r="AL42" s="442">
        <v>55177.122340000002</v>
      </c>
      <c r="AM42" s="442">
        <v>34103.490409999999</v>
      </c>
      <c r="AN42" s="442">
        <v>14993.79702</v>
      </c>
      <c r="AO42" s="442"/>
      <c r="AP42" s="703">
        <f>'T-T1'!AJ44+'T-T1'!AK44+'T-T1'!AL44</f>
        <v>226228</v>
      </c>
      <c r="AQ42" s="442">
        <v>119070.9705</v>
      </c>
      <c r="AR42" s="442">
        <v>95004.584390000004</v>
      </c>
      <c r="AS42" s="442">
        <v>55789.589249999997</v>
      </c>
      <c r="AT42" s="442">
        <v>45976.405290000002</v>
      </c>
      <c r="AU42" s="442">
        <v>29368.404890000002</v>
      </c>
      <c r="AV42" s="442">
        <v>14179.58145</v>
      </c>
      <c r="AW42" s="442"/>
      <c r="AX42" s="703">
        <f>'T-T1'!X44+'T-T1'!Y44+'T-T1'!Z44</f>
        <v>194449</v>
      </c>
      <c r="AY42" s="442">
        <v>86357.937439999994</v>
      </c>
      <c r="AZ42" s="442">
        <v>64654.062189999997</v>
      </c>
      <c r="BA42" s="442">
        <v>32474.57806</v>
      </c>
      <c r="BB42" s="442">
        <v>25673.501209999999</v>
      </c>
      <c r="BC42" s="442">
        <v>15522.64306</v>
      </c>
      <c r="BD42" s="442">
        <v>7140.8365610000001</v>
      </c>
      <c r="BE42" s="442"/>
      <c r="BF42" s="442">
        <f>'T-T1'!AD44+'T-T1'!AO44+'T-T1'!AR44+'T-T1'!AV44+'T-T1'!BI44+'T-T1'!BJ44</f>
        <v>523689.21301772498</v>
      </c>
      <c r="BG42" s="442">
        <v>149474.38500000001</v>
      </c>
      <c r="BH42" s="442">
        <v>94526.191359999997</v>
      </c>
      <c r="BI42" s="442">
        <v>26522.39054</v>
      </c>
      <c r="BJ42" s="442">
        <v>16819.719789999999</v>
      </c>
      <c r="BK42" s="442">
        <v>6390.7961290000003</v>
      </c>
      <c r="BL42" s="442">
        <v>1568.038481</v>
      </c>
      <c r="BM42" s="442"/>
      <c r="BN42" s="442">
        <f t="shared" si="13"/>
        <v>707619.253489275</v>
      </c>
      <c r="BO42" s="442">
        <f t="shared" si="14"/>
        <v>261199.32899999985</v>
      </c>
      <c r="BP42" s="442">
        <f t="shared" si="15"/>
        <v>174857.12611000036</v>
      </c>
      <c r="BQ42" s="442">
        <f t="shared" si="16"/>
        <v>84029.235070000053</v>
      </c>
      <c r="BR42" s="442">
        <f t="shared" si="17"/>
        <v>60962.278670000072</v>
      </c>
      <c r="BS42" s="442">
        <f t="shared" si="18"/>
        <v>25915.740893999995</v>
      </c>
      <c r="BT42" s="442">
        <f t="shared" si="19"/>
        <v>8967.0866920000117</v>
      </c>
      <c r="BU42" s="452"/>
      <c r="BV42" s="1081"/>
    </row>
    <row r="43" spans="1:74" ht="12" customHeight="1" x14ac:dyDescent="0.3">
      <c r="A43" s="448">
        <v>1996</v>
      </c>
      <c r="B43" s="442">
        <v>6899394.8994000005</v>
      </c>
      <c r="C43" s="442">
        <v>2477519.6098100003</v>
      </c>
      <c r="D43" s="442">
        <v>1737027.61228</v>
      </c>
      <c r="E43" s="442">
        <v>823168.09763000009</v>
      </c>
      <c r="F43" s="442">
        <v>617910.20122000005</v>
      </c>
      <c r="G43" s="442">
        <v>325759.62595999998</v>
      </c>
      <c r="H43" s="442">
        <v>130544.43336</v>
      </c>
      <c r="J43" s="442">
        <f>'T-T1'!C45+'T-T1'!E45+'T-T1'!G45+'T-T1'!I45</f>
        <v>4082004</v>
      </c>
      <c r="K43" s="442">
        <v>1246020.493</v>
      </c>
      <c r="L43" s="442">
        <v>801049.69850000006</v>
      </c>
      <c r="M43" s="442">
        <v>307233.46090000001</v>
      </c>
      <c r="N43" s="442">
        <v>209490.2684</v>
      </c>
      <c r="O43" s="442">
        <v>93776.0236</v>
      </c>
      <c r="P43" s="442">
        <v>29272.809720000001</v>
      </c>
      <c r="Q43" s="444"/>
      <c r="R43" s="442">
        <f>'T-T1'!K45+'T-T1'!L45+'T-T1'!N45+'T-T1'!O45+'T-T1'!P45+'T-T1'!Q45+'T-T1'!S45+'T-T1'!T45+'T-T1'!AG45+'T-T1'!AH45</f>
        <v>711274.00000000012</v>
      </c>
      <c r="S43" s="442">
        <v>356125.35502000002</v>
      </c>
      <c r="T43" s="442">
        <v>298482.85358</v>
      </c>
      <c r="U43" s="442">
        <v>184243.41506999999</v>
      </c>
      <c r="V43" s="442">
        <v>149751.02449000001</v>
      </c>
      <c r="W43" s="442">
        <v>88397.748812000005</v>
      </c>
      <c r="X43" s="442">
        <v>38162.759973</v>
      </c>
      <c r="Y43" s="442"/>
      <c r="Z43" s="703">
        <f>'T-T1'!AC45</f>
        <v>120195.636755</v>
      </c>
      <c r="AA43" s="442">
        <v>82997.912150000004</v>
      </c>
      <c r="AB43" s="442">
        <v>71343.780100000004</v>
      </c>
      <c r="AC43" s="442">
        <v>48828.132449999997</v>
      </c>
      <c r="AD43" s="442">
        <v>41159.270069999999</v>
      </c>
      <c r="AE43" s="442">
        <v>26426.107110000001</v>
      </c>
      <c r="AF43" s="442">
        <v>13371.21646</v>
      </c>
      <c r="AG43" s="442"/>
      <c r="AH43" s="703">
        <f>'T-T1'!AN45+'T-T1'!AQ45+'T-T1'!AU45</f>
        <v>220266.98988000001</v>
      </c>
      <c r="AI43" s="442">
        <v>122500.71339999999</v>
      </c>
      <c r="AJ43" s="442">
        <v>103175.4567</v>
      </c>
      <c r="AK43" s="442">
        <v>68994.625469999999</v>
      </c>
      <c r="AL43" s="442">
        <v>57292.786319999999</v>
      </c>
      <c r="AM43" s="442">
        <v>35087.632030000001</v>
      </c>
      <c r="AN43" s="442">
        <v>15507.099410000001</v>
      </c>
      <c r="AO43" s="442"/>
      <c r="AP43" s="703">
        <f>'T-T1'!AJ45+'T-T1'!AK45+'T-T1'!AL45</f>
        <v>251055.99999999997</v>
      </c>
      <c r="AQ43" s="442">
        <v>130811.37360000001</v>
      </c>
      <c r="AR43" s="442">
        <v>102978.82919999999</v>
      </c>
      <c r="AS43" s="442">
        <v>59768.924079999997</v>
      </c>
      <c r="AT43" s="442">
        <v>49170.188329999997</v>
      </c>
      <c r="AU43" s="442">
        <v>31041.629359999999</v>
      </c>
      <c r="AV43" s="442">
        <v>14977.46457</v>
      </c>
      <c r="AW43" s="442"/>
      <c r="AX43" s="703">
        <f>'T-T1'!X45+'T-T1'!Y45+'T-T1'!Z45</f>
        <v>211386</v>
      </c>
      <c r="AY43" s="442">
        <v>94237.960279999999</v>
      </c>
      <c r="AZ43" s="442">
        <v>69631.011790000004</v>
      </c>
      <c r="BA43" s="442">
        <v>34935.936750000001</v>
      </c>
      <c r="BB43" s="442">
        <v>27667.22049</v>
      </c>
      <c r="BC43" s="442">
        <v>16566.30384</v>
      </c>
      <c r="BD43" s="442">
        <v>7584.4906469999996</v>
      </c>
      <c r="BE43" s="442"/>
      <c r="BF43" s="442">
        <f>'T-T1'!AD45+'T-T1'!AO45+'T-T1'!AR45+'T-T1'!AV45+'T-T1'!BI45+'T-T1'!BJ45</f>
        <v>548651.75297436607</v>
      </c>
      <c r="BG43" s="442">
        <v>160220.85310000001</v>
      </c>
      <c r="BH43" s="442">
        <v>100426.6309</v>
      </c>
      <c r="BI43" s="442">
        <v>29043.159919999998</v>
      </c>
      <c r="BJ43" s="442">
        <v>18246.371660000001</v>
      </c>
      <c r="BK43" s="442">
        <v>6934.0857619999997</v>
      </c>
      <c r="BL43" s="442">
        <v>1790.1896039999999</v>
      </c>
      <c r="BM43" s="442"/>
      <c r="BN43" s="442">
        <f t="shared" si="13"/>
        <v>754560.51979063428</v>
      </c>
      <c r="BO43" s="442">
        <f t="shared" si="14"/>
        <v>284604.9492600002</v>
      </c>
      <c r="BP43" s="442">
        <f t="shared" si="15"/>
        <v>189939.35151000001</v>
      </c>
      <c r="BQ43" s="442">
        <f t="shared" si="16"/>
        <v>90120.442990000127</v>
      </c>
      <c r="BR43" s="442">
        <f t="shared" si="17"/>
        <v>65133.071460000006</v>
      </c>
      <c r="BS43" s="442">
        <f t="shared" si="18"/>
        <v>27530.095445999967</v>
      </c>
      <c r="BT43" s="442">
        <f t="shared" si="19"/>
        <v>9878.4029759999867</v>
      </c>
      <c r="BU43" s="452"/>
      <c r="BV43" s="1081"/>
    </row>
    <row r="44" spans="1:74" ht="12" customHeight="1" x14ac:dyDescent="0.3">
      <c r="A44" s="448">
        <v>1997</v>
      </c>
      <c r="B44" s="442">
        <v>7380370.9369000001</v>
      </c>
      <c r="C44" s="442">
        <v>2690506.0687099998</v>
      </c>
      <c r="D44" s="442">
        <v>1902893.1697899997</v>
      </c>
      <c r="E44" s="442">
        <v>921830.07778999989</v>
      </c>
      <c r="F44" s="442">
        <v>698151.72061999992</v>
      </c>
      <c r="G44" s="442">
        <v>375790.24854</v>
      </c>
      <c r="H44" s="442">
        <v>150452.28469</v>
      </c>
      <c r="J44" s="442">
        <f>'T-T1'!C46+'T-T1'!E46+'T-T1'!G46+'T-T1'!I46</f>
        <v>4347209</v>
      </c>
      <c r="K44" s="442">
        <v>1347530.75</v>
      </c>
      <c r="L44" s="442">
        <v>875077.65659999999</v>
      </c>
      <c r="M44" s="442">
        <v>346629.97759999998</v>
      </c>
      <c r="N44" s="442">
        <v>240580.7512</v>
      </c>
      <c r="O44" s="442">
        <v>114282.26270000001</v>
      </c>
      <c r="P44" s="442">
        <v>38087.297839999999</v>
      </c>
      <c r="Q44" s="444"/>
      <c r="R44" s="442">
        <f>'T-T1'!K46+'T-T1'!L46+'T-T1'!N46+'T-T1'!O46+'T-T1'!P46+'T-T1'!Q46+'T-T1'!S46+'T-T1'!T46+'T-T1'!AG46+'T-T1'!AH46</f>
        <v>769783</v>
      </c>
      <c r="S44" s="442">
        <v>386765.89627000003</v>
      </c>
      <c r="T44" s="442">
        <v>325836.0638</v>
      </c>
      <c r="U44" s="442">
        <v>205662.94144</v>
      </c>
      <c r="V44" s="442">
        <v>168070.84377000001</v>
      </c>
      <c r="W44" s="442">
        <v>99607.945217</v>
      </c>
      <c r="X44" s="442">
        <v>42403.761847000002</v>
      </c>
      <c r="Y44" s="442"/>
      <c r="Z44" s="703">
        <f>'T-T1'!AC46</f>
        <v>136522.00104900001</v>
      </c>
      <c r="AA44" s="442">
        <v>95322.095069999996</v>
      </c>
      <c r="AB44" s="442">
        <v>82661.364600000001</v>
      </c>
      <c r="AC44" s="442">
        <v>55377.414750000004</v>
      </c>
      <c r="AD44" s="442">
        <v>45423.290050000003</v>
      </c>
      <c r="AE44" s="442">
        <v>29219.793119999998</v>
      </c>
      <c r="AF44" s="442">
        <v>14522.171609999999</v>
      </c>
      <c r="AG44" s="442"/>
      <c r="AH44" s="703">
        <f>'T-T1'!AN46+'T-T1'!AQ46+'T-T1'!AU46</f>
        <v>226962.48571799998</v>
      </c>
      <c r="AI44" s="442">
        <v>127371.4137</v>
      </c>
      <c r="AJ44" s="442">
        <v>108646.96279999999</v>
      </c>
      <c r="AK44" s="442">
        <v>72335.125830000004</v>
      </c>
      <c r="AL44" s="442">
        <v>60155.409319999999</v>
      </c>
      <c r="AM44" s="442">
        <v>37341.528339999997</v>
      </c>
      <c r="AN44" s="442">
        <v>16805.664680000002</v>
      </c>
      <c r="AO44" s="442"/>
      <c r="AP44" s="703">
        <f>'T-T1'!AJ46+'T-T1'!AK46+'T-T1'!AL46</f>
        <v>280896</v>
      </c>
      <c r="AQ44" s="442">
        <v>150595.45019999999</v>
      </c>
      <c r="AR44" s="442">
        <v>119432.2792</v>
      </c>
      <c r="AS44" s="442">
        <v>70027.266919999995</v>
      </c>
      <c r="AT44" s="442">
        <v>56721.145060000003</v>
      </c>
      <c r="AU44" s="442">
        <v>36080.29853</v>
      </c>
      <c r="AV44" s="442">
        <v>17074.875889999999</v>
      </c>
      <c r="AW44" s="442"/>
      <c r="AX44" s="703">
        <f>'T-T1'!X46+'T-T1'!Y46+'T-T1'!Z46</f>
        <v>224762</v>
      </c>
      <c r="AY44" s="442">
        <v>103086.2408</v>
      </c>
      <c r="AZ44" s="442">
        <v>76562.753270000001</v>
      </c>
      <c r="BA44" s="442">
        <v>39099.255129999998</v>
      </c>
      <c r="BB44" s="442">
        <v>30694.524259999998</v>
      </c>
      <c r="BC44" s="442">
        <v>18647.442459999998</v>
      </c>
      <c r="BD44" s="442">
        <v>8456.0739990000002</v>
      </c>
      <c r="BE44" s="442"/>
      <c r="BF44" s="442">
        <f>'T-T1'!AD46+'T-T1'!AO46+'T-T1'!AR46+'T-T1'!AV46+'T-T1'!BI46+'T-T1'!BJ46</f>
        <v>602781.01263736992</v>
      </c>
      <c r="BG44" s="442">
        <v>180756.9859</v>
      </c>
      <c r="BH44" s="442">
        <v>115075.0762</v>
      </c>
      <c r="BI44" s="442">
        <v>34013.428180000003</v>
      </c>
      <c r="BJ44" s="442">
        <v>22089.777450000001</v>
      </c>
      <c r="BK44" s="442">
        <v>9124.1097300000001</v>
      </c>
      <c r="BL44" s="442">
        <v>2466.2275260000001</v>
      </c>
      <c r="BM44" s="442"/>
      <c r="BN44" s="442">
        <f t="shared" si="13"/>
        <v>791455.43749563035</v>
      </c>
      <c r="BO44" s="442">
        <f t="shared" si="14"/>
        <v>299077.23676999973</v>
      </c>
      <c r="BP44" s="442">
        <f t="shared" si="15"/>
        <v>199601.01331999979</v>
      </c>
      <c r="BQ44" s="442">
        <f t="shared" si="16"/>
        <v>98684.667939999941</v>
      </c>
      <c r="BR44" s="442">
        <f t="shared" si="17"/>
        <v>74415.979509999917</v>
      </c>
      <c r="BS44" s="442">
        <f t="shared" si="18"/>
        <v>31486.868443000003</v>
      </c>
      <c r="BT44" s="442">
        <f t="shared" si="19"/>
        <v>10636.211298</v>
      </c>
      <c r="BU44" s="452"/>
      <c r="BV44" s="1081"/>
    </row>
    <row r="45" spans="1:74" ht="12" customHeight="1" x14ac:dyDescent="0.3">
      <c r="A45" s="448">
        <v>1998</v>
      </c>
      <c r="B45" s="442">
        <v>7857277.2644999996</v>
      </c>
      <c r="C45" s="442">
        <v>2862182.9109699996</v>
      </c>
      <c r="D45" s="442">
        <v>2032760.1502100001</v>
      </c>
      <c r="E45" s="442">
        <v>992977.21530999988</v>
      </c>
      <c r="F45" s="442">
        <v>753576.54368000012</v>
      </c>
      <c r="G45" s="442">
        <v>409907.40046000003</v>
      </c>
      <c r="H45" s="442">
        <v>163397.2671</v>
      </c>
      <c r="J45" s="442">
        <f>'T-T1'!C47+'T-T1'!E47+'T-T1'!G47+'T-T1'!I47</f>
        <v>4682071</v>
      </c>
      <c r="K45" s="442">
        <v>1458023.459</v>
      </c>
      <c r="L45" s="442">
        <v>960256.0196</v>
      </c>
      <c r="M45" s="442">
        <v>394503.13799999998</v>
      </c>
      <c r="N45" s="442">
        <v>280668.3702</v>
      </c>
      <c r="O45" s="442">
        <v>140332.13039999999</v>
      </c>
      <c r="P45" s="442">
        <v>51268.268499999998</v>
      </c>
      <c r="Q45" s="444"/>
      <c r="R45" s="442">
        <f>'T-T1'!K47+'T-T1'!L47+'T-T1'!N47+'T-T1'!O47+'T-T1'!P47+'T-T1'!Q47+'T-T1'!S47+'T-T1'!T47+'T-T1'!AG47+'T-T1'!AH47</f>
        <v>859060</v>
      </c>
      <c r="S45" s="442">
        <v>434289.70074</v>
      </c>
      <c r="T45" s="442">
        <v>364893.35527</v>
      </c>
      <c r="U45" s="442">
        <v>226643.65651</v>
      </c>
      <c r="V45" s="442">
        <v>184429.06852999999</v>
      </c>
      <c r="W45" s="442">
        <v>109082.62805</v>
      </c>
      <c r="X45" s="442">
        <v>44985.677819999997</v>
      </c>
      <c r="Y45" s="442"/>
      <c r="Z45" s="703">
        <f>'T-T1'!AC47</f>
        <v>135396.18551099999</v>
      </c>
      <c r="AA45" s="442">
        <v>93235.351750000002</v>
      </c>
      <c r="AB45" s="442">
        <v>80703.124259999997</v>
      </c>
      <c r="AC45" s="442">
        <v>55801.335809999997</v>
      </c>
      <c r="AD45" s="442">
        <v>46326.259409999999</v>
      </c>
      <c r="AE45" s="442">
        <v>29852.331470000001</v>
      </c>
      <c r="AF45" s="442">
        <v>14165.73739</v>
      </c>
      <c r="AG45" s="442"/>
      <c r="AH45" s="703">
        <f>'T-T1'!AN47+'T-T1'!AQ47+'T-T1'!AU47</f>
        <v>235552.30917200001</v>
      </c>
      <c r="AI45" s="442">
        <v>131157.5202</v>
      </c>
      <c r="AJ45" s="442">
        <v>112803.0527</v>
      </c>
      <c r="AK45" s="442">
        <v>76681.471220000007</v>
      </c>
      <c r="AL45" s="442">
        <v>63799.987500000003</v>
      </c>
      <c r="AM45" s="442">
        <v>40108.647799999999</v>
      </c>
      <c r="AN45" s="442">
        <v>17691.92596</v>
      </c>
      <c r="AO45" s="442"/>
      <c r="AP45" s="703">
        <f>'T-T1'!AJ47+'T-T1'!AK47+'T-T1'!AL47</f>
        <v>198672.00000000003</v>
      </c>
      <c r="AQ45" s="442">
        <v>106425.7236</v>
      </c>
      <c r="AR45" s="442">
        <v>84255.980479999998</v>
      </c>
      <c r="AS45" s="442">
        <v>50728.948239999998</v>
      </c>
      <c r="AT45" s="442">
        <v>41536.768819999998</v>
      </c>
      <c r="AU45" s="442">
        <v>26353.757020000001</v>
      </c>
      <c r="AV45" s="442">
        <v>11992.12082</v>
      </c>
      <c r="AW45" s="442"/>
      <c r="AX45" s="703">
        <f>'T-T1'!X47+'T-T1'!Y47+'T-T1'!Z47</f>
        <v>221805</v>
      </c>
      <c r="AY45" s="442">
        <v>102187.57120000001</v>
      </c>
      <c r="AZ45" s="442">
        <v>75851.760760000005</v>
      </c>
      <c r="BA45" s="442">
        <v>39797.131079999999</v>
      </c>
      <c r="BB45" s="442">
        <v>31624.231220000001</v>
      </c>
      <c r="BC45" s="442">
        <v>19329.447970000001</v>
      </c>
      <c r="BD45" s="442">
        <v>8517.8890410000004</v>
      </c>
      <c r="BE45" s="442"/>
      <c r="BF45" s="442">
        <f>'T-T1'!AD47+'T-T1'!AO47+'T-T1'!AR47+'T-T1'!AV47+'T-T1'!BI47+'T-T1'!BJ47</f>
        <v>669653.144212079</v>
      </c>
      <c r="BG45" s="442">
        <v>205615.5883</v>
      </c>
      <c r="BH45" s="442">
        <v>129827.7684</v>
      </c>
      <c r="BI45" s="442">
        <v>39771.930489999999</v>
      </c>
      <c r="BJ45" s="442">
        <v>25623.277129999999</v>
      </c>
      <c r="BK45" s="442">
        <v>10818.996010000001</v>
      </c>
      <c r="BL45" s="442">
        <v>3067.746807</v>
      </c>
      <c r="BM45" s="442"/>
      <c r="BN45" s="442">
        <f t="shared" si="13"/>
        <v>855067.62560492055</v>
      </c>
      <c r="BO45" s="442">
        <f t="shared" si="14"/>
        <v>331247.99617999949</v>
      </c>
      <c r="BP45" s="442">
        <f t="shared" si="15"/>
        <v>224169.08874000021</v>
      </c>
      <c r="BQ45" s="442">
        <f t="shared" si="16"/>
        <v>109049.60395999983</v>
      </c>
      <c r="BR45" s="442">
        <f t="shared" si="17"/>
        <v>79568.580870000136</v>
      </c>
      <c r="BS45" s="442">
        <f t="shared" si="18"/>
        <v>34029.461739999992</v>
      </c>
      <c r="BT45" s="442">
        <f t="shared" si="19"/>
        <v>11707.900761999992</v>
      </c>
      <c r="BU45" s="452"/>
      <c r="BV45" s="1081"/>
    </row>
    <row r="46" spans="1:74" ht="12" customHeight="1" x14ac:dyDescent="0.3">
      <c r="A46" s="448">
        <v>1999</v>
      </c>
      <c r="B46" s="442">
        <v>8324398.7141000004</v>
      </c>
      <c r="C46" s="442">
        <v>3054826.4855299997</v>
      </c>
      <c r="D46" s="442">
        <v>2189032.8727000002</v>
      </c>
      <c r="E46" s="442">
        <v>1095660.3317</v>
      </c>
      <c r="F46" s="442">
        <v>839121.99257</v>
      </c>
      <c r="G46" s="442">
        <v>458723.79220999999</v>
      </c>
      <c r="H46" s="442">
        <v>185303.50494000001</v>
      </c>
      <c r="J46" s="442">
        <f>'T-T1'!C48+'T-T1'!E48+'T-T1'!G48+'T-T1'!I48</f>
        <v>4979828</v>
      </c>
      <c r="K46" s="442">
        <v>1576913.7879999999</v>
      </c>
      <c r="L46" s="442">
        <v>1047244.367</v>
      </c>
      <c r="M46" s="442">
        <v>446072.13689999998</v>
      </c>
      <c r="N46" s="442">
        <v>323924.64429999999</v>
      </c>
      <c r="O46" s="442">
        <v>170116.0822</v>
      </c>
      <c r="P46" s="442">
        <v>67658.934890000004</v>
      </c>
      <c r="Q46" s="444"/>
      <c r="R46" s="442">
        <f>'T-T1'!K48+'T-T1'!L48+'T-T1'!N48+'T-T1'!O48+'T-T1'!P48+'T-T1'!Q48+'T-T1'!S48+'T-T1'!T48+'T-T1'!AG48+'T-T1'!AH48</f>
        <v>921855</v>
      </c>
      <c r="S46" s="442">
        <v>471005.91529999999</v>
      </c>
      <c r="T46" s="442">
        <v>397013.63094</v>
      </c>
      <c r="U46" s="442">
        <v>246690.68614999999</v>
      </c>
      <c r="V46" s="442">
        <v>199875.21017000001</v>
      </c>
      <c r="W46" s="442">
        <v>115172.70471000001</v>
      </c>
      <c r="X46" s="442">
        <v>45317.297413</v>
      </c>
      <c r="Y46" s="442"/>
      <c r="Z46" s="703">
        <f>'T-T1'!AC48</f>
        <v>153295.55466600001</v>
      </c>
      <c r="AA46" s="442">
        <v>104536.0111</v>
      </c>
      <c r="AB46" s="442">
        <v>90132.298089999997</v>
      </c>
      <c r="AC46" s="442">
        <v>61903.784870000003</v>
      </c>
      <c r="AD46" s="442">
        <v>51433.939230000004</v>
      </c>
      <c r="AE46" s="442">
        <v>32282.48933</v>
      </c>
      <c r="AF46" s="442">
        <v>15105.28076</v>
      </c>
      <c r="AG46" s="442"/>
      <c r="AH46" s="703">
        <f>'T-T1'!AN48+'T-T1'!AQ48+'T-T1'!AU48</f>
        <v>238270.803319</v>
      </c>
      <c r="AI46" s="442">
        <v>135034.6844</v>
      </c>
      <c r="AJ46" s="442">
        <v>114970.2833</v>
      </c>
      <c r="AK46" s="442">
        <v>78469.886859999999</v>
      </c>
      <c r="AL46" s="442">
        <v>65996.505980000002</v>
      </c>
      <c r="AM46" s="442">
        <v>41034.228289999999</v>
      </c>
      <c r="AN46" s="442">
        <v>17374.767759999999</v>
      </c>
      <c r="AO46" s="442"/>
      <c r="AP46" s="703">
        <f>'T-T1'!AJ48+'T-T1'!AK48+'T-T1'!AL48</f>
        <v>223549</v>
      </c>
      <c r="AQ46" s="442">
        <v>119555.8128</v>
      </c>
      <c r="AR46" s="442">
        <v>95711.467680000002</v>
      </c>
      <c r="AS46" s="442">
        <v>58919.60254</v>
      </c>
      <c r="AT46" s="442">
        <v>48221.764819999997</v>
      </c>
      <c r="AU46" s="442">
        <v>29812.75992</v>
      </c>
      <c r="AV46" s="442">
        <v>13421.115299999999</v>
      </c>
      <c r="AW46" s="442"/>
      <c r="AX46" s="703">
        <f>'T-T1'!X48+'T-T1'!Y48+'T-T1'!Z48</f>
        <v>233374</v>
      </c>
      <c r="AY46" s="442">
        <v>107209.1259</v>
      </c>
      <c r="AZ46" s="442">
        <v>80935.399730000005</v>
      </c>
      <c r="BA46" s="442">
        <v>44528.402439999998</v>
      </c>
      <c r="BB46" s="442">
        <v>35552.112840000002</v>
      </c>
      <c r="BC46" s="442">
        <v>21217.074909999999</v>
      </c>
      <c r="BD46" s="442">
        <v>9302.5201739999993</v>
      </c>
      <c r="BE46" s="442"/>
      <c r="BF46" s="442">
        <f>'T-T1'!AD48+'T-T1'!AO48+'T-T1'!AR48+'T-T1'!AV48+'T-T1'!BI48+'T-T1'!BJ48</f>
        <v>680087.17505898001</v>
      </c>
      <c r="BG46" s="442">
        <v>200678.41339999999</v>
      </c>
      <c r="BH46" s="442">
        <v>128822.2015</v>
      </c>
      <c r="BI46" s="442">
        <v>41499.168120000002</v>
      </c>
      <c r="BJ46" s="442">
        <v>27318.955890000001</v>
      </c>
      <c r="BK46" s="442">
        <v>11039.72573</v>
      </c>
      <c r="BL46" s="442">
        <v>3360.9684870000001</v>
      </c>
      <c r="BM46" s="442"/>
      <c r="BN46" s="442">
        <f t="shared" si="13"/>
        <v>894139.18105602055</v>
      </c>
      <c r="BO46" s="442">
        <f t="shared" si="14"/>
        <v>339892.73462999985</v>
      </c>
      <c r="BP46" s="442">
        <f t="shared" si="15"/>
        <v>234203.22446000008</v>
      </c>
      <c r="BQ46" s="442">
        <f t="shared" si="16"/>
        <v>117576.66382000003</v>
      </c>
      <c r="BR46" s="442">
        <f t="shared" si="17"/>
        <v>86798.859339999966</v>
      </c>
      <c r="BS46" s="442">
        <f t="shared" si="18"/>
        <v>38048.72711999996</v>
      </c>
      <c r="BT46" s="442">
        <f t="shared" si="19"/>
        <v>13762.620156000025</v>
      </c>
      <c r="BU46" s="452"/>
      <c r="BV46" s="1081"/>
    </row>
    <row r="47" spans="1:74" ht="12" customHeight="1" x14ac:dyDescent="0.3">
      <c r="A47" s="448">
        <v>2000</v>
      </c>
      <c r="B47" s="442">
        <v>8907019.0170000009</v>
      </c>
      <c r="C47" s="442">
        <v>3327296.5304899998</v>
      </c>
      <c r="D47" s="442">
        <v>2397815.3032999998</v>
      </c>
      <c r="E47" s="442">
        <v>1217605.3988000001</v>
      </c>
      <c r="F47" s="442">
        <v>936672.02664000005</v>
      </c>
      <c r="G47" s="442">
        <v>519863.41885000002</v>
      </c>
      <c r="H47" s="442">
        <v>214530.4461</v>
      </c>
      <c r="J47" s="442">
        <f>'T-T1'!C49+'T-T1'!E49+'T-T1'!G49+'T-T1'!I49</f>
        <v>5399948</v>
      </c>
      <c r="K47" s="442">
        <v>1761841.943</v>
      </c>
      <c r="L47" s="442">
        <v>1184771.2220000001</v>
      </c>
      <c r="M47" s="442">
        <v>527419.60629999998</v>
      </c>
      <c r="N47" s="442">
        <v>391059.29399999999</v>
      </c>
      <c r="O47" s="442">
        <v>218187.12530000001</v>
      </c>
      <c r="P47" s="442">
        <v>90027.59491</v>
      </c>
      <c r="Q47" s="444"/>
      <c r="R47" s="442">
        <f>'T-T1'!K49+'T-T1'!L49+'T-T1'!N49+'T-T1'!O49+'T-T1'!P49+'T-T1'!Q49+'T-T1'!S49+'T-T1'!T49+'T-T1'!AG49+'T-T1'!AH49</f>
        <v>999941</v>
      </c>
      <c r="S47" s="442">
        <v>513266.94543999998</v>
      </c>
      <c r="T47" s="442">
        <v>432952.44777000003</v>
      </c>
      <c r="U47" s="442">
        <v>269017.08276999998</v>
      </c>
      <c r="V47" s="442">
        <v>215541.81576</v>
      </c>
      <c r="W47" s="442">
        <v>123193.65949000001</v>
      </c>
      <c r="X47" s="442">
        <v>48938.481366</v>
      </c>
      <c r="Y47" s="442"/>
      <c r="Z47" s="703">
        <f>'T-T1'!AC49</f>
        <v>168387.63184700001</v>
      </c>
      <c r="AA47" s="442">
        <v>114392.7834</v>
      </c>
      <c r="AB47" s="442">
        <v>99936.174750000006</v>
      </c>
      <c r="AC47" s="442">
        <v>67758.775859999994</v>
      </c>
      <c r="AD47" s="442">
        <v>56295.036460000003</v>
      </c>
      <c r="AE47" s="442">
        <v>35467.087039999999</v>
      </c>
      <c r="AF47" s="442">
        <v>16355.18664</v>
      </c>
      <c r="AG47" s="442"/>
      <c r="AH47" s="703">
        <f>'T-T1'!AN49+'T-T1'!AQ49+'T-T1'!AU49</f>
        <v>262091.60329900001</v>
      </c>
      <c r="AI47" s="442">
        <v>147211.99540000001</v>
      </c>
      <c r="AJ47" s="442">
        <v>126246.04889999999</v>
      </c>
      <c r="AK47" s="442">
        <v>87352.316149999999</v>
      </c>
      <c r="AL47" s="442">
        <v>73369.122029999999</v>
      </c>
      <c r="AM47" s="442">
        <v>46122.826119999998</v>
      </c>
      <c r="AN47" s="442">
        <v>20403.083569999999</v>
      </c>
      <c r="AO47" s="442"/>
      <c r="AP47" s="703">
        <f>'T-T1'!AJ49+'T-T1'!AK49+'T-T1'!AL49</f>
        <v>131426</v>
      </c>
      <c r="AQ47" s="442">
        <v>67802.544850000006</v>
      </c>
      <c r="AR47" s="442">
        <v>54515.480920000002</v>
      </c>
      <c r="AS47" s="442">
        <v>33471.113360000003</v>
      </c>
      <c r="AT47" s="442">
        <v>27237.567739999999</v>
      </c>
      <c r="AU47" s="442">
        <v>16686.950690000001</v>
      </c>
      <c r="AV47" s="442">
        <v>7522.1321840000001</v>
      </c>
      <c r="AW47" s="442"/>
      <c r="AX47" s="703">
        <f>'T-T1'!X49+'T-T1'!Y49+'T-T1'!Z49</f>
        <v>239748</v>
      </c>
      <c r="AY47" s="442">
        <v>107224.8268</v>
      </c>
      <c r="AZ47" s="442">
        <v>81459.334520000004</v>
      </c>
      <c r="BA47" s="442">
        <v>45538.258589999998</v>
      </c>
      <c r="BB47" s="442">
        <v>36109.598619999997</v>
      </c>
      <c r="BC47" s="442">
        <v>21205.095219999999</v>
      </c>
      <c r="BD47" s="442">
        <v>9322.9569090000005</v>
      </c>
      <c r="BE47" s="442"/>
      <c r="BF47" s="442">
        <f>'T-T1'!AD49+'T-T1'!AO49+'T-T1'!AR49+'T-T1'!AV49+'T-T1'!BI49+'T-T1'!BJ49</f>
        <v>753504.55841591395</v>
      </c>
      <c r="BG47" s="442">
        <v>221182.51120000001</v>
      </c>
      <c r="BH47" s="442">
        <v>143610.24179999999</v>
      </c>
      <c r="BI47" s="442">
        <v>50114.379930000003</v>
      </c>
      <c r="BJ47" s="442">
        <v>33111.577850000001</v>
      </c>
      <c r="BK47" s="442">
        <v>13654.1032</v>
      </c>
      <c r="BL47" s="442">
        <v>4438.0288520000004</v>
      </c>
      <c r="BM47" s="442"/>
      <c r="BN47" s="442">
        <f t="shared" si="13"/>
        <v>951972.22343808669</v>
      </c>
      <c r="BO47" s="442">
        <f t="shared" si="14"/>
        <v>394372.98039999994</v>
      </c>
      <c r="BP47" s="442">
        <f t="shared" si="15"/>
        <v>274324.35263999971</v>
      </c>
      <c r="BQ47" s="442">
        <f t="shared" si="16"/>
        <v>136933.8658400001</v>
      </c>
      <c r="BR47" s="442">
        <f t="shared" si="17"/>
        <v>103948.01418000006</v>
      </c>
      <c r="BS47" s="442">
        <f t="shared" si="18"/>
        <v>45346.571790000002</v>
      </c>
      <c r="BT47" s="442">
        <f t="shared" si="19"/>
        <v>17522.98166899999</v>
      </c>
      <c r="BU47" s="452"/>
      <c r="BV47" s="1081"/>
    </row>
    <row r="48" spans="1:74" ht="12" customHeight="1" x14ac:dyDescent="0.3">
      <c r="A48" s="448">
        <v>2001</v>
      </c>
      <c r="B48" s="442">
        <v>9184632.3684999999</v>
      </c>
      <c r="C48" s="442">
        <v>3357435.4506199993</v>
      </c>
      <c r="D48" s="442">
        <v>2381027.6626199996</v>
      </c>
      <c r="E48" s="442">
        <v>1167681.5188199999</v>
      </c>
      <c r="F48" s="442">
        <v>886107.8763</v>
      </c>
      <c r="G48" s="442">
        <v>471767.20981000003</v>
      </c>
      <c r="H48" s="442">
        <v>187147.12418000001</v>
      </c>
      <c r="J48" s="442">
        <f>'T-T1'!C50+'T-T1'!E50+'T-T1'!G50+'T-T1'!I50</f>
        <v>5570024</v>
      </c>
      <c r="K48" s="442">
        <v>1772394.2439999999</v>
      </c>
      <c r="L48" s="442">
        <v>1160541.0900000001</v>
      </c>
      <c r="M48" s="442">
        <v>477078.8812</v>
      </c>
      <c r="N48" s="442">
        <v>337856.85379999998</v>
      </c>
      <c r="O48" s="442">
        <v>169701.89069999999</v>
      </c>
      <c r="P48" s="442">
        <v>63429.108959999998</v>
      </c>
      <c r="Q48" s="444"/>
      <c r="R48" s="442">
        <f>'T-T1'!K50+'T-T1'!L50+'T-T1'!N50+'T-T1'!O50+'T-T1'!P50+'T-T1'!Q50+'T-T1'!S50+'T-T1'!T50+'T-T1'!AG50+'T-T1'!AH50</f>
        <v>1085538</v>
      </c>
      <c r="S48" s="442">
        <v>541704.00156999996</v>
      </c>
      <c r="T48" s="442">
        <v>456351.60200999997</v>
      </c>
      <c r="U48" s="442">
        <v>282774.57114999997</v>
      </c>
      <c r="V48" s="442">
        <v>229953.6312</v>
      </c>
      <c r="W48" s="442">
        <v>134193.81281</v>
      </c>
      <c r="X48" s="442">
        <v>53096.266538999997</v>
      </c>
      <c r="Y48" s="442"/>
      <c r="Z48" s="703">
        <f>'T-T1'!AC50</f>
        <v>136186.01479700001</v>
      </c>
      <c r="AA48" s="442">
        <v>92210.772200000007</v>
      </c>
      <c r="AB48" s="442">
        <v>80751.774869999994</v>
      </c>
      <c r="AC48" s="442">
        <v>56891.095179999997</v>
      </c>
      <c r="AD48" s="442">
        <v>47642.479729999999</v>
      </c>
      <c r="AE48" s="442">
        <v>31761.628710000001</v>
      </c>
      <c r="AF48" s="442">
        <v>15507.95456</v>
      </c>
      <c r="AG48" s="442"/>
      <c r="AH48" s="703">
        <f>'T-T1'!AN50+'T-T1'!AQ50+'T-T1'!AU50</f>
        <v>260995.567305</v>
      </c>
      <c r="AI48" s="442">
        <v>144840.45980000001</v>
      </c>
      <c r="AJ48" s="442">
        <v>123570.1554</v>
      </c>
      <c r="AK48" s="442">
        <v>86049.331649999993</v>
      </c>
      <c r="AL48" s="442">
        <v>71718.745160000006</v>
      </c>
      <c r="AM48" s="442">
        <v>46790.288690000001</v>
      </c>
      <c r="AN48" s="442">
        <v>21094.019560000001</v>
      </c>
      <c r="AO48" s="442"/>
      <c r="AP48" s="703">
        <f>'T-T1'!AJ50+'T-T1'!AK50+'T-T1'!AL50</f>
        <v>180170</v>
      </c>
      <c r="AQ48" s="442">
        <v>88127.910229999994</v>
      </c>
      <c r="AR48" s="442">
        <v>70371.595910000004</v>
      </c>
      <c r="AS48" s="442">
        <v>44093.110439999997</v>
      </c>
      <c r="AT48" s="442">
        <v>35649.339220000002</v>
      </c>
      <c r="AU48" s="442">
        <v>22194.88782</v>
      </c>
      <c r="AV48" s="442">
        <v>10503.76778</v>
      </c>
      <c r="AW48" s="442"/>
      <c r="AX48" s="703">
        <f>'T-T1'!X50+'T-T1'!Y50+'T-T1'!Z50</f>
        <v>176206.99999999997</v>
      </c>
      <c r="AY48" s="442">
        <v>74328.996020000006</v>
      </c>
      <c r="AZ48" s="442">
        <v>55857.779949999996</v>
      </c>
      <c r="BA48" s="442">
        <v>31554.696639999998</v>
      </c>
      <c r="BB48" s="442">
        <v>24616.122439999999</v>
      </c>
      <c r="BC48" s="442">
        <v>14278.44407</v>
      </c>
      <c r="BD48" s="442">
        <v>6479.0910700000004</v>
      </c>
      <c r="BE48" s="442"/>
      <c r="BF48" s="442">
        <f>'T-T1'!AD50+'T-T1'!AO50+'T-T1'!AR50+'T-T1'!AV50+'T-T1'!BI50+'T-T1'!BJ50</f>
        <v>793845.08788177208</v>
      </c>
      <c r="BG48" s="442">
        <v>219698.23250000001</v>
      </c>
      <c r="BH48" s="442">
        <v>137118.14809999999</v>
      </c>
      <c r="BI48" s="442">
        <v>49192.290609999996</v>
      </c>
      <c r="BJ48" s="442">
        <v>31932.291450000001</v>
      </c>
      <c r="BK48" s="442">
        <v>11406.92585</v>
      </c>
      <c r="BL48" s="442">
        <v>3397.2913269999999</v>
      </c>
      <c r="BM48" s="442"/>
      <c r="BN48" s="442">
        <f t="shared" si="13"/>
        <v>981666.69851622754</v>
      </c>
      <c r="BO48" s="442">
        <f t="shared" si="14"/>
        <v>424130.83429999941</v>
      </c>
      <c r="BP48" s="442">
        <f t="shared" si="15"/>
        <v>296465.51637999946</v>
      </c>
      <c r="BQ48" s="442">
        <f t="shared" si="16"/>
        <v>140047.54194999996</v>
      </c>
      <c r="BR48" s="442">
        <f t="shared" si="17"/>
        <v>106738.41329999994</v>
      </c>
      <c r="BS48" s="442">
        <f t="shared" si="18"/>
        <v>41439.331160000045</v>
      </c>
      <c r="BT48" s="442">
        <f t="shared" si="19"/>
        <v>13639.624384000024</v>
      </c>
      <c r="BU48" s="452"/>
      <c r="BV48" s="1081"/>
    </row>
    <row r="49" spans="1:74" ht="12" customHeight="1" x14ac:dyDescent="0.3">
      <c r="A49" s="448">
        <v>2002</v>
      </c>
      <c r="B49" s="442">
        <v>9436822.1164999995</v>
      </c>
      <c r="C49" s="442">
        <v>3403595.1047</v>
      </c>
      <c r="D49" s="442">
        <v>2395663.0606999998</v>
      </c>
      <c r="E49" s="442">
        <v>1138854.3372</v>
      </c>
      <c r="F49" s="442">
        <v>852625.93173000007</v>
      </c>
      <c r="G49" s="442">
        <v>446971.16671999998</v>
      </c>
      <c r="H49" s="442">
        <v>176255.28682000001</v>
      </c>
      <c r="J49" s="442">
        <f>'T-T1'!C51+'T-T1'!E51+'T-T1'!G51+'T-T1'!I51</f>
        <v>5647375</v>
      </c>
      <c r="K49" s="442">
        <v>1781659.7080000001</v>
      </c>
      <c r="L49" s="442">
        <v>1155452.4720000001</v>
      </c>
      <c r="M49" s="442">
        <v>444398.31910000002</v>
      </c>
      <c r="N49" s="442">
        <v>305749.76990000001</v>
      </c>
      <c r="O49" s="442">
        <v>142507.09049999999</v>
      </c>
      <c r="P49" s="442">
        <v>49377.636729999998</v>
      </c>
      <c r="Q49" s="444"/>
      <c r="R49" s="442">
        <f>'T-T1'!K51+'T-T1'!L51+'T-T1'!N51+'T-T1'!O51+'T-T1'!P51+'T-T1'!Q51+'T-T1'!S51+'T-T1'!T51+'T-T1'!AG51+'T-T1'!AH51</f>
        <v>1115924</v>
      </c>
      <c r="S49" s="442">
        <v>552650.22320000001</v>
      </c>
      <c r="T49" s="442">
        <v>466056.23611</v>
      </c>
      <c r="U49" s="442">
        <v>291115.96382</v>
      </c>
      <c r="V49" s="442">
        <v>234811.69151</v>
      </c>
      <c r="W49" s="442">
        <v>140403.12578999999</v>
      </c>
      <c r="X49" s="442">
        <v>57734.208560999999</v>
      </c>
      <c r="Y49" s="442"/>
      <c r="Z49" s="703">
        <f>'T-T1'!AC51</f>
        <v>117228.51764200001</v>
      </c>
      <c r="AA49" s="442">
        <v>79063.888819999993</v>
      </c>
      <c r="AB49" s="442">
        <v>69807.9473</v>
      </c>
      <c r="AC49" s="442">
        <v>49401.229829999997</v>
      </c>
      <c r="AD49" s="442">
        <v>41464.26195</v>
      </c>
      <c r="AE49" s="442">
        <v>27874.846320000001</v>
      </c>
      <c r="AF49" s="442">
        <v>14128.495269999999</v>
      </c>
      <c r="AG49" s="442"/>
      <c r="AH49" s="703">
        <f>'T-T1'!AN51+'T-T1'!AQ51+'T-T1'!AU51</f>
        <v>208540.43175600001</v>
      </c>
      <c r="AI49" s="442">
        <v>119612.0589</v>
      </c>
      <c r="AJ49" s="442">
        <v>103964.47</v>
      </c>
      <c r="AK49" s="442">
        <v>72755.062820000006</v>
      </c>
      <c r="AL49" s="442">
        <v>60801.992839999999</v>
      </c>
      <c r="AM49" s="442">
        <v>39337.366909999997</v>
      </c>
      <c r="AN49" s="442">
        <v>17986.546559999999</v>
      </c>
      <c r="AO49" s="442"/>
      <c r="AP49" s="703">
        <f>'T-T1'!AJ51+'T-T1'!AK51+'T-T1'!AL51</f>
        <v>314653</v>
      </c>
      <c r="AQ49" s="442">
        <v>149874.0269</v>
      </c>
      <c r="AR49" s="442">
        <v>116643.3158</v>
      </c>
      <c r="AS49" s="442">
        <v>69194.358229999998</v>
      </c>
      <c r="AT49" s="442">
        <v>55505.77665</v>
      </c>
      <c r="AU49" s="442">
        <v>34492.430180000003</v>
      </c>
      <c r="AV49" s="442">
        <v>16848.51614</v>
      </c>
      <c r="AW49" s="442"/>
      <c r="AX49" s="703">
        <f>'T-T1'!X51+'T-T1'!Y51+'T-T1'!Z51</f>
        <v>167841</v>
      </c>
      <c r="AY49" s="442">
        <v>69910.154580000002</v>
      </c>
      <c r="AZ49" s="442">
        <v>51052.263930000001</v>
      </c>
      <c r="BA49" s="442">
        <v>26752.105070000001</v>
      </c>
      <c r="BB49" s="442">
        <v>20586.862120000002</v>
      </c>
      <c r="BC49" s="442">
        <v>11866.08411</v>
      </c>
      <c r="BD49" s="442">
        <v>5486.9356539999999</v>
      </c>
      <c r="BE49" s="442"/>
      <c r="BF49" s="442">
        <f>'T-T1'!AD51+'T-T1'!AO51+'T-T1'!AR51+'T-T1'!AV51+'T-T1'!BI51+'T-T1'!BJ51</f>
        <v>840196.70591226395</v>
      </c>
      <c r="BG49" s="442">
        <v>230448.62760000001</v>
      </c>
      <c r="BH49" s="442">
        <v>144172.14660000001</v>
      </c>
      <c r="BI49" s="442">
        <v>47471.644650000002</v>
      </c>
      <c r="BJ49" s="442">
        <v>29555.696479999999</v>
      </c>
      <c r="BK49" s="442">
        <v>10670.43461</v>
      </c>
      <c r="BL49" s="442">
        <v>3026.9390109999999</v>
      </c>
      <c r="BM49" s="442"/>
      <c r="BN49" s="442">
        <f t="shared" si="13"/>
        <v>1025063.4611897353</v>
      </c>
      <c r="BO49" s="442">
        <f t="shared" si="14"/>
        <v>420376.41670000006</v>
      </c>
      <c r="BP49" s="442">
        <f t="shared" si="15"/>
        <v>288514.20895999984</v>
      </c>
      <c r="BQ49" s="442">
        <f t="shared" si="16"/>
        <v>137765.65367999996</v>
      </c>
      <c r="BR49" s="442">
        <f t="shared" si="17"/>
        <v>104149.88028000008</v>
      </c>
      <c r="BS49" s="442">
        <f t="shared" si="18"/>
        <v>39819.788299999986</v>
      </c>
      <c r="BT49" s="442">
        <f t="shared" si="19"/>
        <v>11666.008894000001</v>
      </c>
      <c r="BU49" s="452"/>
      <c r="BV49" s="1081"/>
    </row>
    <row r="50" spans="1:74" ht="12" customHeight="1" x14ac:dyDescent="0.3">
      <c r="A50" s="448">
        <v>2003</v>
      </c>
      <c r="B50" s="442">
        <v>9864187.9810000006</v>
      </c>
      <c r="C50" s="442">
        <v>3600704.4653999996</v>
      </c>
      <c r="D50" s="442">
        <v>2535496.3455999997</v>
      </c>
      <c r="E50" s="442">
        <v>1220937.7100000002</v>
      </c>
      <c r="F50" s="442">
        <v>922403.93474000006</v>
      </c>
      <c r="G50" s="442">
        <v>494022.84903000004</v>
      </c>
      <c r="H50" s="442">
        <v>203473.96664999999</v>
      </c>
      <c r="J50" s="442">
        <f>'T-T1'!C52+'T-T1'!E52+'T-T1'!G52+'T-T1'!I52</f>
        <v>5853647</v>
      </c>
      <c r="K50" s="442">
        <v>1850413.291</v>
      </c>
      <c r="L50" s="442">
        <v>1193823.956</v>
      </c>
      <c r="M50" s="442">
        <v>458861.5687</v>
      </c>
      <c r="N50" s="442">
        <v>314341.67589999997</v>
      </c>
      <c r="O50" s="442">
        <v>147447.0184</v>
      </c>
      <c r="P50" s="442">
        <v>50919.428310000003</v>
      </c>
      <c r="Q50" s="444"/>
      <c r="R50" s="442">
        <f>'T-T1'!K52+'T-T1'!L52+'T-T1'!N52+'T-T1'!O52+'T-T1'!P52+'T-T1'!Q52+'T-T1'!S52+'T-T1'!T52+'T-T1'!AG52+'T-T1'!AH52</f>
        <v>1157912</v>
      </c>
      <c r="S50" s="442">
        <v>577008.18807000003</v>
      </c>
      <c r="T50" s="442">
        <v>488689.95111999998</v>
      </c>
      <c r="U50" s="442">
        <v>308619.32182999997</v>
      </c>
      <c r="V50" s="442">
        <v>250465.58186999999</v>
      </c>
      <c r="W50" s="442">
        <v>148664.72816</v>
      </c>
      <c r="X50" s="442">
        <v>61732.372412999997</v>
      </c>
      <c r="Y50" s="442"/>
      <c r="Z50" s="703">
        <f>'T-T1'!AC52</f>
        <v>131247.12319899999</v>
      </c>
      <c r="AA50" s="442">
        <v>93612.058910000007</v>
      </c>
      <c r="AB50" s="442">
        <v>84022.887830000007</v>
      </c>
      <c r="AC50" s="442">
        <v>62176.012560000003</v>
      </c>
      <c r="AD50" s="442">
        <v>53305.854570000003</v>
      </c>
      <c r="AE50" s="442">
        <v>37454.114009999998</v>
      </c>
      <c r="AF50" s="442">
        <v>20231.78774</v>
      </c>
      <c r="AG50" s="442"/>
      <c r="AH50" s="703">
        <f>'T-T1'!AN52+'T-T1'!AQ52+'T-T1'!AU52</f>
        <v>186283.926569</v>
      </c>
      <c r="AI50" s="442">
        <v>109619.81510000001</v>
      </c>
      <c r="AJ50" s="442">
        <v>96714.364759999997</v>
      </c>
      <c r="AK50" s="442">
        <v>69572.388789999997</v>
      </c>
      <c r="AL50" s="442">
        <v>58605.853900000002</v>
      </c>
      <c r="AM50" s="442">
        <v>37971.338049999998</v>
      </c>
      <c r="AN50" s="442">
        <v>17806.902730000002</v>
      </c>
      <c r="AO50" s="442"/>
      <c r="AP50" s="703">
        <f>'T-T1'!AJ52+'T-T1'!AK52+'T-T1'!AL52</f>
        <v>378625</v>
      </c>
      <c r="AQ50" s="442">
        <v>190005.1795</v>
      </c>
      <c r="AR50" s="442">
        <v>148879.61420000001</v>
      </c>
      <c r="AS50" s="442">
        <v>91344.82144</v>
      </c>
      <c r="AT50" s="442">
        <v>74847.089189999999</v>
      </c>
      <c r="AU50" s="442">
        <v>49301.266940000001</v>
      </c>
      <c r="AV50" s="442">
        <v>25406.87299</v>
      </c>
      <c r="AW50" s="442"/>
      <c r="AX50" s="703">
        <f>'T-T1'!X52+'T-T1'!Y52+'T-T1'!Z52</f>
        <v>221745.00000000003</v>
      </c>
      <c r="AY50" s="442">
        <v>97059.561140000005</v>
      </c>
      <c r="AZ50" s="442">
        <v>71105.899189999996</v>
      </c>
      <c r="BA50" s="442">
        <v>38342.885199999997</v>
      </c>
      <c r="BB50" s="442">
        <v>30184.007300000001</v>
      </c>
      <c r="BC50" s="442">
        <v>18632.10742</v>
      </c>
      <c r="BD50" s="442">
        <v>9098.3232160000007</v>
      </c>
      <c r="BE50" s="442"/>
      <c r="BF50" s="442">
        <f>'T-T1'!AD52+'T-T1'!AO52+'T-T1'!AR52+'T-T1'!AV52+'T-T1'!BI52+'T-T1'!BJ52</f>
        <v>862483.15880562097</v>
      </c>
      <c r="BG50" s="442">
        <v>238602.9939</v>
      </c>
      <c r="BH50" s="442">
        <v>144327.70139999999</v>
      </c>
      <c r="BI50" s="442">
        <v>46340.09719</v>
      </c>
      <c r="BJ50" s="442">
        <v>29162.761289999999</v>
      </c>
      <c r="BK50" s="442">
        <v>11225.94483</v>
      </c>
      <c r="BL50" s="442">
        <v>3339.5992980000001</v>
      </c>
      <c r="BM50" s="442"/>
      <c r="BN50" s="442">
        <f t="shared" si="13"/>
        <v>1072244.7724263798</v>
      </c>
      <c r="BO50" s="442">
        <f t="shared" si="14"/>
        <v>444383.37777999986</v>
      </c>
      <c r="BP50" s="442">
        <f t="shared" si="15"/>
        <v>307931.97109999962</v>
      </c>
      <c r="BQ50" s="442">
        <f t="shared" si="16"/>
        <v>145680.61429000029</v>
      </c>
      <c r="BR50" s="442">
        <f t="shared" si="17"/>
        <v>111491.11072000003</v>
      </c>
      <c r="BS50" s="442">
        <f t="shared" si="18"/>
        <v>43326.331220000058</v>
      </c>
      <c r="BT50" s="442">
        <f t="shared" si="19"/>
        <v>14938.679952999963</v>
      </c>
      <c r="BU50" s="452"/>
      <c r="BV50" s="1081"/>
    </row>
    <row r="51" spans="1:74" ht="12" customHeight="1" x14ac:dyDescent="0.3">
      <c r="A51" s="448">
        <v>2004</v>
      </c>
      <c r="B51" s="442">
        <v>10540945.784</v>
      </c>
      <c r="C51" s="442">
        <v>3929031.6462900005</v>
      </c>
      <c r="D51" s="442">
        <v>2806867.6949899998</v>
      </c>
      <c r="E51" s="442">
        <v>1397826.83399</v>
      </c>
      <c r="F51" s="442">
        <v>1069941.35733</v>
      </c>
      <c r="G51" s="442">
        <v>597023.21927999996</v>
      </c>
      <c r="H51" s="442">
        <v>257452.08504000001</v>
      </c>
      <c r="J51" s="442">
        <f>'T-T1'!C53+'T-T1'!E53+'T-T1'!G53+'T-T1'!I53</f>
        <v>6187343</v>
      </c>
      <c r="K51" s="442">
        <v>1968649.0360000001</v>
      </c>
      <c r="L51" s="442">
        <v>1285286.787</v>
      </c>
      <c r="M51" s="442">
        <v>513545.43849999999</v>
      </c>
      <c r="N51" s="442">
        <v>359291.0441</v>
      </c>
      <c r="O51" s="442">
        <v>177343.55729999999</v>
      </c>
      <c r="P51" s="442">
        <v>66068.095619999993</v>
      </c>
      <c r="Q51" s="444"/>
      <c r="R51" s="442">
        <f>'T-T1'!K53+'T-T1'!L53+'T-T1'!N53+'T-T1'!O53+'T-T1'!P53+'T-T1'!Q53+'T-T1'!S53+'T-T1'!T53+'T-T1'!AG53+'T-T1'!AH53</f>
        <v>1259272.9999999998</v>
      </c>
      <c r="S51" s="442">
        <v>650622.44709999999</v>
      </c>
      <c r="T51" s="442">
        <v>557385.10392000002</v>
      </c>
      <c r="U51" s="442">
        <v>358231.64257000003</v>
      </c>
      <c r="V51" s="442">
        <v>292203.23035000003</v>
      </c>
      <c r="W51" s="442">
        <v>174255.76332999999</v>
      </c>
      <c r="X51" s="442">
        <v>73100.854544000002</v>
      </c>
      <c r="Y51" s="442"/>
      <c r="Z51" s="703">
        <f>'T-T1'!AC53</f>
        <v>168651.846422</v>
      </c>
      <c r="AA51" s="442">
        <v>124464.2092</v>
      </c>
      <c r="AB51" s="442">
        <v>112985.8161</v>
      </c>
      <c r="AC51" s="442">
        <v>85767.2255</v>
      </c>
      <c r="AD51" s="442">
        <v>74535.706200000001</v>
      </c>
      <c r="AE51" s="442">
        <v>54140.925459999999</v>
      </c>
      <c r="AF51" s="442">
        <v>30540.03904</v>
      </c>
      <c r="AG51" s="442"/>
      <c r="AH51" s="703">
        <f>'T-T1'!AN53+'T-T1'!AQ53+'T-T1'!AU53</f>
        <v>183515.45290100001</v>
      </c>
      <c r="AI51" s="442">
        <v>113777.65760000001</v>
      </c>
      <c r="AJ51" s="442">
        <v>101904.8863</v>
      </c>
      <c r="AK51" s="442">
        <v>73961.990749999997</v>
      </c>
      <c r="AL51" s="442">
        <v>62782.008459999997</v>
      </c>
      <c r="AM51" s="442">
        <v>41607.183449999997</v>
      </c>
      <c r="AN51" s="442">
        <v>20000.869979999999</v>
      </c>
      <c r="AO51" s="442"/>
      <c r="AP51" s="703">
        <f>'T-T1'!AJ53+'T-T1'!AK53+'T-T1'!AL53</f>
        <v>413162</v>
      </c>
      <c r="AQ51" s="442">
        <v>214570.88269999999</v>
      </c>
      <c r="AR51" s="442">
        <v>168564.93049999999</v>
      </c>
      <c r="AS51" s="442">
        <v>104411.1308</v>
      </c>
      <c r="AT51" s="442">
        <v>86676.614050000004</v>
      </c>
      <c r="AU51" s="442">
        <v>59017.999309999999</v>
      </c>
      <c r="AV51" s="442">
        <v>30923.177390000001</v>
      </c>
      <c r="AW51" s="442"/>
      <c r="AX51" s="703">
        <f>'T-T1'!X53+'T-T1'!Y53+'T-T1'!Z53</f>
        <v>288015</v>
      </c>
      <c r="AY51" s="442">
        <v>131874.21840000001</v>
      </c>
      <c r="AZ51" s="442">
        <v>97598.826130000001</v>
      </c>
      <c r="BA51" s="442">
        <v>53835.47868</v>
      </c>
      <c r="BB51" s="442">
        <v>43213.244899999998</v>
      </c>
      <c r="BC51" s="442">
        <v>28043.09879</v>
      </c>
      <c r="BD51" s="442">
        <v>14063.29459</v>
      </c>
      <c r="BE51" s="442"/>
      <c r="BF51" s="442">
        <f>'T-T1'!AD53+'T-T1'!AO53+'T-T1'!AR53+'T-T1'!AV53+'T-T1'!BI53+'T-T1'!BJ53</f>
        <v>896826.64352087607</v>
      </c>
      <c r="BG51" s="442">
        <v>253607.7291</v>
      </c>
      <c r="BH51" s="442">
        <v>156034.4791</v>
      </c>
      <c r="BI51" s="442">
        <v>49126.173620000001</v>
      </c>
      <c r="BJ51" s="442">
        <v>31079.532380000001</v>
      </c>
      <c r="BK51" s="442">
        <v>13281.10194</v>
      </c>
      <c r="BL51" s="442">
        <v>4204.9050150000003</v>
      </c>
      <c r="BM51" s="442"/>
      <c r="BN51" s="442">
        <f t="shared" si="13"/>
        <v>1144158.8411561239</v>
      </c>
      <c r="BO51" s="442">
        <f t="shared" si="14"/>
        <v>471465.46619000053</v>
      </c>
      <c r="BP51" s="442">
        <f t="shared" si="15"/>
        <v>327106.86593999964</v>
      </c>
      <c r="BQ51" s="442">
        <f t="shared" si="16"/>
        <v>158947.75357</v>
      </c>
      <c r="BR51" s="442">
        <f t="shared" si="17"/>
        <v>120159.97688999995</v>
      </c>
      <c r="BS51" s="442">
        <f t="shared" si="18"/>
        <v>49333.589699999975</v>
      </c>
      <c r="BT51" s="442">
        <f t="shared" si="19"/>
        <v>18550.848860999995</v>
      </c>
      <c r="BU51" s="452"/>
      <c r="BV51" s="1081"/>
    </row>
    <row r="52" spans="1:74" ht="12" customHeight="1" x14ac:dyDescent="0.3">
      <c r="A52" s="448">
        <v>2005</v>
      </c>
      <c r="B52" s="442">
        <v>11239819.791999999</v>
      </c>
      <c r="C52" s="442">
        <v>4285720.6076699998</v>
      </c>
      <c r="D52" s="442">
        <v>3104096.9985699998</v>
      </c>
      <c r="E52" s="442">
        <v>1602514.8525700001</v>
      </c>
      <c r="F52" s="442">
        <v>1246414.9953600001</v>
      </c>
      <c r="G52" s="442">
        <v>711705.74554999999</v>
      </c>
      <c r="H52" s="442">
        <v>312137.76754999999</v>
      </c>
      <c r="J52" s="442">
        <f>'T-T1'!C54+'T-T1'!E54+'T-T1'!G54+'T-T1'!I54</f>
        <v>6504643</v>
      </c>
      <c r="K52" s="442">
        <v>2093626.3640000001</v>
      </c>
      <c r="L52" s="442">
        <v>1378802.459</v>
      </c>
      <c r="M52" s="442">
        <v>556718.69999999995</v>
      </c>
      <c r="N52" s="442">
        <v>392573.72720000002</v>
      </c>
      <c r="O52" s="442">
        <v>195923.25399999999</v>
      </c>
      <c r="P52" s="442">
        <v>71777.180110000001</v>
      </c>
      <c r="Q52" s="444"/>
      <c r="R52" s="442">
        <f>'T-T1'!K54+'T-T1'!L54+'T-T1'!N54+'T-T1'!O54+'T-T1'!P54+'T-T1'!Q54+'T-T1'!S54+'T-T1'!T54+'T-T1'!AG54+'T-T1'!AH54</f>
        <v>1322491</v>
      </c>
      <c r="S52" s="442">
        <v>743792.77778999996</v>
      </c>
      <c r="T52" s="442">
        <v>643883.20357999997</v>
      </c>
      <c r="U52" s="442">
        <v>434229.39756999997</v>
      </c>
      <c r="V52" s="442">
        <v>361307.24391000002</v>
      </c>
      <c r="W52" s="442">
        <v>219660.13326999999</v>
      </c>
      <c r="X52" s="442">
        <v>96314.119548999995</v>
      </c>
      <c r="Y52" s="442"/>
      <c r="Z52" s="703">
        <f>'T-T1'!AC54</f>
        <v>191205.18784200001</v>
      </c>
      <c r="AA52" s="442">
        <v>142953.52979999999</v>
      </c>
      <c r="AB52" s="442">
        <v>129015.0558</v>
      </c>
      <c r="AC52" s="442">
        <v>97091.360310000004</v>
      </c>
      <c r="AD52" s="442">
        <v>85008.364289999998</v>
      </c>
      <c r="AE52" s="442">
        <v>60143.550519999997</v>
      </c>
      <c r="AF52" s="442">
        <v>33599.186730000001</v>
      </c>
      <c r="AG52" s="442"/>
      <c r="AH52" s="703">
        <f>'T-T1'!AN54+'T-T1'!AQ54+'T-T1'!AU54</f>
        <v>228010.44519</v>
      </c>
      <c r="AI52" s="442">
        <v>146679.0385</v>
      </c>
      <c r="AJ52" s="442">
        <v>130472.4773</v>
      </c>
      <c r="AK52" s="442">
        <v>96263.930559999993</v>
      </c>
      <c r="AL52" s="442">
        <v>83038.363710000005</v>
      </c>
      <c r="AM52" s="442">
        <v>55774.08498</v>
      </c>
      <c r="AN52" s="442">
        <v>28305.533060000002</v>
      </c>
      <c r="AO52" s="442"/>
      <c r="AP52" s="703">
        <f>'T-T1'!AJ54+'T-T1'!AK54+'T-T1'!AL54</f>
        <v>484817</v>
      </c>
      <c r="AQ52" s="442">
        <v>252124.8806</v>
      </c>
      <c r="AR52" s="442">
        <v>200248.81539999999</v>
      </c>
      <c r="AS52" s="442">
        <v>125403.11380000001</v>
      </c>
      <c r="AT52" s="442">
        <v>105024.534</v>
      </c>
      <c r="AU52" s="442">
        <v>69968.054980000001</v>
      </c>
      <c r="AV52" s="442">
        <v>36134.99886</v>
      </c>
      <c r="AW52" s="442"/>
      <c r="AX52" s="703">
        <f>'T-T1'!X54+'T-T1'!Y54+'T-T1'!Z54</f>
        <v>390916</v>
      </c>
      <c r="AY52" s="442">
        <v>179564.5632</v>
      </c>
      <c r="AZ52" s="442">
        <v>135108.99710000001</v>
      </c>
      <c r="BA52" s="442">
        <v>76553.886280000006</v>
      </c>
      <c r="BB52" s="442">
        <v>62259.821859999996</v>
      </c>
      <c r="BC52" s="442">
        <v>39819.302089999997</v>
      </c>
      <c r="BD52" s="442">
        <v>19912.870729999999</v>
      </c>
      <c r="BE52" s="442"/>
      <c r="BF52" s="442">
        <f>'T-T1'!AD54+'T-T1'!AO54+'T-T1'!AR54+'T-T1'!AV54+'T-T1'!BI54+'T-T1'!BJ54</f>
        <v>926190.97618368804</v>
      </c>
      <c r="BG52" s="442">
        <v>255302.14780000001</v>
      </c>
      <c r="BH52" s="442">
        <v>157431.01010000001</v>
      </c>
      <c r="BI52" s="442">
        <v>50692.277600000001</v>
      </c>
      <c r="BJ52" s="442">
        <v>33084.227189999998</v>
      </c>
      <c r="BK52" s="442">
        <v>14212.82574</v>
      </c>
      <c r="BL52" s="442">
        <v>4479.4591060000002</v>
      </c>
      <c r="BM52" s="442"/>
      <c r="BN52" s="442">
        <f t="shared" si="13"/>
        <v>1191546.1827843117</v>
      </c>
      <c r="BO52" s="442">
        <f t="shared" si="14"/>
        <v>471677.30597999983</v>
      </c>
      <c r="BP52" s="442">
        <f t="shared" si="15"/>
        <v>329134.9802899998</v>
      </c>
      <c r="BQ52" s="442">
        <f t="shared" si="16"/>
        <v>165562.1864500001</v>
      </c>
      <c r="BR52" s="442">
        <f t="shared" si="17"/>
        <v>124118.71319999997</v>
      </c>
      <c r="BS52" s="442">
        <f t="shared" si="18"/>
        <v>56204.539970000071</v>
      </c>
      <c r="BT52" s="442">
        <f t="shared" si="19"/>
        <v>21614.419404999979</v>
      </c>
      <c r="BU52" s="452"/>
      <c r="BV52" s="1081"/>
    </row>
    <row r="53" spans="1:74" ht="12" customHeight="1" x14ac:dyDescent="0.3">
      <c r="A53" s="448">
        <v>2006</v>
      </c>
      <c r="B53" s="442">
        <v>12004750.65</v>
      </c>
      <c r="C53" s="442">
        <v>4630103.5245499993</v>
      </c>
      <c r="D53" s="442">
        <v>3366910.0862500002</v>
      </c>
      <c r="E53" s="442">
        <v>1764259.4575499999</v>
      </c>
      <c r="F53" s="442">
        <v>1373036.5578899998</v>
      </c>
      <c r="G53" s="442">
        <v>781092.07010999997</v>
      </c>
      <c r="H53" s="442">
        <v>335329.90064000001</v>
      </c>
      <c r="J53" s="442">
        <f>'T-T1'!C55+'T-T1'!E55+'T-T1'!G55+'T-T1'!I55</f>
        <v>6872540</v>
      </c>
      <c r="K53" s="442">
        <v>2216327.0550000002</v>
      </c>
      <c r="L53" s="442">
        <v>1456157.0220000001</v>
      </c>
      <c r="M53" s="442">
        <v>591196.12529999996</v>
      </c>
      <c r="N53" s="442">
        <v>415809.93440000003</v>
      </c>
      <c r="O53" s="442">
        <v>206007.51209999999</v>
      </c>
      <c r="P53" s="442">
        <v>73544.696039999995</v>
      </c>
      <c r="Q53" s="444"/>
      <c r="R53" s="442">
        <f>'T-T1'!K55+'T-T1'!L55+'T-T1'!N55+'T-T1'!O55+'T-T1'!P55+'T-T1'!Q55+'T-T1'!S55+'T-T1'!T55+'T-T1'!AG55+'T-T1'!AH55</f>
        <v>1447517</v>
      </c>
      <c r="S53" s="442">
        <v>800838.64628999995</v>
      </c>
      <c r="T53" s="442">
        <v>691995.26127000002</v>
      </c>
      <c r="U53" s="442">
        <v>463006.27766000002</v>
      </c>
      <c r="V53" s="442">
        <v>383814.41272000002</v>
      </c>
      <c r="W53" s="442">
        <v>231535.69631</v>
      </c>
      <c r="X53" s="442">
        <v>96024.002347999995</v>
      </c>
      <c r="Y53" s="442"/>
      <c r="Z53" s="703">
        <f>'T-T1'!AC55</f>
        <v>231089.03415799999</v>
      </c>
      <c r="AA53" s="442">
        <v>176374.84659999999</v>
      </c>
      <c r="AB53" s="442">
        <v>159544.00820000001</v>
      </c>
      <c r="AC53" s="442">
        <v>119889.4984</v>
      </c>
      <c r="AD53" s="442">
        <v>103692.86010000001</v>
      </c>
      <c r="AE53" s="442">
        <v>72951.220499999996</v>
      </c>
      <c r="AF53" s="442">
        <v>40150.588660000001</v>
      </c>
      <c r="AG53" s="442"/>
      <c r="AH53" s="703">
        <f>'T-T1'!AN55+'T-T1'!AQ55+'T-T1'!AU55</f>
        <v>306179.86869999999</v>
      </c>
      <c r="AI53" s="442">
        <v>198794.14689999999</v>
      </c>
      <c r="AJ53" s="442">
        <v>175663.61350000001</v>
      </c>
      <c r="AK53" s="442">
        <v>130174.2536</v>
      </c>
      <c r="AL53" s="442">
        <v>111813.3743</v>
      </c>
      <c r="AM53" s="442">
        <v>74709.107459999999</v>
      </c>
      <c r="AN53" s="442">
        <v>37289.446609999999</v>
      </c>
      <c r="AO53" s="442"/>
      <c r="AP53" s="703">
        <f>'T-T1'!AJ55+'T-T1'!AK55+'T-T1'!AL55</f>
        <v>447140.00000000006</v>
      </c>
      <c r="AQ53" s="442">
        <v>238101.98629999999</v>
      </c>
      <c r="AR53" s="442">
        <v>193125.11429999999</v>
      </c>
      <c r="AS53" s="442">
        <v>124886.496</v>
      </c>
      <c r="AT53" s="442">
        <v>104287.14200000001</v>
      </c>
      <c r="AU53" s="442">
        <v>69459.57458</v>
      </c>
      <c r="AV53" s="442">
        <v>35638.165809999999</v>
      </c>
      <c r="AW53" s="442"/>
      <c r="AX53" s="703">
        <f>'T-T1'!X55+'T-T1'!Y55+'T-T1'!Z55</f>
        <v>444308</v>
      </c>
      <c r="AY53" s="442">
        <v>204384.1519</v>
      </c>
      <c r="AZ53" s="442">
        <v>155917.85930000001</v>
      </c>
      <c r="BA53" s="442">
        <v>90579.897870000001</v>
      </c>
      <c r="BB53" s="442">
        <v>73338.371069999994</v>
      </c>
      <c r="BC53" s="442">
        <v>46577.495260000003</v>
      </c>
      <c r="BD53" s="442">
        <v>22987.452809999999</v>
      </c>
      <c r="BE53" s="442"/>
      <c r="BF53" s="442">
        <f>'T-T1'!AD55+'T-T1'!AO55+'T-T1'!AR55+'T-T1'!AV55+'T-T1'!BI55+'T-T1'!BJ55</f>
        <v>1025575.216454516</v>
      </c>
      <c r="BG53" s="442">
        <v>287400.80440000002</v>
      </c>
      <c r="BH53" s="442">
        <v>177500.85550000001</v>
      </c>
      <c r="BI53" s="442">
        <v>58243.04436</v>
      </c>
      <c r="BJ53" s="442">
        <v>37391.717080000002</v>
      </c>
      <c r="BK53" s="442">
        <v>15377.488520000001</v>
      </c>
      <c r="BL53" s="442">
        <v>4519.5648780000001</v>
      </c>
      <c r="BM53" s="442"/>
      <c r="BN53" s="442">
        <f t="shared" si="13"/>
        <v>1230401.5306874844</v>
      </c>
      <c r="BO53" s="442">
        <f t="shared" si="14"/>
        <v>507881.88715999899</v>
      </c>
      <c r="BP53" s="442">
        <f t="shared" si="15"/>
        <v>357006.3521800001</v>
      </c>
      <c r="BQ53" s="442">
        <f t="shared" si="16"/>
        <v>186283.86435999995</v>
      </c>
      <c r="BR53" s="442">
        <f t="shared" si="17"/>
        <v>142888.74621999983</v>
      </c>
      <c r="BS53" s="442">
        <f t="shared" si="18"/>
        <v>64473.975380000003</v>
      </c>
      <c r="BT53" s="442">
        <f t="shared" si="19"/>
        <v>25175.983483999982</v>
      </c>
      <c r="BU53" s="452"/>
      <c r="BV53" s="1081"/>
    </row>
    <row r="54" spans="1:74" ht="12" customHeight="1" x14ac:dyDescent="0.3">
      <c r="A54" s="448">
        <v>2007</v>
      </c>
      <c r="B54" s="442">
        <v>12321374.707</v>
      </c>
      <c r="C54" s="442">
        <v>4724555.3907900006</v>
      </c>
      <c r="D54" s="442">
        <v>3438503.3454899997</v>
      </c>
      <c r="E54" s="442">
        <v>1800226.09659</v>
      </c>
      <c r="F54" s="442">
        <v>1398491.82944</v>
      </c>
      <c r="G54" s="442">
        <v>795979.09479</v>
      </c>
      <c r="H54" s="442">
        <v>346801.85018000001</v>
      </c>
      <c r="J54" s="442">
        <f>'T-T1'!C56+'T-T1'!E56+'T-T1'!G56+'T-T1'!I56</f>
        <v>7223437</v>
      </c>
      <c r="K54" s="442">
        <v>2350490.4139999999</v>
      </c>
      <c r="L54" s="442">
        <v>1551685.899</v>
      </c>
      <c r="M54" s="442">
        <v>646859.94519999996</v>
      </c>
      <c r="N54" s="442">
        <v>461578.4915</v>
      </c>
      <c r="O54" s="442">
        <v>235605.09469999999</v>
      </c>
      <c r="P54" s="442">
        <v>87595.109039999996</v>
      </c>
      <c r="Q54" s="444"/>
      <c r="R54" s="442">
        <f>'T-T1'!K56+'T-T1'!L56+'T-T1'!N56+'T-T1'!O56+'T-T1'!P56+'T-T1'!Q56+'T-T1'!S56+'T-T1'!T56+'T-T1'!AG56+'T-T1'!AH56</f>
        <v>1412184</v>
      </c>
      <c r="S54" s="442">
        <v>801842.43964</v>
      </c>
      <c r="T54" s="442">
        <v>695185.77616000001</v>
      </c>
      <c r="U54" s="442">
        <v>464232.55177000002</v>
      </c>
      <c r="V54" s="442">
        <v>381545.79074000003</v>
      </c>
      <c r="W54" s="442">
        <v>227413.37435</v>
      </c>
      <c r="X54" s="442">
        <v>97205.727257000006</v>
      </c>
      <c r="Y54" s="442"/>
      <c r="Z54" s="703">
        <f>'T-T1'!AC56</f>
        <v>270924.21551200002</v>
      </c>
      <c r="AA54" s="442">
        <v>204643.73910000001</v>
      </c>
      <c r="AB54" s="442">
        <v>183643.2267</v>
      </c>
      <c r="AC54" s="442">
        <v>135768.9393</v>
      </c>
      <c r="AD54" s="442">
        <v>118052.7923</v>
      </c>
      <c r="AE54" s="442">
        <v>82523.057759999996</v>
      </c>
      <c r="AF54" s="442">
        <v>45310.579899999997</v>
      </c>
      <c r="AG54" s="442"/>
      <c r="AH54" s="703">
        <f>'T-T1'!AN56+'T-T1'!AQ56+'T-T1'!AU56</f>
        <v>359138.01426299999</v>
      </c>
      <c r="AI54" s="442">
        <v>231880.36360000001</v>
      </c>
      <c r="AJ54" s="442">
        <v>205035.52859999999</v>
      </c>
      <c r="AK54" s="442">
        <v>150511.5668</v>
      </c>
      <c r="AL54" s="442">
        <v>129367.99709999999</v>
      </c>
      <c r="AM54" s="442">
        <v>86971.856939999998</v>
      </c>
      <c r="AN54" s="442">
        <v>44919.861279999997</v>
      </c>
      <c r="AO54" s="442"/>
      <c r="AP54" s="703">
        <f>'T-T1'!AJ56+'T-T1'!AK56+'T-T1'!AL56</f>
        <v>264552</v>
      </c>
      <c r="AQ54" s="442">
        <v>132748.6721</v>
      </c>
      <c r="AR54" s="442">
        <v>106841.87330000001</v>
      </c>
      <c r="AS54" s="442">
        <v>67331.98878</v>
      </c>
      <c r="AT54" s="442">
        <v>56073.891259999997</v>
      </c>
      <c r="AU54" s="442">
        <v>36696.392899999999</v>
      </c>
      <c r="AV54" s="442">
        <v>18791.386299999998</v>
      </c>
      <c r="AW54" s="442"/>
      <c r="AX54" s="703">
        <f>'T-T1'!X56+'T-T1'!Y56+'T-T1'!Z56</f>
        <v>410932</v>
      </c>
      <c r="AY54" s="442">
        <v>181492.4234</v>
      </c>
      <c r="AZ54" s="442">
        <v>139171.61569999999</v>
      </c>
      <c r="BA54" s="442">
        <v>80340.311910000004</v>
      </c>
      <c r="BB54" s="442">
        <v>65104.654979999999</v>
      </c>
      <c r="BC54" s="442">
        <v>40868.089019999999</v>
      </c>
      <c r="BD54" s="442">
        <v>20362.478080000001</v>
      </c>
      <c r="BE54" s="442"/>
      <c r="BF54" s="442">
        <f>'T-T1'!AD56+'T-T1'!AO56+'T-T1'!AR56+'T-T1'!AV56+'T-T1'!BI56+'T-T1'!BJ56</f>
        <v>1112171.1569654648</v>
      </c>
      <c r="BG54" s="442">
        <v>305892.2</v>
      </c>
      <c r="BH54" s="442">
        <v>190695.25150000001</v>
      </c>
      <c r="BI54" s="442">
        <v>63439.393429999996</v>
      </c>
      <c r="BJ54" s="442">
        <v>41180.950019999997</v>
      </c>
      <c r="BK54" s="442">
        <v>16511.0762</v>
      </c>
      <c r="BL54" s="442">
        <v>4889.0335260000002</v>
      </c>
      <c r="BM54" s="442"/>
      <c r="BN54" s="442">
        <f t="shared" si="13"/>
        <v>1268036.3202595357</v>
      </c>
      <c r="BO54" s="442">
        <f t="shared" si="14"/>
        <v>515565.13895000081</v>
      </c>
      <c r="BP54" s="442">
        <f t="shared" si="15"/>
        <v>366244.17452999973</v>
      </c>
      <c r="BQ54" s="442">
        <f t="shared" si="16"/>
        <v>191741.39939999999</v>
      </c>
      <c r="BR54" s="442">
        <f t="shared" si="17"/>
        <v>145587.26153999998</v>
      </c>
      <c r="BS54" s="442">
        <f t="shared" si="18"/>
        <v>69390.152919999993</v>
      </c>
      <c r="BT54" s="442">
        <f t="shared" si="19"/>
        <v>27727.674797000014</v>
      </c>
      <c r="BU54" s="452"/>
      <c r="BV54" s="1081"/>
    </row>
    <row r="55" spans="1:74" ht="12" customHeight="1" x14ac:dyDescent="0.3">
      <c r="A55" s="448">
        <v>2008</v>
      </c>
      <c r="B55" s="442">
        <v>12427821.880999999</v>
      </c>
      <c r="C55" s="442">
        <v>4746068.6138700005</v>
      </c>
      <c r="D55" s="442">
        <v>3412667.7444700003</v>
      </c>
      <c r="E55" s="442">
        <v>1734305.2143699999</v>
      </c>
      <c r="F55" s="442">
        <v>1334350.9840899999</v>
      </c>
      <c r="G55" s="442">
        <v>747455.50374000007</v>
      </c>
      <c r="H55" s="442">
        <v>326158.30329000001</v>
      </c>
      <c r="J55" s="442">
        <f>'T-T1'!C57+'T-T1'!E57+'T-T1'!G57+'T-T1'!I57</f>
        <v>7377639</v>
      </c>
      <c r="K55" s="442">
        <v>2395749.9309999999</v>
      </c>
      <c r="L55" s="442">
        <v>1557571.9310000001</v>
      </c>
      <c r="M55" s="442">
        <v>623929.91610000003</v>
      </c>
      <c r="N55" s="442">
        <v>436669.1078</v>
      </c>
      <c r="O55" s="442">
        <v>218509.022</v>
      </c>
      <c r="P55" s="442">
        <v>79104.206090000007</v>
      </c>
      <c r="Q55" s="444"/>
      <c r="R55" s="442">
        <f>'T-T1'!K57+'T-T1'!L57+'T-T1'!N57+'T-T1'!O57+'T-T1'!P57+'T-T1'!Q57+'T-T1'!S57+'T-T1'!T57+'T-T1'!AG57+'T-T1'!AH57</f>
        <v>1468885</v>
      </c>
      <c r="S55" s="442">
        <v>820188.19920999999</v>
      </c>
      <c r="T55" s="442">
        <v>712074.21921000001</v>
      </c>
      <c r="U55" s="442">
        <v>472819.41667000001</v>
      </c>
      <c r="V55" s="442">
        <v>392196.21652000002</v>
      </c>
      <c r="W55" s="442">
        <v>240253.44149999999</v>
      </c>
      <c r="X55" s="442">
        <v>108974.67432000001</v>
      </c>
      <c r="Y55" s="442"/>
      <c r="Z55" s="703">
        <f>'T-T1'!AC57</f>
        <v>246335.28420600001</v>
      </c>
      <c r="AA55" s="442">
        <v>182120.61309999999</v>
      </c>
      <c r="AB55" s="442">
        <v>164190.74669999999</v>
      </c>
      <c r="AC55" s="442">
        <v>123790.2188</v>
      </c>
      <c r="AD55" s="442">
        <v>108081.9277</v>
      </c>
      <c r="AE55" s="442">
        <v>77753.597280000002</v>
      </c>
      <c r="AF55" s="442">
        <v>42987.998780000002</v>
      </c>
      <c r="AG55" s="442"/>
      <c r="AH55" s="703">
        <f>'T-T1'!AN57+'T-T1'!AQ57+'T-T1'!AU57</f>
        <v>311345.51889900002</v>
      </c>
      <c r="AI55" s="442">
        <v>195017.96859999999</v>
      </c>
      <c r="AJ55" s="442">
        <v>171248.05679999999</v>
      </c>
      <c r="AK55" s="442">
        <v>123296.27190000001</v>
      </c>
      <c r="AL55" s="442">
        <v>104591.6088</v>
      </c>
      <c r="AM55" s="442">
        <v>68865.602509999997</v>
      </c>
      <c r="AN55" s="442">
        <v>33373.073320000003</v>
      </c>
      <c r="AO55" s="442"/>
      <c r="AP55" s="703">
        <f>'T-T1'!AJ57+'T-T1'!AK57+'T-T1'!AL57</f>
        <v>167349</v>
      </c>
      <c r="AQ55" s="442">
        <v>83054.434179999997</v>
      </c>
      <c r="AR55" s="442">
        <v>65784.047449999998</v>
      </c>
      <c r="AS55" s="442">
        <v>40294.405120000003</v>
      </c>
      <c r="AT55" s="442">
        <v>33195.528460000001</v>
      </c>
      <c r="AU55" s="442">
        <v>21804.825680000002</v>
      </c>
      <c r="AV55" s="442">
        <v>11238.4805</v>
      </c>
      <c r="AW55" s="442"/>
      <c r="AX55" s="703">
        <f>'T-T1'!X57+'T-T1'!Y57+'T-T1'!Z57</f>
        <v>277411</v>
      </c>
      <c r="AY55" s="442">
        <v>123505.26669999999</v>
      </c>
      <c r="AZ55" s="442">
        <v>93357.357499999998</v>
      </c>
      <c r="BA55" s="442">
        <v>51799.577149999997</v>
      </c>
      <c r="BB55" s="442">
        <v>41203.320390000001</v>
      </c>
      <c r="BC55" s="442">
        <v>25463.325860000001</v>
      </c>
      <c r="BD55" s="442">
        <v>12624.97286</v>
      </c>
      <c r="BE55" s="442"/>
      <c r="BF55" s="442">
        <f>'T-T1'!AD57+'T-T1'!AO57+'T-T1'!AR57+'T-T1'!AV57+'T-T1'!BI57+'T-T1'!BJ57</f>
        <v>1227848.6163927091</v>
      </c>
      <c r="BG55" s="442">
        <v>359481.94040000002</v>
      </c>
      <c r="BH55" s="442">
        <v>226027.44630000001</v>
      </c>
      <c r="BI55" s="442">
        <v>75252.804980000001</v>
      </c>
      <c r="BJ55" s="442">
        <v>48136.110650000002</v>
      </c>
      <c r="BK55" s="442">
        <v>18272.163</v>
      </c>
      <c r="BL55" s="442">
        <v>5552.1164529999996</v>
      </c>
      <c r="BM55" s="442"/>
      <c r="BN55" s="442">
        <f t="shared" si="13"/>
        <v>1351008.4615022896</v>
      </c>
      <c r="BO55" s="442">
        <f t="shared" si="14"/>
        <v>586950.26068000053</v>
      </c>
      <c r="BP55" s="442">
        <f t="shared" si="15"/>
        <v>422413.93951000011</v>
      </c>
      <c r="BQ55" s="442">
        <f t="shared" si="16"/>
        <v>223122.60364999995</v>
      </c>
      <c r="BR55" s="442">
        <f t="shared" si="17"/>
        <v>170277.16376999993</v>
      </c>
      <c r="BS55" s="442">
        <f t="shared" si="18"/>
        <v>76533.525910000128</v>
      </c>
      <c r="BT55" s="442">
        <f t="shared" si="19"/>
        <v>32302.780967000032</v>
      </c>
      <c r="BU55" s="452"/>
      <c r="BV55" s="1081"/>
    </row>
    <row r="56" spans="1:74" ht="12" customHeight="1" x14ac:dyDescent="0.3">
      <c r="A56" s="448">
        <v>2009</v>
      </c>
      <c r="B56" s="442">
        <v>12126078.895</v>
      </c>
      <c r="C56" s="442">
        <v>4576015.0844900003</v>
      </c>
      <c r="D56" s="442">
        <v>3243200.7943899999</v>
      </c>
      <c r="E56" s="442">
        <v>1587439.76679</v>
      </c>
      <c r="F56" s="442">
        <v>1204427.6288300001</v>
      </c>
      <c r="G56" s="442">
        <v>667699.49734</v>
      </c>
      <c r="H56" s="442">
        <v>299347.72275999998</v>
      </c>
      <c r="J56" s="442">
        <f>'T-T1'!C58+'T-T1'!E58+'T-T1'!G58+'T-T1'!I58</f>
        <v>7091057</v>
      </c>
      <c r="K56" s="442">
        <v>2305811.216</v>
      </c>
      <c r="L56" s="442">
        <v>1480301.827</v>
      </c>
      <c r="M56" s="442">
        <v>548913.353</v>
      </c>
      <c r="N56" s="442">
        <v>370342.09019999998</v>
      </c>
      <c r="O56" s="442">
        <v>174059.66940000001</v>
      </c>
      <c r="P56" s="442">
        <v>58524.308129999998</v>
      </c>
      <c r="Q56" s="444"/>
      <c r="R56" s="442">
        <f>'T-T1'!K58+'T-T1'!L58+'T-T1'!N58+'T-T1'!O58+'T-T1'!P58+'T-T1'!Q58+'T-T1'!S58+'T-T1'!T58+'T-T1'!AG58+'T-T1'!AH58</f>
        <v>1356813</v>
      </c>
      <c r="S56" s="442">
        <v>730587.07457000006</v>
      </c>
      <c r="T56" s="442">
        <v>628995.14463</v>
      </c>
      <c r="U56" s="442">
        <v>414736.33413999999</v>
      </c>
      <c r="V56" s="442">
        <v>342966.36176</v>
      </c>
      <c r="W56" s="442">
        <v>208010.61330999999</v>
      </c>
      <c r="X56" s="442">
        <v>93007.619751999999</v>
      </c>
      <c r="Y56" s="442"/>
      <c r="Z56" s="703">
        <f>'T-T1'!AC58</f>
        <v>182541.58540099999</v>
      </c>
      <c r="AA56" s="442">
        <v>135784.78940000001</v>
      </c>
      <c r="AB56" s="442">
        <v>122204.0484</v>
      </c>
      <c r="AC56" s="442">
        <v>92867.301229999997</v>
      </c>
      <c r="AD56" s="442">
        <v>80674.798060000001</v>
      </c>
      <c r="AE56" s="442">
        <v>58754.828350000003</v>
      </c>
      <c r="AF56" s="442">
        <v>35570.27678</v>
      </c>
      <c r="AG56" s="442"/>
      <c r="AH56" s="703">
        <f>'T-T1'!AN58+'T-T1'!AQ58+'T-T1'!AU58</f>
        <v>246525.632687</v>
      </c>
      <c r="AI56" s="442">
        <v>157999.4149</v>
      </c>
      <c r="AJ56" s="442">
        <v>139265.2341</v>
      </c>
      <c r="AK56" s="442">
        <v>100823.81939999999</v>
      </c>
      <c r="AL56" s="442">
        <v>85096.334510000001</v>
      </c>
      <c r="AM56" s="442">
        <v>56443.516739999999</v>
      </c>
      <c r="AN56" s="442">
        <v>28038.439719999998</v>
      </c>
      <c r="AO56" s="442"/>
      <c r="AP56" s="703">
        <f>'T-T1'!AJ58+'T-T1'!AK58+'T-T1'!AL58</f>
        <v>552898</v>
      </c>
      <c r="AQ56" s="442">
        <v>287650.82559999998</v>
      </c>
      <c r="AR56" s="442">
        <v>228091.0001</v>
      </c>
      <c r="AS56" s="442">
        <v>139874.24720000001</v>
      </c>
      <c r="AT56" s="442">
        <v>114734.7938</v>
      </c>
      <c r="AU56" s="442">
        <v>77150.811300000001</v>
      </c>
      <c r="AV56" s="442">
        <v>44486.988989999998</v>
      </c>
      <c r="AW56" s="442"/>
      <c r="AX56" s="703">
        <f>'T-T1'!X58+'T-T1'!Y58+'T-T1'!Z58</f>
        <v>222014</v>
      </c>
      <c r="AY56" s="442">
        <v>102757.5978</v>
      </c>
      <c r="AZ56" s="442">
        <v>77368.86679</v>
      </c>
      <c r="BA56" s="442">
        <v>42058.335010000003</v>
      </c>
      <c r="BB56" s="442">
        <v>33111.297480000001</v>
      </c>
      <c r="BC56" s="442">
        <v>20716.573499999999</v>
      </c>
      <c r="BD56" s="442">
        <v>11239.04487</v>
      </c>
      <c r="BE56" s="442"/>
      <c r="BF56" s="442">
        <f>'T-T1'!AD58+'T-T1'!AO58+'T-T1'!AR58+'T-T1'!AV58+'T-T1'!BI58+'T-T1'!BJ58</f>
        <v>1075141.3916523061</v>
      </c>
      <c r="BG56" s="442">
        <v>303500.33240000001</v>
      </c>
      <c r="BH56" s="442">
        <v>185998.8867</v>
      </c>
      <c r="BI56" s="442">
        <v>56793.03643</v>
      </c>
      <c r="BJ56" s="442">
        <v>34254.93103</v>
      </c>
      <c r="BK56" s="442">
        <v>11694.13552</v>
      </c>
      <c r="BL56" s="442">
        <v>3465.0230889999998</v>
      </c>
      <c r="BM56" s="442"/>
      <c r="BN56" s="442">
        <f t="shared" si="13"/>
        <v>1399088.2852596934</v>
      </c>
      <c r="BO56" s="442">
        <f t="shared" si="14"/>
        <v>551923.83382000006</v>
      </c>
      <c r="BP56" s="442">
        <f t="shared" si="15"/>
        <v>380975.78666999983</v>
      </c>
      <c r="BQ56" s="442">
        <f t="shared" si="16"/>
        <v>191373.34037999995</v>
      </c>
      <c r="BR56" s="442">
        <f t="shared" si="17"/>
        <v>143247.02199000007</v>
      </c>
      <c r="BS56" s="442">
        <f t="shared" si="18"/>
        <v>60869.349220000018</v>
      </c>
      <c r="BT56" s="442">
        <f t="shared" si="19"/>
        <v>25016.021428999997</v>
      </c>
      <c r="BU56" s="452"/>
      <c r="BV56" s="1081"/>
    </row>
    <row r="57" spans="1:74" ht="12" customHeight="1" x14ac:dyDescent="0.3">
      <c r="A57" s="448">
        <v>2010</v>
      </c>
      <c r="B57" s="442">
        <v>12739542.267999999</v>
      </c>
      <c r="C57" s="442">
        <v>4979790.01664</v>
      </c>
      <c r="D57" s="442">
        <v>3592535.29874</v>
      </c>
      <c r="E57" s="442">
        <v>1821307.15344</v>
      </c>
      <c r="F57" s="442">
        <v>1404711.9375</v>
      </c>
      <c r="G57" s="442">
        <v>801151.84201999998</v>
      </c>
      <c r="H57" s="442">
        <v>368846.61076000001</v>
      </c>
      <c r="J57" s="442">
        <f>'T-T1'!C59+'T-T1'!E59+'T-T1'!G59+'T-T1'!I59</f>
        <v>7226408</v>
      </c>
      <c r="K57" s="442">
        <v>2383882.1949999998</v>
      </c>
      <c r="L57" s="442">
        <v>1553365.4739999999</v>
      </c>
      <c r="M57" s="442">
        <v>593821.13230000006</v>
      </c>
      <c r="N57" s="442">
        <v>408488.62800000003</v>
      </c>
      <c r="O57" s="442">
        <v>192230.83979999999</v>
      </c>
      <c r="P57" s="442">
        <v>62070.747080000001</v>
      </c>
      <c r="Q57" s="444"/>
      <c r="R57" s="442">
        <f>'T-T1'!K59+'T-T1'!L59+'T-T1'!N59+'T-T1'!O59+'T-T1'!P59+'T-T1'!Q59+'T-T1'!S59+'T-T1'!T59+'T-T1'!AG59+'T-T1'!AH59</f>
        <v>1452886</v>
      </c>
      <c r="S57" s="442">
        <v>772281.62950000004</v>
      </c>
      <c r="T57" s="442">
        <v>663290.15271000005</v>
      </c>
      <c r="U57" s="442">
        <v>438292.43210999999</v>
      </c>
      <c r="V57" s="442">
        <v>360655.29612999997</v>
      </c>
      <c r="W57" s="442">
        <v>216706.09637000001</v>
      </c>
      <c r="X57" s="442">
        <v>95184.885187000007</v>
      </c>
      <c r="Y57" s="442"/>
      <c r="Z57" s="703">
        <f>'T-T1'!AC59</f>
        <v>205879.28195999999</v>
      </c>
      <c r="AA57" s="442">
        <v>161479.64490000001</v>
      </c>
      <c r="AB57" s="442">
        <v>146664.66769999999</v>
      </c>
      <c r="AC57" s="442">
        <v>114477.7709</v>
      </c>
      <c r="AD57" s="442">
        <v>101544.33869999999</v>
      </c>
      <c r="AE57" s="442">
        <v>76532.494820000007</v>
      </c>
      <c r="AF57" s="442">
        <v>47489.479700000004</v>
      </c>
      <c r="AG57" s="442"/>
      <c r="AH57" s="703">
        <f>'T-T1'!AN59+'T-T1'!AQ59+'T-T1'!AU59</f>
        <v>220219.07608</v>
      </c>
      <c r="AI57" s="442">
        <v>149095.69450000001</v>
      </c>
      <c r="AJ57" s="442">
        <v>133159.54459999999</v>
      </c>
      <c r="AK57" s="442">
        <v>99129.065440000006</v>
      </c>
      <c r="AL57" s="442">
        <v>84085.032269999996</v>
      </c>
      <c r="AM57" s="442">
        <v>56772.4398</v>
      </c>
      <c r="AN57" s="442">
        <v>28174.985799999999</v>
      </c>
      <c r="AO57" s="442"/>
      <c r="AP57" s="703">
        <f>'T-T1'!AJ59+'T-T1'!AK59+'T-T1'!AL59</f>
        <v>811899</v>
      </c>
      <c r="AQ57" s="442">
        <v>453632.28480000002</v>
      </c>
      <c r="AR57" s="442">
        <v>367380.4926</v>
      </c>
      <c r="AS57" s="442">
        <v>234297.43350000001</v>
      </c>
      <c r="AT57" s="442">
        <v>197030.8358</v>
      </c>
      <c r="AU57" s="442">
        <v>137080.68549999999</v>
      </c>
      <c r="AV57" s="442">
        <v>80894.820919999998</v>
      </c>
      <c r="AW57" s="442"/>
      <c r="AX57" s="703">
        <f>'T-T1'!X59+'T-T1'!Y59+'T-T1'!Z59</f>
        <v>291303</v>
      </c>
      <c r="AY57" s="442">
        <v>143667.40349999999</v>
      </c>
      <c r="AZ57" s="442">
        <v>110323.4904</v>
      </c>
      <c r="BA57" s="442">
        <v>62406.062980000002</v>
      </c>
      <c r="BB57" s="442">
        <v>50234.44917</v>
      </c>
      <c r="BC57" s="442">
        <v>32280.29334</v>
      </c>
      <c r="BD57" s="442">
        <v>17969.837100000001</v>
      </c>
      <c r="BE57" s="442"/>
      <c r="BF57" s="442">
        <f>'T-T1'!AD59+'T-T1'!AO59+'T-T1'!AR59+'T-T1'!AV59+'T-T1'!BI59+'T-T1'!BJ59</f>
        <v>1020020.8737095238</v>
      </c>
      <c r="BG57" s="442">
        <v>295443.72159999999</v>
      </c>
      <c r="BH57" s="442">
        <v>183026.13320000001</v>
      </c>
      <c r="BI57" s="442">
        <v>57307.497779999998</v>
      </c>
      <c r="BJ57" s="442">
        <v>36487.472240000003</v>
      </c>
      <c r="BK57" s="442">
        <v>13767.82625</v>
      </c>
      <c r="BL57" s="442">
        <v>3493.7228869999999</v>
      </c>
      <c r="BM57" s="442"/>
      <c r="BN57" s="442">
        <f t="shared" si="13"/>
        <v>1510927.0362504756</v>
      </c>
      <c r="BO57" s="442">
        <f t="shared" si="14"/>
        <v>620307.44284000015</v>
      </c>
      <c r="BP57" s="442">
        <f t="shared" si="15"/>
        <v>435325.34352999995</v>
      </c>
      <c r="BQ57" s="442">
        <f t="shared" si="16"/>
        <v>221575.75842999984</v>
      </c>
      <c r="BR57" s="442">
        <f t="shared" si="17"/>
        <v>166185.88519000012</v>
      </c>
      <c r="BS57" s="442">
        <f t="shared" si="18"/>
        <v>75781.166139999972</v>
      </c>
      <c r="BT57" s="442">
        <f t="shared" si="19"/>
        <v>33568.132086000012</v>
      </c>
      <c r="BU57" s="452"/>
      <c r="BV57" s="1081"/>
    </row>
    <row r="58" spans="1:74" ht="12" customHeight="1" x14ac:dyDescent="0.3">
      <c r="A58" s="448">
        <v>2011</v>
      </c>
      <c r="B58" s="442">
        <v>13352255.159</v>
      </c>
      <c r="C58" s="442">
        <v>5204333.9808900002</v>
      </c>
      <c r="D58" s="442">
        <v>3730429.4427900002</v>
      </c>
      <c r="E58" s="442">
        <v>1848258.5668899999</v>
      </c>
      <c r="F58" s="442">
        <v>1404265.7176399999</v>
      </c>
      <c r="G58" s="442">
        <v>773868.05511999992</v>
      </c>
      <c r="H58" s="442">
        <v>334180.47619999998</v>
      </c>
      <c r="J58" s="442">
        <f>'T-T1'!C60+'T-T1'!E60+'T-T1'!G60+'T-T1'!I60</f>
        <v>7519100</v>
      </c>
      <c r="K58" s="442">
        <v>2487853.4720000001</v>
      </c>
      <c r="L58" s="442">
        <v>1624118.246</v>
      </c>
      <c r="M58" s="442">
        <v>621164.48820000002</v>
      </c>
      <c r="N58" s="442">
        <v>420789.56329999998</v>
      </c>
      <c r="O58" s="442">
        <v>197811.17550000001</v>
      </c>
      <c r="P58" s="442">
        <v>63143.96125</v>
      </c>
      <c r="Q58" s="444"/>
      <c r="R58" s="442">
        <f>'T-T1'!K60+'T-T1'!L60+'T-T1'!N60+'T-T1'!O60+'T-T1'!P60+'T-T1'!Q60+'T-T1'!S60+'T-T1'!T60+'T-T1'!AG60+'T-T1'!AH60</f>
        <v>1618029</v>
      </c>
      <c r="S58" s="442">
        <v>848480.82285</v>
      </c>
      <c r="T58" s="442">
        <v>726606.31610000005</v>
      </c>
      <c r="U58" s="442">
        <v>472794.81176000001</v>
      </c>
      <c r="V58" s="442">
        <v>386902.179</v>
      </c>
      <c r="W58" s="442">
        <v>232299.69154</v>
      </c>
      <c r="X58" s="442">
        <v>101759.22227</v>
      </c>
      <c r="Y58" s="442"/>
      <c r="Z58" s="703">
        <f>'T-T1'!AC60</f>
        <v>218190.647922</v>
      </c>
      <c r="AA58" s="442">
        <v>163837.80350000001</v>
      </c>
      <c r="AB58" s="442">
        <v>147411.75760000001</v>
      </c>
      <c r="AC58" s="442">
        <v>111344.3061</v>
      </c>
      <c r="AD58" s="442">
        <v>97121.106159999996</v>
      </c>
      <c r="AE58" s="442">
        <v>69082.825509999995</v>
      </c>
      <c r="AF58" s="442">
        <v>40102.902069999996</v>
      </c>
      <c r="AG58" s="442"/>
      <c r="AH58" s="703">
        <f>'T-T1'!AN60+'T-T1'!AQ60+'T-T1'!AU60</f>
        <v>198977.13647200001</v>
      </c>
      <c r="AI58" s="442">
        <v>133316.39749999999</v>
      </c>
      <c r="AJ58" s="442">
        <v>119792.0257</v>
      </c>
      <c r="AK58" s="442">
        <v>88301.514819999997</v>
      </c>
      <c r="AL58" s="442">
        <v>74721.463250000001</v>
      </c>
      <c r="AM58" s="442">
        <v>49480.940900000001</v>
      </c>
      <c r="AN58" s="442">
        <v>23931.66951</v>
      </c>
      <c r="AO58" s="442"/>
      <c r="AP58" s="703">
        <f>'T-T1'!AJ60+'T-T1'!AK60+'T-T1'!AL60</f>
        <v>733860</v>
      </c>
      <c r="AQ58" s="442">
        <v>398954.27100000001</v>
      </c>
      <c r="AR58" s="442">
        <v>316193.39659999998</v>
      </c>
      <c r="AS58" s="442">
        <v>193664.29670000001</v>
      </c>
      <c r="AT58" s="442">
        <v>160542.72279999999</v>
      </c>
      <c r="AU58" s="442">
        <v>107293.39870000001</v>
      </c>
      <c r="AV58" s="442">
        <v>58550.545579999998</v>
      </c>
      <c r="AW58" s="442"/>
      <c r="AX58" s="703">
        <f>'T-T1'!X60+'T-T1'!Y60+'T-T1'!Z60</f>
        <v>303671.00000000006</v>
      </c>
      <c r="AY58" s="442">
        <v>147402.87</v>
      </c>
      <c r="AZ58" s="442">
        <v>110763.2115</v>
      </c>
      <c r="BA58" s="442">
        <v>59850.110979999998</v>
      </c>
      <c r="BB58" s="442">
        <v>47561.620190000001</v>
      </c>
      <c r="BC58" s="442">
        <v>29720.617869999998</v>
      </c>
      <c r="BD58" s="442">
        <v>15343.548339999999</v>
      </c>
      <c r="BE58" s="442"/>
      <c r="BF58" s="442">
        <f>'T-T1'!AD60+'T-T1'!AO60+'T-T1'!AR60+'T-T1'!AV60+'T-T1'!BI60+'T-T1'!BJ60</f>
        <v>1140825.14251005</v>
      </c>
      <c r="BG58" s="442">
        <v>340381.57579999999</v>
      </c>
      <c r="BH58" s="442">
        <v>210718.27710000001</v>
      </c>
      <c r="BI58" s="442">
        <v>69363.437309999994</v>
      </c>
      <c r="BJ58" s="442">
        <v>45614.343220000002</v>
      </c>
      <c r="BK58" s="442">
        <v>18030.099679999999</v>
      </c>
      <c r="BL58" s="442">
        <v>4332.89761</v>
      </c>
      <c r="BM58" s="442"/>
      <c r="BN58" s="442">
        <f t="shared" si="13"/>
        <v>1619602.2320959503</v>
      </c>
      <c r="BO58" s="442">
        <f t="shared" si="14"/>
        <v>684106.76824000024</v>
      </c>
      <c r="BP58" s="442">
        <f t="shared" si="15"/>
        <v>474826.21219000028</v>
      </c>
      <c r="BQ58" s="442">
        <f t="shared" si="16"/>
        <v>231775.60101999983</v>
      </c>
      <c r="BR58" s="442">
        <f t="shared" si="17"/>
        <v>171012.71971999991</v>
      </c>
      <c r="BS58" s="442">
        <f t="shared" si="18"/>
        <v>70149.305419999888</v>
      </c>
      <c r="BT58" s="442">
        <f t="shared" si="19"/>
        <v>27015.729569999996</v>
      </c>
      <c r="BU58" s="452"/>
      <c r="BV58" s="1081"/>
    </row>
    <row r="59" spans="1:74" ht="12" customHeight="1" x14ac:dyDescent="0.3">
      <c r="A59" s="448">
        <v>2012</v>
      </c>
      <c r="B59" s="442">
        <v>14061877.435000001</v>
      </c>
      <c r="C59" s="442">
        <v>5663262.6709400006</v>
      </c>
      <c r="D59" s="442">
        <v>4126094.2177399998</v>
      </c>
      <c r="E59" s="442">
        <v>2141500.5236400003</v>
      </c>
      <c r="F59" s="442">
        <v>1667877.8835</v>
      </c>
      <c r="G59" s="442">
        <v>968473.39145</v>
      </c>
      <c r="H59" s="442">
        <v>442259.1642</v>
      </c>
      <c r="J59" s="442">
        <f>'T-T1'!C61+'T-T1'!E61+'T-T1'!G61+'T-T1'!I61</f>
        <v>7838237</v>
      </c>
      <c r="K59" s="442">
        <v>2646980.1189999999</v>
      </c>
      <c r="L59" s="442">
        <v>1746127.233</v>
      </c>
      <c r="M59" s="442">
        <v>692119.11069999996</v>
      </c>
      <c r="N59" s="442">
        <v>478093.82030000002</v>
      </c>
      <c r="O59" s="442">
        <v>234246.92069999999</v>
      </c>
      <c r="P59" s="442">
        <v>82508.610270000005</v>
      </c>
      <c r="Q59" s="444"/>
      <c r="R59" s="442">
        <f>'T-T1'!K61+'T-T1'!L61+'T-T1'!N61+'T-T1'!O61+'T-T1'!P61+'T-T1'!Q61+'T-T1'!S61+'T-T1'!T61+'T-T1'!AG61+'T-T1'!AH61</f>
        <v>1779371</v>
      </c>
      <c r="S59" s="442">
        <v>982905.40544</v>
      </c>
      <c r="T59" s="442">
        <v>853540.43419000006</v>
      </c>
      <c r="U59" s="442">
        <v>571845.97571000003</v>
      </c>
      <c r="V59" s="442">
        <v>470784.98668999999</v>
      </c>
      <c r="W59" s="442">
        <v>284902.11125000002</v>
      </c>
      <c r="X59" s="442">
        <v>125479.25917</v>
      </c>
      <c r="Y59" s="442"/>
      <c r="Z59" s="703">
        <f>'T-T1'!AC61</f>
        <v>294188.29065699998</v>
      </c>
      <c r="AA59" s="442">
        <v>234483.7365</v>
      </c>
      <c r="AB59" s="442">
        <v>215919.0191</v>
      </c>
      <c r="AC59" s="442">
        <v>172970.08429999999</v>
      </c>
      <c r="AD59" s="442">
        <v>155537.72409999999</v>
      </c>
      <c r="AE59" s="442">
        <v>117585.4004</v>
      </c>
      <c r="AF59" s="442">
        <v>72175.717659999995</v>
      </c>
      <c r="AG59" s="442"/>
      <c r="AH59" s="703">
        <f>'T-T1'!AN61+'T-T1'!AQ61+'T-T1'!AU61</f>
        <v>189565.07728200001</v>
      </c>
      <c r="AI59" s="442">
        <v>131744.47570000001</v>
      </c>
      <c r="AJ59" s="442">
        <v>119450.1781</v>
      </c>
      <c r="AK59" s="442">
        <v>88705.827489999996</v>
      </c>
      <c r="AL59" s="442">
        <v>75725.732109999997</v>
      </c>
      <c r="AM59" s="442">
        <v>50894.62242</v>
      </c>
      <c r="AN59" s="442">
        <v>25320.899249999999</v>
      </c>
      <c r="AO59" s="442"/>
      <c r="AP59" s="703">
        <f>'T-T1'!AJ61+'T-T1'!AK61+'T-T1'!AL61</f>
        <v>691161.99999999988</v>
      </c>
      <c r="AQ59" s="442">
        <v>395941.11969999998</v>
      </c>
      <c r="AR59" s="442">
        <v>319673.95319999999</v>
      </c>
      <c r="AS59" s="442">
        <v>207037.18969999999</v>
      </c>
      <c r="AT59" s="442">
        <v>177879.43609999999</v>
      </c>
      <c r="AU59" s="442">
        <v>125709.1979</v>
      </c>
      <c r="AV59" s="442">
        <v>71149.796329999997</v>
      </c>
      <c r="AW59" s="442"/>
      <c r="AX59" s="703">
        <f>'T-T1'!X61+'T-T1'!Y61+'T-T1'!Z61</f>
        <v>359205</v>
      </c>
      <c r="AY59" s="442">
        <v>181723.0147</v>
      </c>
      <c r="AZ59" s="442">
        <v>137804.56450000001</v>
      </c>
      <c r="BA59" s="442">
        <v>77613.319940000001</v>
      </c>
      <c r="BB59" s="442">
        <v>63926.446909999999</v>
      </c>
      <c r="BC59" s="442">
        <v>42334.020530000002</v>
      </c>
      <c r="BD59" s="442">
        <v>22511.579170000001</v>
      </c>
      <c r="BE59" s="442"/>
      <c r="BF59" s="442">
        <f>'T-T1'!AD61+'T-T1'!AO61+'T-T1'!AR61+'T-T1'!AV61+'T-T1'!BI61+'T-T1'!BJ61</f>
        <v>1231158.7997038641</v>
      </c>
      <c r="BG59" s="442">
        <v>378396.97379999998</v>
      </c>
      <c r="BH59" s="442">
        <v>238123.68590000001</v>
      </c>
      <c r="BI59" s="442">
        <v>82376.572669999994</v>
      </c>
      <c r="BJ59" s="442">
        <v>57029.941050000001</v>
      </c>
      <c r="BK59" s="442">
        <v>25947.864799999999</v>
      </c>
      <c r="BL59" s="442">
        <v>6297.9619929999999</v>
      </c>
      <c r="BM59" s="442"/>
      <c r="BN59" s="442">
        <f t="shared" si="13"/>
        <v>1678990.2673571364</v>
      </c>
      <c r="BO59" s="442">
        <f t="shared" si="14"/>
        <v>711087.82610000065</v>
      </c>
      <c r="BP59" s="442">
        <f t="shared" si="15"/>
        <v>495455.14974999998</v>
      </c>
      <c r="BQ59" s="442">
        <f t="shared" si="16"/>
        <v>248832.44313000023</v>
      </c>
      <c r="BR59" s="442">
        <f t="shared" si="17"/>
        <v>188899.79624000008</v>
      </c>
      <c r="BS59" s="442">
        <f t="shared" si="18"/>
        <v>86853.253449999946</v>
      </c>
      <c r="BT59" s="442">
        <f t="shared" si="19"/>
        <v>36815.340357000016</v>
      </c>
      <c r="BU59" s="452"/>
      <c r="BV59" s="1081"/>
    </row>
    <row r="60" spans="1:74" ht="12" customHeight="1" x14ac:dyDescent="0.3">
      <c r="A60" s="448">
        <v>2013</v>
      </c>
      <c r="B60" s="442">
        <v>14444822.515000001</v>
      </c>
      <c r="C60" s="442">
        <v>5656261.3383799996</v>
      </c>
      <c r="D60" s="442">
        <v>4046974.2130800001</v>
      </c>
      <c r="E60" s="442">
        <v>2007362.3261799999</v>
      </c>
      <c r="F60" s="442">
        <v>1531192.80938</v>
      </c>
      <c r="G60" s="442">
        <v>853808.86785000004</v>
      </c>
      <c r="H60" s="442">
        <v>372903.82295</v>
      </c>
      <c r="J60" s="442">
        <f>'T-T1'!C62+'T-T1'!E62+'T-T1'!G62+'T-T1'!I62</f>
        <v>8044588</v>
      </c>
      <c r="K60" s="442">
        <v>2683556.9130000002</v>
      </c>
      <c r="L60" s="442">
        <v>1753296.5830000001</v>
      </c>
      <c r="M60" s="442">
        <v>676681.67339999997</v>
      </c>
      <c r="N60" s="442">
        <v>457577.29149999999</v>
      </c>
      <c r="O60" s="442">
        <v>215988.0889</v>
      </c>
      <c r="P60" s="442">
        <v>72570.125480000002</v>
      </c>
      <c r="Q60" s="444"/>
      <c r="R60" s="442">
        <f>'T-T1'!K62+'T-T1'!L62+'T-T1'!N62+'T-T1'!O62+'T-T1'!P62+'T-T1'!Q62+'T-T1'!S62+'T-T1'!T62+'T-T1'!AG62+'T-T1'!AH62</f>
        <v>1818327</v>
      </c>
      <c r="S60" s="442">
        <v>988436.99667999998</v>
      </c>
      <c r="T60" s="442">
        <v>852670.16928999999</v>
      </c>
      <c r="U60" s="442">
        <v>562496.59277999995</v>
      </c>
      <c r="V60" s="442">
        <v>463723.56646</v>
      </c>
      <c r="W60" s="442">
        <v>281392.50874000002</v>
      </c>
      <c r="X60" s="442">
        <v>125249.89941</v>
      </c>
      <c r="Y60" s="442"/>
      <c r="Z60" s="703">
        <f>'T-T1'!AC62</f>
        <v>243970.70900199999</v>
      </c>
      <c r="AA60" s="442">
        <v>186460.68479999999</v>
      </c>
      <c r="AB60" s="442">
        <v>168042.62450000001</v>
      </c>
      <c r="AC60" s="442">
        <v>125669.988</v>
      </c>
      <c r="AD60" s="442">
        <v>108416.8308</v>
      </c>
      <c r="AE60" s="442">
        <v>77044.777279999995</v>
      </c>
      <c r="AF60" s="442">
        <v>44294.090550000001</v>
      </c>
      <c r="AG60" s="442"/>
      <c r="AH60" s="703">
        <f>'T-T1'!AN62+'T-T1'!AQ62+'T-T1'!AU62</f>
        <v>175362.56570499999</v>
      </c>
      <c r="AI60" s="442">
        <v>125419.46550000001</v>
      </c>
      <c r="AJ60" s="442">
        <v>113392.1367</v>
      </c>
      <c r="AK60" s="442">
        <v>84778.347349999996</v>
      </c>
      <c r="AL60" s="442">
        <v>72727.196039999995</v>
      </c>
      <c r="AM60" s="442">
        <v>48789.720739999997</v>
      </c>
      <c r="AN60" s="442">
        <v>24701.630590000001</v>
      </c>
      <c r="AO60" s="442"/>
      <c r="AP60" s="703">
        <f>'T-T1'!AJ62+'T-T1'!AK62+'T-T1'!AL62</f>
        <v>635808</v>
      </c>
      <c r="AQ60" s="442">
        <v>354068.88579999999</v>
      </c>
      <c r="AR60" s="442">
        <v>279919.36739999999</v>
      </c>
      <c r="AS60" s="442">
        <v>172609.3481</v>
      </c>
      <c r="AT60" s="442">
        <v>144755.70670000001</v>
      </c>
      <c r="AU60" s="442">
        <v>99145.509319999997</v>
      </c>
      <c r="AV60" s="442">
        <v>53563.569459999999</v>
      </c>
      <c r="AW60" s="442"/>
      <c r="AX60" s="703">
        <f>'T-T1'!X62+'T-T1'!Y62+'T-T1'!Z62</f>
        <v>388058</v>
      </c>
      <c r="AY60" s="442">
        <v>192460.94070000001</v>
      </c>
      <c r="AZ60" s="442">
        <v>143282.09899999999</v>
      </c>
      <c r="BA60" s="442">
        <v>78370.047160000002</v>
      </c>
      <c r="BB60" s="442">
        <v>63990.483480000003</v>
      </c>
      <c r="BC60" s="442">
        <v>42081.432209999999</v>
      </c>
      <c r="BD60" s="442">
        <v>21747.132870000001</v>
      </c>
      <c r="BE60" s="442"/>
      <c r="BF60" s="442">
        <f>'T-T1'!AD62+'T-T1'!AO62+'T-T1'!AR62+'T-T1'!AV62+'T-T1'!BI62+'T-T1'!BJ62</f>
        <v>1374853.0829862999</v>
      </c>
      <c r="BG60" s="442">
        <v>405592.8812</v>
      </c>
      <c r="BH60" s="442">
        <v>240524.69699999999</v>
      </c>
      <c r="BI60" s="442">
        <v>67772.844849999994</v>
      </c>
      <c r="BJ60" s="442">
        <v>42627.348859999998</v>
      </c>
      <c r="BK60" s="442">
        <v>17202.7657</v>
      </c>
      <c r="BL60" s="442">
        <v>4372.7976639999997</v>
      </c>
      <c r="BM60" s="442"/>
      <c r="BN60" s="442">
        <f t="shared" si="13"/>
        <v>1763855.1573067005</v>
      </c>
      <c r="BO60" s="442">
        <f t="shared" si="14"/>
        <v>720264.57069999981</v>
      </c>
      <c r="BP60" s="442">
        <f t="shared" si="15"/>
        <v>495846.53619000007</v>
      </c>
      <c r="BQ60" s="442">
        <f t="shared" si="16"/>
        <v>238983.48453999998</v>
      </c>
      <c r="BR60" s="442">
        <f t="shared" si="17"/>
        <v>177374.3855399999</v>
      </c>
      <c r="BS60" s="442">
        <f t="shared" si="18"/>
        <v>72164.064960000091</v>
      </c>
      <c r="BT60" s="442">
        <f t="shared" si="19"/>
        <v>26404.576926000009</v>
      </c>
      <c r="BU60" s="452"/>
      <c r="BV60" s="1081"/>
    </row>
    <row r="61" spans="1:74" s="699" customFormat="1" ht="12" x14ac:dyDescent="0.25">
      <c r="A61" s="699">
        <v>2014</v>
      </c>
      <c r="B61" s="703">
        <v>15144035.857000001</v>
      </c>
      <c r="C61" s="703">
        <v>5988877.8266500002</v>
      </c>
      <c r="D61" s="703">
        <v>4314474.4278499996</v>
      </c>
      <c r="E61" s="703">
        <v>2162263.1484499997</v>
      </c>
      <c r="F61" s="703">
        <v>1657300.4943300001</v>
      </c>
      <c r="G61" s="703">
        <v>928865.67277000006</v>
      </c>
      <c r="H61" s="703">
        <v>405836.07144000003</v>
      </c>
      <c r="I61" s="703"/>
      <c r="J61" s="442">
        <f>'T-T1'!C63+'T-T1'!E63+'T-T1'!G63+'T-T1'!I63</f>
        <v>8425717</v>
      </c>
      <c r="K61" s="703">
        <v>2833431.1529999999</v>
      </c>
      <c r="L61" s="703">
        <v>1871233.007</v>
      </c>
      <c r="M61" s="703">
        <v>737831.52099999995</v>
      </c>
      <c r="N61" s="703">
        <v>508574.86540000001</v>
      </c>
      <c r="O61" s="703">
        <v>242514.26250000001</v>
      </c>
      <c r="P61" s="703">
        <v>82650.944810000001</v>
      </c>
      <c r="Q61" s="703"/>
      <c r="R61" s="442">
        <f>'T-T1'!K63+'T-T1'!L63+'T-T1'!N63+'T-T1'!O63+'T-T1'!P63+'T-T1'!Q63+'T-T1'!S63+'T-T1'!T63+'T-T1'!AG63+'T-T1'!AH63</f>
        <v>1886637.2552517001</v>
      </c>
      <c r="S61" s="703">
        <v>1049175.3836999999</v>
      </c>
      <c r="T61" s="703">
        <v>907451.96843999997</v>
      </c>
      <c r="U61" s="703">
        <v>607860.83701000002</v>
      </c>
      <c r="V61" s="703">
        <v>500618.95061</v>
      </c>
      <c r="W61" s="703">
        <v>303688.00146</v>
      </c>
      <c r="X61" s="703">
        <v>131752.90625</v>
      </c>
      <c r="Y61" s="442"/>
      <c r="Z61" s="703">
        <f>'T-T1'!AC63</f>
        <v>284889.66132900002</v>
      </c>
      <c r="AA61" s="703">
        <v>221752.91810000001</v>
      </c>
      <c r="AB61" s="703">
        <v>199048.9644</v>
      </c>
      <c r="AC61" s="703">
        <v>147562.45310000001</v>
      </c>
      <c r="AD61" s="703">
        <v>127569.1924</v>
      </c>
      <c r="AE61" s="703">
        <v>91178.209929999997</v>
      </c>
      <c r="AF61" s="703">
        <v>52938.17669</v>
      </c>
      <c r="AG61" s="703"/>
      <c r="AH61" s="703">
        <f>'T-T1'!AN63+'T-T1'!AQ63+'T-T1'!AU63</f>
        <v>163965.68604300002</v>
      </c>
      <c r="AI61" s="703">
        <v>118104.84819999999</v>
      </c>
      <c r="AJ61" s="703">
        <v>105896.4604</v>
      </c>
      <c r="AK61" s="703">
        <v>78772.489249999999</v>
      </c>
      <c r="AL61" s="703">
        <v>67895.557190000007</v>
      </c>
      <c r="AM61" s="703">
        <v>45734.595359999999</v>
      </c>
      <c r="AN61" s="703">
        <v>23401.685549999998</v>
      </c>
      <c r="AO61" s="703"/>
      <c r="AP61" s="703">
        <f>'T-T1'!AJ63+'T-T1'!AK63+'T-T1'!AL63</f>
        <v>648893.00000000012</v>
      </c>
      <c r="AQ61" s="703">
        <v>366768.84909999999</v>
      </c>
      <c r="AR61" s="703">
        <v>292449.72879999998</v>
      </c>
      <c r="AS61" s="703">
        <v>181680.75889999999</v>
      </c>
      <c r="AT61" s="703">
        <v>152656.3132</v>
      </c>
      <c r="AU61" s="703">
        <v>104873.2228</v>
      </c>
      <c r="AV61" s="703">
        <v>57118.123</v>
      </c>
      <c r="AW61" s="703"/>
      <c r="AX61" s="703">
        <f>'T-T1'!X63+'T-T1'!Y63+'T-T1'!Z63</f>
        <v>408416</v>
      </c>
      <c r="AY61" s="703">
        <v>203928.943</v>
      </c>
      <c r="AZ61" s="703">
        <v>152910.7605</v>
      </c>
      <c r="BA61" s="703">
        <v>84113.497449999995</v>
      </c>
      <c r="BB61" s="703">
        <v>68637.936079999999</v>
      </c>
      <c r="BC61" s="703">
        <v>45117.439689999999</v>
      </c>
      <c r="BD61" s="703">
        <v>23484.111229999999</v>
      </c>
      <c r="BE61" s="703"/>
      <c r="BF61" s="442">
        <f>'T-T1'!AD63+'T-T1'!AO63+'T-T1'!AR63+'T-T1'!AV63+'T-T1'!BI63+'T-T1'!BJ63</f>
        <v>1441660.779242116</v>
      </c>
      <c r="BG61" s="703">
        <v>428877.61210000003</v>
      </c>
      <c r="BH61" s="703">
        <v>258660.01939999999</v>
      </c>
      <c r="BI61" s="703">
        <v>72624.833110000007</v>
      </c>
      <c r="BJ61" s="703">
        <v>45469.900350000004</v>
      </c>
      <c r="BK61" s="703">
        <v>18137.068329999998</v>
      </c>
      <c r="BL61" s="703">
        <v>5053.2265440000001</v>
      </c>
      <c r="BM61" s="703"/>
      <c r="BN61" s="442">
        <f t="shared" si="13"/>
        <v>1883856.4751341846</v>
      </c>
      <c r="BO61" s="442">
        <f t="shared" si="14"/>
        <v>766838.11945000035</v>
      </c>
      <c r="BP61" s="442">
        <f t="shared" si="15"/>
        <v>526823.51890999964</v>
      </c>
      <c r="BQ61" s="442">
        <f t="shared" si="16"/>
        <v>251816.75862999971</v>
      </c>
      <c r="BR61" s="442">
        <f t="shared" si="17"/>
        <v>185877.77910000016</v>
      </c>
      <c r="BS61" s="442">
        <f t="shared" si="18"/>
        <v>77622.87270000008</v>
      </c>
      <c r="BT61" s="442">
        <f t="shared" si="19"/>
        <v>29436.897366000023</v>
      </c>
      <c r="BU61" s="452"/>
      <c r="BV61" s="1081"/>
    </row>
    <row r="62" spans="1:74" s="699" customFormat="1" ht="12" x14ac:dyDescent="0.25">
      <c r="A62" s="699">
        <v>2015</v>
      </c>
      <c r="B62" s="703">
        <v>15739598.801000001</v>
      </c>
      <c r="C62" s="703">
        <v>6190145.2721799994</v>
      </c>
      <c r="D62" s="703">
        <v>4450995.4867799999</v>
      </c>
      <c r="E62" s="703">
        <v>2222174.4120800002</v>
      </c>
      <c r="F62" s="703">
        <v>1702403.8363699999</v>
      </c>
      <c r="G62" s="703">
        <v>952294.23817000003</v>
      </c>
      <c r="H62" s="703">
        <v>417899.54173</v>
      </c>
      <c r="I62" s="703"/>
      <c r="J62" s="442">
        <f>'T-T1'!C64+'T-T1'!E64+'T-T1'!G64+'T-T1'!I64</f>
        <v>8850885</v>
      </c>
      <c r="K62" s="703">
        <v>3001512.7459999998</v>
      </c>
      <c r="L62" s="703">
        <v>1982447.2</v>
      </c>
      <c r="M62" s="703">
        <v>782327.21600000001</v>
      </c>
      <c r="N62" s="703">
        <v>539249.52410000004</v>
      </c>
      <c r="O62" s="703">
        <v>260740.55859999999</v>
      </c>
      <c r="P62" s="703">
        <v>93448.035260000004</v>
      </c>
      <c r="Q62" s="703"/>
      <c r="R62" s="442">
        <f>'T-T1'!K64+'T-T1'!L64+'T-T1'!N64+'T-T1'!O64+'T-T1'!P64+'T-T1'!Q64+'T-T1'!S64+'T-T1'!T64+'T-T1'!AG64+'T-T1'!AH64</f>
        <v>1947627.3961427</v>
      </c>
      <c r="S62" s="703">
        <v>1091689.3759999999</v>
      </c>
      <c r="T62" s="703">
        <v>940449.88473000005</v>
      </c>
      <c r="U62" s="703">
        <v>632211.23219999997</v>
      </c>
      <c r="V62" s="703">
        <v>522546.71435999998</v>
      </c>
      <c r="W62" s="703">
        <v>313656.33029000001</v>
      </c>
      <c r="X62" s="703">
        <v>134857.63905999999</v>
      </c>
      <c r="Y62" s="442"/>
      <c r="Z62" s="703">
        <f>'T-T1'!AC64</f>
        <v>289804.65391699999</v>
      </c>
      <c r="AA62" s="703">
        <v>224340.62210000001</v>
      </c>
      <c r="AB62" s="703">
        <v>203565.4172</v>
      </c>
      <c r="AC62" s="703">
        <v>152041.4038</v>
      </c>
      <c r="AD62" s="703">
        <v>132378.37400000001</v>
      </c>
      <c r="AE62" s="703">
        <v>95387.615850000002</v>
      </c>
      <c r="AF62" s="703">
        <v>55708.919320000001</v>
      </c>
      <c r="AG62" s="703"/>
      <c r="AH62" s="703">
        <f>'T-T1'!AN64+'T-T1'!AQ64+'T-T1'!AU64</f>
        <v>164727.215429</v>
      </c>
      <c r="AI62" s="703">
        <v>121049.6015</v>
      </c>
      <c r="AJ62" s="703">
        <v>109910.6477</v>
      </c>
      <c r="AK62" s="703">
        <v>82676.8459</v>
      </c>
      <c r="AL62" s="703">
        <v>71220.752110000001</v>
      </c>
      <c r="AM62" s="703">
        <v>48162.635929999997</v>
      </c>
      <c r="AN62" s="703">
        <v>24432.420529999999</v>
      </c>
      <c r="AO62" s="703"/>
      <c r="AP62" s="703">
        <f>'T-T1'!AJ64+'T-T1'!AK64+'T-T1'!AL64</f>
        <v>570109</v>
      </c>
      <c r="AQ62" s="703">
        <v>317608.1924</v>
      </c>
      <c r="AR62" s="703">
        <v>254875.62280000001</v>
      </c>
      <c r="AS62" s="703">
        <v>159291.82010000001</v>
      </c>
      <c r="AT62" s="703">
        <v>134084.19459999999</v>
      </c>
      <c r="AU62" s="703">
        <v>92219.567150000003</v>
      </c>
      <c r="AV62" s="703">
        <v>50456.578240000003</v>
      </c>
      <c r="AW62" s="703"/>
      <c r="AX62" s="703">
        <f>'T-T1'!X64+'T-T1'!Y64+'T-T1'!Z64</f>
        <v>396972.00000000006</v>
      </c>
      <c r="AY62" s="703">
        <v>195570.9227</v>
      </c>
      <c r="AZ62" s="703">
        <v>147561.49359999999</v>
      </c>
      <c r="BA62" s="703">
        <v>81941.00692</v>
      </c>
      <c r="BB62" s="703">
        <v>66900.818859999999</v>
      </c>
      <c r="BC62" s="703">
        <v>44196.277520000003</v>
      </c>
      <c r="BD62" s="703">
        <v>23309.082180000001</v>
      </c>
      <c r="BE62" s="703"/>
      <c r="BF62" s="442">
        <f>'T-T1'!AD64+'T-T1'!AO64+'T-T1'!AR64+'T-T1'!AV64+'T-T1'!BI64+'T-T1'!BJ64</f>
        <v>1518220.4393620559</v>
      </c>
      <c r="BG62" s="703">
        <v>446980.82380000001</v>
      </c>
      <c r="BH62" s="703">
        <v>269721.74099999998</v>
      </c>
      <c r="BI62" s="703">
        <v>75410.944929999998</v>
      </c>
      <c r="BJ62" s="703">
        <v>46512.422420000003</v>
      </c>
      <c r="BK62" s="703">
        <v>18111.318510000001</v>
      </c>
      <c r="BL62" s="703">
        <v>5485.3867369999998</v>
      </c>
      <c r="BM62" s="703"/>
      <c r="BN62" s="442">
        <f>B62-J62-R62-Z62-AH62-AP62-AX62-BF62</f>
        <v>2001253.096149246</v>
      </c>
      <c r="BO62" s="442">
        <f t="shared" si="14"/>
        <v>791392.98767999944</v>
      </c>
      <c r="BP62" s="442">
        <f t="shared" si="15"/>
        <v>542463.47974999971</v>
      </c>
      <c r="BQ62" s="442">
        <f t="shared" si="16"/>
        <v>256273.94223000022</v>
      </c>
      <c r="BR62" s="442">
        <f t="shared" si="17"/>
        <v>189511.03591999988</v>
      </c>
      <c r="BS62" s="442">
        <f t="shared" si="18"/>
        <v>79819.934320000015</v>
      </c>
      <c r="BT62" s="442">
        <f t="shared" si="19"/>
        <v>30201.480403000016</v>
      </c>
      <c r="BU62" s="455"/>
      <c r="BV62" s="1081"/>
    </row>
    <row r="63" spans="1:74" s="452" customFormat="1" x14ac:dyDescent="0.3">
      <c r="J63" s="423"/>
      <c r="Z63" s="455"/>
      <c r="AH63" s="455"/>
      <c r="AP63" s="455"/>
      <c r="AQ63" s="455"/>
      <c r="AR63" s="455"/>
      <c r="AS63" s="455"/>
      <c r="AT63" s="455"/>
      <c r="AU63" s="455"/>
      <c r="AV63" s="455"/>
      <c r="AX63" s="455"/>
      <c r="BF63" s="34"/>
      <c r="BG63" s="455"/>
      <c r="BN63" s="455"/>
      <c r="BO63" s="455"/>
      <c r="BP63" s="454"/>
      <c r="BQ63" s="454"/>
      <c r="BR63" s="454"/>
      <c r="BS63" s="454"/>
      <c r="BT63" s="454"/>
    </row>
    <row r="64" spans="1:74" x14ac:dyDescent="0.3">
      <c r="A64" s="125"/>
      <c r="B64" s="125"/>
      <c r="C64" s="125"/>
      <c r="D64" s="125"/>
      <c r="E64" s="125"/>
      <c r="F64" s="125"/>
      <c r="G64" s="125"/>
      <c r="H64" s="125"/>
      <c r="I64" s="125"/>
      <c r="J64" s="191"/>
      <c r="K64" s="125"/>
      <c r="L64" s="125"/>
      <c r="M64" s="125"/>
      <c r="N64" s="125"/>
      <c r="O64" s="125"/>
      <c r="P64" s="125"/>
      <c r="Q64" s="125"/>
      <c r="R64" s="1304"/>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91"/>
      <c r="AR64" s="191"/>
      <c r="AS64" s="191"/>
      <c r="AT64" s="191"/>
      <c r="AU64" s="191"/>
      <c r="AV64" s="191"/>
      <c r="AW64" s="125"/>
      <c r="AX64" s="125"/>
      <c r="AY64" s="125"/>
      <c r="AZ64" s="125"/>
      <c r="BA64" s="125"/>
      <c r="BB64" s="125"/>
      <c r="BC64" s="125"/>
      <c r="BD64" s="125"/>
      <c r="BE64" s="125"/>
      <c r="BF64" s="125"/>
      <c r="BG64" s="125"/>
      <c r="BH64" s="125"/>
      <c r="BI64" s="125"/>
      <c r="BJ64" s="125"/>
      <c r="BK64" s="125"/>
      <c r="BL64" s="125"/>
      <c r="BM64" s="125"/>
      <c r="BN64" s="125"/>
      <c r="BO64" s="1288"/>
      <c r="BP64" s="1288"/>
      <c r="BQ64" s="1288"/>
      <c r="BR64" s="1288"/>
      <c r="BS64" s="1288"/>
      <c r="BT64" s="1288"/>
    </row>
    <row r="65" spans="1:72" ht="7.5" customHeight="1" x14ac:dyDescent="0.3">
      <c r="AQ65" s="34"/>
      <c r="AR65" s="34"/>
      <c r="AS65" s="34"/>
      <c r="AT65" s="34"/>
      <c r="AU65" s="34"/>
      <c r="AV65" s="34"/>
      <c r="BO65" s="249"/>
      <c r="BP65" s="249"/>
      <c r="BQ65" s="249"/>
      <c r="BR65" s="249"/>
      <c r="BS65" s="249"/>
      <c r="BT65" s="249"/>
    </row>
    <row r="66" spans="1:72" x14ac:dyDescent="0.3">
      <c r="A66" s="46" t="s">
        <v>2101</v>
      </c>
      <c r="B66" s="46"/>
      <c r="AQ66" s="34"/>
      <c r="AR66" s="34"/>
      <c r="AS66" s="787"/>
      <c r="AT66" s="34"/>
      <c r="AU66" s="34"/>
      <c r="AV66" s="34"/>
      <c r="AY66" s="249"/>
      <c r="AZ66" s="249"/>
      <c r="BA66" s="787"/>
      <c r="BB66" s="249"/>
      <c r="BC66" s="249"/>
      <c r="BD66" s="249"/>
      <c r="BE66" s="249"/>
      <c r="BI66" s="787"/>
      <c r="BL66" s="249"/>
    </row>
    <row r="67" spans="1:72" x14ac:dyDescent="0.3">
      <c r="A67" s="700" t="s">
        <v>2092</v>
      </c>
      <c r="B67" s="46"/>
      <c r="AQ67" s="34"/>
      <c r="AR67" s="34"/>
      <c r="AS67" s="34"/>
      <c r="AT67" s="34"/>
      <c r="AU67" s="34"/>
      <c r="AV67" s="34"/>
      <c r="AY67" s="249"/>
      <c r="AZ67" s="249"/>
      <c r="BA67" s="249"/>
      <c r="BB67" s="249"/>
      <c r="BC67" s="249"/>
      <c r="BD67" s="249"/>
      <c r="BE67" s="249"/>
      <c r="BL67" s="249"/>
    </row>
    <row r="68" spans="1:72" x14ac:dyDescent="0.3">
      <c r="A68" s="77"/>
      <c r="B68" s="1034"/>
      <c r="M68" s="297"/>
    </row>
    <row r="69" spans="1:72" x14ac:dyDescent="0.3">
      <c r="H69" s="297"/>
      <c r="J69" s="34"/>
      <c r="K69" s="351"/>
      <c r="L69" s="351"/>
      <c r="M69" s="297"/>
      <c r="N69" s="351"/>
      <c r="O69" s="351"/>
      <c r="P69" s="351"/>
    </row>
    <row r="70" spans="1:72" x14ac:dyDescent="0.3">
      <c r="A70" s="553"/>
      <c r="B70" s="61"/>
      <c r="C70" s="61"/>
      <c r="D70" s="61"/>
      <c r="H70" s="448"/>
      <c r="J70" s="1059"/>
      <c r="K70" s="1059"/>
      <c r="L70" s="1059"/>
      <c r="M70" s="1059"/>
      <c r="N70" s="1059"/>
      <c r="O70" s="1059"/>
      <c r="P70" s="1059"/>
      <c r="Q70" s="1058"/>
      <c r="AY70" s="249"/>
      <c r="AZ70" s="249"/>
      <c r="BA70" s="249"/>
      <c r="BB70" s="249"/>
      <c r="BC70" s="249"/>
      <c r="BD70" s="249"/>
      <c r="BE70" s="249"/>
      <c r="BG70" s="249"/>
      <c r="BH70" s="249"/>
      <c r="BI70" s="249"/>
      <c r="BJ70" s="249"/>
      <c r="BL70" s="249"/>
    </row>
    <row r="71" spans="1:72" x14ac:dyDescent="0.3">
      <c r="A71" s="61"/>
      <c r="B71" s="555"/>
      <c r="C71" s="555"/>
      <c r="D71" s="555"/>
      <c r="H71" s="448"/>
      <c r="J71" s="249"/>
      <c r="K71" s="249"/>
      <c r="AY71" s="249"/>
      <c r="AZ71" s="249"/>
      <c r="BA71" s="249"/>
      <c r="BB71" s="249"/>
      <c r="BC71" s="249"/>
      <c r="BD71" s="249"/>
      <c r="BE71" s="249"/>
      <c r="BF71" s="249"/>
      <c r="BG71" s="249"/>
      <c r="BH71" s="249"/>
      <c r="BI71" s="249"/>
      <c r="BJ71" s="249"/>
      <c r="BK71" s="249"/>
      <c r="BL71" s="249"/>
    </row>
    <row r="72" spans="1:72" x14ac:dyDescent="0.3">
      <c r="A72" s="1305"/>
      <c r="B72" s="1306"/>
      <c r="C72" s="61"/>
      <c r="D72" s="61"/>
      <c r="H72" s="448"/>
      <c r="J72" s="249"/>
      <c r="AY72" s="249"/>
      <c r="AZ72" s="249"/>
      <c r="BA72" s="249"/>
      <c r="BB72" s="249"/>
      <c r="BC72" s="249"/>
      <c r="BD72" s="249"/>
      <c r="BE72" s="249"/>
      <c r="BF72" s="286"/>
      <c r="BG72" s="249"/>
      <c r="BH72" s="249"/>
      <c r="BI72" s="249"/>
      <c r="BJ72" s="249"/>
      <c r="BK72" s="249"/>
      <c r="BL72" s="249"/>
    </row>
    <row r="73" spans="1:72" ht="8.25" customHeight="1" x14ac:dyDescent="0.3">
      <c r="A73" s="1305"/>
      <c r="B73" s="61"/>
      <c r="C73" s="61"/>
      <c r="D73" s="61"/>
      <c r="H73" s="448"/>
      <c r="J73" s="1060"/>
      <c r="K73" s="1060"/>
      <c r="M73" s="249"/>
      <c r="N73" s="249"/>
      <c r="AY73" s="249"/>
      <c r="AZ73" s="249"/>
      <c r="BA73" s="249"/>
      <c r="BB73" s="249"/>
      <c r="BC73" s="249"/>
      <c r="BD73" s="249"/>
      <c r="BE73" s="249"/>
      <c r="BF73" s="249"/>
      <c r="BG73" s="249"/>
      <c r="BH73" s="249"/>
      <c r="BI73" s="249"/>
      <c r="BJ73" s="249"/>
      <c r="BK73" s="249"/>
      <c r="BL73" s="249"/>
    </row>
    <row r="74" spans="1:72" x14ac:dyDescent="0.3">
      <c r="A74" s="1305"/>
      <c r="B74" s="1306"/>
      <c r="C74" s="1306"/>
      <c r="D74" s="1306"/>
      <c r="H74" s="448"/>
      <c r="J74" s="1060"/>
      <c r="K74" s="1061"/>
      <c r="M74" s="249"/>
      <c r="N74" s="249"/>
      <c r="AY74" s="249"/>
      <c r="AZ74" s="249"/>
      <c r="BA74" s="249"/>
      <c r="BB74" s="249"/>
      <c r="BC74" s="249"/>
      <c r="BD74" s="249"/>
      <c r="BE74" s="249"/>
      <c r="BF74" s="249"/>
      <c r="BG74" s="249"/>
      <c r="BH74" s="249"/>
      <c r="BI74" s="249"/>
      <c r="BJ74" s="249"/>
      <c r="BK74" s="249"/>
      <c r="BL74" s="249"/>
    </row>
    <row r="75" spans="1:72" ht="6.75" customHeight="1" x14ac:dyDescent="0.3">
      <c r="A75" s="1305"/>
      <c r="B75" s="61"/>
      <c r="C75" s="1307"/>
      <c r="D75" s="423"/>
      <c r="H75" s="448"/>
      <c r="J75" s="1060"/>
      <c r="K75" s="1060"/>
      <c r="M75" s="249"/>
      <c r="N75" s="249"/>
      <c r="AY75" s="249"/>
      <c r="AZ75" s="249"/>
      <c r="BA75" s="249"/>
      <c r="BB75" s="249"/>
      <c r="BC75" s="249"/>
      <c r="BD75" s="249"/>
      <c r="BE75" s="249"/>
      <c r="BF75" s="249"/>
      <c r="BG75" s="249"/>
      <c r="BH75" s="249"/>
      <c r="BI75" s="249"/>
      <c r="BJ75" s="249"/>
      <c r="BK75" s="249"/>
      <c r="BL75" s="249"/>
    </row>
    <row r="76" spans="1:72" x14ac:dyDescent="0.3">
      <c r="A76" s="1305"/>
      <c r="B76" s="1306"/>
      <c r="C76" s="1306"/>
      <c r="D76" s="1306"/>
      <c r="H76" s="448"/>
      <c r="J76" s="1060"/>
      <c r="K76" s="1060"/>
      <c r="M76" s="249"/>
      <c r="N76" s="1063"/>
      <c r="AY76" s="249"/>
      <c r="AZ76" s="249"/>
      <c r="BA76" s="249"/>
      <c r="BB76" s="249"/>
      <c r="BC76" s="249"/>
      <c r="BD76" s="249"/>
      <c r="BE76" s="249"/>
      <c r="BF76" s="249"/>
      <c r="BG76" s="249"/>
      <c r="BH76" s="249"/>
      <c r="BI76" s="249"/>
      <c r="BJ76" s="249"/>
      <c r="BK76" s="249"/>
      <c r="BL76" s="249"/>
    </row>
    <row r="77" spans="1:72" ht="6" customHeight="1" x14ac:dyDescent="0.3">
      <c r="A77" s="1305"/>
      <c r="B77" s="61"/>
      <c r="C77" s="1307"/>
      <c r="D77" s="423"/>
      <c r="H77" s="448"/>
      <c r="J77" s="1062"/>
      <c r="K77" s="1062"/>
      <c r="AY77" s="249"/>
      <c r="AZ77" s="249"/>
      <c r="BA77" s="249"/>
      <c r="BB77" s="249"/>
      <c r="BC77" s="249"/>
      <c r="BD77" s="249"/>
      <c r="BE77" s="249"/>
      <c r="BF77" s="249"/>
      <c r="BG77" s="249"/>
      <c r="BH77" s="249"/>
      <c r="BI77" s="249"/>
      <c r="BJ77" s="249"/>
      <c r="BK77" s="249"/>
      <c r="BL77" s="249"/>
    </row>
    <row r="78" spans="1:72" x14ac:dyDescent="0.3">
      <c r="A78" s="1305"/>
      <c r="B78" s="1306"/>
      <c r="C78" s="1306"/>
      <c r="D78" s="1306"/>
      <c r="H78" s="448"/>
      <c r="J78" s="249"/>
      <c r="K78" s="249"/>
      <c r="AY78" s="249"/>
      <c r="AZ78" s="249"/>
      <c r="BA78" s="249"/>
      <c r="BB78" s="249"/>
      <c r="BC78" s="249"/>
      <c r="BD78" s="249"/>
      <c r="BE78" s="249"/>
      <c r="BF78" s="249"/>
      <c r="BG78" s="249"/>
      <c r="BH78" s="249"/>
      <c r="BI78" s="249"/>
      <c r="BJ78" s="249"/>
      <c r="BK78" s="249"/>
      <c r="BL78" s="249"/>
    </row>
    <row r="79" spans="1:72" x14ac:dyDescent="0.3">
      <c r="A79" s="1305"/>
      <c r="B79" s="1306"/>
      <c r="C79" s="1306"/>
      <c r="D79" s="1306"/>
      <c r="H79" s="448"/>
      <c r="J79" s="249"/>
      <c r="K79" s="249"/>
      <c r="AY79" s="249"/>
      <c r="AZ79" s="249"/>
      <c r="BA79" s="249"/>
      <c r="BB79" s="249"/>
      <c r="BC79" s="249"/>
      <c r="BD79" s="249"/>
      <c r="BE79" s="249"/>
      <c r="BF79" s="249"/>
      <c r="BG79" s="249"/>
      <c r="BH79" s="249"/>
      <c r="BI79" s="249"/>
      <c r="BJ79" s="249"/>
      <c r="BK79" s="249"/>
      <c r="BL79" s="249"/>
    </row>
    <row r="80" spans="1:72" x14ac:dyDescent="0.3">
      <c r="A80" s="1305"/>
      <c r="B80" s="1306"/>
      <c r="C80" s="1306"/>
      <c r="D80" s="1306"/>
      <c r="H80" s="448"/>
      <c r="J80" s="249"/>
      <c r="K80" s="249"/>
      <c r="AY80" s="249"/>
      <c r="AZ80" s="249"/>
      <c r="BA80" s="249"/>
      <c r="BB80" s="249"/>
      <c r="BC80" s="249"/>
      <c r="BD80" s="249"/>
      <c r="BE80" s="249"/>
      <c r="BF80" s="249"/>
      <c r="BG80" s="249"/>
      <c r="BH80" s="249"/>
      <c r="BI80" s="249"/>
      <c r="BJ80" s="249"/>
      <c r="BK80" s="249"/>
      <c r="BL80" s="249"/>
    </row>
    <row r="81" spans="1:64" x14ac:dyDescent="0.3">
      <c r="A81" s="1305"/>
      <c r="B81" s="1306"/>
      <c r="C81" s="1306"/>
      <c r="D81" s="1306"/>
      <c r="H81" s="448"/>
      <c r="J81" s="249"/>
      <c r="K81" s="249"/>
      <c r="AY81" s="249"/>
      <c r="AZ81" s="249"/>
      <c r="BA81" s="249"/>
      <c r="BB81" s="249"/>
      <c r="BC81" s="249"/>
      <c r="BD81" s="249"/>
      <c r="BE81" s="249"/>
      <c r="BF81" s="249"/>
      <c r="BG81" s="249"/>
      <c r="BH81" s="249"/>
      <c r="BI81" s="249"/>
      <c r="BJ81" s="249"/>
      <c r="BK81" s="249"/>
      <c r="BL81" s="249"/>
    </row>
    <row r="82" spans="1:64" x14ac:dyDescent="0.3">
      <c r="A82" s="1305"/>
      <c r="B82" s="1306"/>
      <c r="C82" s="1306"/>
      <c r="D82" s="1306"/>
      <c r="H82" s="448"/>
      <c r="J82" s="249"/>
      <c r="K82" s="249"/>
      <c r="AY82" s="249"/>
      <c r="AZ82" s="249"/>
      <c r="BA82" s="249"/>
      <c r="BB82" s="249"/>
      <c r="BC82" s="249"/>
      <c r="BD82" s="249"/>
      <c r="BE82" s="249"/>
      <c r="BF82" s="249"/>
      <c r="BG82" s="249"/>
      <c r="BH82" s="249"/>
      <c r="BI82" s="249"/>
      <c r="BJ82" s="249"/>
      <c r="BK82" s="249"/>
      <c r="BL82" s="249"/>
    </row>
    <row r="83" spans="1:64" x14ac:dyDescent="0.3">
      <c r="A83" s="1305"/>
      <c r="B83" s="1306"/>
      <c r="C83" s="1306"/>
      <c r="D83" s="1306"/>
      <c r="H83" s="448"/>
      <c r="J83" s="249"/>
      <c r="K83" s="249"/>
      <c r="AY83" s="249"/>
      <c r="AZ83" s="249"/>
      <c r="BA83" s="249"/>
      <c r="BB83" s="249"/>
      <c r="BC83" s="249"/>
      <c r="BD83" s="249"/>
      <c r="BE83" s="249"/>
      <c r="BF83" s="249"/>
      <c r="BG83" s="249"/>
      <c r="BH83" s="249"/>
      <c r="BI83" s="249"/>
      <c r="BJ83" s="249"/>
      <c r="BK83" s="249"/>
      <c r="BL83" s="249"/>
    </row>
    <row r="84" spans="1:64" x14ac:dyDescent="0.3">
      <c r="A84" s="1305"/>
      <c r="B84" s="1306"/>
      <c r="C84" s="1306"/>
      <c r="D84" s="1306"/>
      <c r="H84" s="448"/>
      <c r="J84" s="249"/>
      <c r="K84" s="249"/>
      <c r="AY84" s="249"/>
      <c r="AZ84" s="249"/>
      <c r="BA84" s="249"/>
      <c r="BB84" s="249"/>
      <c r="BC84" s="249"/>
      <c r="BD84" s="249"/>
      <c r="BE84" s="249"/>
      <c r="BF84" s="249"/>
      <c r="BG84" s="249"/>
      <c r="BH84" s="249"/>
      <c r="BI84" s="249"/>
      <c r="BJ84" s="249"/>
      <c r="BK84" s="249"/>
      <c r="BL84" s="249"/>
    </row>
    <row r="85" spans="1:64" x14ac:dyDescent="0.3">
      <c r="A85" s="1305"/>
      <c r="B85" s="1306"/>
      <c r="C85" s="1306"/>
      <c r="D85" s="1306"/>
      <c r="H85" s="448"/>
      <c r="J85" s="249"/>
      <c r="K85" s="249"/>
      <c r="AY85" s="249"/>
      <c r="AZ85" s="249"/>
      <c r="BA85" s="249"/>
      <c r="BB85" s="249"/>
      <c r="BC85" s="249"/>
      <c r="BD85" s="249"/>
      <c r="BE85" s="249"/>
      <c r="BF85" s="249"/>
      <c r="BG85" s="249"/>
      <c r="BH85" s="249"/>
      <c r="BI85" s="249"/>
      <c r="BJ85" s="249"/>
      <c r="BK85" s="249"/>
      <c r="BL85" s="249"/>
    </row>
    <row r="86" spans="1:64" x14ac:dyDescent="0.3">
      <c r="A86" s="1305"/>
      <c r="B86" s="1306"/>
      <c r="C86" s="1306"/>
      <c r="D86" s="1306"/>
      <c r="H86" s="448"/>
      <c r="J86" s="249"/>
      <c r="K86" s="249"/>
      <c r="AY86" s="249"/>
      <c r="AZ86" s="249"/>
      <c r="BA86" s="249"/>
      <c r="BB86" s="249"/>
      <c r="BC86" s="249"/>
      <c r="BD86" s="249"/>
      <c r="BE86" s="249"/>
      <c r="BF86" s="249"/>
      <c r="BG86" s="249"/>
      <c r="BH86" s="249"/>
      <c r="BI86" s="249"/>
      <c r="BJ86" s="249"/>
      <c r="BK86" s="249"/>
      <c r="BL86" s="249"/>
    </row>
    <row r="87" spans="1:64" x14ac:dyDescent="0.3">
      <c r="A87" s="1305"/>
      <c r="B87" s="1306"/>
      <c r="C87" s="1306"/>
      <c r="D87" s="1306"/>
      <c r="H87" s="448"/>
      <c r="J87" s="249"/>
      <c r="K87" s="249"/>
      <c r="AY87" s="249"/>
      <c r="AZ87" s="249"/>
      <c r="BA87" s="249"/>
      <c r="BB87" s="249"/>
      <c r="BC87" s="249"/>
      <c r="BD87" s="249"/>
      <c r="BE87" s="249"/>
      <c r="BF87" s="249"/>
      <c r="BG87" s="249"/>
      <c r="BH87" s="249"/>
      <c r="BI87" s="249"/>
      <c r="BJ87" s="249"/>
      <c r="BK87" s="249"/>
      <c r="BL87" s="249"/>
    </row>
    <row r="88" spans="1:64" x14ac:dyDescent="0.3">
      <c r="A88" s="1305"/>
      <c r="B88" s="1306"/>
      <c r="C88" s="1306"/>
      <c r="D88" s="1306"/>
      <c r="H88" s="448"/>
      <c r="J88" s="249"/>
      <c r="K88" s="249"/>
      <c r="AY88" s="249"/>
      <c r="AZ88" s="249"/>
      <c r="BA88" s="249"/>
      <c r="BB88" s="249"/>
      <c r="BC88" s="249"/>
      <c r="BD88" s="249"/>
      <c r="BE88" s="249"/>
      <c r="BF88" s="249"/>
      <c r="BG88" s="249"/>
      <c r="BH88" s="249"/>
      <c r="BI88" s="249"/>
      <c r="BJ88" s="249"/>
      <c r="BK88" s="249"/>
      <c r="BL88" s="249"/>
    </row>
    <row r="89" spans="1:64" x14ac:dyDescent="0.3">
      <c r="A89" s="1305"/>
      <c r="B89" s="1306"/>
      <c r="C89" s="1306"/>
      <c r="D89" s="1306"/>
      <c r="H89" s="448"/>
      <c r="J89" s="249"/>
      <c r="K89" s="249"/>
      <c r="AY89" s="249"/>
      <c r="AZ89" s="249"/>
      <c r="BA89" s="249"/>
      <c r="BB89" s="249"/>
      <c r="BC89" s="249"/>
      <c r="BD89" s="249"/>
      <c r="BE89" s="249"/>
      <c r="BF89" s="249"/>
      <c r="BG89" s="249"/>
      <c r="BH89" s="249"/>
      <c r="BI89" s="249"/>
      <c r="BJ89" s="249"/>
      <c r="BK89" s="249"/>
      <c r="BL89" s="249"/>
    </row>
    <row r="90" spans="1:64" x14ac:dyDescent="0.3">
      <c r="A90" s="1305"/>
      <c r="B90" s="1306"/>
      <c r="C90" s="1306"/>
      <c r="D90" s="1306"/>
      <c r="H90" s="448"/>
      <c r="J90" s="249"/>
      <c r="K90" s="249"/>
      <c r="AY90" s="249"/>
      <c r="AZ90" s="249"/>
      <c r="BA90" s="249"/>
      <c r="BB90" s="249"/>
      <c r="BC90" s="249"/>
      <c r="BD90" s="249"/>
      <c r="BE90" s="249"/>
      <c r="BF90" s="249"/>
      <c r="BG90" s="249"/>
      <c r="BH90" s="249"/>
      <c r="BI90" s="249"/>
      <c r="BJ90" s="249"/>
      <c r="BK90" s="249"/>
      <c r="BL90" s="249"/>
    </row>
    <row r="91" spans="1:64" x14ac:dyDescent="0.3">
      <c r="A91" s="1305"/>
      <c r="B91" s="1306"/>
      <c r="C91" s="1306"/>
      <c r="D91" s="1306"/>
      <c r="H91" s="448"/>
      <c r="J91" s="249"/>
      <c r="K91" s="249"/>
      <c r="AY91" s="249"/>
      <c r="AZ91" s="249"/>
      <c r="BA91" s="249"/>
      <c r="BB91" s="249"/>
      <c r="BC91" s="249"/>
      <c r="BD91" s="249"/>
      <c r="BE91" s="249"/>
      <c r="BF91" s="249"/>
      <c r="BG91" s="249"/>
      <c r="BH91" s="249"/>
      <c r="BI91" s="249"/>
      <c r="BJ91" s="249"/>
      <c r="BK91" s="249"/>
      <c r="BL91" s="249"/>
    </row>
    <row r="92" spans="1:64" x14ac:dyDescent="0.3">
      <c r="A92" s="1305"/>
      <c r="B92" s="1306"/>
      <c r="C92" s="1306"/>
      <c r="D92" s="1306"/>
      <c r="H92" s="448"/>
      <c r="J92" s="249"/>
      <c r="K92" s="249"/>
      <c r="AY92" s="249"/>
      <c r="AZ92" s="249"/>
      <c r="BA92" s="249"/>
      <c r="BB92" s="249"/>
      <c r="BC92" s="249"/>
      <c r="BD92" s="249"/>
      <c r="BE92" s="249"/>
      <c r="BF92" s="249"/>
      <c r="BG92" s="249"/>
      <c r="BH92" s="249"/>
      <c r="BI92" s="249"/>
      <c r="BJ92" s="249"/>
      <c r="BK92" s="249"/>
      <c r="BL92" s="249"/>
    </row>
    <row r="93" spans="1:64" x14ac:dyDescent="0.3">
      <c r="A93" s="1305"/>
      <c r="B93" s="1306"/>
      <c r="C93" s="1306"/>
      <c r="D93" s="1306"/>
      <c r="H93" s="448"/>
      <c r="J93" s="249"/>
      <c r="K93" s="249"/>
      <c r="AY93" s="249"/>
      <c r="AZ93" s="249"/>
      <c r="BA93" s="249"/>
      <c r="BB93" s="249"/>
      <c r="BC93" s="249"/>
      <c r="BD93" s="249"/>
      <c r="BE93" s="249"/>
      <c r="BF93" s="249"/>
      <c r="BG93" s="249"/>
      <c r="BH93" s="249"/>
      <c r="BI93" s="249"/>
      <c r="BJ93" s="249"/>
      <c r="BK93" s="249"/>
      <c r="BL93" s="249"/>
    </row>
    <row r="94" spans="1:64" x14ac:dyDescent="0.3">
      <c r="A94" s="1305"/>
      <c r="B94" s="1306"/>
      <c r="C94" s="1306"/>
      <c r="D94" s="1306"/>
      <c r="H94" s="448"/>
      <c r="J94" s="249"/>
      <c r="K94" s="249"/>
      <c r="AY94" s="249"/>
      <c r="AZ94" s="249"/>
      <c r="BA94" s="249"/>
      <c r="BB94" s="249"/>
      <c r="BC94" s="249"/>
      <c r="BD94" s="249"/>
      <c r="BE94" s="249"/>
      <c r="BF94" s="249"/>
      <c r="BG94" s="249"/>
      <c r="BH94" s="249"/>
      <c r="BI94" s="249"/>
      <c r="BJ94" s="249"/>
      <c r="BK94" s="249"/>
      <c r="BL94" s="249"/>
    </row>
    <row r="95" spans="1:64" x14ac:dyDescent="0.3">
      <c r="A95" s="1305"/>
      <c r="B95" s="1306"/>
      <c r="C95" s="1306"/>
      <c r="D95" s="1306"/>
      <c r="H95" s="448"/>
      <c r="J95" s="249"/>
      <c r="K95" s="249"/>
      <c r="AY95" s="249"/>
      <c r="AZ95" s="249"/>
      <c r="BA95" s="249"/>
      <c r="BB95" s="249"/>
      <c r="BC95" s="249"/>
      <c r="BD95" s="249"/>
      <c r="BE95" s="249"/>
      <c r="BF95" s="249"/>
      <c r="BG95" s="249"/>
      <c r="BH95" s="249"/>
      <c r="BI95" s="249"/>
      <c r="BJ95" s="249"/>
      <c r="BK95" s="249"/>
      <c r="BL95" s="249"/>
    </row>
    <row r="96" spans="1:64" x14ac:dyDescent="0.3">
      <c r="A96" s="1305"/>
      <c r="B96" s="1306"/>
      <c r="C96" s="1306"/>
      <c r="D96" s="1306"/>
      <c r="H96" s="448"/>
      <c r="J96" s="249"/>
      <c r="K96" s="249"/>
      <c r="AY96" s="249"/>
      <c r="AZ96" s="249"/>
      <c r="BA96" s="249"/>
      <c r="BB96" s="249"/>
      <c r="BC96" s="249"/>
      <c r="BD96" s="249"/>
      <c r="BE96" s="249"/>
      <c r="BF96" s="249"/>
      <c r="BG96" s="249"/>
      <c r="BH96" s="249"/>
      <c r="BI96" s="249"/>
      <c r="BJ96" s="249"/>
      <c r="BK96" s="249"/>
      <c r="BL96" s="249"/>
    </row>
    <row r="97" spans="1:64" x14ac:dyDescent="0.3">
      <c r="A97" s="1305"/>
      <c r="B97" s="1306"/>
      <c r="C97" s="1306"/>
      <c r="D97" s="1306"/>
      <c r="H97" s="448"/>
      <c r="J97" s="249"/>
      <c r="K97" s="249"/>
      <c r="AY97" s="249"/>
      <c r="AZ97" s="249"/>
      <c r="BA97" s="249"/>
      <c r="BB97" s="249"/>
      <c r="BC97" s="249"/>
      <c r="BD97" s="249"/>
      <c r="BE97" s="249"/>
      <c r="BF97" s="249"/>
      <c r="BG97" s="249"/>
      <c r="BH97" s="249"/>
      <c r="BI97" s="249"/>
      <c r="BJ97" s="249"/>
      <c r="BK97" s="249"/>
      <c r="BL97" s="249"/>
    </row>
    <row r="98" spans="1:64" x14ac:dyDescent="0.3">
      <c r="A98" s="1305"/>
      <c r="B98" s="1306"/>
      <c r="C98" s="1306"/>
      <c r="D98" s="1306"/>
      <c r="H98" s="448"/>
      <c r="J98" s="249"/>
      <c r="K98" s="249"/>
      <c r="AY98" s="249"/>
      <c r="AZ98" s="249"/>
      <c r="BA98" s="249"/>
      <c r="BB98" s="249"/>
      <c r="BC98" s="249"/>
      <c r="BD98" s="249"/>
      <c r="BE98" s="249"/>
      <c r="BF98" s="249"/>
      <c r="BG98" s="249"/>
      <c r="BH98" s="249"/>
      <c r="BI98" s="249"/>
      <c r="BJ98" s="249"/>
      <c r="BK98" s="249"/>
      <c r="BL98" s="249"/>
    </row>
    <row r="99" spans="1:64" x14ac:dyDescent="0.3">
      <c r="A99" s="1305"/>
      <c r="B99" s="1306"/>
      <c r="C99" s="1306"/>
      <c r="D99" s="1306"/>
      <c r="H99" s="448"/>
      <c r="J99" s="249"/>
      <c r="K99" s="249"/>
      <c r="AY99" s="249"/>
      <c r="AZ99" s="249"/>
      <c r="BA99" s="249"/>
      <c r="BB99" s="249"/>
      <c r="BC99" s="249"/>
      <c r="BD99" s="249"/>
      <c r="BE99" s="249"/>
      <c r="BF99" s="249"/>
      <c r="BG99" s="249"/>
      <c r="BH99" s="249"/>
      <c r="BI99" s="249"/>
      <c r="BJ99" s="249"/>
      <c r="BK99" s="249"/>
      <c r="BL99" s="249"/>
    </row>
    <row r="100" spans="1:64" x14ac:dyDescent="0.3">
      <c r="A100" s="1305"/>
      <c r="B100" s="1306"/>
      <c r="C100" s="1306"/>
      <c r="D100" s="1306"/>
      <c r="H100" s="448"/>
      <c r="J100" s="249"/>
      <c r="K100" s="249"/>
      <c r="AY100" s="249"/>
      <c r="AZ100" s="249"/>
      <c r="BA100" s="249"/>
      <c r="BB100" s="249"/>
      <c r="BC100" s="249"/>
      <c r="BD100" s="249"/>
      <c r="BE100" s="249"/>
      <c r="BF100" s="249"/>
      <c r="BG100" s="249"/>
      <c r="BH100" s="249"/>
      <c r="BI100" s="249"/>
      <c r="BJ100" s="249"/>
      <c r="BK100" s="249"/>
      <c r="BL100" s="249"/>
    </row>
    <row r="101" spans="1:64" x14ac:dyDescent="0.3">
      <c r="A101" s="1305"/>
      <c r="B101" s="1306"/>
      <c r="C101" s="1306"/>
      <c r="D101" s="1306"/>
      <c r="H101" s="448"/>
      <c r="J101" s="249"/>
      <c r="K101" s="249"/>
      <c r="AY101" s="249"/>
      <c r="AZ101" s="249"/>
      <c r="BA101" s="249"/>
      <c r="BB101" s="249"/>
      <c r="BC101" s="249"/>
      <c r="BD101" s="249"/>
      <c r="BE101" s="249"/>
      <c r="BF101" s="249"/>
      <c r="BG101" s="249"/>
      <c r="BH101" s="249"/>
      <c r="BI101" s="249"/>
      <c r="BJ101" s="249"/>
      <c r="BK101" s="249"/>
      <c r="BL101" s="249"/>
    </row>
    <row r="102" spans="1:64" x14ac:dyDescent="0.3">
      <c r="A102" s="1305"/>
      <c r="B102" s="1306"/>
      <c r="C102" s="1306"/>
      <c r="D102" s="1306"/>
      <c r="H102" s="448"/>
      <c r="J102" s="249"/>
      <c r="K102" s="249"/>
      <c r="AY102" s="249"/>
      <c r="AZ102" s="249"/>
      <c r="BA102" s="249"/>
      <c r="BB102" s="249"/>
      <c r="BC102" s="249"/>
      <c r="BD102" s="249"/>
      <c r="BE102" s="249"/>
      <c r="BF102" s="249"/>
      <c r="BG102" s="249"/>
      <c r="BH102" s="249"/>
      <c r="BI102" s="249"/>
      <c r="BJ102" s="249"/>
      <c r="BK102" s="249"/>
      <c r="BL102" s="249"/>
    </row>
    <row r="103" spans="1:64" x14ac:dyDescent="0.3">
      <c r="A103" s="1305"/>
      <c r="B103" s="1306"/>
      <c r="C103" s="1306"/>
      <c r="D103" s="1306"/>
      <c r="H103" s="448"/>
      <c r="J103" s="249"/>
      <c r="K103" s="249"/>
      <c r="AY103" s="249"/>
      <c r="AZ103" s="249"/>
      <c r="BA103" s="249"/>
      <c r="BB103" s="249"/>
      <c r="BC103" s="249"/>
      <c r="BD103" s="249"/>
      <c r="BE103" s="249"/>
      <c r="BF103" s="249"/>
      <c r="BG103" s="249"/>
      <c r="BH103" s="249"/>
      <c r="BI103" s="249"/>
      <c r="BJ103" s="249"/>
      <c r="BK103" s="249"/>
      <c r="BL103" s="249"/>
    </row>
    <row r="104" spans="1:64" x14ac:dyDescent="0.3">
      <c r="A104" s="1305"/>
      <c r="B104" s="1306"/>
      <c r="C104" s="1306"/>
      <c r="D104" s="1306"/>
      <c r="H104" s="448"/>
      <c r="J104" s="249"/>
      <c r="K104" s="249"/>
      <c r="AY104" s="249"/>
      <c r="AZ104" s="249"/>
      <c r="BA104" s="249"/>
      <c r="BB104" s="249"/>
      <c r="BC104" s="249"/>
      <c r="BD104" s="249"/>
      <c r="BE104" s="249"/>
      <c r="BF104" s="249"/>
      <c r="BG104" s="249"/>
      <c r="BH104" s="249"/>
      <c r="BI104" s="249"/>
      <c r="BJ104" s="249"/>
      <c r="BK104" s="249"/>
      <c r="BL104" s="249"/>
    </row>
    <row r="105" spans="1:64" x14ac:dyDescent="0.3">
      <c r="A105" s="1305"/>
      <c r="B105" s="1306"/>
      <c r="C105" s="1306"/>
      <c r="D105" s="1306"/>
      <c r="H105" s="448"/>
      <c r="J105" s="249"/>
      <c r="K105" s="249"/>
      <c r="AY105" s="249"/>
      <c r="AZ105" s="249"/>
      <c r="BA105" s="249"/>
      <c r="BB105" s="249"/>
      <c r="BC105" s="249"/>
      <c r="BD105" s="249"/>
      <c r="BE105" s="249"/>
      <c r="BF105" s="249"/>
      <c r="BG105" s="249"/>
      <c r="BH105" s="249"/>
      <c r="BI105" s="249"/>
      <c r="BJ105" s="249"/>
      <c r="BK105" s="249"/>
      <c r="BL105" s="249"/>
    </row>
    <row r="106" spans="1:64" x14ac:dyDescent="0.3">
      <c r="A106" s="1305"/>
      <c r="B106" s="1306"/>
      <c r="C106" s="1306"/>
      <c r="D106" s="1306"/>
      <c r="H106" s="448"/>
      <c r="J106" s="249"/>
      <c r="K106" s="249"/>
    </row>
    <row r="107" spans="1:64" x14ac:dyDescent="0.3">
      <c r="A107" s="1305"/>
      <c r="B107" s="1306"/>
      <c r="C107" s="1306"/>
      <c r="D107" s="1306"/>
      <c r="H107" s="448"/>
      <c r="J107" s="249"/>
      <c r="K107" s="249"/>
    </row>
    <row r="108" spans="1:64" x14ac:dyDescent="0.3">
      <c r="A108" s="1305"/>
      <c r="B108" s="1306"/>
      <c r="C108" s="1306"/>
      <c r="D108" s="1306"/>
      <c r="H108" s="448"/>
      <c r="J108" s="249"/>
      <c r="K108" s="249"/>
    </row>
    <row r="109" spans="1:64" x14ac:dyDescent="0.3">
      <c r="A109" s="1305"/>
      <c r="B109" s="1306"/>
      <c r="C109" s="1306"/>
      <c r="D109" s="1306"/>
      <c r="H109" s="448"/>
      <c r="J109" s="249"/>
      <c r="K109" s="249"/>
    </row>
    <row r="110" spans="1:64" x14ac:dyDescent="0.3">
      <c r="A110" s="1305"/>
      <c r="B110" s="1306"/>
      <c r="C110" s="1306"/>
      <c r="D110" s="1306"/>
      <c r="H110" s="448"/>
      <c r="J110" s="249"/>
      <c r="K110" s="249"/>
    </row>
    <row r="111" spans="1:64" x14ac:dyDescent="0.3">
      <c r="A111" s="1305"/>
      <c r="B111" s="1306"/>
      <c r="C111" s="1306"/>
      <c r="D111" s="1306"/>
      <c r="H111" s="448"/>
      <c r="J111" s="249"/>
      <c r="K111" s="249"/>
    </row>
    <row r="112" spans="1:64" x14ac:dyDescent="0.3">
      <c r="A112" s="1305"/>
      <c r="B112" s="1306"/>
      <c r="C112" s="1306"/>
      <c r="D112" s="1306"/>
      <c r="H112" s="448"/>
      <c r="J112" s="249"/>
      <c r="K112" s="249"/>
    </row>
    <row r="113" spans="1:11" x14ac:dyDescent="0.3">
      <c r="A113" s="1305"/>
      <c r="B113" s="1306"/>
      <c r="C113" s="1306"/>
      <c r="D113" s="1306"/>
      <c r="H113" s="448"/>
      <c r="J113" s="249"/>
      <c r="K113" s="249"/>
    </row>
    <row r="114" spans="1:11" x14ac:dyDescent="0.3">
      <c r="A114" s="1305"/>
      <c r="B114" s="1306"/>
      <c r="C114" s="1306"/>
      <c r="D114" s="1306"/>
      <c r="H114" s="448"/>
      <c r="J114" s="249"/>
      <c r="K114" s="249"/>
    </row>
    <row r="115" spans="1:11" x14ac:dyDescent="0.3">
      <c r="A115" s="1305"/>
      <c r="B115" s="1306"/>
      <c r="C115" s="1306"/>
      <c r="D115" s="1306"/>
      <c r="H115" s="448"/>
      <c r="J115" s="249"/>
      <c r="K115" s="249"/>
    </row>
    <row r="116" spans="1:11" x14ac:dyDescent="0.3">
      <c r="A116" s="1305"/>
      <c r="B116" s="1306"/>
      <c r="C116" s="1306"/>
      <c r="D116" s="1306"/>
      <c r="H116" s="448"/>
      <c r="J116" s="249"/>
      <c r="K116" s="249"/>
    </row>
    <row r="117" spans="1:11" x14ac:dyDescent="0.3">
      <c r="A117" s="1305"/>
      <c r="B117" s="1306"/>
      <c r="C117" s="1306"/>
      <c r="D117" s="1306"/>
      <c r="H117" s="448"/>
      <c r="J117" s="249"/>
      <c r="K117" s="249"/>
    </row>
    <row r="118" spans="1:11" x14ac:dyDescent="0.3">
      <c r="A118" s="1305"/>
      <c r="B118" s="1306"/>
      <c r="C118" s="1306"/>
      <c r="D118" s="1306"/>
      <c r="H118" s="448"/>
      <c r="J118" s="249"/>
      <c r="K118" s="249"/>
    </row>
    <row r="119" spans="1:11" x14ac:dyDescent="0.3">
      <c r="A119" s="1305"/>
      <c r="B119" s="1306"/>
      <c r="C119" s="1306"/>
      <c r="D119" s="1306"/>
      <c r="H119" s="448"/>
      <c r="J119" s="249"/>
      <c r="K119" s="249"/>
    </row>
    <row r="120" spans="1:11" x14ac:dyDescent="0.3">
      <c r="A120" s="1305"/>
      <c r="B120" s="1306"/>
      <c r="C120" s="1306"/>
      <c r="D120" s="1306"/>
      <c r="H120" s="448"/>
      <c r="J120" s="249"/>
      <c r="K120" s="249"/>
    </row>
    <row r="121" spans="1:11" x14ac:dyDescent="0.3">
      <c r="A121" s="1305"/>
      <c r="B121" s="1306"/>
      <c r="C121" s="1306"/>
      <c r="D121" s="1306"/>
      <c r="H121" s="448"/>
      <c r="J121" s="249"/>
      <c r="K121" s="249"/>
    </row>
    <row r="122" spans="1:11" x14ac:dyDescent="0.3">
      <c r="A122" s="1305"/>
      <c r="B122" s="1306"/>
      <c r="C122" s="1306"/>
      <c r="D122" s="1306"/>
      <c r="H122" s="448"/>
      <c r="J122" s="249"/>
      <c r="K122" s="249"/>
    </row>
    <row r="123" spans="1:11" x14ac:dyDescent="0.3">
      <c r="A123" s="1305"/>
      <c r="B123" s="1306"/>
      <c r="C123" s="1306"/>
      <c r="D123" s="1306"/>
      <c r="J123" s="249"/>
    </row>
    <row r="124" spans="1:11" x14ac:dyDescent="0.3">
      <c r="A124" s="1305"/>
      <c r="B124" s="1306"/>
      <c r="C124" s="1306"/>
      <c r="D124" s="1306"/>
      <c r="J124" s="249"/>
    </row>
    <row r="125" spans="1:11" x14ac:dyDescent="0.3">
      <c r="A125" s="1305"/>
      <c r="B125" s="1306"/>
      <c r="C125" s="1306"/>
      <c r="D125" s="1306"/>
      <c r="J125" s="249"/>
    </row>
    <row r="126" spans="1:11" x14ac:dyDescent="0.3">
      <c r="A126" s="1308"/>
      <c r="B126" s="1309"/>
      <c r="C126" s="1309"/>
      <c r="D126" s="1309"/>
      <c r="J126" s="249"/>
    </row>
    <row r="127" spans="1:11" x14ac:dyDescent="0.3">
      <c r="A127" s="1308"/>
      <c r="B127" s="1309"/>
      <c r="C127" s="1309"/>
      <c r="D127" s="1309"/>
      <c r="J127" s="249"/>
    </row>
    <row r="128" spans="1:11" x14ac:dyDescent="0.3">
      <c r="J128" s="249"/>
    </row>
    <row r="129" spans="10:10" x14ac:dyDescent="0.3">
      <c r="J129" s="249"/>
    </row>
    <row r="130" spans="10:10" x14ac:dyDescent="0.3">
      <c r="J130" s="249"/>
    </row>
    <row r="131" spans="10:10" x14ac:dyDescent="0.3">
      <c r="J131" s="249"/>
    </row>
    <row r="132" spans="10:10" x14ac:dyDescent="0.3">
      <c r="J132" s="249"/>
    </row>
  </sheetData>
  <mergeCells count="9">
    <mergeCell ref="AP3:AV3"/>
    <mergeCell ref="AX3:BD3"/>
    <mergeCell ref="BN3:BT3"/>
    <mergeCell ref="B3:H3"/>
    <mergeCell ref="J3:P3"/>
    <mergeCell ref="R3:X3"/>
    <mergeCell ref="Z3:AF3"/>
    <mergeCell ref="AH3:AN3"/>
    <mergeCell ref="BF3:BL3"/>
  </mergeCells>
  <hyperlinks>
    <hyperlink ref="L1" location="Index!A1" display="Index"/>
  </hyperlink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BJ68"/>
  <sheetViews>
    <sheetView workbookViewId="0">
      <selection activeCell="D19" sqref="D19"/>
    </sheetView>
  </sheetViews>
  <sheetFormatPr defaultColWidth="9.109375" defaultRowHeight="14.4" x14ac:dyDescent="0.3"/>
  <cols>
    <col min="1" max="1" width="9.109375" style="172"/>
    <col min="2" max="2" width="2" style="172" customWidth="1"/>
    <col min="3" max="3" width="6.5546875" style="172" customWidth="1"/>
    <col min="4" max="4" width="7.44140625" style="172" customWidth="1"/>
    <col min="5" max="7" width="6.5546875" style="172" customWidth="1"/>
    <col min="8" max="8" width="7.77734375" style="172" customWidth="1"/>
    <col min="9" max="9" width="6.44140625" style="655" customWidth="1"/>
    <col min="10" max="10" width="6" style="172" customWidth="1"/>
    <col min="11" max="11" width="2.44140625" style="172" customWidth="1"/>
    <col min="12" max="12" width="6.77734375" style="172" customWidth="1"/>
    <col min="13" max="13" width="7.5546875" style="172" customWidth="1"/>
    <col min="14" max="14" width="6.109375" style="172" customWidth="1"/>
    <col min="15" max="15" width="7" style="172" customWidth="1"/>
    <col min="16" max="16" width="6.109375" style="172" customWidth="1"/>
    <col min="17" max="17" width="7.88671875" style="172" customWidth="1"/>
    <col min="18" max="18" width="6.88671875" style="655" customWidth="1"/>
    <col min="19" max="19" width="6" style="172" customWidth="1"/>
    <col min="20" max="20" width="2.21875" style="172" customWidth="1"/>
    <col min="21" max="22" width="7.44140625" style="172" customWidth="1"/>
    <col min="23" max="23" width="6.44140625" style="172" customWidth="1"/>
    <col min="24" max="25" width="7.44140625" style="172" customWidth="1"/>
    <col min="26" max="26" width="7.88671875" style="172" customWidth="1"/>
    <col min="27" max="27" width="6.109375" style="655" customWidth="1"/>
    <col min="28" max="28" width="6.44140625" style="172" customWidth="1"/>
    <col min="29" max="29" width="1.77734375" style="172" customWidth="1"/>
    <col min="30" max="30" width="7.109375" style="172" customWidth="1"/>
    <col min="31" max="31" width="7.21875" style="172" customWidth="1"/>
    <col min="32" max="32" width="6.77734375" style="172" customWidth="1"/>
    <col min="33" max="34" width="7.109375" style="172" customWidth="1"/>
    <col min="35" max="35" width="7.77734375" style="172" customWidth="1"/>
    <col min="36" max="36" width="6.44140625" style="655" customWidth="1"/>
    <col min="37" max="37" width="6.77734375" style="172" customWidth="1"/>
    <col min="38" max="38" width="2.5546875" style="172" customWidth="1"/>
    <col min="39" max="39" width="6.77734375" style="172" customWidth="1"/>
    <col min="40" max="40" width="7.21875" style="172" customWidth="1"/>
    <col min="41" max="41" width="6.21875" style="172" customWidth="1"/>
    <col min="42" max="43" width="6.77734375" style="172" customWidth="1"/>
    <col min="44" max="44" width="8" style="172" customWidth="1"/>
    <col min="45" max="45" width="6.44140625" style="655" customWidth="1"/>
    <col min="46" max="46" width="5.88671875" style="172" customWidth="1"/>
    <col min="47" max="47" width="2.21875" style="172" customWidth="1"/>
    <col min="48" max="48" width="6.88671875" style="172" customWidth="1"/>
    <col min="49" max="49" width="7.109375" style="172" customWidth="1"/>
    <col min="50" max="50" width="6.109375" style="172" customWidth="1"/>
    <col min="51" max="52" width="6.88671875" style="172" customWidth="1"/>
    <col min="53" max="53" width="8.109375" style="172" customWidth="1"/>
    <col min="54" max="54" width="6.44140625" style="655" customWidth="1"/>
    <col min="55" max="55" width="6.21875" style="172" customWidth="1"/>
    <col min="56" max="16384" width="9.109375" style="172"/>
  </cols>
  <sheetData>
    <row r="1" spans="1:62" ht="15.6" x14ac:dyDescent="0.3">
      <c r="A1" s="178" t="s">
        <v>1557</v>
      </c>
      <c r="Q1" s="463" t="s">
        <v>504</v>
      </c>
      <c r="R1" s="466"/>
    </row>
    <row r="2" spans="1:62" x14ac:dyDescent="0.3">
      <c r="A2" s="180"/>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row>
    <row r="3" spans="1:62" x14ac:dyDescent="0.3">
      <c r="A3" s="237"/>
      <c r="B3" s="237"/>
      <c r="C3" s="1455" t="s">
        <v>638</v>
      </c>
      <c r="D3" s="1455"/>
      <c r="E3" s="1455"/>
      <c r="F3" s="1455"/>
      <c r="G3" s="1455"/>
      <c r="H3" s="1455"/>
      <c r="I3" s="1455"/>
      <c r="J3" s="1455"/>
      <c r="K3" s="240"/>
      <c r="L3" s="1455" t="s">
        <v>639</v>
      </c>
      <c r="M3" s="1455"/>
      <c r="N3" s="1455"/>
      <c r="O3" s="1455"/>
      <c r="P3" s="1455"/>
      <c r="Q3" s="1455"/>
      <c r="R3" s="1455"/>
      <c r="S3" s="1455"/>
      <c r="T3" s="240"/>
      <c r="U3" s="1455" t="s">
        <v>640</v>
      </c>
      <c r="V3" s="1455"/>
      <c r="W3" s="1455"/>
      <c r="X3" s="1455"/>
      <c r="Y3" s="1455"/>
      <c r="Z3" s="1455"/>
      <c r="AA3" s="1455"/>
      <c r="AB3" s="1455"/>
      <c r="AC3" s="240"/>
      <c r="AD3" s="1455" t="s">
        <v>641</v>
      </c>
      <c r="AE3" s="1455"/>
      <c r="AF3" s="1455"/>
      <c r="AG3" s="1455"/>
      <c r="AH3" s="1455"/>
      <c r="AI3" s="1455"/>
      <c r="AJ3" s="1455"/>
      <c r="AK3" s="1455"/>
      <c r="AL3" s="238"/>
      <c r="AM3" s="1455" t="s">
        <v>642</v>
      </c>
      <c r="AN3" s="1455"/>
      <c r="AO3" s="1455"/>
      <c r="AP3" s="1455"/>
      <c r="AQ3" s="1455"/>
      <c r="AR3" s="1455"/>
      <c r="AS3" s="1455"/>
      <c r="AT3" s="1455"/>
      <c r="AU3" s="241"/>
      <c r="AV3" s="1455" t="s">
        <v>643</v>
      </c>
      <c r="AW3" s="1455"/>
      <c r="AX3" s="1455"/>
      <c r="AY3" s="1455"/>
      <c r="AZ3" s="1455"/>
      <c r="BA3" s="1455"/>
      <c r="BB3" s="1455"/>
      <c r="BC3" s="1455"/>
    </row>
    <row r="4" spans="1:62" x14ac:dyDescent="0.3">
      <c r="A4" s="242"/>
      <c r="B4" s="243"/>
      <c r="C4" s="243" t="s">
        <v>209</v>
      </c>
      <c r="D4" s="243" t="s">
        <v>212</v>
      </c>
      <c r="E4" s="243" t="s">
        <v>210</v>
      </c>
      <c r="F4" s="243" t="s">
        <v>211</v>
      </c>
      <c r="G4" s="243" t="s">
        <v>213</v>
      </c>
      <c r="H4" s="243" t="s">
        <v>214</v>
      </c>
      <c r="I4" s="243" t="s">
        <v>1119</v>
      </c>
      <c r="J4" s="243" t="s">
        <v>215</v>
      </c>
      <c r="K4" s="244"/>
      <c r="L4" s="243" t="s">
        <v>209</v>
      </c>
      <c r="M4" s="243" t="s">
        <v>212</v>
      </c>
      <c r="N4" s="243" t="s">
        <v>210</v>
      </c>
      <c r="O4" s="243" t="s">
        <v>211</v>
      </c>
      <c r="P4" s="243" t="s">
        <v>213</v>
      </c>
      <c r="Q4" s="243" t="s">
        <v>214</v>
      </c>
      <c r="R4" s="243" t="s">
        <v>1119</v>
      </c>
      <c r="S4" s="243" t="s">
        <v>215</v>
      </c>
      <c r="T4" s="244"/>
      <c r="U4" s="243" t="s">
        <v>209</v>
      </c>
      <c r="V4" s="243" t="s">
        <v>212</v>
      </c>
      <c r="W4" s="243" t="s">
        <v>210</v>
      </c>
      <c r="X4" s="243" t="s">
        <v>211</v>
      </c>
      <c r="Y4" s="243" t="s">
        <v>213</v>
      </c>
      <c r="Z4" s="243" t="s">
        <v>214</v>
      </c>
      <c r="AA4" s="243" t="s">
        <v>1119</v>
      </c>
      <c r="AB4" s="243" t="s">
        <v>215</v>
      </c>
      <c r="AC4" s="244"/>
      <c r="AD4" s="243" t="s">
        <v>209</v>
      </c>
      <c r="AE4" s="243" t="s">
        <v>212</v>
      </c>
      <c r="AF4" s="243" t="s">
        <v>210</v>
      </c>
      <c r="AG4" s="243" t="s">
        <v>211</v>
      </c>
      <c r="AH4" s="243" t="s">
        <v>213</v>
      </c>
      <c r="AI4" s="243" t="s">
        <v>214</v>
      </c>
      <c r="AJ4" s="243" t="s">
        <v>1119</v>
      </c>
      <c r="AK4" s="243" t="s">
        <v>215</v>
      </c>
      <c r="AL4" s="245"/>
      <c r="AM4" s="243" t="s">
        <v>209</v>
      </c>
      <c r="AN4" s="243" t="s">
        <v>212</v>
      </c>
      <c r="AO4" s="243" t="s">
        <v>210</v>
      </c>
      <c r="AP4" s="243" t="s">
        <v>211</v>
      </c>
      <c r="AQ4" s="243" t="s">
        <v>213</v>
      </c>
      <c r="AR4" s="243" t="s">
        <v>214</v>
      </c>
      <c r="AS4" s="243" t="s">
        <v>1119</v>
      </c>
      <c r="AT4" s="243" t="s">
        <v>215</v>
      </c>
      <c r="AU4" s="11"/>
      <c r="AV4" s="243" t="s">
        <v>209</v>
      </c>
      <c r="AW4" s="243" t="s">
        <v>212</v>
      </c>
      <c r="AX4" s="243" t="s">
        <v>210</v>
      </c>
      <c r="AY4" s="243" t="s">
        <v>211</v>
      </c>
      <c r="AZ4" s="243" t="s">
        <v>213</v>
      </c>
      <c r="BA4" s="243" t="s">
        <v>214</v>
      </c>
      <c r="BB4" s="243" t="s">
        <v>1119</v>
      </c>
      <c r="BC4" s="243" t="s">
        <v>215</v>
      </c>
      <c r="BD4" s="247"/>
    </row>
    <row r="5" spans="1:62" ht="6.75" customHeight="1" x14ac:dyDescent="0.3"/>
    <row r="6" spans="1:62" s="173" customFormat="1" ht="12" x14ac:dyDescent="0.25">
      <c r="A6" s="239">
        <v>1960</v>
      </c>
      <c r="B6" s="449"/>
      <c r="C6" s="450"/>
      <c r="D6" s="450"/>
      <c r="E6" s="450"/>
      <c r="G6" s="450"/>
      <c r="H6" s="450"/>
      <c r="I6" s="450"/>
      <c r="J6" s="451"/>
      <c r="L6" s="450"/>
      <c r="M6" s="450"/>
      <c r="N6" s="450"/>
      <c r="P6" s="450"/>
      <c r="Q6" s="450"/>
      <c r="R6" s="450"/>
      <c r="U6" s="450"/>
      <c r="V6" s="450"/>
      <c r="W6" s="450"/>
      <c r="X6" s="450"/>
      <c r="Y6" s="450"/>
      <c r="Z6" s="450"/>
      <c r="AA6" s="450"/>
      <c r="AD6" s="450"/>
      <c r="AE6" s="450"/>
      <c r="AF6" s="450"/>
      <c r="AH6" s="450"/>
      <c r="AI6" s="450"/>
      <c r="AJ6" s="450"/>
      <c r="AM6" s="450"/>
      <c r="AN6" s="450"/>
      <c r="AO6" s="450"/>
      <c r="AQ6" s="450"/>
      <c r="AR6" s="450"/>
      <c r="AS6" s="450"/>
      <c r="AV6" s="450"/>
      <c r="AW6" s="450"/>
      <c r="AX6" s="450"/>
      <c r="AZ6" s="450"/>
      <c r="BA6" s="450"/>
      <c r="BB6" s="450"/>
    </row>
    <row r="7" spans="1:62" s="173" customFormat="1" ht="6.75" customHeight="1" x14ac:dyDescent="0.25">
      <c r="A7" s="239"/>
      <c r="B7" s="449"/>
      <c r="C7" s="450"/>
      <c r="D7" s="450"/>
      <c r="E7" s="450"/>
      <c r="G7" s="450"/>
      <c r="H7" s="450"/>
      <c r="I7" s="450"/>
      <c r="J7" s="451"/>
      <c r="N7" s="450"/>
      <c r="P7" s="450"/>
      <c r="Q7" s="450"/>
      <c r="R7" s="450"/>
      <c r="W7" s="450"/>
      <c r="Y7" s="450"/>
      <c r="Z7" s="450"/>
      <c r="AA7" s="450"/>
      <c r="AF7" s="450"/>
      <c r="AH7" s="450"/>
      <c r="AI7" s="450"/>
      <c r="AJ7" s="450"/>
      <c r="AO7" s="450"/>
      <c r="AQ7" s="450"/>
      <c r="AR7" s="450"/>
      <c r="AS7" s="450"/>
      <c r="AX7" s="450"/>
      <c r="AZ7" s="450"/>
      <c r="BA7" s="450"/>
      <c r="BB7" s="450"/>
    </row>
    <row r="8" spans="1:62" s="173" customFormat="1" ht="12" x14ac:dyDescent="0.25">
      <c r="A8" s="239">
        <v>1962</v>
      </c>
      <c r="B8" s="449"/>
      <c r="C8" s="450">
        <f>'C4-Sources'!K9/'C4-Sources'!C9*100</f>
        <v>41.1220732546766</v>
      </c>
      <c r="D8" s="450">
        <f>'C4-Sources'!S9/'C4-Sources'!C9*100</f>
        <v>14.587011519722873</v>
      </c>
      <c r="E8" s="450">
        <f>'C4-Sources'!AA9/'C4-Sources'!C9*100</f>
        <v>6.2959159177642556</v>
      </c>
      <c r="F8" s="450">
        <f>'C4-Sources'!AI9/'C4-Sources'!C9*100</f>
        <v>2.9922767941201815</v>
      </c>
      <c r="G8" s="450">
        <f>'C4-Sources'!AQ9/'C4-Sources'!C9*100</f>
        <v>10.760658875841541</v>
      </c>
      <c r="H8" s="450">
        <f>'C4-Sources'!AY9/'C4-Sources'!C9*100</f>
        <v>6.7647102445922345</v>
      </c>
      <c r="I8" s="450">
        <f>'C4-Sources'!BG9/'C4-Sources'!C9*100</f>
        <v>2.6655045476519077</v>
      </c>
      <c r="J8" s="450">
        <f>100-SUM(C8:I8)</f>
        <v>14.811848845630408</v>
      </c>
      <c r="L8" s="450">
        <f>'C4-Sources'!L9/'C4-Sources'!D9*100</f>
        <v>32.326178148027537</v>
      </c>
      <c r="M8" s="450">
        <f>'C4-Sources'!T9/'C4-Sources'!D9*100</f>
        <v>16.544734662080511</v>
      </c>
      <c r="N8" s="450">
        <f>'C4-Sources'!AB9/'C4-Sources'!D9*100</f>
        <v>8.3807928801053144</v>
      </c>
      <c r="O8" s="450">
        <f>'C4-Sources'!AJ9/'C4-Sources'!D9*100</f>
        <v>3.6529811064393245</v>
      </c>
      <c r="P8" s="450">
        <f>'C4-Sources'!AR9/'C4-Sources'!D9*100</f>
        <v>14.167669612495942</v>
      </c>
      <c r="Q8" s="450">
        <f>'C4-Sources'!AZ9/'C4-Sources'!D9*100</f>
        <v>8.0541279071497822</v>
      </c>
      <c r="R8" s="450">
        <f>'C4-Sources'!BH9/'C4-Sources'!D9*100</f>
        <v>2.1877184802120024</v>
      </c>
      <c r="S8" s="450">
        <f>100-SUM(L8:R8)</f>
        <v>14.685797203489585</v>
      </c>
      <c r="U8" s="450">
        <f>'C4-Sources'!M9/'C4-Sources'!E9*100</f>
        <v>17.217984031280142</v>
      </c>
      <c r="V8" s="450">
        <f>'C4-Sources'!U9/'C4-Sources'!E9*100</f>
        <v>15.700655803685068</v>
      </c>
      <c r="W8" s="450">
        <f>'C4-Sources'!AC9/'C4-Sources'!E9*100</f>
        <v>13.478808502527892</v>
      </c>
      <c r="X8" s="450">
        <f>'C4-Sources'!AK9/'C4-Sources'!E9*100</f>
        <v>4.9306047996433167</v>
      </c>
      <c r="Y8" s="450">
        <f>'C4-Sources'!AS9/'C4-Sources'!E9*100</f>
        <v>22.680347689269293</v>
      </c>
      <c r="Z8" s="450">
        <f>'C4-Sources'!BA9/'C4-Sources'!E9*100</f>
        <v>11.261889905894725</v>
      </c>
      <c r="AA8" s="450">
        <f>'C4-Sources'!BI9/'C4-Sources'!E9*100</f>
        <v>1.2627741118266118</v>
      </c>
      <c r="AB8" s="450">
        <f>100-SUM(U8:AA8)</f>
        <v>13.466935155872946</v>
      </c>
      <c r="AD8" s="450">
        <f>'C4-Sources'!N9/'C4-Sources'!F9*100</f>
        <v>14.284799556152011</v>
      </c>
      <c r="AE8" s="450">
        <f>'C4-Sources'!V9/'C4-Sources'!F9*100</f>
        <v>13.261528185852397</v>
      </c>
      <c r="AF8" s="450">
        <f>'C4-Sources'!AD9/'C4-Sources'!F9*100</f>
        <v>15.418137914851904</v>
      </c>
      <c r="AG8" s="450">
        <f>'C4-Sources'!AL9/'C4-Sources'!F9*100</f>
        <v>4.8515951285096941</v>
      </c>
      <c r="AH8" s="450">
        <f>'C4-Sources'!AT9/'C4-Sources'!F9*100</f>
        <v>26.032292723347293</v>
      </c>
      <c r="AI8" s="450">
        <f>'C4-Sources'!BB9/'C4-Sources'!F9*100</f>
        <v>12.488251319487327</v>
      </c>
      <c r="AJ8" s="450">
        <f>'C4-Sources'!BJ9/'C4-Sources'!F9*100</f>
        <v>1.063869468229407</v>
      </c>
      <c r="AK8" s="450">
        <f>100-SUM(AD8:AJ8)</f>
        <v>12.599525703569952</v>
      </c>
      <c r="AM8" s="450">
        <f>'C4-Sources'!O9/'C4-Sources'!G9*100</f>
        <v>8.4049194183836224</v>
      </c>
      <c r="AN8" s="450">
        <f>'C4-Sources'!W9/'C4-Sources'!G9*100</f>
        <v>7.9776373934481049</v>
      </c>
      <c r="AO8" s="450">
        <f>'C4-Sources'!AE9/'C4-Sources'!G9*100</f>
        <v>19.28040361331184</v>
      </c>
      <c r="AP8" s="450">
        <f>'C4-Sources'!AM9/'C4-Sources'!G9*100</f>
        <v>4.0775921626383917</v>
      </c>
      <c r="AQ8" s="450">
        <f>'C4-Sources'!AU9/'C4-Sources'!G9*100</f>
        <v>33.345876215692755</v>
      </c>
      <c r="AR8" s="450">
        <f>'C4-Sources'!BC9/'C4-Sources'!G9*100</f>
        <v>15.084266976512684</v>
      </c>
      <c r="AS8" s="450">
        <f>'C4-Sources'!BK9/'C4-Sources'!G9*100</f>
        <v>0.65569869290253979</v>
      </c>
      <c r="AT8" s="450">
        <f>100-SUM(AM8:AS8)</f>
        <v>11.17360552711007</v>
      </c>
      <c r="AV8" s="450">
        <f>'C4-Sources'!P9/'C4-Sources'!H9*100</f>
        <v>3.4681965950752631</v>
      </c>
      <c r="AW8" s="450">
        <f>'C4-Sources'!X9/'C4-Sources'!H9*100</f>
        <v>4.6690931011599979</v>
      </c>
      <c r="AX8" s="450">
        <f>'C4-Sources'!AF9/'C4-Sources'!H9*100</f>
        <v>21.387724876501018</v>
      </c>
      <c r="AY8" s="450">
        <f>'C4-Sources'!AN9/'C4-Sources'!H9*100</f>
        <v>3.3238146566955984</v>
      </c>
      <c r="AZ8" s="450">
        <f>'C4-Sources'!AV9/'C4-Sources'!H9*100</f>
        <v>38.945602631099355</v>
      </c>
      <c r="BA8" s="450">
        <f>'C4-Sources'!BD9/'C4-Sources'!H9*100</f>
        <v>17.076684230463819</v>
      </c>
      <c r="BB8" s="450">
        <f>'C4-Sources'!BL9/'C4-Sources'!H9*100</f>
        <v>0.26295223110678406</v>
      </c>
      <c r="BC8" s="450">
        <f>100-SUM(AV8:BB8)</f>
        <v>10.865931677898161</v>
      </c>
    </row>
    <row r="9" spans="1:62" s="173" customFormat="1" ht="6" customHeight="1" x14ac:dyDescent="0.25">
      <c r="A9" s="239"/>
      <c r="B9" s="449"/>
      <c r="C9" s="450"/>
      <c r="D9" s="450"/>
      <c r="E9" s="450"/>
      <c r="F9" s="450"/>
      <c r="G9" s="450"/>
      <c r="H9" s="450"/>
      <c r="I9" s="450"/>
      <c r="J9" s="451"/>
      <c r="L9" s="450"/>
      <c r="M9" s="450"/>
      <c r="N9" s="450"/>
      <c r="O9" s="450"/>
      <c r="P9" s="450"/>
      <c r="Q9" s="450"/>
      <c r="R9" s="450"/>
      <c r="S9" s="451"/>
      <c r="U9" s="450"/>
      <c r="V9" s="450"/>
      <c r="W9" s="450"/>
      <c r="X9" s="450"/>
      <c r="Y9" s="450"/>
      <c r="Z9" s="450"/>
      <c r="AA9" s="450"/>
      <c r="AB9" s="451"/>
      <c r="AD9" s="450"/>
      <c r="AE9" s="450"/>
      <c r="AF9" s="450"/>
      <c r="AG9" s="450"/>
      <c r="AH9" s="450"/>
      <c r="AI9" s="450"/>
      <c r="AJ9" s="450"/>
      <c r="AK9" s="451"/>
      <c r="AM9" s="450"/>
      <c r="AN9" s="450"/>
      <c r="AO9" s="450"/>
      <c r="AP9" s="450"/>
      <c r="AQ9" s="450"/>
      <c r="AR9" s="450"/>
      <c r="AS9" s="450"/>
      <c r="AT9" s="451"/>
      <c r="AV9" s="450"/>
      <c r="AW9" s="450"/>
      <c r="AX9" s="450"/>
      <c r="AY9" s="450"/>
      <c r="AZ9" s="450"/>
      <c r="BA9" s="450"/>
      <c r="BB9" s="450"/>
      <c r="BC9" s="451"/>
    </row>
    <row r="10" spans="1:62" s="173" customFormat="1" ht="12" x14ac:dyDescent="0.25">
      <c r="A10" s="239">
        <v>1964</v>
      </c>
      <c r="B10" s="449"/>
      <c r="C10" s="450">
        <f>'C4-Sources'!K11/'C4-Sources'!C11*100</f>
        <v>45.728036915513364</v>
      </c>
      <c r="D10" s="450">
        <f>'C4-Sources'!S11/'C4-Sources'!C11*100</f>
        <v>11.360599134210377</v>
      </c>
      <c r="E10" s="450">
        <f>'C4-Sources'!AA11/'C4-Sources'!C11*100</f>
        <v>6.1219699190591861</v>
      </c>
      <c r="F10" s="450">
        <f>'C4-Sources'!AI11/'C4-Sources'!C11*100</f>
        <v>3.227044375706428</v>
      </c>
      <c r="G10" s="450">
        <f>'C4-Sources'!AQ11/'C4-Sources'!C11*100</f>
        <v>12.320599480525154</v>
      </c>
      <c r="H10" s="450">
        <f>'C4-Sources'!AY11/'C4-Sources'!C11*100</f>
        <v>7.1608940188116348</v>
      </c>
      <c r="I10" s="450">
        <f>'C4-Sources'!BG11/'C4-Sources'!C11*100</f>
        <v>3.2383004292080706</v>
      </c>
      <c r="J10" s="450">
        <f>100-SUM(C10:I10)</f>
        <v>10.842555726965799</v>
      </c>
      <c r="L10" s="450">
        <f>'C4-Sources'!L11/'C4-Sources'!D11*100</f>
        <v>36.422125059309181</v>
      </c>
      <c r="M10" s="450">
        <f>'C4-Sources'!T11/'C4-Sources'!D11*100</f>
        <v>13.797191833308217</v>
      </c>
      <c r="N10" s="450">
        <f>'C4-Sources'!AB11/'C4-Sources'!D11*100</f>
        <v>8.2035287502968934</v>
      </c>
      <c r="O10" s="450">
        <f>'C4-Sources'!AJ11/'C4-Sources'!D11*100</f>
        <v>3.8331014174130615</v>
      </c>
      <c r="P10" s="450">
        <f>'C4-Sources'!AR11/'C4-Sources'!D11*100</f>
        <v>16.304320927179738</v>
      </c>
      <c r="Q10" s="450">
        <f>'C4-Sources'!AZ11/'C4-Sources'!D11*100</f>
        <v>8.5664447575304994</v>
      </c>
      <c r="R10" s="450">
        <f>'C4-Sources'!BH11/'C4-Sources'!D11*100</f>
        <v>2.7077725400737331</v>
      </c>
      <c r="S10" s="450">
        <f>100-SUM(L10:R10)</f>
        <v>10.165514714888658</v>
      </c>
      <c r="U10" s="450">
        <f>'C4-Sources'!M11/'C4-Sources'!E11*100</f>
        <v>17.601909360119215</v>
      </c>
      <c r="V10" s="450">
        <f>'C4-Sources'!U11/'C4-Sources'!E11*100</f>
        <v>16.147606639161101</v>
      </c>
      <c r="W10" s="450">
        <f>'C4-Sources'!AC11/'C4-Sources'!E11*100</f>
        <v>13.060134082120763</v>
      </c>
      <c r="X10" s="450">
        <f>'C4-Sources'!AK11/'C4-Sources'!E11*100</f>
        <v>4.7602087711576564</v>
      </c>
      <c r="Y10" s="450">
        <f>'C4-Sources'!AS11/'C4-Sources'!E11*100</f>
        <v>25.983533766867779</v>
      </c>
      <c r="Z10" s="450">
        <f>'C4-Sources'!BA11/'C4-Sources'!E11*100</f>
        <v>11.882594278878322</v>
      </c>
      <c r="AA10" s="450">
        <f>'C4-Sources'!BI11/'C4-Sources'!E11*100</f>
        <v>1.4002153251736518</v>
      </c>
      <c r="AB10" s="450">
        <f>100-SUM(U10:AA10)</f>
        <v>9.1637977765215197</v>
      </c>
      <c r="AD10" s="450">
        <f>'C4-Sources'!N11/'C4-Sources'!F11*100</f>
        <v>13.528832112449358</v>
      </c>
      <c r="AE10" s="450">
        <f>'C4-Sources'!V11/'C4-Sources'!F11*100</f>
        <v>13.073009143510905</v>
      </c>
      <c r="AF10" s="450">
        <f>'C4-Sources'!AD11/'C4-Sources'!F11*100</f>
        <v>14.968422313068732</v>
      </c>
      <c r="AG10" s="450">
        <f>'C4-Sources'!AL11/'C4-Sources'!F11*100</f>
        <v>4.722852743096694</v>
      </c>
      <c r="AH10" s="450">
        <f>'C4-Sources'!AT11/'C4-Sources'!F11*100</f>
        <v>29.785051118685129</v>
      </c>
      <c r="AI10" s="450">
        <f>'C4-Sources'!BB11/'C4-Sources'!F11*100</f>
        <v>13.251837652395304</v>
      </c>
      <c r="AJ10" s="450">
        <f>'C4-Sources'!BJ11/'C4-Sources'!F11*100</f>
        <v>1.0926113341741379</v>
      </c>
      <c r="AK10" s="450">
        <f>100-SUM(AD10:AJ10)</f>
        <v>9.5773835826197313</v>
      </c>
      <c r="AM10" s="450">
        <f>'C4-Sources'!O11/'C4-Sources'!G11*100</f>
        <v>7.7432394509067946</v>
      </c>
      <c r="AN10" s="450">
        <f>'C4-Sources'!W11/'C4-Sources'!G11*100</f>
        <v>6.2918676612142868</v>
      </c>
      <c r="AO10" s="450">
        <f>'C4-Sources'!AE11/'C4-Sources'!G11*100</f>
        <v>18.16421531775018</v>
      </c>
      <c r="AP10" s="450">
        <f>'C4-Sources'!AM11/'C4-Sources'!G11*100</f>
        <v>3.9738484551486564</v>
      </c>
      <c r="AQ10" s="450">
        <f>'C4-Sources'!AU11/'C4-Sources'!G11*100</f>
        <v>36.94515085269245</v>
      </c>
      <c r="AR10" s="450">
        <f>'C4-Sources'!BC11/'C4-Sources'!G11*100</f>
        <v>15.759373284942404</v>
      </c>
      <c r="AS10" s="450">
        <f>'C4-Sources'!BK11/'C4-Sources'!G11*100</f>
        <v>0.62780282459017922</v>
      </c>
      <c r="AT10" s="450">
        <f>100-SUM(AM10:AS10)</f>
        <v>10.494502152755061</v>
      </c>
      <c r="AV10" s="450">
        <f>'C4-Sources'!P11/'C4-Sources'!H11*100</f>
        <v>2.8532503836363721</v>
      </c>
      <c r="AW10" s="450">
        <f>'C4-Sources'!X11/'C4-Sources'!H11*100</f>
        <v>1.6132971018763824</v>
      </c>
      <c r="AX10" s="450">
        <f>'C4-Sources'!AF11/'C4-Sources'!H11*100</f>
        <v>19.863231375520684</v>
      </c>
      <c r="AY10" s="450">
        <f>'C4-Sources'!AN11/'C4-Sources'!H11*100</f>
        <v>3.157319049413307</v>
      </c>
      <c r="AZ10" s="450">
        <f>'C4-Sources'!AV11/'C4-Sources'!H11*100</f>
        <v>42.652083532601509</v>
      </c>
      <c r="BA10" s="450">
        <f>'C4-Sources'!BD11/'C4-Sources'!H11*100</f>
        <v>17.769860256589805</v>
      </c>
      <c r="BB10" s="450">
        <f>'C4-Sources'!BL11/'C4-Sources'!H11*100</f>
        <v>0.25262228460807934</v>
      </c>
      <c r="BC10" s="450">
        <f>100-SUM(AV10:BB10)</f>
        <v>11.838336015753853</v>
      </c>
      <c r="BD10" s="452"/>
      <c r="BE10" s="452"/>
      <c r="BF10" s="452"/>
      <c r="BG10" s="452"/>
      <c r="BH10" s="452"/>
      <c r="BI10" s="452"/>
      <c r="BJ10" s="452"/>
    </row>
    <row r="11" spans="1:62" s="173" customFormat="1" ht="8.25" customHeight="1" x14ac:dyDescent="0.25">
      <c r="A11" s="239"/>
      <c r="B11" s="449"/>
      <c r="C11" s="450"/>
      <c r="D11" s="450"/>
      <c r="E11" s="450"/>
      <c r="F11" s="450"/>
      <c r="G11" s="450"/>
      <c r="H11" s="450"/>
      <c r="I11" s="450"/>
      <c r="J11" s="451"/>
      <c r="L11" s="450"/>
      <c r="U11" s="450"/>
      <c r="AD11" s="450"/>
      <c r="AM11" s="450"/>
      <c r="AV11" s="450"/>
      <c r="AW11" s="450"/>
      <c r="AX11" s="450"/>
      <c r="AY11" s="450"/>
      <c r="AZ11" s="450"/>
      <c r="BA11" s="450"/>
      <c r="BB11" s="450"/>
      <c r="BC11" s="451"/>
      <c r="BD11" s="452"/>
      <c r="BE11" s="452"/>
      <c r="BF11" s="452"/>
      <c r="BG11" s="452"/>
      <c r="BH11" s="452"/>
      <c r="BI11" s="452"/>
      <c r="BJ11" s="452"/>
    </row>
    <row r="12" spans="1:62" s="173" customFormat="1" ht="12" x14ac:dyDescent="0.25">
      <c r="A12" s="239">
        <v>1966</v>
      </c>
      <c r="B12" s="449"/>
      <c r="C12" s="450">
        <f>'C4-Sources'!K13/'C4-Sources'!C13*100</f>
        <v>40.530057051904329</v>
      </c>
      <c r="D12" s="450">
        <f>'C4-Sources'!S13/'C4-Sources'!C13*100</f>
        <v>15.622271652900405</v>
      </c>
      <c r="E12" s="450">
        <f>'C4-Sources'!AA13/'C4-Sources'!C13*100</f>
        <v>6.4321998359528969</v>
      </c>
      <c r="F12" s="450">
        <f>'C4-Sources'!AI13/'C4-Sources'!C13*100</f>
        <v>3.5553138110565254</v>
      </c>
      <c r="G12" s="450">
        <f>'C4-Sources'!AQ13/'C4-Sources'!C13*100</f>
        <v>13.197841150023237</v>
      </c>
      <c r="H12" s="450">
        <f>'C4-Sources'!AY13/'C4-Sources'!C13*100</f>
        <v>6.8131543252468552</v>
      </c>
      <c r="I12" s="450">
        <f>'C4-Sources'!BG13/'C4-Sources'!C13*100</f>
        <v>2.8059967175818166</v>
      </c>
      <c r="J12" s="450">
        <f>100-SUM(C12:I12)</f>
        <v>11.043165455333934</v>
      </c>
      <c r="L12" s="450">
        <f>'C4-Sources'!L13/'C4-Sources'!D13*100</f>
        <v>31.206411696709967</v>
      </c>
      <c r="M12" s="450">
        <f>'C4-Sources'!T13/'C4-Sources'!D13*100</f>
        <v>17.963965242145491</v>
      </c>
      <c r="N12" s="450">
        <f>'C4-Sources'!AB13/'C4-Sources'!D13*100</f>
        <v>8.5515977005065604</v>
      </c>
      <c r="O12" s="450">
        <f>'C4-Sources'!AJ13/'C4-Sources'!D13*100</f>
        <v>4.2157895688927072</v>
      </c>
      <c r="P12" s="450">
        <f>'C4-Sources'!AR13/'C4-Sources'!D13*100</f>
        <v>17.236058009482125</v>
      </c>
      <c r="Q12" s="450">
        <f>'C4-Sources'!AZ13/'C4-Sources'!D13*100</f>
        <v>8.0503604582124701</v>
      </c>
      <c r="R12" s="450">
        <f>'C4-Sources'!BH13/'C4-Sources'!D13*100</f>
        <v>2.2579706116600606</v>
      </c>
      <c r="S12" s="450">
        <f>100-SUM(L12:R12)</f>
        <v>10.517846712390622</v>
      </c>
      <c r="U12" s="450">
        <f>'C4-Sources'!M13/'C4-Sources'!E13*100</f>
        <v>15.910494093338842</v>
      </c>
      <c r="V12" s="450">
        <f>'C4-Sources'!U13/'C4-Sources'!E13*100</f>
        <v>17.317053731323927</v>
      </c>
      <c r="W12" s="450">
        <f>'C4-Sources'!AC13/'C4-Sources'!E13*100</f>
        <v>13.455030740333324</v>
      </c>
      <c r="X12" s="450">
        <f>'C4-Sources'!AK13/'C4-Sources'!E13*100</f>
        <v>5.0856730023947856</v>
      </c>
      <c r="Y12" s="450">
        <f>'C4-Sources'!AS13/'C4-Sources'!E13*100</f>
        <v>26.693324367004735</v>
      </c>
      <c r="Z12" s="450">
        <f>'C4-Sources'!BA13/'C4-Sources'!E13*100</f>
        <v>10.912997811477302</v>
      </c>
      <c r="AA12" s="450">
        <f>'C4-Sources'!BI13/'C4-Sources'!E13*100</f>
        <v>1.2996561701111842</v>
      </c>
      <c r="AB12" s="450">
        <f>100-SUM(U12:AA12)</f>
        <v>9.3257700840159146</v>
      </c>
      <c r="AD12" s="450">
        <f>'C4-Sources'!N13/'C4-Sources'!F13*100</f>
        <v>12.526685880921775</v>
      </c>
      <c r="AE12" s="450">
        <f>'C4-Sources'!V13/'C4-Sources'!F13*100</f>
        <v>14.926473242643112</v>
      </c>
      <c r="AF12" s="450">
        <f>'C4-Sources'!AD13/'C4-Sources'!F13*100</f>
        <v>15.289621267668338</v>
      </c>
      <c r="AG12" s="450">
        <f>'C4-Sources'!AL13/'C4-Sources'!F13*100</f>
        <v>5.0278542198101022</v>
      </c>
      <c r="AH12" s="450">
        <f>'C4-Sources'!AT13/'C4-Sources'!F13*100</f>
        <v>30.362162785578249</v>
      </c>
      <c r="AI12" s="450">
        <f>'C4-Sources'!BB13/'C4-Sources'!F13*100</f>
        <v>12.051460472221201</v>
      </c>
      <c r="AJ12" s="450">
        <f>'C4-Sources'!BJ13/'C4-Sources'!F13*100</f>
        <v>1.0569718991759851</v>
      </c>
      <c r="AK12" s="450">
        <f>100-SUM(AD12:AJ12)</f>
        <v>8.7587702319812166</v>
      </c>
      <c r="AM12" s="450">
        <f>'C4-Sources'!O13/'C4-Sources'!G13*100</f>
        <v>7.0010045679302264</v>
      </c>
      <c r="AN12" s="450">
        <f>'C4-Sources'!W13/'C4-Sources'!G13*100</f>
        <v>10.351502256716586</v>
      </c>
      <c r="AO12" s="450">
        <f>'C4-Sources'!AE13/'C4-Sources'!G13*100</f>
        <v>18.124276032572247</v>
      </c>
      <c r="AP12" s="450">
        <f>'C4-Sources'!AM13/'C4-Sources'!G13*100</f>
        <v>4.5071580456579339</v>
      </c>
      <c r="AQ12" s="450">
        <f>'C4-Sources'!AU13/'C4-Sources'!G13*100</f>
        <v>36.808591858426496</v>
      </c>
      <c r="AR12" s="450">
        <f>'C4-Sources'!BC13/'C4-Sources'!G13*100</f>
        <v>14.040884445374951</v>
      </c>
      <c r="AS12" s="450">
        <f>'C4-Sources'!BK13/'C4-Sources'!G13*100</f>
        <v>0.60903878524262312</v>
      </c>
      <c r="AT12" s="450">
        <f>100-SUM(AM12:AS12)</f>
        <v>8.5575440080789349</v>
      </c>
      <c r="AV12" s="450">
        <f>'C4-Sources'!P13/'C4-Sources'!H13*100</f>
        <v>2.7456927785964851</v>
      </c>
      <c r="AW12" s="450">
        <f>'C4-Sources'!X13/'C4-Sources'!H13*100</f>
        <v>6.333631781072155</v>
      </c>
      <c r="AX12" s="450">
        <f>'C4-Sources'!AF13/'C4-Sources'!H13*100</f>
        <v>20.169252281907394</v>
      </c>
      <c r="AY12" s="450">
        <f>'C4-Sources'!AN13/'C4-Sources'!H13*100</f>
        <v>3.6481595336024983</v>
      </c>
      <c r="AZ12" s="450">
        <f>'C4-Sources'!AV13/'C4-Sources'!H13*100</f>
        <v>41.999560541888137</v>
      </c>
      <c r="BA12" s="450">
        <f>'C4-Sources'!BD13/'C4-Sources'!H13*100</f>
        <v>15.5585447307</v>
      </c>
      <c r="BB12" s="450">
        <f>'C4-Sources'!BL13/'C4-Sources'!H13*100</f>
        <v>0.24095759804569358</v>
      </c>
      <c r="BC12" s="450">
        <f>100-SUM(AV12:BB12)</f>
        <v>9.304200754187633</v>
      </c>
      <c r="BD12" s="453"/>
      <c r="BE12" s="453"/>
      <c r="BF12" s="453"/>
      <c r="BG12" s="453"/>
      <c r="BH12" s="454"/>
      <c r="BI12" s="452"/>
      <c r="BJ12" s="452"/>
    </row>
    <row r="13" spans="1:62" s="173" customFormat="1" ht="12" x14ac:dyDescent="0.25">
      <c r="A13" s="239">
        <v>1967</v>
      </c>
      <c r="B13" s="449"/>
      <c r="C13" s="450">
        <f>'C4-Sources'!K14/'C4-Sources'!C14*100</f>
        <v>41.291965352428385</v>
      </c>
      <c r="D13" s="450">
        <f>'C4-Sources'!S14/'C4-Sources'!C14*100</f>
        <v>15.110320386118792</v>
      </c>
      <c r="E13" s="450">
        <f>'C4-Sources'!AA14/'C4-Sources'!C14*100</f>
        <v>6.233201740584895</v>
      </c>
      <c r="F13" s="450">
        <f>'C4-Sources'!AI14/'C4-Sources'!C14*100</f>
        <v>3.6670021427482666</v>
      </c>
      <c r="G13" s="450">
        <f>'C4-Sources'!AQ14/'C4-Sources'!C14*100</f>
        <v>11.925685723454347</v>
      </c>
      <c r="H13" s="450">
        <f>'C4-Sources'!AY14/'C4-Sources'!C14*100</f>
        <v>6.34932572283215</v>
      </c>
      <c r="I13" s="450">
        <f>'C4-Sources'!BG14/'C4-Sources'!C14*100</f>
        <v>2.9718289219729384</v>
      </c>
      <c r="J13" s="450">
        <f t="shared" ref="J13:J61" si="0">100-SUM(C13:I13)</f>
        <v>12.450670009860218</v>
      </c>
      <c r="L13" s="450">
        <f>'C4-Sources'!L14/'C4-Sources'!D14*100</f>
        <v>32.356063143373731</v>
      </c>
      <c r="M13" s="450">
        <f>'C4-Sources'!T14/'C4-Sources'!D14*100</f>
        <v>17.326280400723242</v>
      </c>
      <c r="N13" s="450">
        <f>'C4-Sources'!AB14/'C4-Sources'!D14*100</f>
        <v>8.3034041300849868</v>
      </c>
      <c r="O13" s="450">
        <f>'C4-Sources'!AJ14/'C4-Sources'!D14*100</f>
        <v>4.2871479320384918</v>
      </c>
      <c r="P13" s="450">
        <f>'C4-Sources'!AR14/'C4-Sources'!D14*100</f>
        <v>15.588337815063127</v>
      </c>
      <c r="Q13" s="450">
        <f>'C4-Sources'!AZ14/'C4-Sources'!D14*100</f>
        <v>7.574482151772477</v>
      </c>
      <c r="R13" s="450">
        <f>'C4-Sources'!BH14/'C4-Sources'!D14*100</f>
        <v>2.419016222925769</v>
      </c>
      <c r="S13" s="450">
        <f t="shared" ref="S13:S60" si="1">100-SUM(L13:R13)</f>
        <v>12.145268204018194</v>
      </c>
      <c r="U13" s="450">
        <f>'C4-Sources'!M14/'C4-Sources'!E14*100</f>
        <v>16.5016347622268</v>
      </c>
      <c r="V13" s="450">
        <f>'C4-Sources'!U14/'C4-Sources'!E14*100</f>
        <v>17.063353538931658</v>
      </c>
      <c r="W13" s="450">
        <f>'C4-Sources'!AC14/'C4-Sources'!E14*100</f>
        <v>13.481434307209653</v>
      </c>
      <c r="X13" s="450">
        <f>'C4-Sources'!AK14/'C4-Sources'!E14*100</f>
        <v>5.4414513025047482</v>
      </c>
      <c r="Y13" s="450">
        <f>'C4-Sources'!AS14/'C4-Sources'!E14*100</f>
        <v>24.525571799903247</v>
      </c>
      <c r="Z13" s="450">
        <f>'C4-Sources'!BA14/'C4-Sources'!E14*100</f>
        <v>10.619451558760161</v>
      </c>
      <c r="AA13" s="450">
        <f>'C4-Sources'!BI14/'C4-Sources'!E14*100</f>
        <v>1.4360334309279668</v>
      </c>
      <c r="AB13" s="450">
        <f t="shared" ref="AB13:AB61" si="2">100-SUM(U13:AA13)</f>
        <v>10.931069299535778</v>
      </c>
      <c r="AD13" s="450">
        <f>'C4-Sources'!N14/'C4-Sources'!F14*100</f>
        <v>13.000653793588754</v>
      </c>
      <c r="AE13" s="450">
        <f>'C4-Sources'!V14/'C4-Sources'!F14*100</f>
        <v>14.649803733381022</v>
      </c>
      <c r="AF13" s="450">
        <f>'C4-Sources'!AD14/'C4-Sources'!F14*100</f>
        <v>15.416228963828008</v>
      </c>
      <c r="AG13" s="450">
        <f>'C4-Sources'!AL14/'C4-Sources'!F14*100</f>
        <v>5.4394145270733212</v>
      </c>
      <c r="AH13" s="450">
        <f>'C4-Sources'!AT14/'C4-Sources'!F14*100</f>
        <v>28.080105764328056</v>
      </c>
      <c r="AI13" s="450">
        <f>'C4-Sources'!BB14/'C4-Sources'!F14*100</f>
        <v>11.854894259436369</v>
      </c>
      <c r="AJ13" s="450">
        <f>'C4-Sources'!BJ14/'C4-Sources'!F14*100</f>
        <v>1.1398942860044696</v>
      </c>
      <c r="AK13" s="450">
        <f t="shared" ref="AK13:AK61" si="3">100-SUM(AD13:AJ13)</f>
        <v>10.419004672360018</v>
      </c>
      <c r="AM13" s="450">
        <f>'C4-Sources'!O14/'C4-Sources'!G14*100</f>
        <v>7.0978419248253948</v>
      </c>
      <c r="AN13" s="450">
        <f>'C4-Sources'!W14/'C4-Sources'!G14*100</f>
        <v>10.327520535074951</v>
      </c>
      <c r="AO13" s="450">
        <f>'C4-Sources'!AE14/'C4-Sources'!G14*100</f>
        <v>18.659673925602156</v>
      </c>
      <c r="AP13" s="450">
        <f>'C4-Sources'!AM14/'C4-Sources'!G14*100</f>
        <v>4.9431181391673542</v>
      </c>
      <c r="AQ13" s="450">
        <f>'C4-Sources'!AU14/'C4-Sources'!G14*100</f>
        <v>34.157169576798161</v>
      </c>
      <c r="AR13" s="450">
        <f>'C4-Sources'!BC14/'C4-Sources'!G14*100</f>
        <v>13.923085270803096</v>
      </c>
      <c r="AS13" s="450">
        <f>'C4-Sources'!BK14/'C4-Sources'!G14*100</f>
        <v>0.72409915141770687</v>
      </c>
      <c r="AT13" s="450">
        <f t="shared" ref="AT13:AT61" si="4">100-SUM(AM13:AS13)</f>
        <v>10.167491476311184</v>
      </c>
      <c r="AV13" s="450">
        <f>'C4-Sources'!P14/'C4-Sources'!H14*100</f>
        <v>3.0197874775967604</v>
      </c>
      <c r="AW13" s="450">
        <f>'C4-Sources'!X14/'C4-Sources'!H14*100</f>
        <v>6.8290746635430626</v>
      </c>
      <c r="AX13" s="450">
        <f>'C4-Sources'!AF14/'C4-Sources'!H14*100</f>
        <v>20.607619206166238</v>
      </c>
      <c r="AY13" s="450">
        <f>'C4-Sources'!AN14/'C4-Sources'!H14*100</f>
        <v>4.1086111189965333</v>
      </c>
      <c r="AZ13" s="450">
        <f>'C4-Sources'!AV14/'C4-Sources'!H14*100</f>
        <v>38.846224636660146</v>
      </c>
      <c r="BA13" s="450">
        <f>'C4-Sources'!BD14/'C4-Sources'!H14*100</f>
        <v>15.466186522461006</v>
      </c>
      <c r="BB13" s="450">
        <f>'C4-Sources'!BL14/'C4-Sources'!H14*100</f>
        <v>0.27392981629402663</v>
      </c>
      <c r="BC13" s="450">
        <f t="shared" ref="BC13:BC61" si="5">100-SUM(AV13:BB13)</f>
        <v>10.848566558282229</v>
      </c>
      <c r="BD13" s="453"/>
      <c r="BE13" s="453"/>
      <c r="BF13" s="453"/>
      <c r="BG13" s="453"/>
      <c r="BH13" s="454"/>
      <c r="BI13" s="452"/>
      <c r="BJ13" s="452"/>
    </row>
    <row r="14" spans="1:62" s="173" customFormat="1" ht="12" x14ac:dyDescent="0.25">
      <c r="A14" s="239">
        <v>1968</v>
      </c>
      <c r="B14" s="449"/>
      <c r="C14" s="450">
        <f>'C4-Sources'!K15/'C4-Sources'!C15*100</f>
        <v>41.507065885630411</v>
      </c>
      <c r="D14" s="450">
        <f>'C4-Sources'!S15/'C4-Sources'!C15*100</f>
        <v>15.096529565431805</v>
      </c>
      <c r="E14" s="450">
        <f>'C4-Sources'!AA15/'C4-Sources'!C15*100</f>
        <v>6.2823166994942765</v>
      </c>
      <c r="F14" s="450">
        <f>'C4-Sources'!AI15/'C4-Sources'!C15*100</f>
        <v>3.7818280354019254</v>
      </c>
      <c r="G14" s="450">
        <f>'C4-Sources'!AQ15/'C4-Sources'!C15*100</f>
        <v>10.726553014109843</v>
      </c>
      <c r="H14" s="450">
        <f>'C4-Sources'!AY15/'C4-Sources'!C15*100</f>
        <v>7.1166088430133794</v>
      </c>
      <c r="I14" s="450">
        <f>'C4-Sources'!BG15/'C4-Sources'!C15*100</f>
        <v>2.8389994001800671</v>
      </c>
      <c r="J14" s="450">
        <f t="shared" si="0"/>
        <v>12.650098556738286</v>
      </c>
      <c r="L14" s="450">
        <f>'C4-Sources'!L15/'C4-Sources'!D15*100</f>
        <v>32.415609766674343</v>
      </c>
      <c r="M14" s="450">
        <f>'C4-Sources'!T15/'C4-Sources'!D15*100</f>
        <v>17.407224827252847</v>
      </c>
      <c r="N14" s="450">
        <f>'C4-Sources'!AB15/'C4-Sources'!D15*100</f>
        <v>8.3493579389940251</v>
      </c>
      <c r="O14" s="450">
        <f>'C4-Sources'!AJ15/'C4-Sources'!D15*100</f>
        <v>4.4915083502249074</v>
      </c>
      <c r="P14" s="450">
        <f>'C4-Sources'!AR15/'C4-Sources'!D15*100</f>
        <v>13.992282440118911</v>
      </c>
      <c r="Q14" s="450">
        <f>'C4-Sources'!AZ15/'C4-Sources'!D15*100</f>
        <v>8.5392123134152129</v>
      </c>
      <c r="R14" s="450">
        <f>'C4-Sources'!BH15/'C4-Sources'!D15*100</f>
        <v>2.3712594401471292</v>
      </c>
      <c r="S14" s="450">
        <f t="shared" si="1"/>
        <v>12.433544923172633</v>
      </c>
      <c r="U14" s="450">
        <f>'C4-Sources'!M15/'C4-Sources'!E15*100</f>
        <v>16.204699735809079</v>
      </c>
      <c r="V14" s="450">
        <f>'C4-Sources'!U15/'C4-Sources'!E15*100</f>
        <v>18.02912321460763</v>
      </c>
      <c r="W14" s="450">
        <f>'C4-Sources'!AC15/'C4-Sources'!E15*100</f>
        <v>13.329089912886982</v>
      </c>
      <c r="X14" s="450">
        <f>'C4-Sources'!AK15/'C4-Sources'!E15*100</f>
        <v>5.5448103339180399</v>
      </c>
      <c r="Y14" s="450">
        <f>'C4-Sources'!AS15/'C4-Sources'!E15*100</f>
        <v>21.85761152162727</v>
      </c>
      <c r="Z14" s="450">
        <f>'C4-Sources'!BA15/'C4-Sources'!E15*100</f>
        <v>11.963415741244447</v>
      </c>
      <c r="AA14" s="450">
        <f>'C4-Sources'!BI15/'C4-Sources'!E15*100</f>
        <v>1.2746576709786954</v>
      </c>
      <c r="AB14" s="450">
        <f t="shared" si="2"/>
        <v>11.796591868927862</v>
      </c>
      <c r="AD14" s="450">
        <f>'C4-Sources'!N15/'C4-Sources'!F15*100</f>
        <v>12.872267076719272</v>
      </c>
      <c r="AE14" s="450">
        <f>'C4-Sources'!V15/'C4-Sources'!F15*100</f>
        <v>15.691876692241081</v>
      </c>
      <c r="AF14" s="450">
        <f>'C4-Sources'!AD15/'C4-Sources'!F15*100</f>
        <v>15.20784754402375</v>
      </c>
      <c r="AG14" s="450">
        <f>'C4-Sources'!AL15/'C4-Sources'!F15*100</f>
        <v>5.5039235723778157</v>
      </c>
      <c r="AH14" s="450">
        <f>'C4-Sources'!AT15/'C4-Sources'!F15*100</f>
        <v>24.910784022338071</v>
      </c>
      <c r="AI14" s="450">
        <f>'C4-Sources'!BB15/'C4-Sources'!F15*100</f>
        <v>13.330740123798893</v>
      </c>
      <c r="AJ14" s="450">
        <f>'C4-Sources'!BJ15/'C4-Sources'!F15*100</f>
        <v>1.0448381893475045</v>
      </c>
      <c r="AK14" s="450">
        <f t="shared" si="3"/>
        <v>11.437722779153617</v>
      </c>
      <c r="AM14" s="450">
        <f>'C4-Sources'!O15/'C4-Sources'!G15*100</f>
        <v>6.9618383663310954</v>
      </c>
      <c r="AN14" s="450">
        <f>'C4-Sources'!W15/'C4-Sources'!G15*100</f>
        <v>10.626894522660988</v>
      </c>
      <c r="AO14" s="450">
        <f>'C4-Sources'!AE15/'C4-Sources'!G15*100</f>
        <v>18.79195929260149</v>
      </c>
      <c r="AP14" s="450">
        <f>'C4-Sources'!AM15/'C4-Sources'!G15*100</f>
        <v>4.9526557606546344</v>
      </c>
      <c r="AQ14" s="450">
        <f>'C4-Sources'!AU15/'C4-Sources'!G15*100</f>
        <v>30.741210050843758</v>
      </c>
      <c r="AR14" s="450">
        <f>'C4-Sources'!BC15/'C4-Sources'!G15*100</f>
        <v>15.913706531331007</v>
      </c>
      <c r="AS14" s="450">
        <f>'C4-Sources'!BK15/'C4-Sources'!G15*100</f>
        <v>0.62881312787195554</v>
      </c>
      <c r="AT14" s="450">
        <f t="shared" si="4"/>
        <v>11.382922347705076</v>
      </c>
      <c r="AV14" s="450">
        <f>'C4-Sources'!P15/'C4-Sources'!H15*100</f>
        <v>3.2149762460438351</v>
      </c>
      <c r="AW14" s="450">
        <f>'C4-Sources'!X15/'C4-Sources'!H15*100</f>
        <v>8.0582594647315524</v>
      </c>
      <c r="AX14" s="450">
        <f>'C4-Sources'!AF15/'C4-Sources'!H15*100</f>
        <v>19.809447218274109</v>
      </c>
      <c r="AY14" s="450">
        <f>'C4-Sources'!AN15/'C4-Sources'!H15*100</f>
        <v>4.4555580133930404</v>
      </c>
      <c r="AZ14" s="450">
        <f>'C4-Sources'!AV15/'C4-Sources'!H15*100</f>
        <v>34.283488095150183</v>
      </c>
      <c r="BA14" s="450">
        <f>'C4-Sources'!BD15/'C4-Sources'!H15*100</f>
        <v>17.468801623009121</v>
      </c>
      <c r="BB14" s="450">
        <f>'C4-Sources'!BL15/'C4-Sources'!H15*100</f>
        <v>0.2843630405026995</v>
      </c>
      <c r="BC14" s="450">
        <f t="shared" si="5"/>
        <v>12.425106298895471</v>
      </c>
      <c r="BD14" s="453"/>
      <c r="BE14" s="453"/>
      <c r="BF14" s="453"/>
      <c r="BG14" s="453"/>
      <c r="BH14" s="454"/>
      <c r="BI14" s="452"/>
      <c r="BJ14" s="452"/>
    </row>
    <row r="15" spans="1:62" s="173" customFormat="1" ht="12" x14ac:dyDescent="0.25">
      <c r="A15" s="239">
        <v>1969</v>
      </c>
      <c r="B15" s="449"/>
      <c r="C15" s="450">
        <f>'C4-Sources'!K16/'C4-Sources'!C16*100</f>
        <v>44.100908241270936</v>
      </c>
      <c r="D15" s="450">
        <f>'C4-Sources'!S16/'C4-Sources'!C16*100</f>
        <v>14.802240112149567</v>
      </c>
      <c r="E15" s="450">
        <f>'C4-Sources'!AA16/'C4-Sources'!C16*100</f>
        <v>5.8827060472792994</v>
      </c>
      <c r="F15" s="450">
        <f>'C4-Sources'!AI16/'C4-Sources'!C16*100</f>
        <v>4.0125456180352765</v>
      </c>
      <c r="G15" s="450">
        <f>'C4-Sources'!AQ16/'C4-Sources'!C16*100</f>
        <v>8.6395562897994402</v>
      </c>
      <c r="H15" s="450">
        <f>'C4-Sources'!AY16/'C4-Sources'!C16*100</f>
        <v>6.2505827127090487</v>
      </c>
      <c r="I15" s="450">
        <f>'C4-Sources'!BG16/'C4-Sources'!C16*100</f>
        <v>3.252695244459515</v>
      </c>
      <c r="J15" s="450">
        <f t="shared" si="0"/>
        <v>13.058765734296912</v>
      </c>
      <c r="L15" s="450">
        <f>'C4-Sources'!L16/'C4-Sources'!D16*100</f>
        <v>34.972610218698748</v>
      </c>
      <c r="M15" s="450">
        <f>'C4-Sources'!T16/'C4-Sources'!D16*100</f>
        <v>17.310003883964733</v>
      </c>
      <c r="N15" s="450">
        <f>'C4-Sources'!AB16/'C4-Sources'!D16*100</f>
        <v>8.0265446449317981</v>
      </c>
      <c r="O15" s="450">
        <f>'C4-Sources'!AJ16/'C4-Sources'!D16*100</f>
        <v>4.8196607617564986</v>
      </c>
      <c r="P15" s="450">
        <f>'C4-Sources'!AR16/'C4-Sources'!D16*100</f>
        <v>11.546539622062669</v>
      </c>
      <c r="Q15" s="450">
        <f>'C4-Sources'!AZ16/'C4-Sources'!D16*100</f>
        <v>7.5481027877818034</v>
      </c>
      <c r="R15" s="450">
        <f>'C4-Sources'!BH16/'C4-Sources'!D16*100</f>
        <v>2.7924162537056345</v>
      </c>
      <c r="S15" s="450">
        <f t="shared" si="1"/>
        <v>12.984121827098122</v>
      </c>
      <c r="U15" s="450">
        <f>'C4-Sources'!M16/'C4-Sources'!E16*100</f>
        <v>18.844673816090605</v>
      </c>
      <c r="V15" s="450">
        <f>'C4-Sources'!U16/'C4-Sources'!E16*100</f>
        <v>18.540378864789041</v>
      </c>
      <c r="W15" s="450">
        <f>'C4-Sources'!AC16/'C4-Sources'!E16*100</f>
        <v>12.990291385770799</v>
      </c>
      <c r="X15" s="450">
        <f>'C4-Sources'!AK16/'C4-Sources'!E16*100</f>
        <v>6.3326619091579248</v>
      </c>
      <c r="Y15" s="450">
        <f>'C4-Sources'!AS16/'C4-Sources'!E16*100</f>
        <v>18.524079340829125</v>
      </c>
      <c r="Z15" s="450">
        <f>'C4-Sources'!BA16/'C4-Sources'!E16*100</f>
        <v>10.666498278492242</v>
      </c>
      <c r="AA15" s="450">
        <f>'C4-Sources'!BI16/'C4-Sources'!E16*100</f>
        <v>1.9551157078546992</v>
      </c>
      <c r="AB15" s="450">
        <f t="shared" si="2"/>
        <v>12.146300697015562</v>
      </c>
      <c r="AD15" s="450">
        <f>'C4-Sources'!N16/'C4-Sources'!F16*100</f>
        <v>15.057082739663121</v>
      </c>
      <c r="AE15" s="450">
        <f>'C4-Sources'!V16/'C4-Sources'!F16*100</f>
        <v>16.41384006121379</v>
      </c>
      <c r="AF15" s="450">
        <f>'C4-Sources'!AD16/'C4-Sources'!F16*100</f>
        <v>14.988299047149672</v>
      </c>
      <c r="AG15" s="450">
        <f>'C4-Sources'!AL16/'C4-Sources'!F16*100</f>
        <v>6.4890571318364305</v>
      </c>
      <c r="AH15" s="450">
        <f>'C4-Sources'!AT16/'C4-Sources'!F16*100</f>
        <v>21.511676952752779</v>
      </c>
      <c r="AI15" s="450">
        <f>'C4-Sources'!BB16/'C4-Sources'!F16*100</f>
        <v>12.032483261521117</v>
      </c>
      <c r="AJ15" s="450">
        <f>'C4-Sources'!BJ16/'C4-Sources'!F16*100</f>
        <v>1.8420195275613682</v>
      </c>
      <c r="AK15" s="450">
        <f t="shared" si="3"/>
        <v>11.665541278301717</v>
      </c>
      <c r="AM15" s="450">
        <f>'C4-Sources'!O16/'C4-Sources'!G16*100</f>
        <v>9.0609479990690307</v>
      </c>
      <c r="AN15" s="450">
        <f>'C4-Sources'!W16/'C4-Sources'!G16*100</f>
        <v>11.535249064980908</v>
      </c>
      <c r="AO15" s="450">
        <f>'C4-Sources'!AE16/'C4-Sources'!G16*100</f>
        <v>18.325124574540983</v>
      </c>
      <c r="AP15" s="450">
        <f>'C4-Sources'!AM16/'C4-Sources'!G16*100</f>
        <v>6.2330942783179752</v>
      </c>
      <c r="AQ15" s="450">
        <f>'C4-Sources'!AU16/'C4-Sources'!G16*100</f>
        <v>27.352748899629169</v>
      </c>
      <c r="AR15" s="450">
        <f>'C4-Sources'!BC16/'C4-Sources'!G16*100</f>
        <v>14.68005592897012</v>
      </c>
      <c r="AS15" s="450">
        <f>'C4-Sources'!BK16/'C4-Sources'!G16*100</f>
        <v>1.5389297387740484</v>
      </c>
      <c r="AT15" s="450">
        <f t="shared" si="4"/>
        <v>11.273849515717757</v>
      </c>
      <c r="AV15" s="450">
        <f>'C4-Sources'!P16/'C4-Sources'!H16*100</f>
        <v>4.1586187367750664</v>
      </c>
      <c r="AW15" s="450">
        <f>'C4-Sources'!X16/'C4-Sources'!H16*100</f>
        <v>8.0182358099594015</v>
      </c>
      <c r="AX15" s="450">
        <f>'C4-Sources'!AF16/'C4-Sources'!H16*100</f>
        <v>20.01242848061441</v>
      </c>
      <c r="AY15" s="450">
        <f>'C4-Sources'!AN16/'C4-Sources'!H16*100</f>
        <v>5.4597059460975883</v>
      </c>
      <c r="AZ15" s="450">
        <f>'C4-Sources'!AV16/'C4-Sources'!H16*100</f>
        <v>32.062137067516737</v>
      </c>
      <c r="BA15" s="450">
        <f>'C4-Sources'!BD16/'C4-Sources'!H16*100</f>
        <v>16.768123509426129</v>
      </c>
      <c r="BB15" s="450">
        <f>'C4-Sources'!BL16/'C4-Sources'!H16*100</f>
        <v>1.0193013323455573</v>
      </c>
      <c r="BC15" s="450">
        <f t="shared" si="5"/>
        <v>12.501449117265111</v>
      </c>
      <c r="BD15" s="453"/>
      <c r="BE15" s="453"/>
      <c r="BF15" s="453"/>
      <c r="BG15" s="453"/>
      <c r="BH15" s="454"/>
      <c r="BI15" s="452"/>
      <c r="BJ15" s="452"/>
    </row>
    <row r="16" spans="1:62" s="173" customFormat="1" ht="12" x14ac:dyDescent="0.25">
      <c r="A16" s="239">
        <v>1970</v>
      </c>
      <c r="B16" s="449"/>
      <c r="C16" s="450">
        <f>'C4-Sources'!K17/'C4-Sources'!C17*100</f>
        <v>46.504189237121203</v>
      </c>
      <c r="D16" s="450">
        <f>'C4-Sources'!S17/'C4-Sources'!C17*100</f>
        <v>14.728128380201907</v>
      </c>
      <c r="E16" s="450">
        <f>'C4-Sources'!AA17/'C4-Sources'!C17*100</f>
        <v>5.5480920867110353</v>
      </c>
      <c r="F16" s="450">
        <f>'C4-Sources'!AI17/'C4-Sources'!C17*100</f>
        <v>4.4742386286380702</v>
      </c>
      <c r="G16" s="450">
        <f>'C4-Sources'!AQ17/'C4-Sources'!C17*100</f>
        <v>6.4441629807585414</v>
      </c>
      <c r="H16" s="450">
        <f>'C4-Sources'!AY17/'C4-Sources'!C17*100</f>
        <v>4.9886791935867407</v>
      </c>
      <c r="I16" s="450">
        <f>'C4-Sources'!BG17/'C4-Sources'!C17*100</f>
        <v>3.5730752079533952</v>
      </c>
      <c r="J16" s="450">
        <f t="shared" si="0"/>
        <v>13.73943428502912</v>
      </c>
      <c r="L16" s="450">
        <f>'C4-Sources'!L17/'C4-Sources'!D17*100</f>
        <v>37.886604682302782</v>
      </c>
      <c r="M16" s="450">
        <f>'C4-Sources'!T17/'C4-Sources'!D17*100</f>
        <v>17.714740823411475</v>
      </c>
      <c r="N16" s="450">
        <f>'C4-Sources'!AB17/'C4-Sources'!D17*100</f>
        <v>7.5150035944768661</v>
      </c>
      <c r="O16" s="450">
        <f>'C4-Sources'!AJ17/'C4-Sources'!D17*100</f>
        <v>5.4728744399395328</v>
      </c>
      <c r="P16" s="450">
        <f>'C4-Sources'!AR17/'C4-Sources'!D17*100</f>
        <v>8.5444535757198068</v>
      </c>
      <c r="Q16" s="450">
        <f>'C4-Sources'!AZ17/'C4-Sources'!D17*100</f>
        <v>5.9825554971670574</v>
      </c>
      <c r="R16" s="450">
        <f>'C4-Sources'!BH17/'C4-Sources'!D17*100</f>
        <v>3.0898288551301141</v>
      </c>
      <c r="S16" s="450">
        <f t="shared" si="1"/>
        <v>13.793938531852362</v>
      </c>
      <c r="U16" s="450">
        <f>'C4-Sources'!M17/'C4-Sources'!E17*100</f>
        <v>20.240027178668836</v>
      </c>
      <c r="V16" s="450">
        <f>'C4-Sources'!U17/'C4-Sources'!E17*100</f>
        <v>20.663835140277907</v>
      </c>
      <c r="W16" s="450">
        <f>'C4-Sources'!AC17/'C4-Sources'!E17*100</f>
        <v>12.957624226453202</v>
      </c>
      <c r="X16" s="450">
        <f>'C4-Sources'!AK17/'C4-Sources'!E17*100</f>
        <v>7.4386829322069126</v>
      </c>
      <c r="Y16" s="450">
        <f>'C4-Sources'!AS17/'C4-Sources'!E17*100</f>
        <v>14.3588607359312</v>
      </c>
      <c r="Z16" s="450">
        <f>'C4-Sources'!BA17/'C4-Sources'!E17*100</f>
        <v>8.7037153824273776</v>
      </c>
      <c r="AA16" s="450">
        <f>'C4-Sources'!BI17/'C4-Sources'!E17*100</f>
        <v>1.8924590180188099</v>
      </c>
      <c r="AB16" s="450">
        <f t="shared" si="2"/>
        <v>13.744795386015753</v>
      </c>
      <c r="AD16" s="450">
        <f>'C4-Sources'!N17/'C4-Sources'!F17*100</f>
        <v>15.835702061270151</v>
      </c>
      <c r="AE16" s="450">
        <f>'C4-Sources'!V17/'C4-Sources'!F17*100</f>
        <v>19.008896788509464</v>
      </c>
      <c r="AF16" s="450">
        <f>'C4-Sources'!AD17/'C4-Sources'!F17*100</f>
        <v>15.293753852534786</v>
      </c>
      <c r="AG16" s="450">
        <f>'C4-Sources'!AL17/'C4-Sources'!F17*100</f>
        <v>7.9132587354924286</v>
      </c>
      <c r="AH16" s="450">
        <f>'C4-Sources'!AT17/'C4-Sources'!F17*100</f>
        <v>16.957254581320058</v>
      </c>
      <c r="AI16" s="450">
        <f>'C4-Sources'!BB17/'C4-Sources'!F17*100</f>
        <v>9.9770446254692331</v>
      </c>
      <c r="AJ16" s="450">
        <f>'C4-Sources'!BJ17/'C4-Sources'!F17*100</f>
        <v>1.5887439982493725</v>
      </c>
      <c r="AK16" s="450">
        <f t="shared" si="3"/>
        <v>13.425345357154512</v>
      </c>
      <c r="AM16" s="450">
        <f>'C4-Sources'!O17/'C4-Sources'!G17*100</f>
        <v>9.3379425585691909</v>
      </c>
      <c r="AN16" s="450">
        <f>'C4-Sources'!W17/'C4-Sources'!G17*100</f>
        <v>14.296856885467593</v>
      </c>
      <c r="AO16" s="450">
        <f>'C4-Sources'!AE17/'C4-Sources'!G17*100</f>
        <v>19.634018086413647</v>
      </c>
      <c r="AP16" s="450">
        <f>'C4-Sources'!AM17/'C4-Sources'!G17*100</f>
        <v>7.8882790865652543</v>
      </c>
      <c r="AQ16" s="450">
        <f>'C4-Sources'!AU17/'C4-Sources'!G17*100</f>
        <v>22.299193291176639</v>
      </c>
      <c r="AR16" s="450">
        <f>'C4-Sources'!BC17/'C4-Sources'!G17*100</f>
        <v>12.542631691404516</v>
      </c>
      <c r="AS16" s="450">
        <f>'C4-Sources'!BK17/'C4-Sources'!G17*100</f>
        <v>0.95587003954709393</v>
      </c>
      <c r="AT16" s="450">
        <f t="shared" si="4"/>
        <v>13.045208360856051</v>
      </c>
      <c r="AV16" s="450">
        <f>'C4-Sources'!P17/'C4-Sources'!H17*100</f>
        <v>3.7682793815747502</v>
      </c>
      <c r="AW16" s="450">
        <f>'C4-Sources'!X17/'C4-Sources'!H17*100</f>
        <v>10.110380031008894</v>
      </c>
      <c r="AX16" s="450">
        <f>'C4-Sources'!AF17/'C4-Sources'!H17*100</f>
        <v>22.905197964861557</v>
      </c>
      <c r="AY16" s="450">
        <f>'C4-Sources'!AN17/'C4-Sources'!H17*100</f>
        <v>7.0054220659301212</v>
      </c>
      <c r="AZ16" s="450">
        <f>'C4-Sources'!AV17/'C4-Sources'!H17*100</f>
        <v>26.872096014781231</v>
      </c>
      <c r="BA16" s="450">
        <f>'C4-Sources'!BD17/'C4-Sources'!H17*100</f>
        <v>14.659598512748451</v>
      </c>
      <c r="BB16" s="450">
        <f>'C4-Sources'!BL17/'C4-Sources'!H17*100</f>
        <v>0.4176100528507638</v>
      </c>
      <c r="BC16" s="450">
        <f t="shared" si="5"/>
        <v>14.261415976244237</v>
      </c>
      <c r="BD16" s="453"/>
      <c r="BE16" s="453"/>
      <c r="BF16" s="453"/>
      <c r="BG16" s="453"/>
      <c r="BH16" s="454"/>
      <c r="BI16" s="452"/>
      <c r="BJ16" s="452"/>
    </row>
    <row r="17" spans="1:62" s="173" customFormat="1" ht="12" x14ac:dyDescent="0.25">
      <c r="A17" s="239">
        <v>1971</v>
      </c>
      <c r="B17" s="449"/>
      <c r="C17" s="450">
        <f>'C4-Sources'!K18/'C4-Sources'!C18*100</f>
        <v>45.031099447054871</v>
      </c>
      <c r="D17" s="450">
        <f>'C4-Sources'!S18/'C4-Sources'!C18*100</f>
        <v>14.437526414589087</v>
      </c>
      <c r="E17" s="450">
        <f>'C4-Sources'!AA18/'C4-Sources'!C18*100</f>
        <v>5.1915093504493592</v>
      </c>
      <c r="F17" s="450">
        <f>'C4-Sources'!AI18/'C4-Sources'!C18*100</f>
        <v>4.6627035918069204</v>
      </c>
      <c r="G17" s="450">
        <f>'C4-Sources'!AQ18/'C4-Sources'!C18*100</f>
        <v>8.179473922728544</v>
      </c>
      <c r="H17" s="450">
        <f>'C4-Sources'!AY18/'C4-Sources'!C18*100</f>
        <v>5.2163736462086874</v>
      </c>
      <c r="I17" s="450">
        <f>'C4-Sources'!BG18/'C4-Sources'!C18*100</f>
        <v>3.6864691960626148</v>
      </c>
      <c r="J17" s="450">
        <f t="shared" si="0"/>
        <v>13.594844431099901</v>
      </c>
      <c r="L17" s="450">
        <f>'C4-Sources'!L18/'C4-Sources'!D18*100</f>
        <v>36.310915768199848</v>
      </c>
      <c r="M17" s="450">
        <f>'C4-Sources'!T18/'C4-Sources'!D18*100</f>
        <v>17.390925320648716</v>
      </c>
      <c r="N17" s="450">
        <f>'C4-Sources'!AB18/'C4-Sources'!D18*100</f>
        <v>7.003384975287136</v>
      </c>
      <c r="O17" s="450">
        <f>'C4-Sources'!AJ18/'C4-Sources'!D18*100</f>
        <v>5.6325292214308931</v>
      </c>
      <c r="P17" s="450">
        <f>'C4-Sources'!AR18/'C4-Sources'!D18*100</f>
        <v>10.765553374734845</v>
      </c>
      <c r="Q17" s="450">
        <f>'C4-Sources'!AZ18/'C4-Sources'!D18*100</f>
        <v>6.2374266942593897</v>
      </c>
      <c r="R17" s="450">
        <f>'C4-Sources'!BH18/'C4-Sources'!D18*100</f>
        <v>3.1441440148653097</v>
      </c>
      <c r="S17" s="450">
        <f t="shared" si="1"/>
        <v>13.515120630573861</v>
      </c>
      <c r="U17" s="450">
        <f>'C4-Sources'!M18/'C4-Sources'!E18*100</f>
        <v>19.214632984662405</v>
      </c>
      <c r="V17" s="450">
        <f>'C4-Sources'!U18/'C4-Sources'!E18*100</f>
        <v>19.77087311682503</v>
      </c>
      <c r="W17" s="450">
        <f>'C4-Sources'!AC18/'C4-Sources'!E18*100</f>
        <v>11.851971044869524</v>
      </c>
      <c r="X17" s="450">
        <f>'C4-Sources'!AK18/'C4-Sources'!E18*100</f>
        <v>7.467158955764849</v>
      </c>
      <c r="Y17" s="450">
        <f>'C4-Sources'!AS18/'C4-Sources'!E18*100</f>
        <v>17.659116922761644</v>
      </c>
      <c r="Z17" s="450">
        <f>'C4-Sources'!BA18/'C4-Sources'!E18*100</f>
        <v>8.9520486811400435</v>
      </c>
      <c r="AA17" s="450">
        <f>'C4-Sources'!BI18/'C4-Sources'!E18*100</f>
        <v>1.8752008859609166</v>
      </c>
      <c r="AB17" s="450">
        <f t="shared" si="2"/>
        <v>13.208997408015591</v>
      </c>
      <c r="AD17" s="450">
        <f>'C4-Sources'!N18/'C4-Sources'!F18*100</f>
        <v>14.570854247741478</v>
      </c>
      <c r="AE17" s="450">
        <f>'C4-Sources'!V18/'C4-Sources'!F18*100</f>
        <v>18.70501269756436</v>
      </c>
      <c r="AF17" s="450">
        <f>'C4-Sources'!AD18/'C4-Sources'!F18*100</f>
        <v>13.724358004999541</v>
      </c>
      <c r="AG17" s="450">
        <f>'C4-Sources'!AL18/'C4-Sources'!F18*100</f>
        <v>7.7026464620047568</v>
      </c>
      <c r="AH17" s="450">
        <f>'C4-Sources'!AT18/'C4-Sources'!F18*100</f>
        <v>20.422885007697026</v>
      </c>
      <c r="AI17" s="450">
        <f>'C4-Sources'!BB18/'C4-Sources'!F18*100</f>
        <v>10.049027326909174</v>
      </c>
      <c r="AJ17" s="450">
        <f>'C4-Sources'!BJ18/'C4-Sources'!F18*100</f>
        <v>1.5316870080844633</v>
      </c>
      <c r="AK17" s="450">
        <f t="shared" si="3"/>
        <v>13.293529244999206</v>
      </c>
      <c r="AM17" s="450">
        <f>'C4-Sources'!O18/'C4-Sources'!G18*100</f>
        <v>7.9368808262784887</v>
      </c>
      <c r="AN17" s="450">
        <f>'C4-Sources'!W18/'C4-Sources'!G18*100</f>
        <v>14.539859405688798</v>
      </c>
      <c r="AO17" s="450">
        <f>'C4-Sources'!AE18/'C4-Sources'!G18*100</f>
        <v>17.647071133395048</v>
      </c>
      <c r="AP17" s="450">
        <f>'C4-Sources'!AM18/'C4-Sources'!G18*100</f>
        <v>7.5315392067114049</v>
      </c>
      <c r="AQ17" s="450">
        <f>'C4-Sources'!AU18/'C4-Sources'!G18*100</f>
        <v>26.549267022023148</v>
      </c>
      <c r="AR17" s="450">
        <f>'C4-Sources'!BC18/'C4-Sources'!G18*100</f>
        <v>12.519800621319554</v>
      </c>
      <c r="AS17" s="450">
        <f>'C4-Sources'!BK18/'C4-Sources'!G18*100</f>
        <v>0.92923230851847083</v>
      </c>
      <c r="AT17" s="450">
        <f t="shared" si="4"/>
        <v>12.346349476065086</v>
      </c>
      <c r="AV17" s="450">
        <f>'C4-Sources'!P18/'C4-Sources'!H18*100</f>
        <v>3.0883235230941035</v>
      </c>
      <c r="AW17" s="450">
        <f>'C4-Sources'!X18/'C4-Sources'!H18*100</f>
        <v>10.948650780884295</v>
      </c>
      <c r="AX17" s="450">
        <f>'C4-Sources'!AF18/'C4-Sources'!H18*100</f>
        <v>19.85804113822913</v>
      </c>
      <c r="AY17" s="450">
        <f>'C4-Sources'!AN18/'C4-Sources'!H18*100</f>
        <v>6.5446350380024647</v>
      </c>
      <c r="AZ17" s="450">
        <f>'C4-Sources'!AV18/'C4-Sources'!H18*100</f>
        <v>31.233315148504254</v>
      </c>
      <c r="BA17" s="450">
        <f>'C4-Sources'!BD18/'C4-Sources'!H18*100</f>
        <v>14.340207770613913</v>
      </c>
      <c r="BB17" s="450">
        <f>'C4-Sources'!BL18/'C4-Sources'!H18*100</f>
        <v>0.3728053719110393</v>
      </c>
      <c r="BC17" s="450">
        <f t="shared" si="5"/>
        <v>13.614021228760791</v>
      </c>
      <c r="BD17" s="453"/>
      <c r="BE17" s="453"/>
      <c r="BF17" s="453"/>
      <c r="BG17" s="453"/>
      <c r="BH17" s="454"/>
      <c r="BI17" s="452"/>
      <c r="BJ17" s="452"/>
    </row>
    <row r="18" spans="1:62" s="173" customFormat="1" ht="12" x14ac:dyDescent="0.25">
      <c r="A18" s="239">
        <v>1972</v>
      </c>
      <c r="B18" s="449"/>
      <c r="C18" s="450">
        <f>'C4-Sources'!K19/'C4-Sources'!C19*100</f>
        <v>44.092481335003022</v>
      </c>
      <c r="D18" s="450">
        <f>'C4-Sources'!S19/'C4-Sources'!C19*100</f>
        <v>15.019289643000619</v>
      </c>
      <c r="E18" s="450">
        <f>'C4-Sources'!AA19/'C4-Sources'!C19*100</f>
        <v>5.0939034078937091</v>
      </c>
      <c r="F18" s="450">
        <f>'C4-Sources'!AI19/'C4-Sources'!C19*100</f>
        <v>4.8523466564201465</v>
      </c>
      <c r="G18" s="450">
        <f>'C4-Sources'!AQ19/'C4-Sources'!C19*100</f>
        <v>9.3801127006810709</v>
      </c>
      <c r="H18" s="450">
        <f>'C4-Sources'!AY19/'C4-Sources'!C19*100</f>
        <v>5.3267230239800023</v>
      </c>
      <c r="I18" s="450">
        <f>'C4-Sources'!BG19/'C4-Sources'!C19*100</f>
        <v>3.6086453308303108</v>
      </c>
      <c r="J18" s="450">
        <f t="shared" si="0"/>
        <v>12.626497902191105</v>
      </c>
      <c r="L18" s="450">
        <f>'C4-Sources'!L19/'C4-Sources'!D19*100</f>
        <v>35.172454408554174</v>
      </c>
      <c r="M18" s="450">
        <f>'C4-Sources'!T19/'C4-Sources'!D19*100</f>
        <v>17.638159048534664</v>
      </c>
      <c r="N18" s="450">
        <f>'C4-Sources'!AB19/'C4-Sources'!D19*100</f>
        <v>6.907940809441528</v>
      </c>
      <c r="O18" s="450">
        <f>'C4-Sources'!AJ19/'C4-Sources'!D19*100</f>
        <v>5.8730634436752318</v>
      </c>
      <c r="P18" s="450">
        <f>'C4-Sources'!AR19/'C4-Sources'!D19*100</f>
        <v>12.372539448584334</v>
      </c>
      <c r="Q18" s="450">
        <f>'C4-Sources'!AZ19/'C4-Sources'!D19*100</f>
        <v>6.411640898875806</v>
      </c>
      <c r="R18" s="450">
        <f>'C4-Sources'!BH19/'C4-Sources'!D19*100</f>
        <v>3.010615990957024</v>
      </c>
      <c r="S18" s="450">
        <f t="shared" si="1"/>
        <v>12.613585951377246</v>
      </c>
      <c r="U18" s="450">
        <f>'C4-Sources'!M19/'C4-Sources'!E19*100</f>
        <v>18.467177889990023</v>
      </c>
      <c r="V18" s="450">
        <f>'C4-Sources'!U19/'C4-Sources'!E19*100</f>
        <v>19.355339873122983</v>
      </c>
      <c r="W18" s="450">
        <f>'C4-Sources'!AC19/'C4-Sources'!E19*100</f>
        <v>11.34150971028826</v>
      </c>
      <c r="X18" s="450">
        <f>'C4-Sources'!AK19/'C4-Sources'!E19*100</f>
        <v>7.4241553900101591</v>
      </c>
      <c r="Y18" s="450">
        <f>'C4-Sources'!AS19/'C4-Sources'!E19*100</f>
        <v>19.753307266521944</v>
      </c>
      <c r="Z18" s="450">
        <f>'C4-Sources'!BA19/'C4-Sources'!E19*100</f>
        <v>9.0561933183690524</v>
      </c>
      <c r="AA18" s="450">
        <f>'C4-Sources'!BI19/'C4-Sources'!E19*100</f>
        <v>1.7412611477479676</v>
      </c>
      <c r="AB18" s="450">
        <f t="shared" si="2"/>
        <v>12.861055403949621</v>
      </c>
      <c r="AD18" s="450">
        <f>'C4-Sources'!N19/'C4-Sources'!F19*100</f>
        <v>14.215701214276057</v>
      </c>
      <c r="AE18" s="450">
        <f>'C4-Sources'!V19/'C4-Sources'!F19*100</f>
        <v>18.014116346718303</v>
      </c>
      <c r="AF18" s="450">
        <f>'C4-Sources'!AD19/'C4-Sources'!F19*100</f>
        <v>13.129558064238459</v>
      </c>
      <c r="AG18" s="450">
        <f>'C4-Sources'!AL19/'C4-Sources'!F19*100</f>
        <v>7.644847116061837</v>
      </c>
      <c r="AH18" s="450">
        <f>'C4-Sources'!AT19/'C4-Sources'!F19*100</f>
        <v>22.787642394519956</v>
      </c>
      <c r="AI18" s="450">
        <f>'C4-Sources'!BB19/'C4-Sources'!F19*100</f>
        <v>10.178649723961122</v>
      </c>
      <c r="AJ18" s="450">
        <f>'C4-Sources'!BJ19/'C4-Sources'!F19*100</f>
        <v>1.4300741029047532</v>
      </c>
      <c r="AK18" s="450">
        <f t="shared" si="3"/>
        <v>12.599411037319513</v>
      </c>
      <c r="AM18" s="450">
        <f>'C4-Sources'!O19/'C4-Sources'!G19*100</f>
        <v>7.8625314123757004</v>
      </c>
      <c r="AN18" s="450">
        <f>'C4-Sources'!W19/'C4-Sources'!G19*100</f>
        <v>14.41153194859274</v>
      </c>
      <c r="AO18" s="450">
        <f>'C4-Sources'!AE19/'C4-Sources'!G19*100</f>
        <v>16.451315656386647</v>
      </c>
      <c r="AP18" s="450">
        <f>'C4-Sources'!AM19/'C4-Sources'!G19*100</f>
        <v>7.5019604778833298</v>
      </c>
      <c r="AQ18" s="450">
        <f>'C4-Sources'!AU19/'C4-Sources'!G19*100</f>
        <v>28.922285287371498</v>
      </c>
      <c r="AR18" s="450">
        <f>'C4-Sources'!BC19/'C4-Sources'!G19*100</f>
        <v>12.462941490933394</v>
      </c>
      <c r="AS18" s="450">
        <f>'C4-Sources'!BK19/'C4-Sources'!G19*100</f>
        <v>0.8540554122394175</v>
      </c>
      <c r="AT18" s="450">
        <f t="shared" si="4"/>
        <v>11.533378314217273</v>
      </c>
      <c r="AV18" s="450">
        <f>'C4-Sources'!P19/'C4-Sources'!H19*100</f>
        <v>3.5302358479972935</v>
      </c>
      <c r="AW18" s="450">
        <f>'C4-Sources'!X19/'C4-Sources'!H19*100</f>
        <v>11.776306517877231</v>
      </c>
      <c r="AX18" s="450">
        <f>'C4-Sources'!AF19/'C4-Sources'!H19*100</f>
        <v>18.357710178401256</v>
      </c>
      <c r="AY18" s="450">
        <f>'C4-Sources'!AN19/'C4-Sources'!H19*100</f>
        <v>6.4851991662757138</v>
      </c>
      <c r="AZ18" s="450">
        <f>'C4-Sources'!AV19/'C4-Sources'!H19*100</f>
        <v>33.641291120579716</v>
      </c>
      <c r="BA18" s="450">
        <f>'C4-Sources'!BD19/'C4-Sources'!H19*100</f>
        <v>14.170901658183062</v>
      </c>
      <c r="BB18" s="450">
        <f>'C4-Sources'!BL19/'C4-Sources'!H19*100</f>
        <v>0.40170006885736781</v>
      </c>
      <c r="BC18" s="450">
        <f t="shared" si="5"/>
        <v>11.636655441828367</v>
      </c>
      <c r="BD18" s="453"/>
      <c r="BE18" s="453"/>
      <c r="BF18" s="453"/>
      <c r="BG18" s="453"/>
      <c r="BH18" s="454"/>
      <c r="BI18" s="452"/>
      <c r="BJ18" s="452"/>
    </row>
    <row r="19" spans="1:62" s="173" customFormat="1" ht="12" x14ac:dyDescent="0.25">
      <c r="A19" s="239">
        <v>1973</v>
      </c>
      <c r="B19" s="449"/>
      <c r="C19" s="450">
        <f>'C4-Sources'!K20/'C4-Sources'!C20*100</f>
        <v>43.666195950010177</v>
      </c>
      <c r="D19" s="450">
        <f>'C4-Sources'!S20/'C4-Sources'!C20*100</f>
        <v>15.791221463543254</v>
      </c>
      <c r="E19" s="450">
        <f>'C4-Sources'!AA20/'C4-Sources'!C20*100</f>
        <v>4.9487168493304585</v>
      </c>
      <c r="F19" s="450">
        <f>'C4-Sources'!AI20/'C4-Sources'!C20*100</f>
        <v>4.8663820462853575</v>
      </c>
      <c r="G19" s="450">
        <f>'C4-Sources'!AQ20/'C4-Sources'!C20*100</f>
        <v>9.0864269400663424</v>
      </c>
      <c r="H19" s="450">
        <f>'C4-Sources'!AY20/'C4-Sources'!C20*100</f>
        <v>5.15330115091239</v>
      </c>
      <c r="I19" s="450">
        <f>'C4-Sources'!BG20/'C4-Sources'!C20*100</f>
        <v>3.3669417182033299</v>
      </c>
      <c r="J19" s="450">
        <f t="shared" si="0"/>
        <v>13.120813881648701</v>
      </c>
      <c r="L19" s="450">
        <f>'C4-Sources'!L20/'C4-Sources'!D20*100</f>
        <v>34.365905989170614</v>
      </c>
      <c r="M19" s="450">
        <f>'C4-Sources'!T20/'C4-Sources'!D20*100</f>
        <v>18.581681713106217</v>
      </c>
      <c r="N19" s="450">
        <f>'C4-Sources'!AB20/'C4-Sources'!D20*100</f>
        <v>6.7666898414563335</v>
      </c>
      <c r="O19" s="450">
        <f>'C4-Sources'!AJ20/'C4-Sources'!D20*100</f>
        <v>5.9510203364238112</v>
      </c>
      <c r="P19" s="450">
        <f>'C4-Sources'!AR20/'C4-Sources'!D20*100</f>
        <v>12.00781622324981</v>
      </c>
      <c r="Q19" s="450">
        <f>'C4-Sources'!AZ20/'C4-Sources'!D20*100</f>
        <v>6.0959226374247377</v>
      </c>
      <c r="R19" s="450">
        <f>'C4-Sources'!BH20/'C4-Sources'!D20*100</f>
        <v>2.8547582923109558</v>
      </c>
      <c r="S19" s="450">
        <f t="shared" si="1"/>
        <v>13.376204966857514</v>
      </c>
      <c r="U19" s="450">
        <f>'C4-Sources'!M20/'C4-Sources'!E20*100</f>
        <v>18.241551892053511</v>
      </c>
      <c r="V19" s="450">
        <f>'C4-Sources'!U20/'C4-Sources'!E20*100</f>
        <v>19.954541035652404</v>
      </c>
      <c r="W19" s="450">
        <f>'C4-Sources'!AC20/'C4-Sources'!E20*100</f>
        <v>11.336273006843212</v>
      </c>
      <c r="X19" s="450">
        <f>'C4-Sources'!AK20/'C4-Sources'!E20*100</f>
        <v>7.6236481165777583</v>
      </c>
      <c r="Y19" s="450">
        <f>'C4-Sources'!AS20/'C4-Sources'!E20*100</f>
        <v>19.2106781679854</v>
      </c>
      <c r="Z19" s="450">
        <f>'C4-Sources'!BA20/'C4-Sources'!E20*100</f>
        <v>8.3914549402469589</v>
      </c>
      <c r="AA19" s="450">
        <f>'C4-Sources'!BI20/'C4-Sources'!E20*100</f>
        <v>1.6289584538771975</v>
      </c>
      <c r="AB19" s="450">
        <f t="shared" si="2"/>
        <v>13.612894386763557</v>
      </c>
      <c r="AD19" s="450">
        <f>'C4-Sources'!N20/'C4-Sources'!F20*100</f>
        <v>14.302926475580479</v>
      </c>
      <c r="AE19" s="450">
        <f>'C4-Sources'!V20/'C4-Sources'!F20*100</f>
        <v>18.691781928220131</v>
      </c>
      <c r="AF19" s="450">
        <f>'C4-Sources'!AD20/'C4-Sources'!F20*100</f>
        <v>12.976525558864354</v>
      </c>
      <c r="AG19" s="450">
        <f>'C4-Sources'!AL20/'C4-Sources'!F20*100</f>
        <v>7.9191612265117328</v>
      </c>
      <c r="AH19" s="450">
        <f>'C4-Sources'!AT20/'C4-Sources'!F20*100</f>
        <v>21.955571882341431</v>
      </c>
      <c r="AI19" s="450">
        <f>'C4-Sources'!BB20/'C4-Sources'!F20*100</f>
        <v>9.2914828597653703</v>
      </c>
      <c r="AJ19" s="450">
        <f>'C4-Sources'!BJ20/'C4-Sources'!F20*100</f>
        <v>1.3751650160588687</v>
      </c>
      <c r="AK19" s="450">
        <f t="shared" si="3"/>
        <v>13.487385052657643</v>
      </c>
      <c r="AM19" s="450">
        <f>'C4-Sources'!O20/'C4-Sources'!G20*100</f>
        <v>8.346364462245532</v>
      </c>
      <c r="AN19" s="450">
        <f>'C4-Sources'!W20/'C4-Sources'!G20*100</f>
        <v>15.865490652513737</v>
      </c>
      <c r="AO19" s="450">
        <f>'C4-Sources'!AE20/'C4-Sources'!G20*100</f>
        <v>16.191170406406606</v>
      </c>
      <c r="AP19" s="450">
        <f>'C4-Sources'!AM20/'C4-Sources'!G20*100</f>
        <v>8.2448748166190278</v>
      </c>
      <c r="AQ19" s="450">
        <f>'C4-Sources'!AU20/'C4-Sources'!G20*100</f>
        <v>27.58073229657067</v>
      </c>
      <c r="AR19" s="450">
        <f>'C4-Sources'!BC20/'C4-Sources'!G20*100</f>
        <v>11.182276732603489</v>
      </c>
      <c r="AS19" s="450">
        <f>'C4-Sources'!BK20/'C4-Sources'!G20*100</f>
        <v>0.85852969395233347</v>
      </c>
      <c r="AT19" s="450">
        <f t="shared" si="4"/>
        <v>11.730560939088605</v>
      </c>
      <c r="AV19" s="450">
        <f>'C4-Sources'!P20/'C4-Sources'!H20*100</f>
        <v>3.5307511608880113</v>
      </c>
      <c r="AW19" s="450">
        <f>'C4-Sources'!X20/'C4-Sources'!H20*100</f>
        <v>12.787256693668075</v>
      </c>
      <c r="AX19" s="450">
        <f>'C4-Sources'!AF20/'C4-Sources'!H20*100</f>
        <v>18.682725043534919</v>
      </c>
      <c r="AY19" s="450">
        <f>'C4-Sources'!AN20/'C4-Sources'!H20*100</f>
        <v>7.503384225571633</v>
      </c>
      <c r="AZ19" s="450">
        <f>'C4-Sources'!AV20/'C4-Sources'!H20*100</f>
        <v>32.381357755738406</v>
      </c>
      <c r="BA19" s="450">
        <f>'C4-Sources'!BD20/'C4-Sources'!H20*100</f>
        <v>12.715943016499692</v>
      </c>
      <c r="BB19" s="450">
        <f>'C4-Sources'!BL20/'C4-Sources'!H20*100</f>
        <v>0.37347638688866769</v>
      </c>
      <c r="BC19" s="450">
        <f t="shared" si="5"/>
        <v>12.025105717210593</v>
      </c>
      <c r="BD19" s="453"/>
      <c r="BE19" s="453"/>
      <c r="BF19" s="453"/>
      <c r="BG19" s="453"/>
      <c r="BH19" s="454"/>
      <c r="BI19" s="452"/>
      <c r="BJ19" s="452"/>
    </row>
    <row r="20" spans="1:62" s="173" customFormat="1" ht="12" x14ac:dyDescent="0.25">
      <c r="A20" s="239">
        <v>1974</v>
      </c>
      <c r="B20" s="449"/>
      <c r="C20" s="450">
        <f>'C4-Sources'!K21/'C4-Sources'!C21*100</f>
        <v>44.718753252398685</v>
      </c>
      <c r="D20" s="450">
        <f>'C4-Sources'!S21/'C4-Sources'!C21*100</f>
        <v>16.852584024842159</v>
      </c>
      <c r="E20" s="450">
        <f>'C4-Sources'!AA21/'C4-Sources'!C21*100</f>
        <v>4.992568312738241</v>
      </c>
      <c r="F20" s="450">
        <f>'C4-Sources'!AI21/'C4-Sources'!C21*100</f>
        <v>5.2499686921765401</v>
      </c>
      <c r="G20" s="450">
        <f>'C4-Sources'!AQ21/'C4-Sources'!C21*100</f>
        <v>5.8567181596175804</v>
      </c>
      <c r="H20" s="450">
        <f>'C4-Sources'!AY21/'C4-Sources'!C21*100</f>
        <v>4.3776962033853115</v>
      </c>
      <c r="I20" s="450">
        <f>'C4-Sources'!BG21/'C4-Sources'!C21*100</f>
        <v>3.6323413607351696</v>
      </c>
      <c r="J20" s="450">
        <f t="shared" si="0"/>
        <v>14.31936999410631</v>
      </c>
      <c r="L20" s="450">
        <f>'C4-Sources'!L21/'C4-Sources'!D21*100</f>
        <v>35.97947203711351</v>
      </c>
      <c r="M20" s="450">
        <f>'C4-Sources'!T21/'C4-Sources'!D21*100</f>
        <v>20.26981148689844</v>
      </c>
      <c r="N20" s="450">
        <f>'C4-Sources'!AB21/'C4-Sources'!D21*100</f>
        <v>6.7876239989117666</v>
      </c>
      <c r="O20" s="450">
        <f>'C4-Sources'!AJ21/'C4-Sources'!D21*100</f>
        <v>6.3930897364732839</v>
      </c>
      <c r="P20" s="450">
        <f>'C4-Sources'!AR21/'C4-Sources'!D21*100</f>
        <v>7.6932435099415581</v>
      </c>
      <c r="Q20" s="450">
        <f>'C4-Sources'!AZ21/'C4-Sources'!D21*100</f>
        <v>4.9972856093136633</v>
      </c>
      <c r="R20" s="450">
        <f>'C4-Sources'!BH21/'C4-Sources'!D21*100</f>
        <v>3.0312313371903588</v>
      </c>
      <c r="S20" s="450">
        <f t="shared" si="1"/>
        <v>14.848242284157422</v>
      </c>
      <c r="U20" s="450">
        <f>'C4-Sources'!M21/'C4-Sources'!E21*100</f>
        <v>20.096801214660665</v>
      </c>
      <c r="V20" s="450">
        <f>'C4-Sources'!U21/'C4-Sources'!E21*100</f>
        <v>23.496679966011687</v>
      </c>
      <c r="W20" s="450">
        <f>'C4-Sources'!AC21/'C4-Sources'!E21*100</f>
        <v>11.260644610677154</v>
      </c>
      <c r="X20" s="450">
        <f>'C4-Sources'!AK21/'C4-Sources'!E21*100</f>
        <v>8.2972593217415973</v>
      </c>
      <c r="Y20" s="450">
        <f>'C4-Sources'!AS21/'C4-Sources'!E21*100</f>
        <v>12.225177889765368</v>
      </c>
      <c r="Z20" s="450">
        <f>'C4-Sources'!BA21/'C4-Sources'!E21*100</f>
        <v>6.4422015270832649</v>
      </c>
      <c r="AA20" s="450">
        <f>'C4-Sources'!BI21/'C4-Sources'!E21*100</f>
        <v>1.8491500423512892</v>
      </c>
      <c r="AB20" s="450">
        <f t="shared" si="2"/>
        <v>16.332085427708975</v>
      </c>
      <c r="AD20" s="450">
        <f>'C4-Sources'!N21/'C4-Sources'!F21*100</f>
        <v>16.186878250409446</v>
      </c>
      <c r="AE20" s="450">
        <f>'C4-Sources'!V21/'C4-Sources'!F21*100</f>
        <v>22.602238184754754</v>
      </c>
      <c r="AF20" s="450">
        <f>'C4-Sources'!AD21/'C4-Sources'!F21*100</f>
        <v>13.148644223987393</v>
      </c>
      <c r="AG20" s="450">
        <f>'C4-Sources'!AL21/'C4-Sources'!F21*100</f>
        <v>8.7540434981497945</v>
      </c>
      <c r="AH20" s="450">
        <f>'C4-Sources'!AT21/'C4-Sources'!F21*100</f>
        <v>14.219441756928855</v>
      </c>
      <c r="AI20" s="450">
        <f>'C4-Sources'!BB21/'C4-Sources'!F21*100</f>
        <v>7.1275225088897418</v>
      </c>
      <c r="AJ20" s="450">
        <f>'C4-Sources'!BJ21/'C4-Sources'!F21*100</f>
        <v>1.5369761703249647</v>
      </c>
      <c r="AK20" s="450">
        <f t="shared" si="3"/>
        <v>16.424255406555048</v>
      </c>
      <c r="AM20" s="450">
        <f>'C4-Sources'!O21/'C4-Sources'!G21*100</f>
        <v>10.116878525895689</v>
      </c>
      <c r="AN20" s="450">
        <f>'C4-Sources'!W21/'C4-Sources'!G21*100</f>
        <v>19.913309755696645</v>
      </c>
      <c r="AO20" s="450">
        <f>'C4-Sources'!AE21/'C4-Sources'!G21*100</f>
        <v>17.039271980850533</v>
      </c>
      <c r="AP20" s="450">
        <f>'C4-Sources'!AM21/'C4-Sources'!G21*100</f>
        <v>9.2213843108941749</v>
      </c>
      <c r="AQ20" s="450">
        <f>'C4-Sources'!AU21/'C4-Sources'!G21*100</f>
        <v>18.445113240818969</v>
      </c>
      <c r="AR20" s="450">
        <f>'C4-Sources'!BC21/'C4-Sources'!G21*100</f>
        <v>8.5999648595114984</v>
      </c>
      <c r="AS20" s="450">
        <f>'C4-Sources'!BK21/'C4-Sources'!G21*100</f>
        <v>1.0181358502199869</v>
      </c>
      <c r="AT20" s="450">
        <f t="shared" si="4"/>
        <v>15.645941476112498</v>
      </c>
      <c r="AV20" s="450">
        <f>'C4-Sources'!P21/'C4-Sources'!H21*100</f>
        <v>4.0328416713672697</v>
      </c>
      <c r="AW20" s="450">
        <f>'C4-Sources'!X21/'C4-Sources'!H21*100</f>
        <v>17.077693430493895</v>
      </c>
      <c r="AX20" s="450">
        <f>'C4-Sources'!AF21/'C4-Sources'!H21*100</f>
        <v>20.951713128223087</v>
      </c>
      <c r="AY20" s="450">
        <f>'C4-Sources'!AN21/'C4-Sources'!H21*100</f>
        <v>8.9220144244623558</v>
      </c>
      <c r="AZ20" s="450">
        <f>'C4-Sources'!AV21/'C4-Sources'!H21*100</f>
        <v>22.821763214721962</v>
      </c>
      <c r="BA20" s="450">
        <f>'C4-Sources'!BD21/'C4-Sources'!H21*100</f>
        <v>10.081675917847601</v>
      </c>
      <c r="BB20" s="450">
        <f>'C4-Sources'!BL21/'C4-Sources'!H21*100</f>
        <v>0.47146296508291713</v>
      </c>
      <c r="BC20" s="450">
        <f t="shared" si="5"/>
        <v>15.640835247800908</v>
      </c>
      <c r="BD20" s="453"/>
      <c r="BE20" s="453"/>
      <c r="BF20" s="453"/>
      <c r="BG20" s="453"/>
      <c r="BH20" s="454"/>
      <c r="BI20" s="452"/>
      <c r="BJ20" s="452"/>
    </row>
    <row r="21" spans="1:62" s="173" customFormat="1" ht="12" x14ac:dyDescent="0.25">
      <c r="A21" s="239">
        <v>1975</v>
      </c>
      <c r="B21" s="449"/>
      <c r="C21" s="450">
        <f>'C4-Sources'!K22/'C4-Sources'!C22*100</f>
        <v>45.751545561790849</v>
      </c>
      <c r="D21" s="450">
        <f>'C4-Sources'!S22/'C4-Sources'!C22*100</f>
        <v>14.477910203844891</v>
      </c>
      <c r="E21" s="450">
        <f>'C4-Sources'!AA22/'C4-Sources'!C22*100</f>
        <v>4.8616773133904827</v>
      </c>
      <c r="F21" s="450">
        <f>'C4-Sources'!AI22/'C4-Sources'!C22*100</f>
        <v>5.2850666269784252</v>
      </c>
      <c r="G21" s="450">
        <f>'C4-Sources'!AQ22/'C4-Sources'!C22*100</f>
        <v>7.4959450743852765</v>
      </c>
      <c r="H21" s="450">
        <f>'C4-Sources'!AY22/'C4-Sources'!C22*100</f>
        <v>4.1230042194754413</v>
      </c>
      <c r="I21" s="450">
        <f>'C4-Sources'!BG22/'C4-Sources'!C22*100</f>
        <v>4.223197910580395</v>
      </c>
      <c r="J21" s="450">
        <f t="shared" si="0"/>
        <v>13.78165308955424</v>
      </c>
      <c r="L21" s="450">
        <f>'C4-Sources'!L22/'C4-Sources'!D22*100</f>
        <v>37.157352319097548</v>
      </c>
      <c r="M21" s="450">
        <f>'C4-Sources'!T22/'C4-Sources'!D22*100</f>
        <v>17.513198901983039</v>
      </c>
      <c r="N21" s="450">
        <f>'C4-Sources'!AB22/'C4-Sources'!D22*100</f>
        <v>6.5719304499894475</v>
      </c>
      <c r="O21" s="450">
        <f>'C4-Sources'!AJ22/'C4-Sources'!D22*100</f>
        <v>6.3614091584650767</v>
      </c>
      <c r="P21" s="450">
        <f>'C4-Sources'!AR22/'C4-Sources'!D22*100</f>
        <v>9.7287500034836896</v>
      </c>
      <c r="Q21" s="450">
        <f>'C4-Sources'!AZ22/'C4-Sources'!D22*100</f>
        <v>4.6942245355930901</v>
      </c>
      <c r="R21" s="450">
        <f>'C4-Sources'!BH22/'C4-Sources'!D22*100</f>
        <v>3.5099006120218283</v>
      </c>
      <c r="S21" s="450">
        <f t="shared" si="1"/>
        <v>14.463234019366297</v>
      </c>
      <c r="U21" s="450">
        <f>'C4-Sources'!M22/'C4-Sources'!E22*100</f>
        <v>21.555171061671448</v>
      </c>
      <c r="V21" s="450">
        <f>'C4-Sources'!U22/'C4-Sources'!E22*100</f>
        <v>19.791865823168859</v>
      </c>
      <c r="W21" s="450">
        <f>'C4-Sources'!AC22/'C4-Sources'!E22*100</f>
        <v>11.106912941001559</v>
      </c>
      <c r="X21" s="450">
        <f>'C4-Sources'!AK22/'C4-Sources'!E22*100</f>
        <v>8.5332937449602824</v>
      </c>
      <c r="Y21" s="450">
        <f>'C4-Sources'!AS22/'C4-Sources'!E22*100</f>
        <v>15.619458215311354</v>
      </c>
      <c r="Z21" s="450">
        <f>'C4-Sources'!BA22/'C4-Sources'!E22*100</f>
        <v>6.2432742109610038</v>
      </c>
      <c r="AA21" s="450">
        <f>'C4-Sources'!BI22/'C4-Sources'!E22*100</f>
        <v>2.1795600209047659</v>
      </c>
      <c r="AB21" s="450">
        <f t="shared" si="2"/>
        <v>14.970463982020732</v>
      </c>
      <c r="AD21" s="450">
        <f>'C4-Sources'!N22/'C4-Sources'!F22*100</f>
        <v>17.453686057455663</v>
      </c>
      <c r="AE21" s="450">
        <f>'C4-Sources'!V22/'C4-Sources'!F22*100</f>
        <v>19.04655833881521</v>
      </c>
      <c r="AF21" s="450">
        <f>'C4-Sources'!AD22/'C4-Sources'!F22*100</f>
        <v>12.774680123804227</v>
      </c>
      <c r="AG21" s="450">
        <f>'C4-Sources'!AL22/'C4-Sources'!F22*100</f>
        <v>8.7988860916720846</v>
      </c>
      <c r="AH21" s="450">
        <f>'C4-Sources'!AT22/'C4-Sources'!F22*100</f>
        <v>17.817571897001223</v>
      </c>
      <c r="AI21" s="450">
        <f>'C4-Sources'!BB22/'C4-Sources'!F22*100</f>
        <v>6.7943596293478663</v>
      </c>
      <c r="AJ21" s="450">
        <f>'C4-Sources'!BJ22/'C4-Sources'!F22*100</f>
        <v>1.7394168666034788</v>
      </c>
      <c r="AK21" s="450">
        <f t="shared" si="3"/>
        <v>15.574840995300235</v>
      </c>
      <c r="AM21" s="450">
        <f>'C4-Sources'!O22/'C4-Sources'!G22*100</f>
        <v>10.254329402424775</v>
      </c>
      <c r="AN21" s="450">
        <f>'C4-Sources'!W22/'C4-Sources'!G22*100</f>
        <v>16.558827764162832</v>
      </c>
      <c r="AO21" s="450">
        <f>'C4-Sources'!AE22/'C4-Sources'!G22*100</f>
        <v>16.403848453067774</v>
      </c>
      <c r="AP21" s="450">
        <f>'C4-Sources'!AM22/'C4-Sources'!G22*100</f>
        <v>9.1867726976921116</v>
      </c>
      <c r="AQ21" s="450">
        <f>'C4-Sources'!AU22/'C4-Sources'!G22*100</f>
        <v>22.982040520932411</v>
      </c>
      <c r="AR21" s="450">
        <f>'C4-Sources'!BC22/'C4-Sources'!G22*100</f>
        <v>8.1621271485979552</v>
      </c>
      <c r="AS21" s="450">
        <f>'C4-Sources'!BK22/'C4-Sources'!G22*100</f>
        <v>1.0909561066871796</v>
      </c>
      <c r="AT21" s="450">
        <f t="shared" si="4"/>
        <v>15.361097906434964</v>
      </c>
      <c r="AV21" s="450">
        <f>'C4-Sources'!P22/'C4-Sources'!H22*100</f>
        <v>4.7277859345011777</v>
      </c>
      <c r="AW21" s="450">
        <f>'C4-Sources'!X22/'C4-Sources'!H22*100</f>
        <v>13.78432737376672</v>
      </c>
      <c r="AX21" s="450">
        <f>'C4-Sources'!AF22/'C4-Sources'!H22*100</f>
        <v>19.468174813760545</v>
      </c>
      <c r="AY21" s="450">
        <f>'C4-Sources'!AN22/'C4-Sources'!H22*100</f>
        <v>8.5029438134668425</v>
      </c>
      <c r="AZ21" s="450">
        <f>'C4-Sources'!AV22/'C4-Sources'!H22*100</f>
        <v>28.052148614850346</v>
      </c>
      <c r="BA21" s="450">
        <f>'C4-Sources'!BD22/'C4-Sources'!H22*100</f>
        <v>9.4996708935225431</v>
      </c>
      <c r="BB21" s="450">
        <f>'C4-Sources'!BL22/'C4-Sources'!H22*100</f>
        <v>0.53319433374615977</v>
      </c>
      <c r="BC21" s="450">
        <f t="shared" si="5"/>
        <v>15.431754222385663</v>
      </c>
      <c r="BD21" s="453"/>
      <c r="BE21" s="453"/>
      <c r="BF21" s="453"/>
      <c r="BG21" s="453"/>
      <c r="BH21" s="454"/>
      <c r="BI21" s="452"/>
      <c r="BJ21" s="452"/>
    </row>
    <row r="22" spans="1:62" s="173" customFormat="1" ht="12" x14ac:dyDescent="0.25">
      <c r="A22" s="239">
        <v>1976</v>
      </c>
      <c r="B22" s="449"/>
      <c r="C22" s="450">
        <f>'C4-Sources'!K23/'C4-Sources'!C23*100</f>
        <v>45.984616113609363</v>
      </c>
      <c r="D22" s="450">
        <f>'C4-Sources'!S23/'C4-Sources'!C23*100</f>
        <v>13.804707048640577</v>
      </c>
      <c r="E22" s="450">
        <f>'C4-Sources'!AA23/'C4-Sources'!C23*100</f>
        <v>4.8754124445071856</v>
      </c>
      <c r="F22" s="450">
        <f>'C4-Sources'!AI23/'C4-Sources'!C23*100</f>
        <v>5.5561325183153336</v>
      </c>
      <c r="G22" s="450">
        <f>'C4-Sources'!AQ23/'C4-Sources'!C23*100</f>
        <v>8.781310053866207</v>
      </c>
      <c r="H22" s="450">
        <f>'C4-Sources'!AY23/'C4-Sources'!C23*100</f>
        <v>4.9149623629042054</v>
      </c>
      <c r="I22" s="450">
        <f>'C4-Sources'!BG23/'C4-Sources'!C23*100</f>
        <v>3.8359289279497415</v>
      </c>
      <c r="J22" s="450">
        <f t="shared" si="0"/>
        <v>12.246930530207379</v>
      </c>
      <c r="L22" s="450">
        <f>'C4-Sources'!L23/'C4-Sources'!D23*100</f>
        <v>37.511915959407524</v>
      </c>
      <c r="M22" s="450">
        <f>'C4-Sources'!T23/'C4-Sources'!D23*100</f>
        <v>16.44334135916634</v>
      </c>
      <c r="N22" s="450">
        <f>'C4-Sources'!AB23/'C4-Sources'!D23*100</f>
        <v>6.6578397880775757</v>
      </c>
      <c r="O22" s="450">
        <f>'C4-Sources'!AJ23/'C4-Sources'!D23*100</f>
        <v>6.6509870201531847</v>
      </c>
      <c r="P22" s="450">
        <f>'C4-Sources'!AR23/'C4-Sources'!D23*100</f>
        <v>11.476729335981508</v>
      </c>
      <c r="Q22" s="450">
        <f>'C4-Sources'!AZ23/'C4-Sources'!D23*100</f>
        <v>5.6663640155610357</v>
      </c>
      <c r="R22" s="450">
        <f>'C4-Sources'!BH23/'C4-Sources'!D23*100</f>
        <v>3.2037287497152005</v>
      </c>
      <c r="S22" s="450">
        <f t="shared" si="1"/>
        <v>12.389093771937652</v>
      </c>
      <c r="U22" s="450">
        <f>'C4-Sources'!M23/'C4-Sources'!E23*100</f>
        <v>21.396744439499528</v>
      </c>
      <c r="V22" s="450">
        <f>'C4-Sources'!U23/'C4-Sources'!E23*100</f>
        <v>18.878621972962211</v>
      </c>
      <c r="W22" s="450">
        <f>'C4-Sources'!AC23/'C4-Sources'!E23*100</f>
        <v>11.029526496054002</v>
      </c>
      <c r="X22" s="450">
        <f>'C4-Sources'!AK23/'C4-Sources'!E23*100</f>
        <v>8.4326333223683889</v>
      </c>
      <c r="Y22" s="450">
        <f>'C4-Sources'!AS23/'C4-Sources'!E23*100</f>
        <v>18.031695798374589</v>
      </c>
      <c r="Z22" s="450">
        <f>'C4-Sources'!BA23/'C4-Sources'!E23*100</f>
        <v>7.4364981566934194</v>
      </c>
      <c r="AA22" s="450">
        <f>'C4-Sources'!BI23/'C4-Sources'!E23*100</f>
        <v>1.9839032591731147</v>
      </c>
      <c r="AB22" s="450">
        <f t="shared" si="2"/>
        <v>12.81037655487475</v>
      </c>
      <c r="AD22" s="450">
        <f>'C4-Sources'!N23/'C4-Sources'!F23*100</f>
        <v>17.38485268809881</v>
      </c>
      <c r="AE22" s="450">
        <f>'C4-Sources'!V23/'C4-Sources'!F23*100</f>
        <v>18.21648816855717</v>
      </c>
      <c r="AF22" s="450">
        <f>'C4-Sources'!AD23/'C4-Sources'!F23*100</f>
        <v>12.644988170334262</v>
      </c>
      <c r="AG22" s="450">
        <f>'C4-Sources'!AL23/'C4-Sources'!F23*100</f>
        <v>8.6765247292529555</v>
      </c>
      <c r="AH22" s="450">
        <f>'C4-Sources'!AT23/'C4-Sources'!F23*100</f>
        <v>20.548635767055494</v>
      </c>
      <c r="AI22" s="450">
        <f>'C4-Sources'!BB23/'C4-Sources'!F23*100</f>
        <v>8.1211963227297783</v>
      </c>
      <c r="AJ22" s="450">
        <f>'C4-Sources'!BJ23/'C4-Sources'!F23*100</f>
        <v>1.6210114620850369</v>
      </c>
      <c r="AK22" s="450">
        <f t="shared" si="3"/>
        <v>12.786302691886505</v>
      </c>
      <c r="AM22" s="450">
        <f>'C4-Sources'!O23/'C4-Sources'!G23*100</f>
        <v>10.934421771830356</v>
      </c>
      <c r="AN22" s="450">
        <f>'C4-Sources'!W23/'C4-Sources'!G23*100</f>
        <v>15.403498385815565</v>
      </c>
      <c r="AO22" s="450">
        <f>'C4-Sources'!AE23/'C4-Sources'!G23*100</f>
        <v>16.171798301182005</v>
      </c>
      <c r="AP22" s="450">
        <f>'C4-Sources'!AM23/'C4-Sources'!G23*100</f>
        <v>8.8307110409787768</v>
      </c>
      <c r="AQ22" s="450">
        <f>'C4-Sources'!AU23/'C4-Sources'!G23*100</f>
        <v>26.269709892340565</v>
      </c>
      <c r="AR22" s="450">
        <f>'C4-Sources'!BC23/'C4-Sources'!G23*100</f>
        <v>9.7379670257426501</v>
      </c>
      <c r="AS22" s="450">
        <f>'C4-Sources'!BK23/'C4-Sources'!G23*100</f>
        <v>1.0280222469764302</v>
      </c>
      <c r="AT22" s="450">
        <f t="shared" si="4"/>
        <v>11.623871335133657</v>
      </c>
      <c r="AV22" s="450">
        <f>'C4-Sources'!P23/'C4-Sources'!H23*100</f>
        <v>4.7470216408040455</v>
      </c>
      <c r="AW22" s="450">
        <f>'C4-Sources'!X23/'C4-Sources'!H23*100</f>
        <v>13.943829556695073</v>
      </c>
      <c r="AX22" s="450">
        <f>'C4-Sources'!AF23/'C4-Sources'!H23*100</f>
        <v>18.722145508375799</v>
      </c>
      <c r="AY22" s="450">
        <f>'C4-Sources'!AN23/'C4-Sources'!H23*100</f>
        <v>8.4998965885334421</v>
      </c>
      <c r="AZ22" s="450">
        <f>'C4-Sources'!AV23/'C4-Sources'!H23*100</f>
        <v>31.048598193815895</v>
      </c>
      <c r="BA22" s="450">
        <f>'C4-Sources'!BD23/'C4-Sources'!H23*100</f>
        <v>11.107109288883635</v>
      </c>
      <c r="BB22" s="450">
        <f>'C4-Sources'!BL23/'C4-Sources'!H23*100</f>
        <v>0.4778170411106698</v>
      </c>
      <c r="BC22" s="450">
        <f t="shared" si="5"/>
        <v>11.453582181781442</v>
      </c>
      <c r="BD22" s="453"/>
      <c r="BE22" s="453"/>
      <c r="BF22" s="453"/>
      <c r="BG22" s="453"/>
      <c r="BH22" s="454"/>
      <c r="BI22" s="452"/>
      <c r="BJ22" s="452"/>
    </row>
    <row r="23" spans="1:62" s="173" customFormat="1" ht="12" x14ac:dyDescent="0.25">
      <c r="A23" s="239">
        <v>1977</v>
      </c>
      <c r="B23" s="449"/>
      <c r="C23" s="450">
        <f>'C4-Sources'!K24/'C4-Sources'!C24*100</f>
        <v>45.874208078164251</v>
      </c>
      <c r="D23" s="450">
        <f>'C4-Sources'!S24/'C4-Sources'!C24*100</f>
        <v>13.701528718613346</v>
      </c>
      <c r="E23" s="450">
        <f>'C4-Sources'!AA24/'C4-Sources'!C24*100</f>
        <v>4.745012728404709</v>
      </c>
      <c r="F23" s="450">
        <f>'C4-Sources'!AI24/'C4-Sources'!C24*100</f>
        <v>5.2808048808289865</v>
      </c>
      <c r="G23" s="450">
        <f>'C4-Sources'!AQ24/'C4-Sources'!C24*100</f>
        <v>9.5955149583869392</v>
      </c>
      <c r="H23" s="450">
        <f>'C4-Sources'!AY24/'C4-Sources'!C24*100</f>
        <v>4.8078762314312637</v>
      </c>
      <c r="I23" s="450">
        <f>'C4-Sources'!BG24/'C4-Sources'!C24*100</f>
        <v>4.0697347870335649</v>
      </c>
      <c r="J23" s="450">
        <f t="shared" si="0"/>
        <v>11.925319617136935</v>
      </c>
      <c r="L23" s="450">
        <f>'C4-Sources'!L24/'C4-Sources'!D24*100</f>
        <v>37.428827084424846</v>
      </c>
      <c r="M23" s="450">
        <f>'C4-Sources'!T24/'C4-Sources'!D24*100</f>
        <v>16.311653831886883</v>
      </c>
      <c r="N23" s="450">
        <f>'C4-Sources'!AB24/'C4-Sources'!D24*100</f>
        <v>6.4410073136090107</v>
      </c>
      <c r="O23" s="450">
        <f>'C4-Sources'!AJ24/'C4-Sources'!D24*100</f>
        <v>6.301556893422072</v>
      </c>
      <c r="P23" s="450">
        <f>'C4-Sources'!AR24/'C4-Sources'!D24*100</f>
        <v>12.426343696426285</v>
      </c>
      <c r="Q23" s="450">
        <f>'C4-Sources'!AZ24/'C4-Sources'!D24*100</f>
        <v>5.4188510506164684</v>
      </c>
      <c r="R23" s="450">
        <f>'C4-Sources'!BH24/'C4-Sources'!D24*100</f>
        <v>3.4828087358255342</v>
      </c>
      <c r="S23" s="450">
        <f t="shared" si="1"/>
        <v>12.188951393788912</v>
      </c>
      <c r="U23" s="450">
        <f>'C4-Sources'!M24/'C4-Sources'!E24*100</f>
        <v>21.876870366530834</v>
      </c>
      <c r="V23" s="450">
        <f>'C4-Sources'!U24/'C4-Sources'!E24*100</f>
        <v>18.217128409371892</v>
      </c>
      <c r="W23" s="450">
        <f>'C4-Sources'!AC24/'C4-Sources'!E24*100</f>
        <v>10.578696759498493</v>
      </c>
      <c r="X23" s="450">
        <f>'C4-Sources'!AK24/'C4-Sources'!E24*100</f>
        <v>8.0755128207243345</v>
      </c>
      <c r="Y23" s="450">
        <f>'C4-Sources'!AS24/'C4-Sources'!E24*100</f>
        <v>19.302220888185399</v>
      </c>
      <c r="Z23" s="450">
        <f>'C4-Sources'!BA24/'C4-Sources'!E24*100</f>
        <v>6.888208981764139</v>
      </c>
      <c r="AA23" s="450">
        <f>'C4-Sources'!BI24/'C4-Sources'!E24*100</f>
        <v>2.151827595798844</v>
      </c>
      <c r="AB23" s="450">
        <f t="shared" si="2"/>
        <v>12.909534178126066</v>
      </c>
      <c r="AD23" s="450">
        <f>'C4-Sources'!N24/'C4-Sources'!F24*100</f>
        <v>17.837028648298748</v>
      </c>
      <c r="AE23" s="450">
        <f>'C4-Sources'!V24/'C4-Sources'!F24*100</f>
        <v>17.473817371934921</v>
      </c>
      <c r="AF23" s="450">
        <f>'C4-Sources'!AD24/'C4-Sources'!F24*100</f>
        <v>12.10116938875769</v>
      </c>
      <c r="AG23" s="450">
        <f>'C4-Sources'!AL24/'C4-Sources'!F24*100</f>
        <v>8.3056231486850702</v>
      </c>
      <c r="AH23" s="450">
        <f>'C4-Sources'!AT24/'C4-Sources'!F24*100</f>
        <v>21.916145565004605</v>
      </c>
      <c r="AI23" s="450">
        <f>'C4-Sources'!BB24/'C4-Sources'!F24*100</f>
        <v>7.4394525489190286</v>
      </c>
      <c r="AJ23" s="450">
        <f>'C4-Sources'!BJ24/'C4-Sources'!F24*100</f>
        <v>1.7375820938450244</v>
      </c>
      <c r="AK23" s="450">
        <f t="shared" si="3"/>
        <v>13.189181234554923</v>
      </c>
      <c r="AM23" s="450">
        <f>'C4-Sources'!O24/'C4-Sources'!G24*100</f>
        <v>11.15881564209886</v>
      </c>
      <c r="AN23" s="450">
        <f>'C4-Sources'!W24/'C4-Sources'!G24*100</f>
        <v>15.385058517368904</v>
      </c>
      <c r="AO23" s="450">
        <f>'C4-Sources'!AE24/'C4-Sources'!G24*100</f>
        <v>15.364387512365822</v>
      </c>
      <c r="AP23" s="450">
        <f>'C4-Sources'!AM24/'C4-Sources'!G24*100</f>
        <v>8.6739814375441711</v>
      </c>
      <c r="AQ23" s="450">
        <f>'C4-Sources'!AU24/'C4-Sources'!G24*100</f>
        <v>27.792334862075478</v>
      </c>
      <c r="AR23" s="450">
        <f>'C4-Sources'!BC24/'C4-Sources'!G24*100</f>
        <v>8.7640839118994371</v>
      </c>
      <c r="AS23" s="450">
        <f>'C4-Sources'!BK24/'C4-Sources'!G24*100</f>
        <v>1.099509125852475</v>
      </c>
      <c r="AT23" s="450">
        <f t="shared" si="4"/>
        <v>11.761828990794854</v>
      </c>
      <c r="AV23" s="450">
        <f>'C4-Sources'!P24/'C4-Sources'!H24*100</f>
        <v>4.936227394783951</v>
      </c>
      <c r="AW23" s="450">
        <f>'C4-Sources'!X24/'C4-Sources'!H24*100</f>
        <v>13.540161937207429</v>
      </c>
      <c r="AX23" s="450">
        <f>'C4-Sources'!AF24/'C4-Sources'!H24*100</f>
        <v>17.989912145866789</v>
      </c>
      <c r="AY23" s="450">
        <f>'C4-Sources'!AN24/'C4-Sources'!H24*100</f>
        <v>8.0286519932446456</v>
      </c>
      <c r="AZ23" s="450">
        <f>'C4-Sources'!AV24/'C4-Sources'!H24*100</f>
        <v>33.327460431477711</v>
      </c>
      <c r="BA23" s="450">
        <f>'C4-Sources'!BD24/'C4-Sources'!H24*100</f>
        <v>9.9855132228187564</v>
      </c>
      <c r="BB23" s="450">
        <f>'C4-Sources'!BL24/'C4-Sources'!H24*100</f>
        <v>0.48440573063667486</v>
      </c>
      <c r="BC23" s="450">
        <f t="shared" si="5"/>
        <v>11.707667143964045</v>
      </c>
      <c r="BD23" s="453"/>
      <c r="BE23" s="453"/>
      <c r="BF23" s="453"/>
      <c r="BG23" s="453"/>
      <c r="BH23" s="454"/>
      <c r="BI23" s="452"/>
      <c r="BJ23" s="452"/>
    </row>
    <row r="24" spans="1:62" s="173" customFormat="1" ht="12" x14ac:dyDescent="0.25">
      <c r="A24" s="239">
        <v>1978</v>
      </c>
      <c r="B24" s="449"/>
      <c r="C24" s="450">
        <f>'C4-Sources'!K25/'C4-Sources'!C25*100</f>
        <v>46.542878125727796</v>
      </c>
      <c r="D24" s="450">
        <f>'C4-Sources'!S25/'C4-Sources'!C25*100</f>
        <v>13.719106379806705</v>
      </c>
      <c r="E24" s="450">
        <f>'C4-Sources'!AA25/'C4-Sources'!C25*100</f>
        <v>4.6668195683152645</v>
      </c>
      <c r="F24" s="450">
        <f>'C4-Sources'!AI25/'C4-Sources'!C25*100</f>
        <v>5.1669981796898812</v>
      </c>
      <c r="G24" s="450">
        <f>'C4-Sources'!AQ25/'C4-Sources'!C25*100</f>
        <v>9.8022965213286959</v>
      </c>
      <c r="H24" s="450">
        <f>'C4-Sources'!AY25/'C4-Sources'!C25*100</f>
        <v>4.7138094262503465</v>
      </c>
      <c r="I24" s="450">
        <f>'C4-Sources'!BG25/'C4-Sources'!C25*100</f>
        <v>4.0215306039918799</v>
      </c>
      <c r="J24" s="450">
        <f t="shared" si="0"/>
        <v>11.366561194889428</v>
      </c>
      <c r="L24" s="450">
        <f>'C4-Sources'!L25/'C4-Sources'!D25*100</f>
        <v>38.672944084064518</v>
      </c>
      <c r="M24" s="450">
        <f>'C4-Sources'!T25/'C4-Sources'!D25*100</f>
        <v>16.169726551401915</v>
      </c>
      <c r="N24" s="450">
        <f>'C4-Sources'!AB25/'C4-Sources'!D25*100</f>
        <v>6.2996389311101799</v>
      </c>
      <c r="O24" s="450">
        <f>'C4-Sources'!AJ25/'C4-Sources'!D25*100</f>
        <v>6.0890910146343415</v>
      </c>
      <c r="P24" s="450">
        <f>'C4-Sources'!AR25/'C4-Sources'!D25*100</f>
        <v>12.547987985983019</v>
      </c>
      <c r="Q24" s="450">
        <f>'C4-Sources'!AZ25/'C4-Sources'!D25*100</f>
        <v>5.2412085681987746</v>
      </c>
      <c r="R24" s="450">
        <f>'C4-Sources'!BH25/'C4-Sources'!D25*100</f>
        <v>3.4228389769138294</v>
      </c>
      <c r="S24" s="450">
        <f t="shared" si="1"/>
        <v>11.556563887693443</v>
      </c>
      <c r="U24" s="450">
        <f>'C4-Sources'!M25/'C4-Sources'!E25*100</f>
        <v>23.757912381093053</v>
      </c>
      <c r="V24" s="450">
        <f>'C4-Sources'!U25/'C4-Sources'!E25*100</f>
        <v>17.931923038612592</v>
      </c>
      <c r="W24" s="450">
        <f>'C4-Sources'!AC25/'C4-Sources'!E25*100</f>
        <v>10.441213560998211</v>
      </c>
      <c r="X24" s="450">
        <f>'C4-Sources'!AK25/'C4-Sources'!E25*100</f>
        <v>7.7972923576844293</v>
      </c>
      <c r="Y24" s="450">
        <f>'C4-Sources'!AS25/'C4-Sources'!E25*100</f>
        <v>19.532973735690611</v>
      </c>
      <c r="Z24" s="450">
        <f>'C4-Sources'!BA25/'C4-Sources'!E25*100</f>
        <v>6.5927659407654593</v>
      </c>
      <c r="AA24" s="450">
        <f>'C4-Sources'!BI25/'C4-Sources'!E25*100</f>
        <v>2.1380662396355943</v>
      </c>
      <c r="AB24" s="450">
        <f t="shared" si="2"/>
        <v>11.807852745520051</v>
      </c>
      <c r="AD24" s="450">
        <f>'C4-Sources'!N25/'C4-Sources'!F25*100</f>
        <v>19.310603750263173</v>
      </c>
      <c r="AE24" s="450">
        <f>'C4-Sources'!V25/'C4-Sources'!F25*100</f>
        <v>17.447776224565171</v>
      </c>
      <c r="AF24" s="450">
        <f>'C4-Sources'!AD25/'C4-Sources'!F25*100</f>
        <v>12.000599181764411</v>
      </c>
      <c r="AG24" s="450">
        <f>'C4-Sources'!AL25/'C4-Sources'!F25*100</f>
        <v>8.3142002359290714</v>
      </c>
      <c r="AH24" s="450">
        <f>'C4-Sources'!AT25/'C4-Sources'!F25*100</f>
        <v>22.195351290746899</v>
      </c>
      <c r="AI24" s="450">
        <f>'C4-Sources'!BB25/'C4-Sources'!F25*100</f>
        <v>7.1311366845284772</v>
      </c>
      <c r="AJ24" s="450">
        <f>'C4-Sources'!BJ25/'C4-Sources'!F25*100</f>
        <v>1.7391448602652682</v>
      </c>
      <c r="AK24" s="450">
        <f t="shared" si="3"/>
        <v>11.861187771937537</v>
      </c>
      <c r="AM24" s="450">
        <f>'C4-Sources'!O25/'C4-Sources'!G25*100</f>
        <v>11.951768350252175</v>
      </c>
      <c r="AN24" s="450">
        <f>'C4-Sources'!W25/'C4-Sources'!G25*100</f>
        <v>15.975508741443614</v>
      </c>
      <c r="AO24" s="450">
        <f>'C4-Sources'!AE25/'C4-Sources'!G25*100</f>
        <v>15.311146719897165</v>
      </c>
      <c r="AP24" s="450">
        <f>'C4-Sources'!AM25/'C4-Sources'!G25*100</f>
        <v>8.9296382437446997</v>
      </c>
      <c r="AQ24" s="450">
        <f>'C4-Sources'!AU25/'C4-Sources'!G25*100</f>
        <v>28.013382058805643</v>
      </c>
      <c r="AR24" s="450">
        <f>'C4-Sources'!BC25/'C4-Sources'!G25*100</f>
        <v>8.3152311413619842</v>
      </c>
      <c r="AS24" s="450">
        <f>'C4-Sources'!BK25/'C4-Sources'!G25*100</f>
        <v>1.1205025076430635</v>
      </c>
      <c r="AT24" s="450">
        <f t="shared" si="4"/>
        <v>10.382822236851666</v>
      </c>
      <c r="AV24" s="450">
        <f>'C4-Sources'!P25/'C4-Sources'!H25*100</f>
        <v>5.6940867112952587</v>
      </c>
      <c r="AW24" s="450">
        <f>'C4-Sources'!X25/'C4-Sources'!H25*100</f>
        <v>14.448392105933127</v>
      </c>
      <c r="AX24" s="450">
        <f>'C4-Sources'!AF25/'C4-Sources'!H25*100</f>
        <v>18.350125519707667</v>
      </c>
      <c r="AY24" s="450">
        <f>'C4-Sources'!AN25/'C4-Sources'!H25*100</f>
        <v>8.6107794828489848</v>
      </c>
      <c r="AZ24" s="450">
        <f>'C4-Sources'!AV25/'C4-Sources'!H25*100</f>
        <v>33.423737494755621</v>
      </c>
      <c r="BA24" s="450">
        <f>'C4-Sources'!BD25/'C4-Sources'!H25*100</f>
        <v>9.4182879871786369</v>
      </c>
      <c r="BB24" s="450">
        <f>'C4-Sources'!BL25/'C4-Sources'!H25*100</f>
        <v>0.52710231450883716</v>
      </c>
      <c r="BC24" s="450">
        <f t="shared" si="5"/>
        <v>9.5274883837718534</v>
      </c>
      <c r="BD24" s="453"/>
      <c r="BE24" s="453"/>
      <c r="BF24" s="453"/>
      <c r="BG24" s="453"/>
      <c r="BH24" s="454"/>
      <c r="BI24" s="452"/>
      <c r="BJ24" s="452"/>
    </row>
    <row r="25" spans="1:62" s="173" customFormat="1" ht="12" x14ac:dyDescent="0.25">
      <c r="A25" s="239">
        <v>1979</v>
      </c>
      <c r="B25" s="449"/>
      <c r="C25" s="450">
        <f>'C4-Sources'!K26/'C4-Sources'!C26*100</f>
        <v>47.440612676380077</v>
      </c>
      <c r="D25" s="450">
        <f>'C4-Sources'!S26/'C4-Sources'!C26*100</f>
        <v>13.269696142199431</v>
      </c>
      <c r="E25" s="450">
        <f>'C4-Sources'!AA26/'C4-Sources'!C26*100</f>
        <v>4.5464587474656009</v>
      </c>
      <c r="F25" s="450">
        <f>'C4-Sources'!AI26/'C4-Sources'!C26*100</f>
        <v>5.5406049279169709</v>
      </c>
      <c r="G25" s="450">
        <f>'C4-Sources'!AQ26/'C4-Sources'!C26*100</f>
        <v>8.7748313978852259</v>
      </c>
      <c r="H25" s="450">
        <f>'C4-Sources'!AY26/'C4-Sources'!C26*100</f>
        <v>4.4544908727393615</v>
      </c>
      <c r="I25" s="450">
        <f>'C4-Sources'!BG26/'C4-Sources'!C26*100</f>
        <v>4.244699583506292</v>
      </c>
      <c r="J25" s="450">
        <f t="shared" si="0"/>
        <v>11.728605651907046</v>
      </c>
      <c r="L25" s="450">
        <f>'C4-Sources'!L26/'C4-Sources'!D26*100</f>
        <v>39.365553242492908</v>
      </c>
      <c r="M25" s="450">
        <f>'C4-Sources'!T26/'C4-Sources'!D26*100</f>
        <v>15.888019959130109</v>
      </c>
      <c r="N25" s="450">
        <f>'C4-Sources'!AB26/'C4-Sources'!D26*100</f>
        <v>6.1524389967139239</v>
      </c>
      <c r="O25" s="450">
        <f>'C4-Sources'!AJ26/'C4-Sources'!D26*100</f>
        <v>6.6002812682307583</v>
      </c>
      <c r="P25" s="450">
        <f>'C4-Sources'!AR26/'C4-Sources'!D26*100</f>
        <v>11.317892945380256</v>
      </c>
      <c r="Q25" s="450">
        <f>'C4-Sources'!AZ26/'C4-Sources'!D26*100</f>
        <v>5.0070998938363545</v>
      </c>
      <c r="R25" s="450">
        <f>'C4-Sources'!BH26/'C4-Sources'!D26*100</f>
        <v>3.6152303500498655</v>
      </c>
      <c r="S25" s="450">
        <f t="shared" si="1"/>
        <v>12.053483344165826</v>
      </c>
      <c r="U25" s="450">
        <f>'C4-Sources'!M26/'C4-Sources'!E26*100</f>
        <v>24.380754195283888</v>
      </c>
      <c r="V25" s="450">
        <f>'C4-Sources'!U26/'C4-Sources'!E26*100</f>
        <v>18.076058076056196</v>
      </c>
      <c r="W25" s="450">
        <f>'C4-Sources'!AC26/'C4-Sources'!E26*100</f>
        <v>10.136095933504198</v>
      </c>
      <c r="X25" s="450">
        <f>'C4-Sources'!AK26/'C4-Sources'!E26*100</f>
        <v>8.4562770950861417</v>
      </c>
      <c r="Y25" s="450">
        <f>'C4-Sources'!AS26/'C4-Sources'!E26*100</f>
        <v>17.83334099845775</v>
      </c>
      <c r="Z25" s="450">
        <f>'C4-Sources'!BA26/'C4-Sources'!E26*100</f>
        <v>6.4218636149277248</v>
      </c>
      <c r="AA25" s="450">
        <f>'C4-Sources'!BI26/'C4-Sources'!E26*100</f>
        <v>2.3023026968690115</v>
      </c>
      <c r="AB25" s="450">
        <f t="shared" si="2"/>
        <v>12.393307389815092</v>
      </c>
      <c r="AD25" s="450">
        <f>'C4-Sources'!N26/'C4-Sources'!F26*100</f>
        <v>20.028305054753119</v>
      </c>
      <c r="AE25" s="450">
        <f>'C4-Sources'!V26/'C4-Sources'!F26*100</f>
        <v>17.575729527144976</v>
      </c>
      <c r="AF25" s="450">
        <f>'C4-Sources'!AD26/'C4-Sources'!F26*100</f>
        <v>11.607570077074863</v>
      </c>
      <c r="AG25" s="450">
        <f>'C4-Sources'!AL26/'C4-Sources'!F26*100</f>
        <v>8.8230852900118357</v>
      </c>
      <c r="AH25" s="450">
        <f>'C4-Sources'!AT26/'C4-Sources'!F26*100</f>
        <v>20.414928257329365</v>
      </c>
      <c r="AI25" s="450">
        <f>'C4-Sources'!BB26/'C4-Sources'!F26*100</f>
        <v>6.9755964724994364</v>
      </c>
      <c r="AJ25" s="450">
        <f>'C4-Sources'!BJ26/'C4-Sources'!F26*100</f>
        <v>1.8848696000622758</v>
      </c>
      <c r="AK25" s="450">
        <f t="shared" si="3"/>
        <v>12.689915721124137</v>
      </c>
      <c r="AM25" s="450">
        <f>'C4-Sources'!O26/'C4-Sources'!G26*100</f>
        <v>12.732443809556306</v>
      </c>
      <c r="AN25" s="450">
        <f>'C4-Sources'!W26/'C4-Sources'!G26*100</f>
        <v>15.789205652041616</v>
      </c>
      <c r="AO25" s="450">
        <f>'C4-Sources'!AE26/'C4-Sources'!G26*100</f>
        <v>14.579566005513279</v>
      </c>
      <c r="AP25" s="450">
        <f>'C4-Sources'!AM26/'C4-Sources'!G26*100</f>
        <v>9.2537878745839439</v>
      </c>
      <c r="AQ25" s="450">
        <f>'C4-Sources'!AU26/'C4-Sources'!G26*100</f>
        <v>26.026491055119372</v>
      </c>
      <c r="AR25" s="450">
        <f>'C4-Sources'!BC26/'C4-Sources'!G26*100</f>
        <v>8.201970445412508</v>
      </c>
      <c r="AS25" s="450">
        <f>'C4-Sources'!BK26/'C4-Sources'!G26*100</f>
        <v>1.2238737991191211</v>
      </c>
      <c r="AT25" s="450">
        <f t="shared" si="4"/>
        <v>12.192661358653851</v>
      </c>
      <c r="AV25" s="450">
        <f>'C4-Sources'!P26/'C4-Sources'!H26*100</f>
        <v>6.087897552680837</v>
      </c>
      <c r="AW25" s="450">
        <f>'C4-Sources'!X26/'C4-Sources'!H26*100</f>
        <v>14.578379485031492</v>
      </c>
      <c r="AX25" s="450">
        <f>'C4-Sources'!AF26/'C4-Sources'!H26*100</f>
        <v>16.821405507339694</v>
      </c>
      <c r="AY25" s="450">
        <f>'C4-Sources'!AN26/'C4-Sources'!H26*100</f>
        <v>8.6032470036196269</v>
      </c>
      <c r="AZ25" s="450">
        <f>'C4-Sources'!AV26/'C4-Sources'!H26*100</f>
        <v>31.560168880511135</v>
      </c>
      <c r="BA25" s="450">
        <f>'C4-Sources'!BD26/'C4-Sources'!H26*100</f>
        <v>9.4062875007163083</v>
      </c>
      <c r="BB25" s="450">
        <f>'C4-Sources'!BL26/'C4-Sources'!H26*100</f>
        <v>0.57891085636716466</v>
      </c>
      <c r="BC25" s="450">
        <f t="shared" si="5"/>
        <v>12.363703213733757</v>
      </c>
      <c r="BD25" s="453"/>
      <c r="BE25" s="453"/>
      <c r="BF25" s="453"/>
      <c r="BG25" s="453"/>
      <c r="BH25" s="454"/>
      <c r="BI25" s="452"/>
      <c r="BJ25" s="452"/>
    </row>
    <row r="26" spans="1:62" s="173" customFormat="1" ht="12" x14ac:dyDescent="0.25">
      <c r="A26" s="239">
        <v>1980</v>
      </c>
      <c r="B26" s="449"/>
      <c r="C26" s="450">
        <f>'C4-Sources'!K27/'C4-Sources'!C27*100</f>
        <v>50.398466870459103</v>
      </c>
      <c r="D26" s="450">
        <f>'C4-Sources'!S27/'C4-Sources'!C27*100</f>
        <v>11.565869758716</v>
      </c>
      <c r="E26" s="450">
        <f>'C4-Sources'!AA27/'C4-Sources'!C27*100</f>
        <v>4.6986441628971916</v>
      </c>
      <c r="F26" s="450">
        <f>'C4-Sources'!AI27/'C4-Sources'!C27*100</f>
        <v>6.5215485001538527</v>
      </c>
      <c r="G26" s="450">
        <f>'C4-Sources'!AQ27/'C4-Sources'!C27*100</f>
        <v>5.7363785242544889</v>
      </c>
      <c r="H26" s="450">
        <f>'C4-Sources'!AY27/'C4-Sources'!C27*100</f>
        <v>3.9580081597124663</v>
      </c>
      <c r="I26" s="450">
        <f>'C4-Sources'!BG27/'C4-Sources'!C27*100</f>
        <v>4.8358434480721986</v>
      </c>
      <c r="J26" s="450">
        <f t="shared" si="0"/>
        <v>12.285240575734704</v>
      </c>
      <c r="L26" s="450">
        <f>'C4-Sources'!L27/'C4-Sources'!D27*100</f>
        <v>42.725678283517041</v>
      </c>
      <c r="M26" s="450">
        <f>'C4-Sources'!T27/'C4-Sources'!D27*100</f>
        <v>13.903484948495551</v>
      </c>
      <c r="N26" s="450">
        <f>'C4-Sources'!AB27/'C4-Sources'!D27*100</f>
        <v>6.3964629646908522</v>
      </c>
      <c r="O26" s="450">
        <f>'C4-Sources'!AJ27/'C4-Sources'!D27*100</f>
        <v>7.6633828865596669</v>
      </c>
      <c r="P26" s="450">
        <f>'C4-Sources'!AR27/'C4-Sources'!D27*100</f>
        <v>7.4684947329656266</v>
      </c>
      <c r="Q26" s="450">
        <f>'C4-Sources'!AZ27/'C4-Sources'!D27*100</f>
        <v>4.509415219354616</v>
      </c>
      <c r="R26" s="450">
        <f>'C4-Sources'!BH27/'C4-Sources'!D27*100</f>
        <v>4.1825175015415157</v>
      </c>
      <c r="S26" s="450">
        <f t="shared" si="1"/>
        <v>13.150563462875127</v>
      </c>
      <c r="U26" s="450">
        <f>'C4-Sources'!M27/'C4-Sources'!E27*100</f>
        <v>27.471663683882813</v>
      </c>
      <c r="V26" s="450">
        <f>'C4-Sources'!U27/'C4-Sources'!E27*100</f>
        <v>16.747422090895974</v>
      </c>
      <c r="W26" s="450">
        <f>'C4-Sources'!AC27/'C4-Sources'!E27*100</f>
        <v>10.661213268572824</v>
      </c>
      <c r="X26" s="450">
        <f>'C4-Sources'!AK27/'C4-Sources'!E27*100</f>
        <v>9.6978711001959219</v>
      </c>
      <c r="Y26" s="450">
        <f>'C4-Sources'!AS27/'C4-Sources'!E27*100</f>
        <v>11.901424558470199</v>
      </c>
      <c r="Z26" s="450">
        <f>'C4-Sources'!BA27/'C4-Sources'!E27*100</f>
        <v>5.9181122857164734</v>
      </c>
      <c r="AA26" s="450">
        <f>'C4-Sources'!BI27/'C4-Sources'!E27*100</f>
        <v>2.8054226938654132</v>
      </c>
      <c r="AB26" s="450">
        <f t="shared" si="2"/>
        <v>14.79687031840038</v>
      </c>
      <c r="AD26" s="450">
        <f>'C4-Sources'!N27/'C4-Sources'!F27*100</f>
        <v>23.084662571271746</v>
      </c>
      <c r="AE26" s="450">
        <f>'C4-Sources'!V27/'C4-Sources'!F27*100</f>
        <v>16.791030170295421</v>
      </c>
      <c r="AF26" s="450">
        <f>'C4-Sources'!AD27/'C4-Sources'!F27*100</f>
        <v>12.120157200444181</v>
      </c>
      <c r="AG26" s="450">
        <f>'C4-Sources'!AL27/'C4-Sources'!F27*100</f>
        <v>10.237923534511415</v>
      </c>
      <c r="AH26" s="450">
        <f>'C4-Sources'!AT27/'C4-Sources'!F27*100</f>
        <v>13.53967325857967</v>
      </c>
      <c r="AI26" s="450">
        <f>'C4-Sources'!BB27/'C4-Sources'!F27*100</f>
        <v>6.4440514336363925</v>
      </c>
      <c r="AJ26" s="450">
        <f>'C4-Sources'!BJ27/'C4-Sources'!F27*100</f>
        <v>2.3279492406015034</v>
      </c>
      <c r="AK26" s="450">
        <f t="shared" si="3"/>
        <v>15.454552590659674</v>
      </c>
      <c r="AM26" s="450">
        <f>'C4-Sources'!O27/'C4-Sources'!G27*100</f>
        <v>15.706248596976593</v>
      </c>
      <c r="AN26" s="450">
        <f>'C4-Sources'!W27/'C4-Sources'!G27*100</f>
        <v>16.128548313464094</v>
      </c>
      <c r="AO26" s="450">
        <f>'C4-Sources'!AE27/'C4-Sources'!G27*100</f>
        <v>15.054115493181403</v>
      </c>
      <c r="AP26" s="450">
        <f>'C4-Sources'!AM27/'C4-Sources'!G27*100</f>
        <v>10.900972992352996</v>
      </c>
      <c r="AQ26" s="450">
        <f>'C4-Sources'!AU27/'C4-Sources'!G27*100</f>
        <v>17.056963584865176</v>
      </c>
      <c r="AR26" s="450">
        <f>'C4-Sources'!BC27/'C4-Sources'!G27*100</f>
        <v>7.5772827414210555</v>
      </c>
      <c r="AS26" s="450">
        <f>'C4-Sources'!BK27/'C4-Sources'!G27*100</f>
        <v>1.5661246435248848</v>
      </c>
      <c r="AT26" s="450">
        <f t="shared" si="4"/>
        <v>16.009743634213791</v>
      </c>
      <c r="AV26" s="450">
        <f>'C4-Sources'!P27/'C4-Sources'!H27*100</f>
        <v>8.3790621314943028</v>
      </c>
      <c r="AW26" s="450">
        <f>'C4-Sources'!X27/'C4-Sources'!H27*100</f>
        <v>15.820249822532734</v>
      </c>
      <c r="AX26" s="450">
        <f>'C4-Sources'!AF27/'C4-Sources'!H27*100</f>
        <v>18.233915125988368</v>
      </c>
      <c r="AY26" s="450">
        <f>'C4-Sources'!AN27/'C4-Sources'!H27*100</f>
        <v>10.583197884089994</v>
      </c>
      <c r="AZ26" s="450">
        <f>'C4-Sources'!AV27/'C4-Sources'!H27*100</f>
        <v>21.000118815703452</v>
      </c>
      <c r="BA26" s="450">
        <f>'C4-Sources'!BD27/'C4-Sources'!H27*100</f>
        <v>8.8816564956950579</v>
      </c>
      <c r="BB26" s="450">
        <f>'C4-Sources'!BL27/'C4-Sources'!H27*100</f>
        <v>0.84050275728580226</v>
      </c>
      <c r="BC26" s="450">
        <f t="shared" si="5"/>
        <v>16.261296967210299</v>
      </c>
      <c r="BD26" s="453"/>
      <c r="BE26" s="453"/>
      <c r="BF26" s="453"/>
      <c r="BG26" s="453"/>
      <c r="BH26" s="454"/>
      <c r="BI26" s="452"/>
      <c r="BJ26" s="452"/>
    </row>
    <row r="27" spans="1:62" s="173" customFormat="1" ht="12" x14ac:dyDescent="0.25">
      <c r="A27" s="239">
        <v>1981</v>
      </c>
      <c r="B27" s="449"/>
      <c r="C27" s="450">
        <f>'C4-Sources'!K28/'C4-Sources'!C28*100</f>
        <v>50.22504508836586</v>
      </c>
      <c r="D27" s="450">
        <f>'C4-Sources'!S28/'C4-Sources'!C28*100</f>
        <v>10.765624509458934</v>
      </c>
      <c r="E27" s="450">
        <f>'C4-Sources'!AA28/'C4-Sources'!C28*100</f>
        <v>5.0209593687696774</v>
      </c>
      <c r="F27" s="450">
        <f>'C4-Sources'!AI28/'C4-Sources'!C28*100</f>
        <v>8.1512354237760096</v>
      </c>
      <c r="G27" s="450">
        <f>'C4-Sources'!AQ28/'C4-Sources'!C28*100</f>
        <v>5.9414149373883403</v>
      </c>
      <c r="H27" s="450">
        <f>'C4-Sources'!AY28/'C4-Sources'!C28*100</f>
        <v>3.1029205177704386</v>
      </c>
      <c r="I27" s="450">
        <f>'C4-Sources'!BG28/'C4-Sources'!C28*100</f>
        <v>4.5974373257532362</v>
      </c>
      <c r="J27" s="450">
        <f t="shared" si="0"/>
        <v>12.195362828717492</v>
      </c>
      <c r="L27" s="450">
        <f>'C4-Sources'!L28/'C4-Sources'!D28*100</f>
        <v>42.566928751977471</v>
      </c>
      <c r="M27" s="450">
        <f>'C4-Sources'!T28/'C4-Sources'!D28*100</f>
        <v>13.080842837463774</v>
      </c>
      <c r="N27" s="450">
        <f>'C4-Sources'!AB28/'C4-Sources'!D28*100</f>
        <v>6.7404874261242993</v>
      </c>
      <c r="O27" s="450">
        <f>'C4-Sources'!AJ28/'C4-Sources'!D28*100</f>
        <v>9.586230447600558</v>
      </c>
      <c r="P27" s="450">
        <f>'C4-Sources'!AR28/'C4-Sources'!D28*100</f>
        <v>7.5949823864717176</v>
      </c>
      <c r="Q27" s="450">
        <f>'C4-Sources'!AZ28/'C4-Sources'!D28*100</f>
        <v>3.435677673763228</v>
      </c>
      <c r="R27" s="450">
        <f>'C4-Sources'!BH28/'C4-Sources'!D28*100</f>
        <v>3.9645319708936895</v>
      </c>
      <c r="S27" s="450">
        <f t="shared" si="1"/>
        <v>13.030318505705267</v>
      </c>
      <c r="U27" s="450">
        <f>'C4-Sources'!M28/'C4-Sources'!E28*100</f>
        <v>28.621679566354818</v>
      </c>
      <c r="V27" s="450">
        <f>'C4-Sources'!U28/'C4-Sources'!E28*100</f>
        <v>16.261957232798007</v>
      </c>
      <c r="W27" s="450">
        <f>'C4-Sources'!AC28/'C4-Sources'!E28*100</f>
        <v>10.626850629478898</v>
      </c>
      <c r="X27" s="450">
        <f>'C4-Sources'!AK28/'C4-Sources'!E28*100</f>
        <v>12.154415903218577</v>
      </c>
      <c r="Y27" s="450">
        <f>'C4-Sources'!AS28/'C4-Sources'!E28*100</f>
        <v>11.731882672461239</v>
      </c>
      <c r="Z27" s="450">
        <f>'C4-Sources'!BA28/'C4-Sources'!E28*100</f>
        <v>4.3068106927168728</v>
      </c>
      <c r="AA27" s="450">
        <f>'C4-Sources'!BI28/'C4-Sources'!E28*100</f>
        <v>2.6256275748480009</v>
      </c>
      <c r="AB27" s="450">
        <f t="shared" si="2"/>
        <v>13.670775728123587</v>
      </c>
      <c r="AD27" s="450">
        <f>'C4-Sources'!N28/'C4-Sources'!F28*100</f>
        <v>24.512421206920486</v>
      </c>
      <c r="AE27" s="450">
        <f>'C4-Sources'!V28/'C4-Sources'!F28*100</f>
        <v>16.506488790912321</v>
      </c>
      <c r="AF27" s="450">
        <f>'C4-Sources'!AD28/'C4-Sources'!F28*100</f>
        <v>11.911113500503488</v>
      </c>
      <c r="AG27" s="450">
        <f>'C4-Sources'!AL28/'C4-Sources'!F28*100</f>
        <v>12.722128614365054</v>
      </c>
      <c r="AH27" s="450">
        <f>'C4-Sources'!AT28/'C4-Sources'!F28*100</f>
        <v>13.326572578621082</v>
      </c>
      <c r="AI27" s="450">
        <f>'C4-Sources'!BB28/'C4-Sources'!F28*100</f>
        <v>4.6357243647102413</v>
      </c>
      <c r="AJ27" s="450">
        <f>'C4-Sources'!BJ28/'C4-Sources'!F28*100</f>
        <v>2.2144341222303829</v>
      </c>
      <c r="AK27" s="450">
        <f t="shared" si="3"/>
        <v>14.171116821736945</v>
      </c>
      <c r="AM27" s="450">
        <f>'C4-Sources'!O28/'C4-Sources'!G28*100</f>
        <v>16.925949895415066</v>
      </c>
      <c r="AN27" s="450">
        <f>'C4-Sources'!W28/'C4-Sources'!G28*100</f>
        <v>16.886278063775872</v>
      </c>
      <c r="AO27" s="450">
        <f>'C4-Sources'!AE28/'C4-Sources'!G28*100</f>
        <v>14.692000248792333</v>
      </c>
      <c r="AP27" s="450">
        <f>'C4-Sources'!AM28/'C4-Sources'!G28*100</f>
        <v>13.892593941052612</v>
      </c>
      <c r="AQ27" s="450">
        <f>'C4-Sources'!AU28/'C4-Sources'!G28*100</f>
        <v>16.87016022773032</v>
      </c>
      <c r="AR27" s="450">
        <f>'C4-Sources'!BC28/'C4-Sources'!G28*100</f>
        <v>5.3988518811652693</v>
      </c>
      <c r="AS27" s="450">
        <f>'C4-Sources'!BK28/'C4-Sources'!G28*100</f>
        <v>1.4847154065596131</v>
      </c>
      <c r="AT27" s="450">
        <f t="shared" si="4"/>
        <v>13.849450335508919</v>
      </c>
      <c r="AV27" s="450">
        <f>'C4-Sources'!P28/'C4-Sources'!H28*100</f>
        <v>9.3695252208499475</v>
      </c>
      <c r="AW27" s="450">
        <f>'C4-Sources'!X28/'C4-Sources'!H28*100</f>
        <v>17.627702123514545</v>
      </c>
      <c r="AX27" s="450">
        <f>'C4-Sources'!AF28/'C4-Sources'!H28*100</f>
        <v>18.032999899015909</v>
      </c>
      <c r="AY27" s="450">
        <f>'C4-Sources'!AN28/'C4-Sources'!H28*100</f>
        <v>13.897702339915021</v>
      </c>
      <c r="AZ27" s="450">
        <f>'C4-Sources'!AV28/'C4-Sources'!H28*100</f>
        <v>21.086887869641764</v>
      </c>
      <c r="BA27" s="450">
        <f>'C4-Sources'!BD28/'C4-Sources'!H28*100</f>
        <v>6.3434423735619934</v>
      </c>
      <c r="BB27" s="450">
        <f>'C4-Sources'!BL28/'C4-Sources'!H28*100</f>
        <v>0.83049029177132605</v>
      </c>
      <c r="BC27" s="450">
        <f t="shared" si="5"/>
        <v>12.811249881729481</v>
      </c>
      <c r="BD27" s="453"/>
      <c r="BE27" s="453"/>
      <c r="BF27" s="453"/>
      <c r="BG27" s="453"/>
      <c r="BH27" s="454"/>
      <c r="BI27" s="452"/>
      <c r="BJ27" s="452"/>
    </row>
    <row r="28" spans="1:62" s="173" customFormat="1" ht="12" x14ac:dyDescent="0.25">
      <c r="A28" s="239">
        <v>1982</v>
      </c>
      <c r="B28" s="449"/>
      <c r="C28" s="450">
        <f>'C4-Sources'!K29/'C4-Sources'!C29*100</f>
        <v>53.467109237535581</v>
      </c>
      <c r="D28" s="450">
        <f>'C4-Sources'!S29/'C4-Sources'!C29*100</f>
        <v>10.040922259210049</v>
      </c>
      <c r="E28" s="450">
        <f>'C4-Sources'!AA29/'C4-Sources'!C29*100</f>
        <v>5.022967561882707</v>
      </c>
      <c r="F28" s="450">
        <f>'C4-Sources'!AI29/'C4-Sources'!C29*100</f>
        <v>8.3847689167040773</v>
      </c>
      <c r="G28" s="450">
        <f>'C4-Sources'!AQ29/'C4-Sources'!C29*100</f>
        <v>5.2773995744137467</v>
      </c>
      <c r="H28" s="450">
        <f>'C4-Sources'!AY29/'C4-Sources'!C29*100</f>
        <v>2.1407815925418414</v>
      </c>
      <c r="I28" s="450">
        <f>'C4-Sources'!BG29/'C4-Sources'!C29*100</f>
        <v>5.6255625577374415</v>
      </c>
      <c r="J28" s="450">
        <f t="shared" si="0"/>
        <v>10.040488299974555</v>
      </c>
      <c r="L28" s="450">
        <f>'C4-Sources'!L29/'C4-Sources'!D29*100</f>
        <v>45.879573467487866</v>
      </c>
      <c r="M28" s="450">
        <f>'C4-Sources'!T29/'C4-Sources'!D29*100</f>
        <v>12.43729470056398</v>
      </c>
      <c r="N28" s="450">
        <f>'C4-Sources'!AB29/'C4-Sources'!D29*100</f>
        <v>6.7861915113916895</v>
      </c>
      <c r="O28" s="450">
        <f>'C4-Sources'!AJ29/'C4-Sources'!D29*100</f>
        <v>10.000324620056697</v>
      </c>
      <c r="P28" s="450">
        <f>'C4-Sources'!AR29/'C4-Sources'!D29*100</f>
        <v>6.7420585899460788</v>
      </c>
      <c r="Q28" s="450">
        <f>'C4-Sources'!AZ29/'C4-Sources'!D29*100</f>
        <v>2.3647686211741523</v>
      </c>
      <c r="R28" s="450">
        <f>'C4-Sources'!BH29/'C4-Sources'!D29*100</f>
        <v>4.803196324004241</v>
      </c>
      <c r="S28" s="450">
        <f t="shared" si="1"/>
        <v>10.986592165375285</v>
      </c>
      <c r="U28" s="450">
        <f>'C4-Sources'!M29/'C4-Sources'!E29*100</f>
        <v>31.740899153655111</v>
      </c>
      <c r="V28" s="450">
        <f>'C4-Sources'!U29/'C4-Sources'!E29*100</f>
        <v>16.13991468564214</v>
      </c>
      <c r="W28" s="450">
        <f>'C4-Sources'!AC29/'C4-Sources'!E29*100</f>
        <v>10.77408426806735</v>
      </c>
      <c r="X28" s="450">
        <f>'C4-Sources'!AK29/'C4-Sources'!E29*100</f>
        <v>12.680692530681137</v>
      </c>
      <c r="Y28" s="450">
        <f>'C4-Sources'!AS29/'C4-Sources'!E29*100</f>
        <v>10.452433567327756</v>
      </c>
      <c r="Z28" s="450">
        <f>'C4-Sources'!BA29/'C4-Sources'!E29*100</f>
        <v>2.9532126953688569</v>
      </c>
      <c r="AA28" s="450">
        <f>'C4-Sources'!BI29/'C4-Sources'!E29*100</f>
        <v>3.2328076871440721</v>
      </c>
      <c r="AB28" s="450">
        <f t="shared" si="2"/>
        <v>12.025955412113575</v>
      </c>
      <c r="AD28" s="450">
        <f>'C4-Sources'!N29/'C4-Sources'!F29*100</f>
        <v>27.21728338322697</v>
      </c>
      <c r="AE28" s="450">
        <f>'C4-Sources'!V29/'C4-Sources'!F29*100</f>
        <v>16.930921743988431</v>
      </c>
      <c r="AF28" s="450">
        <f>'C4-Sources'!AD29/'C4-Sources'!F29*100</f>
        <v>12.244931807946433</v>
      </c>
      <c r="AG28" s="450">
        <f>'C4-Sources'!AL29/'C4-Sources'!F29*100</f>
        <v>13.110681619453441</v>
      </c>
      <c r="AH28" s="450">
        <f>'C4-Sources'!AT29/'C4-Sources'!F29*100</f>
        <v>11.962369674201932</v>
      </c>
      <c r="AI28" s="450">
        <f>'C4-Sources'!BB29/'C4-Sources'!F29*100</f>
        <v>3.1802815289122597</v>
      </c>
      <c r="AJ28" s="450">
        <f>'C4-Sources'!BJ29/'C4-Sources'!F29*100</f>
        <v>2.706018456266301</v>
      </c>
      <c r="AK28" s="450">
        <f t="shared" si="3"/>
        <v>12.647511786004216</v>
      </c>
      <c r="AM28" s="450">
        <f>'C4-Sources'!O29/'C4-Sources'!G29*100</f>
        <v>17.885822896236693</v>
      </c>
      <c r="AN28" s="450">
        <f>'C4-Sources'!W29/'C4-Sources'!G29*100</f>
        <v>18.239731374493104</v>
      </c>
      <c r="AO28" s="450">
        <f>'C4-Sources'!AE29/'C4-Sources'!G29*100</f>
        <v>15.727727065491001</v>
      </c>
      <c r="AP28" s="450">
        <f>'C4-Sources'!AM29/'C4-Sources'!G29*100</f>
        <v>14.817882051593498</v>
      </c>
      <c r="AQ28" s="450">
        <f>'C4-Sources'!AU29/'C4-Sources'!G29*100</f>
        <v>15.577103072029367</v>
      </c>
      <c r="AR28" s="450">
        <f>'C4-Sources'!BC29/'C4-Sources'!G29*100</f>
        <v>3.791201178969132</v>
      </c>
      <c r="AS28" s="450">
        <f>'C4-Sources'!BK29/'C4-Sources'!G29*100</f>
        <v>1.7521810417697392</v>
      </c>
      <c r="AT28" s="450">
        <f t="shared" si="4"/>
        <v>12.208351319417474</v>
      </c>
      <c r="AV28" s="450">
        <f>'C4-Sources'!P29/'C4-Sources'!H29*100</f>
        <v>9.9035104145945692</v>
      </c>
      <c r="AW28" s="450">
        <f>'C4-Sources'!X29/'C4-Sources'!H29*100</f>
        <v>20.23029481479713</v>
      </c>
      <c r="AX28" s="450">
        <f>'C4-Sources'!AF29/'C4-Sources'!H29*100</f>
        <v>18.712186286859524</v>
      </c>
      <c r="AY28" s="450">
        <f>'C4-Sources'!AN29/'C4-Sources'!H29*100</f>
        <v>15.802296811904146</v>
      </c>
      <c r="AZ28" s="450">
        <f>'C4-Sources'!AV29/'C4-Sources'!H29*100</f>
        <v>19.065656056674481</v>
      </c>
      <c r="BA28" s="450">
        <f>'C4-Sources'!BD29/'C4-Sources'!H29*100</f>
        <v>4.3949419895970738</v>
      </c>
      <c r="BB28" s="450">
        <f>'C4-Sources'!BL29/'C4-Sources'!H29*100</f>
        <v>0.94424291440504149</v>
      </c>
      <c r="BC28" s="450">
        <f t="shared" si="5"/>
        <v>10.946870711168046</v>
      </c>
      <c r="BD28" s="453"/>
      <c r="BE28" s="453"/>
      <c r="BF28" s="453"/>
      <c r="BG28" s="453"/>
      <c r="BH28" s="454"/>
      <c r="BI28" s="452"/>
      <c r="BJ28" s="452"/>
    </row>
    <row r="29" spans="1:62" s="173" customFormat="1" ht="12" x14ac:dyDescent="0.25">
      <c r="A29" s="239">
        <v>1983</v>
      </c>
      <c r="B29" s="449"/>
      <c r="C29" s="450">
        <f>'C4-Sources'!K30/'C4-Sources'!C30*100</f>
        <v>53.966537109483028</v>
      </c>
      <c r="D29" s="450">
        <f>'C4-Sources'!S30/'C4-Sources'!C30*100</f>
        <v>9.9186705201478187</v>
      </c>
      <c r="E29" s="450">
        <f>'C4-Sources'!AA30/'C4-Sources'!C30*100</f>
        <v>4.4164892878845636</v>
      </c>
      <c r="F29" s="450">
        <f>'C4-Sources'!AI30/'C4-Sources'!C30*100</f>
        <v>7.5182074295031143</v>
      </c>
      <c r="G29" s="450">
        <f>'C4-Sources'!AQ30/'C4-Sources'!C30*100</f>
        <v>6.3322329492758396</v>
      </c>
      <c r="H29" s="450">
        <f>'C4-Sources'!AY30/'C4-Sources'!C30*100</f>
        <v>2.5222744100481806</v>
      </c>
      <c r="I29" s="450">
        <f>'C4-Sources'!BG30/'C4-Sources'!C30*100</f>
        <v>6.083437103059409</v>
      </c>
      <c r="J29" s="450">
        <f t="shared" si="0"/>
        <v>9.2421511905980367</v>
      </c>
      <c r="L29" s="450">
        <f>'C4-Sources'!L30/'C4-Sources'!D30*100</f>
        <v>47.48728532279047</v>
      </c>
      <c r="M29" s="450">
        <f>'C4-Sources'!T30/'C4-Sources'!D30*100</f>
        <v>12.086316030874659</v>
      </c>
      <c r="N29" s="450">
        <f>'C4-Sources'!AB30/'C4-Sources'!D30*100</f>
        <v>5.9222659916904314</v>
      </c>
      <c r="O29" s="450">
        <f>'C4-Sources'!AJ30/'C4-Sources'!D30*100</f>
        <v>8.8848339926002868</v>
      </c>
      <c r="P29" s="450">
        <f>'C4-Sources'!AR30/'C4-Sources'!D30*100</f>
        <v>7.9471172274921384</v>
      </c>
      <c r="Q29" s="450">
        <f>'C4-Sources'!AZ30/'C4-Sources'!D30*100</f>
        <v>2.7585861106901026</v>
      </c>
      <c r="R29" s="450">
        <f>'C4-Sources'!BH30/'C4-Sources'!D30*100</f>
        <v>5.3353516473951244</v>
      </c>
      <c r="S29" s="450">
        <f t="shared" si="1"/>
        <v>9.5782436764667693</v>
      </c>
      <c r="U29" s="450">
        <f>'C4-Sources'!M30/'C4-Sources'!E30*100</f>
        <v>33.107688345769283</v>
      </c>
      <c r="V29" s="450">
        <f>'C4-Sources'!U30/'C4-Sources'!E30*100</f>
        <v>16.166602268777279</v>
      </c>
      <c r="W29" s="450">
        <f>'C4-Sources'!AC30/'C4-Sources'!E30*100</f>
        <v>9.5507294718284346</v>
      </c>
      <c r="X29" s="450">
        <f>'C4-Sources'!AK30/'C4-Sources'!E30*100</f>
        <v>11.2311178337148</v>
      </c>
      <c r="Y29" s="450">
        <f>'C4-Sources'!AS30/'C4-Sources'!E30*100</f>
        <v>12.113298927081887</v>
      </c>
      <c r="Z29" s="450">
        <f>'C4-Sources'!BA30/'C4-Sources'!E30*100</f>
        <v>3.3631276478027501</v>
      </c>
      <c r="AA29" s="450">
        <f>'C4-Sources'!BI30/'C4-Sources'!E30*100</f>
        <v>3.7063730412611324</v>
      </c>
      <c r="AB29" s="450">
        <f t="shared" si="2"/>
        <v>10.761062463764432</v>
      </c>
      <c r="AD29" s="450">
        <f>'C4-Sources'!N30/'C4-Sources'!F30*100</f>
        <v>28.77534866583844</v>
      </c>
      <c r="AE29" s="450">
        <f>'C4-Sources'!V30/'C4-Sources'!F30*100</f>
        <v>17.000339401225006</v>
      </c>
      <c r="AF29" s="450">
        <f>'C4-Sources'!AD30/'C4-Sources'!F30*100</f>
        <v>10.762612810517586</v>
      </c>
      <c r="AG29" s="450">
        <f>'C4-Sources'!AL30/'C4-Sources'!F30*100</f>
        <v>11.730158008919506</v>
      </c>
      <c r="AH29" s="450">
        <f>'C4-Sources'!AT30/'C4-Sources'!F30*100</f>
        <v>13.637215808790582</v>
      </c>
      <c r="AI29" s="450">
        <f>'C4-Sources'!BB30/'C4-Sources'!F30*100</f>
        <v>3.578321526927339</v>
      </c>
      <c r="AJ29" s="450">
        <f>'C4-Sources'!BJ30/'C4-Sources'!F30*100</f>
        <v>3.1672948815297133</v>
      </c>
      <c r="AK29" s="450">
        <f t="shared" si="3"/>
        <v>11.348708896251821</v>
      </c>
      <c r="AM29" s="450">
        <f>'C4-Sources'!O30/'C4-Sources'!G30*100</f>
        <v>20.682696507743838</v>
      </c>
      <c r="AN29" s="450">
        <f>'C4-Sources'!W30/'C4-Sources'!G30*100</f>
        <v>18.715170640027573</v>
      </c>
      <c r="AO29" s="450">
        <f>'C4-Sources'!AE30/'C4-Sources'!G30*100</f>
        <v>13.190085819580876</v>
      </c>
      <c r="AP29" s="450">
        <f>'C4-Sources'!AM30/'C4-Sources'!G30*100</f>
        <v>12.601717004571213</v>
      </c>
      <c r="AQ29" s="450">
        <f>'C4-Sources'!AU30/'C4-Sources'!G30*100</f>
        <v>16.93774343855382</v>
      </c>
      <c r="AR29" s="450">
        <f>'C4-Sources'!BC30/'C4-Sources'!G30*100</f>
        <v>4.0665548767092119</v>
      </c>
      <c r="AS29" s="450">
        <f>'C4-Sources'!BK30/'C4-Sources'!G30*100</f>
        <v>2.1802200610582383</v>
      </c>
      <c r="AT29" s="450">
        <f t="shared" si="4"/>
        <v>11.625811651755242</v>
      </c>
      <c r="AV29" s="450">
        <f>'C4-Sources'!P30/'C4-Sources'!H30*100</f>
        <v>12.34878815431659</v>
      </c>
      <c r="AW29" s="450">
        <f>'C4-Sources'!X30/'C4-Sources'!H30*100</f>
        <v>22.414406144754444</v>
      </c>
      <c r="AX29" s="450">
        <f>'C4-Sources'!AF30/'C4-Sources'!H30*100</f>
        <v>15.773375285183583</v>
      </c>
      <c r="AY29" s="450">
        <f>'C4-Sources'!AN30/'C4-Sources'!H30*100</f>
        <v>12.691687015600749</v>
      </c>
      <c r="AZ29" s="450">
        <f>'C4-Sources'!AV30/'C4-Sources'!H30*100</f>
        <v>19.967437874605302</v>
      </c>
      <c r="BA29" s="450">
        <f>'C4-Sources'!BD30/'C4-Sources'!H30*100</f>
        <v>4.4996605864912764</v>
      </c>
      <c r="BB29" s="450">
        <f>'C4-Sources'!BL30/'C4-Sources'!H30*100</f>
        <v>1.2001759237976644</v>
      </c>
      <c r="BC29" s="450">
        <f t="shared" si="5"/>
        <v>11.104469015250402</v>
      </c>
      <c r="BD29" s="453"/>
      <c r="BE29" s="453"/>
      <c r="BF29" s="453"/>
      <c r="BG29" s="453"/>
      <c r="BH29" s="454"/>
      <c r="BI29" s="452"/>
      <c r="BJ29" s="452"/>
    </row>
    <row r="30" spans="1:62" s="173" customFormat="1" ht="12" x14ac:dyDescent="0.25">
      <c r="A30" s="239">
        <v>1984</v>
      </c>
      <c r="B30" s="449"/>
      <c r="C30" s="450">
        <f>'C4-Sources'!K31/'C4-Sources'!C31*100</f>
        <v>52.414075625072634</v>
      </c>
      <c r="D30" s="450">
        <f>'C4-Sources'!S31/'C4-Sources'!C31*100</f>
        <v>11.087090497264256</v>
      </c>
      <c r="E30" s="450">
        <f>'C4-Sources'!AA31/'C4-Sources'!C31*100</f>
        <v>3.8691838330471779</v>
      </c>
      <c r="F30" s="450">
        <f>'C4-Sources'!AI31/'C4-Sources'!C31*100</f>
        <v>7.8558015168120496</v>
      </c>
      <c r="G30" s="450">
        <f>'C4-Sources'!AQ31/'C4-Sources'!C31*100</f>
        <v>6.7943480532747724</v>
      </c>
      <c r="H30" s="450">
        <f>'C4-Sources'!AY31/'C4-Sources'!C31*100</f>
        <v>2.6068987395370153</v>
      </c>
      <c r="I30" s="450">
        <f>'C4-Sources'!BG31/'C4-Sources'!C31*100</f>
        <v>6.6467100467324682</v>
      </c>
      <c r="J30" s="450">
        <f t="shared" si="0"/>
        <v>8.7258916882596225</v>
      </c>
      <c r="L30" s="450">
        <f>'C4-Sources'!L31/'C4-Sources'!D31*100</f>
        <v>45.953334903567914</v>
      </c>
      <c r="M30" s="450">
        <f>'C4-Sources'!T31/'C4-Sources'!D31*100</f>
        <v>13.397904183093118</v>
      </c>
      <c r="N30" s="450">
        <f>'C4-Sources'!AB31/'C4-Sources'!D31*100</f>
        <v>5.0997973365216858</v>
      </c>
      <c r="O30" s="450">
        <f>'C4-Sources'!AJ31/'C4-Sources'!D31*100</f>
        <v>9.2166704977121743</v>
      </c>
      <c r="P30" s="450">
        <f>'C4-Sources'!AR31/'C4-Sources'!D31*100</f>
        <v>8.3150850842261068</v>
      </c>
      <c r="Q30" s="450">
        <f>'C4-Sources'!AZ31/'C4-Sources'!D31*100</f>
        <v>2.7719756160452027</v>
      </c>
      <c r="R30" s="450">
        <f>'C4-Sources'!BH31/'C4-Sources'!D31*100</f>
        <v>6.1971336553069705</v>
      </c>
      <c r="S30" s="450">
        <f t="shared" si="1"/>
        <v>9.0480987235268344</v>
      </c>
      <c r="U30" s="450">
        <f>'C4-Sources'!M31/'C4-Sources'!E31*100</f>
        <v>32.832670585420637</v>
      </c>
      <c r="V30" s="450">
        <f>'C4-Sources'!U31/'C4-Sources'!E31*100</f>
        <v>17.586432165513372</v>
      </c>
      <c r="W30" s="450">
        <f>'C4-Sources'!AC31/'C4-Sources'!E31*100</f>
        <v>7.9686176168944733</v>
      </c>
      <c r="X30" s="450">
        <f>'C4-Sources'!AK31/'C4-Sources'!E31*100</f>
        <v>11.781103198921011</v>
      </c>
      <c r="Y30" s="450">
        <f>'C4-Sources'!AS31/'C4-Sources'!E31*100</f>
        <v>12.24339667960788</v>
      </c>
      <c r="Z30" s="450">
        <f>'C4-Sources'!BA31/'C4-Sources'!E31*100</f>
        <v>3.241800693541975</v>
      </c>
      <c r="AA30" s="450">
        <f>'C4-Sources'!BI31/'C4-Sources'!E31*100</f>
        <v>5.9645214788879297</v>
      </c>
      <c r="AB30" s="450">
        <f t="shared" si="2"/>
        <v>8.3814575812127146</v>
      </c>
      <c r="AD30" s="450">
        <f>'C4-Sources'!N31/'C4-Sources'!F31*100</f>
        <v>29.296801748456758</v>
      </c>
      <c r="AE30" s="450">
        <f>'C4-Sources'!V31/'C4-Sources'!F31*100</f>
        <v>18.428382119365367</v>
      </c>
      <c r="AF30" s="450">
        <f>'C4-Sources'!AD31/'C4-Sources'!F31*100</f>
        <v>8.6314677590052202</v>
      </c>
      <c r="AG30" s="450">
        <f>'C4-Sources'!AL31/'C4-Sources'!F31*100</f>
        <v>12.214393235898653</v>
      </c>
      <c r="AH30" s="450">
        <f>'C4-Sources'!AT31/'C4-Sources'!F31*100</f>
        <v>13.405544648886835</v>
      </c>
      <c r="AI30" s="450">
        <f>'C4-Sources'!BB31/'C4-Sources'!F31*100</f>
        <v>3.357440121563271</v>
      </c>
      <c r="AJ30" s="450">
        <f>'C4-Sources'!BJ31/'C4-Sources'!F31*100</f>
        <v>6.4988268519697741</v>
      </c>
      <c r="AK30" s="450">
        <f t="shared" si="3"/>
        <v>8.167143514854132</v>
      </c>
      <c r="AM30" s="450">
        <f>'C4-Sources'!O31/'C4-Sources'!G31*100</f>
        <v>22.232045421732835</v>
      </c>
      <c r="AN30" s="450">
        <f>'C4-Sources'!W31/'C4-Sources'!G31*100</f>
        <v>21.088719179810287</v>
      </c>
      <c r="AO30" s="450">
        <f>'C4-Sources'!AE31/'C4-Sources'!G31*100</f>
        <v>10.121531801681929</v>
      </c>
      <c r="AP30" s="450">
        <f>'C4-Sources'!AM31/'C4-Sources'!G31*100</f>
        <v>13.835425835648705</v>
      </c>
      <c r="AQ30" s="450">
        <f>'C4-Sources'!AU31/'C4-Sources'!G31*100</f>
        <v>16.236948809978617</v>
      </c>
      <c r="AR30" s="450">
        <f>'C4-Sources'!BC31/'C4-Sources'!G31*100</f>
        <v>3.7431094171734722</v>
      </c>
      <c r="AS30" s="450">
        <f>'C4-Sources'!BK31/'C4-Sources'!G31*100</f>
        <v>9.1774958761544312</v>
      </c>
      <c r="AT30" s="450">
        <f t="shared" si="4"/>
        <v>3.5647236578197408</v>
      </c>
      <c r="AV30" s="450">
        <f>'C4-Sources'!P31/'C4-Sources'!H31*100</f>
        <v>13.226469812967828</v>
      </c>
      <c r="AW30" s="450">
        <f>'C4-Sources'!X31/'C4-Sources'!H31*100</f>
        <v>26.605048467979785</v>
      </c>
      <c r="AX30" s="450">
        <f>'C4-Sources'!AF31/'C4-Sources'!H31*100</f>
        <v>12.247878087738357</v>
      </c>
      <c r="AY30" s="450">
        <f>'C4-Sources'!AN31/'C4-Sources'!H31*100</f>
        <v>13.24940837362886</v>
      </c>
      <c r="AZ30" s="450">
        <f>'C4-Sources'!AV31/'C4-Sources'!H31*100</f>
        <v>19.597572930318535</v>
      </c>
      <c r="BA30" s="450">
        <f>'C4-Sources'!BD31/'C4-Sources'!H31*100</f>
        <v>4.0804462507730035</v>
      </c>
      <c r="BB30" s="450">
        <f>'C4-Sources'!BL31/'C4-Sources'!H31*100</f>
        <v>1.2266497054543757</v>
      </c>
      <c r="BC30" s="450">
        <f t="shared" si="5"/>
        <v>9.7665263711392498</v>
      </c>
      <c r="BD30" s="453"/>
      <c r="BE30" s="453"/>
      <c r="BF30" s="453"/>
      <c r="BG30" s="453"/>
      <c r="BH30" s="454"/>
      <c r="BI30" s="452"/>
      <c r="BJ30" s="452"/>
    </row>
    <row r="31" spans="1:62" s="173" customFormat="1" ht="12" x14ac:dyDescent="0.25">
      <c r="A31" s="239">
        <v>1985</v>
      </c>
      <c r="B31" s="449"/>
      <c r="C31" s="450">
        <f>'C4-Sources'!K32/'C4-Sources'!C32*100</f>
        <v>53.351161664297251</v>
      </c>
      <c r="D31" s="450">
        <f>'C4-Sources'!S32/'C4-Sources'!C32*100</f>
        <v>10.887226947750641</v>
      </c>
      <c r="E31" s="450">
        <f>'C4-Sources'!AA32/'C4-Sources'!C32*100</f>
        <v>4.0646177375368575</v>
      </c>
      <c r="F31" s="450">
        <f>'C4-Sources'!AI32/'C4-Sources'!C32*100</f>
        <v>7.7638395320031268</v>
      </c>
      <c r="G31" s="450">
        <f>'C4-Sources'!AQ32/'C4-Sources'!C32*100</f>
        <v>6.4798571192068612</v>
      </c>
      <c r="H31" s="450">
        <f>'C4-Sources'!AY32/'C4-Sources'!C32*100</f>
        <v>2.4351631421488991</v>
      </c>
      <c r="I31" s="450">
        <f>'C4-Sources'!BG32/'C4-Sources'!C32*100</f>
        <v>5.9821113045436531</v>
      </c>
      <c r="J31" s="450">
        <f t="shared" si="0"/>
        <v>9.0360225525127191</v>
      </c>
      <c r="L31" s="450">
        <f>'C4-Sources'!L32/'C4-Sources'!D32*100</f>
        <v>47.11743861623588</v>
      </c>
      <c r="M31" s="450">
        <f>'C4-Sources'!T32/'C4-Sources'!D32*100</f>
        <v>13.378712965518996</v>
      </c>
      <c r="N31" s="450">
        <f>'C4-Sources'!AB32/'C4-Sources'!D32*100</f>
        <v>5.3734431632104815</v>
      </c>
      <c r="O31" s="450">
        <f>'C4-Sources'!AJ32/'C4-Sources'!D32*100</f>
        <v>9.2640594494205715</v>
      </c>
      <c r="P31" s="450">
        <f>'C4-Sources'!AR32/'C4-Sources'!D32*100</f>
        <v>7.8373695223614366</v>
      </c>
      <c r="Q31" s="450">
        <f>'C4-Sources'!AZ32/'C4-Sources'!D32*100</f>
        <v>2.5935806446578979</v>
      </c>
      <c r="R31" s="450">
        <f>'C4-Sources'!BH32/'C4-Sources'!D32*100</f>
        <v>5.1918036300714769</v>
      </c>
      <c r="S31" s="450">
        <f t="shared" si="1"/>
        <v>9.2435920085232652</v>
      </c>
      <c r="U31" s="450">
        <f>'C4-Sources'!M32/'C4-Sources'!E32*100</f>
        <v>33.839917810362536</v>
      </c>
      <c r="V31" s="450">
        <f>'C4-Sources'!U32/'C4-Sources'!E32*100</f>
        <v>18.117431874498141</v>
      </c>
      <c r="W31" s="450">
        <f>'C4-Sources'!AC32/'C4-Sources'!E32*100</f>
        <v>8.4197586795463817</v>
      </c>
      <c r="X31" s="450">
        <f>'C4-Sources'!AK32/'C4-Sources'!E32*100</f>
        <v>12.201591476425099</v>
      </c>
      <c r="Y31" s="450">
        <f>'C4-Sources'!AS32/'C4-Sources'!E32*100</f>
        <v>11.371417224650854</v>
      </c>
      <c r="Z31" s="450">
        <f>'C4-Sources'!BA32/'C4-Sources'!E32*100</f>
        <v>3.0370576272649012</v>
      </c>
      <c r="AA31" s="450">
        <f>'C4-Sources'!BI32/'C4-Sources'!E32*100</f>
        <v>3.5343052427960853</v>
      </c>
      <c r="AB31" s="450">
        <f t="shared" si="2"/>
        <v>9.4785200644560064</v>
      </c>
      <c r="AD31" s="450">
        <f>'C4-Sources'!N32/'C4-Sources'!F32*100</f>
        <v>29.4172702680371</v>
      </c>
      <c r="AE31" s="450">
        <f>'C4-Sources'!V32/'C4-Sources'!F32*100</f>
        <v>19.417654995915242</v>
      </c>
      <c r="AF31" s="450">
        <f>'C4-Sources'!AD32/'C4-Sources'!F32*100</f>
        <v>9.6289131670325592</v>
      </c>
      <c r="AG31" s="450">
        <f>'C4-Sources'!AL32/'C4-Sources'!F32*100</f>
        <v>13.220744266976292</v>
      </c>
      <c r="AH31" s="450">
        <f>'C4-Sources'!AT32/'C4-Sources'!F32*100</f>
        <v>12.838038262246579</v>
      </c>
      <c r="AI31" s="450">
        <f>'C4-Sources'!BB32/'C4-Sources'!F32*100</f>
        <v>3.2354207610827177</v>
      </c>
      <c r="AJ31" s="450">
        <f>'C4-Sources'!BJ32/'C4-Sources'!F32*100</f>
        <v>2.9843462491328054</v>
      </c>
      <c r="AK31" s="450">
        <f t="shared" si="3"/>
        <v>9.2576120295767055</v>
      </c>
      <c r="AM31" s="450">
        <f>'C4-Sources'!O32/'C4-Sources'!G32*100</f>
        <v>21.891520912696343</v>
      </c>
      <c r="AN31" s="450">
        <f>'C4-Sources'!W32/'C4-Sources'!G32*100</f>
        <v>23.195172298405577</v>
      </c>
      <c r="AO31" s="450">
        <f>'C4-Sources'!AE32/'C4-Sources'!G32*100</f>
        <v>11.442939258527684</v>
      </c>
      <c r="AP31" s="450">
        <f>'C4-Sources'!AM32/'C4-Sources'!G32*100</f>
        <v>15.058970413553332</v>
      </c>
      <c r="AQ31" s="450">
        <f>'C4-Sources'!AU32/'C4-Sources'!G32*100</f>
        <v>15.308265476396333</v>
      </c>
      <c r="AR31" s="450">
        <f>'C4-Sources'!BC32/'C4-Sources'!G32*100</f>
        <v>3.5868400589678844</v>
      </c>
      <c r="AS31" s="450">
        <f>'C4-Sources'!BK32/'C4-Sources'!G32*100</f>
        <v>2.0489531114756709</v>
      </c>
      <c r="AT31" s="450">
        <f t="shared" si="4"/>
        <v>7.4673384699771788</v>
      </c>
      <c r="AV31" s="450">
        <f>'C4-Sources'!P32/'C4-Sources'!H32*100</f>
        <v>12.578666346339951</v>
      </c>
      <c r="AW31" s="450">
        <f>'C4-Sources'!X32/'C4-Sources'!H32*100</f>
        <v>28.641026002659359</v>
      </c>
      <c r="AX31" s="450">
        <f>'C4-Sources'!AF32/'C4-Sources'!H32*100</f>
        <v>14.032303083212636</v>
      </c>
      <c r="AY31" s="450">
        <f>'C4-Sources'!AN32/'C4-Sources'!H32*100</f>
        <v>17.589803062649604</v>
      </c>
      <c r="AZ31" s="450">
        <f>'C4-Sources'!AV32/'C4-Sources'!H32*100</f>
        <v>18.555449574643148</v>
      </c>
      <c r="BA31" s="450">
        <f>'C4-Sources'!BD32/'C4-Sources'!H32*100</f>
        <v>4.1212489611281944</v>
      </c>
      <c r="BB31" s="450">
        <f>'C4-Sources'!BL32/'C4-Sources'!H32*100</f>
        <v>1.1620873986132332</v>
      </c>
      <c r="BC31" s="450">
        <f t="shared" si="5"/>
        <v>3.3194155707538755</v>
      </c>
      <c r="BD31" s="453"/>
      <c r="BE31" s="453"/>
      <c r="BF31" s="453"/>
      <c r="BG31" s="453"/>
      <c r="BH31" s="454"/>
      <c r="BI31" s="452"/>
      <c r="BJ31" s="452"/>
    </row>
    <row r="32" spans="1:62" s="173" customFormat="1" ht="12" x14ac:dyDescent="0.25">
      <c r="A32" s="239">
        <v>1986</v>
      </c>
      <c r="B32" s="449"/>
      <c r="C32" s="450">
        <f>'C4-Sources'!K33/'C4-Sources'!C33*100</f>
        <v>55.92107209260022</v>
      </c>
      <c r="D32" s="450">
        <f>'C4-Sources'!S33/'C4-Sources'!C33*100</f>
        <v>10.910626834533423</v>
      </c>
      <c r="E32" s="450">
        <f>'C4-Sources'!AA33/'C4-Sources'!C33*100</f>
        <v>4.0414189014599327</v>
      </c>
      <c r="F32" s="450">
        <f>'C4-Sources'!AI33/'C4-Sources'!C33*100</f>
        <v>6.9853115685581226</v>
      </c>
      <c r="G32" s="450">
        <f>'C4-Sources'!AQ33/'C4-Sources'!C33*100</f>
        <v>4.2929941396876936</v>
      </c>
      <c r="H32" s="450">
        <f>'C4-Sources'!AY33/'C4-Sources'!C33*100</f>
        <v>2.6399178509092365</v>
      </c>
      <c r="I32" s="450">
        <f>'C4-Sources'!BG33/'C4-Sources'!C33*100</f>
        <v>6.658096847982109</v>
      </c>
      <c r="J32" s="450">
        <f t="shared" si="0"/>
        <v>8.5505617642692613</v>
      </c>
      <c r="L32" s="450">
        <f>'C4-Sources'!L33/'C4-Sources'!D33*100</f>
        <v>50.021475086586044</v>
      </c>
      <c r="M32" s="450">
        <f>'C4-Sources'!T33/'C4-Sources'!D33*100</f>
        <v>13.287907410889829</v>
      </c>
      <c r="N32" s="450">
        <f>'C4-Sources'!AB33/'C4-Sources'!D33*100</f>
        <v>5.4222377121479033</v>
      </c>
      <c r="O32" s="450">
        <f>'C4-Sources'!AJ33/'C4-Sources'!D33*100</f>
        <v>8.5094583009680793</v>
      </c>
      <c r="P32" s="450">
        <f>'C4-Sources'!AR33/'C4-Sources'!D33*100</f>
        <v>5.2758046295843597</v>
      </c>
      <c r="Q32" s="450">
        <f>'C4-Sources'!AZ33/'C4-Sources'!D33*100</f>
        <v>2.8426964824290479</v>
      </c>
      <c r="R32" s="450">
        <f>'C4-Sources'!BH33/'C4-Sources'!D33*100</f>
        <v>5.8001850594859219</v>
      </c>
      <c r="S32" s="450">
        <f t="shared" si="1"/>
        <v>8.8402353179088209</v>
      </c>
      <c r="U32" s="450">
        <f>'C4-Sources'!M33/'C4-Sources'!E33*100</f>
        <v>37.167042520083946</v>
      </c>
      <c r="V32" s="450">
        <f>'C4-Sources'!U33/'C4-Sources'!E33*100</f>
        <v>18.362475266154096</v>
      </c>
      <c r="W32" s="450">
        <f>'C4-Sources'!AC33/'C4-Sources'!E33*100</f>
        <v>8.5575838112803506</v>
      </c>
      <c r="X32" s="450">
        <f>'C4-Sources'!AK33/'C4-Sources'!E33*100</f>
        <v>11.480761444427797</v>
      </c>
      <c r="Y32" s="450">
        <f>'C4-Sources'!AS33/'C4-Sources'!E33*100</f>
        <v>7.793455466264489</v>
      </c>
      <c r="Z32" s="450">
        <f>'C4-Sources'!BA33/'C4-Sources'!E33*100</f>
        <v>3.4009609047012583</v>
      </c>
      <c r="AA32" s="450">
        <f>'C4-Sources'!BI33/'C4-Sources'!E33*100</f>
        <v>4.040180703903304</v>
      </c>
      <c r="AB32" s="450">
        <f t="shared" si="2"/>
        <v>9.1975398831847457</v>
      </c>
      <c r="AD32" s="450">
        <f>'C4-Sources'!N33/'C4-Sources'!F33*100</f>
        <v>32.908624909317837</v>
      </c>
      <c r="AE32" s="450">
        <f>'C4-Sources'!V33/'C4-Sources'!F33*100</f>
        <v>19.345850731017688</v>
      </c>
      <c r="AF32" s="450">
        <f>'C4-Sources'!AD33/'C4-Sources'!F33*100</f>
        <v>9.6467863461762029</v>
      </c>
      <c r="AG32" s="450">
        <f>'C4-Sources'!AL33/'C4-Sources'!F33*100</f>
        <v>12.304919327423482</v>
      </c>
      <c r="AH32" s="450">
        <f>'C4-Sources'!AT33/'C4-Sources'!F33*100</f>
        <v>8.7804017437528845</v>
      </c>
      <c r="AI32" s="450">
        <f>'C4-Sources'!BB33/'C4-Sources'!F33*100</f>
        <v>3.6129118038980073</v>
      </c>
      <c r="AJ32" s="450">
        <f>'C4-Sources'!BJ33/'C4-Sources'!F33*100</f>
        <v>3.4255410798204462</v>
      </c>
      <c r="AK32" s="450">
        <f t="shared" si="3"/>
        <v>9.9749640585934571</v>
      </c>
      <c r="AM32" s="450">
        <f>'C4-Sources'!O33/'C4-Sources'!G33*100</f>
        <v>21.991640484577822</v>
      </c>
      <c r="AN32" s="450">
        <f>'C4-Sources'!W33/'C4-Sources'!G33*100</f>
        <v>22.399409106360991</v>
      </c>
      <c r="AO32" s="450">
        <f>'C4-Sources'!AE33/'C4-Sources'!G33*100</f>
        <v>13.146836038552678</v>
      </c>
      <c r="AP32" s="450">
        <f>'C4-Sources'!AM33/'C4-Sources'!G33*100</f>
        <v>13.609990716958983</v>
      </c>
      <c r="AQ32" s="450">
        <f>'C4-Sources'!AU33/'C4-Sources'!G33*100</f>
        <v>11.657061634430404</v>
      </c>
      <c r="AR32" s="450">
        <f>'C4-Sources'!BC33/'C4-Sources'!G33*100</f>
        <v>4.2392149769597998</v>
      </c>
      <c r="AS32" s="450">
        <f>'C4-Sources'!BK33/'C4-Sources'!G33*100</f>
        <v>2.2154416990077266</v>
      </c>
      <c r="AT32" s="450">
        <f t="shared" si="4"/>
        <v>10.740405343151593</v>
      </c>
      <c r="AV32" s="450">
        <f>'C4-Sources'!P33/'C4-Sources'!H33*100</f>
        <v>17.705814843384402</v>
      </c>
      <c r="AW32" s="450">
        <f>'C4-Sources'!X33/'C4-Sources'!H33*100</f>
        <v>28.84362113668022</v>
      </c>
      <c r="AX32" s="450">
        <f>'C4-Sources'!AF33/'C4-Sources'!H33*100</f>
        <v>11.780972452011447</v>
      </c>
      <c r="AY32" s="450">
        <f>'C4-Sources'!AN33/'C4-Sources'!H33*100</f>
        <v>14.849067461922619</v>
      </c>
      <c r="AZ32" s="450">
        <f>'C4-Sources'!AV33/'C4-Sources'!H33*100</f>
        <v>11.34565715027958</v>
      </c>
      <c r="BA32" s="450">
        <f>'C4-Sources'!BD33/'C4-Sources'!H33*100</f>
        <v>4.1672201826624367</v>
      </c>
      <c r="BB32" s="450">
        <f>'C4-Sources'!BL33/'C4-Sources'!H33*100</f>
        <v>1.7053757002772902</v>
      </c>
      <c r="BC32" s="450">
        <f t="shared" si="5"/>
        <v>9.6022710727820169</v>
      </c>
      <c r="BD32" s="453"/>
      <c r="BE32" s="453"/>
      <c r="BF32" s="453"/>
      <c r="BG32" s="453"/>
      <c r="BH32" s="454"/>
      <c r="BI32" s="452"/>
      <c r="BJ32" s="452"/>
    </row>
    <row r="33" spans="1:62" s="173" customFormat="1" ht="12" x14ac:dyDescent="0.25">
      <c r="A33" s="239">
        <v>1987</v>
      </c>
      <c r="B33" s="449"/>
      <c r="C33" s="450">
        <f>'C4-Sources'!K34/'C4-Sources'!C34*100</f>
        <v>54.398519526309428</v>
      </c>
      <c r="D33" s="450">
        <f>'C4-Sources'!S34/'C4-Sources'!C34*100</f>
        <v>11.750112960280871</v>
      </c>
      <c r="E33" s="450">
        <f>'C4-Sources'!AA34/'C4-Sources'!C34*100</f>
        <v>3.7591139766443162</v>
      </c>
      <c r="F33" s="450">
        <f>'C4-Sources'!AI34/'C4-Sources'!C34*100</f>
        <v>7.0919394582363999</v>
      </c>
      <c r="G33" s="450">
        <f>'C4-Sources'!AQ34/'C4-Sources'!C34*100</f>
        <v>4.0500927170776748</v>
      </c>
      <c r="H33" s="450">
        <f>'C4-Sources'!AY34/'C4-Sources'!C34*100</f>
        <v>2.8454460413251947</v>
      </c>
      <c r="I33" s="450">
        <f>'C4-Sources'!BG34/'C4-Sources'!C34*100</f>
        <v>6.1376807554467012</v>
      </c>
      <c r="J33" s="450">
        <f t="shared" si="0"/>
        <v>9.967094564679428</v>
      </c>
      <c r="L33" s="450">
        <f>'C4-Sources'!L34/'C4-Sources'!D34*100</f>
        <v>49.013075470456329</v>
      </c>
      <c r="M33" s="450">
        <f>'C4-Sources'!T34/'C4-Sources'!D34*100</f>
        <v>14.345571563310692</v>
      </c>
      <c r="N33" s="450">
        <f>'C4-Sources'!AB34/'C4-Sources'!D34*100</f>
        <v>4.8332808577160398</v>
      </c>
      <c r="O33" s="450">
        <f>'C4-Sources'!AJ34/'C4-Sources'!D34*100</f>
        <v>8.7542792185936911</v>
      </c>
      <c r="P33" s="450">
        <f>'C4-Sources'!AR34/'C4-Sources'!D34*100</f>
        <v>4.7302996162890274</v>
      </c>
      <c r="Q33" s="450">
        <f>'C4-Sources'!AZ34/'C4-Sources'!D34*100</f>
        <v>2.9937209817872232</v>
      </c>
      <c r="R33" s="450">
        <f>'C4-Sources'!BH34/'C4-Sources'!D34*100</f>
        <v>5.3914773652523493</v>
      </c>
      <c r="S33" s="450">
        <f t="shared" si="1"/>
        <v>9.9382949265946365</v>
      </c>
      <c r="U33" s="450">
        <f>'C4-Sources'!M34/'C4-Sources'!E34*100</f>
        <v>38.004701711708336</v>
      </c>
      <c r="V33" s="450">
        <f>'C4-Sources'!U34/'C4-Sources'!E34*100</f>
        <v>19.391475783488215</v>
      </c>
      <c r="W33" s="450">
        <f>'C4-Sources'!AC34/'C4-Sources'!E34*100</f>
        <v>6.994697306576275</v>
      </c>
      <c r="X33" s="450">
        <f>'C4-Sources'!AK34/'C4-Sources'!E34*100</f>
        <v>12.01738035964059</v>
      </c>
      <c r="Y33" s="450">
        <f>'C4-Sources'!AS34/'C4-Sources'!E34*100</f>
        <v>6.2427788591932201</v>
      </c>
      <c r="Z33" s="450">
        <f>'C4-Sources'!BA34/'C4-Sources'!E34*100</f>
        <v>3.3433161249350549</v>
      </c>
      <c r="AA33" s="450">
        <f>'C4-Sources'!BI34/'C4-Sources'!E34*100</f>
        <v>3.8141679058550149</v>
      </c>
      <c r="AB33" s="450">
        <f t="shared" si="2"/>
        <v>10.191481948603283</v>
      </c>
      <c r="AD33" s="450">
        <f>'C4-Sources'!N34/'C4-Sources'!F34*100</f>
        <v>34.706260769675261</v>
      </c>
      <c r="AE33" s="450">
        <f>'C4-Sources'!V34/'C4-Sources'!F34*100</f>
        <v>20.905060119036591</v>
      </c>
      <c r="AF33" s="450">
        <f>'C4-Sources'!AD34/'C4-Sources'!F34*100</f>
        <v>7.5932506471795032</v>
      </c>
      <c r="AG33" s="450">
        <f>'C4-Sources'!AL34/'C4-Sources'!F34*100</f>
        <v>13.138343712513079</v>
      </c>
      <c r="AH33" s="450">
        <f>'C4-Sources'!AT34/'C4-Sources'!F34*100</f>
        <v>6.6926114322851156</v>
      </c>
      <c r="AI33" s="450">
        <f>'C4-Sources'!BB34/'C4-Sources'!F34*100</f>
        <v>3.4522572011564869</v>
      </c>
      <c r="AJ33" s="450">
        <f>'C4-Sources'!BJ34/'C4-Sources'!F34*100</f>
        <v>3.2644745787648262</v>
      </c>
      <c r="AK33" s="450">
        <f t="shared" si="3"/>
        <v>10.247741539389125</v>
      </c>
      <c r="AM33" s="450">
        <f>'C4-Sources'!O34/'C4-Sources'!G34*100</f>
        <v>27.954879707693188</v>
      </c>
      <c r="AN33" s="450">
        <f>'C4-Sources'!W34/'C4-Sources'!G34*100</f>
        <v>24.999807266420682</v>
      </c>
      <c r="AO33" s="450">
        <f>'C4-Sources'!AE34/'C4-Sources'!G34*100</f>
        <v>8.9219683755555579</v>
      </c>
      <c r="AP33" s="450">
        <f>'C4-Sources'!AM34/'C4-Sources'!G34*100</f>
        <v>15.383713165393424</v>
      </c>
      <c r="AQ33" s="450">
        <f>'C4-Sources'!AU34/'C4-Sources'!G34*100</f>
        <v>7.7374486151088426</v>
      </c>
      <c r="AR33" s="450">
        <f>'C4-Sources'!BC34/'C4-Sources'!G34*100</f>
        <v>3.7311197389033999</v>
      </c>
      <c r="AS33" s="450">
        <f>'C4-Sources'!BK34/'C4-Sources'!G34*100</f>
        <v>2.5090324281250496</v>
      </c>
      <c r="AT33" s="450">
        <f t="shared" si="4"/>
        <v>8.7620307027998479</v>
      </c>
      <c r="AV33" s="450">
        <f>'C4-Sources'!P34/'C4-Sources'!H34*100</f>
        <v>18.938262788811265</v>
      </c>
      <c r="AW33" s="450">
        <f>'C4-Sources'!X34/'C4-Sources'!H34*100</f>
        <v>31.759580572659889</v>
      </c>
      <c r="AX33" s="450">
        <f>'C4-Sources'!AF34/'C4-Sources'!H34*100</f>
        <v>10.557590538991056</v>
      </c>
      <c r="AY33" s="450">
        <f>'C4-Sources'!AN34/'C4-Sources'!H34*100</f>
        <v>16.534497825770416</v>
      </c>
      <c r="AZ33" s="450">
        <f>'C4-Sources'!AV34/'C4-Sources'!H34*100</f>
        <v>8.9086887228116289</v>
      </c>
      <c r="BA33" s="450">
        <f>'C4-Sources'!BD34/'C4-Sources'!H34*100</f>
        <v>4.0826592695892785</v>
      </c>
      <c r="BB33" s="450">
        <f>'C4-Sources'!BL34/'C4-Sources'!H34*100</f>
        <v>1.5953704833044906</v>
      </c>
      <c r="BC33" s="450">
        <f t="shared" si="5"/>
        <v>7.6233497980619802</v>
      </c>
      <c r="BD33" s="453"/>
      <c r="BE33" s="453"/>
      <c r="BF33" s="453"/>
      <c r="BG33" s="453"/>
      <c r="BH33" s="454"/>
      <c r="BI33" s="452"/>
      <c r="BJ33" s="452"/>
    </row>
    <row r="34" spans="1:62" s="173" customFormat="1" ht="12" x14ac:dyDescent="0.25">
      <c r="A34" s="239">
        <v>1988</v>
      </c>
      <c r="B34" s="449"/>
      <c r="C34" s="450">
        <f>'C4-Sources'!K35/'C4-Sources'!C35*100</f>
        <v>52.949581454615249</v>
      </c>
      <c r="D34" s="450">
        <f>'C4-Sources'!S35/'C4-Sources'!C35*100</f>
        <v>13.266170199899726</v>
      </c>
      <c r="E34" s="450">
        <f>'C4-Sources'!AA35/'C4-Sources'!C35*100</f>
        <v>4.00327549770142</v>
      </c>
      <c r="F34" s="450">
        <f>'C4-Sources'!AI35/'C4-Sources'!C35*100</f>
        <v>7.0108610122441153</v>
      </c>
      <c r="G34" s="450">
        <f>'C4-Sources'!AQ35/'C4-Sources'!C35*100</f>
        <v>4.4024063817857444</v>
      </c>
      <c r="H34" s="450">
        <f>'C4-Sources'!AY35/'C4-Sources'!C35*100</f>
        <v>2.8717297035764449</v>
      </c>
      <c r="I34" s="450">
        <f>'C4-Sources'!BG35/'C4-Sources'!C35*100</f>
        <v>5.4737327504988098</v>
      </c>
      <c r="J34" s="450">
        <f t="shared" si="0"/>
        <v>10.022242999678483</v>
      </c>
      <c r="L34" s="450">
        <f>'C4-Sources'!L35/'C4-Sources'!D35*100</f>
        <v>47.213036392170082</v>
      </c>
      <c r="M34" s="450">
        <f>'C4-Sources'!T35/'C4-Sources'!D35*100</f>
        <v>16.114810845400779</v>
      </c>
      <c r="N34" s="450">
        <f>'C4-Sources'!AB35/'C4-Sources'!D35*100</f>
        <v>5.1017815520492027</v>
      </c>
      <c r="O34" s="450">
        <f>'C4-Sources'!AJ35/'C4-Sources'!D35*100</f>
        <v>8.4414364503361234</v>
      </c>
      <c r="P34" s="450">
        <f>'C4-Sources'!AR35/'C4-Sources'!D35*100</f>
        <v>5.1549976384978127</v>
      </c>
      <c r="Q34" s="450">
        <f>'C4-Sources'!AZ35/'C4-Sources'!D35*100</f>
        <v>3.016178667990995</v>
      </c>
      <c r="R34" s="450">
        <f>'C4-Sources'!BH35/'C4-Sources'!D35*100</f>
        <v>4.9103091501368645</v>
      </c>
      <c r="S34" s="450">
        <f t="shared" si="1"/>
        <v>10.047449303418119</v>
      </c>
      <c r="U34" s="450">
        <f>'C4-Sources'!M35/'C4-Sources'!E35*100</f>
        <v>36.806254420472364</v>
      </c>
      <c r="V34" s="450">
        <f>'C4-Sources'!U35/'C4-Sources'!E35*100</f>
        <v>21.260825684423406</v>
      </c>
      <c r="W34" s="450">
        <f>'C4-Sources'!AC35/'C4-Sources'!E35*100</f>
        <v>7.1500964555681348</v>
      </c>
      <c r="X34" s="450">
        <f>'C4-Sources'!AK35/'C4-Sources'!E35*100</f>
        <v>10.574830497105918</v>
      </c>
      <c r="Y34" s="450">
        <f>'C4-Sources'!AS35/'C4-Sources'!E35*100</f>
        <v>6.7535508400270965</v>
      </c>
      <c r="Z34" s="450">
        <f>'C4-Sources'!BA35/'C4-Sources'!E35*100</f>
        <v>3.3420031579055682</v>
      </c>
      <c r="AA34" s="450">
        <f>'C4-Sources'!BI35/'C4-Sources'!E35*100</f>
        <v>3.6893963908027905</v>
      </c>
      <c r="AB34" s="450">
        <f t="shared" si="2"/>
        <v>10.423042553694728</v>
      </c>
      <c r="AD34" s="450">
        <f>'C4-Sources'!N35/'C4-Sources'!F35*100</f>
        <v>33.862816313905505</v>
      </c>
      <c r="AE34" s="450">
        <f>'C4-Sources'!V35/'C4-Sources'!F35*100</f>
        <v>22.532335769859372</v>
      </c>
      <c r="AF34" s="450">
        <f>'C4-Sources'!AD35/'C4-Sources'!F35*100</f>
        <v>7.8532629701122136</v>
      </c>
      <c r="AG34" s="450">
        <f>'C4-Sources'!AL35/'C4-Sources'!F35*100</f>
        <v>11.133739711946006</v>
      </c>
      <c r="AH34" s="450">
        <f>'C4-Sources'!AT35/'C4-Sources'!F35*100</f>
        <v>7.3281081553428287</v>
      </c>
      <c r="AI34" s="450">
        <f>'C4-Sources'!BB35/'C4-Sources'!F35*100</f>
        <v>3.4622181544193267</v>
      </c>
      <c r="AJ34" s="450">
        <f>'C4-Sources'!BJ35/'C4-Sources'!F35*100</f>
        <v>3.3324769602590218</v>
      </c>
      <c r="AK34" s="450">
        <f t="shared" si="3"/>
        <v>10.495041964155718</v>
      </c>
      <c r="AM34" s="450">
        <f>'C4-Sources'!O35/'C4-Sources'!G35*100</f>
        <v>26.660772879021572</v>
      </c>
      <c r="AN34" s="450">
        <f>'C4-Sources'!W35/'C4-Sources'!G35*100</f>
        <v>25.684670507339071</v>
      </c>
      <c r="AO34" s="450">
        <f>'C4-Sources'!AE35/'C4-Sources'!G35*100</f>
        <v>9.6988046621389312</v>
      </c>
      <c r="AP34" s="450">
        <f>'C4-Sources'!AM35/'C4-Sources'!G35*100</f>
        <v>12.356881579151811</v>
      </c>
      <c r="AQ34" s="450">
        <f>'C4-Sources'!AU35/'C4-Sources'!G35*100</f>
        <v>8.7447714066212718</v>
      </c>
      <c r="AR34" s="450">
        <f>'C4-Sources'!BC35/'C4-Sources'!G35*100</f>
        <v>3.7845253309306277</v>
      </c>
      <c r="AS34" s="450">
        <f>'C4-Sources'!BK35/'C4-Sources'!G35*100</f>
        <v>2.893910414387423</v>
      </c>
      <c r="AT34" s="450">
        <f t="shared" si="4"/>
        <v>10.175663220409291</v>
      </c>
      <c r="AV34" s="450">
        <f>'C4-Sources'!P35/'C4-Sources'!H35*100</f>
        <v>19.899310499504217</v>
      </c>
      <c r="AW34" s="450">
        <f>'C4-Sources'!X35/'C4-Sources'!H35*100</f>
        <v>28.138238914617332</v>
      </c>
      <c r="AX34" s="450">
        <f>'C4-Sources'!AF35/'C4-Sources'!H35*100</f>
        <v>12.343730773796963</v>
      </c>
      <c r="AY34" s="450">
        <f>'C4-Sources'!AN35/'C4-Sources'!H35*100</f>
        <v>12.499668065183021</v>
      </c>
      <c r="AZ34" s="450">
        <f>'C4-Sources'!AV35/'C4-Sources'!H35*100</f>
        <v>10.627242581461809</v>
      </c>
      <c r="BA34" s="450">
        <f>'C4-Sources'!BD35/'C4-Sources'!H35*100</f>
        <v>4.2213288959771607</v>
      </c>
      <c r="BB34" s="450">
        <f>'C4-Sources'!BL35/'C4-Sources'!H35*100</f>
        <v>1.9924542112249075</v>
      </c>
      <c r="BC34" s="450">
        <f t="shared" si="5"/>
        <v>10.278026058234573</v>
      </c>
      <c r="BD34" s="453"/>
      <c r="BE34" s="453"/>
      <c r="BF34" s="453"/>
      <c r="BG34" s="453"/>
      <c r="BH34" s="454"/>
      <c r="BI34" s="452"/>
      <c r="BJ34" s="452"/>
    </row>
    <row r="35" spans="1:62" s="173" customFormat="1" ht="12" x14ac:dyDescent="0.25">
      <c r="A35" s="239">
        <v>1989</v>
      </c>
      <c r="B35" s="449"/>
      <c r="C35" s="450">
        <f>'C4-Sources'!K36/'C4-Sources'!C36*100</f>
        <v>52.844576914331164</v>
      </c>
      <c r="D35" s="450">
        <f>'C4-Sources'!S36/'C4-Sources'!C36*100</f>
        <v>13.087196892781428</v>
      </c>
      <c r="E35" s="450">
        <f>'C4-Sources'!AA36/'C4-Sources'!C36*100</f>
        <v>3.9125560019729786</v>
      </c>
      <c r="F35" s="450">
        <f>'C4-Sources'!AI36/'C4-Sources'!C36*100</f>
        <v>7.7843640642345528</v>
      </c>
      <c r="G35" s="450">
        <f>'C4-Sources'!AQ36/'C4-Sources'!C36*100</f>
        <v>3.1613058611256482</v>
      </c>
      <c r="H35" s="450">
        <f>'C4-Sources'!AY36/'C4-Sources'!C36*100</f>
        <v>2.7359773262128009</v>
      </c>
      <c r="I35" s="450">
        <f>'C4-Sources'!BG36/'C4-Sources'!C36*100</f>
        <v>5.9821026413922587</v>
      </c>
      <c r="J35" s="450">
        <f t="shared" si="0"/>
        <v>10.491920297949164</v>
      </c>
      <c r="L35" s="450">
        <f>'C4-Sources'!L36/'C4-Sources'!D36*100</f>
        <v>47.088379989881879</v>
      </c>
      <c r="M35" s="450">
        <f>'C4-Sources'!T36/'C4-Sources'!D36*100</f>
        <v>15.981610797501212</v>
      </c>
      <c r="N35" s="450">
        <f>'C4-Sources'!AB36/'C4-Sources'!D36*100</f>
        <v>5.01522553187933</v>
      </c>
      <c r="O35" s="450">
        <f>'C4-Sources'!AJ36/'C4-Sources'!D36*100</f>
        <v>9.3890839015205874</v>
      </c>
      <c r="P35" s="450">
        <f>'C4-Sources'!AR36/'C4-Sources'!D36*100</f>
        <v>3.7084768022311843</v>
      </c>
      <c r="Q35" s="450">
        <f>'C4-Sources'!AZ36/'C4-Sources'!D36*100</f>
        <v>2.8882418011472044</v>
      </c>
      <c r="R35" s="450">
        <f>'C4-Sources'!BH36/'C4-Sources'!D36*100</f>
        <v>5.2757050669853358</v>
      </c>
      <c r="S35" s="450">
        <f t="shared" si="1"/>
        <v>10.653276108853262</v>
      </c>
      <c r="U35" s="450">
        <f>'C4-Sources'!M36/'C4-Sources'!E36*100</f>
        <v>35.196366236837456</v>
      </c>
      <c r="V35" s="450">
        <f>'C4-Sources'!U36/'C4-Sources'!E36*100</f>
        <v>21.798930488691589</v>
      </c>
      <c r="W35" s="450">
        <f>'C4-Sources'!AC36/'C4-Sources'!E36*100</f>
        <v>7.1729731862313182</v>
      </c>
      <c r="X35" s="450">
        <f>'C4-Sources'!AK36/'C4-Sources'!E36*100</f>
        <v>12.557746436656835</v>
      </c>
      <c r="Y35" s="450">
        <f>'C4-Sources'!AS36/'C4-Sources'!E36*100</f>
        <v>4.9130012422564846</v>
      </c>
      <c r="Z35" s="450">
        <f>'C4-Sources'!BA36/'C4-Sources'!E36*100</f>
        <v>3.2738947042532369</v>
      </c>
      <c r="AA35" s="450">
        <f>'C4-Sources'!BI36/'C4-Sources'!E36*100</f>
        <v>3.6813860077554099</v>
      </c>
      <c r="AB35" s="450">
        <f t="shared" si="2"/>
        <v>11.405701697317667</v>
      </c>
      <c r="AD35" s="450">
        <f>'C4-Sources'!N36/'C4-Sources'!F36*100</f>
        <v>31.915208352298201</v>
      </c>
      <c r="AE35" s="450">
        <f>'C4-Sources'!V36/'C4-Sources'!F36*100</f>
        <v>23.228487098990719</v>
      </c>
      <c r="AF35" s="450">
        <f>'C4-Sources'!AD36/'C4-Sources'!F36*100</f>
        <v>7.8711852580885937</v>
      </c>
      <c r="AG35" s="450">
        <f>'C4-Sources'!AL36/'C4-Sources'!F36*100</f>
        <v>13.384470548834908</v>
      </c>
      <c r="AH35" s="450">
        <f>'C4-Sources'!AT36/'C4-Sources'!F36*100</f>
        <v>5.3241685966380743</v>
      </c>
      <c r="AI35" s="450">
        <f>'C4-Sources'!BB36/'C4-Sources'!F36*100</f>
        <v>3.4086615809825616</v>
      </c>
      <c r="AJ35" s="450">
        <f>'C4-Sources'!BJ36/'C4-Sources'!F36*100</f>
        <v>3.2871439632610437</v>
      </c>
      <c r="AK35" s="450">
        <f t="shared" si="3"/>
        <v>11.580674600905894</v>
      </c>
      <c r="AM35" s="450">
        <f>'C4-Sources'!O36/'C4-Sources'!G36*100</f>
        <v>24.86603399213535</v>
      </c>
      <c r="AN35" s="450">
        <f>'C4-Sources'!W36/'C4-Sources'!G36*100</f>
        <v>26.730062576485921</v>
      </c>
      <c r="AO35" s="450">
        <f>'C4-Sources'!AE36/'C4-Sources'!G36*100</f>
        <v>9.4471267439858408</v>
      </c>
      <c r="AP35" s="450">
        <f>'C4-Sources'!AM36/'C4-Sources'!G36*100</f>
        <v>14.992003198916153</v>
      </c>
      <c r="AQ35" s="450">
        <f>'C4-Sources'!AU36/'C4-Sources'!G36*100</f>
        <v>6.2753751467484502</v>
      </c>
      <c r="AR35" s="450">
        <f>'C4-Sources'!BC36/'C4-Sources'!G36*100</f>
        <v>3.7342255619773299</v>
      </c>
      <c r="AS35" s="450">
        <f>'C4-Sources'!BK36/'C4-Sources'!G36*100</f>
        <v>2.5812536612965111</v>
      </c>
      <c r="AT35" s="450">
        <f t="shared" si="4"/>
        <v>11.373919118454452</v>
      </c>
      <c r="AV35" s="450">
        <f>'C4-Sources'!P36/'C4-Sources'!H36*100</f>
        <v>16.300064340406767</v>
      </c>
      <c r="AW35" s="450">
        <f>'C4-Sources'!X36/'C4-Sources'!H36*100</f>
        <v>30.205325493276991</v>
      </c>
      <c r="AX35" s="450">
        <f>'C4-Sources'!AF36/'C4-Sources'!H36*100</f>
        <v>11.988929675632415</v>
      </c>
      <c r="AY35" s="450">
        <f>'C4-Sources'!AN36/'C4-Sources'!H36*100</f>
        <v>16.016997679041143</v>
      </c>
      <c r="AZ35" s="450">
        <f>'C4-Sources'!AV36/'C4-Sources'!H36*100</f>
        <v>7.6840698962666192</v>
      </c>
      <c r="BA35" s="450">
        <f>'C4-Sources'!BD36/'C4-Sources'!H36*100</f>
        <v>4.2129112624435878</v>
      </c>
      <c r="BB35" s="450">
        <f>'C4-Sources'!BL36/'C4-Sources'!H36*100</f>
        <v>1.5062332968392669</v>
      </c>
      <c r="BC35" s="450">
        <f t="shared" si="5"/>
        <v>12.085468356093216</v>
      </c>
      <c r="BD35" s="453"/>
      <c r="BE35" s="453"/>
      <c r="BF35" s="453"/>
      <c r="BG35" s="453"/>
      <c r="BH35" s="454"/>
      <c r="BI35" s="452"/>
      <c r="BJ35" s="452"/>
    </row>
    <row r="36" spans="1:62" s="173" customFormat="1" ht="12" x14ac:dyDescent="0.25">
      <c r="A36" s="239">
        <v>1990</v>
      </c>
      <c r="B36" s="449"/>
      <c r="C36" s="450">
        <f>'C4-Sources'!K37/'C4-Sources'!C37*100</f>
        <v>53.063121542100369</v>
      </c>
      <c r="D36" s="450">
        <f>'C4-Sources'!S37/'C4-Sources'!C37*100</f>
        <v>13.043182004189759</v>
      </c>
      <c r="E36" s="450">
        <f>'C4-Sources'!AA37/'C4-Sources'!C37*100</f>
        <v>3.5823120301279996</v>
      </c>
      <c r="F36" s="450">
        <f>'C4-Sources'!AI37/'C4-Sources'!C37*100</f>
        <v>7.5702160179953362</v>
      </c>
      <c r="G36" s="450">
        <f>'C4-Sources'!AQ37/'C4-Sources'!C37*100</f>
        <v>2.795982193443586</v>
      </c>
      <c r="H36" s="450">
        <f>'C4-Sources'!AY37/'C4-Sources'!C37*100</f>
        <v>2.7414721625970655</v>
      </c>
      <c r="I36" s="450">
        <f>'C4-Sources'!BG37/'C4-Sources'!C37*100</f>
        <v>6.7056249108050743</v>
      </c>
      <c r="J36" s="450">
        <f t="shared" si="0"/>
        <v>10.498089138740824</v>
      </c>
      <c r="L36" s="450">
        <f>'C4-Sources'!L37/'C4-Sources'!D37*100</f>
        <v>47.460219511804759</v>
      </c>
      <c r="M36" s="450">
        <f>'C4-Sources'!T37/'C4-Sources'!D37*100</f>
        <v>16.161125922696762</v>
      </c>
      <c r="N36" s="450">
        <f>'C4-Sources'!AB37/'C4-Sources'!D37*100</f>
        <v>4.5739392840484516</v>
      </c>
      <c r="O36" s="450">
        <f>'C4-Sources'!AJ37/'C4-Sources'!D37*100</f>
        <v>9.0879661523542428</v>
      </c>
      <c r="P36" s="450">
        <f>'C4-Sources'!AR37/'C4-Sources'!D37*100</f>
        <v>3.1810009757979998</v>
      </c>
      <c r="Q36" s="450">
        <f>'C4-Sources'!AZ37/'C4-Sources'!D37*100</f>
        <v>2.8577446513706062</v>
      </c>
      <c r="R36" s="450">
        <f>'C4-Sources'!BH37/'C4-Sources'!D37*100</f>
        <v>6.093128924449422</v>
      </c>
      <c r="S36" s="450">
        <f t="shared" si="1"/>
        <v>10.584874577477763</v>
      </c>
      <c r="U36" s="450">
        <f>'C4-Sources'!M37/'C4-Sources'!E37*100</f>
        <v>36.683381992040992</v>
      </c>
      <c r="V36" s="450">
        <f>'C4-Sources'!U37/'C4-Sources'!E37*100</f>
        <v>22.41253835248984</v>
      </c>
      <c r="W36" s="450">
        <f>'C4-Sources'!AC37/'C4-Sources'!E37*100</f>
        <v>6.6350128544855975</v>
      </c>
      <c r="X36" s="450">
        <f>'C4-Sources'!AK37/'C4-Sources'!E37*100</f>
        <v>12.105435642934765</v>
      </c>
      <c r="Y36" s="450">
        <f>'C4-Sources'!AS37/'C4-Sources'!E37*100</f>
        <v>3.9271948439658027</v>
      </c>
      <c r="Z36" s="450">
        <f>'C4-Sources'!BA37/'C4-Sources'!E37*100</f>
        <v>2.943653224526023</v>
      </c>
      <c r="AA36" s="450">
        <f>'C4-Sources'!BI37/'C4-Sources'!E37*100</f>
        <v>4.1001104217444384</v>
      </c>
      <c r="AB36" s="450">
        <f t="shared" si="2"/>
        <v>11.192672667812545</v>
      </c>
      <c r="AD36" s="450">
        <f>'C4-Sources'!N37/'C4-Sources'!F37*100</f>
        <v>33.441245270386212</v>
      </c>
      <c r="AE36" s="450">
        <f>'C4-Sources'!V37/'C4-Sources'!F37*100</f>
        <v>23.930921286233069</v>
      </c>
      <c r="AF36" s="450">
        <f>'C4-Sources'!AD37/'C4-Sources'!F37*100</f>
        <v>7.4073928079997895</v>
      </c>
      <c r="AG36" s="450">
        <f>'C4-Sources'!AL37/'C4-Sources'!F37*100</f>
        <v>13.120841372305417</v>
      </c>
      <c r="AH36" s="450">
        <f>'C4-Sources'!AT37/'C4-Sources'!F37*100</f>
        <v>4.2729148331382811</v>
      </c>
      <c r="AI36" s="450">
        <f>'C4-Sources'!BB37/'C4-Sources'!F37*100</f>
        <v>3.0476804264027204</v>
      </c>
      <c r="AJ36" s="450">
        <f>'C4-Sources'!BJ37/'C4-Sources'!F37*100</f>
        <v>3.6078642901328513</v>
      </c>
      <c r="AK36" s="450">
        <f t="shared" si="3"/>
        <v>11.171139713401658</v>
      </c>
      <c r="AM36" s="450">
        <f>'C4-Sources'!O37/'C4-Sources'!G37*100</f>
        <v>26.890073636554373</v>
      </c>
      <c r="AN36" s="450">
        <f>'C4-Sources'!W37/'C4-Sources'!G37*100</f>
        <v>26.864967153155341</v>
      </c>
      <c r="AO36" s="450">
        <f>'C4-Sources'!AE37/'C4-Sources'!G37*100</f>
        <v>9.2115039484408179</v>
      </c>
      <c r="AP36" s="450">
        <f>'C4-Sources'!AM37/'C4-Sources'!G37*100</f>
        <v>15.032741393331447</v>
      </c>
      <c r="AQ36" s="450">
        <f>'C4-Sources'!AU37/'C4-Sources'!G37*100</f>
        <v>5.0973372929311136</v>
      </c>
      <c r="AR36" s="450">
        <f>'C4-Sources'!BC37/'C4-Sources'!G37*100</f>
        <v>3.3442610625695828</v>
      </c>
      <c r="AS36" s="450">
        <f>'C4-Sources'!BK37/'C4-Sources'!G37*100</f>
        <v>2.8118592973411016</v>
      </c>
      <c r="AT36" s="450">
        <f t="shared" si="4"/>
        <v>10.747256215676217</v>
      </c>
      <c r="AV36" s="450">
        <f>'C4-Sources'!P37/'C4-Sources'!H37*100</f>
        <v>19.021263416037488</v>
      </c>
      <c r="AW36" s="450">
        <f>'C4-Sources'!X37/'C4-Sources'!H37*100</f>
        <v>30.721256187733953</v>
      </c>
      <c r="AX36" s="450">
        <f>'C4-Sources'!AF37/'C4-Sources'!H37*100</f>
        <v>11.663650568716323</v>
      </c>
      <c r="AY36" s="450">
        <f>'C4-Sources'!AN37/'C4-Sources'!H37*100</f>
        <v>16.308891753438171</v>
      </c>
      <c r="AZ36" s="450">
        <f>'C4-Sources'!AV37/'C4-Sources'!H37*100</f>
        <v>6.1987673934196836</v>
      </c>
      <c r="BA36" s="450">
        <f>'C4-Sources'!BD37/'C4-Sources'!H37*100</f>
        <v>3.7184178673953334</v>
      </c>
      <c r="BB36" s="450">
        <f>'C4-Sources'!BL37/'C4-Sources'!H37*100</f>
        <v>1.7933295706673476</v>
      </c>
      <c r="BC36" s="450">
        <f t="shared" si="5"/>
        <v>10.574423242591692</v>
      </c>
      <c r="BD36" s="453"/>
      <c r="BE36" s="453"/>
      <c r="BF36" s="453"/>
      <c r="BG36" s="453"/>
      <c r="BH36" s="454"/>
      <c r="BI36" s="452"/>
      <c r="BJ36" s="452"/>
    </row>
    <row r="37" spans="1:62" s="173" customFormat="1" ht="12" x14ac:dyDescent="0.25">
      <c r="A37" s="239">
        <v>1991</v>
      </c>
      <c r="B37" s="449"/>
      <c r="C37" s="450">
        <f>'C4-Sources'!K38/'C4-Sources'!C38*100</f>
        <v>52.787012400780284</v>
      </c>
      <c r="D37" s="450">
        <f>'C4-Sources'!S38/'C4-Sources'!C38*100</f>
        <v>12.56872850230436</v>
      </c>
      <c r="E37" s="450">
        <f>'C4-Sources'!AA38/'C4-Sources'!C38*100</f>
        <v>3.381918286713756</v>
      </c>
      <c r="F37" s="450">
        <f>'C4-Sources'!AI38/'C4-Sources'!C38*100</f>
        <v>7.1499648111511007</v>
      </c>
      <c r="G37" s="450">
        <f>'C4-Sources'!AQ38/'C4-Sources'!C38*100</f>
        <v>3.8056418336059585</v>
      </c>
      <c r="H37" s="450">
        <f>'C4-Sources'!AY38/'C4-Sources'!C38*100</f>
        <v>2.8081333513747571</v>
      </c>
      <c r="I37" s="450">
        <f>'C4-Sources'!BG38/'C4-Sources'!C38*100</f>
        <v>6.9600076682579903</v>
      </c>
      <c r="J37" s="450">
        <f t="shared" si="0"/>
        <v>10.538593145811788</v>
      </c>
      <c r="L37" s="450">
        <f>'C4-Sources'!L38/'C4-Sources'!D38*100</f>
        <v>47.464630290924383</v>
      </c>
      <c r="M37" s="450">
        <f>'C4-Sources'!T38/'C4-Sources'!D38*100</f>
        <v>15.536970090285262</v>
      </c>
      <c r="N37" s="450">
        <f>'C4-Sources'!AB38/'C4-Sources'!D38*100</f>
        <v>4.2707510372003146</v>
      </c>
      <c r="O37" s="450">
        <f>'C4-Sources'!AJ38/'C4-Sources'!D38*100</f>
        <v>8.5329488604233976</v>
      </c>
      <c r="P37" s="450">
        <f>'C4-Sources'!AR38/'C4-Sources'!D38*100</f>
        <v>4.3808966130266302</v>
      </c>
      <c r="Q37" s="450">
        <f>'C4-Sources'!AZ38/'C4-Sources'!D38*100</f>
        <v>2.9692591338319305</v>
      </c>
      <c r="R37" s="450">
        <f>'C4-Sources'!BH38/'C4-Sources'!D38*100</f>
        <v>6.4183880937016005</v>
      </c>
      <c r="S37" s="450">
        <f t="shared" si="1"/>
        <v>10.426155880606487</v>
      </c>
      <c r="U37" s="450">
        <f>'C4-Sources'!M38/'C4-Sources'!E38*100</f>
        <v>36.808837381788379</v>
      </c>
      <c r="V37" s="450">
        <f>'C4-Sources'!U38/'C4-Sources'!E38*100</f>
        <v>21.180158087638912</v>
      </c>
      <c r="W37" s="450">
        <f>'C4-Sources'!AC38/'C4-Sources'!E38*100</f>
        <v>6.510238335233252</v>
      </c>
      <c r="X37" s="450">
        <f>'C4-Sources'!AK38/'C4-Sources'!E38*100</f>
        <v>12.131231245053636</v>
      </c>
      <c r="Y37" s="450">
        <f>'C4-Sources'!AS38/'C4-Sources'!E38*100</f>
        <v>5.6576822363301504</v>
      </c>
      <c r="Z37" s="450">
        <f>'C4-Sources'!BA38/'C4-Sources'!E38*100</f>
        <v>3.162985326637739</v>
      </c>
      <c r="AA37" s="450">
        <f>'C4-Sources'!BI38/'C4-Sources'!E38*100</f>
        <v>4.0776670238557315</v>
      </c>
      <c r="AB37" s="450">
        <f t="shared" si="2"/>
        <v>10.471200363462202</v>
      </c>
      <c r="AD37" s="450">
        <f>'C4-Sources'!N38/'C4-Sources'!F38*100</f>
        <v>32.904498398533164</v>
      </c>
      <c r="AE37" s="450">
        <f>'C4-Sources'!V38/'C4-Sources'!F38*100</f>
        <v>22.827751225003407</v>
      </c>
      <c r="AF37" s="450">
        <f>'C4-Sources'!AD38/'C4-Sources'!F38*100</f>
        <v>7.3221975491868196</v>
      </c>
      <c r="AG37" s="450">
        <f>'C4-Sources'!AL38/'C4-Sources'!F38*100</f>
        <v>13.406834764914361</v>
      </c>
      <c r="AH37" s="450">
        <f>'C4-Sources'!AT38/'C4-Sources'!F38*100</f>
        <v>6.2290278892305171</v>
      </c>
      <c r="AI37" s="450">
        <f>'C4-Sources'!BB38/'C4-Sources'!F38*100</f>
        <v>3.3185207133629784</v>
      </c>
      <c r="AJ37" s="450">
        <f>'C4-Sources'!BJ38/'C4-Sources'!F38*100</f>
        <v>3.4899836856840958</v>
      </c>
      <c r="AK37" s="450">
        <f t="shared" si="3"/>
        <v>10.501185774084661</v>
      </c>
      <c r="AM37" s="450">
        <f>'C4-Sources'!O38/'C4-Sources'!G38*100</f>
        <v>25.628024109200631</v>
      </c>
      <c r="AN37" s="450">
        <f>'C4-Sources'!W38/'C4-Sources'!G38*100</f>
        <v>26.085157906721541</v>
      </c>
      <c r="AO37" s="450">
        <f>'C4-Sources'!AE38/'C4-Sources'!G38*100</f>
        <v>9.1267103827211766</v>
      </c>
      <c r="AP37" s="450">
        <f>'C4-Sources'!AM38/'C4-Sources'!G38*100</f>
        <v>15.705029518676946</v>
      </c>
      <c r="AQ37" s="450">
        <f>'C4-Sources'!AU38/'C4-Sources'!G38*100</f>
        <v>7.5720276695477349</v>
      </c>
      <c r="AR37" s="450">
        <f>'C4-Sources'!BC38/'C4-Sources'!G38*100</f>
        <v>3.7256149278145538</v>
      </c>
      <c r="AS37" s="450">
        <f>'C4-Sources'!BK38/'C4-Sources'!G38*100</f>
        <v>2.4079698961733684</v>
      </c>
      <c r="AT37" s="450">
        <f t="shared" si="4"/>
        <v>9.7494655891440516</v>
      </c>
      <c r="AV37" s="450">
        <f>'C4-Sources'!P38/'C4-Sources'!H38*100</f>
        <v>17.306998388924512</v>
      </c>
      <c r="AW37" s="450">
        <f>'C4-Sources'!X38/'C4-Sources'!H38*100</f>
        <v>29.766299117109117</v>
      </c>
      <c r="AX37" s="450">
        <f>'C4-Sources'!AF38/'C4-Sources'!H38*100</f>
        <v>11.598287375408791</v>
      </c>
      <c r="AY37" s="450">
        <f>'C4-Sources'!AN38/'C4-Sources'!H38*100</f>
        <v>17.296617268030385</v>
      </c>
      <c r="AZ37" s="450">
        <f>'C4-Sources'!AV38/'C4-Sources'!H38*100</f>
        <v>9.2941105495060174</v>
      </c>
      <c r="BA37" s="450">
        <f>'C4-Sources'!BD38/'C4-Sources'!H38*100</f>
        <v>4.2463478611076795</v>
      </c>
      <c r="BB37" s="450">
        <f>'C4-Sources'!BL38/'C4-Sources'!H38*100</f>
        <v>1.4072199186992369</v>
      </c>
      <c r="BC37" s="450">
        <f t="shared" si="5"/>
        <v>9.0841195212142622</v>
      </c>
      <c r="BD37" s="453"/>
      <c r="BE37" s="453"/>
      <c r="BF37" s="453"/>
      <c r="BG37" s="453"/>
      <c r="BH37" s="454"/>
      <c r="BI37" s="452"/>
      <c r="BJ37" s="452"/>
    </row>
    <row r="38" spans="1:62" s="173" customFormat="1" ht="12" x14ac:dyDescent="0.25">
      <c r="A38" s="239">
        <v>1992</v>
      </c>
      <c r="B38" s="449"/>
      <c r="C38" s="450">
        <f>'C4-Sources'!K39/'C4-Sources'!C39*100</f>
        <v>53.10429652474641</v>
      </c>
      <c r="D38" s="450">
        <f>'C4-Sources'!S39/'C4-Sources'!C39*100</f>
        <v>12.531391529248712</v>
      </c>
      <c r="E38" s="450">
        <f>'C4-Sources'!AA39/'C4-Sources'!C39*100</f>
        <v>3.1575163452047987</v>
      </c>
      <c r="F38" s="450">
        <f>'C4-Sources'!AI39/'C4-Sources'!C39*100</f>
        <v>5.6258861762435535</v>
      </c>
      <c r="G38" s="450">
        <f>'C4-Sources'!AQ39/'C4-Sources'!C39*100</f>
        <v>3.8061543383849141</v>
      </c>
      <c r="H38" s="450">
        <f>'C4-Sources'!AY39/'C4-Sources'!C39*100</f>
        <v>3.08130945232804</v>
      </c>
      <c r="I38" s="450">
        <f>'C4-Sources'!BG39/'C4-Sources'!C39*100</f>
        <v>7.8639951609120491</v>
      </c>
      <c r="J38" s="450">
        <f t="shared" si="0"/>
        <v>10.829450472931512</v>
      </c>
      <c r="L38" s="450">
        <f>'C4-Sources'!L39/'C4-Sources'!D39*100</f>
        <v>48.460730433259045</v>
      </c>
      <c r="M38" s="450">
        <f>'C4-Sources'!T39/'C4-Sources'!D39*100</f>
        <v>15.287205154892513</v>
      </c>
      <c r="N38" s="450">
        <f>'C4-Sources'!AB39/'C4-Sources'!D39*100</f>
        <v>3.8862597830679428</v>
      </c>
      <c r="O38" s="450">
        <f>'C4-Sources'!AJ39/'C4-Sources'!D39*100</f>
        <v>6.7034330293977593</v>
      </c>
      <c r="P38" s="450">
        <f>'C4-Sources'!AR39/'C4-Sources'!D39*100</f>
        <v>4.3355373482440305</v>
      </c>
      <c r="Q38" s="450">
        <f>'C4-Sources'!AZ39/'C4-Sources'!D39*100</f>
        <v>3.2719003371875206</v>
      </c>
      <c r="R38" s="450">
        <f>'C4-Sources'!BH39/'C4-Sources'!D39*100</f>
        <v>7.3056999224799259</v>
      </c>
      <c r="S38" s="450">
        <f t="shared" si="1"/>
        <v>10.749233991471257</v>
      </c>
      <c r="U38" s="450">
        <f>'C4-Sources'!M39/'C4-Sources'!E39*100</f>
        <v>39.156724018328482</v>
      </c>
      <c r="V38" s="450">
        <f>'C4-Sources'!U39/'C4-Sources'!E39*100</f>
        <v>20.351759457410832</v>
      </c>
      <c r="W38" s="450">
        <f>'C4-Sources'!AC39/'C4-Sources'!E39*100</f>
        <v>5.8209073223184271</v>
      </c>
      <c r="X38" s="450">
        <f>'C4-Sources'!AK39/'C4-Sources'!E39*100</f>
        <v>9.4089997448920339</v>
      </c>
      <c r="Y38" s="450">
        <f>'C4-Sources'!AS39/'C4-Sources'!E39*100</f>
        <v>5.4501606499376525</v>
      </c>
      <c r="Z38" s="450">
        <f>'C4-Sources'!BA39/'C4-Sources'!E39*100</f>
        <v>3.4302793165097545</v>
      </c>
      <c r="AA38" s="450">
        <f>'C4-Sources'!BI39/'C4-Sources'!E39*100</f>
        <v>4.8090817171460571</v>
      </c>
      <c r="AB38" s="450">
        <f t="shared" si="2"/>
        <v>11.572087773456758</v>
      </c>
      <c r="AD38" s="450">
        <f>'C4-Sources'!N39/'C4-Sources'!F39*100</f>
        <v>36.487350460169424</v>
      </c>
      <c r="AE38" s="450">
        <f>'C4-Sources'!V39/'C4-Sources'!F39*100</f>
        <v>21.617678964519719</v>
      </c>
      <c r="AF38" s="450">
        <f>'C4-Sources'!AD39/'C4-Sources'!F39*100</f>
        <v>6.4149436507941155</v>
      </c>
      <c r="AG38" s="450">
        <f>'C4-Sources'!AL39/'C4-Sources'!F39*100</f>
        <v>10.292559818955157</v>
      </c>
      <c r="AH38" s="450">
        <f>'C4-Sources'!AT39/'C4-Sources'!F39*100</f>
        <v>5.9048474753629758</v>
      </c>
      <c r="AI38" s="450">
        <f>'C4-Sources'!BB39/'C4-Sources'!F39*100</f>
        <v>3.5700540960269622</v>
      </c>
      <c r="AJ38" s="450">
        <f>'C4-Sources'!BJ39/'C4-Sources'!F39*100</f>
        <v>4.2508441297078408</v>
      </c>
      <c r="AK38" s="450">
        <f t="shared" si="3"/>
        <v>11.461721404463802</v>
      </c>
      <c r="AM38" s="450">
        <f>'C4-Sources'!O39/'C4-Sources'!G39*100</f>
        <v>31.630417598212464</v>
      </c>
      <c r="AN38" s="450">
        <f>'C4-Sources'!W39/'C4-Sources'!G39*100</f>
        <v>23.731321485189223</v>
      </c>
      <c r="AO38" s="450">
        <f>'C4-Sources'!AE39/'C4-Sources'!G39*100</f>
        <v>8.2005684478222918</v>
      </c>
      <c r="AP38" s="450">
        <f>'C4-Sources'!AM39/'C4-Sources'!G39*100</f>
        <v>11.752272197124745</v>
      </c>
      <c r="AQ38" s="450">
        <f>'C4-Sources'!AU39/'C4-Sources'!G39*100</f>
        <v>7.2364297357312548</v>
      </c>
      <c r="AR38" s="450">
        <f>'C4-Sources'!BC39/'C4-Sources'!G39*100</f>
        <v>4.0335986496634346</v>
      </c>
      <c r="AS38" s="450">
        <f>'C4-Sources'!BK39/'C4-Sources'!G39*100</f>
        <v>3.2645232021097468</v>
      </c>
      <c r="AT38" s="450">
        <f t="shared" si="4"/>
        <v>10.150868684146857</v>
      </c>
      <c r="AV38" s="450">
        <f>'C4-Sources'!P39/'C4-Sources'!H39*100</f>
        <v>25.234263737509345</v>
      </c>
      <c r="AW38" s="450">
        <f>'C4-Sources'!X39/'C4-Sources'!H39*100</f>
        <v>26.639610431483451</v>
      </c>
      <c r="AX38" s="450">
        <f>'C4-Sources'!AF39/'C4-Sources'!H39*100</f>
        <v>10.32113962688147</v>
      </c>
      <c r="AY38" s="450">
        <f>'C4-Sources'!AN39/'C4-Sources'!H39*100</f>
        <v>12.498752625680238</v>
      </c>
      <c r="AZ38" s="450">
        <f>'C4-Sources'!AV39/'C4-Sources'!H39*100</f>
        <v>8.7458705018339131</v>
      </c>
      <c r="BA38" s="450">
        <f>'C4-Sources'!BD39/'C4-Sources'!H39*100</f>
        <v>4.545196127933357</v>
      </c>
      <c r="BB38" s="450">
        <f>'C4-Sources'!BL39/'C4-Sources'!H39*100</f>
        <v>2.1903944888838156</v>
      </c>
      <c r="BC38" s="450">
        <f t="shared" si="5"/>
        <v>9.8247724597944313</v>
      </c>
      <c r="BD38" s="453"/>
      <c r="BE38" s="453"/>
      <c r="BF38" s="453"/>
      <c r="BG38" s="453"/>
      <c r="BH38" s="454"/>
      <c r="BI38" s="452"/>
      <c r="BJ38" s="452"/>
    </row>
    <row r="39" spans="1:62" s="173" customFormat="1" ht="12" x14ac:dyDescent="0.25">
      <c r="A39" s="239">
        <v>1993</v>
      </c>
      <c r="B39" s="449"/>
      <c r="C39" s="450">
        <f>'C4-Sources'!K40/'C4-Sources'!C40*100</f>
        <v>53.040035149930056</v>
      </c>
      <c r="D39" s="450">
        <f>'C4-Sources'!S40/'C4-Sources'!C40*100</f>
        <v>13.006107946725699</v>
      </c>
      <c r="E39" s="450">
        <f>'C4-Sources'!AA40/'C4-Sources'!C40*100</f>
        <v>3.0348828428595636</v>
      </c>
      <c r="F39" s="450">
        <f>'C4-Sources'!AI40/'C4-Sources'!C40*100</f>
        <v>4.8869949097873215</v>
      </c>
      <c r="G39" s="450">
        <f>'C4-Sources'!AQ40/'C4-Sources'!C40*100</f>
        <v>3.8074745059724782</v>
      </c>
      <c r="H39" s="450">
        <f>'C4-Sources'!AY40/'C4-Sources'!C40*100</f>
        <v>3.4374583236180665</v>
      </c>
      <c r="I39" s="450">
        <f>'C4-Sources'!BG40/'C4-Sources'!C40*100</f>
        <v>7.8616857482831382</v>
      </c>
      <c r="J39" s="450">
        <f t="shared" si="0"/>
        <v>10.925360572823692</v>
      </c>
      <c r="L39" s="450">
        <f>'C4-Sources'!L40/'C4-Sources'!D40*100</f>
        <v>48.573365755347965</v>
      </c>
      <c r="M39" s="450">
        <f>'C4-Sources'!T40/'C4-Sources'!D40*100</f>
        <v>15.666343430497456</v>
      </c>
      <c r="N39" s="450">
        <f>'C4-Sources'!AB40/'C4-Sources'!D40*100</f>
        <v>3.7515926328518781</v>
      </c>
      <c r="O39" s="450">
        <f>'C4-Sources'!AJ40/'C4-Sources'!D40*100</f>
        <v>5.9460442164737826</v>
      </c>
      <c r="P39" s="450">
        <f>'C4-Sources'!AR40/'C4-Sources'!D40*100</f>
        <v>4.360689667475163</v>
      </c>
      <c r="Q39" s="450">
        <f>'C4-Sources'!AZ40/'C4-Sources'!D40*100</f>
        <v>3.6878839274514617</v>
      </c>
      <c r="R39" s="450">
        <f>'C4-Sources'!BH40/'C4-Sources'!D40*100</f>
        <v>7.3998211987367251</v>
      </c>
      <c r="S39" s="450">
        <f t="shared" si="1"/>
        <v>10.614259171165571</v>
      </c>
      <c r="U39" s="450">
        <f>'C4-Sources'!M40/'C4-Sources'!E40*100</f>
        <v>39.196163031041038</v>
      </c>
      <c r="V39" s="450">
        <f>'C4-Sources'!U40/'C4-Sources'!E40*100</f>
        <v>20.824622345733566</v>
      </c>
      <c r="W39" s="450">
        <f>'C4-Sources'!AC40/'C4-Sources'!E40*100</f>
        <v>5.6630209807726439</v>
      </c>
      <c r="X39" s="450">
        <f>'C4-Sources'!AK40/'C4-Sources'!E40*100</f>
        <v>8.7457232437263173</v>
      </c>
      <c r="Y39" s="450">
        <f>'C4-Sources'!AS40/'C4-Sources'!E40*100</f>
        <v>5.5643911747999164</v>
      </c>
      <c r="Z39" s="450">
        <f>'C4-Sources'!BA40/'C4-Sources'!E40*100</f>
        <v>3.9609838987608961</v>
      </c>
      <c r="AA39" s="450">
        <f>'C4-Sources'!BI40/'C4-Sources'!E40*100</f>
        <v>4.7297994325299202</v>
      </c>
      <c r="AB39" s="450">
        <f t="shared" si="2"/>
        <v>11.315295892635689</v>
      </c>
      <c r="AD39" s="450">
        <f>'C4-Sources'!N40/'C4-Sources'!F40*100</f>
        <v>35.777464152087425</v>
      </c>
      <c r="AE39" s="450">
        <f>'C4-Sources'!V40/'C4-Sources'!F40*100</f>
        <v>22.657783495118739</v>
      </c>
      <c r="AF39" s="450">
        <f>'C4-Sources'!AD40/'C4-Sources'!F40*100</f>
        <v>6.3638690588227593</v>
      </c>
      <c r="AG39" s="450">
        <f>'C4-Sources'!AL40/'C4-Sources'!F40*100</f>
        <v>9.7441783234566017</v>
      </c>
      <c r="AH39" s="450">
        <f>'C4-Sources'!AT40/'C4-Sources'!F40*100</f>
        <v>6.1064108607114118</v>
      </c>
      <c r="AI39" s="450">
        <f>'C4-Sources'!BB40/'C4-Sources'!F40*100</f>
        <v>4.170828888583288</v>
      </c>
      <c r="AJ39" s="450">
        <f>'C4-Sources'!BJ40/'C4-Sources'!F40*100</f>
        <v>3.9453488472845155</v>
      </c>
      <c r="AK39" s="450">
        <f t="shared" si="3"/>
        <v>11.234116373935251</v>
      </c>
      <c r="AM39" s="450">
        <f>'C4-Sources'!O40/'C4-Sources'!G40*100</f>
        <v>30.118733696925894</v>
      </c>
      <c r="AN39" s="450">
        <f>'C4-Sources'!W40/'C4-Sources'!G40*100</f>
        <v>25.676138269983657</v>
      </c>
      <c r="AO39" s="450">
        <f>'C4-Sources'!AE40/'C4-Sources'!G40*100</f>
        <v>8.1073853280390864</v>
      </c>
      <c r="AP39" s="450">
        <f>'C4-Sources'!AM40/'C4-Sources'!G40*100</f>
        <v>11.417090377753212</v>
      </c>
      <c r="AQ39" s="450">
        <f>'C4-Sources'!AU40/'C4-Sources'!G40*100</f>
        <v>7.5870189284923342</v>
      </c>
      <c r="AR39" s="450">
        <f>'C4-Sources'!BC40/'C4-Sources'!G40*100</f>
        <v>4.8202680696324336</v>
      </c>
      <c r="AS39" s="450">
        <f>'C4-Sources'!BK40/'C4-Sources'!G40*100</f>
        <v>2.9313576391058844</v>
      </c>
      <c r="AT39" s="450">
        <f t="shared" si="4"/>
        <v>9.3420076900675042</v>
      </c>
      <c r="AV39" s="450">
        <f>'C4-Sources'!P40/'C4-Sources'!H40*100</f>
        <v>22.52191670878058</v>
      </c>
      <c r="AW39" s="450">
        <f>'C4-Sources'!X40/'C4-Sources'!H40*100</f>
        <v>29.244008554996164</v>
      </c>
      <c r="AX39" s="450">
        <f>'C4-Sources'!AF40/'C4-Sources'!H40*100</f>
        <v>10.332217990564811</v>
      </c>
      <c r="AY39" s="450">
        <f>'C4-Sources'!AN40/'C4-Sources'!H40*100</f>
        <v>12.656858619346206</v>
      </c>
      <c r="AZ39" s="450">
        <f>'C4-Sources'!AV40/'C4-Sources'!H40*100</f>
        <v>9.367720880544244</v>
      </c>
      <c r="BA39" s="450">
        <f>'C4-Sources'!BD40/'C4-Sources'!H40*100</f>
        <v>5.5956039453876221</v>
      </c>
      <c r="BB39" s="450">
        <f>'C4-Sources'!BL40/'C4-Sources'!H40*100</f>
        <v>1.8286679540581334</v>
      </c>
      <c r="BC39" s="450">
        <f t="shared" si="5"/>
        <v>8.453005346322243</v>
      </c>
      <c r="BD39" s="453"/>
      <c r="BE39" s="453"/>
      <c r="BF39" s="453"/>
      <c r="BG39" s="453"/>
      <c r="BH39" s="454"/>
      <c r="BI39" s="452"/>
      <c r="BJ39" s="452"/>
    </row>
    <row r="40" spans="1:62" s="173" customFormat="1" ht="12" x14ac:dyDescent="0.25">
      <c r="A40" s="239">
        <v>1994</v>
      </c>
      <c r="B40" s="449"/>
      <c r="C40" s="450">
        <f>'C4-Sources'!K41/'C4-Sources'!C41*100</f>
        <v>51.855975572830815</v>
      </c>
      <c r="D40" s="450">
        <f>'C4-Sources'!S41/'C4-Sources'!C41*100</f>
        <v>13.758614307675165</v>
      </c>
      <c r="E40" s="450">
        <f>'C4-Sources'!AA41/'C4-Sources'!C41*100</f>
        <v>3.0013370274355418</v>
      </c>
      <c r="F40" s="450">
        <f>'C4-Sources'!AI41/'C4-Sources'!C41*100</f>
        <v>4.6344006385488958</v>
      </c>
      <c r="G40" s="450">
        <f>'C4-Sources'!AQ41/'C4-Sources'!C41*100</f>
        <v>4.6052077762934776</v>
      </c>
      <c r="H40" s="450">
        <f>'C4-Sources'!AY41/'C4-Sources'!C41*100</f>
        <v>3.5359161066489055</v>
      </c>
      <c r="I40" s="450">
        <f>'C4-Sources'!BG41/'C4-Sources'!C41*100</f>
        <v>7.340794593839699</v>
      </c>
      <c r="J40" s="450">
        <f t="shared" si="0"/>
        <v>11.267753976727491</v>
      </c>
      <c r="L40" s="450">
        <f>'C4-Sources'!L41/'C4-Sources'!D41*100</f>
        <v>46.99308359286092</v>
      </c>
      <c r="M40" s="450">
        <f>'C4-Sources'!T41/'C4-Sources'!D41*100</f>
        <v>16.769865924944671</v>
      </c>
      <c r="N40" s="450">
        <f>'C4-Sources'!AB41/'C4-Sources'!D41*100</f>
        <v>3.7931821245753139</v>
      </c>
      <c r="O40" s="450">
        <f>'C4-Sources'!AJ41/'C4-Sources'!D41*100</f>
        <v>5.7101796588659939</v>
      </c>
      <c r="P40" s="450">
        <f>'C4-Sources'!AR41/'C4-Sources'!D41*100</f>
        <v>5.2769555026111741</v>
      </c>
      <c r="Q40" s="450">
        <f>'C4-Sources'!AZ41/'C4-Sources'!D41*100</f>
        <v>3.8049626929513143</v>
      </c>
      <c r="R40" s="450">
        <f>'C4-Sources'!BH41/'C4-Sources'!D41*100</f>
        <v>6.8219673185494267</v>
      </c>
      <c r="S40" s="450">
        <f t="shared" si="1"/>
        <v>10.829803184641179</v>
      </c>
      <c r="U40" s="450">
        <f>'C4-Sources'!M41/'C4-Sources'!E41*100</f>
        <v>37.085025253062724</v>
      </c>
      <c r="V40" s="450">
        <f>'C4-Sources'!U41/'C4-Sources'!E41*100</f>
        <v>22.594832598974047</v>
      </c>
      <c r="W40" s="450">
        <f>'C4-Sources'!AC41/'C4-Sources'!E41*100</f>
        <v>5.789970882557868</v>
      </c>
      <c r="X40" s="450">
        <f>'C4-Sources'!AK41/'C4-Sources'!E41*100</f>
        <v>8.6223832685120652</v>
      </c>
      <c r="Y40" s="450">
        <f>'C4-Sources'!AS41/'C4-Sources'!E41*100</f>
        <v>6.6417640272361576</v>
      </c>
      <c r="Z40" s="450">
        <f>'C4-Sources'!BA41/'C4-Sources'!E41*100</f>
        <v>4.1215520268413703</v>
      </c>
      <c r="AA40" s="450">
        <f>'C4-Sources'!BI41/'C4-Sources'!E41*100</f>
        <v>4.1046965708339282</v>
      </c>
      <c r="AB40" s="450">
        <f t="shared" si="2"/>
        <v>11.039775371981833</v>
      </c>
      <c r="AD40" s="450">
        <f>'C4-Sources'!N41/'C4-Sources'!F41*100</f>
        <v>32.855095468455495</v>
      </c>
      <c r="AE40" s="450">
        <f>'C4-Sources'!V41/'C4-Sources'!F41*100</f>
        <v>24.752417524844049</v>
      </c>
      <c r="AF40" s="450">
        <f>'C4-Sources'!AD41/'C4-Sources'!F41*100</f>
        <v>6.6813284313316066</v>
      </c>
      <c r="AG40" s="450">
        <f>'C4-Sources'!AL41/'C4-Sources'!F41*100</f>
        <v>9.7447666955386296</v>
      </c>
      <c r="AH40" s="450">
        <f>'C4-Sources'!AT41/'C4-Sources'!F41*100</f>
        <v>7.4000040367299942</v>
      </c>
      <c r="AI40" s="450">
        <f>'C4-Sources'!BB41/'C4-Sources'!F41*100</f>
        <v>4.3940291334474013</v>
      </c>
      <c r="AJ40" s="450">
        <f>'C4-Sources'!BJ41/'C4-Sources'!F41*100</f>
        <v>3.3837675778667262</v>
      </c>
      <c r="AK40" s="450">
        <f t="shared" si="3"/>
        <v>10.788591131786106</v>
      </c>
      <c r="AM40" s="450">
        <f>'C4-Sources'!O41/'C4-Sources'!G41*100</f>
        <v>26.128122046865844</v>
      </c>
      <c r="AN40" s="450">
        <f>'C4-Sources'!W41/'C4-Sources'!G41*100</f>
        <v>28.822201677151931</v>
      </c>
      <c r="AO40" s="450">
        <f>'C4-Sources'!AE41/'C4-Sources'!G41*100</f>
        <v>8.3729255705365393</v>
      </c>
      <c r="AP40" s="450">
        <f>'C4-Sources'!AM41/'C4-Sources'!G41*100</f>
        <v>11.629794873892077</v>
      </c>
      <c r="AQ40" s="450">
        <f>'C4-Sources'!AU41/'C4-Sources'!G41*100</f>
        <v>9.0283374053527563</v>
      </c>
      <c r="AR40" s="450">
        <f>'C4-Sources'!BC41/'C4-Sources'!G41*100</f>
        <v>5.0961393386571068</v>
      </c>
      <c r="AS40" s="450">
        <f>'C4-Sources'!BK41/'C4-Sources'!G41*100</f>
        <v>2.4198731197060952</v>
      </c>
      <c r="AT40" s="450">
        <f t="shared" si="4"/>
        <v>8.5026059678376384</v>
      </c>
      <c r="AV40" s="450">
        <f>'C4-Sources'!P41/'C4-Sources'!H41*100</f>
        <v>18.393634917482036</v>
      </c>
      <c r="AW40" s="450">
        <f>'C4-Sources'!X41/'C4-Sources'!H41*100</f>
        <v>32.484941101404743</v>
      </c>
      <c r="AX40" s="450">
        <f>'C4-Sources'!AF41/'C4-Sources'!H41*100</f>
        <v>10.692918652953523</v>
      </c>
      <c r="AY40" s="450">
        <f>'C4-Sources'!AN41/'C4-Sources'!H41*100</f>
        <v>12.977739623364858</v>
      </c>
      <c r="AZ40" s="450">
        <f>'C4-Sources'!AV41/'C4-Sources'!H41*100</f>
        <v>11.120151632937048</v>
      </c>
      <c r="BA40" s="450">
        <f>'C4-Sources'!BD41/'C4-Sources'!H41*100</f>
        <v>5.9689808919878677</v>
      </c>
      <c r="BB40" s="450">
        <f>'C4-Sources'!BL41/'C4-Sources'!H41*100</f>
        <v>1.3981732569290064</v>
      </c>
      <c r="BC40" s="450">
        <f t="shared" si="5"/>
        <v>6.9634599229409133</v>
      </c>
      <c r="BD40" s="453"/>
      <c r="BE40" s="453"/>
      <c r="BF40" s="453"/>
      <c r="BG40" s="453"/>
      <c r="BH40" s="454"/>
      <c r="BI40" s="452"/>
      <c r="BJ40" s="452"/>
    </row>
    <row r="41" spans="1:62" s="173" customFormat="1" ht="12" x14ac:dyDescent="0.25">
      <c r="A41" s="239">
        <v>1995</v>
      </c>
      <c r="B41" s="449"/>
      <c r="C41" s="450">
        <f>'C4-Sources'!K42/'C4-Sources'!C42*100</f>
        <v>51.465742498463939</v>
      </c>
      <c r="D41" s="450">
        <f>'C4-Sources'!S42/'C4-Sources'!C42*100</f>
        <v>13.370449113803605</v>
      </c>
      <c r="E41" s="450">
        <f>'C4-Sources'!AA42/'C4-Sources'!C42*100</f>
        <v>3.2871106833031183</v>
      </c>
      <c r="F41" s="450">
        <f>'C4-Sources'!AI42/'C4-Sources'!C42*100</f>
        <v>5.0119033311546231</v>
      </c>
      <c r="G41" s="450">
        <f>'C4-Sources'!AQ42/'C4-Sources'!C42*100</f>
        <v>5.1920200051027878</v>
      </c>
      <c r="H41" s="450">
        <f>'C4-Sources'!AY42/'C4-Sources'!C42*100</f>
        <v>3.7655873375777595</v>
      </c>
      <c r="I41" s="450">
        <f>'C4-Sources'!BG42/'C4-Sources'!C42*100</f>
        <v>6.5177431065822731</v>
      </c>
      <c r="J41" s="450">
        <f t="shared" si="0"/>
        <v>11.3894439240119</v>
      </c>
      <c r="L41" s="450">
        <f>'C4-Sources'!L42/'C4-Sources'!D42*100</f>
        <v>46.892865614035486</v>
      </c>
      <c r="M41" s="450">
        <f>'C4-Sources'!T42/'C4-Sources'!D42*100</f>
        <v>16.065308307666971</v>
      </c>
      <c r="N41" s="450">
        <f>'C4-Sources'!AB42/'C4-Sources'!D42*100</f>
        <v>4.0766067099687255</v>
      </c>
      <c r="O41" s="450">
        <f>'C4-Sources'!AJ42/'C4-Sources'!D42*100</f>
        <v>6.0812327021602322</v>
      </c>
      <c r="P41" s="450">
        <f>'C4-Sources'!AR42/'C4-Sources'!D42*100</f>
        <v>5.9530353531292226</v>
      </c>
      <c r="Q41" s="450">
        <f>'C4-Sources'!AZ42/'C4-Sources'!D42*100</f>
        <v>4.0512562673870072</v>
      </c>
      <c r="R41" s="450">
        <f>'C4-Sources'!BH42/'C4-Sources'!D42*100</f>
        <v>5.9230590036870749</v>
      </c>
      <c r="S41" s="450">
        <f t="shared" si="1"/>
        <v>10.956636041965282</v>
      </c>
      <c r="U41" s="450">
        <f>'C4-Sources'!M42/'C4-Sources'!E42*100</f>
        <v>37.317570833984433</v>
      </c>
      <c r="V41" s="450">
        <f>'C4-Sources'!U42/'C4-Sources'!E42*100</f>
        <v>21.185782139671254</v>
      </c>
      <c r="W41" s="450">
        <f>'C4-Sources'!AC42/'C4-Sources'!E42*100</f>
        <v>6.0220033739823338</v>
      </c>
      <c r="X41" s="450">
        <f>'C4-Sources'!AK42/'C4-Sources'!E42*100</f>
        <v>8.8210810334316108</v>
      </c>
      <c r="Y41" s="450">
        <f>'C4-Sources'!AS42/'C4-Sources'!E42*100</f>
        <v>7.4792414059260279</v>
      </c>
      <c r="Z41" s="450">
        <f>'C4-Sources'!BA42/'C4-Sources'!E42*100</f>
        <v>4.3535937821289652</v>
      </c>
      <c r="AA41" s="450">
        <f>'C4-Sources'!BI42/'C4-Sources'!E42*100</f>
        <v>3.5556340202111958</v>
      </c>
      <c r="AB41" s="450">
        <f t="shared" si="2"/>
        <v>11.265093410664164</v>
      </c>
      <c r="AD41" s="450">
        <f>'C4-Sources'!N42/'C4-Sources'!F42*100</f>
        <v>33.375217585160328</v>
      </c>
      <c r="AE41" s="450">
        <f>'C4-Sources'!V42/'C4-Sources'!F42*100</f>
        <v>23.102287064440862</v>
      </c>
      <c r="AF41" s="450">
        <f>'C4-Sources'!AD42/'C4-Sources'!F42*100</f>
        <v>6.8213621616395148</v>
      </c>
      <c r="AG41" s="450">
        <f>'C4-Sources'!AL42/'C4-Sources'!F42*100</f>
        <v>9.8972315283217505</v>
      </c>
      <c r="AH41" s="450">
        <f>'C4-Sources'!AT42/'C4-Sources'!F42*100</f>
        <v>8.2468803862431876</v>
      </c>
      <c r="AI41" s="450">
        <f>'C4-Sources'!BB42/'C4-Sources'!F42*100</f>
        <v>4.605107603333896</v>
      </c>
      <c r="AJ41" s="450">
        <f>'C4-Sources'!BJ42/'C4-Sources'!F42*100</f>
        <v>3.0169870037322655</v>
      </c>
      <c r="AK41" s="450">
        <f t="shared" si="3"/>
        <v>10.934926667128195</v>
      </c>
      <c r="AM41" s="450">
        <f>'C4-Sources'!O42/'C4-Sources'!G42*100</f>
        <v>27.515406781679442</v>
      </c>
      <c r="AN41" s="450">
        <f>'C4-Sources'!W42/'C4-Sources'!G42*100</f>
        <v>25.890396198195255</v>
      </c>
      <c r="AO41" s="450">
        <f>'C4-Sources'!AE42/'C4-Sources'!G42*100</f>
        <v>8.4974086826755482</v>
      </c>
      <c r="AP41" s="450">
        <f>'C4-Sources'!AM42/'C4-Sources'!G42*100</f>
        <v>11.673143779134239</v>
      </c>
      <c r="AQ41" s="450">
        <f>'C4-Sources'!AU42/'C4-Sources'!G42*100</f>
        <v>10.05239078825419</v>
      </c>
      <c r="AR41" s="450">
        <f>'C4-Sources'!BC42/'C4-Sources'!G42*100</f>
        <v>5.3131817914575823</v>
      </c>
      <c r="AS41" s="450">
        <f>'C4-Sources'!BK42/'C4-Sources'!G42*100</f>
        <v>2.1874793805585586</v>
      </c>
      <c r="AT41" s="450">
        <f t="shared" si="4"/>
        <v>8.8705925980451923</v>
      </c>
      <c r="AV41" s="450">
        <f>'C4-Sources'!P42/'C4-Sources'!H42*100</f>
        <v>20.347624961310011</v>
      </c>
      <c r="AW41" s="450">
        <f>'C4-Sources'!X42/'C4-Sources'!H42*100</f>
        <v>28.235698568621604</v>
      </c>
      <c r="AX41" s="450">
        <f>'C4-Sources'!AF42/'C4-Sources'!H42*100</f>
        <v>10.916252991676581</v>
      </c>
      <c r="AY41" s="450">
        <f>'C4-Sources'!AN42/'C4-Sources'!H42*100</f>
        <v>12.961871527215266</v>
      </c>
      <c r="AZ41" s="450">
        <f>'C4-Sources'!AV42/'C4-Sources'!H42*100</f>
        <v>12.257996611493727</v>
      </c>
      <c r="BA41" s="450">
        <f>'C4-Sources'!BD42/'C4-Sources'!H42*100</f>
        <v>6.1731265253932106</v>
      </c>
      <c r="BB41" s="450">
        <f>'C4-Sources'!BL42/'C4-Sources'!H42*100</f>
        <v>1.3555414491299933</v>
      </c>
      <c r="BC41" s="450">
        <f t="shared" si="5"/>
        <v>7.7518873651596181</v>
      </c>
      <c r="BD41" s="453"/>
      <c r="BE41" s="453"/>
      <c r="BF41" s="453"/>
      <c r="BG41" s="453"/>
      <c r="BH41" s="454"/>
      <c r="BI41" s="452"/>
      <c r="BJ41" s="452"/>
    </row>
    <row r="42" spans="1:62" s="173" customFormat="1" ht="12" x14ac:dyDescent="0.25">
      <c r="A42" s="239">
        <v>1996</v>
      </c>
      <c r="B42" s="449"/>
      <c r="C42" s="450">
        <f>'C4-Sources'!K43/'C4-Sources'!C43*100</f>
        <v>50.293062790149079</v>
      </c>
      <c r="D42" s="450">
        <f>'C4-Sources'!S43/'C4-Sources'!C43*100</f>
        <v>14.374269879030791</v>
      </c>
      <c r="E42" s="450">
        <f>'C4-Sources'!AA43/'C4-Sources'!C43*100</f>
        <v>3.3500405736996397</v>
      </c>
      <c r="F42" s="450">
        <f>'C4-Sources'!AI43/'C4-Sources'!C43*100</f>
        <v>4.9444901632643186</v>
      </c>
      <c r="G42" s="450">
        <f>'C4-Sources'!AQ43/'C4-Sources'!C43*100</f>
        <v>5.2799329249317974</v>
      </c>
      <c r="H42" s="450">
        <f>'C4-Sources'!AY43/'C4-Sources'!C43*100</f>
        <v>3.8037220737569482</v>
      </c>
      <c r="I42" s="450">
        <f>'C4-Sources'!BG43/'C4-Sources'!C43*100</f>
        <v>6.4669862739164055</v>
      </c>
      <c r="J42" s="450">
        <f t="shared" si="0"/>
        <v>11.487495321251018</v>
      </c>
      <c r="L42" s="450">
        <f>'C4-Sources'!L43/'C4-Sources'!D43*100</f>
        <v>46.116117719542324</v>
      </c>
      <c r="M42" s="450">
        <f>'C4-Sources'!T43/'C4-Sources'!D43*100</f>
        <v>17.183541094560681</v>
      </c>
      <c r="N42" s="450">
        <f>'C4-Sources'!AB43/'C4-Sources'!D43*100</f>
        <v>4.1072335059979315</v>
      </c>
      <c r="O42" s="450">
        <f>'C4-Sources'!AJ43/'C4-Sources'!D43*100</f>
        <v>5.9397706732233937</v>
      </c>
      <c r="P42" s="450">
        <f>'C4-Sources'!AR43/'C4-Sources'!D43*100</f>
        <v>5.9284509049819487</v>
      </c>
      <c r="Q42" s="450">
        <f>'C4-Sources'!AZ43/'C4-Sources'!D43*100</f>
        <v>4.008630104538363</v>
      </c>
      <c r="R42" s="450">
        <f>'C4-Sources'!BH43/'C4-Sources'!D43*100</f>
        <v>5.7815218474380679</v>
      </c>
      <c r="S42" s="450">
        <f t="shared" si="1"/>
        <v>10.934734149717286</v>
      </c>
      <c r="U42" s="450">
        <f>'C4-Sources'!M43/'C4-Sources'!E43*100</f>
        <v>37.323295422230537</v>
      </c>
      <c r="V42" s="450">
        <f>'C4-Sources'!U43/'C4-Sources'!E43*100</f>
        <v>22.382234637185157</v>
      </c>
      <c r="W42" s="450">
        <f>'C4-Sources'!AC43/'C4-Sources'!E43*100</f>
        <v>5.9317328490477292</v>
      </c>
      <c r="X42" s="450">
        <f>'C4-Sources'!AK43/'C4-Sources'!E43*100</f>
        <v>8.3815961367603808</v>
      </c>
      <c r="Y42" s="450">
        <f>'C4-Sources'!AS43/'C4-Sources'!E43*100</f>
        <v>7.2608406778739258</v>
      </c>
      <c r="Z42" s="450">
        <f>'C4-Sources'!BA43/'C4-Sources'!E43*100</f>
        <v>4.2440829340428472</v>
      </c>
      <c r="AA42" s="450">
        <f>'C4-Sources'!BI43/'C4-Sources'!E43*100</f>
        <v>3.5282173839849653</v>
      </c>
      <c r="AB42" s="450">
        <f t="shared" si="2"/>
        <v>10.947999958874448</v>
      </c>
      <c r="AD42" s="450">
        <f>'C4-Sources'!N43/'C4-Sources'!F43*100</f>
        <v>33.903027978237461</v>
      </c>
      <c r="AE42" s="450">
        <f>'C4-Sources'!V43/'C4-Sources'!F43*100</f>
        <v>24.235078850346223</v>
      </c>
      <c r="AF42" s="450">
        <f>'C4-Sources'!AD43/'C4-Sources'!F43*100</f>
        <v>6.6610439492235702</v>
      </c>
      <c r="AG42" s="450">
        <f>'C4-Sources'!AL43/'C4-Sources'!F43*100</f>
        <v>9.2720246739544496</v>
      </c>
      <c r="AH42" s="450">
        <f>'C4-Sources'!AT43/'C4-Sources'!F43*100</f>
        <v>7.9574974216186316</v>
      </c>
      <c r="AI42" s="450">
        <f>'C4-Sources'!BB43/'C4-Sources'!F43*100</f>
        <v>4.477547131504533</v>
      </c>
      <c r="AJ42" s="450">
        <f>'C4-Sources'!BJ43/'C4-Sources'!F43*100</f>
        <v>2.9529163985275564</v>
      </c>
      <c r="AK42" s="450">
        <f t="shared" si="3"/>
        <v>10.54086359658757</v>
      </c>
      <c r="AM42" s="450">
        <f>'C4-Sources'!O43/'C4-Sources'!G43*100</f>
        <v>28.786877233065944</v>
      </c>
      <c r="AN42" s="450">
        <f>'C4-Sources'!W43/'C4-Sources'!G43*100</f>
        <v>27.135882340082979</v>
      </c>
      <c r="AO42" s="450">
        <f>'C4-Sources'!AE43/'C4-Sources'!G43*100</f>
        <v>8.11214926715469</v>
      </c>
      <c r="AP42" s="450">
        <f>'C4-Sources'!AM43/'C4-Sources'!G43*100</f>
        <v>10.771019252799736</v>
      </c>
      <c r="AQ42" s="450">
        <f>'C4-Sources'!AU43/'C4-Sources'!G43*100</f>
        <v>9.5289983430333383</v>
      </c>
      <c r="AR42" s="450">
        <f>'C4-Sources'!BC43/'C4-Sources'!G43*100</f>
        <v>5.0854380100602699</v>
      </c>
      <c r="AS42" s="450">
        <f>'C4-Sources'!BK43/'C4-Sources'!G43*100</f>
        <v>2.1285896745385617</v>
      </c>
      <c r="AT42" s="450">
        <f t="shared" si="4"/>
        <v>8.451045879264484</v>
      </c>
      <c r="AV42" s="450">
        <f>'C4-Sources'!P43/'C4-Sources'!H43*100</f>
        <v>22.423636892486183</v>
      </c>
      <c r="AW42" s="450">
        <f>'C4-Sources'!X43/'C4-Sources'!H43*100</f>
        <v>29.23354063498001</v>
      </c>
      <c r="AX42" s="450">
        <f>'C4-Sources'!AF43/'C4-Sources'!H43*100</f>
        <v>10.24265540540242</v>
      </c>
      <c r="AY42" s="450">
        <f>'C4-Sources'!AN43/'C4-Sources'!H43*100</f>
        <v>11.878790240895494</v>
      </c>
      <c r="AZ42" s="450">
        <f>'C4-Sources'!AV43/'C4-Sources'!H43*100</f>
        <v>11.473077927954936</v>
      </c>
      <c r="BA42" s="450">
        <f>'C4-Sources'!BD43/'C4-Sources'!H43*100</f>
        <v>5.8098920434886629</v>
      </c>
      <c r="BB42" s="450">
        <f>'C4-Sources'!BL43/'C4-Sources'!H43*100</f>
        <v>1.371325883397285</v>
      </c>
      <c r="BC42" s="450">
        <f t="shared" si="5"/>
        <v>7.5670809713950149</v>
      </c>
      <c r="BD42" s="453"/>
      <c r="BE42" s="453"/>
      <c r="BF42" s="453"/>
      <c r="BG42" s="453"/>
      <c r="BH42" s="454"/>
      <c r="BI42" s="452"/>
      <c r="BJ42" s="452"/>
    </row>
    <row r="43" spans="1:62" s="173" customFormat="1" ht="12" x14ac:dyDescent="0.25">
      <c r="A43" s="239">
        <v>1997</v>
      </c>
      <c r="B43" s="449"/>
      <c r="C43" s="450">
        <f>'C4-Sources'!K44/'C4-Sources'!C44*100</f>
        <v>50.08465751746445</v>
      </c>
      <c r="D43" s="450">
        <f>'C4-Sources'!S44/'C4-Sources'!C44*100</f>
        <v>14.375209956520941</v>
      </c>
      <c r="E43" s="450">
        <f>'C4-Sources'!AA44/'C4-Sources'!C44*100</f>
        <v>3.542905781874095</v>
      </c>
      <c r="F43" s="450">
        <f>'C4-Sources'!AI44/'C4-Sources'!C44*100</f>
        <v>4.7341061661708119</v>
      </c>
      <c r="G43" s="450">
        <f>'C4-Sources'!AQ44/'C4-Sources'!C44*100</f>
        <v>5.5972908573369269</v>
      </c>
      <c r="H43" s="450">
        <f>'C4-Sources'!AY44/'C4-Sources'!C44*100</f>
        <v>3.8314814450288948</v>
      </c>
      <c r="I43" s="450">
        <f>'C4-Sources'!BG44/'C4-Sources'!C44*100</f>
        <v>6.7183266375855615</v>
      </c>
      <c r="J43" s="450">
        <f t="shared" si="0"/>
        <v>11.11602163801831</v>
      </c>
      <c r="L43" s="450">
        <f>'C4-Sources'!L44/'C4-Sources'!D44*100</f>
        <v>45.986693866612185</v>
      </c>
      <c r="M43" s="450">
        <f>'C4-Sources'!T44/'C4-Sources'!D44*100</f>
        <v>17.123192671712555</v>
      </c>
      <c r="N43" s="450">
        <f>'C4-Sources'!AB44/'C4-Sources'!D44*100</f>
        <v>4.343983462251976</v>
      </c>
      <c r="O43" s="450">
        <f>'C4-Sources'!AJ44/'C4-Sources'!D44*100</f>
        <v>5.7095671225721043</v>
      </c>
      <c r="P43" s="450">
        <f>'C4-Sources'!AR44/'C4-Sources'!D44*100</f>
        <v>6.2763522984940003</v>
      </c>
      <c r="Q43" s="450">
        <f>'C4-Sources'!AZ44/'C4-Sources'!D44*100</f>
        <v>4.0234919377239313</v>
      </c>
      <c r="R43" s="450">
        <f>'C4-Sources'!BH44/'C4-Sources'!D44*100</f>
        <v>6.0473744941078067</v>
      </c>
      <c r="S43" s="450">
        <f t="shared" si="1"/>
        <v>10.48934414652544</v>
      </c>
      <c r="U43" s="450">
        <f>'C4-Sources'!M44/'C4-Sources'!E44*100</f>
        <v>37.602372275703182</v>
      </c>
      <c r="V43" s="450">
        <f>'C4-Sources'!U44/'C4-Sources'!E44*100</f>
        <v>22.310287589341559</v>
      </c>
      <c r="W43" s="450">
        <f>'C4-Sources'!AC44/'C4-Sources'!E44*100</f>
        <v>6.0073343324576802</v>
      </c>
      <c r="X43" s="450">
        <f>'C4-Sources'!AK44/'C4-Sources'!E44*100</f>
        <v>7.8469044971299491</v>
      </c>
      <c r="Y43" s="450">
        <f>'C4-Sources'!AS44/'C4-Sources'!E44*100</f>
        <v>7.596548280121616</v>
      </c>
      <c r="Z43" s="450">
        <f>'C4-Sources'!BA44/'C4-Sources'!E44*100</f>
        <v>4.2414818166637334</v>
      </c>
      <c r="AA43" s="450">
        <f>'C4-Sources'!BI44/'C4-Sources'!E44*100</f>
        <v>3.6897720089090571</v>
      </c>
      <c r="AB43" s="450">
        <f t="shared" si="2"/>
        <v>10.70529919967322</v>
      </c>
      <c r="AD43" s="450">
        <f>'C4-Sources'!N44/'C4-Sources'!F44*100</f>
        <v>34.459666014480362</v>
      </c>
      <c r="AE43" s="450">
        <f>'C4-Sources'!V44/'C4-Sources'!F44*100</f>
        <v>24.07368467426295</v>
      </c>
      <c r="AF43" s="450">
        <f>'C4-Sources'!AD44/'C4-Sources'!F44*100</f>
        <v>6.5062204544395357</v>
      </c>
      <c r="AG43" s="450">
        <f>'C4-Sources'!AL44/'C4-Sources'!F44*100</f>
        <v>8.6163805865261551</v>
      </c>
      <c r="AH43" s="450">
        <f>'C4-Sources'!AT44/'C4-Sources'!F44*100</f>
        <v>8.1244725730430449</v>
      </c>
      <c r="AI43" s="450">
        <f>'C4-Sources'!BB44/'C4-Sources'!F44*100</f>
        <v>4.3965406592053444</v>
      </c>
      <c r="AJ43" s="450">
        <f>'C4-Sources'!BJ44/'C4-Sources'!F44*100</f>
        <v>3.164036812855374</v>
      </c>
      <c r="AK43" s="450">
        <f t="shared" si="3"/>
        <v>10.658998225187219</v>
      </c>
      <c r="AM43" s="450">
        <f>'C4-Sources'!O44/'C4-Sources'!G44*100</f>
        <v>30.411183670678867</v>
      </c>
      <c r="AN43" s="450">
        <f>'C4-Sources'!W44/'C4-Sources'!G44*100</f>
        <v>26.506261299752033</v>
      </c>
      <c r="AO43" s="450">
        <f>'C4-Sources'!AE44/'C4-Sources'!G44*100</f>
        <v>7.7755591672543822</v>
      </c>
      <c r="AP43" s="450">
        <f>'C4-Sources'!AM44/'C4-Sources'!G44*100</f>
        <v>9.9368007778480916</v>
      </c>
      <c r="AQ43" s="450">
        <f>'C4-Sources'!AU44/'C4-Sources'!G44*100</f>
        <v>9.6011800918669987</v>
      </c>
      <c r="AR43" s="450">
        <f>'C4-Sources'!BC44/'C4-Sources'!G44*100</f>
        <v>4.9621943444376315</v>
      </c>
      <c r="AS43" s="450">
        <f>'C4-Sources'!BK44/'C4-Sources'!G44*100</f>
        <v>2.4279793755821228</v>
      </c>
      <c r="AT43" s="450">
        <f t="shared" si="4"/>
        <v>8.3788412725798764</v>
      </c>
      <c r="AV43" s="450">
        <f>'C4-Sources'!P44/'C4-Sources'!H44*100</f>
        <v>25.315200708634716</v>
      </c>
      <c r="AW43" s="450">
        <f>'C4-Sources'!X44/'C4-Sources'!H44*100</f>
        <v>28.184192705595002</v>
      </c>
      <c r="AX43" s="450">
        <f>'C4-Sources'!AF44/'C4-Sources'!H44*100</f>
        <v>9.6523436915047611</v>
      </c>
      <c r="AY43" s="450">
        <f>'C4-Sources'!AN44/'C4-Sources'!H44*100</f>
        <v>11.170096030530411</v>
      </c>
      <c r="AZ43" s="450">
        <f>'C4-Sources'!AV44/'C4-Sources'!H44*100</f>
        <v>11.349030641297334</v>
      </c>
      <c r="BA43" s="450">
        <f>'C4-Sources'!BD44/'C4-Sources'!H44*100</f>
        <v>5.6204357523871114</v>
      </c>
      <c r="BB43" s="450">
        <f>'C4-Sources'!BL44/'C4-Sources'!H44*100</f>
        <v>1.6392090895007334</v>
      </c>
      <c r="BC43" s="450">
        <f t="shared" si="5"/>
        <v>7.069491380549934</v>
      </c>
      <c r="BD43" s="453"/>
      <c r="BE43" s="453"/>
      <c r="BF43" s="453"/>
      <c r="BG43" s="453"/>
      <c r="BH43" s="454"/>
      <c r="BI43" s="452"/>
      <c r="BJ43" s="452"/>
    </row>
    <row r="44" spans="1:62" s="173" customFormat="1" ht="12" x14ac:dyDescent="0.25">
      <c r="A44" s="239">
        <v>1998</v>
      </c>
      <c r="B44" s="449"/>
      <c r="C44" s="450">
        <f>'C4-Sources'!K45/'C4-Sources'!C45*100</f>
        <v>50.940960251414289</v>
      </c>
      <c r="D44" s="450">
        <f>'C4-Sources'!S45/'C4-Sources'!C45*100</f>
        <v>15.173373409347146</v>
      </c>
      <c r="E44" s="450">
        <f>'C4-Sources'!AA45/'C4-Sources'!C45*100</f>
        <v>3.2574910356935347</v>
      </c>
      <c r="F44" s="450">
        <f>'C4-Sources'!AI45/'C4-Sources'!C45*100</f>
        <v>4.5824297146526689</v>
      </c>
      <c r="G44" s="450">
        <f>'C4-Sources'!AQ45/'C4-Sources'!C45*100</f>
        <v>3.7183411022439552</v>
      </c>
      <c r="H44" s="450">
        <f>'C4-Sources'!AY45/'C4-Sources'!C45*100</f>
        <v>3.5702669737961794</v>
      </c>
      <c r="I44" s="450">
        <f>'C4-Sources'!BG45/'C4-Sources'!C45*100</f>
        <v>7.1838731030057206</v>
      </c>
      <c r="J44" s="450">
        <f t="shared" si="0"/>
        <v>11.573264409846516</v>
      </c>
      <c r="L44" s="450">
        <f>'C4-Sources'!L45/'C4-Sources'!D45*100</f>
        <v>47.239022247695971</v>
      </c>
      <c r="M44" s="450">
        <f>'C4-Sources'!T45/'C4-Sources'!D45*100</f>
        <v>17.950635013791651</v>
      </c>
      <c r="N44" s="450">
        <f>'C4-Sources'!AB45/'C4-Sources'!D45*100</f>
        <v>3.970125263015547</v>
      </c>
      <c r="O44" s="450">
        <f>'C4-Sources'!AJ45/'C4-Sources'!D45*100</f>
        <v>5.5492554145331194</v>
      </c>
      <c r="P44" s="450">
        <f>'C4-Sources'!AR45/'C4-Sources'!D45*100</f>
        <v>4.1449051660765628</v>
      </c>
      <c r="Q44" s="450">
        <f>'C4-Sources'!AZ45/'C4-Sources'!D45*100</f>
        <v>3.7314663391135405</v>
      </c>
      <c r="R44" s="450">
        <f>'C4-Sources'!BH45/'C4-Sources'!D45*100</f>
        <v>6.3867726050507123</v>
      </c>
      <c r="S44" s="450">
        <f t="shared" si="1"/>
        <v>11.027817950722891</v>
      </c>
      <c r="U44" s="450">
        <f>'C4-Sources'!M45/'C4-Sources'!E45*100</f>
        <v>39.729324290370457</v>
      </c>
      <c r="V44" s="450">
        <f>'C4-Sources'!U45/'C4-Sources'!E45*100</f>
        <v>22.82465831194763</v>
      </c>
      <c r="W44" s="450">
        <f>'C4-Sources'!AC45/'C4-Sources'!E45*100</f>
        <v>5.6195988135114705</v>
      </c>
      <c r="X44" s="450">
        <f>'C4-Sources'!AK45/'C4-Sources'!E45*100</f>
        <v>7.7223797321533336</v>
      </c>
      <c r="Y44" s="450">
        <f>'C4-Sources'!AS45/'C4-Sources'!E45*100</f>
        <v>5.1087726342404345</v>
      </c>
      <c r="Z44" s="450">
        <f>'C4-Sources'!BA45/'C4-Sources'!E45*100</f>
        <v>4.0078594419284475</v>
      </c>
      <c r="AA44" s="450">
        <f>'C4-Sources'!BI45/'C4-Sources'!E45*100</f>
        <v>4.0053215599296008</v>
      </c>
      <c r="AB44" s="450">
        <f t="shared" si="2"/>
        <v>10.98208521591863</v>
      </c>
      <c r="AD44" s="450">
        <f>'C4-Sources'!N45/'C4-Sources'!F45*100</f>
        <v>37.244838968764853</v>
      </c>
      <c r="AE44" s="450">
        <f>'C4-Sources'!V45/'C4-Sources'!F45*100</f>
        <v>24.473833491334922</v>
      </c>
      <c r="AF44" s="450">
        <f>'C4-Sources'!AD45/'C4-Sources'!F45*100</f>
        <v>6.1475187621646636</v>
      </c>
      <c r="AG44" s="450">
        <f>'C4-Sources'!AL45/'C4-Sources'!F45*100</f>
        <v>8.4662915844541118</v>
      </c>
      <c r="AH44" s="450">
        <f>'C4-Sources'!AT45/'C4-Sources'!F45*100</f>
        <v>5.5119508652910296</v>
      </c>
      <c r="AI44" s="450">
        <f>'C4-Sources'!BB45/'C4-Sources'!F45*100</f>
        <v>4.1965519608090354</v>
      </c>
      <c r="AJ44" s="450">
        <f>'C4-Sources'!BJ45/'C4-Sources'!F45*100</f>
        <v>3.4002222262481547</v>
      </c>
      <c r="AK44" s="450">
        <f t="shared" si="3"/>
        <v>10.558792140933235</v>
      </c>
      <c r="AM44" s="450">
        <f>'C4-Sources'!O45/'C4-Sources'!G45*100</f>
        <v>34.23508095792333</v>
      </c>
      <c r="AN44" s="450">
        <f>'C4-Sources'!W45/'C4-Sources'!G45*100</f>
        <v>26.611529317984246</v>
      </c>
      <c r="AO44" s="450">
        <f>'C4-Sources'!AE45/'C4-Sources'!G45*100</f>
        <v>7.282701272653183</v>
      </c>
      <c r="AP44" s="450">
        <f>'C4-Sources'!AM45/'C4-Sources'!G45*100</f>
        <v>9.7848069478594155</v>
      </c>
      <c r="AQ44" s="450">
        <f>'C4-Sources'!AU45/'C4-Sources'!G45*100</f>
        <v>6.4291976652350478</v>
      </c>
      <c r="AR44" s="450">
        <f>'C4-Sources'!BC45/'C4-Sources'!G45*100</f>
        <v>4.7155645270879232</v>
      </c>
      <c r="AS44" s="450">
        <f>'C4-Sources'!BK45/'C4-Sources'!G45*100</f>
        <v>2.639375624313899</v>
      </c>
      <c r="AT44" s="450">
        <f t="shared" si="4"/>
        <v>8.3017436869429559</v>
      </c>
      <c r="AV44" s="450">
        <f>'C4-Sources'!P45/'C4-Sources'!H45*100</f>
        <v>31.376454092480959</v>
      </c>
      <c r="AW44" s="450">
        <f>'C4-Sources'!X45/'C4-Sources'!H45*100</f>
        <v>27.531475047540745</v>
      </c>
      <c r="AX44" s="450">
        <f>'C4-Sources'!AF45/'C4-Sources'!H45*100</f>
        <v>8.6695069271449281</v>
      </c>
      <c r="AY44" s="450">
        <f>'C4-Sources'!AN45/'C4-Sources'!H45*100</f>
        <v>10.827553161689325</v>
      </c>
      <c r="AZ44" s="450">
        <f>'C4-Sources'!AV45/'C4-Sources'!H45*100</f>
        <v>7.3392419792803256</v>
      </c>
      <c r="BA44" s="450">
        <f>'C4-Sources'!BD45/'C4-Sources'!H45*100</f>
        <v>5.2129935782750918</v>
      </c>
      <c r="BB44" s="450">
        <f>'C4-Sources'!BL45/'C4-Sources'!H45*100</f>
        <v>1.8774774275279171</v>
      </c>
      <c r="BC44" s="450">
        <f t="shared" si="5"/>
        <v>7.1652977860607052</v>
      </c>
      <c r="BD44" s="453"/>
      <c r="BE44" s="453"/>
      <c r="BF44" s="453"/>
      <c r="BG44" s="453"/>
      <c r="BH44" s="454"/>
      <c r="BI44" s="452"/>
      <c r="BJ44" s="452"/>
    </row>
    <row r="45" spans="1:62" s="173" customFormat="1" ht="12" x14ac:dyDescent="0.25">
      <c r="A45" s="239">
        <v>1999</v>
      </c>
      <c r="B45" s="449"/>
      <c r="C45" s="450">
        <f>'C4-Sources'!K46/'C4-Sources'!C46*100</f>
        <v>51.620404480237184</v>
      </c>
      <c r="D45" s="450">
        <f>'C4-Sources'!S46/'C4-Sources'!C46*100</f>
        <v>15.418417953721598</v>
      </c>
      <c r="E45" s="450">
        <f>'C4-Sources'!AA46/'C4-Sources'!C46*100</f>
        <v>3.4219950493150004</v>
      </c>
      <c r="F45" s="450">
        <f>'C4-Sources'!AI46/'C4-Sources'!C46*100</f>
        <v>4.4203716656126888</v>
      </c>
      <c r="G45" s="450">
        <f>'C4-Sources'!AQ46/'C4-Sources'!C46*100</f>
        <v>3.9136695117155749</v>
      </c>
      <c r="H45" s="450">
        <f>'C4-Sources'!AY46/'C4-Sources'!C46*100</f>
        <v>3.5094996854264751</v>
      </c>
      <c r="I45" s="450">
        <f>'C4-Sources'!BG46/'C4-Sources'!C46*100</f>
        <v>6.5692246139205226</v>
      </c>
      <c r="J45" s="450">
        <f t="shared" si="0"/>
        <v>11.126417040050953</v>
      </c>
      <c r="L45" s="450">
        <f>'C4-Sources'!L46/'C4-Sources'!D46*100</f>
        <v>47.840504364299754</v>
      </c>
      <c r="M45" s="450">
        <f>'C4-Sources'!T46/'C4-Sources'!D46*100</f>
        <v>18.136485563613984</v>
      </c>
      <c r="N45" s="450">
        <f>'C4-Sources'!AB46/'C4-Sources'!D46*100</f>
        <v>4.117448358773566</v>
      </c>
      <c r="O45" s="450">
        <f>'C4-Sources'!AJ46/'C4-Sources'!D46*100</f>
        <v>5.2521040105803971</v>
      </c>
      <c r="P45" s="450">
        <f>'C4-Sources'!AR46/'C4-Sources'!D46*100</f>
        <v>4.3723175139872357</v>
      </c>
      <c r="Q45" s="450">
        <f>'C4-Sources'!AZ46/'C4-Sources'!D46*100</f>
        <v>3.6973131257810916</v>
      </c>
      <c r="R45" s="450">
        <f>'C4-Sources'!BH46/'C4-Sources'!D46*100</f>
        <v>5.8848911364728815</v>
      </c>
      <c r="S45" s="450">
        <f t="shared" si="1"/>
        <v>10.698935926491075</v>
      </c>
      <c r="U45" s="450">
        <f>'C4-Sources'!M46/'C4-Sources'!E46*100</f>
        <v>40.712629999836288</v>
      </c>
      <c r="V45" s="450">
        <f>'C4-Sources'!U46/'C4-Sources'!E46*100</f>
        <v>22.515252128115353</v>
      </c>
      <c r="W45" s="450">
        <f>'C4-Sources'!AC46/'C4-Sources'!E46*100</f>
        <v>5.6499065521475611</v>
      </c>
      <c r="X45" s="450">
        <f>'C4-Sources'!AK46/'C4-Sources'!E46*100</f>
        <v>7.1618807936806501</v>
      </c>
      <c r="Y45" s="450">
        <f>'C4-Sources'!AS46/'C4-Sources'!E46*100</f>
        <v>5.3775427324800358</v>
      </c>
      <c r="Z45" s="450">
        <f>'C4-Sources'!BA46/'C4-Sources'!E46*100</f>
        <v>4.0640699632623196</v>
      </c>
      <c r="AA45" s="450">
        <f>'C4-Sources'!BI46/'C4-Sources'!E46*100</f>
        <v>3.7875942862338459</v>
      </c>
      <c r="AB45" s="450">
        <f t="shared" si="2"/>
        <v>10.731123544243943</v>
      </c>
      <c r="AD45" s="450">
        <f>'C4-Sources'!N46/'C4-Sources'!F46*100</f>
        <v>38.602807120798708</v>
      </c>
      <c r="AE45" s="450">
        <f>'C4-Sources'!V46/'C4-Sources'!F46*100</f>
        <v>23.819565205034991</v>
      </c>
      <c r="AF45" s="450">
        <f>'C4-Sources'!AD46/'C4-Sources'!F46*100</f>
        <v>6.1294948392988706</v>
      </c>
      <c r="AG45" s="450">
        <f>'C4-Sources'!AL46/'C4-Sources'!F46*100</f>
        <v>7.8649477149169744</v>
      </c>
      <c r="AH45" s="450">
        <f>'C4-Sources'!AT46/'C4-Sources'!F46*100</f>
        <v>5.7466930013727779</v>
      </c>
      <c r="AI45" s="450">
        <f>'C4-Sources'!BB46/'C4-Sources'!F46*100</f>
        <v>4.2368229119002887</v>
      </c>
      <c r="AJ45" s="450">
        <f>'C4-Sources'!BJ46/'C4-Sources'!F46*100</f>
        <v>3.2556596218303784</v>
      </c>
      <c r="AK45" s="450">
        <f t="shared" si="3"/>
        <v>10.344009584847015</v>
      </c>
      <c r="AM45" s="450">
        <f>'C4-Sources'!O46/'C4-Sources'!G46*100</f>
        <v>37.084643327617563</v>
      </c>
      <c r="AN45" s="450">
        <f>'C4-Sources'!W46/'C4-Sources'!G46*100</f>
        <v>25.107201035972182</v>
      </c>
      <c r="AO45" s="450">
        <f>'C4-Sources'!AE46/'C4-Sources'!G46*100</f>
        <v>7.0374569355716661</v>
      </c>
      <c r="AP45" s="450">
        <f>'C4-Sources'!AM46/'C4-Sources'!G46*100</f>
        <v>8.9453019413509871</v>
      </c>
      <c r="AQ45" s="450">
        <f>'C4-Sources'!AU46/'C4-Sources'!G46*100</f>
        <v>6.4990655436402491</v>
      </c>
      <c r="AR45" s="450">
        <f>'C4-Sources'!BC46/'C4-Sources'!G46*100</f>
        <v>4.6252396911401092</v>
      </c>
      <c r="AS45" s="450">
        <f>'C4-Sources'!BK46/'C4-Sources'!G46*100</f>
        <v>2.4066172100674703</v>
      </c>
      <c r="AT45" s="450">
        <f t="shared" si="4"/>
        <v>8.2944743146397713</v>
      </c>
      <c r="AV45" s="450">
        <f>'C4-Sources'!P46/'C4-Sources'!H46*100</f>
        <v>36.512496032877252</v>
      </c>
      <c r="AW45" s="450">
        <f>'C4-Sources'!X46/'C4-Sources'!H46*100</f>
        <v>24.455715194201762</v>
      </c>
      <c r="AX45" s="450">
        <f>'C4-Sources'!AF46/'C4-Sources'!H46*100</f>
        <v>8.1516433080372561</v>
      </c>
      <c r="AY45" s="450">
        <f>'C4-Sources'!AN46/'C4-Sources'!H46*100</f>
        <v>9.3763837686857734</v>
      </c>
      <c r="AZ45" s="450">
        <f>'C4-Sources'!AV46/'C4-Sources'!H46*100</f>
        <v>7.2427746600614293</v>
      </c>
      <c r="BA45" s="450">
        <f>'C4-Sources'!BD46/'C4-Sources'!H46*100</f>
        <v>5.0201533840453214</v>
      </c>
      <c r="BB45" s="450">
        <f>'C4-Sources'!BL46/'C4-Sources'!H46*100</f>
        <v>1.8137641206993134</v>
      </c>
      <c r="BC45" s="450">
        <f t="shared" si="5"/>
        <v>7.4270695313919077</v>
      </c>
      <c r="BD45" s="453"/>
      <c r="BE45" s="453"/>
      <c r="BF45" s="453"/>
      <c r="BG45" s="453"/>
      <c r="BH45" s="454"/>
      <c r="BI45" s="452"/>
      <c r="BJ45" s="452"/>
    </row>
    <row r="46" spans="1:62" s="173" customFormat="1" ht="12" x14ac:dyDescent="0.25">
      <c r="A46" s="239">
        <v>2000</v>
      </c>
      <c r="B46" s="449"/>
      <c r="C46" s="450">
        <f>'C4-Sources'!K47/'C4-Sources'!C47*100</f>
        <v>52.951154994909324</v>
      </c>
      <c r="D46" s="450">
        <f>'C4-Sources'!S47/'C4-Sources'!C47*100</f>
        <v>15.425945380480197</v>
      </c>
      <c r="E46" s="450">
        <f>'C4-Sources'!AA47/'C4-Sources'!C47*100</f>
        <v>3.4380098783426969</v>
      </c>
      <c r="F46" s="450">
        <f>'C4-Sources'!AI47/'C4-Sources'!C47*100</f>
        <v>4.4243725814939792</v>
      </c>
      <c r="G46" s="450">
        <f>'C4-Sources'!AQ47/'C4-Sources'!C47*100</f>
        <v>2.0377668244680001</v>
      </c>
      <c r="H46" s="450">
        <f>'C4-Sources'!AY47/'C4-Sources'!C47*100</f>
        <v>3.2225810298972464</v>
      </c>
      <c r="I46" s="450">
        <f>'C4-Sources'!BG47/'C4-Sources'!C47*100</f>
        <v>6.6475142558883151</v>
      </c>
      <c r="J46" s="450">
        <f t="shared" si="0"/>
        <v>11.852655054520255</v>
      </c>
      <c r="L46" s="450">
        <f>'C4-Sources'!L47/'C4-Sources'!D47*100</f>
        <v>49.410445432117122</v>
      </c>
      <c r="M46" s="450">
        <f>'C4-Sources'!T47/'C4-Sources'!D47*100</f>
        <v>18.056121635980389</v>
      </c>
      <c r="N46" s="450">
        <f>'C4-Sources'!AB47/'C4-Sources'!D47*100</f>
        <v>4.1678011902110468</v>
      </c>
      <c r="O46" s="450">
        <f>'C4-Sources'!AJ47/'C4-Sources'!D47*100</f>
        <v>5.2650447566271481</v>
      </c>
      <c r="P46" s="450">
        <f>'C4-Sources'!AR47/'C4-Sources'!D47*100</f>
        <v>2.2735479603025688</v>
      </c>
      <c r="Q46" s="450">
        <f>'C4-Sources'!AZ47/'C4-Sources'!D47*100</f>
        <v>3.3972314050999417</v>
      </c>
      <c r="R46" s="450">
        <f>'C4-Sources'!BH47/'C4-Sources'!D47*100</f>
        <v>5.9892119965351789</v>
      </c>
      <c r="S46" s="450">
        <f t="shared" si="1"/>
        <v>11.440595623126612</v>
      </c>
      <c r="U46" s="450">
        <f>'C4-Sources'!M47/'C4-Sources'!E47*100</f>
        <v>43.316135656083127</v>
      </c>
      <c r="V46" s="450">
        <f>'C4-Sources'!U47/'C4-Sources'!E47*100</f>
        <v>22.093946284660639</v>
      </c>
      <c r="W46" s="450">
        <f>'C4-Sources'!AC47/'C4-Sources'!E47*100</f>
        <v>5.5649207803101923</v>
      </c>
      <c r="X46" s="450">
        <f>'C4-Sources'!AK47/'C4-Sources'!E47*100</f>
        <v>7.1741071644466485</v>
      </c>
      <c r="Y46" s="450">
        <f>'C4-Sources'!AS47/'C4-Sources'!E47*100</f>
        <v>2.7489294473387811</v>
      </c>
      <c r="Z46" s="450">
        <f>'C4-Sources'!BA47/'C4-Sources'!E47*100</f>
        <v>3.7399849437986901</v>
      </c>
      <c r="AA46" s="450">
        <f>'C4-Sources'!BI47/'C4-Sources'!E47*100</f>
        <v>4.115814530667306</v>
      </c>
      <c r="AB46" s="450">
        <f t="shared" si="2"/>
        <v>11.246161192694615</v>
      </c>
      <c r="AD46" s="450">
        <f>'C4-Sources'!N47/'C4-Sources'!F47*100</f>
        <v>41.749863653214391</v>
      </c>
      <c r="AE46" s="450">
        <f>'C4-Sources'!V47/'C4-Sources'!F47*100</f>
        <v>23.011450073211293</v>
      </c>
      <c r="AF46" s="450">
        <f>'C4-Sources'!AD47/'C4-Sources'!F47*100</f>
        <v>6.0101118490684255</v>
      </c>
      <c r="AG46" s="450">
        <f>'C4-Sources'!AL47/'C4-Sources'!F47*100</f>
        <v>7.8329575287080333</v>
      </c>
      <c r="AH46" s="450">
        <f>'C4-Sources'!AT47/'C4-Sources'!F47*100</f>
        <v>2.9079087413025166</v>
      </c>
      <c r="AI46" s="450">
        <f>'C4-Sources'!BB47/'C4-Sources'!F47*100</f>
        <v>3.8550952300274401</v>
      </c>
      <c r="AJ46" s="450">
        <f>'C4-Sources'!BJ47/'C4-Sources'!F47*100</f>
        <v>3.5350236697872566</v>
      </c>
      <c r="AK46" s="450">
        <f t="shared" si="3"/>
        <v>11.097589254680642</v>
      </c>
      <c r="AM46" s="450">
        <f>'C4-Sources'!O47/'C4-Sources'!G47*100</f>
        <v>41.970086255089079</v>
      </c>
      <c r="AN46" s="450">
        <f>'C4-Sources'!W47/'C4-Sources'!G47*100</f>
        <v>23.697312606168577</v>
      </c>
      <c r="AO46" s="450">
        <f>'C4-Sources'!AE47/'C4-Sources'!G47*100</f>
        <v>6.8223856024448555</v>
      </c>
      <c r="AP46" s="450">
        <f>'C4-Sources'!AM47/'C4-Sources'!G47*100</f>
        <v>8.8721045658548547</v>
      </c>
      <c r="AQ46" s="450">
        <f>'C4-Sources'!AU47/'C4-Sources'!G47*100</f>
        <v>3.2098720711900697</v>
      </c>
      <c r="AR46" s="450">
        <f>'C4-Sources'!BC47/'C4-Sources'!G47*100</f>
        <v>4.078974294230628</v>
      </c>
      <c r="AS46" s="450">
        <f>'C4-Sources'!BK47/'C4-Sources'!G47*100</f>
        <v>2.6264789375264197</v>
      </c>
      <c r="AT46" s="450">
        <f t="shared" si="4"/>
        <v>8.7227856674955149</v>
      </c>
      <c r="AV46" s="450">
        <f>'C4-Sources'!P47/'C4-Sources'!H47*100</f>
        <v>41.964950218783883</v>
      </c>
      <c r="AW46" s="450">
        <f>'C4-Sources'!X47/'C4-Sources'!H47*100</f>
        <v>22.811904909379667</v>
      </c>
      <c r="AX46" s="450">
        <f>'C4-Sources'!AF47/'C4-Sources'!H47*100</f>
        <v>7.623713527531792</v>
      </c>
      <c r="AY46" s="450">
        <f>'C4-Sources'!AN47/'C4-Sources'!H47*100</f>
        <v>9.5105771422716483</v>
      </c>
      <c r="AZ46" s="450">
        <f>'C4-Sources'!AV47/'C4-Sources'!H47*100</f>
        <v>3.5063238438863249</v>
      </c>
      <c r="BA46" s="450">
        <f>'C4-Sources'!BD47/'C4-Sources'!H47*100</f>
        <v>4.3457500221923047</v>
      </c>
      <c r="BB46" s="450">
        <f>'C4-Sources'!BL47/'C4-Sources'!H47*100</f>
        <v>2.0687174863428397</v>
      </c>
      <c r="BC46" s="450">
        <f t="shared" si="5"/>
        <v>8.1680628496115588</v>
      </c>
      <c r="BD46" s="453"/>
      <c r="BE46" s="453"/>
      <c r="BF46" s="453"/>
      <c r="BG46" s="453"/>
      <c r="BH46" s="454"/>
      <c r="BI46" s="452"/>
      <c r="BJ46" s="452"/>
    </row>
    <row r="47" spans="1:62" s="173" customFormat="1" ht="12" x14ac:dyDescent="0.25">
      <c r="A47" s="239">
        <v>2001</v>
      </c>
      <c r="B47" s="449"/>
      <c r="C47" s="450">
        <f>'C4-Sources'!K48/'C4-Sources'!C48*100</f>
        <v>52.790121212090654</v>
      </c>
      <c r="D47" s="450">
        <f>'C4-Sources'!S48/'C4-Sources'!C48*100</f>
        <v>16.134457669765965</v>
      </c>
      <c r="E47" s="450">
        <f>'C4-Sources'!AA48/'C4-Sources'!C48*100</f>
        <v>2.7464644832701683</v>
      </c>
      <c r="F47" s="450">
        <f>'C4-Sources'!AI48/'C4-Sources'!C48*100</f>
        <v>4.3140206842473505</v>
      </c>
      <c r="G47" s="450">
        <f>'C4-Sources'!AQ48/'C4-Sources'!C48*100</f>
        <v>2.6248579168879003</v>
      </c>
      <c r="H47" s="450">
        <f>'C4-Sources'!AY48/'C4-Sources'!C48*100</f>
        <v>2.2138622503159096</v>
      </c>
      <c r="I47" s="450">
        <f>'C4-Sources'!BG48/'C4-Sources'!C48*100</f>
        <v>6.5436323566378478</v>
      </c>
      <c r="J47" s="450">
        <f t="shared" si="0"/>
        <v>12.632583426784194</v>
      </c>
      <c r="L47" s="450">
        <f>'C4-Sources'!L48/'C4-Sources'!D48*100</f>
        <v>48.741184666581375</v>
      </c>
      <c r="M47" s="450">
        <f>'C4-Sources'!T48/'C4-Sources'!D48*100</f>
        <v>19.166161282975043</v>
      </c>
      <c r="N47" s="450">
        <f>'C4-Sources'!AB48/'C4-Sources'!D48*100</f>
        <v>3.3914673121077294</v>
      </c>
      <c r="O47" s="450">
        <f>'C4-Sources'!AJ48/'C4-Sources'!D48*100</f>
        <v>5.1897824346999704</v>
      </c>
      <c r="P47" s="450">
        <f>'C4-Sources'!AR48/'C4-Sources'!D48*100</f>
        <v>2.955513579903795</v>
      </c>
      <c r="Q47" s="450">
        <f>'C4-Sources'!AZ48/'C4-Sources'!D48*100</f>
        <v>2.3459525828665111</v>
      </c>
      <c r="R47" s="450">
        <f>'C4-Sources'!BH48/'C4-Sources'!D48*100</f>
        <v>5.7587801373596799</v>
      </c>
      <c r="S47" s="450">
        <f t="shared" si="1"/>
        <v>12.451158003505896</v>
      </c>
      <c r="U47" s="450">
        <f>'C4-Sources'!M48/'C4-Sources'!E48*100</f>
        <v>40.856935175450225</v>
      </c>
      <c r="V47" s="450">
        <f>'C4-Sources'!U48/'C4-Sources'!E48*100</f>
        <v>24.21675487642878</v>
      </c>
      <c r="W47" s="450">
        <f>'C4-Sources'!AC48/'C4-Sources'!E48*100</f>
        <v>4.8721414412288784</v>
      </c>
      <c r="X47" s="450">
        <f>'C4-Sources'!AK48/'C4-Sources'!E48*100</f>
        <v>7.3692466878260703</v>
      </c>
      <c r="Y47" s="450">
        <f>'C4-Sources'!AS48/'C4-Sources'!E48*100</f>
        <v>3.7761247163146225</v>
      </c>
      <c r="Z47" s="450">
        <f>'C4-Sources'!BA48/'C4-Sources'!E48*100</f>
        <v>2.7023375921790374</v>
      </c>
      <c r="AA47" s="450">
        <f>'C4-Sources'!BI48/'C4-Sources'!E48*100</f>
        <v>4.2128174349895717</v>
      </c>
      <c r="AB47" s="450">
        <f t="shared" si="2"/>
        <v>11.993642075582827</v>
      </c>
      <c r="AD47" s="450">
        <f>'C4-Sources'!N48/'C4-Sources'!F48*100</f>
        <v>38.128185386495247</v>
      </c>
      <c r="AE47" s="450">
        <f>'C4-Sources'!V48/'C4-Sources'!F48*100</f>
        <v>25.950974745895056</v>
      </c>
      <c r="AF47" s="450">
        <f>'C4-Sources'!AD48/'C4-Sources'!F48*100</f>
        <v>5.3766004122358346</v>
      </c>
      <c r="AG47" s="450">
        <f>'C4-Sources'!AL48/'C4-Sources'!F48*100</f>
        <v>8.0936810379641599</v>
      </c>
      <c r="AH47" s="450">
        <f>'C4-Sources'!AT48/'C4-Sources'!F48*100</f>
        <v>4.0231376081269126</v>
      </c>
      <c r="AI47" s="450">
        <f>'C4-Sources'!BB48/'C4-Sources'!F48*100</f>
        <v>2.778005150206563</v>
      </c>
      <c r="AJ47" s="450">
        <f>'C4-Sources'!BJ48/'C4-Sources'!F48*100</f>
        <v>3.603657331580814</v>
      </c>
      <c r="AK47" s="450">
        <f t="shared" si="3"/>
        <v>12.045758327495406</v>
      </c>
      <c r="AM47" s="450">
        <f>'C4-Sources'!O48/'C4-Sources'!G48*100</f>
        <v>35.971531545896525</v>
      </c>
      <c r="AN47" s="450">
        <f>'C4-Sources'!W48/'C4-Sources'!G48*100</f>
        <v>28.444921567152864</v>
      </c>
      <c r="AO47" s="450">
        <f>'C4-Sources'!AE48/'C4-Sources'!G48*100</f>
        <v>6.7324790806872121</v>
      </c>
      <c r="AP47" s="450">
        <f>'C4-Sources'!AM48/'C4-Sources'!G48*100</f>
        <v>9.9180883531189821</v>
      </c>
      <c r="AQ47" s="450">
        <f>'C4-Sources'!AU48/'C4-Sources'!G48*100</f>
        <v>4.7046270614989938</v>
      </c>
      <c r="AR47" s="450">
        <f>'C4-Sources'!BC48/'C4-Sources'!G48*100</f>
        <v>3.0265867938872892</v>
      </c>
      <c r="AS47" s="450">
        <f>'C4-Sources'!BK48/'C4-Sources'!G48*100</f>
        <v>2.4179140925445064</v>
      </c>
      <c r="AT47" s="450">
        <f t="shared" si="4"/>
        <v>8.7838515052136188</v>
      </c>
      <c r="AV47" s="450">
        <f>'C4-Sources'!P48/'C4-Sources'!H48*100</f>
        <v>33.892644216639546</v>
      </c>
      <c r="AW47" s="450">
        <f>'C4-Sources'!X48/'C4-Sources'!H48*100</f>
        <v>28.371403927068346</v>
      </c>
      <c r="AX47" s="450">
        <f>'C4-Sources'!AF48/'C4-Sources'!H48*100</f>
        <v>8.2865043360667894</v>
      </c>
      <c r="AY47" s="450">
        <f>'C4-Sources'!AN48/'C4-Sources'!H48*100</f>
        <v>11.271356507573985</v>
      </c>
      <c r="AZ47" s="450">
        <f>'C4-Sources'!AV48/'C4-Sources'!H48*100</f>
        <v>5.6125723684096629</v>
      </c>
      <c r="BA47" s="450">
        <f>'C4-Sources'!BD48/'C4-Sources'!H48*100</f>
        <v>3.4620307944290634</v>
      </c>
      <c r="BB47" s="450">
        <f>'C4-Sources'!BL48/'C4-Sources'!H48*100</f>
        <v>1.8153051199079344</v>
      </c>
      <c r="BC47" s="450">
        <f t="shared" si="5"/>
        <v>7.2881827299046762</v>
      </c>
      <c r="BD47" s="453"/>
      <c r="BE47" s="453"/>
      <c r="BF47" s="453"/>
      <c r="BG47" s="453"/>
      <c r="BH47" s="454"/>
      <c r="BI47" s="452"/>
      <c r="BJ47" s="452"/>
    </row>
    <row r="48" spans="1:62" s="173" customFormat="1" ht="12" x14ac:dyDescent="0.25">
      <c r="A48" s="239">
        <v>2002</v>
      </c>
      <c r="B48" s="449"/>
      <c r="C48" s="450">
        <f>'C4-Sources'!K49/'C4-Sources'!C49*100</f>
        <v>52.346405879469003</v>
      </c>
      <c r="D48" s="450">
        <f>'C4-Sources'!S49/'C4-Sources'!C49*100</f>
        <v>16.237249326068465</v>
      </c>
      <c r="E48" s="450">
        <f>'C4-Sources'!AA49/'C4-Sources'!C49*100</f>
        <v>2.3229522427864948</v>
      </c>
      <c r="F48" s="450">
        <f>'C4-Sources'!AI49/'C4-Sources'!C49*100</f>
        <v>3.514285783724056</v>
      </c>
      <c r="G48" s="450">
        <f>'C4-Sources'!AQ49/'C4-Sources'!C49*100</f>
        <v>4.4034035274360344</v>
      </c>
      <c r="H48" s="450">
        <f>'C4-Sources'!AY49/'C4-Sources'!C49*100</f>
        <v>2.0540091412007722</v>
      </c>
      <c r="I48" s="450">
        <f>'C4-Sources'!BG49/'C4-Sources'!C49*100</f>
        <v>6.7707415397846571</v>
      </c>
      <c r="J48" s="450">
        <f t="shared" si="0"/>
        <v>12.350952559530512</v>
      </c>
      <c r="L48" s="450">
        <f>'C4-Sources'!L49/'C4-Sources'!D49*100</f>
        <v>48.231009233092365</v>
      </c>
      <c r="M48" s="450">
        <f>'C4-Sources'!T49/'C4-Sources'!D49*100</f>
        <v>19.454164642577947</v>
      </c>
      <c r="N48" s="450">
        <f>'C4-Sources'!AB49/'C4-Sources'!D49*100</f>
        <v>2.9139301116744893</v>
      </c>
      <c r="O48" s="450">
        <f>'C4-Sources'!AJ49/'C4-Sources'!D49*100</f>
        <v>4.3396949974101178</v>
      </c>
      <c r="P48" s="450">
        <f>'C4-Sources'!AR49/'C4-Sources'!D49*100</f>
        <v>4.8689366093876929</v>
      </c>
      <c r="Q48" s="450">
        <f>'C4-Sources'!AZ49/'C4-Sources'!D49*100</f>
        <v>2.1310285560392122</v>
      </c>
      <c r="R48" s="450">
        <f>'C4-Sources'!BH49/'C4-Sources'!D49*100</f>
        <v>6.0180477365574809</v>
      </c>
      <c r="S48" s="450">
        <f t="shared" si="1"/>
        <v>12.043188113260697</v>
      </c>
      <c r="U48" s="450">
        <f>'C4-Sources'!M49/'C4-Sources'!E49*100</f>
        <v>39.021524051320092</v>
      </c>
      <c r="V48" s="450">
        <f>'C4-Sources'!U49/'C4-Sources'!E49*100</f>
        <v>25.562177208346149</v>
      </c>
      <c r="W48" s="450">
        <f>'C4-Sources'!AC49/'C4-Sources'!E49*100</f>
        <v>4.3378005611725916</v>
      </c>
      <c r="X48" s="450">
        <f>'C4-Sources'!AK49/'C4-Sources'!E49*100</f>
        <v>6.3884432313685018</v>
      </c>
      <c r="Y48" s="450">
        <f>'C4-Sources'!AS49/'C4-Sources'!E49*100</f>
        <v>6.0757865136749638</v>
      </c>
      <c r="Z48" s="450">
        <f>'C4-Sources'!BA49/'C4-Sources'!E49*100</f>
        <v>2.3490365884519551</v>
      </c>
      <c r="AA48" s="450">
        <f>'C4-Sources'!BI49/'C4-Sources'!E49*100</f>
        <v>4.168368429514377</v>
      </c>
      <c r="AB48" s="450">
        <f t="shared" si="2"/>
        <v>12.096863416151379</v>
      </c>
      <c r="AD48" s="450">
        <f>'C4-Sources'!N49/'C4-Sources'!F49*100</f>
        <v>35.859778423537485</v>
      </c>
      <c r="AE48" s="450">
        <f>'C4-Sources'!V49/'C4-Sources'!F49*100</f>
        <v>27.539825235383237</v>
      </c>
      <c r="AF48" s="450">
        <f>'C4-Sources'!AD49/'C4-Sources'!F49*100</f>
        <v>4.8631246607604277</v>
      </c>
      <c r="AG48" s="450">
        <f>'C4-Sources'!AL49/'C4-Sources'!F49*100</f>
        <v>7.1311451572474676</v>
      </c>
      <c r="AH48" s="450">
        <f>'C4-Sources'!AT49/'C4-Sources'!F49*100</f>
        <v>6.5099798850097539</v>
      </c>
      <c r="AI48" s="450">
        <f>'C4-Sources'!BB49/'C4-Sources'!F49*100</f>
        <v>2.4145245123179313</v>
      </c>
      <c r="AJ48" s="450">
        <f>'C4-Sources'!BJ49/'C4-Sources'!F49*100</f>
        <v>3.4664318055669177</v>
      </c>
      <c r="AK48" s="450">
        <f t="shared" si="3"/>
        <v>12.215190320176774</v>
      </c>
      <c r="AM48" s="450">
        <f>'C4-Sources'!O49/'C4-Sources'!G49*100</f>
        <v>31.882837442459</v>
      </c>
      <c r="AN48" s="450">
        <f>'C4-Sources'!W49/'C4-Sources'!G49*100</f>
        <v>31.41212146195415</v>
      </c>
      <c r="AO48" s="450">
        <f>'C4-Sources'!AE49/'C4-Sources'!G49*100</f>
        <v>6.2363857884958112</v>
      </c>
      <c r="AP48" s="450">
        <f>'C4-Sources'!AM49/'C4-Sources'!G49*100</f>
        <v>8.8008734878065287</v>
      </c>
      <c r="AQ48" s="450">
        <f>'C4-Sources'!AU49/'C4-Sources'!G49*100</f>
        <v>7.716925105732245</v>
      </c>
      <c r="AR48" s="450">
        <f>'C4-Sources'!BC49/'C4-Sources'!G49*100</f>
        <v>2.6547761899445685</v>
      </c>
      <c r="AS48" s="450">
        <f>'C4-Sources'!BK49/'C4-Sources'!G49*100</f>
        <v>2.3872758254861601</v>
      </c>
      <c r="AT48" s="450">
        <f t="shared" si="4"/>
        <v>8.9088046981215427</v>
      </c>
      <c r="AV48" s="450">
        <f>'C4-Sources'!P49/'C4-Sources'!H49*100</f>
        <v>28.01484007706771</v>
      </c>
      <c r="AW48" s="450">
        <f>'C4-Sources'!X49/'C4-Sources'!H49*100</f>
        <v>32.756015211027865</v>
      </c>
      <c r="AX48" s="450">
        <f>'C4-Sources'!AF49/'C4-Sources'!H49*100</f>
        <v>8.0159270821922455</v>
      </c>
      <c r="AY48" s="450">
        <f>'C4-Sources'!AN49/'C4-Sources'!H49*100</f>
        <v>10.204826694570976</v>
      </c>
      <c r="AZ48" s="450">
        <f>'C4-Sources'!AV49/'C4-Sources'!H49*100</f>
        <v>9.5591550437896817</v>
      </c>
      <c r="BA48" s="450">
        <f>'C4-Sources'!BD49/'C4-Sources'!H49*100</f>
        <v>3.1130616011555503</v>
      </c>
      <c r="BB48" s="450">
        <f>'C4-Sources'!BL49/'C4-Sources'!H49*100</f>
        <v>1.7173606906278216</v>
      </c>
      <c r="BC48" s="450">
        <f t="shared" si="5"/>
        <v>6.6188135995681279</v>
      </c>
      <c r="BD48" s="453"/>
      <c r="BE48" s="453"/>
      <c r="BF48" s="453"/>
      <c r="BG48" s="453"/>
      <c r="BH48" s="454"/>
      <c r="BI48" s="452"/>
      <c r="BJ48" s="452"/>
    </row>
    <row r="49" spans="1:62" s="173" customFormat="1" ht="12" x14ac:dyDescent="0.25">
      <c r="A49" s="239">
        <v>2003</v>
      </c>
      <c r="B49" s="449"/>
      <c r="C49" s="450">
        <f>'C4-Sources'!K50/'C4-Sources'!C50*100</f>
        <v>51.390312889631694</v>
      </c>
      <c r="D49" s="450">
        <f>'C4-Sources'!S50/'C4-Sources'!C50*100</f>
        <v>16.024869400268891</v>
      </c>
      <c r="E49" s="450">
        <f>'C4-Sources'!AA50/'C4-Sources'!C50*100</f>
        <v>2.5998262231610481</v>
      </c>
      <c r="F49" s="450">
        <f>'C4-Sources'!AI50/'C4-Sources'!C50*100</f>
        <v>3.044399121154266</v>
      </c>
      <c r="G49" s="450">
        <f>'C4-Sources'!AQ50/'C4-Sources'!C50*100</f>
        <v>5.2768890456243671</v>
      </c>
      <c r="H49" s="450">
        <f>'C4-Sources'!AY50/'C4-Sources'!C50*100</f>
        <v>2.6955714381079519</v>
      </c>
      <c r="I49" s="450">
        <f>'C4-Sources'!BG50/'C4-Sources'!C50*100</f>
        <v>6.6265642235510098</v>
      </c>
      <c r="J49" s="450">
        <f t="shared" si="0"/>
        <v>12.341567658500765</v>
      </c>
      <c r="L49" s="450">
        <f>'C4-Sources'!L50/'C4-Sources'!D50*100</f>
        <v>47.084428185894055</v>
      </c>
      <c r="M49" s="450">
        <f>'C4-Sources'!T50/'C4-Sources'!D50*100</f>
        <v>19.273936322884204</v>
      </c>
      <c r="N49" s="450">
        <f>'C4-Sources'!AB50/'C4-Sources'!D50*100</f>
        <v>3.3138634956350859</v>
      </c>
      <c r="O49" s="450">
        <f>'C4-Sources'!AJ50/'C4-Sources'!D50*100</f>
        <v>3.814415466535154</v>
      </c>
      <c r="P49" s="450">
        <f>'C4-Sources'!AR50/'C4-Sources'!D50*100</f>
        <v>5.8718134008893292</v>
      </c>
      <c r="Q49" s="450">
        <f>'C4-Sources'!AZ50/'C4-Sources'!D50*100</f>
        <v>2.8044173407464923</v>
      </c>
      <c r="R49" s="450">
        <f>'C4-Sources'!BH50/'C4-Sources'!D50*100</f>
        <v>5.6922859167381805</v>
      </c>
      <c r="S49" s="450">
        <f t="shared" si="1"/>
        <v>12.144839870677487</v>
      </c>
      <c r="U49" s="450">
        <f>'C4-Sources'!M50/'C4-Sources'!E50*100</f>
        <v>37.582717360740695</v>
      </c>
      <c r="V49" s="450">
        <f>'C4-Sources'!U50/'C4-Sources'!E50*100</f>
        <v>25.277237266264791</v>
      </c>
      <c r="W49" s="450">
        <f>'C4-Sources'!AC50/'C4-Sources'!E50*100</f>
        <v>5.092480316624834</v>
      </c>
      <c r="X49" s="450">
        <f>'C4-Sources'!AK50/'C4-Sources'!E50*100</f>
        <v>5.6982750405833551</v>
      </c>
      <c r="Y49" s="450">
        <f>'C4-Sources'!AS50/'C4-Sources'!E50*100</f>
        <v>7.4815300315361695</v>
      </c>
      <c r="Z49" s="450">
        <f>'C4-Sources'!BA50/'C4-Sources'!E50*100</f>
        <v>3.1404456497620989</v>
      </c>
      <c r="AA49" s="450">
        <f>'C4-Sources'!BI50/'C4-Sources'!E50*100</f>
        <v>3.7954513822003246</v>
      </c>
      <c r="AB49" s="450">
        <f t="shared" si="2"/>
        <v>11.93186295228773</v>
      </c>
      <c r="AD49" s="450">
        <f>'C4-Sources'!N50/'C4-Sources'!F50*100</f>
        <v>34.078527211465563</v>
      </c>
      <c r="AE49" s="450">
        <f>'C4-Sources'!V50/'C4-Sources'!F50*100</f>
        <v>27.153568240209129</v>
      </c>
      <c r="AF49" s="450">
        <f>'C4-Sources'!AD50/'C4-Sources'!F50*100</f>
        <v>5.7790142216842817</v>
      </c>
      <c r="AG49" s="450">
        <f>'C4-Sources'!AL50/'C4-Sources'!F50*100</f>
        <v>6.3535997292248503</v>
      </c>
      <c r="AH49" s="450">
        <f>'C4-Sources'!AT50/'C4-Sources'!F50*100</f>
        <v>8.114350597506645</v>
      </c>
      <c r="AI49" s="450">
        <f>'C4-Sources'!BB50/'C4-Sources'!F50*100</f>
        <v>3.2723198767043451</v>
      </c>
      <c r="AJ49" s="450">
        <f>'C4-Sources'!BJ50/'C4-Sources'!F50*100</f>
        <v>3.1616041727120523</v>
      </c>
      <c r="AK49" s="450">
        <f t="shared" si="3"/>
        <v>12.087015950493139</v>
      </c>
      <c r="AM49" s="450">
        <f>'C4-Sources'!O50/'C4-Sources'!G50*100</f>
        <v>29.846194095983225</v>
      </c>
      <c r="AN49" s="450">
        <f>'C4-Sources'!W50/'C4-Sources'!G50*100</f>
        <v>30.092682646541352</v>
      </c>
      <c r="AO49" s="450">
        <f>'C4-Sources'!AE50/'C4-Sources'!G50*100</f>
        <v>7.5814537897467895</v>
      </c>
      <c r="AP49" s="450">
        <f>'C4-Sources'!AM50/'C4-Sources'!G50*100</f>
        <v>7.6861501698870116</v>
      </c>
      <c r="AQ49" s="450">
        <f>'C4-Sources'!AU50/'C4-Sources'!G50*100</f>
        <v>9.9795519654205584</v>
      </c>
      <c r="AR49" s="450">
        <f>'C4-Sources'!BC50/'C4-Sources'!G50*100</f>
        <v>3.7715072200776989</v>
      </c>
      <c r="AS49" s="450">
        <f>'C4-Sources'!BK50/'C4-Sources'!G50*100</f>
        <v>2.2723533642303848</v>
      </c>
      <c r="AT49" s="450">
        <f t="shared" si="4"/>
        <v>8.7701067481129797</v>
      </c>
      <c r="AV49" s="450">
        <f>'C4-Sources'!P50/'C4-Sources'!H50*100</f>
        <v>25.025033496097134</v>
      </c>
      <c r="AW49" s="450">
        <f>'C4-Sources'!X50/'C4-Sources'!H50*100</f>
        <v>30.339199372461835</v>
      </c>
      <c r="AX49" s="450">
        <f>'C4-Sources'!AF50/'C4-Sources'!H50*100</f>
        <v>9.9431824488884804</v>
      </c>
      <c r="AY49" s="450">
        <f>'C4-Sources'!AN50/'C4-Sources'!H50*100</f>
        <v>8.7514403061842518</v>
      </c>
      <c r="AZ49" s="450">
        <f>'C4-Sources'!AV50/'C4-Sources'!H50*100</f>
        <v>12.486547251375365</v>
      </c>
      <c r="BA49" s="450">
        <f>'C4-Sources'!BD50/'C4-Sources'!H50*100</f>
        <v>4.4714925284030187</v>
      </c>
      <c r="BB49" s="450">
        <f>'C4-Sources'!BL50/'C4-Sources'!H50*100</f>
        <v>1.6412907031711423</v>
      </c>
      <c r="BC49" s="450">
        <f t="shared" si="5"/>
        <v>7.3418138934187738</v>
      </c>
      <c r="BD49" s="453"/>
      <c r="BE49" s="453"/>
      <c r="BF49" s="453"/>
      <c r="BG49" s="453"/>
      <c r="BH49" s="454"/>
      <c r="BI49" s="452"/>
      <c r="BJ49" s="452"/>
    </row>
    <row r="50" spans="1:62" s="173" customFormat="1" ht="12" x14ac:dyDescent="0.25">
      <c r="A50" s="239">
        <v>2004</v>
      </c>
      <c r="B50" s="449"/>
      <c r="C50" s="450">
        <f>'C4-Sources'!K51/'C4-Sources'!C51*100</f>
        <v>50.105196731080106</v>
      </c>
      <c r="D50" s="450">
        <f>'C4-Sources'!S51/'C4-Sources'!C51*100</f>
        <v>16.55935878537278</v>
      </c>
      <c r="E50" s="450">
        <f>'C4-Sources'!AA51/'C4-Sources'!C51*100</f>
        <v>3.1678087733786948</v>
      </c>
      <c r="F50" s="450">
        <f>'C4-Sources'!AI51/'C4-Sources'!C51*100</f>
        <v>2.8958193224896749</v>
      </c>
      <c r="G50" s="450">
        <f>'C4-Sources'!AQ51/'C4-Sources'!C51*100</f>
        <v>5.4611645315356308</v>
      </c>
      <c r="H50" s="450">
        <f>'C4-Sources'!AY51/'C4-Sources'!C51*100</f>
        <v>3.3564050960119558</v>
      </c>
      <c r="I50" s="450">
        <f>'C4-Sources'!BG51/'C4-Sources'!C51*100</f>
        <v>6.4547133220336823</v>
      </c>
      <c r="J50" s="450">
        <f t="shared" si="0"/>
        <v>11.999533438097487</v>
      </c>
      <c r="L50" s="450">
        <f>'C4-Sources'!L51/'C4-Sources'!D51*100</f>
        <v>45.790786266631613</v>
      </c>
      <c r="M50" s="450">
        <f>'C4-Sources'!T51/'C4-Sources'!D51*100</f>
        <v>19.857904414763869</v>
      </c>
      <c r="N50" s="450">
        <f>'C4-Sources'!AB51/'C4-Sources'!D51*100</f>
        <v>4.0253345856546527</v>
      </c>
      <c r="O50" s="450">
        <f>'C4-Sources'!AJ51/'C4-Sources'!D51*100</f>
        <v>3.6305553867711984</v>
      </c>
      <c r="P50" s="450">
        <f>'C4-Sources'!AR51/'C4-Sources'!D51*100</f>
        <v>6.0054462417616925</v>
      </c>
      <c r="Q50" s="450">
        <f>'C4-Sources'!AZ51/'C4-Sources'!D51*100</f>
        <v>3.4771438035431776</v>
      </c>
      <c r="R50" s="450">
        <f>'C4-Sources'!BH51/'C4-Sources'!D51*100</f>
        <v>5.5590250790412092</v>
      </c>
      <c r="S50" s="450">
        <f t="shared" si="1"/>
        <v>11.653804221832615</v>
      </c>
      <c r="U50" s="450">
        <f>'C4-Sources'!M51/'C4-Sources'!E51*100</f>
        <v>36.738845328510408</v>
      </c>
      <c r="V50" s="450">
        <f>'C4-Sources'!U51/'C4-Sources'!E51*100</f>
        <v>25.627755445748068</v>
      </c>
      <c r="W50" s="450">
        <f>'C4-Sources'!AC51/'C4-Sources'!E51*100</f>
        <v>6.1357546882386993</v>
      </c>
      <c r="X50" s="450">
        <f>'C4-Sources'!AK51/'C4-Sources'!E51*100</f>
        <v>5.2912126846843117</v>
      </c>
      <c r="Y50" s="450">
        <f>'C4-Sources'!AS51/'C4-Sources'!E51*100</f>
        <v>7.4695325816550291</v>
      </c>
      <c r="Z50" s="450">
        <f>'C4-Sources'!BA51/'C4-Sources'!E51*100</f>
        <v>3.8513696668943145</v>
      </c>
      <c r="AA50" s="450">
        <f>'C4-Sources'!BI51/'C4-Sources'!E51*100</f>
        <v>3.5144677742215564</v>
      </c>
      <c r="AB50" s="450">
        <f t="shared" si="2"/>
        <v>11.371061830047609</v>
      </c>
      <c r="AD50" s="450">
        <f>'C4-Sources'!N51/'C4-Sources'!F51*100</f>
        <v>33.580442669923308</v>
      </c>
      <c r="AE50" s="450">
        <f>'C4-Sources'!V51/'C4-Sources'!F51*100</f>
        <v>27.310209886566366</v>
      </c>
      <c r="AF50" s="450">
        <f>'C4-Sources'!AD51/'C4-Sources'!F51*100</f>
        <v>6.9663356490865223</v>
      </c>
      <c r="AG50" s="450">
        <f>'C4-Sources'!AL51/'C4-Sources'!F51*100</f>
        <v>5.8677990181321933</v>
      </c>
      <c r="AH50" s="450">
        <f>'C4-Sources'!AT51/'C4-Sources'!F51*100</f>
        <v>8.1010621242175702</v>
      </c>
      <c r="AI50" s="450">
        <f>'C4-Sources'!BB51/'C4-Sources'!F51*100</f>
        <v>4.0388423724303069</v>
      </c>
      <c r="AJ50" s="450">
        <f>'C4-Sources'!BJ51/'C4-Sources'!F51*100</f>
        <v>2.9047883949039832</v>
      </c>
      <c r="AK50" s="450">
        <f t="shared" si="3"/>
        <v>11.230519884739749</v>
      </c>
      <c r="AM50" s="450">
        <f>'C4-Sources'!O51/'C4-Sources'!G51*100</f>
        <v>29.704633182252671</v>
      </c>
      <c r="AN50" s="450">
        <f>'C4-Sources'!W51/'C4-Sources'!G51*100</f>
        <v>29.187434877348579</v>
      </c>
      <c r="AO50" s="450">
        <f>'C4-Sources'!AE51/'C4-Sources'!G51*100</f>
        <v>9.0684790325731477</v>
      </c>
      <c r="AP50" s="450">
        <f>'C4-Sources'!AM51/'C4-Sources'!G51*100</f>
        <v>6.9691064109998218</v>
      </c>
      <c r="AQ50" s="450">
        <f>'C4-Sources'!AU51/'C4-Sources'!G51*100</f>
        <v>9.8853775538537221</v>
      </c>
      <c r="AR50" s="450">
        <f>'C4-Sources'!BC51/'C4-Sources'!G51*100</f>
        <v>4.6971537930835439</v>
      </c>
      <c r="AS50" s="450">
        <f>'C4-Sources'!BK51/'C4-Sources'!G51*100</f>
        <v>2.2245536707963867</v>
      </c>
      <c r="AT50" s="450">
        <f t="shared" si="4"/>
        <v>8.2632614790921366</v>
      </c>
      <c r="AV50" s="450">
        <f>'C4-Sources'!P51/'C4-Sources'!H51*100</f>
        <v>25.662288036911828</v>
      </c>
      <c r="AW50" s="450">
        <f>'C4-Sources'!X51/'C4-Sources'!H51*100</f>
        <v>28.393964854719439</v>
      </c>
      <c r="AX50" s="450">
        <f>'C4-Sources'!AF51/'C4-Sources'!H51*100</f>
        <v>11.862416664932052</v>
      </c>
      <c r="AY50" s="450">
        <f>'C4-Sources'!AN51/'C4-Sources'!H51*100</f>
        <v>7.768773741681871</v>
      </c>
      <c r="AZ50" s="450">
        <f>'C4-Sources'!AV51/'C4-Sources'!H51*100</f>
        <v>12.011235949087578</v>
      </c>
      <c r="BA50" s="450">
        <f>'C4-Sources'!BD51/'C4-Sources'!H51*100</f>
        <v>5.4624900737607165</v>
      </c>
      <c r="BB50" s="450">
        <f>'C4-Sources'!BL51/'C4-Sources'!H51*100</f>
        <v>1.6332767374351191</v>
      </c>
      <c r="BC50" s="450">
        <f t="shared" si="5"/>
        <v>7.2055539414713934</v>
      </c>
      <c r="BD50" s="453"/>
      <c r="BE50" s="453"/>
      <c r="BF50" s="453"/>
      <c r="BG50" s="453"/>
      <c r="BH50" s="454"/>
      <c r="BI50" s="452"/>
      <c r="BJ50" s="452"/>
    </row>
    <row r="51" spans="1:62" s="173" customFormat="1" ht="12" x14ac:dyDescent="0.25">
      <c r="A51" s="239">
        <v>2005</v>
      </c>
      <c r="B51" s="449"/>
      <c r="C51" s="450">
        <f>'C4-Sources'!K52/'C4-Sources'!C52*100</f>
        <v>48.851209765123563</v>
      </c>
      <c r="D51" s="450">
        <f>'C4-Sources'!S52/'C4-Sources'!C52*100</f>
        <v>17.355139214134976</v>
      </c>
      <c r="E51" s="450">
        <f>'C4-Sources'!AA52/'C4-Sources'!C52*100</f>
        <v>3.3355774416129975</v>
      </c>
      <c r="F51" s="450">
        <f>'C4-Sources'!AI52/'C4-Sources'!C52*100</f>
        <v>3.4225058497162371</v>
      </c>
      <c r="G51" s="450">
        <f>'C4-Sources'!AQ52/'C4-Sources'!C52*100</f>
        <v>5.882905202657895</v>
      </c>
      <c r="H51" s="450">
        <f>'C4-Sources'!AY52/'C4-Sources'!C52*100</f>
        <v>4.1898336274800503</v>
      </c>
      <c r="I51" s="450">
        <f>'C4-Sources'!BG52/'C4-Sources'!C52*100</f>
        <v>5.9570413279646584</v>
      </c>
      <c r="J51" s="450">
        <f t="shared" si="0"/>
        <v>11.005787571309625</v>
      </c>
      <c r="L51" s="450">
        <f>'C4-Sources'!L52/'C4-Sources'!D52*100</f>
        <v>44.418794246287689</v>
      </c>
      <c r="M51" s="450">
        <f>'C4-Sources'!T52/'C4-Sources'!D52*100</f>
        <v>20.743011699590092</v>
      </c>
      <c r="N51" s="450">
        <f>'C4-Sources'!AB52/'C4-Sources'!D52*100</f>
        <v>4.156282998225727</v>
      </c>
      <c r="O51" s="450">
        <f>'C4-Sources'!AJ52/'C4-Sources'!D52*100</f>
        <v>4.2032345432538438</v>
      </c>
      <c r="P51" s="450">
        <f>'C4-Sources'!AR52/'C4-Sources'!D52*100</f>
        <v>6.451113334804</v>
      </c>
      <c r="Q51" s="450">
        <f>'C4-Sources'!AZ52/'C4-Sources'!D52*100</f>
        <v>4.3526022918176279</v>
      </c>
      <c r="R51" s="450">
        <f>'C4-Sources'!BH52/'C4-Sources'!D52*100</f>
        <v>5.0717168365719747</v>
      </c>
      <c r="S51" s="450">
        <f t="shared" si="1"/>
        <v>10.603244049449046</v>
      </c>
      <c r="U51" s="450">
        <f>'C4-Sources'!M52/'C4-Sources'!E52*100</f>
        <v>34.740314519217961</v>
      </c>
      <c r="V51" s="450">
        <f>'C4-Sources'!U52/'C4-Sources'!E52*100</f>
        <v>27.096747145501553</v>
      </c>
      <c r="W51" s="450">
        <f>'C4-Sources'!AC52/'C4-Sources'!E52*100</f>
        <v>6.0586870788930121</v>
      </c>
      <c r="X51" s="450">
        <f>'C4-Sources'!AK52/'C4-Sources'!E52*100</f>
        <v>6.007053875701601</v>
      </c>
      <c r="Y51" s="450">
        <f>'C4-Sources'!AS52/'C4-Sources'!E52*100</f>
        <v>7.825394791123923</v>
      </c>
      <c r="Z51" s="450">
        <f>'C4-Sources'!BA52/'C4-Sources'!E52*100</f>
        <v>4.7771093139778582</v>
      </c>
      <c r="AA51" s="450">
        <f>'C4-Sources'!BI52/'C4-Sources'!E52*100</f>
        <v>3.163295336620644</v>
      </c>
      <c r="AB51" s="450">
        <f t="shared" si="2"/>
        <v>10.331397938963434</v>
      </c>
      <c r="AD51" s="450">
        <f>'C4-Sources'!N52/'C4-Sources'!F52*100</f>
        <v>31.496229479059952</v>
      </c>
      <c r="AE51" s="450">
        <f>'C4-Sources'!V52/'C4-Sources'!F52*100</f>
        <v>28.987716391011826</v>
      </c>
      <c r="AF51" s="450">
        <f>'C4-Sources'!AD52/'C4-Sources'!F52*100</f>
        <v>6.8202295869721281</v>
      </c>
      <c r="AG51" s="450">
        <f>'C4-Sources'!AL52/'C4-Sources'!F52*100</f>
        <v>6.6621762429949074</v>
      </c>
      <c r="AH51" s="450">
        <f>'C4-Sources'!AT52/'C4-Sources'!F52*100</f>
        <v>8.4261288889312453</v>
      </c>
      <c r="AI51" s="450">
        <f>'C4-Sources'!BB52/'C4-Sources'!F52*100</f>
        <v>4.9951117478346445</v>
      </c>
      <c r="AJ51" s="450">
        <f>'C4-Sources'!BJ52/'C4-Sources'!F52*100</f>
        <v>2.6543508633289776</v>
      </c>
      <c r="AK51" s="450">
        <f t="shared" si="3"/>
        <v>9.958056799866327</v>
      </c>
      <c r="AM51" s="450">
        <f>'C4-Sources'!O52/'C4-Sources'!G52*100</f>
        <v>27.528687976038778</v>
      </c>
      <c r="AN51" s="450">
        <f>'C4-Sources'!W52/'C4-Sources'!G52*100</f>
        <v>30.863897705399097</v>
      </c>
      <c r="AO51" s="450">
        <f>'C4-Sources'!AE52/'C4-Sources'!G52*100</f>
        <v>8.4506203435974214</v>
      </c>
      <c r="AP51" s="450">
        <f>'C4-Sources'!AM52/'C4-Sources'!G52*100</f>
        <v>7.8366776338019122</v>
      </c>
      <c r="AQ51" s="450">
        <f>'C4-Sources'!AU52/'C4-Sources'!G52*100</f>
        <v>9.8310369724399642</v>
      </c>
      <c r="AR51" s="450">
        <f>'C4-Sources'!BC52/'C4-Sources'!G52*100</f>
        <v>5.5949108657578686</v>
      </c>
      <c r="AS51" s="450">
        <f>'C4-Sources'!BK52/'C4-Sources'!G52*100</f>
        <v>1.9970087116574355</v>
      </c>
      <c r="AT51" s="450">
        <f t="shared" si="4"/>
        <v>7.89715979130753</v>
      </c>
      <c r="AV51" s="450">
        <f>'C4-Sources'!P52/'C4-Sources'!H52*100</f>
        <v>22.995352556464454</v>
      </c>
      <c r="AW51" s="450">
        <f>'C4-Sources'!X52/'C4-Sources'!H52*100</f>
        <v>30.856285128511995</v>
      </c>
      <c r="AX51" s="450">
        <f>'C4-Sources'!AF52/'C4-Sources'!H52*100</f>
        <v>10.764217029462126</v>
      </c>
      <c r="AY51" s="450">
        <f>'C4-Sources'!AN52/'C4-Sources'!H52*100</f>
        <v>9.0682820224457021</v>
      </c>
      <c r="AZ51" s="450">
        <f>'C4-Sources'!AV52/'C4-Sources'!H52*100</f>
        <v>11.576618601339772</v>
      </c>
      <c r="BA51" s="450">
        <f>'C4-Sources'!BD52/'C4-Sources'!H52*100</f>
        <v>6.3795134072682318</v>
      </c>
      <c r="BB51" s="450">
        <f>'C4-Sources'!BL52/'C4-Sources'!H52*100</f>
        <v>1.4350903901055341</v>
      </c>
      <c r="BC51" s="450">
        <f t="shared" si="5"/>
        <v>6.9246408644021784</v>
      </c>
      <c r="BD51" s="453"/>
      <c r="BE51" s="453"/>
      <c r="BF51" s="453"/>
      <c r="BG51" s="453"/>
      <c r="BH51" s="454"/>
      <c r="BI51" s="452"/>
      <c r="BJ51" s="452"/>
    </row>
    <row r="52" spans="1:62" s="173" customFormat="1" ht="12" x14ac:dyDescent="0.25">
      <c r="A52" s="239">
        <v>2006</v>
      </c>
      <c r="B52" s="449"/>
      <c r="C52" s="450">
        <f>'C4-Sources'!K53/'C4-Sources'!C53*100</f>
        <v>47.867764581255351</v>
      </c>
      <c r="D52" s="450">
        <f>'C4-Sources'!S53/'C4-Sources'!C53*100</f>
        <v>17.296344283529464</v>
      </c>
      <c r="E52" s="450">
        <f>'C4-Sources'!AA53/'C4-Sources'!C53*100</f>
        <v>3.8093067609571838</v>
      </c>
      <c r="F52" s="450">
        <f>'C4-Sources'!AI53/'C4-Sources'!C53*100</f>
        <v>4.2935140833448386</v>
      </c>
      <c r="G52" s="450">
        <f>'C4-Sources'!AQ53/'C4-Sources'!C53*100</f>
        <v>5.1424765134844623</v>
      </c>
      <c r="H52" s="450">
        <f>'C4-Sources'!AY53/'C4-Sources'!C53*100</f>
        <v>4.414245833085646</v>
      </c>
      <c r="I52" s="450">
        <f>'C4-Sources'!BG53/'C4-Sources'!C53*100</f>
        <v>6.2072219957097516</v>
      </c>
      <c r="J52" s="450">
        <f t="shared" si="0"/>
        <v>10.969125948633291</v>
      </c>
      <c r="L52" s="450">
        <f>'C4-Sources'!L53/'C4-Sources'!D53*100</f>
        <v>43.249061742003327</v>
      </c>
      <c r="M52" s="450">
        <f>'C4-Sources'!T53/'C4-Sources'!D53*100</f>
        <v>20.552828663171432</v>
      </c>
      <c r="N52" s="450">
        <f>'C4-Sources'!AB53/'C4-Sources'!D53*100</f>
        <v>4.7385883232093393</v>
      </c>
      <c r="O52" s="450">
        <f>'C4-Sources'!AJ53/'C4-Sources'!D53*100</f>
        <v>5.2173538645236226</v>
      </c>
      <c r="P52" s="450">
        <f>'C4-Sources'!AR53/'C4-Sources'!D53*100</f>
        <v>5.7359748063572153</v>
      </c>
      <c r="Q52" s="450">
        <f>'C4-Sources'!AZ53/'C4-Sources'!D53*100</f>
        <v>4.6308887171281228</v>
      </c>
      <c r="R52" s="450">
        <f>'C4-Sources'!BH53/'C4-Sources'!D53*100</f>
        <v>5.27192146368533</v>
      </c>
      <c r="S52" s="450">
        <f t="shared" si="1"/>
        <v>10.603382419921601</v>
      </c>
      <c r="U52" s="450">
        <f>'C4-Sources'!M53/'C4-Sources'!E53*100</f>
        <v>33.509590824072156</v>
      </c>
      <c r="V52" s="450">
        <f>'C4-Sources'!U53/'C4-Sources'!E53*100</f>
        <v>26.243661366167181</v>
      </c>
      <c r="W52" s="450">
        <f>'C4-Sources'!AC53/'C4-Sources'!E53*100</f>
        <v>6.7954573170597428</v>
      </c>
      <c r="X52" s="450">
        <f>'C4-Sources'!AK53/'C4-Sources'!E53*100</f>
        <v>7.3784075830190519</v>
      </c>
      <c r="Y52" s="450">
        <f>'C4-Sources'!AS53/'C4-Sources'!E53*100</f>
        <v>7.0786921654611934</v>
      </c>
      <c r="Z52" s="450">
        <f>'C4-Sources'!BA53/'C4-Sources'!E53*100</f>
        <v>5.1341596884954166</v>
      </c>
      <c r="AA52" s="450">
        <f>'C4-Sources'!BI53/'C4-Sources'!E53*100</f>
        <v>3.3012743171506771</v>
      </c>
      <c r="AB52" s="450">
        <f t="shared" si="2"/>
        <v>10.558756738574587</v>
      </c>
      <c r="AD52" s="450">
        <f>'C4-Sources'!N53/'C4-Sources'!F53*100</f>
        <v>30.283966731300421</v>
      </c>
      <c r="AE52" s="450">
        <f>'C4-Sources'!V53/'C4-Sources'!F53*100</f>
        <v>27.953692166057326</v>
      </c>
      <c r="AF52" s="450">
        <f>'C4-Sources'!AD53/'C4-Sources'!F53*100</f>
        <v>7.5520829728925047</v>
      </c>
      <c r="AG52" s="450">
        <f>'C4-Sources'!AL53/'C4-Sources'!F53*100</f>
        <v>8.1435103572062264</v>
      </c>
      <c r="AH52" s="450">
        <f>'C4-Sources'!AT53/'C4-Sources'!F53*100</f>
        <v>7.5953652800230049</v>
      </c>
      <c r="AI52" s="450">
        <f>'C4-Sources'!BB53/'C4-Sources'!F53*100</f>
        <v>5.3413269041213294</v>
      </c>
      <c r="AJ52" s="450">
        <f>'C4-Sources'!BJ53/'C4-Sources'!F53*100</f>
        <v>2.7232863440621964</v>
      </c>
      <c r="AK52" s="450">
        <f t="shared" si="3"/>
        <v>10.406769244336985</v>
      </c>
      <c r="AM52" s="450">
        <f>'C4-Sources'!O53/'C4-Sources'!G53*100</f>
        <v>26.374293118990224</v>
      </c>
      <c r="AN52" s="450">
        <f>'C4-Sources'!W53/'C4-Sources'!G53*100</f>
        <v>29.642561379146148</v>
      </c>
      <c r="AO52" s="450">
        <f>'C4-Sources'!AE53/'C4-Sources'!G53*100</f>
        <v>9.3396442355030427</v>
      </c>
      <c r="AP52" s="450">
        <f>'C4-Sources'!AM53/'C4-Sources'!G53*100</f>
        <v>9.5646992613148445</v>
      </c>
      <c r="AQ52" s="450">
        <f>'C4-Sources'!AU53/'C4-Sources'!G53*100</f>
        <v>8.8926231923232972</v>
      </c>
      <c r="AR52" s="450">
        <f>'C4-Sources'!BC53/'C4-Sources'!G53*100</f>
        <v>5.9631248405121529</v>
      </c>
      <c r="AS52" s="450">
        <f>'C4-Sources'!BK53/'C4-Sources'!G53*100</f>
        <v>1.9687165071122041</v>
      </c>
      <c r="AT52" s="450">
        <f t="shared" si="4"/>
        <v>8.2543374650980894</v>
      </c>
      <c r="AV52" s="450">
        <f>'C4-Sources'!P53/'C4-Sources'!H53*100</f>
        <v>21.932042415434747</v>
      </c>
      <c r="AW52" s="450">
        <f>'C4-Sources'!X53/'C4-Sources'!H53*100</f>
        <v>28.635681507891668</v>
      </c>
      <c r="AX52" s="450">
        <f>'C4-Sources'!AF53/'C4-Sources'!H53*100</f>
        <v>11.973459146759613</v>
      </c>
      <c r="AY52" s="450">
        <f>'C4-Sources'!AN53/'C4-Sources'!H53*100</f>
        <v>11.120227137165681</v>
      </c>
      <c r="AZ52" s="450">
        <f>'C4-Sources'!AV53/'C4-Sources'!H53*100</f>
        <v>10.627792434251203</v>
      </c>
      <c r="BA52" s="450">
        <f>'C4-Sources'!BD53/'C4-Sources'!H53*100</f>
        <v>6.8551753858295594</v>
      </c>
      <c r="BB52" s="450">
        <f>'C4-Sources'!BL53/'C4-Sources'!H53*100</f>
        <v>1.3477965637344305</v>
      </c>
      <c r="BC52" s="450">
        <f t="shared" si="5"/>
        <v>7.5078254089331011</v>
      </c>
      <c r="BD52" s="453"/>
      <c r="BE52" s="453"/>
      <c r="BF52" s="453"/>
      <c r="BG52" s="453"/>
      <c r="BH52" s="454"/>
      <c r="BI52" s="452"/>
      <c r="BJ52" s="452"/>
    </row>
    <row r="53" spans="1:62" s="173" customFormat="1" ht="12" x14ac:dyDescent="0.25">
      <c r="A53" s="239">
        <v>2007</v>
      </c>
      <c r="B53" s="449"/>
      <c r="C53" s="450">
        <f>'C4-Sources'!K54/'C4-Sources'!C54*100</f>
        <v>49.750510250806279</v>
      </c>
      <c r="D53" s="450">
        <f>'C4-Sources'!S54/'C4-Sources'!C54*100</f>
        <v>16.971807362087517</v>
      </c>
      <c r="E53" s="450">
        <f>'C4-Sources'!AA54/'C4-Sources'!C54*100</f>
        <v>4.3314920066114659</v>
      </c>
      <c r="F53" s="450">
        <f>'C4-Sources'!AI54/'C4-Sources'!C54*100</f>
        <v>4.9079827501234341</v>
      </c>
      <c r="G53" s="450">
        <f>'C4-Sources'!AQ54/'C4-Sources'!C54*100</f>
        <v>2.8097600963421634</v>
      </c>
      <c r="H53" s="450">
        <f>'C4-Sources'!AY54/'C4-Sources'!C54*100</f>
        <v>3.8414709615596729</v>
      </c>
      <c r="I53" s="450">
        <f>'C4-Sources'!BG54/'C4-Sources'!C54*100</f>
        <v>6.4745182286634435</v>
      </c>
      <c r="J53" s="450">
        <f t="shared" si="0"/>
        <v>10.912458343806023</v>
      </c>
      <c r="L53" s="450">
        <f>'C4-Sources'!L54/'C4-Sources'!D54*100</f>
        <v>45.126781715516373</v>
      </c>
      <c r="M53" s="450">
        <f>'C4-Sources'!T54/'C4-Sources'!D54*100</f>
        <v>20.217685030663638</v>
      </c>
      <c r="N53" s="450">
        <f>'C4-Sources'!AB54/'C4-Sources'!D54*100</f>
        <v>5.3407895310286557</v>
      </c>
      <c r="O53" s="450">
        <f>'C4-Sources'!AJ54/'C4-Sources'!D54*100</f>
        <v>5.9629294492014413</v>
      </c>
      <c r="P53" s="450">
        <f>'C4-Sources'!AR54/'C4-Sources'!D54*100</f>
        <v>3.1072202805949178</v>
      </c>
      <c r="Q53" s="450">
        <f>'C4-Sources'!AZ54/'C4-Sources'!D54*100</f>
        <v>4.0474474419965265</v>
      </c>
      <c r="R53" s="450">
        <f>'C4-Sources'!BH54/'C4-Sources'!D54*100</f>
        <v>5.5458794812609149</v>
      </c>
      <c r="S53" s="450">
        <f t="shared" si="1"/>
        <v>10.651267069737528</v>
      </c>
      <c r="U53" s="450">
        <f>'C4-Sources'!M54/'C4-Sources'!E54*100</f>
        <v>35.932150212980815</v>
      </c>
      <c r="V53" s="450">
        <f>'C4-Sources'!U54/'C4-Sources'!E54*100</f>
        <v>25.787458178133978</v>
      </c>
      <c r="W53" s="450">
        <f>'C4-Sources'!AC54/'C4-Sources'!E54*100</f>
        <v>7.5417715339853375</v>
      </c>
      <c r="X53" s="450">
        <f>'C4-Sources'!AK54/'C4-Sources'!E54*100</f>
        <v>8.3607035296899639</v>
      </c>
      <c r="Y53" s="450">
        <f>'C4-Sources'!AS54/'C4-Sources'!E54*100</f>
        <v>3.7401962402134203</v>
      </c>
      <c r="Z53" s="450">
        <f>'C4-Sources'!BA54/'C4-Sources'!E54*100</f>
        <v>4.462790094098799</v>
      </c>
      <c r="AA53" s="450">
        <f>'C4-Sources'!BI54/'C4-Sources'!E54*100</f>
        <v>3.5239681032381052</v>
      </c>
      <c r="AB53" s="450">
        <f t="shared" si="2"/>
        <v>10.650962107659581</v>
      </c>
      <c r="AD53" s="450">
        <f>'C4-Sources'!N54/'C4-Sources'!F54*100</f>
        <v>33.005447853408661</v>
      </c>
      <c r="AE53" s="450">
        <f>'C4-Sources'!V54/'C4-Sources'!F54*100</f>
        <v>27.282661414817344</v>
      </c>
      <c r="AF53" s="450">
        <f>'C4-Sources'!AD54/'C4-Sources'!F54*100</f>
        <v>8.4414359680079105</v>
      </c>
      <c r="AG53" s="450">
        <f>'C4-Sources'!AL54/'C4-Sources'!F54*100</f>
        <v>9.2505364977214768</v>
      </c>
      <c r="AH53" s="450">
        <f>'C4-Sources'!AT54/'C4-Sources'!F54*100</f>
        <v>4.0095973447663074</v>
      </c>
      <c r="AI53" s="450">
        <f>'C4-Sources'!BB54/'C4-Sources'!F54*100</f>
        <v>4.6553475400760798</v>
      </c>
      <c r="AJ53" s="450">
        <f>'C4-Sources'!BJ54/'C4-Sources'!F54*100</f>
        <v>2.9446686175127774</v>
      </c>
      <c r="AK53" s="450">
        <f t="shared" si="3"/>
        <v>10.410304763689453</v>
      </c>
      <c r="AM53" s="450">
        <f>'C4-Sources'!O54/'C4-Sources'!G54*100</f>
        <v>29.599407351540901</v>
      </c>
      <c r="AN53" s="450">
        <f>'C4-Sources'!W54/'C4-Sources'!G54*100</f>
        <v>28.570269726744215</v>
      </c>
      <c r="AO53" s="450">
        <f>'C4-Sources'!AE54/'C4-Sources'!G54*100</f>
        <v>10.367490591165804</v>
      </c>
      <c r="AP53" s="450">
        <f>'C4-Sources'!AM54/'C4-Sources'!G54*100</f>
        <v>10.926399639043966</v>
      </c>
      <c r="AQ53" s="450">
        <f>'C4-Sources'!AU54/'C4-Sources'!G54*100</f>
        <v>4.6102206879794325</v>
      </c>
      <c r="AR53" s="450">
        <f>'C4-Sources'!BC54/'C4-Sources'!G54*100</f>
        <v>5.1343168793625242</v>
      </c>
      <c r="AS53" s="450">
        <f>'C4-Sources'!BK54/'C4-Sources'!G54*100</f>
        <v>2.0743102812714009</v>
      </c>
      <c r="AT53" s="450">
        <f t="shared" si="4"/>
        <v>8.7175848428917533</v>
      </c>
      <c r="AV53" s="450">
        <f>'C4-Sources'!P54/'C4-Sources'!H54*100</f>
        <v>25.257970508097245</v>
      </c>
      <c r="AW53" s="450">
        <f>'C4-Sources'!X54/'C4-Sources'!H54*100</f>
        <v>28.029183583232754</v>
      </c>
      <c r="AX53" s="450">
        <f>'C4-Sources'!AF54/'C4-Sources'!H54*100</f>
        <v>13.065264754637992</v>
      </c>
      <c r="AY53" s="450">
        <f>'C4-Sources'!AN54/'C4-Sources'!H54*100</f>
        <v>12.952601393759958</v>
      </c>
      <c r="AZ53" s="450">
        <f>'C4-Sources'!AV54/'C4-Sources'!H54*100</f>
        <v>5.4184792527048904</v>
      </c>
      <c r="BA53" s="450">
        <f>'C4-Sources'!BD54/'C4-Sources'!H54*100</f>
        <v>5.8715021472438211</v>
      </c>
      <c r="BB53" s="450">
        <f>'C4-Sources'!BL54/'C4-Sources'!H54*100</f>
        <v>1.4097483976692895</v>
      </c>
      <c r="BC53" s="450">
        <f t="shared" si="5"/>
        <v>7.9952499626540572</v>
      </c>
      <c r="BD53" s="453"/>
      <c r="BE53" s="453"/>
      <c r="BF53" s="453"/>
      <c r="BG53" s="453"/>
      <c r="BH53" s="454"/>
      <c r="BI53" s="452"/>
      <c r="BJ53" s="452"/>
    </row>
    <row r="54" spans="1:62" s="173" customFormat="1" ht="12" x14ac:dyDescent="0.25">
      <c r="A54" s="239">
        <v>2008</v>
      </c>
      <c r="B54" s="449"/>
      <c r="C54" s="450">
        <f>'C4-Sources'!K55/'C4-Sources'!C55*100</f>
        <v>50.4786197991031</v>
      </c>
      <c r="D54" s="450">
        <f>'C4-Sources'!S55/'C4-Sources'!C55*100</f>
        <v>17.281423130147477</v>
      </c>
      <c r="E54" s="450">
        <f>'C4-Sources'!AA55/'C4-Sources'!C55*100</f>
        <v>3.837294146312324</v>
      </c>
      <c r="F54" s="450">
        <f>'C4-Sources'!AI55/'C4-Sources'!C55*100</f>
        <v>4.1090423351671701</v>
      </c>
      <c r="G54" s="450">
        <f>'C4-Sources'!AQ55/'C4-Sources'!C55*100</f>
        <v>1.7499627783989502</v>
      </c>
      <c r="H54" s="450">
        <f>'C4-Sources'!AY55/'C4-Sources'!C55*100</f>
        <v>2.6022646688896547</v>
      </c>
      <c r="I54" s="450">
        <f>'C4-Sources'!BG55/'C4-Sources'!C55*100</f>
        <v>7.5743098055818914</v>
      </c>
      <c r="J54" s="450">
        <f t="shared" si="0"/>
        <v>12.367083336399418</v>
      </c>
      <c r="L54" s="450">
        <f>'C4-Sources'!L55/'C4-Sources'!D55*100</f>
        <v>45.640889990651488</v>
      </c>
      <c r="M54" s="450">
        <f>'C4-Sources'!T55/'C4-Sources'!D55*100</f>
        <v>20.865618118372893</v>
      </c>
      <c r="N54" s="450">
        <f>'C4-Sources'!AB55/'C4-Sources'!D55*100</f>
        <v>4.8112139532499203</v>
      </c>
      <c r="O54" s="450">
        <f>'C4-Sources'!AJ55/'C4-Sources'!D55*100</f>
        <v>5.0180114099151911</v>
      </c>
      <c r="P54" s="450">
        <f>'C4-Sources'!AR55/'C4-Sources'!D55*100</f>
        <v>1.9276428992127534</v>
      </c>
      <c r="Q54" s="450">
        <f>'C4-Sources'!AZ55/'C4-Sources'!D55*100</f>
        <v>2.7356122684746955</v>
      </c>
      <c r="R54" s="450">
        <f>'C4-Sources'!BH55/'C4-Sources'!D55*100</f>
        <v>6.6231893411323837</v>
      </c>
      <c r="S54" s="450">
        <f t="shared" si="1"/>
        <v>12.37782201899067</v>
      </c>
      <c r="U54" s="450">
        <f>'C4-Sources'!M55/'C4-Sources'!E55*100</f>
        <v>35.975785053880927</v>
      </c>
      <c r="V54" s="450">
        <f>'C4-Sources'!U55/'C4-Sources'!E55*100</f>
        <v>27.262757025253791</v>
      </c>
      <c r="W54" s="450">
        <f>'C4-Sources'!AC55/'C4-Sources'!E55*100</f>
        <v>7.1377412565162457</v>
      </c>
      <c r="X54" s="450">
        <f>'C4-Sources'!AK55/'C4-Sources'!E55*100</f>
        <v>7.109260289273152</v>
      </c>
      <c r="Y54" s="450">
        <f>'C4-Sources'!AS55/'C4-Sources'!E55*100</f>
        <v>2.3233745009892774</v>
      </c>
      <c r="Z54" s="450">
        <f>'C4-Sources'!BA55/'C4-Sources'!E55*100</f>
        <v>2.9867624637694816</v>
      </c>
      <c r="AA54" s="450">
        <f>'C4-Sources'!BI55/'C4-Sources'!E55*100</f>
        <v>4.3390750576354682</v>
      </c>
      <c r="AB54" s="450">
        <f t="shared" si="2"/>
        <v>12.865244352681657</v>
      </c>
      <c r="AD54" s="450">
        <f>'C4-Sources'!N55/'C4-Sources'!F55*100</f>
        <v>32.725205962042992</v>
      </c>
      <c r="AE54" s="450">
        <f>'C4-Sources'!V55/'C4-Sources'!F55*100</f>
        <v>29.39228292977727</v>
      </c>
      <c r="AF54" s="450">
        <f>'C4-Sources'!AD55/'C4-Sources'!F55*100</f>
        <v>8.0999623778678931</v>
      </c>
      <c r="AG54" s="450">
        <f>'C4-Sources'!AL55/'C4-Sources'!F55*100</f>
        <v>7.8383881038113321</v>
      </c>
      <c r="AH54" s="450">
        <f>'C4-Sources'!AT55/'C4-Sources'!F55*100</f>
        <v>2.4877658768797382</v>
      </c>
      <c r="AI54" s="450">
        <f>'C4-Sources'!BB55/'C4-Sources'!F55*100</f>
        <v>3.0878922323499332</v>
      </c>
      <c r="AJ54" s="450">
        <f>'C4-Sources'!BJ55/'C4-Sources'!F55*100</f>
        <v>3.6074549518039922</v>
      </c>
      <c r="AK54" s="450">
        <f t="shared" si="3"/>
        <v>12.761047565466868</v>
      </c>
      <c r="AM54" s="450">
        <f>'C4-Sources'!O55/'C4-Sources'!G55*100</f>
        <v>29.233716375979434</v>
      </c>
      <c r="AN54" s="450">
        <f>'C4-Sources'!W55/'C4-Sources'!G55*100</f>
        <v>32.142841988299999</v>
      </c>
      <c r="AO54" s="450">
        <f>'C4-Sources'!AE55/'C4-Sources'!G55*100</f>
        <v>10.402438257655312</v>
      </c>
      <c r="AP54" s="450">
        <f>'C4-Sources'!AM55/'C4-Sources'!G55*100</f>
        <v>9.2133380736941728</v>
      </c>
      <c r="AQ54" s="450">
        <f>'C4-Sources'!AU55/'C4-Sources'!G55*100</f>
        <v>2.9172071877050136</v>
      </c>
      <c r="AR54" s="450">
        <f>'C4-Sources'!BC55/'C4-Sources'!G55*100</f>
        <v>3.4066677859204488</v>
      </c>
      <c r="AS54" s="450">
        <f>'C4-Sources'!BK55/'C4-Sources'!G55*100</f>
        <v>2.4445820398100797</v>
      </c>
      <c r="AT54" s="450">
        <f t="shared" si="4"/>
        <v>10.239208290935537</v>
      </c>
      <c r="AV54" s="450">
        <f>'C4-Sources'!P55/'C4-Sources'!H55*100</f>
        <v>24.253316653927214</v>
      </c>
      <c r="AW54" s="450">
        <f>'C4-Sources'!X55/'C4-Sources'!H55*100</f>
        <v>33.411589777343913</v>
      </c>
      <c r="AX54" s="450">
        <f>'C4-Sources'!AF55/'C4-Sources'!H55*100</f>
        <v>13.180102528856272</v>
      </c>
      <c r="AY54" s="450">
        <f>'C4-Sources'!AN55/'C4-Sources'!H55*100</f>
        <v>10.232170385779419</v>
      </c>
      <c r="AZ54" s="450">
        <f>'C4-Sources'!AV55/'C4-Sources'!H55*100</f>
        <v>3.4457134424100282</v>
      </c>
      <c r="BA54" s="450">
        <f>'C4-Sources'!BD55/'C4-Sources'!H55*100</f>
        <v>3.8708114227509478</v>
      </c>
      <c r="BB54" s="450">
        <f>'C4-Sources'!BL55/'C4-Sources'!H55*100</f>
        <v>1.7022765929903056</v>
      </c>
      <c r="BC54" s="450">
        <f t="shared" si="5"/>
        <v>9.9040191959419133</v>
      </c>
      <c r="BD54" s="453"/>
      <c r="BE54" s="453"/>
      <c r="BF54" s="453"/>
      <c r="BG54" s="453"/>
      <c r="BH54" s="454"/>
      <c r="BI54" s="452"/>
      <c r="BJ54" s="452"/>
    </row>
    <row r="55" spans="1:62" s="173" customFormat="1" ht="12" x14ac:dyDescent="0.25">
      <c r="A55" s="239">
        <v>2009</v>
      </c>
      <c r="B55" s="449"/>
      <c r="C55" s="450">
        <f>'C4-Sources'!K56/'C4-Sources'!C56*100</f>
        <v>50.389065014565702</v>
      </c>
      <c r="D55" s="450">
        <f>'C4-Sources'!S56/'C4-Sources'!C56*100</f>
        <v>15.965574000100229</v>
      </c>
      <c r="E55" s="450">
        <f>'C4-Sources'!AA56/'C4-Sources'!C56*100</f>
        <v>2.9673151616180329</v>
      </c>
      <c r="F55" s="450">
        <f>'C4-Sources'!AI56/'C4-Sources'!C56*100</f>
        <v>3.4527730346765049</v>
      </c>
      <c r="G55" s="450">
        <f>'C4-Sources'!AQ56/'C4-Sources'!C56*100</f>
        <v>6.2860550126892525</v>
      </c>
      <c r="H55" s="450">
        <f>'C4-Sources'!AY56/'C4-Sources'!C56*100</f>
        <v>2.2455694726245072</v>
      </c>
      <c r="I55" s="450">
        <f>'C4-Sources'!BG56/'C4-Sources'!C56*100</f>
        <v>6.6324154705846059</v>
      </c>
      <c r="J55" s="450">
        <f t="shared" si="0"/>
        <v>12.061232833141162</v>
      </c>
      <c r="L55" s="450">
        <f>'C4-Sources'!L56/'C4-Sources'!D56*100</f>
        <v>45.64323706261375</v>
      </c>
      <c r="M55" s="450">
        <f>'C4-Sources'!T56/'C4-Sources'!D56*100</f>
        <v>19.394270799329433</v>
      </c>
      <c r="N55" s="450">
        <f>'C4-Sources'!AB56/'C4-Sources'!D56*100</f>
        <v>3.7680074761755491</v>
      </c>
      <c r="O55" s="450">
        <f>'C4-Sources'!AJ56/'C4-Sources'!D56*100</f>
        <v>4.2940675872088212</v>
      </c>
      <c r="P55" s="450">
        <f>'C4-Sources'!AR56/'C4-Sources'!D56*100</f>
        <v>7.0328978857721536</v>
      </c>
      <c r="Q55" s="450">
        <f>'C4-Sources'!AZ56/'C4-Sources'!D56*100</f>
        <v>2.385571282660961</v>
      </c>
      <c r="R55" s="450">
        <f>'C4-Sources'!BH56/'C4-Sources'!D56*100</f>
        <v>5.7350407357366153</v>
      </c>
      <c r="S55" s="450">
        <f t="shared" si="1"/>
        <v>11.746907170502709</v>
      </c>
      <c r="U55" s="450">
        <f>'C4-Sources'!M56/'C4-Sources'!E56*100</f>
        <v>34.578531071447891</v>
      </c>
      <c r="V55" s="450">
        <f>'C4-Sources'!U56/'C4-Sources'!E56*100</f>
        <v>26.126114692127704</v>
      </c>
      <c r="W55" s="450">
        <f>'C4-Sources'!AC56/'C4-Sources'!E56*100</f>
        <v>5.8501307056071292</v>
      </c>
      <c r="X55" s="450">
        <f>'C4-Sources'!AK56/'C4-Sources'!E56*100</f>
        <v>6.3513477178336188</v>
      </c>
      <c r="Y55" s="450">
        <f>'C4-Sources'!AS56/'C4-Sources'!E56*100</f>
        <v>8.8113105219004986</v>
      </c>
      <c r="Z55" s="450">
        <f>'C4-Sources'!BA56/'C4-Sources'!E56*100</f>
        <v>2.6494444633352718</v>
      </c>
      <c r="AA55" s="450">
        <f>'C4-Sources'!BI56/'C4-Sources'!E56*100</f>
        <v>3.5776498496596538</v>
      </c>
      <c r="AB55" s="450">
        <f t="shared" si="2"/>
        <v>12.055470978088238</v>
      </c>
      <c r="AD55" s="450">
        <f>'C4-Sources'!N56/'C4-Sources'!F56*100</f>
        <v>30.748388806038605</v>
      </c>
      <c r="AE55" s="450">
        <f>'C4-Sources'!V56/'C4-Sources'!F56*100</f>
        <v>28.47546449039557</v>
      </c>
      <c r="AF55" s="450">
        <f>'C4-Sources'!AD56/'C4-Sources'!F56*100</f>
        <v>6.6981856052545696</v>
      </c>
      <c r="AG55" s="450">
        <f>'C4-Sources'!AL56/'C4-Sources'!F56*100</f>
        <v>7.0652924653234601</v>
      </c>
      <c r="AH55" s="450">
        <f>'C4-Sources'!AT56/'C4-Sources'!F56*100</f>
        <v>9.5260845113172294</v>
      </c>
      <c r="AI55" s="450">
        <f>'C4-Sources'!BB56/'C4-Sources'!F56*100</f>
        <v>2.7491313456637352</v>
      </c>
      <c r="AJ55" s="450">
        <f>'C4-Sources'!BJ56/'C4-Sources'!F56*100</f>
        <v>2.8440837963237176</v>
      </c>
      <c r="AK55" s="450">
        <f t="shared" si="3"/>
        <v>11.893368979683117</v>
      </c>
      <c r="AM55" s="450">
        <f>'C4-Sources'!O56/'C4-Sources'!G56*100</f>
        <v>26.068563791559495</v>
      </c>
      <c r="AN55" s="450">
        <f>'C4-Sources'!W56/'C4-Sources'!G56*100</f>
        <v>31.153327827664768</v>
      </c>
      <c r="AO55" s="450">
        <f>'C4-Sources'!AE56/'C4-Sources'!G56*100</f>
        <v>8.7995915204473185</v>
      </c>
      <c r="AP55" s="450">
        <f>'C4-Sources'!AM56/'C4-Sources'!G56*100</f>
        <v>8.4534310666491841</v>
      </c>
      <c r="AQ55" s="450">
        <f>'C4-Sources'!AU56/'C4-Sources'!G56*100</f>
        <v>11.554720590228923</v>
      </c>
      <c r="AR55" s="450">
        <f>'C4-Sources'!BC56/'C4-Sources'!G56*100</f>
        <v>3.1026792116111013</v>
      </c>
      <c r="AS55" s="450">
        <f>'C4-Sources'!BK56/'C4-Sources'!G56*100</f>
        <v>1.7514069677433373</v>
      </c>
      <c r="AT55" s="450">
        <f t="shared" si="4"/>
        <v>9.11627902409586</v>
      </c>
      <c r="AV55" s="450">
        <f>'C4-Sources'!P56/'C4-Sources'!H56*100</f>
        <v>19.550610771447715</v>
      </c>
      <c r="AW55" s="450">
        <f>'C4-Sources'!X56/'C4-Sources'!H56*100</f>
        <v>31.070094301859193</v>
      </c>
      <c r="AX55" s="450">
        <f>'C4-Sources'!AF56/'C4-Sources'!H56*100</f>
        <v>11.882594747018747</v>
      </c>
      <c r="AY55" s="450">
        <f>'C4-Sources'!AN56/'C4-Sources'!H56*100</f>
        <v>9.3665117815109049</v>
      </c>
      <c r="AZ55" s="450">
        <f>'C4-Sources'!AV56/'C4-Sources'!H56*100</f>
        <v>14.861308641277738</v>
      </c>
      <c r="BA55" s="450">
        <f>'C4-Sources'!BD56/'C4-Sources'!H56*100</f>
        <v>3.7545115648034604</v>
      </c>
      <c r="BB55" s="450">
        <f>'C4-Sources'!BL56/'C4-Sources'!H56*100</f>
        <v>1.1575244525170678</v>
      </c>
      <c r="BC55" s="450">
        <f t="shared" si="5"/>
        <v>8.3568437395651642</v>
      </c>
      <c r="BD55" s="453"/>
      <c r="BE55" s="453"/>
      <c r="BF55" s="453"/>
      <c r="BG55" s="453"/>
      <c r="BH55" s="454"/>
      <c r="BI55" s="452"/>
      <c r="BJ55" s="452"/>
    </row>
    <row r="56" spans="1:62" s="173" customFormat="1" ht="12" x14ac:dyDescent="0.25">
      <c r="A56" s="239">
        <v>2010</v>
      </c>
      <c r="B56" s="449"/>
      <c r="C56" s="450">
        <f>'C4-Sources'!K57/'C4-Sources'!C57*100</f>
        <v>47.87113888405419</v>
      </c>
      <c r="D56" s="450">
        <f>'C4-Sources'!S57/'C4-Sources'!C57*100</f>
        <v>15.508317156334225</v>
      </c>
      <c r="E56" s="450">
        <f>'C4-Sources'!AA57/'C4-Sources'!C57*100</f>
        <v>3.2426998801237552</v>
      </c>
      <c r="F56" s="450">
        <f>'C4-Sources'!AI57/'C4-Sources'!C57*100</f>
        <v>2.9940156914608007</v>
      </c>
      <c r="G56" s="450">
        <f>'C4-Sources'!AQ57/'C4-Sources'!C57*100</f>
        <v>9.1094661277721514</v>
      </c>
      <c r="H56" s="450">
        <f>'C4-Sources'!AY57/'C4-Sources'!C57*100</f>
        <v>2.8850092678593766</v>
      </c>
      <c r="I56" s="450">
        <f>'C4-Sources'!BG57/'C4-Sources'!C57*100</f>
        <v>5.9328550122148309</v>
      </c>
      <c r="J56" s="450">
        <f t="shared" si="0"/>
        <v>12.456497980180671</v>
      </c>
      <c r="L56" s="450">
        <f>'C4-Sources'!L57/'C4-Sources'!D57*100</f>
        <v>43.238697600126784</v>
      </c>
      <c r="M56" s="450">
        <f>'C4-Sources'!T57/'C4-Sources'!D57*100</f>
        <v>18.463010034797264</v>
      </c>
      <c r="N56" s="450">
        <f>'C4-Sources'!AB57/'C4-Sources'!D57*100</f>
        <v>4.0824836919887542</v>
      </c>
      <c r="O56" s="450">
        <f>'C4-Sources'!AJ57/'C4-Sources'!D57*100</f>
        <v>3.7065618992443214</v>
      </c>
      <c r="P56" s="450">
        <f>'C4-Sources'!AR57/'C4-Sources'!D57*100</f>
        <v>10.226218034067761</v>
      </c>
      <c r="Q56" s="450">
        <f>'C4-Sources'!AZ57/'C4-Sources'!D57*100</f>
        <v>3.0709090162229846</v>
      </c>
      <c r="R56" s="450">
        <f>'C4-Sources'!BH57/'C4-Sources'!D57*100</f>
        <v>5.0946230998535285</v>
      </c>
      <c r="S56" s="450">
        <f t="shared" si="1"/>
        <v>12.117496623698599</v>
      </c>
      <c r="U56" s="450">
        <f>'C4-Sources'!M57/'C4-Sources'!E57*100</f>
        <v>32.604117936857513</v>
      </c>
      <c r="V56" s="450">
        <f>'C4-Sources'!U57/'C4-Sources'!E57*100</f>
        <v>24.064718094483606</v>
      </c>
      <c r="W56" s="450">
        <f>'C4-Sources'!AC57/'C4-Sources'!E57*100</f>
        <v>6.2854730836465293</v>
      </c>
      <c r="X56" s="450">
        <f>'C4-Sources'!AK57/'C4-Sources'!E57*100</f>
        <v>5.4427428812745644</v>
      </c>
      <c r="Y56" s="450">
        <f>'C4-Sources'!AS57/'C4-Sources'!E57*100</f>
        <v>12.86424604754173</v>
      </c>
      <c r="Z56" s="450">
        <f>'C4-Sources'!BA57/'C4-Sources'!E57*100</f>
        <v>3.4264436320985365</v>
      </c>
      <c r="AA56" s="450">
        <f>'C4-Sources'!BI57/'C4-Sources'!E57*100</f>
        <v>3.1465037443991957</v>
      </c>
      <c r="AB56" s="450">
        <f t="shared" si="2"/>
        <v>12.16575457969833</v>
      </c>
      <c r="AD56" s="450">
        <f>'C4-Sources'!N57/'C4-Sources'!F57*100</f>
        <v>29.079885853821185</v>
      </c>
      <c r="AE56" s="450">
        <f>'C4-Sources'!V57/'C4-Sources'!F57*100</f>
        <v>25.674680089347497</v>
      </c>
      <c r="AF56" s="450">
        <f>'C4-Sources'!AD57/'C4-Sources'!F57*100</f>
        <v>7.2288371721764486</v>
      </c>
      <c r="AG56" s="450">
        <f>'C4-Sources'!AL57/'C4-Sources'!F57*100</f>
        <v>5.9859270805121918</v>
      </c>
      <c r="AH56" s="450">
        <f>'C4-Sources'!AT57/'C4-Sources'!F57*100</f>
        <v>14.026422823077917</v>
      </c>
      <c r="AI56" s="450">
        <f>'C4-Sources'!BB57/'C4-Sources'!F57*100</f>
        <v>3.5761388387859414</v>
      </c>
      <c r="AJ56" s="450">
        <f>'C4-Sources'!BJ57/'C4-Sources'!F57*100</f>
        <v>2.5975056711582907</v>
      </c>
      <c r="AK56" s="450">
        <f t="shared" si="3"/>
        <v>11.830602471120528</v>
      </c>
      <c r="AM56" s="450">
        <f>'C4-Sources'!O57/'C4-Sources'!G57*100</f>
        <v>23.994307909885716</v>
      </c>
      <c r="AN56" s="450">
        <f>'C4-Sources'!W57/'C4-Sources'!G57*100</f>
        <v>27.04931637223773</v>
      </c>
      <c r="AO56" s="450">
        <f>'C4-Sources'!AE57/'C4-Sources'!G57*100</f>
        <v>9.5528076958586645</v>
      </c>
      <c r="AP56" s="450">
        <f>'C4-Sources'!AM57/'C4-Sources'!G57*100</f>
        <v>7.0863520274578278</v>
      </c>
      <c r="AQ56" s="450">
        <f>'C4-Sources'!AU57/'C4-Sources'!G57*100</f>
        <v>17.110450018359678</v>
      </c>
      <c r="AR56" s="450">
        <f>'C4-Sources'!BC57/'C4-Sources'!G57*100</f>
        <v>4.029235364248736</v>
      </c>
      <c r="AS56" s="450">
        <f>'C4-Sources'!BK57/'C4-Sources'!G57*100</f>
        <v>1.7185039748877342</v>
      </c>
      <c r="AT56" s="450">
        <f t="shared" si="4"/>
        <v>9.4590266370639142</v>
      </c>
      <c r="AV56" s="450">
        <f>'C4-Sources'!P57/'C4-Sources'!H57*100</f>
        <v>16.828336026215517</v>
      </c>
      <c r="AW56" s="450">
        <f>'C4-Sources'!X57/'C4-Sources'!H57*100</f>
        <v>25.806089146616728</v>
      </c>
      <c r="AX56" s="450">
        <f>'C4-Sources'!AF57/'C4-Sources'!H57*100</f>
        <v>12.875129746251163</v>
      </c>
      <c r="AY56" s="450">
        <f>'C4-Sources'!AN57/'C4-Sources'!H57*100</f>
        <v>7.6386728190198312</v>
      </c>
      <c r="AZ56" s="450">
        <f>'C4-Sources'!AV57/'C4-Sources'!H57*100</f>
        <v>21.931832517945079</v>
      </c>
      <c r="BA56" s="450">
        <f>'C4-Sources'!BD57/'C4-Sources'!H57*100</f>
        <v>4.8718997479666575</v>
      </c>
      <c r="BB56" s="450">
        <f>'C4-Sources'!BL57/'C4-Sources'!H57*100</f>
        <v>0.94720211195685489</v>
      </c>
      <c r="BC56" s="450">
        <f t="shared" si="5"/>
        <v>9.1008378840281807</v>
      </c>
      <c r="BD56" s="453"/>
      <c r="BE56" s="453"/>
      <c r="BF56" s="453"/>
      <c r="BG56" s="453"/>
      <c r="BH56" s="454"/>
      <c r="BI56" s="452"/>
      <c r="BJ56" s="452"/>
    </row>
    <row r="57" spans="1:62" s="173" customFormat="1" ht="12" x14ac:dyDescent="0.25">
      <c r="A57" s="239">
        <v>2011</v>
      </c>
      <c r="B57" s="449"/>
      <c r="C57" s="450">
        <f>'C4-Sources'!K58/'C4-Sources'!C58*100</f>
        <v>47.803493802189628</v>
      </c>
      <c r="D57" s="450">
        <f>'C4-Sources'!S58/'C4-Sources'!C58*100</f>
        <v>16.303350745082277</v>
      </c>
      <c r="E57" s="450">
        <f>'C4-Sources'!AA58/'C4-Sources'!C58*100</f>
        <v>3.1481031790350604</v>
      </c>
      <c r="F57" s="450">
        <f>'C4-Sources'!AI58/'C4-Sources'!C58*100</f>
        <v>2.5616418544530335</v>
      </c>
      <c r="G57" s="450">
        <f>'C4-Sources'!AQ58/'C4-Sources'!C58*100</f>
        <v>7.6658083909475438</v>
      </c>
      <c r="H57" s="450">
        <f>'C4-Sources'!AY58/'C4-Sources'!C58*100</f>
        <v>2.8323099659102282</v>
      </c>
      <c r="I57" s="450">
        <f>'C4-Sources'!BG58/'C4-Sources'!C58*100</f>
        <v>6.5403484297868006</v>
      </c>
      <c r="J57" s="450">
        <f t="shared" si="0"/>
        <v>13.144943632595428</v>
      </c>
      <c r="L57" s="450">
        <f>'C4-Sources'!L58/'C4-Sources'!D58*100</f>
        <v>43.537031618143054</v>
      </c>
      <c r="M57" s="450">
        <f>'C4-Sources'!T58/'C4-Sources'!D58*100</f>
        <v>19.477819571265471</v>
      </c>
      <c r="N57" s="450">
        <f>'C4-Sources'!AB58/'C4-Sources'!D58*100</f>
        <v>3.951602888104762</v>
      </c>
      <c r="O57" s="450">
        <f>'C4-Sources'!AJ58/'C4-Sources'!D58*100</f>
        <v>3.2112127447291203</v>
      </c>
      <c r="P57" s="450">
        <f>'C4-Sources'!AR58/'C4-Sources'!D58*100</f>
        <v>8.4760588948042912</v>
      </c>
      <c r="Q57" s="450">
        <f>'C4-Sources'!AZ58/'C4-Sources'!D58*100</f>
        <v>2.9691812483969628</v>
      </c>
      <c r="R57" s="450">
        <f>'C4-Sources'!BH58/'C4-Sources'!D58*100</f>
        <v>5.648633229272475</v>
      </c>
      <c r="S57" s="450">
        <f t="shared" si="1"/>
        <v>12.728459805283848</v>
      </c>
      <c r="U57" s="450">
        <f>'C4-Sources'!M58/'C4-Sources'!E58*100</f>
        <v>33.608094631759869</v>
      </c>
      <c r="V57" s="450">
        <f>'C4-Sources'!U58/'C4-Sources'!E58*100</f>
        <v>25.580555677096378</v>
      </c>
      <c r="W57" s="450">
        <f>'C4-Sources'!AC58/'C4-Sources'!E58*100</f>
        <v>6.0242818886188187</v>
      </c>
      <c r="X57" s="450">
        <f>'C4-Sources'!AK58/'C4-Sources'!E58*100</f>
        <v>4.7775520374609641</v>
      </c>
      <c r="Y57" s="450">
        <f>'C4-Sources'!AS58/'C4-Sources'!E58*100</f>
        <v>10.478203654474177</v>
      </c>
      <c r="Z57" s="450">
        <f>'C4-Sources'!BA58/'C4-Sources'!E58*100</f>
        <v>3.238189290836492</v>
      </c>
      <c r="AA57" s="450">
        <f>'C4-Sources'!BI58/'C4-Sources'!E58*100</f>
        <v>3.7529076587328047</v>
      </c>
      <c r="AB57" s="450">
        <f t="shared" si="2"/>
        <v>12.540215161020498</v>
      </c>
      <c r="AD57" s="450">
        <f>'C4-Sources'!N58/'C4-Sources'!F58*100</f>
        <v>29.9650954954007</v>
      </c>
      <c r="AE57" s="450">
        <f>'C4-Sources'!V58/'C4-Sources'!F58*100</f>
        <v>27.551920846592008</v>
      </c>
      <c r="AF57" s="450">
        <f>'C4-Sources'!AD58/'C4-Sources'!F58*100</f>
        <v>6.9161487701359752</v>
      </c>
      <c r="AG57" s="450">
        <f>'C4-Sources'!AL58/'C4-Sources'!F58*100</f>
        <v>5.3210344959197906</v>
      </c>
      <c r="AH57" s="450">
        <f>'C4-Sources'!AT58/'C4-Sources'!F58*100</f>
        <v>11.432503178230903</v>
      </c>
      <c r="AI57" s="450">
        <f>'C4-Sources'!BB58/'C4-Sources'!F58*100</f>
        <v>3.3869387817806844</v>
      </c>
      <c r="AJ57" s="450">
        <f>'C4-Sources'!BJ58/'C4-Sources'!F58*100</f>
        <v>3.2482700849992394</v>
      </c>
      <c r="AK57" s="450">
        <f t="shared" si="3"/>
        <v>12.178088346940712</v>
      </c>
      <c r="AM57" s="450">
        <f>'C4-Sources'!O58/'C4-Sources'!G58*100</f>
        <v>25.56135689944281</v>
      </c>
      <c r="AN57" s="450">
        <f>'C4-Sources'!W58/'C4-Sources'!G58*100</f>
        <v>30.017997254580877</v>
      </c>
      <c r="AO57" s="450">
        <f>'C4-Sources'!AE58/'C4-Sources'!G58*100</f>
        <v>8.9269514425540741</v>
      </c>
      <c r="AP57" s="450">
        <f>'C4-Sources'!AM58/'C4-Sources'!G58*100</f>
        <v>6.3939764114345348</v>
      </c>
      <c r="AQ57" s="450">
        <f>'C4-Sources'!AU58/'C4-Sources'!G58*100</f>
        <v>13.864559725670878</v>
      </c>
      <c r="AR57" s="450">
        <f>'C4-Sources'!BC58/'C4-Sources'!G58*100</f>
        <v>3.840527810053016</v>
      </c>
      <c r="AS57" s="450">
        <f>'C4-Sources'!BK58/'C4-Sources'!G58*100</f>
        <v>2.3298674187041044</v>
      </c>
      <c r="AT57" s="450">
        <f t="shared" si="4"/>
        <v>9.0647630375597146</v>
      </c>
      <c r="AV57" s="450">
        <f>'C4-Sources'!P58/'C4-Sources'!H58*100</f>
        <v>18.89516765551847</v>
      </c>
      <c r="AW57" s="450">
        <f>'C4-Sources'!X58/'C4-Sources'!H58*100</f>
        <v>30.450379216378654</v>
      </c>
      <c r="AX57" s="450">
        <f>'C4-Sources'!AF58/'C4-Sources'!H58*100</f>
        <v>12.000372531038964</v>
      </c>
      <c r="AY57" s="450">
        <f>'C4-Sources'!AN58/'C4-Sources'!H58*100</f>
        <v>7.1613009180337031</v>
      </c>
      <c r="AZ57" s="450">
        <f>'C4-Sources'!AV58/'C4-Sources'!H58*100</f>
        <v>17.520636227999965</v>
      </c>
      <c r="BA57" s="450">
        <f>'C4-Sources'!BD58/'C4-Sources'!H58*100</f>
        <v>4.5913957974065518</v>
      </c>
      <c r="BB57" s="450">
        <f>'C4-Sources'!BL58/'C4-Sources'!H58*100</f>
        <v>1.2965741324178532</v>
      </c>
      <c r="BC57" s="450">
        <f t="shared" si="5"/>
        <v>8.0841735212058268</v>
      </c>
      <c r="BD57" s="453"/>
      <c r="BE57" s="453"/>
      <c r="BF57" s="453"/>
      <c r="BG57" s="453"/>
      <c r="BH57" s="454"/>
      <c r="BI57" s="452"/>
      <c r="BJ57" s="452"/>
    </row>
    <row r="58" spans="1:62" s="173" customFormat="1" ht="12" x14ac:dyDescent="0.25">
      <c r="A58" s="239">
        <v>2012</v>
      </c>
      <c r="B58" s="449"/>
      <c r="C58" s="450">
        <f>'C4-Sources'!K59/'C4-Sources'!C59*100</f>
        <v>46.739490516350152</v>
      </c>
      <c r="D58" s="450">
        <f>'C4-Sources'!S59/'C4-Sources'!C59*100</f>
        <v>17.355815234981062</v>
      </c>
      <c r="E58" s="450">
        <f>'C4-Sources'!AA59/'C4-Sources'!C59*100</f>
        <v>4.140435471997626</v>
      </c>
      <c r="F58" s="450">
        <f>'C4-Sources'!AI59/'C4-Sources'!C59*100</f>
        <v>2.3262999326522991</v>
      </c>
      <c r="G58" s="450">
        <f>'C4-Sources'!AQ59/'C4-Sources'!C59*100</f>
        <v>6.9913959974291782</v>
      </c>
      <c r="H58" s="450">
        <f>'C4-Sources'!AY59/'C4-Sources'!C59*100</f>
        <v>3.2088042751836054</v>
      </c>
      <c r="I58" s="450">
        <f>'C4-Sources'!BG59/'C4-Sources'!C59*100</f>
        <v>6.681607331082752</v>
      </c>
      <c r="J58" s="450">
        <f t="shared" si="0"/>
        <v>12.556151240323317</v>
      </c>
      <c r="L58" s="450">
        <f>'C4-Sources'!L59/'C4-Sources'!D59*100</f>
        <v>42.319131383199789</v>
      </c>
      <c r="M58" s="450">
        <f>'C4-Sources'!T59/'C4-Sources'!D59*100</f>
        <v>20.686401937217827</v>
      </c>
      <c r="N58" s="450">
        <f>'C4-Sources'!AB59/'C4-Sources'!D59*100</f>
        <v>5.2330123285033974</v>
      </c>
      <c r="O58" s="450">
        <f>'C4-Sources'!AJ59/'C4-Sources'!D59*100</f>
        <v>2.8949939530325821</v>
      </c>
      <c r="P58" s="450">
        <f>'C4-Sources'!AR59/'C4-Sources'!D59*100</f>
        <v>7.7476164219802062</v>
      </c>
      <c r="Q58" s="450">
        <f>'C4-Sources'!AZ59/'C4-Sources'!D59*100</f>
        <v>3.3398307752526355</v>
      </c>
      <c r="R58" s="450">
        <f>'C4-Sources'!BH59/'C4-Sources'!D59*100</f>
        <v>5.771164528337609</v>
      </c>
      <c r="S58" s="450">
        <f t="shared" si="1"/>
        <v>12.007848672475959</v>
      </c>
      <c r="U58" s="450">
        <f>'C4-Sources'!M59/'C4-Sources'!E59*100</f>
        <v>32.319352858414227</v>
      </c>
      <c r="V58" s="450">
        <f>'C4-Sources'!U59/'C4-Sources'!E59*100</f>
        <v>26.703050940095448</v>
      </c>
      <c r="W58" s="450">
        <f>'C4-Sources'!AC59/'C4-Sources'!E59*100</f>
        <v>8.0770507590628711</v>
      </c>
      <c r="X58" s="450">
        <f>'C4-Sources'!AK59/'C4-Sources'!E59*100</f>
        <v>4.1422276815147772</v>
      </c>
      <c r="Y58" s="450">
        <f>'C4-Sources'!AS59/'C4-Sources'!E59*100</f>
        <v>9.6678561323949612</v>
      </c>
      <c r="Z58" s="450">
        <f>'C4-Sources'!BA59/'C4-Sources'!E59*100</f>
        <v>3.624249402847556</v>
      </c>
      <c r="AA58" s="450">
        <f>'C4-Sources'!BI59/'C4-Sources'!E59*100</f>
        <v>3.8466753456581468</v>
      </c>
      <c r="AB58" s="450">
        <f t="shared" si="2"/>
        <v>11.619536880012021</v>
      </c>
      <c r="AD58" s="450">
        <f>'C4-Sources'!N59/'C4-Sources'!F59*100</f>
        <v>28.664797646739704</v>
      </c>
      <c r="AE58" s="450">
        <f>'C4-Sources'!V59/'C4-Sources'!F59*100</f>
        <v>28.226586091666945</v>
      </c>
      <c r="AF58" s="450">
        <f>'C4-Sources'!AD59/'C4-Sources'!F59*100</f>
        <v>9.3254863343836654</v>
      </c>
      <c r="AG58" s="450">
        <f>'C4-Sources'!AL59/'C4-Sources'!F59*100</f>
        <v>4.5402443943372788</v>
      </c>
      <c r="AH58" s="450">
        <f>'C4-Sources'!AT59/'C4-Sources'!F59*100</f>
        <v>10.665015578162381</v>
      </c>
      <c r="AI58" s="450">
        <f>'C4-Sources'!BB59/'C4-Sources'!F59*100</f>
        <v>3.8328014024535144</v>
      </c>
      <c r="AJ58" s="450">
        <f>'C4-Sources'!BJ59/'C4-Sources'!F59*100</f>
        <v>3.41931154637797</v>
      </c>
      <c r="AK58" s="450">
        <f t="shared" si="3"/>
        <v>11.325757005878543</v>
      </c>
      <c r="AM58" s="450">
        <f>'C4-Sources'!O59/'C4-Sources'!G59*100</f>
        <v>24.187233512867618</v>
      </c>
      <c r="AN58" s="450">
        <f>'C4-Sources'!W59/'C4-Sources'!G59*100</f>
        <v>29.41764985648641</v>
      </c>
      <c r="AO58" s="450">
        <f>'C4-Sources'!AE59/'C4-Sources'!G59*100</f>
        <v>12.141314509833972</v>
      </c>
      <c r="AP58" s="450">
        <f>'C4-Sources'!AM59/'C4-Sources'!G59*100</f>
        <v>5.255138950570494</v>
      </c>
      <c r="AQ58" s="450">
        <f>'C4-Sources'!AU59/'C4-Sources'!G59*100</f>
        <v>12.980139569120011</v>
      </c>
      <c r="AR58" s="450">
        <f>'C4-Sources'!BC59/'C4-Sources'!G59*100</f>
        <v>4.371211527723796</v>
      </c>
      <c r="AS58" s="450">
        <f>'C4-Sources'!BK59/'C4-Sources'!G59*100</f>
        <v>2.679254280920492</v>
      </c>
      <c r="AT58" s="450">
        <f t="shared" si="4"/>
        <v>8.9680577924771967</v>
      </c>
      <c r="AV58" s="450">
        <f>'C4-Sources'!P59/'C4-Sources'!H59*100</f>
        <v>18.656167457660114</v>
      </c>
      <c r="AW58" s="450">
        <f>'C4-Sources'!X59/'C4-Sources'!H59*100</f>
        <v>28.372336703746704</v>
      </c>
      <c r="AX58" s="450">
        <f>'C4-Sources'!AF59/'C4-Sources'!H59*100</f>
        <v>16.319778876839834</v>
      </c>
      <c r="AY58" s="450">
        <f>'C4-Sources'!AN59/'C4-Sources'!H59*100</f>
        <v>5.7253532090856334</v>
      </c>
      <c r="AZ58" s="450">
        <f>'C4-Sources'!AV59/'C4-Sources'!H59*100</f>
        <v>16.087805994637204</v>
      </c>
      <c r="BA58" s="450">
        <f>'C4-Sources'!BD59/'C4-Sources'!H59*100</f>
        <v>5.0901328886471049</v>
      </c>
      <c r="BB58" s="450">
        <f>'C4-Sources'!BL59/'C4-Sources'!H59*100</f>
        <v>1.4240432992253189</v>
      </c>
      <c r="BC58" s="450">
        <f t="shared" si="5"/>
        <v>8.3243815701580814</v>
      </c>
      <c r="BD58" s="453"/>
      <c r="BE58" s="453"/>
      <c r="BF58" s="453"/>
      <c r="BG58" s="453"/>
      <c r="BH58" s="454"/>
      <c r="BI58" s="452"/>
      <c r="BJ58" s="452"/>
    </row>
    <row r="59" spans="1:62" s="173" customFormat="1" ht="12" x14ac:dyDescent="0.25">
      <c r="A59" s="239">
        <v>2013</v>
      </c>
      <c r="B59" s="449"/>
      <c r="C59" s="450">
        <f>'C4-Sources'!K60/'C4-Sources'!C60*100</f>
        <v>47.44400501424839</v>
      </c>
      <c r="D59" s="450">
        <f>'C4-Sources'!S60/'C4-Sources'!C60*100</f>
        <v>17.475094192926676</v>
      </c>
      <c r="E59" s="450">
        <f>'C4-Sources'!AA60/'C4-Sources'!C60*100</f>
        <v>3.2965358855466862</v>
      </c>
      <c r="F59" s="450">
        <f>'C4-Sources'!AI60/'C4-Sources'!C60*100</f>
        <v>2.2173562711641113</v>
      </c>
      <c r="G59" s="450">
        <f>'C4-Sources'!AQ60/'C4-Sources'!C60*100</f>
        <v>6.2597688582297417</v>
      </c>
      <c r="H59" s="450">
        <f>'C4-Sources'!AY60/'C4-Sources'!C60*100</f>
        <v>3.4026175451631877</v>
      </c>
      <c r="I59" s="450">
        <f>'C4-Sources'!BG60/'C4-Sources'!C60*100</f>
        <v>7.1706884978579373</v>
      </c>
      <c r="J59" s="450">
        <f t="shared" si="0"/>
        <v>12.733933734863271</v>
      </c>
      <c r="L59" s="450">
        <f>'C4-Sources'!L60/'C4-Sources'!D60*100</f>
        <v>43.323641088032332</v>
      </c>
      <c r="M59" s="450">
        <f>'C4-Sources'!T60/'C4-Sources'!D60*100</f>
        <v>21.069325486041699</v>
      </c>
      <c r="N59" s="450">
        <f>'C4-Sources'!AB60/'C4-Sources'!D60*100</f>
        <v>4.1523028231037102</v>
      </c>
      <c r="O59" s="450">
        <f>'C4-Sources'!AJ60/'C4-Sources'!D60*100</f>
        <v>2.8018991653940266</v>
      </c>
      <c r="P59" s="450">
        <f>'C4-Sources'!AR60/'C4-Sources'!D60*100</f>
        <v>6.9167568820994259</v>
      </c>
      <c r="Q59" s="450">
        <f>'C4-Sources'!AZ60/'C4-Sources'!D60*100</f>
        <v>3.5404747215068948</v>
      </c>
      <c r="R59" s="450">
        <f>'C4-Sources'!BH60/'C4-Sources'!D60*100</f>
        <v>5.9433217098990525</v>
      </c>
      <c r="S59" s="450">
        <f t="shared" si="1"/>
        <v>12.252278123922864</v>
      </c>
      <c r="U59" s="450">
        <f>'C4-Sources'!M60/'C4-Sources'!E60*100</f>
        <v>33.709991692816196</v>
      </c>
      <c r="V59" s="450">
        <f>'C4-Sources'!U60/'C4-Sources'!E60*100</f>
        <v>28.021677274895762</v>
      </c>
      <c r="W59" s="450">
        <f>'C4-Sources'!AC60/'C4-Sources'!E60*100</f>
        <v>6.2604536491002767</v>
      </c>
      <c r="X59" s="450">
        <f>'C4-Sources'!AK60/'C4-Sources'!E60*100</f>
        <v>4.2233704520764199</v>
      </c>
      <c r="Y59" s="450">
        <f>'C4-Sources'!AS60/'C4-Sources'!E60*100</f>
        <v>8.5988137691352762</v>
      </c>
      <c r="Z59" s="450">
        <f>'C4-Sources'!BA60/'C4-Sources'!E60*100</f>
        <v>3.9041306164760896</v>
      </c>
      <c r="AA59" s="450">
        <f>'C4-Sources'!BI60/'C4-Sources'!E60*100</f>
        <v>3.3762138486962328</v>
      </c>
      <c r="AB59" s="450">
        <f t="shared" si="2"/>
        <v>11.905348696803742</v>
      </c>
      <c r="AD59" s="450">
        <f>'C4-Sources'!N60/'C4-Sources'!F60*100</f>
        <v>29.883714754726356</v>
      </c>
      <c r="AE59" s="450">
        <f>'C4-Sources'!V60/'C4-Sources'!F60*100</f>
        <v>30.285119131911792</v>
      </c>
      <c r="AF59" s="450">
        <f>'C4-Sources'!AD60/'C4-Sources'!F60*100</f>
        <v>7.0805472789478019</v>
      </c>
      <c r="AG59" s="450">
        <f>'C4-Sources'!AL60/'C4-Sources'!F60*100</f>
        <v>4.7497085667119991</v>
      </c>
      <c r="AH59" s="450">
        <f>'C4-Sources'!AT60/'C4-Sources'!F60*100</f>
        <v>9.4537869962054941</v>
      </c>
      <c r="AI59" s="450">
        <f>'C4-Sources'!BB60/'C4-Sources'!F60*100</f>
        <v>4.1791264358086027</v>
      </c>
      <c r="AJ59" s="450">
        <f>'C4-Sources'!BJ60/'C4-Sources'!F60*100</f>
        <v>2.7839308412936168</v>
      </c>
      <c r="AK59" s="450">
        <f t="shared" si="3"/>
        <v>11.584065994394351</v>
      </c>
      <c r="AM59" s="450">
        <f>'C4-Sources'!O60/'C4-Sources'!G60*100</f>
        <v>25.297006980483307</v>
      </c>
      <c r="AN59" s="450">
        <f>'C4-Sources'!W60/'C4-Sources'!G60*100</f>
        <v>32.957318591522991</v>
      </c>
      <c r="AO59" s="450">
        <f>'C4-Sources'!AE60/'C4-Sources'!G60*100</f>
        <v>9.0236562515459227</v>
      </c>
      <c r="AP59" s="450">
        <f>'C4-Sources'!AM60/'C4-Sources'!G60*100</f>
        <v>5.7143609743546886</v>
      </c>
      <c r="AQ59" s="450">
        <f>'C4-Sources'!AU60/'C4-Sources'!G60*100</f>
        <v>11.612143309036023</v>
      </c>
      <c r="AR59" s="450">
        <f>'C4-Sources'!BC60/'C4-Sources'!G60*100</f>
        <v>4.9286712512094688</v>
      </c>
      <c r="AS59" s="450">
        <f>'C4-Sources'!BK60/'C4-Sources'!G60*100</f>
        <v>2.014826309232272</v>
      </c>
      <c r="AT59" s="450">
        <f t="shared" si="4"/>
        <v>8.4520163326153295</v>
      </c>
      <c r="AV59" s="450">
        <f>'C4-Sources'!P60/'C4-Sources'!H60*100</f>
        <v>19.460815634955399</v>
      </c>
      <c r="AW59" s="450">
        <f>'C4-Sources'!X60/'C4-Sources'!H60*100</f>
        <v>33.587722008093721</v>
      </c>
      <c r="AX59" s="450">
        <f>'C4-Sources'!AF60/'C4-Sources'!H60*100</f>
        <v>11.878154050445087</v>
      </c>
      <c r="AY59" s="450">
        <f>'C4-Sources'!AN60/'C4-Sources'!H60*100</f>
        <v>6.6241290836302493</v>
      </c>
      <c r="AZ59" s="450">
        <f>'C4-Sources'!AV60/'C4-Sources'!H60*100</f>
        <v>14.363909985224785</v>
      </c>
      <c r="BA59" s="450">
        <f>'C4-Sources'!BD60/'C4-Sources'!H60*100</f>
        <v>5.8318342509768044</v>
      </c>
      <c r="BB59" s="450">
        <f>'C4-Sources'!BL60/'C4-Sources'!H60*100</f>
        <v>1.1726341739827957</v>
      </c>
      <c r="BC59" s="450">
        <f t="shared" si="5"/>
        <v>7.0808008126911659</v>
      </c>
      <c r="BD59" s="453"/>
      <c r="BE59" s="453"/>
      <c r="BF59" s="453"/>
      <c r="BG59" s="453"/>
      <c r="BH59" s="454"/>
      <c r="BI59" s="452"/>
      <c r="BJ59" s="452"/>
    </row>
    <row r="60" spans="1:62" s="173" customFormat="1" ht="12" x14ac:dyDescent="0.25">
      <c r="A60" s="239">
        <v>2014</v>
      </c>
      <c r="B60" s="239"/>
      <c r="C60" s="450">
        <f>'C4-Sources'!K61/'C4-Sources'!C61*100</f>
        <v>47.311553767075878</v>
      </c>
      <c r="D60" s="450">
        <f>'C4-Sources'!S61/'C4-Sources'!C61*100</f>
        <v>17.518730788450185</v>
      </c>
      <c r="E60" s="450">
        <f>'C4-Sources'!AA61/'C4-Sources'!C61*100</f>
        <v>3.7027457316497299</v>
      </c>
      <c r="F60" s="450">
        <f>'C4-Sources'!AI61/'C4-Sources'!C61*100</f>
        <v>1.9720697536096561</v>
      </c>
      <c r="G60" s="450">
        <f>'C4-Sources'!AQ61/'C4-Sources'!C61*100</f>
        <v>6.1241664918911791</v>
      </c>
      <c r="H60" s="450">
        <f>'C4-Sources'!AY61/'C4-Sources'!C61*100</f>
        <v>3.405127786920839</v>
      </c>
      <c r="I60" s="450">
        <f>'C4-Sources'!BG61/'C4-Sources'!C61*100</f>
        <v>7.1612349510876792</v>
      </c>
      <c r="J60" s="450">
        <f t="shared" si="0"/>
        <v>12.804370729314854</v>
      </c>
      <c r="L60" s="450">
        <f>'C4-Sources'!L61/'C4-Sources'!D61*100</f>
        <v>43.371053376076631</v>
      </c>
      <c r="M60" s="450">
        <f>'C4-Sources'!T61/'C4-Sources'!D61*100</f>
        <v>21.03273489309343</v>
      </c>
      <c r="N60" s="450">
        <f>'C4-Sources'!AB61/'C4-Sources'!D61*100</f>
        <v>4.6135159155223135</v>
      </c>
      <c r="O60" s="450">
        <f>'C4-Sources'!AJ61/'C4-Sources'!D61*100</f>
        <v>2.4544463565813879</v>
      </c>
      <c r="P60" s="450">
        <f>'C4-Sources'!AR61/'C4-Sources'!D61*100</f>
        <v>6.7783396029011653</v>
      </c>
      <c r="Q60" s="450">
        <f>'C4-Sources'!AZ61/'C4-Sources'!D61*100</f>
        <v>3.5441341247257987</v>
      </c>
      <c r="R60" s="450">
        <f>'C4-Sources'!BH61/'C4-Sources'!D61*100</f>
        <v>5.995168675246874</v>
      </c>
      <c r="S60" s="450">
        <f t="shared" si="1"/>
        <v>12.210607055852392</v>
      </c>
      <c r="U60" s="450">
        <f>'C4-Sources'!M61/'C4-Sources'!E61*100</f>
        <v>34.12311408668775</v>
      </c>
      <c r="V60" s="450">
        <f>'C4-Sources'!U61/'C4-Sources'!E61*100</f>
        <v>28.112250696486225</v>
      </c>
      <c r="W60" s="450">
        <f>'C4-Sources'!AC61/'C4-Sources'!E61*100</f>
        <v>6.8244447122811538</v>
      </c>
      <c r="X60" s="450">
        <f>'C4-Sources'!AK61/'C4-Sources'!E61*100</f>
        <v>3.6430574745940336</v>
      </c>
      <c r="Y60" s="450">
        <f>'C4-Sources'!AS61/'C4-Sources'!E61*100</f>
        <v>8.4023426579801974</v>
      </c>
      <c r="Z60" s="450">
        <f>'C4-Sources'!BA61/'C4-Sources'!E61*100</f>
        <v>3.8900675669516014</v>
      </c>
      <c r="AA60" s="450">
        <f>'C4-Sources'!BI61/'C4-Sources'!E61*100</f>
        <v>3.3587416574185487</v>
      </c>
      <c r="AB60" s="450">
        <f t="shared" si="2"/>
        <v>11.645981147600494</v>
      </c>
      <c r="AD60" s="450">
        <f>'C4-Sources'!N61/'C4-Sources'!F61*100</f>
        <v>30.686943444471876</v>
      </c>
      <c r="AE60" s="450">
        <f>'C4-Sources'!V61/'C4-Sources'!F61*100</f>
        <v>30.2068908036129</v>
      </c>
      <c r="AF60" s="450">
        <f>'C4-Sources'!AD61/'C4-Sources'!F61*100</f>
        <v>7.6974086978458685</v>
      </c>
      <c r="AG60" s="450">
        <f>'C4-Sources'!AL61/'C4-Sources'!F61*100</f>
        <v>4.096755984945764</v>
      </c>
      <c r="AH60" s="450">
        <f>'C4-Sources'!AT61/'C4-Sources'!F61*100</f>
        <v>9.2111426818655868</v>
      </c>
      <c r="AI60" s="450">
        <f>'C4-Sources'!BB61/'C4-Sources'!F61*100</f>
        <v>4.1415504499531561</v>
      </c>
      <c r="AJ60" s="450">
        <f>'C4-Sources'!BJ61/'C4-Sources'!F61*100</f>
        <v>2.7436123084234163</v>
      </c>
      <c r="AK60" s="450">
        <f t="shared" si="3"/>
        <v>11.215695628881434</v>
      </c>
      <c r="AM60" s="450">
        <f>'C4-Sources'!O61/'C4-Sources'!G61*100</f>
        <v>26.108647311380391</v>
      </c>
      <c r="AN60" s="450">
        <f>'C4-Sources'!W61/'C4-Sources'!G61*100</f>
        <v>32.694501515419581</v>
      </c>
      <c r="AO60" s="450">
        <f>'C4-Sources'!AE61/'C4-Sources'!G61*100</f>
        <v>9.8160813347848812</v>
      </c>
      <c r="AP60" s="450">
        <f>'C4-Sources'!AM61/'C4-Sources'!G61*100</f>
        <v>4.9237039004373369</v>
      </c>
      <c r="AQ60" s="450">
        <f>'C4-Sources'!AU61/'C4-Sources'!G61*100</f>
        <v>11.290461675395347</v>
      </c>
      <c r="AR60" s="450">
        <f>'C4-Sources'!BC61/'C4-Sources'!G61*100</f>
        <v>4.8572620361191561</v>
      </c>
      <c r="AS60" s="450">
        <f>'C4-Sources'!BK61/'C4-Sources'!G61*100</f>
        <v>1.9526040052608324</v>
      </c>
      <c r="AT60" s="450">
        <f t="shared" si="4"/>
        <v>8.3567382212024768</v>
      </c>
      <c r="AV60" s="450">
        <f>'C4-Sources'!P61/'C4-Sources'!H61*100</f>
        <v>20.365598483332292</v>
      </c>
      <c r="AW60" s="450">
        <f>'C4-Sources'!X61/'C4-Sources'!H61*100</f>
        <v>32.46456279317664</v>
      </c>
      <c r="AX60" s="450">
        <f>'C4-Sources'!AF61/'C4-Sources'!H61*100</f>
        <v>13.044226577042089</v>
      </c>
      <c r="AY60" s="450">
        <f>'C4-Sources'!AN61/'C4-Sources'!H61*100</f>
        <v>5.7662901838580831</v>
      </c>
      <c r="AZ60" s="450">
        <f>'C4-Sources'!AV61/'C4-Sources'!H61*100</f>
        <v>14.074185864586092</v>
      </c>
      <c r="BA60" s="450">
        <f>'C4-Sources'!BD61/'C4-Sources'!H61*100</f>
        <v>5.7866002759865465</v>
      </c>
      <c r="BB60" s="450">
        <f>'C4-Sources'!BL61/'C4-Sources'!H61*100</f>
        <v>1.2451398235918227</v>
      </c>
      <c r="BC60" s="450">
        <f t="shared" si="5"/>
        <v>7.2533959984264413</v>
      </c>
      <c r="BD60" s="452"/>
      <c r="BE60" s="452"/>
      <c r="BF60" s="452"/>
      <c r="BG60" s="452"/>
      <c r="BH60" s="452"/>
      <c r="BI60" s="452"/>
      <c r="BJ60" s="452"/>
    </row>
    <row r="61" spans="1:62" s="173" customFormat="1" ht="12" x14ac:dyDescent="0.25">
      <c r="A61" s="239">
        <v>2015</v>
      </c>
      <c r="B61" s="239"/>
      <c r="C61" s="450">
        <f>'C4-Sources'!K62/'C4-Sources'!C62*100</f>
        <v>48.488567134111044</v>
      </c>
      <c r="D61" s="450">
        <f>'C4-Sources'!S62/'C4-Sources'!C62*100</f>
        <v>17.635924974270225</v>
      </c>
      <c r="E61" s="450">
        <f>'C4-Sources'!AA62/'C4-Sources'!C62*100</f>
        <v>3.6241576285493764</v>
      </c>
      <c r="F61" s="450">
        <f>'C4-Sources'!AI62/'C4-Sources'!C62*100</f>
        <v>1.9555211740187424</v>
      </c>
      <c r="G61" s="450">
        <f>'C4-Sources'!AQ62/'C4-Sources'!C62*100</f>
        <v>5.1308681530853173</v>
      </c>
      <c r="H61" s="450">
        <f>'C4-Sources'!AY62/'C4-Sources'!C62*100</f>
        <v>3.1593914859953727</v>
      </c>
      <c r="I61" s="450">
        <f>'C4-Sources'!BG62/'C4-Sources'!C62*100</f>
        <v>7.2208454591338791</v>
      </c>
      <c r="J61" s="450">
        <f t="shared" si="0"/>
        <v>12.784723990836042</v>
      </c>
      <c r="L61" s="450">
        <f>'C4-Sources'!L62/'C4-Sources'!D62*100</f>
        <v>44.539411596531835</v>
      </c>
      <c r="M61" s="450">
        <f>'C4-Sources'!T62/'C4-Sources'!D62*100</f>
        <v>21.128978618901119</v>
      </c>
      <c r="N61" s="450">
        <f>'C4-Sources'!AB62/'C4-Sources'!D62*100</f>
        <v>4.5734806472982088</v>
      </c>
      <c r="O61" s="450">
        <f>'C4-Sources'!AJ62/'C4-Sources'!D62*100</f>
        <v>2.4693497898716825</v>
      </c>
      <c r="P61" s="450">
        <f>'C4-Sources'!AR62/'C4-Sources'!D62*100</f>
        <v>5.726261092760299</v>
      </c>
      <c r="Q61" s="450">
        <f>'C4-Sources'!AZ62/'C4-Sources'!D62*100</f>
        <v>3.3152469832484806</v>
      </c>
      <c r="R61" s="450">
        <f>'C4-Sources'!BH62/'C4-Sources'!D62*100</f>
        <v>6.059807110591473</v>
      </c>
      <c r="S61" s="450">
        <f>100-SUM(L61:R61)</f>
        <v>12.187464160796893</v>
      </c>
      <c r="U61" s="450">
        <f>'C4-Sources'!M62/'C4-Sources'!E62*100</f>
        <v>35.205482150598876</v>
      </c>
      <c r="V61" s="450">
        <f>'C4-Sources'!U62/'C4-Sources'!E62*100</f>
        <v>28.450117540874636</v>
      </c>
      <c r="W61" s="450">
        <f>'C4-Sources'!AC62/'C4-Sources'!E62*100</f>
        <v>6.8420103738700764</v>
      </c>
      <c r="X61" s="450">
        <f>'C4-Sources'!AK62/'C4-Sources'!E62*100</f>
        <v>3.7205381112553089</v>
      </c>
      <c r="Y61" s="450">
        <f>'C4-Sources'!AS62/'C4-Sources'!E62*100</f>
        <v>7.168286127050651</v>
      </c>
      <c r="Z61" s="450">
        <f>'C4-Sources'!BA62/'C4-Sources'!E62*100</f>
        <v>3.6874246447335142</v>
      </c>
      <c r="AA61" s="450">
        <f>'C4-Sources'!BI62/'C4-Sources'!E62*100</f>
        <v>3.393565532932846</v>
      </c>
      <c r="AB61" s="450">
        <f t="shared" si="2"/>
        <v>11.532575518684098</v>
      </c>
      <c r="AD61" s="450">
        <f>'C4-Sources'!N62/'C4-Sources'!F62*100</f>
        <v>31.675770024686418</v>
      </c>
      <c r="AE61" s="450">
        <f>'C4-Sources'!V62/'C4-Sources'!F62*100</f>
        <v>30.694639144741089</v>
      </c>
      <c r="AF61" s="450">
        <f>'C4-Sources'!AD62/'C4-Sources'!F62*100</f>
        <v>7.7759677916532226</v>
      </c>
      <c r="AG61" s="450">
        <f>'C4-Sources'!AL62/'C4-Sources'!F62*100</f>
        <v>4.1835403908547644</v>
      </c>
      <c r="AH61" s="450">
        <f>'C4-Sources'!AT62/'C4-Sources'!F62*100</f>
        <v>7.8761684939517584</v>
      </c>
      <c r="AI61" s="450">
        <f>'C4-Sources'!BB62/'C4-Sources'!F62*100</f>
        <v>3.9297854851320833</v>
      </c>
      <c r="AJ61" s="450">
        <f>'C4-Sources'!BJ62/'C4-Sources'!F62*100</f>
        <v>2.7321615134031574</v>
      </c>
      <c r="AK61" s="450">
        <f t="shared" si="3"/>
        <v>11.131967155577513</v>
      </c>
      <c r="AM61" s="450">
        <f>'C4-Sources'!O62/'C4-Sources'!G62*100</f>
        <v>27.380251622760898</v>
      </c>
      <c r="AN61" s="450">
        <f>'C4-Sources'!W62/'C4-Sources'!G62*100</f>
        <v>32.936913583846263</v>
      </c>
      <c r="AO61" s="450">
        <f>'C4-Sources'!AE62/'C4-Sources'!G62*100</f>
        <v>10.016611675956792</v>
      </c>
      <c r="AP61" s="450">
        <f>'C4-Sources'!AM62/'C4-Sources'!G62*100</f>
        <v>5.0575372610205989</v>
      </c>
      <c r="AQ61" s="450">
        <f>'C4-Sources'!AU62/'C4-Sources'!G62*100</f>
        <v>9.6839362723874132</v>
      </c>
      <c r="AR61" s="450">
        <f>'C4-Sources'!BC62/'C4-Sources'!G62*100</f>
        <v>4.641031705172435</v>
      </c>
      <c r="AS61" s="450">
        <f>'C4-Sources'!BK62/'C4-Sources'!G62*100</f>
        <v>1.9018616079001034</v>
      </c>
      <c r="AT61" s="450">
        <f t="shared" si="4"/>
        <v>8.3818562709554953</v>
      </c>
      <c r="AV61" s="450">
        <f>'C4-Sources'!P62/'C4-Sources'!H62*100</f>
        <v>22.361363420775344</v>
      </c>
      <c r="AW61" s="450">
        <f>'C4-Sources'!X62/'C4-Sources'!H62*100</f>
        <v>32.270348634919046</v>
      </c>
      <c r="AX61" s="450">
        <f>'C4-Sources'!AF62/'C4-Sources'!H62*100</f>
        <v>13.33069643708604</v>
      </c>
      <c r="AY61" s="450">
        <f>'C4-Sources'!AN62/'C4-Sources'!H62*100</f>
        <v>5.8464817713979453</v>
      </c>
      <c r="AZ61" s="450">
        <f>'C4-Sources'!AV62/'C4-Sources'!H62*100</f>
        <v>12.073853450789235</v>
      </c>
      <c r="BA61" s="450">
        <f>'C4-Sources'!BD62/'C4-Sources'!H62*100</f>
        <v>5.5776759370221392</v>
      </c>
      <c r="BB61" s="450">
        <f>'C4-Sources'!BL62/'C4-Sources'!H62*100</f>
        <v>1.3126089380935584</v>
      </c>
      <c r="BC61" s="450">
        <f t="shared" si="5"/>
        <v>7.2269714099166862</v>
      </c>
      <c r="BD61" s="452"/>
      <c r="BE61" s="452"/>
      <c r="BF61" s="452"/>
      <c r="BG61" s="452"/>
      <c r="BH61" s="452"/>
      <c r="BI61" s="452"/>
      <c r="BJ61" s="452"/>
    </row>
    <row r="62" spans="1:62" s="173" customFormat="1" ht="12" x14ac:dyDescent="0.25">
      <c r="A62" s="239"/>
      <c r="B62" s="239"/>
      <c r="H62" s="455"/>
      <c r="I62" s="455"/>
      <c r="J62" s="455"/>
      <c r="AW62" s="452"/>
      <c r="AX62" s="452"/>
      <c r="AY62" s="452"/>
      <c r="BA62" s="452"/>
      <c r="BB62" s="452"/>
      <c r="BC62" s="452"/>
      <c r="BD62" s="452"/>
      <c r="BE62" s="452"/>
      <c r="BF62" s="452"/>
      <c r="BG62" s="452"/>
      <c r="BH62" s="452"/>
      <c r="BI62" s="452"/>
      <c r="BJ62" s="452"/>
    </row>
    <row r="63" spans="1:62" x14ac:dyDescent="0.3">
      <c r="A63" s="246"/>
      <c r="B63" s="246"/>
      <c r="C63" s="11"/>
      <c r="D63" s="11"/>
      <c r="E63" s="11"/>
      <c r="F63" s="11"/>
      <c r="G63" s="11"/>
      <c r="H63" s="191"/>
      <c r="I63" s="191"/>
      <c r="J63" s="19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25"/>
      <c r="AW63" s="125"/>
      <c r="AX63" s="125"/>
      <c r="AY63" s="125"/>
      <c r="AZ63" s="125"/>
      <c r="BA63" s="125"/>
      <c r="BB63" s="125"/>
      <c r="BC63" s="125"/>
      <c r="BD63" s="24"/>
      <c r="BE63" s="24"/>
      <c r="BF63" s="24"/>
      <c r="BG63" s="24"/>
      <c r="BH63" s="24"/>
      <c r="BI63" s="24"/>
      <c r="BJ63" s="24"/>
    </row>
    <row r="64" spans="1:62" ht="8.25" customHeight="1" x14ac:dyDescent="0.3">
      <c r="AV64" s="24"/>
      <c r="AW64" s="24"/>
      <c r="AX64" s="24"/>
      <c r="AY64" s="24"/>
      <c r="AZ64" s="24"/>
      <c r="BA64" s="24"/>
      <c r="BB64" s="24"/>
      <c r="BC64" s="24"/>
      <c r="BD64" s="24"/>
      <c r="BE64" s="24"/>
      <c r="BF64" s="24"/>
      <c r="BG64" s="24"/>
      <c r="BH64" s="24"/>
      <c r="BI64" s="24"/>
      <c r="BJ64" s="24"/>
    </row>
    <row r="65" spans="1:2" x14ac:dyDescent="0.3">
      <c r="A65" s="46" t="s">
        <v>2101</v>
      </c>
    </row>
    <row r="66" spans="1:2" x14ac:dyDescent="0.3">
      <c r="A66" s="700" t="s">
        <v>2092</v>
      </c>
      <c r="B66" s="45"/>
    </row>
    <row r="67" spans="1:2" x14ac:dyDescent="0.3">
      <c r="A67" s="264" t="s">
        <v>233</v>
      </c>
      <c r="B67" s="45"/>
    </row>
    <row r="68" spans="1:2" x14ac:dyDescent="0.3">
      <c r="B68" s="45"/>
    </row>
  </sheetData>
  <mergeCells count="6">
    <mergeCell ref="AV3:BC3"/>
    <mergeCell ref="C3:J3"/>
    <mergeCell ref="L3:S3"/>
    <mergeCell ref="U3:AB3"/>
    <mergeCell ref="AD3:AK3"/>
    <mergeCell ref="AM3:AT3"/>
  </mergeCells>
  <hyperlinks>
    <hyperlink ref="Q1" location="Index!A1" display="Index"/>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BY68"/>
  <sheetViews>
    <sheetView workbookViewId="0"/>
  </sheetViews>
  <sheetFormatPr defaultColWidth="9.109375" defaultRowHeight="14.4" x14ac:dyDescent="0.3"/>
  <cols>
    <col min="1" max="1" width="9.109375" style="502"/>
    <col min="2" max="2" width="6.44140625" style="75" customWidth="1"/>
    <col min="3" max="3" width="6" style="502" customWidth="1"/>
    <col min="4" max="4" width="7.88671875" style="502" customWidth="1"/>
    <col min="5" max="5" width="6" style="502" customWidth="1"/>
    <col min="6" max="6" width="6.88671875" style="502" customWidth="1"/>
    <col min="7" max="7" width="6" style="502" customWidth="1"/>
    <col min="8" max="8" width="7.77734375" style="502" customWidth="1"/>
    <col min="9" max="9" width="6.21875" style="655" customWidth="1"/>
    <col min="10" max="10" width="6" style="502" customWidth="1"/>
    <col min="11" max="11" width="2" style="502" customWidth="1"/>
    <col min="12" max="12" width="5.88671875" style="502" customWidth="1"/>
    <col min="13" max="13" width="6.5546875" style="502" customWidth="1"/>
    <col min="14" max="14" width="7.44140625" style="502" customWidth="1"/>
    <col min="15" max="17" width="6.5546875" style="502" customWidth="1"/>
    <col min="18" max="18" width="7.77734375" style="502" customWidth="1"/>
    <col min="19" max="19" width="6.88671875" style="655" customWidth="1"/>
    <col min="20" max="20" width="6" style="502" customWidth="1"/>
    <col min="21" max="21" width="2.44140625" style="502" customWidth="1"/>
    <col min="22" max="22" width="6.44140625" style="502" customWidth="1"/>
    <col min="23" max="23" width="6.77734375" style="502" customWidth="1"/>
    <col min="24" max="24" width="7.5546875" style="502" customWidth="1"/>
    <col min="25" max="25" width="6.109375" style="502" customWidth="1"/>
    <col min="26" max="26" width="7" style="502" customWidth="1"/>
    <col min="27" max="27" width="6.109375" style="502" customWidth="1"/>
    <col min="28" max="28" width="7.88671875" style="502" customWidth="1"/>
    <col min="29" max="29" width="6.44140625" style="655" customWidth="1"/>
    <col min="30" max="30" width="6" style="502" customWidth="1"/>
    <col min="31" max="31" width="2.21875" style="502" customWidth="1"/>
    <col min="32" max="32" width="6.109375" style="502" customWidth="1"/>
    <col min="33" max="34" width="7.44140625" style="502" customWidth="1"/>
    <col min="35" max="35" width="6.44140625" style="502" customWidth="1"/>
    <col min="36" max="37" width="7.44140625" style="502" customWidth="1"/>
    <col min="38" max="38" width="7.88671875" style="502" customWidth="1"/>
    <col min="39" max="39" width="6.77734375" style="655" customWidth="1"/>
    <col min="40" max="40" width="6.44140625" style="502" customWidth="1"/>
    <col min="41" max="41" width="1.77734375" style="502" customWidth="1"/>
    <col min="42" max="42" width="6.77734375" style="502" customWidth="1"/>
    <col min="43" max="43" width="7.109375" style="502" customWidth="1"/>
    <col min="44" max="44" width="7.21875" style="502" customWidth="1"/>
    <col min="45" max="45" width="6.77734375" style="502" customWidth="1"/>
    <col min="46" max="47" width="7.109375" style="502" customWidth="1"/>
    <col min="48" max="48" width="7.77734375" style="502" customWidth="1"/>
    <col min="49" max="49" width="6.88671875" style="655" customWidth="1"/>
    <col min="50" max="50" width="6.77734375" style="502" customWidth="1"/>
    <col min="51" max="51" width="2.5546875" style="502" customWidth="1"/>
    <col min="52" max="52" width="6.21875" style="502" customWidth="1"/>
    <col min="53" max="53" width="6.77734375" style="502" customWidth="1"/>
    <col min="54" max="54" width="7.21875" style="502" customWidth="1"/>
    <col min="55" max="55" width="6.21875" style="502" customWidth="1"/>
    <col min="56" max="57" width="6.77734375" style="502" customWidth="1"/>
    <col min="58" max="58" width="8" style="502" customWidth="1"/>
    <col min="59" max="59" width="6" style="655" customWidth="1"/>
    <col min="60" max="60" width="5.88671875" style="502" customWidth="1"/>
    <col min="61" max="61" width="2.21875" style="502" customWidth="1"/>
    <col min="62" max="62" width="5.88671875" style="502" customWidth="1"/>
    <col min="63" max="63" width="6.88671875" style="502" customWidth="1"/>
    <col min="64" max="64" width="7.109375" style="502" customWidth="1"/>
    <col min="65" max="65" width="6.109375" style="502" customWidth="1"/>
    <col min="66" max="67" width="6.88671875" style="502" customWidth="1"/>
    <col min="68" max="68" width="8.109375" style="502" customWidth="1"/>
    <col min="69" max="69" width="6.88671875" style="655" customWidth="1"/>
    <col min="70" max="70" width="6.21875" style="502" customWidth="1"/>
    <col min="71" max="16384" width="9.109375" style="502"/>
  </cols>
  <sheetData>
    <row r="1" spans="1:77" ht="15.6" x14ac:dyDescent="0.3">
      <c r="A1" s="178" t="s">
        <v>2188</v>
      </c>
      <c r="O1" s="500" t="s">
        <v>504</v>
      </c>
    </row>
    <row r="2" spans="1:77" x14ac:dyDescent="0.3">
      <c r="A2" s="11"/>
      <c r="B2" s="404"/>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row>
    <row r="3" spans="1:77" x14ac:dyDescent="0.3">
      <c r="A3" s="237"/>
      <c r="B3" s="1455" t="s">
        <v>644</v>
      </c>
      <c r="C3" s="1455"/>
      <c r="D3" s="1455"/>
      <c r="E3" s="1455"/>
      <c r="F3" s="1455"/>
      <c r="G3" s="1455"/>
      <c r="H3" s="1455"/>
      <c r="I3" s="1455"/>
      <c r="J3" s="1455"/>
      <c r="K3" s="237"/>
      <c r="L3" s="1455" t="s">
        <v>638</v>
      </c>
      <c r="M3" s="1455"/>
      <c r="N3" s="1455"/>
      <c r="O3" s="1455"/>
      <c r="P3" s="1455"/>
      <c r="Q3" s="1455"/>
      <c r="R3" s="1455"/>
      <c r="S3" s="1455"/>
      <c r="T3" s="1455"/>
      <c r="U3" s="240"/>
      <c r="V3" s="1455" t="s">
        <v>639</v>
      </c>
      <c r="W3" s="1455"/>
      <c r="X3" s="1455"/>
      <c r="Y3" s="1455"/>
      <c r="Z3" s="1455"/>
      <c r="AA3" s="1455"/>
      <c r="AB3" s="1455"/>
      <c r="AC3" s="1455"/>
      <c r="AD3" s="1455"/>
      <c r="AE3" s="240"/>
      <c r="AF3" s="1455" t="s">
        <v>640</v>
      </c>
      <c r="AG3" s="1455"/>
      <c r="AH3" s="1455"/>
      <c r="AI3" s="1455"/>
      <c r="AJ3" s="1455"/>
      <c r="AK3" s="1455"/>
      <c r="AL3" s="1455"/>
      <c r="AM3" s="1455"/>
      <c r="AN3" s="1455"/>
      <c r="AO3" s="240"/>
      <c r="AP3" s="1455" t="s">
        <v>641</v>
      </c>
      <c r="AQ3" s="1455"/>
      <c r="AR3" s="1455"/>
      <c r="AS3" s="1455"/>
      <c r="AT3" s="1455"/>
      <c r="AU3" s="1455"/>
      <c r="AV3" s="1455"/>
      <c r="AW3" s="1455"/>
      <c r="AX3" s="1455"/>
      <c r="AY3" s="238"/>
      <c r="AZ3" s="1455" t="s">
        <v>642</v>
      </c>
      <c r="BA3" s="1455"/>
      <c r="BB3" s="1455"/>
      <c r="BC3" s="1455"/>
      <c r="BD3" s="1455"/>
      <c r="BE3" s="1455"/>
      <c r="BF3" s="1455"/>
      <c r="BG3" s="1455"/>
      <c r="BH3" s="1455"/>
      <c r="BI3" s="241"/>
      <c r="BJ3" s="1455" t="s">
        <v>643</v>
      </c>
      <c r="BK3" s="1455"/>
      <c r="BL3" s="1455"/>
      <c r="BM3" s="1455"/>
      <c r="BN3" s="1455"/>
      <c r="BO3" s="1455"/>
      <c r="BP3" s="1455"/>
      <c r="BQ3" s="1455"/>
      <c r="BR3" s="1455"/>
    </row>
    <row r="4" spans="1:77" x14ac:dyDescent="0.3">
      <c r="A4" s="242"/>
      <c r="B4" s="526" t="s">
        <v>246</v>
      </c>
      <c r="C4" s="243" t="s">
        <v>209</v>
      </c>
      <c r="D4" s="243" t="s">
        <v>212</v>
      </c>
      <c r="E4" s="243" t="s">
        <v>210</v>
      </c>
      <c r="F4" s="243" t="s">
        <v>211</v>
      </c>
      <c r="G4" s="243" t="s">
        <v>213</v>
      </c>
      <c r="H4" s="243" t="s">
        <v>214</v>
      </c>
      <c r="I4" s="243" t="s">
        <v>1119</v>
      </c>
      <c r="J4" s="243" t="s">
        <v>215</v>
      </c>
      <c r="K4" s="243"/>
      <c r="L4" s="526" t="s">
        <v>246</v>
      </c>
      <c r="M4" s="243" t="s">
        <v>209</v>
      </c>
      <c r="N4" s="243" t="s">
        <v>212</v>
      </c>
      <c r="O4" s="243" t="s">
        <v>210</v>
      </c>
      <c r="P4" s="243" t="s">
        <v>211</v>
      </c>
      <c r="Q4" s="243" t="s">
        <v>213</v>
      </c>
      <c r="R4" s="243" t="s">
        <v>214</v>
      </c>
      <c r="S4" s="243" t="s">
        <v>1119</v>
      </c>
      <c r="T4" s="243" t="s">
        <v>215</v>
      </c>
      <c r="U4" s="244"/>
      <c r="V4" s="526" t="s">
        <v>246</v>
      </c>
      <c r="W4" s="243" t="s">
        <v>209</v>
      </c>
      <c r="X4" s="243" t="s">
        <v>212</v>
      </c>
      <c r="Y4" s="243" t="s">
        <v>210</v>
      </c>
      <c r="Z4" s="243" t="s">
        <v>211</v>
      </c>
      <c r="AA4" s="243" t="s">
        <v>213</v>
      </c>
      <c r="AB4" s="243" t="s">
        <v>214</v>
      </c>
      <c r="AC4" s="243" t="s">
        <v>1119</v>
      </c>
      <c r="AD4" s="243" t="s">
        <v>215</v>
      </c>
      <c r="AE4" s="244"/>
      <c r="AF4" s="526" t="s">
        <v>246</v>
      </c>
      <c r="AG4" s="243" t="s">
        <v>209</v>
      </c>
      <c r="AH4" s="243" t="s">
        <v>212</v>
      </c>
      <c r="AI4" s="243" t="s">
        <v>210</v>
      </c>
      <c r="AJ4" s="243" t="s">
        <v>211</v>
      </c>
      <c r="AK4" s="243" t="s">
        <v>213</v>
      </c>
      <c r="AL4" s="243" t="s">
        <v>214</v>
      </c>
      <c r="AM4" s="243" t="s">
        <v>1119</v>
      </c>
      <c r="AN4" s="243" t="s">
        <v>215</v>
      </c>
      <c r="AO4" s="244"/>
      <c r="AP4" s="526" t="s">
        <v>246</v>
      </c>
      <c r="AQ4" s="243" t="s">
        <v>209</v>
      </c>
      <c r="AR4" s="243" t="s">
        <v>212</v>
      </c>
      <c r="AS4" s="243" t="s">
        <v>210</v>
      </c>
      <c r="AT4" s="243" t="s">
        <v>211</v>
      </c>
      <c r="AU4" s="243" t="s">
        <v>213</v>
      </c>
      <c r="AV4" s="243" t="s">
        <v>214</v>
      </c>
      <c r="AW4" s="243" t="s">
        <v>1119</v>
      </c>
      <c r="AX4" s="243" t="s">
        <v>215</v>
      </c>
      <c r="AY4" s="245"/>
      <c r="AZ4" s="526" t="s">
        <v>246</v>
      </c>
      <c r="BA4" s="243" t="s">
        <v>209</v>
      </c>
      <c r="BB4" s="243" t="s">
        <v>212</v>
      </c>
      <c r="BC4" s="243" t="s">
        <v>210</v>
      </c>
      <c r="BD4" s="243" t="s">
        <v>211</v>
      </c>
      <c r="BE4" s="243" t="s">
        <v>213</v>
      </c>
      <c r="BF4" s="243" t="s">
        <v>214</v>
      </c>
      <c r="BG4" s="243" t="s">
        <v>1119</v>
      </c>
      <c r="BH4" s="243" t="s">
        <v>215</v>
      </c>
      <c r="BI4" s="11"/>
      <c r="BJ4" s="526" t="s">
        <v>246</v>
      </c>
      <c r="BK4" s="243" t="s">
        <v>209</v>
      </c>
      <c r="BL4" s="243" t="s">
        <v>212</v>
      </c>
      <c r="BM4" s="243" t="s">
        <v>210</v>
      </c>
      <c r="BN4" s="243" t="s">
        <v>211</v>
      </c>
      <c r="BO4" s="243" t="s">
        <v>213</v>
      </c>
      <c r="BP4" s="243" t="s">
        <v>214</v>
      </c>
      <c r="BQ4" s="243" t="s">
        <v>1119</v>
      </c>
      <c r="BR4" s="243" t="s">
        <v>215</v>
      </c>
      <c r="BS4" s="247"/>
    </row>
    <row r="5" spans="1:77" ht="6.75" customHeight="1" x14ac:dyDescent="0.3">
      <c r="L5" s="75"/>
      <c r="V5" s="75"/>
      <c r="AF5" s="75"/>
      <c r="AP5" s="75"/>
      <c r="AZ5" s="75"/>
      <c r="BJ5" s="75"/>
    </row>
    <row r="6" spans="1:77" s="173" customFormat="1" ht="12" x14ac:dyDescent="0.25">
      <c r="A6" s="239">
        <v>1960</v>
      </c>
      <c r="B6" s="528">
        <f>('C1-Incomes'!J8-'C1-Incomes'!K8)/'C1-Incomes'!$J8*100</f>
        <v>65.495312987692529</v>
      </c>
      <c r="C6" s="450"/>
      <c r="D6" s="450"/>
      <c r="E6" s="450"/>
      <c r="F6" s="450"/>
      <c r="G6" s="450"/>
      <c r="H6" s="450"/>
      <c r="I6" s="450"/>
      <c r="J6" s="450"/>
      <c r="K6" s="449"/>
      <c r="L6" s="528">
        <f>'C1-Incomes'!K8/'C1-Incomes'!$J8*100</f>
        <v>34.504687012307471</v>
      </c>
      <c r="M6" s="450"/>
      <c r="N6" s="450"/>
      <c r="O6" s="450"/>
      <c r="P6" s="450"/>
      <c r="Q6" s="450"/>
      <c r="R6" s="450"/>
      <c r="S6" s="450"/>
      <c r="T6" s="450"/>
      <c r="V6" s="528">
        <f>'C1-Incomes'!L8/'C1-Incomes'!$J8*100</f>
        <v>24.068323152221275</v>
      </c>
      <c r="W6" s="450"/>
      <c r="X6" s="450"/>
      <c r="Y6" s="450"/>
      <c r="Z6" s="450"/>
      <c r="AA6" s="450"/>
      <c r="AB6" s="450"/>
      <c r="AC6" s="450"/>
      <c r="AD6" s="450"/>
      <c r="AF6" s="528">
        <f>'C1-Incomes'!M8/'C1-Incomes'!$J8*100</f>
        <v>11.03860864630547</v>
      </c>
      <c r="AG6" s="450"/>
      <c r="AH6" s="450"/>
      <c r="AI6" s="450"/>
      <c r="AJ6" s="450"/>
      <c r="AK6" s="450"/>
      <c r="AL6" s="450"/>
      <c r="AM6" s="450"/>
      <c r="AN6" s="450"/>
      <c r="AP6" s="528">
        <f>'C1-Incomes'!N8/'C1-Incomes'!$J8*100</f>
        <v>8.1084208410910836</v>
      </c>
      <c r="AQ6" s="450"/>
      <c r="AR6" s="450"/>
      <c r="AS6" s="450"/>
      <c r="AT6" s="450"/>
      <c r="AU6" s="450"/>
      <c r="AV6" s="450"/>
      <c r="AW6" s="450"/>
      <c r="AX6" s="450"/>
      <c r="AZ6" s="528">
        <f>'C1-Incomes'!O8/'C1-Incomes'!$J8*100</f>
        <v>4.0069490722777417</v>
      </c>
      <c r="BA6" s="450"/>
      <c r="BB6" s="450"/>
      <c r="BC6" s="450"/>
      <c r="BD6" s="450"/>
      <c r="BE6" s="450"/>
      <c r="BF6" s="450"/>
      <c r="BG6" s="450"/>
      <c r="BH6" s="450"/>
      <c r="BJ6" s="528">
        <f>'C1-Incomes'!P8/'C1-Incomes'!$J8*100</f>
        <v>1.4819503745896003</v>
      </c>
      <c r="BK6" s="450"/>
      <c r="BL6" s="450"/>
      <c r="BM6" s="450"/>
      <c r="BN6" s="450"/>
      <c r="BO6" s="450"/>
      <c r="BP6" s="450"/>
      <c r="BQ6" s="450"/>
      <c r="BR6" s="450"/>
    </row>
    <row r="7" spans="1:77" s="173" customFormat="1" ht="6.75" customHeight="1" x14ac:dyDescent="0.25">
      <c r="A7" s="239"/>
      <c r="B7" s="527"/>
      <c r="C7" s="449"/>
      <c r="D7" s="449"/>
      <c r="E7" s="449"/>
      <c r="F7" s="449"/>
      <c r="G7" s="449"/>
      <c r="H7" s="449"/>
      <c r="I7" s="449"/>
      <c r="J7" s="449"/>
      <c r="K7" s="449"/>
      <c r="L7" s="527"/>
      <c r="M7" s="450"/>
      <c r="N7" s="450"/>
      <c r="O7" s="450"/>
      <c r="Q7" s="450"/>
      <c r="R7" s="450"/>
      <c r="S7" s="450"/>
      <c r="T7" s="451"/>
      <c r="V7" s="527"/>
      <c r="W7" s="450"/>
      <c r="X7" s="450"/>
      <c r="Y7" s="450"/>
      <c r="AA7" s="450"/>
      <c r="AB7" s="450"/>
      <c r="AC7" s="450"/>
      <c r="AD7" s="451"/>
      <c r="AF7" s="527"/>
      <c r="AI7" s="450"/>
      <c r="AK7" s="450"/>
      <c r="AL7" s="450"/>
      <c r="AM7" s="450"/>
      <c r="AP7" s="527"/>
      <c r="AS7" s="450"/>
      <c r="AU7" s="450"/>
      <c r="AV7" s="450"/>
      <c r="AW7" s="450"/>
      <c r="AZ7" s="527"/>
      <c r="BC7" s="450"/>
      <c r="BE7" s="450"/>
      <c r="BF7" s="450"/>
      <c r="BG7" s="450"/>
      <c r="BJ7" s="527"/>
      <c r="BM7" s="450"/>
      <c r="BO7" s="450"/>
      <c r="BP7" s="450"/>
      <c r="BQ7" s="450"/>
    </row>
    <row r="8" spans="1:77" s="173" customFormat="1" ht="12" x14ac:dyDescent="0.25">
      <c r="A8" s="239">
        <v>1962</v>
      </c>
      <c r="B8" s="528">
        <f>SUM(C8:J8)</f>
        <v>65.947406800637125</v>
      </c>
      <c r="C8" s="450">
        <f>('C4-Sources'!J9-'C4-Sources'!K9)/'C4-Sources'!$B9*100</f>
        <v>44.902563166693525</v>
      </c>
      <c r="D8" s="450">
        <f>('C4-Sources'!R9-'C4-Sources'!S9)/'C4-Sources'!$B9*100</f>
        <v>6.5980509893484891</v>
      </c>
      <c r="E8" s="450">
        <f>('C4-Sources'!Z9-'C4-Sources'!AA9)/'C4-Sources'!$B9*100</f>
        <v>0.14089593915468815</v>
      </c>
      <c r="F8" s="450">
        <f>('C4-Sources'!AH9-'C4-Sources'!AI9)/'C4-Sources'!$B9*100</f>
        <v>0.87894788110928745</v>
      </c>
      <c r="G8" s="450">
        <f>('C4-Sources'!AP9-'C4-Sources'!AQ9)/'C4-Sources'!$B9*100</f>
        <v>0.9930917093767031</v>
      </c>
      <c r="H8" s="450">
        <f>('C4-Sources'!AX9-'C4-Sources'!AY9)/'C4-Sources'!$B9*100</f>
        <v>2.0493045292468119</v>
      </c>
      <c r="I8" s="450">
        <f>('C4-Sources'!BF9-'C4-Sources'!BG9)/'C4-Sources'!$B9*100</f>
        <v>3.2452754035527733</v>
      </c>
      <c r="J8" s="450">
        <f>('C4-Sources'!BN9-'C4-Sources'!BO9)/'C4-Sources'!$B9*100</f>
        <v>7.1392771821548378</v>
      </c>
      <c r="K8" s="449"/>
      <c r="L8" s="528">
        <f>SUM(M8:T8)</f>
        <v>34.052593199362889</v>
      </c>
      <c r="M8" s="450">
        <f>'C4-Sources'!K9/'C4-Sources'!$B9*100</f>
        <v>14.003132320559027</v>
      </c>
      <c r="N8" s="450">
        <f>'C4-Sources'!S9/'C4-Sources'!$B9*100</f>
        <v>4.9672556927554314</v>
      </c>
      <c r="O8" s="450">
        <f>'C4-Sources'!AA9/'C4-Sources'!$B9*100</f>
        <v>2.1439226356501964</v>
      </c>
      <c r="P8" s="450">
        <f>'C4-Sources'!AI9/'C4-Sources'!$B9*100</f>
        <v>1.0189478441006827</v>
      </c>
      <c r="Q8" s="450">
        <f>'C4-Sources'!AQ9/'C4-Sources'!$B9*100</f>
        <v>3.6642833925614551</v>
      </c>
      <c r="R8" s="450">
        <f>'C4-Sources'!AY9/'C4-Sources'!$B9*100</f>
        <v>2.3035592607066198</v>
      </c>
      <c r="S8" s="450">
        <f>'C4-Sources'!BG9/'C4-Sources'!$B9*100</f>
        <v>0.90767342032242182</v>
      </c>
      <c r="T8" s="450">
        <f>'C4-Sources'!BO9/'C4-Sources'!$B9*100</f>
        <v>5.0438186327070511</v>
      </c>
      <c r="V8" s="528">
        <f>SUM(W8:AD8)</f>
        <v>23.686065182964001</v>
      </c>
      <c r="W8" s="450">
        <f>'C4-Sources'!L9/'C4-Sources'!$B9*100</f>
        <v>7.6567996273028687</v>
      </c>
      <c r="X8" s="450">
        <f>'C4-Sources'!T9/'C4-Sources'!$B9*100</f>
        <v>3.9187966364088278</v>
      </c>
      <c r="Y8" s="450">
        <f>'C4-Sources'!AB9/'C4-Sources'!$B9*100</f>
        <v>1.9850800644309508</v>
      </c>
      <c r="Z8" s="450">
        <f>'C4-Sources'!AJ9/'C4-Sources'!$B9*100</f>
        <v>0.86524748599257806</v>
      </c>
      <c r="AA8" s="450">
        <f>'C4-Sources'!AR9/'C4-Sources'!$B9*100</f>
        <v>3.3557634593227719</v>
      </c>
      <c r="AB8" s="450">
        <f>'C4-Sources'!AZ9/'C4-Sources'!$B9*100</f>
        <v>1.9077059860067918</v>
      </c>
      <c r="AC8" s="450">
        <f>'C4-Sources'!BH9/'C4-Sources'!$B9*100</f>
        <v>0.51818442524276431</v>
      </c>
      <c r="AD8" s="450">
        <f>'C4-Sources'!BP9/'C4-Sources'!$B9*100</f>
        <v>3.4784874982564462</v>
      </c>
      <c r="AF8" s="528">
        <f>SUM(AG8:AN8)</f>
        <v>11.120373480640795</v>
      </c>
      <c r="AG8" s="450">
        <f>'C4-Sources'!M9/'C4-Sources'!$B9*100</f>
        <v>1.9147041301154437</v>
      </c>
      <c r="AH8" s="450">
        <f>'C4-Sources'!U9/'C4-Sources'!$B9*100</f>
        <v>1.745971564279684</v>
      </c>
      <c r="AI8" s="450">
        <f>'C4-Sources'!AC9/'C4-Sources'!$B9*100</f>
        <v>1.4988938462214683</v>
      </c>
      <c r="AJ8" s="450">
        <f>'C4-Sources'!AK9/'C4-Sources'!$B9*100</f>
        <v>0.5483016685747375</v>
      </c>
      <c r="AK8" s="450">
        <f>'C4-Sources'!AS9/'C4-Sources'!$B9*100</f>
        <v>2.5221393697546297</v>
      </c>
      <c r="AL8" s="450">
        <f>'C4-Sources'!BA9/'C4-Sources'!$B9*100</f>
        <v>1.2523642185140795</v>
      </c>
      <c r="AM8" s="450">
        <f>'C4-Sources'!BI9/'C4-Sources'!$B9*100</f>
        <v>0.14042519745196386</v>
      </c>
      <c r="AN8" s="450">
        <f>'C4-Sources'!BQ9/'C4-Sources'!$B9*100</f>
        <v>1.4975734857287877</v>
      </c>
      <c r="AP8" s="528">
        <f>SUM(AQ8:AX8)</f>
        <v>8.2517080327620604</v>
      </c>
      <c r="AQ8" s="450">
        <f>'C4-Sources'!N9/'C4-Sources'!$B9*100</f>
        <v>1.1787399524389546</v>
      </c>
      <c r="AR8" s="450">
        <f>'C4-Sources'!V9/'C4-Sources'!$B9*100</f>
        <v>1.094302586578987</v>
      </c>
      <c r="AS8" s="450">
        <f>'C4-Sources'!AD9/'C4-Sources'!$B9*100</f>
        <v>1.2722597248221672</v>
      </c>
      <c r="AT8" s="450">
        <f>'C4-Sources'!AL9/'C4-Sources'!$B9*100</f>
        <v>0.40033946493632722</v>
      </c>
      <c r="AU8" s="450">
        <f>'C4-Sources'!AT9/'C4-Sources'!$B9*100</f>
        <v>2.1481087897645819</v>
      </c>
      <c r="AV8" s="450">
        <f>'C4-Sources'!BB9/'C4-Sources'!$B9*100</f>
        <v>1.0304940372816496</v>
      </c>
      <c r="AW8" s="450">
        <f>'C4-Sources'!BJ9/'C4-Sources'!$B9*100</f>
        <v>8.7787402367988987E-2</v>
      </c>
      <c r="AX8" s="450">
        <f>'C4-Sources'!BR9/'C4-Sources'!$B9*100</f>
        <v>1.0396760745714024</v>
      </c>
      <c r="AZ8" s="528">
        <f>SUM(BA8:BH8)</f>
        <v>4.0879004263186385</v>
      </c>
      <c r="BA8" s="450">
        <f>'C4-Sources'!O9/'C4-Sources'!$B9*100</f>
        <v>0.34358473673584217</v>
      </c>
      <c r="BB8" s="450">
        <f>'C4-Sources'!W9/'C4-Sources'!$B9*100</f>
        <v>0.32611787301692013</v>
      </c>
      <c r="BC8" s="450">
        <f>'C4-Sources'!AE9/'C4-Sources'!$B9*100</f>
        <v>0.78816370150452897</v>
      </c>
      <c r="BD8" s="450">
        <f>'C4-Sources'!AM9/'C4-Sources'!$B9*100</f>
        <v>0.1666879074000302</v>
      </c>
      <c r="BE8" s="450">
        <f>'C4-Sources'!AU9/'C4-Sources'!$B9*100</f>
        <v>1.3631462159809895</v>
      </c>
      <c r="BF8" s="450">
        <f>'C4-Sources'!BC9/'C4-Sources'!$B9*100</f>
        <v>0.61662981403990347</v>
      </c>
      <c r="BG8" s="450">
        <f>'C4-Sources'!BK9/'C4-Sources'!$B9*100</f>
        <v>2.6804309662528662E-2</v>
      </c>
      <c r="BH8" s="450">
        <f>'C4-Sources'!BS9/'C4-Sources'!$B9*100</f>
        <v>0.45676586797789498</v>
      </c>
      <c r="BJ8" s="528">
        <f>SUM(BK8:BR8)</f>
        <v>1.5109190349353718</v>
      </c>
      <c r="BK8" s="450">
        <f>'C4-Sources'!P9/'C4-Sources'!$B9*100</f>
        <v>5.24016425239726E-2</v>
      </c>
      <c r="BL8" s="450">
        <f>'C4-Sources'!X9/'C4-Sources'!$B9*100</f>
        <v>7.0546216424280675E-2</v>
      </c>
      <c r="BM8" s="450">
        <f>'C4-Sources'!AF9/'C4-Sources'!$B9*100</f>
        <v>0.32315120629866168</v>
      </c>
      <c r="BN8" s="450">
        <f>'C4-Sources'!AN9/'C4-Sources'!$B9*100</f>
        <v>5.0220148333985581E-2</v>
      </c>
      <c r="BO8" s="450">
        <f>'C4-Sources'!AV9/'C4-Sources'!$B9*100</f>
        <v>0.58843652342357111</v>
      </c>
      <c r="BP8" s="450">
        <f>'C4-Sources'!BD9/'C4-Sources'!$B9*100</f>
        <v>0.25801487257388478</v>
      </c>
      <c r="BQ8" s="450">
        <f>'C4-Sources'!BL9/'C4-Sources'!$B9*100</f>
        <v>3.9729953125796505E-3</v>
      </c>
      <c r="BR8" s="450">
        <f>'C4-Sources'!BT9/'C4-Sources'!$B9*100</f>
        <v>0.16417543004443585</v>
      </c>
    </row>
    <row r="9" spans="1:77" s="173" customFormat="1" ht="6" customHeight="1" x14ac:dyDescent="0.25">
      <c r="A9" s="239"/>
      <c r="B9" s="527"/>
      <c r="C9" s="449"/>
      <c r="D9" s="449"/>
      <c r="E9" s="449"/>
      <c r="F9" s="449"/>
      <c r="G9" s="449"/>
      <c r="H9" s="449"/>
      <c r="I9" s="449"/>
      <c r="J9" s="449"/>
      <c r="K9" s="449"/>
      <c r="L9" s="527"/>
      <c r="M9" s="450"/>
      <c r="N9" s="450"/>
      <c r="O9" s="450"/>
      <c r="P9" s="450"/>
      <c r="Q9" s="450"/>
      <c r="R9" s="450"/>
      <c r="S9" s="450"/>
      <c r="T9" s="451"/>
      <c r="V9" s="527"/>
      <c r="W9" s="450"/>
      <c r="X9" s="450"/>
      <c r="Y9" s="450"/>
      <c r="Z9" s="450"/>
      <c r="AA9" s="450"/>
      <c r="AB9" s="450"/>
      <c r="AC9" s="450"/>
      <c r="AD9" s="451"/>
      <c r="AF9" s="527"/>
      <c r="AG9" s="450"/>
      <c r="AH9" s="450"/>
      <c r="AI9" s="450"/>
      <c r="AJ9" s="450"/>
      <c r="AK9" s="450"/>
      <c r="AL9" s="450"/>
      <c r="AM9" s="450"/>
      <c r="AN9" s="451"/>
      <c r="AP9" s="527"/>
      <c r="AQ9" s="450"/>
      <c r="AR9" s="450"/>
      <c r="AS9" s="450"/>
      <c r="AT9" s="450"/>
      <c r="AU9" s="450"/>
      <c r="AV9" s="450"/>
      <c r="AW9" s="450"/>
      <c r="AX9" s="451"/>
      <c r="AZ9" s="527"/>
      <c r="BA9" s="450"/>
      <c r="BB9" s="450"/>
      <c r="BC9" s="450"/>
      <c r="BD9" s="450"/>
      <c r="BE9" s="450"/>
      <c r="BF9" s="450"/>
      <c r="BG9" s="450"/>
      <c r="BH9" s="451"/>
      <c r="BJ9" s="527"/>
      <c r="BK9" s="450"/>
      <c r="BL9" s="450"/>
      <c r="BM9" s="450"/>
      <c r="BN9" s="450"/>
      <c r="BO9" s="450"/>
      <c r="BP9" s="450"/>
      <c r="BQ9" s="450"/>
      <c r="BR9" s="451"/>
    </row>
    <row r="10" spans="1:77" s="173" customFormat="1" ht="12" x14ac:dyDescent="0.25">
      <c r="A10" s="239">
        <v>1964</v>
      </c>
      <c r="B10" s="528">
        <f>SUM(C10:J10)</f>
        <v>66.47489278464775</v>
      </c>
      <c r="C10" s="450">
        <f>('C4-Sources'!J11-'C4-Sources'!K11)/'C4-Sources'!$B11*100</f>
        <v>43.255258833580349</v>
      </c>
      <c r="D10" s="450">
        <f>('C4-Sources'!R11-'C4-Sources'!S11)/'C4-Sources'!$B11*100</f>
        <v>6.9930355320402136</v>
      </c>
      <c r="E10" s="450">
        <f>('C4-Sources'!Z11-'C4-Sources'!AA11)/'C4-Sources'!$B11*100</f>
        <v>3.8395920299483605E-2</v>
      </c>
      <c r="F10" s="450">
        <f>('C4-Sources'!AH11-'C4-Sources'!AI11)/'C4-Sources'!$B11*100</f>
        <v>1.1216830877584898</v>
      </c>
      <c r="G10" s="450">
        <f>('C4-Sources'!AP11-'C4-Sources'!AQ11)/'C4-Sources'!$B11*100</f>
        <v>1.0250216758098576</v>
      </c>
      <c r="H10" s="450">
        <f>('C4-Sources'!AX11-'C4-Sources'!AY11)/'C4-Sources'!$B11*100</f>
        <v>1.9674175184127813</v>
      </c>
      <c r="I10" s="450">
        <f>('C4-Sources'!BF11-'C4-Sources'!BG11)/'C4-Sources'!$B11*100</f>
        <v>3.4476097574455395</v>
      </c>
      <c r="J10" s="450">
        <f>('C4-Sources'!BN11-'C4-Sources'!BO11)/'C4-Sources'!$B11*100</f>
        <v>8.6264704593010233</v>
      </c>
      <c r="K10" s="449"/>
      <c r="L10" s="528">
        <f>SUM(M10:T10)</f>
        <v>33.525107215352257</v>
      </c>
      <c r="M10" s="450">
        <f>'C4-Sources'!K11/'C4-Sources'!$B11*100</f>
        <v>15.330373403401717</v>
      </c>
      <c r="N10" s="450">
        <f>'C4-Sources'!S11/'C4-Sources'!$B11*100</f>
        <v>3.8086530400504097</v>
      </c>
      <c r="O10" s="450">
        <f>'C4-Sources'!AA11/'C4-Sources'!$B11*100</f>
        <v>2.0523969790562062</v>
      </c>
      <c r="P10" s="450">
        <f>'C4-Sources'!AI11/'C4-Sources'!$B11*100</f>
        <v>1.0818700868425752</v>
      </c>
      <c r="Q10" s="450">
        <f>'C4-Sources'!AQ11/'C4-Sources'!$B11*100</f>
        <v>4.1304941854201918</v>
      </c>
      <c r="R10" s="450">
        <f>'C4-Sources'!AY11/'C4-Sources'!$B11*100</f>
        <v>2.4006973973843482</v>
      </c>
      <c r="S10" s="450">
        <f>'C4-Sources'!BG11/'C4-Sources'!$B11*100</f>
        <v>1.0856436908472182</v>
      </c>
      <c r="T10" s="450">
        <f>'C4-Sources'!BO11/'C4-Sources'!$B11*100</f>
        <v>3.6349784323495977</v>
      </c>
      <c r="V10" s="528">
        <f>SUM(W10:AD10)</f>
        <v>23.575032437249789</v>
      </c>
      <c r="W10" s="450">
        <f>'C4-Sources'!L11/'C4-Sources'!$B11*100</f>
        <v>8.5865277970678218</v>
      </c>
      <c r="X10" s="450">
        <f>'C4-Sources'!T11/'C4-Sources'!$B11*100</f>
        <v>3.2526924501319909</v>
      </c>
      <c r="Y10" s="450">
        <f>'C4-Sources'!AB11/'C4-Sources'!$B11*100</f>
        <v>1.9339845638816047</v>
      </c>
      <c r="Z10" s="450">
        <f>'C4-Sources'!AJ11/'C4-Sources'!$B11*100</f>
        <v>0.90365490250781055</v>
      </c>
      <c r="AA10" s="450">
        <f>'C4-Sources'!AR11/'C4-Sources'!$B11*100</f>
        <v>3.843748947255929</v>
      </c>
      <c r="AB10" s="450">
        <f>'C4-Sources'!AZ11/'C4-Sources'!$B11*100</f>
        <v>2.019542130306899</v>
      </c>
      <c r="AC10" s="450">
        <f>'C4-Sources'!BH11/'C4-Sources'!$B11*100</f>
        <v>0.63835825464932516</v>
      </c>
      <c r="AD10" s="450">
        <f>'C4-Sources'!BP11/'C4-Sources'!$B11*100</f>
        <v>2.3965233914484081</v>
      </c>
      <c r="AF10" s="528">
        <f>SUM(AG10:AN10)</f>
        <v>11.46899307735081</v>
      </c>
      <c r="AG10" s="450">
        <f>'C4-Sources'!M11/'C4-Sources'!$B11*100</f>
        <v>2.0187617659936365</v>
      </c>
      <c r="AH10" s="450">
        <f>'C4-Sources'!U11/'C4-Sources'!$B11*100</f>
        <v>1.8519678876032262</v>
      </c>
      <c r="AI10" s="450">
        <f>'C4-Sources'!AC11/'C4-Sources'!$B11*100</f>
        <v>1.4978658737711641</v>
      </c>
      <c r="AJ10" s="450">
        <f>'C4-Sources'!AK11/'C4-Sources'!$B11*100</f>
        <v>0.54594801443151764</v>
      </c>
      <c r="AK10" s="450">
        <f>'C4-Sources'!AS11/'C4-Sources'!$B11*100</f>
        <v>2.980049688973176</v>
      </c>
      <c r="AL10" s="450">
        <f>'C4-Sources'!BA11/'C4-Sources'!$B11*100</f>
        <v>1.3628139152542382</v>
      </c>
      <c r="AM10" s="450">
        <f>'C4-Sources'!BI11/'C4-Sources'!$B11*100</f>
        <v>0.16059059871217127</v>
      </c>
      <c r="AN10" s="450">
        <f>'C4-Sources'!BQ11/'C4-Sources'!$B11*100</f>
        <v>1.050995332611681</v>
      </c>
      <c r="AP10" s="528">
        <f>SUM(AQ10:AX10)</f>
        <v>8.6731531314557184</v>
      </c>
      <c r="AQ10" s="450">
        <f>'C4-Sources'!N11/'C4-Sources'!$B11*100</f>
        <v>1.1733763260102881</v>
      </c>
      <c r="AR10" s="450">
        <f>'C4-Sources'!V11/'C4-Sources'!$B11*100</f>
        <v>1.1338421019059084</v>
      </c>
      <c r="AS10" s="450">
        <f>'C4-Sources'!AD11/'C4-Sources'!$B11*100</f>
        <v>1.2982341885754372</v>
      </c>
      <c r="AT10" s="450">
        <f>'C4-Sources'!AL11/'C4-Sources'!$B11*100</f>
        <v>0.40962025058193319</v>
      </c>
      <c r="AU10" s="450">
        <f>'C4-Sources'!AT11/'C4-Sources'!$B11*100</f>
        <v>2.5833030938059256</v>
      </c>
      <c r="AV10" s="450">
        <f>'C4-Sources'!BB11/'C4-Sources'!$B11*100</f>
        <v>1.1493521723241511</v>
      </c>
      <c r="AW10" s="450">
        <f>'C4-Sources'!BJ11/'C4-Sources'!$B11*100</f>
        <v>9.4763854144564327E-2</v>
      </c>
      <c r="AX10" s="450">
        <f>'C4-Sources'!BR11/'C4-Sources'!$B11*100</f>
        <v>0.83066114410751024</v>
      </c>
      <c r="AZ10" s="528">
        <f>SUM(BA10:BH10)</f>
        <v>4.3937639023701287</v>
      </c>
      <c r="BA10" s="450">
        <f>'C4-Sources'!O11/'C4-Sources'!$B11*100</f>
        <v>0.34021965986802566</v>
      </c>
      <c r="BB10" s="450">
        <f>'C4-Sources'!W11/'C4-Sources'!$B11*100</f>
        <v>0.27644981008333297</v>
      </c>
      <c r="BC10" s="450">
        <f>'C4-Sources'!AE11/'C4-Sources'!$B11*100</f>
        <v>0.79809273578009288</v>
      </c>
      <c r="BD10" s="450">
        <f>'C4-Sources'!AM11/'C4-Sources'!$B11*100</f>
        <v>0.17460151895721465</v>
      </c>
      <c r="BE10" s="450">
        <f>'C4-Sources'!AU11/'C4-Sources'!$B11*100</f>
        <v>1.6232827018417904</v>
      </c>
      <c r="BF10" s="450">
        <f>'C4-Sources'!BC11/'C4-Sources'!$B11*100</f>
        <v>0.69242965463356088</v>
      </c>
      <c r="BG10" s="450">
        <f>'C4-Sources'!BK11/'C4-Sources'!$B11*100</f>
        <v>2.7584173884903349E-2</v>
      </c>
      <c r="BH10" s="450">
        <f>'C4-Sources'!BS11/'C4-Sources'!$B11*100</f>
        <v>0.46110364732120734</v>
      </c>
      <c r="BJ10" s="528">
        <f>SUM(BK10:BR10)</f>
        <v>1.6493728325148378</v>
      </c>
      <c r="BK10" s="450">
        <f>'C4-Sources'!P11/'C4-Sources'!$B11*100</f>
        <v>4.7060736671323697E-2</v>
      </c>
      <c r="BL10" s="450">
        <f>'C4-Sources'!X11/'C4-Sources'!$B11*100</f>
        <v>2.6609284106098273E-2</v>
      </c>
      <c r="BM10" s="450">
        <f>'C4-Sources'!AF11/'C4-Sources'!$B11*100</f>
        <v>0.32761874196740143</v>
      </c>
      <c r="BN10" s="450">
        <f>'C4-Sources'!AN11/'C4-Sources'!$B11*100</f>
        <v>5.2075962636838814E-2</v>
      </c>
      <c r="BO10" s="450">
        <f>'C4-Sources'!AV11/'C4-Sources'!$B11*100</f>
        <v>0.70349187828826409</v>
      </c>
      <c r="BP10" s="450">
        <f>'C4-Sources'!BD11/'C4-Sources'!$B11*100</f>
        <v>0.29309124744804366</v>
      </c>
      <c r="BQ10" s="450">
        <f>'C4-Sources'!BL11/'C4-Sources'!$B11*100</f>
        <v>4.1666833312039731E-3</v>
      </c>
      <c r="BR10" s="450">
        <f>'C4-Sources'!BT11/'C4-Sources'!$B11*100</f>
        <v>0.19525829806566392</v>
      </c>
      <c r="BS10" s="452"/>
      <c r="BT10" s="452"/>
      <c r="BU10" s="452"/>
      <c r="BV10" s="452"/>
      <c r="BW10" s="452"/>
      <c r="BX10" s="452"/>
      <c r="BY10" s="452"/>
    </row>
    <row r="11" spans="1:77" s="173" customFormat="1" ht="8.25" customHeight="1" x14ac:dyDescent="0.25">
      <c r="A11" s="239"/>
      <c r="B11" s="527"/>
      <c r="C11" s="449"/>
      <c r="D11" s="449"/>
      <c r="E11" s="449"/>
      <c r="F11" s="449"/>
      <c r="G11" s="449"/>
      <c r="H11" s="449"/>
      <c r="I11" s="449"/>
      <c r="J11" s="449"/>
      <c r="K11" s="449"/>
      <c r="L11" s="527"/>
      <c r="M11" s="450"/>
      <c r="N11" s="450"/>
      <c r="O11" s="450"/>
      <c r="P11" s="450"/>
      <c r="Q11" s="450"/>
      <c r="R11" s="450"/>
      <c r="S11" s="450"/>
      <c r="T11" s="451"/>
      <c r="V11" s="527"/>
      <c r="W11" s="450"/>
      <c r="X11" s="450"/>
      <c r="Y11" s="450"/>
      <c r="Z11" s="450"/>
      <c r="AA11" s="450"/>
      <c r="AB11" s="450"/>
      <c r="AC11" s="450"/>
      <c r="AD11" s="451"/>
      <c r="AF11" s="527"/>
      <c r="AG11" s="450"/>
      <c r="AP11" s="527"/>
      <c r="AQ11" s="450"/>
      <c r="AZ11" s="527"/>
      <c r="BA11" s="450"/>
      <c r="BJ11" s="527"/>
      <c r="BK11" s="450"/>
      <c r="BL11" s="450"/>
      <c r="BM11" s="450"/>
      <c r="BN11" s="450"/>
      <c r="BO11" s="450"/>
      <c r="BP11" s="450"/>
      <c r="BQ11" s="450"/>
      <c r="BR11" s="451"/>
      <c r="BS11" s="452"/>
      <c r="BT11" s="452"/>
      <c r="BU11" s="452"/>
      <c r="BV11" s="452"/>
      <c r="BW11" s="452"/>
      <c r="BX11" s="452"/>
      <c r="BY11" s="452"/>
    </row>
    <row r="12" spans="1:77" s="173" customFormat="1" ht="12" x14ac:dyDescent="0.25">
      <c r="A12" s="239">
        <v>1966</v>
      </c>
      <c r="B12" s="528">
        <f>SUM(C12:J12)</f>
        <v>66.138939005123888</v>
      </c>
      <c r="C12" s="450">
        <f>('C4-Sources'!J13-'C4-Sources'!K13)/'C4-Sources'!$B13*100</f>
        <v>45.280508221581897</v>
      </c>
      <c r="D12" s="450">
        <f>('C4-Sources'!R13-'C4-Sources'!S13)/'C4-Sources'!$B13*100</f>
        <v>5.2233759060709488</v>
      </c>
      <c r="E12" s="450">
        <f>('C4-Sources'!Z13-'C4-Sources'!AA13)/'C4-Sources'!$B13*100</f>
        <v>0.31148666270773334</v>
      </c>
      <c r="F12" s="450">
        <f>('C4-Sources'!AH13-'C4-Sources'!AI13)/'C4-Sources'!$B13*100</f>
        <v>0.97116762950963442</v>
      </c>
      <c r="G12" s="450">
        <f>('C4-Sources'!AP13-'C4-Sources'!AQ13)/'C4-Sources'!$B13*100</f>
        <v>1.3072778043077187</v>
      </c>
      <c r="H12" s="450">
        <f>('C4-Sources'!AX13-'C4-Sources'!AY13)/'C4-Sources'!$B13*100</f>
        <v>2.1715652361383566</v>
      </c>
      <c r="I12" s="450">
        <f>('C4-Sources'!BF13-'C4-Sources'!BG13)/'C4-Sources'!$B13*100</f>
        <v>3.4398853621476841</v>
      </c>
      <c r="J12" s="450">
        <f>('C4-Sources'!BN13-'C4-Sources'!BO13)/'C4-Sources'!$B13*100</f>
        <v>7.4336721826599046</v>
      </c>
      <c r="K12" s="449"/>
      <c r="L12" s="528">
        <f>SUM(M12:T12)</f>
        <v>33.861060994876134</v>
      </c>
      <c r="M12" s="450">
        <f>'C4-Sources'!K13/'C4-Sources'!$B13*100</f>
        <v>13.72390733960342</v>
      </c>
      <c r="N12" s="450">
        <f>'C4-Sources'!S13/'C4-Sources'!$B13*100</f>
        <v>5.2898669331738493</v>
      </c>
      <c r="O12" s="450">
        <f>'C4-Sources'!AA13/'C4-Sources'!$B13*100</f>
        <v>2.1780111097643329</v>
      </c>
      <c r="P12" s="450">
        <f>'C4-Sources'!AI13/'C4-Sources'!$B13*100</f>
        <v>1.2038669781211053</v>
      </c>
      <c r="Q12" s="450">
        <f>'C4-Sources'!AQ13/'C4-Sources'!$B13*100</f>
        <v>4.4689290418162306</v>
      </c>
      <c r="R12" s="450">
        <f>'C4-Sources'!AY13/'C4-Sources'!$B13*100</f>
        <v>2.3070063417468787</v>
      </c>
      <c r="S12" s="450">
        <f>'C4-Sources'!BG13/'C4-Sources'!$B13*100</f>
        <v>0.95014026005460117</v>
      </c>
      <c r="T12" s="450">
        <f>'C4-Sources'!BO13/'C4-Sources'!$B13*100</f>
        <v>3.7393329905957131</v>
      </c>
      <c r="V12" s="528">
        <f>SUM(W12:AD12)</f>
        <v>23.793449356591907</v>
      </c>
      <c r="W12" s="450">
        <f>'C4-Sources'!L13/'C4-Sources'!$B13*100</f>
        <v>7.4250817630662587</v>
      </c>
      <c r="X12" s="450">
        <f>'C4-Sources'!T13/'C4-Sources'!$B13*100</f>
        <v>4.2742469723256598</v>
      </c>
      <c r="Y12" s="450">
        <f>'C4-Sources'!AB13/'C4-Sources'!$B13*100</f>
        <v>2.0347200680495066</v>
      </c>
      <c r="Z12" s="450">
        <f>'C4-Sources'!AJ13/'C4-Sources'!$B13*100</f>
        <v>1.0030817560549705</v>
      </c>
      <c r="AA12" s="450">
        <f>'C4-Sources'!AR13/'C4-Sources'!$B13*100</f>
        <v>4.101052733558932</v>
      </c>
      <c r="AB12" s="450">
        <f>'C4-Sources'!AZ13/'C4-Sources'!$B13*100</f>
        <v>1.9154584386478841</v>
      </c>
      <c r="AC12" s="450">
        <f>'C4-Sources'!BH13/'C4-Sources'!$B13*100</f>
        <v>0.53724909397206499</v>
      </c>
      <c r="AD12" s="450">
        <f>'C4-Sources'!BP13/'C4-Sources'!$B13*100</f>
        <v>2.5025585309166281</v>
      </c>
      <c r="AF12" s="528">
        <f>SUM(AG12:AN12)</f>
        <v>11.515736868552764</v>
      </c>
      <c r="AG12" s="450">
        <f>'C4-Sources'!M13/'C4-Sources'!$B13*100</f>
        <v>1.8322106342755309</v>
      </c>
      <c r="AH12" s="450">
        <f>'C4-Sources'!U13/'C4-Sources'!$B13*100</f>
        <v>1.9941863410851615</v>
      </c>
      <c r="AI12" s="450">
        <f>'C4-Sources'!AC13/'C4-Sources'!$B13*100</f>
        <v>1.5494459356396726</v>
      </c>
      <c r="AJ12" s="450">
        <f>'C4-Sources'!AK13/'C4-Sources'!$B13*100</f>
        <v>0.58565272095081056</v>
      </c>
      <c r="AK12" s="450">
        <f>'C4-Sources'!AS13/'C4-Sources'!$B13*100</f>
        <v>3.0739329955735424</v>
      </c>
      <c r="AL12" s="450">
        <f>'C4-Sources'!BA13/'C4-Sources'!$B13*100</f>
        <v>1.2567121124406477</v>
      </c>
      <c r="AM12" s="450">
        <f>'C4-Sources'!BI13/'C4-Sources'!$B13*100</f>
        <v>0.14966498474591444</v>
      </c>
      <c r="AN12" s="450">
        <f>'C4-Sources'!BQ13/'C4-Sources'!$B13*100</f>
        <v>1.0739311438414836</v>
      </c>
      <c r="AP12" s="528">
        <f>SUM(AQ12:AX12)</f>
        <v>8.5173935219837666</v>
      </c>
      <c r="AQ12" s="450">
        <f>'C4-Sources'!N13/'C4-Sources'!$B13*100</f>
        <v>1.0669471317408863</v>
      </c>
      <c r="AR12" s="450">
        <f>'C4-Sources'!V13/'C4-Sources'!$B13*100</f>
        <v>1.2713464650295248</v>
      </c>
      <c r="AS12" s="450">
        <f>'C4-Sources'!AD13/'C4-Sources'!$B13*100</f>
        <v>1.3022772113882353</v>
      </c>
      <c r="AT12" s="450">
        <f>'C4-Sources'!AL13/'C4-Sources'!$B13*100</f>
        <v>0.42824212961289304</v>
      </c>
      <c r="AU12" s="450">
        <f>'C4-Sources'!AT13/'C4-Sources'!$B13*100</f>
        <v>2.5860648862330078</v>
      </c>
      <c r="AV12" s="450">
        <f>'C4-Sources'!BB13/'C4-Sources'!$B13*100</f>
        <v>1.0264703135654025</v>
      </c>
      <c r="AW12" s="450">
        <f>'C4-Sources'!BJ13/'C4-Sources'!$B13*100</f>
        <v>9.0026456069604133E-2</v>
      </c>
      <c r="AX12" s="450">
        <f>'C4-Sources'!BR13/'C4-Sources'!$B13*100</f>
        <v>0.74601892834421224</v>
      </c>
      <c r="AZ12" s="528">
        <f>SUM(BA12:BH12)</f>
        <v>4.3490570842070992</v>
      </c>
      <c r="BA12" s="450">
        <f>'C4-Sources'!O13/'C4-Sources'!$B13*100</f>
        <v>0.30447768512723211</v>
      </c>
      <c r="BB12" s="450">
        <f>'C4-Sources'!W13/'C4-Sources'!$B13*100</f>
        <v>0.45019274221759037</v>
      </c>
      <c r="BC12" s="450">
        <f>'C4-Sources'!AE13/'C4-Sources'!$B13*100</f>
        <v>0.78823511075583264</v>
      </c>
      <c r="BD12" s="450">
        <f>'C4-Sources'!AM13/'C4-Sources'!$B13*100</f>
        <v>0.19601887628109657</v>
      </c>
      <c r="BE12" s="450">
        <f>'C4-Sources'!AU13/'C4-Sources'!$B13*100</f>
        <v>1.6008266718157753</v>
      </c>
      <c r="BF12" s="450">
        <f>'C4-Sources'!BC13/'C4-Sources'!$B13*100</f>
        <v>0.61064607965691198</v>
      </c>
      <c r="BG12" s="450">
        <f>'C4-Sources'!BK13/'C4-Sources'!$B13*100</f>
        <v>2.6487444435163158E-2</v>
      </c>
      <c r="BH12" s="450">
        <f>'C4-Sources'!BS13/'C4-Sources'!$B13*100</f>
        <v>0.37217247391749708</v>
      </c>
      <c r="BJ12" s="528">
        <f>SUM(BK12:BR12)</f>
        <v>1.5954115457736262</v>
      </c>
      <c r="BK12" s="450">
        <f>'C4-Sources'!P13/'C4-Sources'!$B13*100</f>
        <v>4.380509960120102E-2</v>
      </c>
      <c r="BL12" s="450">
        <f>'C4-Sources'!X13/'C4-Sources'!$B13*100</f>
        <v>0.10104749270201294</v>
      </c>
      <c r="BM12" s="450">
        <f>'C4-Sources'!AF13/'C4-Sources'!$B13*100</f>
        <v>0.32178257960176115</v>
      </c>
      <c r="BN12" s="450">
        <f>'C4-Sources'!AN13/'C4-Sources'!$B13*100</f>
        <v>5.8203158407335531E-2</v>
      </c>
      <c r="BO12" s="450">
        <f>'C4-Sources'!AV13/'C4-Sources'!$B13*100</f>
        <v>0.67006583805946762</v>
      </c>
      <c r="BP12" s="450">
        <f>'C4-Sources'!BD13/'C4-Sources'!$B13*100</f>
        <v>0.24822281898794193</v>
      </c>
      <c r="BQ12" s="450">
        <f>'C4-Sources'!BL13/'C4-Sources'!$B13*100</f>
        <v>3.844265339639801E-3</v>
      </c>
      <c r="BR12" s="450">
        <f>'C4-Sources'!BT13/'C4-Sources'!$B13*100</f>
        <v>0.14844029307426629</v>
      </c>
      <c r="BS12" s="453"/>
      <c r="BT12" s="453"/>
      <c r="BU12" s="453"/>
      <c r="BV12" s="453"/>
      <c r="BW12" s="454"/>
      <c r="BX12" s="452"/>
      <c r="BY12" s="452"/>
    </row>
    <row r="13" spans="1:77" s="173" customFormat="1" ht="12" x14ac:dyDescent="0.25">
      <c r="A13" s="239">
        <v>1967</v>
      </c>
      <c r="B13" s="528">
        <f t="shared" ref="B13:B52" si="0">SUM(C13:J13)</f>
        <v>66.275455804446551</v>
      </c>
      <c r="C13" s="450">
        <f>('C4-Sources'!J14-'C4-Sources'!K14)/'C4-Sources'!$B14*100</f>
        <v>45.963128715128676</v>
      </c>
      <c r="D13" s="450">
        <f>('C4-Sources'!R14-'C4-Sources'!S14)/'C4-Sources'!$B14*100</f>
        <v>5.0395753768722118</v>
      </c>
      <c r="E13" s="450">
        <f>('C4-Sources'!Z14-'C4-Sources'!AA14)/'C4-Sources'!$B14*100</f>
        <v>0.30278154146330449</v>
      </c>
      <c r="F13" s="450">
        <f>('C4-Sources'!AH14-'C4-Sources'!AI14)/'C4-Sources'!$B14*100</f>
        <v>1.1059009240230204</v>
      </c>
      <c r="G13" s="450">
        <f>('C4-Sources'!AP14-'C4-Sources'!AQ14)/'C4-Sources'!$B14*100</f>
        <v>1.1684798135403194</v>
      </c>
      <c r="H13" s="450">
        <f>('C4-Sources'!AX14-'C4-Sources'!AY14)/'C4-Sources'!$B14*100</f>
        <v>1.9355551189978166</v>
      </c>
      <c r="I13" s="450">
        <f>('C4-Sources'!BF14-'C4-Sources'!BG14)/'C4-Sources'!$B14*100</f>
        <v>3.6014615093665201</v>
      </c>
      <c r="J13" s="450">
        <f>('C4-Sources'!BN14-'C4-Sources'!BO14)/'C4-Sources'!$B14*100</f>
        <v>7.1585728050546766</v>
      </c>
      <c r="K13" s="449"/>
      <c r="L13" s="528">
        <f t="shared" ref="L13:L52" si="1">SUM(M13:T13)</f>
        <v>33.724544195553463</v>
      </c>
      <c r="M13" s="450">
        <f>'C4-Sources'!K14/'C4-Sources'!$B14*100</f>
        <v>13.925527104492334</v>
      </c>
      <c r="N13" s="450">
        <f>'C4-Sources'!S14/'C4-Sources'!$B14*100</f>
        <v>5.095886676706356</v>
      </c>
      <c r="O13" s="450">
        <f>'C4-Sources'!AA14/'C4-Sources'!$B14*100</f>
        <v>2.1021188758015605</v>
      </c>
      <c r="P13" s="450">
        <f>'C4-Sources'!AI14/'C4-Sources'!$B14*100</f>
        <v>1.2366797582830318</v>
      </c>
      <c r="Q13" s="450">
        <f>'C4-Sources'!AQ14/'C4-Sources'!$B14*100</f>
        <v>4.0218831524291714</v>
      </c>
      <c r="R13" s="450">
        <f>'C4-Sources'!AY14/'C4-Sources'!$B14*100</f>
        <v>2.1412811595161725</v>
      </c>
      <c r="S13" s="450">
        <f>'C4-Sources'!BG14/'C4-Sources'!$B14*100</f>
        <v>1.0022357582070036</v>
      </c>
      <c r="T13" s="450">
        <f>'C4-Sources'!BO14/'C4-Sources'!$B14*100</f>
        <v>4.1989317101178321</v>
      </c>
      <c r="V13" s="528">
        <f t="shared" ref="V13:V52" si="2">SUM(W13:AD13)</f>
        <v>23.586399163760031</v>
      </c>
      <c r="W13" s="450">
        <f>'C4-Sources'!L14/'C4-Sources'!$B14*100</f>
        <v>7.6316302066743686</v>
      </c>
      <c r="X13" s="450">
        <f>'C4-Sources'!T14/'C4-Sources'!$B14*100</f>
        <v>4.0866456555469037</v>
      </c>
      <c r="Y13" s="450">
        <f>'C4-Sources'!AB14/'C4-Sources'!$B14*100</f>
        <v>1.9584740423019806</v>
      </c>
      <c r="Z13" s="450">
        <f>'C4-Sources'!AJ14/'C4-Sources'!$B14*100</f>
        <v>1.0111838239914821</v>
      </c>
      <c r="AA13" s="450">
        <f>'C4-Sources'!AR14/'C4-Sources'!$B14*100</f>
        <v>3.676727580056137</v>
      </c>
      <c r="AB13" s="450">
        <f>'C4-Sources'!AZ14/'C4-Sources'!$B14*100</f>
        <v>1.7865475949048162</v>
      </c>
      <c r="AC13" s="450">
        <f>'C4-Sources'!BH14/'C4-Sources'!$B14*100</f>
        <v>0.5705588221753829</v>
      </c>
      <c r="AD13" s="450">
        <f>'C4-Sources'!BP14/'C4-Sources'!$B14*100</f>
        <v>2.8646314381089568</v>
      </c>
      <c r="AF13" s="528">
        <f t="shared" ref="AF13:AF52" si="3">SUM(AG13:AN13)</f>
        <v>11.224971747213814</v>
      </c>
      <c r="AG13" s="450">
        <f>'C4-Sources'!M14/'C4-Sources'!$B14*100</f>
        <v>1.8523038398883716</v>
      </c>
      <c r="AH13" s="450">
        <f>'C4-Sources'!U14/'C4-Sources'!$B14*100</f>
        <v>1.9153566138722873</v>
      </c>
      <c r="AI13" s="450">
        <f>'C4-Sources'!AC14/'C4-Sources'!$B14*100</f>
        <v>1.5132871921034741</v>
      </c>
      <c r="AJ13" s="450">
        <f>'C4-Sources'!AK14/'C4-Sources'!$B14*100</f>
        <v>0.61080137134455614</v>
      </c>
      <c r="AK13" s="450">
        <f>'C4-Sources'!AS14/'C4-Sources'!$B14*100</f>
        <v>2.752988505381778</v>
      </c>
      <c r="AL13" s="450">
        <f>'C4-Sources'!BA14/'C4-Sources'!$B14*100</f>
        <v>1.1920304371798851</v>
      </c>
      <c r="AM13" s="450">
        <f>'C4-Sources'!BI14/'C4-Sources'!$B14*100</f>
        <v>0.16119434690220952</v>
      </c>
      <c r="AN13" s="450">
        <f>'C4-Sources'!BQ14/'C4-Sources'!$B14*100</f>
        <v>1.2270094405412524</v>
      </c>
      <c r="AP13" s="528">
        <f t="shared" ref="AP13:AP52" si="4">SUM(AQ13:AX13)</f>
        <v>8.3069519532102216</v>
      </c>
      <c r="AQ13" s="450">
        <f>'C4-Sources'!N14/'C4-Sources'!$B14*100</f>
        <v>1.0799580642366198</v>
      </c>
      <c r="AR13" s="450">
        <f>'C4-Sources'!V14/'C4-Sources'!$B14*100</f>
        <v>1.2169521573715589</v>
      </c>
      <c r="AS13" s="450">
        <f>'C4-Sources'!AD14/'C4-Sources'!$B14*100</f>
        <v>1.2806187330220709</v>
      </c>
      <c r="AT13" s="450">
        <f>'C4-Sources'!AL14/'C4-Sources'!$B14*100</f>
        <v>0.45184955129991788</v>
      </c>
      <c r="AU13" s="450">
        <f>'C4-Sources'!AT14/'C4-Sources'!$B14*100</f>
        <v>2.3326008942533458</v>
      </c>
      <c r="AV13" s="450">
        <f>'C4-Sources'!BB14/'C4-Sources'!$B14*100</f>
        <v>0.984780370235256</v>
      </c>
      <c r="AW13" s="450">
        <f>'C4-Sources'!BJ14/'C4-Sources'!$B14*100</f>
        <v>9.4690470655779999E-2</v>
      </c>
      <c r="AX13" s="450">
        <f>'C4-Sources'!BR14/'C4-Sources'!$B14*100</f>
        <v>0.86550171213567295</v>
      </c>
      <c r="AZ13" s="528">
        <f t="shared" ref="AZ13:AZ52" si="5">SUM(BA13:BH13)</f>
        <v>4.1433096670442859</v>
      </c>
      <c r="BA13" s="450">
        <f>'C4-Sources'!O14/'C4-Sources'!$B14*100</f>
        <v>0.29408557062281271</v>
      </c>
      <c r="BB13" s="450">
        <f>'C4-Sources'!W14/'C4-Sources'!$B14*100</f>
        <v>0.42790115669574402</v>
      </c>
      <c r="BC13" s="450">
        <f>'C4-Sources'!AE14/'C4-Sources'!$B14*100</f>
        <v>0.77312807359841595</v>
      </c>
      <c r="BD13" s="450">
        <f>'C4-Sources'!AM14/'C4-Sources'!$B14*100</f>
        <v>0.20480869171354055</v>
      </c>
      <c r="BE13" s="450">
        <f>'C4-Sources'!AU14/'C4-Sources'!$B14*100</f>
        <v>1.4152373090641874</v>
      </c>
      <c r="BF13" s="450">
        <f>'C4-Sources'!BC14/'C4-Sources'!$B14*100</f>
        <v>0.57687653797600358</v>
      </c>
      <c r="BG13" s="450">
        <f>'C4-Sources'!BK14/'C4-Sources'!$B14*100</f>
        <v>3.0001670139675481E-2</v>
      </c>
      <c r="BH13" s="450">
        <f>'C4-Sources'!BS14/'C4-Sources'!$B14*100</f>
        <v>0.42127065723390544</v>
      </c>
      <c r="BJ13" s="528">
        <f t="shared" ref="BJ13:BJ52" si="6">SUM(BK13:BR13)</f>
        <v>1.4946816378779584</v>
      </c>
      <c r="BK13" s="450">
        <f>'C4-Sources'!P14/'C4-Sources'!$B14*100</f>
        <v>4.5136208930576745E-2</v>
      </c>
      <c r="BL13" s="450">
        <f>'C4-Sources'!X14/'C4-Sources'!$B14*100</f>
        <v>0.10207292503295411</v>
      </c>
      <c r="BM13" s="450">
        <f>'C4-Sources'!AF14/'C4-Sources'!$B14*100</f>
        <v>0.30801830027837823</v>
      </c>
      <c r="BN13" s="450">
        <f>'C4-Sources'!AN14/'C4-Sources'!$B14*100</f>
        <v>6.1410655967453286E-2</v>
      </c>
      <c r="BO13" s="450">
        <f>'C4-Sources'!AV14/'C4-Sources'!$B14*100</f>
        <v>0.58062738665298286</v>
      </c>
      <c r="BP13" s="450">
        <f>'C4-Sources'!BD14/'C4-Sources'!$B14*100</f>
        <v>0.23117025003118022</v>
      </c>
      <c r="BQ13" s="450">
        <f>'C4-Sources'!BL14/'C4-Sources'!$B14*100</f>
        <v>4.0943786648196395E-3</v>
      </c>
      <c r="BR13" s="450">
        <f>'C4-Sources'!BT14/'C4-Sources'!$B14*100</f>
        <v>0.1621515323196131</v>
      </c>
      <c r="BS13" s="453"/>
      <c r="BT13" s="453"/>
      <c r="BU13" s="453"/>
      <c r="BV13" s="453"/>
      <c r="BW13" s="454"/>
      <c r="BX13" s="452"/>
      <c r="BY13" s="452"/>
    </row>
    <row r="14" spans="1:77" s="173" customFormat="1" ht="12" x14ac:dyDescent="0.25">
      <c r="A14" s="239">
        <v>1968</v>
      </c>
      <c r="B14" s="528">
        <f t="shared" si="0"/>
        <v>66.5324003892013</v>
      </c>
      <c r="C14" s="450">
        <f>('C4-Sources'!J15-'C4-Sources'!K15)/'C4-Sources'!$B15*100</f>
        <v>46.453239623521689</v>
      </c>
      <c r="D14" s="450">
        <f>('C4-Sources'!R15-'C4-Sources'!S15)/'C4-Sources'!$B15*100</f>
        <v>4.7621666618962273</v>
      </c>
      <c r="E14" s="450">
        <f>('C4-Sources'!Z15-'C4-Sources'!AA15)/'C4-Sources'!$B15*100</f>
        <v>0.30793993014114379</v>
      </c>
      <c r="F14" s="450">
        <f>('C4-Sources'!AH15-'C4-Sources'!AI15)/'C4-Sources'!$B15*100</f>
        <v>1.1285685134504144</v>
      </c>
      <c r="G14" s="450">
        <f>('C4-Sources'!AP15-'C4-Sources'!AQ15)/'C4-Sources'!$B15*100</f>
        <v>1.0472007480144274</v>
      </c>
      <c r="H14" s="450">
        <f>('C4-Sources'!AX15-'C4-Sources'!AY15)/'C4-Sources'!$B15*100</f>
        <v>2.0847032968055692</v>
      </c>
      <c r="I14" s="450">
        <f>('C4-Sources'!BF15-'C4-Sources'!BG15)/'C4-Sources'!$B15*100</f>
        <v>3.5005471430046771</v>
      </c>
      <c r="J14" s="450">
        <f>('C4-Sources'!BN15-'C4-Sources'!BO15)/'C4-Sources'!$B15*100</f>
        <v>7.2480344723671486</v>
      </c>
      <c r="K14" s="449"/>
      <c r="L14" s="528">
        <f t="shared" si="1"/>
        <v>33.467599610798707</v>
      </c>
      <c r="M14" s="450">
        <f>'C4-Sources'!K15/'C4-Sources'!$B15*100</f>
        <v>13.891418620793205</v>
      </c>
      <c r="N14" s="450">
        <f>'C4-Sources'!S15/'C4-Sources'!$B15*100</f>
        <v>5.0524460700845664</v>
      </c>
      <c r="O14" s="450">
        <f>'C4-Sources'!AA15/'C4-Sources'!$B15*100</f>
        <v>2.1025405992690884</v>
      </c>
      <c r="P14" s="450">
        <f>'C4-Sources'!AI15/'C4-Sources'!$B15*100</f>
        <v>1.2656870648572511</v>
      </c>
      <c r="Q14" s="450">
        <f>'C4-Sources'!AQ15/'C4-Sources'!$B15*100</f>
        <v>3.5899198148023426</v>
      </c>
      <c r="R14" s="450">
        <f>'C4-Sources'!AY15/'C4-Sources'!$B15*100</f>
        <v>2.3817581534464116</v>
      </c>
      <c r="S14" s="450">
        <f>'C4-Sources'!BG15/'C4-Sources'!$B15*100</f>
        <v>0.95014495220524176</v>
      </c>
      <c r="T14" s="450">
        <f>'C4-Sources'!BO15/'C4-Sources'!$B15*100</f>
        <v>4.2336843353405991</v>
      </c>
      <c r="V14" s="528">
        <f t="shared" si="2"/>
        <v>23.401001488263724</v>
      </c>
      <c r="W14" s="450">
        <f>'C4-Sources'!L15/'C4-Sources'!$B15*100</f>
        <v>7.5855773239292237</v>
      </c>
      <c r="X14" s="450">
        <f>'C4-Sources'!T15/'C4-Sources'!$B15*100</f>
        <v>4.0734649408908519</v>
      </c>
      <c r="Y14" s="450">
        <f>'C4-Sources'!AB15/'C4-Sources'!$B15*100</f>
        <v>1.953833375564457</v>
      </c>
      <c r="Z14" s="450">
        <f>'C4-Sources'!AJ15/'C4-Sources'!$B15*100</f>
        <v>1.0510579358816201</v>
      </c>
      <c r="AA14" s="450">
        <f>'C4-Sources'!AR15/'C4-Sources'!$B15*100</f>
        <v>3.2743342220542906</v>
      </c>
      <c r="AB14" s="450">
        <f>'C4-Sources'!AZ15/'C4-Sources'!$B15*100</f>
        <v>1.9982612005482929</v>
      </c>
      <c r="AC14" s="450">
        <f>'C4-Sources'!BH15/'C4-Sources'!$B15*100</f>
        <v>0.55489845687942374</v>
      </c>
      <c r="AD14" s="450">
        <f>'C4-Sources'!BP15/'C4-Sources'!$B15*100</f>
        <v>2.9095740325155646</v>
      </c>
      <c r="AF14" s="528">
        <f t="shared" si="3"/>
        <v>11.145129761914907</v>
      </c>
      <c r="AG14" s="450">
        <f>'C4-Sources'!M15/'C4-Sources'!$B15*100</f>
        <v>1.8060348130846042</v>
      </c>
      <c r="AH14" s="450">
        <f>'C4-Sources'!U15/'C4-Sources'!$B15*100</f>
        <v>2.0093691772035447</v>
      </c>
      <c r="AI14" s="450">
        <f>'C4-Sources'!AC15/'C4-Sources'!$B15*100</f>
        <v>1.4855443668735651</v>
      </c>
      <c r="AJ14" s="450">
        <f>'C4-Sources'!AK15/'C4-Sources'!$B15*100</f>
        <v>0.61797630676723292</v>
      </c>
      <c r="AK14" s="450">
        <f>'C4-Sources'!AS15/'C4-Sources'!$B15*100</f>
        <v>2.4360591669406229</v>
      </c>
      <c r="AL14" s="450">
        <f>'C4-Sources'!BA15/'C4-Sources'!$B15*100</f>
        <v>1.3333382083190479</v>
      </c>
      <c r="AM14" s="450">
        <f>'C4-Sources'!BI15/'C4-Sources'!$B15*100</f>
        <v>0.142062251450778</v>
      </c>
      <c r="AN14" s="450">
        <f>'C4-Sources'!BQ15/'C4-Sources'!$B15*100</f>
        <v>1.314745471275512</v>
      </c>
      <c r="AP14" s="528">
        <f t="shared" si="4"/>
        <v>8.2980990452615284</v>
      </c>
      <c r="AQ14" s="450">
        <f>'C4-Sources'!N15/'C4-Sources'!$B15*100</f>
        <v>1.0681534713967558</v>
      </c>
      <c r="AR14" s="450">
        <f>'C4-Sources'!V15/'C4-Sources'!$B15*100</f>
        <v>1.3021274699824734</v>
      </c>
      <c r="AS14" s="450">
        <f>'C4-Sources'!AD15/'C4-Sources'!$B15*100</f>
        <v>1.2619622518554636</v>
      </c>
      <c r="AT14" s="450">
        <f>'C4-Sources'!AL15/'C4-Sources'!$B15*100</f>
        <v>0.45672102941140774</v>
      </c>
      <c r="AU14" s="450">
        <f>'C4-Sources'!AT15/'C4-Sources'!$B15*100</f>
        <v>2.0671215311247968</v>
      </c>
      <c r="AV14" s="450">
        <f>'C4-Sources'!BB15/'C4-Sources'!$B15*100</f>
        <v>1.1061980189392515</v>
      </c>
      <c r="AW14" s="450">
        <f>'C4-Sources'!BJ15/'C4-Sources'!$B15*100</f>
        <v>8.6701707814773127E-2</v>
      </c>
      <c r="AX14" s="450">
        <f>'C4-Sources'!BR15/'C4-Sources'!$B15*100</f>
        <v>0.94911356473660702</v>
      </c>
      <c r="AZ14" s="528">
        <f t="shared" si="5"/>
        <v>4.1901963530445077</v>
      </c>
      <c r="BA14" s="450">
        <f>'C4-Sources'!O15/'C4-Sources'!$B15*100</f>
        <v>0.29171469733085886</v>
      </c>
      <c r="BB14" s="450">
        <f>'C4-Sources'!W15/'C4-Sources'!$B15*100</f>
        <v>0.44528774673042726</v>
      </c>
      <c r="BC14" s="450">
        <f>'C4-Sources'!AE15/'C4-Sources'!$B15*100</f>
        <v>0.78741999294419607</v>
      </c>
      <c r="BD14" s="450">
        <f>'C4-Sources'!AM15/'C4-Sources'!$B15*100</f>
        <v>0.20752600106179919</v>
      </c>
      <c r="BE14" s="450">
        <f>'C4-Sources'!AU15/'C4-Sources'!$B15*100</f>
        <v>1.2881170624322069</v>
      </c>
      <c r="BF14" s="450">
        <f>'C4-Sources'!BC15/'C4-Sources'!$B15*100</f>
        <v>0.6668155507100374</v>
      </c>
      <c r="BG14" s="450">
        <f>'C4-Sources'!BK15/'C4-Sources'!$B15*100</f>
        <v>2.6348504751555778E-2</v>
      </c>
      <c r="BH14" s="450">
        <f>'C4-Sources'!BS15/'C4-Sources'!$B15*100</f>
        <v>0.4769667970834261</v>
      </c>
      <c r="BJ14" s="528">
        <f t="shared" si="6"/>
        <v>1.4749399793000779</v>
      </c>
      <c r="BK14" s="450">
        <f>'C4-Sources'!P15/'C4-Sources'!$B15*100</f>
        <v>4.7418969977901369E-2</v>
      </c>
      <c r="BL14" s="450">
        <f>'C4-Sources'!X15/'C4-Sources'!$B15*100</f>
        <v>0.11885449048105814</v>
      </c>
      <c r="BM14" s="450">
        <f>'C4-Sources'!AF15/'C4-Sources'!$B15*100</f>
        <v>0.29217745670067202</v>
      </c>
      <c r="BN14" s="450">
        <f>'C4-Sources'!AN15/'C4-Sources'!$B15*100</f>
        <v>6.5716806440442269E-2</v>
      </c>
      <c r="BO14" s="450">
        <f>'C4-Sources'!AV15/'C4-Sources'!$B15*100</f>
        <v>0.50566087221395273</v>
      </c>
      <c r="BP14" s="450">
        <f>'C4-Sources'!BD15/'C4-Sources'!$B15*100</f>
        <v>0.25765433904238239</v>
      </c>
      <c r="BQ14" s="450">
        <f>'C4-Sources'!BL15/'C4-Sources'!$B15*100</f>
        <v>4.1941841707275884E-3</v>
      </c>
      <c r="BR14" s="450">
        <f>'C4-Sources'!BT15/'C4-Sources'!$B15*100</f>
        <v>0.18326286027294134</v>
      </c>
      <c r="BS14" s="453"/>
      <c r="BT14" s="453"/>
      <c r="BU14" s="453"/>
      <c r="BV14" s="453"/>
      <c r="BW14" s="454"/>
      <c r="BX14" s="452"/>
      <c r="BY14" s="452"/>
    </row>
    <row r="15" spans="1:77" s="173" customFormat="1" ht="12" x14ac:dyDescent="0.25">
      <c r="A15" s="239">
        <v>1969</v>
      </c>
      <c r="B15" s="528">
        <f t="shared" si="0"/>
        <v>67.641750559067404</v>
      </c>
      <c r="C15" s="450">
        <f>('C4-Sources'!J16-'C4-Sources'!K16)/'C4-Sources'!$B16*100</f>
        <v>47.18512660889688</v>
      </c>
      <c r="D15" s="450">
        <f>('C4-Sources'!R16-'C4-Sources'!S16)/'C4-Sources'!$B16*100</f>
        <v>4.6535075270787694</v>
      </c>
      <c r="E15" s="450">
        <f>('C4-Sources'!Z16-'C4-Sources'!AA16)/'C4-Sources'!$B16*100</f>
        <v>0.35900198727852578</v>
      </c>
      <c r="F15" s="450">
        <f>('C4-Sources'!AH16-'C4-Sources'!AI16)/'C4-Sources'!$B16*100</f>
        <v>1.28770749137796</v>
      </c>
      <c r="G15" s="450">
        <f>('C4-Sources'!AP16-'C4-Sources'!AQ16)/'C4-Sources'!$B16*100</f>
        <v>1.0064160407614071</v>
      </c>
      <c r="H15" s="450">
        <f>('C4-Sources'!AX16-'C4-Sources'!AY16)/'C4-Sources'!$B16*100</f>
        <v>2.0860538343773616</v>
      </c>
      <c r="I15" s="450">
        <f>('C4-Sources'!BF16-'C4-Sources'!BG16)/'C4-Sources'!$B16*100</f>
        <v>3.7158443318262111</v>
      </c>
      <c r="J15" s="450">
        <f>('C4-Sources'!BN16-'C4-Sources'!BO16)/'C4-Sources'!$B16*100</f>
        <v>7.3480927374702896</v>
      </c>
      <c r="K15" s="449"/>
      <c r="L15" s="528">
        <f t="shared" si="1"/>
        <v>32.358249440932589</v>
      </c>
      <c r="M15" s="450">
        <f>'C4-Sources'!K16/'C4-Sources'!$B16*100</f>
        <v>14.270281894427248</v>
      </c>
      <c r="N15" s="450">
        <f>'C4-Sources'!S16/'C4-Sources'!$B16*100</f>
        <v>4.7897457783351376</v>
      </c>
      <c r="O15" s="450">
        <f>'C4-Sources'!AA16/'C4-Sources'!$B16*100</f>
        <v>1.9035406966554616</v>
      </c>
      <c r="P15" s="450">
        <f>'C4-Sources'!AI16/'C4-Sources'!$B16*100</f>
        <v>1.298389520015065</v>
      </c>
      <c r="Q15" s="450">
        <f>'C4-Sources'!AQ16/'C4-Sources'!$B16*100</f>
        <v>2.7956091748430838</v>
      </c>
      <c r="R15" s="450">
        <f>'C4-Sources'!AY16/'C4-Sources'!$B16*100</f>
        <v>2.0225791456902051</v>
      </c>
      <c r="S15" s="450">
        <f>'C4-Sources'!BG16/'C4-Sources'!$B16*100</f>
        <v>1.052515240755562</v>
      </c>
      <c r="T15" s="450">
        <f>'C4-Sources'!BO16/'C4-Sources'!$B16*100</f>
        <v>4.2255879902108271</v>
      </c>
      <c r="V15" s="528">
        <f t="shared" si="2"/>
        <v>22.187121278729258</v>
      </c>
      <c r="W15" s="450">
        <f>'C4-Sources'!L16/'C4-Sources'!$B16*100</f>
        <v>7.7594154435599538</v>
      </c>
      <c r="X15" s="450">
        <f>'C4-Sources'!T16/'C4-Sources'!$B16*100</f>
        <v>3.8405915550880008</v>
      </c>
      <c r="Y15" s="450">
        <f>'C4-Sources'!AB16/'C4-Sources'!$B16*100</f>
        <v>1.7808591948623669</v>
      </c>
      <c r="Z15" s="450">
        <f>'C4-Sources'!AJ16/'C4-Sources'!$B16*100</f>
        <v>1.0693439784342409</v>
      </c>
      <c r="AA15" s="450">
        <f>'C4-Sources'!AR16/'C4-Sources'!$B16*100</f>
        <v>2.5618447494435719</v>
      </c>
      <c r="AB15" s="450">
        <f>'C4-Sources'!AZ16/'C4-Sources'!$B16*100</f>
        <v>1.674706719768293</v>
      </c>
      <c r="AC15" s="450">
        <f>'C4-Sources'!BH16/'C4-Sources'!$B16*100</f>
        <v>0.61955678081661736</v>
      </c>
      <c r="AD15" s="450">
        <f>'C4-Sources'!BP16/'C4-Sources'!$B16*100</f>
        <v>2.8808028567562158</v>
      </c>
      <c r="AF15" s="528">
        <f t="shared" si="3"/>
        <v>10.106026471086935</v>
      </c>
      <c r="AG15" s="450">
        <f>'C4-Sources'!M16/'C4-Sources'!$B16*100</f>
        <v>1.9044477242441051</v>
      </c>
      <c r="AH15" s="450">
        <f>'C4-Sources'!U16/'C4-Sources'!$B16*100</f>
        <v>1.873695595915388</v>
      </c>
      <c r="AI15" s="450">
        <f>'C4-Sources'!AC16/'C4-Sources'!$B16*100</f>
        <v>1.312802286117323</v>
      </c>
      <c r="AJ15" s="450">
        <f>'C4-Sources'!AK16/'C4-Sources'!$B16*100</f>
        <v>0.6399804888639391</v>
      </c>
      <c r="AK15" s="450">
        <f>'C4-Sources'!AS16/'C4-Sources'!$B16*100</f>
        <v>1.8720483617093375</v>
      </c>
      <c r="AL15" s="450">
        <f>'C4-Sources'!BA16/'C4-Sources'!$B16*100</f>
        <v>1.0779591395624581</v>
      </c>
      <c r="AM15" s="450">
        <f>'C4-Sources'!BI16/'C4-Sources'!$B16*100</f>
        <v>0.1975845109761746</v>
      </c>
      <c r="AN15" s="450">
        <f>'C4-Sources'!BQ16/'C4-Sources'!$B16*100</f>
        <v>1.2275083636982096</v>
      </c>
      <c r="AP15" s="528">
        <f t="shared" si="4"/>
        <v>7.3999116335322688</v>
      </c>
      <c r="AQ15" s="450">
        <f>'C4-Sources'!N16/'C4-Sources'!$B16*100</f>
        <v>1.1142108173229106</v>
      </c>
      <c r="AR15" s="450">
        <f>'C4-Sources'!V16/'C4-Sources'!$B16*100</f>
        <v>1.2146096601991394</v>
      </c>
      <c r="AS15" s="450">
        <f>'C4-Sources'!AD16/'C4-Sources'!$B16*100</f>
        <v>1.1091208848586351</v>
      </c>
      <c r="AT15" s="450">
        <f>'C4-Sources'!AL16/'C4-Sources'!$B16*100</f>
        <v>0.48018449360531945</v>
      </c>
      <c r="AU15" s="450">
        <f>'C4-Sources'!AT16/'C4-Sources'!$B16*100</f>
        <v>1.5918450853946331</v>
      </c>
      <c r="AV15" s="450">
        <f>'C4-Sources'!BB16/'C4-Sources'!$B16*100</f>
        <v>0.89039312867212406</v>
      </c>
      <c r="AW15" s="450">
        <f>'C4-Sources'!BJ16/'C4-Sources'!$B16*100</f>
        <v>0.13630781731194982</v>
      </c>
      <c r="AX15" s="450">
        <f>'C4-Sources'!BR16/'C4-Sources'!$B16*100</f>
        <v>0.8632397461675575</v>
      </c>
      <c r="AZ15" s="528">
        <f t="shared" si="5"/>
        <v>3.6142396335334825</v>
      </c>
      <c r="BA15" s="450">
        <f>'C4-Sources'!O16/'C4-Sources'!$B16*100</f>
        <v>0.32748437375621198</v>
      </c>
      <c r="BB15" s="450">
        <f>'C4-Sources'!W16/'C4-Sources'!$B16*100</f>
        <v>0.41691154353334059</v>
      </c>
      <c r="BC15" s="450">
        <f>'C4-Sources'!AE16/'C4-Sources'!$B16*100</f>
        <v>0.66231391526744421</v>
      </c>
      <c r="BD15" s="450">
        <f>'C4-Sources'!AM16/'C4-Sources'!$B16*100</f>
        <v>0.22527896380247608</v>
      </c>
      <c r="BE15" s="450">
        <f>'C4-Sources'!AU16/'C4-Sources'!$B16*100</f>
        <v>0.98859389159129096</v>
      </c>
      <c r="BF15" s="450">
        <f>'C4-Sources'!BC16/'C4-Sources'!$B16*100</f>
        <v>0.53057239960971991</v>
      </c>
      <c r="BG15" s="450">
        <f>'C4-Sources'!BK16/'C4-Sources'!$B16*100</f>
        <v>5.5620608551004952E-2</v>
      </c>
      <c r="BH15" s="450">
        <f>'C4-Sources'!BS16/'C4-Sources'!$B16*100</f>
        <v>0.40746393742199377</v>
      </c>
      <c r="BJ15" s="528">
        <f t="shared" si="6"/>
        <v>1.333405031420877</v>
      </c>
      <c r="BK15" s="450">
        <f>'C4-Sources'!P16/'C4-Sources'!$B16*100</f>
        <v>5.5451231473770062E-2</v>
      </c>
      <c r="BL15" s="450">
        <f>'C4-Sources'!X16/'C4-Sources'!$B16*100</f>
        <v>0.10691555972118917</v>
      </c>
      <c r="BM15" s="450">
        <f>'C4-Sources'!AF16/'C4-Sources'!$B16*100</f>
        <v>0.26684672827001715</v>
      </c>
      <c r="BN15" s="450">
        <f>'C4-Sources'!AN16/'C4-Sources'!$B16*100</f>
        <v>7.2799993786050038E-2</v>
      </c>
      <c r="BO15" s="450">
        <f>'C4-Sources'!AV16/'C4-Sources'!$B16*100</f>
        <v>0.42751814883932626</v>
      </c>
      <c r="BP15" s="450">
        <f>'C4-Sources'!BD16/'C4-Sources'!$B16*100</f>
        <v>0.22358700254955496</v>
      </c>
      <c r="BQ15" s="450">
        <f>'C4-Sources'!BL16/'C4-Sources'!$B16*100</f>
        <v>1.3591415250835697E-2</v>
      </c>
      <c r="BR15" s="450">
        <f>'C4-Sources'!BT16/'C4-Sources'!$B16*100</f>
        <v>0.16669495153013372</v>
      </c>
      <c r="BS15" s="453"/>
      <c r="BT15" s="453"/>
      <c r="BU15" s="453"/>
      <c r="BV15" s="453"/>
      <c r="BW15" s="454"/>
      <c r="BX15" s="452"/>
      <c r="BY15" s="452"/>
    </row>
    <row r="16" spans="1:77" s="173" customFormat="1" ht="12" x14ac:dyDescent="0.25">
      <c r="A16" s="239">
        <v>1970</v>
      </c>
      <c r="B16" s="528">
        <f t="shared" si="0"/>
        <v>68.406191057044566</v>
      </c>
      <c r="C16" s="450">
        <f>('C4-Sources'!J17-'C4-Sources'!K17)/'C4-Sources'!$B17*100</f>
        <v>48.002951910522725</v>
      </c>
      <c r="D16" s="450">
        <f>('C4-Sources'!R17-'C4-Sources'!S17)/'C4-Sources'!$B17*100</f>
        <v>4.4740285187264837</v>
      </c>
      <c r="E16" s="450">
        <f>('C4-Sources'!Z17-'C4-Sources'!AA17)/'C4-Sources'!$B17*100</f>
        <v>0.37676999658330673</v>
      </c>
      <c r="F16" s="450">
        <f>('C4-Sources'!AH17-'C4-Sources'!AI17)/'C4-Sources'!$B17*100</f>
        <v>1.4218390881375236</v>
      </c>
      <c r="G16" s="450">
        <f>('C4-Sources'!AP17-'C4-Sources'!AQ17)/'C4-Sources'!$B17*100</f>
        <v>0.85507547502502201</v>
      </c>
      <c r="H16" s="450">
        <f>('C4-Sources'!AX17-'C4-Sources'!AY17)/'C4-Sources'!$B17*100</f>
        <v>1.749211241123388</v>
      </c>
      <c r="I16" s="450">
        <f>('C4-Sources'!BF17-'C4-Sources'!BG17)/'C4-Sources'!$B17*100</f>
        <v>4.0973131609788878</v>
      </c>
      <c r="J16" s="450">
        <f>('C4-Sources'!BN17-'C4-Sources'!BO17)/'C4-Sources'!$B17*100</f>
        <v>7.429001665947224</v>
      </c>
      <c r="K16" s="449"/>
      <c r="L16" s="528">
        <f t="shared" si="1"/>
        <v>31.593808942955445</v>
      </c>
      <c r="M16" s="450">
        <f>'C4-Sources'!K17/'C4-Sources'!$B17*100</f>
        <v>14.69244469804652</v>
      </c>
      <c r="N16" s="450">
        <f>'C4-Sources'!S17/'C4-Sources'!$B17*100</f>
        <v>4.653176741314188</v>
      </c>
      <c r="O16" s="450">
        <f>'C4-Sources'!AA17/'C4-Sources'!$B17*100</f>
        <v>1.7528536138547139</v>
      </c>
      <c r="P16" s="450">
        <f>'C4-Sources'!AI17/'C4-Sources'!$B17*100</f>
        <v>1.4135824039838216</v>
      </c>
      <c r="Q16" s="450">
        <f>'C4-Sources'!AQ17/'C4-Sources'!$B17*100</f>
        <v>2.0359565401135158</v>
      </c>
      <c r="R16" s="450">
        <f>'C4-Sources'!AY17/'C4-Sources'!$B17*100</f>
        <v>1.5761137731987649</v>
      </c>
      <c r="S16" s="450">
        <f>'C4-Sources'!BG17/'C4-Sources'!$B17*100</f>
        <v>1.1288705545889035</v>
      </c>
      <c r="T16" s="450">
        <f>'C4-Sources'!BO17/'C4-Sources'!$B17*100</f>
        <v>4.3408106178550119</v>
      </c>
      <c r="V16" s="528">
        <f t="shared" si="2"/>
        <v>21.335235737708874</v>
      </c>
      <c r="W16" s="450">
        <f>'C4-Sources'!L17/'C4-Sources'!$B17*100</f>
        <v>8.083196421983148</v>
      </c>
      <c r="X16" s="450">
        <f>'C4-Sources'!T17/'C4-Sources'!$B17*100</f>
        <v>3.7794817149989881</v>
      </c>
      <c r="Y16" s="450">
        <f>'C4-Sources'!AB17/'C4-Sources'!$B17*100</f>
        <v>1.6033437325789348</v>
      </c>
      <c r="Z16" s="450">
        <f>'C4-Sources'!AJ17/'C4-Sources'!$B17*100</f>
        <v>1.1676506633899135</v>
      </c>
      <c r="AA16" s="450">
        <f>'C4-Sources'!AR17/'C4-Sources'!$B17*100</f>
        <v>1.8229793128789165</v>
      </c>
      <c r="AB16" s="450">
        <f>'C4-Sources'!AZ17/'C4-Sources'!$B17*100</f>
        <v>1.2763923184598529</v>
      </c>
      <c r="AC16" s="450">
        <f>'C4-Sources'!BH17/'C4-Sources'!$B17*100</f>
        <v>0.659222270133761</v>
      </c>
      <c r="AD16" s="450">
        <f>'C4-Sources'!BP17/'C4-Sources'!$B17*100</f>
        <v>2.9429693032853605</v>
      </c>
      <c r="AF16" s="528">
        <f t="shared" si="3"/>
        <v>9.3299155800116207</v>
      </c>
      <c r="AG16" s="450">
        <f>'C4-Sources'!M17/'C4-Sources'!$B17*100</f>
        <v>1.8883774491412102</v>
      </c>
      <c r="AH16" s="450">
        <f>'C4-Sources'!U17/'C4-Sources'!$B17*100</f>
        <v>1.9279183741807044</v>
      </c>
      <c r="AI16" s="450">
        <f>'C4-Sources'!AC17/'C4-Sources'!$B17*100</f>
        <v>1.2089354015032174</v>
      </c>
      <c r="AJ16" s="450">
        <f>'C4-Sources'!AK17/'C4-Sources'!$B17*100</f>
        <v>0.69402283783963803</v>
      </c>
      <c r="AK16" s="450">
        <f>'C4-Sources'!AS17/'C4-Sources'!$B17*100</f>
        <v>1.3396695849138163</v>
      </c>
      <c r="AL16" s="450">
        <f>'C4-Sources'!BA17/'C4-Sources'!$B17*100</f>
        <v>0.8120492975049598</v>
      </c>
      <c r="AM16" s="450">
        <f>'C4-Sources'!BI17/'C4-Sources'!$B17*100</f>
        <v>0.17656482876747184</v>
      </c>
      <c r="AN16" s="450">
        <f>'C4-Sources'!BQ17/'C4-Sources'!$B17*100</f>
        <v>1.2823778061606028</v>
      </c>
      <c r="AP16" s="528">
        <f t="shared" si="4"/>
        <v>6.7161565255304572</v>
      </c>
      <c r="AQ16" s="450">
        <f>'C4-Sources'!N17/'C4-Sources'!$B17*100</f>
        <v>1.0635505373515564</v>
      </c>
      <c r="AR16" s="450">
        <f>'C4-Sources'!V17/'C4-Sources'!$B17*100</f>
        <v>1.2766672620928277</v>
      </c>
      <c r="AS16" s="450">
        <f>'C4-Sources'!AD17/'C4-Sources'!$B17*100</f>
        <v>1.0271524473655809</v>
      </c>
      <c r="AT16" s="450">
        <f>'C4-Sources'!AL17/'C4-Sources'!$B17*100</f>
        <v>0.53146684294588376</v>
      </c>
      <c r="AU16" s="450">
        <f>'C4-Sources'!AT17/'C4-Sources'!$B17*100</f>
        <v>1.1388757601141395</v>
      </c>
      <c r="AV16" s="450">
        <f>'C4-Sources'!BB17/'C4-Sources'!$B17*100</f>
        <v>0.67007393366853762</v>
      </c>
      <c r="AW16" s="450">
        <f>'C4-Sources'!BJ17/'C4-Sources'!$B17*100</f>
        <v>0.10670253371239874</v>
      </c>
      <c r="AX16" s="450">
        <f>'C4-Sources'!BR17/'C4-Sources'!$B17*100</f>
        <v>0.90166720827953262</v>
      </c>
      <c r="AZ16" s="528">
        <f t="shared" si="5"/>
        <v>3.207870569698875</v>
      </c>
      <c r="BA16" s="450">
        <f>'C4-Sources'!O17/'C4-Sources'!$B17*100</f>
        <v>0.29954911115172722</v>
      </c>
      <c r="BB16" s="450">
        <f>'C4-Sources'!W17/'C4-Sources'!$B17*100</f>
        <v>0.45862466442088212</v>
      </c>
      <c r="BC16" s="450">
        <f>'C4-Sources'!AE17/'C4-Sources'!$B17*100</f>
        <v>0.62983388784341754</v>
      </c>
      <c r="BD16" s="450">
        <f>'C4-Sources'!AM17/'C4-Sources'!$B17*100</f>
        <v>0.25304578327363808</v>
      </c>
      <c r="BE16" s="450">
        <f>'C4-Sources'!AU17/'C4-Sources'!$B17*100</f>
        <v>0.71532925886792142</v>
      </c>
      <c r="BF16" s="450">
        <f>'C4-Sources'!BC17/'C4-Sources'!$B17*100</f>
        <v>0.40235139069428971</v>
      </c>
      <c r="BG16" s="450">
        <f>'C4-Sources'!BK17/'C4-Sources'!$B17*100</f>
        <v>3.0663073683200221E-2</v>
      </c>
      <c r="BH16" s="450">
        <f>'C4-Sources'!BS17/'C4-Sources'!$B17*100</f>
        <v>0.41847339976379866</v>
      </c>
      <c r="BJ16" s="528">
        <f t="shared" si="6"/>
        <v>1.135306977549734</v>
      </c>
      <c r="BK16" s="450">
        <f>'C4-Sources'!P17/'C4-Sources'!$B17*100</f>
        <v>4.2781538752586099E-2</v>
      </c>
      <c r="BL16" s="450">
        <f>'C4-Sources'!X17/'C4-Sources'!$B17*100</f>
        <v>0.11478384994883895</v>
      </c>
      <c r="BM16" s="450">
        <f>'C4-Sources'!AF17/'C4-Sources'!$B17*100</f>
        <v>0.2600443107166529</v>
      </c>
      <c r="BN16" s="450">
        <f>'C4-Sources'!AN17/'C4-Sources'!$B17*100</f>
        <v>7.9533045521313378E-2</v>
      </c>
      <c r="BO16" s="450">
        <f>'C4-Sources'!AV17/'C4-Sources'!$B17*100</f>
        <v>0.30508078106967534</v>
      </c>
      <c r="BP16" s="450">
        <f>'C4-Sources'!BD17/'C4-Sources'!$B17*100</f>
        <v>0.16643144479601019</v>
      </c>
      <c r="BQ16" s="450">
        <f>'C4-Sources'!BL17/'C4-Sources'!$B17*100</f>
        <v>4.7411560689638536E-3</v>
      </c>
      <c r="BR16" s="450">
        <f>'C4-Sources'!BT17/'C4-Sources'!$B17*100</f>
        <v>0.16191085067569322</v>
      </c>
      <c r="BS16" s="453"/>
      <c r="BT16" s="453"/>
      <c r="BU16" s="453"/>
      <c r="BV16" s="453"/>
      <c r="BW16" s="454"/>
      <c r="BX16" s="452"/>
      <c r="BY16" s="452"/>
    </row>
    <row r="17" spans="1:77" s="173" customFormat="1" ht="12" x14ac:dyDescent="0.25">
      <c r="A17" s="239">
        <v>1971</v>
      </c>
      <c r="B17" s="528">
        <f t="shared" si="0"/>
        <v>67.758114590435952</v>
      </c>
      <c r="C17" s="450">
        <f>('C4-Sources'!J18-'C4-Sources'!K18)/'C4-Sources'!$B18*100</f>
        <v>47.0899555196726</v>
      </c>
      <c r="D17" s="450">
        <f>('C4-Sources'!R18-'C4-Sources'!S18)/'C4-Sources'!$B18*100</f>
        <v>4.4287132465643513</v>
      </c>
      <c r="E17" s="450">
        <f>('C4-Sources'!Z18-'C4-Sources'!AA18)/'C4-Sources'!$B18*100</f>
        <v>0.31790049231591155</v>
      </c>
      <c r="F17" s="450">
        <f>('C4-Sources'!AH18-'C4-Sources'!AI18)/'C4-Sources'!$B18*100</f>
        <v>1.3463269572166492</v>
      </c>
      <c r="G17" s="450">
        <f>('C4-Sources'!AP18-'C4-Sources'!AQ18)/'C4-Sources'!$B18*100</f>
        <v>1.0456150481977609</v>
      </c>
      <c r="H17" s="450">
        <f>('C4-Sources'!AX18-'C4-Sources'!AY18)/'C4-Sources'!$B18*100</f>
        <v>1.7407033079654026</v>
      </c>
      <c r="I17" s="450">
        <f>('C4-Sources'!BF18-'C4-Sources'!BG18)/'C4-Sources'!$B18*100</f>
        <v>4.335017195521627</v>
      </c>
      <c r="J17" s="450">
        <f>('C4-Sources'!BN18-'C4-Sources'!BO18)/'C4-Sources'!$B18*100</f>
        <v>7.4538828229816483</v>
      </c>
      <c r="K17" s="449"/>
      <c r="L17" s="528">
        <f t="shared" si="1"/>
        <v>32.241885409564048</v>
      </c>
      <c r="M17" s="450">
        <f>'C4-Sources'!K18/'C4-Sources'!$B18*100</f>
        <v>14.518875482386258</v>
      </c>
      <c r="N17" s="450">
        <f>'C4-Sources'!S18/'C4-Sources'!$B18*100</f>
        <v>4.6549307225673537</v>
      </c>
      <c r="O17" s="450">
        <f>'C4-Sources'!AA18/'C4-Sources'!$B18*100</f>
        <v>1.6738404957986852</v>
      </c>
      <c r="P17" s="450">
        <f>'C4-Sources'!AI18/'C4-Sources'!$B18*100</f>
        <v>1.5033435490580143</v>
      </c>
      <c r="Q17" s="450">
        <f>'C4-Sources'!AQ18/'C4-Sources'!$B18*100</f>
        <v>2.6372166092713107</v>
      </c>
      <c r="R17" s="450">
        <f>'C4-Sources'!AY18/'C4-Sources'!$B18*100</f>
        <v>1.6818572135453027</v>
      </c>
      <c r="S17" s="450">
        <f>'C4-Sources'!BG18/'C4-Sources'!$B18*100</f>
        <v>1.1885871738533853</v>
      </c>
      <c r="T17" s="450">
        <f>'C4-Sources'!BO18/'C4-Sources'!$B18*100</f>
        <v>4.3832341630837384</v>
      </c>
      <c r="V17" s="528">
        <f t="shared" si="2"/>
        <v>21.81052278873236</v>
      </c>
      <c r="W17" s="450">
        <f>'C4-Sources'!L18/'C4-Sources'!$B18*100</f>
        <v>7.9196005584206404</v>
      </c>
      <c r="X17" s="450">
        <f>'C4-Sources'!T18/'C4-Sources'!$B18*100</f>
        <v>3.793051730231515</v>
      </c>
      <c r="Y17" s="450">
        <f>'C4-Sources'!AB18/'C4-Sources'!$B18*100</f>
        <v>1.5274748760176591</v>
      </c>
      <c r="Z17" s="450">
        <f>'C4-Sources'!AJ18/'C4-Sources'!$B18*100</f>
        <v>1.2284840694221946</v>
      </c>
      <c r="AA17" s="450">
        <f>'C4-Sources'!AR18/'C4-Sources'!$B18*100</f>
        <v>2.3480234721296891</v>
      </c>
      <c r="AB17" s="450">
        <f>'C4-Sources'!AZ18/'C4-Sources'!$B18*100</f>
        <v>1.36041537058192</v>
      </c>
      <c r="AC17" s="450">
        <f>'C4-Sources'!BH18/'C4-Sources'!$B18*100</f>
        <v>0.6857542468727631</v>
      </c>
      <c r="AD17" s="450">
        <f>'C4-Sources'!BP18/'C4-Sources'!$B18*100</f>
        <v>2.9477184650559813</v>
      </c>
      <c r="AF17" s="528">
        <f t="shared" si="3"/>
        <v>9.63096164806357</v>
      </c>
      <c r="AG17" s="450">
        <f>'C4-Sources'!M18/'C4-Sources'!$B18*100</f>
        <v>1.8505539335690089</v>
      </c>
      <c r="AH17" s="450">
        <f>'C4-Sources'!U18/'C4-Sources'!$B18*100</f>
        <v>1.9041252073687291</v>
      </c>
      <c r="AI17" s="450">
        <f>'C4-Sources'!AC18/'C4-Sources'!$B18*100</f>
        <v>1.141458785870983</v>
      </c>
      <c r="AJ17" s="450">
        <f>'C4-Sources'!AK18/'C4-Sources'!$B18*100</f>
        <v>0.71915921522965665</v>
      </c>
      <c r="AK17" s="450">
        <f>'C4-Sources'!AS18/'C4-Sources'!$B18*100</f>
        <v>1.7007427782178779</v>
      </c>
      <c r="AL17" s="450">
        <f>'C4-Sources'!BA18/'C4-Sources'!$B18*100</f>
        <v>0.8621683751965783</v>
      </c>
      <c r="AM17" s="450">
        <f>'C4-Sources'!BI18/'C4-Sources'!$B18*100</f>
        <v>0.18059987815104414</v>
      </c>
      <c r="AN17" s="450">
        <f>'C4-Sources'!BQ18/'C4-Sources'!$B18*100</f>
        <v>1.2721534744596923</v>
      </c>
      <c r="AP17" s="528">
        <f t="shared" si="4"/>
        <v>6.9925322177758877</v>
      </c>
      <c r="AQ17" s="450">
        <f>'C4-Sources'!N18/'C4-Sources'!$B18*100</f>
        <v>1.0188716776784892</v>
      </c>
      <c r="AR17" s="450">
        <f>'C4-Sources'!V18/'C4-Sources'!$B18*100</f>
        <v>1.3079540392162583</v>
      </c>
      <c r="AS17" s="450">
        <f>'C4-Sources'!AD18/'C4-Sources'!$B18*100</f>
        <v>0.95968015518249661</v>
      </c>
      <c r="AT17" s="450">
        <f>'C4-Sources'!AL18/'C4-Sources'!$B18*100</f>
        <v>0.5386100354770571</v>
      </c>
      <c r="AU17" s="450">
        <f>'C4-Sources'!AT18/'C4-Sources'!$B18*100</f>
        <v>1.4280768139625359</v>
      </c>
      <c r="AV17" s="450">
        <f>'C4-Sources'!BB18/'C4-Sources'!$B18*100</f>
        <v>0.70268147340722698</v>
      </c>
      <c r="AW17" s="450">
        <f>'C4-Sources'!BJ18/'C4-Sources'!$B18*100</f>
        <v>0.10710370751579365</v>
      </c>
      <c r="AX17" s="450">
        <f>'C4-Sources'!BR18/'C4-Sources'!$B18*100</f>
        <v>0.92955431533602861</v>
      </c>
      <c r="AZ17" s="528">
        <f t="shared" si="5"/>
        <v>3.3948900732679497</v>
      </c>
      <c r="BA17" s="450">
        <f>'C4-Sources'!O18/'C4-Sources'!$B18*100</f>
        <v>0.26944837929843568</v>
      </c>
      <c r="BB17" s="450">
        <f>'C4-Sources'!W18/'C4-Sources'!$B18*100</f>
        <v>0.49361224363084533</v>
      </c>
      <c r="BC17" s="450">
        <f>'C4-Sources'!AE18/'C4-Sources'!$B18*100</f>
        <v>0.59909866613016238</v>
      </c>
      <c r="BD17" s="450">
        <f>'C4-Sources'!AM18/'C4-Sources'!$B18*100</f>
        <v>0.25568747689292914</v>
      </c>
      <c r="BE17" s="450">
        <f>'C4-Sources'!AU18/'C4-Sources'!$B18*100</f>
        <v>0.90131843065606521</v>
      </c>
      <c r="BF17" s="450">
        <f>'C4-Sources'!BC18/'C4-Sources'!$B18*100</f>
        <v>0.42503346848611667</v>
      </c>
      <c r="BG17" s="450">
        <f>'C4-Sources'!BK18/'C4-Sources'!$B18*100</f>
        <v>3.1546415399492177E-2</v>
      </c>
      <c r="BH17" s="450">
        <f>'C4-Sources'!BS18/'C4-Sources'!$B18*100</f>
        <v>0.41914499277390321</v>
      </c>
      <c r="BJ17" s="528">
        <f t="shared" si="6"/>
        <v>1.2061498978424532</v>
      </c>
      <c r="BK17" s="450">
        <f>'C4-Sources'!P18/'C4-Sources'!$B18*100</f>
        <v>3.7249811018843983E-2</v>
      </c>
      <c r="BL17" s="450">
        <f>'C4-Sources'!X18/'C4-Sources'!$B18*100</f>
        <v>0.13205714020876289</v>
      </c>
      <c r="BM17" s="450">
        <f>'C4-Sources'!AF18/'C4-Sources'!$B18*100</f>
        <v>0.23951774290226299</v>
      </c>
      <c r="BN17" s="450">
        <f>'C4-Sources'!AN18/'C4-Sources'!$B18*100</f>
        <v>7.8938108825028136E-2</v>
      </c>
      <c r="BO17" s="450">
        <f>'C4-Sources'!AV18/'C4-Sources'!$B18*100</f>
        <v>0.37672059875649549</v>
      </c>
      <c r="BP17" s="450">
        <f>'C4-Sources'!BD18/'C4-Sources'!$B18*100</f>
        <v>0.17296440137565525</v>
      </c>
      <c r="BQ17" s="450">
        <f>'C4-Sources'!BL18/'C4-Sources'!$B18*100</f>
        <v>4.4965916124561781E-3</v>
      </c>
      <c r="BR17" s="450">
        <f>'C4-Sources'!BT18/'C4-Sources'!$B18*100</f>
        <v>0.1642055031429481</v>
      </c>
      <c r="BS17" s="453"/>
      <c r="BT17" s="453"/>
      <c r="BU17" s="453"/>
      <c r="BV17" s="453"/>
      <c r="BW17" s="454"/>
      <c r="BX17" s="452"/>
      <c r="BY17" s="452"/>
    </row>
    <row r="18" spans="1:77" s="173" customFormat="1" ht="12" x14ac:dyDescent="0.25">
      <c r="A18" s="239">
        <v>1972</v>
      </c>
      <c r="B18" s="528">
        <f t="shared" si="0"/>
        <v>67.770439615761973</v>
      </c>
      <c r="C18" s="450">
        <f>('C4-Sources'!J19-'C4-Sources'!K19)/'C4-Sources'!$B19*100</f>
        <v>47.059752796509564</v>
      </c>
      <c r="D18" s="450">
        <f>('C4-Sources'!R19-'C4-Sources'!S19)/'C4-Sources'!$B19*100</f>
        <v>4.6051151651076969</v>
      </c>
      <c r="E18" s="450">
        <f>('C4-Sources'!Z19-'C4-Sources'!AA19)/'C4-Sources'!$B19*100</f>
        <v>0.32237405023057186</v>
      </c>
      <c r="F18" s="450">
        <f>('C4-Sources'!AH19-'C4-Sources'!AI19)/'C4-Sources'!$B19*100</f>
        <v>1.4273828549839769</v>
      </c>
      <c r="G18" s="450">
        <f>('C4-Sources'!AP19-'C4-Sources'!AQ19)/'C4-Sources'!$B19*100</f>
        <v>1.2543048858488772</v>
      </c>
      <c r="H18" s="450">
        <f>('C4-Sources'!AX19-'C4-Sources'!AY19)/'C4-Sources'!$B19*100</f>
        <v>1.7659312573953172</v>
      </c>
      <c r="I18" s="450">
        <f>('C4-Sources'!BF19-'C4-Sources'!BG19)/'C4-Sources'!$B19*100</f>
        <v>4.1024922978373155</v>
      </c>
      <c r="J18" s="450">
        <f>('C4-Sources'!BN19-'C4-Sources'!BO19)/'C4-Sources'!$B19*100</f>
        <v>7.2330863078486516</v>
      </c>
      <c r="K18" s="449"/>
      <c r="L18" s="528">
        <f t="shared" si="1"/>
        <v>32.229560384238027</v>
      </c>
      <c r="M18" s="450">
        <f>'C4-Sources'!K19/'C4-Sources'!$B19*100</f>
        <v>14.210812896773684</v>
      </c>
      <c r="N18" s="450">
        <f>'C4-Sources'!S19/'C4-Sources'!$B19*100</f>
        <v>4.8406510247744938</v>
      </c>
      <c r="O18" s="450">
        <f>'C4-Sources'!AA19/'C4-Sources'!$B19*100</f>
        <v>1.6417426747618618</v>
      </c>
      <c r="P18" s="450">
        <f>'C4-Sources'!AI19/'C4-Sources'!$B19*100</f>
        <v>1.5638899956834862</v>
      </c>
      <c r="Q18" s="450">
        <f>'C4-Sources'!AQ19/'C4-Sources'!$B19*100</f>
        <v>3.0231690869755869</v>
      </c>
      <c r="R18" s="450">
        <f>'C4-Sources'!AY19/'C4-Sources'!$B19*100</f>
        <v>1.7167794135147445</v>
      </c>
      <c r="S18" s="450">
        <f>'C4-Sources'!BG19/'C4-Sources'!$B19*100</f>
        <v>1.1630505259529416</v>
      </c>
      <c r="T18" s="450">
        <f>'C4-Sources'!BO19/'C4-Sources'!$B19*100</f>
        <v>4.0694647658012322</v>
      </c>
      <c r="V18" s="528">
        <f t="shared" si="2"/>
        <v>21.909118250251851</v>
      </c>
      <c r="W18" s="450">
        <f>'C4-Sources'!L19/'C4-Sources'!$B19*100</f>
        <v>7.7059746278860546</v>
      </c>
      <c r="X18" s="450">
        <f>'C4-Sources'!T19/'C4-Sources'!$B19*100</f>
        <v>3.8643651231109564</v>
      </c>
      <c r="Y18" s="450">
        <f>'C4-Sources'!AB19/'C4-Sources'!$B19*100</f>
        <v>1.513468920597949</v>
      </c>
      <c r="Z18" s="450">
        <f>'C4-Sources'!AJ19/'C4-Sources'!$B19*100</f>
        <v>1.2867364147871201</v>
      </c>
      <c r="AA18" s="450">
        <f>'C4-Sources'!AR19/'C4-Sources'!$B19*100</f>
        <v>2.7107142983494001</v>
      </c>
      <c r="AB18" s="450">
        <f>'C4-Sources'!AZ19/'C4-Sources'!$B19*100</f>
        <v>1.4047339863162109</v>
      </c>
      <c r="AC18" s="450">
        <f>'C4-Sources'!BH19/'C4-Sources'!$B19*100</f>
        <v>0.65959941751976592</v>
      </c>
      <c r="AD18" s="450">
        <f>'C4-Sources'!BP19/'C4-Sources'!$B19*100</f>
        <v>2.7635254616843956</v>
      </c>
      <c r="AF18" s="528">
        <f t="shared" si="3"/>
        <v>9.8115968640821425</v>
      </c>
      <c r="AG18" s="450">
        <f>'C4-Sources'!M19/'C4-Sources'!$B19*100</f>
        <v>1.811925046738732</v>
      </c>
      <c r="AH18" s="450">
        <f>'C4-Sources'!U19/'C4-Sources'!$B19*100</f>
        <v>1.8990679200237757</v>
      </c>
      <c r="AI18" s="450">
        <f>'C4-Sources'!AC19/'C4-Sources'!$B19*100</f>
        <v>1.1127832110742149</v>
      </c>
      <c r="AJ18" s="450">
        <f>'C4-Sources'!AK19/'C4-Sources'!$B19*100</f>
        <v>0.72842819743082232</v>
      </c>
      <c r="AK18" s="450">
        <f>'C4-Sources'!AS19/'C4-Sources'!$B19*100</f>
        <v>1.9381148763145772</v>
      </c>
      <c r="AL18" s="450">
        <f>'C4-Sources'!BA19/'C4-Sources'!$B19*100</f>
        <v>0.88855717963031466</v>
      </c>
      <c r="AM18" s="450">
        <f>'C4-Sources'!BI19/'C4-Sources'!$B19*100</f>
        <v>0.17084552416792034</v>
      </c>
      <c r="AN18" s="450">
        <f>'C4-Sources'!BQ19/'C4-Sources'!$B19*100</f>
        <v>1.2618749087017869</v>
      </c>
      <c r="AP18" s="528">
        <f t="shared" si="4"/>
        <v>7.1331884792366642</v>
      </c>
      <c r="AQ18" s="450">
        <f>'C4-Sources'!N19/'C4-Sources'!$B19*100</f>
        <v>1.0140327612594464</v>
      </c>
      <c r="AR18" s="450">
        <f>'C4-Sources'!V19/'C4-Sources'!$B19*100</f>
        <v>1.2849808718803988</v>
      </c>
      <c r="AS18" s="450">
        <f>'C4-Sources'!AD19/'C4-Sources'!$B19*100</f>
        <v>0.93655612321294612</v>
      </c>
      <c r="AT18" s="450">
        <f>'C4-Sources'!AL19/'C4-Sources'!$B19*100</f>
        <v>0.54532135373817936</v>
      </c>
      <c r="AU18" s="450">
        <f>'C4-Sources'!AT19/'C4-Sources'!$B19*100</f>
        <v>1.6254854819755475</v>
      </c>
      <c r="AV18" s="450">
        <f>'C4-Sources'!BB19/'C4-Sources'!$B19*100</f>
        <v>0.72606226945144936</v>
      </c>
      <c r="AW18" s="450">
        <f>'C4-Sources'!BJ19/'C4-Sources'!$B19*100</f>
        <v>0.10200988115294893</v>
      </c>
      <c r="AX18" s="450">
        <f>'C4-Sources'!BR19/'C4-Sources'!$B19*100</f>
        <v>0.89873973656574824</v>
      </c>
      <c r="AZ18" s="528">
        <f t="shared" si="5"/>
        <v>3.4546480744558572</v>
      </c>
      <c r="BA18" s="450">
        <f>'C4-Sources'!O19/'C4-Sources'!$B19*100</f>
        <v>0.271622790041124</v>
      </c>
      <c r="BB18" s="450">
        <f>'C4-Sources'!W19/'C4-Sources'!$B19*100</f>
        <v>0.49786771096164961</v>
      </c>
      <c r="BC18" s="450">
        <f>'C4-Sources'!AE19/'C4-Sources'!$B19*100</f>
        <v>0.56833505954601615</v>
      </c>
      <c r="BD18" s="450">
        <f>'C4-Sources'!AM19/'C4-Sources'!$B19*100</f>
        <v>0.25916633319563581</v>
      </c>
      <c r="BE18" s="450">
        <f>'C4-Sources'!AU19/'C4-Sources'!$B19*100</f>
        <v>0.99916317176880887</v>
      </c>
      <c r="BF18" s="450">
        <f>'C4-Sources'!BC19/'C4-Sources'!$B19*100</f>
        <v>0.43055076823709054</v>
      </c>
      <c r="BG18" s="450">
        <f>'C4-Sources'!BK19/'C4-Sources'!$B19*100</f>
        <v>2.9504608853715062E-2</v>
      </c>
      <c r="BH18" s="450">
        <f>'C4-Sources'!BS19/'C4-Sources'!$B19*100</f>
        <v>0.39843763185181691</v>
      </c>
      <c r="BJ18" s="528">
        <f t="shared" si="6"/>
        <v>1.2222404456574387</v>
      </c>
      <c r="BK18" s="450">
        <f>'C4-Sources'!P19/'C4-Sources'!$B19*100</f>
        <v>4.3147970361320773E-2</v>
      </c>
      <c r="BL18" s="450">
        <f>'C4-Sources'!X19/'C4-Sources'!$B19*100</f>
        <v>0.14393478126608866</v>
      </c>
      <c r="BM18" s="450">
        <f>'C4-Sources'!AF19/'C4-Sources'!$B19*100</f>
        <v>0.22437535869699246</v>
      </c>
      <c r="BN18" s="450">
        <f>'C4-Sources'!AN19/'C4-Sources'!$B19*100</f>
        <v>7.9264727191660778E-2</v>
      </c>
      <c r="BO18" s="450">
        <f>'C4-Sources'!AV19/'C4-Sources'!$B19*100</f>
        <v>0.41117746651708981</v>
      </c>
      <c r="BP18" s="450">
        <f>'C4-Sources'!BD19/'C4-Sources'!$B19*100</f>
        <v>0.17320249158065404</v>
      </c>
      <c r="BQ18" s="450">
        <f>'C4-Sources'!BL19/'C4-Sources'!$B19*100</f>
        <v>4.9097407118085298E-3</v>
      </c>
      <c r="BR18" s="450">
        <f>'C4-Sources'!BT19/'C4-Sources'!$B19*100</f>
        <v>0.14222790933182353</v>
      </c>
      <c r="BS18" s="453"/>
      <c r="BT18" s="453"/>
      <c r="BU18" s="453"/>
      <c r="BV18" s="453"/>
      <c r="BW18" s="454"/>
      <c r="BX18" s="452"/>
      <c r="BY18" s="452"/>
    </row>
    <row r="19" spans="1:77" s="173" customFormat="1" ht="12" x14ac:dyDescent="0.25">
      <c r="A19" s="239">
        <v>1973</v>
      </c>
      <c r="B19" s="528">
        <f t="shared" si="0"/>
        <v>67.939351531494111</v>
      </c>
      <c r="C19" s="450">
        <f>('C4-Sources'!J20-'C4-Sources'!K20)/'C4-Sources'!$B20*100</f>
        <v>47.184516682055275</v>
      </c>
      <c r="D19" s="450">
        <f>('C4-Sources'!R20-'C4-Sources'!S20)/'C4-Sources'!$B20*100</f>
        <v>4.7565471026994874</v>
      </c>
      <c r="E19" s="450">
        <f>('C4-Sources'!Z20-'C4-Sources'!AA20)/'C4-Sources'!$B20*100</f>
        <v>0.32910564874794573</v>
      </c>
      <c r="F19" s="450">
        <f>('C4-Sources'!AH20-'C4-Sources'!AI20)/'C4-Sources'!$B20*100</f>
        <v>1.5203302800214782</v>
      </c>
      <c r="G19" s="450">
        <f>('C4-Sources'!AP20-'C4-Sources'!AQ20)/'C4-Sources'!$B20*100</f>
        <v>1.343860873984654</v>
      </c>
      <c r="H19" s="450">
        <f>('C4-Sources'!AX20-'C4-Sources'!AY20)/'C4-Sources'!$B20*100</f>
        <v>1.9781062951591928</v>
      </c>
      <c r="I19" s="450">
        <f>('C4-Sources'!BF20-'C4-Sources'!BG20)/'C4-Sources'!$B20*100</f>
        <v>4.016850746381972</v>
      </c>
      <c r="J19" s="450">
        <f>('C4-Sources'!BN20-'C4-Sources'!BO20)/'C4-Sources'!$B20*100</f>
        <v>6.8100339024441157</v>
      </c>
      <c r="K19" s="449"/>
      <c r="L19" s="528">
        <f t="shared" si="1"/>
        <v>32.060648468505867</v>
      </c>
      <c r="M19" s="450">
        <f>'C4-Sources'!K20/'C4-Sources'!$B20*100</f>
        <v>13.999665583101711</v>
      </c>
      <c r="N19" s="450">
        <f>'C4-Sources'!S20/'C4-Sources'!$B20*100</f>
        <v>5.0627680023098502</v>
      </c>
      <c r="O19" s="450">
        <f>'C4-Sources'!AA20/'C4-Sources'!$B20*100</f>
        <v>1.5865907127655576</v>
      </c>
      <c r="P19" s="450">
        <f>'C4-Sources'!AI20/'C4-Sources'!$B20*100</f>
        <v>1.5601936409940311</v>
      </c>
      <c r="Q19" s="450">
        <f>'C4-Sources'!AQ20/'C4-Sources'!$B20*100</f>
        <v>2.9131673996022847</v>
      </c>
      <c r="R19" s="450">
        <f>'C4-Sources'!AY20/'C4-Sources'!$B20*100</f>
        <v>1.6521817665174885</v>
      </c>
      <c r="S19" s="450">
        <f>'C4-Sources'!BG20/'C4-Sources'!$B20*100</f>
        <v>1.079463348412641</v>
      </c>
      <c r="T19" s="450">
        <f>'C4-Sources'!BO20/'C4-Sources'!$B20*100</f>
        <v>4.2066180148023058</v>
      </c>
      <c r="V19" s="528">
        <f t="shared" si="2"/>
        <v>21.801428237934161</v>
      </c>
      <c r="W19" s="450">
        <f>'C4-Sources'!L20/'C4-Sources'!$B20*100</f>
        <v>7.4922583325449486</v>
      </c>
      <c r="X19" s="450">
        <f>'C4-Sources'!T20/'C4-Sources'!$B20*100</f>
        <v>4.0510720040841868</v>
      </c>
      <c r="Y19" s="450">
        <f>'C4-Sources'!AB20/'C4-Sources'!$B20*100</f>
        <v>1.4752350298686832</v>
      </c>
      <c r="Z19" s="450">
        <f>'C4-Sources'!AJ20/'C4-Sources'!$B20*100</f>
        <v>1.2974074280703052</v>
      </c>
      <c r="AA19" s="450">
        <f>'C4-Sources'!AR20/'C4-Sources'!$B20*100</f>
        <v>2.6178754368548232</v>
      </c>
      <c r="AB19" s="450">
        <f>'C4-Sources'!AZ20/'C4-Sources'!$B20*100</f>
        <v>1.3289981992381374</v>
      </c>
      <c r="AC19" s="450">
        <f>'C4-Sources'!BH20/'C4-Sources'!$B20*100</f>
        <v>0.62237808046464771</v>
      </c>
      <c r="AD19" s="450">
        <f>'C4-Sources'!BP20/'C4-Sources'!$B20*100</f>
        <v>2.9162037268084267</v>
      </c>
      <c r="AF19" s="528">
        <f t="shared" si="3"/>
        <v>9.7143648904541955</v>
      </c>
      <c r="AG19" s="450">
        <f>'C4-Sources'!M20/'C4-Sources'!$B20*100</f>
        <v>1.7720509124756292</v>
      </c>
      <c r="AH19" s="450">
        <f>'C4-Sources'!U20/'C4-Sources'!$B20*100</f>
        <v>1.9384569284186921</v>
      </c>
      <c r="AI19" s="450">
        <f>'C4-Sources'!AC20/'C4-Sources'!$B20*100</f>
        <v>1.1012469248628132</v>
      </c>
      <c r="AJ19" s="450">
        <f>'C4-Sources'!AK20/'C4-Sources'!$B20*100</f>
        <v>0.74058899600860217</v>
      </c>
      <c r="AK19" s="450">
        <f>'C4-Sources'!AS20/'C4-Sources'!$B20*100</f>
        <v>1.8661953751689231</v>
      </c>
      <c r="AL19" s="450">
        <f>'C4-Sources'!BA20/'C4-Sources'!$B20*100</f>
        <v>0.81517655251363463</v>
      </c>
      <c r="AM19" s="450">
        <f>'C4-Sources'!BI20/'C4-Sources'!$B20*100</f>
        <v>0.15824296812353197</v>
      </c>
      <c r="AN19" s="450">
        <f>'C4-Sources'!BQ20/'C4-Sources'!$B20*100</f>
        <v>1.3224062328823696</v>
      </c>
      <c r="AP19" s="528">
        <f t="shared" si="4"/>
        <v>7.0032623712705675</v>
      </c>
      <c r="AQ19" s="450">
        <f>'C4-Sources'!N20/'C4-Sources'!$B20*100</f>
        <v>1.0016714678548235</v>
      </c>
      <c r="AR19" s="450">
        <f>'C4-Sources'!V20/'C4-Sources'!$B20*100</f>
        <v>1.3090345302989927</v>
      </c>
      <c r="AS19" s="450">
        <f>'C4-Sources'!AD20/'C4-Sources'!$B20*100</f>
        <v>0.90878013156225523</v>
      </c>
      <c r="AT19" s="450">
        <f>'C4-Sources'!AL20/'C4-Sources'!$B20*100</f>
        <v>0.55459963829654491</v>
      </c>
      <c r="AU19" s="450">
        <f>'C4-Sources'!AT20/'C4-Sources'!$B20*100</f>
        <v>1.5376063040332788</v>
      </c>
      <c r="AV19" s="450">
        <f>'C4-Sources'!BB20/'C4-Sources'!$B20*100</f>
        <v>0.65070692285100262</v>
      </c>
      <c r="AW19" s="450">
        <f>'C4-Sources'!BJ20/'C4-Sources'!$B20*100</f>
        <v>9.6306414112527633E-2</v>
      </c>
      <c r="AX19" s="450">
        <f>'C4-Sources'!BR20/'C4-Sources'!$B20*100</f>
        <v>0.94455696226114272</v>
      </c>
      <c r="AZ19" s="528">
        <f t="shared" si="5"/>
        <v>3.2828926084614336</v>
      </c>
      <c r="BA19" s="450">
        <f>'C4-Sources'!O20/'C4-Sources'!$B20*100</f>
        <v>0.27400218200631049</v>
      </c>
      <c r="BB19" s="450">
        <f>'C4-Sources'!W20/'C4-Sources'!$B20*100</f>
        <v>0.52084701992751314</v>
      </c>
      <c r="BC19" s="450">
        <f>'C4-Sources'!AE20/'C4-Sources'!$B20*100</f>
        <v>0.53153873649531769</v>
      </c>
      <c r="BD19" s="450">
        <f>'C4-Sources'!AM20/'C4-Sources'!$B20*100</f>
        <v>0.27067038593168435</v>
      </c>
      <c r="BE19" s="450">
        <f>'C4-Sources'!AU20/'C4-Sources'!$B20*100</f>
        <v>0.90544582192365397</v>
      </c>
      <c r="BF19" s="450">
        <f>'C4-Sources'!BC20/'C4-Sources'!$B20*100</f>
        <v>0.36710213631234273</v>
      </c>
      <c r="BG19" s="450">
        <f>'C4-Sources'!BK20/'C4-Sources'!$B20*100</f>
        <v>2.8184607864207734E-2</v>
      </c>
      <c r="BH19" s="450">
        <f>'C4-Sources'!BS20/'C4-Sources'!$B20*100</f>
        <v>0.38510171800040349</v>
      </c>
      <c r="BJ19" s="528">
        <f t="shared" si="6"/>
        <v>1.1280115560610109</v>
      </c>
      <c r="BK19" s="450">
        <f>'C4-Sources'!P20/'C4-Sources'!$B20*100</f>
        <v>3.9827281110575062E-2</v>
      </c>
      <c r="BL19" s="450">
        <f>'C4-Sources'!X20/'C4-Sources'!$B20*100</f>
        <v>0.14424173320776104</v>
      </c>
      <c r="BM19" s="450">
        <f>'C4-Sources'!AF20/'C4-Sources'!$B20*100</f>
        <v>0.21074329747817847</v>
      </c>
      <c r="BN19" s="450">
        <f>'C4-Sources'!AN20/'C4-Sources'!$B20*100</f>
        <v>8.4639041160106995E-2</v>
      </c>
      <c r="BO19" s="450">
        <f>'C4-Sources'!AV20/'C4-Sources'!$B20*100</f>
        <v>0.36526545749418765</v>
      </c>
      <c r="BP19" s="450">
        <f>'C4-Sources'!BD20/'C4-Sources'!$B20*100</f>
        <v>0.14343730668824967</v>
      </c>
      <c r="BQ19" s="450">
        <f>'C4-Sources'!BL20/'C4-Sources'!$B20*100</f>
        <v>4.2128568032633023E-3</v>
      </c>
      <c r="BR19" s="450">
        <f>'C4-Sources'!BT20/'C4-Sources'!$B20*100</f>
        <v>0.13564458211868877</v>
      </c>
      <c r="BS19" s="453"/>
      <c r="BT19" s="453"/>
      <c r="BU19" s="453"/>
      <c r="BV19" s="453"/>
      <c r="BW19" s="454"/>
      <c r="BX19" s="452"/>
      <c r="BY19" s="452"/>
    </row>
    <row r="20" spans="1:77" s="173" customFormat="1" ht="12" x14ac:dyDescent="0.25">
      <c r="A20" s="239">
        <v>1974</v>
      </c>
      <c r="B20" s="528">
        <f t="shared" si="0"/>
        <v>68.01024622106263</v>
      </c>
      <c r="C20" s="450">
        <f>('C4-Sources'!J21-'C4-Sources'!K21)/'C4-Sources'!$B21*100</f>
        <v>47.943294460914402</v>
      </c>
      <c r="D20" s="450">
        <f>('C4-Sources'!R21-'C4-Sources'!S21)/'C4-Sources'!$B21*100</f>
        <v>3.7581841314008075</v>
      </c>
      <c r="E20" s="450">
        <f>('C4-Sources'!Z21-'C4-Sources'!AA21)/'C4-Sources'!$B21*100</f>
        <v>0.39246314477544614</v>
      </c>
      <c r="F20" s="450">
        <f>('C4-Sources'!AH21-'C4-Sources'!AI21)/'C4-Sources'!$B21*100</f>
        <v>1.7867059806503822</v>
      </c>
      <c r="G20" s="450">
        <f>('C4-Sources'!AP21-'C4-Sources'!AQ21)/'C4-Sources'!$B21*100</f>
        <v>1.0655899779880416</v>
      </c>
      <c r="H20" s="450">
        <f>('C4-Sources'!AX21-'C4-Sources'!AY21)/'C4-Sources'!$B21*100</f>
        <v>2.0964816495267216</v>
      </c>
      <c r="I20" s="450">
        <f>('C4-Sources'!BF21-'C4-Sources'!BG21)/'C4-Sources'!$B21*100</f>
        <v>4.3668934078739712</v>
      </c>
      <c r="J20" s="450">
        <f>('C4-Sources'!BN21-'C4-Sources'!BO21)/'C4-Sources'!$B21*100</f>
        <v>6.600633467932858</v>
      </c>
      <c r="K20" s="449"/>
      <c r="L20" s="528">
        <f t="shared" si="1"/>
        <v>31.98975377893737</v>
      </c>
      <c r="M20" s="450">
        <f>'C4-Sources'!K21/'C4-Sources'!$B21*100</f>
        <v>14.305419058452888</v>
      </c>
      <c r="N20" s="450">
        <f>'C4-Sources'!S21/'C4-Sources'!$B21*100</f>
        <v>5.3911001349355399</v>
      </c>
      <c r="O20" s="450">
        <f>'C4-Sources'!AA21/'C4-Sources'!$B21*100</f>
        <v>1.5971103104902111</v>
      </c>
      <c r="P20" s="450">
        <f>'C4-Sources'!AI21/'C4-Sources'!$B21*100</f>
        <v>1.6794520580985735</v>
      </c>
      <c r="Q20" s="450">
        <f>'C4-Sources'!AQ21/'C4-Sources'!$B21*100</f>
        <v>1.8735497187879764</v>
      </c>
      <c r="R20" s="450">
        <f>'C4-Sources'!AY21/'C4-Sources'!$B21*100</f>
        <v>1.4004142366528507</v>
      </c>
      <c r="S20" s="450">
        <f>'C4-Sources'!BG21/'C4-Sources'!$B21*100</f>
        <v>1.161977057709684</v>
      </c>
      <c r="T20" s="450">
        <f>'C4-Sources'!BO21/'C4-Sources'!$B21*100</f>
        <v>4.5807312038096484</v>
      </c>
      <c r="V20" s="528">
        <f t="shared" si="2"/>
        <v>21.587663033340874</v>
      </c>
      <c r="W20" s="450">
        <f>'C4-Sources'!L21/'C4-Sources'!$B21*100</f>
        <v>7.7671271845471717</v>
      </c>
      <c r="X20" s="450">
        <f>'C4-Sources'!T21/'C4-Sources'!$B21*100</f>
        <v>4.3757786012850586</v>
      </c>
      <c r="Y20" s="450">
        <f>'C4-Sources'!AB21/'C4-Sources'!$B21*100</f>
        <v>1.4652893968552496</v>
      </c>
      <c r="Z20" s="450">
        <f>'C4-Sources'!AJ21/'C4-Sources'!$B21*100</f>
        <v>1.3801186697289531</v>
      </c>
      <c r="AA20" s="450">
        <f>'C4-Sources'!AR21/'C4-Sources'!$B21*100</f>
        <v>1.6607914852605501</v>
      </c>
      <c r="AB20" s="450">
        <f>'C4-Sources'!AZ21/'C4-Sources'!$B21*100</f>
        <v>1.0787971781522692</v>
      </c>
      <c r="AC20" s="450">
        <f>'C4-Sources'!BH21/'C4-Sources'!$B21*100</f>
        <v>0.65437200683368757</v>
      </c>
      <c r="AD20" s="450">
        <f>'C4-Sources'!BP21/'C4-Sources'!$B21*100</f>
        <v>3.2053885106779401</v>
      </c>
      <c r="AF20" s="528">
        <f t="shared" si="3"/>
        <v>9.3850207684448232</v>
      </c>
      <c r="AG20" s="450">
        <f>'C4-Sources'!M21/'C4-Sources'!$B21*100</f>
        <v>1.8860889677889743</v>
      </c>
      <c r="AH20" s="450">
        <f>'C4-Sources'!U21/'C4-Sources'!$B21*100</f>
        <v>2.2051682947052105</v>
      </c>
      <c r="AI20" s="450">
        <f>'C4-Sources'!AC21/'C4-Sources'!$B21*100</f>
        <v>1.0568138353728136</v>
      </c>
      <c r="AJ20" s="450">
        <f>'C4-Sources'!AK21/'C4-Sources'!$B21*100</f>
        <v>0.77869951055717279</v>
      </c>
      <c r="AK20" s="450">
        <f>'C4-Sources'!AS21/'C4-Sources'!$B21*100</f>
        <v>1.1473354839338041</v>
      </c>
      <c r="AL20" s="450">
        <f>'C4-Sources'!BA21/'C4-Sources'!$B21*100</f>
        <v>0.60460195126183391</v>
      </c>
      <c r="AM20" s="450">
        <f>'C4-Sources'!BI21/'C4-Sources'!$B21*100</f>
        <v>0.17354311551437471</v>
      </c>
      <c r="AN20" s="450">
        <f>'C4-Sources'!BQ21/'C4-Sources'!$B21*100</f>
        <v>1.532769609310638</v>
      </c>
      <c r="AP20" s="528">
        <f t="shared" si="4"/>
        <v>6.7008306748657702</v>
      </c>
      <c r="AQ20" s="450">
        <f>'C4-Sources'!N21/'C4-Sources'!$B21*100</f>
        <v>1.084655303106612</v>
      </c>
      <c r="AR20" s="450">
        <f>'C4-Sources'!V21/'C4-Sources'!$B21*100</f>
        <v>1.5145377094902708</v>
      </c>
      <c r="AS20" s="450">
        <f>'C4-Sources'!AD21/'C4-Sources'!$B21*100</f>
        <v>0.88106838548991373</v>
      </c>
      <c r="AT20" s="450">
        <f>'C4-Sources'!AL21/'C4-Sources'!$B21*100</f>
        <v>0.58659363201511405</v>
      </c>
      <c r="AU20" s="450">
        <f>'C4-Sources'!AT21/'C4-Sources'!$B21*100</f>
        <v>0.95282071504296106</v>
      </c>
      <c r="AV20" s="450">
        <f>'C4-Sources'!BB21/'C4-Sources'!$B21*100</f>
        <v>0.47760321463364613</v>
      </c>
      <c r="AW20" s="450">
        <f>'C4-Sources'!BJ21/'C4-Sources'!$B21*100</f>
        <v>0.10299017068651241</v>
      </c>
      <c r="AX20" s="450">
        <f>'C4-Sources'!BR21/'C4-Sources'!$B21*100</f>
        <v>1.1005615444007402</v>
      </c>
      <c r="AZ20" s="528">
        <f t="shared" si="5"/>
        <v>3.1526002331477141</v>
      </c>
      <c r="BA20" s="450">
        <f>'C4-Sources'!O21/'C4-Sources'!$B21*100</f>
        <v>0.31894473599465845</v>
      </c>
      <c r="BB20" s="450">
        <f>'C4-Sources'!W21/'C4-Sources'!$B21*100</f>
        <v>0.6277870497855188</v>
      </c>
      <c r="BC20" s="450">
        <f>'C4-Sources'!AE21/'C4-Sources'!$B21*100</f>
        <v>0.53718012819496685</v>
      </c>
      <c r="BD20" s="450">
        <f>'C4-Sources'!AM21/'C4-Sources'!$B21*100</f>
        <v>0.29071338328469642</v>
      </c>
      <c r="BE20" s="450">
        <f>'C4-Sources'!AU21/'C4-Sources'!$B21*100</f>
        <v>0.5815006830344186</v>
      </c>
      <c r="BF20" s="450">
        <f>'C4-Sources'!BC21/'C4-Sources'!$B21*100</f>
        <v>0.2711225122115809</v>
      </c>
      <c r="BG20" s="450">
        <f>'C4-Sources'!BK21/'C4-Sources'!$B21*100</f>
        <v>3.2097753187795758E-2</v>
      </c>
      <c r="BH20" s="450">
        <f>'C4-Sources'!BS21/'C4-Sources'!$B21*100</f>
        <v>0.493253987454078</v>
      </c>
      <c r="BJ20" s="528">
        <f t="shared" si="6"/>
        <v>1.0540012650952744</v>
      </c>
      <c r="BK20" s="450">
        <f>'C4-Sources'!P21/'C4-Sources'!$B21*100</f>
        <v>4.2506202235500432E-2</v>
      </c>
      <c r="BL20" s="450">
        <f>'C4-Sources'!X21/'C4-Sources'!$B21*100</f>
        <v>0.17999910480649822</v>
      </c>
      <c r="BM20" s="450">
        <f>'C4-Sources'!AF21/'C4-Sources'!$B21*100</f>
        <v>0.22083132143060402</v>
      </c>
      <c r="BN20" s="450">
        <f>'C4-Sources'!AN21/'C4-Sources'!$B21*100</f>
        <v>9.4038144905816107E-2</v>
      </c>
      <c r="BO20" s="450">
        <f>'C4-Sources'!AV21/'C4-Sources'!$B21*100</f>
        <v>0.24054167300021742</v>
      </c>
      <c r="BP20" s="450">
        <f>'C4-Sources'!BD21/'C4-Sources'!$B21*100</f>
        <v>0.10626099171691934</v>
      </c>
      <c r="BQ20" s="450">
        <f>'C4-Sources'!BL21/'C4-Sources'!$B21*100</f>
        <v>4.9692256164296381E-3</v>
      </c>
      <c r="BR20" s="450">
        <f>'C4-Sources'!BT21/'C4-Sources'!$B21*100</f>
        <v>0.16485460138328914</v>
      </c>
      <c r="BS20" s="453"/>
      <c r="BT20" s="453"/>
      <c r="BU20" s="453"/>
      <c r="BV20" s="453"/>
      <c r="BW20" s="454"/>
      <c r="BX20" s="452"/>
      <c r="BY20" s="452"/>
    </row>
    <row r="21" spans="1:77" s="173" customFormat="1" ht="12" x14ac:dyDescent="0.25">
      <c r="A21" s="239">
        <v>1975</v>
      </c>
      <c r="B21" s="528">
        <f t="shared" si="0"/>
        <v>67.909210782367225</v>
      </c>
      <c r="C21" s="450">
        <f>('C4-Sources'!J22-'C4-Sources'!K22)/'C4-Sources'!$B22*100</f>
        <v>46.708842529714424</v>
      </c>
      <c r="D21" s="450">
        <f>('C4-Sources'!R22-'C4-Sources'!S22)/'C4-Sources'!$B22*100</f>
        <v>4.2409538476185125</v>
      </c>
      <c r="E21" s="450">
        <f>('C4-Sources'!Z22-'C4-Sources'!AA22)/'C4-Sources'!$B22*100</f>
        <v>0.36097821938455743</v>
      </c>
      <c r="F21" s="450">
        <f>('C4-Sources'!AH22-'C4-Sources'!AI22)/'C4-Sources'!$B22*100</f>
        <v>1.8809809646187281</v>
      </c>
      <c r="G21" s="450">
        <f>('C4-Sources'!AP22-'C4-Sources'!AQ22)/'C4-Sources'!$B22*100</f>
        <v>1.3331193224831472</v>
      </c>
      <c r="H21" s="450">
        <f>('C4-Sources'!AX22-'C4-Sources'!AY22)/'C4-Sources'!$B22*100</f>
        <v>1.8649928643234206</v>
      </c>
      <c r="I21" s="450">
        <f>('C4-Sources'!BF22-'C4-Sources'!BG22)/'C4-Sources'!$B22*100</f>
        <v>4.9000625386490286</v>
      </c>
      <c r="J21" s="450">
        <f>('C4-Sources'!BN22-'C4-Sources'!BO22)/'C4-Sources'!$B22*100</f>
        <v>6.6192804955754028</v>
      </c>
      <c r="K21" s="449"/>
      <c r="L21" s="528">
        <f t="shared" si="1"/>
        <v>32.090789217632775</v>
      </c>
      <c r="M21" s="450">
        <f>'C4-Sources'!K22/'C4-Sources'!$B22*100</f>
        <v>14.682032050043524</v>
      </c>
      <c r="N21" s="450">
        <f>'C4-Sources'!S22/'C4-Sources'!$B22*100</f>
        <v>4.6460756466340118</v>
      </c>
      <c r="O21" s="450">
        <f>'C4-Sources'!AA22/'C4-Sources'!$B22*100</f>
        <v>1.5601506190816117</v>
      </c>
      <c r="P21" s="450">
        <f>'C4-Sources'!AI22/'C4-Sources'!$B22*100</f>
        <v>1.6960195912751008</v>
      </c>
      <c r="Q21" s="450">
        <f>'C4-Sources'!AQ22/'C4-Sources'!$B22*100</f>
        <v>2.4055079336905059</v>
      </c>
      <c r="R21" s="450">
        <f>'C4-Sources'!AY22/'C4-Sources'!$B22*100</f>
        <v>1.3231045935059695</v>
      </c>
      <c r="S21" s="450">
        <f>'C4-Sources'!BG22/'C4-Sources'!$B22*100</f>
        <v>1.3552575397278261</v>
      </c>
      <c r="T21" s="450">
        <f>'C4-Sources'!BO22/'C4-Sources'!$B22*100</f>
        <v>4.4226412436742271</v>
      </c>
      <c r="V21" s="528">
        <f t="shared" si="2"/>
        <v>21.613008217838029</v>
      </c>
      <c r="W21" s="450">
        <f>'C4-Sources'!L22/'C4-Sources'!$B22*100</f>
        <v>8.0308216102575845</v>
      </c>
      <c r="X21" s="450">
        <f>'C4-Sources'!T22/'C4-Sources'!$B22*100</f>
        <v>3.7851291178919131</v>
      </c>
      <c r="Y21" s="450">
        <f>'C4-Sources'!AB22/'C4-Sources'!$B22*100</f>
        <v>1.4203918682268193</v>
      </c>
      <c r="Z21" s="450">
        <f>'C4-Sources'!AJ22/'C4-Sources'!$B22*100</f>
        <v>1.374891884189358</v>
      </c>
      <c r="AA21" s="450">
        <f>'C4-Sources'!AR22/'C4-Sources'!$B22*100</f>
        <v>2.1026755377458475</v>
      </c>
      <c r="AB21" s="450">
        <f>'C4-Sources'!AZ22/'C4-Sources'!$B22*100</f>
        <v>1.0145631346415038</v>
      </c>
      <c r="AC21" s="450">
        <f>'C4-Sources'!BH22/'C4-Sources'!$B22*100</f>
        <v>0.758595107714225</v>
      </c>
      <c r="AD21" s="450">
        <f>'C4-Sources'!BP22/'C4-Sources'!$B22*100</f>
        <v>3.1259399571707807</v>
      </c>
      <c r="AF21" s="528">
        <f t="shared" si="3"/>
        <v>9.4064651760773881</v>
      </c>
      <c r="AG21" s="450">
        <f>'C4-Sources'!M22/'C4-Sources'!$B22*100</f>
        <v>2.0275796595600357</v>
      </c>
      <c r="AH21" s="450">
        <f>'C4-Sources'!U22/'C4-Sources'!$B22*100</f>
        <v>1.8617149663523409</v>
      </c>
      <c r="AI21" s="450">
        <f>'C4-Sources'!AC22/'C4-Sources'!$B22*100</f>
        <v>1.0447678979325443</v>
      </c>
      <c r="AJ21" s="450">
        <f>'C4-Sources'!AK22/'C4-Sources'!$B22*100</f>
        <v>0.80268130449207897</v>
      </c>
      <c r="AK21" s="450">
        <f>'C4-Sources'!AS22/'C4-Sources'!$B22*100</f>
        <v>1.4692388977152213</v>
      </c>
      <c r="AL21" s="450">
        <f>'C4-Sources'!BA22/'C4-Sources'!$B22*100</f>
        <v>0.58727141450106712</v>
      </c>
      <c r="AM21" s="450">
        <f>'C4-Sources'!BI22/'C4-Sources'!$B22*100</f>
        <v>0.20501955435811187</v>
      </c>
      <c r="AN21" s="450">
        <f>'C4-Sources'!BQ22/'C4-Sources'!$B22*100</f>
        <v>1.4081914811659881</v>
      </c>
      <c r="AP21" s="528">
        <f t="shared" si="4"/>
        <v>6.7386519843955117</v>
      </c>
      <c r="AQ21" s="450">
        <f>'C4-Sources'!N22/'C4-Sources'!$B22*100</f>
        <v>1.1761431618608986</v>
      </c>
      <c r="AR21" s="450">
        <f>'C4-Sources'!V22/'C4-Sources'!$B22*100</f>
        <v>1.28348128145762</v>
      </c>
      <c r="AS21" s="450">
        <f>'C4-Sources'!AD22/'C4-Sources'!$B22*100</f>
        <v>0.86084123566291271</v>
      </c>
      <c r="AT21" s="450">
        <f>'C4-Sources'!AL22/'C4-Sources'!$B22*100</f>
        <v>0.59292631222116177</v>
      </c>
      <c r="AU21" s="450">
        <f>'C4-Sources'!AT22/'C4-Sources'!$B22*100</f>
        <v>1.2006641622083698</v>
      </c>
      <c r="AV21" s="450">
        <f>'C4-Sources'!BB22/'C4-Sources'!$B22*100</f>
        <v>0.45784824999001761</v>
      </c>
      <c r="AW21" s="450">
        <f>'C4-Sources'!BJ22/'C4-Sources'!$B22*100</f>
        <v>0.11721324919828555</v>
      </c>
      <c r="AX21" s="450">
        <f>'C4-Sources'!BR22/'C4-Sources'!$B22*100</f>
        <v>1.0495343317962464</v>
      </c>
      <c r="AZ21" s="528">
        <f t="shared" si="5"/>
        <v>3.1448412792339457</v>
      </c>
      <c r="BA21" s="450">
        <f>'C4-Sources'!O22/'C4-Sources'!$B22*100</f>
        <v>0.32248238395607787</v>
      </c>
      <c r="BB21" s="450">
        <f>'C4-Sources'!W22/'C4-Sources'!$B22*100</f>
        <v>0.52074885088464418</v>
      </c>
      <c r="BC21" s="450">
        <f>'C4-Sources'!AE22/'C4-Sources'!$B22*100</f>
        <v>0.51587499753505428</v>
      </c>
      <c r="BD21" s="450">
        <f>'C4-Sources'!AM22/'C4-Sources'!$B22*100</f>
        <v>0.2889094200264154</v>
      </c>
      <c r="BE21" s="450">
        <f>'C4-Sources'!AU22/'C4-Sources'!$B22*100</f>
        <v>0.72274869711255441</v>
      </c>
      <c r="BF21" s="450">
        <f>'C4-Sources'!BC22/'C4-Sources'!$B22*100</f>
        <v>0.25668594383266902</v>
      </c>
      <c r="BG21" s="450">
        <f>'C4-Sources'!BK22/'C4-Sources'!$B22*100</f>
        <v>3.4308837981421945E-2</v>
      </c>
      <c r="BH21" s="450">
        <f>'C4-Sources'!BS22/'C4-Sources'!$B22*100</f>
        <v>0.48308214790510845</v>
      </c>
      <c r="BJ21" s="528">
        <f t="shared" si="6"/>
        <v>1.0843791556592637</v>
      </c>
      <c r="BK21" s="450">
        <f>'C4-Sources'!P22/'C4-Sources'!$B22*100</f>
        <v>5.1267125197921294E-2</v>
      </c>
      <c r="BL21" s="450">
        <f>'C4-Sources'!X22/'C4-Sources'!$B22*100</f>
        <v>0.14947437278896028</v>
      </c>
      <c r="BM21" s="450">
        <f>'C4-Sources'!AF22/'C4-Sources'!$B22*100</f>
        <v>0.21110882966772598</v>
      </c>
      <c r="BN21" s="450">
        <f>'C4-Sources'!AN22/'C4-Sources'!$B22*100</f>
        <v>9.2204150330653337E-2</v>
      </c>
      <c r="BO21" s="450">
        <f>'C4-Sources'!AV22/'C4-Sources'!$B22*100</f>
        <v>0.30419165229399597</v>
      </c>
      <c r="BP21" s="450">
        <f>'C4-Sources'!BD22/'C4-Sources'!$B22*100</f>
        <v>0.10301245102558856</v>
      </c>
      <c r="BQ21" s="450">
        <f>'C4-Sources'!BL22/'C4-Sources'!$B22*100</f>
        <v>5.781848214299644E-3</v>
      </c>
      <c r="BR21" s="450">
        <f>'C4-Sources'!BT22/'C4-Sources'!$B22*100</f>
        <v>0.16733872614011852</v>
      </c>
      <c r="BS21" s="453"/>
      <c r="BT21" s="453"/>
      <c r="BU21" s="453"/>
      <c r="BV21" s="453"/>
      <c r="BW21" s="454"/>
      <c r="BX21" s="452"/>
      <c r="BY21" s="452"/>
    </row>
    <row r="22" spans="1:77" s="173" customFormat="1" ht="12" x14ac:dyDescent="0.25">
      <c r="A22" s="239">
        <v>1976</v>
      </c>
      <c r="B22" s="528">
        <f t="shared" si="0"/>
        <v>67.906731615585556</v>
      </c>
      <c r="C22" s="450">
        <f>('C4-Sources'!J23-'C4-Sources'!K23)/'C4-Sources'!$B23*100</f>
        <v>46.619736096193598</v>
      </c>
      <c r="D22" s="450">
        <f>('C4-Sources'!R23-'C4-Sources'!S23)/'C4-Sources'!$B23*100</f>
        <v>4.3352575437637757</v>
      </c>
      <c r="E22" s="450">
        <f>('C4-Sources'!Z23-'C4-Sources'!AA23)/'C4-Sources'!$B23*100</f>
        <v>0.35444701283349633</v>
      </c>
      <c r="F22" s="450">
        <f>('C4-Sources'!AH23-'C4-Sources'!AI23)/'C4-Sources'!$B23*100</f>
        <v>1.851397297215468</v>
      </c>
      <c r="G22" s="450">
        <f>('C4-Sources'!AP23-'C4-Sources'!AQ23)/'C4-Sources'!$B23*100</f>
        <v>1.5190056477736658</v>
      </c>
      <c r="H22" s="450">
        <f>('C4-Sources'!AX23-'C4-Sources'!AY23)/'C4-Sources'!$B23*100</f>
        <v>2.1022875972269937</v>
      </c>
      <c r="I22" s="450">
        <f>('C4-Sources'!BF23-'C4-Sources'!BG23)/'C4-Sources'!$B23*100</f>
        <v>4.4363748136089116</v>
      </c>
      <c r="J22" s="450">
        <f>('C4-Sources'!BN23-'C4-Sources'!BO23)/'C4-Sources'!$B23*100</f>
        <v>6.6882256069696515</v>
      </c>
      <c r="K22" s="449"/>
      <c r="L22" s="528">
        <f t="shared" si="1"/>
        <v>32.093268384414444</v>
      </c>
      <c r="M22" s="450">
        <f>'C4-Sources'!K23/'C4-Sources'!$B23*100</f>
        <v>14.75796626488334</v>
      </c>
      <c r="N22" s="450">
        <f>'C4-Sources'!S23/'C4-Sources'!$B23*100</f>
        <v>4.4303816828023983</v>
      </c>
      <c r="O22" s="450">
        <f>'C4-Sources'!AA23/'C4-Sources'!$B23*100</f>
        <v>1.5646792006628318</v>
      </c>
      <c r="P22" s="450">
        <f>'C4-Sources'!AI23/'C4-Sources'!$B23*100</f>
        <v>1.7831445208966648</v>
      </c>
      <c r="Q22" s="450">
        <f>'C4-Sources'!AQ23/'C4-Sources'!$B23*100</f>
        <v>2.8182094032548499</v>
      </c>
      <c r="R22" s="450">
        <f>'C4-Sources'!AY23/'C4-Sources'!$B23*100</f>
        <v>1.5773720621198042</v>
      </c>
      <c r="S22" s="450">
        <f>'C4-Sources'!BG23/'C4-Sources'!$B23*100</f>
        <v>1.2310749658823021</v>
      </c>
      <c r="T22" s="450">
        <f>'C4-Sources'!BO23/'C4-Sources'!$B23*100</f>
        <v>3.9304402839122483</v>
      </c>
      <c r="V22" s="528">
        <f t="shared" si="2"/>
        <v>21.552334446974196</v>
      </c>
      <c r="W22" s="450">
        <f>'C4-Sources'!L23/'C4-Sources'!$B23*100</f>
        <v>8.0846935850393979</v>
      </c>
      <c r="X22" s="450">
        <f>'C4-Sources'!T23/'C4-Sources'!$B23*100</f>
        <v>3.5439239239851621</v>
      </c>
      <c r="Y22" s="450">
        <f>'C4-Sources'!AB23/'C4-Sources'!$B23*100</f>
        <v>1.4349198980701972</v>
      </c>
      <c r="Z22" s="450">
        <f>'C4-Sources'!AJ23/'C4-Sources'!$B23*100</f>
        <v>1.4334429666082573</v>
      </c>
      <c r="AA22" s="450">
        <f>'C4-Sources'!AR23/'C4-Sources'!$B23*100</f>
        <v>2.4735030900647352</v>
      </c>
      <c r="AB22" s="450">
        <f>'C4-Sources'!AZ23/'C4-Sources'!$B23*100</f>
        <v>1.2212337236167115</v>
      </c>
      <c r="AC22" s="450">
        <f>'C4-Sources'!BH23/'C4-Sources'!$B23*100</f>
        <v>0.69047833491248489</v>
      </c>
      <c r="AD22" s="450">
        <f>'C4-Sources'!BP23/'C4-Sources'!$B23*100</f>
        <v>2.6701389246772496</v>
      </c>
      <c r="AF22" s="528">
        <f t="shared" si="3"/>
        <v>9.4291204392316832</v>
      </c>
      <c r="AG22" s="450">
        <f>'C4-Sources'!M23/'C4-Sources'!$B23*100</f>
        <v>2.0175248032750188</v>
      </c>
      <c r="AH22" s="450">
        <f>'C4-Sources'!U23/'C4-Sources'!$B23*100</f>
        <v>1.7800880030978634</v>
      </c>
      <c r="AI22" s="450">
        <f>'C4-Sources'!AC23/'C4-Sources'!$B23*100</f>
        <v>1.039987337189902</v>
      </c>
      <c r="AJ22" s="450">
        <f>'C4-Sources'!AK23/'C4-Sources'!$B23*100</f>
        <v>0.79512315216489948</v>
      </c>
      <c r="AK22" s="450">
        <f>'C4-Sources'!AS23/'C4-Sources'!$B23*100</f>
        <v>1.7002303140646189</v>
      </c>
      <c r="AL22" s="450">
        <f>'C4-Sources'!BA23/'C4-Sources'!$B23*100</f>
        <v>0.70119636765586657</v>
      </c>
      <c r="AM22" s="450">
        <f>'C4-Sources'!BI23/'C4-Sources'!$B23*100</f>
        <v>0.18706462770527565</v>
      </c>
      <c r="AN22" s="450">
        <f>'C4-Sources'!BQ23/'C4-Sources'!$B23*100</f>
        <v>1.2079058340782374</v>
      </c>
      <c r="AP22" s="528">
        <f t="shared" si="4"/>
        <v>6.7565234892066757</v>
      </c>
      <c r="AQ22" s="450">
        <f>'C4-Sources'!N23/'C4-Sources'!$B23*100</f>
        <v>1.1746116554353743</v>
      </c>
      <c r="AR22" s="450">
        <f>'C4-Sources'!V23/'C4-Sources'!$B23*100</f>
        <v>1.23080130201712</v>
      </c>
      <c r="AS22" s="450">
        <f>'C4-Sources'!AD23/'C4-Sources'!$B23*100</f>
        <v>0.85436159593603977</v>
      </c>
      <c r="AT22" s="450">
        <f>'C4-Sources'!AL23/'C4-Sources'!$B23*100</f>
        <v>0.58623143137880185</v>
      </c>
      <c r="AU22" s="450">
        <f>'C4-Sources'!AT23/'C4-Sources'!$B23*100</f>
        <v>1.3883734023126288</v>
      </c>
      <c r="AV22" s="450">
        <f>'C4-Sources'!BB23/'C4-Sources'!$B23*100</f>
        <v>0.54871053714982632</v>
      </c>
      <c r="AW22" s="450">
        <f>'C4-Sources'!BJ23/'C4-Sources'!$B23*100</f>
        <v>0.1095240201985081</v>
      </c>
      <c r="AX22" s="450">
        <f>'C4-Sources'!BR23/'C4-Sources'!$B23*100</f>
        <v>0.86390954477837556</v>
      </c>
      <c r="AZ22" s="528">
        <f t="shared" si="5"/>
        <v>3.198964804341653</v>
      </c>
      <c r="BA22" s="450">
        <f>'C4-Sources'!O23/'C4-Sources'!$B23*100</f>
        <v>0.34978830403912409</v>
      </c>
      <c r="BB22" s="450">
        <f>'C4-Sources'!W23/'C4-Sources'!$B23*100</f>
        <v>0.49275249199957455</v>
      </c>
      <c r="BC22" s="450">
        <f>'C4-Sources'!AE23/'C4-Sources'!$B23*100</f>
        <v>0.51733013588393373</v>
      </c>
      <c r="BD22" s="450">
        <f>'C4-Sources'!AM23/'C4-Sources'!$B23*100</f>
        <v>0.2824913381740235</v>
      </c>
      <c r="BE22" s="450">
        <f>'C4-Sources'!AU23/'C4-Sources'!$B23*100</f>
        <v>0.84035877365863221</v>
      </c>
      <c r="BF22" s="450">
        <f>'C4-Sources'!BC23/'C4-Sources'!$B23*100</f>
        <v>0.31151413781190307</v>
      </c>
      <c r="BG22" s="450">
        <f>'C4-Sources'!BK23/'C4-Sources'!$B23*100</f>
        <v>3.2886069861578229E-2</v>
      </c>
      <c r="BH22" s="450">
        <f>'C4-Sources'!BS23/'C4-Sources'!$B23*100</f>
        <v>0.37184355291288385</v>
      </c>
      <c r="BJ22" s="528">
        <f t="shared" si="6"/>
        <v>1.1206420006358788</v>
      </c>
      <c r="BK22" s="450">
        <f>'C4-Sources'!P23/'C4-Sources'!$B23*100</f>
        <v>5.3197118286124577E-2</v>
      </c>
      <c r="BL22" s="450">
        <f>'C4-Sources'!X23/'C4-Sources'!$B23*100</f>
        <v>0.15626041050940467</v>
      </c>
      <c r="BM22" s="450">
        <f>'C4-Sources'!AF23/'C4-Sources'!$B23*100</f>
        <v>0.20980822598702289</v>
      </c>
      <c r="BN22" s="450">
        <f>'C4-Sources'!AN23/'C4-Sources'!$B23*100</f>
        <v>9.5253411181721981E-2</v>
      </c>
      <c r="BO22" s="450">
        <f>'C4-Sources'!AV23/'C4-Sources'!$B23*100</f>
        <v>0.34794363196857381</v>
      </c>
      <c r="BP22" s="450">
        <f>'C4-Sources'!BD23/'C4-Sources'!$B23*100</f>
        <v>0.12447093174775911</v>
      </c>
      <c r="BQ22" s="450">
        <f>'C4-Sources'!BL23/'C4-Sources'!$B23*100</f>
        <v>5.3546184488817705E-3</v>
      </c>
      <c r="BR22" s="450">
        <f>'C4-Sources'!BT23/'C4-Sources'!$B23*100</f>
        <v>0.12835365250639014</v>
      </c>
      <c r="BS22" s="453"/>
      <c r="BT22" s="453"/>
      <c r="BU22" s="453"/>
      <c r="BV22" s="453"/>
      <c r="BW22" s="454"/>
      <c r="BX22" s="452"/>
      <c r="BY22" s="452"/>
    </row>
    <row r="23" spans="1:77" s="173" customFormat="1" ht="12" x14ac:dyDescent="0.25">
      <c r="A23" s="239">
        <v>1977</v>
      </c>
      <c r="B23" s="528">
        <f t="shared" si="0"/>
        <v>68.124148998876763</v>
      </c>
      <c r="C23" s="450">
        <f>('C4-Sources'!J24-'C4-Sources'!K24)/'C4-Sources'!$B24*100</f>
        <v>46.58323090091789</v>
      </c>
      <c r="D23" s="450">
        <f>('C4-Sources'!R24-'C4-Sources'!S24)/'C4-Sources'!$B24*100</f>
        <v>4.2847879815360095</v>
      </c>
      <c r="E23" s="450">
        <f>('C4-Sources'!Z24-'C4-Sources'!AA24)/'C4-Sources'!$B24*100</f>
        <v>0.36199880594821865</v>
      </c>
      <c r="F23" s="450">
        <f>('C4-Sources'!AH24-'C4-Sources'!AI24)/'C4-Sources'!$B24*100</f>
        <v>1.9792456890245775</v>
      </c>
      <c r="G23" s="450">
        <f>('C4-Sources'!AP24-'C4-Sources'!AQ24)/'C4-Sources'!$B24*100</f>
        <v>1.7545596454990591</v>
      </c>
      <c r="H23" s="450">
        <f>('C4-Sources'!AX24-'C4-Sources'!AY24)/'C4-Sources'!$B24*100</f>
        <v>2.2760754065592974</v>
      </c>
      <c r="I23" s="450">
        <f>('C4-Sources'!BF24-'C4-Sources'!BG24)/'C4-Sources'!$B24*100</f>
        <v>4.8250848655659828</v>
      </c>
      <c r="J23" s="450">
        <f>('C4-Sources'!BN24-'C4-Sources'!BO24)/'C4-Sources'!$B24*100</f>
        <v>6.0591657038257241</v>
      </c>
      <c r="K23" s="449"/>
      <c r="L23" s="528">
        <f t="shared" si="1"/>
        <v>31.875851001123237</v>
      </c>
      <c r="M23" s="450">
        <f>'C4-Sources'!K24/'C4-Sources'!$B24*100</f>
        <v>14.622794214940877</v>
      </c>
      <c r="N23" s="450">
        <f>'C4-Sources'!S24/'C4-Sources'!$B24*100</f>
        <v>4.3674788792213013</v>
      </c>
      <c r="O23" s="450">
        <f>'C4-Sources'!AA24/'C4-Sources'!$B24*100</f>
        <v>1.5125131872906179</v>
      </c>
      <c r="P23" s="450">
        <f>'C4-Sources'!AI24/'C4-Sources'!$B24*100</f>
        <v>1.6833014954730912</v>
      </c>
      <c r="Q23" s="450">
        <f>'C4-Sources'!AQ24/'C4-Sources'!$B24*100</f>
        <v>3.0586520509259132</v>
      </c>
      <c r="R23" s="450">
        <f>'C4-Sources'!AY24/'C4-Sources'!$B24*100</f>
        <v>1.5325514638494486</v>
      </c>
      <c r="S23" s="450">
        <f>'C4-Sources'!BG24/'C4-Sources'!$B24*100</f>
        <v>1.2972625968556992</v>
      </c>
      <c r="T23" s="450">
        <f>'C4-Sources'!BO24/'C4-Sources'!$B24*100</f>
        <v>3.8012971125662895</v>
      </c>
      <c r="V23" s="528">
        <f t="shared" si="2"/>
        <v>21.549669425106398</v>
      </c>
      <c r="W23" s="450">
        <f>'C4-Sources'!L24/'C4-Sources'!$B24*100</f>
        <v>8.0657885063882446</v>
      </c>
      <c r="X23" s="450">
        <f>'C4-Sources'!T24/'C4-Sources'!$B24*100</f>
        <v>3.5151074785393233</v>
      </c>
      <c r="Y23" s="450">
        <f>'C4-Sources'!AB24/'C4-Sources'!$B24*100</f>
        <v>1.3880157837296676</v>
      </c>
      <c r="Z23" s="450">
        <f>'C4-Sources'!AJ24/'C4-Sources'!$B24*100</f>
        <v>1.3579646791674607</v>
      </c>
      <c r="AA23" s="450">
        <f>'C4-Sources'!AR24/'C4-Sources'!$B24*100</f>
        <v>2.677835988207411</v>
      </c>
      <c r="AB23" s="450">
        <f>'C4-Sources'!AZ24/'C4-Sources'!$B24*100</f>
        <v>1.1677444880467538</v>
      </c>
      <c r="AC23" s="450">
        <f>'C4-Sources'!BH24/'C4-Sources'!$B24*100</f>
        <v>0.75053376927912974</v>
      </c>
      <c r="AD23" s="450">
        <f>'C4-Sources'!BP24/'C4-Sources'!$B24*100</f>
        <v>2.6266787317484068</v>
      </c>
      <c r="AF23" s="528">
        <f t="shared" si="3"/>
        <v>9.4899274095405453</v>
      </c>
      <c r="AG23" s="450">
        <f>'C4-Sources'!M24/'C4-Sources'!$B24*100</f>
        <v>2.076099117263063</v>
      </c>
      <c r="AH23" s="450">
        <f>'C4-Sources'!U24/'C4-Sources'!$B24*100</f>
        <v>1.7287922621521807</v>
      </c>
      <c r="AI23" s="450">
        <f>'C4-Sources'!AC24/'C4-Sources'!$B24*100</f>
        <v>1.003910643351825</v>
      </c>
      <c r="AJ23" s="450">
        <f>'C4-Sources'!AK24/'C4-Sources'!$B24*100</f>
        <v>0.76636030463487936</v>
      </c>
      <c r="AK23" s="450">
        <f>'C4-Sources'!AS24/'C4-Sources'!$B24*100</f>
        <v>1.8317667507179665</v>
      </c>
      <c r="AL23" s="450">
        <f>'C4-Sources'!BA24/'C4-Sources'!$B24*100</f>
        <v>0.65368603218686872</v>
      </c>
      <c r="AM23" s="450">
        <f>'C4-Sources'!BI24/'C4-Sources'!$B24*100</f>
        <v>0.20420687681977184</v>
      </c>
      <c r="AN23" s="450">
        <f>'C4-Sources'!BQ24/'C4-Sources'!$B24*100</f>
        <v>1.2251054224139915</v>
      </c>
      <c r="AP23" s="528">
        <f t="shared" si="4"/>
        <v>6.8417311362055129</v>
      </c>
      <c r="AQ23" s="450">
        <f>'C4-Sources'!N24/'C4-Sources'!$B24*100</f>
        <v>1.2203615428045527</v>
      </c>
      <c r="AR23" s="450">
        <f>'C4-Sources'!V24/'C4-Sources'!$B24*100</f>
        <v>1.1955116038193594</v>
      </c>
      <c r="AS23" s="450">
        <f>'C4-Sources'!AD24/'C4-Sources'!$B24*100</f>
        <v>0.82792947391560523</v>
      </c>
      <c r="AT23" s="450">
        <f>'C4-Sources'!AL24/'C4-Sources'!$B24*100</f>
        <v>0.56824840501947915</v>
      </c>
      <c r="AU23" s="450">
        <f>'C4-Sources'!AT24/'C4-Sources'!$B24*100</f>
        <v>1.4994437549770436</v>
      </c>
      <c r="AV23" s="450">
        <f>'C4-Sources'!BB24/'C4-Sources'!$B24*100</f>
        <v>0.5089873414026278</v>
      </c>
      <c r="AW23" s="450">
        <f>'C4-Sources'!BJ24/'C4-Sources'!$B24*100</f>
        <v>0.11888069513172674</v>
      </c>
      <c r="AX23" s="450">
        <f>'C4-Sources'!BR24/'C4-Sources'!$B24*100</f>
        <v>0.90236831913511839</v>
      </c>
      <c r="AZ23" s="528">
        <f t="shared" si="5"/>
        <v>3.2513755664686368</v>
      </c>
      <c r="BA23" s="450">
        <f>'C4-Sources'!O24/'C4-Sources'!$B24*100</f>
        <v>0.36281500529448257</v>
      </c>
      <c r="BB23" s="450">
        <f>'C4-Sources'!W24/'C4-Sources'!$B24*100</f>
        <v>0.50022603352063433</v>
      </c>
      <c r="BC23" s="450">
        <f>'C4-Sources'!AE24/'C4-Sources'!$B24*100</f>
        <v>0.49955394151462051</v>
      </c>
      <c r="BD23" s="450">
        <f>'C4-Sources'!AM24/'C4-Sources'!$B24*100</f>
        <v>0.28202371310033614</v>
      </c>
      <c r="BE23" s="450">
        <f>'C4-Sources'!AU24/'C4-Sources'!$B24*100</f>
        <v>0.90363318505666679</v>
      </c>
      <c r="BF23" s="450">
        <f>'C4-Sources'!BC24/'C4-Sources'!$B24*100</f>
        <v>0.2849532829363069</v>
      </c>
      <c r="BG23" s="450">
        <f>'C4-Sources'!BK24/'C4-Sources'!$B24*100</f>
        <v>3.5749171069060261E-2</v>
      </c>
      <c r="BH23" s="450">
        <f>'C4-Sources'!BS24/'C4-Sources'!$B24*100</f>
        <v>0.38242123397652883</v>
      </c>
      <c r="BJ23" s="528">
        <f t="shared" si="6"/>
        <v>1.1454569778084429</v>
      </c>
      <c r="BK23" s="450">
        <f>'C4-Sources'!P24/'C4-Sources'!$B24*100</f>
        <v>5.6542361134044671E-2</v>
      </c>
      <c r="BL23" s="450">
        <f>'C4-Sources'!X24/'C4-Sources'!$B24*100</f>
        <v>0.15509672971630528</v>
      </c>
      <c r="BM23" s="450">
        <f>'C4-Sources'!AF24/'C4-Sources'!$B24*100</f>
        <v>0.2060667039764397</v>
      </c>
      <c r="BN23" s="450">
        <f>'C4-Sources'!AN24/'C4-Sources'!$B24*100</f>
        <v>9.1964754480577407E-2</v>
      </c>
      <c r="BO23" s="450">
        <f>'C4-Sources'!AV24/'C4-Sources'!$B24*100</f>
        <v>0.38175172103870919</v>
      </c>
      <c r="BP23" s="450">
        <f>'C4-Sources'!BD24/'C4-Sources'!$B24*100</f>
        <v>0.11437975798076216</v>
      </c>
      <c r="BQ23" s="450">
        <f>'C4-Sources'!BL24/'C4-Sources'!$B24*100</f>
        <v>5.5486592424817604E-3</v>
      </c>
      <c r="BR23" s="450">
        <f>'C4-Sources'!BT24/'C4-Sources'!$B24*100</f>
        <v>0.13410629023912263</v>
      </c>
      <c r="BS23" s="453"/>
      <c r="BT23" s="453"/>
      <c r="BU23" s="453"/>
      <c r="BV23" s="453"/>
      <c r="BW23" s="454"/>
      <c r="BX23" s="452"/>
      <c r="BY23" s="452"/>
    </row>
    <row r="24" spans="1:77" s="173" customFormat="1" ht="12" x14ac:dyDescent="0.25">
      <c r="A24" s="239">
        <v>1978</v>
      </c>
      <c r="B24" s="528">
        <f t="shared" si="0"/>
        <v>68.21203368593028</v>
      </c>
      <c r="C24" s="450">
        <f>('C4-Sources'!J25-'C4-Sources'!K25)/'C4-Sources'!$B25*100</f>
        <v>46.621634452636698</v>
      </c>
      <c r="D24" s="450">
        <f>('C4-Sources'!R25-'C4-Sources'!S25)/'C4-Sources'!$B25*100</f>
        <v>4.407540399355832</v>
      </c>
      <c r="E24" s="450">
        <f>('C4-Sources'!Z25-'C4-Sources'!AA25)/'C4-Sources'!$B25*100</f>
        <v>0.3697520653740195</v>
      </c>
      <c r="F24" s="450">
        <f>('C4-Sources'!AH25-'C4-Sources'!AI25)/'C4-Sources'!$B25*100</f>
        <v>1.9853529664294884</v>
      </c>
      <c r="G24" s="450">
        <f>('C4-Sources'!AP25-'C4-Sources'!AQ25)/'C4-Sources'!$B25*100</f>
        <v>1.9540571720138553</v>
      </c>
      <c r="H24" s="450">
        <f>('C4-Sources'!AX25-'C4-Sources'!AY25)/'C4-Sources'!$B25*100</f>
        <v>2.3367674962977181</v>
      </c>
      <c r="I24" s="450">
        <f>('C4-Sources'!BF25-'C4-Sources'!BG25)/'C4-Sources'!$B25*100</f>
        <v>4.7068325415584313</v>
      </c>
      <c r="J24" s="450">
        <f>('C4-Sources'!BN25-'C4-Sources'!BO25)/'C4-Sources'!$B25*100</f>
        <v>5.8300965922642334</v>
      </c>
      <c r="K24" s="449"/>
      <c r="L24" s="528">
        <f t="shared" si="1"/>
        <v>31.787966314069728</v>
      </c>
      <c r="M24" s="450">
        <f>'C4-Sources'!K25/'C4-Sources'!$B25*100</f>
        <v>14.79503442020488</v>
      </c>
      <c r="N24" s="450">
        <f>'C4-Sources'!S25/'C4-Sources'!$B25*100</f>
        <v>4.3610249146043474</v>
      </c>
      <c r="O24" s="450">
        <f>'C4-Sources'!AA25/'C4-Sources'!$B25*100</f>
        <v>1.4834870323144704</v>
      </c>
      <c r="P24" s="450">
        <f>'C4-Sources'!AI25/'C4-Sources'!$B25*100</f>
        <v>1.6424836408084156</v>
      </c>
      <c r="Q24" s="450">
        <f>'C4-Sources'!AQ25/'C4-Sources'!$B25*100</f>
        <v>3.1159507162051949</v>
      </c>
      <c r="R24" s="450">
        <f>'C4-Sources'!AY25/'C4-Sources'!$B25*100</f>
        <v>1.4984241525259037</v>
      </c>
      <c r="S24" s="450">
        <f>'C4-Sources'!BG25/'C4-Sources'!$B25*100</f>
        <v>1.2783627937069437</v>
      </c>
      <c r="T24" s="450">
        <f>'C4-Sources'!BO25/'C4-Sources'!$B25*100</f>
        <v>3.6131986436995716</v>
      </c>
      <c r="V24" s="528">
        <f t="shared" si="2"/>
        <v>21.370818972812557</v>
      </c>
      <c r="W24" s="450">
        <f>'C4-Sources'!L25/'C4-Sources'!$B25*100</f>
        <v>8.2647248716624535</v>
      </c>
      <c r="X24" s="450">
        <f>'C4-Sources'!T25/'C4-Sources'!$B25*100</f>
        <v>3.4556029896989102</v>
      </c>
      <c r="Y24" s="450">
        <f>'C4-Sources'!AB25/'C4-Sources'!$B25*100</f>
        <v>1.3462844319083807</v>
      </c>
      <c r="Z24" s="450">
        <f>'C4-Sources'!AJ25/'C4-Sources'!$B25*100</f>
        <v>1.3012886178273004</v>
      </c>
      <c r="AA24" s="450">
        <f>'C4-Sources'!AR25/'C4-Sources'!$B25*100</f>
        <v>2.6816077972146997</v>
      </c>
      <c r="AB24" s="450">
        <f>'C4-Sources'!AZ25/'C4-Sources'!$B25*100</f>
        <v>1.1200891950973011</v>
      </c>
      <c r="AC24" s="450">
        <f>'C4-Sources'!BH25/'C4-Sources'!$B25*100</f>
        <v>0.73148872148712385</v>
      </c>
      <c r="AD24" s="450">
        <f>'C4-Sources'!BP25/'C4-Sources'!$B25*100</f>
        <v>2.4697323479163891</v>
      </c>
      <c r="AF24" s="528">
        <f t="shared" si="3"/>
        <v>9.3930708108198662</v>
      </c>
      <c r="AG24" s="450">
        <f>'C4-Sources'!M25/'C4-Sources'!$B25*100</f>
        <v>2.2315975331286113</v>
      </c>
      <c r="AH24" s="450">
        <f>'C4-Sources'!U25/'C4-Sources'!$B25*100</f>
        <v>1.6843582287586023</v>
      </c>
      <c r="AI24" s="450">
        <f>'C4-Sources'!AC25/'C4-Sources'!$B25*100</f>
        <v>0.98075058329348852</v>
      </c>
      <c r="AJ24" s="450">
        <f>'C4-Sources'!AK25/'C4-Sources'!$B25*100</f>
        <v>0.73240519248394431</v>
      </c>
      <c r="AK24" s="450">
        <f>'C4-Sources'!AS25/'C4-Sources'!$B25*100</f>
        <v>1.8347460544522656</v>
      </c>
      <c r="AL24" s="450">
        <f>'C4-Sources'!BA25/'C4-Sources'!$B25*100</f>
        <v>0.61926317320771407</v>
      </c>
      <c r="AM24" s="450">
        <f>'C4-Sources'!BI25/'C4-Sources'!$B25*100</f>
        <v>0.20083007587120497</v>
      </c>
      <c r="AN24" s="450">
        <f>'C4-Sources'!BQ25/'C4-Sources'!$B25*100</f>
        <v>1.1091199696240359</v>
      </c>
      <c r="AP24" s="528">
        <f t="shared" si="4"/>
        <v>6.7772997783337212</v>
      </c>
      <c r="AQ24" s="450">
        <f>'C4-Sources'!N25/'C4-Sources'!$B25*100</f>
        <v>1.3087375051614891</v>
      </c>
      <c r="AR24" s="450">
        <f>'C4-Sources'!V25/'C4-Sources'!$B25*100</f>
        <v>1.1824880993916189</v>
      </c>
      <c r="AS24" s="450">
        <f>'C4-Sources'!AD25/'C4-Sources'!$B25*100</f>
        <v>0.81331658174443777</v>
      </c>
      <c r="AT24" s="450">
        <f>'C4-Sources'!AL25/'C4-Sources'!$B25*100</f>
        <v>0.56347827415984264</v>
      </c>
      <c r="AU24" s="450">
        <f>'C4-Sources'!AT25/'C4-Sources'!$B25*100</f>
        <v>1.5042454938281804</v>
      </c>
      <c r="AV24" s="450">
        <f>'C4-Sources'!BB25/'C4-Sources'!$B25*100</f>
        <v>0.48329851071322305</v>
      </c>
      <c r="AW24" s="450">
        <f>'C4-Sources'!BJ25/'C4-Sources'!$B25*100</f>
        <v>0.11786706075966032</v>
      </c>
      <c r="AX24" s="450">
        <f>'C4-Sources'!BR25/'C4-Sources'!$B25*100</f>
        <v>0.80386825257526862</v>
      </c>
      <c r="AZ24" s="528">
        <f t="shared" si="5"/>
        <v>3.241274626908063</v>
      </c>
      <c r="BA24" s="450">
        <f>'C4-Sources'!O25/'C4-Sources'!$B25*100</f>
        <v>0.38738963500355211</v>
      </c>
      <c r="BB24" s="450">
        <f>'C4-Sources'!W25/'C4-Sources'!$B25*100</f>
        <v>0.5178101113558915</v>
      </c>
      <c r="BC24" s="450">
        <f>'C4-Sources'!AE25/'C4-Sources'!$B25*100</f>
        <v>0.49627631372069292</v>
      </c>
      <c r="BD24" s="450">
        <f>'C4-Sources'!AM25/'C4-Sources'!$B25*100</f>
        <v>0.28943409866917563</v>
      </c>
      <c r="BE24" s="450">
        <f>'C4-Sources'!AU25/'C4-Sources'!$B25*100</f>
        <v>0.90799064481088287</v>
      </c>
      <c r="BF24" s="450">
        <f>'C4-Sources'!BC25/'C4-Sources'!$B25*100</f>
        <v>0.26951947715372371</v>
      </c>
      <c r="BG24" s="450">
        <f>'C4-Sources'!BK25/'C4-Sources'!$B25*100</f>
        <v>3.6318563474103192E-2</v>
      </c>
      <c r="BH24" s="450">
        <f>'C4-Sources'!BS25/'C4-Sources'!$B25*100</f>
        <v>0.33653578272004103</v>
      </c>
      <c r="BJ24" s="528">
        <f t="shared" si="6"/>
        <v>1.130341343183688</v>
      </c>
      <c r="BK24" s="450">
        <f>'C4-Sources'!P25/'C4-Sources'!$B25*100</f>
        <v>6.4362616214498708E-2</v>
      </c>
      <c r="BL24" s="450">
        <f>'C4-Sources'!X25/'C4-Sources'!$B25*100</f>
        <v>0.16331614939865044</v>
      </c>
      <c r="BM24" s="450">
        <f>'C4-Sources'!AF25/'C4-Sources'!$B25*100</f>
        <v>0.20741905527535634</v>
      </c>
      <c r="BN24" s="450">
        <f>'C4-Sources'!AN25/'C4-Sources'!$B25*100</f>
        <v>9.7331200465020626E-2</v>
      </c>
      <c r="BO24" s="450">
        <f>'C4-Sources'!AV25/'C4-Sources'!$B25*100</f>
        <v>0.37780232334041058</v>
      </c>
      <c r="BP24" s="450">
        <f>'C4-Sources'!BD25/'C4-Sources'!$B25*100</f>
        <v>0.10645880293918292</v>
      </c>
      <c r="BQ24" s="450">
        <f>'C4-Sources'!BL25/'C4-Sources'!$B25*100</f>
        <v>5.9580553817714975E-3</v>
      </c>
      <c r="BR24" s="450">
        <f>'C4-Sources'!BT25/'C4-Sources'!$B25*100</f>
        <v>0.10769314016879677</v>
      </c>
      <c r="BS24" s="453"/>
      <c r="BT24" s="453"/>
      <c r="BU24" s="453"/>
      <c r="BV24" s="453"/>
      <c r="BW24" s="454"/>
      <c r="BX24" s="452"/>
      <c r="BY24" s="452"/>
    </row>
    <row r="25" spans="1:77" s="173" customFormat="1" ht="12" x14ac:dyDescent="0.25">
      <c r="A25" s="239">
        <v>1979</v>
      </c>
      <c r="B25" s="528">
        <f t="shared" si="0"/>
        <v>68.167136927174312</v>
      </c>
      <c r="C25" s="450">
        <f>('C4-Sources'!J26-'C4-Sources'!K26)/'C4-Sources'!$B26*100</f>
        <v>47.100257621616507</v>
      </c>
      <c r="D25" s="450">
        <f>('C4-Sources'!R26-'C4-Sources'!S26)/'C4-Sources'!$B26*100</f>
        <v>4.3343585282417534</v>
      </c>
      <c r="E25" s="450">
        <f>('C4-Sources'!Z26-'C4-Sources'!AA26)/'C4-Sources'!$B26*100</f>
        <v>0.35865742767358993</v>
      </c>
      <c r="F25" s="450">
        <f>('C4-Sources'!AH26-'C4-Sources'!AI26)/'C4-Sources'!$B26*100</f>
        <v>2.1784063829470761</v>
      </c>
      <c r="G25" s="450">
        <f>('C4-Sources'!AP26-'C4-Sources'!AQ26)/'C4-Sources'!$B26*100</f>
        <v>1.7190465092427789</v>
      </c>
      <c r="H25" s="450">
        <f>('C4-Sources'!AX26-'C4-Sources'!AY26)/'C4-Sources'!$B26*100</f>
        <v>2.1732673405444518</v>
      </c>
      <c r="I25" s="450">
        <f>('C4-Sources'!BF26-'C4-Sources'!BG26)/'C4-Sources'!$B26*100</f>
        <v>4.893448740161034</v>
      </c>
      <c r="J25" s="450">
        <f>('C4-Sources'!BN26-'C4-Sources'!BO26)/'C4-Sources'!$B26*100</f>
        <v>5.4096943767471313</v>
      </c>
      <c r="K25" s="449"/>
      <c r="L25" s="528">
        <f t="shared" si="1"/>
        <v>31.832863072825674</v>
      </c>
      <c r="M25" s="450">
        <f>'C4-Sources'!K26/'C4-Sources'!$B26*100</f>
        <v>15.101705274181651</v>
      </c>
      <c r="N25" s="450">
        <f>'C4-Sources'!S26/'C4-Sources'!$B26*100</f>
        <v>4.224124203126375</v>
      </c>
      <c r="O25" s="450">
        <f>'C4-Sources'!AA26/'C4-Sources'!$B26*100</f>
        <v>1.4472679877432302</v>
      </c>
      <c r="P25" s="450">
        <f>'C4-Sources'!AI26/'C4-Sources'!$B26*100</f>
        <v>1.7637331801100411</v>
      </c>
      <c r="Q25" s="450">
        <f>'C4-Sources'!AQ26/'C4-Sources'!$B26*100</f>
        <v>2.7932800637601192</v>
      </c>
      <c r="R25" s="450">
        <f>'C4-Sources'!AY26/'C4-Sources'!$B26*100</f>
        <v>1.4179919801106384</v>
      </c>
      <c r="S25" s="450">
        <f>'C4-Sources'!BG26/'C4-Sources'!$B26*100</f>
        <v>1.3512094062703599</v>
      </c>
      <c r="T25" s="450">
        <f>'C4-Sources'!BO26/'C4-Sources'!$B26*100</f>
        <v>3.7335509775232598</v>
      </c>
      <c r="V25" s="528">
        <f t="shared" si="2"/>
        <v>21.500927546015468</v>
      </c>
      <c r="W25" s="450">
        <f>'C4-Sources'!L26/'C4-Sources'!$B26*100</f>
        <v>8.4639590807565437</v>
      </c>
      <c r="X25" s="450">
        <f>'C4-Sources'!T26/'C4-Sources'!$B26*100</f>
        <v>3.4160716599090417</v>
      </c>
      <c r="Y25" s="450">
        <f>'C4-Sources'!AB26/'C4-Sources'!$B26*100</f>
        <v>1.322831450996262</v>
      </c>
      <c r="Z25" s="450">
        <f>'C4-Sources'!AJ26/'C4-Sources'!$B26*100</f>
        <v>1.4191216933155262</v>
      </c>
      <c r="AA25" s="450">
        <f>'C4-Sources'!AR26/'C4-Sources'!$B26*100</f>
        <v>2.4334519619218051</v>
      </c>
      <c r="AB25" s="450">
        <f>'C4-Sources'!AZ26/'C4-Sources'!$B26*100</f>
        <v>1.076572920330372</v>
      </c>
      <c r="AC25" s="450">
        <f>'C4-Sources'!BH26/'C4-Sources'!$B26*100</f>
        <v>0.77730805818578297</v>
      </c>
      <c r="AD25" s="450">
        <f>'C4-Sources'!BP26/'C4-Sources'!$B26*100</f>
        <v>2.5916107206001366</v>
      </c>
      <c r="AF25" s="528">
        <f t="shared" si="3"/>
        <v>9.4899986792237208</v>
      </c>
      <c r="AG25" s="450">
        <f>'C4-Sources'!M26/'C4-Sources'!$B26*100</f>
        <v>2.3137332511172226</v>
      </c>
      <c r="AH25" s="450">
        <f>'C4-Sources'!U26/'C4-Sources'!$B26*100</f>
        <v>1.7154176726734454</v>
      </c>
      <c r="AI25" s="450">
        <f>'C4-Sources'!AC26/'C4-Sources'!$B26*100</f>
        <v>0.96191537021439755</v>
      </c>
      <c r="AJ25" s="450">
        <f>'C4-Sources'!AK26/'C4-Sources'!$B26*100</f>
        <v>0.80250058463517282</v>
      </c>
      <c r="AK25" s="450">
        <f>'C4-Sources'!AS26/'C4-Sources'!$B26*100</f>
        <v>1.6923838252151027</v>
      </c>
      <c r="AL25" s="450">
        <f>'C4-Sources'!BA26/'C4-Sources'!$B26*100</f>
        <v>0.60943477223818987</v>
      </c>
      <c r="AM25" s="450">
        <f>'C4-Sources'!BI26/'C4-Sources'!$B26*100</f>
        <v>0.21848849552460128</v>
      </c>
      <c r="AN25" s="450">
        <f>'C4-Sources'!BQ26/'C4-Sources'!$B26*100</f>
        <v>1.1761247076055881</v>
      </c>
      <c r="AP25" s="528">
        <f t="shared" si="4"/>
        <v>6.8784388788198054</v>
      </c>
      <c r="AQ25" s="450">
        <f>'C4-Sources'!N26/'C4-Sources'!$B26*100</f>
        <v>1.3776347216547704</v>
      </c>
      <c r="AR25" s="450">
        <f>'C4-Sources'!V26/'C4-Sources'!$B26*100</f>
        <v>1.2089358130313521</v>
      </c>
      <c r="AS25" s="450">
        <f>'C4-Sources'!AD26/'C4-Sources'!$B26*100</f>
        <v>0.79841961306777121</v>
      </c>
      <c r="AT25" s="450">
        <f>'C4-Sources'!AL26/'C4-Sources'!$B26*100</f>
        <v>0.60689052889960526</v>
      </c>
      <c r="AU25" s="450">
        <f>'C4-Sources'!AT26/'C4-Sources'!$B26*100</f>
        <v>1.4042283623353131</v>
      </c>
      <c r="AV25" s="450">
        <f>'C4-Sources'!BB26/'C4-Sources'!$B26*100</f>
        <v>0.47981213979398396</v>
      </c>
      <c r="AW25" s="450">
        <f>'C4-Sources'!BJ26/'C4-Sources'!$B26*100</f>
        <v>0.12964960338573892</v>
      </c>
      <c r="AX25" s="450">
        <f>'C4-Sources'!BR26/'C4-Sources'!$B26*100</f>
        <v>0.87286809665126919</v>
      </c>
      <c r="AZ25" s="528">
        <f t="shared" si="5"/>
        <v>3.3450541624270089</v>
      </c>
      <c r="BA25" s="450">
        <f>'C4-Sources'!O26/'C4-Sources'!$B26*100</f>
        <v>0.42590714163024324</v>
      </c>
      <c r="BB25" s="450">
        <f>'C4-Sources'!W26/'C4-Sources'!$B26*100</f>
        <v>0.52815748087777858</v>
      </c>
      <c r="BC25" s="450">
        <f>'C4-Sources'!AE26/'C4-Sources'!$B26*100</f>
        <v>0.48769437953121503</v>
      </c>
      <c r="BD25" s="450">
        <f>'C4-Sources'!AM26/'C4-Sources'!$B26*100</f>
        <v>0.30954421648093605</v>
      </c>
      <c r="BE25" s="450">
        <f>'C4-Sources'!AU26/'C4-Sources'!$B26*100</f>
        <v>0.87060022237296386</v>
      </c>
      <c r="BF25" s="450">
        <f>'C4-Sources'!BC26/'C4-Sources'!$B26*100</f>
        <v>0.27436035378530421</v>
      </c>
      <c r="BG25" s="450">
        <f>'C4-Sources'!BK26/'C4-Sources'!$B26*100</f>
        <v>4.0939241460287726E-2</v>
      </c>
      <c r="BH25" s="450">
        <f>'C4-Sources'!BS26/'C4-Sources'!$B26*100</f>
        <v>0.4078511262882803</v>
      </c>
      <c r="BJ25" s="528">
        <f t="shared" si="6"/>
        <v>1.206170914281179</v>
      </c>
      <c r="BK25" s="450">
        <f>'C4-Sources'!P26/'C4-Sources'!$B26*100</f>
        <v>7.3430449571671955E-2</v>
      </c>
      <c r="BL25" s="450">
        <f>'C4-Sources'!X26/'C4-Sources'!$B26*100</f>
        <v>0.17584017312198416</v>
      </c>
      <c r="BM25" s="450">
        <f>'C4-Sources'!AF26/'C4-Sources'!$B26*100</f>
        <v>0.20289490060282372</v>
      </c>
      <c r="BN25" s="450">
        <f>'C4-Sources'!AN26/'C4-Sources'!$B26*100</f>
        <v>0.10376986304142698</v>
      </c>
      <c r="BO25" s="450">
        <f>'C4-Sources'!AV26/'C4-Sources'!$B26*100</f>
        <v>0.38066957753474523</v>
      </c>
      <c r="BP25" s="450">
        <f>'C4-Sources'!BD26/'C4-Sources'!$B26*100</f>
        <v>0.11345590394730612</v>
      </c>
      <c r="BQ25" s="450">
        <f>'C4-Sources'!BL26/'C4-Sources'!$B26*100</f>
        <v>6.9826543691168304E-3</v>
      </c>
      <c r="BR25" s="450">
        <f>'C4-Sources'!BT26/'C4-Sources'!$B26*100</f>
        <v>0.14912739209210377</v>
      </c>
      <c r="BS25" s="453"/>
      <c r="BT25" s="453"/>
      <c r="BU25" s="453"/>
      <c r="BV25" s="453"/>
      <c r="BW25" s="454"/>
      <c r="BX25" s="452"/>
      <c r="BY25" s="452"/>
    </row>
    <row r="26" spans="1:77" s="173" customFormat="1" ht="12" x14ac:dyDescent="0.25">
      <c r="A26" s="239">
        <v>1980</v>
      </c>
      <c r="B26" s="528">
        <f t="shared" si="0"/>
        <v>68.014983590371756</v>
      </c>
      <c r="C26" s="450">
        <f>('C4-Sources'!J27-'C4-Sources'!K27)/'C4-Sources'!$B27*100</f>
        <v>47.087779634540937</v>
      </c>
      <c r="D26" s="450">
        <f>('C4-Sources'!R27-'C4-Sources'!S27)/'C4-Sources'!$B27*100</f>
        <v>3.9634630006408504</v>
      </c>
      <c r="E26" s="450">
        <f>('C4-Sources'!Z27-'C4-Sources'!AA27)/'C4-Sources'!$B27*100</f>
        <v>0.42445775841485545</v>
      </c>
      <c r="F26" s="450">
        <f>('C4-Sources'!AH27-'C4-Sources'!AI27)/'C4-Sources'!$B27*100</f>
        <v>2.7787872137949794</v>
      </c>
      <c r="G26" s="450">
        <f>('C4-Sources'!AP27-'C4-Sources'!AQ27)/'C4-Sources'!$B27*100</f>
        <v>1.1445066532082011</v>
      </c>
      <c r="H26" s="450">
        <f>('C4-Sources'!AX27-'C4-Sources'!AY27)/'C4-Sources'!$B27*100</f>
        <v>1.844522770271761</v>
      </c>
      <c r="I26" s="450">
        <f>('C4-Sources'!BF27-'C4-Sources'!BG27)/'C4-Sources'!$B27*100</f>
        <v>5.2819293604457318</v>
      </c>
      <c r="J26" s="450">
        <f>('C4-Sources'!BN27-'C4-Sources'!BO27)/'C4-Sources'!$B27*100</f>
        <v>5.4895371990544488</v>
      </c>
      <c r="K26" s="449"/>
      <c r="L26" s="528">
        <f t="shared" si="1"/>
        <v>31.98501640962823</v>
      </c>
      <c r="M26" s="450">
        <f>'C4-Sources'!K27/'C4-Sources'!$B27*100</f>
        <v>16.119957898717391</v>
      </c>
      <c r="N26" s="450">
        <f>'C4-Sources'!S27/'C4-Sources'!$B27*100</f>
        <v>3.6993453402415408</v>
      </c>
      <c r="O26" s="450">
        <f>'C4-Sources'!AA27/'C4-Sources'!$B27*100</f>
        <v>1.5028621065327055</v>
      </c>
      <c r="P26" s="450">
        <f>'C4-Sources'!AI27/'C4-Sources'!$B27*100</f>
        <v>2.0859183579360732</v>
      </c>
      <c r="Q26" s="450">
        <f>'C4-Sources'!AQ27/'C4-Sources'!$B27*100</f>
        <v>1.8347816123011877</v>
      </c>
      <c r="R26" s="450">
        <f>'C4-Sources'!AY27/'C4-Sources'!$B27*100</f>
        <v>1.2659695593784568</v>
      </c>
      <c r="S26" s="450">
        <f>'C4-Sources'!BG27/'C4-Sources'!$B27*100</f>
        <v>1.546745320409824</v>
      </c>
      <c r="T26" s="450">
        <f>'C4-Sources'!BO27/'C4-Sources'!$B27*100</f>
        <v>3.929436214111051</v>
      </c>
      <c r="V26" s="528">
        <f t="shared" si="2"/>
        <v>21.468684908911492</v>
      </c>
      <c r="W26" s="450">
        <f>'C4-Sources'!L27/'C4-Sources'!$B27*100</f>
        <v>9.1726412458834972</v>
      </c>
      <c r="X26" s="450">
        <f>'C4-Sources'!T27/'C4-Sources'!$B27*100</f>
        <v>2.9848953749504448</v>
      </c>
      <c r="Y26" s="450">
        <f>'C4-Sources'!AB27/'C4-Sources'!$B27*100</f>
        <v>1.3732364792046976</v>
      </c>
      <c r="Z26" s="450">
        <f>'C4-Sources'!AJ27/'C4-Sources'!$B27*100</f>
        <v>1.645227525278941</v>
      </c>
      <c r="AA26" s="450">
        <f>'C4-Sources'!AR27/'C4-Sources'!$B27*100</f>
        <v>1.6033876016590409</v>
      </c>
      <c r="AB26" s="450">
        <f>'C4-Sources'!AZ27/'C4-Sources'!$B27*100</f>
        <v>0.96811214467774254</v>
      </c>
      <c r="AC26" s="450">
        <f>'C4-Sources'!BH27/'C4-Sources'!$B27*100</f>
        <v>0.89793150366602525</v>
      </c>
      <c r="AD26" s="450">
        <f>'C4-Sources'!BP27/'C4-Sources'!$B27*100</f>
        <v>2.8232530335911021</v>
      </c>
      <c r="AF26" s="528">
        <f t="shared" si="3"/>
        <v>9.261465973160032</v>
      </c>
      <c r="AG26" s="450">
        <f>'C4-Sources'!M27/'C4-Sources'!$B27*100</f>
        <v>2.5442787843437684</v>
      </c>
      <c r="AH26" s="450">
        <f>'C4-Sources'!U27/'C4-Sources'!$B27*100</f>
        <v>1.5510567983298167</v>
      </c>
      <c r="AI26" s="450">
        <f>'C4-Sources'!AC27/'C4-Sources'!$B27*100</f>
        <v>0.98738463919489461</v>
      </c>
      <c r="AJ26" s="450">
        <f>'C4-Sources'!AK27/'C4-Sources'!$B27*100</f>
        <v>0.89816503206556575</v>
      </c>
      <c r="AK26" s="450">
        <f>'C4-Sources'!AS27/'C4-Sources'!$B27*100</f>
        <v>1.102246385804029</v>
      </c>
      <c r="AL26" s="450">
        <f>'C4-Sources'!BA27/'C4-Sources'!$B27*100</f>
        <v>0.54810395559503455</v>
      </c>
      <c r="AM26" s="450">
        <f>'C4-Sources'!BI27/'C4-Sources'!$B27*100</f>
        <v>0.25982326819565477</v>
      </c>
      <c r="AN26" s="450">
        <f>'C4-Sources'!BQ27/'C4-Sources'!$B27*100</f>
        <v>1.3704071096312684</v>
      </c>
      <c r="AP26" s="528">
        <f t="shared" si="4"/>
        <v>6.6476322943533273</v>
      </c>
      <c r="AQ26" s="450">
        <f>'C4-Sources'!N27/'C4-Sources'!$B27*100</f>
        <v>1.5345834841303558</v>
      </c>
      <c r="AR26" s="450">
        <f>'C4-Sources'!V27/'C4-Sources'!$B27*100</f>
        <v>1.1162059441551688</v>
      </c>
      <c r="AS26" s="450">
        <f>'C4-Sources'!AD27/'C4-Sources'!$B27*100</f>
        <v>0.80570348418311755</v>
      </c>
      <c r="AT26" s="450">
        <f>'C4-Sources'!AL27/'C4-Sources'!$B27*100</f>
        <v>0.68057951115138038</v>
      </c>
      <c r="AU26" s="450">
        <f>'C4-Sources'!AT27/'C4-Sources'!$B27*100</f>
        <v>0.90006769208726378</v>
      </c>
      <c r="AV26" s="450">
        <f>'C4-Sources'!BB27/'C4-Sources'!$B27*100</f>
        <v>0.42837684416715138</v>
      </c>
      <c r="AW26" s="450">
        <f>'C4-Sources'!BJ27/'C4-Sources'!$B27*100</f>
        <v>0.15475350551437855</v>
      </c>
      <c r="AX26" s="450">
        <f>'C4-Sources'!BR27/'C4-Sources'!$B27*100</f>
        <v>1.027361828964511</v>
      </c>
      <c r="AZ26" s="528">
        <f t="shared" si="5"/>
        <v>3.1603826630484404</v>
      </c>
      <c r="BA26" s="450">
        <f>'C4-Sources'!O27/'C4-Sources'!$B27*100</f>
        <v>0.49637755767413727</v>
      </c>
      <c r="BB26" s="450">
        <f>'C4-Sources'!W27/'C4-Sources'!$B27*100</f>
        <v>0.5097238447001109</v>
      </c>
      <c r="BC26" s="450">
        <f>'C4-Sources'!AE27/'C4-Sources'!$B27*100</f>
        <v>0.47576765612179434</v>
      </c>
      <c r="BD26" s="450">
        <f>'C4-Sources'!AM27/'C4-Sources'!$B27*100</f>
        <v>0.34451246055391693</v>
      </c>
      <c r="BE26" s="450">
        <f>'C4-Sources'!AU27/'C4-Sources'!$B27*100</f>
        <v>0.53906531997856488</v>
      </c>
      <c r="BF26" s="450">
        <f>'C4-Sources'!BC27/'C4-Sources'!$B27*100</f>
        <v>0.23947113009003268</v>
      </c>
      <c r="BG26" s="450">
        <f>'C4-Sources'!BK27/'C4-Sources'!$B27*100</f>
        <v>4.9495531715689663E-2</v>
      </c>
      <c r="BH26" s="450">
        <f>'C4-Sources'!BS27/'C4-Sources'!$B27*100</f>
        <v>0.50596916221419419</v>
      </c>
      <c r="BJ26" s="528">
        <f t="shared" si="6"/>
        <v>1.1126773946758959</v>
      </c>
      <c r="BK26" s="450">
        <f>'C4-Sources'!P27/'C4-Sources'!$B27*100</f>
        <v>9.3231930222985385E-2</v>
      </c>
      <c r="BL26" s="450">
        <f>'C4-Sources'!X27/'C4-Sources'!$B27*100</f>
        <v>0.17602834355657526</v>
      </c>
      <c r="BM26" s="450">
        <f>'C4-Sources'!AF27/'C4-Sources'!$B27*100</f>
        <v>0.20288465177126144</v>
      </c>
      <c r="BN26" s="450">
        <f>'C4-Sources'!AN27/'C4-Sources'!$B27*100</f>
        <v>0.11775685049008708</v>
      </c>
      <c r="BO26" s="450">
        <f>'C4-Sources'!AV27/'C4-Sources'!$B27*100</f>
        <v>0.23366357491741174</v>
      </c>
      <c r="BP26" s="450">
        <f>'C4-Sources'!BD27/'C4-Sources'!$B27*100</f>
        <v>9.8824184100362242E-2</v>
      </c>
      <c r="BQ26" s="450">
        <f>'C4-Sources'!BL27/'C4-Sources'!$B27*100</f>
        <v>9.3520841819467321E-3</v>
      </c>
      <c r="BR26" s="450">
        <f>'C4-Sources'!BT27/'C4-Sources'!$B27*100</f>
        <v>0.18093577543526593</v>
      </c>
      <c r="BS26" s="453"/>
      <c r="BT26" s="453"/>
      <c r="BU26" s="453"/>
      <c r="BV26" s="453"/>
      <c r="BW26" s="454"/>
      <c r="BX26" s="452"/>
      <c r="BY26" s="452"/>
    </row>
    <row r="27" spans="1:77" s="173" customFormat="1" ht="12" x14ac:dyDescent="0.25">
      <c r="A27" s="239">
        <v>1981</v>
      </c>
      <c r="B27" s="528">
        <f t="shared" si="0"/>
        <v>68.239211902897182</v>
      </c>
      <c r="C27" s="450">
        <f>('C4-Sources'!J28-'C4-Sources'!K28)/'C4-Sources'!$B28*100</f>
        <v>46.384707503605874</v>
      </c>
      <c r="D27" s="450">
        <f>('C4-Sources'!R28-'C4-Sources'!S28)/'C4-Sources'!$B28*100</f>
        <v>3.8832989832523439</v>
      </c>
      <c r="E27" s="450">
        <f>('C4-Sources'!Z28-'C4-Sources'!AA28)/'C4-Sources'!$B28*100</f>
        <v>0.58198655242534869</v>
      </c>
      <c r="F27" s="450">
        <f>('C4-Sources'!AH28-'C4-Sources'!AI28)/'C4-Sources'!$B28*100</f>
        <v>3.2318981446351347</v>
      </c>
      <c r="G27" s="450">
        <f>('C4-Sources'!AP28-'C4-Sources'!AQ28)/'C4-Sources'!$B28*100</f>
        <v>1.3971126460765724</v>
      </c>
      <c r="H27" s="450">
        <f>('C4-Sources'!AX28-'C4-Sources'!AY28)/'C4-Sources'!$B28*100</f>
        <v>1.5975729004435599</v>
      </c>
      <c r="I27" s="450">
        <f>('C4-Sources'!BF28-'C4-Sources'!BG28)/'C4-Sources'!$B28*100</f>
        <v>5.1011860415194201</v>
      </c>
      <c r="J27" s="450">
        <f>('C4-Sources'!BN28-'C4-Sources'!BO28)/'C4-Sources'!$B28*100</f>
        <v>6.0614491309389296</v>
      </c>
      <c r="K27" s="449"/>
      <c r="L27" s="528">
        <f t="shared" si="1"/>
        <v>31.760788097102829</v>
      </c>
      <c r="M27" s="450">
        <f>'C4-Sources'!K28/'C4-Sources'!$B28*100</f>
        <v>15.951870142190232</v>
      </c>
      <c r="N27" s="450">
        <f>'C4-Sources'!S28/'C4-Sources'!$B28*100</f>
        <v>3.4192471877790176</v>
      </c>
      <c r="O27" s="450">
        <f>'C4-Sources'!AA28/'C4-Sources'!$B28*100</f>
        <v>1.5946962655565691</v>
      </c>
      <c r="P27" s="450">
        <f>'C4-Sources'!AI28/'C4-Sources'!$B28*100</f>
        <v>2.5888966102414797</v>
      </c>
      <c r="Q27" s="450">
        <f>'C4-Sources'!AQ28/'C4-Sources'!$B28*100</f>
        <v>1.8870402082335251</v>
      </c>
      <c r="R27" s="450">
        <f>'C4-Sources'!AY28/'C4-Sources'!$B28*100</f>
        <v>0.98551201047059478</v>
      </c>
      <c r="S27" s="450">
        <f>'C4-Sources'!BG28/'C4-Sources'!$B28*100</f>
        <v>1.4601823269295962</v>
      </c>
      <c r="T27" s="450">
        <f>'C4-Sources'!BO28/'C4-Sources'!$B28*100</f>
        <v>3.8733433457018109</v>
      </c>
      <c r="V27" s="528">
        <f t="shared" si="2"/>
        <v>21.160880887787314</v>
      </c>
      <c r="W27" s="450">
        <f>'C4-Sources'!L28/'C4-Sources'!$B28*100</f>
        <v>9.0075370907952443</v>
      </c>
      <c r="X27" s="450">
        <f>'C4-Sources'!T28/'C4-Sources'!$B28*100</f>
        <v>2.7680215719543679</v>
      </c>
      <c r="Y27" s="450">
        <f>'C4-Sources'!AB28/'C4-Sources'!$B28*100</f>
        <v>1.4263465154984438</v>
      </c>
      <c r="Z27" s="450">
        <f>'C4-Sources'!AJ28/'C4-Sources'!$B28*100</f>
        <v>2.0285308066455547</v>
      </c>
      <c r="AA27" s="450">
        <f>'C4-Sources'!AR28/'C4-Sources'!$B28*100</f>
        <v>1.6071651762497066</v>
      </c>
      <c r="AB27" s="450">
        <f>'C4-Sources'!AZ28/'C4-Sources'!$B28*100</f>
        <v>0.72701966023333864</v>
      </c>
      <c r="AC27" s="450">
        <f>'C4-Sources'!BH28/'C4-Sources'!$B28*100</f>
        <v>0.83892988811906044</v>
      </c>
      <c r="AD27" s="450">
        <f>'C4-Sources'!BP28/'C4-Sources'!$B28*100</f>
        <v>2.7573301782915958</v>
      </c>
      <c r="AF27" s="528">
        <f t="shared" si="3"/>
        <v>8.9262196264253166</v>
      </c>
      <c r="AG27" s="450">
        <f>'C4-Sources'!M28/'C4-Sources'!$B28*100</f>
        <v>2.5548339788645285</v>
      </c>
      <c r="AH27" s="450">
        <f>'C4-Sources'!U28/'C4-Sources'!$B28*100</f>
        <v>1.4515780181549072</v>
      </c>
      <c r="AI27" s="450">
        <f>'C4-Sources'!AC28/'C4-Sources'!$B28*100</f>
        <v>0.94857602655944784</v>
      </c>
      <c r="AJ27" s="450">
        <f>'C4-Sources'!AK28/'C4-Sources'!$B28*100</f>
        <v>1.0849298578304567</v>
      </c>
      <c r="AK27" s="450">
        <f>'C4-Sources'!AS28/'C4-Sources'!$B28*100</f>
        <v>1.047213613658426</v>
      </c>
      <c r="AL27" s="450">
        <f>'C4-Sources'!BA28/'C4-Sources'!$B28*100</f>
        <v>0.38443538132627764</v>
      </c>
      <c r="AM27" s="450">
        <f>'C4-Sources'!BI28/'C4-Sources'!$B28*100</f>
        <v>0.23436928390291734</v>
      </c>
      <c r="AN27" s="450">
        <f>'C4-Sources'!BQ28/'C4-Sources'!$B28*100</f>
        <v>1.2202834661283544</v>
      </c>
      <c r="AP27" s="528">
        <f t="shared" si="4"/>
        <v>6.3630557549413762</v>
      </c>
      <c r="AQ27" s="450">
        <f>'C4-Sources'!N28/'C4-Sources'!$B28*100</f>
        <v>1.5597390282824244</v>
      </c>
      <c r="AR27" s="450">
        <f>'C4-Sources'!V28/'C4-Sources'!$B28*100</f>
        <v>1.0503170849488996</v>
      </c>
      <c r="AS27" s="450">
        <f>'C4-Sources'!AD28/'C4-Sources'!$B28*100</f>
        <v>0.75791079307138631</v>
      </c>
      <c r="AT27" s="450">
        <f>'C4-Sources'!AL28/'C4-Sources'!$B28*100</f>
        <v>0.8095161369473991</v>
      </c>
      <c r="AU27" s="450">
        <f>'C4-Sources'!AT28/'C4-Sources'!$B28*100</f>
        <v>0.84797724340038794</v>
      </c>
      <c r="AV27" s="450">
        <f>'C4-Sources'!BB28/'C4-Sources'!$B28*100</f>
        <v>0.29497372597191457</v>
      </c>
      <c r="AW27" s="450">
        <f>'C4-Sources'!BJ28/'C4-Sources'!$B28*100</f>
        <v>0.14090567785396593</v>
      </c>
      <c r="AX27" s="450">
        <f>'C4-Sources'!BR28/'C4-Sources'!$B28*100</f>
        <v>0.90171606446499808</v>
      </c>
      <c r="AZ27" s="528">
        <f t="shared" si="5"/>
        <v>3.002145020196608</v>
      </c>
      <c r="BA27" s="450">
        <f>'C4-Sources'!O28/'C4-Sources'!$B28*100</f>
        <v>0.50814156190617643</v>
      </c>
      <c r="BB27" s="450">
        <f>'C4-Sources'!W28/'C4-Sources'!$B28*100</f>
        <v>0.5069505559881996</v>
      </c>
      <c r="BC27" s="450">
        <f>'C4-Sources'!AE28/'C4-Sources'!$B28*100</f>
        <v>0.4410751538363924</v>
      </c>
      <c r="BD27" s="450">
        <f>'C4-Sources'!AM28/'C4-Sources'!$B28*100</f>
        <v>0.41707581717744663</v>
      </c>
      <c r="BE27" s="450">
        <f>'C4-Sources'!AU28/'C4-Sources'!$B28*100</f>
        <v>0.50646667517599453</v>
      </c>
      <c r="BF27" s="450">
        <f>'C4-Sources'!BC28/'C4-Sources'!$B28*100</f>
        <v>0.16208136289819405</v>
      </c>
      <c r="BG27" s="450">
        <f>'C4-Sources'!BK28/'C4-Sources'!$B28*100</f>
        <v>4.457330964212125E-2</v>
      </c>
      <c r="BH27" s="450">
        <f>'C4-Sources'!BS28/'C4-Sources'!$B28*100</f>
        <v>0.41578058357208342</v>
      </c>
      <c r="BJ27" s="528">
        <f t="shared" si="6"/>
        <v>1.0495172584856538</v>
      </c>
      <c r="BK27" s="450">
        <f>'C4-Sources'!P28/'C4-Sources'!$B28*100</f>
        <v>9.833478423098628E-2</v>
      </c>
      <c r="BL27" s="450">
        <f>'C4-Sources'!X28/'C4-Sources'!$B28*100</f>
        <v>0.18500577606072724</v>
      </c>
      <c r="BM27" s="450">
        <f>'C4-Sources'!AF28/'C4-Sources'!$B28*100</f>
        <v>0.18925944616287252</v>
      </c>
      <c r="BN27" s="450">
        <f>'C4-Sources'!AN28/'C4-Sources'!$B28*100</f>
        <v>0.14585878459037271</v>
      </c>
      <c r="BO27" s="450">
        <f>'C4-Sources'!AV28/'C4-Sources'!$B28*100</f>
        <v>0.22131052746940813</v>
      </c>
      <c r="BP27" s="450">
        <f>'C4-Sources'!BD28/'C4-Sources'!$B28*100</f>
        <v>6.6575522492625119E-2</v>
      </c>
      <c r="BQ27" s="450">
        <f>'C4-Sources'!BL28/'C4-Sources'!$B28*100</f>
        <v>8.7161389421879301E-3</v>
      </c>
      <c r="BR27" s="450">
        <f>'C4-Sources'!BT28/'C4-Sources'!$B28*100</f>
        <v>0.13445627853647399</v>
      </c>
      <c r="BS27" s="453"/>
      <c r="BT27" s="453"/>
      <c r="BU27" s="453"/>
      <c r="BV27" s="453"/>
      <c r="BW27" s="454"/>
      <c r="BX27" s="452"/>
      <c r="BY27" s="452"/>
    </row>
    <row r="28" spans="1:77" s="173" customFormat="1" ht="12" x14ac:dyDescent="0.25">
      <c r="A28" s="239">
        <v>1982</v>
      </c>
      <c r="B28" s="528">
        <f t="shared" si="0"/>
        <v>67.858286896544712</v>
      </c>
      <c r="C28" s="450">
        <f>('C4-Sources'!J29-'C4-Sources'!K29)/'C4-Sources'!$B29*100</f>
        <v>45.271565020149239</v>
      </c>
      <c r="D28" s="450">
        <f>('C4-Sources'!R29-'C4-Sources'!S29)/'C4-Sources'!$B29*100</f>
        <v>3.8263155339506252</v>
      </c>
      <c r="E28" s="450">
        <f>('C4-Sources'!Z29-'C4-Sources'!AA29)/'C4-Sources'!$B29*100</f>
        <v>0.57378040216156689</v>
      </c>
      <c r="F28" s="450">
        <f>('C4-Sources'!AH29-'C4-Sources'!AI29)/'C4-Sources'!$B29*100</f>
        <v>3.5919898776110641</v>
      </c>
      <c r="G28" s="450">
        <f>('C4-Sources'!AP29-'C4-Sources'!AQ29)/'C4-Sources'!$B29*100</f>
        <v>1.3188774775933367</v>
      </c>
      <c r="H28" s="450">
        <f>('C4-Sources'!AX29-'C4-Sources'!AY29)/'C4-Sources'!$B29*100</f>
        <v>1.1177797874026802</v>
      </c>
      <c r="I28" s="450">
        <f>('C4-Sources'!BF29-'C4-Sources'!BG29)/'C4-Sources'!$B29*100</f>
        <v>5.6900106568765807</v>
      </c>
      <c r="J28" s="450">
        <f>('C4-Sources'!BN29-'C4-Sources'!BO29)/'C4-Sources'!$B29*100</f>
        <v>6.4679681407996057</v>
      </c>
      <c r="K28" s="449"/>
      <c r="L28" s="528">
        <f t="shared" si="1"/>
        <v>32.141713103455302</v>
      </c>
      <c r="M28" s="450">
        <f>'C4-Sources'!K29/'C4-Sources'!$B29*100</f>
        <v>17.185244855839731</v>
      </c>
      <c r="N28" s="450">
        <f>'C4-Sources'!S29/'C4-Sources'!$B29*100</f>
        <v>3.2273244254962767</v>
      </c>
      <c r="O28" s="450">
        <f>'C4-Sources'!AA29/'C4-Sources'!$B29*100</f>
        <v>1.6144678230199632</v>
      </c>
      <c r="P28" s="450">
        <f>'C4-Sources'!AI29/'C4-Sources'!$B29*100</f>
        <v>2.6950083695947211</v>
      </c>
      <c r="Q28" s="450">
        <f>'C4-Sources'!AQ29/'C4-Sources'!$B29*100</f>
        <v>1.6962466305310373</v>
      </c>
      <c r="R28" s="450">
        <f>'C4-Sources'!AY29/'C4-Sources'!$B29*100</f>
        <v>0.68808387764638002</v>
      </c>
      <c r="S28" s="450">
        <f>'C4-Sources'!BG29/'C4-Sources'!$B29*100</f>
        <v>1.8081521777633704</v>
      </c>
      <c r="T28" s="450">
        <f>'C4-Sources'!BO29/'C4-Sources'!$B29*100</f>
        <v>3.2271849435638189</v>
      </c>
      <c r="V28" s="528">
        <f t="shared" si="2"/>
        <v>21.324506812950812</v>
      </c>
      <c r="W28" s="450">
        <f>'C4-Sources'!L29/'C4-Sources'!$B29*100</f>
        <v>9.7835927698272211</v>
      </c>
      <c r="X28" s="450">
        <f>'C4-Sources'!T29/'C4-Sources'!$B29*100</f>
        <v>2.6521917557685351</v>
      </c>
      <c r="Y28" s="450">
        <f>'C4-Sources'!AB29/'C4-Sources'!$B29*100</f>
        <v>1.4471218711866101</v>
      </c>
      <c r="Z28" s="450">
        <f>'C4-Sources'!AJ29/'C4-Sources'!$B29*100</f>
        <v>2.1325199049211871</v>
      </c>
      <c r="AA28" s="450">
        <f>'C4-Sources'!AR29/'C4-Sources'!$B29*100</f>
        <v>1.4377107433461866</v>
      </c>
      <c r="AB28" s="450">
        <f>'C4-Sources'!AZ29/'C4-Sources'!$B29*100</f>
        <v>0.50427524573280491</v>
      </c>
      <c r="AC28" s="450">
        <f>'C4-Sources'!BH29/'C4-Sources'!$B29*100</f>
        <v>1.024257927351687</v>
      </c>
      <c r="AD28" s="450">
        <f>'C4-Sources'!BP29/'C4-Sources'!$B29*100</f>
        <v>2.3428365948165752</v>
      </c>
      <c r="AF28" s="528">
        <f t="shared" si="3"/>
        <v>9.0401597762518424</v>
      </c>
      <c r="AG28" s="450">
        <f>'C4-Sources'!M29/'C4-Sources'!$B29*100</f>
        <v>2.8694279979093911</v>
      </c>
      <c r="AH28" s="450">
        <f>'C4-Sources'!U29/'C4-Sources'!$B29*100</f>
        <v>1.4590740753327847</v>
      </c>
      <c r="AI28" s="450">
        <f>'C4-Sources'!AC29/'C4-Sources'!$B29*100</f>
        <v>0.97399443226130233</v>
      </c>
      <c r="AJ28" s="450">
        <f>'C4-Sources'!AK29/'C4-Sources'!$B29*100</f>
        <v>1.1463548655088081</v>
      </c>
      <c r="AK28" s="450">
        <f>'C4-Sources'!AS29/'C4-Sources'!$B29*100</f>
        <v>0.94491669499300912</v>
      </c>
      <c r="AL28" s="450">
        <f>'C4-Sources'!BA29/'C4-Sources'!$B29*100</f>
        <v>0.26697514619389823</v>
      </c>
      <c r="AM28" s="450">
        <f>'C4-Sources'!BI29/'C4-Sources'!$B29*100</f>
        <v>0.29225098017677587</v>
      </c>
      <c r="AN28" s="450">
        <f>'C4-Sources'!BQ29/'C4-Sources'!$B29*100</f>
        <v>1.0871655838758731</v>
      </c>
      <c r="AP28" s="528">
        <f t="shared" si="4"/>
        <v>6.5051876582263493</v>
      </c>
      <c r="AQ28" s="450">
        <f>'C4-Sources'!N29/'C4-Sources'!$B29*100</f>
        <v>1.770535359550172</v>
      </c>
      <c r="AR28" s="450">
        <f>'C4-Sources'!V29/'C4-Sources'!$B29*100</f>
        <v>1.1013882317138968</v>
      </c>
      <c r="AS28" s="450">
        <f>'C4-Sources'!AD29/'C4-Sources'!$B29*100</f>
        <v>0.79655579272876387</v>
      </c>
      <c r="AT28" s="450">
        <f>'C4-Sources'!AL29/'C4-Sources'!$B29*100</f>
        <v>0.85287444261803558</v>
      </c>
      <c r="AU28" s="450">
        <f>'C4-Sources'!AT29/'C4-Sources'!$B29*100</f>
        <v>0.77817459567759562</v>
      </c>
      <c r="AV28" s="450">
        <f>'C4-Sources'!BB29/'C4-Sources'!$B29*100</f>
        <v>0.20688328151565258</v>
      </c>
      <c r="AW28" s="450">
        <f>'C4-Sources'!BJ29/'C4-Sources'!$B29*100</f>
        <v>0.17603157864636262</v>
      </c>
      <c r="AX28" s="450">
        <f>'C4-Sources'!BR29/'C4-Sources'!$B29*100</f>
        <v>0.82274437577586967</v>
      </c>
      <c r="AZ28" s="528">
        <f t="shared" si="5"/>
        <v>3.1660146995153351</v>
      </c>
      <c r="BA28" s="450">
        <f>'C4-Sources'!O29/'C4-Sources'!$B29*100</f>
        <v>0.56626778202413308</v>
      </c>
      <c r="BB28" s="450">
        <f>'C4-Sources'!W29/'C4-Sources'!$B29*100</f>
        <v>0.57747257646856209</v>
      </c>
      <c r="BC28" s="450">
        <f>'C4-Sources'!AE29/'C4-Sources'!$B29*100</f>
        <v>0.49794215079309695</v>
      </c>
      <c r="BD28" s="450">
        <f>'C4-Sources'!AM29/'C4-Sources'!$B29*100</f>
        <v>0.46913632391029464</v>
      </c>
      <c r="BE28" s="450">
        <f>'C4-Sources'!AU29/'C4-Sources'!$B29*100</f>
        <v>0.49317337301910452</v>
      </c>
      <c r="BF28" s="450">
        <f>'C4-Sources'!BC29/'C4-Sources'!$B29*100</f>
        <v>0.1200299866143614</v>
      </c>
      <c r="BG28" s="450">
        <f>'C4-Sources'!BK29/'C4-Sources'!$B29*100</f>
        <v>5.5474309344550873E-2</v>
      </c>
      <c r="BH28" s="450">
        <f>'C4-Sources'!BS29/'C4-Sources'!$B29*100</f>
        <v>0.38651819734123172</v>
      </c>
      <c r="BJ28" s="528">
        <f t="shared" si="6"/>
        <v>1.141116649965034</v>
      </c>
      <c r="BK28" s="450">
        <f>'C4-Sources'!P29/'C4-Sources'!$B29*100</f>
        <v>0.1130106062719598</v>
      </c>
      <c r="BL28" s="450">
        <f>'C4-Sources'!X29/'C4-Sources'!$B29*100</f>
        <v>0.230851262468663</v>
      </c>
      <c r="BM28" s="450">
        <f>'C4-Sources'!AF29/'C4-Sources'!$B29*100</f>
        <v>0.21352787329182796</v>
      </c>
      <c r="BN28" s="450">
        <f>'C4-Sources'!AN29/'C4-Sources'!$B29*100</f>
        <v>0.18032263999753198</v>
      </c>
      <c r="BO28" s="450">
        <f>'C4-Sources'!AV29/'C4-Sources'!$B29*100</f>
        <v>0.21756137568777942</v>
      </c>
      <c r="BP28" s="450">
        <f>'C4-Sources'!BD29/'C4-Sources'!$B29*100</f>
        <v>5.0151414799596748E-2</v>
      </c>
      <c r="BQ28" s="450">
        <f>'C4-Sources'!BL29/'C4-Sources'!$B29*100</f>
        <v>1.0774913112391014E-2</v>
      </c>
      <c r="BR28" s="450">
        <f>'C4-Sources'!BT29/'C4-Sources'!$B29*100</f>
        <v>0.12491656433528417</v>
      </c>
      <c r="BS28" s="453"/>
      <c r="BT28" s="453"/>
      <c r="BU28" s="453"/>
      <c r="BV28" s="453"/>
      <c r="BW28" s="454"/>
      <c r="BX28" s="452"/>
      <c r="BY28" s="452"/>
    </row>
    <row r="29" spans="1:77" s="173" customFormat="1" ht="12" x14ac:dyDescent="0.25">
      <c r="A29" s="239">
        <v>1983</v>
      </c>
      <c r="B29" s="528">
        <f t="shared" si="0"/>
        <v>67.63259713024766</v>
      </c>
      <c r="C29" s="450">
        <f>('C4-Sources'!J30-'C4-Sources'!K30)/'C4-Sources'!$B30*100</f>
        <v>44.031324894632171</v>
      </c>
      <c r="D29" s="450">
        <f>('C4-Sources'!R30-'C4-Sources'!S30)/'C4-Sources'!$B30*100</f>
        <v>3.7641590146493176</v>
      </c>
      <c r="E29" s="450">
        <f>('C4-Sources'!Z30-'C4-Sources'!AA30)/'C4-Sources'!$B30*100</f>
        <v>0.52237672722205408</v>
      </c>
      <c r="F29" s="450">
        <f>('C4-Sources'!AH30-'C4-Sources'!AI30)/'C4-Sources'!$B30*100</f>
        <v>3.3998324356274439</v>
      </c>
      <c r="G29" s="450">
        <f>('C4-Sources'!AP30-'C4-Sources'!AQ30)/'C4-Sources'!$B30*100</f>
        <v>1.7293600790000241</v>
      </c>
      <c r="H29" s="450">
        <f>('C4-Sources'!AX30-'C4-Sources'!AY30)/'C4-Sources'!$B30*100</f>
        <v>1.353795742292756</v>
      </c>
      <c r="I29" s="450">
        <f>('C4-Sources'!BF30-'C4-Sources'!BG30)/'C4-Sources'!$B30*100</f>
        <v>6.1840420510804472</v>
      </c>
      <c r="J29" s="450">
        <f>('C4-Sources'!BN30-'C4-Sources'!BO30)/'C4-Sources'!$B30*100</f>
        <v>6.647706185743453</v>
      </c>
      <c r="K29" s="449"/>
      <c r="L29" s="528">
        <f t="shared" si="1"/>
        <v>32.367402869752333</v>
      </c>
      <c r="M29" s="450">
        <f>'C4-Sources'!K30/'C4-Sources'!$B30*100</f>
        <v>17.46756648108077</v>
      </c>
      <c r="N29" s="450">
        <f>'C4-Sources'!S30/'C4-Sources'!$B30*100</f>
        <v>3.2104160465796041</v>
      </c>
      <c r="O29" s="450">
        <f>'C4-Sources'!AA30/'C4-Sources'!$B30*100</f>
        <v>1.4295028805090528</v>
      </c>
      <c r="P29" s="450">
        <f>'C4-Sources'!AI30/'C4-Sources'!$B30*100</f>
        <v>2.4334484872909243</v>
      </c>
      <c r="Q29" s="450">
        <f>'C4-Sources'!AQ30/'C4-Sources'!$B30*100</f>
        <v>2.0495793493433112</v>
      </c>
      <c r="R29" s="450">
        <f>'C4-Sources'!AY30/'C4-Sources'!$B30*100</f>
        <v>0.81639471978096367</v>
      </c>
      <c r="S29" s="450">
        <f>'C4-Sources'!BG30/'C4-Sources'!$B30*100</f>
        <v>1.9690505954752295</v>
      </c>
      <c r="T29" s="450">
        <f>'C4-Sources'!BO30/'C4-Sources'!$B30*100</f>
        <v>2.9914443096924819</v>
      </c>
      <c r="V29" s="528">
        <f t="shared" si="2"/>
        <v>21.619945755464826</v>
      </c>
      <c r="W29" s="450">
        <f>'C4-Sources'!L30/'C4-Sources'!$B30*100</f>
        <v>10.266725327530112</v>
      </c>
      <c r="X29" s="450">
        <f>'C4-Sources'!T30/'C4-Sources'!$B30*100</f>
        <v>2.6130549697091516</v>
      </c>
      <c r="Y29" s="450">
        <f>'C4-Sources'!AB30/'C4-Sources'!$B30*100</f>
        <v>1.2803906948978125</v>
      </c>
      <c r="Z29" s="450">
        <f>'C4-Sources'!AJ30/'C4-Sources'!$B30*100</f>
        <v>1.9208962896632824</v>
      </c>
      <c r="AA29" s="450">
        <f>'C4-Sources'!AR30/'C4-Sources'!$B30*100</f>
        <v>1.7181624337070009</v>
      </c>
      <c r="AB29" s="450">
        <f>'C4-Sources'!AZ30/'C4-Sources'!$B30*100</f>
        <v>0.59640482074898715</v>
      </c>
      <c r="AC29" s="450">
        <f>'C4-Sources'!BH30/'C4-Sources'!$B30*100</f>
        <v>1.1535001320301252</v>
      </c>
      <c r="AD29" s="450">
        <f>'C4-Sources'!BP30/'C4-Sources'!$B30*100</f>
        <v>2.0708110871783569</v>
      </c>
      <c r="AF29" s="528">
        <f t="shared" si="3"/>
        <v>9.2487534110957164</v>
      </c>
      <c r="AG29" s="450">
        <f>'C4-Sources'!M30/'C4-Sources'!$B30*100</f>
        <v>3.062048455214275</v>
      </c>
      <c r="AH29" s="450">
        <f>'C4-Sources'!U30/'C4-Sources'!$B30*100</f>
        <v>1.495209178791816</v>
      </c>
      <c r="AI29" s="450">
        <f>'C4-Sources'!AC30/'C4-Sources'!$B30*100</f>
        <v>0.88332341781025614</v>
      </c>
      <c r="AJ29" s="450">
        <f>'C4-Sources'!AK30/'C4-Sources'!$B30*100</f>
        <v>1.0387383937498769</v>
      </c>
      <c r="AK29" s="450">
        <f>'C4-Sources'!AS30/'C4-Sources'!$B30*100</f>
        <v>1.1203291477147068</v>
      </c>
      <c r="AL29" s="450">
        <f>'C4-Sources'!BA30/'C4-Sources'!$B30*100</f>
        <v>0.31104738304565999</v>
      </c>
      <c r="AM29" s="450">
        <f>'C4-Sources'!BI30/'C4-Sources'!$B30*100</f>
        <v>0.34279330308157102</v>
      </c>
      <c r="AN29" s="450">
        <f>'C4-Sources'!BQ30/'C4-Sources'!$B30*100</f>
        <v>0.99526413168755379</v>
      </c>
      <c r="AP29" s="528">
        <f t="shared" si="4"/>
        <v>6.6954333870142024</v>
      </c>
      <c r="AQ29" s="450">
        <f>'C4-Sources'!N30/'C4-Sources'!$B30*100</f>
        <v>1.9266343018022924</v>
      </c>
      <c r="AR29" s="450">
        <f>'C4-Sources'!V30/'C4-Sources'!$B30*100</f>
        <v>1.1382464001753492</v>
      </c>
      <c r="AS29" s="450">
        <f>'C4-Sources'!AD30/'C4-Sources'!$B30*100</f>
        <v>0.72060357143046205</v>
      </c>
      <c r="AT29" s="450">
        <f>'C4-Sources'!AL30/'C4-Sources'!$B30*100</f>
        <v>0.78538491567871693</v>
      </c>
      <c r="AU29" s="450">
        <f>'C4-Sources'!AT30/'C4-Sources'!$B30*100</f>
        <v>0.91307070032094351</v>
      </c>
      <c r="AV29" s="450">
        <f>'C4-Sources'!BB30/'C4-Sources'!$B30*100</f>
        <v>0.23958413420860938</v>
      </c>
      <c r="AW29" s="450">
        <f>'C4-Sources'!BJ30/'C4-Sources'!$B30*100</f>
        <v>0.21206411896313235</v>
      </c>
      <c r="AX29" s="450">
        <f>'C4-Sources'!BR30/'C4-Sources'!$B30*100</f>
        <v>0.75984524443469559</v>
      </c>
      <c r="AZ29" s="528">
        <f t="shared" si="5"/>
        <v>3.2563701263614786</v>
      </c>
      <c r="BA29" s="450">
        <f>'C4-Sources'!O30/'C4-Sources'!$B30*100</f>
        <v>0.67350515040417913</v>
      </c>
      <c r="BB29" s="450">
        <f>'C4-Sources'!W30/'C4-Sources'!$B30*100</f>
        <v>0.60943522581943221</v>
      </c>
      <c r="BC29" s="450">
        <f>'C4-Sources'!AE30/'C4-Sources'!$B30*100</f>
        <v>0.42951801427027325</v>
      </c>
      <c r="BD29" s="450">
        <f>'C4-Sources'!AM30/'C4-Sources'!$B30*100</f>
        <v>0.41035854794547155</v>
      </c>
      <c r="BE29" s="450">
        <f>'C4-Sources'!AU30/'C4-Sources'!$B30*100</f>
        <v>0.55155561741281811</v>
      </c>
      <c r="BF29" s="450">
        <f>'C4-Sources'!BC30/'C4-Sources'!$B30*100</f>
        <v>0.13242207817725463</v>
      </c>
      <c r="BG29" s="450">
        <f>'C4-Sources'!BK30/'C4-Sources'!$B30*100</f>
        <v>7.0996034757240464E-2</v>
      </c>
      <c r="BH29" s="450">
        <f>'C4-Sources'!BS30/'C4-Sources'!$B30*100</f>
        <v>0.37857945757480926</v>
      </c>
      <c r="BJ29" s="528">
        <f t="shared" si="6"/>
        <v>1.1823194769232681</v>
      </c>
      <c r="BK29" s="450">
        <f>'C4-Sources'!P30/'C4-Sources'!$B30*100</f>
        <v>0.14600212751247846</v>
      </c>
      <c r="BL29" s="450">
        <f>'C4-Sources'!X30/'C4-Sources'!$B30*100</f>
        <v>0.2650098894861177</v>
      </c>
      <c r="BM29" s="450">
        <f>'C4-Sources'!AF30/'C4-Sources'!$B30*100</f>
        <v>0.18649168816492664</v>
      </c>
      <c r="BN29" s="450">
        <f>'C4-Sources'!AN30/'C4-Sources'!$B30*100</f>
        <v>0.15005628753558914</v>
      </c>
      <c r="BO29" s="450">
        <f>'C4-Sources'!AV30/'C4-Sources'!$B30*100</f>
        <v>0.23607890703401202</v>
      </c>
      <c r="BP29" s="450">
        <f>'C4-Sources'!BD30/'C4-Sources'!$B30*100</f>
        <v>5.3200363509526137E-2</v>
      </c>
      <c r="BQ29" s="450">
        <f>'C4-Sources'!BL30/'C4-Sources'!$B30*100</f>
        <v>1.4189913704403548E-2</v>
      </c>
      <c r="BR29" s="450">
        <f>'C4-Sources'!BT30/'C4-Sources'!$B30*100</f>
        <v>0.13129029997621472</v>
      </c>
      <c r="BS29" s="453"/>
      <c r="BT29" s="453"/>
      <c r="BU29" s="453"/>
      <c r="BV29" s="453"/>
      <c r="BW29" s="454"/>
      <c r="BX29" s="452"/>
      <c r="BY29" s="452"/>
    </row>
    <row r="30" spans="1:77" s="173" customFormat="1" ht="12" x14ac:dyDescent="0.25">
      <c r="A30" s="239">
        <v>1984</v>
      </c>
      <c r="B30" s="528">
        <f t="shared" si="0"/>
        <v>67.542155344452226</v>
      </c>
      <c r="C30" s="450">
        <f>('C4-Sources'!J31-'C4-Sources'!K31)/'C4-Sources'!$B31*100</f>
        <v>43.013919796012907</v>
      </c>
      <c r="D30" s="450">
        <f>('C4-Sources'!R31-'C4-Sources'!S31)/'C4-Sources'!$B31*100</f>
        <v>4.0304501204147147</v>
      </c>
      <c r="E30" s="450">
        <f>('C4-Sources'!Z31-'C4-Sources'!AA31)/'C4-Sources'!$B31*100</f>
        <v>0.50843312437958654</v>
      </c>
      <c r="F30" s="450">
        <f>('C4-Sources'!AH31-'C4-Sources'!AI31)/'C4-Sources'!$B31*100</f>
        <v>3.366769102952706</v>
      </c>
      <c r="G30" s="450">
        <f>('C4-Sources'!AP31-'C4-Sources'!AQ31)/'C4-Sources'!$B31*100</f>
        <v>2.136847393193078</v>
      </c>
      <c r="H30" s="450">
        <f>('C4-Sources'!AX31-'C4-Sources'!AY31)/'C4-Sources'!$B31*100</f>
        <v>1.5196316272845358</v>
      </c>
      <c r="I30" s="450">
        <f>('C4-Sources'!BF31-'C4-Sources'!BG31)/'C4-Sources'!$B31*100</f>
        <v>6.1665351947374942</v>
      </c>
      <c r="J30" s="450">
        <f>('C4-Sources'!BN31-'C4-Sources'!BO31)/'C4-Sources'!$B31*100</f>
        <v>6.7995689854772126</v>
      </c>
      <c r="K30" s="449"/>
      <c r="L30" s="528">
        <f t="shared" si="1"/>
        <v>32.457844655547767</v>
      </c>
      <c r="M30" s="450">
        <f>'C4-Sources'!K31/'C4-Sources'!$B31*100</f>
        <v>17.012479244027404</v>
      </c>
      <c r="N30" s="450">
        <f>'C4-Sources'!S31/'C4-Sources'!$B31*100</f>
        <v>3.5986306104220307</v>
      </c>
      <c r="O30" s="450">
        <f>'C4-Sources'!AA31/'C4-Sources'!$B31*100</f>
        <v>1.2558536779680216</v>
      </c>
      <c r="P30" s="450">
        <f>'C4-Sources'!AI31/'C4-Sources'!$B31*100</f>
        <v>2.5498238527750203</v>
      </c>
      <c r="Q30" s="450">
        <f>'C4-Sources'!AQ31/'C4-Sources'!$B31*100</f>
        <v>2.2052989364891591</v>
      </c>
      <c r="R30" s="450">
        <f>'C4-Sources'!AY31/'C4-Sources'!$B31*100</f>
        <v>0.84614314320635731</v>
      </c>
      <c r="S30" s="450">
        <f>'C4-Sources'!BG31/'C4-Sources'!$B31*100</f>
        <v>2.1573788216731109</v>
      </c>
      <c r="T30" s="450">
        <f>'C4-Sources'!BO31/'C4-Sources'!$B31*100</f>
        <v>2.8322363689866621</v>
      </c>
      <c r="V30" s="528">
        <f t="shared" si="2"/>
        <v>21.826718871796178</v>
      </c>
      <c r="W30" s="450">
        <f>'C4-Sources'!L31/'C4-Sources'!$B31*100</f>
        <v>10.030105221616758</v>
      </c>
      <c r="X30" s="450">
        <f>'C4-Sources'!T31/'C4-Sources'!$B31*100</f>
        <v>2.9243228807563555</v>
      </c>
      <c r="Y30" s="450">
        <f>'C4-Sources'!AB31/'C4-Sources'!$B31*100</f>
        <v>1.1131184276739376</v>
      </c>
      <c r="Z30" s="450">
        <f>'C4-Sources'!AJ31/'C4-Sources'!$B31*100</f>
        <v>2.0116967588754142</v>
      </c>
      <c r="AA30" s="450">
        <f>'C4-Sources'!AR31/'C4-Sources'!$B31*100</f>
        <v>1.8149102452846888</v>
      </c>
      <c r="AB30" s="450">
        <f>'C4-Sources'!AZ31/'C4-Sources'!$B31*100</f>
        <v>0.60503132490892653</v>
      </c>
      <c r="AC30" s="450">
        <f>'C4-Sources'!BH31/'C4-Sources'!$B31*100</f>
        <v>1.3526309410533188</v>
      </c>
      <c r="AD30" s="450">
        <f>'C4-Sources'!BP31/'C4-Sources'!$B31*100</f>
        <v>1.9749030716267795</v>
      </c>
      <c r="AF30" s="528">
        <f t="shared" si="3"/>
        <v>9.543059997537414</v>
      </c>
      <c r="AG30" s="450">
        <f>'C4-Sources'!M31/'C4-Sources'!$B31*100</f>
        <v>3.1332414527605095</v>
      </c>
      <c r="AH30" s="450">
        <f>'C4-Sources'!U31/'C4-Sources'!$B31*100</f>
        <v>1.678283772981159</v>
      </c>
      <c r="AI30" s="450">
        <f>'C4-Sources'!AC31/'C4-Sources'!$B31*100</f>
        <v>0.76044996015457544</v>
      </c>
      <c r="AJ30" s="450">
        <f>'C4-Sources'!AK31/'C4-Sources'!$B31*100</f>
        <v>1.1242777466448315</v>
      </c>
      <c r="AK30" s="450">
        <f>'C4-Sources'!AS31/'C4-Sources'!$B31*100</f>
        <v>1.1683946908714835</v>
      </c>
      <c r="AL30" s="450">
        <f>'C4-Sources'!BA31/'C4-Sources'!$B31*100</f>
        <v>0.30936698518529465</v>
      </c>
      <c r="AM30" s="450">
        <f>'C4-Sources'!BI31/'C4-Sources'!$B31*100</f>
        <v>0.56919786329628097</v>
      </c>
      <c r="AN30" s="450">
        <f>'C4-Sources'!BQ31/'C4-Sources'!$B31*100</f>
        <v>0.79984752564327843</v>
      </c>
      <c r="AP30" s="528">
        <f t="shared" si="4"/>
        <v>6.9311805287414519</v>
      </c>
      <c r="AQ30" s="450">
        <f>'C4-Sources'!N31/'C4-Sources'!$B31*100</f>
        <v>2.03061421833302</v>
      </c>
      <c r="AR30" s="450">
        <f>'C4-Sources'!V31/'C4-Sources'!$B31*100</f>
        <v>1.2773044332195236</v>
      </c>
      <c r="AS30" s="450">
        <f>'C4-Sources'!AD31/'C4-Sources'!$B31*100</f>
        <v>0.59826261265676584</v>
      </c>
      <c r="AT30" s="450">
        <f>'C4-Sources'!AL31/'C4-Sources'!$B31*100</f>
        <v>0.84660164567052043</v>
      </c>
      <c r="AU30" s="450">
        <f>'C4-Sources'!AT31/'C4-Sources'!$B31*100</f>
        <v>0.92916250047538596</v>
      </c>
      <c r="AV30" s="450">
        <f>'C4-Sources'!BB31/'C4-Sources'!$B31*100</f>
        <v>0.23271023596994678</v>
      </c>
      <c r="AW30" s="450">
        <f>'C4-Sources'!BJ31/'C4-Sources'!$B31*100</f>
        <v>0.4504454213603501</v>
      </c>
      <c r="AX30" s="450">
        <f>'C4-Sources'!BR31/'C4-Sources'!$B31*100</f>
        <v>0.56607946105593876</v>
      </c>
      <c r="AZ30" s="528">
        <f t="shared" si="5"/>
        <v>3.4130596402716531</v>
      </c>
      <c r="BA30" s="450">
        <f>'C4-Sources'!O31/'C4-Sources'!$B31*100</f>
        <v>0.75879296949602515</v>
      </c>
      <c r="BB30" s="450">
        <f>'C4-Sources'!W31/'C4-Sources'!$B31*100</f>
        <v>0.71977056297633213</v>
      </c>
      <c r="BC30" s="450">
        <f>'C4-Sources'!AE31/'C4-Sources'!$B31*100</f>
        <v>0.34545391690046628</v>
      </c>
      <c r="BD30" s="450">
        <f>'C4-Sources'!AM31/'C4-Sources'!$B31*100</f>
        <v>0.47221133525624304</v>
      </c>
      <c r="BE30" s="450">
        <f>'C4-Sources'!AU31/'C4-Sources'!$B31*100</f>
        <v>0.55417674664494876</v>
      </c>
      <c r="BF30" s="450">
        <f>'C4-Sources'!BC31/'C4-Sources'!$B31*100</f>
        <v>0.12775455680875528</v>
      </c>
      <c r="BG30" s="450">
        <f>'C4-Sources'!BK31/'C4-Sources'!$B31*100</f>
        <v>0.31323340773662223</v>
      </c>
      <c r="BH30" s="450">
        <f>'C4-Sources'!BS31/'C4-Sources'!$B31*100</f>
        <v>0.12166614445226036</v>
      </c>
      <c r="BJ30" s="528">
        <f t="shared" si="6"/>
        <v>1.2798342485425576</v>
      </c>
      <c r="BK30" s="450">
        <f>'C4-Sources'!P31/'C4-Sources'!$B31*100</f>
        <v>0.16927689053950501</v>
      </c>
      <c r="BL30" s="450">
        <f>'C4-Sources'!X31/'C4-Sources'!$B31*100</f>
        <v>0.34050052213455229</v>
      </c>
      <c r="BM30" s="450">
        <f>'C4-Sources'!AF31/'C4-Sources'!$B31*100</f>
        <v>0.15675253848661477</v>
      </c>
      <c r="BN30" s="450">
        <f>'C4-Sources'!AN31/'C4-Sources'!$B31*100</f>
        <v>0.16957046609496759</v>
      </c>
      <c r="BO30" s="450">
        <f>'C4-Sources'!AV31/'C4-Sources'!$B31*100</f>
        <v>0.2508164502453219</v>
      </c>
      <c r="BP30" s="450">
        <f>'C4-Sources'!BD31/'C4-Sources'!$B31*100</f>
        <v>5.2222948610763639E-2</v>
      </c>
      <c r="BQ30" s="450">
        <f>'C4-Sources'!BL31/'C4-Sources'!$B31*100</f>
        <v>1.5699083040051503E-2</v>
      </c>
      <c r="BR30" s="450">
        <f>'C4-Sources'!BT31/'C4-Sources'!$B31*100</f>
        <v>0.1249953493907809</v>
      </c>
      <c r="BS30" s="453"/>
      <c r="BT30" s="453"/>
      <c r="BU30" s="453"/>
      <c r="BV30" s="453"/>
      <c r="BW30" s="454"/>
      <c r="BX30" s="452"/>
      <c r="BY30" s="452"/>
    </row>
    <row r="31" spans="1:77" s="173" customFormat="1" ht="12" x14ac:dyDescent="0.25">
      <c r="A31" s="239">
        <v>1985</v>
      </c>
      <c r="B31" s="528">
        <f t="shared" si="0"/>
        <v>67.665562171382589</v>
      </c>
      <c r="C31" s="450">
        <f>('C4-Sources'!J32-'C4-Sources'!K32)/'C4-Sources'!$B32*100</f>
        <v>43.018417731357303</v>
      </c>
      <c r="D31" s="450">
        <f>('C4-Sources'!R32-'C4-Sources'!S32)/'C4-Sources'!$B32*100</f>
        <v>4.0863418052003695</v>
      </c>
      <c r="E31" s="450">
        <f>('C4-Sources'!Z32-'C4-Sources'!AA32)/'C4-Sources'!$B32*100</f>
        <v>0.55660897948435661</v>
      </c>
      <c r="F31" s="450">
        <f>('C4-Sources'!AH32-'C4-Sources'!AI32)/'C4-Sources'!$B32*100</f>
        <v>3.2940332903538061</v>
      </c>
      <c r="G31" s="450">
        <f>('C4-Sources'!AP32-'C4-Sources'!AQ32)/'C4-Sources'!$B32*100</f>
        <v>2.1807783415752451</v>
      </c>
      <c r="H31" s="450">
        <f>('C4-Sources'!AX32-'C4-Sources'!AY32)/'C4-Sources'!$B32*100</f>
        <v>1.4277460236976145</v>
      </c>
      <c r="I31" s="450">
        <f>('C4-Sources'!BF32-'C4-Sources'!BG32)/'C4-Sources'!$B32*100</f>
        <v>6.3269812212263812</v>
      </c>
      <c r="J31" s="450">
        <f>('C4-Sources'!BN32-'C4-Sources'!BO32)/'C4-Sources'!$B32*100</f>
        <v>6.7746547784875046</v>
      </c>
      <c r="K31" s="449"/>
      <c r="L31" s="528">
        <f t="shared" si="1"/>
        <v>32.334437828617425</v>
      </c>
      <c r="M31" s="450">
        <f>'C4-Sources'!K32/'C4-Sources'!$B32*100</f>
        <v>17.250798199187368</v>
      </c>
      <c r="N31" s="450">
        <f>'C4-Sources'!S32/'C4-Sources'!$B32*100</f>
        <v>3.520323628680913</v>
      </c>
      <c r="O31" s="450">
        <f>'C4-Sources'!AA32/'C4-Sources'!$B32*100</f>
        <v>1.3142712953148112</v>
      </c>
      <c r="P31" s="450">
        <f>'C4-Sources'!AI32/'C4-Sources'!$B32*100</f>
        <v>2.5103938665891725</v>
      </c>
      <c r="Q31" s="450">
        <f>'C4-Sources'!AQ32/'C4-Sources'!$B32*100</f>
        <v>2.0952253715931826</v>
      </c>
      <c r="R31" s="450">
        <f>'C4-Sources'!AY32/'C4-Sources'!$B32*100</f>
        <v>0.78739631222354223</v>
      </c>
      <c r="S31" s="450">
        <f>'C4-Sources'!BG32/'C4-Sources'!$B32*100</f>
        <v>1.934282060606362</v>
      </c>
      <c r="T31" s="450">
        <f>'C4-Sources'!BO32/'C4-Sources'!$B32*100</f>
        <v>2.9217470944220731</v>
      </c>
      <c r="V31" s="528">
        <f t="shared" si="2"/>
        <v>21.746908001570809</v>
      </c>
      <c r="W31" s="450">
        <f>'C4-Sources'!L32/'C4-Sources'!$B32*100</f>
        <v>10.246586028569416</v>
      </c>
      <c r="X31" s="450">
        <f>'C4-Sources'!T32/'C4-Sources'!$B32*100</f>
        <v>2.909456400405642</v>
      </c>
      <c r="Y31" s="450">
        <f>'C4-Sources'!AB32/'C4-Sources'!$B32*100</f>
        <v>1.16855774122008</v>
      </c>
      <c r="Z31" s="450">
        <f>'C4-Sources'!AJ32/'C4-Sources'!$B32*100</f>
        <v>2.0146464856763191</v>
      </c>
      <c r="AA31" s="450">
        <f>'C4-Sources'!AR32/'C4-Sources'!$B32*100</f>
        <v>1.7043855397710912</v>
      </c>
      <c r="AB31" s="450">
        <f>'C4-Sources'!AZ32/'C4-Sources'!$B32*100</f>
        <v>0.56402359674030023</v>
      </c>
      <c r="AC31" s="450">
        <f>'C4-Sources'!BH32/'C4-Sources'!$B32*100</f>
        <v>1.1290567590538578</v>
      </c>
      <c r="AD31" s="450">
        <f>'C4-Sources'!BP32/'C4-Sources'!$B32*100</f>
        <v>2.0101954501341051</v>
      </c>
      <c r="AF31" s="528">
        <f t="shared" si="3"/>
        <v>9.5622856413381054</v>
      </c>
      <c r="AG31" s="450">
        <f>'C4-Sources'!M32/'C4-Sources'!$B32*100</f>
        <v>3.2358696018209123</v>
      </c>
      <c r="AH31" s="450">
        <f>'C4-Sources'!U32/'C4-Sources'!$B32*100</f>
        <v>1.7324405867143491</v>
      </c>
      <c r="AI31" s="450">
        <f>'C4-Sources'!AC32/'C4-Sources'!$B32*100</f>
        <v>0.80512137524958238</v>
      </c>
      <c r="AJ31" s="450">
        <f>'C4-Sources'!AK32/'C4-Sources'!$B32*100</f>
        <v>1.1667510297649313</v>
      </c>
      <c r="AK31" s="450">
        <f>'C4-Sources'!AS32/'C4-Sources'!$B32*100</f>
        <v>1.0873673964894366</v>
      </c>
      <c r="AL31" s="450">
        <f>'C4-Sources'!BA32/'C4-Sources'!$B32*100</f>
        <v>0.29041212541111538</v>
      </c>
      <c r="AM31" s="450">
        <f>'C4-Sources'!BI32/'C4-Sources'!$B32*100</f>
        <v>0.33796036275294994</v>
      </c>
      <c r="AN31" s="450">
        <f>'C4-Sources'!BQ32/'C4-Sources'!$B32*100</f>
        <v>0.90636316313482779</v>
      </c>
      <c r="AP31" s="528">
        <f t="shared" si="4"/>
        <v>7.0257851800601454</v>
      </c>
      <c r="AQ31" s="450">
        <f>'C4-Sources'!N32/'C4-Sources'!$B32*100</f>
        <v>2.06679421486999</v>
      </c>
      <c r="AR31" s="450">
        <f>'C4-Sources'!V32/'C4-Sources'!$B32*100</f>
        <v>1.3642427270182218</v>
      </c>
      <c r="AS31" s="450">
        <f>'C4-Sources'!AD32/'C4-Sources'!$B32*100</f>
        <v>0.67650675429023355</v>
      </c>
      <c r="AT31" s="450">
        <f>'C4-Sources'!AL32/'C4-Sources'!$B32*100</f>
        <v>0.92886109140287165</v>
      </c>
      <c r="AU31" s="450">
        <f>'C4-Sources'!AT32/'C4-Sources'!$B32*100</f>
        <v>0.90197298963937111</v>
      </c>
      <c r="AV31" s="450">
        <f>'C4-Sources'!BB32/'C4-Sources'!$B32*100</f>
        <v>0.22731371234473874</v>
      </c>
      <c r="AW31" s="450">
        <f>'C4-Sources'!BJ32/'C4-Sources'!$B32*100</f>
        <v>0.20967375649325348</v>
      </c>
      <c r="AX31" s="450">
        <f>'C4-Sources'!BR32/'C4-Sources'!$B32*100</f>
        <v>0.65041993400146536</v>
      </c>
      <c r="AZ31" s="528">
        <f t="shared" si="5"/>
        <v>3.5572869025839915</v>
      </c>
      <c r="BA31" s="450">
        <f>'C4-Sources'!O32/'C4-Sources'!$B32*100</f>
        <v>0.77874420620378237</v>
      </c>
      <c r="BB31" s="450">
        <f>'C4-Sources'!W32/'C4-Sources'!$B32*100</f>
        <v>0.82511882620297172</v>
      </c>
      <c r="BC31" s="450">
        <f>'C4-Sources'!AE32/'C4-Sources'!$B32*100</f>
        <v>0.40705817951424694</v>
      </c>
      <c r="BD31" s="450">
        <f>'C4-Sources'!AM32/'C4-Sources'!$B32*100</f>
        <v>0.53569078218533084</v>
      </c>
      <c r="BE31" s="450">
        <f>'C4-Sources'!AU32/'C4-Sources'!$B32*100</f>
        <v>0.54455892280463347</v>
      </c>
      <c r="BF31" s="450">
        <f>'C4-Sources'!BC32/'C4-Sources'!$B32*100</f>
        <v>0.12759419163430044</v>
      </c>
      <c r="BG31" s="450">
        <f>'C4-Sources'!BK32/'C4-Sources'!$B32*100</f>
        <v>7.2887140674611203E-2</v>
      </c>
      <c r="BH31" s="450">
        <f>'C4-Sources'!BS32/'C4-Sources'!$B32*100</f>
        <v>0.26563465336411379</v>
      </c>
      <c r="BJ31" s="528">
        <f t="shared" si="6"/>
        <v>1.2671819186685398</v>
      </c>
      <c r="BK31" s="450">
        <f>'C4-Sources'!P32/'C4-Sources'!$B32*100</f>
        <v>0.15939458555046446</v>
      </c>
      <c r="BL31" s="450">
        <f>'C4-Sources'!X32/'C4-Sources'!$B32*100</f>
        <v>0.36293390282685417</v>
      </c>
      <c r="BM31" s="450">
        <f>'C4-Sources'!AF32/'C4-Sources'!$B32*100</f>
        <v>0.17781480744323849</v>
      </c>
      <c r="BN31" s="450">
        <f>'C4-Sources'!AN32/'C4-Sources'!$B32*100</f>
        <v>0.22289480393930078</v>
      </c>
      <c r="BO31" s="450">
        <f>'C4-Sources'!AV32/'C4-Sources'!$B32*100</f>
        <v>0.2351313019375364</v>
      </c>
      <c r="BP31" s="450">
        <f>'C4-Sources'!BD32/'C4-Sources'!$B32*100</f>
        <v>5.2223721658731508E-2</v>
      </c>
      <c r="BQ31" s="450">
        <f>'C4-Sources'!BL32/'C4-Sources'!$B32*100</f>
        <v>1.472576139435249E-2</v>
      </c>
      <c r="BR31" s="450">
        <f>'C4-Sources'!BT32/'C4-Sources'!$B32*100</f>
        <v>4.2063033918061266E-2</v>
      </c>
      <c r="BS31" s="453"/>
      <c r="BT31" s="453"/>
      <c r="BU31" s="453"/>
      <c r="BV31" s="453"/>
      <c r="BW31" s="454"/>
      <c r="BX31" s="452"/>
      <c r="BY31" s="452"/>
    </row>
    <row r="32" spans="1:77" s="173" customFormat="1" ht="12" x14ac:dyDescent="0.25">
      <c r="A32" s="239">
        <v>1986</v>
      </c>
      <c r="B32" s="528">
        <f t="shared" si="0"/>
        <v>67.771536363632549</v>
      </c>
      <c r="C32" s="450">
        <f>('C4-Sources'!J33-'C4-Sources'!K33)/'C4-Sources'!$B33*100</f>
        <v>43.257309538370571</v>
      </c>
      <c r="D32" s="450">
        <f>('C4-Sources'!R33-'C4-Sources'!S33)/'C4-Sources'!$B33*100</f>
        <v>4.1458723338683789</v>
      </c>
      <c r="E32" s="450">
        <f>('C4-Sources'!Z33-'C4-Sources'!AA33)/'C4-Sources'!$B33*100</f>
        <v>0.61924205367783891</v>
      </c>
      <c r="F32" s="450">
        <f>('C4-Sources'!AH33-'C4-Sources'!AI33)/'C4-Sources'!$B33*100</f>
        <v>3.0276919030137481</v>
      </c>
      <c r="G32" s="450">
        <f>('C4-Sources'!AP33-'C4-Sources'!AQ33)/'C4-Sources'!$B33*100</f>
        <v>1.4364249844704688</v>
      </c>
      <c r="H32" s="450">
        <f>('C4-Sources'!AX33-'C4-Sources'!AY33)/'C4-Sources'!$B33*100</f>
        <v>1.5365686456097176</v>
      </c>
      <c r="I32" s="450">
        <f>('C4-Sources'!BF33-'C4-Sources'!BG33)/'C4-Sources'!$B33*100</f>
        <v>6.9413882502499362</v>
      </c>
      <c r="J32" s="450">
        <f>('C4-Sources'!BN33-'C4-Sources'!BO33)/'C4-Sources'!$B33*100</f>
        <v>6.8070386543718984</v>
      </c>
      <c r="K32" s="449"/>
      <c r="L32" s="528">
        <f t="shared" si="1"/>
        <v>32.228463636367437</v>
      </c>
      <c r="M32" s="450">
        <f>'C4-Sources'!K33/'C4-Sources'!$B33*100</f>
        <v>18.022502384430481</v>
      </c>
      <c r="N32" s="450">
        <f>'C4-Sources'!S33/'C4-Sources'!$B33*100</f>
        <v>3.5163274018673523</v>
      </c>
      <c r="O32" s="450">
        <f>'C4-Sources'!AA33/'C4-Sources'!$B33*100</f>
        <v>1.3024872210502949</v>
      </c>
      <c r="P32" s="450">
        <f>'C4-Sources'!AI33/'C4-Sources'!$B33*100</f>
        <v>2.2512585987597227</v>
      </c>
      <c r="Q32" s="450">
        <f>'C4-Sources'!AQ33/'C4-Sources'!$B33*100</f>
        <v>1.3835660552206335</v>
      </c>
      <c r="R32" s="450">
        <f>'C4-Sources'!AY33/'C4-Sources'!$B33*100</f>
        <v>0.85080496461025623</v>
      </c>
      <c r="S32" s="450">
        <f>'C4-Sources'!BG33/'C4-Sources'!$B33*100</f>
        <v>2.1458023215260411</v>
      </c>
      <c r="T32" s="450">
        <f>'C4-Sources'!BO33/'C4-Sources'!$B33*100</f>
        <v>2.7557146889026591</v>
      </c>
      <c r="V32" s="528">
        <f t="shared" si="2"/>
        <v>21.460798615105709</v>
      </c>
      <c r="W32" s="450">
        <f>'C4-Sources'!L33/'C4-Sources'!$B33*100</f>
        <v>10.735008032637504</v>
      </c>
      <c r="X32" s="450">
        <f>'C4-Sources'!T33/'C4-Sources'!$B33*100</f>
        <v>2.8516910496127736</v>
      </c>
      <c r="Y32" s="450">
        <f>'C4-Sources'!AB33/'C4-Sources'!$B33*100</f>
        <v>1.1636555158363764</v>
      </c>
      <c r="Z32" s="450">
        <f>'C4-Sources'!AJ33/'C4-Sources'!$B33*100</f>
        <v>1.8261977092071551</v>
      </c>
      <c r="AA32" s="450">
        <f>'C4-Sources'!AR33/'C4-Sources'!$B33*100</f>
        <v>1.1322298068815229</v>
      </c>
      <c r="AB32" s="450">
        <f>'C4-Sources'!AZ33/'C4-Sources'!$B33*100</f>
        <v>0.61006536733279182</v>
      </c>
      <c r="AC32" s="450">
        <f>'C4-Sources'!BH33/'C4-Sources'!$B33*100</f>
        <v>1.2447660349197229</v>
      </c>
      <c r="AD32" s="450">
        <f>'C4-Sources'!BP33/'C4-Sources'!$B33*100</f>
        <v>1.8971850986778609</v>
      </c>
      <c r="AF32" s="528">
        <f t="shared" si="3"/>
        <v>9.2931372728020119</v>
      </c>
      <c r="AG32" s="450">
        <f>'C4-Sources'!M33/'C4-Sources'!$B33*100</f>
        <v>3.4539842816320929</v>
      </c>
      <c r="AH32" s="450">
        <f>'C4-Sources'!U33/'C4-Sources'!$B33*100</f>
        <v>1.7064500331680166</v>
      </c>
      <c r="AI32" s="450">
        <f>'C4-Sources'!AC33/'C4-Sources'!$B33*100</f>
        <v>0.79526801081736487</v>
      </c>
      <c r="AJ32" s="450">
        <f>'C4-Sources'!AK33/'C4-Sources'!$B33*100</f>
        <v>1.066922920993602</v>
      </c>
      <c r="AK32" s="450">
        <f>'C4-Sources'!AS33/'C4-Sources'!$B33*100</f>
        <v>0.72425651477465081</v>
      </c>
      <c r="AL32" s="450">
        <f>'C4-Sources'!BA33/'C4-Sources'!$B33*100</f>
        <v>0.31605596546821707</v>
      </c>
      <c r="AM32" s="450">
        <f>'C4-Sources'!BI33/'C4-Sources'!$B33*100</f>
        <v>0.37545953888299249</v>
      </c>
      <c r="AN32" s="450">
        <f>'C4-Sources'!BQ33/'C4-Sources'!$B33*100</f>
        <v>0.85474000706507391</v>
      </c>
      <c r="AP32" s="528">
        <f t="shared" si="4"/>
        <v>6.7353453929478126</v>
      </c>
      <c r="AQ32" s="450">
        <f>'C4-Sources'!N33/'C4-Sources'!$B33*100</f>
        <v>2.2165095517122158</v>
      </c>
      <c r="AR32" s="450">
        <f>'C4-Sources'!V33/'C4-Sources'!$B33*100</f>
        <v>1.303009865938161</v>
      </c>
      <c r="AS32" s="450">
        <f>'C4-Sources'!AD33/'C4-Sources'!$B33*100</f>
        <v>0.64974437973469767</v>
      </c>
      <c r="AT32" s="450">
        <f>'C4-Sources'!AL33/'C4-Sources'!$B33*100</f>
        <v>0.82877881702556278</v>
      </c>
      <c r="AU32" s="450">
        <f>'C4-Sources'!AT33/'C4-Sources'!$B33*100</f>
        <v>0.59139038433016944</v>
      </c>
      <c r="AV32" s="450">
        <f>'C4-Sources'!BB33/'C4-Sources'!$B33*100</f>
        <v>0.24334208873511218</v>
      </c>
      <c r="AW32" s="450">
        <f>'C4-Sources'!BJ33/'C4-Sources'!$B33*100</f>
        <v>0.2307220233032212</v>
      </c>
      <c r="AX32" s="450">
        <f>'C4-Sources'!BR33/'C4-Sources'!$B33*100</f>
        <v>0.67184828216867409</v>
      </c>
      <c r="AZ32" s="528">
        <f t="shared" si="5"/>
        <v>3.2923647379730725</v>
      </c>
      <c r="BA32" s="450">
        <f>'C4-Sources'!O33/'C4-Sources'!$B33*100</f>
        <v>0.72404501661605081</v>
      </c>
      <c r="BB32" s="450">
        <f>'C4-Sources'!W33/'C4-Sources'!$B33*100</f>
        <v>0.73747024693215868</v>
      </c>
      <c r="BC32" s="450">
        <f>'C4-Sources'!AE33/'C4-Sources'!$B33*100</f>
        <v>0.43284179389244437</v>
      </c>
      <c r="BD32" s="450">
        <f>'C4-Sources'!AM33/'C4-Sources'!$B33*100</f>
        <v>0.44809053520656605</v>
      </c>
      <c r="BE32" s="450">
        <f>'C4-Sources'!AU33/'C4-Sources'!$B33*100</f>
        <v>0.38379298673577417</v>
      </c>
      <c r="BF32" s="450">
        <f>'C4-Sources'!BC33/'C4-Sources'!$B33*100</f>
        <v>0.13957041906829776</v>
      </c>
      <c r="BG32" s="450">
        <f>'C4-Sources'!BK33/'C4-Sources'!$B33*100</f>
        <v>7.2940421288481924E-2</v>
      </c>
      <c r="BH32" s="450">
        <f>'C4-Sources'!BS33/'C4-Sources'!$B33*100</f>
        <v>0.35361331823329856</v>
      </c>
      <c r="BJ32" s="528">
        <f t="shared" si="6"/>
        <v>1.1944868350529545</v>
      </c>
      <c r="BK32" s="450">
        <f>'C4-Sources'!P33/'C4-Sources'!$B33*100</f>
        <v>0.21149362734307864</v>
      </c>
      <c r="BL32" s="450">
        <f>'C4-Sources'!X33/'C4-Sources'!$B33*100</f>
        <v>0.34453325723019662</v>
      </c>
      <c r="BM32" s="450">
        <f>'C4-Sources'!AF33/'C4-Sources'!$B33*100</f>
        <v>0.140722164980492</v>
      </c>
      <c r="BN32" s="450">
        <f>'C4-Sources'!AN33/'C4-Sources'!$B33*100</f>
        <v>0.17737015596079761</v>
      </c>
      <c r="BO32" s="450">
        <f>'C4-Sources'!AV33/'C4-Sources'!$B33*100</f>
        <v>0.13552238101033379</v>
      </c>
      <c r="BP32" s="450">
        <f>'C4-Sources'!BD33/'C4-Sources'!$B33*100</f>
        <v>4.97768964695725E-2</v>
      </c>
      <c r="BQ32" s="450">
        <f>'C4-Sources'!BL33/'C4-Sources'!$B33*100</f>
        <v>2.0370488228004368E-2</v>
      </c>
      <c r="BR32" s="450">
        <f>'C4-Sources'!BT33/'C4-Sources'!$B33*100</f>
        <v>0.11469786383047906</v>
      </c>
      <c r="BS32" s="453"/>
      <c r="BT32" s="453"/>
      <c r="BU32" s="453"/>
      <c r="BV32" s="453"/>
      <c r="BW32" s="454"/>
      <c r="BX32" s="452"/>
      <c r="BY32" s="452"/>
    </row>
    <row r="33" spans="1:77" s="173" customFormat="1" ht="12" x14ac:dyDescent="0.25">
      <c r="A33" s="239">
        <v>1987</v>
      </c>
      <c r="B33" s="528">
        <f t="shared" si="0"/>
        <v>67.543003431069877</v>
      </c>
      <c r="C33" s="450">
        <f>('C4-Sources'!J34-'C4-Sources'!K34)/'C4-Sources'!$B34*100</f>
        <v>43.769988105832056</v>
      </c>
      <c r="D33" s="450">
        <f>('C4-Sources'!R34-'C4-Sources'!S34)/'C4-Sources'!$B34*100</f>
        <v>4.3213682071617363</v>
      </c>
      <c r="E33" s="450">
        <f>('C4-Sources'!Z34-'C4-Sources'!AA34)/'C4-Sources'!$B34*100</f>
        <v>0.67922081231189158</v>
      </c>
      <c r="F33" s="450">
        <f>('C4-Sources'!AH34-'C4-Sources'!AI34)/'C4-Sources'!$B34*100</f>
        <v>2.6164305215217523</v>
      </c>
      <c r="G33" s="450">
        <f>('C4-Sources'!AP34-'C4-Sources'!AQ34)/'C4-Sources'!$B34*100</f>
        <v>1.6770636021533489</v>
      </c>
      <c r="H33" s="450">
        <f>('C4-Sources'!AX34-'C4-Sources'!AY34)/'C4-Sources'!$B34*100</f>
        <v>1.8124719747663716</v>
      </c>
      <c r="I33" s="450">
        <f>('C4-Sources'!BF34-'C4-Sources'!BG34)/'C4-Sources'!$B34*100</f>
        <v>6.5760526260475558</v>
      </c>
      <c r="J33" s="450">
        <f>('C4-Sources'!BN34-'C4-Sources'!BO34)/'C4-Sources'!$B34*100</f>
        <v>6.0904075812751719</v>
      </c>
      <c r="K33" s="449"/>
      <c r="L33" s="528">
        <f t="shared" si="1"/>
        <v>32.456996568930116</v>
      </c>
      <c r="M33" s="450">
        <f>'C4-Sources'!K34/'C4-Sources'!$B34*100</f>
        <v>17.656125616203035</v>
      </c>
      <c r="N33" s="450">
        <f>'C4-Sources'!S34/'C4-Sources'!$B34*100</f>
        <v>3.813733760363776</v>
      </c>
      <c r="O33" s="450">
        <f>'C4-Sources'!AA34/'C4-Sources'!$B34*100</f>
        <v>1.2200954944216182</v>
      </c>
      <c r="P33" s="450">
        <f>'C4-Sources'!AI34/'C4-Sources'!$B34*100</f>
        <v>2.3018305466303897</v>
      </c>
      <c r="Q33" s="450">
        <f>'C4-Sources'!AQ34/'C4-Sources'!$B34*100</f>
        <v>1.3145384542203895</v>
      </c>
      <c r="R33" s="450">
        <f>'C4-Sources'!AY34/'C4-Sources'!$B34*100</f>
        <v>0.92354632400367642</v>
      </c>
      <c r="S33" s="450">
        <f>'C4-Sources'!BG34/'C4-Sources'!$B34*100</f>
        <v>1.9921068322072202</v>
      </c>
      <c r="T33" s="450">
        <f>'C4-Sources'!BO34/'C4-Sources'!$B34*100</f>
        <v>3.2350195408800171</v>
      </c>
      <c r="V33" s="528">
        <f t="shared" si="2"/>
        <v>21.851928346619484</v>
      </c>
      <c r="W33" s="450">
        <f>'C4-Sources'!L34/'C4-Sources'!$B34*100</f>
        <v>10.710302132278647</v>
      </c>
      <c r="X33" s="450">
        <f>'C4-Sources'!T34/'C4-Sources'!$B34*100</f>
        <v>3.1347840189276721</v>
      </c>
      <c r="Y33" s="450">
        <f>'C4-Sources'!AB34/'C4-Sources'!$B34*100</f>
        <v>1.0561650698189846</v>
      </c>
      <c r="Z33" s="450">
        <f>'C4-Sources'!AJ34/'C4-Sources'!$B34*100</f>
        <v>1.9129788221100934</v>
      </c>
      <c r="AA33" s="450">
        <f>'C4-Sources'!AR34/'C4-Sources'!$B34*100</f>
        <v>1.0336616827318947</v>
      </c>
      <c r="AB33" s="450">
        <f>'C4-Sources'!AZ34/'C4-Sources'!$B34*100</f>
        <v>0.65418576383785731</v>
      </c>
      <c r="AC33" s="450">
        <f>'C4-Sources'!BH34/'C4-Sources'!$B34*100</f>
        <v>1.1781417706791513</v>
      </c>
      <c r="AD33" s="450">
        <f>'C4-Sources'!BP34/'C4-Sources'!$B34*100</f>
        <v>2.1717090862351811</v>
      </c>
      <c r="AF33" s="528">
        <f t="shared" si="3"/>
        <v>9.6691378643522476</v>
      </c>
      <c r="AG33" s="450">
        <f>'C4-Sources'!M34/'C4-Sources'!$B34*100</f>
        <v>3.6747270034409167</v>
      </c>
      <c r="AH33" s="450">
        <f>'C4-Sources'!U34/'C4-Sources'!$B34*100</f>
        <v>1.8749885274379552</v>
      </c>
      <c r="AI33" s="450">
        <f>'C4-Sources'!AC34/'C4-Sources'!$B34*100</f>
        <v>0.67632692576699327</v>
      </c>
      <c r="AJ33" s="450">
        <f>'C4-Sources'!AK34/'C4-Sources'!$B34*100</f>
        <v>1.1619770746572384</v>
      </c>
      <c r="AK33" s="450">
        <f>'C4-Sources'!AS34/'C4-Sources'!$B34*100</f>
        <v>0.60362289446202888</v>
      </c>
      <c r="AL33" s="450">
        <f>'C4-Sources'!BA34/'C4-Sources'!$B34*100</f>
        <v>0.3232698453610896</v>
      </c>
      <c r="AM33" s="450">
        <f>'C4-Sources'!BI34/'C4-Sources'!$B34*100</f>
        <v>0.36879715319499834</v>
      </c>
      <c r="AN33" s="450">
        <f>'C4-Sources'!BQ34/'C4-Sources'!$B34*100</f>
        <v>0.98542844003102514</v>
      </c>
      <c r="AP33" s="528">
        <f t="shared" si="4"/>
        <v>7.0472595651808829</v>
      </c>
      <c r="AQ33" s="450">
        <f>'C4-Sources'!N34/'C4-Sources'!$B34*100</f>
        <v>2.44584028180756</v>
      </c>
      <c r="AR33" s="450">
        <f>'C4-Sources'!V34/'C4-Sources'!$B34*100</f>
        <v>1.4732338488456203</v>
      </c>
      <c r="AS33" s="450">
        <f>'C4-Sources'!AD34/'C4-Sources'!$B34*100</f>
        <v>0.53511608254151677</v>
      </c>
      <c r="AT33" s="450">
        <f>'C4-Sources'!AL34/'C4-Sources'!$B34*100</f>
        <v>0.92589318398641907</v>
      </c>
      <c r="AU33" s="450">
        <f>'C4-Sources'!AT34/'C4-Sources'!$B34*100</f>
        <v>0.47164569932210199</v>
      </c>
      <c r="AV33" s="450">
        <f>'C4-Sources'!BB34/'C4-Sources'!$B34*100</f>
        <v>0.24328952582314631</v>
      </c>
      <c r="AW33" s="450">
        <f>'C4-Sources'!BJ34/'C4-Sources'!$B34*100</f>
        <v>0.23005599700490248</v>
      </c>
      <c r="AX33" s="450">
        <f>'C4-Sources'!BR34/'C4-Sources'!$B34*100</f>
        <v>0.72218494584961501</v>
      </c>
      <c r="AZ33" s="528">
        <f t="shared" si="5"/>
        <v>3.4953024282406568</v>
      </c>
      <c r="BA33" s="450">
        <f>'C4-Sources'!O34/'C4-Sources'!$B34*100</f>
        <v>0.97710758923475471</v>
      </c>
      <c r="BB33" s="450">
        <f>'C4-Sources'!W34/'C4-Sources'!$B34*100</f>
        <v>0.87381887043868645</v>
      </c>
      <c r="BC33" s="450">
        <f>'C4-Sources'!AE34/'C4-Sources'!$B34*100</f>
        <v>0.31184977727765695</v>
      </c>
      <c r="BD33" s="450">
        <f>'C4-Sources'!AM34/'C4-Sources'!$B34*100</f>
        <v>0.53770729982357401</v>
      </c>
      <c r="BE33" s="450">
        <f>'C4-Sources'!AU34/'C4-Sources'!$B34*100</f>
        <v>0.27044722932777243</v>
      </c>
      <c r="BF33" s="450">
        <f>'C4-Sources'!BC34/'C4-Sources'!$B34*100</f>
        <v>0.13041391883445702</v>
      </c>
      <c r="BG33" s="450">
        <f>'C4-Sources'!BK34/'C4-Sources'!$B34*100</f>
        <v>8.7698271385600379E-2</v>
      </c>
      <c r="BH33" s="450">
        <f>'C4-Sources'!BS34/'C4-Sources'!$B34*100</f>
        <v>0.30625947191815522</v>
      </c>
      <c r="BJ33" s="528">
        <f t="shared" si="6"/>
        <v>1.2999997368613732</v>
      </c>
      <c r="BK33" s="450">
        <f>'C4-Sources'!P34/'C4-Sources'!$B34*100</f>
        <v>0.24619736642066173</v>
      </c>
      <c r="BL33" s="450">
        <f>'C4-Sources'!X34/'C4-Sources'!$B34*100</f>
        <v>0.41287446387285426</v>
      </c>
      <c r="BM33" s="450">
        <f>'C4-Sources'!AF34/'C4-Sources'!$B34*100</f>
        <v>0.13724864922578492</v>
      </c>
      <c r="BN33" s="450">
        <f>'C4-Sources'!AN34/'C4-Sources'!$B34*100</f>
        <v>0.21494842822636484</v>
      </c>
      <c r="BO33" s="450">
        <f>'C4-Sources'!AV34/'C4-Sources'!$B34*100</f>
        <v>0.11581292995434997</v>
      </c>
      <c r="BP33" s="450">
        <f>'C4-Sources'!BD34/'C4-Sources'!$B34*100</f>
        <v>5.3074559761607069E-2</v>
      </c>
      <c r="BQ33" s="450">
        <f>'C4-Sources'!BL34/'C4-Sources'!$B34*100</f>
        <v>2.0739812084922392E-2</v>
      </c>
      <c r="BR33" s="450">
        <f>'C4-Sources'!BT34/'C4-Sources'!$B34*100</f>
        <v>9.9103527314827675E-2</v>
      </c>
      <c r="BS33" s="453"/>
      <c r="BT33" s="453"/>
      <c r="BU33" s="453"/>
      <c r="BV33" s="453"/>
      <c r="BW33" s="454"/>
      <c r="BX33" s="452"/>
      <c r="BY33" s="452"/>
    </row>
    <row r="34" spans="1:77" s="173" customFormat="1" ht="12" x14ac:dyDescent="0.25">
      <c r="A34" s="239">
        <v>1988</v>
      </c>
      <c r="B34" s="528">
        <f t="shared" si="0"/>
        <v>65.748587930237491</v>
      </c>
      <c r="C34" s="450">
        <f>('C4-Sources'!J35-'C4-Sources'!K35)/'C4-Sources'!$B35*100</f>
        <v>43.075170500365289</v>
      </c>
      <c r="D34" s="450">
        <f>('C4-Sources'!R35-'C4-Sources'!S35)/'C4-Sources'!$B35*100</f>
        <v>4.1521338807138344</v>
      </c>
      <c r="E34" s="450">
        <f>('C4-Sources'!Z35-'C4-Sources'!AA35)/'C4-Sources'!$B35*100</f>
        <v>0.62290128421150581</v>
      </c>
      <c r="F34" s="450">
        <f>('C4-Sources'!AH35-'C4-Sources'!AI35)/'C4-Sources'!$B35*100</f>
        <v>2.5438388928819409</v>
      </c>
      <c r="G34" s="450">
        <f>('C4-Sources'!AP35-'C4-Sources'!AQ35)/'C4-Sources'!$B35*100</f>
        <v>1.6819226094299859</v>
      </c>
      <c r="H34" s="450">
        <f>('C4-Sources'!AX35-'C4-Sources'!AY35)/'C4-Sources'!$B35*100</f>
        <v>1.7819316911786305</v>
      </c>
      <c r="I34" s="450">
        <f>('C4-Sources'!BF35-'C4-Sources'!BG35)/'C4-Sources'!$B35*100</f>
        <v>5.9454971234163034</v>
      </c>
      <c r="J34" s="450">
        <f>('C4-Sources'!BN35-'C4-Sources'!BO35)/'C4-Sources'!$B35*100</f>
        <v>5.9451919480399953</v>
      </c>
      <c r="K34" s="449"/>
      <c r="L34" s="528">
        <f t="shared" si="1"/>
        <v>34.251412069762516</v>
      </c>
      <c r="M34" s="450">
        <f>'C4-Sources'!K35/'C4-Sources'!$B35*100</f>
        <v>18.135979333234822</v>
      </c>
      <c r="N34" s="450">
        <f>'C4-Sources'!S35/'C4-Sources'!$B35*100</f>
        <v>4.5438506210436929</v>
      </c>
      <c r="O34" s="450">
        <f>'C4-Sources'!AA35/'C4-Sources'!$B35*100</f>
        <v>1.3711783870055494</v>
      </c>
      <c r="P34" s="450">
        <f>'C4-Sources'!AI35/'C4-Sources'!$B35*100</f>
        <v>2.4013188949420559</v>
      </c>
      <c r="Q34" s="450">
        <f>'C4-Sources'!AQ35/'C4-Sources'!$B35*100</f>
        <v>1.5078863508109577</v>
      </c>
      <c r="R34" s="450">
        <f>'C4-Sources'!AY35/'C4-Sources'!$B35*100</f>
        <v>0.98360797430173774</v>
      </c>
      <c r="S34" s="450">
        <f>'C4-Sources'!BG35/'C4-Sources'!$B35*100</f>
        <v>1.8748307599708931</v>
      </c>
      <c r="T34" s="450">
        <f>'C4-Sources'!BO35/'C4-Sources'!$B35*100</f>
        <v>3.4327597484528072</v>
      </c>
      <c r="V34" s="528">
        <f t="shared" si="2"/>
        <v>23.816823789083411</v>
      </c>
      <c r="W34" s="450">
        <f>'C4-Sources'!L35/'C4-Sources'!$B35*100</f>
        <v>11.244645682998973</v>
      </c>
      <c r="X34" s="450">
        <f>'C4-Sources'!T35/'C4-Sources'!$B35*100</f>
        <v>3.8380361029932057</v>
      </c>
      <c r="Y34" s="450">
        <f>'C4-Sources'!AB35/'C4-Sources'!$B35*100</f>
        <v>1.2150823223555234</v>
      </c>
      <c r="Z34" s="450">
        <f>'C4-Sources'!AJ35/'C4-Sources'!$B35*100</f>
        <v>2.0104820446440121</v>
      </c>
      <c r="AA34" s="450">
        <f>'C4-Sources'!AR35/'C4-Sources'!$B35*100</f>
        <v>1.2277567038924349</v>
      </c>
      <c r="AB34" s="450">
        <f>'C4-Sources'!AZ35/'C4-Sources'!$B35*100</f>
        <v>0.71835795851933837</v>
      </c>
      <c r="AC34" s="450">
        <f>'C4-Sources'!BH35/'C4-Sources'!$B35*100</f>
        <v>1.1694796777873362</v>
      </c>
      <c r="AD34" s="450">
        <f>'C4-Sources'!BP35/'C4-Sources'!$B35*100</f>
        <v>2.3929832958925883</v>
      </c>
      <c r="AF34" s="528">
        <f t="shared" si="3"/>
        <v>11.618417948029981</v>
      </c>
      <c r="AG34" s="450">
        <f>'C4-Sources'!M35/'C4-Sources'!$B35*100</f>
        <v>4.2763044695857388</v>
      </c>
      <c r="AH34" s="450">
        <f>'C4-Sources'!U35/'C4-Sources'!$B35*100</f>
        <v>2.4701715872184171</v>
      </c>
      <c r="AI34" s="450">
        <f>'C4-Sources'!AC35/'C4-Sources'!$B35*100</f>
        <v>0.83072808989518365</v>
      </c>
      <c r="AJ34" s="450">
        <f>'C4-Sources'!AK35/'C4-Sources'!$B35*100</f>
        <v>1.2286280044495022</v>
      </c>
      <c r="AK34" s="450">
        <f>'C4-Sources'!AS35/'C4-Sources'!$B35*100</f>
        <v>0.78465576292703765</v>
      </c>
      <c r="AL34" s="450">
        <f>'C4-Sources'!BA35/'C4-Sources'!$B35*100</f>
        <v>0.38828789472182929</v>
      </c>
      <c r="AM34" s="450">
        <f>'C4-Sources'!BI35/'C4-Sources'!$B35*100</f>
        <v>0.42864949244300171</v>
      </c>
      <c r="AN34" s="450">
        <f>'C4-Sources'!BQ35/'C4-Sources'!$B35*100</f>
        <v>1.21099264678927</v>
      </c>
      <c r="AP34" s="528">
        <f t="shared" si="4"/>
        <v>8.865121650191865</v>
      </c>
      <c r="AQ34" s="450">
        <f>'C4-Sources'!N35/'C4-Sources'!$B35*100</f>
        <v>3.0019798604087393</v>
      </c>
      <c r="AR34" s="450">
        <f>'C4-Sources'!V35/'C4-Sources'!$B35*100</f>
        <v>1.9975189766277288</v>
      </c>
      <c r="AS34" s="450">
        <f>'C4-Sources'!AD35/'C4-Sources'!$B35*100</f>
        <v>0.69620131580991851</v>
      </c>
      <c r="AT34" s="450">
        <f>'C4-Sources'!AL35/'C4-Sources'!$B35*100</f>
        <v>0.98701956967973492</v>
      </c>
      <c r="AU34" s="450">
        <f>'C4-Sources'!AT35/'C4-Sources'!$B35*100</f>
        <v>0.64964570262877275</v>
      </c>
      <c r="AV34" s="450">
        <f>'C4-Sources'!BB35/'C4-Sources'!$B35*100</f>
        <v>0.30692985118430094</v>
      </c>
      <c r="AW34" s="450">
        <f>'C4-Sources'!BJ35/'C4-Sources'!$B35*100</f>
        <v>0.29542813649157829</v>
      </c>
      <c r="AX34" s="450">
        <f>'C4-Sources'!BR35/'C4-Sources'!$B35*100</f>
        <v>0.93039823736109184</v>
      </c>
      <c r="AZ34" s="528">
        <f t="shared" si="5"/>
        <v>4.8375036349912772</v>
      </c>
      <c r="BA34" s="450">
        <f>'C4-Sources'!O35/'C4-Sources'!$B35*100</f>
        <v>1.2897158571394369</v>
      </c>
      <c r="BB34" s="450">
        <f>'C4-Sources'!W35/'C4-Sources'!$B35*100</f>
        <v>1.24249686942806</v>
      </c>
      <c r="BC34" s="450">
        <f>'C4-Sources'!AE35/'C4-Sources'!$B35*100</f>
        <v>0.46918002808167425</v>
      </c>
      <c r="BD34" s="450">
        <f>'C4-Sources'!AM35/'C4-Sources'!$B35*100</f>
        <v>0.59776459556303629</v>
      </c>
      <c r="BE34" s="450">
        <f>'C4-Sources'!AU35/'C4-Sources'!$B35*100</f>
        <v>0.42302863466698187</v>
      </c>
      <c r="BF34" s="450">
        <f>'C4-Sources'!BC35/'C4-Sources'!$B35*100</f>
        <v>0.18307655045093477</v>
      </c>
      <c r="BG34" s="450">
        <f>'C4-Sources'!BK35/'C4-Sources'!$B35*100</f>
        <v>0.13999302148938272</v>
      </c>
      <c r="BH34" s="450">
        <f>'C4-Sources'!BS35/'C4-Sources'!$B35*100</f>
        <v>0.49224807817177008</v>
      </c>
      <c r="BJ34" s="528">
        <f t="shared" si="6"/>
        <v>1.9520284883508701</v>
      </c>
      <c r="BK34" s="450">
        <f>'C4-Sources'!P35/'C4-Sources'!$B35*100</f>
        <v>0.38844020993571815</v>
      </c>
      <c r="BL34" s="450">
        <f>'C4-Sources'!X35/'C4-Sources'!$B35*100</f>
        <v>0.54926643973356093</v>
      </c>
      <c r="BM34" s="450">
        <f>'C4-Sources'!AF35/'C4-Sources'!$B35*100</f>
        <v>0.24095314122985004</v>
      </c>
      <c r="BN34" s="450">
        <f>'C4-Sources'!AN35/'C4-Sources'!$B35*100</f>
        <v>0.24399708158166855</v>
      </c>
      <c r="BO34" s="450">
        <f>'C4-Sources'!AV35/'C4-Sources'!$B35*100</f>
        <v>0.20744680271628896</v>
      </c>
      <c r="BP34" s="450">
        <f>'C4-Sources'!BD35/'C4-Sources'!$B35*100</f>
        <v>8.2401542636461433E-2</v>
      </c>
      <c r="BQ34" s="450">
        <f>'C4-Sources'!BL35/'C4-Sources'!$B35*100</f>
        <v>3.8893273820456813E-2</v>
      </c>
      <c r="BR34" s="450">
        <f>'C4-Sources'!BT35/'C4-Sources'!$B35*100</f>
        <v>0.20062999669686493</v>
      </c>
      <c r="BS34" s="453"/>
      <c r="BT34" s="453"/>
      <c r="BU34" s="453"/>
      <c r="BV34" s="453"/>
      <c r="BW34" s="454"/>
      <c r="BX34" s="452"/>
      <c r="BY34" s="452"/>
    </row>
    <row r="35" spans="1:77" s="173" customFormat="1" ht="12" x14ac:dyDescent="0.25">
      <c r="A35" s="239">
        <v>1989</v>
      </c>
      <c r="B35" s="528">
        <f t="shared" si="0"/>
        <v>66.040940314140997</v>
      </c>
      <c r="C35" s="450">
        <f>('C4-Sources'!J36-'C4-Sources'!K36)/'C4-Sources'!$B36*100</f>
        <v>43.039410539213094</v>
      </c>
      <c r="D35" s="450">
        <f>('C4-Sources'!R36-'C4-Sources'!S36)/'C4-Sources'!$B36*100</f>
        <v>4.048395642348571</v>
      </c>
      <c r="E35" s="450">
        <f>('C4-Sources'!Z36-'C4-Sources'!AA36)/'C4-Sources'!$B36*100</f>
        <v>0.63736549659642339</v>
      </c>
      <c r="F35" s="450">
        <f>('C4-Sources'!AH36-'C4-Sources'!AI36)/'C4-Sources'!$B36*100</f>
        <v>2.7925673506661286</v>
      </c>
      <c r="G35" s="450">
        <f>('C4-Sources'!AP36-'C4-Sources'!AQ36)/'C4-Sources'!$B36*100</f>
        <v>1.2308099916050732</v>
      </c>
      <c r="H35" s="450">
        <f>('C4-Sources'!AX36-'C4-Sources'!AY36)/'C4-Sources'!$B36*100</f>
        <v>1.6726632245107615</v>
      </c>
      <c r="I35" s="450">
        <f>('C4-Sources'!BF36-'C4-Sources'!BG36)/'C4-Sources'!$B36*100</f>
        <v>6.4723476332947074</v>
      </c>
      <c r="J35" s="450">
        <f>('C4-Sources'!BN36-'C4-Sources'!BO36)/'C4-Sources'!$B36*100</f>
        <v>6.1473804359062303</v>
      </c>
      <c r="K35" s="449"/>
      <c r="L35" s="528">
        <f t="shared" si="1"/>
        <v>33.95905968585901</v>
      </c>
      <c r="M35" s="450">
        <f>'C4-Sources'!K36/'C4-Sources'!$B36*100</f>
        <v>17.945521415077391</v>
      </c>
      <c r="N35" s="450">
        <f>'C4-Sources'!S36/'C4-Sources'!$B36*100</f>
        <v>4.4442890040255305</v>
      </c>
      <c r="O35" s="450">
        <f>'C4-Sources'!AA36/'C4-Sources'!$B36*100</f>
        <v>1.3286672279526628</v>
      </c>
      <c r="P35" s="450">
        <f>'C4-Sources'!AI36/'C4-Sources'!$B36*100</f>
        <v>2.6434968387379714</v>
      </c>
      <c r="Q35" s="450">
        <f>'C4-Sources'!AQ36/'C4-Sources'!$B36*100</f>
        <v>1.0735497442322179</v>
      </c>
      <c r="R35" s="450">
        <f>'C4-Sources'!AY36/'C4-Sources'!$B36*100</f>
        <v>0.92911217320017436</v>
      </c>
      <c r="S35" s="450">
        <f>'C4-Sources'!BG36/'C4-Sources'!$B36*100</f>
        <v>2.0314658064597451</v>
      </c>
      <c r="T35" s="450">
        <f>'C4-Sources'!BO36/'C4-Sources'!$B36*100</f>
        <v>3.5629574761733158</v>
      </c>
      <c r="V35" s="528">
        <f t="shared" si="2"/>
        <v>23.453360607960359</v>
      </c>
      <c r="W35" s="450">
        <f>'C4-Sources'!L36/'C4-Sources'!$B36*100</f>
        <v>11.043807563473646</v>
      </c>
      <c r="X35" s="450">
        <f>'C4-Sources'!T36/'C4-Sources'!$B36*100</f>
        <v>3.7482248112986887</v>
      </c>
      <c r="Y35" s="450">
        <f>'C4-Sources'!AB36/'C4-Sources'!$B36*100</f>
        <v>1.1762389292941573</v>
      </c>
      <c r="Z35" s="450">
        <f>'C4-Sources'!AJ36/'C4-Sources'!$B36*100</f>
        <v>2.2020557052075773</v>
      </c>
      <c r="AA35" s="450">
        <f>'C4-Sources'!AR36/'C4-Sources'!$B36*100</f>
        <v>0.86976243748983673</v>
      </c>
      <c r="AB35" s="450">
        <f>'C4-Sources'!AZ36/'C4-Sources'!$B36*100</f>
        <v>0.67738976485290314</v>
      </c>
      <c r="AC35" s="450">
        <f>'C4-Sources'!BH36/'C4-Sources'!$B36*100</f>
        <v>1.2373301339725076</v>
      </c>
      <c r="AD35" s="450">
        <f>'C4-Sources'!BP36/'C4-Sources'!$B36*100</f>
        <v>2.4985512623710453</v>
      </c>
      <c r="AF35" s="528">
        <f t="shared" si="3"/>
        <v>11.126510038595104</v>
      </c>
      <c r="AG35" s="450">
        <f>'C4-Sources'!M36/'C4-Sources'!$B36*100</f>
        <v>3.9161272225624177</v>
      </c>
      <c r="AH35" s="450">
        <f>'C4-Sources'!U36/'C4-Sources'!$B36*100</f>
        <v>2.4254601891306384</v>
      </c>
      <c r="AI35" s="450">
        <f>'C4-Sources'!AC36/'C4-Sources'!$B36*100</f>
        <v>0.7981015816317627</v>
      </c>
      <c r="AJ35" s="450">
        <f>'C4-Sources'!AK36/'C4-Sources'!$B36*100</f>
        <v>1.3972389178959421</v>
      </c>
      <c r="AK35" s="450">
        <f>'C4-Sources'!AS36/'C4-Sources'!$B36*100</f>
        <v>0.54664557641596989</v>
      </c>
      <c r="AL35" s="450">
        <f>'C4-Sources'!BA36/'C4-Sources'!$B36*100</f>
        <v>0.36427022292176997</v>
      </c>
      <c r="AM35" s="450">
        <f>'C4-Sources'!BI36/'C4-Sources'!$B36*100</f>
        <v>0.40960978371234125</v>
      </c>
      <c r="AN35" s="450">
        <f>'C4-Sources'!BQ36/'C4-Sources'!$B36*100</f>
        <v>1.2690565443242627</v>
      </c>
      <c r="AP35" s="528">
        <f t="shared" si="4"/>
        <v>8.3841461803552946</v>
      </c>
      <c r="AQ35" s="450">
        <f>'C4-Sources'!N36/'C4-Sources'!$B36*100</f>
        <v>2.6758177220216441</v>
      </c>
      <c r="AR35" s="450">
        <f>'C4-Sources'!V36/'C4-Sources'!$B36*100</f>
        <v>1.947510313864353</v>
      </c>
      <c r="AS35" s="450">
        <f>'C4-Sources'!AD36/'C4-Sources'!$B36*100</f>
        <v>0.65993167816472398</v>
      </c>
      <c r="AT35" s="450">
        <f>'C4-Sources'!AL36/'C4-Sources'!$B36*100</f>
        <v>1.1221735762809213</v>
      </c>
      <c r="AU35" s="450">
        <f>'C4-Sources'!AT36/'C4-Sources'!$B36*100</f>
        <v>0.44638607803070723</v>
      </c>
      <c r="AV35" s="450">
        <f>'C4-Sources'!BB36/'C4-Sources'!$B36*100</f>
        <v>0.28578716974318791</v>
      </c>
      <c r="AW35" s="450">
        <f>'C4-Sources'!BJ36/'C4-Sources'!$B36*100</f>
        <v>0.27559895503853049</v>
      </c>
      <c r="AX35" s="450">
        <f>'C4-Sources'!BR36/'C4-Sources'!$B36*100</f>
        <v>0.9709406872112275</v>
      </c>
      <c r="AZ35" s="528">
        <f t="shared" si="5"/>
        <v>4.4401631085287416</v>
      </c>
      <c r="BA35" s="450">
        <f>'C4-Sources'!O36/'C4-Sources'!$B36*100</f>
        <v>1.1040924678730106</v>
      </c>
      <c r="BB35" s="450">
        <f>'C4-Sources'!W36/'C4-Sources'!$B36*100</f>
        <v>1.1868583774077752</v>
      </c>
      <c r="BC35" s="450">
        <f>'C4-Sources'!AE36/'C4-Sources'!$B36*100</f>
        <v>0.41946783650241187</v>
      </c>
      <c r="BD35" s="450">
        <f>'C4-Sources'!AM36/'C4-Sources'!$B36*100</f>
        <v>0.66566939526772395</v>
      </c>
      <c r="BE35" s="450">
        <f>'C4-Sources'!AU36/'C4-Sources'!$B36*100</f>
        <v>0.27863689218770615</v>
      </c>
      <c r="BF35" s="450">
        <f>'C4-Sources'!BC36/'C4-Sources'!$B36*100</f>
        <v>0.16580570579216752</v>
      </c>
      <c r="BG35" s="450">
        <f>'C4-Sources'!BK36/'C4-Sources'!$B36*100</f>
        <v>0.11461187280643514</v>
      </c>
      <c r="BH35" s="450">
        <f>'C4-Sources'!BS36/'C4-Sources'!$B36*100</f>
        <v>0.50502056069151169</v>
      </c>
      <c r="BJ35" s="528">
        <f t="shared" si="6"/>
        <v>1.7578142776298062</v>
      </c>
      <c r="BK35" s="450">
        <f>'C4-Sources'!P36/'C4-Sources'!$B36*100</f>
        <v>0.28652485823851492</v>
      </c>
      <c r="BL35" s="450">
        <f>'C4-Sources'!X36/'C4-Sources'!$B36*100</f>
        <v>0.53095352412537866</v>
      </c>
      <c r="BM35" s="450">
        <f>'C4-Sources'!AF36/'C4-Sources'!$B36*100</f>
        <v>0.21074311757326344</v>
      </c>
      <c r="BN35" s="450">
        <f>'C4-Sources'!AN36/'C4-Sources'!$B36*100</f>
        <v>0.28154907204981994</v>
      </c>
      <c r="BO35" s="450">
        <f>'C4-Sources'!AV36/'C4-Sources'!$B36*100</f>
        <v>0.1350716777396285</v>
      </c>
      <c r="BP35" s="450">
        <f>'C4-Sources'!BD36/'C4-Sources'!$B36*100</f>
        <v>7.4055155675107523E-2</v>
      </c>
      <c r="BQ35" s="450">
        <f>'C4-Sources'!BL36/'C4-Sources'!$B36*100</f>
        <v>2.6476783946254776E-2</v>
      </c>
      <c r="BR35" s="450">
        <f>'C4-Sources'!BT36/'C4-Sources'!$B36*100</f>
        <v>0.21244008828183855</v>
      </c>
      <c r="BS35" s="453"/>
      <c r="BT35" s="453"/>
      <c r="BU35" s="453"/>
      <c r="BV35" s="453"/>
      <c r="BW35" s="454"/>
      <c r="BX35" s="452"/>
      <c r="BY35" s="452"/>
    </row>
    <row r="36" spans="1:77" s="173" customFormat="1" ht="12" x14ac:dyDescent="0.25">
      <c r="A36" s="239">
        <v>1990</v>
      </c>
      <c r="B36" s="528">
        <f t="shared" si="0"/>
        <v>65.554369206948905</v>
      </c>
      <c r="C36" s="450">
        <f>('C4-Sources'!J37-'C4-Sources'!K37)/'C4-Sources'!$B37*100</f>
        <v>43.42937610835606</v>
      </c>
      <c r="D36" s="450">
        <f>('C4-Sources'!R37-'C4-Sources'!S37)/'C4-Sources'!$B37*100</f>
        <v>3.9179545641989915</v>
      </c>
      <c r="E36" s="450">
        <f>('C4-Sources'!Z37-'C4-Sources'!AA37)/'C4-Sources'!$B37*100</f>
        <v>0.62000902716328787</v>
      </c>
      <c r="F36" s="450">
        <f>('C4-Sources'!AH37-'C4-Sources'!AI37)/'C4-Sources'!$B37*100</f>
        <v>2.742265039543883</v>
      </c>
      <c r="G36" s="450">
        <f>('C4-Sources'!AP37-'C4-Sources'!AQ37)/'C4-Sources'!$B37*100</f>
        <v>1.0755098836758654</v>
      </c>
      <c r="H36" s="450">
        <f>('C4-Sources'!AX37-'C4-Sources'!AY37)/'C4-Sources'!$B37*100</f>
        <v>1.4745411965655462</v>
      </c>
      <c r="I36" s="450">
        <f>('C4-Sources'!BF37-'C4-Sources'!BG37)/'C4-Sources'!$B37*100</f>
        <v>6.0736124722861922</v>
      </c>
      <c r="J36" s="450">
        <f>('C4-Sources'!BN37-'C4-Sources'!BO37)/'C4-Sources'!$B37*100</f>
        <v>6.2211009151590888</v>
      </c>
      <c r="K36" s="449"/>
      <c r="L36" s="528">
        <f t="shared" si="1"/>
        <v>34.44563079305108</v>
      </c>
      <c r="M36" s="450">
        <f>'C4-Sources'!K37/'C4-Sources'!$B37*100</f>
        <v>18.277926933659845</v>
      </c>
      <c r="N36" s="450">
        <f>'C4-Sources'!S37/'C4-Sources'!$B37*100</f>
        <v>4.4928063168288856</v>
      </c>
      <c r="O36" s="450">
        <f>'C4-Sources'!AA37/'C4-Sources'!$B37*100</f>
        <v>1.2339499757529433</v>
      </c>
      <c r="P36" s="450">
        <f>'C4-Sources'!AI37/'C4-Sources'!$B37*100</f>
        <v>2.6076086597950869</v>
      </c>
      <c r="Q36" s="450">
        <f>'C4-Sources'!AQ37/'C4-Sources'!$B37*100</f>
        <v>0.96309370339302902</v>
      </c>
      <c r="R36" s="450">
        <f>'C4-Sources'!AY37/'C4-Sources'!$B37*100</f>
        <v>0.9443173794224583</v>
      </c>
      <c r="S36" s="450">
        <f>'C4-Sources'!BG37/'C4-Sources'!$B37*100</f>
        <v>2.309794799142777</v>
      </c>
      <c r="T36" s="450">
        <f>'C4-Sources'!BO37/'C4-Sources'!$B37*100</f>
        <v>3.6161330250560573</v>
      </c>
      <c r="V36" s="528">
        <f t="shared" si="2"/>
        <v>23.837135318773871</v>
      </c>
      <c r="W36" s="450">
        <f>'C4-Sources'!L37/'C4-Sources'!$B37*100</f>
        <v>11.313156747616022</v>
      </c>
      <c r="X36" s="450">
        <f>'C4-Sources'!T37/'C4-Sources'!$B37*100</f>
        <v>3.8523494552306699</v>
      </c>
      <c r="Y36" s="450">
        <f>'C4-Sources'!AB37/'C4-Sources'!$B37*100</f>
        <v>1.0902960965371862</v>
      </c>
      <c r="Z36" s="450">
        <f>'C4-Sources'!AJ37/'C4-Sources'!$B37*100</f>
        <v>2.1663107894610483</v>
      </c>
      <c r="AA36" s="450">
        <f>'C4-Sources'!AR37/'C4-Sources'!$B37*100</f>
        <v>0.75825950709248646</v>
      </c>
      <c r="AB36" s="450">
        <f>'C4-Sources'!AZ37/'C4-Sources'!$B37*100</f>
        <v>0.68120445961223408</v>
      </c>
      <c r="AC36" s="450">
        <f>'C4-Sources'!BH37/'C4-Sources'!$B37*100</f>
        <v>1.4524273868683597</v>
      </c>
      <c r="AD36" s="450">
        <f>'C4-Sources'!BP37/'C4-Sources'!$B37*100</f>
        <v>2.5231308763558675</v>
      </c>
      <c r="AF36" s="528">
        <f t="shared" si="3"/>
        <v>11.28784093146505</v>
      </c>
      <c r="AG36" s="450">
        <f>'C4-Sources'!M37/'C4-Sources'!$B37*100</f>
        <v>4.1407618075432824</v>
      </c>
      <c r="AH36" s="450">
        <f>'C4-Sources'!U37/'C4-Sources'!$B37*100</f>
        <v>2.529891677932651</v>
      </c>
      <c r="AI36" s="450">
        <f>'C4-Sources'!AC37/'C4-Sources'!$B37*100</f>
        <v>0.74894969679659285</v>
      </c>
      <c r="AJ36" s="450">
        <f>'C4-Sources'!AK37/'C4-Sources'!$B37*100</f>
        <v>1.3664423194353497</v>
      </c>
      <c r="AK36" s="450">
        <f>'C4-Sources'!AS37/'C4-Sources'!$B37*100</f>
        <v>0.44329550705555687</v>
      </c>
      <c r="AL36" s="450">
        <f>'C4-Sources'!BA37/'C4-Sources'!$B37*100</f>
        <v>0.33227489355843925</v>
      </c>
      <c r="AM36" s="450">
        <f>'C4-Sources'!BI37/'C4-Sources'!$B37*100</f>
        <v>0.4628139424209331</v>
      </c>
      <c r="AN36" s="450">
        <f>'C4-Sources'!BQ37/'C4-Sources'!$B37*100</f>
        <v>1.263411086722245</v>
      </c>
      <c r="AP36" s="528">
        <f t="shared" si="4"/>
        <v>8.4713992771711322</v>
      </c>
      <c r="AQ36" s="450">
        <f>'C4-Sources'!N37/'C4-Sources'!$B37*100</f>
        <v>2.8329414101125225</v>
      </c>
      <c r="AR36" s="450">
        <f>'C4-Sources'!V37/'C4-Sources'!$B37*100</f>
        <v>2.0272838928623407</v>
      </c>
      <c r="AS36" s="450">
        <f>'C4-Sources'!AD37/'C4-Sources'!$B37*100</f>
        <v>0.62750982079412043</v>
      </c>
      <c r="AT36" s="450">
        <f>'C4-Sources'!AL37/'C4-Sources'!$B37*100</f>
        <v>1.111518861172252</v>
      </c>
      <c r="AU36" s="450">
        <f>'C4-Sources'!AT37/'C4-Sources'!$B37*100</f>
        <v>0.36197567628861438</v>
      </c>
      <c r="AV36" s="450">
        <f>'C4-Sources'!BB37/'C4-Sources'!$B37*100</f>
        <v>0.2581811776127661</v>
      </c>
      <c r="AW36" s="450">
        <f>'C4-Sources'!BJ37/'C4-Sources'!$B37*100</f>
        <v>0.30563658939562977</v>
      </c>
      <c r="AX36" s="450">
        <f>'C4-Sources'!BR37/'C4-Sources'!$B37*100</f>
        <v>0.94635184893288626</v>
      </c>
      <c r="AZ36" s="528">
        <f t="shared" si="5"/>
        <v>4.4463136654842135</v>
      </c>
      <c r="BA36" s="450">
        <f>'C4-Sources'!O37/'C4-Sources'!$B37*100</f>
        <v>1.195617018760885</v>
      </c>
      <c r="BB36" s="450">
        <f>'C4-Sources'!W37/'C4-Sources'!$B37*100</f>
        <v>1.194500705758591</v>
      </c>
      <c r="BC36" s="450">
        <f>'C4-Sources'!AE37/'C4-Sources'!$B37*100</f>
        <v>0.40957235885614202</v>
      </c>
      <c r="BD36" s="450">
        <f>'C4-Sources'!AM37/'C4-Sources'!$B37*100</f>
        <v>0.66840283486859808</v>
      </c>
      <c r="BE36" s="450">
        <f>'C4-Sources'!AU37/'C4-Sources'!$B37*100</f>
        <v>0.22664360463141917</v>
      </c>
      <c r="BF36" s="450">
        <f>'C4-Sources'!BC37/'C4-Sources'!$B37*100</f>
        <v>0.14869633663449891</v>
      </c>
      <c r="BG36" s="450">
        <f>'C4-Sources'!BK37/'C4-Sources'!$B37*100</f>
        <v>0.12502408419186578</v>
      </c>
      <c r="BH36" s="450">
        <f>'C4-Sources'!BS37/'C4-Sources'!$B37*100</f>
        <v>0.47785672178221328</v>
      </c>
      <c r="BJ36" s="528">
        <f t="shared" si="6"/>
        <v>1.7534900838755174</v>
      </c>
      <c r="BK36" s="450">
        <f>'C4-Sources'!P37/'C4-Sources'!$B37*100</f>
        <v>0.33353596782805883</v>
      </c>
      <c r="BL36" s="450">
        <f>'C4-Sources'!X37/'C4-Sources'!$B37*100</f>
        <v>0.53869418089390864</v>
      </c>
      <c r="BM36" s="450">
        <f>'C4-Sources'!AF37/'C4-Sources'!$B37*100</f>
        <v>0.20452095614033111</v>
      </c>
      <c r="BN36" s="450">
        <f>'C4-Sources'!AN37/'C4-Sources'!$B37*100</f>
        <v>0.28597479968653028</v>
      </c>
      <c r="BO36" s="450">
        <f>'C4-Sources'!AV37/'C4-Sources'!$B37*100</f>
        <v>0.10869477156612302</v>
      </c>
      <c r="BP36" s="450">
        <f>'C4-Sources'!BD37/'C4-Sources'!$B37*100</f>
        <v>6.5202088581832643E-2</v>
      </c>
      <c r="BQ36" s="450">
        <f>'C4-Sources'!BL37/'C4-Sources'!$B37*100</f>
        <v>3.144585619285932E-2</v>
      </c>
      <c r="BR36" s="450">
        <f>'C4-Sources'!BT37/'C4-Sources'!$B37*100</f>
        <v>0.18542146298587348</v>
      </c>
      <c r="BS36" s="453"/>
      <c r="BT36" s="453"/>
      <c r="BU36" s="453"/>
      <c r="BV36" s="453"/>
      <c r="BW36" s="454"/>
      <c r="BX36" s="452"/>
      <c r="BY36" s="452"/>
    </row>
    <row r="37" spans="1:77" s="173" customFormat="1" ht="12" x14ac:dyDescent="0.25">
      <c r="A37" s="239">
        <v>1991</v>
      </c>
      <c r="B37" s="528">
        <f t="shared" si="0"/>
        <v>65.493515507477326</v>
      </c>
      <c r="C37" s="450">
        <f>('C4-Sources'!J38-'C4-Sources'!K38)/'C4-Sources'!$B38*100</f>
        <v>43.580235758676544</v>
      </c>
      <c r="D37" s="450">
        <f>('C4-Sources'!R38-'C4-Sources'!S38)/'C4-Sources'!$B38*100</f>
        <v>3.9074752140391147</v>
      </c>
      <c r="E37" s="450">
        <f>('C4-Sources'!Z38-'C4-Sources'!AA38)/'C4-Sources'!$B38*100</f>
        <v>0.57722100341431626</v>
      </c>
      <c r="F37" s="450">
        <f>('C4-Sources'!AH38-'C4-Sources'!AI38)/'C4-Sources'!$B38*100</f>
        <v>2.4594375492484586</v>
      </c>
      <c r="G37" s="450">
        <f>('C4-Sources'!AP38-'C4-Sources'!AQ38)/'C4-Sources'!$B38*100</f>
        <v>1.2363991839292126</v>
      </c>
      <c r="H37" s="450">
        <f>('C4-Sources'!AX38-'C4-Sources'!AY38)/'C4-Sources'!$B38*100</f>
        <v>1.302708845984718</v>
      </c>
      <c r="I37" s="450">
        <f>('C4-Sources'!BF38-'C4-Sources'!BG38)/'C4-Sources'!$B38*100</f>
        <v>5.8248721814274385</v>
      </c>
      <c r="J37" s="450">
        <f>('C4-Sources'!BN38-'C4-Sources'!BO38)/'C4-Sources'!$B38*100</f>
        <v>6.6051657707575178</v>
      </c>
      <c r="K37" s="449"/>
      <c r="L37" s="528">
        <f t="shared" si="1"/>
        <v>34.506484492522681</v>
      </c>
      <c r="M37" s="450">
        <f>'C4-Sources'!K38/'C4-Sources'!$B38*100</f>
        <v>18.214942248141273</v>
      </c>
      <c r="N37" s="450">
        <f>'C4-Sources'!S38/'C4-Sources'!$B38*100</f>
        <v>4.3370263515549317</v>
      </c>
      <c r="O37" s="450">
        <f>'C4-Sources'!AA38/'C4-Sources'!$B38*100</f>
        <v>1.1669811091546709</v>
      </c>
      <c r="P37" s="450">
        <f>'C4-Sources'!AI38/'C4-Sources'!$B38*100</f>
        <v>2.4672014987806827</v>
      </c>
      <c r="Q37" s="450">
        <f>'C4-Sources'!AQ38/'C4-Sources'!$B38*100</f>
        <v>1.3131932091541958</v>
      </c>
      <c r="R37" s="450">
        <f>'C4-Sources'!AY38/'C4-Sources'!$B38*100</f>
        <v>0.96898809942148789</v>
      </c>
      <c r="S37" s="450">
        <f>'C4-Sources'!BG38/'C4-Sources'!$B38*100</f>
        <v>2.4016539667258328</v>
      </c>
      <c r="T37" s="450">
        <f>'C4-Sources'!BO38/'C4-Sources'!$B38*100</f>
        <v>3.6364980095896033</v>
      </c>
      <c r="V37" s="528">
        <f t="shared" si="2"/>
        <v>23.763634771975166</v>
      </c>
      <c r="W37" s="450">
        <f>'C4-Sources'!L38/'C4-Sources'!$B38*100</f>
        <v>11.279321388203563</v>
      </c>
      <c r="X37" s="450">
        <f>'C4-Sources'!T38/'C4-Sources'!$B38*100</f>
        <v>3.69214882688641</v>
      </c>
      <c r="Y37" s="450">
        <f>'C4-Sources'!AB38/'C4-Sources'!$B38*100</f>
        <v>1.0148856785006239</v>
      </c>
      <c r="Z37" s="450">
        <f>'C4-Sources'!AJ38/'C4-Sources'!$B38*100</f>
        <v>2.0277388024704335</v>
      </c>
      <c r="AA37" s="450">
        <f>'C4-Sources'!AR38/'C4-Sources'!$B38*100</f>
        <v>1.0410602708574785</v>
      </c>
      <c r="AB37" s="450">
        <f>'C4-Sources'!AZ38/'C4-Sources'!$B38*100</f>
        <v>0.70560389599733331</v>
      </c>
      <c r="AC37" s="450">
        <f>'C4-Sources'!BH38/'C4-Sources'!$B38*100</f>
        <v>1.5252423048351875</v>
      </c>
      <c r="AD37" s="450">
        <f>'C4-Sources'!BP38/'C4-Sources'!$B38*100</f>
        <v>2.477633604224136</v>
      </c>
      <c r="AF37" s="528">
        <f t="shared" si="3"/>
        <v>10.924309169780608</v>
      </c>
      <c r="AG37" s="450">
        <f>'C4-Sources'!M38/'C4-Sources'!$B38*100</f>
        <v>4.0211111973883407</v>
      </c>
      <c r="AH37" s="450">
        <f>'C4-Sources'!U38/'C4-Sources'!$B38*100</f>
        <v>2.3137859521419673</v>
      </c>
      <c r="AI37" s="450">
        <f>'C4-Sources'!AC38/'C4-Sources'!$B38*100</f>
        <v>0.71119856343045862</v>
      </c>
      <c r="AJ37" s="450">
        <f>'C4-Sources'!AK38/'C4-Sources'!$B38*100</f>
        <v>1.3252532073106849</v>
      </c>
      <c r="AK37" s="450">
        <f>'C4-Sources'!AS38/'C4-Sources'!$B38*100</f>
        <v>0.61806269934046332</v>
      </c>
      <c r="AL37" s="450">
        <f>'C4-Sources'!BA38/'C4-Sources'!$B38*100</f>
        <v>0.34553429607670166</v>
      </c>
      <c r="AM37" s="450">
        <f>'C4-Sources'!BI38/'C4-Sources'!$B38*100</f>
        <v>0.44545695260019169</v>
      </c>
      <c r="AN37" s="450">
        <f>'C4-Sources'!BQ38/'C4-Sources'!$B38*100</f>
        <v>1.1439063014918021</v>
      </c>
      <c r="AP37" s="528">
        <f t="shared" si="4"/>
        <v>8.1003623843812651</v>
      </c>
      <c r="AQ37" s="450">
        <f>'C4-Sources'!N38/'C4-Sources'!$B38*100</f>
        <v>2.6653836110441156</v>
      </c>
      <c r="AR37" s="450">
        <f>'C4-Sources'!V38/'C4-Sources'!$B38*100</f>
        <v>1.8491305734303094</v>
      </c>
      <c r="AS37" s="450">
        <f>'C4-Sources'!AD38/'C4-Sources'!$B38*100</f>
        <v>0.59312453598441606</v>
      </c>
      <c r="AT37" s="450">
        <f>'C4-Sources'!AL38/'C4-Sources'!$B38*100</f>
        <v>1.0860022002332734</v>
      </c>
      <c r="AU37" s="450">
        <f>'C4-Sources'!AT38/'C4-Sources'!$B38*100</f>
        <v>0.50457383205184714</v>
      </c>
      <c r="AV37" s="450">
        <f>'C4-Sources'!BB38/'C4-Sources'!$B38*100</f>
        <v>0.2688122035831555</v>
      </c>
      <c r="AW37" s="450">
        <f>'C4-Sources'!BJ38/'C4-Sources'!$B38*100</f>
        <v>0.28270132569619738</v>
      </c>
      <c r="AX37" s="450">
        <f>'C4-Sources'!BR38/'C4-Sources'!$B38*100</f>
        <v>0.85063410235795034</v>
      </c>
      <c r="AZ37" s="528">
        <f t="shared" si="5"/>
        <v>4.1813383006239881</v>
      </c>
      <c r="BA37" s="450">
        <f>'C4-Sources'!O38/'C4-Sources'!$B38*100</f>
        <v>1.0715943877711556</v>
      </c>
      <c r="BB37" s="450">
        <f>'C4-Sources'!W38/'C4-Sources'!$B38*100</f>
        <v>1.0907086983319945</v>
      </c>
      <c r="BC37" s="450">
        <f>'C4-Sources'!AE38/'C4-Sources'!$B38*100</f>
        <v>0.38161863681974673</v>
      </c>
      <c r="BD37" s="450">
        <f>'C4-Sources'!AM38/'C4-Sources'!$B38*100</f>
        <v>0.65668041438874225</v>
      </c>
      <c r="BE37" s="450">
        <f>'C4-Sources'!AU38/'C4-Sources'!$B38*100</f>
        <v>0.31661209308064536</v>
      </c>
      <c r="BF37" s="450">
        <f>'C4-Sources'!BC38/'C4-Sources'!$B38*100</f>
        <v>0.15578056391047471</v>
      </c>
      <c r="BG37" s="450">
        <f>'C4-Sources'!BK38/'C4-Sources'!$B38*100</f>
        <v>0.10068536753619274</v>
      </c>
      <c r="BH37" s="450">
        <f>'C4-Sources'!BS38/'C4-Sources'!$B38*100</f>
        <v>0.40765813878503615</v>
      </c>
      <c r="BJ37" s="528">
        <f t="shared" si="6"/>
        <v>1.6167497023730832</v>
      </c>
      <c r="BK37" s="450">
        <f>'C4-Sources'!P38/'C4-Sources'!$B38*100</f>
        <v>0.27981084494265146</v>
      </c>
      <c r="BL37" s="450">
        <f>'C4-Sources'!X38/'C4-Sources'!$B38*100</f>
        <v>0.48124655238334341</v>
      </c>
      <c r="BM37" s="450">
        <f>'C4-Sources'!AF38/'C4-Sources'!$B38*100</f>
        <v>0.18751527662229656</v>
      </c>
      <c r="BN37" s="450">
        <f>'C4-Sources'!AN38/'C4-Sources'!$B38*100</f>
        <v>0.27964300820149263</v>
      </c>
      <c r="BO37" s="450">
        <f>'C4-Sources'!AV38/'C4-Sources'!$B38*100</f>
        <v>0.1502625046473639</v>
      </c>
      <c r="BP37" s="450">
        <f>'C4-Sources'!BD38/'C4-Sources'!$B38*100</f>
        <v>6.8652816406184203E-2</v>
      </c>
      <c r="BQ37" s="450">
        <f>'C4-Sources'!BL38/'C4-Sources'!$B38*100</f>
        <v>2.2751223847304658E-2</v>
      </c>
      <c r="BR37" s="450">
        <f>'C4-Sources'!BT38/'C4-Sources'!$B38*100</f>
        <v>0.14686747532244668</v>
      </c>
      <c r="BS37" s="453"/>
      <c r="BT37" s="453"/>
      <c r="BU37" s="453"/>
      <c r="BV37" s="453"/>
      <c r="BW37" s="454"/>
      <c r="BX37" s="452"/>
      <c r="BY37" s="452"/>
    </row>
    <row r="38" spans="1:77" s="173" customFormat="1" ht="12" x14ac:dyDescent="0.25">
      <c r="A38" s="239">
        <v>1992</v>
      </c>
      <c r="B38" s="528">
        <f t="shared" si="0"/>
        <v>64.515085021079869</v>
      </c>
      <c r="C38" s="450">
        <f>('C4-Sources'!J39-'C4-Sources'!K39)/'C4-Sources'!$B39*100</f>
        <v>42.811793019548091</v>
      </c>
      <c r="D38" s="450">
        <f>('C4-Sources'!R39-'C4-Sources'!S39)/'C4-Sources'!$B39*100</f>
        <v>4.424489301096135</v>
      </c>
      <c r="E38" s="450">
        <f>('C4-Sources'!Z39-'C4-Sources'!AA39)/'C4-Sources'!$B39*100</f>
        <v>0.52603468573716783</v>
      </c>
      <c r="F38" s="450">
        <f>('C4-Sources'!AH39-'C4-Sources'!AI39)/'C4-Sources'!$B39*100</f>
        <v>1.8621816635404762</v>
      </c>
      <c r="G38" s="450">
        <f>('C4-Sources'!AP39-'C4-Sources'!AQ39)/'C4-Sources'!$B39*100</f>
        <v>1.1416308607140202</v>
      </c>
      <c r="H38" s="450">
        <f>('C4-Sources'!AX39-'C4-Sources'!AY39)/'C4-Sources'!$B39*100</f>
        <v>1.3051462491370236</v>
      </c>
      <c r="I38" s="450">
        <f>('C4-Sources'!BF39-'C4-Sources'!BG39)/'C4-Sources'!$B39*100</f>
        <v>5.9730781750312376</v>
      </c>
      <c r="J38" s="450">
        <f>('C4-Sources'!BN39-'C4-Sources'!BO39)/'C4-Sources'!$B39*100</f>
        <v>6.4707310662757118</v>
      </c>
      <c r="K38" s="449"/>
      <c r="L38" s="528">
        <f t="shared" si="1"/>
        <v>35.484914978920131</v>
      </c>
      <c r="M38" s="450">
        <f>'C4-Sources'!K39/'C4-Sources'!$B39*100</f>
        <v>18.844014471959902</v>
      </c>
      <c r="N38" s="450">
        <f>'C4-Sources'!S39/'C4-Sources'!$B39*100</f>
        <v>4.4467536298295052</v>
      </c>
      <c r="O38" s="450">
        <f>'C4-Sources'!AA39/'C4-Sources'!$B39*100</f>
        <v>1.1204419905414291</v>
      </c>
      <c r="P38" s="450">
        <f>'C4-Sources'!AI39/'C4-Sources'!$B39*100</f>
        <v>1.9963409264508458</v>
      </c>
      <c r="Q38" s="450">
        <f>'C4-Sources'!AQ39/'C4-Sources'!$B39*100</f>
        <v>1.3506106309423669</v>
      </c>
      <c r="R38" s="450">
        <f>'C4-Sources'!AY39/'C4-Sources'!$B39*100</f>
        <v>1.0934000393960346</v>
      </c>
      <c r="S38" s="450">
        <f>'C4-Sources'!BG39/'C4-Sources'!$B39*100</f>
        <v>2.7905319967960343</v>
      </c>
      <c r="T38" s="450">
        <f>'C4-Sources'!BO39/'C4-Sources'!$B39*100</f>
        <v>3.842821293004016</v>
      </c>
      <c r="V38" s="528">
        <f t="shared" si="2"/>
        <v>24.668701922948117</v>
      </c>
      <c r="W38" s="450">
        <f>'C4-Sources'!L39/'C4-Sources'!$B39*100</f>
        <v>11.954633140264075</v>
      </c>
      <c r="X38" s="450">
        <f>'C4-Sources'!T39/'C4-Sources'!$B39*100</f>
        <v>3.771155072009992</v>
      </c>
      <c r="Y38" s="450">
        <f>'C4-Sources'!AB39/'C4-Sources'!$B39*100</f>
        <v>0.95868984183644068</v>
      </c>
      <c r="Z38" s="450">
        <f>'C4-Sources'!AJ39/'C4-Sources'!$B39*100</f>
        <v>1.6536499126265842</v>
      </c>
      <c r="AA38" s="450">
        <f>'C4-Sources'!AR39/'C4-Sources'!$B39*100</f>
        <v>1.0695207851964088</v>
      </c>
      <c r="AB38" s="450">
        <f>'C4-Sources'!AZ39/'C4-Sources'!$B39*100</f>
        <v>0.80713534139672372</v>
      </c>
      <c r="AC38" s="450">
        <f>'C4-Sources'!BH39/'C4-Sources'!$B39*100</f>
        <v>1.8022213372616243</v>
      </c>
      <c r="AD38" s="450">
        <f>'C4-Sources'!BP39/'C4-Sources'!$B39*100</f>
        <v>2.6516964923562636</v>
      </c>
      <c r="AF38" s="528">
        <f t="shared" si="3"/>
        <v>11.597736769774794</v>
      </c>
      <c r="AG38" s="450">
        <f>'C4-Sources'!M39/'C4-Sources'!$B39*100</f>
        <v>4.5412937793129204</v>
      </c>
      <c r="AH38" s="450">
        <f>'C4-Sources'!U39/'C4-Sources'!$B39*100</f>
        <v>2.3603434898882552</v>
      </c>
      <c r="AI38" s="450">
        <f>'C4-Sources'!AC39/'C4-Sources'!$B39*100</f>
        <v>0.67509350885503761</v>
      </c>
      <c r="AJ38" s="450">
        <f>'C4-Sources'!AK39/'C4-Sources'!$B39*100</f>
        <v>1.09123102308136</v>
      </c>
      <c r="AK38" s="450">
        <f>'C4-Sources'!AS39/'C4-Sources'!$B39*100</f>
        <v>0.63209528570961593</v>
      </c>
      <c r="AL38" s="450">
        <f>'C4-Sources'!BA39/'C4-Sources'!$B39*100</f>
        <v>0.39783476559683129</v>
      </c>
      <c r="AM38" s="450">
        <f>'C4-Sources'!BI39/'C4-Sources'!$B39*100</f>
        <v>0.5577446385979653</v>
      </c>
      <c r="AN38" s="450">
        <f>'C4-Sources'!BQ39/'C4-Sources'!$B39*100</f>
        <v>1.3421002787328087</v>
      </c>
      <c r="AP38" s="528">
        <f t="shared" si="4"/>
        <v>8.7035805313550352</v>
      </c>
      <c r="AQ38" s="450">
        <f>'C4-Sources'!N39/'C4-Sources'!$B39*100</f>
        <v>3.1757059310585882</v>
      </c>
      <c r="AR38" s="450">
        <f>'C4-Sources'!V39/'C4-Sources'!$B39*100</f>
        <v>1.881512097686771</v>
      </c>
      <c r="AS38" s="450">
        <f>'C4-Sources'!AD39/'C4-Sources'!$B39*100</f>
        <v>0.55832978668791255</v>
      </c>
      <c r="AT38" s="450">
        <f>'C4-Sources'!AL39/'C4-Sources'!$B39*100</f>
        <v>0.89582123258065227</v>
      </c>
      <c r="AU38" s="450">
        <f>'C4-Sources'!AT39/'C4-Sources'!$B39*100</f>
        <v>0.51393315527190131</v>
      </c>
      <c r="AV38" s="450">
        <f>'C4-Sources'!BB39/'C4-Sources'!$B39*100</f>
        <v>0.31072253326064575</v>
      </c>
      <c r="AW38" s="450">
        <f>'C4-Sources'!BJ39/'C4-Sources'!$B39*100</f>
        <v>0.36997564209150008</v>
      </c>
      <c r="AX38" s="450">
        <f>'C4-Sources'!BR39/'C4-Sources'!$B39*100</f>
        <v>0.99758015271706446</v>
      </c>
      <c r="AZ38" s="528">
        <f t="shared" si="5"/>
        <v>4.6206088990362666</v>
      </c>
      <c r="BA38" s="450">
        <f>'C4-Sources'!O39/'C4-Sources'!$B39*100</f>
        <v>1.4615178903453385</v>
      </c>
      <c r="BB38" s="450">
        <f>'C4-Sources'!W39/'C4-Sources'!$B39*100</f>
        <v>1.0965315524035588</v>
      </c>
      <c r="BC38" s="450">
        <f>'C4-Sources'!AE39/'C4-Sources'!$B39*100</f>
        <v>0.37891619547163707</v>
      </c>
      <c r="BD38" s="450">
        <f>'C4-Sources'!AM39/'C4-Sources'!$B39*100</f>
        <v>0.54302653497931097</v>
      </c>
      <c r="BE38" s="450">
        <f>'C4-Sources'!AU39/'C4-Sources'!$B39*100</f>
        <v>0.33436711634170491</v>
      </c>
      <c r="BF38" s="450">
        <f>'C4-Sources'!BC39/'C4-Sources'!$B39*100</f>
        <v>0.18637681815775536</v>
      </c>
      <c r="BG38" s="450">
        <f>'C4-Sources'!BK39/'C4-Sources'!$B39*100</f>
        <v>0.15084084958778665</v>
      </c>
      <c r="BH38" s="450">
        <f>'C4-Sources'!BS39/'C4-Sources'!$B39*100</f>
        <v>0.46903194174917451</v>
      </c>
      <c r="BJ38" s="528">
        <f t="shared" si="6"/>
        <v>1.8609267929936468</v>
      </c>
      <c r="BK38" s="450">
        <f>'C4-Sources'!P39/'C4-Sources'!$B39*100</f>
        <v>0.46959117490599134</v>
      </c>
      <c r="BL38" s="450">
        <f>'C4-Sources'!X39/'C4-Sources'!$B39*100</f>
        <v>0.49574364806860594</v>
      </c>
      <c r="BM38" s="450">
        <f>'C4-Sources'!AF39/'C4-Sources'!$B39*100</f>
        <v>0.19206885265892179</v>
      </c>
      <c r="BN38" s="450">
        <f>'C4-Sources'!AN39/'C4-Sources'!$B39*100</f>
        <v>0.2325926364012805</v>
      </c>
      <c r="BO38" s="450">
        <f>'C4-Sources'!AV39/'C4-Sources'!$B39*100</f>
        <v>0.16275424744915523</v>
      </c>
      <c r="BP38" s="450">
        <f>'C4-Sources'!BD39/'C4-Sources'!$B39*100</f>
        <v>8.4582772538821627E-2</v>
      </c>
      <c r="BQ38" s="450">
        <f>'C4-Sources'!BL39/'C4-Sources'!$B39*100</f>
        <v>4.0761637915895176E-2</v>
      </c>
      <c r="BR38" s="450">
        <f>'C4-Sources'!BT39/'C4-Sources'!$B39*100</f>
        <v>0.18283182305497522</v>
      </c>
      <c r="BS38" s="453"/>
      <c r="BT38" s="453"/>
      <c r="BU38" s="453"/>
      <c r="BV38" s="453"/>
      <c r="BW38" s="454"/>
      <c r="BX38" s="452"/>
      <c r="BY38" s="452"/>
    </row>
    <row r="39" spans="1:77" s="173" customFormat="1" ht="12" x14ac:dyDescent="0.25">
      <c r="A39" s="239">
        <v>1993</v>
      </c>
      <c r="B39" s="528">
        <f t="shared" si="0"/>
        <v>64.97024387262563</v>
      </c>
      <c r="C39" s="450">
        <f>('C4-Sources'!J40-'C4-Sources'!K40)/'C4-Sources'!$B40*100</f>
        <v>42.758995284534947</v>
      </c>
      <c r="D39" s="450">
        <f>('C4-Sources'!R40-'C4-Sources'!S40)/'C4-Sources'!$B40*100</f>
        <v>4.6537727501691952</v>
      </c>
      <c r="E39" s="450">
        <f>('C4-Sources'!Z40-'C4-Sources'!AA40)/'C4-Sources'!$B40*100</f>
        <v>0.54659259738731891</v>
      </c>
      <c r="F39" s="450">
        <f>('C4-Sources'!AH40-'C4-Sources'!AI40)/'C4-Sources'!$B40*100</f>
        <v>1.4644427604760142</v>
      </c>
      <c r="G39" s="450">
        <f>('C4-Sources'!AP40-'C4-Sources'!AQ40)/'C4-Sources'!$B40*100</f>
        <v>1.1970843618765457</v>
      </c>
      <c r="H39" s="450">
        <f>('C4-Sources'!AX40-'C4-Sources'!AY40)/'C4-Sources'!$B40*100</f>
        <v>1.4900946135207791</v>
      </c>
      <c r="I39" s="450">
        <f>('C4-Sources'!BF40-'C4-Sources'!BG40)/'C4-Sources'!$B40*100</f>
        <v>6.2019811685648971</v>
      </c>
      <c r="J39" s="450">
        <f>('C4-Sources'!BN40-'C4-Sources'!BO40)/'C4-Sources'!$B40*100</f>
        <v>6.6572803360959307</v>
      </c>
      <c r="K39" s="449"/>
      <c r="L39" s="528">
        <f t="shared" si="1"/>
        <v>35.02975612737437</v>
      </c>
      <c r="M39" s="450">
        <f>'C4-Sources'!K40/'C4-Sources'!$B40*100</f>
        <v>18.579794962894137</v>
      </c>
      <c r="N39" s="450">
        <f>'C4-Sources'!S40/'C4-Sources'!$B40*100</f>
        <v>4.556007895401069</v>
      </c>
      <c r="O39" s="450">
        <f>'C4-Sources'!AA40/'C4-Sources'!$B40*100</f>
        <v>1.0631120586052314</v>
      </c>
      <c r="P39" s="450">
        <f>'C4-Sources'!AI40/'C4-Sources'!$B40*100</f>
        <v>1.7119023988556976</v>
      </c>
      <c r="Q39" s="450">
        <f>'C4-Sources'!AQ40/'C4-Sources'!$B40*100</f>
        <v>1.3337490340541109</v>
      </c>
      <c r="R39" s="450">
        <f>'C4-Sources'!AY40/'C4-Sources'!$B40*100</f>
        <v>1.2041332677435397</v>
      </c>
      <c r="S39" s="450">
        <f>'C4-Sources'!BG40/'C4-Sources'!$B40*100</f>
        <v>2.75392934512413</v>
      </c>
      <c r="T39" s="450">
        <f>'C4-Sources'!BO40/'C4-Sources'!$B40*100</f>
        <v>3.8271271646964475</v>
      </c>
      <c r="V39" s="528">
        <f t="shared" si="2"/>
        <v>24.146683076109603</v>
      </c>
      <c r="W39" s="450">
        <f>'C4-Sources'!L40/'C4-Sources'!$B40*100</f>
        <v>11.728856688343424</v>
      </c>
      <c r="X39" s="450">
        <f>'C4-Sources'!T40/'C4-Sources'!$B40*100</f>
        <v>3.7829022977771376</v>
      </c>
      <c r="Y39" s="450">
        <f>'C4-Sources'!AB40/'C4-Sources'!$B40*100</f>
        <v>0.9058851833614191</v>
      </c>
      <c r="Z39" s="450">
        <f>'C4-Sources'!AJ40/'C4-Sources'!$B40*100</f>
        <v>1.4357724525172688</v>
      </c>
      <c r="AA39" s="450">
        <f>'C4-Sources'!AR40/'C4-Sources'!$B40*100</f>
        <v>1.0529619139378852</v>
      </c>
      <c r="AB39" s="450">
        <f>'C4-Sources'!AZ40/'C4-Sources'!$B40*100</f>
        <v>0.89050164417648814</v>
      </c>
      <c r="AC39" s="450">
        <f>'C4-Sources'!BH40/'C4-Sources'!$B40*100</f>
        <v>1.7868113730577315</v>
      </c>
      <c r="AD39" s="450">
        <f>'C4-Sources'!BP40/'C4-Sources'!$B40*100</f>
        <v>2.5629915229382476</v>
      </c>
      <c r="AF39" s="528">
        <f t="shared" si="3"/>
        <v>10.954075171346821</v>
      </c>
      <c r="AG39" s="450">
        <f>'C4-Sources'!M40/'C4-Sources'!$B40*100</f>
        <v>4.2935771627038877</v>
      </c>
      <c r="AH39" s="450">
        <f>'C4-Sources'!U40/'C4-Sources'!$B40*100</f>
        <v>2.2811447859007421</v>
      </c>
      <c r="AI39" s="450">
        <f>'C4-Sources'!AC40/'C4-Sources'!$B40*100</f>
        <v>0.62033157520297733</v>
      </c>
      <c r="AJ39" s="450">
        <f>'C4-Sources'!AK40/'C4-Sources'!$B40*100</f>
        <v>0.95801309839573223</v>
      </c>
      <c r="AK39" s="450">
        <f>'C4-Sources'!AS40/'C4-Sources'!$B40*100</f>
        <v>0.60952759211537133</v>
      </c>
      <c r="AL39" s="450">
        <f>'C4-Sources'!BA40/'C4-Sources'!$B40*100</f>
        <v>0.43388915379521265</v>
      </c>
      <c r="AM39" s="450">
        <f>'C4-Sources'!BI40/'C4-Sources'!$B40*100</f>
        <v>0.51810578529326279</v>
      </c>
      <c r="AN39" s="450">
        <f>'C4-Sources'!BQ40/'C4-Sources'!$B40*100</f>
        <v>1.2394860179396343</v>
      </c>
      <c r="AP39" s="528">
        <f t="shared" si="4"/>
        <v>8.1024764375888996</v>
      </c>
      <c r="AQ39" s="450">
        <f>'C4-Sources'!N40/'C4-Sources'!$B40*100</f>
        <v>2.8988606028896986</v>
      </c>
      <c r="AR39" s="450">
        <f>'C4-Sources'!V40/'C4-Sources'!$B40*100</f>
        <v>1.8358415689719021</v>
      </c>
      <c r="AS39" s="450">
        <f>'C4-Sources'!AD40/'C4-Sources'!$B40*100</f>
        <v>0.51563099101012455</v>
      </c>
      <c r="AT39" s="450">
        <f>'C4-Sources'!AL40/'C4-Sources'!$B40*100</f>
        <v>0.7895197526947163</v>
      </c>
      <c r="AU39" s="450">
        <f>'C4-Sources'!AT40/'C4-Sources'!$B40*100</f>
        <v>0.49477050117151167</v>
      </c>
      <c r="AV39" s="450">
        <f>'C4-Sources'!BB40/'C4-Sources'!$B40*100</f>
        <v>0.33794042794961188</v>
      </c>
      <c r="AW39" s="450">
        <f>'C4-Sources'!BJ40/'C4-Sources'!$B40*100</f>
        <v>0.31967096073191309</v>
      </c>
      <c r="AX39" s="450">
        <f>'C4-Sources'!BR40/'C4-Sources'!$B40*100</f>
        <v>0.910241632169421</v>
      </c>
      <c r="AZ39" s="528">
        <f t="shared" si="5"/>
        <v>4.2047194441650992</v>
      </c>
      <c r="BA39" s="450">
        <f>'C4-Sources'!O40/'C4-Sources'!$B40*100</f>
        <v>1.2664082520909488</v>
      </c>
      <c r="BB39" s="450">
        <f>'C4-Sources'!W40/'C4-Sources'!$B40*100</f>
        <v>1.079609578348719</v>
      </c>
      <c r="BC39" s="450">
        <f>'C4-Sources'!AE40/'C4-Sources'!$B40*100</f>
        <v>0.34089280730144789</v>
      </c>
      <c r="BD39" s="450">
        <f>'C4-Sources'!AM40/'C4-Sources'!$B40*100</f>
        <v>0.48005661907129188</v>
      </c>
      <c r="BE39" s="450">
        <f>'C4-Sources'!AU40/'C4-Sources'!$B40*100</f>
        <v>0.3190128601188037</v>
      </c>
      <c r="BF39" s="450">
        <f>'C4-Sources'!BC40/'C4-Sources'!$B40*100</f>
        <v>0.20267874878471662</v>
      </c>
      <c r="BG39" s="450">
        <f>'C4-Sources'!BK40/'C4-Sources'!$B40*100</f>
        <v>0.12325536462950414</v>
      </c>
      <c r="BH39" s="450">
        <f>'C4-Sources'!BS40/'C4-Sources'!$B40*100</f>
        <v>0.39280521381966732</v>
      </c>
      <c r="BJ39" s="528">
        <f t="shared" si="6"/>
        <v>1.6635688300558742</v>
      </c>
      <c r="BK39" s="450">
        <f>'C4-Sources'!P40/'C4-Sources'!$B40*100</f>
        <v>0.37466758629841956</v>
      </c>
      <c r="BL39" s="450">
        <f>'C4-Sources'!X40/'C4-Sources'!$B40*100</f>
        <v>0.48649421097978951</v>
      </c>
      <c r="BM39" s="450">
        <f>'C4-Sources'!AF40/'C4-Sources'!$B40*100</f>
        <v>0.17188355794446158</v>
      </c>
      <c r="BN39" s="450">
        <f>'C4-Sources'!AN40/'C4-Sources'!$B40*100</f>
        <v>0.21055555485568378</v>
      </c>
      <c r="BO39" s="450">
        <f>'C4-Sources'!AV40/'C4-Sources'!$B40*100</f>
        <v>0.15583848465536976</v>
      </c>
      <c r="BP39" s="450">
        <f>'C4-Sources'!BD40/'C4-Sources'!$B40*100</f>
        <v>9.3086723088845205E-2</v>
      </c>
      <c r="BQ39" s="450">
        <f>'C4-Sources'!BL40/'C4-Sources'!$B40*100</f>
        <v>3.0421150088931585E-2</v>
      </c>
      <c r="BR39" s="450">
        <f>'C4-Sources'!BT40/'C4-Sources'!$B40*100</f>
        <v>0.14062156214437344</v>
      </c>
      <c r="BS39" s="453"/>
      <c r="BT39" s="453"/>
      <c r="BU39" s="453"/>
      <c r="BV39" s="453"/>
      <c r="BW39" s="454"/>
      <c r="BX39" s="452"/>
      <c r="BY39" s="452"/>
    </row>
    <row r="40" spans="1:77" s="173" customFormat="1" ht="12" x14ac:dyDescent="0.25">
      <c r="A40" s="239">
        <v>1994</v>
      </c>
      <c r="B40" s="528">
        <f t="shared" si="0"/>
        <v>65.224241577143033</v>
      </c>
      <c r="C40" s="450">
        <f>('C4-Sources'!J41-'C4-Sources'!K41)/'C4-Sources'!$B41*100</f>
        <v>42.383085945912697</v>
      </c>
      <c r="D40" s="450">
        <f>('C4-Sources'!R41-'C4-Sources'!S41)/'C4-Sources'!$B41*100</f>
        <v>4.663372746160614</v>
      </c>
      <c r="E40" s="450">
        <f>('C4-Sources'!Z41-'C4-Sources'!AA41)/'C4-Sources'!$B41*100</f>
        <v>0.52452842274529232</v>
      </c>
      <c r="F40" s="450">
        <f>('C4-Sources'!AH41-'C4-Sources'!AI41)/'C4-Sources'!$B41*100</f>
        <v>1.3264054604112376</v>
      </c>
      <c r="G40" s="450">
        <f>('C4-Sources'!AP41-'C4-Sources'!AQ41)/'C4-Sources'!$B41*100</f>
        <v>1.5384520985856232</v>
      </c>
      <c r="H40" s="450">
        <f>('C4-Sources'!AX41-'C4-Sources'!AY41)/'C4-Sources'!$B41*100</f>
        <v>1.5824847376465909</v>
      </c>
      <c r="I40" s="450">
        <f>('C4-Sources'!BF41-'C4-Sources'!BG41)/'C4-Sources'!$B41*100</f>
        <v>6.0780018827577713</v>
      </c>
      <c r="J40" s="450">
        <f>('C4-Sources'!BN41-'C4-Sources'!BO41)/'C4-Sources'!$B41*100</f>
        <v>7.1279102829232155</v>
      </c>
      <c r="K40" s="449"/>
      <c r="L40" s="528">
        <f t="shared" si="1"/>
        <v>34.775758422856967</v>
      </c>
      <c r="M40" s="450">
        <f>'C4-Sources'!K41/'C4-Sources'!$B41*100</f>
        <v>18.033308793023362</v>
      </c>
      <c r="N40" s="450">
        <f>'C4-Sources'!S41/'C4-Sources'!$B41*100</f>
        <v>4.7846624739697496</v>
      </c>
      <c r="O40" s="450">
        <f>'C4-Sources'!AA41/'C4-Sources'!$B41*100</f>
        <v>1.0437377141167401</v>
      </c>
      <c r="P40" s="450">
        <f>'C4-Sources'!AI41/'C4-Sources'!$B41*100</f>
        <v>1.6116479704091049</v>
      </c>
      <c r="Q40" s="450">
        <f>'C4-Sources'!AQ41/'C4-Sources'!$B41*100</f>
        <v>1.6014959311544428</v>
      </c>
      <c r="R40" s="450">
        <f>'C4-Sources'!AY41/'C4-Sources'!$B41*100</f>
        <v>1.229641643283113</v>
      </c>
      <c r="S40" s="450">
        <f>'C4-Sources'!BG41/'C4-Sources'!$B41*100</f>
        <v>2.5528169942718377</v>
      </c>
      <c r="T40" s="450">
        <f>'C4-Sources'!BO41/'C4-Sources'!$B41*100</f>
        <v>3.9184469026286148</v>
      </c>
      <c r="V40" s="528">
        <f t="shared" si="2"/>
        <v>24.010524498359064</v>
      </c>
      <c r="W40" s="450">
        <f>'C4-Sources'!L41/'C4-Sources'!$B41*100</f>
        <v>11.283285848598222</v>
      </c>
      <c r="X40" s="450">
        <f>'C4-Sources'!T41/'C4-Sources'!$B41*100</f>
        <v>4.026532766250809</v>
      </c>
      <c r="Y40" s="450">
        <f>'C4-Sources'!AB41/'C4-Sources'!$B41*100</f>
        <v>0.91076292328853226</v>
      </c>
      <c r="Z40" s="450">
        <f>'C4-Sources'!AJ41/'C4-Sources'!$B41*100</f>
        <v>1.3710440858923352</v>
      </c>
      <c r="AA40" s="450">
        <f>'C4-Sources'!AR41/'C4-Sources'!$B41*100</f>
        <v>1.2670246937219625</v>
      </c>
      <c r="AB40" s="450">
        <f>'C4-Sources'!AZ41/'C4-Sources'!$B41*100</f>
        <v>0.91359149954449803</v>
      </c>
      <c r="AC40" s="450">
        <f>'C4-Sources'!BH41/'C4-Sources'!$B41*100</f>
        <v>1.6379901342903587</v>
      </c>
      <c r="AD40" s="450">
        <f>'C4-Sources'!BP41/'C4-Sources'!$B41*100</f>
        <v>2.600292546772343</v>
      </c>
      <c r="AF40" s="528">
        <f t="shared" si="3"/>
        <v>10.947565686902429</v>
      </c>
      <c r="AG40" s="450">
        <f>'C4-Sources'!M41/'C4-Sources'!$B41*100</f>
        <v>4.059907499583395</v>
      </c>
      <c r="AH40" s="450">
        <f>'C4-Sources'!U41/'C4-Sources'!$B41*100</f>
        <v>2.473584140618327</v>
      </c>
      <c r="AI40" s="450">
        <f>'C4-Sources'!AC41/'C4-Sources'!$B41*100</f>
        <v>0.63386086562054678</v>
      </c>
      <c r="AJ40" s="450">
        <f>'C4-Sources'!AK41/'C4-Sources'!$B41*100</f>
        <v>0.94394107209684275</v>
      </c>
      <c r="AK40" s="450">
        <f>'C4-Sources'!AS41/'C4-Sources'!$B41*100</f>
        <v>0.72711147965073453</v>
      </c>
      <c r="AL40" s="450">
        <f>'C4-Sources'!BA41/'C4-Sources'!$B41*100</f>
        <v>0.45120961545831739</v>
      </c>
      <c r="AM40" s="450">
        <f>'C4-Sources'!BI41/'C4-Sources'!$B41*100</f>
        <v>0.44936435334007568</v>
      </c>
      <c r="AN40" s="450">
        <f>'C4-Sources'!BQ41/'C4-Sources'!$B41*100</f>
        <v>1.2085866605341893</v>
      </c>
      <c r="AP40" s="528">
        <f t="shared" si="4"/>
        <v>8.0858544557624921</v>
      </c>
      <c r="AQ40" s="450">
        <f>'C4-Sources'!N41/'C4-Sources'!$B41*100</f>
        <v>2.6566152008811303</v>
      </c>
      <c r="AR40" s="450">
        <f>'C4-Sources'!V41/'C4-Sources'!$B41*100</f>
        <v>2.0014444553415389</v>
      </c>
      <c r="AS40" s="450">
        <f>'C4-Sources'!AD41/'C4-Sources'!$B41*100</f>
        <v>0.54024249266895297</v>
      </c>
      <c r="AT40" s="450">
        <f>'C4-Sources'!AL41/'C4-Sources'!$B41*100</f>
        <v>0.78794765205486983</v>
      </c>
      <c r="AU40" s="450">
        <f>'C4-Sources'!AT41/'C4-Sources'!$B41*100</f>
        <v>0.59835355613053665</v>
      </c>
      <c r="AV40" s="450">
        <f>'C4-Sources'!BB41/'C4-Sources'!$B41*100</f>
        <v>0.3552948004743588</v>
      </c>
      <c r="AW40" s="450">
        <f>'C4-Sources'!BJ41/'C4-Sources'!$B41*100</f>
        <v>0.2736065214675833</v>
      </c>
      <c r="AX40" s="450">
        <f>'C4-Sources'!BR41/'C4-Sources'!$B41*100</f>
        <v>0.87234977674352299</v>
      </c>
      <c r="AZ40" s="528">
        <f t="shared" si="5"/>
        <v>4.208296283075069</v>
      </c>
      <c r="BA40" s="450">
        <f>'C4-Sources'!O41/'C4-Sources'!$B41*100</f>
        <v>1.0995487889355728</v>
      </c>
      <c r="BB40" s="450">
        <f>'C4-Sources'!W41/'C4-Sources'!$B41*100</f>
        <v>1.2129236418799851</v>
      </c>
      <c r="BC40" s="450">
        <f>'C4-Sources'!AE41/'C4-Sources'!$B41*100</f>
        <v>0.35235751556953121</v>
      </c>
      <c r="BD40" s="450">
        <f>'C4-Sources'!AM41/'C4-Sources'!$B41*100</f>
        <v>0.48941622540725516</v>
      </c>
      <c r="BE40" s="450">
        <f>'C4-Sources'!AU41/'C4-Sources'!$B41*100</f>
        <v>0.37993918745293614</v>
      </c>
      <c r="BF40" s="450">
        <f>'C4-Sources'!BC41/'C4-Sources'!$B41*100</f>
        <v>0.21446064236903345</v>
      </c>
      <c r="BG40" s="450">
        <f>'C4-Sources'!BK41/'C4-Sources'!$B41*100</f>
        <v>0.10183543055172432</v>
      </c>
      <c r="BH40" s="450">
        <f>'C4-Sources'!BS41/'C4-Sources'!$B41*100</f>
        <v>0.35781485090903098</v>
      </c>
      <c r="BJ40" s="528">
        <f t="shared" si="6"/>
        <v>1.6627208602309915</v>
      </c>
      <c r="BK40" s="450">
        <f>'C4-Sources'!P41/'C4-Sources'!$B41*100</f>
        <v>0.3058348047277053</v>
      </c>
      <c r="BL40" s="450">
        <f>'C4-Sources'!X41/'C4-Sources'!$B41*100</f>
        <v>0.54013389212680796</v>
      </c>
      <c r="BM40" s="450">
        <f>'C4-Sources'!AF41/'C4-Sources'!$B41*100</f>
        <v>0.17779338901018898</v>
      </c>
      <c r="BN40" s="450">
        <f>'C4-Sources'!AN41/'C4-Sources'!$B41*100</f>
        <v>0.21578358390415042</v>
      </c>
      <c r="BO40" s="450">
        <f>'C4-Sources'!AV41/'C4-Sources'!$B41*100</f>
        <v>0.18489708089016155</v>
      </c>
      <c r="BP40" s="450">
        <f>'C4-Sources'!BD41/'C4-Sources'!$B41*100</f>
        <v>9.9247490434284186E-2</v>
      </c>
      <c r="BQ40" s="450">
        <f>'C4-Sources'!BL41/'C4-Sources'!$B41*100</f>
        <v>2.3247718405129649E-2</v>
      </c>
      <c r="BR40" s="450">
        <f>'C4-Sources'!BT41/'C4-Sources'!$B41*100</f>
        <v>0.11578290073256342</v>
      </c>
      <c r="BS40" s="453"/>
      <c r="BT40" s="453"/>
      <c r="BU40" s="453"/>
      <c r="BV40" s="453"/>
      <c r="BW40" s="454"/>
      <c r="BX40" s="452"/>
      <c r="BY40" s="452"/>
    </row>
    <row r="41" spans="1:77" s="173" customFormat="1" ht="12" x14ac:dyDescent="0.25">
      <c r="A41" s="239">
        <v>1995</v>
      </c>
      <c r="B41" s="528">
        <f t="shared" si="0"/>
        <v>64.606002327128593</v>
      </c>
      <c r="C41" s="450">
        <f>('C4-Sources'!J42-'C4-Sources'!K42)/'C4-Sources'!$B42*100</f>
        <v>41.759694370678893</v>
      </c>
      <c r="D41" s="450">
        <f>('C4-Sources'!R42-'C4-Sources'!S42)/'C4-Sources'!$B42*100</f>
        <v>4.886341869451841</v>
      </c>
      <c r="E41" s="450">
        <f>('C4-Sources'!Z42-'C4-Sources'!AA42)/'C4-Sources'!$B42*100</f>
        <v>0.52288117872424045</v>
      </c>
      <c r="F41" s="450">
        <f>('C4-Sources'!AH42-'C4-Sources'!AI42)/'C4-Sources'!$B42*100</f>
        <v>1.4499469571537662</v>
      </c>
      <c r="G41" s="450">
        <f>('C4-Sources'!AP42-'C4-Sources'!AQ42)/'C4-Sources'!$B42*100</f>
        <v>1.6537914707573049</v>
      </c>
      <c r="H41" s="450">
        <f>('C4-Sources'!AX42-'C4-Sources'!AY42)/'C4-Sources'!$B42*100</f>
        <v>1.6682067257829527</v>
      </c>
      <c r="I41" s="450">
        <f>('C4-Sources'!BF42-'C4-Sources'!BG42)/'C4-Sources'!$B42*100</f>
        <v>5.7753867729846435</v>
      </c>
      <c r="J41" s="450">
        <f>('C4-Sources'!BN42-'C4-Sources'!BO42)/'C4-Sources'!$B42*100</f>
        <v>6.8897529815949525</v>
      </c>
      <c r="K41" s="449"/>
      <c r="L41" s="528">
        <f t="shared" si="1"/>
        <v>35.393997672871407</v>
      </c>
      <c r="M41" s="450">
        <f>'C4-Sources'!K42/'C4-Sources'!$B42*100</f>
        <v>18.215783702232319</v>
      </c>
      <c r="N41" s="450">
        <f>'C4-Sources'!S42/'C4-Sources'!$B42*100</f>
        <v>4.7323364481921049</v>
      </c>
      <c r="O41" s="450">
        <f>'C4-Sources'!AA42/'C4-Sources'!$B42*100</f>
        <v>1.1634398787530131</v>
      </c>
      <c r="P41" s="450">
        <f>'C4-Sources'!AI42/'C4-Sources'!$B42*100</f>
        <v>1.7739129483954317</v>
      </c>
      <c r="Q41" s="450">
        <f>'C4-Sources'!AQ42/'C4-Sources'!$B42*100</f>
        <v>1.8376634397810985</v>
      </c>
      <c r="R41" s="450">
        <f>'C4-Sources'!AY42/'C4-Sources'!$B42*100</f>
        <v>1.3327918946322128</v>
      </c>
      <c r="S41" s="450">
        <f>'C4-Sources'!BG42/'C4-Sources'!$B42*100</f>
        <v>2.3068898434674656</v>
      </c>
      <c r="T41" s="450">
        <f>'C4-Sources'!BO42/'C4-Sources'!$B42*100</f>
        <v>4.0311795174177618</v>
      </c>
      <c r="V41" s="528">
        <f t="shared" si="2"/>
        <v>24.630100417661261</v>
      </c>
      <c r="W41" s="450">
        <f>'C4-Sources'!L42/'C4-Sources'!$B42*100</f>
        <v>11.549759889455885</v>
      </c>
      <c r="X41" s="450">
        <f>'C4-Sources'!T42/'C4-Sources'!$B42*100</f>
        <v>3.9569015685852507</v>
      </c>
      <c r="Y41" s="450">
        <f>'C4-Sources'!AB42/'C4-Sources'!$B42*100</f>
        <v>1.0040723262984137</v>
      </c>
      <c r="Z41" s="450">
        <f>'C4-Sources'!AJ42/'C4-Sources'!$B42*100</f>
        <v>1.4978137211737201</v>
      </c>
      <c r="AA41" s="450">
        <f>'C4-Sources'!AR42/'C4-Sources'!$B42*100</f>
        <v>1.4662385853746029</v>
      </c>
      <c r="AB41" s="450">
        <f>'C4-Sources'!AZ42/'C4-Sources'!$B42*100</f>
        <v>0.99782848683421499</v>
      </c>
      <c r="AC41" s="450">
        <f>'C4-Sources'!BH42/'C4-Sources'!$B42*100</f>
        <v>1.4588553804054529</v>
      </c>
      <c r="AD41" s="450">
        <f>'C4-Sources'!BP42/'C4-Sources'!$B42*100</f>
        <v>2.6986304595337165</v>
      </c>
      <c r="AF41" s="528">
        <f t="shared" si="3"/>
        <v>11.512130249241837</v>
      </c>
      <c r="AG41" s="450">
        <f>'C4-Sources'!M42/'C4-Sources'!$B42*100</f>
        <v>4.2960473602613716</v>
      </c>
      <c r="AH41" s="450">
        <f>'C4-Sources'!U42/'C4-Sources'!$B42*100</f>
        <v>2.4389348342395696</v>
      </c>
      <c r="AI41" s="450">
        <f>'C4-Sources'!AC42/'C4-Sources'!$B42*100</f>
        <v>0.69326087202658437</v>
      </c>
      <c r="AJ41" s="450">
        <f>'C4-Sources'!AK42/'C4-Sources'!$B42*100</f>
        <v>1.0154943379598151</v>
      </c>
      <c r="AK41" s="450">
        <f>'C4-Sources'!AS42/'C4-Sources'!$B42*100</f>
        <v>0.86102001230543079</v>
      </c>
      <c r="AL41" s="450">
        <f>'C4-Sources'!BA42/'C4-Sources'!$B42*100</f>
        <v>0.50119138672158037</v>
      </c>
      <c r="AM41" s="450">
        <f>'C4-Sources'!BI42/'C4-Sources'!$B42*100</f>
        <v>0.40932921959306667</v>
      </c>
      <c r="AN41" s="450">
        <f>'C4-Sources'!BQ42/'C4-Sources'!$B42*100</f>
        <v>1.2968522261344197</v>
      </c>
      <c r="AP41" s="528">
        <f t="shared" si="4"/>
        <v>8.6040989985149654</v>
      </c>
      <c r="AQ41" s="450">
        <f>'C4-Sources'!N42/'C4-Sources'!$B42*100</f>
        <v>2.87163676199697</v>
      </c>
      <c r="AR41" s="450">
        <f>'C4-Sources'!V42/'C4-Sources'!$B42*100</f>
        <v>1.9877436499456083</v>
      </c>
      <c r="AS41" s="450">
        <f>'C4-Sources'!AD42/'C4-Sources'!$B42*100</f>
        <v>0.58691675343470417</v>
      </c>
      <c r="AT41" s="450">
        <f>'C4-Sources'!AL42/'C4-Sources'!$B42*100</f>
        <v>0.85156759880903898</v>
      </c>
      <c r="AU41" s="450">
        <f>'C4-Sources'!AT42/'C4-Sources'!$B42*100</f>
        <v>0.70956975272147715</v>
      </c>
      <c r="AV41" s="450">
        <f>'C4-Sources'!BB42/'C4-Sources'!$B42*100</f>
        <v>0.3962280171789882</v>
      </c>
      <c r="AW41" s="450">
        <f>'C4-Sources'!BJ42/'C4-Sources'!$B42*100</f>
        <v>0.25958454857345448</v>
      </c>
      <c r="AX41" s="450">
        <f>'C4-Sources'!BR42/'C4-Sources'!$B42*100</f>
        <v>0.94085191585472316</v>
      </c>
      <c r="AZ41" s="528">
        <f t="shared" si="5"/>
        <v>4.5089049183774828</v>
      </c>
      <c r="BA41" s="450">
        <f>'C4-Sources'!O42/'C4-Sources'!$B42*100</f>
        <v>1.2406435296907155</v>
      </c>
      <c r="BB41" s="450">
        <f>'C4-Sources'!W42/'C4-Sources'!$B42*100</f>
        <v>1.1673733475678425</v>
      </c>
      <c r="BC41" s="450">
        <f>'C4-Sources'!AE42/'C4-Sources'!$B42*100</f>
        <v>0.38314007802779293</v>
      </c>
      <c r="BD41" s="450">
        <f>'C4-Sources'!AM42/'C4-Sources'!$B42*100</f>
        <v>0.52633095398665874</v>
      </c>
      <c r="BE41" s="450">
        <f>'C4-Sources'!AU42/'C4-Sources'!$B42*100</f>
        <v>0.45325274266611809</v>
      </c>
      <c r="BF41" s="450">
        <f>'C4-Sources'!BC42/'C4-Sources'!$B42*100</f>
        <v>0.23956631511736776</v>
      </c>
      <c r="BG41" s="450">
        <f>'C4-Sources'!BK42/'C4-Sources'!$B42*100</f>
        <v>9.863136537849812E-2</v>
      </c>
      <c r="BH41" s="450">
        <f>'C4-Sources'!BS42/'C4-Sources'!$B42*100</f>
        <v>0.39996658594248807</v>
      </c>
      <c r="BJ41" s="528">
        <f t="shared" si="6"/>
        <v>1.7852703671841206</v>
      </c>
      <c r="BK41" s="450">
        <f>'C4-Sources'!P42/'C4-Sources'!$B42*100</f>
        <v>0.36326011886002696</v>
      </c>
      <c r="BL41" s="450">
        <f>'C4-Sources'!X42/'C4-Sources'!$B42*100</f>
        <v>0.50408355951303241</v>
      </c>
      <c r="BM41" s="450">
        <f>'C4-Sources'!AF42/'C4-Sources'!$B42*100</f>
        <v>0.19488462986725208</v>
      </c>
      <c r="BN41" s="450">
        <f>'C4-Sources'!AN42/'C4-Sources'!$B42*100</f>
        <v>0.23140445140784999</v>
      </c>
      <c r="BO41" s="450">
        <f>'C4-Sources'!AV42/'C4-Sources'!$B42*100</f>
        <v>0.21883838111543111</v>
      </c>
      <c r="BP41" s="450">
        <f>'C4-Sources'!BD42/'C4-Sources'!$B42*100</f>
        <v>0.11020699858662771</v>
      </c>
      <c r="BQ41" s="450">
        <f>'C4-Sources'!BL42/'C4-Sources'!$B42*100</f>
        <v>2.4200079806215982E-2</v>
      </c>
      <c r="BR41" s="450">
        <f>'C4-Sources'!BT42/'C4-Sources'!$B42*100</f>
        <v>0.13839214802768449</v>
      </c>
      <c r="BS41" s="453"/>
      <c r="BT41" s="453"/>
      <c r="BU41" s="453"/>
      <c r="BV41" s="453"/>
      <c r="BW41" s="454"/>
      <c r="BX41" s="452"/>
      <c r="BY41" s="452"/>
    </row>
    <row r="42" spans="1:77" s="173" customFormat="1" ht="12" x14ac:dyDescent="0.25">
      <c r="A42" s="239">
        <v>1996</v>
      </c>
      <c r="B42" s="528">
        <f t="shared" si="0"/>
        <v>64.090769611905316</v>
      </c>
      <c r="C42" s="450">
        <f>('C4-Sources'!J43-'C4-Sources'!K43)/'C4-Sources'!$B43*100</f>
        <v>41.104814963506861</v>
      </c>
      <c r="D42" s="450">
        <f>('C4-Sources'!R43-'C4-Sources'!S43)/'C4-Sources'!$B43*100</f>
        <v>5.1475332280354804</v>
      </c>
      <c r="E42" s="450">
        <f>('C4-Sources'!Z43-'C4-Sources'!AA43)/'C4-Sources'!$B43*100</f>
        <v>0.53914473873984026</v>
      </c>
      <c r="F42" s="450">
        <f>('C4-Sources'!AH43-'C4-Sources'!AI43)/'C4-Sources'!$B43*100</f>
        <v>1.4170268248959366</v>
      </c>
      <c r="G42" s="450">
        <f>('C4-Sources'!AP43-'C4-Sources'!AQ43)/'C4-Sources'!$B43*100</f>
        <v>1.7428285835683492</v>
      </c>
      <c r="H42" s="450">
        <f>('C4-Sources'!AX43-'C4-Sources'!AY43)/'C4-Sources'!$B43*100</f>
        <v>1.6979465797817672</v>
      </c>
      <c r="I42" s="450">
        <f>('C4-Sources'!BF43-'C4-Sources'!BG43)/'C4-Sources'!$B43*100</f>
        <v>5.6299270521266385</v>
      </c>
      <c r="J42" s="450">
        <f>('C4-Sources'!BN43-'C4-Sources'!BO43)/'C4-Sources'!$B43*100</f>
        <v>6.811547641250443</v>
      </c>
      <c r="K42" s="449"/>
      <c r="L42" s="528">
        <f t="shared" si="1"/>
        <v>35.909230388094699</v>
      </c>
      <c r="M42" s="450">
        <f>'C4-Sources'!K43/'C4-Sources'!$B43*100</f>
        <v>18.05985178654376</v>
      </c>
      <c r="N42" s="450">
        <f>'C4-Sources'!S43/'C4-Sources'!$B43*100</f>
        <v>5.1616896874676668</v>
      </c>
      <c r="O42" s="450">
        <f>'C4-Sources'!AA43/'C4-Sources'!$B43*100</f>
        <v>1.2029737877044528</v>
      </c>
      <c r="P42" s="450">
        <f>'C4-Sources'!AI43/'C4-Sources'!$B43*100</f>
        <v>1.7755283642432635</v>
      </c>
      <c r="Q42" s="450">
        <f>'C4-Sources'!AQ43/'C4-Sources'!$B43*100</f>
        <v>1.8959832783506259</v>
      </c>
      <c r="R42" s="450">
        <f>'C4-Sources'!AY43/'C4-Sources'!$B43*100</f>
        <v>1.3658873227881958</v>
      </c>
      <c r="S42" s="450">
        <f>'C4-Sources'!BG43/'C4-Sources'!$B43*100</f>
        <v>2.3222450002671025</v>
      </c>
      <c r="T42" s="450">
        <f>'C4-Sources'!BO43/'C4-Sources'!$B43*100</f>
        <v>4.1250711607296253</v>
      </c>
      <c r="V42" s="528">
        <f t="shared" si="2"/>
        <v>25.176521095075444</v>
      </c>
      <c r="W42" s="450">
        <f>'C4-Sources'!L43/'C4-Sources'!$B43*100</f>
        <v>11.610434105890397</v>
      </c>
      <c r="X42" s="450">
        <f>'C4-Sources'!T43/'C4-Sources'!$B43*100</f>
        <v>4.3262178485530276</v>
      </c>
      <c r="Y42" s="450">
        <f>'C4-Sources'!AB43/'C4-Sources'!$B43*100</f>
        <v>1.0340585100615758</v>
      </c>
      <c r="Z42" s="450">
        <f>'C4-Sources'!AJ43/'C4-Sources'!$B43*100</f>
        <v>1.4954276165431921</v>
      </c>
      <c r="AA42" s="450">
        <f>'C4-Sources'!AR43/'C4-Sources'!$B43*100</f>
        <v>1.4925776927039711</v>
      </c>
      <c r="AB42" s="450">
        <f>'C4-Sources'!AZ43/'C4-Sources'!$B43*100</f>
        <v>1.0092336038926457</v>
      </c>
      <c r="AC42" s="450">
        <f>'C4-Sources'!BH43/'C4-Sources'!$B43*100</f>
        <v>1.4555860675366401</v>
      </c>
      <c r="AD42" s="450">
        <f>'C4-Sources'!BP43/'C4-Sources'!$B43*100</f>
        <v>2.7529856498939917</v>
      </c>
      <c r="AF42" s="528">
        <f t="shared" si="3"/>
        <v>11.931018728926302</v>
      </c>
      <c r="AG42" s="450">
        <f>'C4-Sources'!M43/'C4-Sources'!$B43*100</f>
        <v>4.4530493670788189</v>
      </c>
      <c r="AH42" s="450">
        <f>'C4-Sources'!U43/'C4-Sources'!$B43*100</f>
        <v>2.6704286065147906</v>
      </c>
      <c r="AI42" s="450">
        <f>'C4-Sources'!AC43/'C4-Sources'!$B43*100</f>
        <v>0.70771615716975833</v>
      </c>
      <c r="AJ42" s="450">
        <f>'C4-Sources'!AK43/'C4-Sources'!$B43*100</f>
        <v>1.0000098048598445</v>
      </c>
      <c r="AK42" s="450">
        <f>'C4-Sources'!AS43/'C4-Sources'!$B43*100</f>
        <v>0.86629226115463764</v>
      </c>
      <c r="AL42" s="450">
        <f>'C4-Sources'!BA43/'C4-Sources'!$B43*100</f>
        <v>0.50636232973181705</v>
      </c>
      <c r="AM42" s="450">
        <f>'C4-Sources'!BI43/'C4-Sources'!$B43*100</f>
        <v>0.42095227688047987</v>
      </c>
      <c r="AN42" s="450">
        <f>'C4-Sources'!BQ43/'C4-Sources'!$B43*100</f>
        <v>1.3062079255361565</v>
      </c>
      <c r="AP42" s="528">
        <f t="shared" si="4"/>
        <v>8.9560057110767204</v>
      </c>
      <c r="AQ42" s="450">
        <f>'C4-Sources'!N43/'C4-Sources'!$B43*100</f>
        <v>3.0363571219588859</v>
      </c>
      <c r="AR42" s="450">
        <f>'C4-Sources'!V43/'C4-Sources'!$B43*100</f>
        <v>2.1704950459209544</v>
      </c>
      <c r="AS42" s="450">
        <f>'C4-Sources'!AD43/'C4-Sources'!$B43*100</f>
        <v>0.59656347650979324</v>
      </c>
      <c r="AT42" s="450">
        <f>'C4-Sources'!AL43/'C4-Sources'!$B43*100</f>
        <v>0.83040305933180336</v>
      </c>
      <c r="AU42" s="450">
        <f>'C4-Sources'!AT43/'C4-Sources'!$B43*100</f>
        <v>0.71267392353894743</v>
      </c>
      <c r="AV42" s="450">
        <f>'C4-Sources'!BB43/'C4-Sources'!$B43*100</f>
        <v>0.40100937681369786</v>
      </c>
      <c r="AW42" s="450">
        <f>'C4-Sources'!BJ43/'C4-Sources'!$B43*100</f>
        <v>0.26446336129544895</v>
      </c>
      <c r="AX42" s="450">
        <f>'C4-Sources'!BR43/'C4-Sources'!$B43*100</f>
        <v>0.94404034570719009</v>
      </c>
      <c r="AZ42" s="528">
        <f t="shared" si="5"/>
        <v>4.7215680608212374</v>
      </c>
      <c r="BA42" s="450">
        <f>'C4-Sources'!O43/'C4-Sources'!$B43*100</f>
        <v>1.3591920011442618</v>
      </c>
      <c r="BB42" s="450">
        <f>'C4-Sources'!W43/'C4-Sources'!$B43*100</f>
        <v>1.2812391535913885</v>
      </c>
      <c r="BC42" s="450">
        <f>'C4-Sources'!AE43/'C4-Sources'!$B43*100</f>
        <v>0.38302064884412002</v>
      </c>
      <c r="BD42" s="450">
        <f>'C4-Sources'!AM43/'C4-Sources'!$B43*100</f>
        <v>0.50856100486509859</v>
      </c>
      <c r="BE42" s="450">
        <f>'C4-Sources'!AU43/'C4-Sources'!$B43*100</f>
        <v>0.44991814228084703</v>
      </c>
      <c r="BF42" s="450">
        <f>'C4-Sources'!BC43/'C4-Sources'!$B43*100</f>
        <v>0.24011241683586881</v>
      </c>
      <c r="BG42" s="450">
        <f>'C4-Sources'!BK43/'C4-Sources'!$B43*100</f>
        <v>0.10050281021895147</v>
      </c>
      <c r="BH42" s="450">
        <f>'C4-Sources'!BS43/'C4-Sources'!$B43*100</f>
        <v>0.39902188304070108</v>
      </c>
      <c r="BJ42" s="528">
        <f t="shared" si="6"/>
        <v>1.8921142399220061</v>
      </c>
      <c r="BK42" s="450">
        <f>'C4-Sources'!P43/'C4-Sources'!$B43*100</f>
        <v>0.4242808267511356</v>
      </c>
      <c r="BL42" s="450">
        <f>'C4-Sources'!X43/'C4-Sources'!$B43*100</f>
        <v>0.5531319851878429</v>
      </c>
      <c r="BM42" s="450">
        <f>'C4-Sources'!AF43/'C4-Sources'!$B43*100</f>
        <v>0.1938027414717603</v>
      </c>
      <c r="BN42" s="450">
        <f>'C4-Sources'!AN43/'C4-Sources'!$B43*100</f>
        <v>0.22476028167844925</v>
      </c>
      <c r="BO42" s="450">
        <f>'C4-Sources'!AV43/'C4-Sources'!$B43*100</f>
        <v>0.21708374123218405</v>
      </c>
      <c r="BP42" s="450">
        <f>'C4-Sources'!BD43/'C4-Sources'!$B43*100</f>
        <v>0.10992979467894465</v>
      </c>
      <c r="BQ42" s="450">
        <f>'C4-Sources'!BL43/'C4-Sources'!$B43*100</f>
        <v>2.594705231549628E-2</v>
      </c>
      <c r="BR42" s="450">
        <f>'C4-Sources'!BT43/'C4-Sources'!$B43*100</f>
        <v>0.1431778166061933</v>
      </c>
      <c r="BS42" s="453"/>
      <c r="BT42" s="453"/>
      <c r="BU42" s="453"/>
      <c r="BV42" s="453"/>
      <c r="BW42" s="454"/>
      <c r="BX42" s="452"/>
      <c r="BY42" s="452"/>
    </row>
    <row r="43" spans="1:77" s="173" customFormat="1" ht="12" x14ac:dyDescent="0.25">
      <c r="A43" s="239">
        <v>1997</v>
      </c>
      <c r="B43" s="528">
        <f t="shared" si="0"/>
        <v>63.545110513915425</v>
      </c>
      <c r="C43" s="450">
        <f>('C4-Sources'!J44-'C4-Sources'!K44)/'C4-Sources'!$B44*100</f>
        <v>40.64400388064999</v>
      </c>
      <c r="D43" s="450">
        <f>('C4-Sources'!R44-'C4-Sources'!S44)/'C4-Sources'!$B44*100</f>
        <v>5.1896728091945992</v>
      </c>
      <c r="E43" s="450">
        <f>('C4-Sources'!Z44-'C4-Sources'!AA44)/'C4-Sources'!$B44*100</f>
        <v>0.55823625033547897</v>
      </c>
      <c r="F43" s="450">
        <f>('C4-Sources'!AH44-'C4-Sources'!AI44)/'C4-Sources'!$B44*100</f>
        <v>1.3494046961795596</v>
      </c>
      <c r="G43" s="450">
        <f>('C4-Sources'!AP44-'C4-Sources'!AQ44)/'C4-Sources'!$B44*100</f>
        <v>1.7655013672623148</v>
      </c>
      <c r="H43" s="450">
        <f>('C4-Sources'!AX44-'C4-Sources'!AY44)/'C4-Sources'!$B44*100</f>
        <v>1.648640159692405</v>
      </c>
      <c r="I43" s="450">
        <f>('C4-Sources'!BF44-'C4-Sources'!BG44)/'C4-Sources'!$B44*100</f>
        <v>5.7181953365969163</v>
      </c>
      <c r="J43" s="450">
        <f>('C4-Sources'!BN44-'C4-Sources'!BO44)/'C4-Sources'!$B44*100</f>
        <v>6.671456014004165</v>
      </c>
      <c r="K43" s="449"/>
      <c r="L43" s="528">
        <f t="shared" si="1"/>
        <v>36.454889486084575</v>
      </c>
      <c r="M43" s="450">
        <f>'C4-Sources'!K44/'C4-Sources'!$B44*100</f>
        <v>18.258306547475613</v>
      </c>
      <c r="N43" s="450">
        <f>'C4-Sources'!S44/'C4-Sources'!$B44*100</f>
        <v>5.2404669030423356</v>
      </c>
      <c r="O43" s="450">
        <f>'C4-Sources'!AA44/'C4-Sources'!$B44*100</f>
        <v>1.291562387378302</v>
      </c>
      <c r="P43" s="450">
        <f>'C4-Sources'!AI44/'C4-Sources'!$B44*100</f>
        <v>1.7258131710314848</v>
      </c>
      <c r="Q43" s="450">
        <f>'C4-Sources'!AQ44/'C4-Sources'!$B44*100</f>
        <v>2.0404861962568925</v>
      </c>
      <c r="R43" s="450">
        <f>'C4-Sources'!AY44/'C4-Sources'!$B44*100</f>
        <v>1.3967623264651199</v>
      </c>
      <c r="S43" s="450">
        <f>'C4-Sources'!BG44/'C4-Sources'!$B44*100</f>
        <v>2.4491585510459983</v>
      </c>
      <c r="T43" s="450">
        <f>'C4-Sources'!BO44/'C4-Sources'!$B44*100</f>
        <v>4.0523334033888281</v>
      </c>
      <c r="V43" s="528">
        <f t="shared" si="2"/>
        <v>25.783164370181073</v>
      </c>
      <c r="W43" s="450">
        <f>'C4-Sources'!L44/'C4-Sources'!$B44*100</f>
        <v>11.856824868040597</v>
      </c>
      <c r="X43" s="450">
        <f>'C4-Sources'!T44/'C4-Sources'!$B44*100</f>
        <v>4.4149009119704479</v>
      </c>
      <c r="Y43" s="450">
        <f>'C4-Sources'!AB44/'C4-Sources'!$B44*100</f>
        <v>1.1200163962859095</v>
      </c>
      <c r="Z43" s="450">
        <f>'C4-Sources'!AJ44/'C4-Sources'!$B44*100</f>
        <v>1.4721070760385833</v>
      </c>
      <c r="AA43" s="450">
        <f>'C4-Sources'!AR44/'C4-Sources'!$B44*100</f>
        <v>1.6182422295723462</v>
      </c>
      <c r="AB43" s="450">
        <f>'C4-Sources'!AZ44/'C4-Sources'!$B44*100</f>
        <v>1.0373835397243447</v>
      </c>
      <c r="AC43" s="450">
        <f>'C4-Sources'!BH44/'C4-Sources'!$B44*100</f>
        <v>1.5592045058962218</v>
      </c>
      <c r="AD43" s="450">
        <f>'C4-Sources'!BP44/'C4-Sources'!$B44*100</f>
        <v>2.7044848426526218</v>
      </c>
      <c r="AF43" s="528">
        <f t="shared" si="3"/>
        <v>12.490294670435617</v>
      </c>
      <c r="AG43" s="450">
        <f>'C4-Sources'!M44/'C4-Sources'!$B44*100</f>
        <v>4.696647100309514</v>
      </c>
      <c r="AH43" s="450">
        <f>'C4-Sources'!U44/'C4-Sources'!$B44*100</f>
        <v>2.7866206617303875</v>
      </c>
      <c r="AI43" s="450">
        <f>'C4-Sources'!AC44/'C4-Sources'!$B44*100</f>
        <v>0.75033375996221063</v>
      </c>
      <c r="AJ43" s="450">
        <f>'C4-Sources'!AK44/'C4-Sources'!$B44*100</f>
        <v>0.98010149419919468</v>
      </c>
      <c r="AK43" s="450">
        <f>'C4-Sources'!AS44/'C4-Sources'!$B44*100</f>
        <v>0.94883126496909875</v>
      </c>
      <c r="AL43" s="450">
        <f>'C4-Sources'!BA44/'C4-Sources'!$B44*100</f>
        <v>0.52977357729424612</v>
      </c>
      <c r="AM43" s="450">
        <f>'C4-Sources'!BI44/'C4-Sources'!$B44*100</f>
        <v>0.46086339657999315</v>
      </c>
      <c r="AN43" s="450">
        <f>'C4-Sources'!BQ44/'C4-Sources'!$B44*100</f>
        <v>1.3371234153909717</v>
      </c>
      <c r="AP43" s="528">
        <f t="shared" si="4"/>
        <v>9.4595749534676745</v>
      </c>
      <c r="AQ43" s="450">
        <f>'C4-Sources'!N44/'C4-Sources'!$B44*100</f>
        <v>3.2597379353543969</v>
      </c>
      <c r="AR43" s="450">
        <f>'C4-Sources'!V44/'C4-Sources'!$B44*100</f>
        <v>2.2772682458233642</v>
      </c>
      <c r="AS43" s="450">
        <f>'C4-Sources'!AD44/'C4-Sources'!$B44*100</f>
        <v>0.61546080052555308</v>
      </c>
      <c r="AT43" s="450">
        <f>'C4-Sources'!AL44/'C4-Sources'!$B44*100</f>
        <v>0.81507297985847926</v>
      </c>
      <c r="AU43" s="450">
        <f>'C4-Sources'!AT44/'C4-Sources'!$B44*100</f>
        <v>0.76854057262093067</v>
      </c>
      <c r="AV43" s="450">
        <f>'C4-Sources'!BB44/'C4-Sources'!$B44*100</f>
        <v>0.41589405901721133</v>
      </c>
      <c r="AW43" s="450">
        <f>'C4-Sources'!BJ44/'C4-Sources'!$B44*100</f>
        <v>0.29930443386736383</v>
      </c>
      <c r="AX43" s="450">
        <f>'C4-Sources'!BR44/'C4-Sources'!$B44*100</f>
        <v>1.0082959264003755</v>
      </c>
      <c r="AZ43" s="528">
        <f t="shared" si="5"/>
        <v>5.0917528638180389</v>
      </c>
      <c r="BA43" s="450">
        <f>'C4-Sources'!O44/'C4-Sources'!$B44*100</f>
        <v>1.548462315472755</v>
      </c>
      <c r="BB43" s="450">
        <f>'C4-Sources'!W44/'C4-Sources'!$B44*100</f>
        <v>1.3496333188212168</v>
      </c>
      <c r="BC43" s="450">
        <f>'C4-Sources'!AE44/'C4-Sources'!$B44*100</f>
        <v>0.39591225657654111</v>
      </c>
      <c r="BD43" s="450">
        <f>'C4-Sources'!AM44/'C4-Sources'!$B44*100</f>
        <v>0.50595733817797339</v>
      </c>
      <c r="BE43" s="450">
        <f>'C4-Sources'!AU44/'C4-Sources'!$B44*100</f>
        <v>0.48886836228796543</v>
      </c>
      <c r="BF43" s="450">
        <f>'C4-Sources'!BC44/'C4-Sources'!$B44*100</f>
        <v>0.25266267264111986</v>
      </c>
      <c r="BG43" s="450">
        <f>'C4-Sources'!BK44/'C4-Sources'!$B44*100</f>
        <v>0.12362670938911409</v>
      </c>
      <c r="BH43" s="450">
        <f>'C4-Sources'!BS44/'C4-Sources'!$B44*100</f>
        <v>0.42662989045135352</v>
      </c>
      <c r="BJ43" s="528">
        <f t="shared" si="6"/>
        <v>2.0385463816971097</v>
      </c>
      <c r="BK43" s="450">
        <f>'C4-Sources'!P44/'C4-Sources'!$B44*100</f>
        <v>0.516062108065234</v>
      </c>
      <c r="BL43" s="450">
        <f>'C4-Sources'!X44/'C4-Sources'!$B44*100</f>
        <v>0.5745478406104475</v>
      </c>
      <c r="BM43" s="450">
        <f>'C4-Sources'!AF44/'C4-Sources'!$B44*100</f>
        <v>0.1967675030721395</v>
      </c>
      <c r="BN43" s="450">
        <f>'C4-Sources'!AN44/'C4-Sources'!$B44*100</f>
        <v>0.22770758846247011</v>
      </c>
      <c r="BO43" s="450">
        <f>'C4-Sources'!AV44/'C4-Sources'!$B44*100</f>
        <v>0.23135525349586308</v>
      </c>
      <c r="BP43" s="450">
        <f>'C4-Sources'!BD44/'C4-Sources'!$B44*100</f>
        <v>0.11457518966589816</v>
      </c>
      <c r="BQ43" s="450">
        <f>'C4-Sources'!BL44/'C4-Sources'!$B44*100</f>
        <v>3.3416037582467327E-2</v>
      </c>
      <c r="BR43" s="450">
        <f>'C4-Sources'!BT44/'C4-Sources'!$B44*100</f>
        <v>0.14411486074258972</v>
      </c>
      <c r="BS43" s="453"/>
      <c r="BT43" s="453"/>
      <c r="BU43" s="453"/>
      <c r="BV43" s="453"/>
      <c r="BW43" s="454"/>
      <c r="BX43" s="452"/>
      <c r="BY43" s="452"/>
    </row>
    <row r="44" spans="1:77" s="173" customFormat="1" ht="12" x14ac:dyDescent="0.25">
      <c r="A44" s="239">
        <v>1998</v>
      </c>
      <c r="B44" s="528">
        <f t="shared" si="0"/>
        <v>63.572840633973271</v>
      </c>
      <c r="C44" s="450">
        <f>('C4-Sources'!J45-'C4-Sources'!K45)/'C4-Sources'!$B45*100</f>
        <v>41.032630419784013</v>
      </c>
      <c r="D44" s="450">
        <f>('C4-Sources'!R45-'C4-Sources'!S45)/'C4-Sources'!$B45*100</f>
        <v>5.4060749666956083</v>
      </c>
      <c r="E44" s="450">
        <f>('C4-Sources'!Z45-'C4-Sources'!AA45)/'C4-Sources'!$B45*100</f>
        <v>0.53658325068261292</v>
      </c>
      <c r="F44" s="450">
        <f>('C4-Sources'!AH45-'C4-Sources'!AI45)/'C4-Sources'!$B45*100</f>
        <v>1.3286382223479194</v>
      </c>
      <c r="G44" s="450">
        <f>('C4-Sources'!AP45-'C4-Sources'!AQ45)/'C4-Sources'!$B45*100</f>
        <v>1.1740234345143752</v>
      </c>
      <c r="H44" s="450">
        <f>('C4-Sources'!AX45-'C4-Sources'!AY45)/'C4-Sources'!$B45*100</f>
        <v>1.5223775968864437</v>
      </c>
      <c r="I44" s="450">
        <f>('C4-Sources'!BF45-'C4-Sources'!BG45)/'C4-Sources'!$B45*100</f>
        <v>5.905831502327775</v>
      </c>
      <c r="J44" s="450">
        <f>('C4-Sources'!BN45-'C4-Sources'!BO45)/'C4-Sources'!$B45*100</f>
        <v>6.6666812407345342</v>
      </c>
      <c r="K44" s="449"/>
      <c r="L44" s="528">
        <f t="shared" si="1"/>
        <v>36.427159366026714</v>
      </c>
      <c r="M44" s="450">
        <f>'C4-Sources'!K45/'C4-Sources'!$B45*100</f>
        <v>18.556344773367009</v>
      </c>
      <c r="N44" s="450">
        <f>'C4-Sources'!S45/'C4-Sources'!$B45*100</f>
        <v>5.5272289130252066</v>
      </c>
      <c r="O44" s="450">
        <f>'C4-Sources'!AA45/'C4-Sources'!$B45*100</f>
        <v>1.1866114509061183</v>
      </c>
      <c r="P44" s="450">
        <f>'C4-Sources'!AI45/'C4-Sources'!$B45*100</f>
        <v>1.6692489749926911</v>
      </c>
      <c r="Q44" s="450">
        <f>'C4-Sources'!AQ45/'C4-Sources'!$B45*100</f>
        <v>1.35448603908688</v>
      </c>
      <c r="R44" s="450">
        <f>'C4-Sources'!AY45/'C4-Sources'!$B45*100</f>
        <v>1.3005468403373537</v>
      </c>
      <c r="S44" s="450">
        <f>'C4-Sources'!BG45/'C4-Sources'!$B45*100</f>
        <v>2.6168809038850229</v>
      </c>
      <c r="T44" s="450">
        <f>'C4-Sources'!BO45/'C4-Sources'!$B45*100</f>
        <v>4.215811470426436</v>
      </c>
      <c r="V44" s="528">
        <f t="shared" si="2"/>
        <v>25.871050260555563</v>
      </c>
      <c r="W44" s="450">
        <f>'C4-Sources'!L45/'C4-Sources'!$B45*100</f>
        <v>12.221231188296448</v>
      </c>
      <c r="X44" s="450">
        <f>'C4-Sources'!T45/'C4-Sources'!$B45*100</f>
        <v>4.6440178065069224</v>
      </c>
      <c r="Y44" s="450">
        <f>'C4-Sources'!AB45/'C4-Sources'!$B45*100</f>
        <v>1.0271131022017659</v>
      </c>
      <c r="Z44" s="450">
        <f>'C4-Sources'!AJ45/'C4-Sources'!$B45*100</f>
        <v>1.4356506573804642</v>
      </c>
      <c r="AA44" s="450">
        <f>'C4-Sources'!AR45/'C4-Sources'!$B45*100</f>
        <v>1.0723304987680318</v>
      </c>
      <c r="AB44" s="450">
        <f>'C4-Sources'!AZ45/'C4-Sources'!$B45*100</f>
        <v>0.96536953204777676</v>
      </c>
      <c r="AC44" s="450">
        <f>'C4-Sources'!BH45/'C4-Sources'!$B45*100</f>
        <v>1.6523251506800636</v>
      </c>
      <c r="AD44" s="450">
        <f>'C4-Sources'!BP45/'C4-Sources'!$B45*100</f>
        <v>2.8530123246740904</v>
      </c>
      <c r="AF44" s="528">
        <f t="shared" si="3"/>
        <v>12.637675646198392</v>
      </c>
      <c r="AG44" s="450">
        <f>'C4-Sources'!M45/'C4-Sources'!$B45*100</f>
        <v>5.020863140243331</v>
      </c>
      <c r="AH44" s="450">
        <f>'C4-Sources'!U45/'C4-Sources'!$B45*100</f>
        <v>2.8845062848170033</v>
      </c>
      <c r="AI44" s="450">
        <f>'C4-Sources'!AC45/'C4-Sources'!$B45*100</f>
        <v>0.71018667066919305</v>
      </c>
      <c r="AJ44" s="450">
        <f>'C4-Sources'!AK45/'C4-Sources'!$B45*100</f>
        <v>0.97592930271730283</v>
      </c>
      <c r="AK44" s="450">
        <f>'C4-Sources'!AS45/'C4-Sources'!$B45*100</f>
        <v>0.6456301150170517</v>
      </c>
      <c r="AL44" s="450">
        <f>'C4-Sources'!BA45/'C4-Sources'!$B45*100</f>
        <v>0.50650027662645425</v>
      </c>
      <c r="AM44" s="450">
        <f>'C4-Sources'!BI45/'C4-Sources'!$B45*100</f>
        <v>0.50617954733115678</v>
      </c>
      <c r="AN44" s="450">
        <f>'C4-Sources'!BQ45/'C4-Sources'!$B45*100</f>
        <v>1.3878803087769009</v>
      </c>
      <c r="AP44" s="528">
        <f t="shared" si="4"/>
        <v>9.5908101281437261</v>
      </c>
      <c r="AQ44" s="450">
        <f>'C4-Sources'!N45/'C4-Sources'!$B45*100</f>
        <v>3.5720817880271207</v>
      </c>
      <c r="AR44" s="450">
        <f>'C4-Sources'!V45/'C4-Sources'!$B45*100</f>
        <v>2.3472389012319805</v>
      </c>
      <c r="AS44" s="450">
        <f>'C4-Sources'!AD45/'C4-Sources'!$B45*100</f>
        <v>0.58959685207122425</v>
      </c>
      <c r="AT44" s="450">
        <f>'C4-Sources'!AL45/'C4-Sources'!$B45*100</f>
        <v>0.81198595076000457</v>
      </c>
      <c r="AU44" s="450">
        <f>'C4-Sources'!AT45/'C4-Sources'!$B45*100</f>
        <v>0.52864074184663767</v>
      </c>
      <c r="AV44" s="450">
        <f>'C4-Sources'!BB45/'C4-Sources'!$B45*100</f>
        <v>0.40248333049008705</v>
      </c>
      <c r="AW44" s="450">
        <f>'C4-Sources'!BJ45/'C4-Sources'!$B45*100</f>
        <v>0.32610885765440206</v>
      </c>
      <c r="AX44" s="450">
        <f>'C4-Sources'!BR45/'C4-Sources'!$B45*100</f>
        <v>1.0126737060622679</v>
      </c>
      <c r="AZ44" s="528">
        <f t="shared" si="5"/>
        <v>5.21691403601098</v>
      </c>
      <c r="BA44" s="450">
        <f>'C4-Sources'!O45/'C4-Sources'!$B45*100</f>
        <v>1.7860147437336242</v>
      </c>
      <c r="BB44" s="450">
        <f>'C4-Sources'!W45/'C4-Sources'!$B45*100</f>
        <v>1.3883006081870972</v>
      </c>
      <c r="BC44" s="450">
        <f>'C4-Sources'!AE45/'C4-Sources'!$B45*100</f>
        <v>0.37993226489379417</v>
      </c>
      <c r="BD44" s="450">
        <f>'C4-Sources'!AM45/'C4-Sources'!$B45*100</f>
        <v>0.51046496705945543</v>
      </c>
      <c r="BE44" s="450">
        <f>'C4-Sources'!AU45/'C4-Sources'!$B45*100</f>
        <v>0.33540571540053743</v>
      </c>
      <c r="BF44" s="450">
        <f>'C4-Sources'!BC45/'C4-Sources'!$B45*100</f>
        <v>0.24600694769080467</v>
      </c>
      <c r="BG44" s="450">
        <f>'C4-Sources'!BK45/'C4-Sources'!$B45*100</f>
        <v>0.13769395740788423</v>
      </c>
      <c r="BH44" s="450">
        <f>'C4-Sources'!BS45/'C4-Sources'!$B45*100</f>
        <v>0.4330948316377819</v>
      </c>
      <c r="BJ44" s="528">
        <f t="shared" si="6"/>
        <v>2.0795660074036837</v>
      </c>
      <c r="BK44" s="450">
        <f>'C4-Sources'!P45/'C4-Sources'!$B45*100</f>
        <v>0.65249407363585599</v>
      </c>
      <c r="BL44" s="450">
        <f>'C4-Sources'!X45/'C4-Sources'!$B45*100</f>
        <v>0.57253519642548434</v>
      </c>
      <c r="BM44" s="450">
        <f>'C4-Sources'!AF45/'C4-Sources'!$B45*100</f>
        <v>0.18028811906641354</v>
      </c>
      <c r="BN44" s="450">
        <f>'C4-Sources'!AN45/'C4-Sources'!$B45*100</f>
        <v>0.22516611498405401</v>
      </c>
      <c r="BO44" s="450">
        <f>'C4-Sources'!AV45/'C4-Sources'!$B45*100</f>
        <v>0.15262438140221493</v>
      </c>
      <c r="BP44" s="450">
        <f>'C4-Sources'!BD45/'C4-Sources'!$B45*100</f>
        <v>0.10840764242194575</v>
      </c>
      <c r="BQ44" s="450">
        <f>'C4-Sources'!BL45/'C4-Sources'!$B45*100</f>
        <v>3.9043382379547693E-2</v>
      </c>
      <c r="BR44" s="450">
        <f>'C4-Sources'!BT45/'C4-Sources'!$B45*100</f>
        <v>0.14900709708816706</v>
      </c>
      <c r="BS44" s="453"/>
      <c r="BT44" s="453"/>
      <c r="BU44" s="453"/>
      <c r="BV44" s="453"/>
      <c r="BW44" s="454"/>
      <c r="BX44" s="452"/>
      <c r="BY44" s="452"/>
    </row>
    <row r="45" spans="1:77" s="173" customFormat="1" ht="12" x14ac:dyDescent="0.25">
      <c r="A45" s="239">
        <v>1999</v>
      </c>
      <c r="B45" s="528">
        <f t="shared" si="0"/>
        <v>63.302737045071069</v>
      </c>
      <c r="C45" s="450">
        <f>('C4-Sources'!J46-'C4-Sources'!K46)/'C4-Sources'!$B46*100</f>
        <v>40.878798924372632</v>
      </c>
      <c r="D45" s="450">
        <f>('C4-Sources'!R46-'C4-Sources'!S46)/'C4-Sources'!$B46*100</f>
        <v>5.4159957996286821</v>
      </c>
      <c r="E45" s="450">
        <f>('C4-Sources'!Z46-'C4-Sources'!AA46)/'C4-Sources'!$B46*100</f>
        <v>0.58574252916802638</v>
      </c>
      <c r="F45" s="450">
        <f>('C4-Sources'!AH46-'C4-Sources'!AI46)/'C4-Sources'!$B46*100</f>
        <v>1.2401630732095641</v>
      </c>
      <c r="G45" s="450">
        <f>('C4-Sources'!AP46-'C4-Sources'!AQ46)/'C4-Sources'!$B46*100</f>
        <v>1.2492576433641347</v>
      </c>
      <c r="H45" s="450">
        <f>('C4-Sources'!AX46-'C4-Sources'!AY46)/'C4-Sources'!$B46*100</f>
        <v>1.515603449968103</v>
      </c>
      <c r="I45" s="450">
        <f>('C4-Sources'!BF46-'C4-Sources'!BG46)/'C4-Sources'!$B46*100</f>
        <v>5.7590797620847951</v>
      </c>
      <c r="J45" s="450">
        <f>('C4-Sources'!BN46-'C4-Sources'!BO46)/'C4-Sources'!$B46*100</f>
        <v>6.6580958632751361</v>
      </c>
      <c r="K45" s="449"/>
      <c r="L45" s="528">
        <f t="shared" si="1"/>
        <v>36.697262954928924</v>
      </c>
      <c r="M45" s="450">
        <f>'C4-Sources'!K46/'C4-Sources'!$B46*100</f>
        <v>18.943275570510551</v>
      </c>
      <c r="N45" s="450">
        <f>'C4-Sources'!S46/'C4-Sources'!$B46*100</f>
        <v>5.6581373799671875</v>
      </c>
      <c r="O45" s="450">
        <f>'C4-Sources'!AA46/'C4-Sources'!$B46*100</f>
        <v>1.2557785215517756</v>
      </c>
      <c r="P45" s="450">
        <f>'C4-Sources'!AI46/'C4-Sources'!$B46*100</f>
        <v>1.62215541371506</v>
      </c>
      <c r="Q45" s="450">
        <f>'C4-Sources'!AQ46/'C4-Sources'!$B46*100</f>
        <v>1.4362095919011477</v>
      </c>
      <c r="R45" s="450">
        <f>'C4-Sources'!AY46/'C4-Sources'!$B46*100</f>
        <v>1.2878903279633573</v>
      </c>
      <c r="S45" s="450">
        <f>'C4-Sources'!BG46/'C4-Sources'!$B46*100</f>
        <v>2.4107256306703286</v>
      </c>
      <c r="T45" s="450">
        <f>'C4-Sources'!BO46/'C4-Sources'!$B46*100</f>
        <v>4.0830905186495219</v>
      </c>
      <c r="V45" s="528">
        <f t="shared" si="2"/>
        <v>26.296588473017049</v>
      </c>
      <c r="W45" s="450">
        <f>'C4-Sources'!L46/'C4-Sources'!$B46*100</f>
        <v>12.580420556095669</v>
      </c>
      <c r="X45" s="450">
        <f>'C4-Sources'!T46/'C4-Sources'!$B46*100</f>
        <v>4.7692769721317161</v>
      </c>
      <c r="Y45" s="450">
        <f>'C4-Sources'!AB46/'C4-Sources'!$B46*100</f>
        <v>1.0827484504956792</v>
      </c>
      <c r="Z45" s="450">
        <f>'C4-Sources'!AJ46/'C4-Sources'!$B46*100</f>
        <v>1.381124177837151</v>
      </c>
      <c r="AA45" s="450">
        <f>'C4-Sources'!AR46/'C4-Sources'!$B46*100</f>
        <v>1.1497703433868729</v>
      </c>
      <c r="AB45" s="450">
        <f>'C4-Sources'!AZ46/'C4-Sources'!$B46*100</f>
        <v>0.97226721724549692</v>
      </c>
      <c r="AC45" s="450">
        <f>'C4-Sources'!BH46/'C4-Sources'!$B46*100</f>
        <v>1.5475256042433296</v>
      </c>
      <c r="AD45" s="450">
        <f>'C4-Sources'!BP46/'C4-Sources'!$B46*100</f>
        <v>2.8134551515811337</v>
      </c>
      <c r="AF45" s="528">
        <f t="shared" si="3"/>
        <v>13.162035713692484</v>
      </c>
      <c r="AG45" s="450">
        <f>'C4-Sources'!M46/'C4-Sources'!$B46*100</f>
        <v>5.3586109005619322</v>
      </c>
      <c r="AH45" s="450">
        <f>'C4-Sources'!U46/'C4-Sources'!$B46*100</f>
        <v>2.9634655261304501</v>
      </c>
      <c r="AI45" s="450">
        <f>'C4-Sources'!AC46/'C4-Sources'!$B46*100</f>
        <v>0.7436427181839137</v>
      </c>
      <c r="AJ45" s="450">
        <f>'C4-Sources'!AK46/'C4-Sources'!$B46*100</f>
        <v>0.94264930783632994</v>
      </c>
      <c r="AK45" s="450">
        <f>'C4-Sources'!AS46/'C4-Sources'!$B46*100</f>
        <v>0.70779409496809698</v>
      </c>
      <c r="AL45" s="450">
        <f>'C4-Sources'!BA46/'C4-Sources'!$B46*100</f>
        <v>0.53491433999403548</v>
      </c>
      <c r="AM45" s="450">
        <f>'C4-Sources'!BI46/'C4-Sources'!$B46*100</f>
        <v>0.49852451264387476</v>
      </c>
      <c r="AN45" s="450">
        <f>'C4-Sources'!BQ46/'C4-Sources'!$B46*100</f>
        <v>1.4124343133738511</v>
      </c>
      <c r="AP45" s="528">
        <f t="shared" si="4"/>
        <v>10.080271517373161</v>
      </c>
      <c r="AQ45" s="450">
        <f>'C4-Sources'!N46/'C4-Sources'!$B46*100</f>
        <v>3.8912677711043711</v>
      </c>
      <c r="AR45" s="450">
        <f>'C4-Sources'!V46/'C4-Sources'!$B46*100</f>
        <v>2.4010768469252701</v>
      </c>
      <c r="AS45" s="450">
        <f>'C4-Sources'!AD46/'C4-Sources'!$B46*100</f>
        <v>0.61786972244470184</v>
      </c>
      <c r="AT45" s="450">
        <f>'C4-Sources'!AL46/'C4-Sources'!$B46*100</f>
        <v>0.79280808436306716</v>
      </c>
      <c r="AU45" s="450">
        <f>'C4-Sources'!AT46/'C4-Sources'!$B46*100</f>
        <v>0.57928225780825704</v>
      </c>
      <c r="AV45" s="450">
        <f>'C4-Sources'!BB46/'C4-Sources'!$B46*100</f>
        <v>0.42708325322982504</v>
      </c>
      <c r="AW45" s="450">
        <f>'C4-Sources'!BJ46/'C4-Sources'!$B46*100</f>
        <v>0.32817932956198642</v>
      </c>
      <c r="AX45" s="450">
        <f>'C4-Sources'!BR46/'C4-Sources'!$B46*100</f>
        <v>1.0427042519356822</v>
      </c>
      <c r="AZ45" s="528">
        <f t="shared" si="5"/>
        <v>5.5105937133093628</v>
      </c>
      <c r="BA45" s="450">
        <f>'C4-Sources'!O46/'C4-Sources'!$B46*100</f>
        <v>2.0435840238148932</v>
      </c>
      <c r="BB45" s="450">
        <f>'C4-Sources'!W46/'C4-Sources'!$B46*100</f>
        <v>1.3835558418762262</v>
      </c>
      <c r="BC45" s="450">
        <f>'C4-Sources'!AE46/'C4-Sources'!$B46*100</f>
        <v>0.38780565946846585</v>
      </c>
      <c r="BD45" s="450">
        <f>'C4-Sources'!AM46/'C4-Sources'!$B46*100</f>
        <v>0.49293924641662784</v>
      </c>
      <c r="BE45" s="450">
        <f>'C4-Sources'!AU46/'C4-Sources'!$B46*100</f>
        <v>0.3581370972716944</v>
      </c>
      <c r="BF45" s="450">
        <f>'C4-Sources'!BC46/'C4-Sources'!$B46*100</f>
        <v>0.25487816764545618</v>
      </c>
      <c r="BG45" s="450">
        <f>'C4-Sources'!BK46/'C4-Sources'!$B46*100</f>
        <v>0.13261889668139915</v>
      </c>
      <c r="BH45" s="450">
        <f>'C4-Sources'!BS46/'C4-Sources'!$B46*100</f>
        <v>0.45707478013459896</v>
      </c>
      <c r="BJ45" s="528">
        <f t="shared" si="6"/>
        <v>2.2260287055463839</v>
      </c>
      <c r="BK45" s="450">
        <f>'C4-Sources'!P46/'C4-Sources'!$B46*100</f>
        <v>0.81277864280333201</v>
      </c>
      <c r="BL45" s="450">
        <f>'C4-Sources'!X46/'C4-Sources'!$B46*100</f>
        <v>0.54439124036959974</v>
      </c>
      <c r="BM45" s="450">
        <f>'C4-Sources'!AF46/'C4-Sources'!$B46*100</f>
        <v>0.18145792001066013</v>
      </c>
      <c r="BN45" s="450">
        <f>'C4-Sources'!AN46/'C4-Sources'!$B46*100</f>
        <v>0.20872099423313709</v>
      </c>
      <c r="BO45" s="450">
        <f>'C4-Sources'!AV46/'C4-Sources'!$B46*100</f>
        <v>0.16122624301100688</v>
      </c>
      <c r="BP45" s="450">
        <f>'C4-Sources'!BD46/'C4-Sources'!$B46*100</f>
        <v>0.11175005539130702</v>
      </c>
      <c r="BQ45" s="450">
        <f>'C4-Sources'!BL46/'C4-Sources'!$B46*100</f>
        <v>4.037490997766767E-2</v>
      </c>
      <c r="BR45" s="450">
        <f>'C4-Sources'!BT46/'C4-Sources'!$B46*100</f>
        <v>0.16532869974967293</v>
      </c>
      <c r="BS45" s="453"/>
      <c r="BT45" s="453"/>
      <c r="BU45" s="453"/>
      <c r="BV45" s="453"/>
      <c r="BW45" s="454"/>
      <c r="BX45" s="452"/>
      <c r="BY45" s="452"/>
    </row>
    <row r="46" spans="1:77" s="173" customFormat="1" ht="12" x14ac:dyDescent="0.25">
      <c r="A46" s="239">
        <v>2000</v>
      </c>
      <c r="B46" s="528">
        <f t="shared" si="0"/>
        <v>62.644106584486934</v>
      </c>
      <c r="C46" s="450">
        <f>('C4-Sources'!J47-'C4-Sources'!K47)/'C4-Sources'!$B47*100</f>
        <v>40.845383287677777</v>
      </c>
      <c r="D46" s="450">
        <f>('C4-Sources'!R47-'C4-Sources'!S47)/'C4-Sources'!$B47*100</f>
        <v>5.4639386491836426</v>
      </c>
      <c r="E46" s="450">
        <f>('C4-Sources'!Z47-'C4-Sources'!AA47)/'C4-Sources'!$B47*100</f>
        <v>0.60620560418637315</v>
      </c>
      <c r="F46" s="450">
        <f>('C4-Sources'!AH47-'C4-Sources'!AI47)/'C4-Sources'!$B47*100</f>
        <v>1.2897649334725787</v>
      </c>
      <c r="G46" s="450">
        <f>('C4-Sources'!AP47-'C4-Sources'!AQ47)/'C4-Sources'!$B47*100</f>
        <v>0.71430694184628785</v>
      </c>
      <c r="H46" s="450">
        <f>('C4-Sources'!AX47-'C4-Sources'!AY47)/'C4-Sources'!$B47*100</f>
        <v>1.4878510189218788</v>
      </c>
      <c r="I46" s="450">
        <f>('C4-Sources'!BF47-'C4-Sources'!BG47)/'C4-Sources'!$B47*100</f>
        <v>5.9764332623509633</v>
      </c>
      <c r="J46" s="450">
        <f>('C4-Sources'!BN47-'C4-Sources'!BO47)/'C4-Sources'!$B47*100</f>
        <v>6.2602228868474263</v>
      </c>
      <c r="K46" s="449"/>
      <c r="L46" s="528">
        <f t="shared" si="1"/>
        <v>37.355893415513059</v>
      </c>
      <c r="M46" s="450">
        <f>'C4-Sources'!K47/'C4-Sources'!$B47*100</f>
        <v>19.780377022181447</v>
      </c>
      <c r="N46" s="450">
        <f>'C4-Sources'!S47/'C4-Sources'!$B47*100</f>
        <v>5.7624997146674435</v>
      </c>
      <c r="O46" s="450">
        <f>'C4-Sources'!AA47/'C4-Sources'!$B47*100</f>
        <v>1.2842993057685081</v>
      </c>
      <c r="P46" s="450">
        <f>'C4-Sources'!AI47/'C4-Sources'!$B47*100</f>
        <v>1.6527639058480748</v>
      </c>
      <c r="Q46" s="450">
        <f>'C4-Sources'!AQ47/'C4-Sources'!$B47*100</f>
        <v>0.76122600300495125</v>
      </c>
      <c r="R46" s="450">
        <f>'C4-Sources'!AY47/'C4-Sources'!$B47*100</f>
        <v>1.2038239347569586</v>
      </c>
      <c r="S46" s="450">
        <f>'C4-Sources'!BG47/'C4-Sources'!$B47*100</f>
        <v>2.4832383402106748</v>
      </c>
      <c r="T46" s="450">
        <f>'C4-Sources'!BO47/'C4-Sources'!$B47*100</f>
        <v>4.4276651890750074</v>
      </c>
      <c r="V46" s="528">
        <f t="shared" si="2"/>
        <v>26.920514020723569</v>
      </c>
      <c r="W46" s="450">
        <f>'C4-Sources'!L47/'C4-Sources'!$B47*100</f>
        <v>13.301545890255056</v>
      </c>
      <c r="X46" s="450">
        <f>'C4-Sources'!T47/'C4-Sources'!$B47*100</f>
        <v>4.8608007566130018</v>
      </c>
      <c r="Y46" s="450">
        <f>'C4-Sources'!AB47/'C4-Sources'!$B47*100</f>
        <v>1.1219935037666484</v>
      </c>
      <c r="Z46" s="450">
        <f>'C4-Sources'!AJ47/'C4-Sources'!$B47*100</f>
        <v>1.4173771119051826</v>
      </c>
      <c r="AA46" s="450">
        <f>'C4-Sources'!AR47/'C4-Sources'!$B47*100</f>
        <v>0.61205079742112778</v>
      </c>
      <c r="AB46" s="450">
        <f>'C4-Sources'!AZ47/'C4-Sources'!$B47*100</f>
        <v>0.91455215672635404</v>
      </c>
      <c r="AC46" s="450">
        <f>'C4-Sources'!BH47/'C4-Sources'!$B47*100</f>
        <v>1.612326655258111</v>
      </c>
      <c r="AD46" s="450">
        <f>'C4-Sources'!BP47/'C4-Sources'!$B47*100</f>
        <v>3.0798671487780847</v>
      </c>
      <c r="AF46" s="528">
        <f t="shared" si="3"/>
        <v>13.670178501652121</v>
      </c>
      <c r="AG46" s="450">
        <f>'C4-Sources'!M47/'C4-Sources'!$B47*100</f>
        <v>5.9213930642043433</v>
      </c>
      <c r="AH46" s="450">
        <f>'C4-Sources'!U47/'C4-Sources'!$B47*100</f>
        <v>3.0202818951722459</v>
      </c>
      <c r="AI46" s="450">
        <f>'C4-Sources'!AC47/'C4-Sources'!$B47*100</f>
        <v>0.76073460414393534</v>
      </c>
      <c r="AJ46" s="450">
        <f>'C4-Sources'!AK47/'C4-Sources'!$B47*100</f>
        <v>0.98071325527967024</v>
      </c>
      <c r="AK46" s="450">
        <f>'C4-Sources'!AS47/'C4-Sources'!$B47*100</f>
        <v>0.37578356233569049</v>
      </c>
      <c r="AL46" s="450">
        <f>'C4-Sources'!BA47/'C4-Sources'!$B47*100</f>
        <v>0.51126261775219461</v>
      </c>
      <c r="AM46" s="450">
        <f>'C4-Sources'!BI47/'C4-Sources'!$B47*100</f>
        <v>0.56263919313915611</v>
      </c>
      <c r="AN46" s="450">
        <f>'C4-Sources'!BQ47/'C4-Sources'!$B47*100</f>
        <v>1.5373703096248827</v>
      </c>
      <c r="AP46" s="528">
        <f t="shared" si="4"/>
        <v>10.516111224779705</v>
      </c>
      <c r="AQ46" s="450">
        <f>'C4-Sources'!N47/'C4-Sources'!$B47*100</f>
        <v>4.3904620979659006</v>
      </c>
      <c r="AR46" s="450">
        <f>'C4-Sources'!V47/'C4-Sources'!$B47*100</f>
        <v>2.4199096841335503</v>
      </c>
      <c r="AS46" s="450">
        <f>'C4-Sources'!AD47/'C4-Sources'!$B47*100</f>
        <v>0.63203004678169983</v>
      </c>
      <c r="AT46" s="450">
        <f>'C4-Sources'!AL47/'C4-Sources'!$B47*100</f>
        <v>0.82372252590869244</v>
      </c>
      <c r="AU46" s="450">
        <f>'C4-Sources'!AT47/'C4-Sources'!$B47*100</f>
        <v>0.30579891755046418</v>
      </c>
      <c r="AV46" s="450">
        <f>'C4-Sources'!BB47/'C4-Sources'!$B47*100</f>
        <v>0.40540610221086271</v>
      </c>
      <c r="AW46" s="450">
        <f>'C4-Sources'!BJ47/'C4-Sources'!$B47*100</f>
        <v>0.37174702093711715</v>
      </c>
      <c r="AX46" s="450">
        <f>'C4-Sources'!BR47/'C4-Sources'!$B47*100</f>
        <v>1.1670348292914177</v>
      </c>
      <c r="AZ46" s="528">
        <f t="shared" si="5"/>
        <v>5.8365589863206191</v>
      </c>
      <c r="BA46" s="450">
        <f>'C4-Sources'!O47/'C4-Sources'!$B47*100</f>
        <v>2.4496088408879166</v>
      </c>
      <c r="BB46" s="450">
        <f>'C4-Sources'!W47/'C4-Sources'!$B47*100</f>
        <v>1.3831076284318209</v>
      </c>
      <c r="BC46" s="450">
        <f>'C4-Sources'!AE47/'C4-Sources'!$B47*100</f>
        <v>0.39819255996093933</v>
      </c>
      <c r="BD46" s="450">
        <f>'C4-Sources'!AM47/'C4-Sources'!$B47*100</f>
        <v>0.51782561631416346</v>
      </c>
      <c r="BE46" s="450">
        <f>'C4-Sources'!AU47/'C4-Sources'!$B47*100</f>
        <v>0.18734607682043977</v>
      </c>
      <c r="BF46" s="450">
        <f>'C4-Sources'!BC47/'C4-Sources'!$B47*100</f>
        <v>0.23807174071962572</v>
      </c>
      <c r="BG46" s="450">
        <f>'C4-Sources'!BK47/'C4-Sources'!$B47*100</f>
        <v>0.15329599245201656</v>
      </c>
      <c r="BH46" s="450">
        <f>'C4-Sources'!BS47/'C4-Sources'!$B47*100</f>
        <v>0.50911053073369672</v>
      </c>
      <c r="BJ46" s="528">
        <f t="shared" si="6"/>
        <v>2.4085549350522957</v>
      </c>
      <c r="BK46" s="450">
        <f>'C4-Sources'!P47/'C4-Sources'!$B47*100</f>
        <v>1.0107488794867585</v>
      </c>
      <c r="BL46" s="450">
        <f>'C4-Sources'!X47/'C4-Sources'!$B47*100</f>
        <v>0.54943726147430094</v>
      </c>
      <c r="BM46" s="450">
        <f>'C4-Sources'!AF47/'C4-Sources'!$B47*100</f>
        <v>0.18362132840161643</v>
      </c>
      <c r="BN46" s="450">
        <f>'C4-Sources'!AN47/'C4-Sources'!$B47*100</f>
        <v>0.22906747511213937</v>
      </c>
      <c r="BO46" s="450">
        <f>'C4-Sources'!AV47/'C4-Sources'!$B47*100</f>
        <v>8.4451735980839424E-2</v>
      </c>
      <c r="BP46" s="450">
        <f>'C4-Sources'!BD47/'C4-Sources'!$B47*100</f>
        <v>0.10466977662454899</v>
      </c>
      <c r="BQ46" s="450">
        <f>'C4-Sources'!BL47/'C4-Sources'!$B47*100</f>
        <v>4.9826197109600262E-2</v>
      </c>
      <c r="BR46" s="450">
        <f>'C4-Sources'!BT47/'C4-Sources'!$B47*100</f>
        <v>0.1967322808624917</v>
      </c>
      <c r="BS46" s="453"/>
      <c r="BT46" s="453"/>
      <c r="BU46" s="453"/>
      <c r="BV46" s="453"/>
      <c r="BW46" s="454"/>
      <c r="BX46" s="452"/>
      <c r="BY46" s="452"/>
    </row>
    <row r="47" spans="1:77" s="173" customFormat="1" ht="12" x14ac:dyDescent="0.25">
      <c r="A47" s="239">
        <v>2001</v>
      </c>
      <c r="B47" s="528">
        <f t="shared" si="0"/>
        <v>63.44507525271451</v>
      </c>
      <c r="C47" s="450">
        <f>('C4-Sources'!J48-'C4-Sources'!K48)/'C4-Sources'!$B48*100</f>
        <v>41.34765120294319</v>
      </c>
      <c r="D47" s="450">
        <f>('C4-Sources'!R48-'C4-Sources'!S48)/'C4-Sources'!$B48*100</f>
        <v>5.9211297372680463</v>
      </c>
      <c r="E47" s="450">
        <f>('C4-Sources'!Z48-'C4-Sources'!AA48)/'C4-Sources'!$B48*100</f>
        <v>0.47879153822007442</v>
      </c>
      <c r="F47" s="450">
        <f>('C4-Sources'!AH48-'C4-Sources'!AI48)/'C4-Sources'!$B48*100</f>
        <v>1.2646680111374997</v>
      </c>
      <c r="G47" s="450">
        <f>('C4-Sources'!AP48-'C4-Sources'!AQ48)/'C4-Sources'!$B48*100</f>
        <v>1.0021314525954399</v>
      </c>
      <c r="H47" s="450">
        <f>('C4-Sources'!AX48-'C4-Sources'!AY48)/'C4-Sources'!$B48*100</f>
        <v>1.109222447807547</v>
      </c>
      <c r="I47" s="450">
        <f>('C4-Sources'!BF48-'C4-Sources'!BG48)/'C4-Sources'!$B48*100</f>
        <v>6.2511686080206115</v>
      </c>
      <c r="J47" s="450">
        <f>('C4-Sources'!BN48-'C4-Sources'!BO48)/'C4-Sources'!$B48*100</f>
        <v>6.0703122547220998</v>
      </c>
      <c r="K47" s="449"/>
      <c r="L47" s="528">
        <f t="shared" si="1"/>
        <v>36.554924747285483</v>
      </c>
      <c r="M47" s="450">
        <f>'C4-Sources'!K48/'C4-Sources'!$B48*100</f>
        <v>19.297389083080532</v>
      </c>
      <c r="N47" s="450">
        <f>'C4-Sources'!S48/'C4-Sources'!$B48*100</f>
        <v>5.8979388595655795</v>
      </c>
      <c r="O47" s="450">
        <f>'C4-Sources'!AA48/'C4-Sources'!$B48*100</f>
        <v>1.0039680250703331</v>
      </c>
      <c r="P47" s="450">
        <f>'C4-Sources'!AI48/'C4-Sources'!$B48*100</f>
        <v>1.5769870147089491</v>
      </c>
      <c r="Q47" s="450">
        <f>'C4-Sources'!AQ48/'C4-Sources'!$B48*100</f>
        <v>0.95951483624153711</v>
      </c>
      <c r="R47" s="450">
        <f>'C4-Sources'!AY48/'C4-Sources'!$B48*100</f>
        <v>0.80927567961154168</v>
      </c>
      <c r="S47" s="450">
        <f>'C4-Sources'!BG48/'C4-Sources'!$B48*100</f>
        <v>2.3920198837079893</v>
      </c>
      <c r="T47" s="450">
        <f>'C4-Sources'!BO48/'C4-Sources'!$B48*100</f>
        <v>4.6178313652990219</v>
      </c>
      <c r="V47" s="528">
        <f t="shared" si="2"/>
        <v>25.924038841076225</v>
      </c>
      <c r="W47" s="450">
        <f>'C4-Sources'!L48/'C4-Sources'!$B48*100</f>
        <v>12.635683644565246</v>
      </c>
      <c r="X47" s="450">
        <f>'C4-Sources'!T48/'C4-Sources'!$B48*100</f>
        <v>4.968643095341764</v>
      </c>
      <c r="Y47" s="450">
        <f>'C4-Sources'!AB48/'C4-Sources'!$B48*100</f>
        <v>0.87920530327321167</v>
      </c>
      <c r="Z47" s="450">
        <f>'C4-Sources'!AJ48/'C4-Sources'!$B48*100</f>
        <v>1.345401214138972</v>
      </c>
      <c r="AA47" s="450">
        <f>'C4-Sources'!AR48/'C4-Sources'!$B48*100</f>
        <v>0.76618848840754239</v>
      </c>
      <c r="AB47" s="450">
        <f>'C4-Sources'!AZ48/'C4-Sources'!$B48*100</f>
        <v>0.60816565877554529</v>
      </c>
      <c r="AC47" s="450">
        <f>'C4-Sources'!BH48/'C4-Sources'!$B48*100</f>
        <v>1.4929083995813064</v>
      </c>
      <c r="AD47" s="450">
        <f>'C4-Sources'!BP48/'C4-Sources'!$B48*100</f>
        <v>3.2278430369926405</v>
      </c>
      <c r="AF47" s="528">
        <f t="shared" si="3"/>
        <v>12.713426863166886</v>
      </c>
      <c r="AG47" s="450">
        <f>'C4-Sources'!M48/'C4-Sources'!$B48*100</f>
        <v>5.1943165720623696</v>
      </c>
      <c r="AH47" s="450">
        <f>'C4-Sources'!U48/'C4-Sources'!$B48*100</f>
        <v>3.0787794198471734</v>
      </c>
      <c r="AI47" s="450">
        <f>'C4-Sources'!AC48/'C4-Sources'!$B48*100</f>
        <v>0.61941613880067836</v>
      </c>
      <c r="AJ47" s="450">
        <f>'C4-Sources'!AK48/'C4-Sources'!$B48*100</f>
        <v>0.93688378802311545</v>
      </c>
      <c r="AK47" s="450">
        <f>'C4-Sources'!AS48/'C4-Sources'!$B48*100</f>
        <v>0.48007485407062755</v>
      </c>
      <c r="AL47" s="450">
        <f>'C4-Sources'!BA48/'C4-Sources'!$B48*100</f>
        <v>0.34355971337754693</v>
      </c>
      <c r="AM47" s="450">
        <f>'C4-Sources'!BI48/'C4-Sources'!$B48*100</f>
        <v>0.53559346347614234</v>
      </c>
      <c r="AN47" s="450">
        <f>'C4-Sources'!BQ48/'C4-Sources'!$B48*100</f>
        <v>1.5248029135092318</v>
      </c>
      <c r="AP47" s="528">
        <f t="shared" si="4"/>
        <v>9.647722856486153</v>
      </c>
      <c r="AQ47" s="450">
        <f>'C4-Sources'!N48/'C4-Sources'!$B48*100</f>
        <v>3.6785016562963153</v>
      </c>
      <c r="AR47" s="450">
        <f>'C4-Sources'!V48/'C4-Sources'!$B48*100</f>
        <v>2.5036781220406668</v>
      </c>
      <c r="AS47" s="450">
        <f>'C4-Sources'!AD48/'C4-Sources'!$B48*100</f>
        <v>0.51871950687320534</v>
      </c>
      <c r="AT47" s="450">
        <f>'C4-Sources'!AL48/'C4-Sources'!$B48*100</f>
        <v>0.78085591543075383</v>
      </c>
      <c r="AU47" s="450">
        <f>'C4-Sources'!AT48/'C4-Sources'!$B48*100</f>
        <v>0.38814116656715048</v>
      </c>
      <c r="AV47" s="450">
        <f>'C4-Sources'!BB48/'C4-Sources'!$B48*100</f>
        <v>0.26801423783084105</v>
      </c>
      <c r="AW47" s="450">
        <f>'C4-Sources'!BJ48/'C4-Sources'!$B48*100</f>
        <v>0.34767087204836117</v>
      </c>
      <c r="AX47" s="450">
        <f>'C4-Sources'!BR48/'C4-Sources'!$B48*100</f>
        <v>1.1621413793988584</v>
      </c>
      <c r="AZ47" s="528">
        <f t="shared" si="5"/>
        <v>5.1364844109383476</v>
      </c>
      <c r="BA47" s="450">
        <f>'C4-Sources'!O48/'C4-Sources'!$B48*100</f>
        <v>1.847672110230745</v>
      </c>
      <c r="BB47" s="450">
        <f>'C4-Sources'!W48/'C4-Sources'!$B48*100</f>
        <v>1.4610689620004467</v>
      </c>
      <c r="BC47" s="450">
        <f>'C4-Sources'!AE48/'C4-Sources'!$B48*100</f>
        <v>0.34581273844918403</v>
      </c>
      <c r="BD47" s="450">
        <f>'C4-Sources'!AM48/'C4-Sources'!$B48*100</f>
        <v>0.50944106212104834</v>
      </c>
      <c r="BE47" s="450">
        <f>'C4-Sources'!AU48/'C4-Sources'!$B48*100</f>
        <v>0.24165243560668273</v>
      </c>
      <c r="BF47" s="450">
        <f>'C4-Sources'!BC48/'C4-Sources'!$B48*100</f>
        <v>0.15546015885153933</v>
      </c>
      <c r="BG47" s="450">
        <f>'C4-Sources'!BK48/'C4-Sources'!$B48*100</f>
        <v>0.12419578043342998</v>
      </c>
      <c r="BH47" s="450">
        <f>'C4-Sources'!BS48/'C4-Sources'!$B48*100</f>
        <v>0.45118116324527163</v>
      </c>
      <c r="BJ47" s="528">
        <f t="shared" si="6"/>
        <v>2.0376114870078808</v>
      </c>
      <c r="BK47" s="450">
        <f>'C4-Sources'!P48/'C4-Sources'!$B48*100</f>
        <v>0.69060041180895959</v>
      </c>
      <c r="BL47" s="450">
        <f>'C4-Sources'!X48/'C4-Sources'!$B48*100</f>
        <v>0.57809898544334959</v>
      </c>
      <c r="BM47" s="450">
        <f>'C4-Sources'!AF48/'C4-Sources'!$B48*100</f>
        <v>0.16884676422310305</v>
      </c>
      <c r="BN47" s="450">
        <f>'C4-Sources'!AN48/'C4-Sources'!$B48*100</f>
        <v>0.22966645493993787</v>
      </c>
      <c r="BO47" s="450">
        <f>'C4-Sources'!AV48/'C4-Sources'!$B48*100</f>
        <v>0.11436241929534559</v>
      </c>
      <c r="BP47" s="450">
        <f>'C4-Sources'!BD48/'C4-Sources'!$B48*100</f>
        <v>7.0542737151036788E-2</v>
      </c>
      <c r="BQ47" s="450">
        <f>'C4-Sources'!BL48/'C4-Sources'!$B48*100</f>
        <v>3.6988865647486255E-2</v>
      </c>
      <c r="BR47" s="450">
        <f>'C4-Sources'!BT48/'C4-Sources'!$B48*100</f>
        <v>0.1485048484986623</v>
      </c>
      <c r="BS47" s="453"/>
      <c r="BT47" s="453"/>
      <c r="BU47" s="453"/>
      <c r="BV47" s="453"/>
      <c r="BW47" s="454"/>
      <c r="BX47" s="452"/>
      <c r="BY47" s="452"/>
    </row>
    <row r="48" spans="1:77" s="173" customFormat="1" ht="12" x14ac:dyDescent="0.25">
      <c r="A48" s="239">
        <v>2002</v>
      </c>
      <c r="B48" s="528">
        <f t="shared" si="0"/>
        <v>63.932825450329119</v>
      </c>
      <c r="C48" s="450">
        <f>('C4-Sources'!J49-'C4-Sources'!K49)/'C4-Sources'!$B49*100</f>
        <v>40.964164040359655</v>
      </c>
      <c r="D48" s="450">
        <f>('C4-Sources'!R49-'C4-Sources'!S49)/'C4-Sources'!$B49*100</f>
        <v>5.9688925980191234</v>
      </c>
      <c r="E48" s="450">
        <f>('C4-Sources'!Z49-'C4-Sources'!AA49)/'C4-Sources'!$B49*100</f>
        <v>0.40442246712768182</v>
      </c>
      <c r="F48" s="450">
        <f>('C4-Sources'!AH49-'C4-Sources'!AI49)/'C4-Sources'!$B49*100</f>
        <v>0.94235508265554158</v>
      </c>
      <c r="G48" s="450">
        <f>('C4-Sources'!AP49-'C4-Sources'!AQ49)/'C4-Sources'!$B49*100</f>
        <v>1.7461277860890154</v>
      </c>
      <c r="H48" s="450">
        <f>('C4-Sources'!AX49-'C4-Sources'!AY49)/'C4-Sources'!$B49*100</f>
        <v>1.0377523726845594</v>
      </c>
      <c r="I48" s="450">
        <f>('C4-Sources'!BF49-'C4-Sources'!BG49)/'C4-Sources'!$B49*100</f>
        <v>6.461370902034254</v>
      </c>
      <c r="J48" s="450">
        <f>('C4-Sources'!BN49-'C4-Sources'!BO49)/'C4-Sources'!$B49*100</f>
        <v>6.4077402013592923</v>
      </c>
      <c r="K48" s="449"/>
      <c r="L48" s="528">
        <f t="shared" si="1"/>
        <v>36.067174549670874</v>
      </c>
      <c r="M48" s="450">
        <f>'C4-Sources'!K49/'C4-Sources'!$B49*100</f>
        <v>18.879869579027265</v>
      </c>
      <c r="N48" s="450">
        <f>'C4-Sources'!S49/'C4-Sources'!$B49*100</f>
        <v>5.8563170564983702</v>
      </c>
      <c r="O48" s="450">
        <f>'C4-Sources'!AA49/'C4-Sources'!$B49*100</f>
        <v>0.83782324011129927</v>
      </c>
      <c r="P48" s="450">
        <f>'C4-Sources'!AI49/'C4-Sources'!$B49*100</f>
        <v>1.2675035877900243</v>
      </c>
      <c r="Q48" s="450">
        <f>'C4-Sources'!AQ49/'C4-Sources'!$B49*100</f>
        <v>1.5881832363667188</v>
      </c>
      <c r="R48" s="450">
        <f>'C4-Sources'!AY49/'C4-Sources'!$B49*100</f>
        <v>0.74082306222307825</v>
      </c>
      <c r="S48" s="450">
        <f>'C4-Sources'!BG49/'C4-Sources'!$B49*100</f>
        <v>2.4420151694612056</v>
      </c>
      <c r="T48" s="450">
        <f>'C4-Sources'!BO49/'C4-Sources'!$B49*100</f>
        <v>4.454639618192914</v>
      </c>
      <c r="V48" s="528">
        <f t="shared" si="2"/>
        <v>25.386332720114066</v>
      </c>
      <c r="W48" s="450">
        <f>'C4-Sources'!L49/'C4-Sources'!$B49*100</f>
        <v>12.244084478181762</v>
      </c>
      <c r="X48" s="450">
        <f>'C4-Sources'!T49/'C4-Sources'!$B49*100</f>
        <v>4.9386989640836259</v>
      </c>
      <c r="Y48" s="450">
        <f>'C4-Sources'!AB49/'C4-Sources'!$B49*100</f>
        <v>0.73973999338127716</v>
      </c>
      <c r="Z48" s="450">
        <f>'C4-Sources'!AJ49/'C4-Sources'!$B49*100</f>
        <v>1.1016894110806779</v>
      </c>
      <c r="AA48" s="450">
        <f>'C4-Sources'!AR49/'C4-Sources'!$B49*100</f>
        <v>1.2360444475906001</v>
      </c>
      <c r="AB48" s="450">
        <f>'C4-Sources'!AZ49/'C4-Sources'!$B49*100</f>
        <v>0.54098999959675687</v>
      </c>
      <c r="AC48" s="450">
        <f>'C4-Sources'!BH49/'C4-Sources'!$B49*100</f>
        <v>1.5277616216577754</v>
      </c>
      <c r="AD48" s="450">
        <f>'C4-Sources'!BP49/'C4-Sources'!$B49*100</f>
        <v>3.0573238045415887</v>
      </c>
      <c r="AF48" s="528">
        <f t="shared" si="3"/>
        <v>12.068197568424516</v>
      </c>
      <c r="AG48" s="450">
        <f>'C4-Sources'!M49/'C4-Sources'!$B49*100</f>
        <v>4.7091946167235994</v>
      </c>
      <c r="AH48" s="450">
        <f>'C4-Sources'!U49/'C4-Sources'!$B49*100</f>
        <v>3.0848940482939962</v>
      </c>
      <c r="AI48" s="450">
        <f>'C4-Sources'!AC49/'C4-Sources'!$B49*100</f>
        <v>0.52349434184653576</v>
      </c>
      <c r="AJ48" s="450">
        <f>'C4-Sources'!AK49/'C4-Sources'!$B49*100</f>
        <v>0.77096995070819407</v>
      </c>
      <c r="AK48" s="450">
        <f>'C4-Sources'!AS49/'C4-Sources'!$B49*100</f>
        <v>0.73323792030598678</v>
      </c>
      <c r="AL48" s="450">
        <f>'C4-Sources'!BA49/'C4-Sources'!$B49*100</f>
        <v>0.28348637644896102</v>
      </c>
      <c r="AM48" s="450">
        <f>'C4-Sources'!BI49/'C4-Sources'!$B49*100</f>
        <v>0.50304693745362916</v>
      </c>
      <c r="AN48" s="450">
        <f>'C4-Sources'!BQ49/'C4-Sources'!$B49*100</f>
        <v>1.4598733766436147</v>
      </c>
      <c r="AP48" s="528">
        <f t="shared" si="4"/>
        <v>9.0350959380617066</v>
      </c>
      <c r="AQ48" s="450">
        <f>'C4-Sources'!N49/'C4-Sources'!$B49*100</f>
        <v>3.2399653837429634</v>
      </c>
      <c r="AR48" s="450">
        <f>'C4-Sources'!V49/'C4-Sources'!$B49*100</f>
        <v>2.4882496311914033</v>
      </c>
      <c r="AS48" s="450">
        <f>'C4-Sources'!AD49/'C4-Sources'!$B49*100</f>
        <v>0.43938797868724244</v>
      </c>
      <c r="AT48" s="450">
        <f>'C4-Sources'!AL49/'C4-Sources'!$B49*100</f>
        <v>0.64430580643974988</v>
      </c>
      <c r="AU48" s="450">
        <f>'C4-Sources'!AT49/'C4-Sources'!$B49*100</f>
        <v>0.5881829281591503</v>
      </c>
      <c r="AV48" s="450">
        <f>'C4-Sources'!BB49/'C4-Sources'!$B49*100</f>
        <v>0.21815460613594162</v>
      </c>
      <c r="AW48" s="450">
        <f>'C4-Sources'!BJ49/'C4-Sources'!$B49*100</f>
        <v>0.31319543926045562</v>
      </c>
      <c r="AX48" s="450">
        <f>'C4-Sources'!BR49/'C4-Sources'!$B49*100</f>
        <v>1.1036541644447992</v>
      </c>
      <c r="AZ48" s="528">
        <f t="shared" si="5"/>
        <v>4.7364585365923588</v>
      </c>
      <c r="BA48" s="450">
        <f>'C4-Sources'!O49/'C4-Sources'!$B49*100</f>
        <v>1.5101173757512143</v>
      </c>
      <c r="BB48" s="450">
        <f>'C4-Sources'!W49/'C4-Sources'!$B49*100</f>
        <v>1.487822108509488</v>
      </c>
      <c r="BC48" s="450">
        <f>'C4-Sources'!AE49/'C4-Sources'!$B49*100</f>
        <v>0.29538382705404259</v>
      </c>
      <c r="BD48" s="450">
        <f>'C4-Sources'!AM49/'C4-Sources'!$B49*100</f>
        <v>0.41684972360790601</v>
      </c>
      <c r="BE48" s="450">
        <f>'C4-Sources'!AU49/'C4-Sources'!$B49*100</f>
        <v>0.36550895793289379</v>
      </c>
      <c r="BF48" s="450">
        <f>'C4-Sources'!BC49/'C4-Sources'!$B49*100</f>
        <v>0.12574237347605088</v>
      </c>
      <c r="BG48" s="450">
        <f>'C4-Sources'!BK49/'C4-Sources'!$B49*100</f>
        <v>0.11307232962824494</v>
      </c>
      <c r="BH48" s="450">
        <f>'C4-Sources'!BS49/'C4-Sources'!$B49*100</f>
        <v>0.42196184063251851</v>
      </c>
      <c r="BJ48" s="528">
        <f t="shared" si="6"/>
        <v>1.867739845512431</v>
      </c>
      <c r="BK48" s="450">
        <f>'C4-Sources'!P49/'C4-Sources'!$B49*100</f>
        <v>0.52324433077597898</v>
      </c>
      <c r="BL48" s="450">
        <f>'C4-Sources'!X49/'C4-Sources'!$B49*100</f>
        <v>0.61179714789848028</v>
      </c>
      <c r="BM48" s="450">
        <f>'C4-Sources'!AF49/'C4-Sources'!$B49*100</f>
        <v>0.14971666410132656</v>
      </c>
      <c r="BN48" s="450">
        <f>'C4-Sources'!AN49/'C4-Sources'!$B49*100</f>
        <v>0.19059961433999126</v>
      </c>
      <c r="BO48" s="450">
        <f>'C4-Sources'!AV49/'C4-Sources'!$B49*100</f>
        <v>0.17854014764717113</v>
      </c>
      <c r="BP48" s="450">
        <f>'C4-Sources'!BD49/'C4-Sources'!$B49*100</f>
        <v>5.8143891940129491E-2</v>
      </c>
      <c r="BQ48" s="450">
        <f>'C4-Sources'!BL49/'C4-Sources'!$B49*100</f>
        <v>3.2075829910023293E-2</v>
      </c>
      <c r="BR48" s="450">
        <f>'C4-Sources'!BT49/'C4-Sources'!$B49*100</f>
        <v>0.12362221889932984</v>
      </c>
      <c r="BS48" s="453"/>
      <c r="BT48" s="453"/>
      <c r="BU48" s="453"/>
      <c r="BV48" s="453"/>
      <c r="BW48" s="454"/>
      <c r="BX48" s="452"/>
      <c r="BY48" s="452"/>
    </row>
    <row r="49" spans="1:77" s="173" customFormat="1" ht="12" x14ac:dyDescent="0.25">
      <c r="A49" s="239">
        <v>2003</v>
      </c>
      <c r="B49" s="528">
        <f t="shared" si="0"/>
        <v>63.497203496775093</v>
      </c>
      <c r="C49" s="450">
        <f>('C4-Sources'!J50-'C4-Sources'!K50)/'C4-Sources'!$B50*100</f>
        <v>40.58350993219986</v>
      </c>
      <c r="D49" s="450">
        <f>('C4-Sources'!R50-'C4-Sources'!S50)/'C4-Sources'!$B50*100</f>
        <v>5.889018062600929</v>
      </c>
      <c r="E49" s="450">
        <f>('C4-Sources'!Z50-'C4-Sources'!AA50)/'C4-Sources'!$B50*100</f>
        <v>0.3815323102265602</v>
      </c>
      <c r="F49" s="450">
        <f>('C4-Sources'!AH50-'C4-Sources'!AI50)/'C4-Sources'!$B50*100</f>
        <v>0.77719637558273724</v>
      </c>
      <c r="G49" s="450">
        <f>('C4-Sources'!AP50-'C4-Sources'!AQ50)/'C4-Sources'!$B50*100</f>
        <v>1.9121677411593521</v>
      </c>
      <c r="H49" s="450">
        <f>('C4-Sources'!AX50-'C4-Sources'!AY50)/'C4-Sources'!$B50*100</f>
        <v>1.2640213173163779</v>
      </c>
      <c r="I49" s="450">
        <f>('C4-Sources'!BF50-'C4-Sources'!BG50)/'C4-Sources'!$B50*100</f>
        <v>6.3246986584938742</v>
      </c>
      <c r="J49" s="450">
        <f>('C4-Sources'!BN50-'C4-Sources'!BO50)/'C4-Sources'!$B50*100</f>
        <v>6.3650590991954044</v>
      </c>
      <c r="K49" s="449"/>
      <c r="L49" s="528">
        <f t="shared" si="1"/>
        <v>36.502796503224907</v>
      </c>
      <c r="M49" s="450">
        <f>'C4-Sources'!K50/'C4-Sources'!$B50*100</f>
        <v>18.758901336472817</v>
      </c>
      <c r="N49" s="450">
        <f>'C4-Sources'!S50/'C4-Sources'!$B50*100</f>
        <v>5.8495254670877097</v>
      </c>
      <c r="O49" s="450">
        <f>'C4-Sources'!AA50/'C4-Sources'!$B50*100</f>
        <v>0.94900927567795512</v>
      </c>
      <c r="P49" s="450">
        <f>'C4-Sources'!AI50/'C4-Sources'!$B50*100</f>
        <v>1.1112908159409094</v>
      </c>
      <c r="Q49" s="450">
        <f>'C4-Sources'!AQ50/'C4-Sources'!$B50*100</f>
        <v>1.9262120700252294</v>
      </c>
      <c r="R49" s="450">
        <f>'C4-Sources'!AY50/'C4-Sources'!$B50*100</f>
        <v>0.9839589566515986</v>
      </c>
      <c r="S49" s="450">
        <f>'C4-Sources'!BG50/'C4-Sources'!$B50*100</f>
        <v>2.4188812536783302</v>
      </c>
      <c r="T49" s="450">
        <f>'C4-Sources'!BO50/'C4-Sources'!$B50*100</f>
        <v>4.5050173276903598</v>
      </c>
      <c r="V49" s="528">
        <f t="shared" si="2"/>
        <v>25.704055422339575</v>
      </c>
      <c r="W49" s="450">
        <f>'C4-Sources'!L50/'C4-Sources'!$B50*100</f>
        <v>12.102607516193887</v>
      </c>
      <c r="X49" s="450">
        <f>'C4-Sources'!T50/'C4-Sources'!$B50*100</f>
        <v>4.9541832745005951</v>
      </c>
      <c r="Y49" s="450">
        <f>'C4-Sources'!AB50/'C4-Sources'!$B50*100</f>
        <v>0.85179730953872224</v>
      </c>
      <c r="Z49" s="450">
        <f>'C4-Sources'!AJ50/'C4-Sources'!$B50*100</f>
        <v>0.98045946555648866</v>
      </c>
      <c r="AA49" s="450">
        <f>'C4-Sources'!AR50/'C4-Sources'!$B50*100</f>
        <v>1.5092941708609557</v>
      </c>
      <c r="AB49" s="450">
        <f>'C4-Sources'!AZ50/'C4-Sources'!$B50*100</f>
        <v>0.72084898753918014</v>
      </c>
      <c r="AC49" s="450">
        <f>'C4-Sources'!BH50/'C4-Sources'!$B50*100</f>
        <v>1.4631483268364123</v>
      </c>
      <c r="AD49" s="450">
        <f>'C4-Sources'!BP50/'C4-Sources'!$B50*100</f>
        <v>3.1217163713133376</v>
      </c>
      <c r="AF49" s="528">
        <f t="shared" si="3"/>
        <v>12.377478129489434</v>
      </c>
      <c r="AG49" s="450">
        <f>'C4-Sources'!M50/'C4-Sources'!$B50*100</f>
        <v>4.6517926217935077</v>
      </c>
      <c r="AH49" s="450">
        <f>'C4-Sources'!U50/'C4-Sources'!$B50*100</f>
        <v>3.1286845143710766</v>
      </c>
      <c r="AI49" s="450">
        <f>'C4-Sources'!AC50/'C4-Sources'!$B50*100</f>
        <v>0.63032063743879285</v>
      </c>
      <c r="AJ49" s="450">
        <f>'C4-Sources'!AK50/'C4-Sources'!$B50*100</f>
        <v>0.70530274690635975</v>
      </c>
      <c r="AK49" s="450">
        <f>'C4-Sources'!AS50/'C4-Sources'!$B50*100</f>
        <v>0.92602474340457308</v>
      </c>
      <c r="AL49" s="450">
        <f>'C4-Sources'!BA50/'C4-Sources'!$B50*100</f>
        <v>0.38870797346780606</v>
      </c>
      <c r="AM49" s="450">
        <f>'C4-Sources'!BI50/'C4-Sources'!$B50*100</f>
        <v>0.46978116474724951</v>
      </c>
      <c r="AN49" s="450">
        <f>'C4-Sources'!BQ50/'C4-Sources'!$B50*100</f>
        <v>1.4768637273600664</v>
      </c>
      <c r="AP49" s="528">
        <f t="shared" si="4"/>
        <v>9.3510376780805178</v>
      </c>
      <c r="AQ49" s="450">
        <f>'C4-Sources'!N50/'C4-Sources'!$B50*100</f>
        <v>3.1866959196790674</v>
      </c>
      <c r="AR49" s="450">
        <f>'C4-Sources'!V50/'C4-Sources'!$B50*100</f>
        <v>2.5391403970852608</v>
      </c>
      <c r="AS49" s="450">
        <f>'C4-Sources'!AD50/'C4-Sources'!$B50*100</f>
        <v>0.54039779729132875</v>
      </c>
      <c r="AT49" s="450">
        <f>'C4-Sources'!AL50/'C4-Sources'!$B50*100</f>
        <v>0.59412750459423747</v>
      </c>
      <c r="AU49" s="450">
        <f>'C4-Sources'!AT50/'C4-Sources'!$B50*100</f>
        <v>0.75877598170439808</v>
      </c>
      <c r="AV49" s="450">
        <f>'C4-Sources'!BB50/'C4-Sources'!$B50*100</f>
        <v>0.30599586461794132</v>
      </c>
      <c r="AW49" s="450">
        <f>'C4-Sources'!BJ50/'C4-Sources'!$B50*100</f>
        <v>0.29564279742206989</v>
      </c>
      <c r="AX49" s="450">
        <f>'C4-Sources'!BR50/'C4-Sources'!$B50*100</f>
        <v>1.1302614156862145</v>
      </c>
      <c r="AZ49" s="528">
        <f t="shared" si="5"/>
        <v>5.0082464971426637</v>
      </c>
      <c r="BA49" s="450">
        <f>'C4-Sources'!O50/'C4-Sources'!$B50*100</f>
        <v>1.4947709703424801</v>
      </c>
      <c r="BB49" s="450">
        <f>'C4-Sources'!W50/'C4-Sources'!$B50*100</f>
        <v>1.5071157245416651</v>
      </c>
      <c r="BC49" s="450">
        <f>'C4-Sources'!AE50/'C4-Sources'!$B50*100</f>
        <v>0.3796978938574832</v>
      </c>
      <c r="BD49" s="450">
        <f>'C4-Sources'!AM50/'C4-Sources'!$B50*100</f>
        <v>0.384941346648491</v>
      </c>
      <c r="BE49" s="450">
        <f>'C4-Sources'!AU50/'C4-Sources'!$B50*100</f>
        <v>0.49980056173870674</v>
      </c>
      <c r="BF49" s="450">
        <f>'C4-Sources'!BC50/'C4-Sources'!$B50*100</f>
        <v>0.18888637823902393</v>
      </c>
      <c r="BG49" s="450">
        <f>'C4-Sources'!BK50/'C4-Sources'!$B50*100</f>
        <v>0.11380505776677169</v>
      </c>
      <c r="BH49" s="450">
        <f>'C4-Sources'!BS50/'C4-Sources'!$B50*100</f>
        <v>0.43922856400804078</v>
      </c>
      <c r="BJ49" s="528">
        <f t="shared" si="6"/>
        <v>2.0627543497946639</v>
      </c>
      <c r="BK49" s="450">
        <f>'C4-Sources'!P50/'C4-Sources'!$B50*100</f>
        <v>0.5162049669783153</v>
      </c>
      <c r="BL49" s="450">
        <f>'C4-Sources'!X50/'C4-Sources'!$B50*100</f>
        <v>0.62582315474833194</v>
      </c>
      <c r="BM49" s="450">
        <f>'C4-Sources'!AF50/'C4-Sources'!$B50*100</f>
        <v>0.20510342847246676</v>
      </c>
      <c r="BN49" s="450">
        <f>'C4-Sources'!AN50/'C4-Sources'!$B50*100</f>
        <v>0.18052071558549915</v>
      </c>
      <c r="BO49" s="450">
        <f>'C4-Sources'!AV50/'C4-Sources'!$B50*100</f>
        <v>0.25756679656691145</v>
      </c>
      <c r="BP49" s="450">
        <f>'C4-Sources'!BD50/'C4-Sources'!$B50*100</f>
        <v>9.2235906630376688E-2</v>
      </c>
      <c r="BQ49" s="450">
        <f>'C4-Sources'!BL50/'C4-Sources'!$B50*100</f>
        <v>3.3855795372438165E-2</v>
      </c>
      <c r="BR49" s="450">
        <f>'C4-Sources'!BT50/'C4-Sources'!$B50*100</f>
        <v>0.15144358544032455</v>
      </c>
      <c r="BS49" s="453"/>
      <c r="BT49" s="453"/>
      <c r="BU49" s="453"/>
      <c r="BV49" s="453"/>
      <c r="BW49" s="454"/>
      <c r="BX49" s="452"/>
      <c r="BY49" s="452"/>
    </row>
    <row r="50" spans="1:77" s="173" customFormat="1" ht="12" x14ac:dyDescent="0.25">
      <c r="A50" s="239">
        <v>2004</v>
      </c>
      <c r="B50" s="528">
        <f t="shared" si="0"/>
        <v>62.726004603364522</v>
      </c>
      <c r="C50" s="450">
        <f>('C4-Sources'!J51-'C4-Sources'!K51)/'C4-Sources'!$B51*100</f>
        <v>40.021968146383166</v>
      </c>
      <c r="D50" s="450">
        <f>('C4-Sources'!R51-'C4-Sources'!S51)/'C4-Sources'!$B51*100</f>
        <v>5.7741550461616509</v>
      </c>
      <c r="E50" s="450">
        <f>('C4-Sources'!Z51-'C4-Sources'!AA51)/'C4-Sources'!$B51*100</f>
        <v>0.4191999288059331</v>
      </c>
      <c r="F50" s="450">
        <f>('C4-Sources'!AH51-'C4-Sources'!AI51)/'C4-Sources'!$B51*100</f>
        <v>0.66158954547374993</v>
      </c>
      <c r="G50" s="450">
        <f>('C4-Sources'!AP51-'C4-Sources'!AQ51)/'C4-Sources'!$B51*100</f>
        <v>1.8839971419020063</v>
      </c>
      <c r="H50" s="450">
        <f>('C4-Sources'!AX51-'C4-Sources'!AY51)/'C4-Sources'!$B51*100</f>
        <v>1.4812786708096402</v>
      </c>
      <c r="I50" s="450">
        <f>('C4-Sources'!BF51-'C4-Sources'!BG51)/'C4-Sources'!$B51*100</f>
        <v>6.102098688309467</v>
      </c>
      <c r="J50" s="450">
        <f>('C4-Sources'!BN51-'C4-Sources'!BO51)/'C4-Sources'!$B51*100</f>
        <v>6.381717435518909</v>
      </c>
      <c r="K50" s="449"/>
      <c r="L50" s="528">
        <f t="shared" si="1"/>
        <v>37.273995396635463</v>
      </c>
      <c r="M50" s="450">
        <f>'C4-Sources'!K51/'C4-Sources'!$B51*100</f>
        <v>18.676208723017943</v>
      </c>
      <c r="N50" s="450">
        <f>'C4-Sources'!S51/'C4-Sources'!$B51*100</f>
        <v>6.172334631372201</v>
      </c>
      <c r="O50" s="450">
        <f>'C4-Sources'!AA51/'C4-Sources'!$B51*100</f>
        <v>1.1807688963633891</v>
      </c>
      <c r="P50" s="450">
        <f>'C4-Sources'!AI51/'C4-Sources'!$B51*100</f>
        <v>1.0793875609596817</v>
      </c>
      <c r="Q50" s="450">
        <f>'C4-Sources'!AQ51/'C4-Sources'!$B51*100</f>
        <v>2.0355942160872798</v>
      </c>
      <c r="R50" s="450">
        <f>'C4-Sources'!AY51/'C4-Sources'!$B51*100</f>
        <v>1.2510662809799347</v>
      </c>
      <c r="S50" s="450">
        <f>'C4-Sources'!BG51/'C4-Sources'!$B51*100</f>
        <v>2.4059295465208512</v>
      </c>
      <c r="T50" s="450">
        <f>'C4-Sources'!BO51/'C4-Sources'!$B51*100</f>
        <v>4.4727055413341885</v>
      </c>
      <c r="V50" s="528">
        <f t="shared" si="2"/>
        <v>26.628233865413836</v>
      </c>
      <c r="W50" s="450">
        <f>'C4-Sources'!L51/'C4-Sources'!$B51*100</f>
        <v>12.193277655890466</v>
      </c>
      <c r="X50" s="450">
        <f>'C4-Sources'!T51/'C4-Sources'!$B51*100</f>
        <v>5.2878092283336615</v>
      </c>
      <c r="Y50" s="450">
        <f>'C4-Sources'!AB51/'C4-Sources'!$B51*100</f>
        <v>1.0718755073335078</v>
      </c>
      <c r="Z50" s="450">
        <f>'C4-Sources'!AJ51/'C4-Sources'!$B51*100</f>
        <v>0.96675277900281442</v>
      </c>
      <c r="AA50" s="450">
        <f>'C4-Sources'!AR51/'C4-Sources'!$B51*100</f>
        <v>1.5991442699180094</v>
      </c>
      <c r="AB50" s="450">
        <f>'C4-Sources'!AZ51/'C4-Sources'!$B51*100</f>
        <v>0.92590198384422306</v>
      </c>
      <c r="AC50" s="450">
        <f>'C4-Sources'!BH51/'C4-Sources'!$B51*100</f>
        <v>1.4802701986840994</v>
      </c>
      <c r="AD50" s="450">
        <f>'C4-Sources'!BP51/'C4-Sources'!$B51*100</f>
        <v>3.1032022424070527</v>
      </c>
      <c r="AF50" s="528">
        <f t="shared" si="3"/>
        <v>13.260924234253704</v>
      </c>
      <c r="AG50" s="450">
        <f>'C4-Sources'!M51/'C4-Sources'!$B51*100</f>
        <v>4.8719104435534204</v>
      </c>
      <c r="AH50" s="450">
        <f>'C4-Sources'!U51/'C4-Sources'!$B51*100</f>
        <v>3.3984772326004791</v>
      </c>
      <c r="AI50" s="450">
        <f>'C4-Sources'!AC51/'C4-Sources'!$B51*100</f>
        <v>0.81365778040700332</v>
      </c>
      <c r="AJ50" s="450">
        <f>'C4-Sources'!AK51/'C4-Sources'!$B51*100</f>
        <v>0.70166370518920795</v>
      </c>
      <c r="AK50" s="450">
        <f>'C4-Sources'!AS51/'C4-Sources'!$B51*100</f>
        <v>0.99052905630616794</v>
      </c>
      <c r="AL50" s="450">
        <f>'C4-Sources'!BA51/'C4-Sources'!$B51*100</f>
        <v>0.5107272135078843</v>
      </c>
      <c r="AM50" s="450">
        <f>'C4-Sources'!BI51/'C4-Sources'!$B51*100</f>
        <v>0.46605090877678307</v>
      </c>
      <c r="AN50" s="450">
        <f>'C4-Sources'!BQ51/'C4-Sources'!$B51*100</f>
        <v>1.5079078939127575</v>
      </c>
      <c r="AP50" s="528">
        <f t="shared" si="4"/>
        <v>10.150335456179404</v>
      </c>
      <c r="AQ50" s="450">
        <f>'C4-Sources'!N51/'C4-Sources'!$B51*100</f>
        <v>3.4085275786672238</v>
      </c>
      <c r="AR50" s="450">
        <f>'C4-Sources'!V51/'C4-Sources'!$B51*100</f>
        <v>2.7720779172731587</v>
      </c>
      <c r="AS50" s="450">
        <f>'C4-Sources'!AD51/'C4-Sources'!$B51*100</f>
        <v>0.70710643738569479</v>
      </c>
      <c r="AT50" s="450">
        <f>'C4-Sources'!AL51/'C4-Sources'!$B51*100</f>
        <v>0.59560128423481884</v>
      </c>
      <c r="AU50" s="450">
        <f>'C4-Sources'!AT51/'C4-Sources'!$B51*100</f>
        <v>0.82228498112157633</v>
      </c>
      <c r="AV50" s="450">
        <f>'C4-Sources'!BB51/'C4-Sources'!$B51*100</f>
        <v>0.40995604934799085</v>
      </c>
      <c r="AW50" s="450">
        <f>'C4-Sources'!BJ51/'C4-Sources'!$B51*100</f>
        <v>0.29484576637492366</v>
      </c>
      <c r="AX50" s="450">
        <f>'C4-Sources'!BR51/'C4-Sources'!$B51*100</f>
        <v>1.1399354417740162</v>
      </c>
      <c r="AZ50" s="528">
        <f t="shared" si="5"/>
        <v>5.6638486860089516</v>
      </c>
      <c r="BA50" s="450">
        <f>'C4-Sources'!O51/'C4-Sources'!$B51*100</f>
        <v>1.6824254761767969</v>
      </c>
      <c r="BB50" s="450">
        <f>'C4-Sources'!W51/'C4-Sources'!$B51*100</f>
        <v>1.6531321467804259</v>
      </c>
      <c r="BC50" s="450">
        <f>'C4-Sources'!AE51/'C4-Sources'!$B51*100</f>
        <v>0.51362493052739144</v>
      </c>
      <c r="BD50" s="450">
        <f>'C4-Sources'!AM51/'C4-Sources'!$B51*100</f>
        <v>0.39471964188597897</v>
      </c>
      <c r="BE50" s="450">
        <f>'C4-Sources'!AU51/'C4-Sources'!$B51*100</f>
        <v>0.55989282669096774</v>
      </c>
      <c r="BF50" s="450">
        <f>'C4-Sources'!BC51/'C4-Sources'!$B51*100</f>
        <v>0.26603968338938194</v>
      </c>
      <c r="BG50" s="450">
        <f>'C4-Sources'!BK51/'C4-Sources'!$B51*100</f>
        <v>0.12599535385296504</v>
      </c>
      <c r="BH50" s="450">
        <f>'C4-Sources'!BS51/'C4-Sources'!$B51*100</f>
        <v>0.46801862670504341</v>
      </c>
      <c r="BJ50" s="528">
        <f t="shared" si="6"/>
        <v>2.4424002391776267</v>
      </c>
      <c r="BK50" s="450">
        <f>'C4-Sources'!P51/'C4-Sources'!$B51*100</f>
        <v>0.62677578439198611</v>
      </c>
      <c r="BL50" s="450">
        <f>'C4-Sources'!X51/'C4-Sources'!$B51*100</f>
        <v>0.69349426552367899</v>
      </c>
      <c r="BM50" s="450">
        <f>'C4-Sources'!AF51/'C4-Sources'!$B51*100</f>
        <v>0.28972769299654716</v>
      </c>
      <c r="BN50" s="450">
        <f>'C4-Sources'!AN51/'C4-Sources'!$B51*100</f>
        <v>0.1897445484480067</v>
      </c>
      <c r="BO50" s="450">
        <f>'C4-Sources'!AV51/'C4-Sources'!$B51*100</f>
        <v>0.2933624555487041</v>
      </c>
      <c r="BP50" s="450">
        <f>'C4-Sources'!BD51/'C4-Sources'!$B51*100</f>
        <v>0.13341587062658589</v>
      </c>
      <c r="BQ50" s="450">
        <f>'C4-Sources'!BL51/'C4-Sources'!$B51*100</f>
        <v>3.9891154941547893E-2</v>
      </c>
      <c r="BR50" s="450">
        <f>'C4-Sources'!BT51/'C4-Sources'!$B51*100</f>
        <v>0.17598846670057017</v>
      </c>
      <c r="BS50" s="453"/>
      <c r="BT50" s="453"/>
      <c r="BU50" s="453"/>
      <c r="BV50" s="453"/>
      <c r="BW50" s="454"/>
      <c r="BX50" s="452"/>
      <c r="BY50" s="452"/>
    </row>
    <row r="51" spans="1:77" s="173" customFormat="1" ht="12" x14ac:dyDescent="0.25">
      <c r="A51" s="239">
        <v>2005</v>
      </c>
      <c r="B51" s="528">
        <f t="shared" si="0"/>
        <v>61.870201773872012</v>
      </c>
      <c r="C51" s="450">
        <f>('C4-Sources'!J52-'C4-Sources'!K52)/'C4-Sources'!$B52*100</f>
        <v>39.244549446776404</v>
      </c>
      <c r="D51" s="450">
        <f>('C4-Sources'!R52-'C4-Sources'!S52)/'C4-Sources'!$B52*100</f>
        <v>5.1486432426780677</v>
      </c>
      <c r="E51" s="450">
        <f>('C4-Sources'!Z52-'C4-Sources'!AA52)/'C4-Sources'!$B52*100</f>
        <v>0.42929209662545831</v>
      </c>
      <c r="F51" s="450">
        <f>('C4-Sources'!AH52-'C4-Sources'!AI52)/'C4-Sources'!$B52*100</f>
        <v>0.72360062879200304</v>
      </c>
      <c r="G51" s="450">
        <f>('C4-Sources'!AP52-'C4-Sources'!AQ52)/'C4-Sources'!$B52*100</f>
        <v>2.0702477771540417</v>
      </c>
      <c r="H51" s="450">
        <f>('C4-Sources'!AX52-'C4-Sources'!AY52)/'C4-Sources'!$B52*100</f>
        <v>1.880381008870182</v>
      </c>
      <c r="I51" s="450">
        <f>('C4-Sources'!BF52-'C4-Sources'!BG52)/'C4-Sources'!$B52*100</f>
        <v>5.9688575155021315</v>
      </c>
      <c r="J51" s="450">
        <f>('C4-Sources'!BN52-'C4-Sources'!BO52)/'C4-Sources'!$B52*100</f>
        <v>6.4046300574737174</v>
      </c>
      <c r="K51" s="449"/>
      <c r="L51" s="528">
        <f t="shared" si="1"/>
        <v>38.129798226127996</v>
      </c>
      <c r="M51" s="450">
        <f>'C4-Sources'!K52/'C4-Sources'!$B52*100</f>
        <v>18.626867714464154</v>
      </c>
      <c r="N51" s="450">
        <f>'C4-Sources'!S52/'C4-Sources'!$B52*100</f>
        <v>6.6174795642132844</v>
      </c>
      <c r="O51" s="450">
        <f>'C4-Sources'!AA52/'C4-Sources'!$B52*100</f>
        <v>1.2718489481632784</v>
      </c>
      <c r="P51" s="450">
        <f>'C4-Sources'!AI52/'C4-Sources'!$B52*100</f>
        <v>1.3049945747742286</v>
      </c>
      <c r="Q51" s="450">
        <f>'C4-Sources'!AQ52/'C4-Sources'!$B52*100</f>
        <v>2.2431398836078422</v>
      </c>
      <c r="R51" s="450">
        <f>'C4-Sources'!AY52/'C4-Sources'!$B52*100</f>
        <v>1.5975751081686025</v>
      </c>
      <c r="S51" s="450">
        <f>'C4-Sources'!BG52/'C4-Sources'!$B52*100</f>
        <v>2.2714078385999805</v>
      </c>
      <c r="T51" s="450">
        <f>'C4-Sources'!BO52/'C4-Sources'!$B52*100</f>
        <v>4.1964845941366304</v>
      </c>
      <c r="V51" s="528">
        <f t="shared" si="2"/>
        <v>27.616964115201888</v>
      </c>
      <c r="W51" s="450">
        <f>'C4-Sources'!L52/'C4-Sources'!$B52*100</f>
        <v>12.267122467402634</v>
      </c>
      <c r="X51" s="450">
        <f>'C4-Sources'!T52/'C4-Sources'!$B52*100</f>
        <v>5.7285900974879258</v>
      </c>
      <c r="Y51" s="450">
        <f>'C4-Sources'!AB52/'C4-Sources'!$B52*100</f>
        <v>1.1478391841462365</v>
      </c>
      <c r="Z51" s="450">
        <f>'C4-Sources'!AJ52/'C4-Sources'!$B52*100</f>
        <v>1.160805775488184</v>
      </c>
      <c r="AA51" s="450">
        <f>'C4-Sources'!AR52/'C4-Sources'!$B52*100</f>
        <v>1.7816016547038249</v>
      </c>
      <c r="AB51" s="450">
        <f>'C4-Sources'!AZ52/'C4-Sources'!$B52*100</f>
        <v>1.2020566130087293</v>
      </c>
      <c r="AC51" s="450">
        <f>'C4-Sources'!BH52/'C4-Sources'!$B52*100</f>
        <v>1.4006542187807349</v>
      </c>
      <c r="AD51" s="450">
        <f>'C4-Sources'!BP52/'C4-Sources'!$B52*100</f>
        <v>2.9282941041836219</v>
      </c>
      <c r="AF51" s="528">
        <f t="shared" si="3"/>
        <v>14.257478164468424</v>
      </c>
      <c r="AG51" s="450">
        <f>'C4-Sources'!M52/'C4-Sources'!$B52*100</f>
        <v>4.9530927568451535</v>
      </c>
      <c r="AH51" s="450">
        <f>'C4-Sources'!U52/'C4-Sources'!$B52*100</f>
        <v>3.8633128075511052</v>
      </c>
      <c r="AI51" s="450">
        <f>'C4-Sources'!AC52/'C4-Sources'!$B52*100</f>
        <v>0.863815987326641</v>
      </c>
      <c r="AJ51" s="450">
        <f>'C4-Sources'!AK52/'C4-Sources'!$B52*100</f>
        <v>0.85645439465601003</v>
      </c>
      <c r="AK51" s="450">
        <f>'C4-Sources'!AS52/'C4-Sources'!$B52*100</f>
        <v>1.1157039536279427</v>
      </c>
      <c r="AL51" s="450">
        <f>'C4-Sources'!BA52/'C4-Sources'!$B52*100</f>
        <v>0.68109531733318041</v>
      </c>
      <c r="AM51" s="450">
        <f>'C4-Sources'!BI52/'C4-Sources'!$B52*100</f>
        <v>0.45100614189633625</v>
      </c>
      <c r="AN51" s="450">
        <f>'C4-Sources'!BQ52/'C4-Sources'!$B52*100</f>
        <v>1.4729968052320539</v>
      </c>
      <c r="AP51" s="528">
        <f t="shared" si="4"/>
        <v>11.089279173738552</v>
      </c>
      <c r="AQ51" s="450">
        <f>'C4-Sources'!N52/'C4-Sources'!$B52*100</f>
        <v>3.4927048161342982</v>
      </c>
      <c r="AR51" s="450">
        <f>'C4-Sources'!V52/'C4-Sources'!$B52*100</f>
        <v>3.2145287966908715</v>
      </c>
      <c r="AS51" s="450">
        <f>'C4-Sources'!AD52/'C4-Sources'!$B52*100</f>
        <v>0.75631429918925519</v>
      </c>
      <c r="AT51" s="450">
        <f>'C4-Sources'!AL52/'C4-Sources'!$B52*100</f>
        <v>0.73878732263219205</v>
      </c>
      <c r="AU51" s="450">
        <f>'C4-Sources'!AT52/'C4-Sources'!$B52*100</f>
        <v>0.93439695603262041</v>
      </c>
      <c r="AV51" s="450">
        <f>'C4-Sources'!BB52/'C4-Sources'!$B52*100</f>
        <v>0.55392188675759502</v>
      </c>
      <c r="AW51" s="450">
        <f>'C4-Sources'!BJ52/'C4-Sources'!$B52*100</f>
        <v>0.29434837748508985</v>
      </c>
      <c r="AX51" s="450">
        <f>'C4-Sources'!BR52/'C4-Sources'!$B52*100</f>
        <v>1.1042767188166318</v>
      </c>
      <c r="AZ51" s="528">
        <f t="shared" si="5"/>
        <v>6.3320031701625705</v>
      </c>
      <c r="BA51" s="450">
        <f>'C4-Sources'!O52/'C4-Sources'!$B52*100</f>
        <v>1.7431173953469377</v>
      </c>
      <c r="BB51" s="450">
        <f>'C4-Sources'!W52/'C4-Sources'!$B52*100</f>
        <v>1.9543029811416039</v>
      </c>
      <c r="BC51" s="450">
        <f>'C4-Sources'!AE52/'C4-Sources'!$B52*100</f>
        <v>0.53509354805499176</v>
      </c>
      <c r="BD51" s="450">
        <f>'C4-Sources'!AM52/'C4-Sources'!$B52*100</f>
        <v>0.49621867620775817</v>
      </c>
      <c r="BE51" s="450">
        <f>'C4-Sources'!AU52/'C4-Sources'!$B52*100</f>
        <v>0.62250157275475293</v>
      </c>
      <c r="BF51" s="450">
        <f>'C4-Sources'!BC52/'C4-Sources'!$B52*100</f>
        <v>0.3542699333875583</v>
      </c>
      <c r="BG51" s="450">
        <f>'C4-Sources'!BK52/'C4-Sources'!$B52*100</f>
        <v>0.1264506549305715</v>
      </c>
      <c r="BH51" s="450">
        <f>'C4-Sources'!BS52/'C4-Sources'!$B52*100</f>
        <v>0.50004840833839659</v>
      </c>
      <c r="BJ51" s="528">
        <f t="shared" si="6"/>
        <v>2.7770709257470982</v>
      </c>
      <c r="BK51" s="450">
        <f>'C4-Sources'!P52/'C4-Sources'!$B52*100</f>
        <v>0.63859725011861657</v>
      </c>
      <c r="BL51" s="450">
        <f>'C4-Sources'!X52/'C4-Sources'!$B52*100</f>
        <v>0.85690092306953247</v>
      </c>
      <c r="BM51" s="450">
        <f>'C4-Sources'!AF52/'C4-Sources'!$B52*100</f>
        <v>0.29892994150951069</v>
      </c>
      <c r="BN51" s="450">
        <f>'C4-Sources'!AN52/'C4-Sources'!$B52*100</f>
        <v>0.2518326235100905</v>
      </c>
      <c r="BO51" s="450">
        <f>'C4-Sources'!AV52/'C4-Sources'!$B52*100</f>
        <v>0.32149090936243724</v>
      </c>
      <c r="BP51" s="450">
        <f>'C4-Sources'!BD52/'C4-Sources'!$B52*100</f>
        <v>0.17716361203738415</v>
      </c>
      <c r="BQ51" s="450">
        <f>'C4-Sources'!BL52/'C4-Sources'!$B52*100</f>
        <v>3.9853477981811401E-2</v>
      </c>
      <c r="BR51" s="450">
        <f>'C4-Sources'!BT52/'C4-Sources'!$B52*100</f>
        <v>0.19230218815771544</v>
      </c>
      <c r="BS51" s="453"/>
      <c r="BT51" s="453"/>
      <c r="BU51" s="453"/>
      <c r="BV51" s="453"/>
      <c r="BW51" s="454"/>
      <c r="BX51" s="452"/>
      <c r="BY51" s="452"/>
    </row>
    <row r="52" spans="1:77" s="173" customFormat="1" ht="12" x14ac:dyDescent="0.25">
      <c r="A52" s="239">
        <v>2006</v>
      </c>
      <c r="B52" s="528">
        <f t="shared" si="0"/>
        <v>61.431072918203434</v>
      </c>
      <c r="C52" s="450">
        <f>('C4-Sources'!J53-'C4-Sources'!K53)/'C4-Sources'!$B53*100</f>
        <v>38.786419483023579</v>
      </c>
      <c r="D52" s="450">
        <f>('C4-Sources'!R53-'C4-Sources'!S53)/'C4-Sources'!$B53*100</f>
        <v>5.386853692875329</v>
      </c>
      <c r="E52" s="450">
        <f>('C4-Sources'!Z53-'C4-Sources'!AA53)/'C4-Sources'!$B53*100</f>
        <v>0.45577112889054472</v>
      </c>
      <c r="F52" s="450">
        <f>('C4-Sources'!AH53-'C4-Sources'!AI53)/'C4-Sources'!$B53*100</f>
        <v>0.89452688298861083</v>
      </c>
      <c r="G52" s="450">
        <f>('C4-Sources'!AP53-'C4-Sources'!AQ53)/'C4-Sources'!$B53*100</f>
        <v>1.7412940909355752</v>
      </c>
      <c r="H52" s="450">
        <f>('C4-Sources'!AX53-'C4-Sources'!AY53)/'C4-Sources'!$B53*100</f>
        <v>1.9985741902935734</v>
      </c>
      <c r="I52" s="450">
        <f>('C4-Sources'!BF53-'C4-Sources'!BG53)/'C4-Sources'!$B53*100</f>
        <v>6.1490191139831465</v>
      </c>
      <c r="J52" s="450">
        <f>('C4-Sources'!BN53-'C4-Sources'!BO53)/'C4-Sources'!$B53*100</f>
        <v>6.0186143352130799</v>
      </c>
      <c r="K52" s="449"/>
      <c r="L52" s="528">
        <f t="shared" si="1"/>
        <v>38.568927081796559</v>
      </c>
      <c r="M52" s="450">
        <f>'C4-Sources'!K53/'C4-Sources'!$B53*100</f>
        <v>18.462083217030418</v>
      </c>
      <c r="N52" s="450">
        <f>'C4-Sources'!S53/'C4-Sources'!$B53*100</f>
        <v>6.6710144145309664</v>
      </c>
      <c r="O52" s="450">
        <f>'C4-Sources'!AA53/'C4-Sources'!$B53*100</f>
        <v>1.4692087469555228</v>
      </c>
      <c r="P52" s="450">
        <f>'C4-Sources'!AI53/'C4-Sources'!$B53*100</f>
        <v>1.6559623160519372</v>
      </c>
      <c r="Q52" s="450">
        <f>'C4-Sources'!AQ53/'C4-Sources'!$B53*100</f>
        <v>1.9833980166843364</v>
      </c>
      <c r="R52" s="450">
        <f>'C4-Sources'!AY53/'C4-Sources'!$B53*100</f>
        <v>1.7025272565740464</v>
      </c>
      <c r="S52" s="450">
        <f>'C4-Sources'!BG53/'C4-Sources'!$B53*100</f>
        <v>2.3940589253305316</v>
      </c>
      <c r="T52" s="450">
        <f>'C4-Sources'!BO53/'C4-Sources'!$B53*100</f>
        <v>4.2306741886388037</v>
      </c>
      <c r="V52" s="528">
        <f t="shared" si="2"/>
        <v>28.046480800915262</v>
      </c>
      <c r="W52" s="450">
        <f>'C4-Sources'!L53/'C4-Sources'!$B53*100</f>
        <v>12.129839798046952</v>
      </c>
      <c r="X52" s="450">
        <f>'C4-Sources'!T53/'C4-Sources'!$B53*100</f>
        <v>5.7643451450613847</v>
      </c>
      <c r="Y52" s="450">
        <f>'C4-Sources'!AB53/'C4-Sources'!$B53*100</f>
        <v>1.3290072643033197</v>
      </c>
      <c r="Z52" s="450">
        <f>'C4-Sources'!AJ53/'C4-Sources'!$B53*100</f>
        <v>1.4632841499294282</v>
      </c>
      <c r="AA52" s="450">
        <f>'C4-Sources'!AR53/'C4-Sources'!$B53*100</f>
        <v>1.6087390728103126</v>
      </c>
      <c r="AB52" s="450">
        <f>'C4-Sources'!AZ53/'C4-Sources'!$B53*100</f>
        <v>1.2988013149610902</v>
      </c>
      <c r="AC52" s="450">
        <f>'C4-Sources'!BH53/'C4-Sources'!$B53*100</f>
        <v>1.4785884411518369</v>
      </c>
      <c r="AD52" s="450">
        <f>'C4-Sources'!BP53/'C4-Sources'!$B53*100</f>
        <v>2.9738756146509391</v>
      </c>
      <c r="AF52" s="528">
        <f t="shared" si="3"/>
        <v>14.696344047345956</v>
      </c>
      <c r="AG52" s="450">
        <f>'C4-Sources'!M53/'C4-Sources'!$B53*100</f>
        <v>4.924684756363515</v>
      </c>
      <c r="AH52" s="450">
        <f>'C4-Sources'!U53/'C4-Sources'!$B53*100</f>
        <v>3.8568587649923409</v>
      </c>
      <c r="AI52" s="450">
        <f>'C4-Sources'!AC53/'C4-Sources'!$B53*100</f>
        <v>0.99868378690564463</v>
      </c>
      <c r="AJ52" s="450">
        <f>'C4-Sources'!AK53/'C4-Sources'!$B53*100</f>
        <v>1.0843561636159431</v>
      </c>
      <c r="AK52" s="450">
        <f>'C4-Sources'!AS53/'C4-Sources'!$B53*100</f>
        <v>1.0403089546887008</v>
      </c>
      <c r="AL52" s="450">
        <f>'C4-Sources'!BA53/'C4-Sources'!$B53*100</f>
        <v>0.75453377176143177</v>
      </c>
      <c r="AM52" s="450">
        <f>'C4-Sources'!BI53/'C4-Sources'!$B53*100</f>
        <v>0.48516663159513435</v>
      </c>
      <c r="AN52" s="450">
        <f>'C4-Sources'!BQ53/'C4-Sources'!$B53*100</f>
        <v>1.5517512174232453</v>
      </c>
      <c r="AP52" s="528">
        <f t="shared" si="4"/>
        <v>11.437443374885925</v>
      </c>
      <c r="AQ52" s="450">
        <f>'C4-Sources'!N53/'C4-Sources'!$B53*100</f>
        <v>3.4637115465617776</v>
      </c>
      <c r="AR52" s="450">
        <f>'C4-Sources'!V53/'C4-Sources'!$B53*100</f>
        <v>3.1971877126827288</v>
      </c>
      <c r="AS52" s="450">
        <f>'C4-Sources'!AD53/'C4-Sources'!$B53*100</f>
        <v>0.86376521364898151</v>
      </c>
      <c r="AT52" s="450">
        <f>'C4-Sources'!AL53/'C4-Sources'!$B53*100</f>
        <v>0.93140938583343247</v>
      </c>
      <c r="AU52" s="450">
        <f>'C4-Sources'!AT53/'C4-Sources'!$B53*100</f>
        <v>0.8687156030183768</v>
      </c>
      <c r="AV52" s="450">
        <f>'C4-Sources'!BB53/'C4-Sources'!$B53*100</f>
        <v>0.61091124012642439</v>
      </c>
      <c r="AW52" s="450">
        <f>'C4-Sources'!BJ53/'C4-Sources'!$B53*100</f>
        <v>0.31147433353811477</v>
      </c>
      <c r="AX52" s="450">
        <f>'C4-Sources'!BR53/'C4-Sources'!$B53*100</f>
        <v>1.1902683394760876</v>
      </c>
      <c r="AZ52" s="528">
        <f t="shared" si="5"/>
        <v>6.5065247324399849</v>
      </c>
      <c r="BA52" s="450">
        <f>'C4-Sources'!O53/'C4-Sources'!$B53*100</f>
        <v>1.716049904793316</v>
      </c>
      <c r="BB52" s="450">
        <f>'C4-Sources'!W53/'C4-Sources'!$B53*100</f>
        <v>1.9287005874628473</v>
      </c>
      <c r="BC52" s="450">
        <f>'C4-Sources'!AE53/'C4-Sources'!$B53*100</f>
        <v>0.60768626210491083</v>
      </c>
      <c r="BD52" s="450">
        <f>'C4-Sources'!AM53/'C4-Sources'!$B53*100</f>
        <v>0.62232952302095501</v>
      </c>
      <c r="BE52" s="450">
        <f>'C4-Sources'!AU53/'C4-Sources'!$B53*100</f>
        <v>0.57860072737120949</v>
      </c>
      <c r="BF52" s="450">
        <f>'C4-Sources'!BC53/'C4-Sources'!$B53*100</f>
        <v>0.38799219257419565</v>
      </c>
      <c r="BG52" s="450">
        <f>'C4-Sources'!BK53/'C4-Sources'!$B53*100</f>
        <v>0.1280950264468842</v>
      </c>
      <c r="BH52" s="450">
        <f>'C4-Sources'!BS53/'C4-Sources'!$B53*100</f>
        <v>0.5370705086656673</v>
      </c>
      <c r="BJ52" s="528">
        <f t="shared" si="6"/>
        <v>2.7933100021531887</v>
      </c>
      <c r="BK52" s="450">
        <f>'C4-Sources'!P53/'C4-Sources'!$B53*100</f>
        <v>0.61262993446681868</v>
      </c>
      <c r="BL52" s="450">
        <f>'C4-Sources'!X53/'C4-Sources'!$B53*100</f>
        <v>0.79988335574466918</v>
      </c>
      <c r="BM52" s="450">
        <f>'C4-Sources'!AF53/'C4-Sources'!$B53*100</f>
        <v>0.33445583195016215</v>
      </c>
      <c r="BN52" s="450">
        <f>'C4-Sources'!AN53/'C4-Sources'!$B53*100</f>
        <v>0.31062241688460224</v>
      </c>
      <c r="BO52" s="450">
        <f>'C4-Sources'!AV53/'C4-Sources'!$B53*100</f>
        <v>0.29686718907401877</v>
      </c>
      <c r="BP52" s="450">
        <f>'C4-Sources'!BD53/'C4-Sources'!$B53*100</f>
        <v>0.19148629971752057</v>
      </c>
      <c r="BQ52" s="450">
        <f>'C4-Sources'!BL53/'C4-Sources'!$B53*100</f>
        <v>3.7648136223470831E-2</v>
      </c>
      <c r="BR52" s="450">
        <f>'C4-Sources'!BT53/'C4-Sources'!$B53*100</f>
        <v>0.2097168380919264</v>
      </c>
      <c r="BS52" s="453"/>
      <c r="BT52" s="453"/>
      <c r="BU52" s="453"/>
      <c r="BV52" s="453"/>
      <c r="BW52" s="454"/>
      <c r="BX52" s="452"/>
      <c r="BY52" s="452"/>
    </row>
    <row r="53" spans="1:77" s="173" customFormat="1" ht="12" x14ac:dyDescent="0.25">
      <c r="A53" s="239">
        <v>2007</v>
      </c>
      <c r="B53" s="528">
        <f t="shared" ref="B53:B61" si="7">SUM(C53:J53)</f>
        <v>61.655614709080368</v>
      </c>
      <c r="C53" s="450">
        <f>('C4-Sources'!J54-'C4-Sources'!K54)/'C4-Sources'!$B54*100</f>
        <v>39.548724893753857</v>
      </c>
      <c r="D53" s="450">
        <f>('C4-Sources'!R54-'C4-Sources'!S54)/'C4-Sources'!$B54*100</f>
        <v>4.9535183765919699</v>
      </c>
      <c r="E53" s="450">
        <f>('C4-Sources'!Z54-'C4-Sources'!AA54)/'C4-Sources'!$B54*100</f>
        <v>0.53793085583498124</v>
      </c>
      <c r="F53" s="450">
        <f>('C4-Sources'!AH54-'C4-Sources'!AI54)/'C4-Sources'!$B54*100</f>
        <v>1.0328202306087044</v>
      </c>
      <c r="G53" s="450">
        <f>('C4-Sources'!AP54-'C4-Sources'!AQ54)/'C4-Sources'!$B54*100</f>
        <v>1.0697128448266418</v>
      </c>
      <c r="H53" s="450">
        <f>('C4-Sources'!AX54-'C4-Sources'!AY54)/'C4-Sources'!$B54*100</f>
        <v>1.8621264433233344</v>
      </c>
      <c r="I53" s="450">
        <f>('C4-Sources'!BF54-'C4-Sources'!BG54)/'C4-Sources'!$B54*100</f>
        <v>6.5437418805825525</v>
      </c>
      <c r="J53" s="450">
        <f>('C4-Sources'!BN54-'C4-Sources'!BO54)/'C4-Sources'!$B54*100</f>
        <v>6.1070391835583262</v>
      </c>
      <c r="K53" s="449"/>
      <c r="L53" s="528">
        <f t="shared" ref="L53:L61" si="8">SUM(M53:T53)</f>
        <v>38.344385290919632</v>
      </c>
      <c r="M53" s="450">
        <f>'C4-Sources'!K54/'C4-Sources'!$B54*100</f>
        <v>19.076527334767629</v>
      </c>
      <c r="N53" s="450">
        <f>'C4-Sources'!S54/'C4-Sources'!$B54*100</f>
        <v>6.5077352057515023</v>
      </c>
      <c r="O53" s="450">
        <f>'C4-Sources'!AA54/'C4-Sources'!$B54*100</f>
        <v>1.660883983860487</v>
      </c>
      <c r="P53" s="450">
        <f>'C4-Sources'!AI54/'C4-Sources'!$B54*100</f>
        <v>1.8819358157192028</v>
      </c>
      <c r="Q53" s="450">
        <f>'C4-Sources'!AQ54/'C4-Sources'!$B54*100</f>
        <v>1.0773852370919539</v>
      </c>
      <c r="R53" s="450">
        <f>'C4-Sources'!AY54/'C4-Sources'!$B54*100</f>
        <v>1.4729884263392363</v>
      </c>
      <c r="S53" s="450">
        <f>'C4-Sources'!BG54/'C4-Sources'!$B54*100</f>
        <v>2.4826142153295363</v>
      </c>
      <c r="T53" s="450">
        <f>'C4-Sources'!BO54/'C4-Sources'!$B54*100</f>
        <v>4.1843150720600901</v>
      </c>
      <c r="V53" s="528">
        <f t="shared" ref="V53:V61" si="9">SUM(W53:AD53)</f>
        <v>27.906815816067365</v>
      </c>
      <c r="W53" s="450">
        <f>'C4-Sources'!L54/'C4-Sources'!$B54*100</f>
        <v>12.593447857067918</v>
      </c>
      <c r="X53" s="450">
        <f>'C4-Sources'!T54/'C4-Sources'!$B54*100</f>
        <v>5.6421121237799232</v>
      </c>
      <c r="Y53" s="450">
        <f>'C4-Sources'!AB54/'C4-Sources'!$B54*100</f>
        <v>1.4904442975479748</v>
      </c>
      <c r="Z53" s="450">
        <f>'C4-Sources'!AJ54/'C4-Sources'!$B54*100</f>
        <v>1.6640637386306865</v>
      </c>
      <c r="AA53" s="450">
        <f>'C4-Sources'!AR54/'C4-Sources'!$B54*100</f>
        <v>0.86712624070511524</v>
      </c>
      <c r="AB53" s="450">
        <f>'C4-Sources'!AZ54/'C4-Sources'!$B54*100</f>
        <v>1.1295137028901008</v>
      </c>
      <c r="AC53" s="450">
        <f>'C4-Sources'!BH54/'C4-Sources'!$B54*100</f>
        <v>1.5476783722165557</v>
      </c>
      <c r="AD53" s="450">
        <f>'C4-Sources'!BP54/'C4-Sources'!$B54*100</f>
        <v>2.9724294832290883</v>
      </c>
      <c r="AF53" s="528">
        <f t="shared" ref="AF53:AF61" si="10">SUM(AG53:AN53)</f>
        <v>14.610594510750964</v>
      </c>
      <c r="AG53" s="450">
        <f>'C4-Sources'!M54/'C4-Sources'!$B54*100</f>
        <v>5.2499007666125665</v>
      </c>
      <c r="AH53" s="450">
        <f>'C4-Sources'!U54/'C4-Sources'!$B54*100</f>
        <v>3.767700949036644</v>
      </c>
      <c r="AI53" s="450">
        <f>'C4-Sources'!AC54/'C4-Sources'!$B54*100</f>
        <v>1.1018976577578408</v>
      </c>
      <c r="AJ53" s="450">
        <f>'C4-Sources'!AK54/'C4-Sources'!$B54*100</f>
        <v>1.2215484909690444</v>
      </c>
      <c r="AK53" s="450">
        <f>'C4-Sources'!AS54/'C4-Sources'!$B54*100</f>
        <v>0.54646490656393609</v>
      </c>
      <c r="AL53" s="450">
        <f>'C4-Sources'!BA54/'C4-Sources'!$B54*100</f>
        <v>0.65204016451473712</v>
      </c>
      <c r="AM53" s="450">
        <f>'C4-Sources'!BI54/'C4-Sources'!$B54*100</f>
        <v>0.51487269025232152</v>
      </c>
      <c r="AN53" s="450">
        <f>'C4-Sources'!BQ54/'C4-Sources'!$B54*100</f>
        <v>1.5561688850438755</v>
      </c>
      <c r="AP53" s="528">
        <f t="shared" ref="AP53:AP61" si="11">SUM(AQ53:AX53)</f>
        <v>11.350128234031313</v>
      </c>
      <c r="AQ53" s="450">
        <f>'C4-Sources'!N54/'C4-Sources'!$B54*100</f>
        <v>3.7461606555782185</v>
      </c>
      <c r="AR53" s="450">
        <f>'C4-Sources'!V54/'C4-Sources'!$B54*100</f>
        <v>3.0966170562383497</v>
      </c>
      <c r="AS53" s="450">
        <f>'C4-Sources'!AD54/'C4-Sources'!$B54*100</f>
        <v>0.95811380716254035</v>
      </c>
      <c r="AT53" s="450">
        <f>'C4-Sources'!AL54/'C4-Sources'!$B54*100</f>
        <v>1.0499477548272569</v>
      </c>
      <c r="AU53" s="450">
        <f>'C4-Sources'!AT54/'C4-Sources'!$B54*100</f>
        <v>0.45509444029929053</v>
      </c>
      <c r="AV53" s="450">
        <f>'C4-Sources'!BB54/'C4-Sources'!$B54*100</f>
        <v>0.52838791553845721</v>
      </c>
      <c r="AW53" s="450">
        <f>'C4-Sources'!BJ54/'C4-Sources'!$B54*100</f>
        <v>0.33422366415497728</v>
      </c>
      <c r="AX53" s="450">
        <f>'C4-Sources'!BR54/'C4-Sources'!$B54*100</f>
        <v>1.1815829402322224</v>
      </c>
      <c r="AZ53" s="528">
        <f t="shared" ref="AZ53:AZ61" si="12">SUM(BA53:BH53)</f>
        <v>6.46014843082233</v>
      </c>
      <c r="BA53" s="450">
        <f>'C4-Sources'!O54/'C4-Sources'!$B54*100</f>
        <v>1.9121656495532788</v>
      </c>
      <c r="BB53" s="450">
        <f>'C4-Sources'!W54/'C4-Sources'!$B54*100</f>
        <v>1.8456818314339736</v>
      </c>
      <c r="BC53" s="450">
        <f>'C4-Sources'!AE54/'C4-Sources'!$B54*100</f>
        <v>0.66975528074085044</v>
      </c>
      <c r="BD53" s="450">
        <f>'C4-Sources'!AM54/'C4-Sources'!$B54*100</f>
        <v>0.70586163482707565</v>
      </c>
      <c r="BE53" s="450">
        <f>'C4-Sources'!AU54/'C4-Sources'!$B54*100</f>
        <v>0.29782709943194979</v>
      </c>
      <c r="BF53" s="450">
        <f>'C4-Sources'!BC54/'C4-Sources'!$B54*100</f>
        <v>0.33168449131558414</v>
      </c>
      <c r="BG53" s="450">
        <f>'C4-Sources'!BK54/'C4-Sources'!$B54*100</f>
        <v>0.13400352308594068</v>
      </c>
      <c r="BH53" s="450">
        <f>'C4-Sources'!BS54/'C4-Sources'!$B54*100</f>
        <v>0.56316892043367672</v>
      </c>
      <c r="BJ53" s="528">
        <f t="shared" ref="BJ53:BJ61" si="13">SUM(BK53:BR53)</f>
        <v>2.814636016084922</v>
      </c>
      <c r="BK53" s="450">
        <f>'C4-Sources'!P54/'C4-Sources'!$B54*100</f>
        <v>0.71091993485301275</v>
      </c>
      <c r="BL53" s="450">
        <f>'C4-Sources'!X54/'C4-Sources'!$B54*100</f>
        <v>0.78891949614823131</v>
      </c>
      <c r="BM53" s="450">
        <f>'C4-Sources'!AF54/'C4-Sources'!$B54*100</f>
        <v>0.36773964738089021</v>
      </c>
      <c r="BN53" s="450">
        <f>'C4-Sources'!AN54/'C4-Sources'!$B54*100</f>
        <v>0.36456858384868529</v>
      </c>
      <c r="BO53" s="450">
        <f>'C4-Sources'!AV54/'C4-Sources'!$B54*100</f>
        <v>0.15251046857072098</v>
      </c>
      <c r="BP53" s="450">
        <f>'C4-Sources'!BD54/'C4-Sources'!$B54*100</f>
        <v>0.16526141412152412</v>
      </c>
      <c r="BQ53" s="450">
        <f>'C4-Sources'!BL54/'C4-Sources'!$B54*100</f>
        <v>3.9679286136979908E-2</v>
      </c>
      <c r="BR53" s="450">
        <f>'C4-Sources'!BT54/'C4-Sources'!$B54*100</f>
        <v>0.22503718502487721</v>
      </c>
      <c r="BS53" s="453"/>
      <c r="BT53" s="453"/>
      <c r="BU53" s="453"/>
      <c r="BV53" s="453"/>
      <c r="BW53" s="454"/>
      <c r="BX53" s="452"/>
      <c r="BY53" s="452"/>
    </row>
    <row r="54" spans="1:77" s="173" customFormat="1" ht="12" x14ac:dyDescent="0.25">
      <c r="A54" s="239">
        <v>2008</v>
      </c>
      <c r="B54" s="528">
        <f t="shared" si="7"/>
        <v>61.81093791563007</v>
      </c>
      <c r="C54" s="450">
        <f>('C4-Sources'!J55-'C4-Sources'!K55)/'C4-Sources'!$B55*100</f>
        <v>40.086582481653132</v>
      </c>
      <c r="D54" s="450">
        <f>('C4-Sources'!R55-'C4-Sources'!S55)/'C4-Sources'!$B55*100</f>
        <v>5.2197143393384628</v>
      </c>
      <c r="E54" s="450">
        <f>('C4-Sources'!Z55-'C4-Sources'!AA55)/'C4-Sources'!$B55*100</f>
        <v>0.51670092893890929</v>
      </c>
      <c r="F54" s="450">
        <f>('C4-Sources'!AH55-'C4-Sources'!AI55)/'C4-Sources'!$B55*100</f>
        <v>0.93602524571779411</v>
      </c>
      <c r="G54" s="450">
        <f>('C4-Sources'!AP55-'C4-Sources'!AQ55)/'C4-Sources'!$B55*100</f>
        <v>0.67827304436082958</v>
      </c>
      <c r="H54" s="450">
        <f>('C4-Sources'!AX55-'C4-Sources'!AY55)/'C4-Sources'!$B55*100</f>
        <v>1.2383966778224862</v>
      </c>
      <c r="I54" s="450">
        <f>('C4-Sources'!BF55-'C4-Sources'!BG55)/'C4-Sources'!$B55*100</f>
        <v>6.9872797044210326</v>
      </c>
      <c r="J54" s="450">
        <f>('C4-Sources'!BN55-'C4-Sources'!BO55)/'C4-Sources'!$B55*100</f>
        <v>6.1479654933774244</v>
      </c>
      <c r="K54" s="449"/>
      <c r="L54" s="528">
        <f t="shared" si="8"/>
        <v>38.18906208436993</v>
      </c>
      <c r="M54" s="450">
        <f>'C4-Sources'!K55/'C4-Sources'!$B55*100</f>
        <v>19.277311454412533</v>
      </c>
      <c r="N54" s="450">
        <f>'C4-Sources'!S55/'C4-Sources'!$B55*100</f>
        <v>6.5996134082346849</v>
      </c>
      <c r="O54" s="450">
        <f>'C4-Sources'!AA55/'C4-Sources'!$B55*100</f>
        <v>1.4654266438951065</v>
      </c>
      <c r="P54" s="450">
        <f>'C4-Sources'!AI55/'C4-Sources'!$B55*100</f>
        <v>1.5692047284500343</v>
      </c>
      <c r="Q54" s="450">
        <f>'C4-Sources'!AQ55/'C4-Sources'!$B55*100</f>
        <v>0.66829437189614005</v>
      </c>
      <c r="R54" s="450">
        <f>'C4-Sources'!AY55/'C4-Sources'!$B55*100</f>
        <v>0.99378047000189385</v>
      </c>
      <c r="S54" s="450">
        <f>'C4-Sources'!BG55/'C4-Sources'!$B55*100</f>
        <v>2.8925578741161879</v>
      </c>
      <c r="T54" s="450">
        <f>'C4-Sources'!BO55/'C4-Sources'!$B55*100</f>
        <v>4.7228731333633487</v>
      </c>
      <c r="V54" s="528">
        <f t="shared" si="9"/>
        <v>27.459902283338824</v>
      </c>
      <c r="W54" s="450">
        <f>'C4-Sources'!L55/'C4-Sources'!$B55*100</f>
        <v>12.532943792679067</v>
      </c>
      <c r="X54" s="450">
        <f>'C4-Sources'!T55/'C4-Sources'!$B55*100</f>
        <v>5.7296783461198375</v>
      </c>
      <c r="Y54" s="450">
        <f>'C4-Sources'!AB55/'C4-Sources'!$B55*100</f>
        <v>1.3211546502047908</v>
      </c>
      <c r="Z54" s="450">
        <f>'C4-Sources'!AJ55/'C4-Sources'!$B55*100</f>
        <v>1.3779410297295041</v>
      </c>
      <c r="AA54" s="450">
        <f>'C4-Sources'!AR55/'C4-Sources'!$B55*100</f>
        <v>0.52932885649554162</v>
      </c>
      <c r="AB54" s="450">
        <f>'C4-Sources'!AZ55/'C4-Sources'!$B55*100</f>
        <v>0.75119645577417982</v>
      </c>
      <c r="AC54" s="450">
        <f>'C4-Sources'!BH55/'C4-Sources'!$B55*100</f>
        <v>1.8187213211154649</v>
      </c>
      <c r="AD54" s="450">
        <f>'C4-Sources'!BP55/'C4-Sources'!$B55*100</f>
        <v>3.3989378312204352</v>
      </c>
      <c r="AF54" s="528">
        <f t="shared" si="10"/>
        <v>13.955021491106612</v>
      </c>
      <c r="AG54" s="450">
        <f>'C4-Sources'!M55/'C4-Sources'!$B55*100</f>
        <v>5.0204285358634042</v>
      </c>
      <c r="AH54" s="450">
        <f>'C4-Sources'!U55/'C4-Sources'!$B55*100</f>
        <v>3.8045236019423445</v>
      </c>
      <c r="AI54" s="450">
        <f>'C4-Sources'!AC55/'C4-Sources'!$B55*100</f>
        <v>0.9960733263264252</v>
      </c>
      <c r="AJ54" s="450">
        <f>'C4-Sources'!AK55/'C4-Sources'!$B55*100</f>
        <v>0.99209880122677641</v>
      </c>
      <c r="AK54" s="450">
        <f>'C4-Sources'!AS55/'C4-Sources'!$B55*100</f>
        <v>0.32422741093194468</v>
      </c>
      <c r="AL54" s="450">
        <f>'C4-Sources'!BA55/'C4-Sources'!$B55*100</f>
        <v>0.41680334370733652</v>
      </c>
      <c r="AM54" s="450">
        <f>'C4-Sources'!BI55/'C4-Sources'!$B55*100</f>
        <v>0.60551885680827622</v>
      </c>
      <c r="AN54" s="450">
        <f>'C4-Sources'!BQ55/'C4-Sources'!$B55*100</f>
        <v>1.795347614300105</v>
      </c>
      <c r="AP54" s="528">
        <f t="shared" si="11"/>
        <v>10.736804863046782</v>
      </c>
      <c r="AQ54" s="450">
        <f>'C4-Sources'!N55/'C4-Sources'!$B55*100</f>
        <v>3.5136415051747076</v>
      </c>
      <c r="AR54" s="450">
        <f>'C4-Sources'!V55/'C4-Sources'!$B55*100</f>
        <v>3.1557920629647946</v>
      </c>
      <c r="AS54" s="450">
        <f>'C4-Sources'!AD55/'C4-Sources'!$B55*100</f>
        <v>0.86967715449187988</v>
      </c>
      <c r="AT54" s="450">
        <f>'C4-Sources'!AL55/'C4-Sources'!$B55*100</f>
        <v>0.84159243511449555</v>
      </c>
      <c r="AU54" s="450">
        <f>'C4-Sources'!AT55/'C4-Sources'!$B55*100</f>
        <v>0.26710656765004215</v>
      </c>
      <c r="AV54" s="450">
        <f>'C4-Sources'!BB55/'C4-Sources'!$B55*100</f>
        <v>0.33154096336859146</v>
      </c>
      <c r="AW54" s="450">
        <f>'C4-Sources'!BJ55/'C4-Sources'!$B55*100</f>
        <v>0.38732539869751298</v>
      </c>
      <c r="AX54" s="450">
        <f>'C4-Sources'!BR55/'C4-Sources'!$B55*100</f>
        <v>1.370128775584758</v>
      </c>
      <c r="AZ54" s="528">
        <f t="shared" si="12"/>
        <v>6.0143725175425224</v>
      </c>
      <c r="BA54" s="450">
        <f>'C4-Sources'!O55/'C4-Sources'!$B55*100</f>
        <v>1.758224603573235</v>
      </c>
      <c r="BB54" s="450">
        <f>'C4-Sources'!W55/'C4-Sources'!$B55*100</f>
        <v>1.9331902549014333</v>
      </c>
      <c r="BC54" s="450">
        <f>'C4-Sources'!AE55/'C4-Sources'!$B55*100</f>
        <v>0.62564138772275035</v>
      </c>
      <c r="BD54" s="450">
        <f>'C4-Sources'!AM55/'C4-Sources'!$B55*100</f>
        <v>0.55412447305254398</v>
      </c>
      <c r="BE54" s="450">
        <f>'C4-Sources'!AU55/'C4-Sources'!$B55*100</f>
        <v>0.17545170737710544</v>
      </c>
      <c r="BF54" s="450">
        <f>'C4-Sources'!BC55/'C4-Sources'!$B55*100</f>
        <v>0.2048896910803738</v>
      </c>
      <c r="BG54" s="450">
        <f>'C4-Sources'!BK55/'C4-Sources'!$B55*100</f>
        <v>0.14702627037111782</v>
      </c>
      <c r="BH54" s="450">
        <f>'C4-Sources'!BS55/'C4-Sources'!$B55*100</f>
        <v>0.61582412946396281</v>
      </c>
      <c r="BJ54" s="528">
        <f t="shared" si="13"/>
        <v>2.624420485046056</v>
      </c>
      <c r="BK54" s="450">
        <f>'C4-Sources'!P55/'C4-Sources'!$B55*100</f>
        <v>0.63650901056875242</v>
      </c>
      <c r="BL54" s="450">
        <f>'C4-Sources'!X55/'C4-Sources'!$B55*100</f>
        <v>0.87686060649616748</v>
      </c>
      <c r="BM54" s="450">
        <f>'C4-Sources'!AF55/'C4-Sources'!$B55*100</f>
        <v>0.34590131071737723</v>
      </c>
      <c r="BN54" s="450">
        <f>'C4-Sources'!AN55/'C4-Sources'!$B55*100</f>
        <v>0.26853517566921115</v>
      </c>
      <c r="BO54" s="450">
        <f>'C4-Sources'!AV55/'C4-Sources'!$B55*100</f>
        <v>9.0430009438594403E-2</v>
      </c>
      <c r="BP54" s="450">
        <f>'C4-Sources'!BD55/'C4-Sources'!$B55*100</f>
        <v>0.10158636791617855</v>
      </c>
      <c r="BQ54" s="450">
        <f>'C4-Sources'!BL55/'C4-Sources'!$B55*100</f>
        <v>4.4674895618581643E-2</v>
      </c>
      <c r="BR54" s="450">
        <f>'C4-Sources'!BT55/'C4-Sources'!$B55*100</f>
        <v>0.25992310862119311</v>
      </c>
      <c r="BS54" s="453"/>
      <c r="BT54" s="453"/>
      <c r="BU54" s="453"/>
      <c r="BV54" s="453"/>
      <c r="BW54" s="454"/>
      <c r="BX54" s="452"/>
      <c r="BY54" s="452"/>
    </row>
    <row r="55" spans="1:77" s="173" customFormat="1" ht="12" x14ac:dyDescent="0.25">
      <c r="A55" s="239">
        <v>2009</v>
      </c>
      <c r="B55" s="528">
        <f t="shared" si="7"/>
        <v>62.263027281004668</v>
      </c>
      <c r="C55" s="450">
        <f>('C4-Sources'!J56-'C4-Sources'!K56)/'C4-Sources'!$B56*100</f>
        <v>39.462433202320021</v>
      </c>
      <c r="D55" s="450">
        <f>('C4-Sources'!R56-'C4-Sources'!S56)/'C4-Sources'!$B56*100</f>
        <v>5.1642903765718904</v>
      </c>
      <c r="E55" s="450">
        <f>('C4-Sources'!Z56-'C4-Sources'!AA56)/'C4-Sources'!$B56*100</f>
        <v>0.38558874971759766</v>
      </c>
      <c r="F55" s="450">
        <f>('C4-Sources'!AH56-'C4-Sources'!AI56)/'C4-Sources'!$B56*100</f>
        <v>0.73004817594830607</v>
      </c>
      <c r="G55" s="450">
        <f>('C4-Sources'!AP56-'C4-Sources'!AQ56)/'C4-Sources'!$B56*100</f>
        <v>2.1874109239827773</v>
      </c>
      <c r="H55" s="450">
        <f>('C4-Sources'!AX56-'C4-Sources'!AY56)/'C4-Sources'!$B56*100</f>
        <v>0.98347044607448098</v>
      </c>
      <c r="I55" s="450">
        <f>('C4-Sources'!BF56-'C4-Sources'!BG56)/'C4-Sources'!$B56*100</f>
        <v>6.3634837438710736</v>
      </c>
      <c r="J55" s="450">
        <f>('C4-Sources'!BN56-'C4-Sources'!BO56)/'C4-Sources'!$B56*100</f>
        <v>6.9863016625185281</v>
      </c>
      <c r="K55" s="449"/>
      <c r="L55" s="528">
        <f t="shared" si="8"/>
        <v>37.736972718995332</v>
      </c>
      <c r="M55" s="450">
        <f>'C4-Sources'!K56/'C4-Sources'!$B56*100</f>
        <v>19.015307717903482</v>
      </c>
      <c r="N55" s="450">
        <f>'C4-Sources'!S56/'C4-Sources'!$B56*100</f>
        <v>6.0249243048488355</v>
      </c>
      <c r="O55" s="450">
        <f>'C4-Sources'!AA56/'C4-Sources'!$B56*100</f>
        <v>1.1197749130264092</v>
      </c>
      <c r="P55" s="450">
        <f>'C4-Sources'!AI56/'C4-Sources'!$B56*100</f>
        <v>1.3029720181446998</v>
      </c>
      <c r="Q55" s="450">
        <f>'C4-Sources'!AQ56/'C4-Sources'!$B56*100</f>
        <v>2.3721668652395818</v>
      </c>
      <c r="R55" s="450">
        <f>'C4-Sources'!AY56/'C4-Sources'!$B56*100</f>
        <v>0.84740993927039754</v>
      </c>
      <c r="S55" s="450">
        <f>'C4-Sources'!BG56/'C4-Sources'!$B56*100</f>
        <v>2.5028728167449383</v>
      </c>
      <c r="T55" s="450">
        <f>'C4-Sources'!BO56/'C4-Sources'!$B56*100</f>
        <v>4.5515441438169866</v>
      </c>
      <c r="V55" s="528">
        <f t="shared" si="9"/>
        <v>26.745667931678092</v>
      </c>
      <c r="W55" s="450">
        <f>'C4-Sources'!L56/'C4-Sources'!$B56*100</f>
        <v>12.207588618035295</v>
      </c>
      <c r="X55" s="450">
        <f>'C4-Sources'!T56/'C4-Sources'!$B56*100</f>
        <v>5.1871272657590612</v>
      </c>
      <c r="Y55" s="450">
        <f>'C4-Sources'!AB56/'C4-Sources'!$B56*100</f>
        <v>1.0077787672187168</v>
      </c>
      <c r="Z55" s="450">
        <f>'C4-Sources'!AJ56/'C4-Sources'!$B56*100</f>
        <v>1.1484770576366929</v>
      </c>
      <c r="AA55" s="450">
        <f>'C4-Sources'!AR56/'C4-Sources'!$B56*100</f>
        <v>1.8809955145026294</v>
      </c>
      <c r="AB55" s="450">
        <f>'C4-Sources'!AZ56/'C4-Sources'!$B56*100</f>
        <v>0.63803697353397437</v>
      </c>
      <c r="AC55" s="450">
        <f>'C4-Sources'!BH56/'C4-Sources'!$B56*100</f>
        <v>1.5338749509265832</v>
      </c>
      <c r="AD55" s="450">
        <f>'C4-Sources'!BP56/'C4-Sources'!$B56*100</f>
        <v>3.1417887840651382</v>
      </c>
      <c r="AF55" s="528">
        <f t="shared" si="10"/>
        <v>13.091121874891943</v>
      </c>
      <c r="AG55" s="450">
        <f>'C4-Sources'!M56/'C4-Sources'!$B56*100</f>
        <v>4.5267176451106215</v>
      </c>
      <c r="AH55" s="450">
        <f>'C4-Sources'!U56/'C4-Sources'!$B56*100</f>
        <v>3.4202015155204881</v>
      </c>
      <c r="AI55" s="450">
        <f>'C4-Sources'!AC56/'C4-Sources'!$B56*100</f>
        <v>0.76584774051150517</v>
      </c>
      <c r="AJ55" s="450">
        <f>'C4-Sources'!AK56/'C4-Sources'!$B56*100</f>
        <v>0.83146267043976707</v>
      </c>
      <c r="AK55" s="450">
        <f>'C4-Sources'!AS56/'C4-Sources'!$B56*100</f>
        <v>1.1534993991971716</v>
      </c>
      <c r="AL55" s="450">
        <f>'C4-Sources'!BA56/'C4-Sources'!$B56*100</f>
        <v>0.34684200370279716</v>
      </c>
      <c r="AM55" s="450">
        <f>'C4-Sources'!BI56/'C4-Sources'!$B56*100</f>
        <v>0.46835450207583368</v>
      </c>
      <c r="AN55" s="450">
        <f>'C4-Sources'!BQ56/'C4-Sources'!$B56*100</f>
        <v>1.5781963983337581</v>
      </c>
      <c r="AP55" s="528">
        <f t="shared" si="11"/>
        <v>9.9325399352846606</v>
      </c>
      <c r="AQ55" s="450">
        <f>'C4-Sources'!N56/'C4-Sources'!$B56*100</f>
        <v>3.0540959976163835</v>
      </c>
      <c r="AR55" s="450">
        <f>'C4-Sources'!V56/'C4-Sources'!$B56*100</f>
        <v>2.8283368822663428</v>
      </c>
      <c r="AS55" s="450">
        <f>'C4-Sources'!AD56/'C4-Sources'!$B56*100</f>
        <v>0.66529996018139881</v>
      </c>
      <c r="AT55" s="450">
        <f>'C4-Sources'!AL56/'C4-Sources'!$B56*100</f>
        <v>0.70176299566291089</v>
      </c>
      <c r="AU55" s="450">
        <f>'C4-Sources'!AT56/'C4-Sources'!$B56*100</f>
        <v>0.94618214835555048</v>
      </c>
      <c r="AV55" s="450">
        <f>'C4-Sources'!BB56/'C4-Sources'!$B56*100</f>
        <v>0.27305856878147916</v>
      </c>
      <c r="AW55" s="450">
        <f>'C4-Sources'!BJ56/'C4-Sources'!$B56*100</f>
        <v>0.28248975886281336</v>
      </c>
      <c r="AX55" s="450">
        <f>'C4-Sources'!BR56/'C4-Sources'!$B56*100</f>
        <v>1.181313623557783</v>
      </c>
      <c r="AZ55" s="528">
        <f t="shared" si="12"/>
        <v>5.5063100209195852</v>
      </c>
      <c r="BA55" s="450">
        <f>'C4-Sources'!O56/'C4-Sources'!$B56*100</f>
        <v>1.4354159403644555</v>
      </c>
      <c r="BB55" s="450">
        <f>'C4-Sources'!W56/'C4-Sources'!$B56*100</f>
        <v>1.7153988120246351</v>
      </c>
      <c r="BC55" s="450">
        <f>'C4-Sources'!AE56/'C4-Sources'!$B56*100</f>
        <v>0.48453278969038083</v>
      </c>
      <c r="BD55" s="450">
        <f>'C4-Sources'!AM56/'C4-Sources'!$B56*100</f>
        <v>0.46547212193443349</v>
      </c>
      <c r="BE55" s="450">
        <f>'C4-Sources'!AU56/'C4-Sources'!$B56*100</f>
        <v>0.63623873774903394</v>
      </c>
      <c r="BF55" s="450">
        <f>'C4-Sources'!BC56/'C4-Sources'!$B56*100</f>
        <v>0.1708431363459309</v>
      </c>
      <c r="BG55" s="450">
        <f>'C4-Sources'!BK56/'C4-Sources'!$B56*100</f>
        <v>9.6437897371935255E-2</v>
      </c>
      <c r="BH55" s="450">
        <f>'C4-Sources'!BS56/'C4-Sources'!$B56*100</f>
        <v>0.50197058543878137</v>
      </c>
      <c r="BJ55" s="528">
        <f t="shared" si="13"/>
        <v>2.4686275369973996</v>
      </c>
      <c r="BK55" s="450">
        <f>'C4-Sources'!P56/'C4-Sources'!$B56*100</f>
        <v>0.48263176115513801</v>
      </c>
      <c r="BL55" s="450">
        <f>'C4-Sources'!X56/'C4-Sources'!$B56*100</f>
        <v>0.76700490370675589</v>
      </c>
      <c r="BM55" s="450">
        <f>'C4-Sources'!AF56/'C4-Sources'!$B56*100</f>
        <v>0.2933370060347113</v>
      </c>
      <c r="BN55" s="450">
        <f>'C4-Sources'!AN56/'C4-Sources'!$B56*100</f>
        <v>0.23122428909448392</v>
      </c>
      <c r="BO55" s="450">
        <f>'C4-Sources'!AV56/'C4-Sources'!$B56*100</f>
        <v>0.36687035747675634</v>
      </c>
      <c r="BP55" s="450">
        <f>'C4-Sources'!BD56/'C4-Sources'!$B56*100</f>
        <v>9.2684906368490194E-2</v>
      </c>
      <c r="BQ55" s="450">
        <f>'C4-Sources'!BL56/'C4-Sources'!$B56*100</f>
        <v>2.8574967382314725E-2</v>
      </c>
      <c r="BR55" s="450">
        <f>'C4-Sources'!BT56/'C4-Sources'!$B56*100</f>
        <v>0.20629934577874937</v>
      </c>
      <c r="BS55" s="453"/>
      <c r="BT55" s="453"/>
      <c r="BU55" s="453"/>
      <c r="BV55" s="453"/>
      <c r="BW55" s="454"/>
      <c r="BX55" s="452"/>
      <c r="BY55" s="452"/>
    </row>
    <row r="56" spans="1:77" s="173" customFormat="1" ht="12" x14ac:dyDescent="0.25">
      <c r="A56" s="239">
        <v>2010</v>
      </c>
      <c r="B56" s="528">
        <f t="shared" si="7"/>
        <v>60.910761847789793</v>
      </c>
      <c r="C56" s="450">
        <f>('C4-Sources'!J57-'C4-Sources'!K57)/'C4-Sources'!$B57*100</f>
        <v>38.011772347298276</v>
      </c>
      <c r="D56" s="450">
        <f>('C4-Sources'!R57-'C4-Sources'!S57)/'C4-Sources'!$B57*100</f>
        <v>5.3424554523405892</v>
      </c>
      <c r="E56" s="450">
        <f>('C4-Sources'!Z57-'C4-Sources'!AA57)/'C4-Sources'!$B57*100</f>
        <v>0.34851830721992139</v>
      </c>
      <c r="F56" s="450">
        <f>('C4-Sources'!AH57-'C4-Sources'!AI57)/'C4-Sources'!$B57*100</f>
        <v>0.55828835984674474</v>
      </c>
      <c r="G56" s="450">
        <f>('C4-Sources'!AP57-'C4-Sources'!AQ57)/'C4-Sources'!$B57*100</f>
        <v>2.8122416619309578</v>
      </c>
      <c r="H56" s="450">
        <f>('C4-Sources'!AX57-'C4-Sources'!AY57)/'C4-Sources'!$B57*100</f>
        <v>1.1588767743315282</v>
      </c>
      <c r="I56" s="450">
        <f>('C4-Sources'!BF57-'C4-Sources'!BG57)/'C4-Sources'!$B57*100</f>
        <v>5.6876231254364864</v>
      </c>
      <c r="J56" s="450">
        <f>('C4-Sources'!BN57-'C4-Sources'!BO57)/'C4-Sources'!$B57*100</f>
        <v>6.9909858193852923</v>
      </c>
      <c r="K56" s="449"/>
      <c r="L56" s="528">
        <f t="shared" si="8"/>
        <v>39.0892381522102</v>
      </c>
      <c r="M56" s="450">
        <f>'C4-Sources'!K57/'C4-Sources'!$B57*100</f>
        <v>18.712463484563244</v>
      </c>
      <c r="N56" s="450">
        <f>'C4-Sources'!S57/'C4-Sources'!$B57*100</f>
        <v>6.0620830266395576</v>
      </c>
      <c r="O56" s="450">
        <f>'C4-Sources'!AA57/'C4-Sources'!$B57*100</f>
        <v>1.2675466787030094</v>
      </c>
      <c r="P56" s="450">
        <f>'C4-Sources'!AI57/'C4-Sources'!$B57*100</f>
        <v>1.1703379239496552</v>
      </c>
      <c r="Q56" s="450">
        <f>'C4-Sources'!AQ57/'C4-Sources'!$B57*100</f>
        <v>3.5608209090797773</v>
      </c>
      <c r="R56" s="450">
        <f>'C4-Sources'!AY57/'C4-Sources'!$B57*100</f>
        <v>1.1277281434268875</v>
      </c>
      <c r="S56" s="450">
        <f>'C4-Sources'!BG57/'C4-Sources'!$B57*100</f>
        <v>2.3191078249499943</v>
      </c>
      <c r="T56" s="450">
        <f>'C4-Sources'!BO57/'C4-Sources'!$B57*100</f>
        <v>4.8691501608980747</v>
      </c>
      <c r="V56" s="528">
        <f t="shared" si="9"/>
        <v>28.199877383067061</v>
      </c>
      <c r="W56" s="450">
        <f>'C4-Sources'!L57/'C4-Sources'!$B57*100</f>
        <v>12.193259705270911</v>
      </c>
      <c r="X56" s="450">
        <f>'C4-Sources'!T57/'C4-Sources'!$B57*100</f>
        <v>5.2065461910361952</v>
      </c>
      <c r="Y56" s="450">
        <f>'C4-Sources'!AB57/'C4-Sources'!$B57*100</f>
        <v>1.1512553953245379</v>
      </c>
      <c r="Z56" s="450">
        <f>'C4-Sources'!AJ57/'C4-Sources'!$B57*100</f>
        <v>1.0452459107143801</v>
      </c>
      <c r="AA56" s="450">
        <f>'C4-Sources'!AR57/'C4-Sources'!$B57*100</f>
        <v>2.8837809465321995</v>
      </c>
      <c r="AB56" s="450">
        <f>'C4-Sources'!AZ57/'C4-Sources'!$B57*100</f>
        <v>0.86599257712043254</v>
      </c>
      <c r="AC56" s="450">
        <f>'C4-Sources'!BH57/'C4-Sources'!$B57*100</f>
        <v>1.4366774672881051</v>
      </c>
      <c r="AD56" s="450">
        <f>'C4-Sources'!BP57/'C4-Sources'!$B57*100</f>
        <v>3.4171191897802959</v>
      </c>
      <c r="AF56" s="528">
        <f t="shared" si="10"/>
        <v>14.296488171438281</v>
      </c>
      <c r="AG56" s="450">
        <f>'C4-Sources'!M57/'C4-Sources'!$B57*100</f>
        <v>4.6612438642446214</v>
      </c>
      <c r="AH56" s="450">
        <f>'C4-Sources'!U57/'C4-Sources'!$B57*100</f>
        <v>3.4404095758678164</v>
      </c>
      <c r="AI56" s="450">
        <f>'C4-Sources'!AC57/'C4-Sources'!$B57*100</f>
        <v>0.89860191592246319</v>
      </c>
      <c r="AJ56" s="450">
        <f>'C4-Sources'!AK57/'C4-Sources'!$B57*100</f>
        <v>0.77812109222321724</v>
      </c>
      <c r="AK56" s="450">
        <f>'C4-Sources'!AS57/'C4-Sources'!$B57*100</f>
        <v>1.8391354145315204</v>
      </c>
      <c r="AL56" s="450">
        <f>'C4-Sources'!BA57/'C4-Sources'!$B57*100</f>
        <v>0.48986110856396747</v>
      </c>
      <c r="AM56" s="450">
        <f>'C4-Sources'!BI57/'C4-Sources'!$B57*100</f>
        <v>0.44983953563189361</v>
      </c>
      <c r="AN56" s="450">
        <f>'C4-Sources'!BQ57/'C4-Sources'!$B57*100</f>
        <v>1.7392756644527809</v>
      </c>
      <c r="AP56" s="528">
        <f t="shared" si="11"/>
        <v>11.026392533964474</v>
      </c>
      <c r="AQ56" s="450">
        <f>'C4-Sources'!N57/'C4-Sources'!$B57*100</f>
        <v>3.2064623626711302</v>
      </c>
      <c r="AR56" s="450">
        <f>'C4-Sources'!V57/'C4-Sources'!$B57*100</f>
        <v>2.8309910084910754</v>
      </c>
      <c r="AS56" s="450">
        <f>'C4-Sources'!AD57/'C4-Sources'!$B57*100</f>
        <v>0.7970799622453123</v>
      </c>
      <c r="AT56" s="450">
        <f>'C4-Sources'!AL57/'C4-Sources'!$B57*100</f>
        <v>0.66003181669415378</v>
      </c>
      <c r="AU56" s="450">
        <f>'C4-Sources'!AT57/'C4-Sources'!$B57*100</f>
        <v>1.5466084389461521</v>
      </c>
      <c r="AV56" s="450">
        <f>'C4-Sources'!BB57/'C4-Sources'!$B57*100</f>
        <v>0.39431910592409675</v>
      </c>
      <c r="AW56" s="450">
        <f>'C4-Sources'!BJ57/'C4-Sources'!$B57*100</f>
        <v>0.28641117139390149</v>
      </c>
      <c r="AX56" s="450">
        <f>'C4-Sources'!BR57/'C4-Sources'!$B57*100</f>
        <v>1.3044886675986507</v>
      </c>
      <c r="AZ56" s="528">
        <f t="shared" si="12"/>
        <v>6.288701942081425</v>
      </c>
      <c r="BA56" s="450">
        <f>'C4-Sources'!O57/'C4-Sources'!$B57*100</f>
        <v>1.50893050751798</v>
      </c>
      <c r="BB56" s="450">
        <f>'C4-Sources'!W57/'C4-Sources'!$B57*100</f>
        <v>1.7010508840206631</v>
      </c>
      <c r="BC56" s="450">
        <f>'C4-Sources'!AE57/'C4-Sources'!$B57*100</f>
        <v>0.60074760309276765</v>
      </c>
      <c r="BD56" s="450">
        <f>'C4-Sources'!AM57/'C4-Sources'!$B57*100</f>
        <v>0.44563955757346685</v>
      </c>
      <c r="BE56" s="450">
        <f>'C4-Sources'!AU57/'C4-Sources'!$B57*100</f>
        <v>1.0760252026034567</v>
      </c>
      <c r="BF56" s="450">
        <f>'C4-Sources'!BC57/'C4-Sources'!$B57*100</f>
        <v>0.25338660260254181</v>
      </c>
      <c r="BG56" s="450">
        <f>'C4-Sources'!BK57/'C4-Sources'!$B57*100</f>
        <v>0.10807159284351142</v>
      </c>
      <c r="BH56" s="450">
        <f>'C4-Sources'!BS57/'C4-Sources'!$B57*100</f>
        <v>0.59484999182703746</v>
      </c>
      <c r="BJ56" s="528">
        <f t="shared" si="13"/>
        <v>2.8952893518513036</v>
      </c>
      <c r="BK56" s="450">
        <f>'C4-Sources'!P57/'C4-Sources'!$B57*100</f>
        <v>0.48722902106077459</v>
      </c>
      <c r="BL56" s="450">
        <f>'C4-Sources'!X57/'C4-Sources'!$B57*100</f>
        <v>0.74716095119124892</v>
      </c>
      <c r="BM56" s="450">
        <f>'C4-Sources'!AF57/'C4-Sources'!$B57*100</f>
        <v>0.37277226058024965</v>
      </c>
      <c r="BN56" s="450">
        <f>'C4-Sources'!AN57/'C4-Sources'!$B57*100</f>
        <v>0.22116168075184098</v>
      </c>
      <c r="BO56" s="450">
        <f>'C4-Sources'!AV57/'C4-Sources'!$B57*100</f>
        <v>0.63499001155792545</v>
      </c>
      <c r="BP56" s="450">
        <f>'C4-Sources'!BD57/'C4-Sources'!$B57*100</f>
        <v>0.14105559463574913</v>
      </c>
      <c r="BQ56" s="450">
        <f>'C4-Sources'!BL57/'C4-Sources'!$B57*100</f>
        <v>2.7424241887997476E-2</v>
      </c>
      <c r="BR56" s="450">
        <f>'C4-Sources'!BT57/'C4-Sources'!$B57*100</f>
        <v>0.2634955901855171</v>
      </c>
      <c r="BS56" s="453"/>
      <c r="BT56" s="453"/>
      <c r="BU56" s="453"/>
      <c r="BV56" s="453"/>
      <c r="BW56" s="454"/>
      <c r="BX56" s="452"/>
      <c r="BY56" s="452"/>
    </row>
    <row r="57" spans="1:77" s="173" customFormat="1" ht="12" x14ac:dyDescent="0.25">
      <c r="A57" s="239">
        <v>2011</v>
      </c>
      <c r="B57" s="528">
        <f t="shared" si="7"/>
        <v>61.022809114143897</v>
      </c>
      <c r="C57" s="450">
        <f>('C4-Sources'!J58-'C4-Sources'!K58)/'C4-Sources'!$B58*100</f>
        <v>37.680874639432879</v>
      </c>
      <c r="D57" s="450">
        <f>('C4-Sources'!R58-'C4-Sources'!S58)/'C4-Sources'!$B58*100</f>
        <v>5.7634322291339011</v>
      </c>
      <c r="E57" s="450">
        <f>('C4-Sources'!Z58-'C4-Sources'!AA58)/'C4-Sources'!$B58*100</f>
        <v>0.40706864701700829</v>
      </c>
      <c r="F57" s="450">
        <f>('C4-Sources'!AH58-'C4-Sources'!AI58)/'C4-Sources'!$B58*100</f>
        <v>0.49175767082118582</v>
      </c>
      <c r="G57" s="450">
        <f>('C4-Sources'!AP58-'C4-Sources'!AQ58)/'C4-Sources'!$B58*100</f>
        <v>2.5082334408076301</v>
      </c>
      <c r="H57" s="450">
        <f>('C4-Sources'!AX58-'C4-Sources'!AY58)/'C4-Sources'!$B58*100</f>
        <v>1.1703500879749782</v>
      </c>
      <c r="I57" s="450">
        <f>('C4-Sources'!BF58-'C4-Sources'!BG58)/'C4-Sources'!$B58*100</f>
        <v>5.9948192809251122</v>
      </c>
      <c r="J57" s="450">
        <f>('C4-Sources'!BN58-'C4-Sources'!BO58)/'C4-Sources'!$B58*100</f>
        <v>7.0062731180311921</v>
      </c>
      <c r="K57" s="449"/>
      <c r="L57" s="528">
        <f t="shared" si="8"/>
        <v>38.97719088585611</v>
      </c>
      <c r="M57" s="450">
        <f>'C4-Sources'!K58/'C4-Sources'!$B58*100</f>
        <v>18.632459029387846</v>
      </c>
      <c r="N57" s="450">
        <f>'C4-Sources'!S58/'C4-Sources'!$B58*100</f>
        <v>6.3545881407013631</v>
      </c>
      <c r="O57" s="450">
        <f>'C4-Sources'!AA58/'C4-Sources'!$B58*100</f>
        <v>1.2270421853762001</v>
      </c>
      <c r="P57" s="450">
        <f>'C4-Sources'!AI58/'C4-Sources'!$B58*100</f>
        <v>0.99845603542214334</v>
      </c>
      <c r="Q57" s="450">
        <f>'C4-Sources'!AQ58/'C4-Sources'!$B58*100</f>
        <v>2.9879167694835993</v>
      </c>
      <c r="R57" s="450">
        <f>'C4-Sources'!AY58/'C4-Sources'!$B58*100</f>
        <v>1.1039548618919557</v>
      </c>
      <c r="S57" s="450">
        <f>'C4-Sources'!BG58/'C4-Sources'!$B58*100</f>
        <v>2.5492440920780939</v>
      </c>
      <c r="T57" s="450">
        <f>'C4-Sources'!BO58/'C4-Sources'!$B58*100</f>
        <v>5.1235297715149084</v>
      </c>
      <c r="V57" s="528">
        <f t="shared" si="9"/>
        <v>27.938572161538787</v>
      </c>
      <c r="W57" s="450">
        <f>'C4-Sources'!L58/'C4-Sources'!$B58*100</f>
        <v>12.163624995626854</v>
      </c>
      <c r="X57" s="450">
        <f>'C4-Sources'!T58/'C4-Sources'!$B58*100</f>
        <v>5.4418246764123275</v>
      </c>
      <c r="Y57" s="450">
        <f>'C4-Sources'!AB58/'C4-Sources'!$B58*100</f>
        <v>1.1040214244305995</v>
      </c>
      <c r="Z57" s="450">
        <f>'C4-Sources'!AJ58/'C4-Sources'!$B58*100</f>
        <v>0.89716698994667565</v>
      </c>
      <c r="AA57" s="450">
        <f>'C4-Sources'!AR58/'C4-Sources'!$B58*100</f>
        <v>2.3680898307794238</v>
      </c>
      <c r="AB57" s="450">
        <f>'C4-Sources'!AZ58/'C4-Sources'!$B58*100</f>
        <v>0.82954684569026371</v>
      </c>
      <c r="AC57" s="450">
        <f>'C4-Sources'!BH58/'C4-Sources'!$B58*100</f>
        <v>1.5781474709009491</v>
      </c>
      <c r="AD57" s="450">
        <f>'C4-Sources'!BP58/'C4-Sources'!$B58*100</f>
        <v>3.5561499277516937</v>
      </c>
      <c r="AF57" s="528">
        <f t="shared" si="10"/>
        <v>13.842295139515764</v>
      </c>
      <c r="AG57" s="450">
        <f>'C4-Sources'!M58/'C4-Sources'!$B58*100</f>
        <v>4.6521316496959555</v>
      </c>
      <c r="AH57" s="450">
        <f>'C4-Sources'!U58/'C4-Sources'!$B58*100</f>
        <v>3.5409360151518356</v>
      </c>
      <c r="AI57" s="450">
        <f>'C4-Sources'!AC58/'C4-Sources'!$B58*100</f>
        <v>0.83389887905901128</v>
      </c>
      <c r="AJ57" s="450">
        <f>'C4-Sources'!AK58/'C4-Sources'!$B58*100</f>
        <v>0.66132285346929531</v>
      </c>
      <c r="AK57" s="450">
        <f>'C4-Sources'!AS58/'C4-Sources'!$B58*100</f>
        <v>1.4504238751718421</v>
      </c>
      <c r="AL57" s="450">
        <f>'C4-Sources'!BA58/'C4-Sources'!$B58*100</f>
        <v>0.44823971881377972</v>
      </c>
      <c r="AM57" s="450">
        <f>'C4-Sources'!BI58/'C4-Sources'!$B58*100</f>
        <v>0.51948855443528597</v>
      </c>
      <c r="AN57" s="450">
        <f>'C4-Sources'!BQ58/'C4-Sources'!$B58*100</f>
        <v>1.7358535937187587</v>
      </c>
      <c r="AP57" s="528">
        <f t="shared" si="11"/>
        <v>10.517067723151349</v>
      </c>
      <c r="AQ57" s="450">
        <f>'C4-Sources'!N58/'C4-Sources'!$B58*100</f>
        <v>3.1514493865582667</v>
      </c>
      <c r="AR57" s="450">
        <f>'C4-Sources'!V58/'C4-Sources'!$B58*100</f>
        <v>2.8976541744651363</v>
      </c>
      <c r="AS57" s="450">
        <f>'C4-Sources'!AD58/'C4-Sources'!$B58*100</f>
        <v>0.72737604998909977</v>
      </c>
      <c r="AT57" s="450">
        <f>'C4-Sources'!AL58/'C4-Sources'!$B58*100</f>
        <v>0.55961680150812942</v>
      </c>
      <c r="AU57" s="450">
        <f>'C4-Sources'!AT58/'C4-Sources'!$B58*100</f>
        <v>1.2023641017059745</v>
      </c>
      <c r="AV57" s="450">
        <f>'C4-Sources'!BB58/'C4-Sources'!$B58*100</f>
        <v>0.35620664542155189</v>
      </c>
      <c r="AW57" s="450">
        <f>'C4-Sources'!BJ58/'C4-Sources'!$B58*100</f>
        <v>0.34162276467023589</v>
      </c>
      <c r="AX57" s="450">
        <f>'C4-Sources'!BR58/'C4-Sources'!$B58*100</f>
        <v>1.2807777988329554</v>
      </c>
      <c r="AZ57" s="528">
        <f t="shared" si="12"/>
        <v>5.7957854003290166</v>
      </c>
      <c r="BA57" s="450">
        <f>'C4-Sources'!O58/'C4-Sources'!$B58*100</f>
        <v>1.4814813913039004</v>
      </c>
      <c r="BB57" s="450">
        <f>'C4-Sources'!W58/'C4-Sources'!$B58*100</f>
        <v>1.7397787023521634</v>
      </c>
      <c r="BC57" s="450">
        <f>'C4-Sources'!AE58/'C4-Sources'!$B58*100</f>
        <v>0.51738694840200961</v>
      </c>
      <c r="BD57" s="450">
        <f>'C4-Sources'!AM58/'C4-Sources'!$B58*100</f>
        <v>0.37058115135440395</v>
      </c>
      <c r="BE57" s="450">
        <f>'C4-Sources'!AU58/'C4-Sources'!$B58*100</f>
        <v>0.80356012840032942</v>
      </c>
      <c r="BF57" s="450">
        <f>'C4-Sources'!BC58/'C4-Sources'!$B58*100</f>
        <v>0.22258875011062837</v>
      </c>
      <c r="BG57" s="450">
        <f>'C4-Sources'!BK58/'C4-Sources'!$B58*100</f>
        <v>0.13503411570027501</v>
      </c>
      <c r="BH57" s="450">
        <f>'C4-Sources'!BS58/'C4-Sources'!$B58*100</f>
        <v>0.52537421270530626</v>
      </c>
      <c r="BJ57" s="528">
        <f t="shared" si="13"/>
        <v>2.5028017531161977</v>
      </c>
      <c r="BK57" s="450">
        <f>'C4-Sources'!P58/'C4-Sources'!$B58*100</f>
        <v>0.4729085873365611</v>
      </c>
      <c r="BL57" s="450">
        <f>'C4-Sources'!X58/'C4-Sources'!$B58*100</f>
        <v>0.76211262485805531</v>
      </c>
      <c r="BM57" s="450">
        <f>'C4-Sources'!AF58/'C4-Sources'!$B58*100</f>
        <v>0.30034553408731779</v>
      </c>
      <c r="BN57" s="450">
        <f>'C4-Sources'!AN58/'C4-Sources'!$B58*100</f>
        <v>0.1792331649224739</v>
      </c>
      <c r="BO57" s="450">
        <f>'C4-Sources'!AV58/'C4-Sources'!$B58*100</f>
        <v>0.43850679067149484</v>
      </c>
      <c r="BP57" s="450">
        <f>'C4-Sources'!BD58/'C4-Sources'!$B58*100</f>
        <v>0.11491353450999459</v>
      </c>
      <c r="BQ57" s="450">
        <f>'C4-Sources'!BL58/'C4-Sources'!$B58*100</f>
        <v>3.2450680116605166E-2</v>
      </c>
      <c r="BR57" s="450">
        <f>'C4-Sources'!BT58/'C4-Sources'!$B58*100</f>
        <v>0.20233083661369533</v>
      </c>
      <c r="BS57" s="453"/>
      <c r="BT57" s="453"/>
      <c r="BU57" s="453"/>
      <c r="BV57" s="453"/>
      <c r="BW57" s="454"/>
      <c r="BX57" s="452"/>
      <c r="BY57" s="452"/>
    </row>
    <row r="58" spans="1:77" s="173" customFormat="1" ht="12" x14ac:dyDescent="0.25">
      <c r="A58" s="239">
        <v>2012</v>
      </c>
      <c r="B58" s="528">
        <f t="shared" si="7"/>
        <v>59.726126919267948</v>
      </c>
      <c r="C58" s="450">
        <f>('C4-Sources'!J59-'C4-Sources'!K59)/'C4-Sources'!$B59*100</f>
        <v>36.917238860857701</v>
      </c>
      <c r="D58" s="450">
        <f>('C4-Sources'!R59-'C4-Sources'!S59)/'C4-Sources'!$B59*100</f>
        <v>5.664006091943298</v>
      </c>
      <c r="E58" s="450">
        <f>('C4-Sources'!Z59-'C4-Sources'!AA59)/'C4-Sources'!$B59*100</f>
        <v>0.42458451535351455</v>
      </c>
      <c r="F58" s="450">
        <f>('C4-Sources'!AH59-'C4-Sources'!AI59)/'C4-Sources'!$B59*100</f>
        <v>0.41118692613608321</v>
      </c>
      <c r="G58" s="450">
        <f>('C4-Sources'!AP59-'C4-Sources'!AQ59)/'C4-Sources'!$B59*100</f>
        <v>2.0994414271112576</v>
      </c>
      <c r="H58" s="450">
        <f>('C4-Sources'!AX59-'C4-Sources'!AY59)/'C4-Sources'!$B59*100</f>
        <v>1.2621499946959251</v>
      </c>
      <c r="I58" s="450">
        <f>('C4-Sources'!BF59-'C4-Sources'!BG59)/'C4-Sources'!$B59*100</f>
        <v>6.064352572021007</v>
      </c>
      <c r="J58" s="450">
        <f>('C4-Sources'!BN59-'C4-Sources'!BO59)/'C4-Sources'!$B59*100</f>
        <v>6.8831665311491586</v>
      </c>
      <c r="K58" s="449"/>
      <c r="L58" s="528">
        <f t="shared" si="8"/>
        <v>40.273873080732059</v>
      </c>
      <c r="M58" s="450">
        <f>'C4-Sources'!K59/'C4-Sources'!$B59*100</f>
        <v>18.823803089135659</v>
      </c>
      <c r="N58" s="450">
        <f>'C4-Sources'!S59/'C4-Sources'!$B59*100</f>
        <v>6.9898589998626299</v>
      </c>
      <c r="O58" s="450">
        <f>'C4-Sources'!AA59/'C4-Sources'!$B59*100</f>
        <v>1.6675137269819333</v>
      </c>
      <c r="P58" s="450">
        <f>'C4-Sources'!AI59/'C4-Sources'!$B59*100</f>
        <v>0.93689108235354213</v>
      </c>
      <c r="Q58" s="450">
        <f>'C4-Sources'!AQ59/'C4-Sources'!$B59*100</f>
        <v>2.8157059505760085</v>
      </c>
      <c r="R58" s="450">
        <f>'C4-Sources'!AY59/'C4-Sources'!$B59*100</f>
        <v>1.2923097611965495</v>
      </c>
      <c r="S58" s="450">
        <f>'C4-Sources'!BG59/'C4-Sources'!$B59*100</f>
        <v>2.6909420562731561</v>
      </c>
      <c r="T58" s="450">
        <f>'C4-Sources'!BO59/'C4-Sources'!$B59*100</f>
        <v>5.0568484143525794</v>
      </c>
      <c r="V58" s="528">
        <f t="shared" si="9"/>
        <v>29.342413463725372</v>
      </c>
      <c r="W58" s="450">
        <f>'C4-Sources'!L59/'C4-Sources'!$B59*100</f>
        <v>12.417454504715643</v>
      </c>
      <c r="X58" s="450">
        <f>'C4-Sources'!T59/'C4-Sources'!$B59*100</f>
        <v>6.069889587186549</v>
      </c>
      <c r="Y58" s="450">
        <f>'C4-Sources'!AB59/'C4-Sources'!$B59*100</f>
        <v>1.5354921140371893</v>
      </c>
      <c r="Z58" s="450">
        <f>'C4-Sources'!AJ59/'C4-Sources'!$B59*100</f>
        <v>0.84946109544866755</v>
      </c>
      <c r="AA58" s="450">
        <f>'C4-Sources'!AR59/'C4-Sources'!$B59*100</f>
        <v>2.2733376441209181</v>
      </c>
      <c r="AB58" s="450">
        <f>'C4-Sources'!AZ59/'C4-Sources'!$B59*100</f>
        <v>0.97998695506337274</v>
      </c>
      <c r="AC58" s="450">
        <f>'C4-Sources'!BH59/'C4-Sources'!$B59*100</f>
        <v>1.693398957576677</v>
      </c>
      <c r="AD58" s="450">
        <f>'C4-Sources'!BP59/'C4-Sources'!$B59*100</f>
        <v>3.5233926055763547</v>
      </c>
      <c r="AF58" s="528">
        <f t="shared" si="10"/>
        <v>15.229122380983121</v>
      </c>
      <c r="AG58" s="450">
        <f>'C4-Sources'!M59/'C4-Sources'!$B59*100</f>
        <v>4.9219537995496685</v>
      </c>
      <c r="AH58" s="450">
        <f>'C4-Sources'!U59/'C4-Sources'!$B59*100</f>
        <v>4.0666403071233992</v>
      </c>
      <c r="AI58" s="450">
        <f>'C4-Sources'!AC59/'C4-Sources'!$B59*100</f>
        <v>1.2300639448718107</v>
      </c>
      <c r="AJ58" s="450">
        <f>'C4-Sources'!AK59/'C4-Sources'!$B59*100</f>
        <v>0.63082492291684522</v>
      </c>
      <c r="AK58" s="450">
        <f>'C4-Sources'!AS59/'C4-Sources'!$B59*100</f>
        <v>1.4723296420198102</v>
      </c>
      <c r="AL58" s="450">
        <f>'C4-Sources'!BA59/'C4-Sources'!$B59*100</f>
        <v>0.55194137695170431</v>
      </c>
      <c r="AM58" s="450">
        <f>'C4-Sources'!BI59/'C4-Sources'!$B59*100</f>
        <v>0.58581489598938452</v>
      </c>
      <c r="AN58" s="450">
        <f>'C4-Sources'!BQ59/'C4-Sources'!$B59*100</f>
        <v>1.7695534915604976</v>
      </c>
      <c r="AP58" s="528">
        <f t="shared" si="11"/>
        <v>11.860990050650377</v>
      </c>
      <c r="AQ58" s="450">
        <f>'C4-Sources'!N59/'C4-Sources'!$B59*100</f>
        <v>3.3999287969188585</v>
      </c>
      <c r="AR58" s="450">
        <f>'C4-Sources'!V59/'C4-Sources'!$B59*100</f>
        <v>3.3479525679708786</v>
      </c>
      <c r="AS58" s="450">
        <f>'C4-Sources'!AD59/'C4-Sources'!$B59*100</f>
        <v>1.1060950062960067</v>
      </c>
      <c r="AT58" s="450">
        <f>'C4-Sources'!AL59/'C4-Sources'!$B59*100</f>
        <v>0.53851793588755592</v>
      </c>
      <c r="AU58" s="450">
        <f>'C4-Sources'!AT59/'C4-Sources'!$B59*100</f>
        <v>1.2649764366261524</v>
      </c>
      <c r="AV58" s="450">
        <f>'C4-Sources'!BB59/'C4-Sources'!$B59*100</f>
        <v>0.45460819300619942</v>
      </c>
      <c r="AW58" s="450">
        <f>'C4-Sources'!BJ59/'C4-Sources'!$B59*100</f>
        <v>0.40556420231663037</v>
      </c>
      <c r="AX58" s="450">
        <f>'C4-Sources'!BR59/'C4-Sources'!$B59*100</f>
        <v>1.3433469116280921</v>
      </c>
      <c r="AZ58" s="528">
        <f t="shared" si="12"/>
        <v>6.8872268011629121</v>
      </c>
      <c r="BA58" s="450">
        <f>'C4-Sources'!O59/'C4-Sources'!$B59*100</f>
        <v>1.6658296289580765</v>
      </c>
      <c r="BB58" s="450">
        <f>'C4-Sources'!W59/'C4-Sources'!$B59*100</f>
        <v>2.0260602651881952</v>
      </c>
      <c r="BC58" s="450">
        <f>'C4-Sources'!AE59/'C4-Sources'!$B59*100</f>
        <v>0.83619986693476678</v>
      </c>
      <c r="BD58" s="450">
        <f>'C4-Sources'!AM59/'C4-Sources'!$B59*100</f>
        <v>0.36193333824204249</v>
      </c>
      <c r="BE58" s="450">
        <f>'C4-Sources'!AU59/'C4-Sources'!$B59*100</f>
        <v>0.89397165123278577</v>
      </c>
      <c r="BF58" s="450">
        <f>'C4-Sources'!BC59/'C4-Sources'!$B59*100</f>
        <v>0.3010552518729161</v>
      </c>
      <c r="BG58" s="450">
        <f>'C4-Sources'!BK59/'C4-Sources'!$B59*100</f>
        <v>0.1845263189068608</v>
      </c>
      <c r="BH58" s="450">
        <f>'C4-Sources'!BS59/'C4-Sources'!$B59*100</f>
        <v>0.61765047982726884</v>
      </c>
      <c r="BJ58" s="528">
        <f t="shared" si="13"/>
        <v>3.1450932938671285</v>
      </c>
      <c r="BK58" s="450">
        <f>'C4-Sources'!P59/'C4-Sources'!$B59*100</f>
        <v>0.5867538716034898</v>
      </c>
      <c r="BL58" s="450">
        <f>'C4-Sources'!X59/'C4-Sources'!$B59*100</f>
        <v>0.89233645898293945</v>
      </c>
      <c r="BM58" s="450">
        <f>'C4-Sources'!AF59/'C4-Sources'!$B59*100</f>
        <v>0.51327227102943385</v>
      </c>
      <c r="BN58" s="450">
        <f>'C4-Sources'!AN59/'C4-Sources'!$B59*100</f>
        <v>0.18006769982915868</v>
      </c>
      <c r="BO58" s="450">
        <f>'C4-Sources'!AV59/'C4-Sources'!$B59*100</f>
        <v>0.50597650746768863</v>
      </c>
      <c r="BP58" s="450">
        <f>'C4-Sources'!BD59/'C4-Sources'!$B59*100</f>
        <v>0.16008942812976523</v>
      </c>
      <c r="BQ58" s="450">
        <f>'C4-Sources'!BL59/'C4-Sources'!$B59*100</f>
        <v>4.4787490305699708E-2</v>
      </c>
      <c r="BR58" s="450">
        <f>'C4-Sources'!BT59/'C4-Sources'!$B59*100</f>
        <v>0.26180956651895332</v>
      </c>
      <c r="BS58" s="453"/>
      <c r="BT58" s="453"/>
      <c r="BU58" s="453"/>
      <c r="BV58" s="453"/>
      <c r="BW58" s="454"/>
      <c r="BX58" s="452"/>
      <c r="BY58" s="452"/>
    </row>
    <row r="59" spans="1:77" s="173" customFormat="1" ht="12" x14ac:dyDescent="0.25">
      <c r="A59" s="239">
        <v>2013</v>
      </c>
      <c r="B59" s="528">
        <f t="shared" si="7"/>
        <v>60.842292575721544</v>
      </c>
      <c r="C59" s="450">
        <f>('C4-Sources'!J60-'C4-Sources'!K60)/'C4-Sources'!$B60*100</f>
        <v>37.113859179875142</v>
      </c>
      <c r="D59" s="450">
        <f>('C4-Sources'!R60-'C4-Sources'!S60)/'C4-Sources'!$B60*100</f>
        <v>5.7452419540511048</v>
      </c>
      <c r="E59" s="450">
        <f>('C4-Sources'!Z60-'C4-Sources'!AA60)/'C4-Sources'!$B60*100</f>
        <v>0.39813590054346193</v>
      </c>
      <c r="F59" s="450">
        <f>('C4-Sources'!AH60-'C4-Sources'!AI60)/'C4-Sources'!$B60*100</f>
        <v>0.34575087477286304</v>
      </c>
      <c r="G59" s="450">
        <f>('C4-Sources'!AP60-'C4-Sources'!AQ60)/'C4-Sources'!$B60*100</f>
        <v>1.9504505085294914</v>
      </c>
      <c r="H59" s="450">
        <f>('C4-Sources'!AX60-'C4-Sources'!AY60)/'C4-Sources'!$B60*100</f>
        <v>1.3540980451430626</v>
      </c>
      <c r="I59" s="450">
        <f>('C4-Sources'!BF60-'C4-Sources'!BG60)/'C4-Sources'!$B60*100</f>
        <v>6.7100873048442571</v>
      </c>
      <c r="J59" s="450">
        <f>('C4-Sources'!BN60-'C4-Sources'!BO60)/'C4-Sources'!$B60*100</f>
        <v>7.2246688079621633</v>
      </c>
      <c r="K59" s="449"/>
      <c r="L59" s="528">
        <f t="shared" si="8"/>
        <v>39.157707424278442</v>
      </c>
      <c r="M59" s="450">
        <f>'C4-Sources'!K60/'C4-Sources'!$B60*100</f>
        <v>18.577984673839378</v>
      </c>
      <c r="N59" s="450">
        <f>'C4-Sources'!S60/'C4-Sources'!$B60*100</f>
        <v>6.842846256183301</v>
      </c>
      <c r="O59" s="450">
        <f>'C4-Sources'!AA60/'C4-Sources'!$B60*100</f>
        <v>1.290847877198718</v>
      </c>
      <c r="P59" s="450">
        <f>'C4-Sources'!AI60/'C4-Sources'!$B60*100</f>
        <v>0.86826588121633286</v>
      </c>
      <c r="Q59" s="450">
        <f>'C4-Sources'!AQ60/'C4-Sources'!$B60*100</f>
        <v>2.4511819749416972</v>
      </c>
      <c r="R59" s="450">
        <f>'C4-Sources'!AY60/'C4-Sources'!$B60*100</f>
        <v>1.3323870231021666</v>
      </c>
      <c r="S59" s="450">
        <f>'C4-Sources'!BG60/'C4-Sources'!$B60*100</f>
        <v>2.8078772222975976</v>
      </c>
      <c r="T59" s="450">
        <f>'C4-Sources'!BO60/'C4-Sources'!$B60*100</f>
        <v>4.9863165154992544</v>
      </c>
      <c r="V59" s="528">
        <f t="shared" si="9"/>
        <v>28.016780468416851</v>
      </c>
      <c r="W59" s="450">
        <f>'C4-Sources'!L60/'C4-Sources'!$B60*100</f>
        <v>12.137889414558861</v>
      </c>
      <c r="X59" s="450">
        <f>'C4-Sources'!T60/'C4-Sources'!$B60*100</f>
        <v>5.9029466676005056</v>
      </c>
      <c r="Y59" s="450">
        <f>'C4-Sources'!AB60/'C4-Sources'!$B60*100</f>
        <v>1.1633415663328417</v>
      </c>
      <c r="Z59" s="450">
        <f>'C4-Sources'!AJ60/'C4-Sources'!$B60*100</f>
        <v>0.78500193811484842</v>
      </c>
      <c r="AA59" s="450">
        <f>'C4-Sources'!AR60/'C4-Sources'!$B60*100</f>
        <v>1.9378525911919104</v>
      </c>
      <c r="AB59" s="450">
        <f>'C4-Sources'!AZ60/'C4-Sources'!$B60*100</f>
        <v>0.99192703026437967</v>
      </c>
      <c r="AC59" s="450">
        <f>'C4-Sources'!BH60/'C4-Sources'!$B60*100</f>
        <v>1.6651273959941764</v>
      </c>
      <c r="AD59" s="450">
        <f>'C4-Sources'!BP60/'C4-Sources'!$B60*100</f>
        <v>3.4326938643593299</v>
      </c>
      <c r="AF59" s="528">
        <f t="shared" si="10"/>
        <v>13.896760061229452</v>
      </c>
      <c r="AG59" s="450">
        <f>'C4-Sources'!M60/'C4-Sources'!$B60*100</f>
        <v>4.6845966622110478</v>
      </c>
      <c r="AH59" s="450">
        <f>'C4-Sources'!U60/'C4-Sources'!$B60*100</f>
        <v>3.8941052560243237</v>
      </c>
      <c r="AI59" s="450">
        <f>'C4-Sources'!AC60/'C4-Sources'!$B60*100</f>
        <v>0.87000022235994912</v>
      </c>
      <c r="AJ59" s="450">
        <f>'C4-Sources'!AK60/'C4-Sources'!$B60*100</f>
        <v>0.58691165822192171</v>
      </c>
      <c r="AK59" s="450">
        <f>'C4-Sources'!AS60/'C4-Sources'!$B60*100</f>
        <v>1.19495651760869</v>
      </c>
      <c r="AL59" s="450">
        <f>'C4-Sources'!BA60/'C4-Sources'!$B60*100</f>
        <v>0.54254766424868039</v>
      </c>
      <c r="AM59" s="450">
        <f>'C4-Sources'!BI60/'C4-Sources'!$B60*100</f>
        <v>0.46918433770731582</v>
      </c>
      <c r="AN59" s="450">
        <f>'C4-Sources'!BQ60/'C4-Sources'!$B60*100</f>
        <v>1.6544577428475242</v>
      </c>
      <c r="AP59" s="528">
        <f t="shared" si="11"/>
        <v>10.600288150234844</v>
      </c>
      <c r="AQ59" s="450">
        <f>'C4-Sources'!N60/'C4-Sources'!$B60*100</f>
        <v>3.1677598739952391</v>
      </c>
      <c r="AR59" s="450">
        <f>'C4-Sources'!V60/'C4-Sources'!$B60*100</f>
        <v>3.2103098946245514</v>
      </c>
      <c r="AS59" s="450">
        <f>'C4-Sources'!AD60/'C4-Sources'!$B60*100</f>
        <v>0.75055841418207969</v>
      </c>
      <c r="AT59" s="450">
        <f>'C4-Sources'!AL60/'C4-Sources'!$B60*100</f>
        <v>0.50348279436786136</v>
      </c>
      <c r="AU59" s="450">
        <f>'C4-Sources'!AT60/'C4-Sources'!$B60*100</f>
        <v>1.0021286627072137</v>
      </c>
      <c r="AV59" s="450">
        <f>'C4-Sources'!BB60/'C4-Sources'!$B60*100</f>
        <v>0.44299944435835115</v>
      </c>
      <c r="AW59" s="450">
        <f>'C4-Sources'!BJ60/'C4-Sources'!$B60*100</f>
        <v>0.29510469108038051</v>
      </c>
      <c r="AX59" s="450">
        <f>'C4-Sources'!BR60/'C4-Sources'!$B60*100</f>
        <v>1.2279443749191674</v>
      </c>
      <c r="AZ59" s="528">
        <f t="shared" si="12"/>
        <v>5.9108297589906389</v>
      </c>
      <c r="BA59" s="450">
        <f>'C4-Sources'!O60/'C4-Sources'!$B60*100</f>
        <v>1.4952630167363465</v>
      </c>
      <c r="BB59" s="450">
        <f>'C4-Sources'!W60/'C4-Sources'!$B60*100</f>
        <v>1.9480509950730953</v>
      </c>
      <c r="BC59" s="450">
        <f>'C4-Sources'!AE60/'C4-Sources'!$B60*100</f>
        <v>0.53337295906539561</v>
      </c>
      <c r="BD59" s="450">
        <f>'C4-Sources'!AM60/'C4-Sources'!$B60*100</f>
        <v>0.33776614900830432</v>
      </c>
      <c r="BE59" s="450">
        <f>'C4-Sources'!AU60/'C4-Sources'!$B60*100</f>
        <v>0.68637402236714151</v>
      </c>
      <c r="BF59" s="450">
        <f>'C4-Sources'!BC60/'C4-Sources'!$B60*100</f>
        <v>0.29132536703930556</v>
      </c>
      <c r="BG59" s="450">
        <f>'C4-Sources'!BK60/'C4-Sources'!$B60*100</f>
        <v>0.11909295307807387</v>
      </c>
      <c r="BH59" s="450">
        <f>'C4-Sources'!BS60/'C4-Sources'!$B60*100</f>
        <v>0.49958429662297649</v>
      </c>
      <c r="BJ59" s="528">
        <f t="shared" si="13"/>
        <v>2.5815742807692086</v>
      </c>
      <c r="BK59" s="450">
        <f>'C4-Sources'!P60/'C4-Sources'!$B60*100</f>
        <v>0.5023954112599216</v>
      </c>
      <c r="BL59" s="450">
        <f>'C4-Sources'!X60/'C4-Sources'!$B60*100</f>
        <v>0.86709199285720673</v>
      </c>
      <c r="BM59" s="450">
        <f>'C4-Sources'!AF60/'C4-Sources'!$B60*100</f>
        <v>0.30664336999643638</v>
      </c>
      <c r="BN59" s="450">
        <f>'C4-Sources'!AN60/'C4-Sources'!$B60*100</f>
        <v>0.17100681274795157</v>
      </c>
      <c r="BO59" s="450">
        <f>'C4-Sources'!AV60/'C4-Sources'!$B60*100</f>
        <v>0.37081500589140326</v>
      </c>
      <c r="BP59" s="450">
        <f>'C4-Sources'!BD60/'C4-Sources'!$B60*100</f>
        <v>0.1505531331203068</v>
      </c>
      <c r="BQ59" s="450">
        <f>'C4-Sources'!BL60/'C4-Sources'!$B60*100</f>
        <v>3.0272422243050316E-2</v>
      </c>
      <c r="BR59" s="450">
        <f>'C4-Sources'!BT60/'C4-Sources'!$B60*100</f>
        <v>0.18279613265293213</v>
      </c>
      <c r="BS59" s="453"/>
      <c r="BT59" s="453"/>
      <c r="BU59" s="453"/>
      <c r="BV59" s="453"/>
      <c r="BW59" s="454"/>
      <c r="BX59" s="452"/>
      <c r="BY59" s="452"/>
    </row>
    <row r="60" spans="1:77" s="173" customFormat="1" ht="12" x14ac:dyDescent="0.25">
      <c r="A60" s="239">
        <v>2014</v>
      </c>
      <c r="B60" s="528">
        <f t="shared" si="7"/>
        <v>60.453885059432338</v>
      </c>
      <c r="C60" s="450">
        <f>('C4-Sources'!J61-'C4-Sources'!K61)/'C4-Sources'!$B61*100</f>
        <v>36.927315147732479</v>
      </c>
      <c r="D60" s="450">
        <f>('C4-Sources'!R61-'C4-Sources'!S61)/'C4-Sources'!$B61*100</f>
        <v>5.5299781343597498</v>
      </c>
      <c r="E60" s="450">
        <f>('C4-Sources'!Z61-'C4-Sources'!AA61)/'C4-Sources'!$B61*100</f>
        <v>0.41690830519142241</v>
      </c>
      <c r="F60" s="450">
        <f>('C4-Sources'!AH61-'C4-Sources'!AI61)/'C4-Sources'!$B61*100</f>
        <v>0.30283101727999312</v>
      </c>
      <c r="G60" s="450">
        <f>('C4-Sources'!AP61-'C4-Sources'!AQ61)/'C4-Sources'!$B61*100</f>
        <v>1.8629390049257863</v>
      </c>
      <c r="H60" s="450">
        <f>('C4-Sources'!AX61-'C4-Sources'!AY61)/'C4-Sources'!$B61*100</f>
        <v>1.350281120111587</v>
      </c>
      <c r="I60" s="450">
        <f>('C4-Sources'!BF61-'C4-Sources'!BG61)/'C4-Sources'!$B61*100</f>
        <v>6.6876701607516269</v>
      </c>
      <c r="J60" s="450">
        <f>('C4-Sources'!BN61-'C4-Sources'!BO61)/'C4-Sources'!$B61*100</f>
        <v>7.3759621690796955</v>
      </c>
      <c r="K60" s="449"/>
      <c r="L60" s="528">
        <f t="shared" si="8"/>
        <v>39.546114940567648</v>
      </c>
      <c r="M60" s="450">
        <f>'C4-Sources'!K61/'C4-Sources'!$B61*100</f>
        <v>18.709881432896292</v>
      </c>
      <c r="N60" s="450">
        <f>'C4-Sources'!S61/'C4-Sources'!$B61*100</f>
        <v>6.927977413729125</v>
      </c>
      <c r="O60" s="450">
        <f>'C4-Sources'!AA61/'C4-Sources'!$B61*100</f>
        <v>1.4642920829951651</v>
      </c>
      <c r="P60" s="450">
        <f>'C4-Sources'!AI61/'C4-Sources'!$B61*100</f>
        <v>0.77987697147064394</v>
      </c>
      <c r="Q60" s="450">
        <f>'C4-Sources'!AQ61/'C4-Sources'!$B61*100</f>
        <v>2.4218699200350158</v>
      </c>
      <c r="R60" s="450">
        <f>'C4-Sources'!AY61/'C4-Sources'!$B61*100</f>
        <v>1.3465957484889226</v>
      </c>
      <c r="S60" s="450">
        <f>'C4-Sources'!BG61/'C4-Sources'!$B61*100</f>
        <v>2.8319902049212375</v>
      </c>
      <c r="T60" s="450">
        <f>'C4-Sources'!BO61/'C4-Sources'!$B61*100</f>
        <v>5.0636311660312536</v>
      </c>
      <c r="V60" s="528">
        <f t="shared" si="9"/>
        <v>28.489594640359542</v>
      </c>
      <c r="W60" s="450">
        <f>'C4-Sources'!L61/'C4-Sources'!$B61*100</f>
        <v>12.356237298098204</v>
      </c>
      <c r="X60" s="450">
        <f>'C4-Sources'!T61/'C4-Sources'!$B61*100</f>
        <v>5.9921409128237766</v>
      </c>
      <c r="Y60" s="450">
        <f>'C4-Sources'!AB61/'C4-Sources'!$B61*100</f>
        <v>1.3143719830007794</v>
      </c>
      <c r="Z60" s="450">
        <f>'C4-Sources'!AJ61/'C4-Sources'!$B61*100</f>
        <v>0.69926181765511108</v>
      </c>
      <c r="AA60" s="450">
        <f>'C4-Sources'!AR61/'C4-Sources'!$B61*100</f>
        <v>1.9311214762134987</v>
      </c>
      <c r="AB60" s="450">
        <f>'C4-Sources'!AZ61/'C4-Sources'!$B61*100</f>
        <v>1.0097094456450348</v>
      </c>
      <c r="AC60" s="450">
        <f>'C4-Sources'!BH61/'C4-Sources'!$B61*100</f>
        <v>1.7079992535836479</v>
      </c>
      <c r="AD60" s="450">
        <f>'C4-Sources'!BP61/'C4-Sources'!$B61*100</f>
        <v>3.4787524533394905</v>
      </c>
      <c r="AF60" s="528">
        <f t="shared" si="10"/>
        <v>14.277984870529352</v>
      </c>
      <c r="AG60" s="450">
        <f>'C4-Sources'!M61/'C4-Sources'!$B61*100</f>
        <v>4.8720930666507467</v>
      </c>
      <c r="AH60" s="450">
        <f>'C4-Sources'!U61/'C4-Sources'!$B61*100</f>
        <v>4.0138629012095848</v>
      </c>
      <c r="AI60" s="450">
        <f>'C4-Sources'!AC61/'C4-Sources'!$B61*100</f>
        <v>0.97439318351714344</v>
      </c>
      <c r="AJ60" s="450">
        <f>'C4-Sources'!AK61/'C4-Sources'!$B61*100</f>
        <v>0.52015519504722463</v>
      </c>
      <c r="AK60" s="450">
        <f>'C4-Sources'!AS61/'C4-Sources'!$B61*100</f>
        <v>1.199685213476446</v>
      </c>
      <c r="AL60" s="450">
        <f>'C4-Sources'!BA61/'C4-Sources'!$B61*100</f>
        <v>0.5554232586627188</v>
      </c>
      <c r="AM60" s="450">
        <f>'C4-Sources'!BI61/'C4-Sources'!$B61*100</f>
        <v>0.47956062568638702</v>
      </c>
      <c r="AN60" s="450">
        <f>'C4-Sources'!BQ61/'C4-Sources'!$B61*100</f>
        <v>1.6628114262790978</v>
      </c>
      <c r="AP60" s="528">
        <f t="shared" si="11"/>
        <v>10.943585382254289</v>
      </c>
      <c r="AQ60" s="450">
        <f>'C4-Sources'!N61/'C4-Sources'!$B61*100</f>
        <v>3.3582518570498654</v>
      </c>
      <c r="AR60" s="450">
        <f>'C4-Sources'!V61/'C4-Sources'!$B61*100</f>
        <v>3.3057168864176969</v>
      </c>
      <c r="AS60" s="450">
        <f>'C4-Sources'!AD61/'C4-Sources'!$B61*100</f>
        <v>0.84237249306983075</v>
      </c>
      <c r="AT60" s="450">
        <f>'C4-Sources'!AL61/'C4-Sources'!$B61*100</f>
        <v>0.44833198911515226</v>
      </c>
      <c r="AU60" s="450">
        <f>'C4-Sources'!AT61/'C4-Sources'!$B61*100</f>
        <v>1.0080292640712281</v>
      </c>
      <c r="AV60" s="450">
        <f>'C4-Sources'!BB61/'C4-Sources'!$B61*100</f>
        <v>0.4532341096397603</v>
      </c>
      <c r="AW60" s="450">
        <f>'C4-Sources'!BJ61/'C4-Sources'!$B61*100</f>
        <v>0.30024955553035443</v>
      </c>
      <c r="AX60" s="450">
        <f>'C4-Sources'!BR61/'C4-Sources'!$B61*100</f>
        <v>1.2273992273604015</v>
      </c>
      <c r="AZ60" s="528">
        <f t="shared" si="12"/>
        <v>6.1335411612925643</v>
      </c>
      <c r="BA60" s="450">
        <f>'C4-Sources'!O61/'C4-Sources'!$B61*100</f>
        <v>1.6013846295002205</v>
      </c>
      <c r="BB60" s="450">
        <f>'C4-Sources'!W61/'C4-Sources'!$B61*100</f>
        <v>2.0053307079276812</v>
      </c>
      <c r="BC60" s="450">
        <f>'C4-Sources'!AE61/'C4-Sources'!$B61*100</f>
        <v>0.6020733890949872</v>
      </c>
      <c r="BD60" s="450">
        <f>'C4-Sources'!AM61/'C4-Sources'!$B61*100</f>
        <v>0.30199740539349146</v>
      </c>
      <c r="BE60" s="450">
        <f>'C4-Sources'!AU61/'C4-Sources'!$B61*100</f>
        <v>0.69250511416033556</v>
      </c>
      <c r="BF60" s="450">
        <f>'C4-Sources'!BC61/'C4-Sources'!$B61*100</f>
        <v>0.29792216629720569</v>
      </c>
      <c r="BG60" s="450">
        <f>'C4-Sources'!BK61/'C4-Sources'!$B61*100</f>
        <v>0.11976377037972037</v>
      </c>
      <c r="BH60" s="450">
        <f>'C4-Sources'!BS61/'C4-Sources'!$B61*100</f>
        <v>0.51256397853892155</v>
      </c>
      <c r="BJ60" s="528">
        <f t="shared" si="13"/>
        <v>2.679840930595863</v>
      </c>
      <c r="BK60" s="450">
        <f>'C4-Sources'!P61/'C4-Sources'!$B61*100</f>
        <v>0.5457656439171491</v>
      </c>
      <c r="BL60" s="450">
        <f>'C4-Sources'!X61/'C4-Sources'!$B61*100</f>
        <v>0.86999864167054308</v>
      </c>
      <c r="BM60" s="450">
        <f>'C4-Sources'!AF61/'C4-Sources'!$B61*100</f>
        <v>0.34956452289123757</v>
      </c>
      <c r="BN60" s="450">
        <f>'C4-Sources'!AN61/'C4-Sources'!$B61*100</f>
        <v>0.15452740452396035</v>
      </c>
      <c r="BO60" s="450">
        <f>'C4-Sources'!AV61/'C4-Sources'!$B61*100</f>
        <v>0.37716579344731538</v>
      </c>
      <c r="BP60" s="450">
        <f>'C4-Sources'!BD61/'C4-Sources'!$B61*100</f>
        <v>0.15507168268586063</v>
      </c>
      <c r="BQ60" s="450">
        <f>'C4-Sources'!BL61/'C4-Sources'!$B61*100</f>
        <v>3.336776663576279E-2</v>
      </c>
      <c r="BR60" s="450">
        <f>'C4-Sources'!BT61/'C4-Sources'!$B61*100</f>
        <v>0.19437947482403417</v>
      </c>
      <c r="BS60" s="452"/>
      <c r="BT60" s="452"/>
      <c r="BU60" s="452"/>
      <c r="BV60" s="452"/>
      <c r="BW60" s="452"/>
      <c r="BX60" s="452"/>
      <c r="BY60" s="452"/>
    </row>
    <row r="61" spans="1:77" s="173" customFormat="1" ht="12" x14ac:dyDescent="0.25">
      <c r="A61" s="239">
        <v>2015</v>
      </c>
      <c r="B61" s="528">
        <f t="shared" si="7"/>
        <v>60.67151805809236</v>
      </c>
      <c r="C61" s="450">
        <f>('C4-Sources'!J62-'C4-Sources'!K62)/'C4-Sources'!$B62*100</f>
        <v>37.163413934212649</v>
      </c>
      <c r="D61" s="450">
        <f>('C4-Sources'!R62-'C4-Sources'!S62)/'C4-Sources'!$B62*100</f>
        <v>5.4381184105424518</v>
      </c>
      <c r="E61" s="450">
        <f>('C4-Sources'!Z62-'C4-Sources'!AA62)/'C4-Sources'!$B62*100</f>
        <v>0.41591931690686285</v>
      </c>
      <c r="F61" s="450">
        <f>('C4-Sources'!AH62-'C4-Sources'!AI62)/'C4-Sources'!$B62*100</f>
        <v>0.27750144385017605</v>
      </c>
      <c r="G61" s="450">
        <f>('C4-Sources'!AP62-'C4-Sources'!AQ62)/'C4-Sources'!$B62*100</f>
        <v>1.6042391600474442</v>
      </c>
      <c r="H61" s="450">
        <f>('C4-Sources'!AX62-'C4-Sources'!AY62)/'C4-Sources'!$B62*100</f>
        <v>1.2795820264948827</v>
      </c>
      <c r="I61" s="450">
        <f>('C4-Sources'!BF62-'C4-Sources'!BG62)/'C4-Sources'!$B62*100</f>
        <v>6.8060160179813183</v>
      </c>
      <c r="J61" s="450">
        <f>('C4-Sources'!BN62-'C4-Sources'!BO62)/'C4-Sources'!$B62*100</f>
        <v>7.6867277480565708</v>
      </c>
      <c r="K61" s="449"/>
      <c r="L61" s="528">
        <f t="shared" si="8"/>
        <v>39.328481941907661</v>
      </c>
      <c r="M61" s="450">
        <f>'C4-Sources'!K62/'C4-Sources'!$B62*100</f>
        <v>19.069817369228634</v>
      </c>
      <c r="N61" s="450">
        <f>'C4-Sources'!S62/'C4-Sources'!$B62*100</f>
        <v>6.9359415687942478</v>
      </c>
      <c r="O61" s="450">
        <f>'C4-Sources'!AA62/'C4-Sources'!$B62*100</f>
        <v>1.4253261784903102</v>
      </c>
      <c r="P61" s="450">
        <f>'C4-Sources'!AI62/'C4-Sources'!$B62*100</f>
        <v>0.76907679179414179</v>
      </c>
      <c r="Q61" s="450">
        <f>'C4-Sources'!AQ62/'C4-Sources'!$B62*100</f>
        <v>2.0178925550492499</v>
      </c>
      <c r="R61" s="450">
        <f>'C4-Sources'!AY62/'C4-Sources'!$B62*100</f>
        <v>1.2425407100438581</v>
      </c>
      <c r="S61" s="450">
        <f>'C4-Sources'!BG62/'C4-Sources'!$B62*100</f>
        <v>2.8398489024485265</v>
      </c>
      <c r="T61" s="450">
        <f>'C4-Sources'!BO62/'C4-Sources'!$B62*100</f>
        <v>5.0280378660586891</v>
      </c>
      <c r="V61" s="528">
        <f t="shared" si="9"/>
        <v>28.278964051467497</v>
      </c>
      <c r="W61" s="450">
        <f>'C4-Sources'!L62/'C4-Sources'!$B62*100</f>
        <v>12.595284194118387</v>
      </c>
      <c r="X61" s="450">
        <f>'C4-Sources'!T62/'C4-Sources'!$B62*100</f>
        <v>5.9750562680813024</v>
      </c>
      <c r="Y61" s="450">
        <f>'C4-Sources'!AB62/'C4-Sources'!$B62*100</f>
        <v>1.2933329481502835</v>
      </c>
      <c r="Z61" s="450">
        <f>'C4-Sources'!AJ62/'C4-Sources'!$B62*100</f>
        <v>0.69830653938280141</v>
      </c>
      <c r="AA61" s="450">
        <f>'C4-Sources'!AR62/'C4-Sources'!$B62*100</f>
        <v>1.6193273159148549</v>
      </c>
      <c r="AB61" s="450">
        <f>'C4-Sources'!AZ62/'C4-Sources'!$B62*100</f>
        <v>0.93751750261019862</v>
      </c>
      <c r="AC61" s="450">
        <f>'C4-Sources'!BH62/'C4-Sources'!$B62*100</f>
        <v>1.7136506743924342</v>
      </c>
      <c r="AD61" s="450">
        <f>'C4-Sources'!BP62/'C4-Sources'!$B62*100</f>
        <v>3.4464886088172388</v>
      </c>
      <c r="AF61" s="528">
        <f t="shared" si="10"/>
        <v>14.118367565625727</v>
      </c>
      <c r="AG61" s="450">
        <f>'C4-Sources'!M62/'C4-Sources'!$B62*100</f>
        <v>4.9704393732723071</v>
      </c>
      <c r="AH61" s="450">
        <f>'C4-Sources'!U62/'C4-Sources'!$B62*100</f>
        <v>4.0166921672732405</v>
      </c>
      <c r="AI61" s="450">
        <f>'C4-Sources'!AC62/'C4-Sources'!$B62*100</f>
        <v>0.96598017346122056</v>
      </c>
      <c r="AJ61" s="450">
        <f>'C4-Sources'!AK62/'C4-Sources'!$B62*100</f>
        <v>0.52527924596621356</v>
      </c>
      <c r="AK61" s="450">
        <f>'C4-Sources'!AS62/'C4-Sources'!$B62*100</f>
        <v>1.0120449835727678</v>
      </c>
      <c r="AL61" s="450">
        <f>'C4-Sources'!BA62/'C4-Sources'!$B62*100</f>
        <v>0.52060416504894613</v>
      </c>
      <c r="AM61" s="450">
        <f>'C4-Sources'!BI62/'C4-Sources'!$B62*100</f>
        <v>0.47911605551984482</v>
      </c>
      <c r="AN61" s="450">
        <f>'C4-Sources'!BQ62/'C4-Sources'!$B62*100</f>
        <v>1.6282114015111877</v>
      </c>
      <c r="AP61" s="528">
        <f t="shared" si="11"/>
        <v>10.81605610088257</v>
      </c>
      <c r="AQ61" s="450">
        <f>'C4-Sources'!N62/'C4-Sources'!$B62*100</f>
        <v>3.4260690562566269</v>
      </c>
      <c r="AR61" s="450">
        <f>'C4-Sources'!V62/'C4-Sources'!$B62*100</f>
        <v>3.3199493898586572</v>
      </c>
      <c r="AS61" s="450">
        <f>'C4-Sources'!AD62/'C4-Sources'!$B62*100</f>
        <v>0.84105303873177173</v>
      </c>
      <c r="AT61" s="450">
        <f>'C4-Sources'!AL62/'C4-Sources'!$B62*100</f>
        <v>0.45249407567793321</v>
      </c>
      <c r="AU61" s="450">
        <f>'C4-Sources'!AT62/'C4-Sources'!$B62*100</f>
        <v>0.85189080290585983</v>
      </c>
      <c r="AV61" s="450">
        <f>'C4-Sources'!BB62/'C4-Sources'!$B62*100</f>
        <v>0.42504780271622633</v>
      </c>
      <c r="AW61" s="450">
        <f>'C4-Sources'!BJ62/'C4-Sources'!$B62*100</f>
        <v>0.2955121220564077</v>
      </c>
      <c r="AX61" s="450">
        <f>'C4-Sources'!BR62/'C4-Sources'!$B62*100</f>
        <v>1.2040398126790848</v>
      </c>
      <c r="AZ61" s="528">
        <f t="shared" si="12"/>
        <v>6.0503082080433774</v>
      </c>
      <c r="BA61" s="450">
        <f>'C4-Sources'!O62/'C4-Sources'!$B62*100</f>
        <v>1.6565896113148328</v>
      </c>
      <c r="BB61" s="450">
        <f>'C4-Sources'!W62/'C4-Sources'!$B62*100</f>
        <v>1.9927847860396044</v>
      </c>
      <c r="BC61" s="450">
        <f>'C4-Sources'!AE62/'C4-Sources'!$B62*100</f>
        <v>0.60603587839824502</v>
      </c>
      <c r="BD61" s="450">
        <f>'C4-Sources'!AM62/'C4-Sources'!$B62*100</f>
        <v>0.30599659202838148</v>
      </c>
      <c r="BE61" s="450">
        <f>'C4-Sources'!AU62/'C4-Sources'!$B62*100</f>
        <v>0.58590799114994541</v>
      </c>
      <c r="BF61" s="450">
        <f>'C4-Sources'!BC62/'C4-Sources'!$B62*100</f>
        <v>0.28079672219594337</v>
      </c>
      <c r="BG61" s="450">
        <f>'C4-Sources'!BK62/'C4-Sources'!$B62*100</f>
        <v>0.1150684889684057</v>
      </c>
      <c r="BH61" s="450">
        <f>'C4-Sources'!BS62/'C4-Sources'!$B62*100</f>
        <v>0.50712813794801892</v>
      </c>
      <c r="BJ61" s="528">
        <f t="shared" si="13"/>
        <v>2.6550838240136665</v>
      </c>
      <c r="BK61" s="450">
        <f>'C4-Sources'!P62/'C4-Sources'!$B62*100</f>
        <v>0.59371294301391508</v>
      </c>
      <c r="BL61" s="450">
        <f>'C4-Sources'!X62/'C4-Sources'!$B62*100</f>
        <v>0.8568048065585504</v>
      </c>
      <c r="BM61" s="450">
        <f>'C4-Sources'!AF62/'C4-Sources'!$B62*100</f>
        <v>0.3539411647294376</v>
      </c>
      <c r="BN61" s="450">
        <f>'C4-Sources'!AN62/'C4-Sources'!$B62*100</f>
        <v>0.15522899178629451</v>
      </c>
      <c r="BO61" s="450">
        <f>'C4-Sources'!AV62/'C4-Sources'!$B62*100</f>
        <v>0.32057092990702085</v>
      </c>
      <c r="BP61" s="450">
        <f>'C4-Sources'!BD62/'C4-Sources'!$B62*100</f>
        <v>0.14809197155977752</v>
      </c>
      <c r="BQ61" s="450">
        <f>'C4-Sources'!BL62/'C4-Sources'!$B62*100</f>
        <v>3.4850867587879628E-2</v>
      </c>
      <c r="BR61" s="450">
        <f>'C4-Sources'!BT62/'C4-Sources'!$B62*100</f>
        <v>0.19188214887079072</v>
      </c>
      <c r="BS61" s="452"/>
      <c r="BT61" s="452"/>
      <c r="BU61" s="452"/>
      <c r="BV61" s="452"/>
      <c r="BW61" s="452"/>
      <c r="BX61" s="452"/>
      <c r="BY61" s="452"/>
    </row>
    <row r="62" spans="1:77" s="173" customFormat="1" ht="12" x14ac:dyDescent="0.25">
      <c r="A62" s="239"/>
      <c r="B62" s="529"/>
      <c r="C62" s="239"/>
      <c r="D62" s="239"/>
      <c r="E62" s="239"/>
      <c r="F62" s="239"/>
      <c r="G62" s="239"/>
      <c r="H62" s="239"/>
      <c r="I62" s="239"/>
      <c r="J62" s="239"/>
      <c r="K62" s="239"/>
      <c r="L62" s="239"/>
      <c r="R62" s="455"/>
      <c r="S62" s="455"/>
      <c r="T62" s="455"/>
      <c r="BL62" s="452"/>
      <c r="BM62" s="452"/>
      <c r="BN62" s="452"/>
      <c r="BP62" s="452"/>
      <c r="BQ62" s="452"/>
      <c r="BR62" s="452"/>
      <c r="BS62" s="452"/>
      <c r="BT62" s="452"/>
      <c r="BU62" s="452"/>
      <c r="BV62" s="452"/>
      <c r="BW62" s="452"/>
      <c r="BX62" s="452"/>
      <c r="BY62" s="452"/>
    </row>
    <row r="63" spans="1:77" x14ac:dyDescent="0.3">
      <c r="A63" s="246"/>
      <c r="B63" s="530"/>
      <c r="C63" s="246"/>
      <c r="D63" s="246"/>
      <c r="E63" s="246"/>
      <c r="F63" s="246"/>
      <c r="G63" s="246"/>
      <c r="H63" s="246"/>
      <c r="I63" s="246"/>
      <c r="J63" s="246"/>
      <c r="K63" s="246"/>
      <c r="L63" s="246"/>
      <c r="M63" s="11"/>
      <c r="N63" s="11"/>
      <c r="O63" s="11"/>
      <c r="P63" s="11"/>
      <c r="Q63" s="11"/>
      <c r="R63" s="191"/>
      <c r="S63" s="191"/>
      <c r="T63" s="19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c r="BG63" s="11"/>
      <c r="BH63" s="11"/>
      <c r="BI63" s="11"/>
      <c r="BJ63" s="11"/>
      <c r="BK63" s="125"/>
      <c r="BL63" s="125"/>
      <c r="BM63" s="125"/>
      <c r="BN63" s="125"/>
      <c r="BO63" s="125"/>
      <c r="BP63" s="125"/>
      <c r="BQ63" s="125"/>
      <c r="BR63" s="125"/>
      <c r="BS63" s="24"/>
      <c r="BT63" s="24"/>
      <c r="BU63" s="24"/>
      <c r="BV63" s="24"/>
      <c r="BW63" s="24"/>
      <c r="BX63" s="24"/>
      <c r="BY63" s="24"/>
    </row>
    <row r="64" spans="1:77" ht="8.25" customHeight="1" x14ac:dyDescent="0.3">
      <c r="BK64" s="24"/>
      <c r="BL64" s="24"/>
      <c r="BM64" s="24"/>
      <c r="BN64" s="24"/>
      <c r="BO64" s="24"/>
      <c r="BP64" s="24"/>
      <c r="BQ64" s="24"/>
      <c r="BR64" s="24"/>
      <c r="BS64" s="24"/>
      <c r="BT64" s="24"/>
      <c r="BU64" s="24"/>
      <c r="BV64" s="24"/>
      <c r="BW64" s="24"/>
      <c r="BX64" s="24"/>
      <c r="BY64" s="24"/>
    </row>
    <row r="65" spans="1:12" x14ac:dyDescent="0.3">
      <c r="A65" s="46" t="s">
        <v>2101</v>
      </c>
    </row>
    <row r="66" spans="1:12" x14ac:dyDescent="0.3">
      <c r="A66" s="700" t="s">
        <v>2092</v>
      </c>
      <c r="B66" s="531"/>
      <c r="C66" s="45"/>
      <c r="D66" s="45"/>
      <c r="E66" s="45"/>
      <c r="F66" s="45"/>
      <c r="G66" s="45"/>
      <c r="H66" s="45"/>
      <c r="I66" s="45"/>
      <c r="J66" s="45"/>
      <c r="K66" s="45"/>
      <c r="L66" s="45"/>
    </row>
    <row r="67" spans="1:12" x14ac:dyDescent="0.3">
      <c r="A67" s="264" t="s">
        <v>233</v>
      </c>
      <c r="B67" s="531"/>
      <c r="C67" s="45"/>
      <c r="D67" s="45"/>
      <c r="E67" s="45"/>
      <c r="F67" s="45"/>
      <c r="G67" s="45"/>
      <c r="H67" s="45"/>
      <c r="I67" s="45"/>
      <c r="J67" s="45"/>
      <c r="K67" s="45"/>
      <c r="L67" s="45"/>
    </row>
    <row r="68" spans="1:12" x14ac:dyDescent="0.3">
      <c r="B68" s="531"/>
      <c r="C68" s="45"/>
      <c r="D68" s="45"/>
      <c r="E68" s="45"/>
      <c r="F68" s="45"/>
      <c r="G68" s="45"/>
      <c r="H68" s="45"/>
      <c r="I68" s="45"/>
      <c r="J68" s="45"/>
      <c r="K68" s="45"/>
      <c r="L68" s="45"/>
    </row>
  </sheetData>
  <mergeCells count="7">
    <mergeCell ref="B3:J3"/>
    <mergeCell ref="AZ3:BH3"/>
    <mergeCell ref="AP3:AX3"/>
    <mergeCell ref="AF3:AN3"/>
    <mergeCell ref="BJ3:BR3"/>
    <mergeCell ref="L3:T3"/>
    <mergeCell ref="V3:AD3"/>
  </mergeCells>
  <hyperlinks>
    <hyperlink ref="O1" location="Index!A1" display="Index"/>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L65"/>
  <sheetViews>
    <sheetView workbookViewId="0"/>
  </sheetViews>
  <sheetFormatPr defaultColWidth="9.109375" defaultRowHeight="14.4" x14ac:dyDescent="0.3"/>
  <cols>
    <col min="1" max="1" width="13.109375" style="24" customWidth="1"/>
    <col min="2" max="2" width="9.5546875" style="24" customWidth="1"/>
    <col min="3" max="5" width="8" style="24" customWidth="1"/>
    <col min="6" max="6" width="8.5546875" style="24" customWidth="1"/>
    <col min="7" max="7" width="9.21875" style="24" customWidth="1"/>
    <col min="8" max="8" width="8.44140625" style="24" customWidth="1"/>
    <col min="9" max="9" width="2.5546875" style="24" customWidth="1"/>
    <col min="10" max="12" width="7.44140625" style="24" customWidth="1"/>
    <col min="13" max="13" width="8.44140625" style="24" customWidth="1"/>
    <col min="14" max="16" width="8" style="24" customWidth="1"/>
    <col min="17" max="17" width="1.88671875" style="24" customWidth="1"/>
    <col min="18" max="19" width="8" style="24" customWidth="1"/>
    <col min="20" max="20" width="9" style="24" customWidth="1"/>
    <col min="21" max="21" width="8.109375" style="24" customWidth="1"/>
    <col min="22" max="23" width="7.88671875" style="24" customWidth="1"/>
    <col min="24" max="24" width="8.88671875" style="24" customWidth="1"/>
    <col min="25" max="25" width="2.44140625" style="24" customWidth="1"/>
    <col min="26" max="26" width="7.88671875" style="24" customWidth="1"/>
    <col min="27" max="27" width="8.5546875" style="24" customWidth="1"/>
    <col min="28" max="31" width="8.21875" style="24" customWidth="1"/>
    <col min="32" max="32" width="9.21875" style="24" customWidth="1"/>
    <col min="33" max="33" width="2.21875" style="24" customWidth="1"/>
    <col min="34" max="34" width="8.21875" style="24" customWidth="1"/>
    <col min="35" max="35" width="8.44140625" style="24" customWidth="1"/>
    <col min="36" max="39" width="8.109375" style="24" customWidth="1"/>
    <col min="40" max="40" width="9.109375" style="24"/>
    <col min="41" max="41" width="2.5546875" style="24" customWidth="1"/>
    <col min="42" max="42" width="8.5546875" style="24" customWidth="1"/>
    <col min="43" max="48" width="9.109375" style="24"/>
    <col min="49" max="49" width="2.77734375" style="24" customWidth="1"/>
    <col min="50" max="56" width="8.21875" style="24" customWidth="1"/>
    <col min="57" max="57" width="1.88671875" style="24" customWidth="1"/>
    <col min="58" max="16384" width="9.109375" style="24"/>
  </cols>
  <sheetData>
    <row r="1" spans="1:64" ht="15.6" x14ac:dyDescent="0.3">
      <c r="A1" s="178" t="s">
        <v>2189</v>
      </c>
      <c r="L1" s="463" t="s">
        <v>504</v>
      </c>
    </row>
    <row r="2" spans="1:64" x14ac:dyDescent="0.3">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row>
    <row r="3" spans="1:64" x14ac:dyDescent="0.3">
      <c r="B3" s="1453" t="s">
        <v>2077</v>
      </c>
      <c r="C3" s="1453"/>
      <c r="D3" s="1453"/>
      <c r="E3" s="1453"/>
      <c r="F3" s="1453"/>
      <c r="G3" s="1453"/>
      <c r="H3" s="1453"/>
      <c r="J3" s="1453" t="s">
        <v>2091</v>
      </c>
      <c r="K3" s="1453"/>
      <c r="L3" s="1453"/>
      <c r="M3" s="1453"/>
      <c r="N3" s="1453"/>
      <c r="O3" s="1453"/>
      <c r="P3" s="1453"/>
      <c r="R3" s="1453" t="s">
        <v>2095</v>
      </c>
      <c r="S3" s="1453"/>
      <c r="T3" s="1453"/>
      <c r="U3" s="1453"/>
      <c r="V3" s="1453"/>
      <c r="W3" s="1453"/>
      <c r="X3" s="1453"/>
      <c r="Z3" s="1453" t="s">
        <v>2078</v>
      </c>
      <c r="AA3" s="1453"/>
      <c r="AB3" s="1453"/>
      <c r="AC3" s="1453"/>
      <c r="AD3" s="1453"/>
      <c r="AE3" s="1453"/>
      <c r="AF3" s="1453"/>
      <c r="AH3" s="1451" t="s">
        <v>2096</v>
      </c>
      <c r="AI3" s="1451"/>
      <c r="AJ3" s="1451"/>
      <c r="AK3" s="1451"/>
      <c r="AL3" s="1451"/>
      <c r="AM3" s="1451"/>
      <c r="AN3" s="1451"/>
      <c r="AO3" s="447"/>
      <c r="AP3" s="1452" t="s">
        <v>2079</v>
      </c>
      <c r="AQ3" s="1452"/>
      <c r="AR3" s="1452"/>
      <c r="AS3" s="1452"/>
      <c r="AT3" s="1452"/>
      <c r="AU3" s="1452"/>
      <c r="AV3" s="1452"/>
      <c r="AW3" s="677"/>
      <c r="AX3" s="1454" t="s">
        <v>1848</v>
      </c>
      <c r="AY3" s="1454"/>
      <c r="AZ3" s="1454"/>
      <c r="BA3" s="1454"/>
      <c r="BB3" s="1454"/>
      <c r="BC3" s="1454"/>
      <c r="BD3" s="1454"/>
      <c r="BE3" s="447"/>
      <c r="BF3" s="1452" t="s">
        <v>2087</v>
      </c>
      <c r="BG3" s="1452"/>
      <c r="BH3" s="1452"/>
      <c r="BI3" s="1452"/>
      <c r="BJ3" s="1452"/>
      <c r="BK3" s="1452"/>
      <c r="BL3" s="1452"/>
    </row>
    <row r="4" spans="1:64" x14ac:dyDescent="0.3">
      <c r="B4" s="49" t="s">
        <v>496</v>
      </c>
      <c r="C4" s="49" t="s">
        <v>24</v>
      </c>
      <c r="D4" s="49" t="s">
        <v>25</v>
      </c>
      <c r="E4" s="49" t="s">
        <v>26</v>
      </c>
      <c r="F4" s="49" t="s">
        <v>28</v>
      </c>
      <c r="G4" s="49" t="s">
        <v>27</v>
      </c>
      <c r="H4" s="49" t="s">
        <v>23</v>
      </c>
      <c r="J4" s="49" t="s">
        <v>496</v>
      </c>
      <c r="K4" s="49" t="s">
        <v>24</v>
      </c>
      <c r="L4" s="49" t="s">
        <v>25</v>
      </c>
      <c r="M4" s="49" t="s">
        <v>26</v>
      </c>
      <c r="N4" s="49" t="s">
        <v>28</v>
      </c>
      <c r="O4" s="49" t="s">
        <v>27</v>
      </c>
      <c r="P4" s="49" t="s">
        <v>23</v>
      </c>
      <c r="R4" s="49" t="s">
        <v>496</v>
      </c>
      <c r="S4" s="49" t="s">
        <v>24</v>
      </c>
      <c r="T4" s="49" t="s">
        <v>25</v>
      </c>
      <c r="U4" s="49" t="s">
        <v>26</v>
      </c>
      <c r="V4" s="49" t="s">
        <v>28</v>
      </c>
      <c r="W4" s="49" t="s">
        <v>27</v>
      </c>
      <c r="X4" s="49" t="s">
        <v>23</v>
      </c>
      <c r="Z4" s="49" t="s">
        <v>496</v>
      </c>
      <c r="AA4" s="49" t="s">
        <v>24</v>
      </c>
      <c r="AB4" s="49" t="s">
        <v>25</v>
      </c>
      <c r="AC4" s="49" t="s">
        <v>26</v>
      </c>
      <c r="AD4" s="49" t="s">
        <v>28</v>
      </c>
      <c r="AE4" s="49" t="s">
        <v>27</v>
      </c>
      <c r="AF4" s="49" t="s">
        <v>23</v>
      </c>
      <c r="AH4" s="49" t="s">
        <v>496</v>
      </c>
      <c r="AI4" s="49" t="s">
        <v>24</v>
      </c>
      <c r="AJ4" s="49" t="s">
        <v>25</v>
      </c>
      <c r="AK4" s="49" t="s">
        <v>26</v>
      </c>
      <c r="AL4" s="49" t="s">
        <v>28</v>
      </c>
      <c r="AM4" s="49" t="s">
        <v>27</v>
      </c>
      <c r="AN4" s="49" t="s">
        <v>23</v>
      </c>
      <c r="AO4" s="49"/>
      <c r="AP4" s="49" t="s">
        <v>496</v>
      </c>
      <c r="AQ4" s="49" t="s">
        <v>24</v>
      </c>
      <c r="AR4" s="49" t="s">
        <v>25</v>
      </c>
      <c r="AS4" s="49" t="s">
        <v>26</v>
      </c>
      <c r="AT4" s="49" t="s">
        <v>28</v>
      </c>
      <c r="AU4" s="49" t="s">
        <v>27</v>
      </c>
      <c r="AV4" s="49" t="s">
        <v>23</v>
      </c>
      <c r="AW4" s="49"/>
      <c r="AX4" s="49" t="s">
        <v>496</v>
      </c>
      <c r="AY4" s="49" t="s">
        <v>24</v>
      </c>
      <c r="AZ4" s="49" t="s">
        <v>25</v>
      </c>
      <c r="BA4" s="49" t="s">
        <v>26</v>
      </c>
      <c r="BB4" s="49" t="s">
        <v>28</v>
      </c>
      <c r="BC4" s="49" t="s">
        <v>27</v>
      </c>
      <c r="BD4" s="49" t="s">
        <v>23</v>
      </c>
      <c r="BE4" s="49"/>
      <c r="BF4" s="49" t="s">
        <v>496</v>
      </c>
      <c r="BG4" s="49" t="s">
        <v>24</v>
      </c>
      <c r="BH4" s="49" t="s">
        <v>25</v>
      </c>
      <c r="BI4" s="49" t="s">
        <v>26</v>
      </c>
      <c r="BJ4" s="49" t="s">
        <v>28</v>
      </c>
      <c r="BK4" s="49" t="s">
        <v>27</v>
      </c>
      <c r="BL4" s="49" t="s">
        <v>23</v>
      </c>
    </row>
    <row r="5" spans="1:64" x14ac:dyDescent="0.3">
      <c r="A5" s="446"/>
      <c r="B5" s="53" t="s">
        <v>29</v>
      </c>
      <c r="C5" s="53" t="s">
        <v>13</v>
      </c>
      <c r="D5" s="53" t="s">
        <v>14</v>
      </c>
      <c r="E5" s="53" t="s">
        <v>15</v>
      </c>
      <c r="F5" s="53" t="s">
        <v>16</v>
      </c>
      <c r="G5" s="53" t="s">
        <v>17</v>
      </c>
      <c r="H5" s="53" t="s">
        <v>18</v>
      </c>
      <c r="I5" s="125"/>
      <c r="J5" s="53" t="s">
        <v>29</v>
      </c>
      <c r="K5" s="53" t="s">
        <v>13</v>
      </c>
      <c r="L5" s="53" t="s">
        <v>14</v>
      </c>
      <c r="M5" s="53" t="s">
        <v>15</v>
      </c>
      <c r="N5" s="53" t="s">
        <v>16</v>
      </c>
      <c r="O5" s="53" t="s">
        <v>17</v>
      </c>
      <c r="P5" s="53" t="s">
        <v>18</v>
      </c>
      <c r="Q5" s="125"/>
      <c r="R5" s="53" t="s">
        <v>29</v>
      </c>
      <c r="S5" s="53" t="s">
        <v>13</v>
      </c>
      <c r="T5" s="53" t="s">
        <v>14</v>
      </c>
      <c r="U5" s="53" t="s">
        <v>15</v>
      </c>
      <c r="V5" s="53" t="s">
        <v>16</v>
      </c>
      <c r="W5" s="53" t="s">
        <v>17</v>
      </c>
      <c r="X5" s="53" t="s">
        <v>18</v>
      </c>
      <c r="Y5" s="125"/>
      <c r="Z5" s="53" t="s">
        <v>29</v>
      </c>
      <c r="AA5" s="53" t="s">
        <v>13</v>
      </c>
      <c r="AB5" s="53" t="s">
        <v>14</v>
      </c>
      <c r="AC5" s="53" t="s">
        <v>15</v>
      </c>
      <c r="AD5" s="53" t="s">
        <v>16</v>
      </c>
      <c r="AE5" s="53" t="s">
        <v>17</v>
      </c>
      <c r="AF5" s="53" t="s">
        <v>18</v>
      </c>
      <c r="AG5" s="125"/>
      <c r="AH5" s="53" t="s">
        <v>29</v>
      </c>
      <c r="AI5" s="53" t="s">
        <v>13</v>
      </c>
      <c r="AJ5" s="53" t="s">
        <v>14</v>
      </c>
      <c r="AK5" s="53" t="s">
        <v>15</v>
      </c>
      <c r="AL5" s="53" t="s">
        <v>16</v>
      </c>
      <c r="AM5" s="53" t="s">
        <v>17</v>
      </c>
      <c r="AN5" s="53" t="s">
        <v>18</v>
      </c>
      <c r="AO5" s="53"/>
      <c r="AP5" s="53" t="s">
        <v>29</v>
      </c>
      <c r="AQ5" s="53" t="s">
        <v>13</v>
      </c>
      <c r="AR5" s="53" t="s">
        <v>14</v>
      </c>
      <c r="AS5" s="53" t="s">
        <v>15</v>
      </c>
      <c r="AT5" s="53" t="s">
        <v>16</v>
      </c>
      <c r="AU5" s="53" t="s">
        <v>17</v>
      </c>
      <c r="AV5" s="53" t="s">
        <v>18</v>
      </c>
      <c r="AW5" s="53"/>
      <c r="AX5" s="53" t="s">
        <v>29</v>
      </c>
      <c r="AY5" s="53" t="s">
        <v>13</v>
      </c>
      <c r="AZ5" s="53" t="s">
        <v>14</v>
      </c>
      <c r="BA5" s="53" t="s">
        <v>15</v>
      </c>
      <c r="BB5" s="53" t="s">
        <v>16</v>
      </c>
      <c r="BC5" s="53" t="s">
        <v>17</v>
      </c>
      <c r="BD5" s="53" t="s">
        <v>18</v>
      </c>
      <c r="BE5" s="53"/>
      <c r="BF5" s="53" t="s">
        <v>29</v>
      </c>
      <c r="BG5" s="53" t="s">
        <v>13</v>
      </c>
      <c r="BH5" s="53" t="s">
        <v>14</v>
      </c>
      <c r="BI5" s="53" t="s">
        <v>15</v>
      </c>
      <c r="BJ5" s="53" t="s">
        <v>16</v>
      </c>
      <c r="BK5" s="53" t="s">
        <v>17</v>
      </c>
      <c r="BL5" s="53" t="s">
        <v>18</v>
      </c>
    </row>
    <row r="6" spans="1:64" s="452" customFormat="1" ht="12" x14ac:dyDescent="0.25">
      <c r="A6" s="239">
        <v>1960</v>
      </c>
      <c r="B6" s="456"/>
      <c r="C6" s="456"/>
      <c r="D6" s="456"/>
      <c r="E6" s="456"/>
      <c r="F6" s="456"/>
      <c r="G6" s="456"/>
      <c r="H6" s="456"/>
      <c r="I6" s="457"/>
      <c r="J6" s="457"/>
      <c r="K6" s="458"/>
      <c r="L6" s="458"/>
      <c r="M6" s="458"/>
      <c r="N6" s="458"/>
      <c r="O6" s="458"/>
      <c r="P6" s="458"/>
      <c r="Q6" s="458"/>
      <c r="R6" s="456">
        <f>100-'C6-Source Dist'!S6</f>
        <v>6.8697671210573077</v>
      </c>
      <c r="S6" s="456">
        <f>('C4-Sources'!AA7/'C4-Sources'!$Z7)*100</f>
        <v>93.130232878942692</v>
      </c>
      <c r="T6" s="456">
        <f>('C4-Sources'!AB7/'C4-Sources'!$Z7)*100</f>
        <v>86.216393502203786</v>
      </c>
      <c r="U6" s="456">
        <f>('C4-Sources'!AC7/'C4-Sources'!$Z7)*100</f>
        <v>64.585861704389174</v>
      </c>
      <c r="V6" s="456">
        <f>('C4-Sources'!AD7/'C4-Sources'!$Z7)*100</f>
        <v>53.552384743443845</v>
      </c>
      <c r="W6" s="456">
        <f>('C4-Sources'!AE7/'C4-Sources'!$Z7)*100</f>
        <v>33.420377562817116</v>
      </c>
      <c r="X6" s="456">
        <f>('C4-Sources'!AF7/'C4-Sources'!$Z7)*100</f>
        <v>14.272762018990685</v>
      </c>
      <c r="Y6" s="458"/>
      <c r="Z6" s="458"/>
      <c r="AA6" s="458"/>
      <c r="AB6" s="458"/>
      <c r="AC6" s="458"/>
      <c r="AD6" s="458"/>
      <c r="AE6" s="458"/>
      <c r="AF6" s="458"/>
      <c r="AG6" s="458"/>
      <c r="AH6" s="456">
        <f>100-'C6-Source Dist'!AI6</f>
        <v>22.620649715858576</v>
      </c>
      <c r="AI6" s="456">
        <f>('C4-Sources'!AQ7/'C4-Sources'!$AP7)*100</f>
        <v>77.379350284141424</v>
      </c>
      <c r="AJ6" s="456">
        <f>('C4-Sources'!AR7/'C4-Sources'!$AP7)*100</f>
        <v>70.824535920731563</v>
      </c>
      <c r="AK6" s="456">
        <f>('C4-Sources'!AS7/'C4-Sources'!$AP7)*100</f>
        <v>52.684197068425966</v>
      </c>
      <c r="AL6" s="456">
        <f>('C4-Sources'!AT7/'C4-Sources'!$AP7)*100</f>
        <v>44.053775408783594</v>
      </c>
      <c r="AM6" s="456">
        <f>('C4-Sources'!AU7/'C4-Sources'!$AP7)*100</f>
        <v>28.008872899922245</v>
      </c>
      <c r="AN6" s="456">
        <f>('C4-Sources'!AV7/'C4-Sources'!$AP7)*100</f>
        <v>12.556955204349649</v>
      </c>
      <c r="AO6" s="458"/>
      <c r="AP6" s="456">
        <f>100-'C6-Source Dist'!AQ6</f>
        <v>37.4</v>
      </c>
      <c r="AQ6" s="456">
        <f>('C4-Sources'!AY7/'C4-Sources'!$AX7)*100</f>
        <v>62.6</v>
      </c>
      <c r="AR6" s="456">
        <f>('C4-Sources'!AZ7/'C4-Sources'!$AX7)*100</f>
        <v>52.999999999999993</v>
      </c>
      <c r="AS6" s="456">
        <f>('C4-Sources'!BA7/'C4-Sources'!$AX7)*100</f>
        <v>33.199999999999996</v>
      </c>
      <c r="AT6" s="456">
        <f>('C4-Sources'!BB7/'C4-Sources'!$AX7)*100</f>
        <v>27.1</v>
      </c>
      <c r="AU6" s="456">
        <f>('C4-Sources'!BC7/'C4-Sources'!$AX7)*100</f>
        <v>16.3</v>
      </c>
      <c r="AV6" s="456">
        <f>('C4-Sources'!BD7/'C4-Sources'!$AX7)*100</f>
        <v>6.8000000000000007</v>
      </c>
      <c r="AW6" s="456"/>
      <c r="AX6" s="456"/>
      <c r="AY6" s="456"/>
      <c r="AZ6" s="456"/>
      <c r="BA6" s="456"/>
      <c r="BB6" s="456"/>
      <c r="BC6" s="456"/>
      <c r="BD6" s="456"/>
      <c r="BE6" s="458"/>
      <c r="BF6" s="456"/>
      <c r="BG6" s="456"/>
      <c r="BH6" s="456"/>
      <c r="BI6" s="456"/>
      <c r="BJ6" s="456"/>
      <c r="BK6" s="456"/>
      <c r="BL6" s="456"/>
    </row>
    <row r="7" spans="1:64" s="452" customFormat="1" ht="5.25" customHeight="1" x14ac:dyDescent="0.25">
      <c r="A7" s="239"/>
      <c r="C7" s="458"/>
      <c r="D7" s="458"/>
      <c r="E7" s="458"/>
      <c r="F7" s="458"/>
      <c r="G7" s="458"/>
      <c r="H7" s="458"/>
      <c r="I7" s="457"/>
      <c r="J7" s="457"/>
      <c r="K7" s="458"/>
      <c r="L7" s="458"/>
      <c r="M7" s="458"/>
      <c r="N7" s="458"/>
      <c r="O7" s="458"/>
      <c r="P7" s="458"/>
      <c r="Q7" s="458"/>
      <c r="R7" s="458"/>
      <c r="S7" s="458"/>
      <c r="T7" s="458"/>
      <c r="U7" s="458"/>
      <c r="V7" s="458"/>
      <c r="W7" s="458"/>
      <c r="X7" s="458"/>
      <c r="Y7" s="458"/>
      <c r="Z7" s="458"/>
      <c r="AA7" s="458"/>
      <c r="AB7" s="458"/>
      <c r="AC7" s="458"/>
      <c r="AD7" s="458"/>
      <c r="AE7" s="458"/>
      <c r="AF7" s="458"/>
      <c r="AG7" s="458"/>
      <c r="AH7" s="458"/>
      <c r="AI7" s="458"/>
      <c r="AJ7" s="458"/>
      <c r="AK7" s="458"/>
      <c r="AL7" s="458"/>
      <c r="AM7" s="458"/>
      <c r="AN7" s="458"/>
      <c r="AO7" s="458"/>
      <c r="AP7" s="455"/>
      <c r="AQ7" s="458"/>
      <c r="AR7" s="458"/>
      <c r="AS7" s="458"/>
      <c r="AT7" s="458"/>
      <c r="AU7" s="458"/>
      <c r="AV7" s="458"/>
      <c r="AW7" s="458"/>
      <c r="AX7" s="455"/>
      <c r="AY7" s="458"/>
      <c r="AZ7" s="458"/>
      <c r="BA7" s="458"/>
      <c r="BB7" s="458"/>
      <c r="BC7" s="458"/>
      <c r="BD7" s="458"/>
      <c r="BE7" s="458"/>
      <c r="BG7" s="458"/>
      <c r="BH7" s="458"/>
      <c r="BI7" s="458"/>
      <c r="BJ7" s="458"/>
      <c r="BK7" s="458"/>
      <c r="BL7" s="458"/>
    </row>
    <row r="8" spans="1:64" s="452" customFormat="1" ht="12" x14ac:dyDescent="0.25">
      <c r="A8" s="239">
        <v>1962</v>
      </c>
      <c r="B8" s="456">
        <f>100-C8</f>
        <v>76.22788050505342</v>
      </c>
      <c r="C8" s="456">
        <f>('C4-Sources'!K9/'C4-Sources'!$J9)*100</f>
        <v>23.772119494946576</v>
      </c>
      <c r="D8" s="456">
        <f>('C4-Sources'!L9/'C4-Sources'!$J9)*100</f>
        <v>12.998402894606063</v>
      </c>
      <c r="E8" s="456">
        <f>('C4-Sources'!M9/'C4-Sources'!$J9)*100</f>
        <v>3.2504567075857618</v>
      </c>
      <c r="F8" s="456">
        <f>('C4-Sources'!N9/'C4-Sources'!$J9)*100</f>
        <v>2.0010627880525393</v>
      </c>
      <c r="G8" s="456">
        <f>('C4-Sources'!O9/'C4-Sources'!$J9)*100</f>
        <v>0.58327931432402047</v>
      </c>
      <c r="H8" s="456">
        <f>('C4-Sources'!P9/'C4-Sources'!$J9)*100</f>
        <v>8.8958532940694224E-2</v>
      </c>
      <c r="I8" s="457"/>
      <c r="J8" s="456">
        <f>100-'C6-Source Dist'!K8</f>
        <v>57.050376360172699</v>
      </c>
      <c r="K8" s="456">
        <f>('C4-Sources'!S9/'C4-Sources'!$R9)*100</f>
        <v>42.949623639827301</v>
      </c>
      <c r="L8" s="456">
        <f>('C4-Sources'!T9/'C4-Sources'!$R9)*100</f>
        <v>33.884070212100362</v>
      </c>
      <c r="M8" s="456">
        <f>('C4-Sources'!U9/'C4-Sources'!$R9)*100</f>
        <v>15.09663005289249</v>
      </c>
      <c r="N8" s="456">
        <f>('C4-Sources'!V9/'C4-Sources'!$R9)*100</f>
        <v>9.4619417941791681</v>
      </c>
      <c r="O8" s="456">
        <f>('C4-Sources'!W9/'C4-Sources'!$R9)*100</f>
        <v>2.8197944246610667</v>
      </c>
      <c r="P8" s="456">
        <f>('C4-Sources'!X9/'C4-Sources'!$R9)*100</f>
        <v>0.60998137242173978</v>
      </c>
      <c r="Q8" s="456"/>
      <c r="R8" s="456">
        <f>100-'C6-Source Dist'!S8</f>
        <v>6.1666138707192601</v>
      </c>
      <c r="S8" s="456">
        <f>('C4-Sources'!AA9/'C4-Sources'!$Z9)*100</f>
        <v>93.83338612928074</v>
      </c>
      <c r="T8" s="456">
        <f>('C4-Sources'!AB9/'C4-Sources'!$Z9)*100</f>
        <v>86.881299299681586</v>
      </c>
      <c r="U8" s="456">
        <f>('C4-Sources'!AC9/'C4-Sources'!$Z9)*100</f>
        <v>65.602313581920541</v>
      </c>
      <c r="V8" s="456">
        <f>('C4-Sources'!AD9/'C4-Sources'!$Z9)*100</f>
        <v>55.683183726340893</v>
      </c>
      <c r="W8" s="456">
        <f>('C4-Sources'!AE9/'C4-Sources'!$Z9)*100</f>
        <v>34.495679884423005</v>
      </c>
      <c r="X8" s="456">
        <f>('C4-Sources'!AF9/'C4-Sources'!$Z9)*100</f>
        <v>14.143407702568139</v>
      </c>
      <c r="Y8" s="458"/>
      <c r="Z8" s="456">
        <f>100-'C6-Source Dist'!AA8</f>
        <v>46.311705613439159</v>
      </c>
      <c r="AA8" s="456">
        <f>('C4-Sources'!AI9/'C4-Sources'!$AH9)*100</f>
        <v>53.688294386560841</v>
      </c>
      <c r="AB8" s="456">
        <f>('C4-Sources'!AJ9/'C4-Sources'!$AH9)*100</f>
        <v>45.589832702576587</v>
      </c>
      <c r="AC8" s="456">
        <f>('C4-Sources'!AK9/'C4-Sources'!$AH9)*100</f>
        <v>28.889978584786434</v>
      </c>
      <c r="AD8" s="456">
        <f>('C4-Sources'!AL9/'C4-Sources'!$AH9)*100</f>
        <v>21.093859879579867</v>
      </c>
      <c r="AE8" s="456">
        <f>('C4-Sources'!AM9/'C4-Sources'!$AH9)*100</f>
        <v>8.782774795574662</v>
      </c>
      <c r="AF8" s="456">
        <f>('C4-Sources'!AN9/'C4-Sources'!$AH9)*100</f>
        <v>2.6460962879522572</v>
      </c>
      <c r="AG8" s="458"/>
      <c r="AH8" s="456">
        <f>100-'C6-Source Dist'!AI8</f>
        <v>21.322991763395436</v>
      </c>
      <c r="AI8" s="456">
        <f>('C4-Sources'!AQ9/'C4-Sources'!$AP9)*100</f>
        <v>78.677008236604564</v>
      </c>
      <c r="AJ8" s="456">
        <f>('C4-Sources'!AR9/'C4-Sources'!$AP9)*100</f>
        <v>72.052677438977952</v>
      </c>
      <c r="AK8" s="456">
        <f>('C4-Sources'!AS9/'C4-Sources'!$AP9)*100</f>
        <v>54.15366627233967</v>
      </c>
      <c r="AL8" s="456">
        <f>('C4-Sources'!AT9/'C4-Sources'!$AP9)*100</f>
        <v>46.122735290757454</v>
      </c>
      <c r="AM8" s="456">
        <f>('C4-Sources'!AU9/'C4-Sources'!$AP9)*100</f>
        <v>29.268551193433375</v>
      </c>
      <c r="AN8" s="456">
        <f>('C4-Sources'!AV9/'C4-Sources'!$AP9)*100</f>
        <v>12.634510009268832</v>
      </c>
      <c r="AO8" s="458"/>
      <c r="AP8" s="456">
        <f>100-'C6-Source Dist'!AQ8</f>
        <v>47.079454541552202</v>
      </c>
      <c r="AQ8" s="456">
        <f>('C4-Sources'!AY9/'C4-Sources'!$AX9)*100</f>
        <v>52.920545458447798</v>
      </c>
      <c r="AR8" s="456">
        <f>('C4-Sources'!AZ9/'C4-Sources'!$AX9)*100</f>
        <v>43.8264572029533</v>
      </c>
      <c r="AS8" s="456">
        <f>('C4-Sources'!BA9/'C4-Sources'!$AX9)*100</f>
        <v>28.771040835336535</v>
      </c>
      <c r="AT8" s="456">
        <f>('C4-Sources'!BB9/'C4-Sources'!$AX9)*100</f>
        <v>23.673932542067305</v>
      </c>
      <c r="AU8" s="456">
        <f>('C4-Sources'!BC9/'C4-Sources'!$AX9)*100</f>
        <v>14.166071896462912</v>
      </c>
      <c r="AV8" s="456">
        <f>('C4-Sources'!BD9/'C4-Sources'!$AX9)*100</f>
        <v>5.9274740728021982</v>
      </c>
      <c r="AW8" s="456"/>
      <c r="AX8" s="456">
        <f>100-'C6-Source Dist'!AY8</f>
        <v>78.143881400506771</v>
      </c>
      <c r="AY8" s="456">
        <f>('C4-Sources'!BG9/'C4-Sources'!$BF9)*100</f>
        <v>21.856118599493229</v>
      </c>
      <c r="AZ8" s="456">
        <f>('C4-Sources'!BH9/'C4-Sources'!$BF9)*100</f>
        <v>12.477505676538451</v>
      </c>
      <c r="BA8" s="456">
        <f>('C4-Sources'!BI9/'C4-Sources'!$BF9)*100</f>
        <v>3.381337054881655</v>
      </c>
      <c r="BB8" s="456">
        <f>('C4-Sources'!BJ9/'C4-Sources'!$BF9)*100</f>
        <v>2.113857070987764</v>
      </c>
      <c r="BC8" s="456">
        <f>('C4-Sources'!BK9/'C4-Sources'!$BF9)*100</f>
        <v>0.6454283642608688</v>
      </c>
      <c r="BD8" s="456">
        <f>('C4-Sources'!BL9/'C4-Sources'!$BF9)*100</f>
        <v>9.5666849775248933E-2</v>
      </c>
      <c r="BE8" s="458"/>
      <c r="BF8" s="456">
        <f>100-'C6-Source Dist'!BG8</f>
        <v>58.599860746771697</v>
      </c>
      <c r="BG8" s="456">
        <f>('C4-Sources'!BO9/'C4-Sources'!$BN9)*100</f>
        <v>41.400139253228303</v>
      </c>
      <c r="BH8" s="456">
        <f>('C4-Sources'!BP9/'C4-Sources'!$BN9)*100</f>
        <v>28.551753602833163</v>
      </c>
      <c r="BI8" s="456">
        <f>('C4-Sources'!BQ9/'C4-Sources'!$BN9)*100</f>
        <v>12.292224476326705</v>
      </c>
      <c r="BJ8" s="456">
        <f>('C4-Sources'!BR9/'C4-Sources'!$BN9)*100</f>
        <v>8.5337593200500361</v>
      </c>
      <c r="BK8" s="456">
        <f>('C4-Sources'!BS9/'C4-Sources'!$BN9)*100</f>
        <v>3.749177343091207</v>
      </c>
      <c r="BL8" s="456">
        <f>('C4-Sources'!BT9/'C4-Sources'!$BN9)*100</f>
        <v>1.3475674207877599</v>
      </c>
    </row>
    <row r="9" spans="1:64" s="452" customFormat="1" ht="5.25" customHeight="1" x14ac:dyDescent="0.25">
      <c r="A9" s="239"/>
      <c r="C9" s="458"/>
      <c r="D9" s="458"/>
      <c r="E9" s="458"/>
      <c r="F9" s="458"/>
      <c r="G9" s="458"/>
      <c r="H9" s="458"/>
      <c r="I9" s="457"/>
      <c r="J9" s="457"/>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5"/>
      <c r="AQ9" s="458"/>
      <c r="AR9" s="458"/>
      <c r="AS9" s="458"/>
      <c r="AT9" s="458"/>
      <c r="AU9" s="458"/>
      <c r="AV9" s="458"/>
      <c r="AW9" s="458"/>
      <c r="AX9" s="455"/>
      <c r="AY9" s="458"/>
      <c r="AZ9" s="458"/>
      <c r="BA9" s="458"/>
      <c r="BB9" s="458"/>
      <c r="BC9" s="458"/>
      <c r="BD9" s="458"/>
      <c r="BE9" s="458"/>
      <c r="BG9" s="458"/>
      <c r="BH9" s="458"/>
      <c r="BI9" s="458"/>
      <c r="BJ9" s="458"/>
      <c r="BK9" s="458"/>
      <c r="BL9" s="458"/>
    </row>
    <row r="10" spans="1:64" s="452" customFormat="1" ht="12" x14ac:dyDescent="0.25">
      <c r="A10" s="239">
        <v>1964</v>
      </c>
      <c r="B10" s="456">
        <f>100-C10</f>
        <v>73.83253740202116</v>
      </c>
      <c r="C10" s="456">
        <f>('C4-Sources'!K11/'C4-Sources'!$J11)*100</f>
        <v>26.16746259797884</v>
      </c>
      <c r="D10" s="456">
        <f>('C4-Sources'!L11/'C4-Sources'!$J11)*100</f>
        <v>14.656371313592469</v>
      </c>
      <c r="E10" s="456">
        <f>('C4-Sources'!M11/'C4-Sources'!$J11)*100</f>
        <v>3.4458308102362638</v>
      </c>
      <c r="F10" s="456">
        <f>('C4-Sources'!N11/'C4-Sources'!$J11)*100</f>
        <v>2.0028397427954983</v>
      </c>
      <c r="G10" s="456">
        <f>('C4-Sources'!O11/'C4-Sources'!$J11)*100</f>
        <v>0.5807220079008768</v>
      </c>
      <c r="H10" s="456">
        <f>('C4-Sources'!P11/'C4-Sources'!$J11)*100</f>
        <v>8.0328119496876751E-2</v>
      </c>
      <c r="I10" s="457"/>
      <c r="J10" s="456">
        <f>100-'C6-Source Dist'!K10</f>
        <v>64.740206916433436</v>
      </c>
      <c r="K10" s="456">
        <f>('C4-Sources'!S11/'C4-Sources'!$R11)*100</f>
        <v>35.259793083566564</v>
      </c>
      <c r="L10" s="456">
        <f>('C4-Sources'!T11/'C4-Sources'!$R11)*100</f>
        <v>30.112814569902429</v>
      </c>
      <c r="M10" s="456">
        <f>('C4-Sources'!U11/'C4-Sources'!$R11)*100</f>
        <v>17.145170176340173</v>
      </c>
      <c r="N10" s="456">
        <f>('C4-Sources'!V11/'C4-Sources'!$R11)*100</f>
        <v>10.496896798483219</v>
      </c>
      <c r="O10" s="456">
        <f>('C4-Sources'!W11/'C4-Sources'!$R11)*100</f>
        <v>2.5593203158774944</v>
      </c>
      <c r="P10" s="456">
        <f>('C4-Sources'!X11/'C4-Sources'!$R11)*100</f>
        <v>0.24634374457759575</v>
      </c>
      <c r="Q10" s="456"/>
      <c r="R10" s="456">
        <f>100-'C6-Source Dist'!S10</f>
        <v>1.8364286731275854</v>
      </c>
      <c r="S10" s="456">
        <f>('C4-Sources'!AA11/'C4-Sources'!$Z11)*100</f>
        <v>98.163571326872415</v>
      </c>
      <c r="T10" s="456">
        <f>('C4-Sources'!AB11/'C4-Sources'!$Z11)*100</f>
        <v>92.500054141067352</v>
      </c>
      <c r="U10" s="456">
        <f>('C4-Sources'!AC11/'C4-Sources'!$Z11)*100</f>
        <v>71.641044611962982</v>
      </c>
      <c r="V10" s="456">
        <f>('C4-Sources'!AD11/'C4-Sources'!$Z11)*100</f>
        <v>62.092911687977704</v>
      </c>
      <c r="W10" s="456">
        <f>('C4-Sources'!AE11/'C4-Sources'!$Z11)*100</f>
        <v>38.171773781422232</v>
      </c>
      <c r="X10" s="456">
        <f>('C4-Sources'!AF11/'C4-Sources'!$Z11)*100</f>
        <v>15.669593199228974</v>
      </c>
      <c r="Y10" s="458"/>
      <c r="Z10" s="456">
        <f>100-'C6-Source Dist'!AA10</f>
        <v>50.903381896448273</v>
      </c>
      <c r="AA10" s="456">
        <f>('C4-Sources'!AI11/'C4-Sources'!$AH11)*100</f>
        <v>49.096618103551727</v>
      </c>
      <c r="AB10" s="456">
        <f>('C4-Sources'!AJ11/'C4-Sources'!$AH11)*100</f>
        <v>41.008990067662424</v>
      </c>
      <c r="AC10" s="456">
        <f>('C4-Sources'!AK11/'C4-Sources'!$AH11)*100</f>
        <v>24.77580394811017</v>
      </c>
      <c r="AD10" s="456">
        <f>('C4-Sources'!AL11/'C4-Sources'!$AH11)*100</f>
        <v>18.58907946054406</v>
      </c>
      <c r="AE10" s="456">
        <f>('C4-Sources'!AM11/'C4-Sources'!$AH11)*100</f>
        <v>7.9236353798825307</v>
      </c>
      <c r="AF10" s="456">
        <f>('C4-Sources'!AN11/'C4-Sources'!$AH11)*100</f>
        <v>2.3632723383798862</v>
      </c>
      <c r="AG10" s="458"/>
      <c r="AH10" s="456">
        <f>100-'C6-Source Dist'!AI10</f>
        <v>19.882039031595539</v>
      </c>
      <c r="AI10" s="456">
        <f>('C4-Sources'!AQ11/'C4-Sources'!$AP11)*100</f>
        <v>80.117960968404461</v>
      </c>
      <c r="AJ10" s="456">
        <f>('C4-Sources'!AR11/'C4-Sources'!$AP11)*100</f>
        <v>74.556049301705627</v>
      </c>
      <c r="AK10" s="456">
        <f>('C4-Sources'!AS11/'C4-Sources'!$AP11)*100</f>
        <v>57.803132978087071</v>
      </c>
      <c r="AL10" s="456">
        <f>('C4-Sources'!AT11/'C4-Sources'!$AP11)*100</f>
        <v>50.107557872774692</v>
      </c>
      <c r="AM10" s="456">
        <f>('C4-Sources'!AU11/'C4-Sources'!$AP11)*100</f>
        <v>31.486329312824441</v>
      </c>
      <c r="AN10" s="456">
        <f>('C4-Sources'!AV11/'C4-Sources'!$AP11)*100</f>
        <v>13.645421665338814</v>
      </c>
      <c r="AO10" s="458"/>
      <c r="AP10" s="456">
        <f>100-'C6-Source Dist'!AQ10</f>
        <v>45.040424904978735</v>
      </c>
      <c r="AQ10" s="456">
        <f>('C4-Sources'!AY11/'C4-Sources'!$AX11)*100</f>
        <v>54.959575095021265</v>
      </c>
      <c r="AR10" s="456">
        <f>('C4-Sources'!AZ11/'C4-Sources'!$AX11)*100</f>
        <v>46.233722537914424</v>
      </c>
      <c r="AS10" s="456">
        <f>('C4-Sources'!BA11/'C4-Sources'!$AX11)*100</f>
        <v>31.19913146803146</v>
      </c>
      <c r="AT10" s="456">
        <f>('C4-Sources'!BB11/'C4-Sources'!$AX11)*100</f>
        <v>26.312315368983558</v>
      </c>
      <c r="AU10" s="456">
        <f>('C4-Sources'!BC11/'C4-Sources'!$AX11)*100</f>
        <v>15.851910217137696</v>
      </c>
      <c r="AV10" s="456">
        <f>('C4-Sources'!BD11/'C4-Sources'!$AX11)*100</f>
        <v>6.7097879313588988</v>
      </c>
      <c r="AW10" s="456"/>
      <c r="AX10" s="456">
        <f>100-'C6-Source Dist'!AY10</f>
        <v>76.051555395472633</v>
      </c>
      <c r="AY10" s="456">
        <f>('C4-Sources'!BG11/'C4-Sources'!$BF11)*100</f>
        <v>23.948444604527374</v>
      </c>
      <c r="AZ10" s="456">
        <f>('C4-Sources'!BH11/'C4-Sources'!$BF11)*100</f>
        <v>14.081680230999075</v>
      </c>
      <c r="BA10" s="456">
        <f>('C4-Sources'!BI11/'C4-Sources'!$BF11)*100</f>
        <v>3.542502102384113</v>
      </c>
      <c r="BB10" s="456">
        <f>('C4-Sources'!BJ11/'C4-Sources'!$BF11)*100</f>
        <v>2.0904159722252631</v>
      </c>
      <c r="BC10" s="456">
        <f>('C4-Sources'!BK11/'C4-Sources'!$BF11)*100</f>
        <v>0.60848514647447438</v>
      </c>
      <c r="BD10" s="456">
        <f>('C4-Sources'!BL11/'C4-Sources'!$BF11)*100</f>
        <v>9.1913751982544964E-2</v>
      </c>
      <c r="BE10" s="458"/>
      <c r="BF10" s="456">
        <f>100-'C6-Source Dist'!BG10</f>
        <v>70.354413540598614</v>
      </c>
      <c r="BG10" s="456">
        <f>('C4-Sources'!BO11/'C4-Sources'!$BN11)*100</f>
        <v>29.645586459401386</v>
      </c>
      <c r="BH10" s="456">
        <f>('C4-Sources'!BP11/'C4-Sources'!$BN11)*100</f>
        <v>19.545189256388042</v>
      </c>
      <c r="BI10" s="456">
        <f>('C4-Sources'!BQ11/'C4-Sources'!$BN11)*100</f>
        <v>8.5715427426146302</v>
      </c>
      <c r="BJ10" s="456">
        <f>('C4-Sources'!BR11/'C4-Sources'!$BN11)*100</f>
        <v>6.7745757573001439</v>
      </c>
      <c r="BK10" s="456">
        <f>('C4-Sources'!BS11/'C4-Sources'!$BN11)*100</f>
        <v>3.7605967402041189</v>
      </c>
      <c r="BL10" s="456">
        <f>('C4-Sources'!BT11/'C4-Sources'!$BN11)*100</f>
        <v>1.5924569746290276</v>
      </c>
    </row>
    <row r="11" spans="1:64" s="452" customFormat="1" ht="5.25" customHeight="1" x14ac:dyDescent="0.25">
      <c r="A11" s="239"/>
      <c r="C11" s="458"/>
      <c r="D11" s="458"/>
      <c r="E11" s="458"/>
      <c r="F11" s="458"/>
      <c r="G11" s="458"/>
      <c r="H11" s="458"/>
      <c r="I11" s="457"/>
      <c r="J11" s="457"/>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5"/>
      <c r="AQ11" s="458"/>
      <c r="AR11" s="458"/>
      <c r="AS11" s="458"/>
      <c r="AT11" s="458"/>
      <c r="AU11" s="458"/>
      <c r="AV11" s="458"/>
      <c r="AW11" s="458"/>
      <c r="AX11" s="455"/>
      <c r="AY11" s="458"/>
      <c r="AZ11" s="458"/>
      <c r="BA11" s="458"/>
      <c r="BB11" s="458"/>
      <c r="BC11" s="458"/>
      <c r="BD11" s="458"/>
      <c r="BE11" s="458"/>
      <c r="BG11" s="458"/>
      <c r="BH11" s="458"/>
      <c r="BI11" s="458"/>
      <c r="BJ11" s="458"/>
      <c r="BK11" s="458"/>
      <c r="BL11" s="458"/>
    </row>
    <row r="12" spans="1:64" s="452" customFormat="1" ht="12" x14ac:dyDescent="0.25">
      <c r="A12" s="239">
        <v>1966</v>
      </c>
      <c r="B12" s="456">
        <f>100-C12</f>
        <v>76.740880815314142</v>
      </c>
      <c r="C12" s="456">
        <f>('C4-Sources'!K13/'C4-Sources'!$J13)*100</f>
        <v>23.259119184685854</v>
      </c>
      <c r="D12" s="456">
        <f>('C4-Sources'!L13/'C4-Sources'!$J13)*100</f>
        <v>12.583942561665973</v>
      </c>
      <c r="E12" s="456">
        <f>('C4-Sources'!M13/'C4-Sources'!$J13)*100</f>
        <v>3.105209359078557</v>
      </c>
      <c r="F12" s="456">
        <f>('C4-Sources'!N13/'C4-Sources'!$J13)*100</f>
        <v>1.8082496396129935</v>
      </c>
      <c r="G12" s="456">
        <f>('C4-Sources'!O13/'C4-Sources'!$J13)*100</f>
        <v>0.51602525375664543</v>
      </c>
      <c r="H12" s="456">
        <f>('C4-Sources'!P13/'C4-Sources'!$J13)*100</f>
        <v>7.4240375376274703E-2</v>
      </c>
      <c r="I12" s="457"/>
      <c r="J12" s="456">
        <f>100-'C6-Source Dist'!K12</f>
        <v>49.683774891726571</v>
      </c>
      <c r="K12" s="456">
        <f>('C4-Sources'!S13/'C4-Sources'!$R13)*100</f>
        <v>50.316225108273429</v>
      </c>
      <c r="L12" s="456">
        <f>('C4-Sources'!T13/'C4-Sources'!$R13)*100</f>
        <v>40.655837952970693</v>
      </c>
      <c r="M12" s="456">
        <f>('C4-Sources'!U13/'C4-Sources'!$R13)*100</f>
        <v>18.968327580535664</v>
      </c>
      <c r="N12" s="456">
        <f>('C4-Sources'!V13/'C4-Sources'!$R13)*100</f>
        <v>12.092809844396687</v>
      </c>
      <c r="O12" s="456">
        <f>('C4-Sources'!W13/'C4-Sources'!$R13)*100</f>
        <v>4.2821491817640656</v>
      </c>
      <c r="P12" s="456">
        <f>('C4-Sources'!X13/'C4-Sources'!$R13)*100</f>
        <v>0.96114485556077511</v>
      </c>
      <c r="Q12" s="456"/>
      <c r="R12" s="456">
        <f>100-'C6-Source Dist'!S12</f>
        <v>12.512028175001248</v>
      </c>
      <c r="S12" s="456">
        <f>('C4-Sources'!AA13/'C4-Sources'!$Z13)*100</f>
        <v>87.487971824998752</v>
      </c>
      <c r="T12" s="456">
        <f>('C4-Sources'!AB13/'C4-Sources'!$Z13)*100</f>
        <v>81.732150578670087</v>
      </c>
      <c r="U12" s="456">
        <f>('C4-Sources'!AC13/'C4-Sources'!$Z13)*100</f>
        <v>62.239297932814608</v>
      </c>
      <c r="V12" s="456">
        <f>('C4-Sources'!AD13/'C4-Sources'!$Z13)*100</f>
        <v>52.310840595574284</v>
      </c>
      <c r="W12" s="456">
        <f>('C4-Sources'!AE13/'C4-Sources'!$Z13)*100</f>
        <v>31.662414783891002</v>
      </c>
      <c r="X12" s="456">
        <f>('C4-Sources'!AF13/'C4-Sources'!$Z13)*100</f>
        <v>12.925602230293689</v>
      </c>
      <c r="Y12" s="458"/>
      <c r="Z12" s="456">
        <f>100-'C6-Source Dist'!AA12</f>
        <v>44.650674803171299</v>
      </c>
      <c r="AA12" s="456">
        <f>('C4-Sources'!AI13/'C4-Sources'!$AH13)*100</f>
        <v>55.349325196828701</v>
      </c>
      <c r="AB12" s="456">
        <f>('C4-Sources'!AJ13/'C4-Sources'!$AH13)*100</f>
        <v>46.117967619265841</v>
      </c>
      <c r="AC12" s="456">
        <f>('C4-Sources'!AK13/'C4-Sources'!$AH13)*100</f>
        <v>26.926133446159774</v>
      </c>
      <c r="AD12" s="456">
        <f>('C4-Sources'!AL13/'C4-Sources'!$AH13)*100</f>
        <v>19.68898003325916</v>
      </c>
      <c r="AE12" s="456">
        <f>('C4-Sources'!AM13/'C4-Sources'!$AH13)*100</f>
        <v>9.0122187294582634</v>
      </c>
      <c r="AF12" s="456">
        <f>('C4-Sources'!AN13/'C4-Sources'!$AH13)*100</f>
        <v>2.6759647043380199</v>
      </c>
      <c r="AG12" s="458"/>
      <c r="AH12" s="456">
        <f>100-'C6-Source Dist'!AI12</f>
        <v>22.632115489163112</v>
      </c>
      <c r="AI12" s="456">
        <f>('C4-Sources'!AQ13/'C4-Sources'!$AP13)*100</f>
        <v>77.367884510836888</v>
      </c>
      <c r="AJ12" s="456">
        <f>('C4-Sources'!AR13/'C4-Sources'!$AP13)*100</f>
        <v>70.999062928483809</v>
      </c>
      <c r="AK12" s="456">
        <f>('C4-Sources'!AS13/'C4-Sources'!$AP13)*100</f>
        <v>53.21715578167472</v>
      </c>
      <c r="AL12" s="456">
        <f>('C4-Sources'!AT13/'C4-Sources'!$AP13)*100</f>
        <v>44.770988212936906</v>
      </c>
      <c r="AM12" s="456">
        <f>('C4-Sources'!AU13/'C4-Sources'!$AP13)*100</f>
        <v>27.714150730076252</v>
      </c>
      <c r="AN12" s="456">
        <f>('C4-Sources'!AV13/'C4-Sources'!$AP13)*100</f>
        <v>11.600447420076497</v>
      </c>
      <c r="AO12" s="458"/>
      <c r="AP12" s="456">
        <f>100-'C6-Source Dist'!AQ12</f>
        <v>48.487898392901464</v>
      </c>
      <c r="AQ12" s="456">
        <f>('C4-Sources'!AY13/'C4-Sources'!$AX13)*100</f>
        <v>51.512101607098536</v>
      </c>
      <c r="AR12" s="456">
        <f>('C4-Sources'!AZ13/'C4-Sources'!$AX13)*100</f>
        <v>42.76940549764209</v>
      </c>
      <c r="AS12" s="456">
        <f>('C4-Sources'!BA13/'C4-Sources'!$AX13)*100</f>
        <v>28.060556599032015</v>
      </c>
      <c r="AT12" s="456">
        <f>('C4-Sources'!BB13/'C4-Sources'!$AX13)*100</f>
        <v>22.919591564283941</v>
      </c>
      <c r="AU12" s="456">
        <f>('C4-Sources'!BC13/'C4-Sources'!$AX13)*100</f>
        <v>13.634840239513526</v>
      </c>
      <c r="AV12" s="456">
        <f>('C4-Sources'!BD13/'C4-Sources'!$AX13)*100</f>
        <v>5.5424551036237277</v>
      </c>
      <c r="AW12" s="456"/>
      <c r="AX12" s="456">
        <f>100-'C6-Source Dist'!AY12</f>
        <v>78.356840214113447</v>
      </c>
      <c r="AY12" s="456">
        <f>('C4-Sources'!BG13/'C4-Sources'!$BF13)*100</f>
        <v>21.643159785886557</v>
      </c>
      <c r="AZ12" s="456">
        <f>('C4-Sources'!BH13/'C4-Sources'!$BF13)*100</f>
        <v>12.237948937130588</v>
      </c>
      <c r="BA12" s="456">
        <f>('C4-Sources'!BI13/'C4-Sources'!$BF13)*100</f>
        <v>3.4092052672538617</v>
      </c>
      <c r="BB12" s="456">
        <f>('C4-Sources'!BJ13/'C4-Sources'!$BF13)*100</f>
        <v>2.0507045702489948</v>
      </c>
      <c r="BC12" s="456">
        <f>('C4-Sources'!BK13/'C4-Sources'!$BF13)*100</f>
        <v>0.60335512169233207</v>
      </c>
      <c r="BD12" s="456">
        <f>('C4-Sources'!BL13/'C4-Sources'!$BF13)*100</f>
        <v>8.7568175461155973E-2</v>
      </c>
      <c r="BE12" s="458"/>
      <c r="BF12" s="456">
        <f>100-'C6-Source Dist'!BG12</f>
        <v>66.532433015010085</v>
      </c>
      <c r="BG12" s="456">
        <f>('C4-Sources'!BO13/'C4-Sources'!$BN13)*100</f>
        <v>33.467566984989915</v>
      </c>
      <c r="BH12" s="456">
        <f>('C4-Sources'!BP13/'C4-Sources'!$BN13)*100</f>
        <v>22.398258052425355</v>
      </c>
      <c r="BI12" s="456">
        <f>('C4-Sources'!BQ13/'C4-Sources'!$BN13)*100</f>
        <v>9.6118378823640942</v>
      </c>
      <c r="BJ12" s="456">
        <f>('C4-Sources'!BR13/'C4-Sources'!$BN13)*100</f>
        <v>6.6769764873100419</v>
      </c>
      <c r="BK12" s="456">
        <f>('C4-Sources'!BS13/'C4-Sources'!$BN13)*100</f>
        <v>3.3309970607402173</v>
      </c>
      <c r="BL12" s="456">
        <f>('C4-Sources'!BT13/'C4-Sources'!$BN13)*100</f>
        <v>1.3285619291538677</v>
      </c>
    </row>
    <row r="13" spans="1:64" s="452" customFormat="1" ht="12" x14ac:dyDescent="0.25">
      <c r="A13" s="239">
        <v>1967</v>
      </c>
      <c r="B13" s="456">
        <f t="shared" ref="B13:B59" si="0">100-C13</f>
        <v>76.747637905858653</v>
      </c>
      <c r="C13" s="456">
        <f>('C4-Sources'!K14/'C4-Sources'!$J14)*100</f>
        <v>23.25236209414135</v>
      </c>
      <c r="D13" s="456">
        <f>('C4-Sources'!L14/'C4-Sources'!$J14)*100</f>
        <v>12.743031384207587</v>
      </c>
      <c r="E13" s="456">
        <f>('C4-Sources'!M14/'C4-Sources'!$J14)*100</f>
        <v>3.0929126969677472</v>
      </c>
      <c r="F13" s="456">
        <f>('C4-Sources'!N14/'C4-Sources'!$J14)*100</f>
        <v>1.8032765128163035</v>
      </c>
      <c r="G13" s="456">
        <f>('C4-Sources'!O14/'C4-Sources'!$J14)*100</f>
        <v>0.49105388424240271</v>
      </c>
      <c r="H13" s="456">
        <f>('C4-Sources'!P14/'C4-Sources'!$J14)*100</f>
        <v>7.536687593477262E-2</v>
      </c>
      <c r="I13" s="457"/>
      <c r="J13" s="456">
        <f>100-'C6-Source Dist'!K13</f>
        <v>49.722206547977443</v>
      </c>
      <c r="K13" s="456">
        <f>('C4-Sources'!S14/'C4-Sources'!$R14)*100</f>
        <v>50.277793452022557</v>
      </c>
      <c r="L13" s="456">
        <f>('C4-Sources'!T14/'C4-Sources'!$R14)*100</f>
        <v>40.320269899328522</v>
      </c>
      <c r="M13" s="456">
        <f>('C4-Sources'!U14/'C4-Sources'!$R14)*100</f>
        <v>18.897575697558107</v>
      </c>
      <c r="N13" s="456">
        <f>('C4-Sources'!V14/'C4-Sources'!$R14)*100</f>
        <v>12.006873992901831</v>
      </c>
      <c r="O13" s="456">
        <f>('C4-Sources'!W14/'C4-Sources'!$R14)*100</f>
        <v>4.2218219005088509</v>
      </c>
      <c r="P13" s="456">
        <f>('C4-Sources'!X14/'C4-Sources'!$R14)*100</f>
        <v>1.00708704243942</v>
      </c>
      <c r="Q13" s="456"/>
      <c r="R13" s="456">
        <f>100-'C6-Source Dist'!S13</f>
        <v>12.590190399969387</v>
      </c>
      <c r="S13" s="456">
        <f>('C4-Sources'!AA14/'C4-Sources'!$Z14)*100</f>
        <v>87.409809600030613</v>
      </c>
      <c r="T13" s="456">
        <f>('C4-Sources'!AB14/'C4-Sources'!$Z14)*100</f>
        <v>81.436804128853993</v>
      </c>
      <c r="U13" s="456">
        <f>('C4-Sources'!AC14/'C4-Sources'!$Z14)*100</f>
        <v>62.925149883110819</v>
      </c>
      <c r="V13" s="456">
        <f>('C4-Sources'!AD14/'C4-Sources'!$Z14)*100</f>
        <v>53.250385081580241</v>
      </c>
      <c r="W13" s="456">
        <f>('C4-Sources'!AE14/'C4-Sources'!$Z14)*100</f>
        <v>32.148028585637149</v>
      </c>
      <c r="X13" s="456">
        <f>('C4-Sources'!AF14/'C4-Sources'!$Z14)*100</f>
        <v>12.807944065671242</v>
      </c>
      <c r="Y13" s="458"/>
      <c r="Z13" s="456">
        <f>100-'C6-Source Dist'!AA13</f>
        <v>47.208658910922296</v>
      </c>
      <c r="AA13" s="456">
        <f>('C4-Sources'!AI14/'C4-Sources'!$AH14)*100</f>
        <v>52.791341089077704</v>
      </c>
      <c r="AB13" s="456">
        <f>('C4-Sources'!AJ14/'C4-Sources'!$AH14)*100</f>
        <v>43.165378747854518</v>
      </c>
      <c r="AC13" s="456">
        <f>('C4-Sources'!AK14/'C4-Sources'!$AH14)*100</f>
        <v>26.073866994552315</v>
      </c>
      <c r="AD13" s="456">
        <f>('C4-Sources'!AL14/'C4-Sources'!$AH14)*100</f>
        <v>19.288537411446342</v>
      </c>
      <c r="AE13" s="456">
        <f>('C4-Sources'!AM14/'C4-Sources'!$AH14)*100</f>
        <v>8.7428660733224124</v>
      </c>
      <c r="AF13" s="456">
        <f>('C4-Sources'!AN14/'C4-Sources'!$AH14)*100</f>
        <v>2.6214958755230673</v>
      </c>
      <c r="AG13" s="458"/>
      <c r="AH13" s="456">
        <f>100-'C6-Source Dist'!AI13</f>
        <v>22.512487492713589</v>
      </c>
      <c r="AI13" s="456">
        <f>('C4-Sources'!AQ14/'C4-Sources'!$AP14)*100</f>
        <v>77.487512507286411</v>
      </c>
      <c r="AJ13" s="456">
        <f>('C4-Sources'!AR14/'C4-Sources'!$AP14)*100</f>
        <v>70.837581189649484</v>
      </c>
      <c r="AK13" s="456">
        <f>('C4-Sources'!AS14/'C4-Sources'!$AP14)*100</f>
        <v>53.040385102770102</v>
      </c>
      <c r="AL13" s="456">
        <f>('C4-Sources'!AT14/'C4-Sources'!$AP14)*100</f>
        <v>44.940997566971639</v>
      </c>
      <c r="AM13" s="456">
        <f>('C4-Sources'!AU14/'C4-Sources'!$AP14)*100</f>
        <v>27.266634690929365</v>
      </c>
      <c r="AN13" s="456">
        <f>('C4-Sources'!AV14/'C4-Sources'!$AP14)*100</f>
        <v>11.186643216666244</v>
      </c>
      <c r="AO13" s="458"/>
      <c r="AP13" s="456">
        <f>100-'C6-Source Dist'!AQ13</f>
        <v>47.476891068662887</v>
      </c>
      <c r="AQ13" s="456">
        <f>('C4-Sources'!AY14/'C4-Sources'!$AX14)*100</f>
        <v>52.523108931337113</v>
      </c>
      <c r="AR13" s="456">
        <f>('C4-Sources'!AZ14/'C4-Sources'!$AX14)*100</f>
        <v>43.82191171915332</v>
      </c>
      <c r="AS13" s="456">
        <f>('C4-Sources'!BA14/'C4-Sources'!$AX14)*100</f>
        <v>29.239104927077953</v>
      </c>
      <c r="AT13" s="456">
        <f>('C4-Sources'!BB14/'C4-Sources'!$AX14)*100</f>
        <v>24.15550448825503</v>
      </c>
      <c r="AU13" s="456">
        <f>('C4-Sources'!BC14/'C4-Sources'!$AX14)*100</f>
        <v>14.150103133066597</v>
      </c>
      <c r="AV13" s="456">
        <f>('C4-Sources'!BD14/'C4-Sources'!$AX14)*100</f>
        <v>5.6703344024264322</v>
      </c>
      <c r="AW13" s="456"/>
      <c r="AX13" s="456">
        <f>100-'C6-Source Dist'!AY13</f>
        <v>78.229764036260065</v>
      </c>
      <c r="AY13" s="456">
        <f>('C4-Sources'!BG14/'C4-Sources'!$BF14)*100</f>
        <v>21.770235963739928</v>
      </c>
      <c r="AZ13" s="456">
        <f>('C4-Sources'!BH14/'C4-Sources'!$BF14)*100</f>
        <v>12.39349133997484</v>
      </c>
      <c r="BA13" s="456">
        <f>('C4-Sources'!BI14/'C4-Sources'!$BF14)*100</f>
        <v>3.5014106604618336</v>
      </c>
      <c r="BB13" s="456">
        <f>('C4-Sources'!BJ14/'C4-Sources'!$BF14)*100</f>
        <v>2.0568353032841498</v>
      </c>
      <c r="BC13" s="456">
        <f>('C4-Sources'!BK14/'C4-Sources'!$BF14)*100</f>
        <v>0.65168642497399709</v>
      </c>
      <c r="BD13" s="456">
        <f>('C4-Sources'!BL14/'C4-Sources'!$BF14)*100</f>
        <v>8.8936748592456177E-2</v>
      </c>
      <c r="BE13" s="458"/>
      <c r="BF13" s="456">
        <f>100-'C6-Source Dist'!BG13</f>
        <v>63.029451544496659</v>
      </c>
      <c r="BG13" s="456">
        <f>('C4-Sources'!BO14/'C4-Sources'!$BN14)*100</f>
        <v>36.970548455503341</v>
      </c>
      <c r="BH13" s="456">
        <f>('C4-Sources'!BP14/'C4-Sources'!$BN14)*100</f>
        <v>25.222366711649475</v>
      </c>
      <c r="BI13" s="456">
        <f>('C4-Sources'!BQ14/'C4-Sources'!$BN14)*100</f>
        <v>10.803512680995093</v>
      </c>
      <c r="BJ13" s="456">
        <f>('C4-Sources'!BR14/'C4-Sources'!$BN14)*100</f>
        <v>7.6205271235371104</v>
      </c>
      <c r="BK13" s="456">
        <f>('C4-Sources'!BS14/'C4-Sources'!$BN14)*100</f>
        <v>3.7091832688345336</v>
      </c>
      <c r="BL13" s="456">
        <f>('C4-Sources'!BT14/'C4-Sources'!$BN14)*100</f>
        <v>1.4277038772293211</v>
      </c>
    </row>
    <row r="14" spans="1:64" s="452" customFormat="1" ht="12" x14ac:dyDescent="0.25">
      <c r="A14" s="239">
        <v>1968</v>
      </c>
      <c r="B14" s="456">
        <f t="shared" si="0"/>
        <v>76.979870257029873</v>
      </c>
      <c r="C14" s="456">
        <f>('C4-Sources'!K15/'C4-Sources'!$J15)*100</f>
        <v>23.020129742970123</v>
      </c>
      <c r="D14" s="456">
        <f>('C4-Sources'!L15/'C4-Sources'!$J15)*100</f>
        <v>12.570420555234257</v>
      </c>
      <c r="E14" s="456">
        <f>('C4-Sources'!M15/'C4-Sources'!$J15)*100</f>
        <v>2.992866088946244</v>
      </c>
      <c r="F14" s="456">
        <f>('C4-Sources'!N15/'C4-Sources'!$J15)*100</f>
        <v>1.7700878627436543</v>
      </c>
      <c r="G14" s="456">
        <f>('C4-Sources'!O15/'C4-Sources'!$J15)*100</f>
        <v>0.48341428358050481</v>
      </c>
      <c r="H14" s="456">
        <f>('C4-Sources'!P15/'C4-Sources'!$J15)*100</f>
        <v>7.8580227906699163E-2</v>
      </c>
      <c r="I14" s="457"/>
      <c r="J14" s="456">
        <f>100-'C6-Source Dist'!K14</f>
        <v>48.521187661116436</v>
      </c>
      <c r="K14" s="456">
        <f>('C4-Sources'!S15/'C4-Sources'!$R15)*100</f>
        <v>51.478812338883564</v>
      </c>
      <c r="L14" s="456">
        <f>('C4-Sources'!T15/'C4-Sources'!$R15)*100</f>
        <v>41.504082250922814</v>
      </c>
      <c r="M14" s="456">
        <f>('C4-Sources'!U15/'C4-Sources'!$R15)*100</f>
        <v>20.473239567120565</v>
      </c>
      <c r="N14" s="456">
        <f>('C4-Sources'!V15/'C4-Sources'!$R15)*100</f>
        <v>13.267232294754812</v>
      </c>
      <c r="O14" s="456">
        <f>('C4-Sources'!W15/'C4-Sources'!$R15)*100</f>
        <v>4.5369874379196107</v>
      </c>
      <c r="P14" s="456">
        <f>('C4-Sources'!X15/'C4-Sources'!$R15)*100</f>
        <v>1.2109952142459197</v>
      </c>
      <c r="Q14" s="456"/>
      <c r="R14" s="456">
        <f>100-'C6-Source Dist'!S14</f>
        <v>12.775043249010892</v>
      </c>
      <c r="S14" s="456">
        <f>('C4-Sources'!AA15/'C4-Sources'!$Z15)*100</f>
        <v>87.224956750989108</v>
      </c>
      <c r="T14" s="456">
        <f>('C4-Sources'!AB15/'C4-Sources'!$Z15)*100</f>
        <v>81.055762605246912</v>
      </c>
      <c r="U14" s="456">
        <f>('C4-Sources'!AC15/'C4-Sources'!$Z15)*100</f>
        <v>61.628556993033676</v>
      </c>
      <c r="V14" s="456">
        <f>('C4-Sources'!AD15/'C4-Sources'!$Z15)*100</f>
        <v>52.353140233172745</v>
      </c>
      <c r="W14" s="456">
        <f>('C4-Sources'!AE15/'C4-Sources'!$Z15)*100</f>
        <v>32.666515383007578</v>
      </c>
      <c r="X14" s="456">
        <f>('C4-Sources'!AF15/'C4-Sources'!$Z15)*100</f>
        <v>12.121129091723406</v>
      </c>
      <c r="Y14" s="458"/>
      <c r="Z14" s="456">
        <f>100-'C6-Source Dist'!AA14</f>
        <v>47.13650972249679</v>
      </c>
      <c r="AA14" s="456">
        <f>('C4-Sources'!AI15/'C4-Sources'!$AH15)*100</f>
        <v>52.86349027750321</v>
      </c>
      <c r="AB14" s="456">
        <f>('C4-Sources'!AJ15/'C4-Sources'!$AH15)*100</f>
        <v>43.899153682855392</v>
      </c>
      <c r="AC14" s="456">
        <f>('C4-Sources'!AK15/'C4-Sources'!$AH15)*100</f>
        <v>25.810791143861</v>
      </c>
      <c r="AD14" s="456">
        <f>('C4-Sources'!AL15/'C4-Sources'!$AH15)*100</f>
        <v>19.075700754312638</v>
      </c>
      <c r="AE14" s="456">
        <f>('C4-Sources'!AM15/'C4-Sources'!$AH15)*100</f>
        <v>8.6676628402588936</v>
      </c>
      <c r="AF14" s="456">
        <f>('C4-Sources'!AN15/'C4-Sources'!$AH15)*100</f>
        <v>2.7447698999157373</v>
      </c>
      <c r="AG14" s="458"/>
      <c r="AH14" s="456">
        <f>100-'C6-Source Dist'!AI14</f>
        <v>22.582995930955832</v>
      </c>
      <c r="AI14" s="456">
        <f>('C4-Sources'!AQ15/'C4-Sources'!$AP15)*100</f>
        <v>77.417004069044168</v>
      </c>
      <c r="AJ14" s="456">
        <f>('C4-Sources'!AR15/'C4-Sources'!$AP15)*100</f>
        <v>70.6113670692515</v>
      </c>
      <c r="AK14" s="456">
        <f>('C4-Sources'!AS15/'C4-Sources'!$AP15)*100</f>
        <v>52.533876010781668</v>
      </c>
      <c r="AL14" s="456">
        <f>('C4-Sources'!AT15/'C4-Sources'!$AP15)*100</f>
        <v>44.577696506323868</v>
      </c>
      <c r="AM14" s="456">
        <f>('C4-Sources'!AU15/'C4-Sources'!$AP15)*100</f>
        <v>27.778381971801778</v>
      </c>
      <c r="AN14" s="456">
        <f>('C4-Sources'!AV15/'C4-Sources'!$AP15)*100</f>
        <v>10.904630694070082</v>
      </c>
      <c r="AO14" s="458"/>
      <c r="AP14" s="456">
        <f>100-'C6-Source Dist'!AQ14</f>
        <v>46.674606285652779</v>
      </c>
      <c r="AQ14" s="456">
        <f>('C4-Sources'!AY15/'C4-Sources'!$AX15)*100</f>
        <v>53.325393714347221</v>
      </c>
      <c r="AR14" s="456">
        <f>('C4-Sources'!AZ15/'C4-Sources'!$AX15)*100</f>
        <v>44.739246555806695</v>
      </c>
      <c r="AS14" s="456">
        <f>('C4-Sources'!BA15/'C4-Sources'!$AX15)*100</f>
        <v>29.852226940049508</v>
      </c>
      <c r="AT14" s="456">
        <f>('C4-Sources'!BB15/'C4-Sources'!$AX15)*100</f>
        <v>24.766765173285975</v>
      </c>
      <c r="AU14" s="456">
        <f>('C4-Sources'!BC15/'C4-Sources'!$AX15)*100</f>
        <v>14.929392274782046</v>
      </c>
      <c r="AV14" s="456">
        <f>('C4-Sources'!BD15/'C4-Sources'!$AX15)*100</f>
        <v>5.7686457593369918</v>
      </c>
      <c r="AW14" s="456"/>
      <c r="AX14" s="456">
        <f>100-'C6-Source Dist'!AY14</f>
        <v>78.651748270165882</v>
      </c>
      <c r="AY14" s="456">
        <f>('C4-Sources'!BG15/'C4-Sources'!$BF15)*100</f>
        <v>21.348251729834114</v>
      </c>
      <c r="AZ14" s="456">
        <f>('C4-Sources'!BH15/'C4-Sources'!$BF15)*100</f>
        <v>12.467689182018145</v>
      </c>
      <c r="BA14" s="456">
        <f>('C4-Sources'!BI15/'C4-Sources'!$BF15)*100</f>
        <v>3.1919137161537923</v>
      </c>
      <c r="BB14" s="456">
        <f>('C4-Sources'!BJ15/'C4-Sources'!$BF15)*100</f>
        <v>1.9480500102014762</v>
      </c>
      <c r="BC14" s="456">
        <f>('C4-Sources'!BK15/'C4-Sources'!$BF15)*100</f>
        <v>0.59200915695591472</v>
      </c>
      <c r="BD14" s="456">
        <f>('C4-Sources'!BL15/'C4-Sources'!$BF15)*100</f>
        <v>9.4236673330909626E-2</v>
      </c>
      <c r="BE14" s="458"/>
      <c r="BF14" s="456">
        <f>100-'C6-Source Dist'!BG14</f>
        <v>63.126737327006296</v>
      </c>
      <c r="BG14" s="456">
        <f>('C4-Sources'!BO15/'C4-Sources'!$BN15)*100</f>
        <v>36.873262672993704</v>
      </c>
      <c r="BH14" s="456">
        <f>('C4-Sources'!BP15/'C4-Sources'!$BN15)*100</f>
        <v>25.340927445134348</v>
      </c>
      <c r="BI14" s="456">
        <f>('C4-Sources'!BQ15/'C4-Sources'!$BN15)*100</f>
        <v>11.450772251911582</v>
      </c>
      <c r="BJ14" s="456">
        <f>('C4-Sources'!BR15/'C4-Sources'!$BN15)*100</f>
        <v>8.2663021158422829</v>
      </c>
      <c r="BK14" s="456">
        <f>('C4-Sources'!BS15/'C4-Sources'!$BN15)*100</f>
        <v>4.1541410747947891</v>
      </c>
      <c r="BL14" s="456">
        <f>('C4-Sources'!BT15/'C4-Sources'!$BN15)*100</f>
        <v>1.5961274034155573</v>
      </c>
    </row>
    <row r="15" spans="1:64" s="452" customFormat="1" ht="12" x14ac:dyDescent="0.25">
      <c r="A15" s="239">
        <v>1969</v>
      </c>
      <c r="B15" s="456">
        <f t="shared" si="0"/>
        <v>76.77945319710085</v>
      </c>
      <c r="C15" s="456">
        <f>('C4-Sources'!K16/'C4-Sources'!$J16)*100</f>
        <v>23.220546802899158</v>
      </c>
      <c r="D15" s="456">
        <f>('C4-Sources'!L16/'C4-Sources'!$J16)*100</f>
        <v>12.626090416664052</v>
      </c>
      <c r="E15" s="456">
        <f>('C4-Sources'!M16/'C4-Sources'!$J16)*100</f>
        <v>3.0989098772992341</v>
      </c>
      <c r="F15" s="456">
        <f>('C4-Sources'!N16/'C4-Sources'!$J16)*100</f>
        <v>1.8130394776606891</v>
      </c>
      <c r="G15" s="456">
        <f>('C4-Sources'!O16/'C4-Sources'!$J16)*100</f>
        <v>0.5328812902423361</v>
      </c>
      <c r="H15" s="456">
        <f>('C4-Sources'!P16/'C4-Sources'!$J16)*100</f>
        <v>9.0230026655458137E-2</v>
      </c>
      <c r="I15" s="457"/>
      <c r="J15" s="456">
        <f>100-'C6-Source Dist'!K15</f>
        <v>49.278647692431058</v>
      </c>
      <c r="K15" s="456">
        <f>('C4-Sources'!S16/'C4-Sources'!$R16)*100</f>
        <v>50.721352307568942</v>
      </c>
      <c r="L15" s="456">
        <f>('C4-Sources'!T16/'C4-Sources'!$R16)*100</f>
        <v>40.670216406099719</v>
      </c>
      <c r="M15" s="456">
        <f>('C4-Sources'!U16/'C4-Sources'!$R16)*100</f>
        <v>19.841632277736114</v>
      </c>
      <c r="N15" s="456">
        <f>('C4-Sources'!V16/'C4-Sources'!$R16)*100</f>
        <v>12.862195060496706</v>
      </c>
      <c r="O15" s="456">
        <f>('C4-Sources'!W16/'C4-Sources'!$R16)*100</f>
        <v>4.4149143314234855</v>
      </c>
      <c r="P15" s="456">
        <f>('C4-Sources'!X16/'C4-Sources'!$R16)*100</f>
        <v>1.1321898954028213</v>
      </c>
      <c r="Q15" s="456"/>
      <c r="R15" s="456">
        <f>100-'C6-Source Dist'!S15</f>
        <v>15.867191802733743</v>
      </c>
      <c r="S15" s="456">
        <f>('C4-Sources'!AA16/'C4-Sources'!$Z16)*100</f>
        <v>84.132808197266257</v>
      </c>
      <c r="T15" s="456">
        <f>('C4-Sources'!AB16/'C4-Sources'!$Z16)*100</f>
        <v>78.71052367356468</v>
      </c>
      <c r="U15" s="456">
        <f>('C4-Sources'!AC16/'C4-Sources'!$Z16)*100</f>
        <v>58.023315778277073</v>
      </c>
      <c r="V15" s="456">
        <f>('C4-Sources'!AD16/'C4-Sources'!$Z16)*100</f>
        <v>49.02099274123551</v>
      </c>
      <c r="W15" s="456">
        <f>('C4-Sources'!AE16/'C4-Sources'!$Z16)*100</f>
        <v>29.272990957052293</v>
      </c>
      <c r="X15" s="456">
        <f>('C4-Sources'!AF16/'C4-Sources'!$Z16)*100</f>
        <v>11.794108025667761</v>
      </c>
      <c r="Y15" s="458"/>
      <c r="Z15" s="456">
        <f>100-'C6-Source Dist'!AA15</f>
        <v>49.793472004529505</v>
      </c>
      <c r="AA15" s="456">
        <f>('C4-Sources'!AI16/'C4-Sources'!$AH16)*100</f>
        <v>50.206527995470495</v>
      </c>
      <c r="AB15" s="456">
        <f>('C4-Sources'!AJ16/'C4-Sources'!$AH16)*100</f>
        <v>41.349724071574137</v>
      </c>
      <c r="AC15" s="456">
        <f>('C4-Sources'!AK16/'C4-Sources'!$AH16)*100</f>
        <v>24.746963708032276</v>
      </c>
      <c r="AD15" s="456">
        <f>('C4-Sources'!AL16/'C4-Sources'!$AH16)*100</f>
        <v>18.567922683869607</v>
      </c>
      <c r="AE15" s="456">
        <f>('C4-Sources'!AM16/'C4-Sources'!$AH16)*100</f>
        <v>8.7111567280736875</v>
      </c>
      <c r="AF15" s="456">
        <f>('C4-Sources'!AN16/'C4-Sources'!$AH16)*100</f>
        <v>2.8150527016322426</v>
      </c>
      <c r="AG15" s="458"/>
      <c r="AH15" s="456">
        <f>100-'C6-Source Dist'!AI15</f>
        <v>26.470525146198838</v>
      </c>
      <c r="AI15" s="456">
        <f>('C4-Sources'!AQ16/'C4-Sources'!$AP16)*100</f>
        <v>73.529474853801162</v>
      </c>
      <c r="AJ15" s="456">
        <f>('C4-Sources'!AR16/'C4-Sources'!$AP16)*100</f>
        <v>67.38105625730995</v>
      </c>
      <c r="AK15" s="456">
        <f>('C4-Sources'!AS16/'C4-Sources'!$AP16)*100</f>
        <v>49.238189005847957</v>
      </c>
      <c r="AL15" s="456">
        <f>('C4-Sources'!AT16/'C4-Sources'!$AP16)*100</f>
        <v>41.868346345029238</v>
      </c>
      <c r="AM15" s="456">
        <f>('C4-Sources'!AU16/'C4-Sources'!$AP16)*100</f>
        <v>26.001771043859652</v>
      </c>
      <c r="AN15" s="456">
        <f>('C4-Sources'!AV16/'C4-Sources'!$AP16)*100</f>
        <v>11.24448483625731</v>
      </c>
      <c r="AO15" s="458"/>
      <c r="AP15" s="456">
        <f>100-'C6-Source Dist'!AQ15</f>
        <v>50.772455084149584</v>
      </c>
      <c r="AQ15" s="456">
        <f>('C4-Sources'!AY16/'C4-Sources'!$AX16)*100</f>
        <v>49.227544915850416</v>
      </c>
      <c r="AR15" s="456">
        <f>('C4-Sources'!AZ16/'C4-Sources'!$AX16)*100</f>
        <v>40.760679473997513</v>
      </c>
      <c r="AS15" s="456">
        <f>('C4-Sources'!BA16/'C4-Sources'!$AX16)*100</f>
        <v>26.236442748525352</v>
      </c>
      <c r="AT15" s="456">
        <f>('C4-Sources'!BB16/'C4-Sources'!$AX16)*100</f>
        <v>21.671274435846094</v>
      </c>
      <c r="AU15" s="456">
        <f>('C4-Sources'!BC16/'C4-Sources'!$AX16)*100</f>
        <v>12.913599296498726</v>
      </c>
      <c r="AV15" s="456">
        <f>('C4-Sources'!BD16/'C4-Sources'!$AX16)*100</f>
        <v>5.4418830699713183</v>
      </c>
      <c r="AW15" s="456"/>
      <c r="AX15" s="456">
        <f>100-'C6-Source Dist'!AY15</f>
        <v>77.927099986176387</v>
      </c>
      <c r="AY15" s="456">
        <f>('C4-Sources'!BG16/'C4-Sources'!$BF16)*100</f>
        <v>22.07290001382362</v>
      </c>
      <c r="AZ15" s="456">
        <f>('C4-Sources'!BH16/'C4-Sources'!$BF16)*100</f>
        <v>12.993080143936494</v>
      </c>
      <c r="BA15" s="456">
        <f>('C4-Sources'!BI16/'C4-Sources'!$BF16)*100</f>
        <v>4.1436579596952408</v>
      </c>
      <c r="BB15" s="456">
        <f>('C4-Sources'!BJ16/'C4-Sources'!$BF16)*100</f>
        <v>2.8585893164543288</v>
      </c>
      <c r="BC15" s="456">
        <f>('C4-Sources'!BK16/'C4-Sources'!$BF16)*100</f>
        <v>1.1664516424228013</v>
      </c>
      <c r="BD15" s="456">
        <f>('C4-Sources'!BL16/'C4-Sources'!$BF16)*100</f>
        <v>0.28503335463597984</v>
      </c>
      <c r="BE15" s="458"/>
      <c r="BF15" s="456">
        <f>100-'C6-Source Dist'!BG15</f>
        <v>63.489678956631643</v>
      </c>
      <c r="BG15" s="456">
        <f>('C4-Sources'!BO16/'C4-Sources'!$BN16)*100</f>
        <v>36.510321043368357</v>
      </c>
      <c r="BH15" s="456">
        <f>('C4-Sources'!BP16/'C4-Sources'!$BN16)*100</f>
        <v>24.890982605612351</v>
      </c>
      <c r="BI15" s="456">
        <f>('C4-Sources'!BQ16/'C4-Sources'!$BN16)*100</f>
        <v>10.606032709735471</v>
      </c>
      <c r="BJ15" s="456">
        <f>('C4-Sources'!BR16/'C4-Sources'!$BN16)*100</f>
        <v>7.4586448898916062</v>
      </c>
      <c r="BK15" s="456">
        <f>('C4-Sources'!BS16/'C4-Sources'!$BN16)*100</f>
        <v>3.5206080676430802</v>
      </c>
      <c r="BL15" s="456">
        <f>('C4-Sources'!BT16/'C4-Sources'!$BN16)*100</f>
        <v>1.4402933297740315</v>
      </c>
    </row>
    <row r="16" spans="1:64" s="452" customFormat="1" ht="12" x14ac:dyDescent="0.25">
      <c r="A16" s="239">
        <v>1970</v>
      </c>
      <c r="B16" s="456">
        <f t="shared" si="0"/>
        <v>76.565353290964993</v>
      </c>
      <c r="C16" s="456">
        <f>('C4-Sources'!K17/'C4-Sources'!$J17)*100</f>
        <v>23.434646709035007</v>
      </c>
      <c r="D16" s="456">
        <f>('C4-Sources'!L17/'C4-Sources'!$J17)*100</f>
        <v>12.892806903271639</v>
      </c>
      <c r="E16" s="456">
        <f>('C4-Sources'!M17/'C4-Sources'!$J17)*100</f>
        <v>3.0119874046432074</v>
      </c>
      <c r="F16" s="456">
        <f>('C4-Sources'!N17/'C4-Sources'!$J17)*100</f>
        <v>1.696377397517236</v>
      </c>
      <c r="G16" s="456">
        <f>('C4-Sources'!O17/'C4-Sources'!$J17)*100</f>
        <v>0.47778485719122915</v>
      </c>
      <c r="H16" s="456">
        <f>('C4-Sources'!P17/'C4-Sources'!$J17)*100</f>
        <v>6.8237129146318687E-2</v>
      </c>
      <c r="I16" s="457"/>
      <c r="J16" s="456">
        <f>100-'C6-Source Dist'!K16</f>
        <v>49.018603080112463</v>
      </c>
      <c r="K16" s="456">
        <f>('C4-Sources'!S17/'C4-Sources'!$R17)*100</f>
        <v>50.981396919887537</v>
      </c>
      <c r="L16" s="456">
        <f>('C4-Sources'!T17/'C4-Sources'!$R17)*100</f>
        <v>41.408970296151161</v>
      </c>
      <c r="M16" s="456">
        <f>('C4-Sources'!U17/'C4-Sources'!$R17)*100</f>
        <v>21.12276780518151</v>
      </c>
      <c r="N16" s="456">
        <f>('C4-Sources'!V17/'C4-Sources'!$R17)*100</f>
        <v>13.987493714884843</v>
      </c>
      <c r="O16" s="456">
        <f>('C4-Sources'!W17/'C4-Sources'!$R17)*100</f>
        <v>5.0248093622783108</v>
      </c>
      <c r="P16" s="456">
        <f>('C4-Sources'!X17/'C4-Sources'!$R17)*100</f>
        <v>1.2576012774837875</v>
      </c>
      <c r="Q16" s="456"/>
      <c r="R16" s="456">
        <f>100-'C6-Source Dist'!S16</f>
        <v>17.691858539538487</v>
      </c>
      <c r="S16" s="456">
        <f>('C4-Sources'!AA17/'C4-Sources'!$Z17)*100</f>
        <v>82.308141460461513</v>
      </c>
      <c r="T16" s="456">
        <f>('C4-Sources'!AB17/'C4-Sources'!$Z17)*100</f>
        <v>75.287657627403888</v>
      </c>
      <c r="U16" s="456">
        <f>('C4-Sources'!AC17/'C4-Sources'!$Z17)*100</f>
        <v>56.767561909898411</v>
      </c>
      <c r="V16" s="456">
        <f>('C4-Sources'!AD17/'C4-Sources'!$Z17)*100</f>
        <v>48.23164254618289</v>
      </c>
      <c r="W16" s="456">
        <f>('C4-Sources'!AE17/'C4-Sources'!$Z17)*100</f>
        <v>29.574892237125106</v>
      </c>
      <c r="X16" s="456">
        <f>('C4-Sources'!AF17/'C4-Sources'!$Z17)*100</f>
        <v>12.210810841976297</v>
      </c>
      <c r="Y16" s="458"/>
      <c r="Z16" s="456">
        <f>100-'C6-Source Dist'!AA16</f>
        <v>50.145598884974326</v>
      </c>
      <c r="AA16" s="456">
        <f>('C4-Sources'!AI17/'C4-Sources'!$AH17)*100</f>
        <v>49.854401115025674</v>
      </c>
      <c r="AB16" s="456">
        <f>('C4-Sources'!AJ17/'C4-Sources'!$AH17)*100</f>
        <v>41.180849712623349</v>
      </c>
      <c r="AC16" s="456">
        <f>('C4-Sources'!AK17/'C4-Sources'!$AH17)*100</f>
        <v>24.476884292796932</v>
      </c>
      <c r="AD16" s="456">
        <f>('C4-Sources'!AL17/'C4-Sources'!$AH17)*100</f>
        <v>18.743839123130233</v>
      </c>
      <c r="AE16" s="456">
        <f>('C4-Sources'!AM17/'C4-Sources'!$AH17)*100</f>
        <v>8.9244503498603187</v>
      </c>
      <c r="AF16" s="456">
        <f>('C4-Sources'!AN17/'C4-Sources'!$AH17)*100</f>
        <v>2.8049814019646879</v>
      </c>
      <c r="AG16" s="458"/>
      <c r="AH16" s="456">
        <f>100-'C6-Source Dist'!AI16</f>
        <v>29.57682483443709</v>
      </c>
      <c r="AI16" s="456">
        <f>('C4-Sources'!AQ17/'C4-Sources'!$AP17)*100</f>
        <v>70.42317516556291</v>
      </c>
      <c r="AJ16" s="456">
        <f>('C4-Sources'!AR17/'C4-Sources'!$AP17)*100</f>
        <v>63.056351618837368</v>
      </c>
      <c r="AK16" s="456">
        <f>('C4-Sources'!AS17/'C4-Sources'!$AP17)*100</f>
        <v>46.338801434878583</v>
      </c>
      <c r="AL16" s="456">
        <f>('C4-Sources'!AT17/'C4-Sources'!$AP17)*100</f>
        <v>39.39339841795438</v>
      </c>
      <c r="AM16" s="456">
        <f>('C4-Sources'!AU17/'C4-Sources'!$AP17)*100</f>
        <v>24.743041762325237</v>
      </c>
      <c r="AN16" s="456">
        <f>('C4-Sources'!AV17/'C4-Sources'!$AP17)*100</f>
        <v>10.552660069904341</v>
      </c>
      <c r="AO16" s="458"/>
      <c r="AP16" s="456">
        <f>100-'C6-Source Dist'!AQ16</f>
        <v>52.602715030547294</v>
      </c>
      <c r="AQ16" s="456">
        <f>('C4-Sources'!AY17/'C4-Sources'!$AX17)*100</f>
        <v>47.397284969452706</v>
      </c>
      <c r="AR16" s="456">
        <f>('C4-Sources'!AZ17/'C4-Sources'!$AX17)*100</f>
        <v>38.383986917442343</v>
      </c>
      <c r="AS16" s="456">
        <f>('C4-Sources'!BA17/'C4-Sources'!$AX17)*100</f>
        <v>24.420148226337844</v>
      </c>
      <c r="AT16" s="456">
        <f>('C4-Sources'!BB17/'C4-Sources'!$AX17)*100</f>
        <v>20.150629811598375</v>
      </c>
      <c r="AU16" s="456">
        <f>('C4-Sources'!BC17/'C4-Sources'!$AX17)*100</f>
        <v>12.09961098423056</v>
      </c>
      <c r="AV16" s="456">
        <f>('C4-Sources'!BD17/'C4-Sources'!$AX17)*100</f>
        <v>5.0049677574129161</v>
      </c>
      <c r="AW16" s="456"/>
      <c r="AX16" s="456">
        <f>100-'C6-Source Dist'!AY16</f>
        <v>78.399715432386813</v>
      </c>
      <c r="AY16" s="456">
        <f>('C4-Sources'!BG17/'C4-Sources'!$BF17)*100</f>
        <v>21.600284567613194</v>
      </c>
      <c r="AZ16" s="456">
        <f>('C4-Sources'!BH17/'C4-Sources'!$BF17)*100</f>
        <v>12.613836520328691</v>
      </c>
      <c r="BA16" s="456">
        <f>('C4-Sources'!BI17/'C4-Sources'!$BF17)*100</f>
        <v>3.3784657864498588</v>
      </c>
      <c r="BB16" s="456">
        <f>('C4-Sources'!BJ17/'C4-Sources'!$BF17)*100</f>
        <v>2.0416912133140768</v>
      </c>
      <c r="BC16" s="456">
        <f>('C4-Sources'!BK17/'C4-Sources'!$BF17)*100</f>
        <v>0.58672016431150043</v>
      </c>
      <c r="BD16" s="456">
        <f>('C4-Sources'!BL17/'C4-Sources'!$BF17)*100</f>
        <v>9.0719276760992257E-2</v>
      </c>
      <c r="BE16" s="458"/>
      <c r="BF16" s="456">
        <f>100-'C6-Source Dist'!BG16</f>
        <v>63.119117678462125</v>
      </c>
      <c r="BG16" s="456">
        <f>('C4-Sources'!BO17/'C4-Sources'!$BN17)*100</f>
        <v>36.880882321537875</v>
      </c>
      <c r="BH16" s="456">
        <f>('C4-Sources'!BP17/'C4-Sources'!$BN17)*100</f>
        <v>25.004386071097429</v>
      </c>
      <c r="BI16" s="456">
        <f>('C4-Sources'!BQ17/'C4-Sources'!$BN17)*100</f>
        <v>10.89548223233286</v>
      </c>
      <c r="BJ16" s="456">
        <f>('C4-Sources'!BR17/'C4-Sources'!$BN17)*100</f>
        <v>7.6608461251367483</v>
      </c>
      <c r="BK16" s="456">
        <f>('C4-Sources'!BS17/'C4-Sources'!$BN17)*100</f>
        <v>3.5554806625056128</v>
      </c>
      <c r="BL16" s="456">
        <f>('C4-Sources'!BT17/'C4-Sources'!$BN17)*100</f>
        <v>1.3756451400547567</v>
      </c>
    </row>
    <row r="17" spans="1:64" s="452" customFormat="1" ht="12" x14ac:dyDescent="0.25">
      <c r="A17" s="239">
        <v>1971</v>
      </c>
      <c r="B17" s="456">
        <f t="shared" si="0"/>
        <v>76.433775408104935</v>
      </c>
      <c r="C17" s="456">
        <f>('C4-Sources'!K18/'C4-Sources'!$J18)*100</f>
        <v>23.566224591895057</v>
      </c>
      <c r="D17" s="456">
        <f>('C4-Sources'!L18/'C4-Sources'!$J18)*100</f>
        <v>12.854651564734255</v>
      </c>
      <c r="E17" s="456">
        <f>('C4-Sources'!M18/'C4-Sources'!$J18)*100</f>
        <v>3.003715382145729</v>
      </c>
      <c r="F17" s="456">
        <f>('C4-Sources'!N18/'C4-Sources'!$J18)*100</f>
        <v>1.6537753778260136</v>
      </c>
      <c r="G17" s="456">
        <f>('C4-Sources'!O18/'C4-Sources'!$J18)*100</f>
        <v>0.43735350097688303</v>
      </c>
      <c r="H17" s="456">
        <f>('C4-Sources'!P18/'C4-Sources'!$J18)*100</f>
        <v>6.0461804603302992E-2</v>
      </c>
      <c r="I17" s="457"/>
      <c r="J17" s="456">
        <f>100-'C6-Source Dist'!K17</f>
        <v>48.754808770732637</v>
      </c>
      <c r="K17" s="456">
        <f>('C4-Sources'!S18/'C4-Sources'!$R18)*100</f>
        <v>51.245191229267363</v>
      </c>
      <c r="L17" s="456">
        <f>('C4-Sources'!T18/'C4-Sources'!$R18)*100</f>
        <v>41.756939650223742</v>
      </c>
      <c r="M17" s="456">
        <f>('C4-Sources'!U18/'C4-Sources'!$R18)*100</f>
        <v>20.962129447602535</v>
      </c>
      <c r="N17" s="456">
        <f>('C4-Sources'!V18/'C4-Sources'!$R18)*100</f>
        <v>14.399001586378601</v>
      </c>
      <c r="O17" s="456">
        <f>('C4-Sources'!W18/'C4-Sources'!$R18)*100</f>
        <v>5.4340773956823094</v>
      </c>
      <c r="P17" s="456">
        <f>('C4-Sources'!X18/'C4-Sources'!$R18)*100</f>
        <v>1.4537903583355225</v>
      </c>
      <c r="Q17" s="456"/>
      <c r="R17" s="456">
        <f>100-'C6-Source Dist'!S17</f>
        <v>15.960935393353509</v>
      </c>
      <c r="S17" s="456">
        <f>('C4-Sources'!AA18/'C4-Sources'!$Z18)*100</f>
        <v>84.039064606646491</v>
      </c>
      <c r="T17" s="456">
        <f>('C4-Sources'!AB18/'C4-Sources'!$Z18)*100</f>
        <v>76.690437417948772</v>
      </c>
      <c r="U17" s="456">
        <f>('C4-Sources'!AC18/'C4-Sources'!$Z18)*100</f>
        <v>57.309599625777651</v>
      </c>
      <c r="V17" s="456">
        <f>('C4-Sources'!AD18/'C4-Sources'!$Z18)*100</f>
        <v>48.182979659967742</v>
      </c>
      <c r="W17" s="456">
        <f>('C4-Sources'!AE18/'C4-Sources'!$Z18)*100</f>
        <v>30.07914531584127</v>
      </c>
      <c r="X17" s="456">
        <f>('C4-Sources'!AF18/'C4-Sources'!$Z18)*100</f>
        <v>12.025546711723447</v>
      </c>
      <c r="Y17" s="458"/>
      <c r="Z17" s="456">
        <f>100-'C6-Source Dist'!AA17</f>
        <v>47.245004440063653</v>
      </c>
      <c r="AA17" s="456">
        <f>('C4-Sources'!AI18/'C4-Sources'!$AH18)*100</f>
        <v>52.754995559936347</v>
      </c>
      <c r="AB17" s="456">
        <f>('C4-Sources'!AJ18/'C4-Sources'!$AH18)*100</f>
        <v>43.109688180342495</v>
      </c>
      <c r="AC17" s="456">
        <f>('C4-Sources'!AK18/'C4-Sources'!$AH18)*100</f>
        <v>25.236574321352123</v>
      </c>
      <c r="AD17" s="456">
        <f>('C4-Sources'!AL18/'C4-Sources'!$AH18)*100</f>
        <v>18.900782890200695</v>
      </c>
      <c r="AE17" s="456">
        <f>('C4-Sources'!AM18/'C4-Sources'!$AH18)*100</f>
        <v>8.9725277476793632</v>
      </c>
      <c r="AF17" s="456">
        <f>('C4-Sources'!AN18/'C4-Sources'!$AH18)*100</f>
        <v>2.7700784582363132</v>
      </c>
      <c r="AG17" s="458"/>
      <c r="AH17" s="456">
        <f>100-'C6-Source Dist'!AI17</f>
        <v>28.391605847016422</v>
      </c>
      <c r="AI17" s="456">
        <f>('C4-Sources'!AQ18/'C4-Sources'!$AP18)*100</f>
        <v>71.608394152983578</v>
      </c>
      <c r="AJ17" s="456">
        <f>('C4-Sources'!AR18/'C4-Sources'!$AP18)*100</f>
        <v>63.755927246028563</v>
      </c>
      <c r="AK17" s="456">
        <f>('C4-Sources'!AS18/'C4-Sources'!$AP18)*100</f>
        <v>46.180301908957418</v>
      </c>
      <c r="AL17" s="456">
        <f>('C4-Sources'!AT18/'C4-Sources'!$AP18)*100</f>
        <v>38.776597650513949</v>
      </c>
      <c r="AM17" s="456">
        <f>('C4-Sources'!AU18/'C4-Sources'!$AP18)*100</f>
        <v>24.473516969696966</v>
      </c>
      <c r="AN17" s="456">
        <f>('C4-Sources'!AV18/'C4-Sources'!$AP18)*100</f>
        <v>10.229101783473501</v>
      </c>
      <c r="AO17" s="458"/>
      <c r="AP17" s="456">
        <f>100-'C6-Source Dist'!AQ17</f>
        <v>50.859679384049656</v>
      </c>
      <c r="AQ17" s="456">
        <f>('C4-Sources'!AY18/'C4-Sources'!$AX18)*100</f>
        <v>49.140320615950344</v>
      </c>
      <c r="AR17" s="456">
        <f>('C4-Sources'!AZ18/'C4-Sources'!$AX18)*100</f>
        <v>39.748467909675931</v>
      </c>
      <c r="AS17" s="456">
        <f>('C4-Sources'!BA18/'C4-Sources'!$AX18)*100</f>
        <v>25.190741545047114</v>
      </c>
      <c r="AT17" s="456">
        <f>('C4-Sources'!BB18/'C4-Sources'!$AX18)*100</f>
        <v>20.530870644679382</v>
      </c>
      <c r="AU17" s="456">
        <f>('C4-Sources'!BC18/'C4-Sources'!$AX18)*100</f>
        <v>12.41858152148931</v>
      </c>
      <c r="AV17" s="456">
        <f>('C4-Sources'!BD18/'C4-Sources'!$AX18)*100</f>
        <v>5.0536550132153515</v>
      </c>
      <c r="AW17" s="456"/>
      <c r="AX17" s="456">
        <f>100-'C6-Source Dist'!AY17</f>
        <v>78.481674385599206</v>
      </c>
      <c r="AY17" s="456">
        <f>('C4-Sources'!BG18/'C4-Sources'!$BF18)*100</f>
        <v>21.518325614400801</v>
      </c>
      <c r="AZ17" s="456">
        <f>('C4-Sources'!BH18/'C4-Sources'!$BF18)*100</f>
        <v>12.41497763081745</v>
      </c>
      <c r="BA17" s="456">
        <f>('C4-Sources'!BI18/'C4-Sources'!$BF18)*100</f>
        <v>3.2696019858402483</v>
      </c>
      <c r="BB17" s="456">
        <f>('C4-Sources'!BJ18/'C4-Sources'!$BF18)*100</f>
        <v>1.9390184443624854</v>
      </c>
      <c r="BC17" s="456">
        <f>('C4-Sources'!BK18/'C4-Sources'!$BF18)*100</f>
        <v>0.57112011088986803</v>
      </c>
      <c r="BD17" s="456">
        <f>('C4-Sources'!BL18/'C4-Sources'!$BF18)*100</f>
        <v>8.1406837125899384E-2</v>
      </c>
      <c r="BE17" s="458"/>
      <c r="BF17" s="456">
        <f>100-'C6-Source Dist'!BG17</f>
        <v>62.970424570073391</v>
      </c>
      <c r="BG17" s="456">
        <f>('C4-Sources'!BO18/'C4-Sources'!$BN18)*100</f>
        <v>37.029575429926609</v>
      </c>
      <c r="BH17" s="456">
        <f>('C4-Sources'!BP18/'C4-Sources'!$BN18)*100</f>
        <v>24.902334483354565</v>
      </c>
      <c r="BI17" s="456">
        <f>('C4-Sources'!BQ18/'C4-Sources'!$BN18)*100</f>
        <v>10.747156389155121</v>
      </c>
      <c r="BJ17" s="456">
        <f>('C4-Sources'!BR18/'C4-Sources'!$BN18)*100</f>
        <v>7.8528776595711332</v>
      </c>
      <c r="BK17" s="456">
        <f>('C4-Sources'!BS18/'C4-Sources'!$BN18)*100</f>
        <v>3.540938163129749</v>
      </c>
      <c r="BL17" s="456">
        <f>('C4-Sources'!BT18/'C4-Sources'!$BN18)*100</f>
        <v>1.3872085858089451</v>
      </c>
    </row>
    <row r="18" spans="1:64" s="452" customFormat="1" ht="12" x14ac:dyDescent="0.25">
      <c r="A18" s="239">
        <v>1972</v>
      </c>
      <c r="B18" s="456">
        <f t="shared" si="0"/>
        <v>76.806460433363469</v>
      </c>
      <c r="C18" s="456">
        <f>('C4-Sources'!K19/'C4-Sources'!$J19)*100</f>
        <v>23.193539566636538</v>
      </c>
      <c r="D18" s="456">
        <f>('C4-Sources'!L19/'C4-Sources'!$J19)*100</f>
        <v>12.57696014504207</v>
      </c>
      <c r="E18" s="456">
        <f>('C4-Sources'!M19/'C4-Sources'!$J19)*100</f>
        <v>2.9572520283379129</v>
      </c>
      <c r="F18" s="456">
        <f>('C4-Sources'!N19/'C4-Sources'!$J19)*100</f>
        <v>1.6550079957407826</v>
      </c>
      <c r="G18" s="456">
        <f>('C4-Sources'!O19/'C4-Sources'!$J19)*100</f>
        <v>0.44331692872047451</v>
      </c>
      <c r="H18" s="456">
        <f>('C4-Sources'!P19/'C4-Sources'!$J19)*100</f>
        <v>7.0422020546238973E-2</v>
      </c>
      <c r="I18" s="457"/>
      <c r="J18" s="456">
        <f>100-'C6-Source Dist'!K18</f>
        <v>48.753219935090655</v>
      </c>
      <c r="K18" s="456">
        <f>('C4-Sources'!S19/'C4-Sources'!$R19)*100</f>
        <v>51.246780064909345</v>
      </c>
      <c r="L18" s="456">
        <f>('C4-Sources'!T19/'C4-Sources'!$R19)*100</f>
        <v>40.911081699759428</v>
      </c>
      <c r="M18" s="456">
        <f>('C4-Sources'!U19/'C4-Sources'!$R19)*100</f>
        <v>20.104964296680958</v>
      </c>
      <c r="N18" s="456">
        <f>('C4-Sources'!V19/'C4-Sources'!$R19)*100</f>
        <v>13.60377597803345</v>
      </c>
      <c r="O18" s="456">
        <f>('C4-Sources'!W19/'C4-Sources'!$R19)*100</f>
        <v>5.2708028226967913</v>
      </c>
      <c r="P18" s="456">
        <f>('C4-Sources'!X19/'C4-Sources'!$R19)*100</f>
        <v>1.5238020756883022</v>
      </c>
      <c r="Q18" s="456"/>
      <c r="R18" s="456">
        <f>100-'C6-Source Dist'!S18</f>
        <v>16.413181870940676</v>
      </c>
      <c r="S18" s="456">
        <f>('C4-Sources'!AA19/'C4-Sources'!$Z19)*100</f>
        <v>83.586818129059324</v>
      </c>
      <c r="T18" s="456">
        <f>('C4-Sources'!AB19/'C4-Sources'!$Z19)*100</f>
        <v>77.055956061052285</v>
      </c>
      <c r="U18" s="456">
        <f>('C4-Sources'!AC19/'C4-Sources'!$Z19)*100</f>
        <v>56.655655792478498</v>
      </c>
      <c r="V18" s="456">
        <f>('C4-Sources'!AD19/'C4-Sources'!$Z19)*100</f>
        <v>47.683323057928433</v>
      </c>
      <c r="W18" s="456">
        <f>('C4-Sources'!AE19/'C4-Sources'!$Z19)*100</f>
        <v>28.935910596057141</v>
      </c>
      <c r="X18" s="456">
        <f>('C4-Sources'!AF19/'C4-Sources'!$Z19)*100</f>
        <v>11.423728327442291</v>
      </c>
      <c r="Y18" s="458"/>
      <c r="Z18" s="456">
        <f>100-'C6-Source Dist'!AA18</f>
        <v>47.718243244359179</v>
      </c>
      <c r="AA18" s="456">
        <f>('C4-Sources'!AI19/'C4-Sources'!$AH19)*100</f>
        <v>52.281756755640821</v>
      </c>
      <c r="AB18" s="456">
        <f>('C4-Sources'!AJ19/'C4-Sources'!$AH19)*100</f>
        <v>43.016350531179455</v>
      </c>
      <c r="AC18" s="456">
        <f>('C4-Sources'!AK19/'C4-Sources'!$AH19)*100</f>
        <v>24.351780455877943</v>
      </c>
      <c r="AD18" s="456">
        <f>('C4-Sources'!AL19/'C4-Sources'!$AH19)*100</f>
        <v>18.230411632843797</v>
      </c>
      <c r="AE18" s="456">
        <f>('C4-Sources'!AM19/'C4-Sources'!$AH19)*100</f>
        <v>8.6640820190577479</v>
      </c>
      <c r="AF18" s="456">
        <f>('C4-Sources'!AN19/'C4-Sources'!$AH19)*100</f>
        <v>2.6498661656349372</v>
      </c>
      <c r="AG18" s="458"/>
      <c r="AH18" s="456">
        <f>100-'C6-Source Dist'!AI18</f>
        <v>29.32349545123347</v>
      </c>
      <c r="AI18" s="456">
        <f>('C4-Sources'!AQ19/'C4-Sources'!$AP19)*100</f>
        <v>70.67650454876653</v>
      </c>
      <c r="AJ18" s="456">
        <f>('C4-Sources'!AR19/'C4-Sources'!$AP19)*100</f>
        <v>63.371847860934729</v>
      </c>
      <c r="AK18" s="456">
        <f>('C4-Sources'!AS19/'C4-Sources'!$AP19)*100</f>
        <v>45.309799396273554</v>
      </c>
      <c r="AL18" s="456">
        <f>('C4-Sources'!AT19/'C4-Sources'!$AP19)*100</f>
        <v>38.001060726553554</v>
      </c>
      <c r="AM18" s="456">
        <f>('C4-Sources'!AU19/'C4-Sources'!$AP19)*100</f>
        <v>23.358720079108984</v>
      </c>
      <c r="AN18" s="456">
        <f>('C4-Sources'!AV19/'C4-Sources'!$AP19)*100</f>
        <v>9.6126234578952854</v>
      </c>
      <c r="AO18" s="458"/>
      <c r="AP18" s="456">
        <f>100-'C6-Source Dist'!AQ18</f>
        <v>50.705654998721563</v>
      </c>
      <c r="AQ18" s="456">
        <f>('C4-Sources'!AY19/'C4-Sources'!$AX19)*100</f>
        <v>49.294345001278437</v>
      </c>
      <c r="AR18" s="456">
        <f>('C4-Sources'!AZ19/'C4-Sources'!$AX19)*100</f>
        <v>40.334501457427763</v>
      </c>
      <c r="AS18" s="456">
        <f>('C4-Sources'!BA19/'C4-Sources'!$AX19)*100</f>
        <v>25.513379192022494</v>
      </c>
      <c r="AT18" s="456">
        <f>('C4-Sources'!BB19/'C4-Sources'!$AX19)*100</f>
        <v>20.84761951419074</v>
      </c>
      <c r="AU18" s="456">
        <f>('C4-Sources'!BC19/'C4-Sources'!$AX19)*100</f>
        <v>12.362518995141906</v>
      </c>
      <c r="AV18" s="456">
        <f>('C4-Sources'!BD19/'C4-Sources'!$AX19)*100</f>
        <v>4.9732093173101495</v>
      </c>
      <c r="AW18" s="456"/>
      <c r="AX18" s="456">
        <f>100-'C6-Source Dist'!AY18</f>
        <v>77.912048864208998</v>
      </c>
      <c r="AY18" s="456">
        <f>('C4-Sources'!BG19/'C4-Sources'!$BF19)*100</f>
        <v>22.087951135790998</v>
      </c>
      <c r="AZ18" s="456">
        <f>('C4-Sources'!BH19/'C4-Sources'!$BF19)*100</f>
        <v>12.526712621909155</v>
      </c>
      <c r="BA18" s="456">
        <f>('C4-Sources'!BI19/'C4-Sources'!$BF19)*100</f>
        <v>3.2445947148321141</v>
      </c>
      <c r="BB18" s="456">
        <f>('C4-Sources'!BJ19/'C4-Sources'!$BF19)*100</f>
        <v>1.9373098760503464</v>
      </c>
      <c r="BC18" s="456">
        <f>('C4-Sources'!BK19/'C4-Sources'!$BF19)*100</f>
        <v>0.56033366057551082</v>
      </c>
      <c r="BD18" s="456">
        <f>('C4-Sources'!BL19/'C4-Sources'!$BF19)*100</f>
        <v>9.3242821796564318E-2</v>
      </c>
      <c r="BE18" s="458"/>
      <c r="BF18" s="456">
        <f>100-'C6-Source Dist'!BG18</f>
        <v>63.995165876413971</v>
      </c>
      <c r="BG18" s="456">
        <f>('C4-Sources'!BO19/'C4-Sources'!$BN19)*100</f>
        <v>36.004834123586029</v>
      </c>
      <c r="BH18" s="456">
        <f>('C4-Sources'!BP19/'C4-Sources'!$BN19)*100</f>
        <v>24.450457632765044</v>
      </c>
      <c r="BI18" s="456">
        <f>('C4-Sources'!BQ19/'C4-Sources'!$BN19)*100</f>
        <v>11.164514103755296</v>
      </c>
      <c r="BJ18" s="456">
        <f>('C4-Sources'!BR19/'C4-Sources'!$BN19)*100</f>
        <v>7.9516538408839237</v>
      </c>
      <c r="BK18" s="456">
        <f>('C4-Sources'!BS19/'C4-Sources'!$BN19)*100</f>
        <v>3.5252008971736601</v>
      </c>
      <c r="BL18" s="456">
        <f>('C4-Sources'!BT19/'C4-Sources'!$BN19)*100</f>
        <v>1.2583699768754462</v>
      </c>
    </row>
    <row r="19" spans="1:64" s="452" customFormat="1" ht="12" x14ac:dyDescent="0.25">
      <c r="A19" s="239">
        <v>1973</v>
      </c>
      <c r="B19" s="456">
        <f t="shared" si="0"/>
        <v>77.118815574864357</v>
      </c>
      <c r="C19" s="456">
        <f>('C4-Sources'!K20/'C4-Sources'!$J20)*100</f>
        <v>22.88118442513565</v>
      </c>
      <c r="D19" s="456">
        <f>('C4-Sources'!L20/'C4-Sources'!$J20)*100</f>
        <v>12.245417124438093</v>
      </c>
      <c r="E19" s="456">
        <f>('C4-Sources'!M20/'C4-Sources'!$J20)*100</f>
        <v>2.8962565925879376</v>
      </c>
      <c r="F19" s="456">
        <f>('C4-Sources'!N20/'C4-Sources'!$J20)*100</f>
        <v>1.6371412197908097</v>
      </c>
      <c r="G19" s="456">
        <f>('C4-Sources'!O20/'C4-Sources'!$J20)*100</f>
        <v>0.4478317301338659</v>
      </c>
      <c r="H19" s="456">
        <f>('C4-Sources'!P20/'C4-Sources'!$J20)*100</f>
        <v>6.5094080914530422E-2</v>
      </c>
      <c r="I19" s="457"/>
      <c r="J19" s="456">
        <f>100-'C6-Source Dist'!K19</f>
        <v>48.440721698328318</v>
      </c>
      <c r="K19" s="456">
        <f>('C4-Sources'!S20/'C4-Sources'!$R20)*100</f>
        <v>51.559278301671682</v>
      </c>
      <c r="L19" s="456">
        <f>('C4-Sources'!T20/'C4-Sources'!$R20)*100</f>
        <v>41.256156470806467</v>
      </c>
      <c r="M19" s="456">
        <f>('C4-Sources'!U20/'C4-Sources'!$R20)*100</f>
        <v>19.74126410740995</v>
      </c>
      <c r="N19" s="456">
        <f>('C4-Sources'!V20/'C4-Sources'!$R20)*100</f>
        <v>13.331220317302853</v>
      </c>
      <c r="O19" s="456">
        <f>('C4-Sources'!W20/'C4-Sources'!$R20)*100</f>
        <v>5.3043110884770606</v>
      </c>
      <c r="P19" s="456">
        <f>('C4-Sources'!X20/'C4-Sources'!$R20)*100</f>
        <v>1.4689592060669883</v>
      </c>
      <c r="Q19" s="456"/>
      <c r="R19" s="456">
        <f>100-'C6-Source Dist'!S19</f>
        <v>17.179426518716909</v>
      </c>
      <c r="S19" s="456">
        <f>('C4-Sources'!AA20/'C4-Sources'!$Z20)*100</f>
        <v>82.820573481283091</v>
      </c>
      <c r="T19" s="456">
        <f>('C4-Sources'!AB20/'C4-Sources'!$Z20)*100</f>
        <v>77.007769054964854</v>
      </c>
      <c r="U19" s="456">
        <f>('C4-Sources'!AC20/'C4-Sources'!$Z20)*100</f>
        <v>57.485463092531475</v>
      </c>
      <c r="V19" s="456">
        <f>('C4-Sources'!AD20/'C4-Sources'!$Z20)*100</f>
        <v>47.438631184968685</v>
      </c>
      <c r="W19" s="456">
        <f>('C4-Sources'!AE20/'C4-Sources'!$Z20)*100</f>
        <v>27.746502377619663</v>
      </c>
      <c r="X19" s="456">
        <f>('C4-Sources'!AF20/'C4-Sources'!$Z20)*100</f>
        <v>11.000871626215329</v>
      </c>
      <c r="Y19" s="458"/>
      <c r="Z19" s="456">
        <f>100-'C6-Source Dist'!AA19</f>
        <v>49.352977577927525</v>
      </c>
      <c r="AA19" s="456">
        <f>('C4-Sources'!AI20/'C4-Sources'!$AH20)*100</f>
        <v>50.647022422072475</v>
      </c>
      <c r="AB19" s="456">
        <f>('C4-Sources'!AJ20/'C4-Sources'!$AH20)*100</f>
        <v>42.116453607755417</v>
      </c>
      <c r="AC19" s="456">
        <f>('C4-Sources'!AK20/'C4-Sources'!$AH20)*100</f>
        <v>24.041007795987625</v>
      </c>
      <c r="AD19" s="456">
        <f>('C4-Sources'!AL20/'C4-Sources'!$AH20)*100</f>
        <v>18.003419305171914</v>
      </c>
      <c r="AE19" s="456">
        <f>('C4-Sources'!AM20/'C4-Sources'!$AH20)*100</f>
        <v>8.7865049216191942</v>
      </c>
      <c r="AF19" s="456">
        <f>('C4-Sources'!AN20/'C4-Sources'!$AH20)*100</f>
        <v>2.7475534464347007</v>
      </c>
      <c r="AG19" s="458"/>
      <c r="AH19" s="456">
        <f>100-'C6-Source Dist'!AI19</f>
        <v>31.568051410951213</v>
      </c>
      <c r="AI19" s="456">
        <f>('C4-Sources'!AQ20/'C4-Sources'!$AP20)*100</f>
        <v>68.431948589048787</v>
      </c>
      <c r="AJ19" s="456">
        <f>('C4-Sources'!AR20/'C4-Sources'!$AP20)*100</f>
        <v>61.495373500280323</v>
      </c>
      <c r="AK19" s="456">
        <f>('C4-Sources'!AS20/'C4-Sources'!$AP20)*100</f>
        <v>43.837984040366287</v>
      </c>
      <c r="AL19" s="456">
        <f>('C4-Sources'!AT20/'C4-Sources'!$AP20)*100</f>
        <v>36.11924105774623</v>
      </c>
      <c r="AM19" s="456">
        <f>('C4-Sources'!AU20/'C4-Sources'!$AP20)*100</f>
        <v>21.269434068398436</v>
      </c>
      <c r="AN19" s="456">
        <f>('C4-Sources'!AV20/'C4-Sources'!$AP20)*100</f>
        <v>8.5802920257895732</v>
      </c>
      <c r="AO19" s="458"/>
      <c r="AP19" s="456">
        <f>100-'C6-Source Dist'!AQ19</f>
        <v>54.488962350981772</v>
      </c>
      <c r="AQ19" s="456">
        <f>('C4-Sources'!AY20/'C4-Sources'!$AX20)*100</f>
        <v>45.511037649018228</v>
      </c>
      <c r="AR19" s="456">
        <f>('C4-Sources'!AZ20/'C4-Sources'!$AX20)*100</f>
        <v>36.60861553295932</v>
      </c>
      <c r="AS19" s="456">
        <f>('C4-Sources'!BA20/'C4-Sources'!$AX20)*100</f>
        <v>22.454872414095369</v>
      </c>
      <c r="AT19" s="456">
        <f>('C4-Sources'!BB20/'C4-Sources'!$AX20)*100</f>
        <v>17.924388142093267</v>
      </c>
      <c r="AU19" s="456">
        <f>('C4-Sources'!BC20/'C4-Sources'!$AX20)*100</f>
        <v>10.112204047598176</v>
      </c>
      <c r="AV19" s="456">
        <f>('C4-Sources'!BD20/'C4-Sources'!$AX20)*100</f>
        <v>3.9511274105890601</v>
      </c>
      <c r="AW19" s="456"/>
      <c r="AX19" s="456">
        <f>100-'C6-Source Dist'!AY19</f>
        <v>78.818743736474033</v>
      </c>
      <c r="AY19" s="456">
        <f>('C4-Sources'!BG20/'C4-Sources'!$BF20)*100</f>
        <v>21.181256263525974</v>
      </c>
      <c r="AZ19" s="456">
        <f>('C4-Sources'!BH20/'C4-Sources'!$BF20)*100</f>
        <v>12.212317939750733</v>
      </c>
      <c r="BA19" s="456">
        <f>('C4-Sources'!BI20/'C4-Sources'!$BF20)*100</f>
        <v>3.1050473966108503</v>
      </c>
      <c r="BB19" s="456">
        <f>('C4-Sources'!BJ20/'C4-Sources'!$BF20)*100</f>
        <v>1.8897268166986649</v>
      </c>
      <c r="BC19" s="456">
        <f>('C4-Sources'!BK20/'C4-Sources'!$BF20)*100</f>
        <v>0.55303906588087948</v>
      </c>
      <c r="BD19" s="456">
        <f>('C4-Sources'!BL20/'C4-Sources'!$BF20)*100</f>
        <v>8.2664779385680398E-2</v>
      </c>
      <c r="BE19" s="458"/>
      <c r="BF19" s="456">
        <f>100-'C6-Source Dist'!BG19</f>
        <v>61.815821663413892</v>
      </c>
      <c r="BG19" s="456">
        <f>('C4-Sources'!BO20/'C4-Sources'!$BN20)*100</f>
        <v>38.184178336586108</v>
      </c>
      <c r="BH19" s="456">
        <f>('C4-Sources'!BP20/'C4-Sources'!$BN20)*100</f>
        <v>26.470871084191639</v>
      </c>
      <c r="BI19" s="456">
        <f>('C4-Sources'!BQ20/'C4-Sources'!$BN20)*100</f>
        <v>12.003703510066979</v>
      </c>
      <c r="BJ19" s="456">
        <f>('C4-Sources'!BR20/'C4-Sources'!$BN20)*100</f>
        <v>8.5739022105477574</v>
      </c>
      <c r="BK19" s="456">
        <f>('C4-Sources'!BS20/'C4-Sources'!$BN20)*100</f>
        <v>3.4956329826263453</v>
      </c>
      <c r="BL19" s="456">
        <f>('C4-Sources'!BT20/'C4-Sources'!$BN20)*100</f>
        <v>1.231268657098433</v>
      </c>
    </row>
    <row r="20" spans="1:64" s="452" customFormat="1" ht="12" x14ac:dyDescent="0.25">
      <c r="A20" s="239">
        <v>1974</v>
      </c>
      <c r="B20" s="456">
        <f t="shared" si="0"/>
        <v>77.018932200097481</v>
      </c>
      <c r="C20" s="456">
        <f>('C4-Sources'!K21/'C4-Sources'!$J21)*100</f>
        <v>22.981067799902526</v>
      </c>
      <c r="D20" s="456">
        <f>('C4-Sources'!L21/'C4-Sources'!$J21)*100</f>
        <v>12.477570612171135</v>
      </c>
      <c r="E20" s="456">
        <f>('C4-Sources'!M21/'C4-Sources'!$J21)*100</f>
        <v>3.0299244131401371</v>
      </c>
      <c r="F20" s="456">
        <f>('C4-Sources'!N21/'C4-Sources'!$J21)*100</f>
        <v>1.7424541677783363</v>
      </c>
      <c r="G20" s="456">
        <f>('C4-Sources'!O21/'C4-Sources'!$J21)*100</f>
        <v>0.51237161053204094</v>
      </c>
      <c r="H20" s="456">
        <f>('C4-Sources'!P21/'C4-Sources'!$J21)*100</f>
        <v>6.8284466991073767E-2</v>
      </c>
      <c r="I20" s="457"/>
      <c r="J20" s="456">
        <f>100-'C6-Source Dist'!K20</f>
        <v>41.076263694511916</v>
      </c>
      <c r="K20" s="456">
        <f>('C4-Sources'!S21/'C4-Sources'!$R21)*100</f>
        <v>58.923736305488084</v>
      </c>
      <c r="L20" s="456">
        <f>('C4-Sources'!T21/'C4-Sources'!$R21)*100</f>
        <v>47.826458047491109</v>
      </c>
      <c r="M20" s="456">
        <f>('C4-Sources'!U21/'C4-Sources'!$R21)*100</f>
        <v>24.102085261672901</v>
      </c>
      <c r="N20" s="456">
        <f>('C4-Sources'!V21/'C4-Sources'!$R21)*100</f>
        <v>16.553619555387776</v>
      </c>
      <c r="O20" s="456">
        <f>('C4-Sources'!W21/'C4-Sources'!$R21)*100</f>
        <v>6.861597383036651</v>
      </c>
      <c r="P20" s="456">
        <f>('C4-Sources'!X21/'C4-Sources'!$R21)*100</f>
        <v>1.9673572223434193</v>
      </c>
      <c r="Q20" s="456"/>
      <c r="R20" s="456">
        <f>100-'C6-Source Dist'!S20</f>
        <v>19.725994219351023</v>
      </c>
      <c r="S20" s="456">
        <f>('C4-Sources'!AA21/'C4-Sources'!$Z21)*100</f>
        <v>80.274005780648977</v>
      </c>
      <c r="T20" s="456">
        <f>('C4-Sources'!AB21/'C4-Sources'!$Z21)*100</f>
        <v>73.648419110999711</v>
      </c>
      <c r="U20" s="456">
        <f>('C4-Sources'!AC21/'C4-Sources'!$Z21)*100</f>
        <v>53.117608328349085</v>
      </c>
      <c r="V20" s="456">
        <f>('C4-Sources'!AD21/'C4-Sources'!$Z21)*100</f>
        <v>44.284285315430552</v>
      </c>
      <c r="W20" s="456">
        <f>('C4-Sources'!AE21/'C4-Sources'!$Z21)*100</f>
        <v>26.999763530884064</v>
      </c>
      <c r="X20" s="456">
        <f>('C4-Sources'!AF21/'C4-Sources'!$Z21)*100</f>
        <v>11.099430425458586</v>
      </c>
      <c r="Y20" s="458"/>
      <c r="Z20" s="456">
        <f>100-'C6-Source Dist'!AA20</f>
        <v>51.547158573740631</v>
      </c>
      <c r="AA20" s="456">
        <f>('C4-Sources'!AI21/'C4-Sources'!$AH21)*100</f>
        <v>48.452841426259369</v>
      </c>
      <c r="AB20" s="456">
        <f>('C4-Sources'!AJ21/'C4-Sources'!$AH21)*100</f>
        <v>39.816957400681034</v>
      </c>
      <c r="AC20" s="456">
        <f>('C4-Sources'!AK21/'C4-Sources'!$AH21)*100</f>
        <v>22.465782051825588</v>
      </c>
      <c r="AD20" s="456">
        <f>('C4-Sources'!AL21/'C4-Sources'!$AH21)*100</f>
        <v>16.923453156418507</v>
      </c>
      <c r="AE20" s="456">
        <f>('C4-Sources'!AM21/'C4-Sources'!$AH21)*100</f>
        <v>8.3871935449782296</v>
      </c>
      <c r="AF20" s="456">
        <f>('C4-Sources'!AN21/'C4-Sources'!$AH21)*100</f>
        <v>2.7130368510189853</v>
      </c>
      <c r="AG20" s="458"/>
      <c r="AH20" s="456">
        <f>100-'C6-Source Dist'!AI20</f>
        <v>36.255166066345936</v>
      </c>
      <c r="AI20" s="456">
        <f>('C4-Sources'!AQ21/'C4-Sources'!$AP21)*100</f>
        <v>63.744833933654064</v>
      </c>
      <c r="AJ20" s="456">
        <f>('C4-Sources'!AR21/'C4-Sources'!$AP21)*100</f>
        <v>56.506041107276893</v>
      </c>
      <c r="AK20" s="456">
        <f>('C4-Sources'!AS21/'C4-Sources'!$AP21)*100</f>
        <v>39.036439308833529</v>
      </c>
      <c r="AL20" s="456">
        <f>('C4-Sources'!AT21/'C4-Sources'!$AP21)*100</f>
        <v>32.418354122062418</v>
      </c>
      <c r="AM20" s="456">
        <f>('C4-Sources'!AU21/'C4-Sources'!$AP21)*100</f>
        <v>19.784724205939398</v>
      </c>
      <c r="AN20" s="456">
        <f>('C4-Sources'!AV21/'C4-Sources'!$AP21)*100</f>
        <v>8.1840843857837324</v>
      </c>
      <c r="AO20" s="458"/>
      <c r="AP20" s="456">
        <f>100-'C6-Source Dist'!AQ20</f>
        <v>59.952647083730284</v>
      </c>
      <c r="AQ20" s="456">
        <f>('C4-Sources'!AY21/'C4-Sources'!$AX21)*100</f>
        <v>40.047352916269716</v>
      </c>
      <c r="AR20" s="456">
        <f>('C4-Sources'!AZ21/'C4-Sources'!$AX21)*100</f>
        <v>30.850137186408382</v>
      </c>
      <c r="AS20" s="456">
        <f>('C4-Sources'!BA21/'C4-Sources'!$AX21)*100</f>
        <v>17.289675499100245</v>
      </c>
      <c r="AT20" s="456">
        <f>('C4-Sources'!BB21/'C4-Sources'!$AX21)*100</f>
        <v>13.657919199745953</v>
      </c>
      <c r="AU20" s="456">
        <f>('C4-Sources'!BC21/'C4-Sources'!$AX21)*100</f>
        <v>7.7532337546310988</v>
      </c>
      <c r="AV20" s="456">
        <f>('C4-Sources'!BD21/'C4-Sources'!$AX21)*100</f>
        <v>3.038723347094316</v>
      </c>
      <c r="AW20" s="456"/>
      <c r="AX20" s="456">
        <f>100-'C6-Source Dist'!AY20</f>
        <v>78.983463892981263</v>
      </c>
      <c r="AY20" s="456">
        <f>('C4-Sources'!BG21/'C4-Sources'!$BF21)*100</f>
        <v>21.016536107018741</v>
      </c>
      <c r="AZ20" s="456">
        <f>('C4-Sources'!BH21/'C4-Sources'!$BF21)*100</f>
        <v>11.835545992749328</v>
      </c>
      <c r="BA20" s="456">
        <f>('C4-Sources'!BI21/'C4-Sources'!$BF21)*100</f>
        <v>3.1388529826237228</v>
      </c>
      <c r="BB20" s="456">
        <f>('C4-Sources'!BJ21/'C4-Sources'!$BF21)*100</f>
        <v>1.8627705482993306</v>
      </c>
      <c r="BC20" s="456">
        <f>('C4-Sources'!BK21/'C4-Sources'!$BF21)*100</f>
        <v>0.58054811353601421</v>
      </c>
      <c r="BD20" s="456">
        <f>('C4-Sources'!BL21/'C4-Sources'!$BF21)*100</f>
        <v>8.9877772455735444E-2</v>
      </c>
      <c r="BE20" s="458"/>
      <c r="BF20" s="456">
        <f>100-'C6-Source Dist'!BG20</f>
        <v>59.032449631250721</v>
      </c>
      <c r="BG20" s="456">
        <f>('C4-Sources'!BO21/'C4-Sources'!$BN21)*100</f>
        <v>40.967550368749279</v>
      </c>
      <c r="BH20" s="456">
        <f>('C4-Sources'!BP21/'C4-Sources'!$BN21)*100</f>
        <v>28.667238792225273</v>
      </c>
      <c r="BI20" s="456">
        <f>('C4-Sources'!BQ21/'C4-Sources'!$BN21)*100</f>
        <v>13.70825166971118</v>
      </c>
      <c r="BJ20" s="456">
        <f>('C4-Sources'!BR21/'C4-Sources'!$BN21)*100</f>
        <v>9.8428195189990912</v>
      </c>
      <c r="BK20" s="456">
        <f>('C4-Sources'!BS21/'C4-Sources'!$BN21)*100</f>
        <v>4.411393438411209</v>
      </c>
      <c r="BL20" s="456">
        <f>('C4-Sources'!BT21/'C4-Sources'!$BN21)*100</f>
        <v>1.4743692404551381</v>
      </c>
    </row>
    <row r="21" spans="1:64" s="452" customFormat="1" ht="12" x14ac:dyDescent="0.25">
      <c r="A21" s="239">
        <v>1975</v>
      </c>
      <c r="B21" s="456">
        <f t="shared" si="0"/>
        <v>76.084341279469982</v>
      </c>
      <c r="C21" s="456">
        <f>('C4-Sources'!K22/'C4-Sources'!$J22)*100</f>
        <v>23.915658720530015</v>
      </c>
      <c r="D21" s="456">
        <f>('C4-Sources'!L22/'C4-Sources'!$J22)*100</f>
        <v>13.081458221977405</v>
      </c>
      <c r="E21" s="456">
        <f>('C4-Sources'!M22/'C4-Sources'!$J22)*100</f>
        <v>3.3027378636312466</v>
      </c>
      <c r="F21" s="456">
        <f>('C4-Sources'!N22/'C4-Sources'!$J22)*100</f>
        <v>1.91582734390414</v>
      </c>
      <c r="G21" s="456">
        <f>('C4-Sources'!O22/'C4-Sources'!$J22)*100</f>
        <v>0.5252936794981059</v>
      </c>
      <c r="H21" s="456">
        <f>('C4-Sources'!P22/'C4-Sources'!$J22)*100</f>
        <v>8.3509357944259191E-2</v>
      </c>
      <c r="I21" s="457"/>
      <c r="J21" s="456">
        <f>100-'C6-Source Dist'!K21</f>
        <v>47.720713094980148</v>
      </c>
      <c r="K21" s="456">
        <f>('C4-Sources'!S22/'C4-Sources'!$R22)*100</f>
        <v>52.279286905019852</v>
      </c>
      <c r="L21" s="456">
        <f>('C4-Sources'!T22/'C4-Sources'!$R22)*100</f>
        <v>42.591611970454871</v>
      </c>
      <c r="M21" s="456">
        <f>('C4-Sources'!U22/'C4-Sources'!$R22)*100</f>
        <v>20.948675455126608</v>
      </c>
      <c r="N21" s="456">
        <f>('C4-Sources'!V22/'C4-Sources'!$R22)*100</f>
        <v>14.442185460143698</v>
      </c>
      <c r="O21" s="456">
        <f>('C4-Sources'!W22/'C4-Sources'!$R22)*100</f>
        <v>5.8596503052164515</v>
      </c>
      <c r="P21" s="456">
        <f>('C4-Sources'!X22/'C4-Sources'!$R22)*100</f>
        <v>1.6819385249664052</v>
      </c>
      <c r="Q21" s="456"/>
      <c r="R21" s="456">
        <f>100-'C6-Source Dist'!S21</f>
        <v>18.789901653486325</v>
      </c>
      <c r="S21" s="456">
        <f>('C4-Sources'!AA22/'C4-Sources'!$Z22)*100</f>
        <v>81.210098346513675</v>
      </c>
      <c r="T21" s="456">
        <f>('C4-Sources'!AB22/'C4-Sources'!$Z22)*100</f>
        <v>73.93527387579384</v>
      </c>
      <c r="U21" s="456">
        <f>('C4-Sources'!AC22/'C4-Sources'!$Z22)*100</f>
        <v>54.383020910075345</v>
      </c>
      <c r="V21" s="456">
        <f>('C4-Sources'!AD22/'C4-Sources'!$Z22)*100</f>
        <v>44.809136088457706</v>
      </c>
      <c r="W21" s="456">
        <f>('C4-Sources'!AE22/'C4-Sources'!$Z22)*100</f>
        <v>26.852701766057983</v>
      </c>
      <c r="X21" s="456">
        <f>('C4-Sources'!AF22/'C4-Sources'!$Z22)*100</f>
        <v>10.98879083176303</v>
      </c>
      <c r="Y21" s="458"/>
      <c r="Z21" s="456">
        <f>100-'C6-Source Dist'!AA21</f>
        <v>52.585425560514196</v>
      </c>
      <c r="AA21" s="456">
        <f>('C4-Sources'!AI22/'C4-Sources'!$AH22)*100</f>
        <v>47.414574439485804</v>
      </c>
      <c r="AB21" s="456">
        <f>('C4-Sources'!AJ22/'C4-Sources'!$AH22)*100</f>
        <v>38.437005046698886</v>
      </c>
      <c r="AC21" s="456">
        <f>('C4-Sources'!AK22/'C4-Sources'!$AH22)*100</f>
        <v>22.440066529190215</v>
      </c>
      <c r="AD21" s="456">
        <f>('C4-Sources'!AL22/'C4-Sources'!$AH22)*100</f>
        <v>16.576075484366257</v>
      </c>
      <c r="AE21" s="456">
        <f>('C4-Sources'!AM22/'C4-Sources'!$AH22)*100</f>
        <v>8.0768625979210125</v>
      </c>
      <c r="AF21" s="456">
        <f>('C4-Sources'!AN22/'C4-Sources'!$AH22)*100</f>
        <v>2.5776946044564748</v>
      </c>
      <c r="AG21" s="458"/>
      <c r="AH21" s="456">
        <f>100-'C6-Source Dist'!AI21</f>
        <v>35.65798971485448</v>
      </c>
      <c r="AI21" s="456">
        <f>('C4-Sources'!AQ22/'C4-Sources'!$AP22)*100</f>
        <v>64.34201028514552</v>
      </c>
      <c r="AJ21" s="456">
        <f>('C4-Sources'!AR22/'C4-Sources'!$AP22)*100</f>
        <v>56.241914308886145</v>
      </c>
      <c r="AK21" s="456">
        <f>('C4-Sources'!AS22/'C4-Sources'!$AP22)*100</f>
        <v>39.298886918695743</v>
      </c>
      <c r="AL21" s="456">
        <f>('C4-Sources'!AT22/'C4-Sources'!$AP22)*100</f>
        <v>32.115107496359649</v>
      </c>
      <c r="AM21" s="456">
        <f>('C4-Sources'!AU22/'C4-Sources'!$AP22)*100</f>
        <v>19.331927137669805</v>
      </c>
      <c r="AN21" s="456">
        <f>('C4-Sources'!AV22/'C4-Sources'!$AP22)*100</f>
        <v>8.1364530735627518</v>
      </c>
      <c r="AO21" s="458"/>
      <c r="AP21" s="456">
        <f>100-'C6-Source Dist'!AQ21</f>
        <v>58.498615208369358</v>
      </c>
      <c r="AQ21" s="456">
        <f>('C4-Sources'!AY22/'C4-Sources'!$AX22)*100</f>
        <v>41.501384791630642</v>
      </c>
      <c r="AR21" s="456">
        <f>('C4-Sources'!AZ22/'C4-Sources'!$AX22)*100</f>
        <v>31.823466756008994</v>
      </c>
      <c r="AS21" s="456">
        <f>('C4-Sources'!BA22/'C4-Sources'!$AX22)*100</f>
        <v>18.420748495590527</v>
      </c>
      <c r="AT21" s="456">
        <f>('C4-Sources'!BB22/'C4-Sources'!$AX22)*100</f>
        <v>14.361174840048418</v>
      </c>
      <c r="AU21" s="456">
        <f>('C4-Sources'!BC22/'C4-Sources'!$AX22)*100</f>
        <v>8.0513832223759287</v>
      </c>
      <c r="AV21" s="456">
        <f>('C4-Sources'!BD22/'C4-Sources'!$AX22)*100</f>
        <v>3.2311575285319041</v>
      </c>
      <c r="AW21" s="456"/>
      <c r="AX21" s="456">
        <f>100-'C6-Source Dist'!AY21</f>
        <v>78.334321461620689</v>
      </c>
      <c r="AY21" s="456">
        <f>('C4-Sources'!BG22/'C4-Sources'!$BF22)*100</f>
        <v>21.665678538379307</v>
      </c>
      <c r="AZ21" s="456">
        <f>('C4-Sources'!BH22/'C4-Sources'!$BF22)*100</f>
        <v>12.127198899645547</v>
      </c>
      <c r="BA21" s="456">
        <f>('C4-Sources'!BI22/'C4-Sources'!$BF22)*100</f>
        <v>3.2775230010501843</v>
      </c>
      <c r="BB21" s="456">
        <f>('C4-Sources'!BJ22/'C4-Sources'!$BF22)*100</f>
        <v>1.8738169706689141</v>
      </c>
      <c r="BC21" s="456">
        <f>('C4-Sources'!BK22/'C4-Sources'!$BF22)*100</f>
        <v>0.54847453929686807</v>
      </c>
      <c r="BD21" s="456">
        <f>('C4-Sources'!BL22/'C4-Sources'!$BF22)*100</f>
        <v>9.2430893093482278E-2</v>
      </c>
      <c r="BE21" s="458"/>
      <c r="BF21" s="456">
        <f>100-'C6-Source Dist'!BG21</f>
        <v>59.946815888456257</v>
      </c>
      <c r="BG21" s="456">
        <f>('C4-Sources'!BO22/'C4-Sources'!$BN22)*100</f>
        <v>40.053184111543743</v>
      </c>
      <c r="BH21" s="456">
        <f>('C4-Sources'!BP22/'C4-Sources'!$BN22)*100</f>
        <v>28.309745631136927</v>
      </c>
      <c r="BI21" s="456">
        <f>('C4-Sources'!BQ22/'C4-Sources'!$BN22)*100</f>
        <v>12.753137673131922</v>
      </c>
      <c r="BJ21" s="456">
        <f>('C4-Sources'!BR22/'C4-Sources'!$BN22)*100</f>
        <v>9.5049970157420187</v>
      </c>
      <c r="BK21" s="456">
        <f>('C4-Sources'!BS22/'C4-Sources'!$BN22)*100</f>
        <v>4.3749825375771687</v>
      </c>
      <c r="BL21" s="456">
        <f>('C4-Sources'!BT22/'C4-Sources'!$BN22)*100</f>
        <v>1.5154855295278542</v>
      </c>
    </row>
    <row r="22" spans="1:64" s="452" customFormat="1" ht="12" x14ac:dyDescent="0.25">
      <c r="A22" s="239">
        <v>1976</v>
      </c>
      <c r="B22" s="456">
        <f t="shared" si="0"/>
        <v>75.955492471738083</v>
      </c>
      <c r="C22" s="456">
        <f>('C4-Sources'!K23/'C4-Sources'!$J23)*100</f>
        <v>24.044507528261921</v>
      </c>
      <c r="D22" s="456">
        <f>('C4-Sources'!L23/'C4-Sources'!$J23)*100</f>
        <v>13.172036870129498</v>
      </c>
      <c r="E22" s="456">
        <f>('C4-Sources'!M23/'C4-Sources'!$J23)*100</f>
        <v>3.2870647249162022</v>
      </c>
      <c r="F22" s="456">
        <f>('C4-Sources'!N23/'C4-Sources'!$J23)*100</f>
        <v>1.9137432817626321</v>
      </c>
      <c r="G22" s="456">
        <f>('C4-Sources'!O23/'C4-Sources'!$J23)*100</f>
        <v>0.5698947509982788</v>
      </c>
      <c r="H22" s="456">
        <f>('C4-Sources'!P23/'C4-Sources'!$J23)*100</f>
        <v>8.6671732957960768E-2</v>
      </c>
      <c r="I22" s="457"/>
      <c r="J22" s="456">
        <f>100-'C6-Source Dist'!K22</f>
        <v>49.457403296097745</v>
      </c>
      <c r="K22" s="456">
        <f>('C4-Sources'!S23/'C4-Sources'!$R23)*100</f>
        <v>50.542596703902255</v>
      </c>
      <c r="L22" s="456">
        <f>('C4-Sources'!T23/'C4-Sources'!$R23)*100</f>
        <v>40.429726028930446</v>
      </c>
      <c r="M22" s="456">
        <f>('C4-Sources'!U23/'C4-Sources'!$R23)*100</f>
        <v>20.307566363248448</v>
      </c>
      <c r="N22" s="456">
        <f>('C4-Sources'!V23/'C4-Sources'!$R23)*100</f>
        <v>14.041204186078177</v>
      </c>
      <c r="O22" s="456">
        <f>('C4-Sources'!W23/'C4-Sources'!$R23)*100</f>
        <v>5.6214096800400037</v>
      </c>
      <c r="P22" s="456">
        <f>('C4-Sources'!X23/'C4-Sources'!$R23)*100</f>
        <v>1.7826470662381764</v>
      </c>
      <c r="Q22" s="456"/>
      <c r="R22" s="456">
        <f>100-'C6-Source Dist'!S22</f>
        <v>18.469187192631438</v>
      </c>
      <c r="S22" s="456">
        <f>('C4-Sources'!AA23/'C4-Sources'!$Z23)*100</f>
        <v>81.530812807368562</v>
      </c>
      <c r="T22" s="456">
        <f>('C4-Sources'!AB23/'C4-Sources'!$Z23)*100</f>
        <v>74.769438715341821</v>
      </c>
      <c r="U22" s="456">
        <f>('C4-Sources'!AC23/'C4-Sources'!$Z23)*100</f>
        <v>54.190669163713743</v>
      </c>
      <c r="V22" s="456">
        <f>('C4-Sources'!AD23/'C4-Sources'!$Z23)*100</f>
        <v>44.51825992098432</v>
      </c>
      <c r="W22" s="456">
        <f>('C4-Sources'!AE23/'C4-Sources'!$Z23)*100</f>
        <v>26.956545757428035</v>
      </c>
      <c r="X22" s="456">
        <f>('C4-Sources'!AF23/'C4-Sources'!$Z23)*100</f>
        <v>10.932487113746795</v>
      </c>
      <c r="Y22" s="458"/>
      <c r="Z22" s="456">
        <f>100-'C6-Source Dist'!AA22</f>
        <v>50.938946086390821</v>
      </c>
      <c r="AA22" s="456">
        <f>('C4-Sources'!AI23/'C4-Sources'!$AH23)*100</f>
        <v>49.061053913609179</v>
      </c>
      <c r="AB22" s="456">
        <f>('C4-Sources'!AJ23/'C4-Sources'!$AH23)*100</f>
        <v>39.439440742294764</v>
      </c>
      <c r="AC22" s="456">
        <f>('C4-Sources'!AK23/'C4-Sources'!$AH23)*100</f>
        <v>21.876846985293604</v>
      </c>
      <c r="AD22" s="456">
        <f>('C4-Sources'!AL23/'C4-Sources'!$AH23)*100</f>
        <v>16.129445215279002</v>
      </c>
      <c r="AE22" s="456">
        <f>('C4-Sources'!AM23/'C4-Sources'!$AH23)*100</f>
        <v>7.7724057752279823</v>
      </c>
      <c r="AF22" s="456">
        <f>('C4-Sources'!AN23/'C4-Sources'!$AH23)*100</f>
        <v>2.6207818192390167</v>
      </c>
      <c r="AG22" s="458"/>
      <c r="AH22" s="456">
        <f>100-'C6-Source Dist'!AI22</f>
        <v>35.022603903706667</v>
      </c>
      <c r="AI22" s="456">
        <f>('C4-Sources'!AQ23/'C4-Sources'!$AP23)*100</f>
        <v>64.977396096293333</v>
      </c>
      <c r="AJ22" s="456">
        <f>('C4-Sources'!AR23/'C4-Sources'!$AP23)*100</f>
        <v>57.02975436918156</v>
      </c>
      <c r="AK22" s="456">
        <f>('C4-Sources'!AS23/'C4-Sources'!$AP23)*100</f>
        <v>39.200968687532125</v>
      </c>
      <c r="AL22" s="456">
        <f>('C4-Sources'!AT23/'C4-Sources'!$AP23)*100</f>
        <v>32.010711619738423</v>
      </c>
      <c r="AM22" s="456">
        <f>('C4-Sources'!AU23/'C4-Sources'!$AP23)*100</f>
        <v>19.37553853732366</v>
      </c>
      <c r="AN22" s="456">
        <f>('C4-Sources'!AV23/'C4-Sources'!$AP23)*100</f>
        <v>8.0222822220001149</v>
      </c>
      <c r="AO22" s="458"/>
      <c r="AP22" s="456">
        <f>100-'C6-Source Dist'!AQ22</f>
        <v>57.132664209498806</v>
      </c>
      <c r="AQ22" s="456">
        <f>('C4-Sources'!AY23/'C4-Sources'!$AX23)*100</f>
        <v>42.867335790501194</v>
      </c>
      <c r="AR22" s="456">
        <f>('C4-Sources'!AZ23/'C4-Sources'!$AX23)*100</f>
        <v>33.18876843717392</v>
      </c>
      <c r="AS22" s="456">
        <f>('C4-Sources'!BA23/'C4-Sources'!$AX23)*100</f>
        <v>19.056011494833214</v>
      </c>
      <c r="AT22" s="456">
        <f>('C4-Sources'!BB23/'C4-Sources'!$AX23)*100</f>
        <v>14.911991541283784</v>
      </c>
      <c r="AU22" s="456">
        <f>('C4-Sources'!BC23/'C4-Sources'!$AX23)*100</f>
        <v>8.4658410464842309</v>
      </c>
      <c r="AV22" s="456">
        <f>('C4-Sources'!BD23/'C4-Sources'!$AX23)*100</f>
        <v>3.3826751186509139</v>
      </c>
      <c r="AW22" s="456"/>
      <c r="AX22" s="456">
        <f>100-'C6-Source Dist'!AY22</f>
        <v>78.27814954201817</v>
      </c>
      <c r="AY22" s="456">
        <f>('C4-Sources'!BG23/'C4-Sources'!$BF23)*100</f>
        <v>21.721850457981827</v>
      </c>
      <c r="AZ22" s="456">
        <f>('C4-Sources'!BH23/'C4-Sources'!$BF23)*100</f>
        <v>12.183228114541343</v>
      </c>
      <c r="BA22" s="456">
        <f>('C4-Sources'!BI23/'C4-Sources'!$BF23)*100</f>
        <v>3.3006843462858009</v>
      </c>
      <c r="BB22" s="456">
        <f>('C4-Sources'!BJ23/'C4-Sources'!$BF23)*100</f>
        <v>1.9325097611776354</v>
      </c>
      <c r="BC22" s="456">
        <f>('C4-Sources'!BK23/'C4-Sources'!$BF23)*100</f>
        <v>0.58026221918336129</v>
      </c>
      <c r="BD22" s="456">
        <f>('C4-Sources'!BL23/'C4-Sources'!$BF23)*100</f>
        <v>9.4480209921903757E-2</v>
      </c>
      <c r="BE22" s="458"/>
      <c r="BF22" s="456">
        <f>100-'C6-Source Dist'!BG22</f>
        <v>62.98555464215837</v>
      </c>
      <c r="BG22" s="456">
        <f>('C4-Sources'!BO23/'C4-Sources'!$BN23)*100</f>
        <v>37.01444535784163</v>
      </c>
      <c r="BH22" s="456">
        <f>('C4-Sources'!BP23/'C4-Sources'!$BN23)*100</f>
        <v>25.145709942433172</v>
      </c>
      <c r="BI22" s="456">
        <f>('C4-Sources'!BQ23/'C4-Sources'!$BN23)*100</f>
        <v>11.37530690287044</v>
      </c>
      <c r="BJ22" s="456">
        <f>('C4-Sources'!BR23/'C4-Sources'!$BN23)*100</f>
        <v>8.1357635098040202</v>
      </c>
      <c r="BK22" s="456">
        <f>('C4-Sources'!BS23/'C4-Sources'!$BN23)*100</f>
        <v>3.5017916255579782</v>
      </c>
      <c r="BL22" s="456">
        <f>('C4-Sources'!BT23/'C4-Sources'!$BN23)*100</f>
        <v>1.2087549775589572</v>
      </c>
    </row>
    <row r="23" spans="1:64" s="452" customFormat="1" ht="12" x14ac:dyDescent="0.25">
      <c r="A23" s="239">
        <v>1977</v>
      </c>
      <c r="B23" s="456">
        <f t="shared" si="0"/>
        <v>76.108897470043274</v>
      </c>
      <c r="C23" s="456">
        <f>('C4-Sources'!K24/'C4-Sources'!$J24)*100</f>
        <v>23.891102529956719</v>
      </c>
      <c r="D23" s="456">
        <f>('C4-Sources'!L24/'C4-Sources'!$J24)*100</f>
        <v>13.178095605980399</v>
      </c>
      <c r="E23" s="456">
        <f>('C4-Sources'!M24/'C4-Sources'!$J24)*100</f>
        <v>3.3919848794839251</v>
      </c>
      <c r="F23" s="456">
        <f>('C4-Sources'!N24/'C4-Sources'!$J24)*100</f>
        <v>1.9938585139199823</v>
      </c>
      <c r="G23" s="456">
        <f>('C4-Sources'!O24/'C4-Sources'!$J24)*100</f>
        <v>0.59277661734722831</v>
      </c>
      <c r="H23" s="456">
        <f>('C4-Sources'!P24/'C4-Sources'!$J24)*100</f>
        <v>9.2380384164816934E-2</v>
      </c>
      <c r="I23" s="457"/>
      <c r="J23" s="456">
        <f>100-'C6-Source Dist'!K23</f>
        <v>49.522143161924767</v>
      </c>
      <c r="K23" s="456">
        <f>('C4-Sources'!S24/'C4-Sources'!$R24)*100</f>
        <v>50.477856838075233</v>
      </c>
      <c r="L23" s="456">
        <f>('C4-Sources'!T24/'C4-Sources'!$R24)*100</f>
        <v>40.626433917361346</v>
      </c>
      <c r="M23" s="456">
        <f>('C4-Sources'!U24/'C4-Sources'!$R24)*100</f>
        <v>19.980801447458635</v>
      </c>
      <c r="N23" s="456">
        <f>('C4-Sources'!V24/'C4-Sources'!$R24)*100</f>
        <v>13.817322362555048</v>
      </c>
      <c r="O23" s="456">
        <f>('C4-Sources'!W24/'C4-Sources'!$R24)*100</f>
        <v>5.7814448117571224</v>
      </c>
      <c r="P23" s="456">
        <f>('C4-Sources'!X24/'C4-Sources'!$R24)*100</f>
        <v>1.7925560111853749</v>
      </c>
      <c r="Q23" s="456"/>
      <c r="R23" s="456">
        <f>100-'C6-Source Dist'!S23</f>
        <v>19.311629226908636</v>
      </c>
      <c r="S23" s="456">
        <f>('C4-Sources'!AA24/'C4-Sources'!$Z24)*100</f>
        <v>80.688370773091364</v>
      </c>
      <c r="T23" s="456">
        <f>('C4-Sources'!AB24/'C4-Sources'!$Z24)*100</f>
        <v>74.046780641366482</v>
      </c>
      <c r="U23" s="456">
        <f>('C4-Sources'!AC24/'C4-Sources'!$Z24)*100</f>
        <v>53.555839971833898</v>
      </c>
      <c r="V23" s="456">
        <f>('C4-Sources'!AD24/'C4-Sources'!$Z24)*100</f>
        <v>44.167734157042368</v>
      </c>
      <c r="W23" s="456">
        <f>('C4-Sources'!AE24/'C4-Sources'!$Z24)*100</f>
        <v>26.649813034883636</v>
      </c>
      <c r="X23" s="456">
        <f>('C4-Sources'!AF24/'C4-Sources'!$Z24)*100</f>
        <v>10.993085385406985</v>
      </c>
      <c r="Y23" s="458"/>
      <c r="Z23" s="456">
        <f>100-'C6-Source Dist'!AA23</f>
        <v>54.04014171891243</v>
      </c>
      <c r="AA23" s="456">
        <f>('C4-Sources'!AI24/'C4-Sources'!$AH24)*100</f>
        <v>45.95985828108757</v>
      </c>
      <c r="AB23" s="456">
        <f>('C4-Sources'!AJ24/'C4-Sources'!$AH24)*100</f>
        <v>37.077056233303111</v>
      </c>
      <c r="AC23" s="456">
        <f>('C4-Sources'!AK24/'C4-Sources'!$AH24)*100</f>
        <v>20.924243867181424</v>
      </c>
      <c r="AD23" s="456">
        <f>('C4-Sources'!AL24/'C4-Sources'!$AH24)*100</f>
        <v>15.515114929431729</v>
      </c>
      <c r="AE23" s="456">
        <f>('C4-Sources'!AM24/'C4-Sources'!$AH24)*100</f>
        <v>7.7002069568973113</v>
      </c>
      <c r="AF23" s="456">
        <f>('C4-Sources'!AN24/'C4-Sources'!$AH24)*100</f>
        <v>2.5109507085624263</v>
      </c>
      <c r="AG23" s="458"/>
      <c r="AH23" s="456">
        <f>100-'C6-Source Dist'!AI23</f>
        <v>36.452991394545634</v>
      </c>
      <c r="AI23" s="456">
        <f>('C4-Sources'!AQ24/'C4-Sources'!$AP24)*100</f>
        <v>63.547008605454366</v>
      </c>
      <c r="AJ23" s="456">
        <f>('C4-Sources'!AR24/'C4-Sources'!$AP24)*100</f>
        <v>55.635117611726528</v>
      </c>
      <c r="AK23" s="456">
        <f>('C4-Sources'!AS24/'C4-Sources'!$AP24)*100</f>
        <v>38.057057662319671</v>
      </c>
      <c r="AL23" s="456">
        <f>('C4-Sources'!AT24/'C4-Sources'!$AP24)*100</f>
        <v>31.152665819597342</v>
      </c>
      <c r="AM23" s="456">
        <f>('C4-Sources'!AU24/'C4-Sources'!$AP24)*100</f>
        <v>18.774017060746427</v>
      </c>
      <c r="AN23" s="456">
        <f>('C4-Sources'!AV24/'C4-Sources'!$AP24)*100</f>
        <v>7.9313303697457647</v>
      </c>
      <c r="AO23" s="458"/>
      <c r="AP23" s="456">
        <f>100-'C6-Source Dist'!AQ23</f>
        <v>59.761049953287397</v>
      </c>
      <c r="AQ23" s="456">
        <f>('C4-Sources'!AY24/'C4-Sources'!$AX24)*100</f>
        <v>40.238950046712603</v>
      </c>
      <c r="AR23" s="456">
        <f>('C4-Sources'!AZ24/'C4-Sources'!$AX24)*100</f>
        <v>30.660511721943244</v>
      </c>
      <c r="AS23" s="456">
        <f>('C4-Sources'!BA24/'C4-Sources'!$AX24)*100</f>
        <v>17.163299383977577</v>
      </c>
      <c r="AT23" s="456">
        <f>('C4-Sources'!BB24/'C4-Sources'!$AX24)*100</f>
        <v>13.3640642342053</v>
      </c>
      <c r="AU23" s="456">
        <f>('C4-Sources'!BC24/'C4-Sources'!$AX24)*100</f>
        <v>7.4817852373584026</v>
      </c>
      <c r="AV23" s="456">
        <f>('C4-Sources'!BD24/'C4-Sources'!$AX24)*100</f>
        <v>3.0031757342636927</v>
      </c>
      <c r="AW23" s="456"/>
      <c r="AX23" s="456">
        <f>100-'C6-Source Dist'!AY23</f>
        <v>78.811026247396782</v>
      </c>
      <c r="AY23" s="456">
        <f>('C4-Sources'!BG24/'C4-Sources'!$BF24)*100</f>
        <v>21.188973752603218</v>
      </c>
      <c r="AZ23" s="456">
        <f>('C4-Sources'!BH24/'C4-Sources'!$BF24)*100</f>
        <v>12.258921498425666</v>
      </c>
      <c r="BA23" s="456">
        <f>('C4-Sources'!BI24/'C4-Sources'!$BF24)*100</f>
        <v>3.3354342933518875</v>
      </c>
      <c r="BB23" s="456">
        <f>('C4-Sources'!BJ24/'C4-Sources'!$BF24)*100</f>
        <v>1.9417502169127743</v>
      </c>
      <c r="BC23" s="456">
        <f>('C4-Sources'!BK24/'C4-Sources'!$BF24)*100</f>
        <v>0.58391280940006873</v>
      </c>
      <c r="BD23" s="456">
        <f>('C4-Sources'!BL24/'C4-Sources'!$BF24)*100</f>
        <v>9.0629603702482464E-2</v>
      </c>
      <c r="BE23" s="458"/>
      <c r="BF23" s="456">
        <f>100-'C6-Source Dist'!BG23</f>
        <v>61.44910047987787</v>
      </c>
      <c r="BG23" s="456">
        <f>('C4-Sources'!BO24/'C4-Sources'!$BN24)*100</f>
        <v>38.55089952012213</v>
      </c>
      <c r="BH23" s="456">
        <f>('C4-Sources'!BP24/'C4-Sources'!$BN24)*100</f>
        <v>26.638493351263605</v>
      </c>
      <c r="BI23" s="456">
        <f>('C4-Sources'!BQ24/'C4-Sources'!$BN24)*100</f>
        <v>12.424421096922332</v>
      </c>
      <c r="BJ23" s="456">
        <f>('C4-Sources'!BR24/'C4-Sources'!$BN24)*100</f>
        <v>9.1513789559149608</v>
      </c>
      <c r="BK23" s="456">
        <f>('C4-Sources'!BS24/'C4-Sources'!$BN24)*100</f>
        <v>3.8783294567146736</v>
      </c>
      <c r="BL23" s="456">
        <f>('C4-Sources'!BT24/'C4-Sources'!$BN24)*100</f>
        <v>1.360040524834033</v>
      </c>
    </row>
    <row r="24" spans="1:64" s="452" customFormat="1" ht="12" x14ac:dyDescent="0.25">
      <c r="A24" s="239">
        <v>1978</v>
      </c>
      <c r="B24" s="456">
        <f t="shared" si="0"/>
        <v>75.910392582774477</v>
      </c>
      <c r="C24" s="456">
        <f>('C4-Sources'!K25/'C4-Sources'!$J25)*100</f>
        <v>24.089607417225519</v>
      </c>
      <c r="D24" s="456">
        <f>('C4-Sources'!L25/'C4-Sources'!$J25)*100</f>
        <v>13.456810705207605</v>
      </c>
      <c r="E24" s="456">
        <f>('C4-Sources'!M25/'C4-Sources'!$J25)*100</f>
        <v>3.6335372368517085</v>
      </c>
      <c r="F24" s="456">
        <f>('C4-Sources'!N25/'C4-Sources'!$J25)*100</f>
        <v>2.130915807028102</v>
      </c>
      <c r="G24" s="456">
        <f>('C4-Sources'!O25/'C4-Sources'!$J25)*100</f>
        <v>0.63075650652042381</v>
      </c>
      <c r="H24" s="456">
        <f>('C4-Sources'!P25/'C4-Sources'!$J25)*100</f>
        <v>0.10479665764314976</v>
      </c>
      <c r="I24" s="457"/>
      <c r="J24" s="456">
        <f>100-'C6-Source Dist'!K24</f>
        <v>50.265239997000592</v>
      </c>
      <c r="K24" s="456">
        <f>('C4-Sources'!S25/'C4-Sources'!$R25)*100</f>
        <v>49.734760002999408</v>
      </c>
      <c r="L24" s="456">
        <f>('C4-Sources'!T25/'C4-Sources'!$R25)*100</f>
        <v>39.408989566370053</v>
      </c>
      <c r="M24" s="456">
        <f>('C4-Sources'!U25/'C4-Sources'!$R25)*100</f>
        <v>19.20905152040077</v>
      </c>
      <c r="N24" s="456">
        <f>('C4-Sources'!V25/'C4-Sources'!$R25)*100</f>
        <v>13.485536767446025</v>
      </c>
      <c r="O24" s="456">
        <f>('C4-Sources'!W25/'C4-Sources'!$R25)*100</f>
        <v>5.9053002722292671</v>
      </c>
      <c r="P24" s="456">
        <f>('C4-Sources'!X25/'C4-Sources'!$R25)*100</f>
        <v>1.8625184799460812</v>
      </c>
      <c r="Q24" s="456"/>
      <c r="R24" s="456">
        <f>100-'C6-Source Dist'!S24</f>
        <v>19.951665483164277</v>
      </c>
      <c r="S24" s="456">
        <f>('C4-Sources'!AA25/'C4-Sources'!$Z25)*100</f>
        <v>80.048334516835723</v>
      </c>
      <c r="T24" s="456">
        <f>('C4-Sources'!AB25/'C4-Sources'!$Z25)*100</f>
        <v>72.644940072091913</v>
      </c>
      <c r="U24" s="456">
        <f>('C4-Sources'!AC25/'C4-Sources'!$Z25)*100</f>
        <v>52.920887785972148</v>
      </c>
      <c r="V24" s="456">
        <f>('C4-Sources'!AD25/'C4-Sources'!$Z25)*100</f>
        <v>43.886219687404179</v>
      </c>
      <c r="W24" s="456">
        <f>('C4-Sources'!AE25/'C4-Sources'!$Z25)*100</f>
        <v>26.778860554997408</v>
      </c>
      <c r="X24" s="456">
        <f>('C4-Sources'!AF25/'C4-Sources'!$Z25)*100</f>
        <v>11.192244731619692</v>
      </c>
      <c r="Y24" s="458"/>
      <c r="Z24" s="456">
        <f>100-'C6-Source Dist'!AA24</f>
        <v>54.725534288631053</v>
      </c>
      <c r="AA24" s="456">
        <f>('C4-Sources'!AI25/'C4-Sources'!$AH25)*100</f>
        <v>45.274465711368947</v>
      </c>
      <c r="AB24" s="456">
        <f>('C4-Sources'!AJ25/'C4-Sources'!$AH25)*100</f>
        <v>35.869548678986732</v>
      </c>
      <c r="AC24" s="456">
        <f>('C4-Sources'!AK25/'C4-Sources'!$AH25)*100</f>
        <v>20.188483434527381</v>
      </c>
      <c r="AD24" s="456">
        <f>('C4-Sources'!AL25/'C4-Sources'!$AH25)*100</f>
        <v>15.532074212924751</v>
      </c>
      <c r="AE24" s="456">
        <f>('C4-Sources'!AM25/'C4-Sources'!$AH25)*100</f>
        <v>7.9781459311515066</v>
      </c>
      <c r="AF24" s="456">
        <f>('C4-Sources'!AN25/'C4-Sources'!$AH25)*100</f>
        <v>2.6828992317579838</v>
      </c>
      <c r="AG24" s="458"/>
      <c r="AH24" s="456">
        <f>100-'C6-Source Dist'!AI24</f>
        <v>38.541501612934567</v>
      </c>
      <c r="AI24" s="456">
        <f>('C4-Sources'!AQ25/'C4-Sources'!$AP25)*100</f>
        <v>61.458498387065433</v>
      </c>
      <c r="AJ24" s="456">
        <f>('C4-Sources'!AR25/'C4-Sources'!$AP25)*100</f>
        <v>52.891590236887623</v>
      </c>
      <c r="AK24" s="456">
        <f>('C4-Sources'!AS25/'C4-Sources'!$AP25)*100</f>
        <v>36.188228793797002</v>
      </c>
      <c r="AL24" s="456">
        <f>('C4-Sources'!AT25/'C4-Sources'!$AP25)*100</f>
        <v>29.669490205794908</v>
      </c>
      <c r="AM24" s="456">
        <f>('C4-Sources'!AU25/'C4-Sources'!$AP25)*100</f>
        <v>17.909057832449136</v>
      </c>
      <c r="AN24" s="456">
        <f>('C4-Sources'!AV25/'C4-Sources'!$AP25)*100</f>
        <v>7.4517107600225421</v>
      </c>
      <c r="AO24" s="458"/>
      <c r="AP24" s="456">
        <f>100-'C6-Source Dist'!AQ24</f>
        <v>60.929614743359195</v>
      </c>
      <c r="AQ24" s="456">
        <f>('C4-Sources'!AY25/'C4-Sources'!$AX25)*100</f>
        <v>39.070385256640805</v>
      </c>
      <c r="AR24" s="456">
        <f>('C4-Sources'!AZ25/'C4-Sources'!$AX25)*100</f>
        <v>29.205559921389302</v>
      </c>
      <c r="AS24" s="456">
        <f>('C4-Sources'!BA25/'C4-Sources'!$AX25)*100</f>
        <v>16.146863831372347</v>
      </c>
      <c r="AT24" s="456">
        <f>('C4-Sources'!BB25/'C4-Sources'!$AX25)*100</f>
        <v>12.601678220212712</v>
      </c>
      <c r="AU24" s="456">
        <f>('C4-Sources'!BC25/'C4-Sources'!$AX25)*100</f>
        <v>7.0275360877048758</v>
      </c>
      <c r="AV24" s="456">
        <f>('C4-Sources'!BD25/'C4-Sources'!$AX25)*100</f>
        <v>2.7758404973539537</v>
      </c>
      <c r="AW24" s="456"/>
      <c r="AX24" s="456">
        <f>100-'C6-Source Dist'!AY24</f>
        <v>78.64125192080698</v>
      </c>
      <c r="AY24" s="456">
        <f>('C4-Sources'!BG25/'C4-Sources'!$BF25)*100</f>
        <v>21.35874807919302</v>
      </c>
      <c r="AZ24" s="456">
        <f>('C4-Sources'!BH25/'C4-Sources'!$BF25)*100</f>
        <v>12.221634892634473</v>
      </c>
      <c r="BA24" s="456">
        <f>('C4-Sources'!BI25/'C4-Sources'!$BF25)*100</f>
        <v>3.3554473099297843</v>
      </c>
      <c r="BB24" s="456">
        <f>('C4-Sources'!BJ25/'C4-Sources'!$BF25)*100</f>
        <v>1.969310175478747</v>
      </c>
      <c r="BC24" s="456">
        <f>('C4-Sources'!BK25/'C4-Sources'!$BF25)*100</f>
        <v>0.60680665274382206</v>
      </c>
      <c r="BD24" s="456">
        <f>('C4-Sources'!BL25/'C4-Sources'!$BF25)*100</f>
        <v>9.9546548575717042E-2</v>
      </c>
      <c r="BE24" s="458"/>
      <c r="BF24" s="456">
        <f>100-'C6-Source Dist'!BG24</f>
        <v>61.737946835135673</v>
      </c>
      <c r="BG24" s="456">
        <f>('C4-Sources'!BO25/'C4-Sources'!$BN25)*100</f>
        <v>38.262053164864327</v>
      </c>
      <c r="BH24" s="456">
        <f>('C4-Sources'!BP25/'C4-Sources'!$BN25)*100</f>
        <v>26.153289568991454</v>
      </c>
      <c r="BI24" s="456">
        <f>('C4-Sources'!BQ25/'C4-Sources'!$BN25)*100</f>
        <v>11.745052356301096</v>
      </c>
      <c r="BJ24" s="456">
        <f>('C4-Sources'!BR25/'C4-Sources'!$BN25)*100</f>
        <v>8.5125820223624924</v>
      </c>
      <c r="BK24" s="456">
        <f>('C4-Sources'!BS25/'C4-Sources'!$BN25)*100</f>
        <v>3.5637536930792928</v>
      </c>
      <c r="BL24" s="456">
        <f>('C4-Sources'!BT25/'C4-Sources'!$BN25)*100</f>
        <v>1.1404190748866847</v>
      </c>
    </row>
    <row r="25" spans="1:64" s="452" customFormat="1" ht="12" x14ac:dyDescent="0.25">
      <c r="A25" s="239">
        <v>1979</v>
      </c>
      <c r="B25" s="456">
        <f t="shared" si="0"/>
        <v>75.721497246830779</v>
      </c>
      <c r="C25" s="456">
        <f>('C4-Sources'!K26/'C4-Sources'!$J26)*100</f>
        <v>24.278502753169214</v>
      </c>
      <c r="D25" s="456">
        <f>('C4-Sources'!L26/'C4-Sources'!$J26)*100</f>
        <v>13.607221841110576</v>
      </c>
      <c r="E25" s="456">
        <f>('C4-Sources'!M26/'C4-Sources'!$J26)*100</f>
        <v>3.7197109920682565</v>
      </c>
      <c r="F25" s="456">
        <f>('C4-Sources'!N26/'C4-Sources'!$J26)*100</f>
        <v>2.2147769258706655</v>
      </c>
      <c r="G25" s="456">
        <f>('C4-Sources'!O26/'C4-Sources'!$J26)*100</f>
        <v>0.68471656166820727</v>
      </c>
      <c r="H25" s="456">
        <f>('C4-Sources'!P26/'C4-Sources'!$J26)*100</f>
        <v>0.1180516597115817</v>
      </c>
      <c r="I25" s="457"/>
      <c r="J25" s="456">
        <f>100-'C6-Source Dist'!K25</f>
        <v>50.644006236709174</v>
      </c>
      <c r="K25" s="456">
        <f>('C4-Sources'!S26/'C4-Sources'!$R26)*100</f>
        <v>49.355993763290826</v>
      </c>
      <c r="L25" s="456">
        <f>('C4-Sources'!T26/'C4-Sources'!$R26)*100</f>
        <v>39.914454081780463</v>
      </c>
      <c r="M25" s="456">
        <f>('C4-Sources'!U26/'C4-Sources'!$R26)*100</f>
        <v>20.043478809464453</v>
      </c>
      <c r="N25" s="456">
        <f>('C4-Sources'!V26/'C4-Sources'!$R26)*100</f>
        <v>14.125585702246269</v>
      </c>
      <c r="O25" s="456">
        <f>('C4-Sources'!W26/'C4-Sources'!$R26)*100</f>
        <v>6.1711578729019561</v>
      </c>
      <c r="P25" s="456">
        <f>('C4-Sources'!X26/'C4-Sources'!$R26)*100</f>
        <v>2.0545718048539543</v>
      </c>
      <c r="Q25" s="456"/>
      <c r="R25" s="456">
        <f>100-'C6-Source Dist'!S25</f>
        <v>19.860035448407999</v>
      </c>
      <c r="S25" s="456">
        <f>('C4-Sources'!AA26/'C4-Sources'!$Z26)*100</f>
        <v>80.139964551592001</v>
      </c>
      <c r="T25" s="456">
        <f>('C4-Sources'!AB26/'C4-Sources'!$Z26)*100</f>
        <v>73.249506303168303</v>
      </c>
      <c r="U25" s="456">
        <f>('C4-Sources'!AC26/'C4-Sources'!$Z26)*100</f>
        <v>53.264401840891132</v>
      </c>
      <c r="V25" s="456">
        <f>('C4-Sources'!AD26/'C4-Sources'!$Z26)*100</f>
        <v>44.211106740722762</v>
      </c>
      <c r="W25" s="456">
        <f>('C4-Sources'!AE26/'C4-Sources'!$Z26)*100</f>
        <v>27.005233736004087</v>
      </c>
      <c r="X25" s="456">
        <f>('C4-Sources'!AF26/'C4-Sources'!$Z26)*100</f>
        <v>11.234954603925001</v>
      </c>
      <c r="Y25" s="458"/>
      <c r="Z25" s="456">
        <f>100-'C6-Source Dist'!AA25</f>
        <v>55.259494193496508</v>
      </c>
      <c r="AA25" s="456">
        <f>('C4-Sources'!AI26/'C4-Sources'!$AH26)*100</f>
        <v>44.740505806503492</v>
      </c>
      <c r="AB25" s="456">
        <f>('C4-Sources'!AJ26/'C4-Sources'!$AH26)*100</f>
        <v>35.99876845088157</v>
      </c>
      <c r="AC25" s="456">
        <f>('C4-Sources'!AK26/'C4-Sources'!$AH26)*100</f>
        <v>20.356980563438906</v>
      </c>
      <c r="AD25" s="456">
        <f>('C4-Sources'!AL26/'C4-Sources'!$AH26)*100</f>
        <v>15.394952897836104</v>
      </c>
      <c r="AE25" s="456">
        <f>('C4-Sources'!AM26/'C4-Sources'!$AH26)*100</f>
        <v>7.8521881716659827</v>
      </c>
      <c r="AF25" s="456">
        <f>('C4-Sources'!AN26/'C4-Sources'!$AH26)*100</f>
        <v>2.632323421876869</v>
      </c>
      <c r="AG25" s="458"/>
      <c r="AH25" s="456">
        <f>100-'C6-Source Dist'!AI25</f>
        <v>38.096677654666621</v>
      </c>
      <c r="AI25" s="456">
        <f>('C4-Sources'!AQ26/'C4-Sources'!$AP26)*100</f>
        <v>61.903322345333379</v>
      </c>
      <c r="AJ25" s="456">
        <f>('C4-Sources'!AR26/'C4-Sources'!$AP26)*100</f>
        <v>53.928985913410358</v>
      </c>
      <c r="AK25" s="456">
        <f>('C4-Sources'!AS26/'C4-Sources'!$AP26)*100</f>
        <v>37.505792141477073</v>
      </c>
      <c r="AL25" s="456">
        <f>('C4-Sources'!AT26/'C4-Sources'!$AP26)*100</f>
        <v>31.11983008359292</v>
      </c>
      <c r="AM25" s="456">
        <f>('C4-Sources'!AU26/'C4-Sources'!$AP26)*100</f>
        <v>19.293821231418317</v>
      </c>
      <c r="AN25" s="456">
        <f>('C4-Sources'!AV26/'C4-Sources'!$AP26)*100</f>
        <v>8.4362151403730135</v>
      </c>
      <c r="AO25" s="458"/>
      <c r="AP25" s="456">
        <f>100-'C6-Source Dist'!AQ25</f>
        <v>60.51546676245092</v>
      </c>
      <c r="AQ25" s="456">
        <f>('C4-Sources'!AY26/'C4-Sources'!$AX26)*100</f>
        <v>39.48453323754908</v>
      </c>
      <c r="AR25" s="456">
        <f>('C4-Sources'!AZ26/'C4-Sources'!$AX26)*100</f>
        <v>29.977587921275251</v>
      </c>
      <c r="AS25" s="456">
        <f>('C4-Sources'!BA26/'C4-Sources'!$AX26)*100</f>
        <v>16.969946133742894</v>
      </c>
      <c r="AT25" s="456">
        <f>('C4-Sources'!BB26/'C4-Sources'!$AX26)*100</f>
        <v>13.360553971537211</v>
      </c>
      <c r="AU25" s="456">
        <f>('C4-Sources'!BC26/'C4-Sources'!$AX26)*100</f>
        <v>7.6396698007109505</v>
      </c>
      <c r="AV25" s="456">
        <f>('C4-Sources'!BD26/'C4-Sources'!$AX26)*100</f>
        <v>3.1592233758995261</v>
      </c>
      <c r="AW25" s="456"/>
      <c r="AX25" s="456">
        <f>100-'C6-Source Dist'!AY25</f>
        <v>78.362155708354834</v>
      </c>
      <c r="AY25" s="456">
        <f>('C4-Sources'!BG26/'C4-Sources'!$BF26)*100</f>
        <v>21.637844291645159</v>
      </c>
      <c r="AZ25" s="456">
        <f>('C4-Sources'!BH26/'C4-Sources'!$BF26)*100</f>
        <v>12.447567824509138</v>
      </c>
      <c r="BA25" s="456">
        <f>('C4-Sources'!BI26/'C4-Sources'!$BF26)*100</f>
        <v>3.498806346180213</v>
      </c>
      <c r="BB25" s="456">
        <f>('C4-Sources'!BJ26/'C4-Sources'!$BF26)*100</f>
        <v>2.0761681479686631</v>
      </c>
      <c r="BC25" s="456">
        <f>('C4-Sources'!BK26/'C4-Sources'!$BF26)*100</f>
        <v>0.65558819234457366</v>
      </c>
      <c r="BD25" s="456">
        <f>('C4-Sources'!BL26/'C4-Sources'!$BF26)*100</f>
        <v>0.11181804040157389</v>
      </c>
      <c r="BE25" s="458"/>
      <c r="BF25" s="456">
        <f>100-'C6-Source Dist'!BG25</f>
        <v>59.16602001958212</v>
      </c>
      <c r="BG25" s="456">
        <f>('C4-Sources'!BO26/'C4-Sources'!$BN26)*100</f>
        <v>40.83397998041788</v>
      </c>
      <c r="BH25" s="456">
        <f>('C4-Sources'!BP26/'C4-Sources'!$BN26)*100</f>
        <v>28.344538729781693</v>
      </c>
      <c r="BI25" s="456">
        <f>('C4-Sources'!BQ26/'C4-Sources'!$BN26)*100</f>
        <v>12.863317804944108</v>
      </c>
      <c r="BJ25" s="456">
        <f>('C4-Sources'!BR26/'C4-Sources'!$BN26)*100</f>
        <v>9.546589452984465</v>
      </c>
      <c r="BK25" s="456">
        <f>('C4-Sources'!BS26/'C4-Sources'!$BN26)*100</f>
        <v>4.460682290427564</v>
      </c>
      <c r="BL25" s="456">
        <f>('C4-Sources'!BT26/'C4-Sources'!$BN26)*100</f>
        <v>1.6310115972383175</v>
      </c>
    </row>
    <row r="26" spans="1:64" s="452" customFormat="1" ht="12" x14ac:dyDescent="0.25">
      <c r="A26" s="239">
        <v>1980</v>
      </c>
      <c r="B26" s="456">
        <f t="shared" si="0"/>
        <v>74.496859834232367</v>
      </c>
      <c r="C26" s="456">
        <f>('C4-Sources'!K27/'C4-Sources'!$J27)*100</f>
        <v>25.503140165767636</v>
      </c>
      <c r="D26" s="456">
        <f>('C4-Sources'!L27/'C4-Sources'!$J27)*100</f>
        <v>14.511896175776078</v>
      </c>
      <c r="E26" s="456">
        <f>('C4-Sources'!M27/'C4-Sources'!$J27)*100</f>
        <v>4.025264759721912</v>
      </c>
      <c r="F26" s="456">
        <f>('C4-Sources'!N27/'C4-Sources'!$J27)*100</f>
        <v>2.4278411853025057</v>
      </c>
      <c r="G26" s="456">
        <f>('C4-Sources'!O27/'C4-Sources'!$J27)*100</f>
        <v>0.785311382823908</v>
      </c>
      <c r="H26" s="456">
        <f>('C4-Sources'!P27/'C4-Sources'!$J27)*100</f>
        <v>0.147500818509647</v>
      </c>
      <c r="I26" s="457"/>
      <c r="J26" s="456">
        <f>100-'C6-Source Dist'!K26</f>
        <v>51.723373785758127</v>
      </c>
      <c r="K26" s="456">
        <f>('C4-Sources'!S27/'C4-Sources'!$R27)*100</f>
        <v>48.276626214241873</v>
      </c>
      <c r="L26" s="456">
        <f>('C4-Sources'!T27/'C4-Sources'!$R27)*100</f>
        <v>38.95302142721642</v>
      </c>
      <c r="M26" s="456">
        <f>('C4-Sources'!U27/'C4-Sources'!$R27)*100</f>
        <v>20.241362296048354</v>
      </c>
      <c r="N26" s="456">
        <f>('C4-Sources'!V27/'C4-Sources'!$R27)*100</f>
        <v>14.56653872184196</v>
      </c>
      <c r="O26" s="456">
        <f>('C4-Sources'!W27/'C4-Sources'!$R27)*100</f>
        <v>6.6519195316506501</v>
      </c>
      <c r="P26" s="456">
        <f>('C4-Sources'!X27/'C4-Sources'!$R27)*100</f>
        <v>2.2971779499877871</v>
      </c>
      <c r="Q26" s="456"/>
      <c r="R26" s="456">
        <f>100-'C6-Source Dist'!S26</f>
        <v>22.023212967111931</v>
      </c>
      <c r="S26" s="456">
        <f>('C4-Sources'!AA27/'C4-Sources'!$Z27)*100</f>
        <v>77.976787032888069</v>
      </c>
      <c r="T26" s="456">
        <f>('C4-Sources'!AB27/'C4-Sources'!$Z27)*100</f>
        <v>71.251093509694144</v>
      </c>
      <c r="U26" s="456">
        <f>('C4-Sources'!AC27/'C4-Sources'!$Z27)*100</f>
        <v>51.230968826327093</v>
      </c>
      <c r="V26" s="456">
        <f>('C4-Sources'!AD27/'C4-Sources'!$Z27)*100</f>
        <v>41.804347002101764</v>
      </c>
      <c r="W26" s="456">
        <f>('C4-Sources'!AE27/'C4-Sources'!$Z27)*100</f>
        <v>24.685453866514216</v>
      </c>
      <c r="X26" s="456">
        <f>('C4-Sources'!AF27/'C4-Sources'!$Z27)*100</f>
        <v>10.526776352029225</v>
      </c>
      <c r="Y26" s="458"/>
      <c r="Z26" s="456">
        <f>100-'C6-Source Dist'!AA26</f>
        <v>57.121385309371938</v>
      </c>
      <c r="AA26" s="456">
        <f>('C4-Sources'!AI27/'C4-Sources'!$AH27)*100</f>
        <v>42.878614690628062</v>
      </c>
      <c r="AB26" s="456">
        <f>('C4-Sources'!AJ27/'C4-Sources'!$AH27)*100</f>
        <v>33.819673174866054</v>
      </c>
      <c r="AC26" s="456">
        <f>('C4-Sources'!AK27/'C4-Sources'!$AH27)*100</f>
        <v>18.462885755816945</v>
      </c>
      <c r="AD26" s="456">
        <f>('C4-Sources'!AL27/'C4-Sources'!$AH27)*100</f>
        <v>13.990148039097125</v>
      </c>
      <c r="AE26" s="456">
        <f>('C4-Sources'!AM27/'C4-Sources'!$AH27)*100</f>
        <v>7.0818769085613118</v>
      </c>
      <c r="AF26" s="456">
        <f>('C4-Sources'!AN27/'C4-Sources'!$AH27)*100</f>
        <v>2.4206367426299265</v>
      </c>
      <c r="AG26" s="458"/>
      <c r="AH26" s="456">
        <f>100-'C6-Source Dist'!AI26</f>
        <v>38.415438561549095</v>
      </c>
      <c r="AI26" s="456">
        <f>('C4-Sources'!AQ27/'C4-Sources'!$AP27)*100</f>
        <v>61.584561438450905</v>
      </c>
      <c r="AJ26" s="456">
        <f>('C4-Sources'!AR27/'C4-Sources'!$AP27)*100</f>
        <v>53.817806763485478</v>
      </c>
      <c r="AK26" s="456">
        <f>('C4-Sources'!AS27/'C4-Sources'!$AP27)*100</f>
        <v>36.996970000000005</v>
      </c>
      <c r="AL26" s="456">
        <f>('C4-Sources'!AT27/'C4-Sources'!$AP27)*100</f>
        <v>30.210829294605805</v>
      </c>
      <c r="AM26" s="456">
        <f>('C4-Sources'!AU27/'C4-Sources'!$AP27)*100</f>
        <v>18.093761728907332</v>
      </c>
      <c r="AN26" s="456">
        <f>('C4-Sources'!AV27/'C4-Sources'!$AP27)*100</f>
        <v>7.8429327441217156</v>
      </c>
      <c r="AO26" s="458"/>
      <c r="AP26" s="456">
        <f>100-'C6-Source Dist'!AQ26</f>
        <v>59.300026323459285</v>
      </c>
      <c r="AQ26" s="456">
        <f>('C4-Sources'!AY27/'C4-Sources'!$AX27)*100</f>
        <v>40.699973676540715</v>
      </c>
      <c r="AR26" s="456">
        <f>('C4-Sources'!AZ27/'C4-Sources'!$AX27)*100</f>
        <v>31.124080758836303</v>
      </c>
      <c r="AS26" s="456">
        <f>('C4-Sources'!BA27/'C4-Sources'!$AX27)*100</f>
        <v>17.621131882253191</v>
      </c>
      <c r="AT26" s="456">
        <f>('C4-Sources'!BB27/'C4-Sources'!$AX27)*100</f>
        <v>13.771994873085683</v>
      </c>
      <c r="AU26" s="456">
        <f>('C4-Sources'!BC27/'C4-Sources'!$AX27)*100</f>
        <v>7.6988175732605564</v>
      </c>
      <c r="AV26" s="456">
        <f>('C4-Sources'!BD27/'C4-Sources'!$AX27)*100</f>
        <v>3.1771235427375331</v>
      </c>
      <c r="AW26" s="456"/>
      <c r="AX26" s="456">
        <f>100-'C6-Source Dist'!AY26</f>
        <v>77.349260395341688</v>
      </c>
      <c r="AY26" s="456">
        <f>('C4-Sources'!BG27/'C4-Sources'!$BF27)*100</f>
        <v>22.650739604658316</v>
      </c>
      <c r="AZ26" s="456">
        <f>('C4-Sources'!BH27/'C4-Sources'!$BF27)*100</f>
        <v>13.149425703107658</v>
      </c>
      <c r="BA26" s="456">
        <f>('C4-Sources'!BI27/'C4-Sources'!$BF27)*100</f>
        <v>3.8048857258360691</v>
      </c>
      <c r="BB26" s="456">
        <f>('C4-Sources'!BJ27/'C4-Sources'!$BF27)*100</f>
        <v>2.2662304582796398</v>
      </c>
      <c r="BC26" s="456">
        <f>('C4-Sources'!BK27/'C4-Sources'!$BF27)*100</f>
        <v>0.72481900264559729</v>
      </c>
      <c r="BD26" s="456">
        <f>('C4-Sources'!BL27/'C4-Sources'!$BF27)*100</f>
        <v>0.13695313686806096</v>
      </c>
      <c r="BE26" s="458"/>
      <c r="BF26" s="456">
        <f>100-'C6-Source Dist'!BG26</f>
        <v>58.281693325319004</v>
      </c>
      <c r="BG26" s="456">
        <f>('C4-Sources'!BO27/'C4-Sources'!$BN27)*100</f>
        <v>41.718306674680996</v>
      </c>
      <c r="BH26" s="456">
        <f>('C4-Sources'!BP27/'C4-Sources'!$BN27)*100</f>
        <v>29.974105560642744</v>
      </c>
      <c r="BI26" s="456">
        <f>('C4-Sources'!BQ27/'C4-Sources'!$BN27)*100</f>
        <v>14.54943176414282</v>
      </c>
      <c r="BJ26" s="456">
        <f>('C4-Sources'!BR27/'C4-Sources'!$BN27)*100</f>
        <v>10.90736520742804</v>
      </c>
      <c r="BK26" s="456">
        <f>('C4-Sources'!BS27/'C4-Sources'!$BN27)*100</f>
        <v>5.3718079457254735</v>
      </c>
      <c r="BL26" s="456">
        <f>('C4-Sources'!BT27/'C4-Sources'!$BN27)*100</f>
        <v>1.9209712937756089</v>
      </c>
    </row>
    <row r="27" spans="1:64" s="452" customFormat="1" ht="12" x14ac:dyDescent="0.25">
      <c r="A27" s="239">
        <v>1981</v>
      </c>
      <c r="B27" s="456">
        <f t="shared" si="0"/>
        <v>74.41009637578972</v>
      </c>
      <c r="C27" s="456">
        <f>('C4-Sources'!K28/'C4-Sources'!$J28)*100</f>
        <v>25.58990362421028</v>
      </c>
      <c r="D27" s="456">
        <f>('C4-Sources'!L28/'C4-Sources'!$J28)*100</f>
        <v>14.449842180905645</v>
      </c>
      <c r="E27" s="456">
        <f>('C4-Sources'!M28/'C4-Sources'!$J28)*100</f>
        <v>4.0984508218936897</v>
      </c>
      <c r="F27" s="456">
        <f>('C4-Sources'!N28/'C4-Sources'!$J28)*100</f>
        <v>2.5021248955068534</v>
      </c>
      <c r="G27" s="456">
        <f>('C4-Sources'!O28/'C4-Sources'!$J28)*100</f>
        <v>0.81515793952227789</v>
      </c>
      <c r="H27" s="456">
        <f>('C4-Sources'!P28/'C4-Sources'!$J28)*100</f>
        <v>0.15774812789649167</v>
      </c>
      <c r="I27" s="457"/>
      <c r="J27" s="456">
        <f>100-'C6-Source Dist'!K27</f>
        <v>53.177328733053301</v>
      </c>
      <c r="K27" s="456">
        <f>('C4-Sources'!S28/'C4-Sources'!$R28)*100</f>
        <v>46.822671266946699</v>
      </c>
      <c r="L27" s="456">
        <f>('C4-Sources'!T28/'C4-Sources'!$R28)*100</f>
        <v>37.904882860376787</v>
      </c>
      <c r="M27" s="456">
        <f>('C4-Sources'!U28/'C4-Sources'!$R28)*100</f>
        <v>19.877697232688586</v>
      </c>
      <c r="N27" s="456">
        <f>('C4-Sources'!V28/'C4-Sources'!$R28)*100</f>
        <v>14.382888657594888</v>
      </c>
      <c r="O27" s="456">
        <f>('C4-Sources'!W28/'C4-Sources'!$R28)*100</f>
        <v>6.9421068229494178</v>
      </c>
      <c r="P27" s="456">
        <f>('C4-Sources'!X28/'C4-Sources'!$R28)*100</f>
        <v>2.5334420588072541</v>
      </c>
      <c r="Q27" s="456"/>
      <c r="R27" s="456">
        <f>100-'C6-Source Dist'!S27</f>
        <v>26.737315497575793</v>
      </c>
      <c r="S27" s="456">
        <f>('C4-Sources'!AA28/'C4-Sources'!$Z28)*100</f>
        <v>73.262684502424207</v>
      </c>
      <c r="T27" s="456">
        <f>('C4-Sources'!AB28/'C4-Sources'!$Z28)*100</f>
        <v>65.528450158891857</v>
      </c>
      <c r="U27" s="456">
        <f>('C4-Sources'!AC28/'C4-Sources'!$Z28)*100</f>
        <v>43.578973414183849</v>
      </c>
      <c r="V27" s="456">
        <f>('C4-Sources'!AD28/'C4-Sources'!$Z28)*100</f>
        <v>34.819533044050637</v>
      </c>
      <c r="W27" s="456">
        <f>('C4-Sources'!AE28/'C4-Sources'!$Z28)*100</f>
        <v>20.26363924925586</v>
      </c>
      <c r="X27" s="456">
        <f>('C4-Sources'!AF28/'C4-Sources'!$Z28)*100</f>
        <v>8.6948564393199863</v>
      </c>
      <c r="Y27" s="458"/>
      <c r="Z27" s="456">
        <f>100-'C6-Source Dist'!AA27</f>
        <v>55.523313924227899</v>
      </c>
      <c r="AA27" s="456">
        <f>('C4-Sources'!AI28/'C4-Sources'!$AH28)*100</f>
        <v>44.476686075772101</v>
      </c>
      <c r="AB27" s="456">
        <f>('C4-Sources'!AJ28/'C4-Sources'!$AH28)*100</f>
        <v>34.849722281413001</v>
      </c>
      <c r="AC27" s="456">
        <f>('C4-Sources'!AK28/'C4-Sources'!$AH28)*100</f>
        <v>18.638861246937307</v>
      </c>
      <c r="AD27" s="456">
        <f>('C4-Sources'!AL28/'C4-Sources'!$AH28)*100</f>
        <v>13.907312850520851</v>
      </c>
      <c r="AE27" s="456">
        <f>('C4-Sources'!AM28/'C4-Sources'!$AH28)*100</f>
        <v>7.1652726945581415</v>
      </c>
      <c r="AF27" s="456">
        <f>('C4-Sources'!AN28/'C4-Sources'!$AH28)*100</f>
        <v>2.505822499035435</v>
      </c>
      <c r="AG27" s="458"/>
      <c r="AH27" s="456">
        <f>100-'C6-Source Dist'!AI27</f>
        <v>42.541035939999325</v>
      </c>
      <c r="AI27" s="456">
        <f>('C4-Sources'!AQ28/'C4-Sources'!$AP28)*100</f>
        <v>57.458964060000675</v>
      </c>
      <c r="AJ27" s="456">
        <f>('C4-Sources'!AR28/'C4-Sources'!$AP28)*100</f>
        <v>48.936978500878084</v>
      </c>
      <c r="AK27" s="456">
        <f>('C4-Sources'!AS28/'C4-Sources'!$AP28)*100</f>
        <v>31.886871900133112</v>
      </c>
      <c r="AL27" s="456">
        <f>('C4-Sources'!AT28/'C4-Sources'!$AP28)*100</f>
        <v>25.82027332520498</v>
      </c>
      <c r="AM27" s="456">
        <f>('C4-Sources'!AU28/'C4-Sources'!$AP28)*100</f>
        <v>15.421531750914442</v>
      </c>
      <c r="AN27" s="456">
        <f>('C4-Sources'!AV28/'C4-Sources'!$AP28)*100</f>
        <v>6.7387401648788021</v>
      </c>
      <c r="AO27" s="458"/>
      <c r="AP27" s="456">
        <f>100-'C6-Source Dist'!AQ27</f>
        <v>61.847479101187517</v>
      </c>
      <c r="AQ27" s="456">
        <f>('C4-Sources'!AY28/'C4-Sources'!$AX28)*100</f>
        <v>38.152520898812483</v>
      </c>
      <c r="AR27" s="456">
        <f>('C4-Sources'!AZ28/'C4-Sources'!$AX28)*100</f>
        <v>28.145403086112498</v>
      </c>
      <c r="AS27" s="456">
        <f>('C4-Sources'!BA28/'C4-Sources'!$AX28)*100</f>
        <v>14.88280078219441</v>
      </c>
      <c r="AT27" s="456">
        <f>('C4-Sources'!BB28/'C4-Sources'!$AX28)*100</f>
        <v>11.41943591267866</v>
      </c>
      <c r="AU27" s="456">
        <f>('C4-Sources'!BC28/'C4-Sources'!$AX28)*100</f>
        <v>6.2747206726871934</v>
      </c>
      <c r="AV27" s="456">
        <f>('C4-Sources'!BD28/'C4-Sources'!$AX28)*100</f>
        <v>2.5773648481831759</v>
      </c>
      <c r="AW27" s="456"/>
      <c r="AX27" s="456">
        <f>100-'C6-Source Dist'!AY27</f>
        <v>77.745765137177386</v>
      </c>
      <c r="AY27" s="456">
        <f>('C4-Sources'!BG28/'C4-Sources'!$BF28)*100</f>
        <v>22.254234862822614</v>
      </c>
      <c r="AZ27" s="456">
        <f>('C4-Sources'!BH28/'C4-Sources'!$BF28)*100</f>
        <v>12.785898321958832</v>
      </c>
      <c r="BA27" s="456">
        <f>('C4-Sources'!BI28/'C4-Sources'!$BF28)*100</f>
        <v>3.5719574140952828</v>
      </c>
      <c r="BB27" s="456">
        <f>('C4-Sources'!BJ28/'C4-Sources'!$BF28)*100</f>
        <v>2.147504452448131</v>
      </c>
      <c r="BC27" s="456">
        <f>('C4-Sources'!BK28/'C4-Sources'!$BF28)*100</f>
        <v>0.6793294803635227</v>
      </c>
      <c r="BD27" s="456">
        <f>('C4-Sources'!BL28/'C4-Sources'!$BF28)*100</f>
        <v>0.13284026216391598</v>
      </c>
      <c r="BE27" s="458"/>
      <c r="BF27" s="456">
        <f>100-'C6-Source Dist'!BG27</f>
        <v>61.012337652658168</v>
      </c>
      <c r="BG27" s="456">
        <f>('C4-Sources'!BO28/'C4-Sources'!$BN28)*100</f>
        <v>38.987662347341832</v>
      </c>
      <c r="BH27" s="456">
        <f>('C4-Sources'!BP28/'C4-Sources'!$BN28)*100</f>
        <v>27.754280572792943</v>
      </c>
      <c r="BI27" s="456">
        <f>('C4-Sources'!BQ28/'C4-Sources'!$BN28)*100</f>
        <v>12.28292859662198</v>
      </c>
      <c r="BJ27" s="456">
        <f>('C4-Sources'!BR28/'C4-Sources'!$BN28)*100</f>
        <v>9.0763452441021304</v>
      </c>
      <c r="BK27" s="456">
        <f>('C4-Sources'!BS28/'C4-Sources'!$BN28)*100</f>
        <v>4.1850958089934016</v>
      </c>
      <c r="BL27" s="456">
        <f>('C4-Sources'!BT28/'C4-Sources'!$BN28)*100</f>
        <v>1.3533878926270015</v>
      </c>
    </row>
    <row r="28" spans="1:64" s="452" customFormat="1" ht="12" x14ac:dyDescent="0.25">
      <c r="A28" s="239">
        <v>1982</v>
      </c>
      <c r="B28" s="456">
        <f t="shared" si="0"/>
        <v>72.484593929850291</v>
      </c>
      <c r="C28" s="456">
        <f>('C4-Sources'!K29/'C4-Sources'!$J29)*100</f>
        <v>27.515406070149705</v>
      </c>
      <c r="D28" s="456">
        <f>('C4-Sources'!L29/'C4-Sources'!$J29)*100</f>
        <v>15.664573309544656</v>
      </c>
      <c r="E28" s="456">
        <f>('C4-Sources'!M29/'C4-Sources'!$J29)*100</f>
        <v>4.594259622940684</v>
      </c>
      <c r="F28" s="456">
        <f>('C4-Sources'!N29/'C4-Sources'!$J29)*100</f>
        <v>2.8348155518439953</v>
      </c>
      <c r="G28" s="456">
        <f>('C4-Sources'!O29/'C4-Sources'!$J29)*100</f>
        <v>0.9066549879004151</v>
      </c>
      <c r="H28" s="456">
        <f>('C4-Sources'!P29/'C4-Sources'!$J29)*100</f>
        <v>0.18094200855975168</v>
      </c>
      <c r="I28" s="457"/>
      <c r="J28" s="456">
        <f>100-'C6-Source Dist'!K28</f>
        <v>54.245971667806231</v>
      </c>
      <c r="K28" s="456">
        <f>('C4-Sources'!S29/'C4-Sources'!$R29)*100</f>
        <v>45.754028332193769</v>
      </c>
      <c r="L28" s="456">
        <f>('C4-Sources'!T29/'C4-Sources'!$R29)*100</f>
        <v>37.600327930212387</v>
      </c>
      <c r="M28" s="456">
        <f>('C4-Sources'!U29/'C4-Sources'!$R29)*100</f>
        <v>20.685406169316238</v>
      </c>
      <c r="N28" s="456">
        <f>('C4-Sources'!V29/'C4-Sources'!$R29)*100</f>
        <v>15.614466262044088</v>
      </c>
      <c r="O28" s="456">
        <f>('C4-Sources'!W29/'C4-Sources'!$R29)*100</f>
        <v>8.1868734410686255</v>
      </c>
      <c r="P28" s="456">
        <f>('C4-Sources'!X29/'C4-Sources'!$R29)*100</f>
        <v>3.2727962271378077</v>
      </c>
      <c r="Q28" s="456"/>
      <c r="R28" s="456">
        <f>100-'C6-Source Dist'!S28</f>
        <v>26.220992461399945</v>
      </c>
      <c r="S28" s="456">
        <f>('C4-Sources'!AA29/'C4-Sources'!$Z29)*100</f>
        <v>73.779007538600055</v>
      </c>
      <c r="T28" s="456">
        <f>('C4-Sources'!AB29/'C4-Sources'!$Z29)*100</f>
        <v>66.1315226734189</v>
      </c>
      <c r="U28" s="456">
        <f>('C4-Sources'!AC29/'C4-Sources'!$Z29)*100</f>
        <v>44.510235221623581</v>
      </c>
      <c r="V28" s="456">
        <f>('C4-Sources'!AD29/'C4-Sources'!$Z29)*100</f>
        <v>36.401528106469009</v>
      </c>
      <c r="W28" s="456">
        <f>('C4-Sources'!AE29/'C4-Sources'!$Z29)*100</f>
        <v>22.755286400462598</v>
      </c>
      <c r="X28" s="456">
        <f>('C4-Sources'!AF29/'C4-Sources'!$Z29)*100</f>
        <v>9.7579365464406731</v>
      </c>
      <c r="Y28" s="458"/>
      <c r="Z28" s="456">
        <f>100-'C6-Source Dist'!AA28</f>
        <v>57.133623016476903</v>
      </c>
      <c r="AA28" s="456">
        <f>('C4-Sources'!AI29/'C4-Sources'!$AH29)*100</f>
        <v>42.866376983523097</v>
      </c>
      <c r="AB28" s="456">
        <f>('C4-Sources'!AJ29/'C4-Sources'!$AH29)*100</f>
        <v>33.919524406881635</v>
      </c>
      <c r="AC28" s="456">
        <f>('C4-Sources'!AK29/'C4-Sources'!$AH29)*100</f>
        <v>18.233739225524641</v>
      </c>
      <c r="AD28" s="456">
        <f>('C4-Sources'!AL29/'C4-Sources'!$AH29)*100</f>
        <v>13.565686025077072</v>
      </c>
      <c r="AE28" s="456">
        <f>('C4-Sources'!AM29/'C4-Sources'!$AH29)*100</f>
        <v>7.462008186797239</v>
      </c>
      <c r="AF28" s="456">
        <f>('C4-Sources'!AN29/'C4-Sources'!$AH29)*100</f>
        <v>2.8681833986143572</v>
      </c>
      <c r="AG28" s="458"/>
      <c r="AH28" s="456">
        <f>100-'C6-Source Dist'!AI28</f>
        <v>43.742062691202918</v>
      </c>
      <c r="AI28" s="456">
        <f>('C4-Sources'!AQ29/'C4-Sources'!$AP29)*100</f>
        <v>56.257937308797082</v>
      </c>
      <c r="AJ28" s="456">
        <f>('C4-Sources'!AR29/'C4-Sources'!$AP29)*100</f>
        <v>47.683302304943822</v>
      </c>
      <c r="AK28" s="456">
        <f>('C4-Sources'!AS29/'C4-Sources'!$AP29)*100</f>
        <v>31.339230529413133</v>
      </c>
      <c r="AL28" s="456">
        <f>('C4-Sources'!AT29/'C4-Sources'!$AP29)*100</f>
        <v>25.809040283972813</v>
      </c>
      <c r="AM28" s="456">
        <f>('C4-Sources'!AU29/'C4-Sources'!$AP29)*100</f>
        <v>16.356652506947523</v>
      </c>
      <c r="AN28" s="456">
        <f>('C4-Sources'!AV29/'C4-Sources'!$AP29)*100</f>
        <v>7.2156690035263065</v>
      </c>
      <c r="AO28" s="458"/>
      <c r="AP28" s="456">
        <f>100-'C6-Source Dist'!AQ28</f>
        <v>61.897241139314538</v>
      </c>
      <c r="AQ28" s="456">
        <f>('C4-Sources'!AY29/'C4-Sources'!$AX29)*100</f>
        <v>38.102758860685462</v>
      </c>
      <c r="AR28" s="456">
        <f>('C4-Sources'!AZ29/'C4-Sources'!$AX29)*100</f>
        <v>27.924325379186648</v>
      </c>
      <c r="AS28" s="456">
        <f>('C4-Sources'!BA29/'C4-Sources'!$AX29)*100</f>
        <v>14.783793005029827</v>
      </c>
      <c r="AT28" s="456">
        <f>('C4-Sources'!BB29/'C4-Sources'!$AX29)*100</f>
        <v>11.456196030724842</v>
      </c>
      <c r="AU28" s="456">
        <f>('C4-Sources'!BC29/'C4-Sources'!$AX29)*100</f>
        <v>6.6466804187624282</v>
      </c>
      <c r="AV28" s="456">
        <f>('C4-Sources'!BD29/'C4-Sources'!$AX29)*100</f>
        <v>2.7771429134011774</v>
      </c>
      <c r="AW28" s="456"/>
      <c r="AX28" s="456">
        <f>100-'C6-Source Dist'!AY28</f>
        <v>75.885397294786884</v>
      </c>
      <c r="AY28" s="456">
        <f>('C4-Sources'!BG29/'C4-Sources'!$BF29)*100</f>
        <v>24.11460270521312</v>
      </c>
      <c r="AZ28" s="456">
        <f>('C4-Sources'!BH29/'C4-Sources'!$BF29)*100</f>
        <v>13.660118484221611</v>
      </c>
      <c r="BA28" s="456">
        <f>('C4-Sources'!BI29/'C4-Sources'!$BF29)*100</f>
        <v>3.8976344822312639</v>
      </c>
      <c r="BB28" s="456">
        <f>('C4-Sources'!BJ29/'C4-Sources'!$BF29)*100</f>
        <v>2.3476627879183067</v>
      </c>
      <c r="BC28" s="456">
        <f>('C4-Sources'!BK29/'C4-Sources'!$BF29)*100</f>
        <v>0.7398386853946558</v>
      </c>
      <c r="BD28" s="456">
        <f>('C4-Sources'!BL29/'C4-Sources'!$BF29)*100</f>
        <v>0.14370070842704508</v>
      </c>
      <c r="BE28" s="458"/>
      <c r="BF28" s="456">
        <f>100-'C6-Source Dist'!BG28</f>
        <v>66.713419422239951</v>
      </c>
      <c r="BG28" s="456">
        <f>('C4-Sources'!BO29/'C4-Sources'!$BN29)*100</f>
        <v>33.286580577760041</v>
      </c>
      <c r="BH28" s="456">
        <f>('C4-Sources'!BP29/'C4-Sources'!$BN29)*100</f>
        <v>24.165029416556177</v>
      </c>
      <c r="BI28" s="456">
        <f>('C4-Sources'!BQ29/'C4-Sources'!$BN29)*100</f>
        <v>11.213495799558645</v>
      </c>
      <c r="BJ28" s="456">
        <f>('C4-Sources'!BR29/'C4-Sources'!$BN29)*100</f>
        <v>8.4861411533853079</v>
      </c>
      <c r="BK28" s="456">
        <f>('C4-Sources'!BS29/'C4-Sources'!$BN29)*100</f>
        <v>3.9867157741389105</v>
      </c>
      <c r="BL28" s="456">
        <f>('C4-Sources'!BT29/'C4-Sources'!$BN29)*100</f>
        <v>1.2884434443511017</v>
      </c>
    </row>
    <row r="29" spans="1:64" s="452" customFormat="1" ht="12" x14ac:dyDescent="0.25">
      <c r="A29" s="239">
        <v>1983</v>
      </c>
      <c r="B29" s="456">
        <f t="shared" si="0"/>
        <v>71.596940871069037</v>
      </c>
      <c r="C29" s="456">
        <f>('C4-Sources'!K30/'C4-Sources'!$J30)*100</f>
        <v>28.403059128930963</v>
      </c>
      <c r="D29" s="456">
        <f>('C4-Sources'!L30/'C4-Sources'!$J30)*100</f>
        <v>16.694163257038216</v>
      </c>
      <c r="E29" s="456">
        <f>('C4-Sources'!M30/'C4-Sources'!$J30)*100</f>
        <v>4.979030331632182</v>
      </c>
      <c r="F29" s="456">
        <f>('C4-Sources'!N30/'C4-Sources'!$J30)*100</f>
        <v>3.1327951751714931</v>
      </c>
      <c r="G29" s="456">
        <f>('C4-Sources'!O30/'C4-Sources'!$J30)*100</f>
        <v>1.0951500674858652</v>
      </c>
      <c r="H29" s="456">
        <f>('C4-Sources'!P30/'C4-Sources'!$J30)*100</f>
        <v>0.23740611293382993</v>
      </c>
      <c r="I29" s="457"/>
      <c r="J29" s="456">
        <f>100-'C6-Source Dist'!K29</f>
        <v>53.96972549014437</v>
      </c>
      <c r="K29" s="456">
        <f>('C4-Sources'!S30/'C4-Sources'!$R30)*100</f>
        <v>46.03027450985563</v>
      </c>
      <c r="L29" s="456">
        <f>('C4-Sources'!T30/'C4-Sources'!$R30)*100</f>
        <v>37.465436198900562</v>
      </c>
      <c r="M29" s="456">
        <f>('C4-Sources'!U30/'C4-Sources'!$R30)*100</f>
        <v>21.437996805046357</v>
      </c>
      <c r="N29" s="456">
        <f>('C4-Sources'!V30/'C4-Sources'!$R30)*100</f>
        <v>16.319939067008765</v>
      </c>
      <c r="O29" s="456">
        <f>('C4-Sources'!W30/'C4-Sources'!$R30)*100</f>
        <v>8.7379549358817812</v>
      </c>
      <c r="P29" s="456">
        <f>('C4-Sources'!X30/'C4-Sources'!$R30)*100</f>
        <v>3.7996564257984047</v>
      </c>
      <c r="Q29" s="456"/>
      <c r="R29" s="456">
        <f>100-'C6-Source Dist'!S29</f>
        <v>26.76275345840989</v>
      </c>
      <c r="S29" s="456">
        <f>('C4-Sources'!AA30/'C4-Sources'!$Z30)*100</f>
        <v>73.23724654159011</v>
      </c>
      <c r="T29" s="456">
        <f>('C4-Sources'!AB30/'C4-Sources'!$Z30)*100</f>
        <v>65.597831435216307</v>
      </c>
      <c r="U29" s="456">
        <f>('C4-Sources'!AC30/'C4-Sources'!$Z30)*100</f>
        <v>45.255015438018944</v>
      </c>
      <c r="V29" s="456">
        <f>('C4-Sources'!AD30/'C4-Sources'!$Z30)*100</f>
        <v>36.918443564667498</v>
      </c>
      <c r="W29" s="456">
        <f>('C4-Sources'!AE30/'C4-Sources'!$Z30)*100</f>
        <v>22.005353842983748</v>
      </c>
      <c r="X29" s="456">
        <f>('C4-Sources'!AF30/'C4-Sources'!$Z30)*100</f>
        <v>9.554466752265899</v>
      </c>
      <c r="Y29" s="458"/>
      <c r="Z29" s="456">
        <f>100-'C6-Source Dist'!AA29</f>
        <v>58.283365408819037</v>
      </c>
      <c r="AA29" s="456">
        <f>('C4-Sources'!AI30/'C4-Sources'!$AH30)*100</f>
        <v>41.716634591180963</v>
      </c>
      <c r="AB29" s="456">
        <f>('C4-Sources'!AJ30/'C4-Sources'!$AH30)*100</f>
        <v>32.92994654374138</v>
      </c>
      <c r="AC29" s="456">
        <f>('C4-Sources'!AK30/'C4-Sources'!$AH30)*100</f>
        <v>17.807103883318547</v>
      </c>
      <c r="AD29" s="456">
        <f>('C4-Sources'!AL30/'C4-Sources'!$AH30)*100</f>
        <v>13.463862379626178</v>
      </c>
      <c r="AE29" s="456">
        <f>('C4-Sources'!AM30/'C4-Sources'!$AH30)*100</f>
        <v>7.0347811697738489</v>
      </c>
      <c r="AF29" s="456">
        <f>('C4-Sources'!AN30/'C4-Sources'!$AH30)*100</f>
        <v>2.5724166128538957</v>
      </c>
      <c r="AG29" s="458"/>
      <c r="AH29" s="456">
        <f>100-'C6-Source Dist'!AI29</f>
        <v>45.763106601530403</v>
      </c>
      <c r="AI29" s="456">
        <f>('C4-Sources'!AQ30/'C4-Sources'!$AP30)*100</f>
        <v>54.236893398469597</v>
      </c>
      <c r="AJ29" s="456">
        <f>('C4-Sources'!AR30/'C4-Sources'!$AP30)*100</f>
        <v>45.466789460031997</v>
      </c>
      <c r="AK29" s="456">
        <f>('C4-Sources'!AS30/'C4-Sources'!$AP30)*100</f>
        <v>29.64665533699365</v>
      </c>
      <c r="AL29" s="456">
        <f>('C4-Sources'!AT30/'C4-Sources'!$AP30)*100</f>
        <v>24.162088798581991</v>
      </c>
      <c r="AM29" s="456">
        <f>('C4-Sources'!AU30/'C4-Sources'!$AP30)*100</f>
        <v>14.595513579179459</v>
      </c>
      <c r="AN29" s="456">
        <f>('C4-Sources'!AV30/'C4-Sources'!$AP30)*100</f>
        <v>6.2472265435995</v>
      </c>
      <c r="AO29" s="458"/>
      <c r="AP29" s="456">
        <f>100-'C6-Source Dist'!AQ29</f>
        <v>62.381425315045398</v>
      </c>
      <c r="AQ29" s="456">
        <f>('C4-Sources'!AY30/'C4-Sources'!$AX30)*100</f>
        <v>37.618574684954602</v>
      </c>
      <c r="AR29" s="456">
        <f>('C4-Sources'!AZ30/'C4-Sources'!$AX30)*100</f>
        <v>27.481681040063837</v>
      </c>
      <c r="AS29" s="456">
        <f>('C4-Sources'!BA30/'C4-Sources'!$AX30)*100</f>
        <v>14.332722794682246</v>
      </c>
      <c r="AT29" s="456">
        <f>('C4-Sources'!BB30/'C4-Sources'!$AX30)*100</f>
        <v>11.039774544934431</v>
      </c>
      <c r="AU29" s="456">
        <f>('C4-Sources'!BC30/'C4-Sources'!$AX30)*100</f>
        <v>6.101864352067933</v>
      </c>
      <c r="AV29" s="456">
        <f>('C4-Sources'!BD30/'C4-Sources'!$AX30)*100</f>
        <v>2.4514144928409038</v>
      </c>
      <c r="AW29" s="456"/>
      <c r="AX29" s="456">
        <f>100-'C6-Source Dist'!AY29</f>
        <v>75.849034460474741</v>
      </c>
      <c r="AY29" s="456">
        <f>('C4-Sources'!BG30/'C4-Sources'!$BF30)*100</f>
        <v>24.150965539525259</v>
      </c>
      <c r="AZ29" s="456">
        <f>('C4-Sources'!BH30/'C4-Sources'!$BF30)*100</f>
        <v>14.148007167776122</v>
      </c>
      <c r="BA29" s="456">
        <f>('C4-Sources'!BI30/'C4-Sources'!$BF30)*100</f>
        <v>4.2044573506273855</v>
      </c>
      <c r="BB29" s="456">
        <f>('C4-Sources'!BJ30/'C4-Sources'!$BF30)*100</f>
        <v>2.6010267288293374</v>
      </c>
      <c r="BC29" s="456">
        <f>('C4-Sources'!BK30/'C4-Sources'!$BF30)*100</f>
        <v>0.8707865571383292</v>
      </c>
      <c r="BD29" s="456">
        <f>('C4-Sources'!BL30/'C4-Sources'!$BF30)*100</f>
        <v>0.17404332710972151</v>
      </c>
      <c r="BE29" s="458"/>
      <c r="BF29" s="456">
        <f>100-'C6-Source Dist'!BG29</f>
        <v>68.965685190734305</v>
      </c>
      <c r="BG29" s="456">
        <f>('C4-Sources'!BO30/'C4-Sources'!$BN30)*100</f>
        <v>31.034314809265691</v>
      </c>
      <c r="BH29" s="456">
        <f>('C4-Sources'!BP30/'C4-Sources'!$BN30)*100</f>
        <v>21.483335986494563</v>
      </c>
      <c r="BI29" s="456">
        <f>('C4-Sources'!BQ30/'C4-Sources'!$BN30)*100</f>
        <v>10.325226607456786</v>
      </c>
      <c r="BJ29" s="456">
        <f>('C4-Sources'!BR30/'C4-Sources'!$BN30)*100</f>
        <v>7.8829067436438152</v>
      </c>
      <c r="BK29" s="456">
        <f>('C4-Sources'!BS30/'C4-Sources'!$BN30)*100</f>
        <v>3.9275189006963194</v>
      </c>
      <c r="BL29" s="456">
        <f>('C4-Sources'!BT30/'C4-Sources'!$BN30)*100</f>
        <v>1.3620526003653506</v>
      </c>
    </row>
    <row r="30" spans="1:64" s="452" customFormat="1" ht="12" x14ac:dyDescent="0.25">
      <c r="A30" s="239">
        <v>1984</v>
      </c>
      <c r="B30" s="456">
        <f t="shared" si="0"/>
        <v>71.658337804539443</v>
      </c>
      <c r="C30" s="456">
        <f>('C4-Sources'!K31/'C4-Sources'!$J31)*100</f>
        <v>28.341662195460554</v>
      </c>
      <c r="D30" s="456">
        <f>('C4-Sources'!L31/'C4-Sources'!$J31)*100</f>
        <v>16.70949012771235</v>
      </c>
      <c r="E30" s="456">
        <f>('C4-Sources'!M31/'C4-Sources'!$J31)*100</f>
        <v>5.2197724715595495</v>
      </c>
      <c r="F30" s="456">
        <f>('C4-Sources'!N31/'C4-Sources'!$J31)*100</f>
        <v>3.3828686224847653</v>
      </c>
      <c r="G30" s="456">
        <f>('C4-Sources'!O31/'C4-Sources'!$J31)*100</f>
        <v>1.2640987659277647</v>
      </c>
      <c r="H30" s="456">
        <f>('C4-Sources'!P31/'C4-Sources'!$J31)*100</f>
        <v>0.28200407361865848</v>
      </c>
      <c r="I30" s="457"/>
      <c r="J30" s="456">
        <f>100-'C6-Source Dist'!K30</f>
        <v>52.830088743505286</v>
      </c>
      <c r="K30" s="456">
        <f>('C4-Sources'!S31/'C4-Sources'!$R31)*100</f>
        <v>47.169911256494714</v>
      </c>
      <c r="L30" s="456">
        <f>('C4-Sources'!T31/'C4-Sources'!$R31)*100</f>
        <v>38.331261444596358</v>
      </c>
      <c r="M30" s="456">
        <f>('C4-Sources'!U31/'C4-Sources'!$R31)*100</f>
        <v>21.998505877615582</v>
      </c>
      <c r="N30" s="456">
        <f>('C4-Sources'!V31/'C4-Sources'!$R31)*100</f>
        <v>16.742573296631388</v>
      </c>
      <c r="O30" s="456">
        <f>('C4-Sources'!W31/'C4-Sources'!$R31)*100</f>
        <v>9.4345647709168858</v>
      </c>
      <c r="P30" s="456">
        <f>('C4-Sources'!X31/'C4-Sources'!$R31)*100</f>
        <v>4.4631920168081214</v>
      </c>
      <c r="Q30" s="456"/>
      <c r="R30" s="456">
        <f>100-'C6-Source Dist'!S30</f>
        <v>28.818054054649821</v>
      </c>
      <c r="S30" s="456">
        <f>('C4-Sources'!AA31/'C4-Sources'!$Z31)*100</f>
        <v>71.181945945350179</v>
      </c>
      <c r="T30" s="456">
        <f>('C4-Sources'!AB31/'C4-Sources'!$Z31)*100</f>
        <v>63.091693833043003</v>
      </c>
      <c r="U30" s="456">
        <f>('C4-Sources'!AC31/'C4-Sources'!$Z31)*100</f>
        <v>43.102400309445152</v>
      </c>
      <c r="V30" s="456">
        <f>('C4-Sources'!AD31/'C4-Sources'!$Z31)*100</f>
        <v>33.909600857451366</v>
      </c>
      <c r="W30" s="456">
        <f>('C4-Sources'!AE31/'C4-Sources'!$Z31)*100</f>
        <v>19.580371878358772</v>
      </c>
      <c r="X30" s="456">
        <f>('C4-Sources'!AF31/'C4-Sources'!$Z31)*100</f>
        <v>8.8847537870847066</v>
      </c>
      <c r="Y30" s="458"/>
      <c r="Z30" s="456">
        <f>100-'C6-Source Dist'!AA30</f>
        <v>56.903848686994927</v>
      </c>
      <c r="AA30" s="456">
        <f>('C4-Sources'!AI31/'C4-Sources'!$AH31)*100</f>
        <v>43.096151313005073</v>
      </c>
      <c r="AB30" s="456">
        <f>('C4-Sources'!AJ31/'C4-Sources'!$AH31)*100</f>
        <v>34.000932190677979</v>
      </c>
      <c r="AC30" s="456">
        <f>('C4-Sources'!AK31/'C4-Sources'!$AH31)*100</f>
        <v>19.002114139970409</v>
      </c>
      <c r="AD30" s="456">
        <f>('C4-Sources'!AL31/'C4-Sources'!$AH31)*100</f>
        <v>14.308938471945135</v>
      </c>
      <c r="AE30" s="456">
        <f>('C4-Sources'!AM31/'C4-Sources'!$AH31)*100</f>
        <v>7.9811360827028919</v>
      </c>
      <c r="AF30" s="456">
        <f>('C4-Sources'!AN31/'C4-Sources'!$AH31)*100</f>
        <v>2.8660154140029199</v>
      </c>
      <c r="AG30" s="458"/>
      <c r="AH30" s="456">
        <f>100-'C6-Source Dist'!AI30</f>
        <v>49.211777562306494</v>
      </c>
      <c r="AI30" s="456">
        <f>('C4-Sources'!AQ31/'C4-Sources'!$AP31)*100</f>
        <v>50.788222437693506</v>
      </c>
      <c r="AJ30" s="456">
        <f>('C4-Sources'!AR31/'C4-Sources'!$AP31)*100</f>
        <v>41.797537611255628</v>
      </c>
      <c r="AK30" s="456">
        <f>('C4-Sources'!AS31/'C4-Sources'!$AP31)*100</f>
        <v>26.908229298596385</v>
      </c>
      <c r="AL30" s="456">
        <f>('C4-Sources'!AT31/'C4-Sources'!$AP31)*100</f>
        <v>21.398691566974048</v>
      </c>
      <c r="AM30" s="456">
        <f>('C4-Sources'!AU31/'C4-Sources'!$AP31)*100</f>
        <v>12.762737700861958</v>
      </c>
      <c r="AN30" s="456">
        <f>('C4-Sources'!AV31/'C4-Sources'!$AP31)*100</f>
        <v>5.7763242231331464</v>
      </c>
      <c r="AO30" s="458"/>
      <c r="AP30" s="456">
        <f>100-'C6-Source Dist'!AQ30</f>
        <v>64.233994133313701</v>
      </c>
      <c r="AQ30" s="456">
        <f>('C4-Sources'!AY31/'C4-Sources'!$AX31)*100</f>
        <v>35.766005866686299</v>
      </c>
      <c r="AR30" s="456">
        <f>('C4-Sources'!AZ31/'C4-Sources'!$AX31)*100</f>
        <v>25.574341752887314</v>
      </c>
      <c r="AS30" s="456">
        <f>('C4-Sources'!BA31/'C4-Sources'!$AX31)*100</f>
        <v>13.076772524761587</v>
      </c>
      <c r="AT30" s="456">
        <f>('C4-Sources'!BB31/'C4-Sources'!$AX31)*100</f>
        <v>9.836533843906869</v>
      </c>
      <c r="AU30" s="456">
        <f>('C4-Sources'!BC31/'C4-Sources'!$AX31)*100</f>
        <v>5.4001149391852916</v>
      </c>
      <c r="AV30" s="456">
        <f>('C4-Sources'!BD31/'C4-Sources'!$AX31)*100</f>
        <v>2.2074353510806732</v>
      </c>
      <c r="AW30" s="456"/>
      <c r="AX30" s="456">
        <f>100-'C6-Source Dist'!AY30</f>
        <v>74.082158736625146</v>
      </c>
      <c r="AY30" s="456">
        <f>('C4-Sources'!BG31/'C4-Sources'!$BF31)*100</f>
        <v>25.917841263374854</v>
      </c>
      <c r="AZ30" s="456">
        <f>('C4-Sources'!BH31/'C4-Sources'!$BF31)*100</f>
        <v>16.249938891567179</v>
      </c>
      <c r="BA30" s="456">
        <f>('C4-Sources'!BI31/'C4-Sources'!$BF31)*100</f>
        <v>6.8381035913406452</v>
      </c>
      <c r="BB30" s="456">
        <f>('C4-Sources'!BJ31/'C4-Sources'!$BF31)*100</f>
        <v>5.4114617290891811</v>
      </c>
      <c r="BC30" s="456">
        <f>('C4-Sources'!BK31/'C4-Sources'!$BF31)*100</f>
        <v>3.7630543410117192</v>
      </c>
      <c r="BD30" s="456">
        <f>('C4-Sources'!BL31/'C4-Sources'!$BF31)*100</f>
        <v>0.18860217692182724</v>
      </c>
      <c r="BE30" s="458"/>
      <c r="BF30" s="456">
        <f>100-'C6-Source Dist'!BG30</f>
        <v>70.594958424133253</v>
      </c>
      <c r="BG30" s="456">
        <f>('C4-Sources'!BO31/'C4-Sources'!$BN31)*100</f>
        <v>29.405041575866747</v>
      </c>
      <c r="BH30" s="456">
        <f>('C4-Sources'!BP31/'C4-Sources'!$BN31)*100</f>
        <v>20.50397613892299</v>
      </c>
      <c r="BI30" s="456">
        <f>('C4-Sources'!BQ31/'C4-Sources'!$BN31)*100</f>
        <v>8.3042326563689119</v>
      </c>
      <c r="BJ30" s="456">
        <f>('C4-Sources'!BR31/'C4-Sources'!$BN31)*100</f>
        <v>5.877189584127013</v>
      </c>
      <c r="BK30" s="456">
        <f>('C4-Sources'!BS31/'C4-Sources'!$BN31)*100</f>
        <v>1.263170713846226</v>
      </c>
      <c r="BL30" s="456">
        <f>('C4-Sources'!BT31/'C4-Sources'!$BN31)*100</f>
        <v>1.2977354170976017</v>
      </c>
    </row>
    <row r="31" spans="1:64" s="452" customFormat="1" ht="12" x14ac:dyDescent="0.25">
      <c r="A31" s="239">
        <v>1985</v>
      </c>
      <c r="B31" s="456">
        <f t="shared" si="0"/>
        <v>71.37709868489496</v>
      </c>
      <c r="C31" s="456">
        <f>('C4-Sources'!K32/'C4-Sources'!$J32)*100</f>
        <v>28.622901315105043</v>
      </c>
      <c r="D31" s="456">
        <f>('C4-Sources'!L32/'C4-Sources'!$J32)*100</f>
        <v>17.001359434271993</v>
      </c>
      <c r="E31" s="456">
        <f>('C4-Sources'!M32/'C4-Sources'!$J32)*100</f>
        <v>5.3690255495442107</v>
      </c>
      <c r="F31" s="456">
        <f>('C4-Sources'!N32/'C4-Sources'!$J32)*100</f>
        <v>3.4292701223321056</v>
      </c>
      <c r="G31" s="456">
        <f>('C4-Sources'!O32/'C4-Sources'!$J32)*100</f>
        <v>1.2921094030843561</v>
      </c>
      <c r="H31" s="456">
        <f>('C4-Sources'!P32/'C4-Sources'!$J32)*100</f>
        <v>0.26447097923781465</v>
      </c>
      <c r="I31" s="457"/>
      <c r="J31" s="456">
        <f>100-'C6-Source Dist'!K31</f>
        <v>53.720540764145632</v>
      </c>
      <c r="K31" s="456">
        <f>('C4-Sources'!S32/'C4-Sources'!$R32)*100</f>
        <v>46.279459235854368</v>
      </c>
      <c r="L31" s="456">
        <f>('C4-Sources'!T32/'C4-Sources'!$R32)*100</f>
        <v>38.248775704613827</v>
      </c>
      <c r="M31" s="456">
        <f>('C4-Sources'!U32/'C4-Sources'!$R32)*100</f>
        <v>22.775296242132413</v>
      </c>
      <c r="N31" s="456">
        <f>('C4-Sources'!V32/'C4-Sources'!$R32)*100</f>
        <v>17.934832797321022</v>
      </c>
      <c r="O31" s="456">
        <f>('C4-Sources'!W32/'C4-Sources'!$R32)*100</f>
        <v>10.847313233046412</v>
      </c>
      <c r="P31" s="456">
        <f>('C4-Sources'!X32/'C4-Sources'!$R32)*100</f>
        <v>4.7712615466205408</v>
      </c>
      <c r="Q31" s="456"/>
      <c r="R31" s="456">
        <f>100-'C6-Source Dist'!S31</f>
        <v>29.75118114087266</v>
      </c>
      <c r="S31" s="456">
        <f>('C4-Sources'!AA32/'C4-Sources'!$Z32)*100</f>
        <v>70.24881885912734</v>
      </c>
      <c r="T31" s="456">
        <f>('C4-Sources'!AB32/'C4-Sources'!$Z32)*100</f>
        <v>62.46031651306604</v>
      </c>
      <c r="U31" s="456">
        <f>('C4-Sources'!AC32/'C4-Sources'!$Z32)*100</f>
        <v>43.034361209244629</v>
      </c>
      <c r="V31" s="456">
        <f>('C4-Sources'!AD32/'C4-Sources'!$Z32)*100</f>
        <v>36.159810085274117</v>
      </c>
      <c r="W31" s="456">
        <f>('C4-Sources'!AE32/'C4-Sources'!$Z32)*100</f>
        <v>21.757575030178945</v>
      </c>
      <c r="X31" s="456">
        <f>('C4-Sources'!AF32/'C4-Sources'!$Z32)*100</f>
        <v>9.5043392053682467</v>
      </c>
      <c r="Y31" s="458"/>
      <c r="Z31" s="456">
        <f>100-'C6-Source Dist'!AA31</f>
        <v>56.750359704551393</v>
      </c>
      <c r="AA31" s="456">
        <f>('C4-Sources'!AI32/'C4-Sources'!$AH32)*100</f>
        <v>43.249640295448607</v>
      </c>
      <c r="AB31" s="456">
        <f>('C4-Sources'!AJ32/'C4-Sources'!$AH32)*100</f>
        <v>34.708790914302284</v>
      </c>
      <c r="AC31" s="456">
        <f>('C4-Sources'!AK32/'C4-Sources'!$AH32)*100</f>
        <v>20.101053871773022</v>
      </c>
      <c r="AD31" s="456">
        <f>('C4-Sources'!AL32/'C4-Sources'!$AH32)*100</f>
        <v>16.002631548090189</v>
      </c>
      <c r="AE31" s="456">
        <f>('C4-Sources'!AM32/'C4-Sources'!$AH32)*100</f>
        <v>9.2290034434244408</v>
      </c>
      <c r="AF31" s="456">
        <f>('C4-Sources'!AN32/'C4-Sources'!$AH32)*100</f>
        <v>3.8400827146686587</v>
      </c>
      <c r="AG31" s="458"/>
      <c r="AH31" s="456">
        <f>100-'C6-Source Dist'!AI31</f>
        <v>51.000384654936013</v>
      </c>
      <c r="AI31" s="456">
        <f>('C4-Sources'!AQ32/'C4-Sources'!$AP32)*100</f>
        <v>48.999615345063987</v>
      </c>
      <c r="AJ31" s="456">
        <f>('C4-Sources'!AR32/'C4-Sources'!$AP32)*100</f>
        <v>39.859309161080638</v>
      </c>
      <c r="AK31" s="456">
        <f>('C4-Sources'!AS32/'C4-Sources'!$AP32)*100</f>
        <v>25.429524140513916</v>
      </c>
      <c r="AL31" s="456">
        <f>('C4-Sources'!AT32/'C4-Sources'!$AP32)*100</f>
        <v>21.093830832317693</v>
      </c>
      <c r="AM31" s="456">
        <f>('C4-Sources'!AU32/'C4-Sources'!$AP32)*100</f>
        <v>12.735230353696933</v>
      </c>
      <c r="AN31" s="456">
        <f>('C4-Sources'!AV32/'C4-Sources'!$AP32)*100</f>
        <v>5.4988563553727401</v>
      </c>
      <c r="AO31" s="458"/>
      <c r="AP31" s="456">
        <f>100-'C6-Source Dist'!AQ31</f>
        <v>64.45391795123146</v>
      </c>
      <c r="AQ31" s="456">
        <f>('C4-Sources'!AY32/'C4-Sources'!$AX32)*100</f>
        <v>35.546082048768533</v>
      </c>
      <c r="AR31" s="456">
        <f>('C4-Sources'!AZ32/'C4-Sources'!$AX32)*100</f>
        <v>25.462183065800758</v>
      </c>
      <c r="AS31" s="456">
        <f>('C4-Sources'!BA32/'C4-Sources'!$AX32)*100</f>
        <v>13.110314434505577</v>
      </c>
      <c r="AT31" s="456">
        <f>('C4-Sources'!BB32/'C4-Sources'!$AX32)*100</f>
        <v>10.261810659232937</v>
      </c>
      <c r="AU31" s="456">
        <f>('C4-Sources'!BC32/'C4-Sources'!$AX32)*100</f>
        <v>5.7600899754931998</v>
      </c>
      <c r="AV31" s="456">
        <f>('C4-Sources'!BD32/'C4-Sources'!$AX32)*100</f>
        <v>2.3575785994363434</v>
      </c>
      <c r="AW31" s="456"/>
      <c r="AX31" s="456">
        <f>100-'C6-Source Dist'!AY31</f>
        <v>76.586122550288138</v>
      </c>
      <c r="AY31" s="456">
        <f>('C4-Sources'!BG32/'C4-Sources'!$BF32)*100</f>
        <v>23.413877449711855</v>
      </c>
      <c r="AZ31" s="456">
        <f>('C4-Sources'!BH32/'C4-Sources'!$BF32)*100</f>
        <v>13.666877819240487</v>
      </c>
      <c r="BA31" s="456">
        <f>('C4-Sources'!BI32/'C4-Sources'!$BF32)*100</f>
        <v>4.090904153801211</v>
      </c>
      <c r="BB31" s="456">
        <f>('C4-Sources'!BJ32/'C4-Sources'!$BF32)*100</f>
        <v>2.5380350358079595</v>
      </c>
      <c r="BC31" s="456">
        <f>('C4-Sources'!BK32/'C4-Sources'!$BF32)*100</f>
        <v>0.88227596903849503</v>
      </c>
      <c r="BD31" s="456">
        <f>('C4-Sources'!BL32/'C4-Sources'!$BF32)*100</f>
        <v>0.17825072137255032</v>
      </c>
      <c r="BE31" s="458"/>
      <c r="BF31" s="456">
        <f>100-'C6-Source Dist'!BG31</f>
        <v>69.867718637105625</v>
      </c>
      <c r="BG31" s="456">
        <f>('C4-Sources'!BO32/'C4-Sources'!$BN32)*100</f>
        <v>30.132281362894371</v>
      </c>
      <c r="BH31" s="456">
        <f>('C4-Sources'!BP32/'C4-Sources'!$BN32)*100</f>
        <v>20.731354542454731</v>
      </c>
      <c r="BI31" s="456">
        <f>('C4-Sources'!BQ32/'C4-Sources'!$BN32)*100</f>
        <v>9.3474174752088484</v>
      </c>
      <c r="BJ31" s="456">
        <f>('C4-Sources'!BR32/'C4-Sources'!$BN32)*100</f>
        <v>6.7078483599019325</v>
      </c>
      <c r="BK31" s="456">
        <f>('C4-Sources'!BS32/'C4-Sources'!$BN32)*100</f>
        <v>2.7395177803661452</v>
      </c>
      <c r="BL31" s="456">
        <f>('C4-Sources'!BT32/'C4-Sources'!$BN32)*100</f>
        <v>0.4338004392699486</v>
      </c>
    </row>
    <row r="32" spans="1:64" s="452" customFormat="1" ht="12" x14ac:dyDescent="0.25">
      <c r="A32" s="239">
        <v>1986</v>
      </c>
      <c r="B32" s="456">
        <f t="shared" si="0"/>
        <v>70.589820988460545</v>
      </c>
      <c r="C32" s="456">
        <f>('C4-Sources'!K33/'C4-Sources'!$J33)*100</f>
        <v>29.410179011539451</v>
      </c>
      <c r="D32" s="456">
        <f>('C4-Sources'!L33/'C4-Sources'!$J33)*100</f>
        <v>17.518017265068028</v>
      </c>
      <c r="E32" s="456">
        <f>('C4-Sources'!M33/'C4-Sources'!$J33)*100</f>
        <v>5.6364146253962817</v>
      </c>
      <c r="F32" s="456">
        <f>('C4-Sources'!N33/'C4-Sources'!$J33)*100</f>
        <v>3.6170306046378298</v>
      </c>
      <c r="G32" s="456">
        <f>('C4-Sources'!O33/'C4-Sources'!$J33)*100</f>
        <v>1.1815392278425831</v>
      </c>
      <c r="H32" s="456">
        <f>('C4-Sources'!P33/'C4-Sources'!$J33)*100</f>
        <v>0.34512773572071925</v>
      </c>
      <c r="I32" s="457"/>
      <c r="J32" s="456">
        <f>100-'C6-Source Dist'!K32</f>
        <v>54.108121386244292</v>
      </c>
      <c r="K32" s="456">
        <f>('C4-Sources'!S33/'C4-Sources'!$R33)*100</f>
        <v>45.891878613755708</v>
      </c>
      <c r="L32" s="456">
        <f>('C4-Sources'!T33/'C4-Sources'!$R33)*100</f>
        <v>37.217654824537824</v>
      </c>
      <c r="M32" s="456">
        <f>('C4-Sources'!U33/'C4-Sources'!$R33)*100</f>
        <v>22.271019968447241</v>
      </c>
      <c r="N32" s="456">
        <f>('C4-Sources'!V33/'C4-Sources'!$R33)*100</f>
        <v>17.005689108586584</v>
      </c>
      <c r="O32" s="456">
        <f>('C4-Sources'!W33/'C4-Sources'!$R33)*100</f>
        <v>9.6247849490619704</v>
      </c>
      <c r="P32" s="456">
        <f>('C4-Sources'!X33/'C4-Sources'!$R33)*100</f>
        <v>4.4965319244201911</v>
      </c>
      <c r="Q32" s="456"/>
      <c r="R32" s="456">
        <f>100-'C6-Source Dist'!S32</f>
        <v>32.223168050840187</v>
      </c>
      <c r="S32" s="456">
        <f>('C4-Sources'!AA33/'C4-Sources'!$Z33)*100</f>
        <v>67.776831949159813</v>
      </c>
      <c r="T32" s="456">
        <f>('C4-Sources'!AB33/'C4-Sources'!$Z33)*100</f>
        <v>60.552520645812521</v>
      </c>
      <c r="U32" s="456">
        <f>('C4-Sources'!AC33/'C4-Sources'!$Z33)*100</f>
        <v>41.382936778640229</v>
      </c>
      <c r="V32" s="456">
        <f>('C4-Sources'!AD33/'C4-Sources'!$Z33)*100</f>
        <v>33.810401302577688</v>
      </c>
      <c r="W32" s="456">
        <f>('C4-Sources'!AE33/'C4-Sources'!$Z33)*100</f>
        <v>22.523557276488816</v>
      </c>
      <c r="X32" s="456">
        <f>('C4-Sources'!AF33/'C4-Sources'!$Z33)*100</f>
        <v>7.3226841486504339</v>
      </c>
      <c r="Y32" s="458"/>
      <c r="Z32" s="456">
        <f>100-'C6-Source Dist'!AA32</f>
        <v>57.354049862687489</v>
      </c>
      <c r="AA32" s="456">
        <f>('C4-Sources'!AI33/'C4-Sources'!$AH33)*100</f>
        <v>42.645950137312511</v>
      </c>
      <c r="AB32" s="456">
        <f>('C4-Sources'!AJ33/'C4-Sources'!$AH33)*100</f>
        <v>34.593954017823073</v>
      </c>
      <c r="AC32" s="456">
        <f>('C4-Sources'!AK33/'C4-Sources'!$AH33)*100</f>
        <v>20.210890794205547</v>
      </c>
      <c r="AD32" s="456">
        <f>('C4-Sources'!AL33/'C4-Sources'!$AH33)*100</f>
        <v>15.699689109551857</v>
      </c>
      <c r="AE32" s="456">
        <f>('C4-Sources'!AM33/'C4-Sources'!$AH33)*100</f>
        <v>8.4882503644622069</v>
      </c>
      <c r="AF32" s="456">
        <f>('C4-Sources'!AN33/'C4-Sources'!$AH33)*100</f>
        <v>3.3599511096232071</v>
      </c>
      <c r="AG32" s="458"/>
      <c r="AH32" s="456">
        <f>100-'C6-Source Dist'!AI32</f>
        <v>50.937218035551375</v>
      </c>
      <c r="AI32" s="456">
        <f>('C4-Sources'!AQ33/'C4-Sources'!$AP33)*100</f>
        <v>49.062781964448625</v>
      </c>
      <c r="AJ32" s="456">
        <f>('C4-Sources'!AR33/'C4-Sources'!$AP33)*100</f>
        <v>40.150120725402935</v>
      </c>
      <c r="AK32" s="456">
        <f>('C4-Sources'!AS33/'C4-Sources'!$AP33)*100</f>
        <v>25.682936739188534</v>
      </c>
      <c r="AL32" s="456">
        <f>('C4-Sources'!AT33/'C4-Sources'!$AP33)*100</f>
        <v>20.971356859167521</v>
      </c>
      <c r="AM32" s="456">
        <f>('C4-Sources'!AU33/'C4-Sources'!$AP33)*100</f>
        <v>13.60972362443443</v>
      </c>
      <c r="AN32" s="456">
        <f>('C4-Sources'!AV33/'C4-Sources'!$AP33)*100</f>
        <v>4.8057734617901016</v>
      </c>
      <c r="AO32" s="458"/>
      <c r="AP32" s="456">
        <f>100-'C6-Source Dist'!AQ32</f>
        <v>64.362303371031118</v>
      </c>
      <c r="AQ32" s="456">
        <f>('C4-Sources'!AY33/'C4-Sources'!$AX33)*100</f>
        <v>35.637696628968875</v>
      </c>
      <c r="AR32" s="456">
        <f>('C4-Sources'!AZ33/'C4-Sources'!$AX33)*100</f>
        <v>25.553828890509518</v>
      </c>
      <c r="AS32" s="456">
        <f>('C4-Sources'!BA33/'C4-Sources'!$AX33)*100</f>
        <v>13.238647026809328</v>
      </c>
      <c r="AT32" s="456">
        <f>('C4-Sources'!BB33/'C4-Sources'!$AX33)*100</f>
        <v>10.192878387086239</v>
      </c>
      <c r="AU32" s="456">
        <f>('C4-Sources'!BC33/'C4-Sources'!$AX33)*100</f>
        <v>5.846190913345886</v>
      </c>
      <c r="AV32" s="456">
        <f>('C4-Sources'!BD33/'C4-Sources'!$AX33)*100</f>
        <v>2.0850065635510657</v>
      </c>
      <c r="AW32" s="456"/>
      <c r="AX32" s="456">
        <f>100-'C6-Source Dist'!AY32</f>
        <v>76.386515671953475</v>
      </c>
      <c r="AY32" s="456">
        <f>('C4-Sources'!BG33/'C4-Sources'!$BF33)*100</f>
        <v>23.613484328046518</v>
      </c>
      <c r="AZ32" s="456">
        <f>('C4-Sources'!BH33/'C4-Sources'!$BF33)*100</f>
        <v>13.698029386396474</v>
      </c>
      <c r="BA32" s="456">
        <f>('C4-Sources'!BI33/'C4-Sources'!$BF33)*100</f>
        <v>4.1317449647104043</v>
      </c>
      <c r="BB32" s="456">
        <f>('C4-Sources'!BJ33/'C4-Sources'!$BF33)*100</f>
        <v>2.5389807936880264</v>
      </c>
      <c r="BC32" s="456">
        <f>('C4-Sources'!BK33/'C4-Sources'!$BF33)*100</f>
        <v>0.80267295719568743</v>
      </c>
      <c r="BD32" s="456">
        <f>('C4-Sources'!BL33/'C4-Sources'!$BF33)*100</f>
        <v>0.22416706315451698</v>
      </c>
      <c r="BE32" s="458"/>
      <c r="BF32" s="456">
        <f>100-'C6-Source Dist'!BG32</f>
        <v>71.182832077952298</v>
      </c>
      <c r="BG32" s="456">
        <f>('C4-Sources'!BO33/'C4-Sources'!$BN33)*100</f>
        <v>28.817167922047695</v>
      </c>
      <c r="BH32" s="456">
        <f>('C4-Sources'!BP33/'C4-Sources'!$BN33)*100</f>
        <v>19.839318557893609</v>
      </c>
      <c r="BI32" s="456">
        <f>('C4-Sources'!BQ33/'C4-Sources'!$BN33)*100</f>
        <v>8.9382207862363057</v>
      </c>
      <c r="BJ32" s="456">
        <f>('C4-Sources'!BR33/'C4-Sources'!$BN33)*100</f>
        <v>7.0256782544870511</v>
      </c>
      <c r="BK32" s="456">
        <f>('C4-Sources'!BS33/'C4-Sources'!$BN33)*100</f>
        <v>3.6978190855669544</v>
      </c>
      <c r="BL32" s="456">
        <f>('C4-Sources'!BT33/'C4-Sources'!$BN33)*100</f>
        <v>1.1994230083446162</v>
      </c>
    </row>
    <row r="33" spans="1:64" s="452" customFormat="1" ht="12" x14ac:dyDescent="0.25">
      <c r="A33" s="239">
        <v>1987</v>
      </c>
      <c r="B33" s="456">
        <f t="shared" si="0"/>
        <v>71.256319916151</v>
      </c>
      <c r="C33" s="456">
        <f>('C4-Sources'!K34/'C4-Sources'!$J34)*100</f>
        <v>28.743680083848993</v>
      </c>
      <c r="D33" s="456">
        <f>('C4-Sources'!L34/'C4-Sources'!$J34)*100</f>
        <v>17.43607316709765</v>
      </c>
      <c r="E33" s="456">
        <f>('C4-Sources'!M34/'C4-Sources'!$J34)*100</f>
        <v>5.9823530755498542</v>
      </c>
      <c r="F33" s="456">
        <f>('C4-Sources'!N34/'C4-Sources'!$J34)*100</f>
        <v>3.9817597656844366</v>
      </c>
      <c r="G33" s="456">
        <f>('C4-Sources'!O34/'C4-Sources'!$J34)*100</f>
        <v>1.5907039042976956</v>
      </c>
      <c r="H33" s="456">
        <f>('C4-Sources'!P34/'C4-Sources'!$J34)*100</f>
        <v>0.40080244622792172</v>
      </c>
      <c r="I33" s="457"/>
      <c r="J33" s="456">
        <f>100-'C6-Source Dist'!K33</f>
        <v>53.120025101248793</v>
      </c>
      <c r="K33" s="456">
        <f>('C4-Sources'!S34/'C4-Sources'!$R34)*100</f>
        <v>46.879974898751207</v>
      </c>
      <c r="L33" s="456">
        <f>('C4-Sources'!T34/'C4-Sources'!$R34)*100</f>
        <v>38.534047040115873</v>
      </c>
      <c r="M33" s="456">
        <f>('C4-Sources'!U34/'C4-Sources'!$R34)*100</f>
        <v>23.048125701714813</v>
      </c>
      <c r="N33" s="456">
        <f>('C4-Sources'!V34/'C4-Sources'!$R34)*100</f>
        <v>18.109592906476376</v>
      </c>
      <c r="O33" s="456">
        <f>('C4-Sources'!W34/'C4-Sources'!$R34)*100</f>
        <v>10.741338878441614</v>
      </c>
      <c r="P33" s="456">
        <f>('C4-Sources'!X34/'C4-Sources'!$R34)*100</f>
        <v>5.0752217430218645</v>
      </c>
      <c r="Q33" s="456"/>
      <c r="R33" s="456">
        <f>100-'C6-Source Dist'!S33</f>
        <v>35.761332112186821</v>
      </c>
      <c r="S33" s="456">
        <f>('C4-Sources'!AA34/'C4-Sources'!$Z34)*100</f>
        <v>64.238667887813179</v>
      </c>
      <c r="T33" s="456">
        <f>('C4-Sources'!AB34/'C4-Sources'!$Z34)*100</f>
        <v>55.607645028615735</v>
      </c>
      <c r="U33" s="456">
        <f>('C4-Sources'!AC34/'C4-Sources'!$Z34)*100</f>
        <v>35.608967467359697</v>
      </c>
      <c r="V33" s="456">
        <f>('C4-Sources'!AD34/'C4-Sources'!$Z34)*100</f>
        <v>28.174142487189101</v>
      </c>
      <c r="W33" s="456">
        <f>('C4-Sources'!AE34/'C4-Sources'!$Z34)*100</f>
        <v>16.419054381414949</v>
      </c>
      <c r="X33" s="456">
        <f>('C4-Sources'!AF34/'C4-Sources'!$Z34)*100</f>
        <v>7.2262133873756111</v>
      </c>
      <c r="Y33" s="458"/>
      <c r="Z33" s="456">
        <f>100-'C6-Source Dist'!AA33</f>
        <v>53.198284622674187</v>
      </c>
      <c r="AA33" s="456">
        <f>('C4-Sources'!AI34/'C4-Sources'!$AH34)*100</f>
        <v>46.801715377325813</v>
      </c>
      <c r="AB33" s="456">
        <f>('C4-Sources'!AJ34/'C4-Sources'!$AH34)*100</f>
        <v>38.895430632941682</v>
      </c>
      <c r="AC33" s="456">
        <f>('C4-Sources'!AK34/'C4-Sources'!$AH34)*100</f>
        <v>23.625770542794896</v>
      </c>
      <c r="AD33" s="456">
        <f>('C4-Sources'!AL34/'C4-Sources'!$AH34)*100</f>
        <v>18.82562090861699</v>
      </c>
      <c r="AE33" s="456">
        <f>('C4-Sources'!AM34/'C4-Sources'!$AH34)*100</f>
        <v>10.932874289765955</v>
      </c>
      <c r="AF33" s="456">
        <f>('C4-Sources'!AN34/'C4-Sources'!$AH34)*100</f>
        <v>4.3704151782069571</v>
      </c>
      <c r="AG33" s="458"/>
      <c r="AH33" s="456">
        <f>100-'C6-Source Dist'!AI33</f>
        <v>56.059046977197106</v>
      </c>
      <c r="AI33" s="456">
        <f>('C4-Sources'!AQ34/'C4-Sources'!$AP34)*100</f>
        <v>43.940953022802894</v>
      </c>
      <c r="AJ33" s="456">
        <f>('C4-Sources'!AR34/'C4-Sources'!$AP34)*100</f>
        <v>34.55211165300657</v>
      </c>
      <c r="AK33" s="456">
        <f>('C4-Sources'!AS34/'C4-Sources'!$AP34)*100</f>
        <v>20.177245605777813</v>
      </c>
      <c r="AL33" s="456">
        <f>('C4-Sources'!AT34/'C4-Sources'!$AP34)*100</f>
        <v>15.765656341799886</v>
      </c>
      <c r="AM33" s="456">
        <f>('C4-Sources'!AU34/'C4-Sources'!$AP34)*100</f>
        <v>9.040214046904163</v>
      </c>
      <c r="AN33" s="456">
        <f>('C4-Sources'!AV34/'C4-Sources'!$AP34)*100</f>
        <v>3.8712678949931023</v>
      </c>
      <c r="AO33" s="458"/>
      <c r="AP33" s="456">
        <f>100-'C6-Source Dist'!AQ33</f>
        <v>66.244877659668873</v>
      </c>
      <c r="AQ33" s="456">
        <f>('C4-Sources'!AY34/'C4-Sources'!$AX34)*100</f>
        <v>33.755122340331134</v>
      </c>
      <c r="AR33" s="456">
        <f>('C4-Sources'!AZ34/'C4-Sources'!$AX34)*100</f>
        <v>23.910138471366967</v>
      </c>
      <c r="AS33" s="456">
        <f>('C4-Sources'!BA34/'C4-Sources'!$AX34)*100</f>
        <v>11.815339301875744</v>
      </c>
      <c r="AT33" s="456">
        <f>('C4-Sources'!BB34/'C4-Sources'!$AX34)*100</f>
        <v>8.8921015598658428</v>
      </c>
      <c r="AU33" s="456">
        <f>('C4-Sources'!BC34/'C4-Sources'!$AX34)*100</f>
        <v>4.7665587212294369</v>
      </c>
      <c r="AV33" s="456">
        <f>('C4-Sources'!BD34/'C4-Sources'!$AX34)*100</f>
        <v>1.9398466664300544</v>
      </c>
      <c r="AW33" s="456"/>
      <c r="AX33" s="456">
        <f>100-'C6-Source Dist'!AY33</f>
        <v>76.749886111328436</v>
      </c>
      <c r="AY33" s="456">
        <f>('C4-Sources'!BG34/'C4-Sources'!$BF34)*100</f>
        <v>23.250113888671567</v>
      </c>
      <c r="AZ33" s="456">
        <f>('C4-Sources'!BH34/'C4-Sources'!$BF34)*100</f>
        <v>13.750231615310341</v>
      </c>
      <c r="BA33" s="456">
        <f>('C4-Sources'!BI34/'C4-Sources'!$BF34)*100</f>
        <v>4.3042750895548529</v>
      </c>
      <c r="BB33" s="456">
        <f>('C4-Sources'!BJ34/'C4-Sources'!$BF34)*100</f>
        <v>2.6850106855009668</v>
      </c>
      <c r="BC33" s="456">
        <f>('C4-Sources'!BK34/'C4-Sources'!$BF34)*100</f>
        <v>1.023536872917435</v>
      </c>
      <c r="BD33" s="456">
        <f>('C4-Sources'!BL34/'C4-Sources'!$BF34)*100</f>
        <v>0.24205679394704946</v>
      </c>
      <c r="BE33" s="458"/>
      <c r="BF33" s="456">
        <f>100-'C6-Source Dist'!BG33</f>
        <v>65.309690392686534</v>
      </c>
      <c r="BG33" s="456">
        <f>('C4-Sources'!BO34/'C4-Sources'!$BN34)*100</f>
        <v>34.690309607313466</v>
      </c>
      <c r="BH33" s="456">
        <f>('C4-Sources'!BP34/'C4-Sources'!$BN34)*100</f>
        <v>23.288038797447381</v>
      </c>
      <c r="BI33" s="456">
        <f>('C4-Sources'!BQ34/'C4-Sources'!$BN34)*100</f>
        <v>10.567113196240216</v>
      </c>
      <c r="BJ33" s="456">
        <f>('C4-Sources'!BR34/'C4-Sources'!$BN34)*100</f>
        <v>7.7442559615726383</v>
      </c>
      <c r="BK33" s="456">
        <f>('C4-Sources'!BS34/'C4-Sources'!$BN34)*100</f>
        <v>3.2841334547620797</v>
      </c>
      <c r="BL33" s="456">
        <f>('C4-Sources'!BT34/'C4-Sources'!$BN34)*100</f>
        <v>1.0627237339014661</v>
      </c>
    </row>
    <row r="34" spans="1:64" s="452" customFormat="1" ht="12" x14ac:dyDescent="0.25">
      <c r="A34" s="239">
        <v>1988</v>
      </c>
      <c r="B34" s="456">
        <f t="shared" si="0"/>
        <v>70.371444773482111</v>
      </c>
      <c r="C34" s="456">
        <f>('C4-Sources'!K35/'C4-Sources'!$J35)*100</f>
        <v>29.628555226517893</v>
      </c>
      <c r="D34" s="456">
        <f>('C4-Sources'!L35/'C4-Sources'!$J35)*100</f>
        <v>18.370257238374151</v>
      </c>
      <c r="E34" s="456">
        <f>('C4-Sources'!M35/'C4-Sources'!$J35)*100</f>
        <v>6.9861528189074855</v>
      </c>
      <c r="F34" s="456">
        <f>('C4-Sources'!N35/'C4-Sources'!$J35)*100</f>
        <v>4.9043023510740982</v>
      </c>
      <c r="G34" s="456">
        <f>('C4-Sources'!O35/'C4-Sources'!$J35)*100</f>
        <v>2.106994984811549</v>
      </c>
      <c r="H34" s="456">
        <f>('C4-Sources'!P35/'C4-Sources'!$J35)*100</f>
        <v>0.63459061133743799</v>
      </c>
      <c r="I34" s="457"/>
      <c r="J34" s="456">
        <f>100-'C6-Source Dist'!K34</f>
        <v>47.747714820267383</v>
      </c>
      <c r="K34" s="456">
        <f>('C4-Sources'!S35/'C4-Sources'!$R35)*100</f>
        <v>52.252285179732617</v>
      </c>
      <c r="L34" s="456">
        <f>('C4-Sources'!T35/'C4-Sources'!$R35)*100</f>
        <v>44.135728418300523</v>
      </c>
      <c r="M34" s="456">
        <f>('C4-Sources'!U35/'C4-Sources'!$R35)*100</f>
        <v>28.40588764525944</v>
      </c>
      <c r="N34" s="456">
        <f>('C4-Sources'!V35/'C4-Sources'!$R35)*100</f>
        <v>22.97059034803954</v>
      </c>
      <c r="O34" s="456">
        <f>('C4-Sources'!W35/'C4-Sources'!$R35)*100</f>
        <v>14.288167937476679</v>
      </c>
      <c r="P34" s="456">
        <f>('C4-Sources'!X35/'C4-Sources'!$R35)*100</f>
        <v>6.3163226615980035</v>
      </c>
      <c r="Q34" s="456"/>
      <c r="R34" s="456">
        <f>100-'C6-Source Dist'!S34</f>
        <v>31.237532441786925</v>
      </c>
      <c r="S34" s="456">
        <f>('C4-Sources'!AA35/'C4-Sources'!$Z35)*100</f>
        <v>68.762467558213075</v>
      </c>
      <c r="T34" s="456">
        <f>('C4-Sources'!AB35/'C4-Sources'!$Z35)*100</f>
        <v>60.934492231893465</v>
      </c>
      <c r="U34" s="456">
        <f>('C4-Sources'!AC35/'C4-Sources'!$Z35)*100</f>
        <v>41.659724126677538</v>
      </c>
      <c r="V34" s="456">
        <f>('C4-Sources'!AD35/'C4-Sources'!$Z35)*100</f>
        <v>34.913415239071313</v>
      </c>
      <c r="W34" s="456">
        <f>('C4-Sources'!AE35/'C4-Sources'!$Z35)*100</f>
        <v>23.528650076218749</v>
      </c>
      <c r="X34" s="456">
        <f>('C4-Sources'!AF35/'C4-Sources'!$Z35)*100</f>
        <v>12.083425988831632</v>
      </c>
      <c r="Y34" s="458"/>
      <c r="Z34" s="456">
        <f>100-'C6-Source Dist'!AA34</f>
        <v>51.44100556599831</v>
      </c>
      <c r="AA34" s="456">
        <f>('C4-Sources'!AI35/'C4-Sources'!$AH35)*100</f>
        <v>48.55899443400169</v>
      </c>
      <c r="AB34" s="456">
        <f>('C4-Sources'!AJ35/'C4-Sources'!$AH35)*100</f>
        <v>40.655569162913977</v>
      </c>
      <c r="AC34" s="456">
        <f>('C4-Sources'!AK35/'C4-Sources'!$AH35)*100</f>
        <v>24.845071829146459</v>
      </c>
      <c r="AD34" s="456">
        <f>('C4-Sources'!AL35/'C4-Sources'!$AH35)*100</f>
        <v>19.95931398003076</v>
      </c>
      <c r="AE34" s="456">
        <f>('C4-Sources'!AM35/'C4-Sources'!$AH35)*100</f>
        <v>12.087877095344796</v>
      </c>
      <c r="AF34" s="456">
        <f>('C4-Sources'!AN35/'C4-Sources'!$AH35)*100</f>
        <v>4.9340605911997377</v>
      </c>
      <c r="AG34" s="458"/>
      <c r="AH34" s="456">
        <f>100-'C6-Source Dist'!AI34</f>
        <v>52.728004416381765</v>
      </c>
      <c r="AI34" s="456">
        <f>('C4-Sources'!AQ35/'C4-Sources'!$AP35)*100</f>
        <v>47.271995583618235</v>
      </c>
      <c r="AJ34" s="456">
        <f>('C4-Sources'!AR35/'C4-Sources'!$AP35)*100</f>
        <v>38.48997602037258</v>
      </c>
      <c r="AK34" s="456">
        <f>('C4-Sources'!AS35/'C4-Sources'!$AP35)*100</f>
        <v>24.598832491453294</v>
      </c>
      <c r="AL34" s="456">
        <f>('C4-Sources'!AT35/'C4-Sources'!$AP35)*100</f>
        <v>20.366288725319194</v>
      </c>
      <c r="AM34" s="456">
        <f>('C4-Sources'!AU35/'C4-Sources'!$AP35)*100</f>
        <v>13.261879941393987</v>
      </c>
      <c r="AN34" s="456">
        <f>('C4-Sources'!AV35/'C4-Sources'!$AP35)*100</f>
        <v>6.5034240389311382</v>
      </c>
      <c r="AO34" s="458"/>
      <c r="AP34" s="456">
        <f>100-'C6-Source Dist'!AQ34</f>
        <v>64.433416501697963</v>
      </c>
      <c r="AQ34" s="456">
        <f>('C4-Sources'!AY35/'C4-Sources'!$AX35)*100</f>
        <v>35.56658349830203</v>
      </c>
      <c r="AR34" s="456">
        <f>('C4-Sources'!AZ35/'C4-Sources'!$AX35)*100</f>
        <v>25.975326533404147</v>
      </c>
      <c r="AS34" s="456">
        <f>('C4-Sources'!BA35/'C4-Sources'!$AX35)*100</f>
        <v>14.040221500651828</v>
      </c>
      <c r="AT34" s="456">
        <f>('C4-Sources'!BB35/'C4-Sources'!$AX35)*100</f>
        <v>11.09837096229057</v>
      </c>
      <c r="AU34" s="456">
        <f>('C4-Sources'!BC35/'C4-Sources'!$AX35)*100</f>
        <v>6.6199213389020324</v>
      </c>
      <c r="AV34" s="456">
        <f>('C4-Sources'!BD35/'C4-Sources'!$AX35)*100</f>
        <v>2.9795827434696536</v>
      </c>
      <c r="AW34" s="456"/>
      <c r="AX34" s="456">
        <f>100-'C6-Source Dist'!AY34</f>
        <v>76.026187291282056</v>
      </c>
      <c r="AY34" s="456">
        <f>('C4-Sources'!BG35/'C4-Sources'!$BF35)*100</f>
        <v>23.973812708717947</v>
      </c>
      <c r="AZ34" s="456">
        <f>('C4-Sources'!BH35/'C4-Sources'!$BF35)*100</f>
        <v>14.954356073377358</v>
      </c>
      <c r="BA34" s="456">
        <f>('C4-Sources'!BI35/'C4-Sources'!$BF35)*100</f>
        <v>5.4812214888532527</v>
      </c>
      <c r="BB34" s="456">
        <f>('C4-Sources'!BJ35/'C4-Sources'!$BF35)*100</f>
        <v>3.7776950135193101</v>
      </c>
      <c r="BC34" s="456">
        <f>('C4-Sources'!BK35/'C4-Sources'!$BF35)*100</f>
        <v>1.7901170331588188</v>
      </c>
      <c r="BD34" s="456">
        <f>('C4-Sources'!BL35/'C4-Sources'!$BF35)*100</f>
        <v>0.49733559002146438</v>
      </c>
      <c r="BE34" s="458"/>
      <c r="BF34" s="456">
        <f>100-'C6-Source Dist'!BG34</f>
        <v>63.39542088133593</v>
      </c>
      <c r="BG34" s="456">
        <f>('C4-Sources'!BO35/'C4-Sources'!$BN35)*100</f>
        <v>36.60457911866407</v>
      </c>
      <c r="BH34" s="456">
        <f>('C4-Sources'!BP35/'C4-Sources'!$BN35)*100</f>
        <v>25.517121151173384</v>
      </c>
      <c r="BI34" s="456">
        <f>('C4-Sources'!BQ35/'C4-Sources'!$BN35)*100</f>
        <v>12.913189212119327</v>
      </c>
      <c r="BJ34" s="456">
        <f>('C4-Sources'!BR35/'C4-Sources'!$BN35)*100</f>
        <v>9.9211242227771912</v>
      </c>
      <c r="BK34" s="456">
        <f>('C4-Sources'!BS35/'C4-Sources'!$BN35)*100</f>
        <v>5.2489935340130049</v>
      </c>
      <c r="BL34" s="456">
        <f>('C4-Sources'!BT35/'C4-Sources'!$BN35)*100</f>
        <v>2.1393797194743196</v>
      </c>
    </row>
    <row r="35" spans="1:64" s="452" customFormat="1" ht="12" x14ac:dyDescent="0.25">
      <c r="A35" s="239">
        <v>1989</v>
      </c>
      <c r="B35" s="456">
        <f t="shared" si="0"/>
        <v>70.573843669239579</v>
      </c>
      <c r="C35" s="456">
        <f>('C4-Sources'!K36/'C4-Sources'!$J36)*100</f>
        <v>29.426156330760428</v>
      </c>
      <c r="D35" s="456">
        <f>('C4-Sources'!L36/'C4-Sources'!$J36)*100</f>
        <v>18.109075815237798</v>
      </c>
      <c r="E35" s="456">
        <f>('C4-Sources'!M36/'C4-Sources'!$J36)*100</f>
        <v>6.421466905132629</v>
      </c>
      <c r="F35" s="456">
        <f>('C4-Sources'!N36/'C4-Sources'!$J36)*100</f>
        <v>4.3876702593145911</v>
      </c>
      <c r="G35" s="456">
        <f>('C4-Sources'!O36/'C4-Sources'!$J36)*100</f>
        <v>1.8104348606973142</v>
      </c>
      <c r="H35" s="456">
        <f>('C4-Sources'!P36/'C4-Sources'!$J36)*100</f>
        <v>0.46982893816012034</v>
      </c>
      <c r="I35" s="457"/>
      <c r="J35" s="456">
        <f>100-'C6-Source Dist'!K35</f>
        <v>47.669209571757833</v>
      </c>
      <c r="K35" s="456">
        <f>('C4-Sources'!S36/'C4-Sources'!$R36)*100</f>
        <v>52.330790428242167</v>
      </c>
      <c r="L35" s="456">
        <f>('C4-Sources'!T36/'C4-Sources'!$R36)*100</f>
        <v>44.134746165324415</v>
      </c>
      <c r="M35" s="456">
        <f>('C4-Sources'!U36/'C4-Sources'!$R36)*100</f>
        <v>28.559404830440439</v>
      </c>
      <c r="N35" s="456">
        <f>('C4-Sources'!V36/'C4-Sources'!$R36)*100</f>
        <v>22.931621683325194</v>
      </c>
      <c r="O35" s="456">
        <f>('C4-Sources'!W36/'C4-Sources'!$R36)*100</f>
        <v>13.975067093942986</v>
      </c>
      <c r="P35" s="456">
        <f>('C4-Sources'!X36/'C4-Sources'!$R36)*100</f>
        <v>6.2518926138634621</v>
      </c>
      <c r="Q35" s="456"/>
      <c r="R35" s="456">
        <f>100-'C6-Source Dist'!S35</f>
        <v>32.41886508997986</v>
      </c>
      <c r="S35" s="456">
        <f>('C4-Sources'!AA36/'C4-Sources'!$Z36)*100</f>
        <v>67.58113491002014</v>
      </c>
      <c r="T35" s="456">
        <f>('C4-Sources'!AB36/'C4-Sources'!$Z36)*100</f>
        <v>59.828044294833916</v>
      </c>
      <c r="U35" s="456">
        <f>('C4-Sources'!AC36/'C4-Sources'!$Z36)*100</f>
        <v>40.59452173232819</v>
      </c>
      <c r="V35" s="456">
        <f>('C4-Sources'!AD36/'C4-Sources'!$Z36)*100</f>
        <v>33.56666803784158</v>
      </c>
      <c r="W35" s="456">
        <f>('C4-Sources'!AE36/'C4-Sources'!$Z36)*100</f>
        <v>21.335750481906032</v>
      </c>
      <c r="X35" s="456">
        <f>('C4-Sources'!AF36/'C4-Sources'!$Z36)*100</f>
        <v>10.71920700717725</v>
      </c>
      <c r="Y35" s="458"/>
      <c r="Z35" s="456">
        <f>100-'C6-Source Dist'!AA35</f>
        <v>51.37112538349642</v>
      </c>
      <c r="AA35" s="456">
        <f>('C4-Sources'!AI36/'C4-Sources'!$AH36)*100</f>
        <v>48.62887461650358</v>
      </c>
      <c r="AB35" s="456">
        <f>('C4-Sources'!AJ36/'C4-Sources'!$AH36)*100</f>
        <v>40.508272685591045</v>
      </c>
      <c r="AC35" s="456">
        <f>('C4-Sources'!AK36/'C4-Sources'!$AH36)*100</f>
        <v>25.703135011161578</v>
      </c>
      <c r="AD35" s="456">
        <f>('C4-Sources'!AL36/'C4-Sources'!$AH36)*100</f>
        <v>20.643125930489312</v>
      </c>
      <c r="AE35" s="456">
        <f>('C4-Sources'!AM36/'C4-Sources'!$AH36)*100</f>
        <v>12.245429267837517</v>
      </c>
      <c r="AF35" s="456">
        <f>('C4-Sources'!AN36/'C4-Sources'!$AH36)*100</f>
        <v>5.1792815949195639</v>
      </c>
      <c r="AG35" s="458"/>
      <c r="AH35" s="456">
        <f>100-'C6-Source Dist'!AI35</f>
        <v>53.412233014818646</v>
      </c>
      <c r="AI35" s="456">
        <f>('C4-Sources'!AQ36/'C4-Sources'!$AP36)*100</f>
        <v>46.587766985181354</v>
      </c>
      <c r="AJ35" s="456">
        <f>('C4-Sources'!AR36/'C4-Sources'!$AP36)*100</f>
        <v>37.744212588136008</v>
      </c>
      <c r="AK35" s="456">
        <f>('C4-Sources'!AS36/'C4-Sources'!$AP36)*100</f>
        <v>23.722232597391994</v>
      </c>
      <c r="AL35" s="456">
        <f>('C4-Sources'!AT36/'C4-Sources'!$AP36)*100</f>
        <v>19.371371192116079</v>
      </c>
      <c r="AM35" s="456">
        <f>('C4-Sources'!AU36/'C4-Sources'!$AP36)*100</f>
        <v>12.091727166308223</v>
      </c>
      <c r="AN35" s="456">
        <f>('C4-Sources'!AV36/'C4-Sources'!$AP36)*100</f>
        <v>5.8615708146171928</v>
      </c>
      <c r="AO35" s="458"/>
      <c r="AP35" s="456">
        <f>100-'C6-Source Dist'!AQ35</f>
        <v>64.28930129719825</v>
      </c>
      <c r="AQ35" s="456">
        <f>('C4-Sources'!AY36/'C4-Sources'!$AX36)*100</f>
        <v>35.71069870280175</v>
      </c>
      <c r="AR35" s="456">
        <f>('C4-Sources'!AZ36/'C4-Sources'!$AX36)*100</f>
        <v>26.035674157303372</v>
      </c>
      <c r="AS35" s="456">
        <f>('C4-Sources'!BA36/'C4-Sources'!$AX36)*100</f>
        <v>14.000832786806191</v>
      </c>
      <c r="AT35" s="456">
        <f>('C4-Sources'!BB36/'C4-Sources'!$AX36)*100</f>
        <v>10.984313634244748</v>
      </c>
      <c r="AU35" s="456">
        <f>('C4-Sources'!BC36/'C4-Sources'!$AX36)*100</f>
        <v>6.3727909003230945</v>
      </c>
      <c r="AV35" s="456">
        <f>('C4-Sources'!BD36/'C4-Sources'!$AX36)*100</f>
        <v>2.8463316141839865</v>
      </c>
      <c r="AW35" s="456"/>
      <c r="AX35" s="456">
        <f>100-'C6-Source Dist'!AY35</f>
        <v>76.111119783474408</v>
      </c>
      <c r="AY35" s="456">
        <f>('C4-Sources'!BG36/'C4-Sources'!$BF36)*100</f>
        <v>23.888880216525585</v>
      </c>
      <c r="AZ35" s="456">
        <f>('C4-Sources'!BH36/'C4-Sources'!$BF36)*100</f>
        <v>14.550297260616238</v>
      </c>
      <c r="BA35" s="456">
        <f>('C4-Sources'!BI36/'C4-Sources'!$BF36)*100</f>
        <v>4.8167776329318057</v>
      </c>
      <c r="BB35" s="456">
        <f>('C4-Sources'!BJ36/'C4-Sources'!$BF36)*100</f>
        <v>3.240886656216301</v>
      </c>
      <c r="BC35" s="456">
        <f>('C4-Sources'!BK36/'C4-Sources'!$BF36)*100</f>
        <v>1.3477703105601593</v>
      </c>
      <c r="BD35" s="456">
        <f>('C4-Sources'!BL36/'C4-Sources'!$BF36)*100</f>
        <v>0.31135189093493681</v>
      </c>
      <c r="BE35" s="458"/>
      <c r="BF35" s="456">
        <f>100-'C6-Source Dist'!BG35</f>
        <v>63.307585086806931</v>
      </c>
      <c r="BG35" s="456">
        <f>('C4-Sources'!BO36/'C4-Sources'!$BN36)*100</f>
        <v>36.692414913193069</v>
      </c>
      <c r="BH35" s="456">
        <f>('C4-Sources'!BP36/'C4-Sources'!$BN36)*100</f>
        <v>25.730837433194541</v>
      </c>
      <c r="BI35" s="456">
        <f>('C4-Sources'!BQ36/'C4-Sources'!$BN36)*100</f>
        <v>13.069128549538645</v>
      </c>
      <c r="BJ35" s="456">
        <f>('C4-Sources'!BR36/'C4-Sources'!$BN36)*100</f>
        <v>9.9990411868508584</v>
      </c>
      <c r="BK35" s="456">
        <f>('C4-Sources'!BS36/'C4-Sources'!$BN36)*100</f>
        <v>5.2008546485624567</v>
      </c>
      <c r="BL35" s="456">
        <f>('C4-Sources'!BT36/'C4-Sources'!$BN36)*100</f>
        <v>2.1877723536022944</v>
      </c>
    </row>
    <row r="36" spans="1:64" s="452" customFormat="1" ht="12" x14ac:dyDescent="0.25">
      <c r="A36" s="239">
        <v>1990</v>
      </c>
      <c r="B36" s="456">
        <f t="shared" si="0"/>
        <v>70.379637364454936</v>
      </c>
      <c r="C36" s="456">
        <f>('C4-Sources'!K37/'C4-Sources'!$J37)*100</f>
        <v>29.620362635545067</v>
      </c>
      <c r="D36" s="456">
        <f>('C4-Sources'!L37/'C4-Sources'!$J37)*100</f>
        <v>18.333578344710677</v>
      </c>
      <c r="E36" s="456">
        <f>('C4-Sources'!M37/'C4-Sources'!$J37)*100</f>
        <v>6.7103269846745333</v>
      </c>
      <c r="F36" s="456">
        <f>('C4-Sources'!N37/'C4-Sources'!$J37)*100</f>
        <v>4.5909337638425063</v>
      </c>
      <c r="G36" s="456">
        <f>('C4-Sources'!O37/'C4-Sources'!$J37)*100</f>
        <v>1.93756161721539</v>
      </c>
      <c r="H36" s="456">
        <f>('C4-Sources'!P37/'C4-Sources'!$J37)*100</f>
        <v>0.54051295614225336</v>
      </c>
      <c r="I36" s="457"/>
      <c r="J36" s="456">
        <f>100-'C6-Source Dist'!K36</f>
        <v>46.582641209509447</v>
      </c>
      <c r="K36" s="456">
        <f>('C4-Sources'!S37/'C4-Sources'!$R37)*100</f>
        <v>53.417358790490553</v>
      </c>
      <c r="L36" s="456">
        <f>('C4-Sources'!T37/'C4-Sources'!$R37)*100</f>
        <v>45.802627250055359</v>
      </c>
      <c r="M36" s="456">
        <f>('C4-Sources'!U37/'C4-Sources'!$R37)*100</f>
        <v>30.079224861086214</v>
      </c>
      <c r="N36" s="456">
        <f>('C4-Sources'!V37/'C4-Sources'!$R37)*100</f>
        <v>24.103454152825549</v>
      </c>
      <c r="O36" s="456">
        <f>('C4-Sources'!W37/'C4-Sources'!$R37)*100</f>
        <v>14.202052854136205</v>
      </c>
      <c r="P36" s="456">
        <f>('C4-Sources'!X37/'C4-Sources'!$R37)*100</f>
        <v>6.4048210205219256</v>
      </c>
      <c r="Q36" s="456"/>
      <c r="R36" s="456">
        <f>100-'C6-Source Dist'!S36</f>
        <v>33.442434605513341</v>
      </c>
      <c r="S36" s="456">
        <f>('C4-Sources'!AA37/'C4-Sources'!$Z37)*100</f>
        <v>66.557565394486659</v>
      </c>
      <c r="T36" s="456">
        <f>('C4-Sources'!AB37/'C4-Sources'!$Z37)*100</f>
        <v>58.809072629015937</v>
      </c>
      <c r="U36" s="456">
        <f>('C4-Sources'!AC37/'C4-Sources'!$Z37)*100</f>
        <v>40.397317072195968</v>
      </c>
      <c r="V36" s="456">
        <f>('C4-Sources'!AD37/'C4-Sources'!$Z37)*100</f>
        <v>33.847017102700931</v>
      </c>
      <c r="W36" s="456">
        <f>('C4-Sources'!AE37/'C4-Sources'!$Z37)*100</f>
        <v>22.091770002027815</v>
      </c>
      <c r="X36" s="456">
        <f>('C4-Sources'!AF37/'C4-Sources'!$Z37)*100</f>
        <v>11.031579221472789</v>
      </c>
      <c r="Y36" s="458"/>
      <c r="Z36" s="456">
        <f>100-'C6-Source Dist'!AA36</f>
        <v>51.258500548951595</v>
      </c>
      <c r="AA36" s="456">
        <f>('C4-Sources'!AI37/'C4-Sources'!$AH37)*100</f>
        <v>48.741499451048405</v>
      </c>
      <c r="AB36" s="456">
        <f>('C4-Sources'!AJ37/'C4-Sources'!$AH37)*100</f>
        <v>40.49274639378342</v>
      </c>
      <c r="AC36" s="456">
        <f>('C4-Sources'!AK37/'C4-Sources'!$AH37)*100</f>
        <v>25.541580908801404</v>
      </c>
      <c r="AD36" s="456">
        <f>('C4-Sources'!AL37/'C4-Sources'!$AH37)*100</f>
        <v>20.776543964198467</v>
      </c>
      <c r="AE36" s="456">
        <f>('C4-Sources'!AM37/'C4-Sources'!$AH37)*100</f>
        <v>12.493805880897447</v>
      </c>
      <c r="AF36" s="456">
        <f>('C4-Sources'!AN37/'C4-Sources'!$AH37)*100</f>
        <v>5.345449551862604</v>
      </c>
      <c r="AG36" s="458"/>
      <c r="AH36" s="456">
        <f>100-'C6-Source Dist'!AI36</f>
        <v>52.757185874583598</v>
      </c>
      <c r="AI36" s="456">
        <f>('C4-Sources'!AQ37/'C4-Sources'!$AP37)*100</f>
        <v>47.242814125416402</v>
      </c>
      <c r="AJ36" s="456">
        <f>('C4-Sources'!AR37/'C4-Sources'!$AP37)*100</f>
        <v>37.195044289248628</v>
      </c>
      <c r="AK36" s="456">
        <f>('C4-Sources'!AS37/'C4-Sources'!$AP37)*100</f>
        <v>21.745056756862059</v>
      </c>
      <c r="AL36" s="456">
        <f>('C4-Sources'!AT37/'C4-Sources'!$AP37)*100</f>
        <v>17.756060010129936</v>
      </c>
      <c r="AM36" s="456">
        <f>('C4-Sources'!AU37/'C4-Sources'!$AP37)*100</f>
        <v>11.117590789550581</v>
      </c>
      <c r="AN36" s="456">
        <f>('C4-Sources'!AV37/'C4-Sources'!$AP37)*100</f>
        <v>5.3318247969142654</v>
      </c>
      <c r="AO36" s="458"/>
      <c r="AP36" s="456">
        <f>100-'C6-Source Dist'!AQ36</f>
        <v>60.960207066395213</v>
      </c>
      <c r="AQ36" s="456">
        <f>('C4-Sources'!AY37/'C4-Sources'!$AX37)*100</f>
        <v>39.039792933604787</v>
      </c>
      <c r="AR36" s="456">
        <f>('C4-Sources'!AZ37/'C4-Sources'!$AX37)*100</f>
        <v>28.162227687660078</v>
      </c>
      <c r="AS36" s="456">
        <f>('C4-Sources'!BA37/'C4-Sources'!$AX37)*100</f>
        <v>13.736846662179026</v>
      </c>
      <c r="AT36" s="456">
        <f>('C4-Sources'!BB37/'C4-Sources'!$AX37)*100</f>
        <v>10.673678080055165</v>
      </c>
      <c r="AU36" s="456">
        <f>('C4-Sources'!BC37/'C4-Sources'!$AX37)*100</f>
        <v>6.147376209200762</v>
      </c>
      <c r="AV36" s="456">
        <f>('C4-Sources'!BD37/'C4-Sources'!$AX37)*100</f>
        <v>2.6955725824193868</v>
      </c>
      <c r="AW36" s="456"/>
      <c r="AX36" s="456">
        <f>100-'C6-Source Dist'!AY36</f>
        <v>72.448018754681499</v>
      </c>
      <c r="AY36" s="456">
        <f>('C4-Sources'!BG37/'C4-Sources'!$BF37)*100</f>
        <v>27.551981245318501</v>
      </c>
      <c r="AZ36" s="456">
        <f>('C4-Sources'!BH37/'C4-Sources'!$BF37)*100</f>
        <v>17.325024776242209</v>
      </c>
      <c r="BA36" s="456">
        <f>('C4-Sources'!BI37/'C4-Sources'!$BF37)*100</f>
        <v>5.5205947586278423</v>
      </c>
      <c r="BB36" s="456">
        <f>('C4-Sources'!BJ37/'C4-Sources'!$BF37)*100</f>
        <v>3.6457323317364421</v>
      </c>
      <c r="BC36" s="456">
        <f>('C4-Sources'!BK37/'C4-Sources'!$BF37)*100</f>
        <v>1.491327811520663</v>
      </c>
      <c r="BD36" s="456">
        <f>('C4-Sources'!BL37/'C4-Sources'!$BF37)*100</f>
        <v>0.37509636803675545</v>
      </c>
      <c r="BE36" s="458"/>
      <c r="BF36" s="456">
        <f>100-'C6-Source Dist'!BG36</f>
        <v>63.240347367636453</v>
      </c>
      <c r="BG36" s="456">
        <f>('C4-Sources'!BO37/'C4-Sources'!$BN37)*100</f>
        <v>36.759652632363547</v>
      </c>
      <c r="BH36" s="456">
        <f>('C4-Sources'!BP37/'C4-Sources'!$BN37)*100</f>
        <v>25.648783913140171</v>
      </c>
      <c r="BI36" s="456">
        <f>('C4-Sources'!BQ37/'C4-Sources'!$BN37)*100</f>
        <v>12.843153821496021</v>
      </c>
      <c r="BJ36" s="456">
        <f>('C4-Sources'!BR37/'C4-Sources'!$BN37)*100</f>
        <v>9.620101084148752</v>
      </c>
      <c r="BK36" s="456">
        <f>('C4-Sources'!BS37/'C4-Sources'!$BN37)*100</f>
        <v>4.8576329960875384</v>
      </c>
      <c r="BL36" s="456">
        <f>('C4-Sources'!BT37/'C4-Sources'!$BN37)*100</f>
        <v>1.8848943118843651</v>
      </c>
    </row>
    <row r="37" spans="1:64" s="452" customFormat="1" ht="12" x14ac:dyDescent="0.25">
      <c r="A37" s="239">
        <v>1991</v>
      </c>
      <c r="B37" s="456">
        <f t="shared" si="0"/>
        <v>70.523683504671467</v>
      </c>
      <c r="C37" s="456">
        <f>('C4-Sources'!K38/'C4-Sources'!$J38)*100</f>
        <v>29.476316495328536</v>
      </c>
      <c r="D37" s="456">
        <f>('C4-Sources'!L38/'C4-Sources'!$J38)*100</f>
        <v>18.252753292431851</v>
      </c>
      <c r="E37" s="456">
        <f>('C4-Sources'!M38/'C4-Sources'!$J38)*100</f>
        <v>6.5071601492024094</v>
      </c>
      <c r="F37" s="456">
        <f>('C4-Sources'!N38/'C4-Sources'!$J38)*100</f>
        <v>4.3132550095576159</v>
      </c>
      <c r="G37" s="456">
        <f>('C4-Sources'!O38/'C4-Sources'!$J38)*100</f>
        <v>1.734106806283376</v>
      </c>
      <c r="H37" s="456">
        <f>('C4-Sources'!P38/'C4-Sources'!$J38)*100</f>
        <v>0.45280368787315423</v>
      </c>
      <c r="I37" s="457"/>
      <c r="J37" s="456">
        <f>100-'C6-Source Dist'!K37</f>
        <v>47.394923549360335</v>
      </c>
      <c r="K37" s="456">
        <f>('C4-Sources'!S38/'C4-Sources'!$R38)*100</f>
        <v>52.605076450639665</v>
      </c>
      <c r="L37" s="456">
        <f>('C4-Sources'!T38/'C4-Sources'!$R38)*100</f>
        <v>44.783166059358706</v>
      </c>
      <c r="M37" s="456">
        <f>('C4-Sources'!U38/'C4-Sources'!$R38)*100</f>
        <v>28.064594733026173</v>
      </c>
      <c r="N37" s="456">
        <f>('C4-Sources'!V38/'C4-Sources'!$R38)*100</f>
        <v>22.428652098837617</v>
      </c>
      <c r="O37" s="456">
        <f>('C4-Sources'!W38/'C4-Sources'!$R38)*100</f>
        <v>13.22952867015927</v>
      </c>
      <c r="P37" s="456">
        <f>('C4-Sources'!X38/'C4-Sources'!$R38)*100</f>
        <v>5.8371818909184459</v>
      </c>
      <c r="Q37" s="456"/>
      <c r="R37" s="456">
        <f>100-'C6-Source Dist'!S37</f>
        <v>33.093699362864754</v>
      </c>
      <c r="S37" s="456">
        <f>('C4-Sources'!AA38/'C4-Sources'!$Z38)*100</f>
        <v>66.906300637135246</v>
      </c>
      <c r="T37" s="456">
        <f>('C4-Sources'!AB38/'C4-Sources'!$Z38)*100</f>
        <v>58.186242935219646</v>
      </c>
      <c r="U37" s="456">
        <f>('C4-Sources'!AC38/'C4-Sources'!$Z38)*100</f>
        <v>40.775008716332415</v>
      </c>
      <c r="V37" s="456">
        <f>('C4-Sources'!AD38/'C4-Sources'!$Z38)*100</f>
        <v>34.005493498159986</v>
      </c>
      <c r="W37" s="456">
        <f>('C4-Sources'!AE38/'C4-Sources'!$Z38)*100</f>
        <v>21.879266976558764</v>
      </c>
      <c r="X37" s="456">
        <f>('C4-Sources'!AF38/'C4-Sources'!$Z38)*100</f>
        <v>10.750776832055918</v>
      </c>
      <c r="Y37" s="458"/>
      <c r="Z37" s="456">
        <f>100-'C6-Source Dist'!AA37</f>
        <v>49.921204400641749</v>
      </c>
      <c r="AA37" s="456">
        <f>('C4-Sources'!AI38/'C4-Sources'!$AH38)*100</f>
        <v>50.078795599358251</v>
      </c>
      <c r="AB37" s="456">
        <f>('C4-Sources'!AJ38/'C4-Sources'!$AH38)*100</f>
        <v>41.158663801067632</v>
      </c>
      <c r="AC37" s="456">
        <f>('C4-Sources'!AK38/'C4-Sources'!$AH38)*100</f>
        <v>26.899742286596794</v>
      </c>
      <c r="AD37" s="456">
        <f>('C4-Sources'!AL38/'C4-Sources'!$AH38)*100</f>
        <v>22.043469993356197</v>
      </c>
      <c r="AE37" s="456">
        <f>('C4-Sources'!AM38/'C4-Sources'!$AH38)*100</f>
        <v>13.329176503227721</v>
      </c>
      <c r="AF37" s="456">
        <f>('C4-Sources'!AN38/'C4-Sources'!$AH38)*100</f>
        <v>5.6761415942042941</v>
      </c>
      <c r="AG37" s="458"/>
      <c r="AH37" s="456">
        <f>100-'C6-Source Dist'!AI37</f>
        <v>48.493994070712802</v>
      </c>
      <c r="AI37" s="456">
        <f>('C4-Sources'!AQ38/'C4-Sources'!$AP38)*100</f>
        <v>51.506005929287198</v>
      </c>
      <c r="AJ37" s="456">
        <f>('C4-Sources'!AR38/'C4-Sources'!$AP38)*100</f>
        <v>40.83241986764984</v>
      </c>
      <c r="AK37" s="456">
        <f>('C4-Sources'!AS38/'C4-Sources'!$AP38)*100</f>
        <v>24.241627838910944</v>
      </c>
      <c r="AL37" s="456">
        <f>('C4-Sources'!AT38/'C4-Sources'!$AP38)*100</f>
        <v>19.790372508980902</v>
      </c>
      <c r="AM37" s="456">
        <f>('C4-Sources'!AU38/'C4-Sources'!$AP38)*100</f>
        <v>12.418145501985252</v>
      </c>
      <c r="AN37" s="456">
        <f>('C4-Sources'!AV38/'C4-Sources'!$AP38)*100</f>
        <v>5.8935893068633014</v>
      </c>
      <c r="AO37" s="458"/>
      <c r="AP37" s="456">
        <f>100-'C6-Source Dist'!AQ37</f>
        <v>57.345186320694665</v>
      </c>
      <c r="AQ37" s="456">
        <f>('C4-Sources'!AY38/'C4-Sources'!$AX38)*100</f>
        <v>42.654813679305335</v>
      </c>
      <c r="AR37" s="456">
        <f>('C4-Sources'!AZ38/'C4-Sources'!$AX38)*100</f>
        <v>31.060652585028812</v>
      </c>
      <c r="AS37" s="456">
        <f>('C4-Sources'!BA38/'C4-Sources'!$AX38)*100</f>
        <v>15.21040457334929</v>
      </c>
      <c r="AT37" s="456">
        <f>('C4-Sources'!BB38/'C4-Sources'!$AX38)*100</f>
        <v>11.833101423442233</v>
      </c>
      <c r="AU37" s="456">
        <f>('C4-Sources'!BC38/'C4-Sources'!$AX38)*100</f>
        <v>6.8574535976505135</v>
      </c>
      <c r="AV37" s="456">
        <f>('C4-Sources'!BD38/'C4-Sources'!$AX38)*100</f>
        <v>3.0220939701051663</v>
      </c>
      <c r="AW37" s="456"/>
      <c r="AX37" s="456">
        <f>100-'C6-Source Dist'!AY37</f>
        <v>70.805976623985231</v>
      </c>
      <c r="AY37" s="456">
        <f>('C4-Sources'!BG38/'C4-Sources'!$BF38)*100</f>
        <v>29.194023376014762</v>
      </c>
      <c r="AZ37" s="456">
        <f>('C4-Sources'!BH38/'C4-Sources'!$BF38)*100</f>
        <v>18.540539194391076</v>
      </c>
      <c r="BA37" s="456">
        <f>('C4-Sources'!BI38/'C4-Sources'!$BF38)*100</f>
        <v>5.414885269649206</v>
      </c>
      <c r="BB37" s="456">
        <f>('C4-Sources'!BJ38/'C4-Sources'!$BF38)*100</f>
        <v>3.4364605497505099</v>
      </c>
      <c r="BC37" s="456">
        <f>('C4-Sources'!BK38/'C4-Sources'!$BF38)*100</f>
        <v>1.223911110509204</v>
      </c>
      <c r="BD37" s="456">
        <f>('C4-Sources'!BL38/'C4-Sources'!$BF38)*100</f>
        <v>0.27655930872367018</v>
      </c>
      <c r="BE37" s="458"/>
      <c r="BF37" s="456">
        <f>100-'C6-Source Dist'!BG37</f>
        <v>64.493093235810647</v>
      </c>
      <c r="BG37" s="456">
        <f>('C4-Sources'!BO38/'C4-Sources'!$BN38)*100</f>
        <v>35.50690676418936</v>
      </c>
      <c r="BH37" s="456">
        <f>('C4-Sources'!BP38/'C4-Sources'!$BN38)*100</f>
        <v>24.19171003229479</v>
      </c>
      <c r="BI37" s="456">
        <f>('C4-Sources'!BQ38/'C4-Sources'!$BN38)*100</f>
        <v>11.169145228989658</v>
      </c>
      <c r="BJ37" s="456">
        <f>('C4-Sources'!BR38/'C4-Sources'!$BN38)*100</f>
        <v>8.3056241700713187</v>
      </c>
      <c r="BK37" s="456">
        <f>('C4-Sources'!BS38/'C4-Sources'!$BN38)*100</f>
        <v>3.9803897836140392</v>
      </c>
      <c r="BL37" s="456">
        <f>('C4-Sources'!BT38/'C4-Sources'!$BN38)*100</f>
        <v>1.434019691256345</v>
      </c>
    </row>
    <row r="38" spans="1:64" s="452" customFormat="1" ht="12" x14ac:dyDescent="0.25">
      <c r="A38" s="239">
        <v>1992</v>
      </c>
      <c r="B38" s="456">
        <f t="shared" si="0"/>
        <v>69.436756667966222</v>
      </c>
      <c r="C38" s="456">
        <f>('C4-Sources'!K39/'C4-Sources'!$J39)*100</f>
        <v>30.563243332033785</v>
      </c>
      <c r="D38" s="456">
        <f>('C4-Sources'!L39/'C4-Sources'!$J39)*100</f>
        <v>19.389305933444493</v>
      </c>
      <c r="E38" s="456">
        <f>('C4-Sources'!M39/'C4-Sources'!$J39)*100</f>
        <v>7.3655572184962521</v>
      </c>
      <c r="F38" s="456">
        <f>('C4-Sources'!N39/'C4-Sources'!$J39)*100</f>
        <v>5.1507004129270157</v>
      </c>
      <c r="G38" s="456">
        <f>('C4-Sources'!O39/'C4-Sources'!$J39)*100</f>
        <v>2.3704464345011407</v>
      </c>
      <c r="H38" s="456">
        <f>('C4-Sources'!P39/'C4-Sources'!$J39)*100</f>
        <v>0.76163332216623603</v>
      </c>
      <c r="I38" s="457"/>
      <c r="J38" s="456">
        <f>100-'C6-Source Dist'!K38</f>
        <v>49.874514039877347</v>
      </c>
      <c r="K38" s="456">
        <f>('C4-Sources'!S39/'C4-Sources'!$R39)*100</f>
        <v>50.125485960122653</v>
      </c>
      <c r="L38" s="456">
        <f>('C4-Sources'!T39/'C4-Sources'!$R39)*100</f>
        <v>42.509883917884139</v>
      </c>
      <c r="M38" s="456">
        <f>('C4-Sources'!U39/'C4-Sources'!$R39)*100</f>
        <v>26.606683057454866</v>
      </c>
      <c r="N38" s="456">
        <f>('C4-Sources'!V39/'C4-Sources'!$R39)*100</f>
        <v>21.209114803154772</v>
      </c>
      <c r="O38" s="456">
        <f>('C4-Sources'!W39/'C4-Sources'!$R39)*100</f>
        <v>12.360517696804237</v>
      </c>
      <c r="P38" s="456">
        <f>('C4-Sources'!X39/'C4-Sources'!$R39)*100</f>
        <v>5.5882095883139034</v>
      </c>
      <c r="Q38" s="456"/>
      <c r="R38" s="456">
        <f>100-'C6-Source Dist'!S38</f>
        <v>31.94911250890739</v>
      </c>
      <c r="S38" s="456">
        <f>('C4-Sources'!AA39/'C4-Sources'!$Z39)*100</f>
        <v>68.05088749109261</v>
      </c>
      <c r="T38" s="456">
        <f>('C4-Sources'!AB39/'C4-Sources'!$Z39)*100</f>
        <v>58.226749011913903</v>
      </c>
      <c r="U38" s="456">
        <f>('C4-Sources'!AC39/'C4-Sources'!$Z39)*100</f>
        <v>41.002312306111676</v>
      </c>
      <c r="V38" s="456">
        <f>('C4-Sources'!AD39/'C4-Sources'!$Z39)*100</f>
        <v>33.910579769029098</v>
      </c>
      <c r="W38" s="456">
        <f>('C4-Sources'!AE39/'C4-Sources'!$Z39)*100</f>
        <v>23.013760287699419</v>
      </c>
      <c r="X38" s="456">
        <f>('C4-Sources'!AF39/'C4-Sources'!$Z39)*100</f>
        <v>11.665446308844173</v>
      </c>
      <c r="Y38" s="458"/>
      <c r="Z38" s="456">
        <f>100-'C6-Source Dist'!AA38</f>
        <v>48.261520312743954</v>
      </c>
      <c r="AA38" s="456">
        <f>('C4-Sources'!AI39/'C4-Sources'!$AH39)*100</f>
        <v>51.738479687256046</v>
      </c>
      <c r="AB38" s="456">
        <f>('C4-Sources'!AJ39/'C4-Sources'!$AH39)*100</f>
        <v>42.857074801531823</v>
      </c>
      <c r="AC38" s="456">
        <f>('C4-Sources'!AK39/'C4-Sources'!$AH39)*100</f>
        <v>28.281058297077742</v>
      </c>
      <c r="AD38" s="456">
        <f>('C4-Sources'!AL39/'C4-Sources'!$AH39)*100</f>
        <v>23.216690110985379</v>
      </c>
      <c r="AE38" s="456">
        <f>('C4-Sources'!AM39/'C4-Sources'!$AH39)*100</f>
        <v>14.073431535372514</v>
      </c>
      <c r="AF38" s="456">
        <f>('C4-Sources'!AN39/'C4-Sources'!$AH39)*100</f>
        <v>6.0280231870251555</v>
      </c>
      <c r="AG38" s="458"/>
      <c r="AH38" s="456">
        <f>100-'C6-Source Dist'!AI38</f>
        <v>45.807393245638991</v>
      </c>
      <c r="AI38" s="456">
        <f>('C4-Sources'!AQ39/'C4-Sources'!$AP39)*100</f>
        <v>54.192606754361009</v>
      </c>
      <c r="AJ38" s="456">
        <f>('C4-Sources'!AR39/'C4-Sources'!$AP39)*100</f>
        <v>42.91401089248324</v>
      </c>
      <c r="AK38" s="456">
        <f>('C4-Sources'!AS39/'C4-Sources'!$AP39)*100</f>
        <v>25.362521562447562</v>
      </c>
      <c r="AL38" s="456">
        <f>('C4-Sources'!AT39/'C4-Sources'!$AP39)*100</f>
        <v>20.621322491920012</v>
      </c>
      <c r="AM38" s="456">
        <f>('C4-Sources'!AU39/'C4-Sources'!$AP39)*100</f>
        <v>13.416320908752654</v>
      </c>
      <c r="AN38" s="456">
        <f>('C4-Sources'!AV39/'C4-Sources'!$AP39)*100</f>
        <v>6.5304364763217997</v>
      </c>
      <c r="AO38" s="458"/>
      <c r="AP38" s="456">
        <f>100-'C6-Source Dist'!AQ38</f>
        <v>54.414053019391424</v>
      </c>
      <c r="AQ38" s="456">
        <f>('C4-Sources'!AY39/'C4-Sources'!$AX39)*100</f>
        <v>45.585946980608576</v>
      </c>
      <c r="AR38" s="456">
        <f>('C4-Sources'!AZ39/'C4-Sources'!$AX39)*100</f>
        <v>33.651022090149638</v>
      </c>
      <c r="AS38" s="456">
        <f>('C4-Sources'!BA39/'C4-Sources'!$AX39)*100</f>
        <v>16.586495224161197</v>
      </c>
      <c r="AT38" s="456">
        <f>('C4-Sources'!BB39/'C4-Sources'!$AX39)*100</f>
        <v>12.954619001773882</v>
      </c>
      <c r="AU38" s="456">
        <f>('C4-Sources'!BC39/'C4-Sources'!$AX39)*100</f>
        <v>7.7704073942113805</v>
      </c>
      <c r="AV38" s="456">
        <f>('C4-Sources'!BD39/'C4-Sources'!$AX39)*100</f>
        <v>3.5264181868490079</v>
      </c>
      <c r="AW38" s="456"/>
      <c r="AX38" s="456">
        <f>100-'C6-Source Dist'!AY38</f>
        <v>68.157734745357928</v>
      </c>
      <c r="AY38" s="456">
        <f>('C4-Sources'!BG39/'C4-Sources'!$BF39)*100</f>
        <v>31.842265254642076</v>
      </c>
      <c r="AZ38" s="456">
        <f>('C4-Sources'!BH39/'C4-Sources'!$BF39)*100</f>
        <v>20.564827758488132</v>
      </c>
      <c r="BA38" s="456">
        <f>('C4-Sources'!BI39/'C4-Sources'!$BF39)*100</f>
        <v>6.3643250630997867</v>
      </c>
      <c r="BB38" s="456">
        <f>('C4-Sources'!BJ39/'C4-Sources'!$BF39)*100</f>
        <v>4.221726375744959</v>
      </c>
      <c r="BC38" s="456">
        <f>('C4-Sources'!BK39/'C4-Sources'!$BF39)*100</f>
        <v>1.7212181581593025</v>
      </c>
      <c r="BD38" s="456">
        <f>('C4-Sources'!BL39/'C4-Sources'!$BF39)*100</f>
        <v>0.46512381446328183</v>
      </c>
      <c r="BE38" s="458"/>
      <c r="BF38" s="456">
        <f>100-'C6-Source Dist'!BG38</f>
        <v>62.740080632388548</v>
      </c>
      <c r="BG38" s="456">
        <f>('C4-Sources'!BO39/'C4-Sources'!$BN39)*100</f>
        <v>37.259919367611452</v>
      </c>
      <c r="BH38" s="456">
        <f>('C4-Sources'!BP39/'C4-Sources'!$BN39)*100</f>
        <v>25.710796823272748</v>
      </c>
      <c r="BI38" s="456">
        <f>('C4-Sources'!BQ39/'C4-Sources'!$BN39)*100</f>
        <v>13.012977798335795</v>
      </c>
      <c r="BJ38" s="456">
        <f>('C4-Sources'!BR39/'C4-Sources'!$BN39)*100</f>
        <v>9.672517460188983</v>
      </c>
      <c r="BK38" s="456">
        <f>('C4-Sources'!BS39/'C4-Sources'!$BN39)*100</f>
        <v>4.5477244445960272</v>
      </c>
      <c r="BL38" s="456">
        <f>('C4-Sources'!BT39/'C4-Sources'!$BN39)*100</f>
        <v>1.7727337457153678</v>
      </c>
    </row>
    <row r="39" spans="1:64" s="452" customFormat="1" ht="12" x14ac:dyDescent="0.25">
      <c r="A39" s="239">
        <v>1993</v>
      </c>
      <c r="B39" s="456">
        <f t="shared" si="0"/>
        <v>69.70955102318328</v>
      </c>
      <c r="C39" s="456">
        <f>('C4-Sources'!K40/'C4-Sources'!$J40)*100</f>
        <v>30.29044897681672</v>
      </c>
      <c r="D39" s="456">
        <f>('C4-Sources'!L40/'C4-Sources'!$J40)*100</f>
        <v>19.121434643610399</v>
      </c>
      <c r="E39" s="456">
        <f>('C4-Sources'!M40/'C4-Sources'!$J40)*100</f>
        <v>6.9997747679476712</v>
      </c>
      <c r="F39" s="456">
        <f>('C4-Sources'!N40/'C4-Sources'!$J40)*100</f>
        <v>4.7259826794696185</v>
      </c>
      <c r="G39" s="456">
        <f>('C4-Sources'!O40/'C4-Sources'!$J40)*100</f>
        <v>2.0646123716860036</v>
      </c>
      <c r="H39" s="456">
        <f>('C4-Sources'!P40/'C4-Sources'!$J40)*100</f>
        <v>0.61081671938276139</v>
      </c>
      <c r="I39" s="457"/>
      <c r="J39" s="456">
        <f>100-'C6-Source Dist'!K39</f>
        <v>50.530766467359619</v>
      </c>
      <c r="K39" s="456">
        <f>('C4-Sources'!S40/'C4-Sources'!$R40)*100</f>
        <v>49.469233532640381</v>
      </c>
      <c r="L39" s="456">
        <f>('C4-Sources'!T40/'C4-Sources'!$R40)*100</f>
        <v>41.074836017909334</v>
      </c>
      <c r="M39" s="456">
        <f>('C4-Sources'!U40/'C4-Sources'!$R40)*100</f>
        <v>24.768720056301568</v>
      </c>
      <c r="N39" s="456">
        <f>('C4-Sources'!V40/'C4-Sources'!$R40)*100</f>
        <v>19.933607972030348</v>
      </c>
      <c r="O39" s="456">
        <f>('C4-Sources'!W40/'C4-Sources'!$R40)*100</f>
        <v>11.722424451748385</v>
      </c>
      <c r="P39" s="456">
        <f>('C4-Sources'!X40/'C4-Sources'!$R40)*100</f>
        <v>5.2823648000105665</v>
      </c>
      <c r="Q39" s="456"/>
      <c r="R39" s="456">
        <f>100-'C6-Source Dist'!S39</f>
        <v>33.956079790940763</v>
      </c>
      <c r="S39" s="456">
        <f>('C4-Sources'!AA40/'C4-Sources'!$Z40)*100</f>
        <v>66.043920209059237</v>
      </c>
      <c r="T39" s="456">
        <f>('C4-Sources'!AB40/'C4-Sources'!$Z40)*100</f>
        <v>56.276484011462756</v>
      </c>
      <c r="U39" s="456">
        <f>('C4-Sources'!AC40/'C4-Sources'!$Z40)*100</f>
        <v>38.536980861279702</v>
      </c>
      <c r="V39" s="456">
        <f>('C4-Sources'!AD40/'C4-Sources'!$Z40)*100</f>
        <v>32.032645808071194</v>
      </c>
      <c r="W39" s="456">
        <f>('C4-Sources'!AE40/'C4-Sources'!$Z40)*100</f>
        <v>21.17735113906669</v>
      </c>
      <c r="X39" s="456">
        <f>('C4-Sources'!AF40/'C4-Sources'!$Z40)*100</f>
        <v>10.677956189328253</v>
      </c>
      <c r="Y39" s="458"/>
      <c r="Z39" s="456">
        <f>100-'C6-Source Dist'!AA39</f>
        <v>46.104648173189275</v>
      </c>
      <c r="AA39" s="456">
        <f>('C4-Sources'!AI40/'C4-Sources'!$AH40)*100</f>
        <v>53.895351826810725</v>
      </c>
      <c r="AB39" s="456">
        <f>('C4-Sources'!AJ40/'C4-Sources'!$AH40)*100</f>
        <v>45.202028762495964</v>
      </c>
      <c r="AC39" s="456">
        <f>('C4-Sources'!AK40/'C4-Sources'!$AH40)*100</f>
        <v>30.160862574434251</v>
      </c>
      <c r="AD39" s="456">
        <f>('C4-Sources'!AL40/'C4-Sources'!$AH40)*100</f>
        <v>24.8562329687378</v>
      </c>
      <c r="AE39" s="456">
        <f>('C4-Sources'!AM40/'C4-Sources'!$AH40)*100</f>
        <v>15.113490347890702</v>
      </c>
      <c r="AF39" s="456">
        <f>('C4-Sources'!AN40/'C4-Sources'!$AH40)*100</f>
        <v>6.6288625540929456</v>
      </c>
      <c r="AG39" s="458"/>
      <c r="AH39" s="456">
        <f>100-'C6-Source Dist'!AI39</f>
        <v>47.300006543352303</v>
      </c>
      <c r="AI39" s="456">
        <f>('C4-Sources'!AQ40/'C4-Sources'!$AP40)*100</f>
        <v>52.699993456647697</v>
      </c>
      <c r="AJ39" s="456">
        <f>('C4-Sources'!AR40/'C4-Sources'!$AP40)*100</f>
        <v>41.605342952679123</v>
      </c>
      <c r="AK39" s="456">
        <f>('C4-Sources'!AS40/'C4-Sources'!$AP40)*100</f>
        <v>24.084066264315727</v>
      </c>
      <c r="AL39" s="456">
        <f>('C4-Sources'!AT40/'C4-Sources'!$AP40)*100</f>
        <v>19.549706510395207</v>
      </c>
      <c r="AM39" s="456">
        <f>('C4-Sources'!AU40/'C4-Sources'!$AP40)*100</f>
        <v>12.605051783801596</v>
      </c>
      <c r="AN39" s="456">
        <f>('C4-Sources'!AV40/'C4-Sources'!$AP40)*100</f>
        <v>6.157595553541511</v>
      </c>
      <c r="AO39" s="458"/>
      <c r="AP39" s="456">
        <f>100-'C6-Source Dist'!AQ39</f>
        <v>55.306925738646989</v>
      </c>
      <c r="AQ39" s="456">
        <f>('C4-Sources'!AY40/'C4-Sources'!$AX40)*100</f>
        <v>44.693074261353011</v>
      </c>
      <c r="AR39" s="456">
        <f>('C4-Sources'!AZ40/'C4-Sources'!$AX40)*100</f>
        <v>33.052202093558734</v>
      </c>
      <c r="AS39" s="456">
        <f>('C4-Sources'!BA40/'C4-Sources'!$AX40)*100</f>
        <v>16.104396989300017</v>
      </c>
      <c r="AT39" s="456">
        <f>('C4-Sources'!BB40/'C4-Sources'!$AX40)*100</f>
        <v>12.543127116293769</v>
      </c>
      <c r="AU39" s="456">
        <f>('C4-Sources'!BC40/'C4-Sources'!$AX40)*100</f>
        <v>7.5227025224609303</v>
      </c>
      <c r="AV39" s="456">
        <f>('C4-Sources'!BD40/'C4-Sources'!$AX40)*100</f>
        <v>3.4550426760917659</v>
      </c>
      <c r="AW39" s="456"/>
      <c r="AX39" s="456">
        <f>100-'C6-Source Dist'!AY39</f>
        <v>69.250146694579243</v>
      </c>
      <c r="AY39" s="456">
        <f>('C4-Sources'!BG40/'C4-Sources'!$BF40)*100</f>
        <v>30.749853305420753</v>
      </c>
      <c r="AZ39" s="456">
        <f>('C4-Sources'!BH40/'C4-Sources'!$BF40)*100</f>
        <v>19.951197260475155</v>
      </c>
      <c r="BA39" s="456">
        <f>('C4-Sources'!BI40/'C4-Sources'!$BF40)*100</f>
        <v>5.7850710377391872</v>
      </c>
      <c r="BB39" s="456">
        <f>('C4-Sources'!BJ40/'C4-Sources'!$BF40)*100</f>
        <v>3.5693853823494437</v>
      </c>
      <c r="BC39" s="456">
        <f>('C4-Sources'!BK40/'C4-Sources'!$BF40)*100</f>
        <v>1.3762460493671687</v>
      </c>
      <c r="BD39" s="456">
        <f>('C4-Sources'!BL40/'C4-Sources'!$BF40)*100</f>
        <v>0.33967679827118785</v>
      </c>
      <c r="BE39" s="458"/>
      <c r="BF39" s="456">
        <f>100-'C6-Source Dist'!BG39</f>
        <v>63.496962852624669</v>
      </c>
      <c r="BG39" s="456">
        <f>('C4-Sources'!BO40/'C4-Sources'!$BN40)*100</f>
        <v>36.503037147375331</v>
      </c>
      <c r="BH39" s="456">
        <f>('C4-Sources'!BP40/'C4-Sources'!$BN40)*100</f>
        <v>24.445745005090128</v>
      </c>
      <c r="BI39" s="456">
        <f>('C4-Sources'!BQ40/'C4-Sources'!$BN40)*100</f>
        <v>11.822184685648264</v>
      </c>
      <c r="BJ39" s="456">
        <f>('C4-Sources'!BR40/'C4-Sources'!$BN40)*100</f>
        <v>8.6818604875919565</v>
      </c>
      <c r="BK39" s="456">
        <f>('C4-Sources'!BS40/'C4-Sources'!$BN40)*100</f>
        <v>3.7465656861389669</v>
      </c>
      <c r="BL39" s="456">
        <f>('C4-Sources'!BT40/'C4-Sources'!$BN40)*100</f>
        <v>1.3412447211131928</v>
      </c>
    </row>
    <row r="40" spans="1:64" s="452" customFormat="1" ht="12" x14ac:dyDescent="0.25">
      <c r="A40" s="239">
        <v>1994</v>
      </c>
      <c r="B40" s="456">
        <f t="shared" si="0"/>
        <v>70.151630412660836</v>
      </c>
      <c r="C40" s="456">
        <f>('C4-Sources'!K41/'C4-Sources'!$J41)*100</f>
        <v>29.848369587339157</v>
      </c>
      <c r="D40" s="456">
        <f>('C4-Sources'!L41/'C4-Sources'!$J41)*100</f>
        <v>18.675867531245746</v>
      </c>
      <c r="E40" s="456">
        <f>('C4-Sources'!M41/'C4-Sources'!$J41)*100</f>
        <v>6.7198771411742975</v>
      </c>
      <c r="F40" s="456">
        <f>('C4-Sources'!N41/'C4-Sources'!$J41)*100</f>
        <v>4.3971759856915851</v>
      </c>
      <c r="G40" s="456">
        <f>('C4-Sources'!O41/'C4-Sources'!$J41)*100</f>
        <v>1.8199510144337621</v>
      </c>
      <c r="H40" s="456">
        <f>('C4-Sources'!P41/'C4-Sources'!$J41)*100</f>
        <v>0.50621161035715778</v>
      </c>
      <c r="I40" s="457"/>
      <c r="J40" s="456">
        <f>100-'C6-Source Dist'!K40</f>
        <v>49.358121953489807</v>
      </c>
      <c r="K40" s="456">
        <f>('C4-Sources'!S41/'C4-Sources'!$R41)*100</f>
        <v>50.641878046510193</v>
      </c>
      <c r="L40" s="456">
        <f>('C4-Sources'!T41/'C4-Sources'!$R41)*100</f>
        <v>42.617673118657684</v>
      </c>
      <c r="M40" s="456">
        <f>('C4-Sources'!U41/'C4-Sources'!$R41)*100</f>
        <v>26.180936914248676</v>
      </c>
      <c r="N40" s="456">
        <f>('C4-Sources'!V41/'C4-Sources'!$R41)*100</f>
        <v>21.183710779117131</v>
      </c>
      <c r="O40" s="456">
        <f>('C4-Sources'!W41/'C4-Sources'!$R41)*100</f>
        <v>12.837839970110199</v>
      </c>
      <c r="P40" s="456">
        <f>('C4-Sources'!X41/'C4-Sources'!$R41)*100</f>
        <v>5.7168911794060318</v>
      </c>
      <c r="Q40" s="456"/>
      <c r="R40" s="456">
        <f>100-'C6-Source Dist'!S40</f>
        <v>33.446390916456892</v>
      </c>
      <c r="S40" s="456">
        <f>('C4-Sources'!AA41/'C4-Sources'!$Z41)*100</f>
        <v>66.553609083543108</v>
      </c>
      <c r="T40" s="456">
        <f>('C4-Sources'!AB41/'C4-Sources'!$Z41)*100</f>
        <v>58.074513112352953</v>
      </c>
      <c r="U40" s="456">
        <f>('C4-Sources'!AC41/'C4-Sources'!$Z41)*100</f>
        <v>40.417939960678396</v>
      </c>
      <c r="V40" s="456">
        <f>('C4-Sources'!AD41/'C4-Sources'!$Z41)*100</f>
        <v>34.448393673151187</v>
      </c>
      <c r="W40" s="456">
        <f>('C4-Sources'!AE41/'C4-Sources'!$Z41)*100</f>
        <v>22.467966838496476</v>
      </c>
      <c r="X40" s="456">
        <f>('C4-Sources'!AF41/'C4-Sources'!$Z41)*100</f>
        <v>11.336939874627303</v>
      </c>
      <c r="Y40" s="458"/>
      <c r="Z40" s="456">
        <f>100-'C6-Source Dist'!AA40</f>
        <v>45.145722895886486</v>
      </c>
      <c r="AA40" s="456">
        <f>('C4-Sources'!AI41/'C4-Sources'!$AH41)*100</f>
        <v>54.854277104113514</v>
      </c>
      <c r="AB40" s="456">
        <f>('C4-Sources'!AJ41/'C4-Sources'!$AH41)*100</f>
        <v>46.665049434091536</v>
      </c>
      <c r="AC40" s="456">
        <f>('C4-Sources'!AK41/'C4-Sources'!$AH41)*100</f>
        <v>32.128111156687929</v>
      </c>
      <c r="AD40" s="456">
        <f>('C4-Sources'!AL41/'C4-Sources'!$AH41)*100</f>
        <v>26.818697161503447</v>
      </c>
      <c r="AE40" s="456">
        <f>('C4-Sources'!AM41/'C4-Sources'!$AH41)*100</f>
        <v>16.657839516233842</v>
      </c>
      <c r="AF40" s="456">
        <f>('C4-Sources'!AN41/'C4-Sources'!$AH41)*100</f>
        <v>7.3444404257788074</v>
      </c>
      <c r="AG40" s="458"/>
      <c r="AH40" s="456">
        <f>100-'C6-Source Dist'!AI40</f>
        <v>48.996100700207471</v>
      </c>
      <c r="AI40" s="456">
        <f>('C4-Sources'!AQ41/'C4-Sources'!$AP41)*100</f>
        <v>51.003899299792529</v>
      </c>
      <c r="AJ40" s="456">
        <f>('C4-Sources'!AR41/'C4-Sources'!$AP41)*100</f>
        <v>40.351772759336093</v>
      </c>
      <c r="AK40" s="456">
        <f>('C4-Sources'!AS41/'C4-Sources'!$AP41)*100</f>
        <v>23.15679981846473</v>
      </c>
      <c r="AL40" s="456">
        <f>('C4-Sources'!AT41/'C4-Sources'!$AP41)*100</f>
        <v>19.056161135892115</v>
      </c>
      <c r="AM40" s="456">
        <f>('C4-Sources'!AU41/'C4-Sources'!$AP41)*100</f>
        <v>12.100174393153527</v>
      </c>
      <c r="AN40" s="456">
        <f>('C4-Sources'!AV41/'C4-Sources'!$AP41)*100</f>
        <v>5.8885395280082982</v>
      </c>
      <c r="AO40" s="458"/>
      <c r="AP40" s="456">
        <f>100-'C6-Source Dist'!AQ40</f>
        <v>56.273599521633628</v>
      </c>
      <c r="AQ40" s="456">
        <f>('C4-Sources'!AY41/'C4-Sources'!$AX41)*100</f>
        <v>43.726400478366372</v>
      </c>
      <c r="AR40" s="456">
        <f>('C4-Sources'!AZ41/'C4-Sources'!$AX41)*100</f>
        <v>32.487569041703587</v>
      </c>
      <c r="AS40" s="456">
        <f>('C4-Sources'!BA41/'C4-Sources'!$AX41)*100</f>
        <v>16.045140023512925</v>
      </c>
      <c r="AT40" s="456">
        <f>('C4-Sources'!BB41/'C4-Sources'!$AX41)*100</f>
        <v>12.634382397739053</v>
      </c>
      <c r="AU40" s="456">
        <f>('C4-Sources'!BC41/'C4-Sources'!$AX41)*100</f>
        <v>7.6262803771333916</v>
      </c>
      <c r="AV40" s="456">
        <f>('C4-Sources'!BD41/'C4-Sources'!$AX41)*100</f>
        <v>3.5292684961574325</v>
      </c>
      <c r="AW40" s="456"/>
      <c r="AX40" s="456">
        <f>100-'C6-Source Dist'!AY40</f>
        <v>70.422076622810351</v>
      </c>
      <c r="AY40" s="456">
        <f>('C4-Sources'!BG41/'C4-Sources'!$BF41)*100</f>
        <v>29.577923377189645</v>
      </c>
      <c r="AZ40" s="456">
        <f>('C4-Sources'!BH41/'C4-Sources'!$BF41)*100</f>
        <v>18.978386148848148</v>
      </c>
      <c r="BA40" s="456">
        <f>('C4-Sources'!BI41/'C4-Sources'!$BF41)*100</f>
        <v>5.2065089042249646</v>
      </c>
      <c r="BB40" s="456">
        <f>('C4-Sources'!BJ41/'C4-Sources'!$BF41)*100</f>
        <v>3.1701108013721635</v>
      </c>
      <c r="BC40" s="456">
        <f>('C4-Sources'!BK41/'C4-Sources'!$BF41)*100</f>
        <v>1.1799046185843736</v>
      </c>
      <c r="BD40" s="456">
        <f>('C4-Sources'!BL41/'C4-Sources'!$BF41)*100</f>
        <v>0.26935704174029201</v>
      </c>
      <c r="BE40" s="458"/>
      <c r="BF40" s="456">
        <f>100-'C6-Source Dist'!BG40</f>
        <v>64.527247880832803</v>
      </c>
      <c r="BG40" s="456">
        <f>('C4-Sources'!BO41/'C4-Sources'!$BN41)*100</f>
        <v>35.472752119167197</v>
      </c>
      <c r="BH40" s="456">
        <f>('C4-Sources'!BP41/'C4-Sources'!$BN41)*100</f>
        <v>23.53981953592281</v>
      </c>
      <c r="BI40" s="456">
        <f>('C4-Sources'!BQ41/'C4-Sources'!$BN41)*100</f>
        <v>10.941042736830651</v>
      </c>
      <c r="BJ40" s="456">
        <f>('C4-Sources'!BR41/'C4-Sources'!$BN41)*100</f>
        <v>7.8971715479608049</v>
      </c>
      <c r="BK40" s="456">
        <f>('C4-Sources'!BS41/'C4-Sources'!$BN41)*100</f>
        <v>3.2392113064842563</v>
      </c>
      <c r="BL40" s="456">
        <f>('C4-Sources'!BT41/'C4-Sources'!$BN41)*100</f>
        <v>1.0481545978252684</v>
      </c>
    </row>
    <row r="41" spans="1:64" s="452" customFormat="1" ht="12" x14ac:dyDescent="0.25">
      <c r="A41" s="239">
        <v>1995</v>
      </c>
      <c r="B41" s="456">
        <f t="shared" si="0"/>
        <v>69.627947475320354</v>
      </c>
      <c r="C41" s="456">
        <f>('C4-Sources'!K42/'C4-Sources'!$J42)*100</f>
        <v>30.372052524679649</v>
      </c>
      <c r="D41" s="456">
        <f>('C4-Sources'!L42/'C4-Sources'!$J42)*100</f>
        <v>19.257470320478362</v>
      </c>
      <c r="E41" s="456">
        <f>('C4-Sources'!M42/'C4-Sources'!$J42)*100</f>
        <v>7.1630064457989597</v>
      </c>
      <c r="F41" s="456">
        <f>('C4-Sources'!N42/'C4-Sources'!$J42)*100</f>
        <v>4.788018127185194</v>
      </c>
      <c r="G41" s="456">
        <f>('C4-Sources'!O42/'C4-Sources'!$J42)*100</f>
        <v>2.0685846441815525</v>
      </c>
      <c r="H41" s="456">
        <f>('C4-Sources'!P42/'C4-Sources'!$J42)*100</f>
        <v>0.60568107255171444</v>
      </c>
      <c r="I41" s="457"/>
      <c r="J41" s="456">
        <f>100-'C6-Source Dist'!K41</f>
        <v>50.800553964764781</v>
      </c>
      <c r="K41" s="456">
        <f>('C4-Sources'!S42/'C4-Sources'!$R42)*100</f>
        <v>49.199446035235219</v>
      </c>
      <c r="L41" s="456">
        <f>('C4-Sources'!T42/'C4-Sources'!$R42)*100</f>
        <v>41.137684803606959</v>
      </c>
      <c r="M41" s="456">
        <f>('C4-Sources'!U42/'C4-Sources'!$R42)*100</f>
        <v>25.356236623130734</v>
      </c>
      <c r="N41" s="456">
        <f>('C4-Sources'!V42/'C4-Sources'!$R42)*100</f>
        <v>20.665455110390859</v>
      </c>
      <c r="O41" s="456">
        <f>('C4-Sources'!W42/'C4-Sources'!$R42)*100</f>
        <v>12.136525508150953</v>
      </c>
      <c r="P41" s="456">
        <f>('C4-Sources'!X42/'C4-Sources'!$R42)*100</f>
        <v>5.2406738521275908</v>
      </c>
      <c r="Q41" s="456"/>
      <c r="R41" s="456">
        <f>100-'C6-Source Dist'!S41</f>
        <v>31.007213982518479</v>
      </c>
      <c r="S41" s="456">
        <f>('C4-Sources'!AA42/'C4-Sources'!$Z42)*100</f>
        <v>68.992786017481521</v>
      </c>
      <c r="T41" s="456">
        <f>('C4-Sources'!AB42/'C4-Sources'!$Z42)*100</f>
        <v>59.542180407834792</v>
      </c>
      <c r="U41" s="456">
        <f>('C4-Sources'!AC42/'C4-Sources'!$Z42)*100</f>
        <v>41.110847127990375</v>
      </c>
      <c r="V41" s="456">
        <f>('C4-Sources'!AD42/'C4-Sources'!$Z42)*100</f>
        <v>34.80456766119822</v>
      </c>
      <c r="W41" s="456">
        <f>('C4-Sources'!AE42/'C4-Sources'!$Z42)*100</f>
        <v>22.720470477963005</v>
      </c>
      <c r="X41" s="456">
        <f>('C4-Sources'!AF42/'C4-Sources'!$Z42)*100</f>
        <v>11.556792759191458</v>
      </c>
      <c r="Y41" s="458"/>
      <c r="Z41" s="456">
        <f>100-'C6-Source Dist'!AA41</f>
        <v>44.975495202443106</v>
      </c>
      <c r="AA41" s="456">
        <f>('C4-Sources'!AI42/'C4-Sources'!$AH42)*100</f>
        <v>55.024504797556894</v>
      </c>
      <c r="AB41" s="456">
        <f>('C4-Sources'!AJ42/'C4-Sources'!$AH42)*100</f>
        <v>46.460260838119808</v>
      </c>
      <c r="AC41" s="456">
        <f>('C4-Sources'!AK42/'C4-Sources'!$AH42)*100</f>
        <v>31.499332096033537</v>
      </c>
      <c r="AD41" s="456">
        <f>('C4-Sources'!AL42/'C4-Sources'!$AH42)*100</f>
        <v>26.414534866829793</v>
      </c>
      <c r="AE41" s="456">
        <f>('C4-Sources'!AM42/'C4-Sources'!$AH42)*100</f>
        <v>16.326111227125303</v>
      </c>
      <c r="AF41" s="456">
        <f>('C4-Sources'!AN42/'C4-Sources'!$AH42)*100</f>
        <v>7.1778693301633796</v>
      </c>
      <c r="AG41" s="458"/>
      <c r="AH41" s="456">
        <f>100-'C6-Source Dist'!AI41</f>
        <v>47.36682881871387</v>
      </c>
      <c r="AI41" s="456">
        <f>('C4-Sources'!AQ42/'C4-Sources'!$AP42)*100</f>
        <v>52.63317118128613</v>
      </c>
      <c r="AJ41" s="456">
        <f>('C4-Sources'!AR42/'C4-Sources'!$AP42)*100</f>
        <v>41.995060023516103</v>
      </c>
      <c r="AK41" s="456">
        <f>('C4-Sources'!AS42/'C4-Sources'!$AP42)*100</f>
        <v>24.660779943243099</v>
      </c>
      <c r="AL41" s="456">
        <f>('C4-Sources'!AT42/'C4-Sources'!$AP42)*100</f>
        <v>20.323039274537194</v>
      </c>
      <c r="AM41" s="456">
        <f>('C4-Sources'!AU42/'C4-Sources'!$AP42)*100</f>
        <v>12.98177276464452</v>
      </c>
      <c r="AN41" s="456">
        <f>('C4-Sources'!AV42/'C4-Sources'!$AP42)*100</f>
        <v>6.2678277887794609</v>
      </c>
      <c r="AO41" s="458"/>
      <c r="AP41" s="456">
        <f>100-'C6-Source Dist'!AQ41</f>
        <v>55.588386960076939</v>
      </c>
      <c r="AQ41" s="456">
        <f>('C4-Sources'!AY42/'C4-Sources'!$AX42)*100</f>
        <v>44.411613039923061</v>
      </c>
      <c r="AR41" s="456">
        <f>('C4-Sources'!AZ42/'C4-Sources'!$AX42)*100</f>
        <v>33.249881557632079</v>
      </c>
      <c r="AS41" s="456">
        <f>('C4-Sources'!BA42/'C4-Sources'!$AX42)*100</f>
        <v>16.700820297353033</v>
      </c>
      <c r="AT41" s="456">
        <f>('C4-Sources'!BB42/'C4-Sources'!$AX42)*100</f>
        <v>13.203205575755081</v>
      </c>
      <c r="AU41" s="456">
        <f>('C4-Sources'!BC42/'C4-Sources'!$AX42)*100</f>
        <v>7.9828865460866343</v>
      </c>
      <c r="AV41" s="456">
        <f>('C4-Sources'!BD42/'C4-Sources'!$AX42)*100</f>
        <v>3.6723441935931787</v>
      </c>
      <c r="AW41" s="456"/>
      <c r="AX41" s="456">
        <f>100-'C6-Source Dist'!AY41</f>
        <v>71.457425265900824</v>
      </c>
      <c r="AY41" s="456">
        <f>('C4-Sources'!BG42/'C4-Sources'!$BF42)*100</f>
        <v>28.54257473409918</v>
      </c>
      <c r="AZ41" s="456">
        <f>('C4-Sources'!BH42/'C4-Sources'!$BF42)*100</f>
        <v>18.050055072797658</v>
      </c>
      <c r="BA41" s="456">
        <f>('C4-Sources'!BI42/'C4-Sources'!$BF42)*100</f>
        <v>5.0645287091491635</v>
      </c>
      <c r="BB41" s="456">
        <f>('C4-Sources'!BJ42/'C4-Sources'!$BF42)*100</f>
        <v>3.2117751085758401</v>
      </c>
      <c r="BC41" s="456">
        <f>('C4-Sources'!BK42/'C4-Sources'!$BF42)*100</f>
        <v>1.2203413723520204</v>
      </c>
      <c r="BD41" s="456">
        <f>('C4-Sources'!BL42/'C4-Sources'!$BF42)*100</f>
        <v>0.29942157333435998</v>
      </c>
      <c r="BE41" s="458"/>
      <c r="BF41" s="456">
        <f>100-'C6-Source Dist'!BG41</f>
        <v>63.087588740410283</v>
      </c>
      <c r="BG41" s="456">
        <f>('C4-Sources'!BO42/'C4-Sources'!$BN42)*100</f>
        <v>36.912411259589717</v>
      </c>
      <c r="BH41" s="456">
        <f>('C4-Sources'!BP42/'C4-Sources'!$BN42)*100</f>
        <v>24.710623014817472</v>
      </c>
      <c r="BI41" s="456">
        <f>('C4-Sources'!BQ42/'C4-Sources'!$BN42)*100</f>
        <v>11.874922093435329</v>
      </c>
      <c r="BJ41" s="456">
        <f>('C4-Sources'!BR42/'C4-Sources'!$BN42)*100</f>
        <v>8.6151243581056747</v>
      </c>
      <c r="BK41" s="456">
        <f>('C4-Sources'!BS42/'C4-Sources'!$BN42)*100</f>
        <v>3.6623849289302561</v>
      </c>
      <c r="BL41" s="456">
        <f>('C4-Sources'!BT42/'C4-Sources'!$BN42)*100</f>
        <v>1.2672191503811197</v>
      </c>
    </row>
    <row r="42" spans="1:64" s="452" customFormat="1" ht="12" x14ac:dyDescent="0.25">
      <c r="A42" s="239">
        <v>1996</v>
      </c>
      <c r="B42" s="456">
        <f t="shared" si="0"/>
        <v>69.475275060974951</v>
      </c>
      <c r="C42" s="456">
        <f>('C4-Sources'!K43/'C4-Sources'!$J43)*100</f>
        <v>30.524724939025049</v>
      </c>
      <c r="D42" s="456">
        <f>('C4-Sources'!L43/'C4-Sources'!$J43)*100</f>
        <v>19.623932227895907</v>
      </c>
      <c r="E42" s="456">
        <f>('C4-Sources'!M43/'C4-Sources'!$J43)*100</f>
        <v>7.5265350278931624</v>
      </c>
      <c r="F42" s="456">
        <f>('C4-Sources'!N43/'C4-Sources'!$J43)*100</f>
        <v>5.1320446623766172</v>
      </c>
      <c r="G42" s="456">
        <f>('C4-Sources'!O43/'C4-Sources'!$J43)*100</f>
        <v>2.2973035695212451</v>
      </c>
      <c r="H42" s="456">
        <f>('C4-Sources'!P43/'C4-Sources'!$J43)*100</f>
        <v>0.71711859469025507</v>
      </c>
      <c r="I42" s="457"/>
      <c r="J42" s="456">
        <f>100-'C6-Source Dist'!K42</f>
        <v>49.931340802559923</v>
      </c>
      <c r="K42" s="456">
        <f>('C4-Sources'!S43/'C4-Sources'!$R43)*100</f>
        <v>50.068659197440077</v>
      </c>
      <c r="L42" s="456">
        <f>('C4-Sources'!T43/'C4-Sources'!$R43)*100</f>
        <v>41.964538782522624</v>
      </c>
      <c r="M42" s="456">
        <f>('C4-Sources'!U43/'C4-Sources'!$R43)*100</f>
        <v>25.903296770302298</v>
      </c>
      <c r="N42" s="456">
        <f>('C4-Sources'!V43/'C4-Sources'!$R43)*100</f>
        <v>21.05391515646572</v>
      </c>
      <c r="O42" s="456">
        <f>('C4-Sources'!W43/'C4-Sources'!$R43)*100</f>
        <v>12.428086618096541</v>
      </c>
      <c r="P42" s="456">
        <f>('C4-Sources'!X43/'C4-Sources'!$R43)*100</f>
        <v>5.3654091071795103</v>
      </c>
      <c r="Q42" s="456"/>
      <c r="R42" s="456">
        <f>100-'C6-Source Dist'!S42</f>
        <v>30.947649689498917</v>
      </c>
      <c r="S42" s="456">
        <f>('C4-Sources'!AA43/'C4-Sources'!$Z43)*100</f>
        <v>69.052350310501083</v>
      </c>
      <c r="T42" s="456">
        <f>('C4-Sources'!AB43/'C4-Sources'!$Z43)*100</f>
        <v>59.356381001935318</v>
      </c>
      <c r="U42" s="456">
        <f>('C4-Sources'!AC43/'C4-Sources'!$Z43)*100</f>
        <v>40.623881006203668</v>
      </c>
      <c r="V42" s="456">
        <f>('C4-Sources'!AD43/'C4-Sources'!$Z43)*100</f>
        <v>34.243564226791968</v>
      </c>
      <c r="W42" s="456">
        <f>('C4-Sources'!AE43/'C4-Sources'!$Z43)*100</f>
        <v>21.98591215408716</v>
      </c>
      <c r="X42" s="456">
        <f>('C4-Sources'!AF43/'C4-Sources'!$Z43)*100</f>
        <v>11.124543969308247</v>
      </c>
      <c r="Y42" s="458"/>
      <c r="Z42" s="456">
        <f>100-'C6-Source Dist'!AA42</f>
        <v>44.385350947621539</v>
      </c>
      <c r="AA42" s="456">
        <f>('C4-Sources'!AI43/'C4-Sources'!$AH43)*100</f>
        <v>55.614649052378461</v>
      </c>
      <c r="AB42" s="456">
        <f>('C4-Sources'!AJ43/'C4-Sources'!$AH43)*100</f>
        <v>46.841088969440811</v>
      </c>
      <c r="AC42" s="456">
        <f>('C4-Sources'!AK43/'C4-Sources'!$AH43)*100</f>
        <v>31.323179886186221</v>
      </c>
      <c r="AD42" s="456">
        <f>('C4-Sources'!AL43/'C4-Sources'!$AH43)*100</f>
        <v>26.010609375110054</v>
      </c>
      <c r="AE42" s="456">
        <f>('C4-Sources'!AM43/'C4-Sources'!$AH43)*100</f>
        <v>15.929591651075592</v>
      </c>
      <c r="AF42" s="456">
        <f>('C4-Sources'!AN43/'C4-Sources'!$AH43)*100</f>
        <v>7.0401377067204507</v>
      </c>
      <c r="AG42" s="458"/>
      <c r="AH42" s="456">
        <f>100-'C6-Source Dist'!AI42</f>
        <v>47.895539799885277</v>
      </c>
      <c r="AI42" s="456">
        <f>('C4-Sources'!AQ43/'C4-Sources'!$AP43)*100</f>
        <v>52.104460200114723</v>
      </c>
      <c r="AJ42" s="456">
        <f>('C4-Sources'!AR43/'C4-Sources'!$AP43)*100</f>
        <v>41.01827050538526</v>
      </c>
      <c r="AK42" s="456">
        <f>('C4-Sources'!AS43/'C4-Sources'!$AP43)*100</f>
        <v>23.807008826715954</v>
      </c>
      <c r="AL42" s="456">
        <f>('C4-Sources'!AT43/'C4-Sources'!$AP43)*100</f>
        <v>19.585346827002741</v>
      </c>
      <c r="AM42" s="456">
        <f>('C4-Sources'!AU43/'C4-Sources'!$AP43)*100</f>
        <v>12.3644244152699</v>
      </c>
      <c r="AN42" s="456">
        <f>('C4-Sources'!AV43/'C4-Sources'!$AP43)*100</f>
        <v>5.9657863464725009</v>
      </c>
      <c r="AO42" s="458"/>
      <c r="AP42" s="456">
        <f>100-'C6-Source Dist'!AQ42</f>
        <v>55.419015317949153</v>
      </c>
      <c r="AQ42" s="456">
        <f>('C4-Sources'!AY43/'C4-Sources'!$AX43)*100</f>
        <v>44.580984682050847</v>
      </c>
      <c r="AR42" s="456">
        <f>('C4-Sources'!AZ43/'C4-Sources'!$AX43)*100</f>
        <v>32.9402192150852</v>
      </c>
      <c r="AS42" s="456">
        <f>('C4-Sources'!BA43/'C4-Sources'!$AX43)*100</f>
        <v>16.527081618461015</v>
      </c>
      <c r="AT42" s="456">
        <f>('C4-Sources'!BB43/'C4-Sources'!$AX43)*100</f>
        <v>13.088482912775682</v>
      </c>
      <c r="AU42" s="456">
        <f>('C4-Sources'!BC43/'C4-Sources'!$AX43)*100</f>
        <v>7.8369919673015254</v>
      </c>
      <c r="AV42" s="456">
        <f>('C4-Sources'!BD43/'C4-Sources'!$AX43)*100</f>
        <v>3.587981534727938</v>
      </c>
      <c r="AW42" s="456"/>
      <c r="AX42" s="456">
        <f>100-'C6-Source Dist'!AY42</f>
        <v>70.797349642754938</v>
      </c>
      <c r="AY42" s="456">
        <f>('C4-Sources'!BG43/'C4-Sources'!$BF43)*100</f>
        <v>29.202650357245062</v>
      </c>
      <c r="AZ42" s="456">
        <f>('C4-Sources'!BH43/'C4-Sources'!$BF43)*100</f>
        <v>18.30425772916324</v>
      </c>
      <c r="BA42" s="456">
        <f>('C4-Sources'!BI43/'C4-Sources'!$BF43)*100</f>
        <v>5.2935509205156848</v>
      </c>
      <c r="BB42" s="456">
        <f>('C4-Sources'!BJ43/'C4-Sources'!$BF43)*100</f>
        <v>3.3256745396478307</v>
      </c>
      <c r="BC42" s="456">
        <f>('C4-Sources'!BK43/'C4-Sources'!$BF43)*100</f>
        <v>1.26384099283539</v>
      </c>
      <c r="BD42" s="456">
        <f>('C4-Sources'!BL43/'C4-Sources'!$BF43)*100</f>
        <v>0.32628886981495542</v>
      </c>
      <c r="BE42" s="458"/>
      <c r="BF42" s="456">
        <f>100-'C6-Source Dist'!BG42</f>
        <v>62.2820248614427</v>
      </c>
      <c r="BG42" s="456">
        <f>('C4-Sources'!BO43/'C4-Sources'!$BN43)*100</f>
        <v>37.7179751385573</v>
      </c>
      <c r="BH42" s="456">
        <f>('C4-Sources'!BP43/'C4-Sources'!$BN43)*100</f>
        <v>25.172182552395121</v>
      </c>
      <c r="BI42" s="456">
        <f>('C4-Sources'!BQ43/'C4-Sources'!$BN43)*100</f>
        <v>11.943434704880342</v>
      </c>
      <c r="BJ42" s="456">
        <f>('C4-Sources'!BR43/'C4-Sources'!$BN43)*100</f>
        <v>8.6319214631150185</v>
      </c>
      <c r="BK42" s="456">
        <f>('C4-Sources'!BS43/'C4-Sources'!$BN43)*100</f>
        <v>3.6484940205510172</v>
      </c>
      <c r="BL42" s="456">
        <f>('C4-Sources'!BT43/'C4-Sources'!$BN43)*100</f>
        <v>1.3091597979100362</v>
      </c>
    </row>
    <row r="43" spans="1:64" s="452" customFormat="1" ht="12" x14ac:dyDescent="0.25">
      <c r="A43" s="239">
        <v>1997</v>
      </c>
      <c r="B43" s="456">
        <f t="shared" si="0"/>
        <v>69.002393259675344</v>
      </c>
      <c r="C43" s="456">
        <f>('C4-Sources'!K44/'C4-Sources'!$J44)*100</f>
        <v>30.997606740324656</v>
      </c>
      <c r="D43" s="456">
        <f>('C4-Sources'!L44/'C4-Sources'!$J44)*100</f>
        <v>20.12964310204547</v>
      </c>
      <c r="E43" s="456">
        <f>('C4-Sources'!M44/'C4-Sources'!$J44)*100</f>
        <v>7.9736211808541988</v>
      </c>
      <c r="F43" s="456">
        <f>('C4-Sources'!N44/'C4-Sources'!$J44)*100</f>
        <v>5.5341427384788719</v>
      </c>
      <c r="G43" s="456">
        <f>('C4-Sources'!O44/'C4-Sources'!$J44)*100</f>
        <v>2.6288651569317234</v>
      </c>
      <c r="H43" s="456">
        <f>('C4-Sources'!P44/'C4-Sources'!$J44)*100</f>
        <v>0.87613219976311241</v>
      </c>
      <c r="I43" s="457"/>
      <c r="J43" s="456">
        <f>100-'C6-Source Dist'!K43</f>
        <v>49.756503291187251</v>
      </c>
      <c r="K43" s="456">
        <f>('C4-Sources'!S44/'C4-Sources'!$R44)*100</f>
        <v>50.243496708812749</v>
      </c>
      <c r="L43" s="456">
        <f>('C4-Sources'!T44/'C4-Sources'!$R44)*100</f>
        <v>42.328300806850763</v>
      </c>
      <c r="M43" s="456">
        <f>('C4-Sources'!U44/'C4-Sources'!$R44)*100</f>
        <v>26.717002251283802</v>
      </c>
      <c r="N43" s="456">
        <f>('C4-Sources'!V44/'C4-Sources'!$R44)*100</f>
        <v>21.833535395039902</v>
      </c>
      <c r="O43" s="456">
        <f>('C4-Sources'!W44/'C4-Sources'!$R44)*100</f>
        <v>12.939743436397011</v>
      </c>
      <c r="P43" s="456">
        <f>('C4-Sources'!X44/'C4-Sources'!$R44)*100</f>
        <v>5.5085344632188553</v>
      </c>
      <c r="Q43" s="456"/>
      <c r="R43" s="456">
        <f>100-'C6-Source Dist'!S43</f>
        <v>30.178217182893974</v>
      </c>
      <c r="S43" s="456">
        <f>('C4-Sources'!AA44/'C4-Sources'!$Z44)*100</f>
        <v>69.821782817106026</v>
      </c>
      <c r="T43" s="456">
        <f>('C4-Sources'!AB44/'C4-Sources'!$Z44)*100</f>
        <v>60.548017143648124</v>
      </c>
      <c r="U43" s="456">
        <f>('C4-Sources'!AC44/'C4-Sources'!$Z44)*100</f>
        <v>40.562996677820543</v>
      </c>
      <c r="V43" s="456">
        <f>('C4-Sources'!AD44/'C4-Sources'!$Z44)*100</f>
        <v>33.271772828539795</v>
      </c>
      <c r="W43" s="456">
        <f>('C4-Sources'!AE44/'C4-Sources'!$Z44)*100</f>
        <v>21.402992115177486</v>
      </c>
      <c r="X43" s="456">
        <f>('C4-Sources'!AF44/'C4-Sources'!$Z44)*100</f>
        <v>10.637239051885675</v>
      </c>
      <c r="Y43" s="458"/>
      <c r="Z43" s="456">
        <f>100-'C6-Source Dist'!AA43</f>
        <v>43.879970605248616</v>
      </c>
      <c r="AA43" s="456">
        <f>('C4-Sources'!AI44/'C4-Sources'!$AH44)*100</f>
        <v>56.120029394751384</v>
      </c>
      <c r="AB43" s="456">
        <f>('C4-Sources'!AJ44/'C4-Sources'!$AH44)*100</f>
        <v>47.870009202751426</v>
      </c>
      <c r="AC43" s="456">
        <f>('C4-Sources'!AK44/'C4-Sources'!$AH44)*100</f>
        <v>31.870961230075757</v>
      </c>
      <c r="AD43" s="456">
        <f>('C4-Sources'!AL44/'C4-Sources'!$AH44)*100</f>
        <v>26.5045604914386</v>
      </c>
      <c r="AE43" s="456">
        <f>('C4-Sources'!AM44/'C4-Sources'!$AH44)*100</f>
        <v>16.452731481975704</v>
      </c>
      <c r="AF43" s="456">
        <f>('C4-Sources'!AN44/'C4-Sources'!$AH44)*100</f>
        <v>7.4046002037891743</v>
      </c>
      <c r="AG43" s="458"/>
      <c r="AH43" s="456">
        <f>100-'C6-Source Dist'!AI43</f>
        <v>46.387470736500347</v>
      </c>
      <c r="AI43" s="456">
        <f>('C4-Sources'!AQ44/'C4-Sources'!$AP44)*100</f>
        <v>53.612529263499653</v>
      </c>
      <c r="AJ43" s="456">
        <f>('C4-Sources'!AR44/'C4-Sources'!$AP44)*100</f>
        <v>42.518326782866254</v>
      </c>
      <c r="AK43" s="456">
        <f>('C4-Sources'!AS44/'C4-Sources'!$AP44)*100</f>
        <v>24.929962306334012</v>
      </c>
      <c r="AL43" s="456">
        <f>('C4-Sources'!AT44/'C4-Sources'!$AP44)*100</f>
        <v>20.192934417008431</v>
      </c>
      <c r="AM43" s="456">
        <f>('C4-Sources'!AU44/'C4-Sources'!$AP44)*100</f>
        <v>12.844717806590339</v>
      </c>
      <c r="AN43" s="456">
        <f>('C4-Sources'!AV44/'C4-Sources'!$AP44)*100</f>
        <v>6.078718062912964</v>
      </c>
      <c r="AO43" s="458"/>
      <c r="AP43" s="456">
        <f>100-'C6-Source Dist'!AQ43</f>
        <v>54.135378400263392</v>
      </c>
      <c r="AQ43" s="456">
        <f>('C4-Sources'!AY44/'C4-Sources'!$AX44)*100</f>
        <v>45.864621599736608</v>
      </c>
      <c r="AR43" s="456">
        <f>('C4-Sources'!AZ44/'C4-Sources'!$AX44)*100</f>
        <v>34.063922402363389</v>
      </c>
      <c r="AS43" s="456">
        <f>('C4-Sources'!BA44/'C4-Sources'!$AX44)*100</f>
        <v>17.395847665530649</v>
      </c>
      <c r="AT43" s="456">
        <f>('C4-Sources'!BB44/'C4-Sources'!$AX44)*100</f>
        <v>13.65645627819649</v>
      </c>
      <c r="AU43" s="456">
        <f>('C4-Sources'!BC44/'C4-Sources'!$AX44)*100</f>
        <v>8.2965280874880971</v>
      </c>
      <c r="AV43" s="456">
        <f>('C4-Sources'!BD44/'C4-Sources'!$AX44)*100</f>
        <v>3.7622347189471528</v>
      </c>
      <c r="AW43" s="456"/>
      <c r="AX43" s="456">
        <f>100-'C6-Source Dist'!AY43</f>
        <v>70.012826862424333</v>
      </c>
      <c r="AY43" s="456">
        <f>('C4-Sources'!BG44/'C4-Sources'!$BF44)*100</f>
        <v>29.987173137575667</v>
      </c>
      <c r="AZ43" s="456">
        <f>('C4-Sources'!BH44/'C4-Sources'!$BF44)*100</f>
        <v>19.090693599738284</v>
      </c>
      <c r="BA43" s="456">
        <f>('C4-Sources'!BI44/'C4-Sources'!$BF44)*100</f>
        <v>5.6427504295763731</v>
      </c>
      <c r="BB43" s="456">
        <f>('C4-Sources'!BJ44/'C4-Sources'!$BF44)*100</f>
        <v>3.6646438734607427</v>
      </c>
      <c r="BC43" s="456">
        <f>('C4-Sources'!BK44/'C4-Sources'!$BF44)*100</f>
        <v>1.5136690669931601</v>
      </c>
      <c r="BD43" s="456">
        <f>('C4-Sources'!BL44/'C4-Sources'!$BF44)*100</f>
        <v>0.40914154133844138</v>
      </c>
      <c r="BE43" s="458"/>
      <c r="BF43" s="456">
        <f>100-'C6-Source Dist'!BG43</f>
        <v>62.21174021921469</v>
      </c>
      <c r="BG43" s="456">
        <f>('C4-Sources'!BO44/'C4-Sources'!$BN44)*100</f>
        <v>37.78825978078531</v>
      </c>
      <c r="BH43" s="456">
        <f>('C4-Sources'!BP44/'C4-Sources'!$BN44)*100</f>
        <v>25.219488535145963</v>
      </c>
      <c r="BI43" s="456">
        <f>('C4-Sources'!BQ44/'C4-Sources'!$BN44)*100</f>
        <v>12.468758601528313</v>
      </c>
      <c r="BJ43" s="456">
        <f>('C4-Sources'!BR44/'C4-Sources'!$BN44)*100</f>
        <v>9.4024219159415114</v>
      </c>
      <c r="BK43" s="456">
        <f>('C4-Sources'!BS44/'C4-Sources'!$BN44)*100</f>
        <v>3.9783501320848331</v>
      </c>
      <c r="BL43" s="456">
        <f>('C4-Sources'!BT44/'C4-Sources'!$BN44)*100</f>
        <v>1.343879995525171</v>
      </c>
    </row>
    <row r="44" spans="1:64" s="452" customFormat="1" ht="12" x14ac:dyDescent="0.25">
      <c r="A44" s="239">
        <v>1998</v>
      </c>
      <c r="B44" s="456">
        <f t="shared" si="0"/>
        <v>68.859432951785649</v>
      </c>
      <c r="C44" s="456">
        <f>('C4-Sources'!K45/'C4-Sources'!$J45)*100</f>
        <v>31.140567048214347</v>
      </c>
      <c r="D44" s="456">
        <f>('C4-Sources'!L45/'C4-Sources'!$J45)*100</f>
        <v>20.509215251114306</v>
      </c>
      <c r="E44" s="456">
        <f>('C4-Sources'!M45/'C4-Sources'!$J45)*100</f>
        <v>8.4258256228920914</v>
      </c>
      <c r="F44" s="456">
        <f>('C4-Sources'!N45/'C4-Sources'!$J45)*100</f>
        <v>5.9945346877482208</v>
      </c>
      <c r="G44" s="456">
        <f>('C4-Sources'!O45/'C4-Sources'!$J45)*100</f>
        <v>2.9972234594477527</v>
      </c>
      <c r="H44" s="456">
        <f>('C4-Sources'!P45/'C4-Sources'!$J45)*100</f>
        <v>1.0949912656172878</v>
      </c>
      <c r="I44" s="457"/>
      <c r="J44" s="456">
        <f>100-'C6-Source Dist'!K44</f>
        <v>49.44594082601914</v>
      </c>
      <c r="K44" s="456">
        <f>('C4-Sources'!S45/'C4-Sources'!$R45)*100</f>
        <v>50.55405917398086</v>
      </c>
      <c r="L44" s="456">
        <f>('C4-Sources'!T45/'C4-Sources'!$R45)*100</f>
        <v>42.475887047470486</v>
      </c>
      <c r="M44" s="456">
        <f>('C4-Sources'!U45/'C4-Sources'!$R45)*100</f>
        <v>26.382750507531487</v>
      </c>
      <c r="N44" s="456">
        <f>('C4-Sources'!V45/'C4-Sources'!$R45)*100</f>
        <v>21.468706322026399</v>
      </c>
      <c r="O44" s="456">
        <f>('C4-Sources'!W45/'C4-Sources'!$R45)*100</f>
        <v>12.697905623588573</v>
      </c>
      <c r="P44" s="456">
        <f>('C4-Sources'!X45/'C4-Sources'!$R45)*100</f>
        <v>5.2366165133983653</v>
      </c>
      <c r="Q44" s="456"/>
      <c r="R44" s="456">
        <f>100-'C6-Source Dist'!S44</f>
        <v>31.138863773658315</v>
      </c>
      <c r="S44" s="456">
        <f>('C4-Sources'!AA45/'C4-Sources'!$Z45)*100</f>
        <v>68.861136226341685</v>
      </c>
      <c r="T44" s="456">
        <f>('C4-Sources'!AB45/'C4-Sources'!$Z45)*100</f>
        <v>59.605168310626766</v>
      </c>
      <c r="U44" s="456">
        <f>('C4-Sources'!AC45/'C4-Sources'!$Z45)*100</f>
        <v>41.21337362599963</v>
      </c>
      <c r="V44" s="456">
        <f>('C4-Sources'!AD45/'C4-Sources'!$Z45)*100</f>
        <v>34.21533570917056</v>
      </c>
      <c r="W44" s="456">
        <f>('C4-Sources'!AE45/'C4-Sources'!$Z45)*100</f>
        <v>22.048133304002651</v>
      </c>
      <c r="X44" s="456">
        <f>('C4-Sources'!AF45/'C4-Sources'!$Z45)*100</f>
        <v>10.462434622169717</v>
      </c>
      <c r="Y44" s="458"/>
      <c r="Z44" s="456">
        <f>100-'C6-Source Dist'!AA44</f>
        <v>44.319153286572565</v>
      </c>
      <c r="AA44" s="456">
        <f>('C4-Sources'!AI45/'C4-Sources'!$AH45)*100</f>
        <v>55.680846713427435</v>
      </c>
      <c r="AB44" s="456">
        <f>('C4-Sources'!AJ45/'C4-Sources'!$AH45)*100</f>
        <v>47.888748404343325</v>
      </c>
      <c r="AC44" s="456">
        <f>('C4-Sources'!AK45/'C4-Sources'!$AH45)*100</f>
        <v>32.553903415146443</v>
      </c>
      <c r="AD44" s="456">
        <f>('C4-Sources'!AL45/'C4-Sources'!$AH45)*100</f>
        <v>27.08527363805775</v>
      </c>
      <c r="AE44" s="456">
        <f>('C4-Sources'!AM45/'C4-Sources'!$AH45)*100</f>
        <v>17.027490811271441</v>
      </c>
      <c r="AF44" s="456">
        <f>('C4-Sources'!AN45/'C4-Sources'!$AH45)*100</f>
        <v>7.5108267977459633</v>
      </c>
      <c r="AG44" s="458"/>
      <c r="AH44" s="456">
        <f>100-'C6-Source Dist'!AI44</f>
        <v>46.431442981396486</v>
      </c>
      <c r="AI44" s="456">
        <f>('C4-Sources'!AQ45/'C4-Sources'!$AP45)*100</f>
        <v>53.568557018603514</v>
      </c>
      <c r="AJ44" s="456">
        <f>('C4-Sources'!AR45/'C4-Sources'!$AP45)*100</f>
        <v>42.409589917049203</v>
      </c>
      <c r="AK44" s="456">
        <f>('C4-Sources'!AS45/'C4-Sources'!$AP45)*100</f>
        <v>25.534020012885556</v>
      </c>
      <c r="AL44" s="456">
        <f>('C4-Sources'!AT45/'C4-Sources'!$AP45)*100</f>
        <v>20.907208272932266</v>
      </c>
      <c r="AM44" s="456">
        <f>('C4-Sources'!AU45/'C4-Sources'!$AP45)*100</f>
        <v>13.26495782999114</v>
      </c>
      <c r="AN44" s="456">
        <f>('C4-Sources'!AV45/'C4-Sources'!$AP45)*100</f>
        <v>6.0361403821373916</v>
      </c>
      <c r="AO44" s="458"/>
      <c r="AP44" s="456">
        <f>100-'C6-Source Dist'!AQ44</f>
        <v>53.929094835553748</v>
      </c>
      <c r="AQ44" s="456">
        <f>('C4-Sources'!AY45/'C4-Sources'!$AX45)*100</f>
        <v>46.070905164446252</v>
      </c>
      <c r="AR44" s="456">
        <f>('C4-Sources'!AZ45/'C4-Sources'!$AX45)*100</f>
        <v>34.197498144766804</v>
      </c>
      <c r="AS44" s="456">
        <f>('C4-Sources'!BA45/'C4-Sources'!$AX45)*100</f>
        <v>17.942395834178669</v>
      </c>
      <c r="AT44" s="456">
        <f>('C4-Sources'!BB45/'C4-Sources'!$AX45)*100</f>
        <v>14.257672829737833</v>
      </c>
      <c r="AU44" s="456">
        <f>('C4-Sources'!BC45/'C4-Sources'!$AX45)*100</f>
        <v>8.7146132729199071</v>
      </c>
      <c r="AV44" s="456">
        <f>('C4-Sources'!BD45/'C4-Sources'!$AX45)*100</f>
        <v>3.8402601568945696</v>
      </c>
      <c r="AW44" s="456"/>
      <c r="AX44" s="456">
        <f>100-'C6-Source Dist'!AY44</f>
        <v>69.295210501560547</v>
      </c>
      <c r="AY44" s="456">
        <f>('C4-Sources'!BG45/'C4-Sources'!$BF45)*100</f>
        <v>30.70478949843945</v>
      </c>
      <c r="AZ44" s="456">
        <f>('C4-Sources'!BH45/'C4-Sources'!$BF45)*100</f>
        <v>19.38731558600486</v>
      </c>
      <c r="BA44" s="456">
        <f>('C4-Sources'!BI45/'C4-Sources'!$BF45)*100</f>
        <v>5.9391837152942921</v>
      </c>
      <c r="BB44" s="456">
        <f>('C4-Sources'!BJ45/'C4-Sources'!$BF45)*100</f>
        <v>3.826350604259257</v>
      </c>
      <c r="BC44" s="456">
        <f>('C4-Sources'!BK45/'C4-Sources'!$BF45)*100</f>
        <v>1.6156119184252835</v>
      </c>
      <c r="BD44" s="456">
        <f>('C4-Sources'!BL45/'C4-Sources'!$BF45)*100</f>
        <v>0.45810981901825359</v>
      </c>
      <c r="BE44" s="458"/>
      <c r="BF44" s="456">
        <f>100-'C6-Source Dist'!BG44</f>
        <v>61.260608370518419</v>
      </c>
      <c r="BG44" s="456">
        <f>('C4-Sources'!BO45/'C4-Sources'!$BN45)*100</f>
        <v>38.739391629481581</v>
      </c>
      <c r="BH44" s="456">
        <f>('C4-Sources'!BP45/'C4-Sources'!$BN45)*100</f>
        <v>26.216533292487949</v>
      </c>
      <c r="BI44" s="456">
        <f>('C4-Sources'!BQ45/'C4-Sources'!$BN45)*100</f>
        <v>12.753330928983811</v>
      </c>
      <c r="BJ44" s="456">
        <f>('C4-Sources'!BR45/'C4-Sources'!$BN45)*100</f>
        <v>9.3055307542147983</v>
      </c>
      <c r="BK44" s="456">
        <f>('C4-Sources'!BS45/'C4-Sources'!$BN45)*100</f>
        <v>3.9797392300902201</v>
      </c>
      <c r="BL44" s="456">
        <f>('C4-Sources'!BT45/'C4-Sources'!$BN45)*100</f>
        <v>1.3692368195693523</v>
      </c>
    </row>
    <row r="45" spans="1:64" s="452" customFormat="1" ht="12" x14ac:dyDescent="0.25">
      <c r="A45" s="239">
        <v>1999</v>
      </c>
      <c r="B45" s="456">
        <f t="shared" si="0"/>
        <v>68.333970811843301</v>
      </c>
      <c r="C45" s="456">
        <f>('C4-Sources'!K46/'C4-Sources'!$J46)*100</f>
        <v>31.666029188156696</v>
      </c>
      <c r="D45" s="456">
        <f>('C4-Sources'!L46/'C4-Sources'!$J46)*100</f>
        <v>21.029729681426748</v>
      </c>
      <c r="E45" s="456">
        <f>('C4-Sources'!M46/'C4-Sources'!$J46)*100</f>
        <v>8.9575812036078357</v>
      </c>
      <c r="F45" s="456">
        <f>('C4-Sources'!N46/'C4-Sources'!$J46)*100</f>
        <v>6.5047355912694176</v>
      </c>
      <c r="G45" s="456">
        <f>('C4-Sources'!O46/'C4-Sources'!$J46)*100</f>
        <v>3.4161035722518931</v>
      </c>
      <c r="H45" s="456">
        <f>('C4-Sources'!P46/'C4-Sources'!$J46)*100</f>
        <v>1.3586600760106573</v>
      </c>
      <c r="I45" s="457"/>
      <c r="J45" s="456">
        <f>100-'C6-Source Dist'!K45</f>
        <v>48.906724452327097</v>
      </c>
      <c r="K45" s="456">
        <f>('C4-Sources'!S46/'C4-Sources'!$R46)*100</f>
        <v>51.093275547672903</v>
      </c>
      <c r="L45" s="456">
        <f>('C4-Sources'!T46/'C4-Sources'!$R46)*100</f>
        <v>43.066819721105816</v>
      </c>
      <c r="M45" s="456">
        <f>('C4-Sources'!U46/'C4-Sources'!$R46)*100</f>
        <v>26.760248211486619</v>
      </c>
      <c r="N45" s="456">
        <f>('C4-Sources'!V46/'C4-Sources'!$R46)*100</f>
        <v>21.681849116184214</v>
      </c>
      <c r="O45" s="456">
        <f>('C4-Sources'!W46/'C4-Sources'!$R46)*100</f>
        <v>12.493581388613178</v>
      </c>
      <c r="P45" s="456">
        <f>('C4-Sources'!X46/'C4-Sources'!$R46)*100</f>
        <v>4.9158812842583703</v>
      </c>
      <c r="Q45" s="456"/>
      <c r="R45" s="456">
        <f>100-'C6-Source Dist'!S45</f>
        <v>31.8075391502625</v>
      </c>
      <c r="S45" s="456">
        <f>('C4-Sources'!AA46/'C4-Sources'!$Z46)*100</f>
        <v>68.1924608497375</v>
      </c>
      <c r="T45" s="456">
        <f>('C4-Sources'!AB46/'C4-Sources'!$Z46)*100</f>
        <v>58.796419952542024</v>
      </c>
      <c r="U45" s="456">
        <f>('C4-Sources'!AC46/'C4-Sources'!$Z46)*100</f>
        <v>40.381983029368214</v>
      </c>
      <c r="V45" s="456">
        <f>('C4-Sources'!AD46/'C4-Sources'!$Z46)*100</f>
        <v>33.552140074814396</v>
      </c>
      <c r="W45" s="456">
        <f>('C4-Sources'!AE46/'C4-Sources'!$Z46)*100</f>
        <v>21.058985957118594</v>
      </c>
      <c r="X45" s="456">
        <f>('C4-Sources'!AF46/'C4-Sources'!$Z46)*100</f>
        <v>9.8536978406916944</v>
      </c>
      <c r="Y45" s="458"/>
      <c r="Z45" s="456">
        <f>100-'C6-Source Dist'!AA45</f>
        <v>43.327221581901568</v>
      </c>
      <c r="AA45" s="456">
        <f>('C4-Sources'!AI46/'C4-Sources'!$AH46)*100</f>
        <v>56.672778418098432</v>
      </c>
      <c r="AB45" s="456">
        <f>('C4-Sources'!AJ46/'C4-Sources'!$AH46)*100</f>
        <v>48.251939263442324</v>
      </c>
      <c r="AC45" s="456">
        <f>('C4-Sources'!AK46/'C4-Sources'!$AH46)*100</f>
        <v>32.933068494734336</v>
      </c>
      <c r="AD45" s="456">
        <f>('C4-Sources'!AL46/'C4-Sources'!$AH46)*100</f>
        <v>27.698108648101144</v>
      </c>
      <c r="AE45" s="456">
        <f>('C4-Sources'!AM46/'C4-Sources'!$AH46)*100</f>
        <v>17.221677065931932</v>
      </c>
      <c r="AF45" s="456">
        <f>('C4-Sources'!AN46/'C4-Sources'!$AH46)*100</f>
        <v>7.2920255096208493</v>
      </c>
      <c r="AG45" s="458"/>
      <c r="AH45" s="456">
        <f>100-'C6-Source Dist'!AI45</f>
        <v>46.519191407700319</v>
      </c>
      <c r="AI45" s="456">
        <f>('C4-Sources'!AQ46/'C4-Sources'!$AP46)*100</f>
        <v>53.480808592299681</v>
      </c>
      <c r="AJ45" s="456">
        <f>('C4-Sources'!AR46/'C4-Sources'!$AP46)*100</f>
        <v>42.814536267216582</v>
      </c>
      <c r="AK45" s="456">
        <f>('C4-Sources'!AS46/'C4-Sources'!$AP46)*100</f>
        <v>26.356459899171991</v>
      </c>
      <c r="AL45" s="456">
        <f>('C4-Sources'!AT46/'C4-Sources'!$AP46)*100</f>
        <v>21.571004486712084</v>
      </c>
      <c r="AM45" s="456">
        <f>('C4-Sources'!AU46/'C4-Sources'!$AP46)*100</f>
        <v>13.336118667495716</v>
      </c>
      <c r="AN45" s="456">
        <f>('C4-Sources'!AV46/'C4-Sources'!$AP46)*100</f>
        <v>6.0036570505795144</v>
      </c>
      <c r="AO45" s="458"/>
      <c r="AP45" s="456">
        <f>100-'C6-Source Dist'!AQ45</f>
        <v>54.061238227051852</v>
      </c>
      <c r="AQ45" s="456">
        <f>('C4-Sources'!AY46/'C4-Sources'!$AX46)*100</f>
        <v>45.938761772948148</v>
      </c>
      <c r="AR45" s="456">
        <f>('C4-Sources'!AZ46/'C4-Sources'!$AX46)*100</f>
        <v>34.680555558888308</v>
      </c>
      <c r="AS45" s="456">
        <f>('C4-Sources'!BA46/'C4-Sources'!$AX46)*100</f>
        <v>19.080275626247996</v>
      </c>
      <c r="AT45" s="456">
        <f>('C4-Sources'!BB46/'C4-Sources'!$AX46)*100</f>
        <v>15.233964726147727</v>
      </c>
      <c r="AU45" s="456">
        <f>('C4-Sources'!BC46/'C4-Sources'!$AX46)*100</f>
        <v>9.0914475948477556</v>
      </c>
      <c r="AV45" s="456">
        <f>('C4-Sources'!BD46/'C4-Sources'!$AX46)*100</f>
        <v>3.986099640062732</v>
      </c>
      <c r="AW45" s="456"/>
      <c r="AX45" s="456">
        <f>100-'C6-Source Dist'!AY45</f>
        <v>70.492251470174196</v>
      </c>
      <c r="AY45" s="456">
        <f>('C4-Sources'!BG46/'C4-Sources'!$BF46)*100</f>
        <v>29.5077485298258</v>
      </c>
      <c r="AZ45" s="456">
        <f>('C4-Sources'!BH46/'C4-Sources'!$BF46)*100</f>
        <v>18.942013057197851</v>
      </c>
      <c r="BA45" s="456">
        <f>('C4-Sources'!BI46/'C4-Sources'!$BF46)*100</f>
        <v>6.1020365685327063</v>
      </c>
      <c r="BB45" s="456">
        <f>('C4-Sources'!BJ46/'C4-Sources'!$BF46)*100</f>
        <v>4.0169785421450985</v>
      </c>
      <c r="BC45" s="456">
        <f>('C4-Sources'!BK46/'C4-Sources'!$BF46)*100</f>
        <v>1.623280975566491</v>
      </c>
      <c r="BD45" s="456">
        <f>('C4-Sources'!BL46/'C4-Sources'!$BF46)*100</f>
        <v>0.49419671628251521</v>
      </c>
      <c r="BE45" s="458"/>
      <c r="BF45" s="456">
        <f>100-'C6-Source Dist'!BG45</f>
        <v>61.986596513020437</v>
      </c>
      <c r="BG45" s="456">
        <f>('C4-Sources'!BO46/'C4-Sources'!$BN46)*100</f>
        <v>38.013403486979563</v>
      </c>
      <c r="BH45" s="456">
        <f>('C4-Sources'!BP46/'C4-Sources'!$BN46)*100</f>
        <v>26.1931508451956</v>
      </c>
      <c r="BI45" s="456">
        <f>('C4-Sources'!BQ46/'C4-Sources'!$BN46)*100</f>
        <v>13.149704912957336</v>
      </c>
      <c r="BJ45" s="456">
        <f>('C4-Sources'!BR46/'C4-Sources'!$BN46)*100</f>
        <v>9.7075333660567722</v>
      </c>
      <c r="BK45" s="456">
        <f>('C4-Sources'!BS46/'C4-Sources'!$BN46)*100</f>
        <v>4.2553472575782454</v>
      </c>
      <c r="BL45" s="456">
        <f>('C4-Sources'!BT46/'C4-Sources'!$BN46)*100</f>
        <v>1.5392033418942364</v>
      </c>
    </row>
    <row r="46" spans="1:64" s="452" customFormat="1" ht="12" x14ac:dyDescent="0.25">
      <c r="A46" s="239">
        <v>2000</v>
      </c>
      <c r="B46" s="456">
        <f t="shared" si="0"/>
        <v>67.372983165763827</v>
      </c>
      <c r="C46" s="456">
        <f>('C4-Sources'!K47/'C4-Sources'!$J47)*100</f>
        <v>32.62701683423618</v>
      </c>
      <c r="D46" s="456">
        <f>('C4-Sources'!L47/'C4-Sources'!$J47)*100</f>
        <v>21.9404190929246</v>
      </c>
      <c r="E46" s="456">
        <f>('C4-Sources'!M47/'C4-Sources'!$J47)*100</f>
        <v>9.7671238000810376</v>
      </c>
      <c r="F46" s="456">
        <f>('C4-Sources'!N47/'C4-Sources'!$J47)*100</f>
        <v>7.2419085146745861</v>
      </c>
      <c r="G46" s="456">
        <f>('C4-Sources'!O47/'C4-Sources'!$J47)*100</f>
        <v>4.0405412292859122</v>
      </c>
      <c r="H46" s="456">
        <f>('C4-Sources'!P47/'C4-Sources'!$J47)*100</f>
        <v>1.6671937379767361</v>
      </c>
      <c r="I46" s="457"/>
      <c r="J46" s="456">
        <f>100-'C6-Source Dist'!K46</f>
        <v>48.670277002343141</v>
      </c>
      <c r="K46" s="456">
        <f>('C4-Sources'!S47/'C4-Sources'!$R47)*100</f>
        <v>51.329722997656859</v>
      </c>
      <c r="L46" s="456">
        <f>('C4-Sources'!T47/'C4-Sources'!$R47)*100</f>
        <v>43.297799347161487</v>
      </c>
      <c r="M46" s="456">
        <f>('C4-Sources'!U47/'C4-Sources'!$R47)*100</f>
        <v>26.903295571438711</v>
      </c>
      <c r="N46" s="456">
        <f>('C4-Sources'!V47/'C4-Sources'!$R47)*100</f>
        <v>21.555453347747516</v>
      </c>
      <c r="O46" s="456">
        <f>('C4-Sources'!W47/'C4-Sources'!$R47)*100</f>
        <v>12.320092834477235</v>
      </c>
      <c r="P46" s="456">
        <f>('C4-Sources'!X47/'C4-Sources'!$R47)*100</f>
        <v>4.8941368906765499</v>
      </c>
      <c r="Q46" s="456"/>
      <c r="R46" s="456">
        <f>100-'C6-Source Dist'!S46</f>
        <v>32.065804272406822</v>
      </c>
      <c r="S46" s="456">
        <f>('C4-Sources'!AA47/'C4-Sources'!$Z47)*100</f>
        <v>67.934195727593178</v>
      </c>
      <c r="T46" s="456">
        <f>('C4-Sources'!AB47/'C4-Sources'!$Z47)*100</f>
        <v>59.348880706870311</v>
      </c>
      <c r="U46" s="456">
        <f>('C4-Sources'!AC47/'C4-Sources'!$Z47)*100</f>
        <v>40.239758179844713</v>
      </c>
      <c r="V46" s="456">
        <f>('C4-Sources'!AD47/'C4-Sources'!$Z47)*100</f>
        <v>33.431811970104</v>
      </c>
      <c r="W46" s="456">
        <f>('C4-Sources'!AE47/'C4-Sources'!$Z47)*100</f>
        <v>21.062762538418511</v>
      </c>
      <c r="X46" s="456">
        <f>('C4-Sources'!AF47/'C4-Sources'!$Z47)*100</f>
        <v>9.712819439648996</v>
      </c>
      <c r="Y46" s="458"/>
      <c r="Z46" s="456">
        <f>100-'C6-Source Dist'!AA46</f>
        <v>43.83185361644064</v>
      </c>
      <c r="AA46" s="456">
        <f>('C4-Sources'!AI47/'C4-Sources'!$AH47)*100</f>
        <v>56.16814638355936</v>
      </c>
      <c r="AB46" s="456">
        <f>('C4-Sources'!AJ47/'C4-Sources'!$AH47)*100</f>
        <v>48.168673590040825</v>
      </c>
      <c r="AC46" s="456">
        <f>('C4-Sources'!AK47/'C4-Sources'!$AH47)*100</f>
        <v>33.328925860454412</v>
      </c>
      <c r="AD46" s="456">
        <f>('C4-Sources'!AL47/'C4-Sources'!$AH47)*100</f>
        <v>27.993694229989828</v>
      </c>
      <c r="AE46" s="456">
        <f>('C4-Sources'!AM47/'C4-Sources'!$AH47)*100</f>
        <v>17.597979309311196</v>
      </c>
      <c r="AF46" s="456">
        <f>('C4-Sources'!AN47/'C4-Sources'!$AH47)*100</f>
        <v>7.7847147001972816</v>
      </c>
      <c r="AG46" s="458"/>
      <c r="AH46" s="456">
        <f>100-'C6-Source Dist'!AI46</f>
        <v>48.410097811696303</v>
      </c>
      <c r="AI46" s="456">
        <f>('C4-Sources'!AQ47/'C4-Sources'!$AP47)*100</f>
        <v>51.589902188303697</v>
      </c>
      <c r="AJ46" s="456">
        <f>('C4-Sources'!AR47/'C4-Sources'!$AP47)*100</f>
        <v>41.479981830079289</v>
      </c>
      <c r="AK46" s="456">
        <f>('C4-Sources'!AS47/'C4-Sources'!$AP47)*100</f>
        <v>25.467649749669018</v>
      </c>
      <c r="AL46" s="456">
        <f>('C4-Sources'!AT47/'C4-Sources'!$AP47)*100</f>
        <v>20.724641806035336</v>
      </c>
      <c r="AM46" s="456">
        <f>('C4-Sources'!AU47/'C4-Sources'!$AP47)*100</f>
        <v>12.696841332765207</v>
      </c>
      <c r="AN46" s="456">
        <f>('C4-Sources'!AV47/'C4-Sources'!$AP47)*100</f>
        <v>5.723473425349626</v>
      </c>
      <c r="AO46" s="458"/>
      <c r="AP46" s="456">
        <f>100-'C6-Source Dist'!AQ46</f>
        <v>55.27602866342994</v>
      </c>
      <c r="AQ46" s="456">
        <f>('C4-Sources'!AY47/'C4-Sources'!$AX47)*100</f>
        <v>44.72397133657006</v>
      </c>
      <c r="AR46" s="456">
        <f>('C4-Sources'!AZ47/'C4-Sources'!$AX47)*100</f>
        <v>33.977065301900325</v>
      </c>
      <c r="AS46" s="456">
        <f>('C4-Sources'!BA47/'C4-Sources'!$AX47)*100</f>
        <v>18.994218341758845</v>
      </c>
      <c r="AT46" s="456">
        <f>('C4-Sources'!BB47/'C4-Sources'!$AX47)*100</f>
        <v>15.061480646345329</v>
      </c>
      <c r="AU46" s="456">
        <f>('C4-Sources'!BC47/'C4-Sources'!$AX47)*100</f>
        <v>8.8447433221549279</v>
      </c>
      <c r="AV46" s="456">
        <f>('C4-Sources'!BD47/'C4-Sources'!$AX47)*100</f>
        <v>3.8886484596326145</v>
      </c>
      <c r="AW46" s="456"/>
      <c r="AX46" s="456">
        <f>100-'C6-Source Dist'!AY46</f>
        <v>70.646161495692866</v>
      </c>
      <c r="AY46" s="456">
        <f>('C4-Sources'!BG47/'C4-Sources'!$BF47)*100</f>
        <v>29.353838504307134</v>
      </c>
      <c r="AZ46" s="456">
        <f>('C4-Sources'!BH47/'C4-Sources'!$BF47)*100</f>
        <v>19.058974520593548</v>
      </c>
      <c r="BA46" s="456">
        <f>('C4-Sources'!BI47/'C4-Sources'!$BF47)*100</f>
        <v>6.6508396492457891</v>
      </c>
      <c r="BB46" s="456">
        <f>('C4-Sources'!BJ47/'C4-Sources'!$BF47)*100</f>
        <v>4.3943434024619821</v>
      </c>
      <c r="BC46" s="456">
        <f>('C4-Sources'!BK47/'C4-Sources'!$BF47)*100</f>
        <v>1.8120797077465465</v>
      </c>
      <c r="BD46" s="456">
        <f>('C4-Sources'!BL47/'C4-Sources'!$BF47)*100</f>
        <v>0.58898500379745944</v>
      </c>
      <c r="BE46" s="458"/>
      <c r="BF46" s="456">
        <f>100-'C6-Source Dist'!BG46</f>
        <v>58.573058048300425</v>
      </c>
      <c r="BG46" s="456">
        <f>('C4-Sources'!BO47/'C4-Sources'!$BN47)*100</f>
        <v>41.426941951699575</v>
      </c>
      <c r="BH46" s="456">
        <f>('C4-Sources'!BP47/'C4-Sources'!$BN47)*100</f>
        <v>28.816424039061356</v>
      </c>
      <c r="BI46" s="456">
        <f>('C4-Sources'!BQ47/'C4-Sources'!$BN47)*100</f>
        <v>14.384229126503065</v>
      </c>
      <c r="BJ46" s="456">
        <f>('C4-Sources'!BR47/'C4-Sources'!$BN47)*100</f>
        <v>10.919227643490222</v>
      </c>
      <c r="BK46" s="456">
        <f>('C4-Sources'!BS47/'C4-Sources'!$BN47)*100</f>
        <v>4.7634343391059248</v>
      </c>
      <c r="BL46" s="456">
        <f>('C4-Sources'!BT47/'C4-Sources'!$BN47)*100</f>
        <v>1.8407030412836021</v>
      </c>
    </row>
    <row r="47" spans="1:64" s="452" customFormat="1" ht="12" x14ac:dyDescent="0.25">
      <c r="A47" s="239">
        <v>2001</v>
      </c>
      <c r="B47" s="456">
        <f t="shared" si="0"/>
        <v>68.17977365986215</v>
      </c>
      <c r="C47" s="456">
        <f>('C4-Sources'!K48/'C4-Sources'!$J48)*100</f>
        <v>31.820226340137854</v>
      </c>
      <c r="D47" s="456">
        <f>('C4-Sources'!L48/'C4-Sources'!$J48)*100</f>
        <v>20.835477369576864</v>
      </c>
      <c r="E47" s="456">
        <f>('C4-Sources'!M48/'C4-Sources'!$J48)*100</f>
        <v>8.5651135650402939</v>
      </c>
      <c r="F47" s="456">
        <f>('C4-Sources'!N48/'C4-Sources'!$J48)*100</f>
        <v>6.0656265359000248</v>
      </c>
      <c r="G47" s="456">
        <f>('C4-Sources'!O48/'C4-Sources'!$J48)*100</f>
        <v>3.0466994522824318</v>
      </c>
      <c r="H47" s="456">
        <f>('C4-Sources'!P48/'C4-Sources'!$J48)*100</f>
        <v>1.1387582703413845</v>
      </c>
      <c r="I47" s="457"/>
      <c r="J47" s="456">
        <f>100-'C6-Source Dist'!K47</f>
        <v>50.098107890281135</v>
      </c>
      <c r="K47" s="456">
        <f>('C4-Sources'!S48/'C4-Sources'!$R48)*100</f>
        <v>49.901892109718865</v>
      </c>
      <c r="L47" s="456">
        <f>('C4-Sources'!T48/'C4-Sources'!$R48)*100</f>
        <v>42.039210235846184</v>
      </c>
      <c r="M47" s="456">
        <f>('C4-Sources'!U48/'C4-Sources'!$R48)*100</f>
        <v>26.049255866676248</v>
      </c>
      <c r="N47" s="456">
        <f>('C4-Sources'!V48/'C4-Sources'!$R48)*100</f>
        <v>21.183379227627221</v>
      </c>
      <c r="O47" s="456">
        <f>('C4-Sources'!W48/'C4-Sources'!$R48)*100</f>
        <v>12.36196363554293</v>
      </c>
      <c r="P47" s="456">
        <f>('C4-Sources'!X48/'C4-Sources'!$R48)*100</f>
        <v>4.8912397851572216</v>
      </c>
      <c r="Q47" s="456"/>
      <c r="R47" s="456">
        <f>100-'C6-Source Dist'!S47</f>
        <v>32.290571585158617</v>
      </c>
      <c r="S47" s="456">
        <f>('C4-Sources'!AA48/'C4-Sources'!$Z48)*100</f>
        <v>67.709428414841383</v>
      </c>
      <c r="T47" s="456">
        <f>('C4-Sources'!AB48/'C4-Sources'!$Z48)*100</f>
        <v>59.295203689137431</v>
      </c>
      <c r="U47" s="456">
        <f>('C4-Sources'!AC48/'C4-Sources'!$Z48)*100</f>
        <v>41.77455024644221</v>
      </c>
      <c r="V47" s="456">
        <f>('C4-Sources'!AD48/'C4-Sources'!$Z48)*100</f>
        <v>34.983386363876107</v>
      </c>
      <c r="W47" s="456">
        <f>('C4-Sources'!AE48/'C4-Sources'!$Z48)*100</f>
        <v>23.322239627427344</v>
      </c>
      <c r="X47" s="456">
        <f>('C4-Sources'!AF48/'C4-Sources'!$Z48)*100</f>
        <v>11.387332673708299</v>
      </c>
      <c r="Y47" s="458"/>
      <c r="Z47" s="456">
        <f>100-'C6-Source Dist'!AA47</f>
        <v>44.504628451892778</v>
      </c>
      <c r="AA47" s="456">
        <f>('C4-Sources'!AI48/'C4-Sources'!$AH48)*100</f>
        <v>55.495371548107222</v>
      </c>
      <c r="AB47" s="456">
        <f>('C4-Sources'!AJ48/'C4-Sources'!$AH48)*100</f>
        <v>47.345691222255759</v>
      </c>
      <c r="AC47" s="456">
        <f>('C4-Sources'!AK48/'C4-Sources'!$AH48)*100</f>
        <v>32.969652526490059</v>
      </c>
      <c r="AD47" s="456">
        <f>('C4-Sources'!AL48/'C4-Sources'!$AH48)*100</f>
        <v>27.478913109734666</v>
      </c>
      <c r="AE47" s="456">
        <f>('C4-Sources'!AM48/'C4-Sources'!$AH48)*100</f>
        <v>17.927618148135352</v>
      </c>
      <c r="AF47" s="456">
        <f>('C4-Sources'!AN48/'C4-Sources'!$AH48)*100</f>
        <v>8.0821370944394175</v>
      </c>
      <c r="AG47" s="458"/>
      <c r="AH47" s="456">
        <f>100-'C6-Source Dist'!AI47</f>
        <v>51.086246195260038</v>
      </c>
      <c r="AI47" s="456">
        <f>('C4-Sources'!AQ48/'C4-Sources'!$AP48)*100</f>
        <v>48.913753804739962</v>
      </c>
      <c r="AJ47" s="456">
        <f>('C4-Sources'!AR48/'C4-Sources'!$AP48)*100</f>
        <v>39.058442532053064</v>
      </c>
      <c r="AK47" s="456">
        <f>('C4-Sources'!AS48/'C4-Sources'!$AP48)*100</f>
        <v>24.473059022034743</v>
      </c>
      <c r="AL47" s="456">
        <f>('C4-Sources'!AT48/'C4-Sources'!$AP48)*100</f>
        <v>19.786501204418052</v>
      </c>
      <c r="AM47" s="456">
        <f>('C4-Sources'!AU48/'C4-Sources'!$AP48)*100</f>
        <v>12.318858755619692</v>
      </c>
      <c r="AN47" s="456">
        <f>('C4-Sources'!AV48/'C4-Sources'!$AP48)*100</f>
        <v>5.8299205084087253</v>
      </c>
      <c r="AO47" s="458"/>
      <c r="AP47" s="456">
        <f>100-'C6-Source Dist'!AQ47</f>
        <v>57.817228589102584</v>
      </c>
      <c r="AQ47" s="456">
        <f>('C4-Sources'!AY48/'C4-Sources'!$AX48)*100</f>
        <v>42.182771410897416</v>
      </c>
      <c r="AR47" s="456">
        <f>('C4-Sources'!AZ48/'C4-Sources'!$AX48)*100</f>
        <v>31.700091341433655</v>
      </c>
      <c r="AS47" s="456">
        <f>('C4-Sources'!BA48/'C4-Sources'!$AX48)*100</f>
        <v>17.907742961403351</v>
      </c>
      <c r="AT47" s="456">
        <f>('C4-Sources'!BB48/'C4-Sources'!$AX48)*100</f>
        <v>13.970002576515123</v>
      </c>
      <c r="AU47" s="456">
        <f>('C4-Sources'!BC48/'C4-Sources'!$AX48)*100</f>
        <v>8.1032218186564666</v>
      </c>
      <c r="AV47" s="456">
        <f>('C4-Sources'!BD48/'C4-Sources'!$AX48)*100</f>
        <v>3.6769771178216537</v>
      </c>
      <c r="AW47" s="456"/>
      <c r="AX47" s="456">
        <f>100-'C6-Source Dist'!AY47</f>
        <v>72.324797891459667</v>
      </c>
      <c r="AY47" s="456">
        <f>('C4-Sources'!BG48/'C4-Sources'!$BF48)*100</f>
        <v>27.675202108540333</v>
      </c>
      <c r="AZ47" s="456">
        <f>('C4-Sources'!BH48/'C4-Sources'!$BF48)*100</f>
        <v>17.272658128536673</v>
      </c>
      <c r="BA47" s="456">
        <f>('C4-Sources'!BI48/'C4-Sources'!$BF48)*100</f>
        <v>6.1967115953643388</v>
      </c>
      <c r="BB47" s="456">
        <f>('C4-Sources'!BJ48/'C4-Sources'!$BF48)*100</f>
        <v>4.0224839754574004</v>
      </c>
      <c r="BC47" s="456">
        <f>('C4-Sources'!BK48/'C4-Sources'!$BF48)*100</f>
        <v>1.4369208834480869</v>
      </c>
      <c r="BD47" s="456">
        <f>('C4-Sources'!BL48/'C4-Sources'!$BF48)*100</f>
        <v>0.42795393948522625</v>
      </c>
      <c r="BE47" s="458"/>
      <c r="BF47" s="456">
        <f>100-'C6-Source Dist'!BG47</f>
        <v>56.794823035041738</v>
      </c>
      <c r="BG47" s="456">
        <f>('C4-Sources'!BO48/'C4-Sources'!$BN48)*100</f>
        <v>43.205176964958262</v>
      </c>
      <c r="BH47" s="456">
        <f>('C4-Sources'!BP48/'C4-Sources'!$BN48)*100</f>
        <v>30.20022140183649</v>
      </c>
      <c r="BI47" s="456">
        <f>('C4-Sources'!BQ48/'C4-Sources'!$BN48)*100</f>
        <v>14.266302622028377</v>
      </c>
      <c r="BJ47" s="456">
        <f>('C4-Sources'!BR48/'C4-Sources'!$BN48)*100</f>
        <v>10.873182665902107</v>
      </c>
      <c r="BK47" s="456">
        <f>('C4-Sources'!BS48/'C4-Sources'!$BN48)*100</f>
        <v>4.2213239200876318</v>
      </c>
      <c r="BL47" s="456">
        <f>('C4-Sources'!BT48/'C4-Sources'!$BN48)*100</f>
        <v>1.3894353760411842</v>
      </c>
    </row>
    <row r="48" spans="1:64" s="452" customFormat="1" ht="12" x14ac:dyDescent="0.25">
      <c r="A48" s="239">
        <v>2002</v>
      </c>
      <c r="B48" s="456">
        <f t="shared" si="0"/>
        <v>68.451542389163109</v>
      </c>
      <c r="C48" s="456">
        <f>('C4-Sources'!K49/'C4-Sources'!$J49)*100</f>
        <v>31.548457610836895</v>
      </c>
      <c r="D48" s="456">
        <f>('C4-Sources'!L49/'C4-Sources'!$J49)*100</f>
        <v>20.45999197857412</v>
      </c>
      <c r="E48" s="456">
        <f>('C4-Sources'!M49/'C4-Sources'!$J49)*100</f>
        <v>7.8691129790389347</v>
      </c>
      <c r="F48" s="456">
        <f>('C4-Sources'!N49/'C4-Sources'!$J49)*100</f>
        <v>5.4140157134952078</v>
      </c>
      <c r="G48" s="456">
        <f>('C4-Sources'!O49/'C4-Sources'!$J49)*100</f>
        <v>2.5234217756037092</v>
      </c>
      <c r="H48" s="456">
        <f>('C4-Sources'!P49/'C4-Sources'!$J49)*100</f>
        <v>0.8743466961198787</v>
      </c>
      <c r="I48" s="457"/>
      <c r="J48" s="456">
        <f>100-'C6-Source Dist'!K48</f>
        <v>50.475998078722206</v>
      </c>
      <c r="K48" s="456">
        <f>('C4-Sources'!S49/'C4-Sources'!$R49)*100</f>
        <v>49.524001921277794</v>
      </c>
      <c r="L48" s="456">
        <f>('C4-Sources'!T49/'C4-Sources'!$R49)*100</f>
        <v>41.764155633358548</v>
      </c>
      <c r="M48" s="456">
        <f>('C4-Sources'!U49/'C4-Sources'!$R49)*100</f>
        <v>26.087436404271259</v>
      </c>
      <c r="N48" s="456">
        <f>('C4-Sources'!V49/'C4-Sources'!$R49)*100</f>
        <v>21.041907111057743</v>
      </c>
      <c r="O48" s="456">
        <f>('C4-Sources'!W49/'C4-Sources'!$R49)*100</f>
        <v>12.58178207386883</v>
      </c>
      <c r="P48" s="456">
        <f>('C4-Sources'!X49/'C4-Sources'!$R49)*100</f>
        <v>5.17366850798083</v>
      </c>
      <c r="Q48" s="456"/>
      <c r="R48" s="456">
        <f>100-'C6-Source Dist'!S48</f>
        <v>32.555754853566953</v>
      </c>
      <c r="S48" s="456">
        <f>('C4-Sources'!AA49/'C4-Sources'!$Z49)*100</f>
        <v>67.444245146433047</v>
      </c>
      <c r="T48" s="456">
        <f>('C4-Sources'!AB49/'C4-Sources'!$Z49)*100</f>
        <v>59.548605325867896</v>
      </c>
      <c r="U48" s="456">
        <f>('C4-Sources'!AC49/'C4-Sources'!$Z49)*100</f>
        <v>42.140966058160565</v>
      </c>
      <c r="V48" s="456">
        <f>('C4-Sources'!AD49/'C4-Sources'!$Z49)*100</f>
        <v>35.37045659540474</v>
      </c>
      <c r="W48" s="456">
        <f>('C4-Sources'!AE49/'C4-Sources'!$Z49)*100</f>
        <v>23.778212742675805</v>
      </c>
      <c r="X48" s="456">
        <f>('C4-Sources'!AF49/'C4-Sources'!$Z49)*100</f>
        <v>12.052097522163088</v>
      </c>
      <c r="Y48" s="458"/>
      <c r="Z48" s="456">
        <f>100-'C6-Source Dist'!AA48</f>
        <v>42.643228513140073</v>
      </c>
      <c r="AA48" s="456">
        <f>('C4-Sources'!AI49/'C4-Sources'!$AH49)*100</f>
        <v>57.356771486859927</v>
      </c>
      <c r="AB48" s="456">
        <f>('C4-Sources'!AJ49/'C4-Sources'!$AH49)*100</f>
        <v>49.853387721783498</v>
      </c>
      <c r="AC48" s="456">
        <f>('C4-Sources'!AK49/'C4-Sources'!$AH49)*100</f>
        <v>34.887749204013403</v>
      </c>
      <c r="AD48" s="456">
        <f>('C4-Sources'!AL49/'C4-Sources'!$AH49)*100</f>
        <v>29.155973413894422</v>
      </c>
      <c r="AE48" s="456">
        <f>('C4-Sources'!AM49/'C4-Sources'!$AH49)*100</f>
        <v>18.863184744925707</v>
      </c>
      <c r="AF48" s="456">
        <f>('C4-Sources'!AN49/'C4-Sources'!$AH49)*100</f>
        <v>8.6249685054095018</v>
      </c>
      <c r="AG48" s="458"/>
      <c r="AH48" s="456">
        <f>100-'C6-Source Dist'!AI48</f>
        <v>52.368473556584554</v>
      </c>
      <c r="AI48" s="456">
        <f>('C4-Sources'!AQ49/'C4-Sources'!$AP49)*100</f>
        <v>47.631526443415446</v>
      </c>
      <c r="AJ48" s="456">
        <f>('C4-Sources'!AR49/'C4-Sources'!$AP49)*100</f>
        <v>37.070460411945852</v>
      </c>
      <c r="AK48" s="456">
        <f>('C4-Sources'!AS49/'C4-Sources'!$AP49)*100</f>
        <v>21.990687592363649</v>
      </c>
      <c r="AL48" s="456">
        <f>('C4-Sources'!AT49/'C4-Sources'!$AP49)*100</f>
        <v>17.64031382189269</v>
      </c>
      <c r="AM48" s="456">
        <f>('C4-Sources'!AU49/'C4-Sources'!$AP49)*100</f>
        <v>10.962053493848781</v>
      </c>
      <c r="AN48" s="456">
        <f>('C4-Sources'!AV49/'C4-Sources'!$AP49)*100</f>
        <v>5.3546338792256867</v>
      </c>
      <c r="AO48" s="458"/>
      <c r="AP48" s="456">
        <f>100-'C6-Source Dist'!AQ48</f>
        <v>58.347391531270667</v>
      </c>
      <c r="AQ48" s="456">
        <f>('C4-Sources'!AY49/'C4-Sources'!$AX49)*100</f>
        <v>41.652608468729333</v>
      </c>
      <c r="AR48" s="456">
        <f>('C4-Sources'!AZ49/'C4-Sources'!$AX49)*100</f>
        <v>30.417039894900533</v>
      </c>
      <c r="AS48" s="456">
        <f>('C4-Sources'!BA49/'C4-Sources'!$AX49)*100</f>
        <v>15.938957149921654</v>
      </c>
      <c r="AT48" s="456">
        <f>('C4-Sources'!BB49/'C4-Sources'!$AX49)*100</f>
        <v>12.265693197728805</v>
      </c>
      <c r="AU48" s="456">
        <f>('C4-Sources'!BC49/'C4-Sources'!$AX49)*100</f>
        <v>7.0698363987345161</v>
      </c>
      <c r="AV48" s="456">
        <f>('C4-Sources'!BD49/'C4-Sources'!$AX49)*100</f>
        <v>3.2691271226935013</v>
      </c>
      <c r="AW48" s="456"/>
      <c r="AX48" s="456">
        <f>100-'C6-Source Dist'!AY48</f>
        <v>72.572062473181816</v>
      </c>
      <c r="AY48" s="456">
        <f>('C4-Sources'!BG49/'C4-Sources'!$BF49)*100</f>
        <v>27.42793752681818</v>
      </c>
      <c r="AZ48" s="456">
        <f>('C4-Sources'!BH49/'C4-Sources'!$BF49)*100</f>
        <v>17.159332521241154</v>
      </c>
      <c r="BA48" s="456">
        <f>('C4-Sources'!BI49/'C4-Sources'!$BF49)*100</f>
        <v>5.650063171630328</v>
      </c>
      <c r="BB48" s="456">
        <f>('C4-Sources'!BJ49/'C4-Sources'!$BF49)*100</f>
        <v>3.5177115396934564</v>
      </c>
      <c r="BC48" s="456">
        <f>('C4-Sources'!BK49/'C4-Sources'!$BF49)*100</f>
        <v>1.2699924356897254</v>
      </c>
      <c r="BD48" s="456">
        <f>('C4-Sources'!BL49/'C4-Sources'!$BF49)*100</f>
        <v>0.36026551755084868</v>
      </c>
      <c r="BE48" s="458"/>
      <c r="BF48" s="456">
        <f>100-'C6-Source Dist'!BG48</f>
        <v>58.990205717400947</v>
      </c>
      <c r="BG48" s="456">
        <f>('C4-Sources'!BO49/'C4-Sources'!$BN49)*100</f>
        <v>41.009794282599053</v>
      </c>
      <c r="BH48" s="456">
        <f>('C4-Sources'!BP49/'C4-Sources'!$BN49)*100</f>
        <v>28.14598509102423</v>
      </c>
      <c r="BI48" s="456">
        <f>('C4-Sources'!BQ49/'C4-Sources'!$BN49)*100</f>
        <v>13.43971948040201</v>
      </c>
      <c r="BJ48" s="456">
        <f>('C4-Sources'!BR49/'C4-Sources'!$BN49)*100</f>
        <v>10.160334869327894</v>
      </c>
      <c r="BK48" s="456">
        <f>('C4-Sources'!BS49/'C4-Sources'!$BN49)*100</f>
        <v>3.8846168854544212</v>
      </c>
      <c r="BL48" s="456">
        <f>('C4-Sources'!BT49/'C4-Sources'!$BN49)*100</f>
        <v>1.138076747020121</v>
      </c>
    </row>
    <row r="49" spans="1:64" s="452" customFormat="1" ht="12" x14ac:dyDescent="0.25">
      <c r="A49" s="239">
        <v>2003</v>
      </c>
      <c r="B49" s="456">
        <f t="shared" si="0"/>
        <v>68.388710644833893</v>
      </c>
      <c r="C49" s="456">
        <f>('C4-Sources'!K50/'C4-Sources'!$J50)*100</f>
        <v>31.611289355166107</v>
      </c>
      <c r="D49" s="456">
        <f>('C4-Sources'!L50/'C4-Sources'!$J50)*100</f>
        <v>20.39453277589168</v>
      </c>
      <c r="E49" s="456">
        <f>('C4-Sources'!M50/'C4-Sources'!$J50)*100</f>
        <v>7.8389005811248955</v>
      </c>
      <c r="F49" s="456">
        <f>('C4-Sources'!N50/'C4-Sources'!$J50)*100</f>
        <v>5.3700142133613449</v>
      </c>
      <c r="G49" s="456">
        <f>('C4-Sources'!O50/'C4-Sources'!$J50)*100</f>
        <v>2.5188915286487212</v>
      </c>
      <c r="H49" s="456">
        <f>('C4-Sources'!P50/'C4-Sources'!$J50)*100</f>
        <v>0.86987528134170045</v>
      </c>
      <c r="I49" s="457"/>
      <c r="J49" s="456">
        <f>100-'C6-Source Dist'!K49</f>
        <v>50.168217613255585</v>
      </c>
      <c r="K49" s="456">
        <f>('C4-Sources'!S50/'C4-Sources'!$R50)*100</f>
        <v>49.831782386744415</v>
      </c>
      <c r="L49" s="456">
        <f>('C4-Sources'!T50/'C4-Sources'!$R50)*100</f>
        <v>42.204412003675579</v>
      </c>
      <c r="M49" s="456">
        <f>('C4-Sources'!U50/'C4-Sources'!$R50)*100</f>
        <v>26.653089511983634</v>
      </c>
      <c r="N49" s="456">
        <f>('C4-Sources'!V50/'C4-Sources'!$R50)*100</f>
        <v>21.630795938724187</v>
      </c>
      <c r="O49" s="456">
        <f>('C4-Sources'!W50/'C4-Sources'!$R50)*100</f>
        <v>12.839035104567531</v>
      </c>
      <c r="P49" s="456">
        <f>('C4-Sources'!X50/'C4-Sources'!$R50)*100</f>
        <v>5.3313526773191739</v>
      </c>
      <c r="Q49" s="456"/>
      <c r="R49" s="456">
        <f>100-'C6-Source Dist'!S49</f>
        <v>28.674963208097765</v>
      </c>
      <c r="S49" s="456">
        <f>('C4-Sources'!AA50/'C4-Sources'!$Z50)*100</f>
        <v>71.325036791902235</v>
      </c>
      <c r="T49" s="456">
        <f>('C4-Sources'!AB50/'C4-Sources'!$Z50)*100</f>
        <v>64.018841542608527</v>
      </c>
      <c r="U49" s="456">
        <f>('C4-Sources'!AC50/'C4-Sources'!$Z50)*100</f>
        <v>47.373238395273063</v>
      </c>
      <c r="V49" s="456">
        <f>('C4-Sources'!AD50/'C4-Sources'!$Z50)*100</f>
        <v>40.614874650758175</v>
      </c>
      <c r="W49" s="456">
        <f>('C4-Sources'!AE50/'C4-Sources'!$Z50)*100</f>
        <v>28.537093306960475</v>
      </c>
      <c r="X49" s="456">
        <f>('C4-Sources'!AF50/'C4-Sources'!$Z50)*100</f>
        <v>15.415033295110083</v>
      </c>
      <c r="Y49" s="458"/>
      <c r="Z49" s="456">
        <f>100-'C6-Source Dist'!AA49</f>
        <v>41.15444251203467</v>
      </c>
      <c r="AA49" s="456">
        <f>('C4-Sources'!AI50/'C4-Sources'!$AH50)*100</f>
        <v>58.84555748796533</v>
      </c>
      <c r="AB49" s="456">
        <f>('C4-Sources'!AJ50/'C4-Sources'!$AH50)*100</f>
        <v>51.917718582218505</v>
      </c>
      <c r="AC49" s="456">
        <f>('C4-Sources'!AK50/'C4-Sources'!$AH50)*100</f>
        <v>37.347499632089956</v>
      </c>
      <c r="AD49" s="456">
        <f>('C4-Sources'!AL50/'C4-Sources'!$AH50)*100</f>
        <v>31.460499560756389</v>
      </c>
      <c r="AE49" s="456">
        <f>('C4-Sources'!AM50/'C4-Sources'!$AH50)*100</f>
        <v>20.383582603910451</v>
      </c>
      <c r="AF49" s="456">
        <f>('C4-Sources'!AN50/'C4-Sources'!$AH50)*100</f>
        <v>9.5590119115318757</v>
      </c>
      <c r="AG49" s="458"/>
      <c r="AH49" s="456">
        <f>100-'C6-Source Dist'!AI49</f>
        <v>49.817053945196434</v>
      </c>
      <c r="AI49" s="456">
        <f>('C4-Sources'!AQ50/'C4-Sources'!$AP50)*100</f>
        <v>50.182946054803566</v>
      </c>
      <c r="AJ49" s="456">
        <f>('C4-Sources'!AR50/'C4-Sources'!$AP50)*100</f>
        <v>39.321126233080228</v>
      </c>
      <c r="AK49" s="456">
        <f>('C4-Sources'!AS50/'C4-Sources'!$AP50)*100</f>
        <v>24.125406785077583</v>
      </c>
      <c r="AL49" s="456">
        <f>('C4-Sources'!AT50/'C4-Sources'!$AP50)*100</f>
        <v>19.768131842852426</v>
      </c>
      <c r="AM49" s="456">
        <f>('C4-Sources'!AU50/'C4-Sources'!$AP50)*100</f>
        <v>13.021133559590625</v>
      </c>
      <c r="AN49" s="456">
        <f>('C4-Sources'!AV50/'C4-Sources'!$AP50)*100</f>
        <v>6.7102998983162756</v>
      </c>
      <c r="AO49" s="458"/>
      <c r="AP49" s="456">
        <f>100-'C6-Source Dist'!AQ49</f>
        <v>56.22919969334145</v>
      </c>
      <c r="AQ49" s="456">
        <f>('C4-Sources'!AY50/'C4-Sources'!$AX50)*100</f>
        <v>43.77080030665855</v>
      </c>
      <c r="AR49" s="456">
        <f>('C4-Sources'!AZ50/'C4-Sources'!$AX50)*100</f>
        <v>32.066517481792147</v>
      </c>
      <c r="AS49" s="456">
        <f>('C4-Sources'!BA50/'C4-Sources'!$AX50)*100</f>
        <v>17.291431689553313</v>
      </c>
      <c r="AT49" s="456">
        <f>('C4-Sources'!BB50/'C4-Sources'!$AX50)*100</f>
        <v>13.612035130442624</v>
      </c>
      <c r="AU49" s="456">
        <f>('C4-Sources'!BC50/'C4-Sources'!$AX50)*100</f>
        <v>8.4024926920561889</v>
      </c>
      <c r="AV49" s="456">
        <f>('C4-Sources'!BD50/'C4-Sources'!$AX50)*100</f>
        <v>4.1030567615955267</v>
      </c>
      <c r="AW49" s="456"/>
      <c r="AX49" s="456">
        <f>100-'C6-Source Dist'!AY49</f>
        <v>72.33534458453417</v>
      </c>
      <c r="AY49" s="456">
        <f>('C4-Sources'!BG50/'C4-Sources'!$BF50)*100</f>
        <v>27.664655415465834</v>
      </c>
      <c r="AZ49" s="456">
        <f>('C4-Sources'!BH50/'C4-Sources'!$BF50)*100</f>
        <v>16.733973287068824</v>
      </c>
      <c r="BA49" s="456">
        <f>('C4-Sources'!BI50/'C4-Sources'!$BF50)*100</f>
        <v>5.3728698023706842</v>
      </c>
      <c r="BB49" s="456">
        <f>('C4-Sources'!BJ50/'C4-Sources'!$BF50)*100</f>
        <v>3.3812557372581056</v>
      </c>
      <c r="BC49" s="456">
        <f>('C4-Sources'!BK50/'C4-Sources'!$BF50)*100</f>
        <v>1.3015842356325948</v>
      </c>
      <c r="BD49" s="456">
        <f>('C4-Sources'!BL50/'C4-Sources'!$BF50)*100</f>
        <v>0.38720747923063509</v>
      </c>
      <c r="BE49" s="458"/>
      <c r="BF49" s="456">
        <f>100-'C6-Source Dist'!BG49</f>
        <v>58.555789759235118</v>
      </c>
      <c r="BG49" s="456">
        <f>('C4-Sources'!BO50/'C4-Sources'!$BN50)*100</f>
        <v>41.444210240764882</v>
      </c>
      <c r="BH49" s="456">
        <f>('C4-Sources'!BP50/'C4-Sources'!$BN50)*100</f>
        <v>28.718439951279144</v>
      </c>
      <c r="BI49" s="456">
        <f>('C4-Sources'!BQ50/'C4-Sources'!$BN50)*100</f>
        <v>13.586507300971961</v>
      </c>
      <c r="BJ49" s="456">
        <f>('C4-Sources'!BR50/'C4-Sources'!$BN50)*100</f>
        <v>10.397915997082185</v>
      </c>
      <c r="BK49" s="456">
        <f>('C4-Sources'!BS50/'C4-Sources'!$BN50)*100</f>
        <v>4.0407127490075814</v>
      </c>
      <c r="BL49" s="456">
        <f>('C4-Sources'!BT50/'C4-Sources'!$BN50)*100</f>
        <v>1.3932154613535923</v>
      </c>
    </row>
    <row r="50" spans="1:64" s="452" customFormat="1" ht="12" x14ac:dyDescent="0.25">
      <c r="A50" s="239">
        <v>2004</v>
      </c>
      <c r="B50" s="456">
        <f t="shared" si="0"/>
        <v>68.182642597961674</v>
      </c>
      <c r="C50" s="456">
        <f>('C4-Sources'!K51/'C4-Sources'!$J51)*100</f>
        <v>31.817357402038322</v>
      </c>
      <c r="D50" s="456">
        <f>('C4-Sources'!L51/'C4-Sources'!$J51)*100</f>
        <v>20.772838793646965</v>
      </c>
      <c r="E50" s="456">
        <f>('C4-Sources'!M51/'C4-Sources'!$J51)*100</f>
        <v>8.2999348589531881</v>
      </c>
      <c r="F50" s="456">
        <f>('C4-Sources'!N51/'C4-Sources'!$J51)*100</f>
        <v>5.8068712870775068</v>
      </c>
      <c r="G50" s="456">
        <f>('C4-Sources'!O51/'C4-Sources'!$J51)*100</f>
        <v>2.8662312288166341</v>
      </c>
      <c r="H50" s="456">
        <f>('C4-Sources'!P51/'C4-Sources'!$J51)*100</f>
        <v>1.0677942958714266</v>
      </c>
      <c r="I50" s="457"/>
      <c r="J50" s="456">
        <f>100-'C6-Source Dist'!K50</f>
        <v>48.333487091361441</v>
      </c>
      <c r="K50" s="456">
        <f>('C4-Sources'!S51/'C4-Sources'!$R51)*100</f>
        <v>51.666512908638559</v>
      </c>
      <c r="L50" s="456">
        <f>('C4-Sources'!T51/'C4-Sources'!$R51)*100</f>
        <v>44.262451741600124</v>
      </c>
      <c r="M50" s="456">
        <f>('C4-Sources'!U51/'C4-Sources'!$R51)*100</f>
        <v>28.447496497582343</v>
      </c>
      <c r="N50" s="456">
        <f>('C4-Sources'!V51/'C4-Sources'!$R51)*100</f>
        <v>23.20412097694464</v>
      </c>
      <c r="O50" s="456">
        <f>('C4-Sources'!W51/'C4-Sources'!$R51)*100</f>
        <v>13.837806681315332</v>
      </c>
      <c r="P50" s="456">
        <f>('C4-Sources'!X51/'C4-Sources'!$R51)*100</f>
        <v>5.8050045180036429</v>
      </c>
      <c r="Q50" s="456"/>
      <c r="R50" s="456">
        <f>100-'C6-Source Dist'!S50</f>
        <v>26.200506048083142</v>
      </c>
      <c r="S50" s="456">
        <f>('C4-Sources'!AA51/'C4-Sources'!$Z51)*100</f>
        <v>73.799493951916858</v>
      </c>
      <c r="T50" s="456">
        <f>('C4-Sources'!AB51/'C4-Sources'!$Z51)*100</f>
        <v>66.993524528209036</v>
      </c>
      <c r="U50" s="456">
        <f>('C4-Sources'!AC51/'C4-Sources'!$Z51)*100</f>
        <v>50.85460214019453</v>
      </c>
      <c r="V50" s="456">
        <f>('C4-Sources'!AD51/'C4-Sources'!$Z51)*100</f>
        <v>44.195013444144003</v>
      </c>
      <c r="W50" s="456">
        <f>('C4-Sources'!AE51/'C4-Sources'!$Z51)*100</f>
        <v>32.102183645549175</v>
      </c>
      <c r="X50" s="456">
        <f>('C4-Sources'!AF51/'C4-Sources'!$Z51)*100</f>
        <v>18.108333639931125</v>
      </c>
      <c r="Y50" s="458"/>
      <c r="Z50" s="456">
        <f>100-'C6-Source Dist'!AA50</f>
        <v>38.001047976390865</v>
      </c>
      <c r="AA50" s="456">
        <f>('C4-Sources'!AI51/'C4-Sources'!$AH51)*100</f>
        <v>61.998952023609135</v>
      </c>
      <c r="AB50" s="456">
        <f>('C4-Sources'!AJ51/'C4-Sources'!$AH51)*100</f>
        <v>55.529321748710736</v>
      </c>
      <c r="AC50" s="456">
        <f>('C4-Sources'!AK51/'C4-Sources'!$AH51)*100</f>
        <v>40.302868004200079</v>
      </c>
      <c r="AD50" s="456">
        <f>('C4-Sources'!AL51/'C4-Sources'!$AH51)*100</f>
        <v>34.210747633262592</v>
      </c>
      <c r="AE50" s="456">
        <f>('C4-Sources'!AM51/'C4-Sources'!$AH51)*100</f>
        <v>22.672305134132532</v>
      </c>
      <c r="AF50" s="456">
        <f>('C4-Sources'!AN51/'C4-Sources'!$AH51)*100</f>
        <v>10.898738860312625</v>
      </c>
      <c r="AG50" s="458"/>
      <c r="AH50" s="456">
        <f>100-'C6-Source Dist'!AI50</f>
        <v>48.066162255967392</v>
      </c>
      <c r="AI50" s="456">
        <f>('C4-Sources'!AQ51/'C4-Sources'!$AP51)*100</f>
        <v>51.933837744032608</v>
      </c>
      <c r="AJ50" s="456">
        <f>('C4-Sources'!AR51/'C4-Sources'!$AP51)*100</f>
        <v>40.798749764015078</v>
      </c>
      <c r="AK50" s="456">
        <f>('C4-Sources'!AS51/'C4-Sources'!$AP51)*100</f>
        <v>25.271232785202898</v>
      </c>
      <c r="AL50" s="456">
        <f>('C4-Sources'!AT51/'C4-Sources'!$AP51)*100</f>
        <v>20.97884462995145</v>
      </c>
      <c r="AM50" s="456">
        <f>('C4-Sources'!AU51/'C4-Sources'!$AP51)*100</f>
        <v>14.284469363106966</v>
      </c>
      <c r="AN50" s="456">
        <f>('C4-Sources'!AV51/'C4-Sources'!$AP51)*100</f>
        <v>7.4845163374172836</v>
      </c>
      <c r="AO50" s="458"/>
      <c r="AP50" s="456">
        <f>100-'C6-Source Dist'!AQ50</f>
        <v>54.212725587208993</v>
      </c>
      <c r="AQ50" s="456">
        <f>('C4-Sources'!AY51/'C4-Sources'!$AX51)*100</f>
        <v>45.787274412791007</v>
      </c>
      <c r="AR50" s="456">
        <f>('C4-Sources'!AZ51/'C4-Sources'!$AX51)*100</f>
        <v>33.886716361995035</v>
      </c>
      <c r="AS50" s="456">
        <f>('C4-Sources'!BA51/'C4-Sources'!$AX51)*100</f>
        <v>18.69190100515598</v>
      </c>
      <c r="AT50" s="456">
        <f>('C4-Sources'!BB51/'C4-Sources'!$AX51)*100</f>
        <v>15.003817474784299</v>
      </c>
      <c r="AU50" s="456">
        <f>('C4-Sources'!BC51/'C4-Sources'!$AX51)*100</f>
        <v>9.7366799611131363</v>
      </c>
      <c r="AV50" s="456">
        <f>('C4-Sources'!BD51/'C4-Sources'!$AX51)*100</f>
        <v>4.8828340850302938</v>
      </c>
      <c r="AW50" s="456"/>
      <c r="AX50" s="456">
        <f>100-'C6-Source Dist'!AY50</f>
        <v>71.721655357566704</v>
      </c>
      <c r="AY50" s="456">
        <f>('C4-Sources'!BG51/'C4-Sources'!$BF51)*100</f>
        <v>28.278344642433296</v>
      </c>
      <c r="AZ50" s="456">
        <f>('C4-Sources'!BH51/'C4-Sources'!$BF51)*100</f>
        <v>17.398510651670652</v>
      </c>
      <c r="BA50" s="456">
        <f>('C4-Sources'!BI51/'C4-Sources'!$BF51)*100</f>
        <v>5.4777781163073191</v>
      </c>
      <c r="BB50" s="456">
        <f>('C4-Sources'!BJ51/'C4-Sources'!$BF51)*100</f>
        <v>3.4655005629609779</v>
      </c>
      <c r="BC50" s="456">
        <f>('C4-Sources'!BK51/'C4-Sources'!$BF51)*100</f>
        <v>1.48089957361875</v>
      </c>
      <c r="BD50" s="456">
        <f>('C4-Sources'!BL51/'C4-Sources'!$BF51)*100</f>
        <v>0.46886486316818698</v>
      </c>
      <c r="BE50" s="458"/>
      <c r="BF50" s="456">
        <f>100-'C6-Source Dist'!BG50</f>
        <v>58.793705101854158</v>
      </c>
      <c r="BG50" s="456">
        <f>('C4-Sources'!BO51/'C4-Sources'!$BN51)*100</f>
        <v>41.206294898145842</v>
      </c>
      <c r="BH50" s="456">
        <f>('C4-Sources'!BP51/'C4-Sources'!$BN51)*100</f>
        <v>28.589287970669531</v>
      </c>
      <c r="BI50" s="456">
        <f>('C4-Sources'!BQ51/'C4-Sources'!$BN51)*100</f>
        <v>13.892105523511933</v>
      </c>
      <c r="BJ50" s="456">
        <f>('C4-Sources'!BR51/'C4-Sources'!$BN51)*100</f>
        <v>10.502036305429707</v>
      </c>
      <c r="BK50" s="456">
        <f>('C4-Sources'!BS51/'C4-Sources'!$BN51)*100</f>
        <v>4.3117780438728666</v>
      </c>
      <c r="BL50" s="456">
        <f>('C4-Sources'!BT51/'C4-Sources'!$BN51)*100</f>
        <v>1.6213525774319195</v>
      </c>
    </row>
    <row r="51" spans="1:64" s="452" customFormat="1" ht="12" x14ac:dyDescent="0.25">
      <c r="A51" s="239">
        <v>2005</v>
      </c>
      <c r="B51" s="456">
        <f t="shared" si="0"/>
        <v>67.813354799025859</v>
      </c>
      <c r="C51" s="456">
        <f>('C4-Sources'!K52/'C4-Sources'!$J52)*100</f>
        <v>32.186645200974134</v>
      </c>
      <c r="D51" s="456">
        <f>('C4-Sources'!L52/'C4-Sources'!$J52)*100</f>
        <v>21.197204197063542</v>
      </c>
      <c r="E51" s="456">
        <f>('C4-Sources'!M52/'C4-Sources'!$J52)*100</f>
        <v>8.5587894677694063</v>
      </c>
      <c r="F51" s="456">
        <f>('C4-Sources'!N52/'C4-Sources'!$J52)*100</f>
        <v>6.0352847527527649</v>
      </c>
      <c r="G51" s="456">
        <f>('C4-Sources'!O52/'C4-Sources'!$J52)*100</f>
        <v>3.0120523755108466</v>
      </c>
      <c r="H51" s="456">
        <f>('C4-Sources'!P52/'C4-Sources'!$J52)*100</f>
        <v>1.1034760879267318</v>
      </c>
      <c r="I51" s="457"/>
      <c r="J51" s="456">
        <f>100-'C6-Source Dist'!K51</f>
        <v>43.758197387354627</v>
      </c>
      <c r="K51" s="456">
        <f>('C4-Sources'!S52/'C4-Sources'!$R52)*100</f>
        <v>56.241802612645373</v>
      </c>
      <c r="L51" s="456">
        <f>('C4-Sources'!T52/'C4-Sources'!$R52)*100</f>
        <v>48.687152016913529</v>
      </c>
      <c r="M51" s="456">
        <f>('C4-Sources'!U52/'C4-Sources'!$R52)*100</f>
        <v>32.834204359046673</v>
      </c>
      <c r="N51" s="456">
        <f>('C4-Sources'!V52/'C4-Sources'!$R52)*100</f>
        <v>27.320204365095869</v>
      </c>
      <c r="O51" s="456">
        <f>('C4-Sources'!W52/'C4-Sources'!$R52)*100</f>
        <v>16.609574905991799</v>
      </c>
      <c r="P51" s="456">
        <f>('C4-Sources'!X52/'C4-Sources'!$R52)*100</f>
        <v>7.2827807182808808</v>
      </c>
      <c r="Q51" s="456"/>
      <c r="R51" s="456">
        <f>100-'C6-Source Dist'!S51</f>
        <v>25.235538107821725</v>
      </c>
      <c r="S51" s="456">
        <f>('C4-Sources'!AA52/'C4-Sources'!$Z52)*100</f>
        <v>74.764461892178275</v>
      </c>
      <c r="T51" s="456">
        <f>('C4-Sources'!AB52/'C4-Sources'!$Z52)*100</f>
        <v>67.474662824844458</v>
      </c>
      <c r="U51" s="456">
        <f>('C4-Sources'!AC52/'C4-Sources'!$Z52)*100</f>
        <v>50.778622382479611</v>
      </c>
      <c r="V51" s="456">
        <f>('C4-Sources'!AD52/'C4-Sources'!$Z52)*100</f>
        <v>44.459235258954152</v>
      </c>
      <c r="W51" s="456">
        <f>('C4-Sources'!AE52/'C4-Sources'!$Z52)*100</f>
        <v>31.454978391956008</v>
      </c>
      <c r="X51" s="456">
        <f>('C4-Sources'!AF52/'C4-Sources'!$Z52)*100</f>
        <v>17.572319616015996</v>
      </c>
      <c r="Y51" s="458"/>
      <c r="Z51" s="456">
        <f>100-'C6-Source Dist'!AA51</f>
        <v>35.670035476763758</v>
      </c>
      <c r="AA51" s="456">
        <f>('C4-Sources'!AI52/'C4-Sources'!$AH52)*100</f>
        <v>64.329964523236242</v>
      </c>
      <c r="AB51" s="456">
        <f>('C4-Sources'!AJ52/'C4-Sources'!$AH52)*100</f>
        <v>57.222149270959022</v>
      </c>
      <c r="AC51" s="456">
        <f>('C4-Sources'!AK52/'C4-Sources'!$AH52)*100</f>
        <v>42.219088024578753</v>
      </c>
      <c r="AD51" s="456">
        <f>('C4-Sources'!AL52/'C4-Sources'!$AH52)*100</f>
        <v>36.418666539949321</v>
      </c>
      <c r="AE51" s="456">
        <f>('C4-Sources'!AM52/'C4-Sources'!$AH52)*100</f>
        <v>24.461197351517701</v>
      </c>
      <c r="AF51" s="456">
        <f>('C4-Sources'!AN52/'C4-Sources'!$AH52)*100</f>
        <v>12.414138762990941</v>
      </c>
      <c r="AG51" s="458"/>
      <c r="AH51" s="456">
        <f>100-'C6-Source Dist'!AI51</f>
        <v>47.995866357821612</v>
      </c>
      <c r="AI51" s="456">
        <f>('C4-Sources'!AQ52/'C4-Sources'!$AP52)*100</f>
        <v>52.004133642178388</v>
      </c>
      <c r="AJ51" s="456">
        <f>('C4-Sources'!AR52/'C4-Sources'!$AP52)*100</f>
        <v>41.304000354773038</v>
      </c>
      <c r="AK51" s="456">
        <f>('C4-Sources'!AS52/'C4-Sources'!$AP52)*100</f>
        <v>25.866071899293964</v>
      </c>
      <c r="AL51" s="456">
        <f>('C4-Sources'!AT52/'C4-Sources'!$AP52)*100</f>
        <v>21.662716860176108</v>
      </c>
      <c r="AM51" s="456">
        <f>('C4-Sources'!AU52/'C4-Sources'!$AP52)*100</f>
        <v>14.431848507787477</v>
      </c>
      <c r="AN51" s="456">
        <f>('C4-Sources'!AV52/'C4-Sources'!$AP52)*100</f>
        <v>7.4533275153305265</v>
      </c>
      <c r="AO51" s="458"/>
      <c r="AP51" s="456">
        <f>100-'C6-Source Dist'!AQ51</f>
        <v>54.065691043600154</v>
      </c>
      <c r="AQ51" s="456">
        <f>('C4-Sources'!AY52/'C4-Sources'!$AX52)*100</f>
        <v>45.934308956399846</v>
      </c>
      <c r="AR51" s="456">
        <f>('C4-Sources'!AZ52/'C4-Sources'!$AX52)*100</f>
        <v>34.562155833989912</v>
      </c>
      <c r="AS51" s="456">
        <f>('C4-Sources'!BA52/'C4-Sources'!$AX52)*100</f>
        <v>19.58320618240236</v>
      </c>
      <c r="AT51" s="456">
        <f>('C4-Sources'!BB52/'C4-Sources'!$AX52)*100</f>
        <v>15.926649679214972</v>
      </c>
      <c r="AU51" s="456">
        <f>('C4-Sources'!BC52/'C4-Sources'!$AX52)*100</f>
        <v>10.186153058457572</v>
      </c>
      <c r="AV51" s="456">
        <f>('C4-Sources'!BD52/'C4-Sources'!$AX52)*100</f>
        <v>5.0939001550205161</v>
      </c>
      <c r="AW51" s="456"/>
      <c r="AX51" s="456">
        <f>100-'C6-Source Dist'!AY51</f>
        <v>72.435258562768922</v>
      </c>
      <c r="AY51" s="456">
        <f>('C4-Sources'!BG52/'C4-Sources'!$BF52)*100</f>
        <v>27.564741437231071</v>
      </c>
      <c r="AZ51" s="456">
        <f>('C4-Sources'!BH52/'C4-Sources'!$BF52)*100</f>
        <v>16.99768343119522</v>
      </c>
      <c r="BA51" s="456">
        <f>('C4-Sources'!BI52/'C4-Sources'!$BF52)*100</f>
        <v>5.4731992540970715</v>
      </c>
      <c r="BB51" s="456">
        <f>('C4-Sources'!BJ52/'C4-Sources'!$BF52)*100</f>
        <v>3.5720740150504908</v>
      </c>
      <c r="BC51" s="456">
        <f>('C4-Sources'!BK52/'C4-Sources'!$BF52)*100</f>
        <v>1.5345459095880052</v>
      </c>
      <c r="BD51" s="456">
        <f>('C4-Sources'!BL52/'C4-Sources'!$BF52)*100</f>
        <v>0.4836431385303851</v>
      </c>
      <c r="BE51" s="458"/>
      <c r="BF51" s="456">
        <f>100-'C6-Source Dist'!BG51</f>
        <v>60.414685322744162</v>
      </c>
      <c r="BG51" s="456">
        <f>('C4-Sources'!BO52/'C4-Sources'!$BN52)*100</f>
        <v>39.585314677255838</v>
      </c>
      <c r="BH51" s="456">
        <f>('C4-Sources'!BP52/'C4-Sources'!$BN52)*100</f>
        <v>27.622511409579019</v>
      </c>
      <c r="BI51" s="456">
        <f>('C4-Sources'!BQ52/'C4-Sources'!$BN52)*100</f>
        <v>13.894735163611314</v>
      </c>
      <c r="BJ51" s="456">
        <f>('C4-Sources'!BR52/'C4-Sources'!$BN52)*100</f>
        <v>10.416609527460286</v>
      </c>
      <c r="BK51" s="456">
        <f>('C4-Sources'!BS52/'C4-Sources'!$BN52)*100</f>
        <v>4.716941800666568</v>
      </c>
      <c r="BL51" s="456">
        <f>('C4-Sources'!BT52/'C4-Sources'!$BN52)*100</f>
        <v>1.8139808357652658</v>
      </c>
    </row>
    <row r="52" spans="1:64" s="452" customFormat="1" ht="12" x14ac:dyDescent="0.25">
      <c r="A52" s="239">
        <v>2006</v>
      </c>
      <c r="B52" s="456">
        <f t="shared" si="0"/>
        <v>67.750976276602245</v>
      </c>
      <c r="C52" s="456">
        <f>('C4-Sources'!K53/'C4-Sources'!$J53)*100</f>
        <v>32.249023723397755</v>
      </c>
      <c r="D52" s="456">
        <f>('C4-Sources'!L53/'C4-Sources'!$J53)*100</f>
        <v>21.188047243086256</v>
      </c>
      <c r="E52" s="456">
        <f>('C4-Sources'!M53/'C4-Sources'!$J53)*100</f>
        <v>8.6022944253507418</v>
      </c>
      <c r="F52" s="456">
        <f>('C4-Sources'!N53/'C4-Sources'!$J53)*100</f>
        <v>6.0503094110765456</v>
      </c>
      <c r="G52" s="456">
        <f>('C4-Sources'!O53/'C4-Sources'!$J53)*100</f>
        <v>2.9975454795461354</v>
      </c>
      <c r="H52" s="456">
        <f>('C4-Sources'!P53/'C4-Sources'!$J53)*100</f>
        <v>1.0701239431127356</v>
      </c>
      <c r="I52" s="457"/>
      <c r="J52" s="456">
        <f>100-'C6-Source Dist'!K52</f>
        <v>44.675009254468165</v>
      </c>
      <c r="K52" s="456">
        <f>('C4-Sources'!S53/'C4-Sources'!$R53)*100</f>
        <v>55.324990745531835</v>
      </c>
      <c r="L52" s="456">
        <f>('C4-Sources'!T53/'C4-Sources'!$R53)*100</f>
        <v>47.805674217988461</v>
      </c>
      <c r="M52" s="456">
        <f>('C4-Sources'!U53/'C4-Sources'!$R53)*100</f>
        <v>31.986241105285814</v>
      </c>
      <c r="N52" s="456">
        <f>('C4-Sources'!V53/'C4-Sources'!$R53)*100</f>
        <v>26.515364774299716</v>
      </c>
      <c r="O52" s="456">
        <f>('C4-Sources'!W53/'C4-Sources'!$R53)*100</f>
        <v>15.995369747643723</v>
      </c>
      <c r="P52" s="456">
        <f>('C4-Sources'!X53/'C4-Sources'!$R53)*100</f>
        <v>6.6337046368367343</v>
      </c>
      <c r="Q52" s="456"/>
      <c r="R52" s="456">
        <f>100-'C6-Source Dist'!S52</f>
        <v>23.676669798442646</v>
      </c>
      <c r="S52" s="456">
        <f>('C4-Sources'!AA53/'C4-Sources'!$Z53)*100</f>
        <v>76.323330201557354</v>
      </c>
      <c r="T52" s="456">
        <f>('C4-Sources'!AB53/'C4-Sources'!$Z53)*100</f>
        <v>69.04006015747018</v>
      </c>
      <c r="U52" s="456">
        <f>('C4-Sources'!AC53/'C4-Sources'!$Z53)*100</f>
        <v>51.880219603163539</v>
      </c>
      <c r="V52" s="456">
        <f>('C4-Sources'!AD53/'C4-Sources'!$Z53)*100</f>
        <v>44.871389279814643</v>
      </c>
      <c r="W52" s="456">
        <f>('C4-Sources'!AE53/'C4-Sources'!$Z53)*100</f>
        <v>31.568447531838252</v>
      </c>
      <c r="X52" s="456">
        <f>('C4-Sources'!AF53/'C4-Sources'!$Z53)*100</f>
        <v>17.374510567450066</v>
      </c>
      <c r="Y52" s="458"/>
      <c r="Z52" s="456">
        <f>100-'C6-Source Dist'!AA52</f>
        <v>35.072757152828444</v>
      </c>
      <c r="AA52" s="456">
        <f>('C4-Sources'!AI53/'C4-Sources'!$AH53)*100</f>
        <v>64.927242847171556</v>
      </c>
      <c r="AB52" s="456">
        <f>('C4-Sources'!AJ53/'C4-Sources'!$AH53)*100</f>
        <v>57.372685619679999</v>
      </c>
      <c r="AC52" s="456">
        <f>('C4-Sources'!AK53/'C4-Sources'!$AH53)*100</f>
        <v>42.515614809263255</v>
      </c>
      <c r="AD52" s="456">
        <f>('C4-Sources'!AL53/'C4-Sources'!$AH53)*100</f>
        <v>36.51885239050663</v>
      </c>
      <c r="AE52" s="456">
        <f>('C4-Sources'!AM53/'C4-Sources'!$AH53)*100</f>
        <v>24.400398294376824</v>
      </c>
      <c r="AF52" s="456">
        <f>('C4-Sources'!AN53/'C4-Sources'!$AH53)*100</f>
        <v>12.178934809896598</v>
      </c>
      <c r="AG52" s="458"/>
      <c r="AH52" s="456">
        <f>100-'C6-Source Dist'!AI52</f>
        <v>46.750014246097429</v>
      </c>
      <c r="AI52" s="456">
        <f>('C4-Sources'!AQ53/'C4-Sources'!$AP53)*100</f>
        <v>53.249985753902571</v>
      </c>
      <c r="AJ52" s="456">
        <f>('C4-Sources'!AR53/'C4-Sources'!$AP53)*100</f>
        <v>43.191196113074199</v>
      </c>
      <c r="AK52" s="456">
        <f>('C4-Sources'!AS53/'C4-Sources'!$AP53)*100</f>
        <v>27.930065751218851</v>
      </c>
      <c r="AL52" s="456">
        <f>('C4-Sources'!AT53/'C4-Sources'!$AP53)*100</f>
        <v>23.323152032920337</v>
      </c>
      <c r="AM52" s="456">
        <f>('C4-Sources'!AU53/'C4-Sources'!$AP53)*100</f>
        <v>15.534189421657643</v>
      </c>
      <c r="AN52" s="456">
        <f>('C4-Sources'!AV53/'C4-Sources'!$AP53)*100</f>
        <v>7.9702477546182386</v>
      </c>
      <c r="AO52" s="458"/>
      <c r="AP52" s="456">
        <f>100-'C6-Source Dist'!AQ52</f>
        <v>53.999443651701071</v>
      </c>
      <c r="AQ52" s="456">
        <f>('C4-Sources'!AY53/'C4-Sources'!$AX53)*100</f>
        <v>46.000556348298929</v>
      </c>
      <c r="AR52" s="456">
        <f>('C4-Sources'!AZ53/'C4-Sources'!$AX53)*100</f>
        <v>35.092291676044546</v>
      </c>
      <c r="AS52" s="456">
        <f>('C4-Sources'!BA53/'C4-Sources'!$AX53)*100</f>
        <v>20.38673574862483</v>
      </c>
      <c r="AT52" s="456">
        <f>('C4-Sources'!BB53/'C4-Sources'!$AX53)*100</f>
        <v>16.506200894424587</v>
      </c>
      <c r="AU52" s="456">
        <f>('C4-Sources'!BC53/'C4-Sources'!$AX53)*100</f>
        <v>10.483154762011939</v>
      </c>
      <c r="AV52" s="456">
        <f>('C4-Sources'!BD53/'C4-Sources'!$AX53)*100</f>
        <v>5.173765228175049</v>
      </c>
      <c r="AW52" s="456"/>
      <c r="AX52" s="456">
        <f>100-'C6-Source Dist'!AY52</f>
        <v>71.976623480278278</v>
      </c>
      <c r="AY52" s="456">
        <f>('C4-Sources'!BG53/'C4-Sources'!$BF53)*100</f>
        <v>28.023376519721715</v>
      </c>
      <c r="AZ52" s="456">
        <f>('C4-Sources'!BH53/'C4-Sources'!$BF53)*100</f>
        <v>17.307443925335157</v>
      </c>
      <c r="BA52" s="456">
        <f>('C4-Sources'!BI53/'C4-Sources'!$BF53)*100</f>
        <v>5.6790612161388037</v>
      </c>
      <c r="BB52" s="456">
        <f>('C4-Sources'!BJ53/'C4-Sources'!$BF53)*100</f>
        <v>3.6459263523611396</v>
      </c>
      <c r="BC52" s="456">
        <f>('C4-Sources'!BK53/'C4-Sources'!$BF53)*100</f>
        <v>1.499401338222762</v>
      </c>
      <c r="BD52" s="456">
        <f>('C4-Sources'!BL53/'C4-Sources'!$BF53)*100</f>
        <v>0.44068585175297487</v>
      </c>
      <c r="BE52" s="458"/>
      <c r="BF52" s="456">
        <f>100-'C6-Source Dist'!BG52</f>
        <v>58.722264684096984</v>
      </c>
      <c r="BG52" s="456">
        <f>('C4-Sources'!BO53/'C4-Sources'!$BN53)*100</f>
        <v>41.277735315903016</v>
      </c>
      <c r="BH52" s="456">
        <f>('C4-Sources'!BP53/'C4-Sources'!$BN53)*100</f>
        <v>29.015434659003027</v>
      </c>
      <c r="BI52" s="456">
        <f>('C4-Sources'!BQ53/'C4-Sources'!$BN53)*100</f>
        <v>15.140087175924934</v>
      </c>
      <c r="BJ52" s="456">
        <f>('C4-Sources'!BR53/'C4-Sources'!$BN53)*100</f>
        <v>11.61318014129591</v>
      </c>
      <c r="BK52" s="456">
        <f>('C4-Sources'!BS53/'C4-Sources'!$BN53)*100</f>
        <v>5.2400760054301374</v>
      </c>
      <c r="BL52" s="456">
        <f>('C4-Sources'!BT53/'C4-Sources'!$BN53)*100</f>
        <v>2.0461599612878367</v>
      </c>
    </row>
    <row r="53" spans="1:64" s="452" customFormat="1" ht="12" x14ac:dyDescent="0.25">
      <c r="A53" s="239">
        <v>2007</v>
      </c>
      <c r="B53" s="456">
        <f t="shared" si="0"/>
        <v>67.460221304622721</v>
      </c>
      <c r="C53" s="456">
        <f>('C4-Sources'!K54/'C4-Sources'!$J54)*100</f>
        <v>32.539778695377279</v>
      </c>
      <c r="D53" s="456">
        <f>('C4-Sources'!L54/'C4-Sources'!$J54)*100</f>
        <v>21.481268529094944</v>
      </c>
      <c r="E53" s="456">
        <f>('C4-Sources'!M54/'C4-Sources'!$J54)*100</f>
        <v>8.9550160844484417</v>
      </c>
      <c r="F53" s="456">
        <f>('C4-Sources'!N54/'C4-Sources'!$J54)*100</f>
        <v>6.3900120053653131</v>
      </c>
      <c r="G53" s="456">
        <f>('C4-Sources'!O54/'C4-Sources'!$J54)*100</f>
        <v>3.2616757742886104</v>
      </c>
      <c r="H53" s="456">
        <f>('C4-Sources'!P54/'C4-Sources'!$J54)*100</f>
        <v>1.212651387975004</v>
      </c>
      <c r="I53" s="457"/>
      <c r="J53" s="456">
        <f>100-'C6-Source Dist'!K53</f>
        <v>43.219690943956316</v>
      </c>
      <c r="K53" s="456">
        <f>('C4-Sources'!S54/'C4-Sources'!$R54)*100</f>
        <v>56.780309056043684</v>
      </c>
      <c r="L53" s="456">
        <f>('C4-Sources'!T54/'C4-Sources'!$R54)*100</f>
        <v>49.227705182894013</v>
      </c>
      <c r="M53" s="456">
        <f>('C4-Sources'!U54/'C4-Sources'!$R54)*100</f>
        <v>32.873375691128068</v>
      </c>
      <c r="N53" s="456">
        <f>('C4-Sources'!V54/'C4-Sources'!$R54)*100</f>
        <v>27.018135791086717</v>
      </c>
      <c r="O53" s="456">
        <f>('C4-Sources'!W54/'C4-Sources'!$R54)*100</f>
        <v>16.103664561416924</v>
      </c>
      <c r="P53" s="456">
        <f>('C4-Sources'!X54/'C4-Sources'!$R54)*100</f>
        <v>6.8833613223914165</v>
      </c>
      <c r="Q53" s="456"/>
      <c r="R53" s="456">
        <f>100-'C6-Source Dist'!S53</f>
        <v>24.464581833979423</v>
      </c>
      <c r="S53" s="456">
        <f>('C4-Sources'!AA54/'C4-Sources'!$Z54)*100</f>
        <v>75.535418166020577</v>
      </c>
      <c r="T53" s="456">
        <f>('C4-Sources'!AB54/'C4-Sources'!$Z54)*100</f>
        <v>67.783983928105499</v>
      </c>
      <c r="U53" s="456">
        <f>('C4-Sources'!AC54/'C4-Sources'!$Z54)*100</f>
        <v>50.113253643060339</v>
      </c>
      <c r="V53" s="456">
        <f>('C4-Sources'!AD54/'C4-Sources'!$Z54)*100</f>
        <v>43.574101368864568</v>
      </c>
      <c r="W53" s="456">
        <f>('C4-Sources'!AE54/'C4-Sources'!$Z54)*100</f>
        <v>30.459830843856334</v>
      </c>
      <c r="X53" s="456">
        <f>('C4-Sources'!AF54/'C4-Sources'!$Z54)*100</f>
        <v>16.724448131877327</v>
      </c>
      <c r="Y53" s="458"/>
      <c r="Z53" s="456">
        <f>100-'C6-Source Dist'!AA53</f>
        <v>35.43419120477958</v>
      </c>
      <c r="AA53" s="456">
        <f>('C4-Sources'!AI54/'C4-Sources'!$AH54)*100</f>
        <v>64.56580879522042</v>
      </c>
      <c r="AB53" s="456">
        <f>('C4-Sources'!AJ54/'C4-Sources'!$AH54)*100</f>
        <v>57.091012495784042</v>
      </c>
      <c r="AC53" s="456">
        <f>('C4-Sources'!AK54/'C4-Sources'!$AH54)*100</f>
        <v>41.909115944985714</v>
      </c>
      <c r="AD53" s="456">
        <f>('C4-Sources'!AL54/'C4-Sources'!$AH54)*100</f>
        <v>36.021805534978164</v>
      </c>
      <c r="AE53" s="456">
        <f>('C4-Sources'!AM54/'C4-Sources'!$AH54)*100</f>
        <v>24.216834054305856</v>
      </c>
      <c r="AF53" s="456">
        <f>('C4-Sources'!AN54/'C4-Sources'!$AH54)*100</f>
        <v>12.507687712252254</v>
      </c>
      <c r="AG53" s="458"/>
      <c r="AH53" s="456">
        <f>100-'C6-Source Dist'!AI53</f>
        <v>49.821331118267864</v>
      </c>
      <c r="AI53" s="456">
        <f>('C4-Sources'!AQ54/'C4-Sources'!$AP54)*100</f>
        <v>50.178668881732136</v>
      </c>
      <c r="AJ53" s="456">
        <f>('C4-Sources'!AR54/'C4-Sources'!$AP54)*100</f>
        <v>40.385963175481571</v>
      </c>
      <c r="AK53" s="456">
        <f>('C4-Sources'!AS54/'C4-Sources'!$AP54)*100</f>
        <v>25.451324798149322</v>
      </c>
      <c r="AL53" s="456">
        <f>('C4-Sources'!AT54/'C4-Sources'!$AP54)*100</f>
        <v>21.195791851885453</v>
      </c>
      <c r="AM53" s="456">
        <f>('C4-Sources'!AU54/'C4-Sources'!$AP54)*100</f>
        <v>13.871145521485378</v>
      </c>
      <c r="AN53" s="456">
        <f>('C4-Sources'!AV54/'C4-Sources'!$AP54)*100</f>
        <v>7.1030974250808914</v>
      </c>
      <c r="AO53" s="458"/>
      <c r="AP53" s="456">
        <f>100-'C6-Source Dist'!AQ53</f>
        <v>55.833952235406343</v>
      </c>
      <c r="AQ53" s="456">
        <f>('C4-Sources'!AY54/'C4-Sources'!$AX54)*100</f>
        <v>44.166047764593657</v>
      </c>
      <c r="AR53" s="456">
        <f>('C4-Sources'!AZ54/'C4-Sources'!$AX54)*100</f>
        <v>33.86731033358317</v>
      </c>
      <c r="AS53" s="456">
        <f>('C4-Sources'!BA54/'C4-Sources'!$AX54)*100</f>
        <v>19.550755820914407</v>
      </c>
      <c r="AT53" s="456">
        <f>('C4-Sources'!BB54/'C4-Sources'!$AX54)*100</f>
        <v>15.843169911323528</v>
      </c>
      <c r="AU53" s="456">
        <f>('C4-Sources'!BC54/'C4-Sources'!$AX54)*100</f>
        <v>9.9452194085639469</v>
      </c>
      <c r="AV53" s="456">
        <f>('C4-Sources'!BD54/'C4-Sources'!$AX54)*100</f>
        <v>4.9551940661715328</v>
      </c>
      <c r="AW53" s="456"/>
      <c r="AX53" s="456">
        <f>100-'C6-Source Dist'!AY53</f>
        <v>72.495942006388617</v>
      </c>
      <c r="AY53" s="456">
        <f>('C4-Sources'!BG54/'C4-Sources'!$BF54)*100</f>
        <v>27.504057993611376</v>
      </c>
      <c r="AZ53" s="456">
        <f>('C4-Sources'!BH54/'C4-Sources'!$BF54)*100</f>
        <v>17.146214438819644</v>
      </c>
      <c r="BA53" s="456">
        <f>('C4-Sources'!BI54/'C4-Sources'!$BF54)*100</f>
        <v>5.7041034585983166</v>
      </c>
      <c r="BB53" s="456">
        <f>('C4-Sources'!BJ54/'C4-Sources'!$BF54)*100</f>
        <v>3.7027529227031328</v>
      </c>
      <c r="BC53" s="456">
        <f>('C4-Sources'!BK54/'C4-Sources'!$BF54)*100</f>
        <v>1.4845805069293576</v>
      </c>
      <c r="BD53" s="456">
        <f>('C4-Sources'!BL54/'C4-Sources'!$BF54)*100</f>
        <v>0.43959362687840448</v>
      </c>
      <c r="BE53" s="458"/>
      <c r="BF53" s="456">
        <f>100-'C6-Source Dist'!BG53</f>
        <v>59.341453339090684</v>
      </c>
      <c r="BG53" s="456">
        <f>('C4-Sources'!BO54/'C4-Sources'!$BN54)*100</f>
        <v>40.658546660909316</v>
      </c>
      <c r="BH53" s="456">
        <f>('C4-Sources'!BP54/'C4-Sources'!$BN54)*100</f>
        <v>28.882782667852808</v>
      </c>
      <c r="BI53" s="456">
        <f>('C4-Sources'!BQ54/'C4-Sources'!$BN54)*100</f>
        <v>15.121128341241461</v>
      </c>
      <c r="BJ53" s="456">
        <f>('C4-Sources'!BR54/'C4-Sources'!$BN54)*100</f>
        <v>11.481316364045618</v>
      </c>
      <c r="BK53" s="456">
        <f>('C4-Sources'!BS54/'C4-Sources'!$BN54)*100</f>
        <v>5.4722527905034726</v>
      </c>
      <c r="BL53" s="456">
        <f>('C4-Sources'!BT54/'C4-Sources'!$BN54)*100</f>
        <v>2.1866625075317123</v>
      </c>
    </row>
    <row r="54" spans="1:64" s="452" customFormat="1" ht="12" x14ac:dyDescent="0.25">
      <c r="A54" s="239">
        <v>2008</v>
      </c>
      <c r="B54" s="456">
        <f t="shared" si="0"/>
        <v>67.526875047694801</v>
      </c>
      <c r="C54" s="456">
        <f>('C4-Sources'!K55/'C4-Sources'!$J55)*100</f>
        <v>32.473124952305199</v>
      </c>
      <c r="D54" s="456">
        <f>('C4-Sources'!L55/'C4-Sources'!$J55)*100</f>
        <v>21.112064862485141</v>
      </c>
      <c r="E54" s="456">
        <f>('C4-Sources'!M55/'C4-Sources'!$J55)*100</f>
        <v>8.4570404718908048</v>
      </c>
      <c r="F54" s="456">
        <f>('C4-Sources'!N55/'C4-Sources'!$J55)*100</f>
        <v>5.9188191208596681</v>
      </c>
      <c r="G54" s="456">
        <f>('C4-Sources'!O55/'C4-Sources'!$J55)*100</f>
        <v>2.9617743833765786</v>
      </c>
      <c r="H54" s="456">
        <f>('C4-Sources'!P55/'C4-Sources'!$J55)*100</f>
        <v>1.0722157331091968</v>
      </c>
      <c r="I54" s="457"/>
      <c r="J54" s="456">
        <f>100-'C6-Source Dist'!K54</f>
        <v>44.162531497700641</v>
      </c>
      <c r="K54" s="456">
        <f>('C4-Sources'!S55/'C4-Sources'!$R55)*100</f>
        <v>55.837468502299359</v>
      </c>
      <c r="L54" s="456">
        <f>('C4-Sources'!T55/'C4-Sources'!$R55)*100</f>
        <v>48.477193191434317</v>
      </c>
      <c r="M54" s="456">
        <f>('C4-Sources'!U55/'C4-Sources'!$R55)*100</f>
        <v>32.189001635253952</v>
      </c>
      <c r="N54" s="456">
        <f>('C4-Sources'!V55/'C4-Sources'!$R55)*100</f>
        <v>26.700266972567626</v>
      </c>
      <c r="O54" s="456">
        <f>('C4-Sources'!W55/'C4-Sources'!$R55)*100</f>
        <v>16.356177747066653</v>
      </c>
      <c r="P54" s="456">
        <f>('C4-Sources'!X55/'C4-Sources'!$R55)*100</f>
        <v>7.4188703894450549</v>
      </c>
      <c r="Q54" s="456"/>
      <c r="R54" s="456">
        <f>100-'C6-Source Dist'!S54</f>
        <v>26.067995623517731</v>
      </c>
      <c r="S54" s="456">
        <f>('C4-Sources'!AA55/'C4-Sources'!$Z55)*100</f>
        <v>73.932004376482269</v>
      </c>
      <c r="T54" s="456">
        <f>('C4-Sources'!AB55/'C4-Sources'!$Z55)*100</f>
        <v>66.653361181784277</v>
      </c>
      <c r="U54" s="456">
        <f>('C4-Sources'!AC55/'C4-Sources'!$Z55)*100</f>
        <v>50.252735493823678</v>
      </c>
      <c r="V54" s="456">
        <f>('C4-Sources'!AD55/'C4-Sources'!$Z55)*100</f>
        <v>43.875942518090731</v>
      </c>
      <c r="W54" s="456">
        <f>('C4-Sources'!AE55/'C4-Sources'!$Z55)*100</f>
        <v>31.56413322217287</v>
      </c>
      <c r="X54" s="456">
        <f>('C4-Sources'!AF55/'C4-Sources'!$Z55)*100</f>
        <v>17.451011501888996</v>
      </c>
      <c r="Y54" s="458"/>
      <c r="Z54" s="456">
        <f>100-'C6-Source Dist'!AA54</f>
        <v>37.362847138563282</v>
      </c>
      <c r="AA54" s="456">
        <f>('C4-Sources'!AI55/'C4-Sources'!$AH55)*100</f>
        <v>62.637152861436718</v>
      </c>
      <c r="AB54" s="456">
        <f>('C4-Sources'!AJ55/'C4-Sources'!$AH55)*100</f>
        <v>55.002576367753207</v>
      </c>
      <c r="AC54" s="456">
        <f>('C4-Sources'!AK55/'C4-Sources'!$AH55)*100</f>
        <v>39.601106942540298</v>
      </c>
      <c r="AD54" s="456">
        <f>('C4-Sources'!AL55/'C4-Sources'!$AH55)*100</f>
        <v>33.593420316394322</v>
      </c>
      <c r="AE54" s="456">
        <f>('C4-Sources'!AM55/'C4-Sources'!$AH55)*100</f>
        <v>22.118706815992393</v>
      </c>
      <c r="AF54" s="456">
        <f>('C4-Sources'!AN55/'C4-Sources'!$AH55)*100</f>
        <v>10.718983025037907</v>
      </c>
      <c r="AG54" s="458"/>
      <c r="AH54" s="456">
        <f>100-'C6-Source Dist'!AI54</f>
        <v>50.370522572587831</v>
      </c>
      <c r="AI54" s="456">
        <f>('C4-Sources'!AQ55/'C4-Sources'!$AP55)*100</f>
        <v>49.629477427412169</v>
      </c>
      <c r="AJ54" s="456">
        <f>('C4-Sources'!AR55/'C4-Sources'!$AP55)*100</f>
        <v>39.309495395849389</v>
      </c>
      <c r="AK54" s="456">
        <f>('C4-Sources'!AS55/'C4-Sources'!$AP55)*100</f>
        <v>24.07806746380319</v>
      </c>
      <c r="AL54" s="456">
        <f>('C4-Sources'!AT55/'C4-Sources'!$AP55)*100</f>
        <v>19.836108049644753</v>
      </c>
      <c r="AM54" s="456">
        <f>('C4-Sources'!AU55/'C4-Sources'!$AP55)*100</f>
        <v>13.029552420390921</v>
      </c>
      <c r="AN54" s="456">
        <f>('C4-Sources'!AV55/'C4-Sources'!$AP55)*100</f>
        <v>6.7155946554804631</v>
      </c>
      <c r="AO54" s="458"/>
      <c r="AP54" s="456">
        <f>100-'C6-Source Dist'!AQ54</f>
        <v>55.479318880650013</v>
      </c>
      <c r="AQ54" s="456">
        <f>('C4-Sources'!AY55/'C4-Sources'!$AX55)*100</f>
        <v>44.520681119349987</v>
      </c>
      <c r="AR54" s="456">
        <f>('C4-Sources'!AZ55/'C4-Sources'!$AX55)*100</f>
        <v>33.65308423242049</v>
      </c>
      <c r="AS54" s="456">
        <f>('C4-Sources'!BA55/'C4-Sources'!$AX55)*100</f>
        <v>18.672502946891072</v>
      </c>
      <c r="AT54" s="456">
        <f>('C4-Sources'!BB55/'C4-Sources'!$AX55)*100</f>
        <v>14.852806986745298</v>
      </c>
      <c r="AU54" s="456">
        <f>('C4-Sources'!BC55/'C4-Sources'!$AX55)*100</f>
        <v>9.1789171518072461</v>
      </c>
      <c r="AV54" s="456">
        <f>('C4-Sources'!BD55/'C4-Sources'!$AX55)*100</f>
        <v>4.5509993691670481</v>
      </c>
      <c r="AW54" s="456"/>
      <c r="AX54" s="456">
        <f>100-'C6-Source Dist'!AY54</f>
        <v>70.722617136946383</v>
      </c>
      <c r="AY54" s="456">
        <f>('C4-Sources'!BG55/'C4-Sources'!$BF55)*100</f>
        <v>29.277382863053624</v>
      </c>
      <c r="AZ54" s="456">
        <f>('C4-Sources'!BH55/'C4-Sources'!$BF55)*100</f>
        <v>18.408413161228705</v>
      </c>
      <c r="BA54" s="456">
        <f>('C4-Sources'!BI55/'C4-Sources'!$BF55)*100</f>
        <v>6.128834122978847</v>
      </c>
      <c r="BB54" s="456">
        <f>('C4-Sources'!BJ55/'C4-Sources'!$BF55)*100</f>
        <v>3.9203620061420001</v>
      </c>
      <c r="BC54" s="456">
        <f>('C4-Sources'!BK55/'C4-Sources'!$BF55)*100</f>
        <v>1.4881446096898903</v>
      </c>
      <c r="BD54" s="456">
        <f>('C4-Sources'!BL55/'C4-Sources'!$BF55)*100</f>
        <v>0.45218249048580084</v>
      </c>
      <c r="BE54" s="458"/>
      <c r="BF54" s="456">
        <f>100-'C6-Source Dist'!BG54</f>
        <v>56.554656954011548</v>
      </c>
      <c r="BG54" s="456">
        <f>('C4-Sources'!BO55/'C4-Sources'!$BN55)*100</f>
        <v>43.445343045988452</v>
      </c>
      <c r="BH54" s="456">
        <f>('C4-Sources'!BP55/'C4-Sources'!$BN55)*100</f>
        <v>31.266565054691497</v>
      </c>
      <c r="BI54" s="456">
        <f>('C4-Sources'!BQ55/'C4-Sources'!$BN55)*100</f>
        <v>16.515263228025447</v>
      </c>
      <c r="BJ54" s="456">
        <f>('C4-Sources'!BR55/'C4-Sources'!$BN55)*100</f>
        <v>12.603708164836785</v>
      </c>
      <c r="BK54" s="456">
        <f>('C4-Sources'!BS55/'C4-Sources'!$BN55)*100</f>
        <v>5.6649183251522084</v>
      </c>
      <c r="BL54" s="456">
        <f>('C4-Sources'!BT55/'C4-Sources'!$BN55)*100</f>
        <v>2.3910124834510733</v>
      </c>
    </row>
    <row r="55" spans="1:64" s="452" customFormat="1" ht="12" x14ac:dyDescent="0.25">
      <c r="A55" s="239">
        <v>2009</v>
      </c>
      <c r="B55" s="456">
        <f t="shared" si="0"/>
        <v>67.482827792810014</v>
      </c>
      <c r="C55" s="456">
        <f>('C4-Sources'!K56/'C4-Sources'!$J56)*100</f>
        <v>32.517172207189986</v>
      </c>
      <c r="D55" s="456">
        <f>('C4-Sources'!L56/'C4-Sources'!$J56)*100</f>
        <v>20.875615962472168</v>
      </c>
      <c r="E55" s="456">
        <f>('C4-Sources'!M56/'C4-Sources'!$J56)*100</f>
        <v>7.7409242796948332</v>
      </c>
      <c r="F55" s="456">
        <f>('C4-Sources'!N56/'C4-Sources'!$J56)*100</f>
        <v>5.222664127505956</v>
      </c>
      <c r="G55" s="456">
        <f>('C4-Sources'!O56/'C4-Sources'!$J56)*100</f>
        <v>2.4546364441859656</v>
      </c>
      <c r="H55" s="456">
        <f>('C4-Sources'!P56/'C4-Sources'!$J56)*100</f>
        <v>0.82532559151618723</v>
      </c>
      <c r="I55" s="457"/>
      <c r="J55" s="456">
        <f>100-'C6-Source Dist'!K55</f>
        <v>46.154180821528087</v>
      </c>
      <c r="K55" s="456">
        <f>('C4-Sources'!S56/'C4-Sources'!$R56)*100</f>
        <v>53.845819178471913</v>
      </c>
      <c r="L55" s="456">
        <f>('C4-Sources'!T56/'C4-Sources'!$R56)*100</f>
        <v>46.358278158449245</v>
      </c>
      <c r="M55" s="456">
        <f>('C4-Sources'!U56/'C4-Sources'!$R56)*100</f>
        <v>30.566948735013593</v>
      </c>
      <c r="N55" s="456">
        <f>('C4-Sources'!V56/'C4-Sources'!$R56)*100</f>
        <v>25.27734932964233</v>
      </c>
      <c r="O55" s="456">
        <f>('C4-Sources'!W56/'C4-Sources'!$R56)*100</f>
        <v>15.330824019964432</v>
      </c>
      <c r="P55" s="456">
        <f>('C4-Sources'!X56/'C4-Sources'!$R56)*100</f>
        <v>6.8548591259075486</v>
      </c>
      <c r="Q55" s="456"/>
      <c r="R55" s="456">
        <f>100-'C6-Source Dist'!S55</f>
        <v>25.614325578627216</v>
      </c>
      <c r="S55" s="456">
        <f>('C4-Sources'!AA56/'C4-Sources'!$Z56)*100</f>
        <v>74.385674421372784</v>
      </c>
      <c r="T55" s="456">
        <f>('C4-Sources'!AB56/'C4-Sources'!$Z56)*100</f>
        <v>66.945867776675144</v>
      </c>
      <c r="U55" s="456">
        <f>('C4-Sources'!AC56/'C4-Sources'!$Z56)*100</f>
        <v>50.87459990335509</v>
      </c>
      <c r="V55" s="456">
        <f>('C4-Sources'!AD56/'C4-Sources'!$Z56)*100</f>
        <v>44.195298229045648</v>
      </c>
      <c r="W55" s="456">
        <f>('C4-Sources'!AE56/'C4-Sources'!$Z56)*100</f>
        <v>32.187092174602164</v>
      </c>
      <c r="X55" s="456">
        <f>('C4-Sources'!AF56/'C4-Sources'!$Z56)*100</f>
        <v>19.486122409784407</v>
      </c>
      <c r="Y55" s="458"/>
      <c r="Z55" s="456">
        <f>100-'C6-Source Dist'!AA55</f>
        <v>35.90953882649471</v>
      </c>
      <c r="AA55" s="456">
        <f>('C4-Sources'!AI56/'C4-Sources'!$AH56)*100</f>
        <v>64.09046117350529</v>
      </c>
      <c r="AB55" s="456">
        <f>('C4-Sources'!AJ56/'C4-Sources'!$AH56)*100</f>
        <v>56.491178049958556</v>
      </c>
      <c r="AC55" s="456">
        <f>('C4-Sources'!AK56/'C4-Sources'!$AH56)*100</f>
        <v>40.897905139142445</v>
      </c>
      <c r="AD55" s="456">
        <f>('C4-Sources'!AL56/'C4-Sources'!$AH56)*100</f>
        <v>34.518250123727348</v>
      </c>
      <c r="AE55" s="456">
        <f>('C4-Sources'!AM56/'C4-Sources'!$AH56)*100</f>
        <v>22.895597559083527</v>
      </c>
      <c r="AF55" s="456">
        <f>('C4-Sources'!AN56/'C4-Sources'!$AH56)*100</f>
        <v>11.373437891385056</v>
      </c>
      <c r="AG55" s="458"/>
      <c r="AH55" s="456">
        <f>100-'C6-Source Dist'!AI55</f>
        <v>47.973979721395267</v>
      </c>
      <c r="AI55" s="456">
        <f>('C4-Sources'!AQ56/'C4-Sources'!$AP56)*100</f>
        <v>52.026020278604733</v>
      </c>
      <c r="AJ55" s="456">
        <f>('C4-Sources'!AR56/'C4-Sources'!$AP56)*100</f>
        <v>41.253721319303018</v>
      </c>
      <c r="AK55" s="456">
        <f>('C4-Sources'!AS56/'C4-Sources'!$AP56)*100</f>
        <v>25.298381835347573</v>
      </c>
      <c r="AL55" s="456">
        <f>('C4-Sources'!AT56/'C4-Sources'!$AP56)*100</f>
        <v>20.75152990244132</v>
      </c>
      <c r="AM55" s="456">
        <f>('C4-Sources'!AU56/'C4-Sources'!$AP56)*100</f>
        <v>13.953895890381226</v>
      </c>
      <c r="AN55" s="456">
        <f>('C4-Sources'!AV56/'C4-Sources'!$AP56)*100</f>
        <v>8.0461475697144866</v>
      </c>
      <c r="AO55" s="458"/>
      <c r="AP55" s="456">
        <f>100-'C6-Source Dist'!AQ55</f>
        <v>53.715712612718114</v>
      </c>
      <c r="AQ55" s="456">
        <f>('C4-Sources'!AY56/'C4-Sources'!$AX56)*100</f>
        <v>46.284287387281886</v>
      </c>
      <c r="AR55" s="456">
        <f>('C4-Sources'!AZ56/'C4-Sources'!$AX56)*100</f>
        <v>34.848643234210456</v>
      </c>
      <c r="AS55" s="456">
        <f>('C4-Sources'!BA56/'C4-Sources'!$AX56)*100</f>
        <v>18.944001283702828</v>
      </c>
      <c r="AT55" s="456">
        <f>('C4-Sources'!BB56/'C4-Sources'!$AX56)*100</f>
        <v>14.914058338663327</v>
      </c>
      <c r="AU55" s="456">
        <f>('C4-Sources'!BC56/'C4-Sources'!$AX56)*100</f>
        <v>9.3312014107218459</v>
      </c>
      <c r="AV55" s="456">
        <f>('C4-Sources'!BD56/'C4-Sources'!$AX56)*100</f>
        <v>5.0623135793238268</v>
      </c>
      <c r="AW55" s="456"/>
      <c r="AX55" s="456">
        <f>100-'C6-Source Dist'!AY55</f>
        <v>71.771123802277529</v>
      </c>
      <c r="AY55" s="456">
        <f>('C4-Sources'!BG56/'C4-Sources'!$BF56)*100</f>
        <v>28.228876197722474</v>
      </c>
      <c r="AZ55" s="456">
        <f>('C4-Sources'!BH56/'C4-Sources'!$BF56)*100</f>
        <v>17.29994660647861</v>
      </c>
      <c r="BA55" s="456">
        <f>('C4-Sources'!BI56/'C4-Sources'!$BF56)*100</f>
        <v>5.2823783802722861</v>
      </c>
      <c r="BB55" s="456">
        <f>('C4-Sources'!BJ56/'C4-Sources'!$BF56)*100</f>
        <v>3.1860861553619571</v>
      </c>
      <c r="BC55" s="456">
        <f>('C4-Sources'!BK56/'C4-Sources'!$BF56)*100</f>
        <v>1.0876835001234713</v>
      </c>
      <c r="BD55" s="456">
        <f>('C4-Sources'!BL56/'C4-Sources'!$BF56)*100</f>
        <v>0.32228533994722869</v>
      </c>
      <c r="BE55" s="458"/>
      <c r="BF55" s="456">
        <f>100-'C6-Source Dist'!BG55</f>
        <v>60.551178961694035</v>
      </c>
      <c r="BG55" s="456">
        <f>('C4-Sources'!BO56/'C4-Sources'!$BN56)*100</f>
        <v>39.448821038305965</v>
      </c>
      <c r="BH55" s="456">
        <f>('C4-Sources'!BP56/'C4-Sources'!$BN56)*100</f>
        <v>27.23028923076749</v>
      </c>
      <c r="BI55" s="456">
        <f>('C4-Sources'!BQ56/'C4-Sources'!$BN56)*100</f>
        <v>13.678432047229814</v>
      </c>
      <c r="BJ55" s="456">
        <f>('C4-Sources'!BR56/'C4-Sources'!$BN56)*100</f>
        <v>10.238597771077119</v>
      </c>
      <c r="BK55" s="456">
        <f>('C4-Sources'!BS56/'C4-Sources'!$BN56)*100</f>
        <v>4.3506439058419879</v>
      </c>
      <c r="BL55" s="456">
        <f>('C4-Sources'!BT56/'C4-Sources'!$BN56)*100</f>
        <v>1.7880230784976243</v>
      </c>
    </row>
    <row r="56" spans="1:64" s="452" customFormat="1" ht="12" x14ac:dyDescent="0.25">
      <c r="A56" s="239">
        <v>2010</v>
      </c>
      <c r="B56" s="456">
        <f t="shared" si="0"/>
        <v>67.011519485199287</v>
      </c>
      <c r="C56" s="456">
        <f>('C4-Sources'!K57/'C4-Sources'!$J57)*100</f>
        <v>32.988480514800713</v>
      </c>
      <c r="D56" s="456">
        <f>('C4-Sources'!L57/'C4-Sources'!$J57)*100</f>
        <v>21.495679098107939</v>
      </c>
      <c r="E56" s="456">
        <f>('C4-Sources'!M57/'C4-Sources'!$J57)*100</f>
        <v>8.217376216510333</v>
      </c>
      <c r="F56" s="456">
        <f>('C4-Sources'!N57/'C4-Sources'!$J57)*100</f>
        <v>5.6527202449681786</v>
      </c>
      <c r="G56" s="456">
        <f>('C4-Sources'!O57/'C4-Sources'!$J57)*100</f>
        <v>2.6601160604272551</v>
      </c>
      <c r="H56" s="456">
        <f>('C4-Sources'!P57/'C4-Sources'!$J57)*100</f>
        <v>0.85894329630986799</v>
      </c>
      <c r="I56" s="457"/>
      <c r="J56" s="456">
        <f>100-'C6-Source Dist'!K56</f>
        <v>46.844994755266413</v>
      </c>
      <c r="K56" s="456">
        <f>('C4-Sources'!S57/'C4-Sources'!$R57)*100</f>
        <v>53.155005244733587</v>
      </c>
      <c r="L56" s="456">
        <f>('C4-Sources'!T57/'C4-Sources'!$R57)*100</f>
        <v>45.653282687698834</v>
      </c>
      <c r="M56" s="456">
        <f>('C4-Sources'!U57/'C4-Sources'!$R57)*100</f>
        <v>30.167021508225695</v>
      </c>
      <c r="N56" s="456">
        <f>('C4-Sources'!V57/'C4-Sources'!$R57)*100</f>
        <v>24.823371973437695</v>
      </c>
      <c r="O56" s="456">
        <f>('C4-Sources'!W57/'C4-Sources'!$R57)*100</f>
        <v>14.915560915997538</v>
      </c>
      <c r="P56" s="456">
        <f>('C4-Sources'!X57/'C4-Sources'!$R57)*100</f>
        <v>6.5514352252688788</v>
      </c>
      <c r="Q56" s="456"/>
      <c r="R56" s="456">
        <f>100-'C6-Source Dist'!S56</f>
        <v>21.565859681124365</v>
      </c>
      <c r="S56" s="456">
        <f>('C4-Sources'!AA57/'C4-Sources'!$Z57)*100</f>
        <v>78.434140318875635</v>
      </c>
      <c r="T56" s="456">
        <f>('C4-Sources'!AB57/'C4-Sources'!$Z57)*100</f>
        <v>71.238186914065139</v>
      </c>
      <c r="U56" s="456">
        <f>('C4-Sources'!AC57/'C4-Sources'!$Z57)*100</f>
        <v>55.604318127669458</v>
      </c>
      <c r="V56" s="456">
        <f>('C4-Sources'!AD57/'C4-Sources'!$Z57)*100</f>
        <v>49.322271640586401</v>
      </c>
      <c r="W56" s="456">
        <f>('C4-Sources'!AE57/'C4-Sources'!$Z57)*100</f>
        <v>37.173480542286619</v>
      </c>
      <c r="X56" s="456">
        <f>('C4-Sources'!AF57/'C4-Sources'!$Z57)*100</f>
        <v>23.066662778252098</v>
      </c>
      <c r="Y56" s="458"/>
      <c r="Z56" s="456">
        <f>100-'C6-Source Dist'!AA56</f>
        <v>32.296648794477122</v>
      </c>
      <c r="AA56" s="456">
        <f>('C4-Sources'!AI57/'C4-Sources'!$AH57)*100</f>
        <v>67.703351205522878</v>
      </c>
      <c r="AB56" s="456">
        <f>('C4-Sources'!AJ57/'C4-Sources'!$AH57)*100</f>
        <v>60.466852813253332</v>
      </c>
      <c r="AC56" s="456">
        <f>('C4-Sources'!AK57/'C4-Sources'!$AH57)*100</f>
        <v>45.013841309546201</v>
      </c>
      <c r="AD56" s="456">
        <f>('C4-Sources'!AL57/'C4-Sources'!$AH57)*100</f>
        <v>38.182447118910822</v>
      </c>
      <c r="AE56" s="456">
        <f>('C4-Sources'!AM57/'C4-Sources'!$AH57)*100</f>
        <v>25.779982738360058</v>
      </c>
      <c r="AF56" s="456">
        <f>('C4-Sources'!AN57/'C4-Sources'!$AH57)*100</f>
        <v>12.794071386333824</v>
      </c>
      <c r="AG56" s="458"/>
      <c r="AH56" s="456">
        <f>100-'C6-Source Dist'!AI56</f>
        <v>44.127005354114246</v>
      </c>
      <c r="AI56" s="456">
        <f>('C4-Sources'!AQ57/'C4-Sources'!$AP57)*100</f>
        <v>55.872994645885754</v>
      </c>
      <c r="AJ56" s="456">
        <f>('C4-Sources'!AR57/'C4-Sources'!$AP57)*100</f>
        <v>45.249531357964472</v>
      </c>
      <c r="AK56" s="456">
        <f>('C4-Sources'!AS57/'C4-Sources'!$AP57)*100</f>
        <v>28.857953206002225</v>
      </c>
      <c r="AL56" s="456">
        <f>('C4-Sources'!AT57/'C4-Sources'!$AP57)*100</f>
        <v>24.267899800344626</v>
      </c>
      <c r="AM56" s="456">
        <f>('C4-Sources'!AU57/'C4-Sources'!$AP57)*100</f>
        <v>16.883957918411031</v>
      </c>
      <c r="AN56" s="456">
        <f>('C4-Sources'!AV57/'C4-Sources'!$AP57)*100</f>
        <v>9.9636556911635559</v>
      </c>
      <c r="AO56" s="458"/>
      <c r="AP56" s="456">
        <f>100-'C6-Source Dist'!AQ56</f>
        <v>50.681110905140017</v>
      </c>
      <c r="AQ56" s="456">
        <f>('C4-Sources'!AY57/'C4-Sources'!$AX57)*100</f>
        <v>49.318889094859983</v>
      </c>
      <c r="AR56" s="456">
        <f>('C4-Sources'!AZ57/'C4-Sources'!$AX57)*100</f>
        <v>37.872418203726014</v>
      </c>
      <c r="AS56" s="456">
        <f>('C4-Sources'!BA57/'C4-Sources'!$AX57)*100</f>
        <v>21.423075965575364</v>
      </c>
      <c r="AT56" s="456">
        <f>('C4-Sources'!BB57/'C4-Sources'!$AX57)*100</f>
        <v>17.244741444475338</v>
      </c>
      <c r="AU56" s="456">
        <f>('C4-Sources'!BC57/'C4-Sources'!$AX57)*100</f>
        <v>11.081346000556122</v>
      </c>
      <c r="AV56" s="456">
        <f>('C4-Sources'!BD57/'C4-Sources'!$AX57)*100</f>
        <v>6.1687785913636324</v>
      </c>
      <c r="AW56" s="456"/>
      <c r="AX56" s="456">
        <f>100-'C6-Source Dist'!AY56</f>
        <v>71.035521996176826</v>
      </c>
      <c r="AY56" s="456">
        <f>('C4-Sources'!BG57/'C4-Sources'!$BF57)*100</f>
        <v>28.964478003823174</v>
      </c>
      <c r="AZ56" s="456">
        <f>('C4-Sources'!BH57/'C4-Sources'!$BF57)*100</f>
        <v>17.94337134831235</v>
      </c>
      <c r="BA56" s="456">
        <f>('C4-Sources'!BI57/'C4-Sources'!$BF57)*100</f>
        <v>5.6182671607090784</v>
      </c>
      <c r="BB56" s="456">
        <f>('C4-Sources'!BJ57/'C4-Sources'!$BF57)*100</f>
        <v>3.5771299568905404</v>
      </c>
      <c r="BC56" s="456">
        <f>('C4-Sources'!BK57/'C4-Sources'!$BF57)*100</f>
        <v>1.3497592652129127</v>
      </c>
      <c r="BD56" s="456">
        <f>('C4-Sources'!BL57/'C4-Sources'!$BF57)*100</f>
        <v>0.34251484229870022</v>
      </c>
      <c r="BE56" s="458"/>
      <c r="BF56" s="456">
        <f>100-'C6-Source Dist'!BG56</f>
        <v>58.945241698807749</v>
      </c>
      <c r="BG56" s="456">
        <f>('C4-Sources'!BO57/'C4-Sources'!$BN57)*100</f>
        <v>41.054758301192251</v>
      </c>
      <c r="BH56" s="456">
        <f>('C4-Sources'!BP57/'C4-Sources'!$BN57)*100</f>
        <v>28.811804480665433</v>
      </c>
      <c r="BI56" s="456">
        <f>('C4-Sources'!BQ57/'C4-Sources'!$BN57)*100</f>
        <v>14.664888053089802</v>
      </c>
      <c r="BJ56" s="456">
        <f>('C4-Sources'!BR57/'C4-Sources'!$BN57)*100</f>
        <v>10.998935170450579</v>
      </c>
      <c r="BK56" s="456">
        <f>('C4-Sources'!BS57/'C4-Sources'!$BN57)*100</f>
        <v>5.0155410765604476</v>
      </c>
      <c r="BL56" s="456">
        <f>('C4-Sources'!BT57/'C4-Sources'!$BN57)*100</f>
        <v>2.2216911393221785</v>
      </c>
    </row>
    <row r="57" spans="1:64" s="452" customFormat="1" ht="12" x14ac:dyDescent="0.25">
      <c r="A57" s="239">
        <v>2011</v>
      </c>
      <c r="B57" s="456">
        <f t="shared" si="0"/>
        <v>66.912882233245995</v>
      </c>
      <c r="C57" s="456">
        <f>('C4-Sources'!K58/'C4-Sources'!$J58)*100</f>
        <v>33.087117766753998</v>
      </c>
      <c r="D57" s="456">
        <f>('C4-Sources'!L58/'C4-Sources'!$J58)*100</f>
        <v>21.599902195741514</v>
      </c>
      <c r="E57" s="456">
        <f>('C4-Sources'!M58/'C4-Sources'!$J58)*100</f>
        <v>8.2611547685228288</v>
      </c>
      <c r="F57" s="456">
        <f>('C4-Sources'!N58/'C4-Sources'!$J58)*100</f>
        <v>5.5962756619808225</v>
      </c>
      <c r="G57" s="456">
        <f>('C4-Sources'!O58/'C4-Sources'!$J58)*100</f>
        <v>2.6307826136106716</v>
      </c>
      <c r="H57" s="456">
        <f>('C4-Sources'!P58/'C4-Sources'!$J58)*100</f>
        <v>0.83978084145708931</v>
      </c>
      <c r="I57" s="457"/>
      <c r="J57" s="456">
        <f>100-'C6-Source Dist'!K57</f>
        <v>47.560839586311502</v>
      </c>
      <c r="K57" s="456">
        <f>('C4-Sources'!S58/'C4-Sources'!$R58)*100</f>
        <v>52.439160413688498</v>
      </c>
      <c r="L57" s="456">
        <f>('C4-Sources'!T58/'C4-Sources'!$R58)*100</f>
        <v>44.906878436665849</v>
      </c>
      <c r="M57" s="456">
        <f>('C4-Sources'!U58/'C4-Sources'!$R58)*100</f>
        <v>29.220416430113428</v>
      </c>
      <c r="N57" s="456">
        <f>('C4-Sources'!V58/'C4-Sources'!$R58)*100</f>
        <v>23.911943420049951</v>
      </c>
      <c r="O57" s="456">
        <f>('C4-Sources'!W58/'C4-Sources'!$R58)*100</f>
        <v>14.356954760390575</v>
      </c>
      <c r="P57" s="456">
        <f>('C4-Sources'!X58/'C4-Sources'!$R58)*100</f>
        <v>6.2890851937758843</v>
      </c>
      <c r="Q57" s="456"/>
      <c r="R57" s="456">
        <f>100-'C6-Source Dist'!S57</f>
        <v>24.91071223246486</v>
      </c>
      <c r="S57" s="456">
        <f>('C4-Sources'!AA58/'C4-Sources'!$Z58)*100</f>
        <v>75.08928776753514</v>
      </c>
      <c r="T57" s="456">
        <f>('C4-Sources'!AB58/'C4-Sources'!$Z58)*100</f>
        <v>67.560988064299437</v>
      </c>
      <c r="U57" s="456">
        <f>('C4-Sources'!AC58/'C4-Sources'!$Z58)*100</f>
        <v>51.030741766624196</v>
      </c>
      <c r="V57" s="456">
        <f>('C4-Sources'!AD58/'C4-Sources'!$Z58)*100</f>
        <v>44.512038937030603</v>
      </c>
      <c r="W57" s="456">
        <f>('C4-Sources'!AE58/'C4-Sources'!$Z58)*100</f>
        <v>31.661680355198406</v>
      </c>
      <c r="X57" s="456">
        <f>('C4-Sources'!AF58/'C4-Sources'!$Z58)*100</f>
        <v>18.3797529600518</v>
      </c>
      <c r="Y57" s="458"/>
      <c r="Z57" s="456">
        <f>100-'C6-Source Dist'!AA57</f>
        <v>32.999137557314157</v>
      </c>
      <c r="AA57" s="456">
        <f>('C4-Sources'!AI58/'C4-Sources'!$AH58)*100</f>
        <v>67.000862442685843</v>
      </c>
      <c r="AB57" s="456">
        <f>('C4-Sources'!AJ58/'C4-Sources'!$AH58)*100</f>
        <v>60.203914793425064</v>
      </c>
      <c r="AC57" s="456">
        <f>('C4-Sources'!AK58/'C4-Sources'!$AH58)*100</f>
        <v>44.377719161932831</v>
      </c>
      <c r="AD57" s="456">
        <f>('C4-Sources'!AL58/'C4-Sources'!$AH58)*100</f>
        <v>37.552788513726945</v>
      </c>
      <c r="AE57" s="456">
        <f>('C4-Sources'!AM58/'C4-Sources'!$AH58)*100</f>
        <v>24.867651518828115</v>
      </c>
      <c r="AF57" s="456">
        <f>('C4-Sources'!AN58/'C4-Sources'!$AH58)*100</f>
        <v>12.027346424983683</v>
      </c>
      <c r="AG57" s="458"/>
      <c r="AH57" s="456">
        <f>100-'C6-Source Dist'!AI57</f>
        <v>45.636187965006947</v>
      </c>
      <c r="AI57" s="456">
        <f>('C4-Sources'!AQ58/'C4-Sources'!$AP58)*100</f>
        <v>54.363812034993053</v>
      </c>
      <c r="AJ57" s="456">
        <f>('C4-Sources'!AR58/'C4-Sources'!$AP58)*100</f>
        <v>43.086337530319128</v>
      </c>
      <c r="AK57" s="456">
        <f>('C4-Sources'!AS58/'C4-Sources'!$AP58)*100</f>
        <v>26.38981504646663</v>
      </c>
      <c r="AL57" s="456">
        <f>('C4-Sources'!AT58/'C4-Sources'!$AP58)*100</f>
        <v>21.87647818384978</v>
      </c>
      <c r="AM57" s="456">
        <f>('C4-Sources'!AU58/'C4-Sources'!$AP58)*100</f>
        <v>14.620417886245335</v>
      </c>
      <c r="AN57" s="456">
        <f>('C4-Sources'!AV58/'C4-Sources'!$AP58)*100</f>
        <v>7.9784353391655083</v>
      </c>
      <c r="AO57" s="458"/>
      <c r="AP57" s="456">
        <f>100-'C6-Source Dist'!AQ57</f>
        <v>51.459681694992284</v>
      </c>
      <c r="AQ57" s="456">
        <f>('C4-Sources'!AY58/'C4-Sources'!$AX58)*100</f>
        <v>48.540318305007716</v>
      </c>
      <c r="AR57" s="456">
        <f>('C4-Sources'!AZ58/'C4-Sources'!$AX58)*100</f>
        <v>36.474741249576013</v>
      </c>
      <c r="AS57" s="456">
        <f>('C4-Sources'!BA58/'C4-Sources'!$AX58)*100</f>
        <v>19.708866167661711</v>
      </c>
      <c r="AT57" s="456">
        <f>('C4-Sources'!BB58/'C4-Sources'!$AX58)*100</f>
        <v>15.66222003088869</v>
      </c>
      <c r="AU57" s="456">
        <f>('C4-Sources'!BC58/'C4-Sources'!$AX58)*100</f>
        <v>9.7871110082951596</v>
      </c>
      <c r="AV57" s="456">
        <f>('C4-Sources'!BD58/'C4-Sources'!$AX58)*100</f>
        <v>5.0526880538477492</v>
      </c>
      <c r="AW57" s="456"/>
      <c r="AX57" s="456">
        <f>100-'C6-Source Dist'!AY57</f>
        <v>70.163562923316135</v>
      </c>
      <c r="AY57" s="456">
        <f>('C4-Sources'!BG58/'C4-Sources'!$BF58)*100</f>
        <v>29.836437076683858</v>
      </c>
      <c r="AZ57" s="456">
        <f>('C4-Sources'!BH58/'C4-Sources'!$BF58)*100</f>
        <v>18.470690138926678</v>
      </c>
      <c r="BA57" s="456">
        <f>('C4-Sources'!BI58/'C4-Sources'!$BF58)*100</f>
        <v>6.0801112041926215</v>
      </c>
      <c r="BB57" s="456">
        <f>('C4-Sources'!BJ58/'C4-Sources'!$BF58)*100</f>
        <v>3.9983641243774715</v>
      </c>
      <c r="BC57" s="456">
        <f>('C4-Sources'!BK58/'C4-Sources'!$BF58)*100</f>
        <v>1.5804437514701044</v>
      </c>
      <c r="BD57" s="456">
        <f>('C4-Sources'!BL58/'C4-Sources'!$BF58)*100</f>
        <v>0.37980383220400754</v>
      </c>
      <c r="BE57" s="458"/>
      <c r="BF57" s="456">
        <f>100-'C6-Source Dist'!BG57</f>
        <v>57.760815916221112</v>
      </c>
      <c r="BG57" s="456">
        <f>('C4-Sources'!BO58/'C4-Sources'!$BN58)*100</f>
        <v>42.239184083778888</v>
      </c>
      <c r="BH57" s="456">
        <f>('C4-Sources'!BP58/'C4-Sources'!$BN58)*100</f>
        <v>29.317458495690076</v>
      </c>
      <c r="BI57" s="456">
        <f>('C4-Sources'!BQ58/'C4-Sources'!$BN58)*100</f>
        <v>14.310649641428054</v>
      </c>
      <c r="BJ57" s="456">
        <f>('C4-Sources'!BR58/'C4-Sources'!$BN58)*100</f>
        <v>10.558933318997092</v>
      </c>
      <c r="BK57" s="456">
        <f>('C4-Sources'!BS58/'C4-Sources'!$BN58)*100</f>
        <v>4.3312675192611136</v>
      </c>
      <c r="BL57" s="456">
        <f>('C4-Sources'!BT58/'C4-Sources'!$BN58)*100</f>
        <v>1.6680471929850675</v>
      </c>
    </row>
    <row r="58" spans="1:64" s="452" customFormat="1" ht="12" x14ac:dyDescent="0.25">
      <c r="A58" s="239">
        <v>2012</v>
      </c>
      <c r="B58" s="456">
        <f t="shared" si="0"/>
        <v>66.22990451806956</v>
      </c>
      <c r="C58" s="456">
        <f>('C4-Sources'!K59/'C4-Sources'!$J59)*100</f>
        <v>33.77009548193044</v>
      </c>
      <c r="D58" s="456">
        <f>('C4-Sources'!L59/'C4-Sources'!$J59)*100</f>
        <v>22.277040525822326</v>
      </c>
      <c r="E58" s="456">
        <f>('C4-Sources'!M59/'C4-Sources'!$J59)*100</f>
        <v>8.8300355130879549</v>
      </c>
      <c r="F58" s="456">
        <f>('C4-Sources'!N59/'C4-Sources'!$J59)*100</f>
        <v>6.0995070741035269</v>
      </c>
      <c r="G58" s="456">
        <f>('C4-Sources'!O59/'C4-Sources'!$J59)*100</f>
        <v>2.9885154110548071</v>
      </c>
      <c r="H58" s="456">
        <f>('C4-Sources'!P59/'C4-Sources'!$J59)*100</f>
        <v>1.0526424535262204</v>
      </c>
      <c r="I58" s="457"/>
      <c r="J58" s="456">
        <f>100-'C6-Source Dist'!K58</f>
        <v>44.761075377759894</v>
      </c>
      <c r="K58" s="456">
        <f>('C4-Sources'!S59/'C4-Sources'!$R59)*100</f>
        <v>55.238924622240106</v>
      </c>
      <c r="L58" s="456">
        <f>('C4-Sources'!T59/'C4-Sources'!$R59)*100</f>
        <v>47.968660509247371</v>
      </c>
      <c r="M58" s="456">
        <f>('C4-Sources'!U59/'C4-Sources'!$R59)*100</f>
        <v>32.137534876650228</v>
      </c>
      <c r="N58" s="456">
        <f>('C4-Sources'!V59/'C4-Sources'!$R59)*100</f>
        <v>26.457944222424668</v>
      </c>
      <c r="O58" s="456">
        <f>('C4-Sources'!W59/'C4-Sources'!$R59)*100</f>
        <v>16.011394546162659</v>
      </c>
      <c r="P58" s="456">
        <f>('C4-Sources'!X59/'C4-Sources'!$R59)*100</f>
        <v>7.051888513974883</v>
      </c>
      <c r="Q58" s="456"/>
      <c r="R58" s="456">
        <f>100-'C6-Source Dist'!S58</f>
        <v>20.294673871507257</v>
      </c>
      <c r="S58" s="456">
        <f>('C4-Sources'!AA59/'C4-Sources'!$Z59)*100</f>
        <v>79.705326128492743</v>
      </c>
      <c r="T58" s="456">
        <f>('C4-Sources'!AB59/'C4-Sources'!$Z59)*100</f>
        <v>73.394837917510557</v>
      </c>
      <c r="U58" s="456">
        <f>('C4-Sources'!AC59/'C4-Sources'!$Z59)*100</f>
        <v>58.7957066250707</v>
      </c>
      <c r="V58" s="456">
        <f>('C4-Sources'!AD59/'C4-Sources'!$Z59)*100</f>
        <v>52.870127411476254</v>
      </c>
      <c r="W58" s="456">
        <f>('C4-Sources'!AE59/'C4-Sources'!$Z59)*100</f>
        <v>39.969435947773725</v>
      </c>
      <c r="X58" s="456">
        <f>('C4-Sources'!AF59/'C4-Sources'!$Z59)*100</f>
        <v>24.533851261997068</v>
      </c>
      <c r="Y58" s="458"/>
      <c r="Z58" s="456">
        <f>100-'C6-Source Dist'!AA58</f>
        <v>30.501716039175903</v>
      </c>
      <c r="AA58" s="456">
        <f>('C4-Sources'!AI59/'C4-Sources'!$AH59)*100</f>
        <v>69.498283960824097</v>
      </c>
      <c r="AB58" s="456">
        <f>('C4-Sources'!AJ59/'C4-Sources'!$AH59)*100</f>
        <v>63.012755204010503</v>
      </c>
      <c r="AC58" s="456">
        <f>('C4-Sources'!AK59/'C4-Sources'!$AH59)*100</f>
        <v>46.79439312444655</v>
      </c>
      <c r="AD58" s="456">
        <f>('C4-Sources'!AL59/'C4-Sources'!$AH59)*100</f>
        <v>39.947090041985525</v>
      </c>
      <c r="AE58" s="456">
        <f>('C4-Sources'!AM59/'C4-Sources'!$AH59)*100</f>
        <v>26.848100478068726</v>
      </c>
      <c r="AF58" s="456">
        <f>('C4-Sources'!AN59/'C4-Sources'!$AH59)*100</f>
        <v>13.357364981489827</v>
      </c>
      <c r="AG58" s="458"/>
      <c r="AH58" s="456">
        <f>100-'C6-Source Dist'!AI58</f>
        <v>42.713702474962446</v>
      </c>
      <c r="AI58" s="456">
        <f>('C4-Sources'!AQ59/'C4-Sources'!$AP59)*100</f>
        <v>57.286297525037554</v>
      </c>
      <c r="AJ58" s="456">
        <f>('C4-Sources'!AR59/'C4-Sources'!$AP59)*100</f>
        <v>46.251667944707613</v>
      </c>
      <c r="AK58" s="456">
        <f>('C4-Sources'!AS59/'C4-Sources'!$AP59)*100</f>
        <v>29.95494394946482</v>
      </c>
      <c r="AL58" s="456">
        <f>('C4-Sources'!AT59/'C4-Sources'!$AP59)*100</f>
        <v>25.736287020987845</v>
      </c>
      <c r="AM58" s="456">
        <f>('C4-Sources'!AU59/'C4-Sources'!$AP59)*100</f>
        <v>18.188094527766285</v>
      </c>
      <c r="AN58" s="456">
        <f>('C4-Sources'!AV59/'C4-Sources'!$AP59)*100</f>
        <v>10.294228607764897</v>
      </c>
      <c r="AO58" s="458"/>
      <c r="AP58" s="456">
        <f>100-'C6-Source Dist'!AQ58</f>
        <v>49.409664481285063</v>
      </c>
      <c r="AQ58" s="456">
        <f>('C4-Sources'!AY59/'C4-Sources'!$AX59)*100</f>
        <v>50.590335518714937</v>
      </c>
      <c r="AR58" s="456">
        <f>('C4-Sources'!AZ59/'C4-Sources'!$AX59)*100</f>
        <v>38.363765676981117</v>
      </c>
      <c r="AS58" s="456">
        <f>('C4-Sources'!BA59/'C4-Sources'!$AX59)*100</f>
        <v>21.60697093303267</v>
      </c>
      <c r="AT58" s="456">
        <f>('C4-Sources'!BB59/'C4-Sources'!$AX59)*100</f>
        <v>17.79664729332832</v>
      </c>
      <c r="AU58" s="456">
        <f>('C4-Sources'!BC59/'C4-Sources'!$AX59)*100</f>
        <v>11.785476407622388</v>
      </c>
      <c r="AV58" s="456">
        <f>('C4-Sources'!BD59/'C4-Sources'!$AX59)*100</f>
        <v>6.2670561851867328</v>
      </c>
      <c r="AW58" s="456"/>
      <c r="AX58" s="456">
        <f>100-'C6-Source Dist'!AY58</f>
        <v>69.264974275372325</v>
      </c>
      <c r="AY58" s="456">
        <f>('C4-Sources'!BG59/'C4-Sources'!$BF59)*100</f>
        <v>30.735025724627679</v>
      </c>
      <c r="AZ58" s="456">
        <f>('C4-Sources'!BH59/'C4-Sources'!$BF59)*100</f>
        <v>19.34142743870871</v>
      </c>
      <c r="BA58" s="456">
        <f>('C4-Sources'!BI59/'C4-Sources'!$BF59)*100</f>
        <v>6.6909786690242061</v>
      </c>
      <c r="BB58" s="456">
        <f>('C4-Sources'!BJ59/'C4-Sources'!$BF59)*100</f>
        <v>4.6322164990996821</v>
      </c>
      <c r="BC58" s="456">
        <f>('C4-Sources'!BK59/'C4-Sources'!$BF59)*100</f>
        <v>2.1075969083956796</v>
      </c>
      <c r="BD58" s="456">
        <f>('C4-Sources'!BL59/'C4-Sources'!$BF59)*100</f>
        <v>0.51154749448364223</v>
      </c>
      <c r="BE58" s="458"/>
      <c r="BF58" s="456">
        <f>100-'C6-Source Dist'!BG58</f>
        <v>57.647888738550627</v>
      </c>
      <c r="BG58" s="456">
        <f>('C4-Sources'!BO59/'C4-Sources'!$BN59)*100</f>
        <v>42.352111261449373</v>
      </c>
      <c r="BH58" s="456">
        <f>('C4-Sources'!BP59/'C4-Sources'!$BN59)*100</f>
        <v>29.509113863410636</v>
      </c>
      <c r="BI58" s="456">
        <f>('C4-Sources'!BQ59/'C4-Sources'!$BN59)*100</f>
        <v>14.820362450443636</v>
      </c>
      <c r="BJ58" s="456">
        <f>('C4-Sources'!BR59/'C4-Sources'!$BN59)*100</f>
        <v>11.250797572361353</v>
      </c>
      <c r="BK58" s="456">
        <f>('C4-Sources'!BS59/'C4-Sources'!$BN59)*100</f>
        <v>5.1729456172913881</v>
      </c>
      <c r="BL58" s="456">
        <f>('C4-Sources'!BT59/'C4-Sources'!$BN59)*100</f>
        <v>2.1927071926956598</v>
      </c>
    </row>
    <row r="59" spans="1:64" s="452" customFormat="1" ht="12" x14ac:dyDescent="0.25">
      <c r="A59" s="239">
        <v>2013</v>
      </c>
      <c r="B59" s="456">
        <f t="shared" si="0"/>
        <v>66.641462396831258</v>
      </c>
      <c r="C59" s="456">
        <f>('C4-Sources'!K60/'C4-Sources'!$J60)*100</f>
        <v>33.358537603168742</v>
      </c>
      <c r="D59" s="456">
        <f>('C4-Sources'!L60/'C4-Sources'!$J60)*100</f>
        <v>21.79473433568009</v>
      </c>
      <c r="E59" s="456">
        <f>('C4-Sources'!M60/'C4-Sources'!$J60)*100</f>
        <v>8.4116386494870845</v>
      </c>
      <c r="F59" s="456">
        <f>('C4-Sources'!N60/'C4-Sources'!$J60)*100</f>
        <v>5.6880139977336315</v>
      </c>
      <c r="G59" s="456">
        <f>('C4-Sources'!O60/'C4-Sources'!$J60)*100</f>
        <v>2.68488689414548</v>
      </c>
      <c r="H59" s="456">
        <f>('C4-Sources'!P60/'C4-Sources'!$J60)*100</f>
        <v>0.90209872127696289</v>
      </c>
      <c r="I59" s="457"/>
      <c r="J59" s="456">
        <f>100-'C6-Source Dist'!K59</f>
        <v>45.640305804181537</v>
      </c>
      <c r="K59" s="456">
        <f>('C4-Sources'!S60/'C4-Sources'!$R60)*100</f>
        <v>54.359694195818463</v>
      </c>
      <c r="L59" s="456">
        <f>('C4-Sources'!T60/'C4-Sources'!$R60)*100</f>
        <v>46.893114895725574</v>
      </c>
      <c r="M59" s="456">
        <f>('C4-Sources'!U60/'C4-Sources'!$R60)*100</f>
        <v>30.934842455729907</v>
      </c>
      <c r="N59" s="456">
        <f>('C4-Sources'!V60/'C4-Sources'!$R60)*100</f>
        <v>25.50275975993317</v>
      </c>
      <c r="O59" s="456">
        <f>('C4-Sources'!W60/'C4-Sources'!$R60)*100</f>
        <v>15.475352273820937</v>
      </c>
      <c r="P59" s="456">
        <f>('C4-Sources'!X60/'C4-Sources'!$R60)*100</f>
        <v>6.8881944452235482</v>
      </c>
      <c r="Q59" s="456"/>
      <c r="R59" s="456">
        <f>100-'C6-Source Dist'!S59</f>
        <v>23.572511813919661</v>
      </c>
      <c r="S59" s="456">
        <f>('C4-Sources'!AA60/'C4-Sources'!$Z60)*100</f>
        <v>76.427488186080339</v>
      </c>
      <c r="T59" s="456">
        <f>('C4-Sources'!AB60/'C4-Sources'!$Z60)*100</f>
        <v>68.878196561957964</v>
      </c>
      <c r="U59" s="456">
        <f>('C4-Sources'!AC60/'C4-Sources'!$Z60)*100</f>
        <v>51.51027699762507</v>
      </c>
      <c r="V59" s="456">
        <f>('C4-Sources'!AD60/'C4-Sources'!$Z60)*100</f>
        <v>44.438461995497683</v>
      </c>
      <c r="W59" s="456">
        <f>('C4-Sources'!AE60/'C4-Sources'!$Z60)*100</f>
        <v>31.57951935917373</v>
      </c>
      <c r="X59" s="456">
        <f>('C4-Sources'!AF60/'C4-Sources'!$Z60)*100</f>
        <v>18.155495276950191</v>
      </c>
      <c r="Y59" s="458"/>
      <c r="Z59" s="456">
        <f>100-'C6-Source Dist'!AA59</f>
        <v>28.479909611390909</v>
      </c>
      <c r="AA59" s="456">
        <f>('C4-Sources'!AI60/'C4-Sources'!$AH60)*100</f>
        <v>71.520090388609091</v>
      </c>
      <c r="AB59" s="456">
        <f>('C4-Sources'!AJ60/'C4-Sources'!$AH60)*100</f>
        <v>64.661540645311703</v>
      </c>
      <c r="AC59" s="456">
        <f>('C4-Sources'!AK60/'C4-Sources'!$AH60)*100</f>
        <v>48.344609357858396</v>
      </c>
      <c r="AD59" s="456">
        <f>('C4-Sources'!AL60/'C4-Sources'!$AH60)*100</f>
        <v>41.472474896577296</v>
      </c>
      <c r="AE59" s="456">
        <f>('C4-Sources'!AM60/'C4-Sources'!$AH60)*100</f>
        <v>27.822198280376149</v>
      </c>
      <c r="AF59" s="456">
        <f>('C4-Sources'!AN60/'C4-Sources'!$AH60)*100</f>
        <v>14.086033978057669</v>
      </c>
      <c r="AG59" s="458"/>
      <c r="AH59" s="456">
        <f>100-'C6-Source Dist'!AI59</f>
        <v>44.311980063163723</v>
      </c>
      <c r="AI59" s="456">
        <f>('C4-Sources'!AQ60/'C4-Sources'!$AP60)*100</f>
        <v>55.688019936836277</v>
      </c>
      <c r="AJ59" s="456">
        <f>('C4-Sources'!AR60/'C4-Sources'!$AP60)*100</f>
        <v>44.025769949418688</v>
      </c>
      <c r="AK59" s="456">
        <f>('C4-Sources'!AS60/'C4-Sources'!$AP60)*100</f>
        <v>27.14803023868841</v>
      </c>
      <c r="AL59" s="456">
        <f>('C4-Sources'!AT60/'C4-Sources'!$AP60)*100</f>
        <v>22.767204360435855</v>
      </c>
      <c r="AM59" s="456">
        <f>('C4-Sources'!AU60/'C4-Sources'!$AP60)*100</f>
        <v>15.593624068901304</v>
      </c>
      <c r="AN59" s="456">
        <f>('C4-Sources'!AV60/'C4-Sources'!$AP60)*100</f>
        <v>8.4244881253460164</v>
      </c>
      <c r="AO59" s="458"/>
      <c r="AP59" s="456">
        <f>100-'C6-Source Dist'!AQ59</f>
        <v>50.404078591344593</v>
      </c>
      <c r="AQ59" s="456">
        <f>('C4-Sources'!AY60/'C4-Sources'!$AX60)*100</f>
        <v>49.595921408655407</v>
      </c>
      <c r="AR59" s="456">
        <f>('C4-Sources'!AZ60/'C4-Sources'!$AX60)*100</f>
        <v>36.922856634832932</v>
      </c>
      <c r="AS59" s="456">
        <f>('C4-Sources'!BA60/'C4-Sources'!$AX60)*100</f>
        <v>20.195446855882366</v>
      </c>
      <c r="AT59" s="456">
        <f>('C4-Sources'!BB60/'C4-Sources'!$AX60)*100</f>
        <v>16.489927660298203</v>
      </c>
      <c r="AU59" s="456">
        <f>('C4-Sources'!BC60/'C4-Sources'!$AX60)*100</f>
        <v>10.84410892443913</v>
      </c>
      <c r="AV59" s="456">
        <f>('C4-Sources'!BD60/'C4-Sources'!$AX60)*100</f>
        <v>5.6040934267557949</v>
      </c>
      <c r="AW59" s="456"/>
      <c r="AX59" s="456">
        <f>100-'C6-Source Dist'!AY59</f>
        <v>70.499183787767549</v>
      </c>
      <c r="AY59" s="456">
        <f>('C4-Sources'!BG60/'C4-Sources'!$BF60)*100</f>
        <v>29.500816212232451</v>
      </c>
      <c r="AZ59" s="456">
        <f>('C4-Sources'!BH60/'C4-Sources'!$BF60)*100</f>
        <v>17.494574509558468</v>
      </c>
      <c r="BA59" s="456">
        <f>('C4-Sources'!BI60/'C4-Sources'!$BF60)*100</f>
        <v>4.9294608775791167</v>
      </c>
      <c r="BB59" s="456">
        <f>('C4-Sources'!BJ60/'C4-Sources'!$BF60)*100</f>
        <v>3.1005021109171684</v>
      </c>
      <c r="BC59" s="456">
        <f>('C4-Sources'!BK60/'C4-Sources'!$BF60)*100</f>
        <v>1.2512439265608004</v>
      </c>
      <c r="BD59" s="456">
        <f>('C4-Sources'!BL60/'C4-Sources'!$BF60)*100</f>
        <v>0.31805563213357346</v>
      </c>
      <c r="BE59" s="458"/>
      <c r="BF59" s="456">
        <f>100-'C6-Source Dist'!BG59</f>
        <v>59.165322179866514</v>
      </c>
      <c r="BG59" s="456">
        <f>('C4-Sources'!BO60/'C4-Sources'!$BN60)*100</f>
        <v>40.834677820133486</v>
      </c>
      <c r="BH59" s="456">
        <f>('C4-Sources'!BP60/'C4-Sources'!$BN60)*100</f>
        <v>28.111522317236499</v>
      </c>
      <c r="BI59" s="456">
        <f>('C4-Sources'!BQ60/'C4-Sources'!$BN60)*100</f>
        <v>13.548929091485789</v>
      </c>
      <c r="BJ59" s="456">
        <f>('C4-Sources'!BR60/'C4-Sources'!$BN60)*100</f>
        <v>10.056062982565972</v>
      </c>
      <c r="BK59" s="456">
        <f>('C4-Sources'!BS60/'C4-Sources'!$BN60)*100</f>
        <v>4.0912693233944575</v>
      </c>
      <c r="BL59" s="456">
        <f>('C4-Sources'!BT60/'C4-Sources'!$BN60)*100</f>
        <v>1.4969810200469176</v>
      </c>
    </row>
    <row r="60" spans="1:64" s="452" customFormat="1" ht="12" x14ac:dyDescent="0.25">
      <c r="A60" s="239">
        <v>2014</v>
      </c>
      <c r="B60" s="456">
        <f>100-C60</f>
        <v>66.371631601203788</v>
      </c>
      <c r="C60" s="456">
        <f>('C4-Sources'!K61/'C4-Sources'!$J61)*100</f>
        <v>33.628368398796212</v>
      </c>
      <c r="D60" s="456">
        <f>('C4-Sources'!L61/'C4-Sources'!$J61)*100</f>
        <v>22.208590758507555</v>
      </c>
      <c r="E60" s="456">
        <f>('C4-Sources'!M61/'C4-Sources'!$J61)*100</f>
        <v>8.7568989202936667</v>
      </c>
      <c r="F60" s="456">
        <f>('C4-Sources'!N61/'C4-Sources'!$J61)*100</f>
        <v>6.0359832332370047</v>
      </c>
      <c r="G60" s="456">
        <f>('C4-Sources'!O61/'C4-Sources'!$J61)*100</f>
        <v>2.8782626155139086</v>
      </c>
      <c r="H60" s="456">
        <f>('C4-Sources'!P61/'C4-Sources'!$J61)*100</f>
        <v>0.98093663494750649</v>
      </c>
      <c r="I60" s="457"/>
      <c r="J60" s="456">
        <f>100-'C6-Source Dist'!K60</f>
        <v>44.38913040758186</v>
      </c>
      <c r="K60" s="456">
        <f>('C4-Sources'!S61/'C4-Sources'!$R61)*100</f>
        <v>55.61086959241814</v>
      </c>
      <c r="L60" s="456">
        <f>('C4-Sources'!T61/'C4-Sources'!$R61)*100</f>
        <v>48.098910689587484</v>
      </c>
      <c r="M60" s="456">
        <f>('C4-Sources'!U61/'C4-Sources'!$R61)*100</f>
        <v>32.219274548827038</v>
      </c>
      <c r="N60" s="456">
        <f>('C4-Sources'!V61/'C4-Sources'!$R61)*100</f>
        <v>26.534987010166478</v>
      </c>
      <c r="O60" s="456">
        <f>('C4-Sources'!W61/'C4-Sources'!$R61)*100</f>
        <v>16.096788114124479</v>
      </c>
      <c r="P60" s="456">
        <f>('C4-Sources'!X61/'C4-Sources'!$R61)*100</f>
        <v>6.9834784552912144</v>
      </c>
      <c r="Q60" s="456"/>
      <c r="R60" s="456">
        <f>100-'C6-Source Dist'!S60</f>
        <v>22.161823259738313</v>
      </c>
      <c r="S60" s="456">
        <f>('C4-Sources'!AA61/'C4-Sources'!$Z61)*100</f>
        <v>77.838176740261687</v>
      </c>
      <c r="T60" s="456">
        <f>('C4-Sources'!AB61/'C4-Sources'!$Z61)*100</f>
        <v>69.868791823277732</v>
      </c>
      <c r="U60" s="456">
        <f>('C4-Sources'!AC61/'C4-Sources'!$Z61)*100</f>
        <v>51.796352458571668</v>
      </c>
      <c r="V60" s="456">
        <f>('C4-Sources'!AD61/'C4-Sources'!$Z61)*100</f>
        <v>44.778456264398756</v>
      </c>
      <c r="W60" s="456">
        <f>('C4-Sources'!AE61/'C4-Sources'!$Z61)*100</f>
        <v>32.004745101895566</v>
      </c>
      <c r="X60" s="456">
        <f>('C4-Sources'!AF61/'C4-Sources'!$Z61)*100</f>
        <v>18.581992917203564</v>
      </c>
      <c r="Y60" s="458"/>
      <c r="Z60" s="456">
        <f>100-'C6-Source Dist'!AA60</f>
        <v>27.96977767102625</v>
      </c>
      <c r="AA60" s="456">
        <f>('C4-Sources'!AI61/'C4-Sources'!$AH61)*100</f>
        <v>72.03022232897375</v>
      </c>
      <c r="AB60" s="456">
        <f>('C4-Sources'!AJ61/'C4-Sources'!$AH61)*100</f>
        <v>64.584525552638269</v>
      </c>
      <c r="AC60" s="456">
        <f>('C4-Sources'!AK61/'C4-Sources'!$AH61)*100</f>
        <v>48.042057549371577</v>
      </c>
      <c r="AD60" s="456">
        <f>('C4-Sources'!AL61/'C4-Sources'!$AH61)*100</f>
        <v>41.408393932005012</v>
      </c>
      <c r="AE60" s="456">
        <f>('C4-Sources'!AM61/'C4-Sources'!$AH61)*100</f>
        <v>27.892784437840302</v>
      </c>
      <c r="AF60" s="456">
        <f>('C4-Sources'!AN61/'C4-Sources'!$AH61)*100</f>
        <v>14.272306672667415</v>
      </c>
      <c r="AG60" s="458"/>
      <c r="AH60" s="456">
        <f>100-'C6-Source Dist'!AI60</f>
        <v>43.477761495346698</v>
      </c>
      <c r="AI60" s="456">
        <f>('C4-Sources'!AQ61/'C4-Sources'!$AP61)*100</f>
        <v>56.522238504653302</v>
      </c>
      <c r="AJ60" s="456">
        <f>('C4-Sources'!AR61/'C4-Sources'!$AP61)*100</f>
        <v>45.069021980511415</v>
      </c>
      <c r="AK60" s="456">
        <f>('C4-Sources'!AS61/'C4-Sources'!$AP61)*100</f>
        <v>27.99856970255496</v>
      </c>
      <c r="AL60" s="456">
        <f>('C4-Sources'!AT61/'C4-Sources'!$AP61)*100</f>
        <v>23.525652642269215</v>
      </c>
      <c r="AM60" s="456">
        <f>('C4-Sources'!AU61/'C4-Sources'!$AP61)*100</f>
        <v>16.161866871733856</v>
      </c>
      <c r="AN60" s="456">
        <f>('C4-Sources'!AV61/'C4-Sources'!$AP61)*100</f>
        <v>8.8023946937322481</v>
      </c>
      <c r="AO60" s="458"/>
      <c r="AP60" s="456">
        <f>100-'C6-Source Dist'!AQ60</f>
        <v>50.068326657133902</v>
      </c>
      <c r="AQ60" s="456">
        <f>('C4-Sources'!AY61/'C4-Sources'!$AX61)*100</f>
        <v>49.931673342866098</v>
      </c>
      <c r="AR60" s="456">
        <f>('C4-Sources'!AZ61/'C4-Sources'!$AX61)*100</f>
        <v>37.439953503290759</v>
      </c>
      <c r="AS60" s="456">
        <f>('C4-Sources'!BA61/'C4-Sources'!$AX61)*100</f>
        <v>20.59505441755465</v>
      </c>
      <c r="AT60" s="456">
        <f>('C4-Sources'!BB61/'C4-Sources'!$AX61)*100</f>
        <v>16.805888133667633</v>
      </c>
      <c r="AU60" s="456">
        <f>('C4-Sources'!BC61/'C4-Sources'!$AX61)*100</f>
        <v>11.04693246346862</v>
      </c>
      <c r="AV60" s="456">
        <f>('C4-Sources'!BD61/'C4-Sources'!$AX61)*100</f>
        <v>5.7500468223575956</v>
      </c>
      <c r="AW60" s="456"/>
      <c r="AX60" s="456">
        <f>100-'C6-Source Dist'!AY60</f>
        <v>70.251142413303228</v>
      </c>
      <c r="AY60" s="456">
        <f>('C4-Sources'!BG61/'C4-Sources'!$BF61)*100</f>
        <v>29.748857586696769</v>
      </c>
      <c r="AZ60" s="456">
        <f>('C4-Sources'!BH61/'C4-Sources'!$BF61)*100</f>
        <v>17.941808719800097</v>
      </c>
      <c r="BA60" s="456">
        <f>('C4-Sources'!BI61/'C4-Sources'!$BF61)*100</f>
        <v>5.037581250436669</v>
      </c>
      <c r="BB60" s="456">
        <f>('C4-Sources'!BJ61/'C4-Sources'!$BF61)*100</f>
        <v>3.1539944073323287</v>
      </c>
      <c r="BC60" s="456">
        <f>('C4-Sources'!BK61/'C4-Sources'!$BF61)*100</f>
        <v>1.2580676807712485</v>
      </c>
      <c r="BD60" s="456">
        <f>('C4-Sources'!BL61/'C4-Sources'!$BF61)*100</f>
        <v>0.35051425527831115</v>
      </c>
      <c r="BE60" s="458"/>
      <c r="BF60" s="456">
        <f>100-'C6-Source Dist'!BG60</f>
        <v>59.294238729339533</v>
      </c>
      <c r="BG60" s="456">
        <f>('C4-Sources'!BO61/'C4-Sources'!$BN61)*100</f>
        <v>40.705761270660467</v>
      </c>
      <c r="BH60" s="456">
        <f>('C4-Sources'!BP61/'C4-Sources'!$BN61)*100</f>
        <v>27.965162201248621</v>
      </c>
      <c r="BI60" s="456">
        <f>('C4-Sources'!BQ61/'C4-Sources'!$BN61)*100</f>
        <v>13.367088308150604</v>
      </c>
      <c r="BJ60" s="456">
        <f>('C4-Sources'!BR61/'C4-Sources'!$BN61)*100</f>
        <v>9.8668758237943965</v>
      </c>
      <c r="BK60" s="456">
        <f>('C4-Sources'!BS61/'C4-Sources'!$BN61)*100</f>
        <v>4.1204239136355172</v>
      </c>
      <c r="BL60" s="456">
        <f>('C4-Sources'!BT61/'C4-Sources'!$BN61)*100</f>
        <v>1.5625870523869538</v>
      </c>
    </row>
    <row r="61" spans="1:64" s="452" customFormat="1" ht="12" x14ac:dyDescent="0.25">
      <c r="A61" s="239">
        <v>2015</v>
      </c>
      <c r="B61" s="456">
        <f>100-C61</f>
        <v>66.087992940818907</v>
      </c>
      <c r="C61" s="456">
        <f>('C4-Sources'!K62/'C4-Sources'!$J62)*100</f>
        <v>33.912007059181086</v>
      </c>
      <c r="D61" s="456">
        <f>('C4-Sources'!L62/'C4-Sources'!$J62)*100</f>
        <v>22.398293503982934</v>
      </c>
      <c r="E61" s="456">
        <f>('C4-Sources'!M62/'C4-Sources'!$J62)*100</f>
        <v>8.8389716508575127</v>
      </c>
      <c r="F61" s="456">
        <f>('C4-Sources'!N62/'C4-Sources'!$J62)*100</f>
        <v>6.09260570101182</v>
      </c>
      <c r="G61" s="456">
        <f>('C4-Sources'!O62/'C4-Sources'!$J62)*100</f>
        <v>2.9459264084890946</v>
      </c>
      <c r="H61" s="456">
        <f>('C4-Sources'!P62/'C4-Sources'!$J62)*100</f>
        <v>1.0558044224956036</v>
      </c>
      <c r="I61" s="457"/>
      <c r="J61" s="456">
        <f>100-'C6-Source Dist'!K61</f>
        <v>43.947729521462676</v>
      </c>
      <c r="K61" s="456">
        <f>('C4-Sources'!S62/'C4-Sources'!$R62)*100</f>
        <v>56.052270478537324</v>
      </c>
      <c r="L61" s="456">
        <f>('C4-Sources'!T62/'C4-Sources'!$R62)*100</f>
        <v>48.286950912303482</v>
      </c>
      <c r="M61" s="456">
        <f>('C4-Sources'!U62/'C4-Sources'!$R62)*100</f>
        <v>32.460584270487367</v>
      </c>
      <c r="N61" s="456">
        <f>('C4-Sources'!V62/'C4-Sources'!$R62)*100</f>
        <v>26.829911891510161</v>
      </c>
      <c r="O61" s="456">
        <f>('C4-Sources'!W62/'C4-Sources'!$R62)*100</f>
        <v>16.104534723181661</v>
      </c>
      <c r="P61" s="456">
        <f>('C4-Sources'!X62/'C4-Sources'!$R62)*100</f>
        <v>6.924201175598947</v>
      </c>
      <c r="Q61" s="456"/>
      <c r="R61" s="456">
        <f>100-'C6-Source Dist'!S61</f>
        <v>22.589020201086512</v>
      </c>
      <c r="S61" s="456">
        <f>('C4-Sources'!AA62/'C4-Sources'!$Z62)*100</f>
        <v>77.410979798913488</v>
      </c>
      <c r="T61" s="456">
        <f>('C4-Sources'!AB62/'C4-Sources'!$Z62)*100</f>
        <v>70.242287157438511</v>
      </c>
      <c r="U61" s="456">
        <f>('C4-Sources'!AC62/'C4-Sources'!$Z62)*100</f>
        <v>52.463410005673907</v>
      </c>
      <c r="V61" s="456">
        <f>('C4-Sources'!AD62/'C4-Sources'!$Z62)*100</f>
        <v>45.678484527689179</v>
      </c>
      <c r="W61" s="456">
        <f>('C4-Sources'!AE62/'C4-Sources'!$Z62)*100</f>
        <v>32.914452739368016</v>
      </c>
      <c r="X61" s="456">
        <f>('C4-Sources'!AF62/'C4-Sources'!$Z62)*100</f>
        <v>19.222920876886619</v>
      </c>
      <c r="Y61" s="458"/>
      <c r="Z61" s="456">
        <f>100-'C6-Source Dist'!AA61</f>
        <v>26.515117016487011</v>
      </c>
      <c r="AA61" s="456">
        <f>('C4-Sources'!AI62/'C4-Sources'!$AH62)*100</f>
        <v>73.484882983512989</v>
      </c>
      <c r="AB61" s="456">
        <f>('C4-Sources'!AJ62/'C4-Sources'!$AH62)*100</f>
        <v>66.722822585059234</v>
      </c>
      <c r="AC61" s="456">
        <f>('C4-Sources'!AK62/'C4-Sources'!$AH62)*100</f>
        <v>50.19015569751739</v>
      </c>
      <c r="AD61" s="456">
        <f>('C4-Sources'!AL62/'C4-Sources'!$AH62)*100</f>
        <v>43.235570955606455</v>
      </c>
      <c r="AE61" s="456">
        <f>('C4-Sources'!AM62/'C4-Sources'!$AH62)*100</f>
        <v>29.237813438762849</v>
      </c>
      <c r="AF61" s="456">
        <f>('C4-Sources'!AN62/'C4-Sources'!$AH62)*100</f>
        <v>14.832048527239722</v>
      </c>
      <c r="AG61" s="458"/>
      <c r="AH61" s="456">
        <f>100-'C6-Source Dist'!AI61</f>
        <v>44.289917822732136</v>
      </c>
      <c r="AI61" s="456">
        <f>('C4-Sources'!AQ62/'C4-Sources'!$AP62)*100</f>
        <v>55.710082177267864</v>
      </c>
      <c r="AJ61" s="456">
        <f>('C4-Sources'!AR62/'C4-Sources'!$AP62)*100</f>
        <v>44.706472411416065</v>
      </c>
      <c r="AK61" s="456">
        <f>('C4-Sources'!AS62/'C4-Sources'!$AP62)*100</f>
        <v>27.940590325709646</v>
      </c>
      <c r="AL61" s="456">
        <f>('C4-Sources'!AT62/'C4-Sources'!$AP62)*100</f>
        <v>23.51904541061446</v>
      </c>
      <c r="AM61" s="456">
        <f>('C4-Sources'!AU62/'C4-Sources'!$AP62)*100</f>
        <v>16.175778166982106</v>
      </c>
      <c r="AN61" s="456">
        <f>('C4-Sources'!AV62/'C4-Sources'!$AP62)*100</f>
        <v>8.8503388369592493</v>
      </c>
      <c r="AO61" s="458"/>
      <c r="AP61" s="456">
        <f>100-'C6-Source Dist'!AQ61</f>
        <v>50.734328189393722</v>
      </c>
      <c r="AQ61" s="456">
        <f>('C4-Sources'!AY62/'C4-Sources'!$AX62)*100</f>
        <v>49.265671810606278</v>
      </c>
      <c r="AR61" s="456">
        <f>('C4-Sources'!AZ62/'C4-Sources'!$AX62)*100</f>
        <v>37.171763650836823</v>
      </c>
      <c r="AS61" s="456">
        <f>('C4-Sources'!BA62/'C4-Sources'!$AX62)*100</f>
        <v>20.641507945144745</v>
      </c>
      <c r="AT61" s="456">
        <f>('C4-Sources'!BB62/'C4-Sources'!$AX62)*100</f>
        <v>16.852780261580158</v>
      </c>
      <c r="AU61" s="456">
        <f>('C4-Sources'!BC62/'C4-Sources'!$AX62)*100</f>
        <v>11.133348830648004</v>
      </c>
      <c r="AV61" s="456">
        <f>('C4-Sources'!BD62/'C4-Sources'!$AX62)*100</f>
        <v>5.8717194613222086</v>
      </c>
      <c r="AW61" s="456"/>
      <c r="AX61" s="456">
        <f>100-'C6-Source Dist'!AY61</f>
        <v>70.558898285691782</v>
      </c>
      <c r="AY61" s="456">
        <f>('C4-Sources'!BG62/'C4-Sources'!$BF62)*100</f>
        <v>29.441101714308221</v>
      </c>
      <c r="AZ61" s="456">
        <f>('C4-Sources'!BH62/'C4-Sources'!$BF62)*100</f>
        <v>17.765650758419174</v>
      </c>
      <c r="BA61" s="456">
        <f>('C4-Sources'!BI62/'C4-Sources'!$BF62)*100</f>
        <v>4.9670616318198881</v>
      </c>
      <c r="BB61" s="456">
        <f>('C4-Sources'!BJ62/'C4-Sources'!$BF62)*100</f>
        <v>3.0636145591310937</v>
      </c>
      <c r="BC61" s="456">
        <f>('C4-Sources'!BK62/'C4-Sources'!$BF62)*100</f>
        <v>1.1929307523754742</v>
      </c>
      <c r="BD61" s="456">
        <f>('C4-Sources'!BL62/'C4-Sources'!$BF62)*100</f>
        <v>0.36130370760289038</v>
      </c>
      <c r="BE61" s="458"/>
      <c r="BF61" s="456">
        <f>100-'C6-Source Dist'!BG61</f>
        <v>60.455127379801425</v>
      </c>
      <c r="BG61" s="456">
        <f>('C4-Sources'!BO62/'C4-Sources'!$BN62)*100</f>
        <v>39.544872620198575</v>
      </c>
      <c r="BH61" s="456">
        <f>('C4-Sources'!BP62/'C4-Sources'!$BN62)*100</f>
        <v>27.106190655934149</v>
      </c>
      <c r="BI61" s="456">
        <f>('C4-Sources'!BQ62/'C4-Sources'!$BN62)*100</f>
        <v>12.805673741273166</v>
      </c>
      <c r="BJ61" s="456">
        <f>('C4-Sources'!BR62/'C4-Sources'!$BN62)*100</f>
        <v>9.4696186246832852</v>
      </c>
      <c r="BK61" s="456">
        <f>('C4-Sources'!BS62/'C4-Sources'!$BN62)*100</f>
        <v>3.9884977304263636</v>
      </c>
      <c r="BL61" s="456">
        <f>('C4-Sources'!BT62/'C4-Sources'!$BN62)*100</f>
        <v>1.5091284786073706</v>
      </c>
    </row>
    <row r="62" spans="1:64" s="452" customFormat="1" ht="12" x14ac:dyDescent="0.25">
      <c r="A62" s="246"/>
      <c r="B62" s="548"/>
      <c r="C62" s="548"/>
      <c r="D62" s="548"/>
      <c r="E62" s="548"/>
      <c r="F62" s="548"/>
      <c r="G62" s="548"/>
      <c r="H62" s="548"/>
      <c r="I62" s="548"/>
      <c r="J62" s="548"/>
      <c r="K62" s="548"/>
      <c r="L62" s="548"/>
      <c r="M62" s="548"/>
      <c r="N62" s="548"/>
      <c r="O62" s="548"/>
      <c r="P62" s="548"/>
      <c r="Q62" s="548"/>
      <c r="R62" s="548"/>
      <c r="S62" s="548"/>
      <c r="T62" s="548"/>
      <c r="U62" s="548"/>
      <c r="V62" s="548"/>
      <c r="W62" s="548"/>
      <c r="X62" s="548"/>
      <c r="Y62" s="548"/>
      <c r="Z62" s="548"/>
      <c r="AA62" s="548"/>
      <c r="AB62" s="548"/>
      <c r="AC62" s="548"/>
      <c r="AD62" s="548"/>
      <c r="AE62" s="548"/>
      <c r="AF62" s="548"/>
      <c r="AG62" s="548"/>
      <c r="AH62" s="548"/>
      <c r="AI62" s="548"/>
      <c r="AJ62" s="854"/>
      <c r="AK62" s="854"/>
      <c r="AL62" s="854"/>
      <c r="AM62" s="854"/>
      <c r="AN62" s="854"/>
      <c r="AO62" s="854"/>
      <c r="AP62" s="548"/>
      <c r="AQ62" s="548"/>
      <c r="AR62" s="548"/>
      <c r="AS62" s="548"/>
      <c r="AT62" s="548"/>
      <c r="AU62" s="548"/>
      <c r="AV62" s="548"/>
      <c r="AW62" s="548"/>
      <c r="AX62" s="548"/>
      <c r="AY62" s="548"/>
      <c r="AZ62" s="548"/>
      <c r="BA62" s="548"/>
      <c r="BB62" s="548"/>
      <c r="BC62" s="548"/>
      <c r="BD62" s="548"/>
      <c r="BE62" s="548"/>
      <c r="BF62" s="548"/>
      <c r="BG62" s="548"/>
      <c r="BH62" s="548"/>
      <c r="BI62" s="548"/>
      <c r="BJ62" s="548"/>
      <c r="BK62" s="548"/>
      <c r="BL62" s="548"/>
    </row>
    <row r="63" spans="1:64" s="452" customFormat="1" ht="12" x14ac:dyDescent="0.25">
      <c r="B63" s="519"/>
      <c r="C63" s="519"/>
      <c r="D63" s="519"/>
      <c r="E63" s="519"/>
      <c r="F63" s="519"/>
      <c r="G63" s="519"/>
      <c r="H63" s="519"/>
    </row>
    <row r="64" spans="1:64" x14ac:dyDescent="0.3">
      <c r="A64" s="46" t="s">
        <v>2101</v>
      </c>
    </row>
    <row r="65" spans="1:1" x14ac:dyDescent="0.3">
      <c r="A65" s="700" t="s">
        <v>2092</v>
      </c>
    </row>
  </sheetData>
  <mergeCells count="8">
    <mergeCell ref="BF3:BL3"/>
    <mergeCell ref="B3:H3"/>
    <mergeCell ref="J3:P3"/>
    <mergeCell ref="R3:X3"/>
    <mergeCell ref="Z3:AF3"/>
    <mergeCell ref="AH3:AN3"/>
    <mergeCell ref="AP3:AV3"/>
    <mergeCell ref="AX3:BD3"/>
  </mergeCells>
  <hyperlinks>
    <hyperlink ref="L1" location="Index!A1" display="Index"/>
  </hyperlink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H66"/>
  <sheetViews>
    <sheetView workbookViewId="0">
      <selection activeCell="A2" sqref="A2"/>
    </sheetView>
  </sheetViews>
  <sheetFormatPr defaultColWidth="9.109375" defaultRowHeight="14.4" x14ac:dyDescent="0.3"/>
  <cols>
    <col min="1" max="1" width="9.109375" style="24"/>
    <col min="2" max="7" width="7.21875" style="24" customWidth="1"/>
    <col min="8" max="8" width="8.77734375" style="24" customWidth="1"/>
    <col min="9" max="16384" width="9.109375" style="24"/>
  </cols>
  <sheetData>
    <row r="1" spans="1:8" x14ac:dyDescent="0.3">
      <c r="A1" s="178" t="s">
        <v>2171</v>
      </c>
      <c r="B1" s="178"/>
      <c r="C1" s="178"/>
      <c r="D1" s="178"/>
      <c r="E1" s="178"/>
      <c r="F1" s="178"/>
      <c r="G1" s="178"/>
      <c r="H1" s="178"/>
    </row>
    <row r="2" spans="1:8" ht="15.6" x14ac:dyDescent="0.3">
      <c r="A2" s="500" t="s">
        <v>504</v>
      </c>
      <c r="B2" s="501"/>
      <c r="C2" s="501"/>
      <c r="D2" s="501"/>
      <c r="E2" s="501"/>
      <c r="F2" s="501"/>
      <c r="G2" s="501"/>
      <c r="H2" s="501"/>
    </row>
    <row r="3" spans="1:8" x14ac:dyDescent="0.3">
      <c r="B3" s="1456" t="s">
        <v>603</v>
      </c>
      <c r="C3" s="1456"/>
      <c r="D3" s="1456"/>
      <c r="E3" s="1456"/>
      <c r="F3" s="1456"/>
      <c r="G3" s="1456"/>
      <c r="H3" s="1456"/>
    </row>
    <row r="4" spans="1:8" x14ac:dyDescent="0.3">
      <c r="B4" s="1451" t="s">
        <v>2169</v>
      </c>
      <c r="C4" s="1451"/>
      <c r="D4" s="1451"/>
      <c r="E4" s="1451"/>
      <c r="F4" s="1451"/>
      <c r="G4" s="1451"/>
      <c r="H4" s="1451"/>
    </row>
    <row r="5" spans="1:8" x14ac:dyDescent="0.3">
      <c r="B5" s="49" t="s">
        <v>496</v>
      </c>
      <c r="C5" s="49" t="s">
        <v>24</v>
      </c>
      <c r="D5" s="49" t="s">
        <v>25</v>
      </c>
      <c r="E5" s="49" t="s">
        <v>26</v>
      </c>
      <c r="F5" s="49" t="s">
        <v>28</v>
      </c>
      <c r="G5" s="49" t="s">
        <v>27</v>
      </c>
      <c r="H5" s="49" t="s">
        <v>23</v>
      </c>
    </row>
    <row r="6" spans="1:8" x14ac:dyDescent="0.3">
      <c r="A6" s="446"/>
      <c r="B6" s="53" t="s">
        <v>29</v>
      </c>
      <c r="C6" s="53" t="s">
        <v>13</v>
      </c>
      <c r="D6" s="53" t="s">
        <v>14</v>
      </c>
      <c r="E6" s="53" t="s">
        <v>15</v>
      </c>
      <c r="F6" s="53" t="s">
        <v>16</v>
      </c>
      <c r="G6" s="53" t="s">
        <v>17</v>
      </c>
      <c r="H6" s="53" t="s">
        <v>18</v>
      </c>
    </row>
    <row r="7" spans="1:8" s="452" customFormat="1" ht="12" x14ac:dyDescent="0.25">
      <c r="A7" s="239">
        <v>1960</v>
      </c>
      <c r="B7" s="545">
        <f>100-C7</f>
        <v>94.445836851827423</v>
      </c>
      <c r="C7" s="545">
        <f>('C1-Incomes'!LD8)/('C1-Incomes'!$LC8)*100</f>
        <v>5.5541631481725817</v>
      </c>
      <c r="D7" s="545">
        <f>('C1-Incomes'!LE8)/('C1-Incomes'!$LC8)*100</f>
        <v>3.4873984694550733</v>
      </c>
      <c r="E7" s="545">
        <f>('C1-Incomes'!LF8)/('C1-Incomes'!$LC8)*100</f>
        <v>1.1622471302282622</v>
      </c>
      <c r="F7" s="545">
        <f>('C1-Incomes'!LG8)/('C1-Incomes'!$LC8)*100</f>
        <v>0.65149835070589779</v>
      </c>
      <c r="G7" s="545">
        <f>('C1-Incomes'!LH8)/('C1-Incomes'!$LC8)*100</f>
        <v>0.11335908431191451</v>
      </c>
      <c r="H7" s="546">
        <f>('C1-Incomes'!LI8)/('C1-Incomes'!$LC8)*100</f>
        <v>1.4343712890882702E-2</v>
      </c>
    </row>
    <row r="8" spans="1:8" s="452" customFormat="1" ht="5.25" customHeight="1" x14ac:dyDescent="0.25">
      <c r="A8" s="239"/>
      <c r="B8" s="469"/>
      <c r="C8" s="547"/>
      <c r="D8" s="547"/>
      <c r="E8" s="547"/>
      <c r="F8" s="547"/>
      <c r="G8" s="547"/>
      <c r="H8" s="547"/>
    </row>
    <row r="9" spans="1:8" s="452" customFormat="1" ht="12" x14ac:dyDescent="0.25">
      <c r="A9" s="239">
        <v>1962</v>
      </c>
      <c r="B9" s="545">
        <f>100-C9</f>
        <v>94.313289740820736</v>
      </c>
      <c r="C9" s="545">
        <f>('C1-Incomes'!LD10)/('C1-Incomes'!$LC10)*100</f>
        <v>5.6867102591792662</v>
      </c>
      <c r="D9" s="545">
        <f>('C1-Incomes'!LE10)/('C1-Incomes'!$LC10)*100</f>
        <v>3.6055730021598271</v>
      </c>
      <c r="E9" s="545">
        <f>('C1-Incomes'!LF10)/('C1-Incomes'!$LC10)*100</f>
        <v>1.2058345572354212</v>
      </c>
      <c r="F9" s="545">
        <f>('C1-Incomes'!LG10)/('C1-Incomes'!$LC10)*100</f>
        <v>0.67654859611231111</v>
      </c>
      <c r="G9" s="545">
        <f>('C1-Incomes'!LH10)/('C1-Incomes'!$LC10)*100</f>
        <v>0.11777419006479481</v>
      </c>
      <c r="H9" s="546">
        <f>('C1-Incomes'!LI10)/('C1-Incomes'!$LC10)*100</f>
        <v>1.4907343412526997E-2</v>
      </c>
    </row>
    <row r="10" spans="1:8" s="452" customFormat="1" ht="5.25" customHeight="1" x14ac:dyDescent="0.25">
      <c r="A10" s="239"/>
      <c r="B10" s="469"/>
      <c r="C10" s="547"/>
      <c r="D10" s="547"/>
      <c r="E10" s="547"/>
      <c r="F10" s="547"/>
      <c r="G10" s="547"/>
      <c r="H10" s="547"/>
    </row>
    <row r="11" spans="1:8" s="452" customFormat="1" ht="12" x14ac:dyDescent="0.25">
      <c r="A11" s="239">
        <v>1964</v>
      </c>
      <c r="B11" s="545">
        <f>100-C11</f>
        <v>94.447798451561013</v>
      </c>
      <c r="C11" s="545">
        <f>('C1-Incomes'!LD12)/('C1-Incomes'!$LC12)*100</f>
        <v>5.5522015484389922</v>
      </c>
      <c r="D11" s="545">
        <f>('C1-Incomes'!LE12)/('C1-Incomes'!$LC12)*100</f>
        <v>3.6756719119199635</v>
      </c>
      <c r="E11" s="545">
        <f>('C1-Incomes'!LF12)/('C1-Incomes'!$LC12)*100</f>
        <v>1.2507316374239605</v>
      </c>
      <c r="F11" s="545">
        <f>('C1-Incomes'!LG12)/('C1-Incomes'!$LC12)*100</f>
        <v>0.75225700065356194</v>
      </c>
      <c r="G11" s="545">
        <f>('C1-Incomes'!LH12)/('C1-Incomes'!$LC12)*100</f>
        <v>0.12318239404755921</v>
      </c>
      <c r="H11" s="546">
        <f>('C1-Incomes'!LI12)/('C1-Incomes'!$LC12)*100</f>
        <v>1.5487909104620182E-2</v>
      </c>
    </row>
    <row r="12" spans="1:8" s="452" customFormat="1" ht="5.25" customHeight="1" x14ac:dyDescent="0.25">
      <c r="A12" s="239"/>
      <c r="B12" s="469"/>
      <c r="C12" s="547"/>
      <c r="D12" s="547"/>
      <c r="E12" s="547"/>
      <c r="F12" s="547"/>
      <c r="G12" s="547"/>
      <c r="H12" s="547"/>
    </row>
    <row r="13" spans="1:8" s="452" customFormat="1" ht="12" x14ac:dyDescent="0.25">
      <c r="A13" s="239">
        <v>1966</v>
      </c>
      <c r="B13" s="545">
        <f>100-C13</f>
        <v>93.502738507396288</v>
      </c>
      <c r="C13" s="545">
        <f>('C1-Incomes'!LD14)/('C1-Incomes'!$LC14)*100</f>
        <v>6.497261492603708</v>
      </c>
      <c r="D13" s="545">
        <f>('C1-Incomes'!LE14)/('C1-Incomes'!$LC14)*100</f>
        <v>4.3864053066273065</v>
      </c>
      <c r="E13" s="545">
        <f>('C1-Incomes'!LF14)/('C1-Incomes'!$LC14)*100</f>
        <v>1.4593902487564634</v>
      </c>
      <c r="F13" s="545">
        <f>('C1-Incomes'!LG14)/('C1-Incomes'!$LC14)*100</f>
        <v>0.81926488227438199</v>
      </c>
      <c r="G13" s="545">
        <f>('C1-Incomes'!LH14)/('C1-Incomes'!$LC14)*100</f>
        <v>0.13591718957569462</v>
      </c>
      <c r="H13" s="546">
        <f>('C1-Incomes'!LI14)/('C1-Incomes'!$LC14)*100</f>
        <v>1.7031889531354059E-2</v>
      </c>
    </row>
    <row r="14" spans="1:8" s="452" customFormat="1" ht="12" x14ac:dyDescent="0.25">
      <c r="A14" s="239">
        <v>1967</v>
      </c>
      <c r="B14" s="545">
        <f t="shared" ref="B14:B60" si="0">100-C14</f>
        <v>93.341891408801573</v>
      </c>
      <c r="C14" s="545">
        <f>('C1-Incomes'!LD15)/('C1-Incomes'!$LC15)*100</f>
        <v>6.6581085911984221</v>
      </c>
      <c r="D14" s="545">
        <f>('C1-Incomes'!LE15)/('C1-Incomes'!$LC15)*100</f>
        <v>4.132966883629476</v>
      </c>
      <c r="E14" s="545">
        <f>('C1-Incomes'!LF15)/('C1-Incomes'!$LC15)*100</f>
        <v>1.3797747052054474</v>
      </c>
      <c r="F14" s="545">
        <f>('C1-Incomes'!LG15)/('C1-Incomes'!$LC15)*100</f>
        <v>0.77968903013337731</v>
      </c>
      <c r="G14" s="545">
        <f>('C1-Incomes'!LH15)/('C1-Incomes'!$LC15)*100</f>
        <v>0.15528367755671507</v>
      </c>
      <c r="H14" s="546">
        <f>('C1-Incomes'!LI15)/('C1-Incomes'!$LC15)*100</f>
        <v>1.8056915042550529E-2</v>
      </c>
    </row>
    <row r="15" spans="1:8" s="452" customFormat="1" ht="12" x14ac:dyDescent="0.25">
      <c r="A15" s="239">
        <v>1968</v>
      </c>
      <c r="B15" s="545">
        <f t="shared" si="0"/>
        <v>92.956379363611148</v>
      </c>
      <c r="C15" s="545">
        <f>('C1-Incomes'!LD16)/('C1-Incomes'!$LC16)*100</f>
        <v>7.0436206363888463</v>
      </c>
      <c r="D15" s="545">
        <f>('C1-Incomes'!LE16)/('C1-Incomes'!$LC16)*100</f>
        <v>4.6003925745029068</v>
      </c>
      <c r="E15" s="545">
        <f>('C1-Incomes'!LF16)/('C1-Incomes'!$LC16)*100</f>
        <v>1.470562795482075</v>
      </c>
      <c r="F15" s="545">
        <f>('C1-Incomes'!LG16)/('C1-Incomes'!$LC16)*100</f>
        <v>0.83482934961636512</v>
      </c>
      <c r="G15" s="545">
        <f>('C1-Incomes'!LH16)/('C1-Incomes'!$LC16)*100</f>
        <v>0.17827414079988996</v>
      </c>
      <c r="H15" s="546">
        <f>('C1-Incomes'!LI16)/('C1-Incomes'!$LC16)*100</f>
        <v>1.9064909305184428E-2</v>
      </c>
    </row>
    <row r="16" spans="1:8" s="452" customFormat="1" ht="12" x14ac:dyDescent="0.25">
      <c r="A16" s="239">
        <v>1969</v>
      </c>
      <c r="B16" s="545">
        <f t="shared" si="0"/>
        <v>93.18655480327746</v>
      </c>
      <c r="C16" s="545">
        <f>('C1-Incomes'!LD17)/('C1-Incomes'!$LC17)*100</f>
        <v>6.8134451967225393</v>
      </c>
      <c r="D16" s="545">
        <f>('C1-Incomes'!LE17)/('C1-Incomes'!$LC17)*100</f>
        <v>4.2795311233682192</v>
      </c>
      <c r="E16" s="545">
        <f>('C1-Incomes'!LF17)/('C1-Incomes'!$LC17)*100</f>
        <v>1.3748222035545523</v>
      </c>
      <c r="F16" s="545">
        <f>('C1-Incomes'!LG17)/('C1-Incomes'!$LC17)*100</f>
        <v>0.77965270189650659</v>
      </c>
      <c r="G16" s="545">
        <f>('C1-Incomes'!LH17)/('C1-Incomes'!$LC17)*100</f>
        <v>0.15101360396996877</v>
      </c>
      <c r="H16" s="546">
        <f>('C1-Incomes'!LI17)/('C1-Incomes'!$LC17)*100</f>
        <v>1.8452262517382724E-2</v>
      </c>
    </row>
    <row r="17" spans="1:8" s="452" customFormat="1" ht="12" x14ac:dyDescent="0.25">
      <c r="A17" s="239">
        <v>1970</v>
      </c>
      <c r="B17" s="545">
        <f t="shared" si="0"/>
        <v>93.900553333382888</v>
      </c>
      <c r="C17" s="545">
        <f>('C1-Incomes'!LD18)/('C1-Incomes'!$LC18)*100</f>
        <v>6.0994466666171121</v>
      </c>
      <c r="D17" s="545">
        <f>('C1-Incomes'!LE18)/('C1-Incomes'!$LC18)*100</f>
        <v>3.7347116765311772</v>
      </c>
      <c r="E17" s="545">
        <f>('C1-Incomes'!LF18)/('C1-Incomes'!$LC18)*100</f>
        <v>1.3161873164815496</v>
      </c>
      <c r="F17" s="545">
        <f>('C1-Incomes'!LG18)/('C1-Incomes'!$LC18)*100</f>
        <v>0.69875412057076058</v>
      </c>
      <c r="G17" s="545">
        <f>('C1-Incomes'!LH18)/('C1-Incomes'!$LC18)*100</f>
        <v>0.14149170151916937</v>
      </c>
      <c r="H17" s="546">
        <f>('C1-Incomes'!LI18)/('C1-Incomes'!$LC18)*100</f>
        <v>1.8514450033115158E-2</v>
      </c>
    </row>
    <row r="18" spans="1:8" s="452" customFormat="1" ht="12" x14ac:dyDescent="0.25">
      <c r="A18" s="239">
        <v>1971</v>
      </c>
      <c r="B18" s="545">
        <f t="shared" si="0"/>
        <v>94.004919395397863</v>
      </c>
      <c r="C18" s="545">
        <f>('C1-Incomes'!LD19)/('C1-Incomes'!$LC19)*100</f>
        <v>5.9950806046021317</v>
      </c>
      <c r="D18" s="545">
        <f>('C1-Incomes'!LE19)/('C1-Incomes'!$LC19)*100</f>
        <v>3.7636644020608623</v>
      </c>
      <c r="E18" s="545">
        <f>('C1-Incomes'!LF19)/('C1-Incomes'!$LC19)*100</f>
        <v>1.2739649243079703</v>
      </c>
      <c r="F18" s="545">
        <f>('C1-Incomes'!LG19)/('C1-Incomes'!$LC19)*100</f>
        <v>0.7310308333720501</v>
      </c>
      <c r="G18" s="545">
        <f>('C1-Incomes'!LH19)/('C1-Incomes'!$LC19)*100</f>
        <v>0.13588440002922414</v>
      </c>
      <c r="H18" s="546">
        <f>('C1-Incomes'!LI19)/('C1-Incomes'!$LC19)*100</f>
        <v>1.7615155852871593E-2</v>
      </c>
    </row>
    <row r="19" spans="1:8" s="452" customFormat="1" ht="12" x14ac:dyDescent="0.25">
      <c r="A19" s="239">
        <v>1972</v>
      </c>
      <c r="B19" s="545">
        <f t="shared" si="0"/>
        <v>93.634559111147496</v>
      </c>
      <c r="C19" s="545">
        <f>('C1-Incomes'!LD20)/('C1-Incomes'!$LC20)*100</f>
        <v>6.3654408888525023</v>
      </c>
      <c r="D19" s="545">
        <f>('C1-Incomes'!LE20)/('C1-Incomes'!$LC20)*100</f>
        <v>4.0999502242722148</v>
      </c>
      <c r="E19" s="545">
        <f>('C1-Incomes'!LF20)/('C1-Incomes'!$LC20)*100</f>
        <v>1.3058275157335792</v>
      </c>
      <c r="F19" s="545">
        <f>('C1-Incomes'!LG20)/('C1-Incomes'!$LC20)*100</f>
        <v>0.72164054873704608</v>
      </c>
      <c r="G19" s="545">
        <f>('C1-Incomes'!LH20)/('C1-Incomes'!$LC20)*100</f>
        <v>0.13167971690818597</v>
      </c>
      <c r="H19" s="546">
        <f>('C1-Incomes'!LI20)/('C1-Incomes'!$LC20)*100</f>
        <v>1.6980289291149659E-2</v>
      </c>
    </row>
    <row r="20" spans="1:8" s="452" customFormat="1" ht="12" x14ac:dyDescent="0.25">
      <c r="A20" s="239">
        <v>1973</v>
      </c>
      <c r="B20" s="545">
        <f t="shared" si="0"/>
        <v>93.398190661389634</v>
      </c>
      <c r="C20" s="545">
        <f>('C1-Incomes'!LD21)/('C1-Incomes'!$LC21)*100</f>
        <v>6.6018093386103702</v>
      </c>
      <c r="D20" s="545">
        <f>('C1-Incomes'!LE21)/('C1-Incomes'!$LC21)*100</f>
        <v>4.2603207069062359</v>
      </c>
      <c r="E20" s="545">
        <f>('C1-Incomes'!LF21)/('C1-Incomes'!$LC21)*100</f>
        <v>1.4015543568307993</v>
      </c>
      <c r="F20" s="545">
        <f>('C1-Incomes'!LG21)/('C1-Incomes'!$LC21)*100</f>
        <v>0.79082550732367118</v>
      </c>
      <c r="G20" s="545">
        <f>('C1-Incomes'!LH21)/('C1-Incomes'!$LC21)*100</f>
        <v>0.13730455957732715</v>
      </c>
      <c r="H20" s="546">
        <f>('C1-Incomes'!LI21)/('C1-Incomes'!$LC21)*100</f>
        <v>1.7385026701521502E-2</v>
      </c>
    </row>
    <row r="21" spans="1:8" s="452" customFormat="1" ht="12" x14ac:dyDescent="0.25">
      <c r="A21" s="239">
        <v>1974</v>
      </c>
      <c r="B21" s="545">
        <f t="shared" si="0"/>
        <v>93.758153809710109</v>
      </c>
      <c r="C21" s="545">
        <f>('C1-Incomes'!LD22)/('C1-Incomes'!$LC22)*100</f>
        <v>6.2418461902898859</v>
      </c>
      <c r="D21" s="545">
        <f>('C1-Incomes'!LE22)/('C1-Incomes'!$LC22)*100</f>
        <v>3.8417600980809561</v>
      </c>
      <c r="E21" s="545">
        <f>('C1-Incomes'!LF22)/('C1-Incomes'!$LC22)*100</f>
        <v>1.2157854889072042</v>
      </c>
      <c r="F21" s="545">
        <f>('C1-Incomes'!LG22)/('C1-Incomes'!$LC22)*100</f>
        <v>0.63782558416292634</v>
      </c>
      <c r="G21" s="545">
        <f>('C1-Incomes'!LH22)/('C1-Incomes'!$LC22)*100</f>
        <v>0.11689575612503422</v>
      </c>
      <c r="H21" s="546">
        <f>('C1-Incomes'!LI22)/('C1-Incomes'!$LC22)*100</f>
        <v>1.7056412625991231E-2</v>
      </c>
    </row>
    <row r="22" spans="1:8" s="452" customFormat="1" ht="12" x14ac:dyDescent="0.25">
      <c r="A22" s="239">
        <v>1975</v>
      </c>
      <c r="B22" s="545">
        <f t="shared" si="0"/>
        <v>94.347577114933031</v>
      </c>
      <c r="C22" s="545">
        <f>('C1-Incomes'!LD23)/('C1-Incomes'!$LC23)*100</f>
        <v>5.6524228850669722</v>
      </c>
      <c r="D22" s="545">
        <f>('C1-Incomes'!LE23)/('C1-Incomes'!$LC23)*100</f>
        <v>3.5341391275116778</v>
      </c>
      <c r="E22" s="545">
        <f>('C1-Incomes'!LF23)/('C1-Incomes'!$LC23)*100</f>
        <v>1.0998887943712803</v>
      </c>
      <c r="F22" s="545">
        <f>('C1-Incomes'!LG23)/('C1-Incomes'!$LC23)*100</f>
        <v>0.57573789563675903</v>
      </c>
      <c r="G22" s="545">
        <f>('C1-Incomes'!LH23)/('C1-Incomes'!$LC23)*100</f>
        <v>0.10851200701825316</v>
      </c>
      <c r="H22" s="546">
        <f>('C1-Incomes'!LI23)/('C1-Incomes'!$LC23)*100</f>
        <v>1.4730629001863851E-2</v>
      </c>
    </row>
    <row r="23" spans="1:8" s="452" customFormat="1" ht="12" x14ac:dyDescent="0.25">
      <c r="A23" s="239">
        <v>1976</v>
      </c>
      <c r="B23" s="545">
        <f t="shared" si="0"/>
        <v>93.435460250840435</v>
      </c>
      <c r="C23" s="545">
        <f>('C1-Incomes'!LD24)/('C1-Incomes'!$LC24)*100</f>
        <v>6.5645397491595574</v>
      </c>
      <c r="D23" s="545">
        <f>('C1-Incomes'!LE24)/('C1-Incomes'!$LC24)*100</f>
        <v>4.017281477497753</v>
      </c>
      <c r="E23" s="545">
        <f>('C1-Incomes'!LF24)/('C1-Incomes'!$LC24)*100</f>
        <v>1.2147234062942616</v>
      </c>
      <c r="F23" s="545">
        <f>('C1-Incomes'!LG24)/('C1-Incomes'!$LC24)*100</f>
        <v>0.61717288377530699</v>
      </c>
      <c r="G23" s="545">
        <f>('C1-Incomes'!LH24)/('C1-Incomes'!$LC24)*100</f>
        <v>0.12020611037821152</v>
      </c>
      <c r="H23" s="546">
        <f>('C1-Incomes'!LI24)/('C1-Incomes'!$LC24)*100</f>
        <v>1.530108522749229E-2</v>
      </c>
    </row>
    <row r="24" spans="1:8" s="452" customFormat="1" ht="12" x14ac:dyDescent="0.25">
      <c r="A24" s="239">
        <v>1977</v>
      </c>
      <c r="B24" s="545">
        <f t="shared" si="0"/>
        <v>93.367580985791619</v>
      </c>
      <c r="C24" s="545">
        <f>('C1-Incomes'!LD25)/('C1-Incomes'!$LC25)*100</f>
        <v>6.6324190142083834</v>
      </c>
      <c r="D24" s="545">
        <f>('C1-Incomes'!LE25)/('C1-Incomes'!$LC25)*100</f>
        <v>4.1156391987680205</v>
      </c>
      <c r="E24" s="545">
        <f>('C1-Incomes'!LF25)/('C1-Incomes'!$LC25)*100</f>
        <v>1.3146962315119051</v>
      </c>
      <c r="F24" s="545">
        <f>('C1-Incomes'!LG25)/('C1-Incomes'!$LC25)*100</f>
        <v>0.69479412818311725</v>
      </c>
      <c r="G24" s="545">
        <f>('C1-Incomes'!LH25)/('C1-Incomes'!$LC25)*100</f>
        <v>0.12483465995996516</v>
      </c>
      <c r="H24" s="546">
        <f>('C1-Incomes'!LI25)/('C1-Incomes'!$LC25)*100</f>
        <v>1.5964723713394111E-2</v>
      </c>
    </row>
    <row r="25" spans="1:8" s="452" customFormat="1" ht="12" x14ac:dyDescent="0.25">
      <c r="A25" s="239">
        <v>1978</v>
      </c>
      <c r="B25" s="545">
        <f t="shared" si="0"/>
        <v>93.345684910392009</v>
      </c>
      <c r="C25" s="545">
        <f>('C1-Incomes'!LD26)/('C1-Incomes'!$LC26)*100</f>
        <v>6.654315089607997</v>
      </c>
      <c r="D25" s="545">
        <f>('C1-Incomes'!LE26)/('C1-Incomes'!$LC26)*100</f>
        <v>4.0982151762842323</v>
      </c>
      <c r="E25" s="545">
        <f>('C1-Incomes'!LF26)/('C1-Incomes'!$LC26)*100</f>
        <v>1.3039502541158585</v>
      </c>
      <c r="F25" s="545">
        <f>('C1-Incomes'!LG26)/('C1-Incomes'!$LC26)*100</f>
        <v>0.72525662901384935</v>
      </c>
      <c r="G25" s="545">
        <f>('C1-Incomes'!LH26)/('C1-Incomes'!$LC26)*100</f>
        <v>0.1305848123649527</v>
      </c>
      <c r="H25" s="546">
        <f>('C1-Incomes'!LI26)/('C1-Incomes'!$LC26)*100</f>
        <v>1.7477989247430156E-2</v>
      </c>
    </row>
    <row r="26" spans="1:8" s="452" customFormat="1" ht="12" x14ac:dyDescent="0.25">
      <c r="A26" s="239">
        <v>1979</v>
      </c>
      <c r="B26" s="545">
        <f t="shared" si="0"/>
        <v>93.951046568641416</v>
      </c>
      <c r="C26" s="545">
        <f>('C1-Incomes'!LD27)/('C1-Incomes'!$LC27)*100</f>
        <v>6.048953431358588</v>
      </c>
      <c r="D26" s="545">
        <f>('C1-Incomes'!LE27)/('C1-Incomes'!$LC27)*100</f>
        <v>3.5867045014756815</v>
      </c>
      <c r="E26" s="545">
        <f>('C1-Incomes'!LF27)/('C1-Incomes'!$LC27)*100</f>
        <v>1.0394531326895586</v>
      </c>
      <c r="F26" s="545">
        <f>('C1-Incomes'!LG27)/('C1-Incomes'!$LC27)*100</f>
        <v>0.54911101569782372</v>
      </c>
      <c r="G26" s="545">
        <f>('C1-Incomes'!LH27)/('C1-Incomes'!$LC27)*100</f>
        <v>9.1646400671997821E-2</v>
      </c>
      <c r="H26" s="546">
        <f>('C1-Incomes'!LI27)/('C1-Incomes'!$LC27)*100</f>
        <v>1.2822309625217155E-2</v>
      </c>
    </row>
    <row r="27" spans="1:8" s="452" customFormat="1" ht="12" x14ac:dyDescent="0.25">
      <c r="A27" s="239">
        <v>1980</v>
      </c>
      <c r="B27" s="545">
        <f t="shared" si="0"/>
        <v>94.219708810826475</v>
      </c>
      <c r="C27" s="545">
        <f>('C1-Incomes'!LD28)/('C1-Incomes'!$LC28)*100</f>
        <v>5.7802911891735285</v>
      </c>
      <c r="D27" s="545">
        <f>('C1-Incomes'!LE28)/('C1-Incomes'!$LC28)*100</f>
        <v>3.4085456629502584</v>
      </c>
      <c r="E27" s="545">
        <f>('C1-Incomes'!LF28)/('C1-Incomes'!$LC28)*100</f>
        <v>0.97477988520954673</v>
      </c>
      <c r="F27" s="545">
        <f>('C1-Incomes'!LG28)/('C1-Incomes'!$LC28)*100</f>
        <v>0.5081636962668804</v>
      </c>
      <c r="G27" s="545">
        <f>('C1-Incomes'!LH28)/('C1-Incomes'!$LC28)*100</f>
        <v>8.552262760527346E-2</v>
      </c>
      <c r="H27" s="546">
        <f>('C1-Incomes'!LI28)/('C1-Incomes'!$LC28)*100</f>
        <v>1.2361465197092322E-2</v>
      </c>
    </row>
    <row r="28" spans="1:8" s="452" customFormat="1" ht="12" x14ac:dyDescent="0.25">
      <c r="A28" s="239">
        <v>1981</v>
      </c>
      <c r="B28" s="545">
        <f t="shared" si="0"/>
        <v>93.422643215393379</v>
      </c>
      <c r="C28" s="545">
        <f>('C1-Incomes'!LD29)/('C1-Incomes'!$LC29)*100</f>
        <v>6.5773567846066276</v>
      </c>
      <c r="D28" s="545">
        <f>('C1-Incomes'!LE29)/('C1-Incomes'!$LC29)*100</f>
        <v>3.7016072562700613</v>
      </c>
      <c r="E28" s="545">
        <f>('C1-Incomes'!LF29)/('C1-Incomes'!$LC29)*100</f>
        <v>0.99684231072975849</v>
      </c>
      <c r="F28" s="545">
        <f>('C1-Incomes'!LG29)/('C1-Incomes'!$LC29)*100</f>
        <v>0.5055172385745601</v>
      </c>
      <c r="G28" s="545">
        <f>('C1-Incomes'!LH29)/('C1-Incomes'!$LC29)*100</f>
        <v>8.0878713020287499E-2</v>
      </c>
      <c r="H28" s="546">
        <f>('C1-Incomes'!LI29)/('C1-Incomes'!$LC29)*100</f>
        <v>1.1122342369221378E-2</v>
      </c>
    </row>
    <row r="29" spans="1:8" s="452" customFormat="1" ht="12" x14ac:dyDescent="0.25">
      <c r="A29" s="239">
        <v>1982</v>
      </c>
      <c r="B29" s="545">
        <f t="shared" si="0"/>
        <v>93.710429469876473</v>
      </c>
      <c r="C29" s="545">
        <f>('C1-Incomes'!LD30)/('C1-Incomes'!$LC30)*100</f>
        <v>6.2895705301235285</v>
      </c>
      <c r="D29" s="545">
        <f>('C1-Incomes'!LE30)/('C1-Incomes'!$LC30)*100</f>
        <v>3.4625165175133059</v>
      </c>
      <c r="E29" s="545">
        <f>('C1-Incomes'!LF30)/('C1-Incomes'!$LC30)*100</f>
        <v>0.9339068395155482</v>
      </c>
      <c r="F29" s="545">
        <f>('C1-Incomes'!LG30)/('C1-Incomes'!$LC30)*100</f>
        <v>0.46181862771346199</v>
      </c>
      <c r="G29" s="545">
        <f>('C1-Incomes'!LH30)/('C1-Incomes'!$LC30)*100</f>
        <v>7.6842267407429013E-2</v>
      </c>
      <c r="H29" s="546">
        <f>('C1-Incomes'!LI30)/('C1-Incomes'!$LC30)*100</f>
        <v>9.9239287608996977E-3</v>
      </c>
    </row>
    <row r="30" spans="1:8" s="452" customFormat="1" ht="12" x14ac:dyDescent="0.25">
      <c r="A30" s="239">
        <v>1983</v>
      </c>
      <c r="B30" s="545">
        <f t="shared" si="0"/>
        <v>93.622805021885597</v>
      </c>
      <c r="C30" s="545">
        <f>('C1-Incomes'!LD31)/('C1-Incomes'!$LC31)*100</f>
        <v>6.3771949781144057</v>
      </c>
      <c r="D30" s="545">
        <f>('C1-Incomes'!LE31)/('C1-Incomes'!$LC31)*100</f>
        <v>3.4106304512570436</v>
      </c>
      <c r="E30" s="545">
        <f>('C1-Incomes'!LF31)/('C1-Incomes'!$LC31)*100</f>
        <v>0.90725172102462637</v>
      </c>
      <c r="F30" s="545">
        <f>('C1-Incomes'!LG31)/('C1-Incomes'!$LC31)*100</f>
        <v>0.47098631031931781</v>
      </c>
      <c r="G30" s="545">
        <f>('C1-Incomes'!LH31)/('C1-Incomes'!$LC31)*100</f>
        <v>7.8928274740541315E-2</v>
      </c>
      <c r="H30" s="546">
        <f>('C1-Incomes'!LI31)/('C1-Incomes'!$LC31)*100</f>
        <v>1.0638348204698675E-2</v>
      </c>
    </row>
    <row r="31" spans="1:8" s="452" customFormat="1" ht="12" x14ac:dyDescent="0.25">
      <c r="A31" s="239">
        <v>1984</v>
      </c>
      <c r="B31" s="545">
        <f t="shared" si="0"/>
        <v>93.181518866048933</v>
      </c>
      <c r="C31" s="545">
        <f>('C1-Incomes'!LD32)/('C1-Incomes'!$LC32)*100</f>
        <v>6.8184811339510665</v>
      </c>
      <c r="D31" s="545">
        <f>('C1-Incomes'!LE32)/('C1-Incomes'!$LC32)*100</f>
        <v>3.6758179205372068</v>
      </c>
      <c r="E31" s="545">
        <f>('C1-Incomes'!LF32)/('C1-Incomes'!$LC32)*100</f>
        <v>0.9753993255415766</v>
      </c>
      <c r="F31" s="545">
        <f>('C1-Incomes'!LG32)/('C1-Incomes'!$LC32)*100</f>
        <v>0.50059700687355668</v>
      </c>
      <c r="G31" s="545">
        <f>('C1-Incomes'!LH32)/('C1-Incomes'!$LC32)*100</f>
        <v>7.1209455444905242E-2</v>
      </c>
      <c r="H31" s="546">
        <f>('C1-Incomes'!LI32)/('C1-Incomes'!$LC32)*100</f>
        <v>9.5485700504495934E-3</v>
      </c>
    </row>
    <row r="32" spans="1:8" s="452" customFormat="1" ht="12" x14ac:dyDescent="0.25">
      <c r="A32" s="239">
        <v>1985</v>
      </c>
      <c r="B32" s="545">
        <f t="shared" si="0"/>
        <v>92.560718036596441</v>
      </c>
      <c r="C32" s="545">
        <f>('C1-Incomes'!LD33)/('C1-Incomes'!$LC33)*100</f>
        <v>7.4392819634035545</v>
      </c>
      <c r="D32" s="545">
        <f>('C1-Incomes'!LE33)/('C1-Incomes'!$LC33)*100</f>
        <v>4.2501029453250219</v>
      </c>
      <c r="E32" s="545">
        <f>('C1-Incomes'!LF33)/('C1-Incomes'!$LC33)*100</f>
        <v>1.1113965462751092</v>
      </c>
      <c r="F32" s="545">
        <f>('C1-Incomes'!LG33)/('C1-Incomes'!$LC33)*100</f>
        <v>0.62435774915102071</v>
      </c>
      <c r="G32" s="545">
        <f>('C1-Incomes'!LH33)/('C1-Incomes'!$LC33)*100</f>
        <v>0.11831179601692783</v>
      </c>
      <c r="H32" s="546">
        <f>('C1-Incomes'!LI33)/('C1-Incomes'!$LC33)*100</f>
        <v>2.9392559079100569E-2</v>
      </c>
    </row>
    <row r="33" spans="1:8" s="452" customFormat="1" ht="12" x14ac:dyDescent="0.25">
      <c r="A33" s="239">
        <v>1986</v>
      </c>
      <c r="B33" s="545">
        <f t="shared" si="0"/>
        <v>93.052466427135911</v>
      </c>
      <c r="C33" s="545">
        <f>('C1-Incomes'!LD34)/('C1-Incomes'!$LC34)*100</f>
        <v>6.9475335728640859</v>
      </c>
      <c r="D33" s="545">
        <f>('C1-Incomes'!LE34)/('C1-Incomes'!$LC34)*100</f>
        <v>3.8512344838295696</v>
      </c>
      <c r="E33" s="545">
        <f>('C1-Incomes'!LF34)/('C1-Incomes'!$LC34)*100</f>
        <v>0.95337706039815862</v>
      </c>
      <c r="F33" s="545">
        <f>('C1-Incomes'!LG34)/('C1-Incomes'!$LC34)*100</f>
        <v>0.53131669606307597</v>
      </c>
      <c r="G33" s="545">
        <f>('C1-Incomes'!LH34)/('C1-Incomes'!$LC34)*100</f>
        <v>8.3752146742124708E-2</v>
      </c>
      <c r="H33" s="546">
        <f>('C1-Incomes'!LI34)/('C1-Incomes'!$LC34)*100</f>
        <v>1.2236842062736493E-2</v>
      </c>
    </row>
    <row r="34" spans="1:8" s="452" customFormat="1" ht="12" x14ac:dyDescent="0.25">
      <c r="A34" s="239">
        <v>1987</v>
      </c>
      <c r="B34" s="545">
        <f t="shared" si="0"/>
        <v>92.815843216477575</v>
      </c>
      <c r="C34" s="545">
        <f>('C1-Incomes'!LD35)/('C1-Incomes'!$LC35)*100</f>
        <v>7.1841567835224289</v>
      </c>
      <c r="D34" s="545">
        <f>('C1-Incomes'!LE35)/('C1-Incomes'!$LC35)*100</f>
        <v>3.8978990380358756</v>
      </c>
      <c r="E34" s="545">
        <f>('C1-Incomes'!LF35)/('C1-Incomes'!$LC35)*100</f>
        <v>0.98048530629030561</v>
      </c>
      <c r="F34" s="545">
        <f>('C1-Incomes'!LG35)/('C1-Incomes'!$LC35)*100</f>
        <v>0.51149776371094313</v>
      </c>
      <c r="G34" s="545">
        <f>('C1-Incomes'!LH35)/('C1-Incomes'!$LC35)*100</f>
        <v>0.11479020139094832</v>
      </c>
      <c r="H34" s="546">
        <f>('C1-Incomes'!LI35)/('C1-Incomes'!$LC35)*100</f>
        <v>1.2381717596757668E-2</v>
      </c>
    </row>
    <row r="35" spans="1:8" s="452" customFormat="1" ht="12" x14ac:dyDescent="0.25">
      <c r="A35" s="239">
        <v>1988</v>
      </c>
      <c r="B35" s="545">
        <f t="shared" si="0"/>
        <v>92.663526321864651</v>
      </c>
      <c r="C35" s="545">
        <f>('C1-Incomes'!LD36)/('C1-Incomes'!$LC36)*100</f>
        <v>7.3364736781353441</v>
      </c>
      <c r="D35" s="545">
        <f>('C1-Incomes'!LE36)/('C1-Incomes'!$LC36)*100</f>
        <v>4.0268662829793103</v>
      </c>
      <c r="E35" s="545">
        <f>('C1-Incomes'!LF36)/('C1-Incomes'!$LC36)*100</f>
        <v>0.9028022691043327</v>
      </c>
      <c r="F35" s="545">
        <f>('C1-Incomes'!LG36)/('C1-Incomes'!$LC36)*100</f>
        <v>0.46634009803120491</v>
      </c>
      <c r="G35" s="545">
        <f>('C1-Incomes'!LH36)/('C1-Incomes'!$LC36)*100</f>
        <v>0.10328614614590868</v>
      </c>
      <c r="H35" s="546">
        <f>('C1-Incomes'!LI36)/('C1-Incomes'!$LC36)*100</f>
        <v>1.1912110839988627E-2</v>
      </c>
    </row>
    <row r="36" spans="1:8" s="452" customFormat="1" ht="12" x14ac:dyDescent="0.25">
      <c r="A36" s="239">
        <v>1989</v>
      </c>
      <c r="B36" s="545">
        <f t="shared" si="0"/>
        <v>92.847073369550515</v>
      </c>
      <c r="C36" s="545">
        <f>('C1-Incomes'!LD37)/('C1-Incomes'!$LC37)*100</f>
        <v>7.1529266304494898</v>
      </c>
      <c r="D36" s="545">
        <f>('C1-Incomes'!LE37)/('C1-Incomes'!$LC37)*100</f>
        <v>3.8195483450248173</v>
      </c>
      <c r="E36" s="545">
        <f>('C1-Incomes'!LF37)/('C1-Incomes'!$LC37)*100</f>
        <v>0.92244088615917752</v>
      </c>
      <c r="F36" s="545">
        <f>('C1-Incomes'!LG37)/('C1-Incomes'!$LC37)*100</f>
        <v>0.47700243999435099</v>
      </c>
      <c r="G36" s="545">
        <f>('C1-Incomes'!LH37)/('C1-Incomes'!$LC37)*100</f>
        <v>0.10957358927323228</v>
      </c>
      <c r="H36" s="546">
        <f>('C1-Incomes'!LI37)/('C1-Incomes'!$LC37)*100</f>
        <v>1.2609432630591349E-2</v>
      </c>
    </row>
    <row r="37" spans="1:8" s="452" customFormat="1" ht="12" x14ac:dyDescent="0.25">
      <c r="A37" s="239">
        <v>1990</v>
      </c>
      <c r="B37" s="545">
        <f t="shared" si="0"/>
        <v>93.007122384231067</v>
      </c>
      <c r="C37" s="545">
        <f>('C1-Incomes'!LD38)/('C1-Incomes'!$LC38)*100</f>
        <v>6.9928776157689274</v>
      </c>
      <c r="D37" s="545">
        <f>('C1-Incomes'!LE38)/('C1-Incomes'!$LC38)*100</f>
        <v>3.667986489184516</v>
      </c>
      <c r="E37" s="545">
        <f>('C1-Incomes'!LF38)/('C1-Incomes'!$LC38)*100</f>
        <v>0.84197859534721653</v>
      </c>
      <c r="F37" s="545">
        <f>('C1-Incomes'!LG38)/('C1-Incomes'!$LC38)*100</f>
        <v>0.44757400917919976</v>
      </c>
      <c r="G37" s="545">
        <f>('C1-Incomes'!LH38)/('C1-Incomes'!$LC38)*100</f>
        <v>0.1028394664240001</v>
      </c>
      <c r="H37" s="546">
        <f>('C1-Incomes'!LI38)/('C1-Incomes'!$LC38)*100</f>
        <v>1.2162519394214685E-2</v>
      </c>
    </row>
    <row r="38" spans="1:8" s="452" customFormat="1" ht="12" x14ac:dyDescent="0.25">
      <c r="A38" s="239">
        <v>1991</v>
      </c>
      <c r="B38" s="545">
        <f t="shared" si="0"/>
        <v>92.861536049268892</v>
      </c>
      <c r="C38" s="545">
        <f>('C1-Incomes'!LD39)/('C1-Incomes'!$LC39)*100</f>
        <v>7.1384639507311141</v>
      </c>
      <c r="D38" s="545">
        <f>('C1-Incomes'!LE39)/('C1-Incomes'!$LC39)*100</f>
        <v>3.6511202530983238</v>
      </c>
      <c r="E38" s="545">
        <f>('C1-Incomes'!LF39)/('C1-Incomes'!$LC39)*100</f>
        <v>0.89728102573092694</v>
      </c>
      <c r="F38" s="545">
        <f>('C1-Incomes'!LG39)/('C1-Incomes'!$LC39)*100</f>
        <v>0.48453691277259986</v>
      </c>
      <c r="G38" s="545">
        <f>('C1-Incomes'!LH39)/('C1-Incomes'!$LC39)*100</f>
        <v>0.11285603306988602</v>
      </c>
      <c r="H38" s="546">
        <f>('C1-Incomes'!LI39)/('C1-Incomes'!$LC39)*100</f>
        <v>1.3131652927177438E-2</v>
      </c>
    </row>
    <row r="39" spans="1:8" s="452" customFormat="1" ht="12" x14ac:dyDescent="0.25">
      <c r="A39" s="239">
        <v>1992</v>
      </c>
      <c r="B39" s="545">
        <f t="shared" si="0"/>
        <v>93.045903078194769</v>
      </c>
      <c r="C39" s="545">
        <f>('C1-Incomes'!LD40)/('C1-Incomes'!$LC40)*100</f>
        <v>6.9540969218052338</v>
      </c>
      <c r="D39" s="545">
        <f>('C1-Incomes'!LE40)/('C1-Incomes'!$LC40)*100</f>
        <v>3.3708939677361571</v>
      </c>
      <c r="E39" s="545">
        <f>('C1-Incomes'!LF40)/('C1-Incomes'!$LC40)*100</f>
        <v>0.78586500978029616</v>
      </c>
      <c r="F39" s="545">
        <f>('C1-Incomes'!LG40)/('C1-Incomes'!$LC40)*100</f>
        <v>0.41223023364444578</v>
      </c>
      <c r="G39" s="545">
        <f>('C1-Incomes'!LH40)/('C1-Incomes'!$LC40)*100</f>
        <v>9.3475263351061808E-2</v>
      </c>
      <c r="H39" s="546">
        <f>('C1-Incomes'!LI40)/('C1-Incomes'!$LC40)*100</f>
        <v>1.0317796537225917E-2</v>
      </c>
    </row>
    <row r="40" spans="1:8" s="452" customFormat="1" ht="12" x14ac:dyDescent="0.25">
      <c r="A40" s="239">
        <v>1993</v>
      </c>
      <c r="B40" s="545">
        <f t="shared" si="0"/>
        <v>93.182730370719668</v>
      </c>
      <c r="C40" s="545">
        <f>('C1-Incomes'!LD41)/('C1-Incomes'!$LC41)*100</f>
        <v>6.8172696292803368</v>
      </c>
      <c r="D40" s="545">
        <f>('C1-Incomes'!LE41)/('C1-Incomes'!$LC41)*100</f>
        <v>3.2675464195616315</v>
      </c>
      <c r="E40" s="545">
        <f>('C1-Incomes'!LF41)/('C1-Incomes'!$LC41)*100</f>
        <v>0.75490170284176006</v>
      </c>
      <c r="F40" s="545">
        <f>('C1-Incomes'!LG41)/('C1-Incomes'!$LC41)*100</f>
        <v>0.40735009354995511</v>
      </c>
      <c r="G40" s="545">
        <f>('C1-Incomes'!LH41)/('C1-Incomes'!$LC41)*100</f>
        <v>8.9731034365473666E-2</v>
      </c>
      <c r="H40" s="546">
        <f>('C1-Incomes'!LI41)/('C1-Incomes'!$LC41)*100</f>
        <v>1.0191167662209281E-2</v>
      </c>
    </row>
    <row r="41" spans="1:8" s="452" customFormat="1" ht="12" x14ac:dyDescent="0.25">
      <c r="A41" s="239">
        <v>1994</v>
      </c>
      <c r="B41" s="545">
        <f t="shared" si="0"/>
        <v>93.132779683656082</v>
      </c>
      <c r="C41" s="545">
        <f>('C1-Incomes'!LD42)/('C1-Incomes'!$LC42)*100</f>
        <v>6.8672203163439196</v>
      </c>
      <c r="D41" s="545">
        <f>('C1-Incomes'!LE42)/('C1-Incomes'!$LC42)*100</f>
        <v>3.3528518120429265</v>
      </c>
      <c r="E41" s="545">
        <f>('C1-Incomes'!LF42)/('C1-Incomes'!$LC42)*100</f>
        <v>0.77406996971649589</v>
      </c>
      <c r="F41" s="545">
        <f>('C1-Incomes'!LG42)/('C1-Incomes'!$LC42)*100</f>
        <v>0.43943877660243114</v>
      </c>
      <c r="G41" s="545">
        <f>('C1-Incomes'!LH42)/('C1-Incomes'!$LC42)*100</f>
        <v>0.10023354914759951</v>
      </c>
      <c r="H41" s="546">
        <f>('C1-Incomes'!LI42)/('C1-Incomes'!$LC42)*100</f>
        <v>1.0934592838000861E-2</v>
      </c>
    </row>
    <row r="42" spans="1:8" s="452" customFormat="1" ht="12" x14ac:dyDescent="0.25">
      <c r="A42" s="239">
        <v>1995</v>
      </c>
      <c r="B42" s="545">
        <f t="shared" si="0"/>
        <v>93.038196757116751</v>
      </c>
      <c r="C42" s="545">
        <f>('C1-Incomes'!LD43)/('C1-Incomes'!$LC43)*100</f>
        <v>6.9618032428832519</v>
      </c>
      <c r="D42" s="545">
        <f>('C1-Incomes'!LE43)/('C1-Incomes'!$LC43)*100</f>
        <v>3.4788293287039531</v>
      </c>
      <c r="E42" s="545">
        <f>('C1-Incomes'!LF43)/('C1-Incomes'!$LC43)*100</f>
        <v>0.80313892236119677</v>
      </c>
      <c r="F42" s="545">
        <f>('C1-Incomes'!LG43)/('C1-Incomes'!$LC43)*100</f>
        <v>0.43916731775718953</v>
      </c>
      <c r="G42" s="545">
        <f>('C1-Incomes'!LH43)/('C1-Incomes'!$LC43)*100</f>
        <v>9.7953843316202299E-2</v>
      </c>
      <c r="H42" s="546">
        <f>('C1-Incomes'!LI43)/('C1-Incomes'!$LC43)*100</f>
        <v>1.0842278932514731E-2</v>
      </c>
    </row>
    <row r="43" spans="1:8" s="452" customFormat="1" ht="12" x14ac:dyDescent="0.25">
      <c r="A43" s="239">
        <v>1996</v>
      </c>
      <c r="B43" s="545">
        <f t="shared" si="0"/>
        <v>92.695663789005366</v>
      </c>
      <c r="C43" s="545">
        <f>('C1-Incomes'!LD44)/('C1-Incomes'!$LC44)*100</f>
        <v>7.304336210994637</v>
      </c>
      <c r="D43" s="545">
        <f>('C1-Incomes'!LE44)/('C1-Incomes'!$LC44)*100</f>
        <v>3.5867377397014075</v>
      </c>
      <c r="E43" s="545">
        <f>('C1-Incomes'!LF44)/('C1-Incomes'!$LC44)*100</f>
        <v>0.81546404206803769</v>
      </c>
      <c r="F43" s="545">
        <f>('C1-Incomes'!LG44)/('C1-Incomes'!$LC44)*100</f>
        <v>0.43193998881552464</v>
      </c>
      <c r="G43" s="545">
        <f>('C1-Incomes'!LH44)/('C1-Incomes'!$LC44)*100</f>
        <v>9.2408124777572653E-2</v>
      </c>
      <c r="H43" s="546">
        <f>('C1-Incomes'!LI44)/('C1-Incomes'!$LC44)*100</f>
        <v>1.0256073885669886E-2</v>
      </c>
    </row>
    <row r="44" spans="1:8" s="452" customFormat="1" ht="12" x14ac:dyDescent="0.25">
      <c r="A44" s="239">
        <v>1997</v>
      </c>
      <c r="B44" s="545">
        <f t="shared" si="0"/>
        <v>92.687581242040466</v>
      </c>
      <c r="C44" s="545">
        <f>('C1-Incomes'!LD45)/('C1-Incomes'!$LC45)*100</f>
        <v>7.3124187579595352</v>
      </c>
      <c r="D44" s="545">
        <f>('C1-Incomes'!LE45)/('C1-Incomes'!$LC45)*100</f>
        <v>3.594824147467591</v>
      </c>
      <c r="E44" s="545">
        <f>('C1-Incomes'!LF45)/('C1-Incomes'!$LC45)*100</f>
        <v>0.81707454393675127</v>
      </c>
      <c r="F44" s="545">
        <f>('C1-Incomes'!LG45)/('C1-Incomes'!$LC45)*100</f>
        <v>0.43087573520761902</v>
      </c>
      <c r="G44" s="545">
        <f>('C1-Incomes'!LH45)/('C1-Incomes'!$LC45)*100</f>
        <v>9.3929711756912698E-2</v>
      </c>
      <c r="H44" s="546">
        <f>('C1-Incomes'!LI45)/('C1-Incomes'!$LC45)*100</f>
        <v>1.0070366502380754E-2</v>
      </c>
    </row>
    <row r="45" spans="1:8" s="452" customFormat="1" ht="12" x14ac:dyDescent="0.25">
      <c r="A45" s="239">
        <v>1998</v>
      </c>
      <c r="B45" s="545">
        <f t="shared" si="0"/>
        <v>92.828762612875238</v>
      </c>
      <c r="C45" s="545">
        <f>('C1-Incomes'!LD46)/('C1-Incomes'!$LC46)*100</f>
        <v>7.1712373871247559</v>
      </c>
      <c r="D45" s="545">
        <f>('C1-Incomes'!LE46)/('C1-Incomes'!$LC46)*100</f>
        <v>3.5730184049474896</v>
      </c>
      <c r="E45" s="545">
        <f>('C1-Incomes'!LF46)/('C1-Incomes'!$LC46)*100</f>
        <v>0.80750695086882829</v>
      </c>
      <c r="F45" s="545">
        <f>('C1-Incomes'!LG46)/('C1-Incomes'!$LC46)*100</f>
        <v>0.43664220426607342</v>
      </c>
      <c r="G45" s="545">
        <f>('C1-Incomes'!LH46)/('C1-Incomes'!$LC46)*100</f>
        <v>9.2269222351441638E-2</v>
      </c>
      <c r="H45" s="546">
        <f>('C1-Incomes'!LI46)/('C1-Incomes'!$LC46)*100</f>
        <v>9.9160933488036899E-3</v>
      </c>
    </row>
    <row r="46" spans="1:8" s="452" customFormat="1" ht="12" x14ac:dyDescent="0.25">
      <c r="A46" s="239">
        <v>1999</v>
      </c>
      <c r="B46" s="545">
        <f t="shared" si="0"/>
        <v>92.996127608480947</v>
      </c>
      <c r="C46" s="545">
        <f>('C1-Incomes'!LD47)/('C1-Incomes'!$LC47)*100</f>
        <v>7.0038723915190522</v>
      </c>
      <c r="D46" s="545">
        <f>('C1-Incomes'!LE47)/('C1-Incomes'!$LC47)*100</f>
        <v>3.4433952959505367</v>
      </c>
      <c r="E46" s="545">
        <f>('C1-Incomes'!LF47)/('C1-Incomes'!$LC47)*100</f>
        <v>0.77086965394626661</v>
      </c>
      <c r="F46" s="545">
        <f>('C1-Incomes'!LG47)/('C1-Incomes'!$LC47)*100</f>
        <v>0.40463569800994498</v>
      </c>
      <c r="G46" s="545">
        <f>('C1-Incomes'!LH47)/('C1-Incomes'!$LC47)*100</f>
        <v>8.4846614639983706E-2</v>
      </c>
      <c r="H46" s="546">
        <f>('C1-Incomes'!LI47)/('C1-Incomes'!$LC47)*100</f>
        <v>8.4525619069036953E-3</v>
      </c>
    </row>
    <row r="47" spans="1:8" s="452" customFormat="1" ht="12" x14ac:dyDescent="0.25">
      <c r="A47" s="239">
        <v>2000</v>
      </c>
      <c r="B47" s="545">
        <f t="shared" si="0"/>
        <v>92.4953337675868</v>
      </c>
      <c r="C47" s="545">
        <f>('C1-Incomes'!LD48)/('C1-Incomes'!$LC48)*100</f>
        <v>7.5046662324131956</v>
      </c>
      <c r="D47" s="545">
        <f>('C1-Incomes'!LE48)/('C1-Incomes'!$LC48)*100</f>
        <v>3.7776962696668304</v>
      </c>
      <c r="E47" s="545">
        <f>('C1-Incomes'!LF48)/('C1-Incomes'!$LC48)*100</f>
        <v>0.85706117134982973</v>
      </c>
      <c r="F47" s="545">
        <f>('C1-Incomes'!LG48)/('C1-Incomes'!$LC48)*100</f>
        <v>0.43730637207828077</v>
      </c>
      <c r="G47" s="545">
        <f>('C1-Incomes'!LH48)/('C1-Incomes'!$LC48)*100</f>
        <v>8.8378615692312007E-2</v>
      </c>
      <c r="H47" s="546">
        <f>('C1-Incomes'!LI48)/('C1-Incomes'!$LC48)*100</f>
        <v>9.3891977214462571E-3</v>
      </c>
    </row>
    <row r="48" spans="1:8" s="452" customFormat="1" ht="12" x14ac:dyDescent="0.25">
      <c r="A48" s="239">
        <v>2001</v>
      </c>
      <c r="B48" s="545">
        <f t="shared" si="0"/>
        <v>92.449290813191283</v>
      </c>
      <c r="C48" s="545">
        <f>('C1-Incomes'!LD49)/('C1-Incomes'!$LC49)*100</f>
        <v>7.5507091868087155</v>
      </c>
      <c r="D48" s="545">
        <f>('C1-Incomes'!LE49)/('C1-Incomes'!$LC49)*100</f>
        <v>3.7373319473196589</v>
      </c>
      <c r="E48" s="545">
        <f>('C1-Incomes'!LF49)/('C1-Incomes'!$LC49)*100</f>
        <v>0.83000546271241038</v>
      </c>
      <c r="F48" s="545">
        <f>('C1-Incomes'!LG49)/('C1-Incomes'!$LC49)*100</f>
        <v>0.43260913154818098</v>
      </c>
      <c r="G48" s="545">
        <f>('C1-Incomes'!LH49)/('C1-Incomes'!$LC49)*100</f>
        <v>9.9640215255031611E-2</v>
      </c>
      <c r="H48" s="546">
        <f>('C1-Incomes'!LI49)/('C1-Incomes'!$LC49)*100</f>
        <v>1.1120811829710637E-2</v>
      </c>
    </row>
    <row r="49" spans="1:8" s="452" customFormat="1" ht="12" x14ac:dyDescent="0.25">
      <c r="A49" s="239">
        <v>2002</v>
      </c>
      <c r="B49" s="545">
        <f t="shared" si="0"/>
        <v>92.53739701859061</v>
      </c>
      <c r="C49" s="545">
        <f>('C1-Incomes'!LD50)/('C1-Incomes'!$LC50)*100</f>
        <v>7.4626029814093968</v>
      </c>
      <c r="D49" s="545">
        <f>('C1-Incomes'!LE50)/('C1-Incomes'!$LC50)*100</f>
        <v>3.7331232313590279</v>
      </c>
      <c r="E49" s="545">
        <f>('C1-Incomes'!LF50)/('C1-Incomes'!$LC50)*100</f>
        <v>0.83149634285163232</v>
      </c>
      <c r="F49" s="545">
        <f>('C1-Incomes'!LG50)/('C1-Incomes'!$LC50)*100</f>
        <v>0.43691677508648435</v>
      </c>
      <c r="G49" s="545">
        <f>('C1-Incomes'!LH50)/('C1-Incomes'!$LC50)*100</f>
        <v>0.10394963499532797</v>
      </c>
      <c r="H49" s="546">
        <f>('C1-Incomes'!LI50)/('C1-Incomes'!$LC50)*100</f>
        <v>1.2048261935713683E-2</v>
      </c>
    </row>
    <row r="50" spans="1:8" s="452" customFormat="1" ht="12" x14ac:dyDescent="0.25">
      <c r="A50" s="239">
        <v>2003</v>
      </c>
      <c r="B50" s="545">
        <f t="shared" si="0"/>
        <v>92.692701991443784</v>
      </c>
      <c r="C50" s="545">
        <f>('C1-Incomes'!LD51)/('C1-Incomes'!$LC51)*100</f>
        <v>7.3072980085562094</v>
      </c>
      <c r="D50" s="545">
        <f>('C1-Incomes'!LE51)/('C1-Incomes'!$LC51)*100</f>
        <v>3.6635363600522477</v>
      </c>
      <c r="E50" s="545">
        <f>('C1-Incomes'!LF51)/('C1-Incomes'!$LC51)*100</f>
        <v>0.81814562605546115</v>
      </c>
      <c r="F50" s="545">
        <f>('C1-Incomes'!LG51)/('C1-Incomes'!$LC51)*100</f>
        <v>0.44582317017339512</v>
      </c>
      <c r="G50" s="545">
        <f>('C1-Incomes'!LH51)/('C1-Incomes'!$LC51)*100</f>
        <v>0.11046250924467015</v>
      </c>
      <c r="H50" s="546">
        <f>('C1-Incomes'!LI51)/('C1-Incomes'!$LC51)*100</f>
        <v>1.2169925311146931E-2</v>
      </c>
    </row>
    <row r="51" spans="1:8" s="452" customFormat="1" ht="12" x14ac:dyDescent="0.25">
      <c r="A51" s="239">
        <v>2004</v>
      </c>
      <c r="B51" s="545">
        <f t="shared" si="0"/>
        <v>92.499799035396236</v>
      </c>
      <c r="C51" s="545">
        <f>('C1-Incomes'!LD52)/('C1-Incomes'!$LC52)*100</f>
        <v>7.5002009646037608</v>
      </c>
      <c r="D51" s="545">
        <f>('C1-Incomes'!LE52)/('C1-Incomes'!$LC52)*100</f>
        <v>3.7304036989393894</v>
      </c>
      <c r="E51" s="545">
        <f>('C1-Incomes'!LF52)/('C1-Incomes'!$LC52)*100</f>
        <v>0.83302708492722177</v>
      </c>
      <c r="F51" s="545">
        <f>('C1-Incomes'!LG52)/('C1-Incomes'!$LC52)*100</f>
        <v>0.44823636694937857</v>
      </c>
      <c r="G51" s="545">
        <f>('C1-Incomes'!LH52)/('C1-Incomes'!$LC52)*100</f>
        <v>0.10213942408958777</v>
      </c>
      <c r="H51" s="546">
        <f>('C1-Incomes'!LI52)/('C1-Incomes'!$LC52)*100</f>
        <v>1.1841427058099109E-2</v>
      </c>
    </row>
    <row r="52" spans="1:8" s="452" customFormat="1" ht="12" x14ac:dyDescent="0.25">
      <c r="A52" s="239">
        <v>2005</v>
      </c>
      <c r="B52" s="545">
        <f t="shared" si="0"/>
        <v>92.598510340806925</v>
      </c>
      <c r="C52" s="545">
        <f>('C1-Incomes'!LD53)/('C1-Incomes'!$LC53)*100</f>
        <v>7.401489659193075</v>
      </c>
      <c r="D52" s="545">
        <f>('C1-Incomes'!LE53)/('C1-Incomes'!$LC53)*100</f>
        <v>3.6848457777802519</v>
      </c>
      <c r="E52" s="545">
        <f>('C1-Incomes'!LF53)/('C1-Incomes'!$LC53)*100</f>
        <v>0.79502062947059471</v>
      </c>
      <c r="F52" s="545">
        <f>('C1-Incomes'!LG53)/('C1-Incomes'!$LC53)*100</f>
        <v>0.44267782798048755</v>
      </c>
      <c r="G52" s="545">
        <f>('C1-Incomes'!LH53)/('C1-Incomes'!$LC53)*100</f>
        <v>9.9926787501997155E-2</v>
      </c>
      <c r="H52" s="546">
        <f>('C1-Incomes'!LI53)/('C1-Incomes'!$LC53)*100</f>
        <v>1.1704038075457527E-2</v>
      </c>
    </row>
    <row r="53" spans="1:8" s="452" customFormat="1" ht="12" x14ac:dyDescent="0.25">
      <c r="A53" s="239">
        <v>2006</v>
      </c>
      <c r="B53" s="545">
        <f t="shared" si="0"/>
        <v>92.072564632089225</v>
      </c>
      <c r="C53" s="545">
        <f>('C1-Incomes'!LD54)/('C1-Incomes'!$LC54)*100</f>
        <v>7.9274353679107747</v>
      </c>
      <c r="D53" s="545">
        <f>('C1-Incomes'!LE54)/('C1-Incomes'!$LC54)*100</f>
        <v>3.8751240279590058</v>
      </c>
      <c r="E53" s="545">
        <f>('C1-Incomes'!LF54)/('C1-Incomes'!$LC54)*100</f>
        <v>0.83374607349898466</v>
      </c>
      <c r="F53" s="545">
        <f>('C1-Incomes'!LG54)/('C1-Incomes'!$LC54)*100</f>
        <v>0.45558545673539658</v>
      </c>
      <c r="G53" s="545">
        <f>('C1-Incomes'!LH54)/('C1-Incomes'!$LC54)*100</f>
        <v>0.10322631530943575</v>
      </c>
      <c r="H53" s="546">
        <f>('C1-Incomes'!LI54)/('C1-Incomes'!$LC54)*100</f>
        <v>1.2176860716711705E-2</v>
      </c>
    </row>
    <row r="54" spans="1:8" s="452" customFormat="1" ht="12" x14ac:dyDescent="0.25">
      <c r="A54" s="239">
        <v>2007</v>
      </c>
      <c r="B54" s="545">
        <f t="shared" si="0"/>
        <v>92.051580635593126</v>
      </c>
      <c r="C54" s="545">
        <f>('C1-Incomes'!LD55)/('C1-Incomes'!$LC55)*100</f>
        <v>7.9484193644068721</v>
      </c>
      <c r="D54" s="545">
        <f>('C1-Incomes'!LE55)/('C1-Incomes'!$LC55)*100</f>
        <v>3.8225084761101451</v>
      </c>
      <c r="E54" s="545">
        <f>('C1-Incomes'!LF55)/('C1-Incomes'!$LC55)*100</f>
        <v>0.79806116034222618</v>
      </c>
      <c r="F54" s="545">
        <f>('C1-Incomes'!LG55)/('C1-Incomes'!$LC55)*100</f>
        <v>0.41887754720872761</v>
      </c>
      <c r="G54" s="545">
        <f>('C1-Incomes'!LH55)/('C1-Incomes'!$LC55)*100</f>
        <v>9.3796577698804756E-2</v>
      </c>
      <c r="H54" s="546">
        <f>('C1-Incomes'!LI55)/('C1-Incomes'!$LC55)*100</f>
        <v>1.1187648891564941E-2</v>
      </c>
    </row>
    <row r="55" spans="1:8" s="452" customFormat="1" ht="12" x14ac:dyDescent="0.25">
      <c r="A55" s="239">
        <v>2008</v>
      </c>
      <c r="B55" s="545">
        <f t="shared" si="0"/>
        <v>92.181158332120617</v>
      </c>
      <c r="C55" s="545">
        <f>('C1-Incomes'!LD56)/('C1-Incomes'!$LC56)*100</f>
        <v>7.8188416678793864</v>
      </c>
      <c r="D55" s="545">
        <f>('C1-Incomes'!LE56)/('C1-Incomes'!$LC56)*100</f>
        <v>3.6368520845434205</v>
      </c>
      <c r="E55" s="545">
        <f>('C1-Incomes'!LF56)/('C1-Incomes'!$LC56)*100</f>
        <v>0.77202552619783915</v>
      </c>
      <c r="F55" s="545">
        <f>('C1-Incomes'!LG56)/('C1-Incomes'!$LC56)*100</f>
        <v>0.40715180084319474</v>
      </c>
      <c r="G55" s="545">
        <f>('C1-Incomes'!LH56)/('C1-Incomes'!$LC56)*100</f>
        <v>9.052705100414167E-2</v>
      </c>
      <c r="H55" s="546">
        <f>('C1-Incomes'!LI56)/('C1-Incomes'!$LC56)*100</f>
        <v>1.0637623537693291E-2</v>
      </c>
    </row>
    <row r="56" spans="1:8" s="452" customFormat="1" ht="12" x14ac:dyDescent="0.25">
      <c r="A56" s="239">
        <v>2009</v>
      </c>
      <c r="B56" s="545">
        <f t="shared" si="0"/>
        <v>92.420801854650122</v>
      </c>
      <c r="C56" s="545">
        <f>('C1-Incomes'!LD57)/('C1-Incomes'!$LC57)*100</f>
        <v>7.5791981453498831</v>
      </c>
      <c r="D56" s="545">
        <f>('C1-Incomes'!LE57)/('C1-Incomes'!$LC57)*100</f>
        <v>3.5932242131512795</v>
      </c>
      <c r="E56" s="545">
        <f>('C1-Incomes'!LF57)/('C1-Incomes'!$LC57)*100</f>
        <v>0.76774526101467655</v>
      </c>
      <c r="F56" s="545">
        <f>('C1-Incomes'!LG57)/('C1-Incomes'!$LC57)*100</f>
        <v>0.40810615547789636</v>
      </c>
      <c r="G56" s="545">
        <f>('C1-Incomes'!LH57)/('C1-Incomes'!$LC57)*100</f>
        <v>8.9469494124066934E-2</v>
      </c>
      <c r="H56" s="546">
        <f>('C1-Incomes'!LI57)/('C1-Incomes'!$LC57)*100</f>
        <v>1.0582149212259435E-2</v>
      </c>
    </row>
    <row r="57" spans="1:8" s="452" customFormat="1" ht="12" x14ac:dyDescent="0.25">
      <c r="A57" s="239">
        <v>2010</v>
      </c>
      <c r="B57" s="545">
        <f t="shared" si="0"/>
        <v>92.00694864688171</v>
      </c>
      <c r="C57" s="545">
        <f>('C1-Incomes'!LD58)/('C1-Incomes'!$LC58)*100</f>
        <v>7.9930513531182941</v>
      </c>
      <c r="D57" s="545">
        <f>('C1-Incomes'!LE58)/('C1-Incomes'!$LC58)*100</f>
        <v>3.7408788879964607</v>
      </c>
      <c r="E57" s="545">
        <f>('C1-Incomes'!LF58)/('C1-Incomes'!$LC58)*100</f>
        <v>0.75497621936316284</v>
      </c>
      <c r="F57" s="545">
        <f>('C1-Incomes'!LG58)/('C1-Incomes'!$LC58)*100</f>
        <v>0.41248679345399142</v>
      </c>
      <c r="G57" s="545">
        <f>('C1-Incomes'!LH58)/('C1-Incomes'!$LC58)*100</f>
        <v>9.189798476652733E-2</v>
      </c>
      <c r="H57" s="546">
        <f>('C1-Incomes'!LI58)/('C1-Incomes'!$LC58)*100</f>
        <v>1.0202450195678893E-2</v>
      </c>
    </row>
    <row r="58" spans="1:8" s="452" customFormat="1" ht="12" x14ac:dyDescent="0.25">
      <c r="A58" s="239">
        <v>2011</v>
      </c>
      <c r="B58" s="545">
        <f t="shared" si="0"/>
        <v>92.184658413655953</v>
      </c>
      <c r="C58" s="545">
        <f>('C1-Incomes'!LD59)/('C1-Incomes'!$LC59)*100</f>
        <v>7.8153415863440436</v>
      </c>
      <c r="D58" s="545">
        <f>('C1-Incomes'!LE59)/('C1-Incomes'!$LC59)*100</f>
        <v>3.722792044448016</v>
      </c>
      <c r="E58" s="545">
        <f>('C1-Incomes'!LF59)/('C1-Incomes'!$LC59)*100</f>
        <v>0.76052023018854886</v>
      </c>
      <c r="F58" s="545">
        <f>('C1-Incomes'!LG59)/('C1-Incomes'!$LC59)*100</f>
        <v>0.41849217168161623</v>
      </c>
      <c r="G58" s="545">
        <f>('C1-Incomes'!LH59)/('C1-Incomes'!$LC59)*100</f>
        <v>9.0983992412308978E-2</v>
      </c>
      <c r="H58" s="546">
        <f>('C1-Incomes'!LI59)/('C1-Incomes'!$LC59)*100</f>
        <v>1.046350840099163E-2</v>
      </c>
    </row>
    <row r="59" spans="1:8" s="452" customFormat="1" ht="12" x14ac:dyDescent="0.25">
      <c r="A59" s="239">
        <v>2012</v>
      </c>
      <c r="B59" s="545">
        <f t="shared" si="0"/>
        <v>91.950671012474658</v>
      </c>
      <c r="C59" s="545">
        <f>('C1-Incomes'!LD60)/('C1-Incomes'!$LC60)*100</f>
        <v>8.049328987525346</v>
      </c>
      <c r="D59" s="545">
        <f>('C1-Incomes'!LE60)/('C1-Incomes'!$LC60)*100</f>
        <v>3.7451779739791178</v>
      </c>
      <c r="E59" s="545">
        <f>('C1-Incomes'!LF60)/('C1-Incomes'!$LC60)*100</f>
        <v>0.76473750154146514</v>
      </c>
      <c r="F59" s="545">
        <f>('C1-Incomes'!LG60)/('C1-Incomes'!$LC60)*100</f>
        <v>0.39703036069051345</v>
      </c>
      <c r="G59" s="545">
        <f>('C1-Incomes'!LH60)/('C1-Incomes'!$LC60)*100</f>
        <v>9.3908630232359513E-2</v>
      </c>
      <c r="H59" s="546">
        <f>('C1-Incomes'!LI60)/('C1-Incomes'!$LC60)*100</f>
        <v>1.0713960721096514E-2</v>
      </c>
    </row>
    <row r="60" spans="1:8" s="452" customFormat="1" ht="12" x14ac:dyDescent="0.25">
      <c r="A60" s="239">
        <v>2013</v>
      </c>
      <c r="B60" s="545">
        <f t="shared" si="0"/>
        <v>91.59470079313202</v>
      </c>
      <c r="C60" s="545">
        <f>('C1-Incomes'!LD61)/('C1-Incomes'!$LC61)*100</f>
        <v>8.4052992068679782</v>
      </c>
      <c r="D60" s="545">
        <f>('C1-Incomes'!LE61)/('C1-Incomes'!$LC61)*100</f>
        <v>3.9570185242733023</v>
      </c>
      <c r="E60" s="545">
        <f>('C1-Incomes'!LF61)/('C1-Incomes'!$LC61)*100</f>
        <v>0.81499756778631638</v>
      </c>
      <c r="F60" s="545">
        <f>('C1-Incomes'!LG61)/('C1-Incomes'!$LC61)*100</f>
        <v>0.42117466171304846</v>
      </c>
      <c r="G60" s="545">
        <f>('C1-Incomes'!LH61)/('C1-Incomes'!$LC61)*100</f>
        <v>9.4828801830572906E-2</v>
      </c>
      <c r="H60" s="546">
        <f>('C1-Incomes'!LI61)/('C1-Incomes'!$LC61)*100</f>
        <v>1.1247741465659628E-2</v>
      </c>
    </row>
    <row r="61" spans="1:8" s="452" customFormat="1" ht="12" x14ac:dyDescent="0.25">
      <c r="A61" s="239">
        <v>2014</v>
      </c>
      <c r="B61" s="545">
        <f>100-C61</f>
        <v>91.783416732592514</v>
      </c>
      <c r="C61" s="545">
        <f>('C1-Incomes'!LD62)/('C1-Incomes'!$LC62)*100</f>
        <v>8.2165832674074863</v>
      </c>
      <c r="D61" s="545">
        <f>('C1-Incomes'!LE62)/('C1-Incomes'!$LC62)*100</f>
        <v>3.9655825328697283</v>
      </c>
      <c r="E61" s="545">
        <f>('C1-Incomes'!LF62)/('C1-Incomes'!$LC62)*100</f>
        <v>0.80748370427751948</v>
      </c>
      <c r="F61" s="545">
        <f>('C1-Incomes'!LG62)/('C1-Incomes'!$LC62)*100</f>
        <v>0.42394125640119829</v>
      </c>
      <c r="G61" s="545">
        <f>('C1-Incomes'!LH62)/('C1-Incomes'!$LC62)*100</f>
        <v>9.1998205376737585E-2</v>
      </c>
      <c r="H61" s="546">
        <f>('C1-Incomes'!LI62)/('C1-Incomes'!$LC62)*100</f>
        <v>1.0829437327341726E-2</v>
      </c>
    </row>
    <row r="62" spans="1:8" s="452" customFormat="1" ht="12" x14ac:dyDescent="0.25">
      <c r="A62" s="239">
        <v>2015</v>
      </c>
      <c r="B62" s="545">
        <f>100-C62</f>
        <v>91.6980285953628</v>
      </c>
      <c r="C62" s="545">
        <f>('C1-Incomes'!LD63)/('C1-Incomes'!$LC63)*100</f>
        <v>8.3019714046371966</v>
      </c>
      <c r="D62" s="545">
        <f>('C1-Incomes'!LE63)/('C1-Incomes'!$LC63)*100</f>
        <v>3.9807670969870061</v>
      </c>
      <c r="E62" s="545">
        <f>('C1-Incomes'!LF63)/('C1-Incomes'!$LC63)*100</f>
        <v>0.81189317833606256</v>
      </c>
      <c r="F62" s="545">
        <f>('C1-Incomes'!LG63)/('C1-Incomes'!$LC63)*100</f>
        <v>0.43591761366210968</v>
      </c>
      <c r="G62" s="545">
        <f>('C1-Incomes'!LH63)/('C1-Incomes'!$LC63)*100</f>
        <v>9.5744917515779626E-2</v>
      </c>
      <c r="H62" s="546">
        <f>('C1-Incomes'!LI63)/('C1-Incomes'!$LC63)*100</f>
        <v>1.1191243256198401E-2</v>
      </c>
    </row>
    <row r="63" spans="1:8" s="452" customFormat="1" ht="12" x14ac:dyDescent="0.25"/>
    <row r="64" spans="1:8" s="452" customFormat="1" ht="12" x14ac:dyDescent="0.25">
      <c r="A64" s="548"/>
      <c r="B64" s="548"/>
      <c r="C64" s="548"/>
      <c r="D64" s="548"/>
      <c r="E64" s="548"/>
      <c r="F64" s="548"/>
      <c r="G64" s="548"/>
      <c r="H64" s="548"/>
    </row>
    <row r="65" spans="1:1" s="452" customFormat="1" ht="12" x14ac:dyDescent="0.25"/>
    <row r="66" spans="1:1" x14ac:dyDescent="0.3">
      <c r="A66" s="24" t="s">
        <v>2170</v>
      </c>
    </row>
  </sheetData>
  <mergeCells count="2">
    <mergeCell ref="B3:H3"/>
    <mergeCell ref="B4:H4"/>
  </mergeCells>
  <hyperlinks>
    <hyperlink ref="A2" location="Index!A1" display="Index"/>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BL81"/>
  <sheetViews>
    <sheetView workbookViewId="0">
      <selection activeCell="D12" sqref="D12"/>
    </sheetView>
  </sheetViews>
  <sheetFormatPr defaultColWidth="9.109375" defaultRowHeight="14.4" x14ac:dyDescent="0.3"/>
  <cols>
    <col min="1" max="1" width="9.109375" style="24"/>
    <col min="2" max="2" width="7.88671875" style="24" customWidth="1"/>
    <col min="3" max="3" width="7.21875" style="24" customWidth="1"/>
    <col min="4" max="4" width="6.21875" style="24" customWidth="1"/>
    <col min="5" max="5" width="6.88671875" style="24" customWidth="1"/>
    <col min="6" max="7" width="7.5546875" style="24" customWidth="1"/>
    <col min="8" max="8" width="8.21875" style="24" customWidth="1"/>
    <col min="9" max="9" width="1.5546875" style="24" customWidth="1"/>
    <col min="10" max="15" width="7.44140625" style="24" customWidth="1"/>
    <col min="16" max="16" width="8.44140625" style="24" customWidth="1"/>
    <col min="17" max="17" width="2.21875" style="24" customWidth="1"/>
    <col min="18" max="19" width="7.44140625" style="24" customWidth="1"/>
    <col min="20" max="20" width="7.21875" style="24" customWidth="1"/>
    <col min="21" max="21" width="6.77734375" style="24" customWidth="1"/>
    <col min="22" max="23" width="7.44140625" style="24" customWidth="1"/>
    <col min="24" max="24" width="9.109375" style="24"/>
    <col min="25" max="25" width="2.5546875" style="24" customWidth="1"/>
    <col min="26" max="30" width="7.44140625" style="24" customWidth="1"/>
    <col min="31" max="31" width="7.88671875" style="24" customWidth="1"/>
    <col min="32" max="32" width="9.109375" style="24"/>
    <col min="33" max="33" width="1.88671875" style="24" customWidth="1"/>
    <col min="34" max="34" width="7.88671875" style="24" customWidth="1"/>
    <col min="35" max="38" width="7.44140625" style="24" customWidth="1"/>
    <col min="39" max="39" width="7.88671875" style="24" customWidth="1"/>
    <col min="40" max="40" width="9.109375" style="24"/>
    <col min="41" max="41" width="1.88671875" style="24" customWidth="1"/>
    <col min="42" max="46" width="8" style="24" customWidth="1"/>
    <col min="47" max="47" width="8.44140625" style="24" customWidth="1"/>
    <col min="48" max="48" width="9.109375" style="24"/>
    <col min="49" max="49" width="1.77734375" style="24" customWidth="1"/>
    <col min="50" max="50" width="7.109375" style="24" customWidth="1"/>
    <col min="51" max="52" width="7.21875" style="24" customWidth="1"/>
    <col min="53" max="56" width="7.77734375" style="24" customWidth="1"/>
    <col min="57" max="57" width="1.88671875" style="24" customWidth="1"/>
    <col min="58" max="58" width="7.5546875" style="24" customWidth="1"/>
    <col min="59" max="63" width="8" style="24" customWidth="1"/>
    <col min="64" max="16384" width="9.109375" style="24"/>
  </cols>
  <sheetData>
    <row r="1" spans="1:64" ht="15.6" x14ac:dyDescent="0.3">
      <c r="A1" s="178" t="s">
        <v>1762</v>
      </c>
      <c r="B1" s="181"/>
      <c r="C1" s="181"/>
      <c r="D1" s="181"/>
      <c r="E1" s="181"/>
      <c r="F1" s="181"/>
      <c r="G1" s="181"/>
      <c r="H1" s="181"/>
      <c r="I1" s="181"/>
      <c r="J1" s="1052" t="s">
        <v>504</v>
      </c>
    </row>
    <row r="2" spans="1:64" ht="15.6" x14ac:dyDescent="0.3">
      <c r="A2" s="125"/>
      <c r="B2" s="501"/>
      <c r="C2" s="501"/>
      <c r="D2" s="501"/>
      <c r="E2" s="501"/>
      <c r="F2" s="501"/>
      <c r="G2" s="501"/>
      <c r="H2" s="501"/>
      <c r="I2" s="501"/>
      <c r="J2" s="125"/>
      <c r="K2" s="180"/>
      <c r="L2" s="125"/>
      <c r="M2" s="125"/>
      <c r="N2" s="125"/>
      <c r="O2" s="125"/>
      <c r="P2" s="125"/>
      <c r="Q2" s="125"/>
      <c r="R2" s="125"/>
      <c r="S2" s="515"/>
      <c r="T2" s="515"/>
      <c r="U2" s="515"/>
      <c r="V2" s="515"/>
      <c r="W2" s="515"/>
      <c r="X2" s="515"/>
      <c r="Y2" s="125"/>
      <c r="Z2" s="125"/>
      <c r="AA2" s="125"/>
      <c r="AB2" s="125"/>
      <c r="AC2" s="125"/>
      <c r="AD2" s="125"/>
      <c r="AE2" s="125"/>
      <c r="AF2" s="125"/>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row>
    <row r="3" spans="1:64" x14ac:dyDescent="0.3">
      <c r="B3" s="1451" t="s">
        <v>576</v>
      </c>
      <c r="C3" s="1451"/>
      <c r="D3" s="1451"/>
      <c r="E3" s="1451"/>
      <c r="F3" s="1451"/>
      <c r="G3" s="1451"/>
      <c r="H3" s="1451"/>
      <c r="J3" s="1451" t="s">
        <v>568</v>
      </c>
      <c r="K3" s="1451"/>
      <c r="L3" s="1451"/>
      <c r="M3" s="1451"/>
      <c r="N3" s="1451"/>
      <c r="O3" s="1451"/>
      <c r="P3" s="1451"/>
      <c r="R3" s="1451" t="s">
        <v>569</v>
      </c>
      <c r="S3" s="1451"/>
      <c r="T3" s="1451"/>
      <c r="U3" s="1451"/>
      <c r="V3" s="1451"/>
      <c r="W3" s="1451"/>
      <c r="X3" s="1451"/>
      <c r="Y3" s="447"/>
      <c r="Z3" s="1453" t="s">
        <v>571</v>
      </c>
      <c r="AA3" s="1453"/>
      <c r="AB3" s="1453"/>
      <c r="AC3" s="1453"/>
      <c r="AD3" s="1453"/>
      <c r="AE3" s="1453"/>
      <c r="AF3" s="1453"/>
      <c r="AG3" s="447"/>
      <c r="AH3" s="1451" t="s">
        <v>570</v>
      </c>
      <c r="AI3" s="1451"/>
      <c r="AJ3" s="1451"/>
      <c r="AK3" s="1451"/>
      <c r="AL3" s="1451"/>
      <c r="AM3" s="1451"/>
      <c r="AN3" s="1451"/>
      <c r="AO3" s="447"/>
      <c r="AP3" s="1453" t="s">
        <v>572</v>
      </c>
      <c r="AQ3" s="1453"/>
      <c r="AR3" s="1453"/>
      <c r="AS3" s="1453"/>
      <c r="AT3" s="1453"/>
      <c r="AU3" s="1453"/>
      <c r="AV3" s="1453"/>
      <c r="AW3" s="985"/>
      <c r="AX3" s="1453" t="s">
        <v>1526</v>
      </c>
      <c r="AY3" s="1453"/>
      <c r="AZ3" s="1453"/>
      <c r="BA3" s="1453"/>
      <c r="BB3" s="1453"/>
      <c r="BC3" s="1453"/>
      <c r="BD3" s="1453"/>
      <c r="BE3" s="447"/>
      <c r="BF3" s="1451" t="s">
        <v>573</v>
      </c>
      <c r="BG3" s="1451"/>
      <c r="BH3" s="1451"/>
      <c r="BI3" s="1451"/>
      <c r="BJ3" s="1451"/>
      <c r="BK3" s="1451"/>
      <c r="BL3" s="1451"/>
    </row>
    <row r="4" spans="1:64" x14ac:dyDescent="0.3">
      <c r="B4" s="49" t="s">
        <v>496</v>
      </c>
      <c r="C4" s="49" t="s">
        <v>24</v>
      </c>
      <c r="D4" s="49" t="s">
        <v>25</v>
      </c>
      <c r="E4" s="49" t="s">
        <v>26</v>
      </c>
      <c r="F4" s="49" t="s">
        <v>28</v>
      </c>
      <c r="G4" s="49" t="s">
        <v>27</v>
      </c>
      <c r="H4" s="49" t="s">
        <v>23</v>
      </c>
      <c r="J4" s="49" t="s">
        <v>496</v>
      </c>
      <c r="K4" s="49" t="s">
        <v>24</v>
      </c>
      <c r="L4" s="49" t="s">
        <v>25</v>
      </c>
      <c r="M4" s="49" t="s">
        <v>26</v>
      </c>
      <c r="N4" s="49" t="s">
        <v>28</v>
      </c>
      <c r="O4" s="49" t="s">
        <v>27</v>
      </c>
      <c r="P4" s="49" t="s">
        <v>23</v>
      </c>
      <c r="R4" s="49" t="s">
        <v>496</v>
      </c>
      <c r="S4" s="49" t="s">
        <v>24</v>
      </c>
      <c r="T4" s="49" t="s">
        <v>25</v>
      </c>
      <c r="U4" s="49" t="s">
        <v>26</v>
      </c>
      <c r="V4" s="49" t="s">
        <v>28</v>
      </c>
      <c r="W4" s="49" t="s">
        <v>27</v>
      </c>
      <c r="X4" s="49" t="s">
        <v>23</v>
      </c>
      <c r="Y4" s="49"/>
      <c r="Z4" s="49" t="s">
        <v>496</v>
      </c>
      <c r="AA4" s="49" t="s">
        <v>24</v>
      </c>
      <c r="AB4" s="49" t="s">
        <v>25</v>
      </c>
      <c r="AC4" s="49" t="s">
        <v>26</v>
      </c>
      <c r="AD4" s="49" t="s">
        <v>28</v>
      </c>
      <c r="AE4" s="49" t="s">
        <v>27</v>
      </c>
      <c r="AF4" s="49" t="s">
        <v>23</v>
      </c>
      <c r="AG4" s="49"/>
      <c r="AH4" s="49" t="s">
        <v>496</v>
      </c>
      <c r="AI4" s="49" t="s">
        <v>24</v>
      </c>
      <c r="AJ4" s="49" t="s">
        <v>25</v>
      </c>
      <c r="AK4" s="49" t="s">
        <v>26</v>
      </c>
      <c r="AL4" s="49" t="s">
        <v>28</v>
      </c>
      <c r="AM4" s="49" t="s">
        <v>27</v>
      </c>
      <c r="AN4" s="49" t="s">
        <v>23</v>
      </c>
      <c r="AO4" s="49"/>
      <c r="AP4" s="49" t="s">
        <v>496</v>
      </c>
      <c r="AQ4" s="49" t="s">
        <v>24</v>
      </c>
      <c r="AR4" s="49" t="s">
        <v>25</v>
      </c>
      <c r="AS4" s="49" t="s">
        <v>26</v>
      </c>
      <c r="AT4" s="49" t="s">
        <v>28</v>
      </c>
      <c r="AU4" s="49" t="s">
        <v>27</v>
      </c>
      <c r="AV4" s="49" t="s">
        <v>23</v>
      </c>
      <c r="AW4" s="49"/>
      <c r="AX4" s="49" t="s">
        <v>496</v>
      </c>
      <c r="AY4" s="49" t="s">
        <v>24</v>
      </c>
      <c r="AZ4" s="49" t="s">
        <v>25</v>
      </c>
      <c r="BA4" s="49" t="s">
        <v>26</v>
      </c>
      <c r="BB4" s="49" t="s">
        <v>28</v>
      </c>
      <c r="BC4" s="49" t="s">
        <v>27</v>
      </c>
      <c r="BD4" s="49" t="s">
        <v>23</v>
      </c>
      <c r="BE4" s="49"/>
      <c r="BF4" s="49" t="s">
        <v>496</v>
      </c>
      <c r="BG4" s="49" t="s">
        <v>24</v>
      </c>
      <c r="BH4" s="49" t="s">
        <v>25</v>
      </c>
      <c r="BI4" s="49" t="s">
        <v>26</v>
      </c>
      <c r="BJ4" s="49" t="s">
        <v>28</v>
      </c>
      <c r="BK4" s="49" t="s">
        <v>27</v>
      </c>
      <c r="BL4" s="49" t="s">
        <v>23</v>
      </c>
    </row>
    <row r="5" spans="1:64" x14ac:dyDescent="0.3">
      <c r="A5" s="446"/>
      <c r="B5" s="53" t="s">
        <v>29</v>
      </c>
      <c r="C5" s="53" t="s">
        <v>13</v>
      </c>
      <c r="D5" s="53" t="s">
        <v>14</v>
      </c>
      <c r="E5" s="53" t="s">
        <v>15</v>
      </c>
      <c r="F5" s="53" t="s">
        <v>16</v>
      </c>
      <c r="G5" s="53" t="s">
        <v>17</v>
      </c>
      <c r="H5" s="53" t="s">
        <v>18</v>
      </c>
      <c r="I5" s="446"/>
      <c r="J5" s="53" t="s">
        <v>29</v>
      </c>
      <c r="K5" s="53" t="s">
        <v>13</v>
      </c>
      <c r="L5" s="53" t="s">
        <v>14</v>
      </c>
      <c r="M5" s="53" t="s">
        <v>15</v>
      </c>
      <c r="N5" s="53" t="s">
        <v>16</v>
      </c>
      <c r="O5" s="53" t="s">
        <v>17</v>
      </c>
      <c r="P5" s="53" t="s">
        <v>18</v>
      </c>
      <c r="Q5" s="125"/>
      <c r="R5" s="53" t="s">
        <v>29</v>
      </c>
      <c r="S5" s="53" t="s">
        <v>13</v>
      </c>
      <c r="T5" s="53" t="s">
        <v>14</v>
      </c>
      <c r="U5" s="53" t="s">
        <v>15</v>
      </c>
      <c r="V5" s="53" t="s">
        <v>16</v>
      </c>
      <c r="W5" s="53" t="s">
        <v>17</v>
      </c>
      <c r="X5" s="53" t="s">
        <v>18</v>
      </c>
      <c r="Y5" s="53"/>
      <c r="Z5" s="53" t="s">
        <v>29</v>
      </c>
      <c r="AA5" s="53" t="s">
        <v>13</v>
      </c>
      <c r="AB5" s="53" t="s">
        <v>14</v>
      </c>
      <c r="AC5" s="53" t="s">
        <v>15</v>
      </c>
      <c r="AD5" s="53" t="s">
        <v>16</v>
      </c>
      <c r="AE5" s="53" t="s">
        <v>17</v>
      </c>
      <c r="AF5" s="53" t="s">
        <v>18</v>
      </c>
      <c r="AG5" s="53"/>
      <c r="AH5" s="53" t="s">
        <v>29</v>
      </c>
      <c r="AI5" s="53" t="s">
        <v>13</v>
      </c>
      <c r="AJ5" s="53" t="s">
        <v>14</v>
      </c>
      <c r="AK5" s="53" t="s">
        <v>15</v>
      </c>
      <c r="AL5" s="53" t="s">
        <v>16</v>
      </c>
      <c r="AM5" s="53" t="s">
        <v>17</v>
      </c>
      <c r="AN5" s="53" t="s">
        <v>18</v>
      </c>
      <c r="AO5" s="53"/>
      <c r="AP5" s="53" t="s">
        <v>29</v>
      </c>
      <c r="AQ5" s="53" t="s">
        <v>13</v>
      </c>
      <c r="AR5" s="53" t="s">
        <v>14</v>
      </c>
      <c r="AS5" s="53" t="s">
        <v>15</v>
      </c>
      <c r="AT5" s="53" t="s">
        <v>16</v>
      </c>
      <c r="AU5" s="53" t="s">
        <v>17</v>
      </c>
      <c r="AV5" s="53" t="s">
        <v>18</v>
      </c>
      <c r="AW5" s="53"/>
      <c r="AX5" s="53" t="s">
        <v>29</v>
      </c>
      <c r="AY5" s="53" t="s">
        <v>13</v>
      </c>
      <c r="AZ5" s="53" t="s">
        <v>14</v>
      </c>
      <c r="BA5" s="53" t="s">
        <v>15</v>
      </c>
      <c r="BB5" s="53" t="s">
        <v>16</v>
      </c>
      <c r="BC5" s="53" t="s">
        <v>17</v>
      </c>
      <c r="BD5" s="53" t="s">
        <v>18</v>
      </c>
      <c r="BE5" s="53"/>
      <c r="BF5" s="53" t="s">
        <v>29</v>
      </c>
      <c r="BG5" s="53" t="s">
        <v>13</v>
      </c>
      <c r="BH5" s="53" t="s">
        <v>14</v>
      </c>
      <c r="BI5" s="53" t="s">
        <v>15</v>
      </c>
      <c r="BJ5" s="53" t="s">
        <v>16</v>
      </c>
      <c r="BK5" s="53" t="s">
        <v>17</v>
      </c>
      <c r="BL5" s="53" t="s">
        <v>18</v>
      </c>
    </row>
    <row r="6" spans="1:64" s="452" customFormat="1" ht="12" x14ac:dyDescent="0.25">
      <c r="A6" s="239">
        <v>1960</v>
      </c>
      <c r="B6" s="456">
        <f>100-C6</f>
        <v>56.635177636237913</v>
      </c>
      <c r="C6" s="456">
        <f>SUM('C1-Incomes'!JH8,'C1-Incomes'!JP8,'C1-Incomes'!JX8,'C1-Incomes'!KF8,'C1-Incomes'!KN8,'C1-Incomes'!KV8)/SUM('C1-Incomes'!$JG8,'C1-Incomes'!$JO8,'C1-Incomes'!$JW8,'C1-Incomes'!$KE8,'C1-Incomes'!$KM8,'C1-Incomes'!$KU8)*100</f>
        <v>43.364822363762087</v>
      </c>
      <c r="D6" s="456">
        <f>SUM('C1-Incomes'!JI8,'C1-Incomes'!JQ8,'C1-Incomes'!JY8,'C1-Incomes'!KG8,'C1-Incomes'!KO8,'C1-Incomes'!KW8)/SUM('C1-Incomes'!$JG8,'C1-Incomes'!$JO8,'C1-Incomes'!$JW8,'C1-Incomes'!$KE8,'C1-Incomes'!$KM8,'C1-Incomes'!$KU8)*100</f>
        <v>32.437514320184121</v>
      </c>
      <c r="E6" s="456">
        <f>SUM('C1-Incomes'!JJ8,'C1-Incomes'!JR8,'C1-Incomes'!JZ8,'C1-Incomes'!KH8,'C1-Incomes'!KP8,'C1-Incomes'!KX8)/SUM('C1-Incomes'!$JG8,'C1-Incomes'!$JO8,'C1-Incomes'!$JW8,'C1-Incomes'!$KE8,'C1-Incomes'!$KM8,'C1-Incomes'!$KU8)*100</f>
        <v>16.873267207017502</v>
      </c>
      <c r="F6" s="456">
        <f>SUM('C1-Incomes'!JK8,'C1-Incomes'!JS8,'C1-Incomes'!KA8,'C1-Incomes'!KI8,'C1-Incomes'!KQ8,'C1-Incomes'!KY8)/SUM('C1-Incomes'!$JG8,'C1-Incomes'!$JO8,'C1-Incomes'!$JW8,'C1-Incomes'!$KE8,'C1-Incomes'!$KM8,'C1-Incomes'!$KU8)*100</f>
        <v>12.974178673481005</v>
      </c>
      <c r="G6" s="456">
        <f>SUM('C1-Incomes'!JL8,'C1-Incomes'!JT8,'C1-Incomes'!KB8,'C1-Incomes'!KJ8,'C1-Incomes'!KR8,'C1-Incomes'!KZ8)/SUM('C1-Incomes'!$JG8,'C1-Incomes'!$JO8,'C1-Incomes'!$JW8,'C1-Incomes'!$KE8,'C1-Incomes'!$KM8,'C1-Incomes'!$KU8)*100</f>
        <v>7.0143287636356551</v>
      </c>
      <c r="H6" s="456">
        <f>SUM('C1-Incomes'!JM8,'C1-Incomes'!JU8,'C1-Incomes'!KC8,'C1-Incomes'!KK8,'C1-Incomes'!KS8,'C1-Incomes'!LA8)/SUM('C1-Incomes'!$JG8,'C1-Incomes'!$JO8,'C1-Incomes'!$JW8,'C1-Incomes'!$KE8,'C1-Incomes'!$KM8,'C1-Incomes'!$KU8)*100</f>
        <v>2.7024881133247156</v>
      </c>
      <c r="I6" s="239"/>
      <c r="J6" s="456">
        <f>100-K6</f>
        <v>48.595257455735151</v>
      </c>
      <c r="K6" s="456">
        <f>'C1-Incomes'!JH8/'C1-Incomes'!JG8*100</f>
        <v>51.404742544264849</v>
      </c>
      <c r="L6" s="456">
        <f>'C1-Incomes'!JI8/'C1-Incomes'!JG8*100</f>
        <v>38.690513450021953</v>
      </c>
      <c r="M6" s="456">
        <f>'C1-Incomes'!JJ8/'C1-Incomes'!JG8*100</f>
        <v>20.612465934227924</v>
      </c>
      <c r="N6" s="456">
        <f>'C1-Incomes'!JK8/'C1-Incomes'!JG8*100</f>
        <v>15.771627596501633</v>
      </c>
      <c r="O6" s="456">
        <f>'C1-Incomes'!JL8/'C1-Incomes'!JG8*100</f>
        <v>8.1542942277305066</v>
      </c>
      <c r="P6" s="456">
        <f>'C1-Incomes'!JM8/'C1-Incomes'!JG8*100</f>
        <v>2.9253076662708102</v>
      </c>
      <c r="Q6" s="458"/>
      <c r="R6" s="456">
        <f>100-S6</f>
        <v>42.866053307725139</v>
      </c>
      <c r="S6" s="456">
        <f>'C1-Incomes'!JP8/'C1-Incomes'!JO8*100</f>
        <v>57.133946692274861</v>
      </c>
      <c r="T6" s="456">
        <f>'C1-Incomes'!JQ8/'C1-Incomes'!JO8*100</f>
        <v>46.485227187366633</v>
      </c>
      <c r="U6" s="456">
        <f>'C1-Incomes'!JR8/'C1-Incomes'!JO8*100</f>
        <v>27.700501570635939</v>
      </c>
      <c r="V6" s="456">
        <f>'C1-Incomes'!JS8/'C1-Incomes'!JO8*100</f>
        <v>21.105900076824586</v>
      </c>
      <c r="W6" s="456">
        <f>'C1-Incomes'!JT8/'C1-Incomes'!JO8*100</f>
        <v>10.783056688006829</v>
      </c>
      <c r="X6" s="456">
        <f>'C1-Incomes'!JU8/'C1-Incomes'!JO8*100</f>
        <v>4.121954914212548</v>
      </c>
      <c r="Y6" s="458"/>
      <c r="Z6" s="456">
        <f>100-AA6</f>
        <v>37.4</v>
      </c>
      <c r="AA6" s="456">
        <f>'C1-Incomes'!JX8/'C1-Incomes'!JW8*100</f>
        <v>62.6</v>
      </c>
      <c r="AB6" s="456">
        <f>'C1-Incomes'!JY8/'C1-Incomes'!JW8*100</f>
        <v>52.999999999999993</v>
      </c>
      <c r="AC6" s="456">
        <f>'C1-Incomes'!JZ8/'C1-Incomes'!JW8*100</f>
        <v>33.199999999999996</v>
      </c>
      <c r="AD6" s="456">
        <f>'C1-Incomes'!KA8/'C1-Incomes'!JW8*100</f>
        <v>27.1</v>
      </c>
      <c r="AE6" s="456">
        <f>'C1-Incomes'!KB8/'C1-Incomes'!JW8*100</f>
        <v>16.3</v>
      </c>
      <c r="AF6" s="456">
        <f>'C1-Incomes'!KC8/'C1-Incomes'!JW8*100</f>
        <v>6.8000000000000007</v>
      </c>
      <c r="AG6" s="458"/>
      <c r="AH6" s="456">
        <f>100-AI6</f>
        <v>41.865609275690119</v>
      </c>
      <c r="AI6" s="456">
        <f>'C1-Incomes'!KF8/'C1-Incomes'!KE8*100</f>
        <v>58.134390724309881</v>
      </c>
      <c r="AJ6" s="456">
        <f>'C1-Incomes'!KG8/'C1-Incomes'!KE8*100</f>
        <v>46.174947374168582</v>
      </c>
      <c r="AK6" s="456">
        <f>'C1-Incomes'!KH8/'C1-Incomes'!KE8*100</f>
        <v>23.697396498150876</v>
      </c>
      <c r="AL6" s="456">
        <f>'C1-Incomes'!KI8/'C1-Incomes'!KE8*100</f>
        <v>17.749314366146884</v>
      </c>
      <c r="AM6" s="456">
        <f>'C1-Incomes'!KJ8/'C1-Incomes'!KE8*100</f>
        <v>9.3883070756178775</v>
      </c>
      <c r="AN6" s="456">
        <f>'C1-Incomes'!KK8/'C1-Incomes'!KE8*100</f>
        <v>3.688729752856712</v>
      </c>
      <c r="AP6" s="456">
        <f>100-AQ6</f>
        <v>85.739239657209026</v>
      </c>
      <c r="AQ6" s="456">
        <f>'C1-Incomes'!KN8/'C1-Incomes'!KM8*100</f>
        <v>14.26076034279097</v>
      </c>
      <c r="AR6" s="456">
        <f>'C1-Incomes'!KO8/'C1-Incomes'!KM8*100</f>
        <v>6.5100793321326957</v>
      </c>
      <c r="AS6" s="456">
        <f>'C1-Incomes'!KP8/'C1-Incomes'!KM8*100</f>
        <v>0.88748559596062948</v>
      </c>
      <c r="AT6" s="456">
        <f>'C1-Incomes'!KQ8/'C1-Incomes'!KM8*100</f>
        <v>0.43148375619237028</v>
      </c>
      <c r="AU6" s="456">
        <f>'C1-Incomes'!KR8/'C1-Incomes'!KM8*100</f>
        <v>8.9954510427661394E-2</v>
      </c>
      <c r="AV6" s="456">
        <f>'C1-Incomes'!KS8/'C1-Incomes'!KM8*100</f>
        <v>9.5783975138098026E-3</v>
      </c>
      <c r="AW6" s="456"/>
      <c r="AX6" s="456">
        <f>100-AY6</f>
        <v>35.310666301070484</v>
      </c>
      <c r="AY6" s="456">
        <f>'C1-Incomes'!LL8/'C1-Incomes'!LK8*100</f>
        <v>64.689333698929516</v>
      </c>
      <c r="AZ6" s="456">
        <f>'C1-Incomes'!LM8/'C1-Incomes'!LK8*100</f>
        <v>53.55294105129348</v>
      </c>
      <c r="BA6" s="456">
        <f>'C1-Incomes'!LN8/'C1-Incomes'!LK8*100</f>
        <v>30.503844124442463</v>
      </c>
      <c r="BB6" s="456">
        <f>'C1-Incomes'!LO8/'C1-Incomes'!LK8*100</f>
        <v>23.019680836306868</v>
      </c>
      <c r="BC6" s="456">
        <f>'C1-Incomes'!LP8/'C1-Incomes'!LK8*100</f>
        <v>12.585765747546834</v>
      </c>
      <c r="BD6" s="456">
        <f>'C1-Incomes'!LQ8/'C1-Incomes'!LK8*100</f>
        <v>5.8256876801962534</v>
      </c>
      <c r="BF6" s="456">
        <f>100-BG6</f>
        <v>75.745067680332127</v>
      </c>
      <c r="BG6" s="456">
        <f>'C1-Incomes'!KV8/'C1-Incomes'!KU8*100</f>
        <v>24.254932319667876</v>
      </c>
      <c r="BH6" s="456">
        <f>'C1-Incomes'!KW8/'C1-Incomes'!KU8*100</f>
        <v>13.665960695381422</v>
      </c>
      <c r="BI6" s="456">
        <f>'C1-Incomes'!KX8/'C1-Incomes'!KU8*100</f>
        <v>3.4541272022141496</v>
      </c>
      <c r="BJ6" s="456">
        <f>'C1-Incomes'!KY8/'C1-Incomes'!KU8*100</f>
        <v>2.0016047040304445</v>
      </c>
      <c r="BK6" s="456">
        <f>'C1-Incomes'!KZ8/'C1-Incomes'!KU8*100</f>
        <v>0.62215918353226096</v>
      </c>
      <c r="BL6" s="456">
        <f>'C1-Incomes'!LA8/'C1-Incomes'!KU8*100</f>
        <v>0.13614816360491264</v>
      </c>
    </row>
    <row r="7" spans="1:64" s="452" customFormat="1" ht="5.25" customHeight="1" x14ac:dyDescent="0.25">
      <c r="A7" s="239"/>
      <c r="B7" s="239"/>
      <c r="C7" s="239"/>
      <c r="D7" s="239"/>
      <c r="E7" s="239"/>
      <c r="F7" s="239"/>
      <c r="G7" s="239"/>
      <c r="H7" s="239"/>
      <c r="I7" s="239"/>
      <c r="J7" s="458"/>
      <c r="K7" s="458"/>
      <c r="L7" s="458"/>
      <c r="M7" s="458"/>
      <c r="N7" s="458"/>
      <c r="O7" s="458"/>
      <c r="P7" s="458"/>
      <c r="Q7" s="458"/>
      <c r="R7" s="456"/>
      <c r="S7" s="456"/>
      <c r="T7" s="456"/>
      <c r="U7" s="456"/>
      <c r="V7" s="456"/>
      <c r="W7" s="456"/>
      <c r="X7" s="456"/>
      <c r="Y7" s="458"/>
      <c r="Z7" s="456"/>
      <c r="AA7" s="456"/>
      <c r="AB7" s="456"/>
      <c r="AC7" s="456"/>
      <c r="AD7" s="456"/>
      <c r="AE7" s="456"/>
      <c r="AF7" s="456"/>
      <c r="AG7" s="458"/>
      <c r="AH7" s="456"/>
      <c r="AI7" s="456"/>
      <c r="AJ7" s="456"/>
      <c r="AK7" s="456"/>
      <c r="AL7" s="456"/>
      <c r="AM7" s="456"/>
      <c r="AN7" s="456"/>
      <c r="AP7" s="456"/>
      <c r="AQ7" s="456"/>
      <c r="AR7" s="456"/>
      <c r="AS7" s="456"/>
      <c r="AT7" s="456"/>
      <c r="AU7" s="456"/>
      <c r="AV7" s="456"/>
      <c r="AW7" s="456"/>
      <c r="AX7" s="456"/>
      <c r="AY7" s="456"/>
      <c r="AZ7" s="456"/>
      <c r="BA7" s="456"/>
      <c r="BB7" s="456"/>
      <c r="BC7" s="456"/>
      <c r="BD7" s="456"/>
      <c r="BF7" s="456"/>
      <c r="BG7" s="456"/>
      <c r="BH7" s="456"/>
      <c r="BI7" s="456"/>
      <c r="BJ7" s="456"/>
      <c r="BK7" s="456"/>
      <c r="BL7" s="456"/>
    </row>
    <row r="8" spans="1:64" s="452" customFormat="1" ht="12" x14ac:dyDescent="0.25">
      <c r="A8" s="239">
        <v>1962</v>
      </c>
      <c r="B8" s="456">
        <f>100-C8</f>
        <v>59.352521723032098</v>
      </c>
      <c r="C8" s="456">
        <f>SUM('C1-Incomes'!JH10,'C1-Incomes'!JP10,'C1-Incomes'!JX10,'C1-Incomes'!KF10,'C1-Incomes'!KN10,'C1-Incomes'!KV10)/SUM('C1-Incomes'!$JG10,'C1-Incomes'!$JO10,'C1-Incomes'!$JW10,'C1-Incomes'!$KE10,'C1-Incomes'!$KM10,'C1-Incomes'!$KU10)*100</f>
        <v>40.647478276967902</v>
      </c>
      <c r="D8" s="456">
        <f>SUM('C1-Incomes'!JI10,'C1-Incomes'!JQ10,'C1-Incomes'!JY10,'C1-Incomes'!KG10,'C1-Incomes'!KO10,'C1-Incomes'!KW10)/SUM('C1-Incomes'!$JG10,'C1-Incomes'!$JO10,'C1-Incomes'!$JW10,'C1-Incomes'!$KE10,'C1-Incomes'!$KM10,'C1-Incomes'!$KU10)*100</f>
        <v>29.818623757688041</v>
      </c>
      <c r="E8" s="456">
        <f>SUM('C1-Incomes'!JJ10,'C1-Incomes'!JR10,'C1-Incomes'!JZ10,'C1-Incomes'!KH10,'C1-Incomes'!KP10,'C1-Incomes'!KX10)/SUM('C1-Incomes'!$JG10,'C1-Incomes'!$JO10,'C1-Incomes'!$JW10,'C1-Incomes'!$KE10,'C1-Incomes'!$KM10,'C1-Incomes'!$KU10)*100</f>
        <v>15.621074017451697</v>
      </c>
      <c r="F8" s="456">
        <f>SUM('C1-Incomes'!JK10,'C1-Incomes'!JS10,'C1-Incomes'!KA10,'C1-Incomes'!KI10,'C1-Incomes'!KQ10,'C1-Incomes'!KY10)/SUM('C1-Incomes'!$JG10,'C1-Incomes'!$JO10,'C1-Incomes'!$JW10,'C1-Incomes'!$KE10,'C1-Incomes'!$KM10,'C1-Incomes'!$KU10)*100</f>
        <v>12.015732557308484</v>
      </c>
      <c r="G8" s="456">
        <f>SUM('C1-Incomes'!JL10,'C1-Incomes'!JT10,'C1-Incomes'!KB10,'C1-Incomes'!KJ10,'C1-Incomes'!KR10,'C1-Incomes'!KZ10)/SUM('C1-Incomes'!$JG10,'C1-Incomes'!$JO10,'C1-Incomes'!$JW10,'C1-Incomes'!$KE10,'C1-Incomes'!$KM10,'C1-Incomes'!$KU10)*100</f>
        <v>6.2968863909779058</v>
      </c>
      <c r="H8" s="456">
        <f>SUM('C1-Incomes'!JM10,'C1-Incomes'!JU10,'C1-Incomes'!KC10,'C1-Incomes'!KK10,'C1-Incomes'!KS10,'C1-Incomes'!LA10)/SUM('C1-Incomes'!$JG10,'C1-Incomes'!$JO10,'C1-Incomes'!$JW10,'C1-Incomes'!$KE10,'C1-Incomes'!$KM10,'C1-Incomes'!$KU10)*100</f>
        <v>2.4506641487099774</v>
      </c>
      <c r="I8" s="239"/>
      <c r="J8" s="456">
        <f>100-K8</f>
        <v>49.243870844922064</v>
      </c>
      <c r="K8" s="456">
        <f>'C1-Incomes'!JH10/'C1-Incomes'!JG10*100</f>
        <v>50.756129155077936</v>
      </c>
      <c r="L8" s="456">
        <f>'C1-Incomes'!JI10/'C1-Incomes'!JG10*100</f>
        <v>38.072498424981561</v>
      </c>
      <c r="M8" s="456">
        <f>'C1-Incomes'!JJ10/'C1-Incomes'!JG10*100</f>
        <v>20.223920785239066</v>
      </c>
      <c r="N8" s="456">
        <f>'C1-Incomes'!JK10/'C1-Incomes'!JG10*100</f>
        <v>15.397045900130882</v>
      </c>
      <c r="O8" s="456">
        <f>'C1-Incomes'!JL10/'C1-Incomes'!JG10*100</f>
        <v>7.6108880103171712</v>
      </c>
      <c r="P8" s="456">
        <f>'C1-Incomes'!JM10/'C1-Incomes'!JG10*100</f>
        <v>2.8374613916877363</v>
      </c>
      <c r="Q8" s="458"/>
      <c r="R8" s="456">
        <f>100-S8</f>
        <v>43.940123299396916</v>
      </c>
      <c r="S8" s="456">
        <f>'C1-Incomes'!JP10/'C1-Incomes'!JO10*100</f>
        <v>56.059876700603084</v>
      </c>
      <c r="T8" s="456">
        <f>'C1-Incomes'!JQ10/'C1-Incomes'!JO10*100</f>
        <v>45.678015181449958</v>
      </c>
      <c r="U8" s="456">
        <f>'C1-Incomes'!JR10/'C1-Incomes'!JO10*100</f>
        <v>27.480233355902691</v>
      </c>
      <c r="V8" s="456">
        <f>'C1-Incomes'!JS10/'C1-Incomes'!JO10*100</f>
        <v>21.201857149788992</v>
      </c>
      <c r="W8" s="456">
        <f>'C1-Incomes'!JT10/'C1-Incomes'!JO10*100</f>
        <v>10.527683290099539</v>
      </c>
      <c r="X8" s="456">
        <f>'C1-Incomes'!JU10/'C1-Incomes'!JO10*100</f>
        <v>3.773652000049438</v>
      </c>
      <c r="Y8" s="458"/>
      <c r="Z8" s="456">
        <f>100-AA8</f>
        <v>47.079454541552202</v>
      </c>
      <c r="AA8" s="456">
        <f>'C1-Incomes'!JX10/'C1-Incomes'!JW10*100</f>
        <v>52.920545458447798</v>
      </c>
      <c r="AB8" s="456">
        <f>'C1-Incomes'!JY10/'C1-Incomes'!JW10*100</f>
        <v>43.8264572029533</v>
      </c>
      <c r="AC8" s="456">
        <f>'C1-Incomes'!JZ10/'C1-Incomes'!JW10*100</f>
        <v>28.771040835336535</v>
      </c>
      <c r="AD8" s="456">
        <f>'C1-Incomes'!KA10/'C1-Incomes'!JW10*100</f>
        <v>23.673932542067305</v>
      </c>
      <c r="AE8" s="456">
        <f>'C1-Incomes'!KB10/'C1-Incomes'!JW10*100</f>
        <v>14.166071896462912</v>
      </c>
      <c r="AF8" s="456">
        <f>'C1-Incomes'!KC10/'C1-Incomes'!JW10*100</f>
        <v>5.9274740728021982</v>
      </c>
      <c r="AG8" s="458"/>
      <c r="AH8" s="456">
        <f>100-AI8</f>
        <v>50.436361593858145</v>
      </c>
      <c r="AI8" s="456">
        <f>'C1-Incomes'!KF10/'C1-Incomes'!KE10*100</f>
        <v>49.563638406141855</v>
      </c>
      <c r="AJ8" s="456">
        <f>'C1-Incomes'!KG10/'C1-Incomes'!KE10*100</f>
        <v>38.058756410298578</v>
      </c>
      <c r="AK8" s="456">
        <f>'C1-Incomes'!KH10/'C1-Incomes'!KE10*100</f>
        <v>20.01831480684891</v>
      </c>
      <c r="AL8" s="456">
        <f>'C1-Incomes'!KI10/'C1-Incomes'!KE10*100</f>
        <v>15.254239949594259</v>
      </c>
      <c r="AM8" s="456">
        <f>'C1-Incomes'!KJ10/'C1-Incomes'!KE10*100</f>
        <v>8.0820388298827659</v>
      </c>
      <c r="AN8" s="456">
        <f>'C1-Incomes'!KK10/'C1-Incomes'!KE10*100</f>
        <v>3.2093345223230583</v>
      </c>
      <c r="AP8" s="456">
        <f>100-AQ8</f>
        <v>84.951414437910458</v>
      </c>
      <c r="AQ8" s="456">
        <f>'C1-Incomes'!KN10/'C1-Incomes'!KM10*100</f>
        <v>15.048585562089537</v>
      </c>
      <c r="AR8" s="456">
        <f>'C1-Incomes'!KO10/'C1-Incomes'!KM10*100</f>
        <v>6.9916708676657295</v>
      </c>
      <c r="AS8" s="456">
        <f>'C1-Incomes'!KP10/'C1-Incomes'!KM10*100</f>
        <v>1.0659261335540011</v>
      </c>
      <c r="AT8" s="456">
        <f>'C1-Incomes'!KQ10/'C1-Incomes'!KM10*100</f>
        <v>0.53722149707883582</v>
      </c>
      <c r="AU8" s="456">
        <f>'C1-Incomes'!KR10/'C1-Incomes'!KM10*100</f>
        <v>0.10193181630574728</v>
      </c>
      <c r="AV8" s="456">
        <f>'C1-Incomes'!KS10/'C1-Incomes'!KM10*100</f>
        <v>1.0132508018930508E-2</v>
      </c>
      <c r="AW8" s="456"/>
      <c r="AX8" s="456">
        <f>100-AY8</f>
        <v>35.658803203563309</v>
      </c>
      <c r="AY8" s="456">
        <f>'C1-Incomes'!LL10/'C1-Incomes'!LK10*100</f>
        <v>64.341196796436691</v>
      </c>
      <c r="AZ8" s="456">
        <f>'C1-Incomes'!LM10/'C1-Incomes'!LK10*100</f>
        <v>53.412516589840784</v>
      </c>
      <c r="BA8" s="456">
        <f>'C1-Incomes'!LN10/'C1-Incomes'!LK10*100</f>
        <v>31.110300786201666</v>
      </c>
      <c r="BB8" s="456">
        <f>'C1-Incomes'!LO10/'C1-Incomes'!LK10*100</f>
        <v>23.955761626611068</v>
      </c>
      <c r="BC8" s="456">
        <f>'C1-Incomes'!LP10/'C1-Incomes'!LK10*100</f>
        <v>12.926503412054588</v>
      </c>
      <c r="BD8" s="456">
        <f>'C1-Incomes'!LQ10/'C1-Incomes'!LK10*100</f>
        <v>6.0839414207733133</v>
      </c>
      <c r="BF8" s="456">
        <f>100-BG8</f>
        <v>74.888535793782779</v>
      </c>
      <c r="BG8" s="456">
        <f>'C1-Incomes'!KV10/'C1-Incomes'!KU10*100</f>
        <v>25.111464206217214</v>
      </c>
      <c r="BH8" s="456">
        <f>'C1-Incomes'!KW10/'C1-Incomes'!KU10*100</f>
        <v>14.42380086670078</v>
      </c>
      <c r="BI8" s="456">
        <f>'C1-Incomes'!KX10/'C1-Incomes'!KU10*100</f>
        <v>3.987177670461814</v>
      </c>
      <c r="BJ8" s="456">
        <f>'C1-Incomes'!KY10/'C1-Incomes'!KU10*100</f>
        <v>2.4076444764615581</v>
      </c>
      <c r="BK8" s="456">
        <f>'C1-Incomes'!KZ10/'C1-Incomes'!KU10*100</f>
        <v>0.74849685429192792</v>
      </c>
      <c r="BL8" s="456">
        <f>'C1-Incomes'!LA10/'C1-Incomes'!KU10*100</f>
        <v>0.18045829957144685</v>
      </c>
    </row>
    <row r="9" spans="1:64" s="452" customFormat="1" ht="5.25" customHeight="1" x14ac:dyDescent="0.25">
      <c r="A9" s="239"/>
      <c r="B9" s="239"/>
      <c r="C9" s="239"/>
      <c r="D9" s="239"/>
      <c r="E9" s="239"/>
      <c r="F9" s="239"/>
      <c r="G9" s="239"/>
      <c r="H9" s="239"/>
      <c r="I9" s="239"/>
      <c r="J9" s="458"/>
      <c r="K9" s="458"/>
      <c r="L9" s="458"/>
      <c r="M9" s="458"/>
      <c r="N9" s="458"/>
      <c r="O9" s="458"/>
      <c r="P9" s="458"/>
      <c r="Q9" s="458"/>
      <c r="R9" s="456"/>
      <c r="S9" s="456"/>
      <c r="T9" s="456"/>
      <c r="U9" s="456"/>
      <c r="V9" s="456"/>
      <c r="W9" s="456"/>
      <c r="X9" s="456"/>
      <c r="Y9" s="458"/>
      <c r="Z9" s="456"/>
      <c r="AA9" s="456"/>
      <c r="AB9" s="456"/>
      <c r="AC9" s="456"/>
      <c r="AD9" s="456"/>
      <c r="AE9" s="456"/>
      <c r="AF9" s="456"/>
      <c r="AG9" s="458"/>
      <c r="AH9" s="456"/>
      <c r="AI9" s="456"/>
      <c r="AJ9" s="456"/>
      <c r="AK9" s="456"/>
      <c r="AL9" s="456"/>
      <c r="AM9" s="456"/>
      <c r="AN9" s="456"/>
      <c r="AP9" s="456"/>
      <c r="AQ9" s="456"/>
      <c r="AR9" s="456"/>
      <c r="AS9" s="456"/>
      <c r="AT9" s="456"/>
      <c r="AU9" s="456"/>
      <c r="AV9" s="456"/>
      <c r="AW9" s="456"/>
      <c r="AX9" s="456"/>
      <c r="AY9" s="456"/>
      <c r="AZ9" s="456"/>
      <c r="BA9" s="456"/>
      <c r="BB9" s="456"/>
      <c r="BC9" s="456"/>
      <c r="BD9" s="456"/>
      <c r="BF9" s="456"/>
      <c r="BG9" s="456"/>
      <c r="BH9" s="456"/>
      <c r="BI9" s="456"/>
      <c r="BJ9" s="456"/>
      <c r="BK9" s="456"/>
      <c r="BL9" s="456"/>
    </row>
    <row r="10" spans="1:64" s="452" customFormat="1" ht="12" x14ac:dyDescent="0.25">
      <c r="A10" s="239">
        <v>1964</v>
      </c>
      <c r="B10" s="456">
        <f>100-C10</f>
        <v>58.843787789245368</v>
      </c>
      <c r="C10" s="456">
        <f>SUM('C1-Incomes'!JH12,'C1-Incomes'!JP12,'C1-Incomes'!JX12,'C1-Incomes'!KF12,'C1-Incomes'!KN12,'C1-Incomes'!KV12)/SUM('C1-Incomes'!$JG12,'C1-Incomes'!$JO12,'C1-Incomes'!$JW12,'C1-Incomes'!$KE12,'C1-Incomes'!$KM12,'C1-Incomes'!$KU12)*100</f>
        <v>41.156212210754632</v>
      </c>
      <c r="D10" s="456">
        <f>SUM('C1-Incomes'!JI12,'C1-Incomes'!JQ12,'C1-Incomes'!JY12,'C1-Incomes'!KG12,'C1-Incomes'!KO12,'C1-Incomes'!KW12)/SUM('C1-Incomes'!$JG12,'C1-Incomes'!$JO12,'C1-Incomes'!$JW12,'C1-Incomes'!$KE12,'C1-Incomes'!$KM12,'C1-Incomes'!$KU12)*100</f>
        <v>30.424072444803752</v>
      </c>
      <c r="E10" s="456">
        <f>SUM('C1-Incomes'!JJ12,'C1-Incomes'!JR12,'C1-Incomes'!JZ12,'C1-Incomes'!KH12,'C1-Incomes'!KP12,'C1-Incomes'!KX12)/SUM('C1-Incomes'!$JG12,'C1-Incomes'!$JO12,'C1-Incomes'!$JW12,'C1-Incomes'!$KE12,'C1-Incomes'!$KM12,'C1-Incomes'!$KU12)*100</f>
        <v>16.515438909271463</v>
      </c>
      <c r="F10" s="456">
        <f>SUM('C1-Incomes'!JK12,'C1-Incomes'!JS12,'C1-Incomes'!KA12,'C1-Incomes'!KI12,'C1-Incomes'!KQ12,'C1-Incomes'!KY12)/SUM('C1-Incomes'!$JG12,'C1-Incomes'!$JO12,'C1-Incomes'!$JW12,'C1-Incomes'!$KE12,'C1-Incomes'!$KM12,'C1-Incomes'!$KU12)*100</f>
        <v>12.928617753698997</v>
      </c>
      <c r="G10" s="456">
        <f>SUM('C1-Incomes'!JL12,'C1-Incomes'!JT12,'C1-Incomes'!KB12,'C1-Incomes'!KJ12,'C1-Incomes'!KR12,'C1-Incomes'!KZ12)/SUM('C1-Incomes'!$JG12,'C1-Incomes'!$JO12,'C1-Incomes'!$JW12,'C1-Incomes'!$KE12,'C1-Incomes'!$KM12,'C1-Incomes'!$KU12)*100</f>
        <v>6.9505174065610493</v>
      </c>
      <c r="H10" s="456">
        <f>SUM('C1-Incomes'!JM12,'C1-Incomes'!JU12,'C1-Incomes'!KC12,'C1-Incomes'!KK12,'C1-Incomes'!KS12,'C1-Incomes'!LA12)/SUM('C1-Incomes'!$JG12,'C1-Incomes'!$JO12,'C1-Incomes'!$JW12,'C1-Incomes'!$KE12,'C1-Incomes'!$KM12,'C1-Incomes'!$KU12)*100</f>
        <v>2.7587079776600536</v>
      </c>
      <c r="I10" s="239"/>
      <c r="J10" s="456">
        <f>100-K10</f>
        <v>47.045839314972859</v>
      </c>
      <c r="K10" s="456">
        <f>'C1-Incomes'!JH12/'C1-Incomes'!JG12*100</f>
        <v>52.954160685027141</v>
      </c>
      <c r="L10" s="456">
        <f>'C1-Incomes'!JI12/'C1-Incomes'!JG12*100</f>
        <v>40.182826883619597</v>
      </c>
      <c r="M10" s="456">
        <f>'C1-Incomes'!JJ12/'C1-Incomes'!JG12*100</f>
        <v>22.260840863784448</v>
      </c>
      <c r="N10" s="456">
        <f>'C1-Incomes'!JK12/'C1-Incomes'!JG12*100</f>
        <v>17.129605264740917</v>
      </c>
      <c r="O10" s="456">
        <f>'C1-Incomes'!JL12/'C1-Incomes'!JG12*100</f>
        <v>8.8200386461826898</v>
      </c>
      <c r="P10" s="456">
        <f>'C1-Incomes'!JM12/'C1-Incomes'!JG12*100</f>
        <v>3.3926839445568251</v>
      </c>
      <c r="Q10" s="458"/>
      <c r="R10" s="456">
        <f>100-S10</f>
        <v>49.099223888220855</v>
      </c>
      <c r="S10" s="456">
        <f>'C1-Incomes'!JP12/'C1-Incomes'!JO12*100</f>
        <v>50.900776111779145</v>
      </c>
      <c r="T10" s="456">
        <f>'C1-Incomes'!JQ12/'C1-Incomes'!JO12*100</f>
        <v>40.035600452146525</v>
      </c>
      <c r="U10" s="456">
        <f>'C1-Incomes'!JR12/'C1-Incomes'!JO12*100</f>
        <v>23.576718935027838</v>
      </c>
      <c r="V10" s="456">
        <f>'C1-Incomes'!JS12/'C1-Incomes'!JO12*100</f>
        <v>17.776718716909375</v>
      </c>
      <c r="W10" s="456">
        <f>'C1-Incomes'!JT12/'C1-Incomes'!JO12*100</f>
        <v>8.8790252222821504</v>
      </c>
      <c r="X10" s="456">
        <f>'C1-Incomes'!JU12/'C1-Incomes'!JO12*100</f>
        <v>3.1814956240175221</v>
      </c>
      <c r="Y10" s="458"/>
      <c r="Z10" s="456">
        <f>100-AA10</f>
        <v>45.040424904978735</v>
      </c>
      <c r="AA10" s="456">
        <f>'C1-Incomes'!JX12/'C1-Incomes'!JW12*100</f>
        <v>54.959575095021265</v>
      </c>
      <c r="AB10" s="456">
        <f>'C1-Incomes'!JY12/'C1-Incomes'!JW12*100</f>
        <v>46.233722537914424</v>
      </c>
      <c r="AC10" s="456">
        <f>'C1-Incomes'!JZ12/'C1-Incomes'!JW12*100</f>
        <v>31.19913146803146</v>
      </c>
      <c r="AD10" s="456">
        <f>'C1-Incomes'!KA12/'C1-Incomes'!JW12*100</f>
        <v>26.312315368983558</v>
      </c>
      <c r="AE10" s="456">
        <f>'C1-Incomes'!KB12/'C1-Incomes'!JW12*100</f>
        <v>15.851910217137696</v>
      </c>
      <c r="AF10" s="456">
        <f>'C1-Incomes'!KC12/'C1-Incomes'!JW12*100</f>
        <v>6.7097879313588988</v>
      </c>
      <c r="AG10" s="458"/>
      <c r="AH10" s="456">
        <f>100-AI10</f>
        <v>51.426581680965626</v>
      </c>
      <c r="AI10" s="456">
        <f>'C1-Incomes'!KF12/'C1-Incomes'!KE12*100</f>
        <v>48.573418319034374</v>
      </c>
      <c r="AJ10" s="456">
        <f>'C1-Incomes'!KG12/'C1-Incomes'!KE12*100</f>
        <v>37.96184625054839</v>
      </c>
      <c r="AK10" s="456">
        <f>'C1-Incomes'!KH12/'C1-Incomes'!KE12*100</f>
        <v>21.531097928355688</v>
      </c>
      <c r="AL10" s="456">
        <f>'C1-Incomes'!KI12/'C1-Incomes'!KE12*100</f>
        <v>16.801181763799299</v>
      </c>
      <c r="AM10" s="456">
        <f>'C1-Incomes'!KJ12/'C1-Incomes'!KE12*100</f>
        <v>8.9998862364571686</v>
      </c>
      <c r="AN10" s="456">
        <f>'C1-Incomes'!KK12/'C1-Incomes'!KE12*100</f>
        <v>3.5766562264753512</v>
      </c>
      <c r="AP10" s="456">
        <f>100-AQ10</f>
        <v>83.447943479213535</v>
      </c>
      <c r="AQ10" s="456">
        <f>'C1-Incomes'!KN12/'C1-Incomes'!KM12*100</f>
        <v>16.552056520786472</v>
      </c>
      <c r="AR10" s="456">
        <f>'C1-Incomes'!KO12/'C1-Incomes'!KM12*100</f>
        <v>7.692400013737501</v>
      </c>
      <c r="AS10" s="456">
        <f>'C1-Incomes'!KP12/'C1-Incomes'!KM12*100</f>
        <v>1.0888819257439544</v>
      </c>
      <c r="AT10" s="456">
        <f>'C1-Incomes'!KQ12/'C1-Incomes'!KM12*100</f>
        <v>0.53767476836171568</v>
      </c>
      <c r="AU10" s="456">
        <f>'C1-Incomes'!KR12/'C1-Incomes'!KM12*100</f>
        <v>0.1061193354837411</v>
      </c>
      <c r="AV10" s="456">
        <f>'C1-Incomes'!KS12/'C1-Incomes'!KM12*100</f>
        <v>1.0433791095095417E-2</v>
      </c>
      <c r="AW10" s="456"/>
      <c r="AX10" s="456">
        <f>100-AY10</f>
        <v>35.534176641754911</v>
      </c>
      <c r="AY10" s="456">
        <f>'C1-Incomes'!LL12/'C1-Incomes'!LK12*100</f>
        <v>64.465823358245089</v>
      </c>
      <c r="AZ10" s="456">
        <f>'C1-Incomes'!LM12/'C1-Incomes'!LK12*100</f>
        <v>53.310801554009068</v>
      </c>
      <c r="BA10" s="456">
        <f>'C1-Incomes'!LN12/'C1-Incomes'!LK12*100</f>
        <v>30.973150111951593</v>
      </c>
      <c r="BB10" s="456">
        <f>'C1-Incomes'!LO12/'C1-Incomes'!LK12*100</f>
        <v>23.550436486232982</v>
      </c>
      <c r="BC10" s="456">
        <f>'C1-Incomes'!LP12/'C1-Incomes'!LK12*100</f>
        <v>12.893487526475036</v>
      </c>
      <c r="BD10" s="456">
        <f>'C1-Incomes'!LQ12/'C1-Incomes'!LK12*100</f>
        <v>6.239640683207262</v>
      </c>
      <c r="BF10" s="456">
        <f>100-BG10</f>
        <v>74.427843469894299</v>
      </c>
      <c r="BG10" s="456">
        <f>'C1-Incomes'!KV12/'C1-Incomes'!KU12*100</f>
        <v>25.572156530105694</v>
      </c>
      <c r="BH10" s="456">
        <f>'C1-Incomes'!KW12/'C1-Incomes'!KU12*100</f>
        <v>14.743471891123072</v>
      </c>
      <c r="BI10" s="456">
        <f>'C1-Incomes'!KX12/'C1-Incomes'!KU12*100</f>
        <v>4.0695134478623416</v>
      </c>
      <c r="BJ10" s="456">
        <f>'C1-Incomes'!KY12/'C1-Incomes'!KU12*100</f>
        <v>2.4719159899043421</v>
      </c>
      <c r="BK10" s="456">
        <f>'C1-Incomes'!KZ12/'C1-Incomes'!KU12*100</f>
        <v>0.77376675126195715</v>
      </c>
      <c r="BL10" s="456">
        <f>'C1-Incomes'!LA12/'C1-Incomes'!KU12*100</f>
        <v>0.19146464665197868</v>
      </c>
    </row>
    <row r="11" spans="1:64" s="452" customFormat="1" ht="5.25" customHeight="1" x14ac:dyDescent="0.25">
      <c r="A11" s="239"/>
      <c r="B11" s="239"/>
      <c r="C11" s="239"/>
      <c r="D11" s="239"/>
      <c r="E11" s="239"/>
      <c r="F11" s="239"/>
      <c r="G11" s="239"/>
      <c r="H11" s="239"/>
      <c r="I11" s="239"/>
      <c r="J11" s="458"/>
      <c r="K11" s="458"/>
      <c r="L11" s="458"/>
      <c r="M11" s="458"/>
      <c r="N11" s="458"/>
      <c r="O11" s="458"/>
      <c r="P11" s="458"/>
      <c r="Q11" s="458"/>
      <c r="R11" s="456"/>
      <c r="S11" s="456"/>
      <c r="T11" s="456"/>
      <c r="U11" s="456"/>
      <c r="V11" s="456"/>
      <c r="W11" s="456"/>
      <c r="X11" s="456"/>
      <c r="Y11" s="458"/>
      <c r="Z11" s="456"/>
      <c r="AA11" s="456"/>
      <c r="AB11" s="456"/>
      <c r="AC11" s="456"/>
      <c r="AD11" s="456"/>
      <c r="AE11" s="456"/>
      <c r="AF11" s="456"/>
      <c r="AG11" s="458"/>
      <c r="AH11" s="456"/>
      <c r="AI11" s="456"/>
      <c r="AJ11" s="456"/>
      <c r="AK11" s="456"/>
      <c r="AL11" s="456"/>
      <c r="AM11" s="456"/>
      <c r="AN11" s="456"/>
      <c r="AP11" s="456"/>
      <c r="AQ11" s="456"/>
      <c r="AR11" s="456"/>
      <c r="AS11" s="456"/>
      <c r="AT11" s="456"/>
      <c r="AU11" s="456"/>
      <c r="AV11" s="456"/>
      <c r="AW11" s="456"/>
      <c r="AX11" s="456"/>
      <c r="AY11" s="456"/>
      <c r="AZ11" s="456"/>
      <c r="BA11" s="456"/>
      <c r="BB11" s="456"/>
      <c r="BC11" s="456"/>
      <c r="BD11" s="456"/>
      <c r="BF11" s="456"/>
      <c r="BG11" s="456"/>
      <c r="BH11" s="456"/>
      <c r="BI11" s="456"/>
      <c r="BJ11" s="456"/>
      <c r="BK11" s="456"/>
      <c r="BL11" s="456"/>
    </row>
    <row r="12" spans="1:64" s="452" customFormat="1" ht="12" x14ac:dyDescent="0.25">
      <c r="A12" s="239">
        <v>1966</v>
      </c>
      <c r="B12" s="456">
        <f>100-C12</f>
        <v>60.416415720769827</v>
      </c>
      <c r="C12" s="456">
        <f>SUM('C1-Incomes'!JH14,'C1-Incomes'!JP14,'C1-Incomes'!JX14,'C1-Incomes'!KF14,'C1-Incomes'!KN14,'C1-Incomes'!KV14)/SUM('C1-Incomes'!$JG14,'C1-Incomes'!$JO14,'C1-Incomes'!$JW14,'C1-Incomes'!$KE14,'C1-Incomes'!$KM14,'C1-Incomes'!$KU14)*100</f>
        <v>39.583584279230173</v>
      </c>
      <c r="D12" s="456">
        <f>SUM('C1-Incomes'!JI14,'C1-Incomes'!JQ14,'C1-Incomes'!JY14,'C1-Incomes'!KG14,'C1-Incomes'!KO14,'C1-Incomes'!KW14)/SUM('C1-Incomes'!$JG14,'C1-Incomes'!$JO14,'C1-Incomes'!$JW14,'C1-Incomes'!$KE14,'C1-Incomes'!$KM14,'C1-Incomes'!$KU14)*100</f>
        <v>29.16059483448679</v>
      </c>
      <c r="E12" s="456">
        <f>SUM('C1-Incomes'!JJ14,'C1-Incomes'!JR14,'C1-Incomes'!JZ14,'C1-Incomes'!KH14,'C1-Incomes'!KP14,'C1-Incomes'!KX14)/SUM('C1-Incomes'!$JG14,'C1-Incomes'!$JO14,'C1-Incomes'!$JW14,'C1-Incomes'!$KE14,'C1-Incomes'!$KM14,'C1-Incomes'!$KU14)*100</f>
        <v>15.524130409599865</v>
      </c>
      <c r="F12" s="456">
        <f>SUM('C1-Incomes'!JK14,'C1-Incomes'!JS14,'C1-Incomes'!KA14,'C1-Incomes'!KI14,'C1-Incomes'!KQ14,'C1-Incomes'!KY14)/SUM('C1-Incomes'!$JG14,'C1-Incomes'!$JO14,'C1-Incomes'!$JW14,'C1-Incomes'!$KE14,'C1-Incomes'!$KM14,'C1-Incomes'!$KU14)*100</f>
        <v>11.881084737211618</v>
      </c>
      <c r="G12" s="456">
        <f>SUM('C1-Incomes'!JL14,'C1-Incomes'!JT14,'C1-Incomes'!KB14,'C1-Incomes'!KJ14,'C1-Incomes'!KR14,'C1-Incomes'!KZ14)/SUM('C1-Incomes'!$JG14,'C1-Incomes'!$JO14,'C1-Incomes'!$JW14,'C1-Incomes'!$KE14,'C1-Incomes'!$KM14,'C1-Incomes'!$KU14)*100</f>
        <v>6.4024447175125596</v>
      </c>
      <c r="H12" s="456">
        <f>SUM('C1-Incomes'!JM14,'C1-Incomes'!JU14,'C1-Incomes'!KC14,'C1-Incomes'!KK14,'C1-Incomes'!KS14,'C1-Incomes'!LA14)/SUM('C1-Incomes'!$JG14,'C1-Incomes'!$JO14,'C1-Incomes'!$JW14,'C1-Incomes'!$KE14,'C1-Incomes'!$KM14,'C1-Incomes'!$KU14)*100</f>
        <v>2.4451647110718531</v>
      </c>
      <c r="I12" s="239"/>
      <c r="J12" s="456">
        <f>100-K12</f>
        <v>48.745412773075515</v>
      </c>
      <c r="K12" s="456">
        <f>'C1-Incomes'!JH14/'C1-Incomes'!JG14*100</f>
        <v>51.254587226924485</v>
      </c>
      <c r="L12" s="456">
        <f>'C1-Incomes'!JI14/'C1-Incomes'!JG14*100</f>
        <v>39.126406676069941</v>
      </c>
      <c r="M12" s="456">
        <f>'C1-Incomes'!JJ14/'C1-Incomes'!JG14*100</f>
        <v>21.554177270887038</v>
      </c>
      <c r="N12" s="456">
        <f>'C1-Incomes'!JK14/'C1-Incomes'!JG14*100</f>
        <v>16.412433535324602</v>
      </c>
      <c r="O12" s="456">
        <f>'C1-Incomes'!JL14/'C1-Incomes'!JG14*100</f>
        <v>8.6492862750633783</v>
      </c>
      <c r="P12" s="456">
        <f>'C1-Incomes'!JM14/'C1-Incomes'!JG14*100</f>
        <v>3.2325974392199237</v>
      </c>
      <c r="Q12" s="458"/>
      <c r="R12" s="456">
        <f>100-S12</f>
        <v>47.122137393290274</v>
      </c>
      <c r="S12" s="456">
        <f>'C1-Incomes'!JP14/'C1-Incomes'!JO14*100</f>
        <v>52.877862606709726</v>
      </c>
      <c r="T12" s="456">
        <f>'C1-Incomes'!JQ14/'C1-Incomes'!JO14*100</f>
        <v>42.530491814710317</v>
      </c>
      <c r="U12" s="456">
        <f>'C1-Incomes'!JR14/'C1-Incomes'!JO14*100</f>
        <v>24.547894443298944</v>
      </c>
      <c r="V12" s="456">
        <f>'C1-Incomes'!JS14/'C1-Incomes'!JO14*100</f>
        <v>18.742672790391868</v>
      </c>
      <c r="W12" s="456">
        <f>'C1-Incomes'!JT14/'C1-Incomes'!JO14*100</f>
        <v>9.560794514060893</v>
      </c>
      <c r="X12" s="456">
        <f>'C1-Incomes'!JU14/'C1-Incomes'!JO14*100</f>
        <v>3.295416184170441</v>
      </c>
      <c r="Y12" s="458"/>
      <c r="Z12" s="456">
        <f>100-AA12</f>
        <v>48.470954548275017</v>
      </c>
      <c r="AA12" s="456">
        <f>'C1-Incomes'!JX14/'C1-Incomes'!JW14*100</f>
        <v>51.529045451724983</v>
      </c>
      <c r="AB12" s="456">
        <f>'C1-Incomes'!JY14/'C1-Incomes'!JW14*100</f>
        <v>42.769694930503846</v>
      </c>
      <c r="AC12" s="456">
        <f>'C1-Incomes'!JZ14/'C1-Incomes'!JW14*100</f>
        <v>28.060556599032015</v>
      </c>
      <c r="AD12" s="456">
        <f>'C1-Incomes'!KA14/'C1-Incomes'!JW14*100</f>
        <v>22.935397471456938</v>
      </c>
      <c r="AE12" s="456">
        <f>'C1-Incomes'!KB14/'C1-Incomes'!JW14*100</f>
        <v>13.634840239513526</v>
      </c>
      <c r="AF12" s="456">
        <f>'C1-Incomes'!KC14/'C1-Incomes'!JW14*100</f>
        <v>5.5424551036237277</v>
      </c>
      <c r="AG12" s="458"/>
      <c r="AH12" s="456">
        <f>100-AI12</f>
        <v>53.760145200112525</v>
      </c>
      <c r="AI12" s="456">
        <f>'C1-Incomes'!KF14/'C1-Incomes'!KE14*100</f>
        <v>46.239854799887475</v>
      </c>
      <c r="AJ12" s="456">
        <f>'C1-Incomes'!KG14/'C1-Incomes'!KE14*100</f>
        <v>35.242646622559015</v>
      </c>
      <c r="AK12" s="456">
        <f>'C1-Incomes'!KH14/'C1-Incomes'!KE14*100</f>
        <v>18.556004038715258</v>
      </c>
      <c r="AL12" s="456">
        <f>'C1-Incomes'!KI14/'C1-Incomes'!KE14*100</f>
        <v>13.959805540283371</v>
      </c>
      <c r="AM12" s="456">
        <f>'C1-Incomes'!KJ14/'C1-Incomes'!KE14*100</f>
        <v>7.4358585609259498</v>
      </c>
      <c r="AN12" s="456">
        <f>'C1-Incomes'!KK14/'C1-Incomes'!KE14*100</f>
        <v>2.8381138318202268</v>
      </c>
      <c r="AP12" s="456">
        <f>100-AQ12</f>
        <v>84.080756424435123</v>
      </c>
      <c r="AQ12" s="456">
        <f>'C1-Incomes'!KN14/'C1-Incomes'!KM14*100</f>
        <v>15.919243575564876</v>
      </c>
      <c r="AR12" s="456">
        <f>'C1-Incomes'!KO14/'C1-Incomes'!KM14*100</f>
        <v>7.4543142808077612</v>
      </c>
      <c r="AS12" s="456">
        <f>'C1-Incomes'!KP14/'C1-Incomes'!KM14*100</f>
        <v>1.1896734846644295</v>
      </c>
      <c r="AT12" s="456">
        <f>'C1-Incomes'!KQ14/'C1-Incomes'!KM14*100</f>
        <v>0.57868086402402263</v>
      </c>
      <c r="AU12" s="456">
        <f>'C1-Incomes'!KR14/'C1-Incomes'!KM14*100</f>
        <v>0.11100752689655578</v>
      </c>
      <c r="AV12" s="456">
        <f>'C1-Incomes'!KS14/'C1-Incomes'!KM14*100</f>
        <v>1.0747664376316511E-2</v>
      </c>
      <c r="AW12" s="456"/>
      <c r="AX12" s="456">
        <f>100-AY12</f>
        <v>36.3768024454452</v>
      </c>
      <c r="AY12" s="456">
        <f>'C1-Incomes'!LL14/'C1-Incomes'!LK14*100</f>
        <v>63.6231975545548</v>
      </c>
      <c r="AZ12" s="456">
        <f>'C1-Incomes'!LM14/'C1-Incomes'!LK14*100</f>
        <v>52.593413389861041</v>
      </c>
      <c r="BA12" s="456">
        <f>'C1-Incomes'!LN14/'C1-Incomes'!LK14*100</f>
        <v>29.667459991250645</v>
      </c>
      <c r="BB12" s="456">
        <f>'C1-Incomes'!LO14/'C1-Incomes'!LK14*100</f>
        <v>22.241114430519819</v>
      </c>
      <c r="BC12" s="456">
        <f>'C1-Incomes'!LP14/'C1-Incomes'!LK14*100</f>
        <v>12.503463167524448</v>
      </c>
      <c r="BD12" s="456">
        <f>'C1-Incomes'!LQ14/'C1-Incomes'!LK14*100</f>
        <v>5.950254754760679</v>
      </c>
      <c r="BF12" s="456">
        <f>100-BG12</f>
        <v>75.428335911225375</v>
      </c>
      <c r="BG12" s="456">
        <f>'C1-Incomes'!KV14/'C1-Incomes'!KU14*100</f>
        <v>24.571664088774625</v>
      </c>
      <c r="BH12" s="456">
        <f>'C1-Incomes'!KW14/'C1-Incomes'!KU14*100</f>
        <v>14.134656816810514</v>
      </c>
      <c r="BI12" s="456">
        <f>'C1-Incomes'!KX14/'C1-Incomes'!KU14*100</f>
        <v>4.0548169180723521</v>
      </c>
      <c r="BJ12" s="456">
        <f>'C1-Incomes'!KY14/'C1-Incomes'!KU14*100</f>
        <v>2.4291943621291221</v>
      </c>
      <c r="BK12" s="456">
        <f>'C1-Incomes'!KZ14/'C1-Incomes'!KU14*100</f>
        <v>0.82648262520003146</v>
      </c>
      <c r="BL12" s="456">
        <f>'C1-Incomes'!LA14/'C1-Incomes'!KU14*100</f>
        <v>0.2184854367900522</v>
      </c>
    </row>
    <row r="13" spans="1:64" s="452" customFormat="1" ht="12" x14ac:dyDescent="0.25">
      <c r="A13" s="239">
        <v>1967</v>
      </c>
      <c r="B13" s="456">
        <f t="shared" ref="B13:B59" si="0">100-C13</f>
        <v>60.32075247954792</v>
      </c>
      <c r="C13" s="456">
        <f>SUM('C1-Incomes'!JH15,'C1-Incomes'!JP15,'C1-Incomes'!JX15,'C1-Incomes'!KF15,'C1-Incomes'!KN15,'C1-Incomes'!KV15)/SUM('C1-Incomes'!$JG15,'C1-Incomes'!$JO15,'C1-Incomes'!$JW15,'C1-Incomes'!$KE15,'C1-Incomes'!$KM15,'C1-Incomes'!$KU15)*100</f>
        <v>39.67924752045208</v>
      </c>
      <c r="D13" s="456">
        <f>SUM('C1-Incomes'!JI15,'C1-Incomes'!JQ15,'C1-Incomes'!JY15,'C1-Incomes'!KG15,'C1-Incomes'!KO15,'C1-Incomes'!KW15)/SUM('C1-Incomes'!$JG15,'C1-Incomes'!$JO15,'C1-Incomes'!$JW15,'C1-Incomes'!$KE15,'C1-Incomes'!$KM15,'C1-Incomes'!$KU15)*100</f>
        <v>29.363973824796769</v>
      </c>
      <c r="E13" s="456">
        <f>SUM('C1-Incomes'!JJ15,'C1-Incomes'!JR15,'C1-Incomes'!JZ15,'C1-Incomes'!KH15,'C1-Incomes'!KP15,'C1-Incomes'!KX15)/SUM('C1-Incomes'!$JG15,'C1-Incomes'!$JO15,'C1-Incomes'!$JW15,'C1-Incomes'!$KE15,'C1-Incomes'!$KM15,'C1-Incomes'!$KU15)*100</f>
        <v>15.737219077419637</v>
      </c>
      <c r="F13" s="456">
        <f>SUM('C1-Incomes'!JK15,'C1-Incomes'!JS15,'C1-Incomes'!KA15,'C1-Incomes'!KI15,'C1-Incomes'!KQ15,'C1-Incomes'!KY15)/SUM('C1-Incomes'!$JG15,'C1-Incomes'!$JO15,'C1-Incomes'!$JW15,'C1-Incomes'!$KE15,'C1-Incomes'!$KM15,'C1-Incomes'!$KU15)*100</f>
        <v>12.087292915648007</v>
      </c>
      <c r="G13" s="456">
        <f>SUM('C1-Incomes'!JL15,'C1-Incomes'!JT15,'C1-Incomes'!KB15,'C1-Incomes'!KJ15,'C1-Incomes'!KR15,'C1-Incomes'!KZ15)/SUM('C1-Incomes'!$JG15,'C1-Incomes'!$JO15,'C1-Incomes'!$JW15,'C1-Incomes'!$KE15,'C1-Incomes'!$KM15,'C1-Incomes'!$KU15)*100</f>
        <v>6.4614203686047285</v>
      </c>
      <c r="H13" s="456">
        <f>SUM('C1-Incomes'!JM15,'C1-Incomes'!JU15,'C1-Incomes'!KC15,'C1-Incomes'!KK15,'C1-Incomes'!KS15,'C1-Incomes'!LA15)/SUM('C1-Incomes'!$JG15,'C1-Incomes'!$JO15,'C1-Incomes'!$JW15,'C1-Incomes'!$KE15,'C1-Incomes'!$KM15,'C1-Incomes'!$KU15)*100</f>
        <v>2.4428853212618939</v>
      </c>
      <c r="I13" s="239"/>
      <c r="J13" s="456">
        <f t="shared" ref="J13:J59" si="1">100-K13</f>
        <v>48.689463837169967</v>
      </c>
      <c r="K13" s="456">
        <f>'C1-Incomes'!JH15/'C1-Incomes'!JG15*100</f>
        <v>51.310536162830033</v>
      </c>
      <c r="L13" s="456">
        <f>'C1-Incomes'!JI15/'C1-Incomes'!JG15*100</f>
        <v>39.485762737370969</v>
      </c>
      <c r="M13" s="456">
        <f>'C1-Incomes'!JJ15/'C1-Incomes'!JG15*100</f>
        <v>22.079459752579822</v>
      </c>
      <c r="N13" s="456">
        <f>'C1-Incomes'!JK15/'C1-Incomes'!JG15*100</f>
        <v>16.848623684700062</v>
      </c>
      <c r="O13" s="456">
        <f>'C1-Incomes'!JL15/'C1-Incomes'!JG15*100</f>
        <v>8.8442912589576839</v>
      </c>
      <c r="P13" s="456">
        <f>'C1-Incomes'!JM15/'C1-Incomes'!JG15*100</f>
        <v>3.2443824537472694</v>
      </c>
      <c r="Q13" s="458"/>
      <c r="R13" s="456">
        <f t="shared" ref="R13:R59" si="2">100-S13</f>
        <v>49.718903206806289</v>
      </c>
      <c r="S13" s="456">
        <f>'C1-Incomes'!JP15/'C1-Incomes'!JO15*100</f>
        <v>50.281096793193711</v>
      </c>
      <c r="T13" s="456">
        <f>'C1-Incomes'!JQ15/'C1-Incomes'!JO15*100</f>
        <v>39.716194535340314</v>
      </c>
      <c r="U13" s="456">
        <f>'C1-Incomes'!JR15/'C1-Incomes'!JO15*100</f>
        <v>22.174542948298427</v>
      </c>
      <c r="V13" s="456">
        <f>'C1-Incomes'!JS15/'C1-Incomes'!JO15*100</f>
        <v>16.551355742801046</v>
      </c>
      <c r="W13" s="456">
        <f>'C1-Incomes'!JT15/'C1-Incomes'!JO15*100</f>
        <v>8.4895539659685859</v>
      </c>
      <c r="X13" s="456">
        <f>'C1-Incomes'!JU15/'C1-Incomes'!JO15*100</f>
        <v>3.1159423249345548</v>
      </c>
      <c r="Y13" s="458"/>
      <c r="Z13" s="456">
        <f t="shared" ref="Z13:Z59" si="3">100-AA13</f>
        <v>47.355252097315436</v>
      </c>
      <c r="AA13" s="456">
        <f>'C1-Incomes'!JX15/'C1-Incomes'!JW15*100</f>
        <v>52.644747902684564</v>
      </c>
      <c r="AB13" s="456">
        <f>'C1-Incomes'!JY15/'C1-Incomes'!JW15*100</f>
        <v>43.886293398296331</v>
      </c>
      <c r="AC13" s="456">
        <f>'C1-Incomes'!JZ15/'C1-Incomes'!JW15*100</f>
        <v>29.35764341120289</v>
      </c>
      <c r="AD13" s="456">
        <f>'C1-Incomes'!KA15/'C1-Incomes'!JW15*100</f>
        <v>24.163643979091379</v>
      </c>
      <c r="AE13" s="456">
        <f>'C1-Incomes'!KB15/'C1-Incomes'!JW15*100</f>
        <v>14.153281201600413</v>
      </c>
      <c r="AF13" s="456">
        <f>'C1-Incomes'!KC15/'C1-Incomes'!JW15*100</f>
        <v>5.6700775038719664</v>
      </c>
      <c r="AG13" s="458"/>
      <c r="AH13" s="456">
        <f t="shared" ref="AH13:AH59" si="4">100-AI13</f>
        <v>51.056699885184841</v>
      </c>
      <c r="AI13" s="456">
        <f>'C1-Incomes'!KF15/'C1-Incomes'!KE15*100</f>
        <v>48.943300114815159</v>
      </c>
      <c r="AJ13" s="456">
        <f>'C1-Incomes'!KG15/'C1-Incomes'!KE15*100</f>
        <v>37.712301306948362</v>
      </c>
      <c r="AK13" s="456">
        <f>'C1-Incomes'!KH15/'C1-Incomes'!KE15*100</f>
        <v>19.683664837879167</v>
      </c>
      <c r="AL13" s="456">
        <f>'C1-Incomes'!KI15/'C1-Incomes'!KE15*100</f>
        <v>15.073607405406836</v>
      </c>
      <c r="AM13" s="456">
        <f>'C1-Incomes'!KJ15/'C1-Incomes'!KE15*100</f>
        <v>8.0819489147401828</v>
      </c>
      <c r="AN13" s="456">
        <f>'C1-Incomes'!KK15/'C1-Incomes'!KE15*100</f>
        <v>3.1422481345560942</v>
      </c>
      <c r="AP13" s="456">
        <f t="shared" ref="AP13:AP59" si="5">100-AQ13</f>
        <v>84.982246657993016</v>
      </c>
      <c r="AQ13" s="456">
        <f>'C1-Incomes'!KN15/'C1-Incomes'!KM15*100</f>
        <v>15.017753342006991</v>
      </c>
      <c r="AR13" s="456">
        <f>'C1-Incomes'!KO15/'C1-Incomes'!KM15*100</f>
        <v>7.0110826993060922</v>
      </c>
      <c r="AS13" s="456">
        <f>'C1-Incomes'!KP15/'C1-Incomes'!KM15*100</f>
        <v>1.1292307679312048</v>
      </c>
      <c r="AT13" s="456">
        <f>'C1-Incomes'!KQ15/'C1-Incomes'!KM15*100</f>
        <v>0.55634126243389947</v>
      </c>
      <c r="AU13" s="456">
        <f>'C1-Incomes'!KR15/'C1-Incomes'!KM15*100</f>
        <v>0.11011002365389362</v>
      </c>
      <c r="AV13" s="456">
        <f>'C1-Incomes'!KS15/'C1-Incomes'!KM15*100</f>
        <v>1.1362290939347151E-2</v>
      </c>
      <c r="AW13" s="456"/>
      <c r="AX13" s="456">
        <f>100-AY13</f>
        <v>36.133328540472597</v>
      </c>
      <c r="AY13" s="456">
        <f>'C1-Incomes'!LL15/'C1-Incomes'!LK15*100</f>
        <v>63.866671459527403</v>
      </c>
      <c r="AZ13" s="456">
        <f>'C1-Incomes'!LM15/'C1-Incomes'!LK15*100</f>
        <v>52.813155614630467</v>
      </c>
      <c r="BA13" s="456">
        <f>'C1-Incomes'!LN15/'C1-Incomes'!LK15*100</f>
        <v>29.635857302664654</v>
      </c>
      <c r="BB13" s="456">
        <f>'C1-Incomes'!LO15/'C1-Incomes'!LK15*100</f>
        <v>22.36356832202112</v>
      </c>
      <c r="BC13" s="456">
        <f>'C1-Incomes'!LP15/'C1-Incomes'!LK15*100</f>
        <v>12.731203724233284</v>
      </c>
      <c r="BD13" s="456">
        <f>'C1-Incomes'!LQ15/'C1-Incomes'!LK15*100</f>
        <v>5.985824021618904</v>
      </c>
      <c r="BF13" s="456">
        <f t="shared" ref="BF13:BF59" si="6">100-BG13</f>
        <v>75.557288112282421</v>
      </c>
      <c r="BG13" s="456">
        <f>'C1-Incomes'!KV15/'C1-Incomes'!KU15*100</f>
        <v>24.442711887717579</v>
      </c>
      <c r="BH13" s="456">
        <f>'C1-Incomes'!KW15/'C1-Incomes'!KU15*100</f>
        <v>14.034461343466537</v>
      </c>
      <c r="BI13" s="456">
        <f>'C1-Incomes'!KX15/'C1-Incomes'!KU15*100</f>
        <v>4.0589642682029909</v>
      </c>
      <c r="BJ13" s="456">
        <f>'C1-Incomes'!KY15/'C1-Incomes'!KU15*100</f>
        <v>2.4271920958568276</v>
      </c>
      <c r="BK13" s="456">
        <f>'C1-Incomes'!KZ15/'C1-Incomes'!KU15*100</f>
        <v>0.8098266768815886</v>
      </c>
      <c r="BL13" s="456">
        <f>'C1-Incomes'!LA15/'C1-Incomes'!KU15*100</f>
        <v>0.20300661757783772</v>
      </c>
    </row>
    <row r="14" spans="1:64" s="452" customFormat="1" ht="12" x14ac:dyDescent="0.25">
      <c r="A14" s="239">
        <v>1968</v>
      </c>
      <c r="B14" s="456">
        <f t="shared" si="0"/>
        <v>60.130048331029521</v>
      </c>
      <c r="C14" s="456">
        <f>SUM('C1-Incomes'!JH16,'C1-Incomes'!JP16,'C1-Incomes'!JX16,'C1-Incomes'!KF16,'C1-Incomes'!KN16,'C1-Incomes'!KV16)/SUM('C1-Incomes'!$JG16,'C1-Incomes'!$JO16,'C1-Incomes'!$JW16,'C1-Incomes'!$KE16,'C1-Incomes'!$KM16,'C1-Incomes'!$KU16)*100</f>
        <v>39.869951668970479</v>
      </c>
      <c r="D14" s="456">
        <f>SUM('C1-Incomes'!JI16,'C1-Incomes'!JQ16,'C1-Incomes'!JY16,'C1-Incomes'!KG16,'C1-Incomes'!KO16,'C1-Incomes'!KW16)/SUM('C1-Incomes'!$JG16,'C1-Incomes'!$JO16,'C1-Incomes'!$JW16,'C1-Incomes'!$KE16,'C1-Incomes'!$KM16,'C1-Incomes'!$KU16)*100</f>
        <v>29.578336466491145</v>
      </c>
      <c r="E14" s="456">
        <f>SUM('C1-Incomes'!JJ16,'C1-Incomes'!JR16,'C1-Incomes'!JZ16,'C1-Incomes'!KH16,'C1-Incomes'!KP16,'C1-Incomes'!KX16)/SUM('C1-Incomes'!$JG16,'C1-Incomes'!$JO16,'C1-Incomes'!$JW16,'C1-Incomes'!$KE16,'C1-Incomes'!$KM16,'C1-Incomes'!$KU16)*100</f>
        <v>15.874116824362231</v>
      </c>
      <c r="F14" s="456">
        <f>SUM('C1-Incomes'!JK16,'C1-Incomes'!JS16,'C1-Incomes'!KA16,'C1-Incomes'!KI16,'C1-Incomes'!KQ16,'C1-Incomes'!KY16)/SUM('C1-Incomes'!$JG16,'C1-Incomes'!$JO16,'C1-Incomes'!$JW16,'C1-Incomes'!$KE16,'C1-Incomes'!$KM16,'C1-Incomes'!$KU16)*100</f>
        <v>12.352142706915229</v>
      </c>
      <c r="G14" s="456">
        <f>SUM('C1-Incomes'!JL16,'C1-Incomes'!JT16,'C1-Incomes'!KB16,'C1-Incomes'!KJ16,'C1-Incomes'!KR16,'C1-Incomes'!KZ16)/SUM('C1-Incomes'!$JG16,'C1-Incomes'!$JO16,'C1-Incomes'!$JW16,'C1-Incomes'!$KE16,'C1-Incomes'!$KM16,'C1-Incomes'!$KU16)*100</f>
        <v>6.6774689484531065</v>
      </c>
      <c r="H14" s="456">
        <f>SUM('C1-Incomes'!JM16,'C1-Incomes'!JU16,'C1-Incomes'!KC16,'C1-Incomes'!KK16,'C1-Incomes'!KS16,'C1-Incomes'!LA16)/SUM('C1-Incomes'!$JG16,'C1-Incomes'!$JO16,'C1-Incomes'!$JW16,'C1-Incomes'!$KE16,'C1-Incomes'!$KM16,'C1-Incomes'!$KU16)*100</f>
        <v>2.4952296599203558</v>
      </c>
      <c r="I14" s="239"/>
      <c r="J14" s="456">
        <f t="shared" si="1"/>
        <v>49.342844683627227</v>
      </c>
      <c r="K14" s="456">
        <f>'C1-Incomes'!JH16/'C1-Incomes'!JG16*100</f>
        <v>50.657155316372773</v>
      </c>
      <c r="L14" s="456">
        <f>'C1-Incomes'!JI16/'C1-Incomes'!JG16*100</f>
        <v>38.930360220494379</v>
      </c>
      <c r="M14" s="456">
        <f>'C1-Incomes'!JJ16/'C1-Incomes'!JG16*100</f>
        <v>21.817876829971578</v>
      </c>
      <c r="N14" s="456">
        <f>'C1-Incomes'!JK16/'C1-Incomes'!JG16*100</f>
        <v>16.897512529215224</v>
      </c>
      <c r="O14" s="456">
        <f>'C1-Incomes'!JL16/'C1-Incomes'!JG16*100</f>
        <v>8.7672298295375697</v>
      </c>
      <c r="P14" s="456">
        <f>'C1-Incomes'!JM16/'C1-Incomes'!JG16*100</f>
        <v>3.2261927343058723</v>
      </c>
      <c r="Q14" s="458"/>
      <c r="R14" s="456">
        <f t="shared" si="2"/>
        <v>53.721540007652088</v>
      </c>
      <c r="S14" s="456">
        <f>'C1-Incomes'!JP16/'C1-Incomes'!JO16*100</f>
        <v>46.278459992347912</v>
      </c>
      <c r="T14" s="456">
        <f>'C1-Incomes'!JQ16/'C1-Incomes'!JO16*100</f>
        <v>35.490205713556946</v>
      </c>
      <c r="U14" s="456">
        <f>'C1-Incomes'!JR16/'C1-Incomes'!JO16*100</f>
        <v>18.747937941589086</v>
      </c>
      <c r="V14" s="456">
        <f>'C1-Incomes'!JS16/'C1-Incomes'!JO16*100</f>
        <v>14.091869098329294</v>
      </c>
      <c r="W14" s="456">
        <f>'C1-Incomes'!JT16/'C1-Incomes'!JO16*100</f>
        <v>7.158604421629895</v>
      </c>
      <c r="X14" s="456">
        <f>'C1-Incomes'!JU16/'C1-Incomes'!JO16*100</f>
        <v>2.7182799872465244</v>
      </c>
      <c r="Y14" s="458"/>
      <c r="Z14" s="456">
        <f t="shared" si="3"/>
        <v>46.644360160370248</v>
      </c>
      <c r="AA14" s="456">
        <f>'C1-Incomes'!JX16/'C1-Incomes'!JW16*100</f>
        <v>53.355639839629752</v>
      </c>
      <c r="AB14" s="456">
        <f>'C1-Incomes'!JY16/'C1-Incomes'!JW16*100</f>
        <v>44.847961387364116</v>
      </c>
      <c r="AC14" s="456">
        <f>'C1-Incomes'!JZ16/'C1-Incomes'!JW16*100</f>
        <v>29.888287455602196</v>
      </c>
      <c r="AD14" s="456">
        <f>'C1-Incomes'!KA16/'C1-Incomes'!JW16*100</f>
        <v>24.766233196103755</v>
      </c>
      <c r="AE14" s="456">
        <f>'C1-Incomes'!KB16/'C1-Incomes'!JW16*100</f>
        <v>14.936119481218382</v>
      </c>
      <c r="AF14" s="456">
        <f>'C1-Incomes'!KC16/'C1-Incomes'!JW16*100</f>
        <v>5.7692720455279307</v>
      </c>
      <c r="AG14" s="458"/>
      <c r="AH14" s="456">
        <f t="shared" si="4"/>
        <v>50.519771885780344</v>
      </c>
      <c r="AI14" s="456">
        <f>'C1-Incomes'!KF16/'C1-Incomes'!KE16*100</f>
        <v>49.480228114219656</v>
      </c>
      <c r="AJ14" s="456">
        <f>'C1-Incomes'!KG16/'C1-Incomes'!KE16*100</f>
        <v>38.133773953968024</v>
      </c>
      <c r="AK14" s="456">
        <f>'C1-Incomes'!KH16/'C1-Incomes'!KE16*100</f>
        <v>19.940477372331205</v>
      </c>
      <c r="AL14" s="456">
        <f>'C1-Incomes'!KI16/'C1-Incomes'!KE16*100</f>
        <v>15.446301360581433</v>
      </c>
      <c r="AM14" s="456">
        <f>'C1-Incomes'!KJ16/'C1-Incomes'!KE16*100</f>
        <v>8.492324772143208</v>
      </c>
      <c r="AN14" s="456">
        <f>'C1-Incomes'!KK16/'C1-Incomes'!KE16*100</f>
        <v>3.2273381011285172</v>
      </c>
      <c r="AP14" s="456">
        <f t="shared" si="5"/>
        <v>84.426567595501098</v>
      </c>
      <c r="AQ14" s="456">
        <f>'C1-Incomes'!KN16/'C1-Incomes'!KM16*100</f>
        <v>15.573432404498902</v>
      </c>
      <c r="AR14" s="456">
        <f>'C1-Incomes'!KO16/'C1-Incomes'!KM16*100</f>
        <v>7.3484792741773388</v>
      </c>
      <c r="AS14" s="456">
        <f>'C1-Incomes'!KP16/'C1-Incomes'!KM16*100</f>
        <v>1.1652341277732048</v>
      </c>
      <c r="AT14" s="456">
        <f>'C1-Incomes'!KQ16/'C1-Incomes'!KM16*100</f>
        <v>0.57488582241050767</v>
      </c>
      <c r="AU14" s="456">
        <f>'C1-Incomes'!KR16/'C1-Incomes'!KM16*100</f>
        <v>0.10768476426622703</v>
      </c>
      <c r="AV14" s="456">
        <f>'C1-Incomes'!KS16/'C1-Incomes'!KM16*100</f>
        <v>1.2037774022034471E-2</v>
      </c>
      <c r="AW14" s="456"/>
      <c r="AX14" s="456">
        <f t="shared" ref="AX14:AX61" si="7">100-AY14</f>
        <v>36.561333172945197</v>
      </c>
      <c r="AY14" s="456">
        <f>'C1-Incomes'!LL16/'C1-Incomes'!LK16*100</f>
        <v>63.438666827054803</v>
      </c>
      <c r="AZ14" s="456">
        <f>'C1-Incomes'!LM16/'C1-Incomes'!LK16*100</f>
        <v>52.348932512720161</v>
      </c>
      <c r="BA14" s="456">
        <f>'C1-Incomes'!LN16/'C1-Incomes'!LK16*100</f>
        <v>29.544333324853227</v>
      </c>
      <c r="BB14" s="456">
        <f>'C1-Incomes'!LO16/'C1-Incomes'!LK16*100</f>
        <v>22.664162486790605</v>
      </c>
      <c r="BC14" s="456">
        <f>'C1-Incomes'!LP16/'C1-Incomes'!LK16*100</f>
        <v>12.74662945572407</v>
      </c>
      <c r="BD14" s="456">
        <f>'C1-Incomes'!LQ16/'C1-Incomes'!LK16*100</f>
        <v>6.0402224143835612</v>
      </c>
      <c r="BF14" s="456">
        <f t="shared" si="6"/>
        <v>76.131912166809968</v>
      </c>
      <c r="BG14" s="456">
        <f>'C1-Incomes'!KV16/'C1-Incomes'!KU16*100</f>
        <v>23.868087833190028</v>
      </c>
      <c r="BH14" s="456">
        <f>'C1-Incomes'!KW16/'C1-Incomes'!KU16*100</f>
        <v>13.592156904557179</v>
      </c>
      <c r="BI14" s="456">
        <f>'C1-Incomes'!KX16/'C1-Incomes'!KU16*100</f>
        <v>3.7738427407566637</v>
      </c>
      <c r="BJ14" s="456">
        <f>'C1-Incomes'!KY16/'C1-Incomes'!KU16*100</f>
        <v>2.260691107050731</v>
      </c>
      <c r="BK14" s="456">
        <f>'C1-Incomes'!KZ16/'C1-Incomes'!KU16*100</f>
        <v>0.74165257330180567</v>
      </c>
      <c r="BL14" s="456">
        <f>'C1-Incomes'!LA16/'C1-Incomes'!KU16*100</f>
        <v>0.19015601137145313</v>
      </c>
    </row>
    <row r="15" spans="1:64" s="452" customFormat="1" ht="12" x14ac:dyDescent="0.25">
      <c r="A15" s="239">
        <v>1969</v>
      </c>
      <c r="B15" s="456">
        <f t="shared" si="0"/>
        <v>61.78785687476924</v>
      </c>
      <c r="C15" s="456">
        <f>SUM('C1-Incomes'!JH17,'C1-Incomes'!JP17,'C1-Incomes'!JX17,'C1-Incomes'!KF17,'C1-Incomes'!KN17,'C1-Incomes'!KV17)/SUM('C1-Incomes'!$JG17,'C1-Incomes'!$JO17,'C1-Incomes'!$JW17,'C1-Incomes'!$KE17,'C1-Incomes'!$KM17,'C1-Incomes'!$KU17)*100</f>
        <v>38.21214312523076</v>
      </c>
      <c r="D15" s="456">
        <f>SUM('C1-Incomes'!JI17,'C1-Incomes'!JQ17,'C1-Incomes'!JY17,'C1-Incomes'!KG17,'C1-Incomes'!KO17,'C1-Incomes'!KW17)/SUM('C1-Incomes'!$JG17,'C1-Incomes'!$JO17,'C1-Incomes'!$JW17,'C1-Incomes'!$KE17,'C1-Incomes'!$KM17,'C1-Incomes'!$KU17)*100</f>
        <v>27.688951223046455</v>
      </c>
      <c r="E15" s="456">
        <f>SUM('C1-Incomes'!JJ17,'C1-Incomes'!JR17,'C1-Incomes'!JZ17,'C1-Incomes'!KH17,'C1-Incomes'!KP17,'C1-Incomes'!KX17)/SUM('C1-Incomes'!$JG17,'C1-Incomes'!$JO17,'C1-Incomes'!$JW17,'C1-Incomes'!$KE17,'C1-Incomes'!$KM17,'C1-Incomes'!$KU17)*100</f>
        <v>14.221068748726074</v>
      </c>
      <c r="F15" s="456">
        <f>SUM('C1-Incomes'!JK17,'C1-Incomes'!JS17,'C1-Incomes'!KA17,'C1-Incomes'!KI17,'C1-Incomes'!KQ17,'C1-Incomes'!KY17)/SUM('C1-Incomes'!$JG17,'C1-Incomes'!$JO17,'C1-Incomes'!$JW17,'C1-Incomes'!$KE17,'C1-Incomes'!$KM17,'C1-Incomes'!$KU17)*100</f>
        <v>10.882201617768535</v>
      </c>
      <c r="G15" s="456">
        <f>SUM('C1-Incomes'!JL17,'C1-Incomes'!JT17,'C1-Incomes'!KB17,'C1-Incomes'!KJ17,'C1-Incomes'!KR17,'C1-Incomes'!KZ17)/SUM('C1-Incomes'!$JG17,'C1-Incomes'!$JO17,'C1-Incomes'!$JW17,'C1-Incomes'!$KE17,'C1-Incomes'!$KM17,'C1-Incomes'!$KU17)*100</f>
        <v>5.7595434380317228</v>
      </c>
      <c r="H15" s="456">
        <f>SUM('C1-Incomes'!JM17,'C1-Incomes'!JU17,'C1-Incomes'!KC17,'C1-Incomes'!KK17,'C1-Incomes'!KS17,'C1-Incomes'!LA17)/SUM('C1-Incomes'!$JG17,'C1-Incomes'!$JO17,'C1-Incomes'!$JW17,'C1-Incomes'!$KE17,'C1-Incomes'!$KM17,'C1-Incomes'!$KU17)*100</f>
        <v>2.2834617686620975</v>
      </c>
      <c r="I15" s="239"/>
      <c r="J15" s="456">
        <f t="shared" si="1"/>
        <v>51.685278295515076</v>
      </c>
      <c r="K15" s="456">
        <f>'C1-Incomes'!JH17/'C1-Incomes'!JG17*100</f>
        <v>48.314721704484924</v>
      </c>
      <c r="L15" s="456">
        <f>'C1-Incomes'!JI17/'C1-Incomes'!JG17*100</f>
        <v>36.355479697001932</v>
      </c>
      <c r="M15" s="456">
        <f>'C1-Incomes'!JJ17/'C1-Incomes'!JG17*100</f>
        <v>19.671154073957702</v>
      </c>
      <c r="N15" s="456">
        <f>'C1-Incomes'!JK17/'C1-Incomes'!JG17*100</f>
        <v>14.994885981608352</v>
      </c>
      <c r="O15" s="456">
        <f>'C1-Incomes'!JL17/'C1-Incomes'!JG17*100</f>
        <v>7.7327439460536356</v>
      </c>
      <c r="P15" s="456">
        <f>'C1-Incomes'!JM17/'C1-Incomes'!JG17*100</f>
        <v>2.9927142341883397</v>
      </c>
      <c r="Q15" s="458"/>
      <c r="R15" s="456">
        <f t="shared" si="2"/>
        <v>53.955939942675805</v>
      </c>
      <c r="S15" s="456">
        <f>'C1-Incomes'!JP17/'C1-Incomes'!JO17*100</f>
        <v>46.044060057324195</v>
      </c>
      <c r="T15" s="456">
        <f>'C1-Incomes'!JQ17/'C1-Incomes'!JO17*100</f>
        <v>35.217837680417645</v>
      </c>
      <c r="U15" s="456">
        <f>'C1-Incomes'!JR17/'C1-Incomes'!JO17*100</f>
        <v>18.715341713583786</v>
      </c>
      <c r="V15" s="456">
        <f>'C1-Incomes'!JS17/'C1-Incomes'!JO17*100</f>
        <v>13.90664605384379</v>
      </c>
      <c r="W15" s="456">
        <f>'C1-Incomes'!JT17/'C1-Incomes'!JO17*100</f>
        <v>7.0724382249974402</v>
      </c>
      <c r="X15" s="456">
        <f>'C1-Incomes'!JU17/'C1-Incomes'!JO17*100</f>
        <v>2.75812353055584</v>
      </c>
      <c r="Y15" s="458"/>
      <c r="Z15" s="456">
        <f t="shared" si="3"/>
        <v>50.640777504193949</v>
      </c>
      <c r="AA15" s="456">
        <f>'C1-Incomes'!JX17/'C1-Incomes'!JW17*100</f>
        <v>49.359222495806051</v>
      </c>
      <c r="AB15" s="456">
        <f>'C1-Incomes'!JY17/'C1-Incomes'!JW17*100</f>
        <v>40.792700930786296</v>
      </c>
      <c r="AC15" s="456">
        <f>'C1-Incomes'!JZ17/'C1-Incomes'!JW17*100</f>
        <v>26.242875788733155</v>
      </c>
      <c r="AD15" s="456">
        <f>'C1-Incomes'!KA17/'C1-Incomes'!JW17*100</f>
        <v>21.693530301964394</v>
      </c>
      <c r="AE15" s="456">
        <f>'C1-Incomes'!KB17/'C1-Incomes'!JW17*100</f>
        <v>12.916984855782241</v>
      </c>
      <c r="AF15" s="456">
        <f>'C1-Incomes'!KC17/'C1-Incomes'!JW17*100</f>
        <v>5.4421449320850694</v>
      </c>
      <c r="AG15" s="458"/>
      <c r="AH15" s="456">
        <f t="shared" si="4"/>
        <v>52.516851799182909</v>
      </c>
      <c r="AI15" s="456">
        <f>'C1-Incomes'!KF17/'C1-Incomes'!KE17*100</f>
        <v>47.483148200817091</v>
      </c>
      <c r="AJ15" s="456">
        <f>'C1-Incomes'!KG17/'C1-Incomes'!KE17*100</f>
        <v>35.670394190578428</v>
      </c>
      <c r="AK15" s="456">
        <f>'C1-Incomes'!KH17/'C1-Incomes'!KE17*100</f>
        <v>17.658727948242053</v>
      </c>
      <c r="AL15" s="456">
        <f>'C1-Incomes'!KI17/'C1-Incomes'!KE17*100</f>
        <v>13.428376647874879</v>
      </c>
      <c r="AM15" s="456">
        <f>'C1-Incomes'!KJ17/'C1-Incomes'!KE17*100</f>
        <v>7.1299232449414092</v>
      </c>
      <c r="AN15" s="456">
        <f>'C1-Incomes'!KK17/'C1-Incomes'!KE17*100</f>
        <v>2.8838886131679722</v>
      </c>
      <c r="AP15" s="456">
        <f t="shared" si="5"/>
        <v>84.366139895134069</v>
      </c>
      <c r="AQ15" s="456">
        <f>'C1-Incomes'!KN17/'C1-Incomes'!KM17*100</f>
        <v>15.633860104865938</v>
      </c>
      <c r="AR15" s="456">
        <f>'C1-Incomes'!KO17/'C1-Incomes'!KM17*100</f>
        <v>7.2700163459871776</v>
      </c>
      <c r="AS15" s="456">
        <f>'C1-Incomes'!KP17/'C1-Incomes'!KM17*100</f>
        <v>1.2087081171958305</v>
      </c>
      <c r="AT15" s="456">
        <f>'C1-Incomes'!KQ17/'C1-Incomes'!KM17*100</f>
        <v>0.59521947907494854</v>
      </c>
      <c r="AU15" s="456">
        <f>'C1-Incomes'!KR17/'C1-Incomes'!KM17*100</f>
        <v>0.11761481339939039</v>
      </c>
      <c r="AV15" s="456">
        <f>'C1-Incomes'!KS17/'C1-Incomes'!KM17*100</f>
        <v>1.2516705250598312E-2</v>
      </c>
      <c r="AW15" s="456"/>
      <c r="AX15" s="456">
        <f t="shared" si="7"/>
        <v>36.698419888000011</v>
      </c>
      <c r="AY15" s="456">
        <f>'C1-Incomes'!LL17/'C1-Incomes'!LK17*100</f>
        <v>63.301580111999989</v>
      </c>
      <c r="AZ15" s="456">
        <f>'C1-Incomes'!LM17/'C1-Incomes'!LK17*100</f>
        <v>52.134909779891878</v>
      </c>
      <c r="BA15" s="456">
        <f>'C1-Incomes'!LN17/'C1-Incomes'!LK17*100</f>
        <v>29.561058294486486</v>
      </c>
      <c r="BB15" s="456">
        <f>'C1-Incomes'!LO17/'C1-Incomes'!LK17*100</f>
        <v>22.394565396756761</v>
      </c>
      <c r="BC15" s="456">
        <f>'C1-Incomes'!LP17/'C1-Incomes'!LK17*100</f>
        <v>12.626199987027029</v>
      </c>
      <c r="BD15" s="456">
        <f>'C1-Incomes'!LQ17/'C1-Incomes'!LK17*100</f>
        <v>6.1317320408648648</v>
      </c>
      <c r="BF15" s="456">
        <f t="shared" si="6"/>
        <v>76.296411901006678</v>
      </c>
      <c r="BG15" s="456">
        <f>'C1-Incomes'!KV17/'C1-Incomes'!KU17*100</f>
        <v>23.703588098993322</v>
      </c>
      <c r="BH15" s="456">
        <f>'C1-Incomes'!KW17/'C1-Incomes'!KU17*100</f>
        <v>13.405243263819926</v>
      </c>
      <c r="BI15" s="456">
        <f>'C1-Incomes'!KX17/'C1-Incomes'!KU17*100</f>
        <v>3.7163806005023661</v>
      </c>
      <c r="BJ15" s="456">
        <f>'C1-Incomes'!KY17/'C1-Incomes'!KU17*100</f>
        <v>2.1971168526198959</v>
      </c>
      <c r="BK15" s="456">
        <f>'C1-Incomes'!KZ17/'C1-Incomes'!KU17*100</f>
        <v>0.70005495979126497</v>
      </c>
      <c r="BL15" s="456">
        <f>'C1-Incomes'!LA17/'C1-Incomes'!KU17*100</f>
        <v>0.17817362402398892</v>
      </c>
    </row>
    <row r="16" spans="1:64" s="452" customFormat="1" ht="12" x14ac:dyDescent="0.25">
      <c r="A16" s="239">
        <v>1970</v>
      </c>
      <c r="B16" s="456">
        <f t="shared" si="0"/>
        <v>63.222573535293023</v>
      </c>
      <c r="C16" s="456">
        <f>SUM('C1-Incomes'!JH18,'C1-Incomes'!JP18,'C1-Incomes'!JX18,'C1-Incomes'!KF18,'C1-Incomes'!KN18,'C1-Incomes'!KV18)/SUM('C1-Incomes'!$JG18,'C1-Incomes'!$JO18,'C1-Incomes'!$JW18,'C1-Incomes'!$KE18,'C1-Incomes'!$KM18,'C1-Incomes'!$KU18)*100</f>
        <v>36.777426464706977</v>
      </c>
      <c r="D16" s="456">
        <f>SUM('C1-Incomes'!JI18,'C1-Incomes'!JQ18,'C1-Incomes'!JY18,'C1-Incomes'!KG18,'C1-Incomes'!KO18,'C1-Incomes'!KW18)/SUM('C1-Incomes'!$JG18,'C1-Incomes'!$JO18,'C1-Incomes'!$JW18,'C1-Incomes'!$KE18,'C1-Incomes'!$KM18,'C1-Incomes'!$KU18)*100</f>
        <v>26.156868129208448</v>
      </c>
      <c r="E16" s="456">
        <f>SUM('C1-Incomes'!JJ18,'C1-Incomes'!JR18,'C1-Incomes'!JZ18,'C1-Incomes'!KH18,'C1-Incomes'!KP18,'C1-Incomes'!KX18)/SUM('C1-Incomes'!$JG18,'C1-Incomes'!$JO18,'C1-Incomes'!$JW18,'C1-Incomes'!$KE18,'C1-Incomes'!$KM18,'C1-Incomes'!$KU18)*100</f>
        <v>12.786849039757705</v>
      </c>
      <c r="F16" s="456">
        <f>SUM('C1-Incomes'!JK18,'C1-Incomes'!JS18,'C1-Incomes'!KA18,'C1-Incomes'!KI18,'C1-Incomes'!KQ18,'C1-Incomes'!KY18)/SUM('C1-Incomes'!$JG18,'C1-Incomes'!$JO18,'C1-Incomes'!$JW18,'C1-Incomes'!$KE18,'C1-Incomes'!$KM18,'C1-Incomes'!$KU18)*100</f>
        <v>9.6004723153761997</v>
      </c>
      <c r="G16" s="456">
        <f>SUM('C1-Incomes'!JL18,'C1-Incomes'!JT18,'C1-Incomes'!KB18,'C1-Incomes'!KJ18,'C1-Incomes'!KR18,'C1-Incomes'!KZ18)/SUM('C1-Incomes'!$JG18,'C1-Incomes'!$JO18,'C1-Incomes'!$JW18,'C1-Incomes'!$KE18,'C1-Incomes'!$KM18,'C1-Incomes'!$KU18)*100</f>
        <v>4.9684214160902389</v>
      </c>
      <c r="H16" s="456">
        <f>SUM('C1-Incomes'!JM18,'C1-Incomes'!JU18,'C1-Incomes'!KC18,'C1-Incomes'!KK18,'C1-Incomes'!KS18,'C1-Incomes'!LA18)/SUM('C1-Incomes'!$JG18,'C1-Incomes'!$JO18,'C1-Incomes'!$JW18,'C1-Incomes'!$KE18,'C1-Incomes'!$KM18,'C1-Incomes'!$KU18)*100</f>
        <v>1.8667361856057032</v>
      </c>
      <c r="I16" s="239"/>
      <c r="J16" s="456">
        <f t="shared" si="1"/>
        <v>53.007696511396944</v>
      </c>
      <c r="K16" s="456">
        <f>'C1-Incomes'!JH18/'C1-Incomes'!JG18*100</f>
        <v>46.992303488603056</v>
      </c>
      <c r="L16" s="456">
        <f>'C1-Incomes'!JI18/'C1-Incomes'!JG18*100</f>
        <v>34.777028968783121</v>
      </c>
      <c r="M16" s="456">
        <f>'C1-Incomes'!JJ18/'C1-Incomes'!JG18*100</f>
        <v>17.886230084340838</v>
      </c>
      <c r="N16" s="456">
        <f>'C1-Incomes'!JK18/'C1-Incomes'!JG18*100</f>
        <v>13.34335166002403</v>
      </c>
      <c r="O16" s="456">
        <f>'C1-Incomes'!JL18/'C1-Incomes'!JG18*100</f>
        <v>6.6486463576134147</v>
      </c>
      <c r="P16" s="456">
        <f>'C1-Incomes'!JM18/'C1-Incomes'!JG18*100</f>
        <v>2.3945749278152171</v>
      </c>
      <c r="Q16" s="458"/>
      <c r="R16" s="456">
        <f t="shared" si="2"/>
        <v>53.579558827845545</v>
      </c>
      <c r="S16" s="456">
        <f>'C1-Incomes'!JP18/'C1-Incomes'!JO18*100</f>
        <v>46.420441172154455</v>
      </c>
      <c r="T16" s="456">
        <f>'C1-Incomes'!JQ18/'C1-Incomes'!JO18*100</f>
        <v>35.562397716224893</v>
      </c>
      <c r="U16" s="456">
        <f>'C1-Incomes'!JR18/'C1-Incomes'!JO18*100</f>
        <v>18.735638934238281</v>
      </c>
      <c r="V16" s="456">
        <f>'C1-Incomes'!JS18/'C1-Incomes'!JO18*100</f>
        <v>13.796176896267081</v>
      </c>
      <c r="W16" s="456">
        <f>'C1-Incomes'!JT18/'C1-Incomes'!JO18*100</f>
        <v>6.8492922956984312</v>
      </c>
      <c r="X16" s="456">
        <f>'C1-Incomes'!JU18/'C1-Incomes'!JO18*100</f>
        <v>2.4821276969641382</v>
      </c>
      <c r="Y16" s="458"/>
      <c r="Z16" s="456">
        <f t="shared" si="3"/>
        <v>52.413804241435564</v>
      </c>
      <c r="AA16" s="456">
        <f>'C1-Incomes'!JX18/'C1-Incomes'!JW18*100</f>
        <v>47.586195758564436</v>
      </c>
      <c r="AB16" s="456">
        <f>'C1-Incomes'!JY18/'C1-Incomes'!JW18*100</f>
        <v>38.518241403576113</v>
      </c>
      <c r="AC16" s="456">
        <f>'C1-Incomes'!JZ18/'C1-Incomes'!JW18*100</f>
        <v>24.440402722067621</v>
      </c>
      <c r="AD16" s="456">
        <f>'C1-Incomes'!KA18/'C1-Incomes'!JW18*100</f>
        <v>20.15138074720916</v>
      </c>
      <c r="AE16" s="456">
        <f>'C1-Incomes'!KB18/'C1-Incomes'!JW18*100</f>
        <v>12.102185314908997</v>
      </c>
      <c r="AF16" s="456">
        <f>'C1-Incomes'!KC18/'C1-Incomes'!JW18*100</f>
        <v>5.0056410421264754</v>
      </c>
      <c r="AG16" s="458"/>
      <c r="AH16" s="456">
        <f t="shared" si="4"/>
        <v>54.517640084137128</v>
      </c>
      <c r="AI16" s="456">
        <f>'C1-Incomes'!KF18/'C1-Incomes'!KE18*100</f>
        <v>45.482359915862872</v>
      </c>
      <c r="AJ16" s="456">
        <f>'C1-Incomes'!KG18/'C1-Incomes'!KE18*100</f>
        <v>33.892095022235658</v>
      </c>
      <c r="AK16" s="456">
        <f>'C1-Incomes'!KH18/'C1-Incomes'!KE18*100</f>
        <v>16.310962535297705</v>
      </c>
      <c r="AL16" s="456">
        <f>'C1-Incomes'!KI18/'C1-Incomes'!KE18*100</f>
        <v>12.233085093379156</v>
      </c>
      <c r="AM16" s="456">
        <f>'C1-Incomes'!KJ18/'C1-Incomes'!KE18*100</f>
        <v>6.4687066905705981</v>
      </c>
      <c r="AN16" s="456">
        <f>'C1-Incomes'!KK18/'C1-Incomes'!KE18*100</f>
        <v>2.4902176096654207</v>
      </c>
      <c r="AP16" s="456">
        <f t="shared" si="5"/>
        <v>84.632758810898181</v>
      </c>
      <c r="AQ16" s="456">
        <f>'C1-Incomes'!KN18/'C1-Incomes'!KM18*100</f>
        <v>15.367241189101824</v>
      </c>
      <c r="AR16" s="456">
        <f>'C1-Incomes'!KO18/'C1-Incomes'!KM18*100</f>
        <v>7.2253777806888175</v>
      </c>
      <c r="AS16" s="456">
        <f>'C1-Incomes'!KP18/'C1-Incomes'!KM18*100</f>
        <v>1.1875867076573838</v>
      </c>
      <c r="AT16" s="456">
        <f>'C1-Incomes'!KQ18/'C1-Incomes'!KM18*100</f>
        <v>0.57287012441461549</v>
      </c>
      <c r="AU16" s="456">
        <f>'C1-Incomes'!KR18/'C1-Incomes'!KM18*100</f>
        <v>0.11439834205316886</v>
      </c>
      <c r="AV16" s="456">
        <f>'C1-Incomes'!KS18/'C1-Incomes'!KM18*100</f>
        <v>1.1517116241438427E-2</v>
      </c>
      <c r="AW16" s="456"/>
      <c r="AX16" s="456">
        <f t="shared" si="7"/>
        <v>36.305712471662474</v>
      </c>
      <c r="AY16" s="456">
        <f>'C1-Incomes'!LL18/'C1-Incomes'!LK18*100</f>
        <v>63.694287528337526</v>
      </c>
      <c r="AZ16" s="456">
        <f>'C1-Incomes'!LM18/'C1-Incomes'!LK18*100</f>
        <v>52.622726081024361</v>
      </c>
      <c r="BA16" s="456">
        <f>'C1-Incomes'!LN18/'C1-Incomes'!LK18*100</f>
        <v>29.651190675902601</v>
      </c>
      <c r="BB16" s="456">
        <f>'C1-Incomes'!LO18/'C1-Incomes'!LK18*100</f>
        <v>22.244218769731319</v>
      </c>
      <c r="BC16" s="456">
        <f>'C1-Incomes'!LP18/'C1-Incomes'!LK18*100</f>
        <v>12.30530471179681</v>
      </c>
      <c r="BD16" s="456">
        <f>'C1-Incomes'!LQ18/'C1-Incomes'!LK18*100</f>
        <v>5.7586628881192281</v>
      </c>
      <c r="BF16" s="456">
        <f t="shared" si="6"/>
        <v>76.13405047957437</v>
      </c>
      <c r="BG16" s="456">
        <f>'C1-Incomes'!KV18/'C1-Incomes'!KU18*100</f>
        <v>23.865949520425634</v>
      </c>
      <c r="BH16" s="456">
        <f>'C1-Incomes'!KW18/'C1-Incomes'!KU18*100</f>
        <v>13.599413949078592</v>
      </c>
      <c r="BI16" s="456">
        <f>'C1-Incomes'!KX18/'C1-Incomes'!KU18*100</f>
        <v>3.8264065170566472</v>
      </c>
      <c r="BJ16" s="456">
        <f>'C1-Incomes'!KY18/'C1-Incomes'!KU18*100</f>
        <v>2.3058851470019697</v>
      </c>
      <c r="BK16" s="456">
        <f>'C1-Incomes'!KZ18/'C1-Incomes'!KU18*100</f>
        <v>0.76794267622747103</v>
      </c>
      <c r="BL16" s="456">
        <f>'C1-Incomes'!LA18/'C1-Incomes'!KU18*100</f>
        <v>0.19826687439017657</v>
      </c>
    </row>
    <row r="17" spans="1:64" s="452" customFormat="1" ht="12" x14ac:dyDescent="0.25">
      <c r="A17" s="239">
        <v>1971</v>
      </c>
      <c r="B17" s="456">
        <f t="shared" si="0"/>
        <v>62.79209422918521</v>
      </c>
      <c r="C17" s="456">
        <f>SUM('C1-Incomes'!JH19,'C1-Incomes'!JP19,'C1-Incomes'!JX19,'C1-Incomes'!KF19,'C1-Incomes'!KN19,'C1-Incomes'!KV19)/SUM('C1-Incomes'!$JG19,'C1-Incomes'!$JO19,'C1-Incomes'!$JW19,'C1-Incomes'!$KE19,'C1-Incomes'!$KM19,'C1-Incomes'!$KU19)*100</f>
        <v>37.20790577081479</v>
      </c>
      <c r="D17" s="456">
        <f>SUM('C1-Incomes'!JI19,'C1-Incomes'!JQ19,'C1-Incomes'!JY19,'C1-Incomes'!KG19,'C1-Incomes'!KO19,'C1-Incomes'!KW19)/SUM('C1-Incomes'!$JG19,'C1-Incomes'!$JO19,'C1-Incomes'!$JW19,'C1-Incomes'!$KE19,'C1-Incomes'!$KM19,'C1-Incomes'!$KU19)*100</f>
        <v>26.373775718071396</v>
      </c>
      <c r="E17" s="456">
        <f>SUM('C1-Incomes'!JJ19,'C1-Incomes'!JR19,'C1-Incomes'!JZ19,'C1-Incomes'!KH19,'C1-Incomes'!KP19,'C1-Incomes'!KX19)/SUM('C1-Incomes'!$JG19,'C1-Incomes'!$JO19,'C1-Incomes'!$JW19,'C1-Incomes'!$KE19,'C1-Incomes'!$KM19,'C1-Incomes'!$KU19)*100</f>
        <v>12.857441551663188</v>
      </c>
      <c r="F17" s="456">
        <f>SUM('C1-Incomes'!JK19,'C1-Incomes'!JS19,'C1-Incomes'!KA19,'C1-Incomes'!KI19,'C1-Incomes'!KQ19,'C1-Incomes'!KY19)/SUM('C1-Incomes'!$JG19,'C1-Incomes'!$JO19,'C1-Incomes'!$JW19,'C1-Incomes'!$KE19,'C1-Incomes'!$KM19,'C1-Incomes'!$KU19)*100</f>
        <v>9.6634397184834366</v>
      </c>
      <c r="G17" s="456">
        <f>SUM('C1-Incomes'!JL19,'C1-Incomes'!JT19,'C1-Incomes'!KB19,'C1-Incomes'!KJ19,'C1-Incomes'!KR19,'C1-Incomes'!KZ19)/SUM('C1-Incomes'!$JG19,'C1-Incomes'!$JO19,'C1-Incomes'!$JW19,'C1-Incomes'!$KE19,'C1-Incomes'!$KM19,'C1-Incomes'!$KU19)*100</f>
        <v>5.0564958248716012</v>
      </c>
      <c r="H17" s="456">
        <f>SUM('C1-Incomes'!JM19,'C1-Incomes'!JU19,'C1-Incomes'!KC19,'C1-Incomes'!KK19,'C1-Incomes'!KS19,'C1-Incomes'!LA19)/SUM('C1-Incomes'!$JG19,'C1-Incomes'!$JO19,'C1-Incomes'!$JW19,'C1-Incomes'!$KE19,'C1-Incomes'!$KM19,'C1-Incomes'!$KU19)*100</f>
        <v>1.9285061065613143</v>
      </c>
      <c r="I17" s="239"/>
      <c r="J17" s="456">
        <f t="shared" si="1"/>
        <v>51.488607979118854</v>
      </c>
      <c r="K17" s="456">
        <f>'C1-Incomes'!JH19/'C1-Incomes'!JG19*100</f>
        <v>48.511392020881146</v>
      </c>
      <c r="L17" s="456">
        <f>'C1-Incomes'!JI19/'C1-Incomes'!JG19*100</f>
        <v>35.99360812792321</v>
      </c>
      <c r="M17" s="456">
        <f>'C1-Incomes'!JJ19/'C1-Incomes'!JG19*100</f>
        <v>18.584624574184538</v>
      </c>
      <c r="N17" s="456">
        <f>'C1-Incomes'!JK19/'C1-Incomes'!JG19*100</f>
        <v>13.970088564197674</v>
      </c>
      <c r="O17" s="456">
        <f>'C1-Incomes'!JL19/'C1-Incomes'!JG19*100</f>
        <v>7.0675618186725142</v>
      </c>
      <c r="P17" s="456">
        <f>'C1-Incomes'!JM19/'C1-Incomes'!JG19*100</f>
        <v>2.655932123031215</v>
      </c>
      <c r="Q17" s="458"/>
      <c r="R17" s="456">
        <f t="shared" si="2"/>
        <v>53.402647009646302</v>
      </c>
      <c r="S17" s="456">
        <f>'C1-Incomes'!JP19/'C1-Incomes'!JO19*100</f>
        <v>46.597352990353698</v>
      </c>
      <c r="T17" s="456">
        <f>'C1-Incomes'!JQ19/'C1-Incomes'!JO19*100</f>
        <v>35.575378938906752</v>
      </c>
      <c r="U17" s="456">
        <f>'C1-Incomes'!JR19/'C1-Incomes'!JO19*100</f>
        <v>18.613918102893891</v>
      </c>
      <c r="V17" s="456">
        <f>'C1-Incomes'!JS19/'C1-Incomes'!JO19*100</f>
        <v>13.742720506430869</v>
      </c>
      <c r="W17" s="456">
        <f>'C1-Incomes'!JT19/'C1-Incomes'!JO19*100</f>
        <v>6.7743588014469465</v>
      </c>
      <c r="X17" s="456">
        <f>'C1-Incomes'!JU19/'C1-Incomes'!JO19*100</f>
        <v>2.4789917363344052</v>
      </c>
      <c r="Y17" s="458"/>
      <c r="Z17" s="456">
        <f t="shared" si="3"/>
        <v>50.751600436681223</v>
      </c>
      <c r="AA17" s="456">
        <f>'C1-Incomes'!JX19/'C1-Incomes'!JW19*100</f>
        <v>49.248399563318777</v>
      </c>
      <c r="AB17" s="456">
        <f>'C1-Incomes'!JY19/'C1-Incomes'!JW19*100</f>
        <v>39.825797086876577</v>
      </c>
      <c r="AC17" s="456">
        <f>'C1-Incomes'!JZ19/'C1-Incomes'!JW19*100</f>
        <v>25.206014726499653</v>
      </c>
      <c r="AD17" s="456">
        <f>'C1-Incomes'!KA19/'C1-Incomes'!JW19*100</f>
        <v>20.560018627901631</v>
      </c>
      <c r="AE17" s="456">
        <f>'C1-Incomes'!KB19/'C1-Incomes'!JW19*100</f>
        <v>12.419586859342678</v>
      </c>
      <c r="AF17" s="456">
        <f>'C1-Incomes'!KC19/'C1-Incomes'!JW19*100</f>
        <v>5.0528028183176286</v>
      </c>
      <c r="AG17" s="458"/>
      <c r="AH17" s="456">
        <f t="shared" si="4"/>
        <v>54.404151152623946</v>
      </c>
      <c r="AI17" s="456">
        <f>'C1-Incomes'!KF19/'C1-Incomes'!KE19*100</f>
        <v>45.595848847376054</v>
      </c>
      <c r="AJ17" s="456">
        <f>'C1-Incomes'!KG19/'C1-Incomes'!KE19*100</f>
        <v>33.724910421269691</v>
      </c>
      <c r="AK17" s="456">
        <f>'C1-Incomes'!KH19/'C1-Incomes'!KE19*100</f>
        <v>15.96502491831003</v>
      </c>
      <c r="AL17" s="456">
        <f>'C1-Incomes'!KI19/'C1-Incomes'!KE19*100</f>
        <v>11.937979044180013</v>
      </c>
      <c r="AM17" s="456">
        <f>'C1-Incomes'!KJ19/'C1-Incomes'!KE19*100</f>
        <v>6.3416398790889064</v>
      </c>
      <c r="AN17" s="456">
        <f>'C1-Incomes'!KK19/'C1-Incomes'!KE19*100</f>
        <v>2.4512644602908162</v>
      </c>
      <c r="AP17" s="456">
        <f t="shared" si="5"/>
        <v>84.237383390522638</v>
      </c>
      <c r="AQ17" s="456">
        <f>'C1-Incomes'!KN19/'C1-Incomes'!KM19*100</f>
        <v>15.762616609477357</v>
      </c>
      <c r="AR17" s="456">
        <f>'C1-Incomes'!KO19/'C1-Incomes'!KM19*100</f>
        <v>7.3080142917678881</v>
      </c>
      <c r="AS17" s="456">
        <f>'C1-Incomes'!KP19/'C1-Incomes'!KM19*100</f>
        <v>1.2083784550980212</v>
      </c>
      <c r="AT17" s="456">
        <f>'C1-Incomes'!KQ19/'C1-Incomes'!KM19*100</f>
        <v>0.57838776919069179</v>
      </c>
      <c r="AU17" s="456">
        <f>'C1-Incomes'!KR19/'C1-Incomes'!KM19*100</f>
        <v>0.11280236854429046</v>
      </c>
      <c r="AV17" s="456">
        <f>'C1-Incomes'!KS19/'C1-Incomes'!KM19*100</f>
        <v>1.1408328418143054E-2</v>
      </c>
      <c r="AW17" s="456"/>
      <c r="AX17" s="456">
        <f t="shared" si="7"/>
        <v>36.269387603760563</v>
      </c>
      <c r="AY17" s="456">
        <f>'C1-Incomes'!LL19/'C1-Incomes'!LK19*100</f>
        <v>63.730612396239437</v>
      </c>
      <c r="AZ17" s="456">
        <f>'C1-Incomes'!LM19/'C1-Incomes'!LK19*100</f>
        <v>52.523776342763497</v>
      </c>
      <c r="BA17" s="456">
        <f>'C1-Incomes'!LN19/'C1-Incomes'!LK19*100</f>
        <v>29.40536931844057</v>
      </c>
      <c r="BB17" s="456">
        <f>'C1-Incomes'!LO19/'C1-Incomes'!LK19*100</f>
        <v>22.155074148352597</v>
      </c>
      <c r="BC17" s="456">
        <f>'C1-Incomes'!LP19/'C1-Incomes'!LK19*100</f>
        <v>12.22014051302398</v>
      </c>
      <c r="BD17" s="456">
        <f>'C1-Incomes'!LQ19/'C1-Incomes'!LK19*100</f>
        <v>5.6564503232706578</v>
      </c>
      <c r="BF17" s="456">
        <f t="shared" si="6"/>
        <v>75.847832840584573</v>
      </c>
      <c r="BG17" s="456">
        <f>'C1-Incomes'!KV19/'C1-Incomes'!KU19*100</f>
        <v>24.152167159415423</v>
      </c>
      <c r="BH17" s="456">
        <f>'C1-Incomes'!KW19/'C1-Incomes'!KU19*100</f>
        <v>13.674198446161597</v>
      </c>
      <c r="BI17" s="456">
        <f>'C1-Incomes'!KX19/'C1-Incomes'!KU19*100</f>
        <v>3.813073287418109</v>
      </c>
      <c r="BJ17" s="456">
        <f>'C1-Incomes'!KY19/'C1-Incomes'!KU19*100</f>
        <v>2.2876052948093397</v>
      </c>
      <c r="BK17" s="456">
        <f>'C1-Incomes'!KZ19/'C1-Incomes'!KU19*100</f>
        <v>0.75752048446161602</v>
      </c>
      <c r="BL17" s="456">
        <f>'C1-Incomes'!LA19/'C1-Incomes'!KU19*100</f>
        <v>0.18749471879724508</v>
      </c>
    </row>
    <row r="18" spans="1:64" s="452" customFormat="1" ht="12" x14ac:dyDescent="0.25">
      <c r="A18" s="239">
        <v>1972</v>
      </c>
      <c r="B18" s="456">
        <f t="shared" si="0"/>
        <v>62.854567263853951</v>
      </c>
      <c r="C18" s="456">
        <f>SUM('C1-Incomes'!JH20,'C1-Incomes'!JP20,'C1-Incomes'!JX20,'C1-Incomes'!KF20,'C1-Incomes'!KN20,'C1-Incomes'!KV20)/SUM('C1-Incomes'!$JG20,'C1-Incomes'!$JO20,'C1-Incomes'!$JW20,'C1-Incomes'!$KE20,'C1-Incomes'!$KM20,'C1-Incomes'!$KU20)*100</f>
        <v>37.145432736146049</v>
      </c>
      <c r="D18" s="456">
        <f>SUM('C1-Incomes'!JI20,'C1-Incomes'!JQ20,'C1-Incomes'!JY20,'C1-Incomes'!KG20,'C1-Incomes'!KO20,'C1-Incomes'!KW20)/SUM('C1-Incomes'!$JG20,'C1-Incomes'!$JO20,'C1-Incomes'!$JW20,'C1-Incomes'!$KE20,'C1-Incomes'!$KM20,'C1-Incomes'!$KU20)*100</f>
        <v>26.482448768649203</v>
      </c>
      <c r="E18" s="456">
        <f>SUM('C1-Incomes'!JJ20,'C1-Incomes'!JR20,'C1-Incomes'!JZ20,'C1-Incomes'!KH20,'C1-Incomes'!KP20,'C1-Incomes'!KX20)/SUM('C1-Incomes'!$JG20,'C1-Incomes'!$JO20,'C1-Incomes'!$JW20,'C1-Incomes'!$KE20,'C1-Incomes'!$KM20,'C1-Incomes'!$KU20)*100</f>
        <v>13.067924227131106</v>
      </c>
      <c r="F18" s="456">
        <f>SUM('C1-Incomes'!JK20,'C1-Incomes'!JS20,'C1-Incomes'!KA20,'C1-Incomes'!KI20,'C1-Incomes'!KQ20,'C1-Incomes'!KY20)/SUM('C1-Incomes'!$JG20,'C1-Incomes'!$JO20,'C1-Incomes'!$JW20,'C1-Incomes'!$KE20,'C1-Incomes'!$KM20,'C1-Incomes'!$KU20)*100</f>
        <v>9.8237603237156588</v>
      </c>
      <c r="G18" s="456">
        <f>SUM('C1-Incomes'!JL20,'C1-Incomes'!JT20,'C1-Incomes'!KB20,'C1-Incomes'!KJ20,'C1-Incomes'!KR20,'C1-Incomes'!KZ20)/SUM('C1-Incomes'!$JG20,'C1-Incomes'!$JO20,'C1-Incomes'!$JW20,'C1-Incomes'!$KE20,'C1-Incomes'!$KM20,'C1-Incomes'!$KU20)*100</f>
        <v>5.0692956748035929</v>
      </c>
      <c r="H18" s="456">
        <f>SUM('C1-Incomes'!JM20,'C1-Incomes'!JU20,'C1-Incomes'!KC20,'C1-Incomes'!KK20,'C1-Incomes'!KS20,'C1-Incomes'!LA20)/SUM('C1-Incomes'!$JG20,'C1-Incomes'!$JO20,'C1-Incomes'!$JW20,'C1-Incomes'!$KE20,'C1-Incomes'!$KM20,'C1-Incomes'!$KU20)*100</f>
        <v>1.9126223874175206</v>
      </c>
      <c r="I18" s="239"/>
      <c r="J18" s="456">
        <f t="shared" si="1"/>
        <v>51.093793044467745</v>
      </c>
      <c r="K18" s="456">
        <f>'C1-Incomes'!JH20/'C1-Incomes'!JG20*100</f>
        <v>48.906206955532255</v>
      </c>
      <c r="L18" s="456">
        <f>'C1-Incomes'!JI20/'C1-Incomes'!JG20*100</f>
        <v>36.31566003622396</v>
      </c>
      <c r="M18" s="456">
        <f>'C1-Incomes'!JJ20/'C1-Incomes'!JG20*100</f>
        <v>18.635086166972766</v>
      </c>
      <c r="N18" s="456">
        <f>'C1-Incomes'!JK20/'C1-Incomes'!JG20*100</f>
        <v>13.877282986208597</v>
      </c>
      <c r="O18" s="456">
        <f>'C1-Incomes'!JL20/'C1-Incomes'!JG20*100</f>
        <v>6.8982845572523903</v>
      </c>
      <c r="P18" s="456">
        <f>'C1-Incomes'!JM20/'C1-Incomes'!JG20*100</f>
        <v>2.5934055090674759</v>
      </c>
      <c r="Q18" s="458"/>
      <c r="R18" s="456">
        <f t="shared" si="2"/>
        <v>55.425605341045845</v>
      </c>
      <c r="S18" s="456">
        <f>'C1-Incomes'!JP20/'C1-Incomes'!JO20*100</f>
        <v>44.574394658954155</v>
      </c>
      <c r="T18" s="456">
        <f>'C1-Incomes'!JQ20/'C1-Incomes'!JO20*100</f>
        <v>33.273217023991862</v>
      </c>
      <c r="U18" s="456">
        <f>'C1-Incomes'!JR20/'C1-Incomes'!JO20*100</f>
        <v>16.786539914538945</v>
      </c>
      <c r="V18" s="456">
        <f>'C1-Incomes'!JS20/'C1-Incomes'!JO20*100</f>
        <v>12.440700293822809</v>
      </c>
      <c r="W18" s="456">
        <f>'C1-Incomes'!JT20/'C1-Incomes'!JO20*100</f>
        <v>6.1586687739388077</v>
      </c>
      <c r="X18" s="456">
        <f>'C1-Incomes'!JU20/'C1-Incomes'!JO20*100</f>
        <v>2.1952848862136483</v>
      </c>
      <c r="Y18" s="458"/>
      <c r="Z18" s="456">
        <f t="shared" si="3"/>
        <v>50.58992214267451</v>
      </c>
      <c r="AA18" s="456">
        <f>'C1-Incomes'!JX20/'C1-Incomes'!JW20*100</f>
        <v>49.41007785732549</v>
      </c>
      <c r="AB18" s="456">
        <f>'C1-Incomes'!JY20/'C1-Incomes'!JW20*100</f>
        <v>40.388420173868575</v>
      </c>
      <c r="AC18" s="456">
        <f>'C1-Incomes'!JZ20/'C1-Incomes'!JW20*100</f>
        <v>25.544630427000769</v>
      </c>
      <c r="AD18" s="456">
        <f>'C1-Incomes'!KA20/'C1-Incomes'!JW20*100</f>
        <v>20.867124819739196</v>
      </c>
      <c r="AE18" s="456">
        <f>'C1-Incomes'!KB20/'C1-Incomes'!JW20*100</f>
        <v>12.358831073894144</v>
      </c>
      <c r="AF18" s="456">
        <f>'C1-Incomes'!KC20/'C1-Incomes'!JW20*100</f>
        <v>4.973209158782919</v>
      </c>
      <c r="AG18" s="458"/>
      <c r="AH18" s="456">
        <f t="shared" si="4"/>
        <v>56.322096113034156</v>
      </c>
      <c r="AI18" s="456">
        <f>'C1-Incomes'!KF20/'C1-Incomes'!KE20*100</f>
        <v>43.677903886965844</v>
      </c>
      <c r="AJ18" s="456">
        <f>'C1-Incomes'!KG20/'C1-Incomes'!KE20*100</f>
        <v>32.647917522746681</v>
      </c>
      <c r="AK18" s="456">
        <f>'C1-Incomes'!KH20/'C1-Incomes'!KE20*100</f>
        <v>16.726295353033557</v>
      </c>
      <c r="AL18" s="456">
        <f>'C1-Incomes'!KI20/'C1-Incomes'!KE20*100</f>
        <v>12.632098997335628</v>
      </c>
      <c r="AM18" s="456">
        <f>'C1-Incomes'!KJ20/'C1-Incomes'!KE20*100</f>
        <v>6.6382651592066422</v>
      </c>
      <c r="AN18" s="456">
        <f>'C1-Incomes'!KK20/'C1-Incomes'!KE20*100</f>
        <v>2.4638964184350862</v>
      </c>
      <c r="AP18" s="456">
        <f t="shared" si="5"/>
        <v>84.548826652593121</v>
      </c>
      <c r="AQ18" s="456">
        <f>'C1-Incomes'!KN20/'C1-Incomes'!KM20*100</f>
        <v>15.451173347406879</v>
      </c>
      <c r="AR18" s="456">
        <f>'C1-Incomes'!KO20/'C1-Incomes'!KM20*100</f>
        <v>7.2152238888637683</v>
      </c>
      <c r="AS18" s="456">
        <f>'C1-Incomes'!KP20/'C1-Incomes'!KM20*100</f>
        <v>1.1389692980510113</v>
      </c>
      <c r="AT18" s="456">
        <f>'C1-Incomes'!KQ20/'C1-Incomes'!KM20*100</f>
        <v>0.55752657595683142</v>
      </c>
      <c r="AU18" s="456">
        <f>'C1-Incomes'!KR20/'C1-Incomes'!KM20*100</f>
        <v>0.10808758443928129</v>
      </c>
      <c r="AV18" s="456">
        <f>'C1-Incomes'!KS20/'C1-Incomes'!KM20*100</f>
        <v>1.1162082276664204E-2</v>
      </c>
      <c r="AW18" s="456"/>
      <c r="AX18" s="456">
        <f t="shared" si="7"/>
        <v>37.386914165196941</v>
      </c>
      <c r="AY18" s="456">
        <f>'C1-Incomes'!LL20/'C1-Incomes'!LK20*100</f>
        <v>62.613085834803059</v>
      </c>
      <c r="AZ18" s="456">
        <f>'C1-Incomes'!LM20/'C1-Incomes'!LK20*100</f>
        <v>51.424115527630811</v>
      </c>
      <c r="BA18" s="456">
        <f>'C1-Incomes'!LN20/'C1-Incomes'!LK20*100</f>
        <v>28.961979174015283</v>
      </c>
      <c r="BB18" s="456">
        <f>'C1-Incomes'!LO20/'C1-Incomes'!LK20*100</f>
        <v>21.77544662433862</v>
      </c>
      <c r="BC18" s="456">
        <f>'C1-Incomes'!LP20/'C1-Incomes'!LK20*100</f>
        <v>11.89415146957672</v>
      </c>
      <c r="BD18" s="456">
        <f>'C1-Incomes'!LQ20/'C1-Incomes'!LK20*100</f>
        <v>5.4583349566431512</v>
      </c>
      <c r="BF18" s="456">
        <f t="shared" si="6"/>
        <v>76.326126758322204</v>
      </c>
      <c r="BG18" s="456">
        <f>'C1-Incomes'!KV20/'C1-Incomes'!KU20*100</f>
        <v>23.673873241677803</v>
      </c>
      <c r="BH18" s="456">
        <f>'C1-Incomes'!KW20/'C1-Incomes'!KU20*100</f>
        <v>13.342195141938767</v>
      </c>
      <c r="BI18" s="456">
        <f>'C1-Incomes'!KX20/'C1-Incomes'!KU20*100</f>
        <v>3.6215275459868876</v>
      </c>
      <c r="BJ18" s="456">
        <f>'C1-Incomes'!KY20/'C1-Incomes'!KU20*100</f>
        <v>2.1861068105149259</v>
      </c>
      <c r="BK18" s="456">
        <f>'C1-Incomes'!KZ20/'C1-Incomes'!KU20*100</f>
        <v>0.72280306329959898</v>
      </c>
      <c r="BL18" s="456">
        <f>'C1-Incomes'!LA20/'C1-Incomes'!KU20*100</f>
        <v>0.18519293568200623</v>
      </c>
    </row>
    <row r="19" spans="1:64" s="452" customFormat="1" ht="12" x14ac:dyDescent="0.25">
      <c r="A19" s="239">
        <v>1973</v>
      </c>
      <c r="B19" s="456">
        <f t="shared" si="0"/>
        <v>64.465315818038931</v>
      </c>
      <c r="C19" s="456">
        <f>SUM('C1-Incomes'!JH21,'C1-Incomes'!JP21,'C1-Incomes'!JX21,'C1-Incomes'!KF21,'C1-Incomes'!KN21,'C1-Incomes'!KV21)/SUM('C1-Incomes'!$JG21,'C1-Incomes'!$JO21,'C1-Incomes'!$JW21,'C1-Incomes'!$KE21,'C1-Incomes'!$KM21,'C1-Incomes'!$KU21)*100</f>
        <v>35.534684181961076</v>
      </c>
      <c r="D19" s="456">
        <f>SUM('C1-Incomes'!JI21,'C1-Incomes'!JQ21,'C1-Incomes'!JY21,'C1-Incomes'!KG21,'C1-Incomes'!KO21,'C1-Incomes'!KW21)/SUM('C1-Incomes'!$JG21,'C1-Incomes'!$JO21,'C1-Incomes'!$JW21,'C1-Incomes'!$KE21,'C1-Incomes'!$KM21,'C1-Incomes'!$KU21)*100</f>
        <v>24.897110707197033</v>
      </c>
      <c r="E19" s="456">
        <f>SUM('C1-Incomes'!JJ21,'C1-Incomes'!JR21,'C1-Incomes'!JZ21,'C1-Incomes'!KH21,'C1-Incomes'!KP21,'C1-Incomes'!KX21)/SUM('C1-Incomes'!$JG21,'C1-Incomes'!$JO21,'C1-Incomes'!$JW21,'C1-Incomes'!$KE21,'C1-Incomes'!$KM21,'C1-Incomes'!$KU21)*100</f>
        <v>11.748502846467925</v>
      </c>
      <c r="F19" s="456">
        <f>SUM('C1-Incomes'!JK21,'C1-Incomes'!JS21,'C1-Incomes'!KA21,'C1-Incomes'!KI21,'C1-Incomes'!KQ21,'C1-Incomes'!KY21)/SUM('C1-Incomes'!$JG21,'C1-Incomes'!$JO21,'C1-Incomes'!$JW21,'C1-Incomes'!$KE21,'C1-Incomes'!$KM21,'C1-Incomes'!$KU21)*100</f>
        <v>8.6071558123147085</v>
      </c>
      <c r="G19" s="456">
        <f>SUM('C1-Incomes'!JL21,'C1-Incomes'!JT21,'C1-Incomes'!KB21,'C1-Incomes'!KJ21,'C1-Incomes'!KR21,'C1-Incomes'!KZ21)/SUM('C1-Incomes'!$JG21,'C1-Incomes'!$JO21,'C1-Incomes'!$JW21,'C1-Incomes'!$KE21,'C1-Incomes'!$KM21,'C1-Incomes'!$KU21)*100</f>
        <v>4.2108542215396723</v>
      </c>
      <c r="H19" s="456">
        <f>SUM('C1-Incomes'!JM21,'C1-Incomes'!JU21,'C1-Incomes'!KC21,'C1-Incomes'!KK21,'C1-Incomes'!KS21,'C1-Incomes'!LA21)/SUM('C1-Incomes'!$JG21,'C1-Incomes'!$JO21,'C1-Incomes'!$JW21,'C1-Incomes'!$KE21,'C1-Incomes'!$KM21,'C1-Incomes'!$KU21)*100</f>
        <v>1.4915704895637505</v>
      </c>
      <c r="I19" s="239"/>
      <c r="J19" s="456">
        <f t="shared" si="1"/>
        <v>52.260675479971717</v>
      </c>
      <c r="K19" s="456">
        <f>'C1-Incomes'!JH21/'C1-Incomes'!JG21*100</f>
        <v>47.739324520028283</v>
      </c>
      <c r="L19" s="456">
        <f>'C1-Incomes'!JI21/'C1-Incomes'!JG21*100</f>
        <v>35.127175836605112</v>
      </c>
      <c r="M19" s="456">
        <f>'C1-Incomes'!JJ21/'C1-Incomes'!JG21*100</f>
        <v>17.357100650569809</v>
      </c>
      <c r="N19" s="456">
        <f>'C1-Incomes'!JK21/'C1-Incomes'!JG21*100</f>
        <v>12.651269368981941</v>
      </c>
      <c r="O19" s="456">
        <f>'C1-Incomes'!JL21/'C1-Incomes'!JG21*100</f>
        <v>6.0575093696505062</v>
      </c>
      <c r="P19" s="456">
        <f>'C1-Incomes'!JM21/'C1-Incomes'!JG21*100</f>
        <v>2.0963268107602748</v>
      </c>
      <c r="Q19" s="458"/>
      <c r="R19" s="456">
        <f t="shared" si="2"/>
        <v>54.827627232312466</v>
      </c>
      <c r="S19" s="456">
        <f>'C1-Incomes'!JP21/'C1-Incomes'!JO21*100</f>
        <v>45.172372767687534</v>
      </c>
      <c r="T19" s="456">
        <f>'C1-Incomes'!JQ21/'C1-Incomes'!JO21*100</f>
        <v>33.608431275630522</v>
      </c>
      <c r="U19" s="456">
        <f>'C1-Incomes'!JR21/'C1-Incomes'!JO21*100</f>
        <v>16.85035260225715</v>
      </c>
      <c r="V19" s="456">
        <f>'C1-Incomes'!JS21/'C1-Incomes'!JO21*100</f>
        <v>12.092438967051192</v>
      </c>
      <c r="W19" s="456">
        <f>'C1-Incomes'!JT21/'C1-Incomes'!JO21*100</f>
        <v>5.6675081456716239</v>
      </c>
      <c r="X19" s="456">
        <f>'C1-Incomes'!JU21/'C1-Incomes'!JO21*100</f>
        <v>1.8232286705156</v>
      </c>
      <c r="Y19" s="458"/>
      <c r="Z19" s="456">
        <f t="shared" si="3"/>
        <v>54.446574794004206</v>
      </c>
      <c r="AA19" s="456">
        <f>'C1-Incomes'!JX21/'C1-Incomes'!JW21*100</f>
        <v>45.553425205995794</v>
      </c>
      <c r="AB19" s="456">
        <f>'C1-Incomes'!JY21/'C1-Incomes'!JW21*100</f>
        <v>36.618484725631141</v>
      </c>
      <c r="AC19" s="456">
        <f>'C1-Incomes'!JZ21/'C1-Incomes'!JW21*100</f>
        <v>22.496005456697056</v>
      </c>
      <c r="AD19" s="456">
        <f>'C1-Incomes'!KA21/'C1-Incomes'!JW21*100</f>
        <v>17.93589980934432</v>
      </c>
      <c r="AE19" s="456">
        <f>'C1-Incomes'!KB21/'C1-Incomes'!JW21*100</f>
        <v>10.10694215462833</v>
      </c>
      <c r="AF19" s="456">
        <f>'C1-Incomes'!KC21/'C1-Incomes'!JW21*100</f>
        <v>3.9497406688288916</v>
      </c>
      <c r="AG19" s="458"/>
      <c r="AH19" s="456">
        <f t="shared" si="4"/>
        <v>57.910572980743318</v>
      </c>
      <c r="AI19" s="456">
        <f>'C1-Incomes'!KF21/'C1-Incomes'!KE21*100</f>
        <v>42.089427019256682</v>
      </c>
      <c r="AJ19" s="456">
        <f>'C1-Incomes'!KG21/'C1-Incomes'!KE21*100</f>
        <v>31.082025654826744</v>
      </c>
      <c r="AK19" s="456">
        <f>'C1-Incomes'!KH21/'C1-Incomes'!KE21*100</f>
        <v>14.979811492935976</v>
      </c>
      <c r="AL19" s="456">
        <f>'C1-Incomes'!KI21/'C1-Incomes'!KE21*100</f>
        <v>10.981703096851996</v>
      </c>
      <c r="AM19" s="456">
        <f>'C1-Incomes'!KJ21/'C1-Incomes'!KE21*100</f>
        <v>5.2883713381060762</v>
      </c>
      <c r="AN19" s="456">
        <f>'C1-Incomes'!KK21/'C1-Incomes'!KE21*100</f>
        <v>1.8593688047709591</v>
      </c>
      <c r="AP19" s="456">
        <f t="shared" si="5"/>
        <v>83.941114656874618</v>
      </c>
      <c r="AQ19" s="456">
        <f>'C1-Incomes'!KN21/'C1-Incomes'!KM21*100</f>
        <v>16.058885343125382</v>
      </c>
      <c r="AR19" s="456">
        <f>'C1-Incomes'!KO21/'C1-Incomes'!KM21*100</f>
        <v>7.4535552349120877</v>
      </c>
      <c r="AS19" s="456">
        <f>'C1-Incomes'!KP21/'C1-Incomes'!KM21*100</f>
        <v>1.1976901516408156</v>
      </c>
      <c r="AT19" s="456">
        <f>'C1-Incomes'!KQ21/'C1-Incomes'!KM21*100</f>
        <v>0.59647238001018343</v>
      </c>
      <c r="AU19" s="456">
        <f>'C1-Incomes'!KR21/'C1-Incomes'!KM21*100</f>
        <v>0.11734399305225258</v>
      </c>
      <c r="AV19" s="456">
        <f>'C1-Incomes'!KS21/'C1-Incomes'!KM21*100</f>
        <v>1.1659322369386783E-2</v>
      </c>
      <c r="AW19" s="456"/>
      <c r="AX19" s="456">
        <f t="shared" si="7"/>
        <v>37.300991347068631</v>
      </c>
      <c r="AY19" s="456">
        <f>'C1-Incomes'!LL21/'C1-Incomes'!LK21*100</f>
        <v>62.699008652931369</v>
      </c>
      <c r="AZ19" s="456">
        <f>'C1-Incomes'!LM21/'C1-Incomes'!LK21*100</f>
        <v>51.407740784881071</v>
      </c>
      <c r="BA19" s="456">
        <f>'C1-Incomes'!LN21/'C1-Incomes'!LK21*100</f>
        <v>28.54835303605514</v>
      </c>
      <c r="BB19" s="456">
        <f>'C1-Incomes'!LO21/'C1-Incomes'!LK21*100</f>
        <v>21.368460196030906</v>
      </c>
      <c r="BC19" s="456">
        <f>'C1-Incomes'!LP21/'C1-Incomes'!LK21*100</f>
        <v>11.615819008029087</v>
      </c>
      <c r="BD19" s="456">
        <f>'C1-Incomes'!LQ21/'C1-Incomes'!LK21*100</f>
        <v>5.1221073925162859</v>
      </c>
      <c r="BF19" s="456">
        <f t="shared" si="6"/>
        <v>76.275388861646235</v>
      </c>
      <c r="BG19" s="456">
        <f>'C1-Incomes'!KV21/'C1-Incomes'!KU21*100</f>
        <v>23.724611138353765</v>
      </c>
      <c r="BH19" s="456">
        <f>'C1-Incomes'!KW21/'C1-Incomes'!KU21*100</f>
        <v>13.416197151663747</v>
      </c>
      <c r="BI19" s="456">
        <f>'C1-Incomes'!KX21/'C1-Incomes'!KU21*100</f>
        <v>3.7319612735551662</v>
      </c>
      <c r="BJ19" s="456">
        <f>'C1-Incomes'!KY21/'C1-Incomes'!KU21*100</f>
        <v>2.2568154479859897</v>
      </c>
      <c r="BK19" s="456">
        <f>'C1-Incomes'!KZ21/'C1-Incomes'!KU21*100</f>
        <v>0.75631755488616459</v>
      </c>
      <c r="BL19" s="456">
        <f>'C1-Incomes'!LA21/'C1-Incomes'!KU21*100</f>
        <v>0.19624573183887914</v>
      </c>
    </row>
    <row r="20" spans="1:64" s="452" customFormat="1" ht="12" x14ac:dyDescent="0.25">
      <c r="A20" s="239">
        <v>1974</v>
      </c>
      <c r="B20" s="456">
        <f t="shared" si="0"/>
        <v>65.183486783890089</v>
      </c>
      <c r="C20" s="456">
        <f>SUM('C1-Incomes'!JH22,'C1-Incomes'!JP22,'C1-Incomes'!JX22,'C1-Incomes'!KF22,'C1-Incomes'!KN22,'C1-Incomes'!KV22)/SUM('C1-Incomes'!$JG22,'C1-Incomes'!$JO22,'C1-Incomes'!$JW22,'C1-Incomes'!$KE22,'C1-Incomes'!$KM22,'C1-Incomes'!$KU22)*100</f>
        <v>34.816513216109904</v>
      </c>
      <c r="D20" s="456">
        <f>SUM('C1-Incomes'!JI22,'C1-Incomes'!JQ22,'C1-Incomes'!JY22,'C1-Incomes'!KG22,'C1-Incomes'!KO22,'C1-Incomes'!KW22)/SUM('C1-Incomes'!$JG22,'C1-Incomes'!$JO22,'C1-Incomes'!$JW22,'C1-Incomes'!$KE22,'C1-Incomes'!$KM22,'C1-Incomes'!$KU22)*100</f>
        <v>24.130815949109728</v>
      </c>
      <c r="E20" s="456">
        <f>SUM('C1-Incomes'!JJ22,'C1-Incomes'!JR22,'C1-Incomes'!JZ22,'C1-Incomes'!KH22,'C1-Incomes'!KP22,'C1-Incomes'!KX22)/SUM('C1-Incomes'!$JG22,'C1-Incomes'!$JO22,'C1-Incomes'!$JW22,'C1-Incomes'!$KE22,'C1-Incomes'!$KM22,'C1-Incomes'!$KU22)*100</f>
        <v>11.038389880981811</v>
      </c>
      <c r="F20" s="456">
        <f>SUM('C1-Incomes'!JK22,'C1-Incomes'!JS22,'C1-Incomes'!KA22,'C1-Incomes'!KI22,'C1-Incomes'!KQ22,'C1-Incomes'!KY22)/SUM('C1-Incomes'!$JG22,'C1-Incomes'!$JO22,'C1-Incomes'!$JW22,'C1-Incomes'!$KE22,'C1-Incomes'!$KM22,'C1-Incomes'!$KU22)*100</f>
        <v>8.0198898809921175</v>
      </c>
      <c r="G20" s="456">
        <f>SUM('C1-Incomes'!JL22,'C1-Incomes'!JT22,'C1-Incomes'!KB22,'C1-Incomes'!KJ22,'C1-Incomes'!KR22,'C1-Incomes'!KZ22)/SUM('C1-Incomes'!$JG22,'C1-Incomes'!$JO22,'C1-Incomes'!$JW22,'C1-Incomes'!$KE22,'C1-Incomes'!$KM22,'C1-Incomes'!$KU22)*100</f>
        <v>3.9289363575809699</v>
      </c>
      <c r="H20" s="456">
        <f>SUM('C1-Incomes'!JM22,'C1-Incomes'!JU22,'C1-Incomes'!KC22,'C1-Incomes'!KK22,'C1-Incomes'!KS22,'C1-Incomes'!LA22)/SUM('C1-Incomes'!$JG22,'C1-Incomes'!$JO22,'C1-Incomes'!$JW22,'C1-Incomes'!$KE22,'C1-Incomes'!$KM22,'C1-Incomes'!$KU22)*100</f>
        <v>1.3423901019555844</v>
      </c>
      <c r="I20" s="239"/>
      <c r="J20" s="456">
        <f t="shared" si="1"/>
        <v>52.605878653146675</v>
      </c>
      <c r="K20" s="456">
        <f>'C1-Incomes'!JH22/'C1-Incomes'!JG22*100</f>
        <v>47.394121346853325</v>
      </c>
      <c r="L20" s="456">
        <f>'C1-Incomes'!JI22/'C1-Incomes'!JG22*100</f>
        <v>35.038541228254324</v>
      </c>
      <c r="M20" s="456">
        <f>'C1-Incomes'!JJ22/'C1-Incomes'!JG22*100</f>
        <v>17.621071440810134</v>
      </c>
      <c r="N20" s="456">
        <f>'C1-Incomes'!JK22/'C1-Incomes'!JG22*100</f>
        <v>12.993223554679883</v>
      </c>
      <c r="O20" s="456">
        <f>'C1-Incomes'!JL22/'C1-Incomes'!JG22*100</f>
        <v>6.3829812058296058</v>
      </c>
      <c r="P20" s="456">
        <f>'C1-Incomes'!JM22/'C1-Incomes'!JG22*100</f>
        <v>2.12482599698733</v>
      </c>
      <c r="Q20" s="458"/>
      <c r="R20" s="456">
        <f t="shared" si="2"/>
        <v>55.261549402977735</v>
      </c>
      <c r="S20" s="456">
        <f>'C1-Incomes'!JP22/'C1-Incomes'!JO22*100</f>
        <v>44.738450597022265</v>
      </c>
      <c r="T20" s="456">
        <f>'C1-Incomes'!JQ22/'C1-Incomes'!JO22*100</f>
        <v>32.959851167018819</v>
      </c>
      <c r="U20" s="456">
        <f>'C1-Incomes'!JR22/'C1-Incomes'!JO22*100</f>
        <v>15.918046552994939</v>
      </c>
      <c r="V20" s="456">
        <f>'C1-Incomes'!JS22/'C1-Incomes'!JO22*100</f>
        <v>11.36951983194929</v>
      </c>
      <c r="W20" s="456">
        <f>'C1-Incomes'!JT22/'C1-Incomes'!JO22*100</f>
        <v>5.3162659279642286</v>
      </c>
      <c r="X20" s="456">
        <f>'C1-Incomes'!JU22/'C1-Incomes'!JO22*100</f>
        <v>1.7121048218760748</v>
      </c>
      <c r="Y20" s="458"/>
      <c r="Z20" s="456">
        <f t="shared" si="3"/>
        <v>59.826277421403617</v>
      </c>
      <c r="AA20" s="456">
        <f>'C1-Incomes'!JX22/'C1-Incomes'!JW22*100</f>
        <v>40.173722578596383</v>
      </c>
      <c r="AB20" s="456">
        <f>'C1-Incomes'!JY22/'C1-Incomes'!JW22*100</f>
        <v>30.888408531809041</v>
      </c>
      <c r="AC20" s="456">
        <f>'C1-Incomes'!JZ22/'C1-Incomes'!JW22*100</f>
        <v>17.296613672065206</v>
      </c>
      <c r="AD20" s="456">
        <f>'C1-Incomes'!KA22/'C1-Incomes'!JW22*100</f>
        <v>13.673138704350588</v>
      </c>
      <c r="AE20" s="456">
        <f>'C1-Incomes'!KB22/'C1-Incomes'!JW22*100</f>
        <v>7.7690336614798348</v>
      </c>
      <c r="AF20" s="456">
        <f>'C1-Incomes'!KC22/'C1-Incomes'!JW22*100</f>
        <v>3.0403215242934269</v>
      </c>
      <c r="AG20" s="458"/>
      <c r="AH20" s="456">
        <f t="shared" si="4"/>
        <v>59.292606873676377</v>
      </c>
      <c r="AI20" s="456">
        <f>'C1-Incomes'!KF22/'C1-Incomes'!KE22*100</f>
        <v>40.707393126323623</v>
      </c>
      <c r="AJ20" s="456">
        <f>'C1-Incomes'!KG22/'C1-Incomes'!KE22*100</f>
        <v>29.92174612874468</v>
      </c>
      <c r="AK20" s="456">
        <f>'C1-Incomes'!KH22/'C1-Incomes'!KE22*100</f>
        <v>14.047940876452214</v>
      </c>
      <c r="AL20" s="456">
        <f>'C1-Incomes'!KI22/'C1-Incomes'!KE22*100</f>
        <v>10.000960647206471</v>
      </c>
      <c r="AM20" s="456">
        <f>'C1-Incomes'!KJ22/'C1-Incomes'!KE22*100</f>
        <v>4.7235323448394411</v>
      </c>
      <c r="AN20" s="456">
        <f>'C1-Incomes'!KK22/'C1-Incomes'!KE22*100</f>
        <v>1.5872379786791107</v>
      </c>
      <c r="AP20" s="456">
        <f t="shared" si="5"/>
        <v>82.864280720590386</v>
      </c>
      <c r="AQ20" s="456">
        <f>'C1-Incomes'!KN22/'C1-Incomes'!KM22*100</f>
        <v>17.135719279409621</v>
      </c>
      <c r="AR20" s="456">
        <f>'C1-Incomes'!KO22/'C1-Incomes'!KM22*100</f>
        <v>8.0954087692349468</v>
      </c>
      <c r="AS20" s="456">
        <f>'C1-Incomes'!KP22/'C1-Incomes'!KM22*100</f>
        <v>1.3189619387113816</v>
      </c>
      <c r="AT20" s="456">
        <f>'C1-Incomes'!KQ22/'C1-Incomes'!KM22*100</f>
        <v>0.64262487905266674</v>
      </c>
      <c r="AU20" s="456">
        <f>'C1-Incomes'!KR22/'C1-Incomes'!KM22*100</f>
        <v>0.13476865251636944</v>
      </c>
      <c r="AV20" s="456">
        <f>'C1-Incomes'!KS22/'C1-Incomes'!KM22*100</f>
        <v>1.2714888678271193E-2</v>
      </c>
      <c r="AW20" s="456"/>
      <c r="AX20" s="456">
        <f t="shared" si="7"/>
        <v>37.574326401079702</v>
      </c>
      <c r="AY20" s="456">
        <f>'C1-Incomes'!LL22/'C1-Incomes'!LK22*100</f>
        <v>62.425673598920298</v>
      </c>
      <c r="AZ20" s="456">
        <f>'C1-Incomes'!LM22/'C1-Incomes'!LK22*100</f>
        <v>51.613591765322333</v>
      </c>
      <c r="BA20" s="456">
        <f>'C1-Incomes'!LN22/'C1-Incomes'!LK22*100</f>
        <v>28.98453822451572</v>
      </c>
      <c r="BB20" s="456">
        <f>'C1-Incomes'!LO22/'C1-Incomes'!LK22*100</f>
        <v>21.595183921086058</v>
      </c>
      <c r="BC20" s="456">
        <f>'C1-Incomes'!LP22/'C1-Incomes'!LK22*100</f>
        <v>11.834059036837091</v>
      </c>
      <c r="BD20" s="456">
        <f>'C1-Incomes'!LQ22/'C1-Incomes'!LK22*100</f>
        <v>5.1345489469672909</v>
      </c>
      <c r="BF20" s="456">
        <f t="shared" si="6"/>
        <v>76.041243781721093</v>
      </c>
      <c r="BG20" s="456">
        <f>'C1-Incomes'!KV22/'C1-Incomes'!KU22*100</f>
        <v>23.958756218278907</v>
      </c>
      <c r="BH20" s="456">
        <f>'C1-Incomes'!KW22/'C1-Incomes'!KU22*100</f>
        <v>13.717462400664962</v>
      </c>
      <c r="BI20" s="456">
        <f>'C1-Incomes'!KX22/'C1-Incomes'!KU22*100</f>
        <v>3.9158098270846189</v>
      </c>
      <c r="BJ20" s="456">
        <f>'C1-Incomes'!KY22/'C1-Incomes'!KU22*100</f>
        <v>2.391074605493495</v>
      </c>
      <c r="BK20" s="456">
        <f>'C1-Incomes'!KZ22/'C1-Incomes'!KU22*100</f>
        <v>0.86906708613024697</v>
      </c>
      <c r="BL20" s="456">
        <f>'C1-Incomes'!LA22/'C1-Incomes'!KU22*100</f>
        <v>0.23492466090701863</v>
      </c>
    </row>
    <row r="21" spans="1:64" s="452" customFormat="1" ht="12" x14ac:dyDescent="0.25">
      <c r="A21" s="239">
        <v>1975</v>
      </c>
      <c r="B21" s="456">
        <f t="shared" si="0"/>
        <v>64.974553783552025</v>
      </c>
      <c r="C21" s="456">
        <f>SUM('C1-Incomes'!JH23,'C1-Incomes'!JP23,'C1-Incomes'!JX23,'C1-Incomes'!KF23,'C1-Incomes'!KN23,'C1-Incomes'!KV23)/SUM('C1-Incomes'!$JG23,'C1-Incomes'!$JO23,'C1-Incomes'!$JW23,'C1-Incomes'!$KE23,'C1-Incomes'!$KM23,'C1-Incomes'!$KU23)*100</f>
        <v>35.025446216447975</v>
      </c>
      <c r="D21" s="456">
        <f>SUM('C1-Incomes'!JI23,'C1-Incomes'!JQ23,'C1-Incomes'!JY23,'C1-Incomes'!KG23,'C1-Incomes'!KO23,'C1-Incomes'!KW23)/SUM('C1-Incomes'!$JG23,'C1-Incomes'!$JO23,'C1-Incomes'!$JW23,'C1-Incomes'!$KE23,'C1-Incomes'!$KM23,'C1-Incomes'!$KU23)*100</f>
        <v>24.023879675216815</v>
      </c>
      <c r="E21" s="456">
        <f>SUM('C1-Incomes'!JJ23,'C1-Incomes'!JR23,'C1-Incomes'!JZ23,'C1-Incomes'!KH23,'C1-Incomes'!KP23,'C1-Incomes'!KX23)/SUM('C1-Incomes'!$JG23,'C1-Incomes'!$JO23,'C1-Incomes'!$JW23,'C1-Incomes'!$KE23,'C1-Incomes'!$KM23,'C1-Incomes'!$KU23)*100</f>
        <v>10.889001526044662</v>
      </c>
      <c r="F21" s="456">
        <f>SUM('C1-Incomes'!JK23,'C1-Incomes'!JS23,'C1-Incomes'!KA23,'C1-Incomes'!KI23,'C1-Incomes'!KQ23,'C1-Incomes'!KY23)/SUM('C1-Incomes'!$JG23,'C1-Incomes'!$JO23,'C1-Incomes'!$JW23,'C1-Incomes'!$KE23,'C1-Incomes'!$KM23,'C1-Incomes'!$KU23)*100</f>
        <v>7.8654446785075871</v>
      </c>
      <c r="G21" s="456">
        <f>SUM('C1-Incomes'!JL23,'C1-Incomes'!JT23,'C1-Incomes'!KB23,'C1-Incomes'!KJ23,'C1-Incomes'!KR23,'C1-Incomes'!KZ23)/SUM('C1-Incomes'!$JG23,'C1-Incomes'!$JO23,'C1-Incomes'!$JW23,'C1-Incomes'!$KE23,'C1-Incomes'!$KM23,'C1-Incomes'!$KU23)*100</f>
        <v>3.7188821068453288</v>
      </c>
      <c r="H21" s="456">
        <f>SUM('C1-Incomes'!JM23,'C1-Incomes'!JU23,'C1-Incomes'!KC23,'C1-Incomes'!KK23,'C1-Incomes'!KS23,'C1-Incomes'!LA23)/SUM('C1-Incomes'!$JG23,'C1-Incomes'!$JO23,'C1-Incomes'!$JW23,'C1-Incomes'!$KE23,'C1-Incomes'!$KM23,'C1-Incomes'!$KU23)*100</f>
        <v>1.3031619241547041</v>
      </c>
      <c r="I21" s="239"/>
      <c r="J21" s="456">
        <f t="shared" si="1"/>
        <v>51.014379597725288</v>
      </c>
      <c r="K21" s="456">
        <f>'C1-Incomes'!JH23/'C1-Incomes'!JG23*100</f>
        <v>48.985620402274712</v>
      </c>
      <c r="L21" s="456">
        <f>'C1-Incomes'!JI23/'C1-Incomes'!JG23*100</f>
        <v>35.935832184232531</v>
      </c>
      <c r="M21" s="456">
        <f>'C1-Incomes'!JJ23/'C1-Incomes'!JG23*100</f>
        <v>17.880473191891195</v>
      </c>
      <c r="N21" s="456">
        <f>'C1-Incomes'!JK23/'C1-Incomes'!JG23*100</f>
        <v>13.093063802165981</v>
      </c>
      <c r="O21" s="456">
        <f>'C1-Incomes'!JL23/'C1-Incomes'!JG23*100</f>
        <v>6.1147493197394951</v>
      </c>
      <c r="P21" s="456">
        <f>'C1-Incomes'!JM23/'C1-Incomes'!JG23*100</f>
        <v>2.0818479675487329</v>
      </c>
      <c r="Q21" s="458"/>
      <c r="R21" s="456">
        <f t="shared" si="2"/>
        <v>55.464917450096486</v>
      </c>
      <c r="S21" s="456">
        <f>'C1-Incomes'!JP23/'C1-Incomes'!JO23*100</f>
        <v>44.535082549903514</v>
      </c>
      <c r="T21" s="456">
        <f>'C1-Incomes'!JQ23/'C1-Incomes'!JO23*100</f>
        <v>32.74328628474337</v>
      </c>
      <c r="U21" s="456">
        <f>'C1-Incomes'!JR23/'C1-Incomes'!JO23*100</f>
        <v>15.880660843712105</v>
      </c>
      <c r="V21" s="456">
        <f>'C1-Incomes'!JS23/'C1-Incomes'!JO23*100</f>
        <v>11.325322207942616</v>
      </c>
      <c r="W21" s="456">
        <f>'C1-Incomes'!JT23/'C1-Incomes'!JO23*100</f>
        <v>5.1004486117628058</v>
      </c>
      <c r="X21" s="456">
        <f>'C1-Incomes'!JU23/'C1-Incomes'!JO23*100</f>
        <v>1.6397490585690191</v>
      </c>
      <c r="Y21" s="458"/>
      <c r="Z21" s="456">
        <f t="shared" si="3"/>
        <v>58.403149987030957</v>
      </c>
      <c r="AA21" s="456">
        <f>'C1-Incomes'!JX23/'C1-Incomes'!JW23*100</f>
        <v>41.596850012969043</v>
      </c>
      <c r="AB21" s="456">
        <f>'C1-Incomes'!JY23/'C1-Incomes'!JW23*100</f>
        <v>31.872856648798205</v>
      </c>
      <c r="AC21" s="456">
        <f>'C1-Incomes'!JZ23/'C1-Incomes'!JW23*100</f>
        <v>18.430148891146462</v>
      </c>
      <c r="AD21" s="456">
        <f>'C1-Incomes'!KA23/'C1-Incomes'!JW23*100</f>
        <v>14.37971784324745</v>
      </c>
      <c r="AE21" s="456">
        <f>'C1-Incomes'!KB23/'C1-Incomes'!JW23*100</f>
        <v>8.0560754625626831</v>
      </c>
      <c r="AF21" s="456">
        <f>'C1-Incomes'!KC23/'C1-Incomes'!JW23*100</f>
        <v>3.2324591129171707</v>
      </c>
      <c r="AG21" s="458"/>
      <c r="AH21" s="456">
        <f t="shared" si="4"/>
        <v>59.195992579787934</v>
      </c>
      <c r="AI21" s="456">
        <f>'C1-Incomes'!KF23/'C1-Incomes'!KE23*100</f>
        <v>40.804007420212066</v>
      </c>
      <c r="AJ21" s="456">
        <f>'C1-Incomes'!KG23/'C1-Incomes'!KE23*100</f>
        <v>29.330594567653023</v>
      </c>
      <c r="AK21" s="456">
        <f>'C1-Incomes'!KH23/'C1-Incomes'!KE23*100</f>
        <v>13.438910750708763</v>
      </c>
      <c r="AL21" s="456">
        <f>'C1-Incomes'!KI23/'C1-Incomes'!KE23*100</f>
        <v>9.5964312985063831</v>
      </c>
      <c r="AM21" s="456">
        <f>'C1-Incomes'!KJ23/'C1-Incomes'!KE23*100</f>
        <v>4.4963969761437799</v>
      </c>
      <c r="AN21" s="456">
        <f>'C1-Incomes'!KK23/'C1-Incomes'!KE23*100</f>
        <v>1.570646653409205</v>
      </c>
      <c r="AP21" s="456">
        <f t="shared" si="5"/>
        <v>82.675801798852234</v>
      </c>
      <c r="AQ21" s="456">
        <f>'C1-Incomes'!KN23/'C1-Incomes'!KM23*100</f>
        <v>17.324198201147762</v>
      </c>
      <c r="AR21" s="456">
        <f>'C1-Incomes'!KO23/'C1-Incomes'!KM23*100</f>
        <v>8.2863483609901856</v>
      </c>
      <c r="AS21" s="456">
        <f>'C1-Incomes'!KP23/'C1-Incomes'!KM23*100</f>
        <v>1.3403706563574413</v>
      </c>
      <c r="AT21" s="456">
        <f>'C1-Incomes'!KQ23/'C1-Incomes'!KM23*100</f>
        <v>0.66680118670522626</v>
      </c>
      <c r="AU21" s="456">
        <f>'C1-Incomes'!KR23/'C1-Incomes'!KM23*100</f>
        <v>0.13007218854117611</v>
      </c>
      <c r="AV21" s="456">
        <f>'C1-Incomes'!KS23/'C1-Incomes'!KM23*100</f>
        <v>1.3293078974279776E-2</v>
      </c>
      <c r="AW21" s="456"/>
      <c r="AX21" s="456">
        <f t="shared" si="7"/>
        <v>37.399691402760538</v>
      </c>
      <c r="AY21" s="456">
        <f>'C1-Incomes'!LL23/'C1-Incomes'!LK23*100</f>
        <v>62.600308597239462</v>
      </c>
      <c r="AZ21" s="456">
        <f>'C1-Incomes'!LM23/'C1-Incomes'!LK23*100</f>
        <v>51.384739382133994</v>
      </c>
      <c r="BA21" s="456">
        <f>'C1-Incomes'!LN23/'C1-Incomes'!LK23*100</f>
        <v>29.029857466811414</v>
      </c>
      <c r="BB21" s="456">
        <f>'C1-Incomes'!LO23/'C1-Incomes'!LK23*100</f>
        <v>21.782222805521094</v>
      </c>
      <c r="BC21" s="456">
        <f>'C1-Incomes'!LP23/'C1-Incomes'!LK23*100</f>
        <v>11.619902639578164</v>
      </c>
      <c r="BD21" s="456">
        <f>'C1-Incomes'!LQ23/'C1-Incomes'!LK23*100</f>
        <v>5.1689757889267991</v>
      </c>
      <c r="BF21" s="456">
        <f t="shared" si="6"/>
        <v>76.193067403123194</v>
      </c>
      <c r="BG21" s="456">
        <f>'C1-Incomes'!KV23/'C1-Incomes'!KU23*100</f>
        <v>23.806932596876806</v>
      </c>
      <c r="BH21" s="456">
        <f>'C1-Incomes'!KW23/'C1-Incomes'!KU23*100</f>
        <v>13.502582001156737</v>
      </c>
      <c r="BI21" s="456">
        <f>'C1-Incomes'!KX23/'C1-Incomes'!KU23*100</f>
        <v>3.8400666616541352</v>
      </c>
      <c r="BJ21" s="456">
        <f>'C1-Incomes'!KY23/'C1-Incomes'!KU23*100</f>
        <v>2.365095278195489</v>
      </c>
      <c r="BK21" s="456">
        <f>'C1-Incomes'!KZ23/'C1-Incomes'!KU23*100</f>
        <v>0.83019214933487562</v>
      </c>
      <c r="BL21" s="456">
        <f>'C1-Incomes'!LA23/'C1-Incomes'!KU23*100</f>
        <v>0.23107374725274721</v>
      </c>
    </row>
    <row r="22" spans="1:64" s="452" customFormat="1" ht="12" x14ac:dyDescent="0.25">
      <c r="A22" s="239">
        <v>1976</v>
      </c>
      <c r="B22" s="456">
        <f t="shared" si="0"/>
        <v>64.190098494570265</v>
      </c>
      <c r="C22" s="456">
        <f>SUM('C1-Incomes'!JH24,'C1-Incomes'!JP24,'C1-Incomes'!JX24,'C1-Incomes'!KF24,'C1-Incomes'!KN24,'C1-Incomes'!KV24)/SUM('C1-Incomes'!$JG24,'C1-Incomes'!$JO24,'C1-Incomes'!$JW24,'C1-Incomes'!$KE24,'C1-Incomes'!$KM24,'C1-Incomes'!$KU24)*100</f>
        <v>35.809901505429735</v>
      </c>
      <c r="D22" s="456">
        <f>SUM('C1-Incomes'!JI24,'C1-Incomes'!JQ24,'C1-Incomes'!JY24,'C1-Incomes'!KG24,'C1-Incomes'!KO24,'C1-Incomes'!KW24)/SUM('C1-Incomes'!$JG24,'C1-Incomes'!$JO24,'C1-Incomes'!$JW24,'C1-Incomes'!$KE24,'C1-Incomes'!$KM24,'C1-Incomes'!$KU24)*100</f>
        <v>24.651777358320476</v>
      </c>
      <c r="E22" s="456">
        <f>SUM('C1-Incomes'!JJ24,'C1-Incomes'!JR24,'C1-Incomes'!JZ24,'C1-Incomes'!KH24,'C1-Incomes'!KP24,'C1-Incomes'!KX24)/SUM('C1-Incomes'!$JG24,'C1-Incomes'!$JO24,'C1-Incomes'!$JW24,'C1-Incomes'!$KE24,'C1-Incomes'!$KM24,'C1-Incomes'!$KU24)*100</f>
        <v>11.275866481069571</v>
      </c>
      <c r="F22" s="456">
        <f>SUM('C1-Incomes'!JK24,'C1-Incomes'!JS24,'C1-Incomes'!KA24,'C1-Incomes'!KI24,'C1-Incomes'!KQ24,'C1-Incomes'!KY24)/SUM('C1-Incomes'!$JG24,'C1-Incomes'!$JO24,'C1-Incomes'!$JW24,'C1-Incomes'!$KE24,'C1-Incomes'!$KM24,'C1-Incomes'!$KU24)*100</f>
        <v>8.2065847403048995</v>
      </c>
      <c r="G22" s="456">
        <f>SUM('C1-Incomes'!JL24,'C1-Incomes'!JT24,'C1-Incomes'!KB24,'C1-Incomes'!KJ24,'C1-Incomes'!KR24,'C1-Incomes'!KZ24)/SUM('C1-Incomes'!$JG24,'C1-Incomes'!$JO24,'C1-Incomes'!$JW24,'C1-Incomes'!$KE24,'C1-Incomes'!$KM24,'C1-Incomes'!$KU24)*100</f>
        <v>4.0068490652883675</v>
      </c>
      <c r="H22" s="456">
        <f>SUM('C1-Incomes'!JM24,'C1-Incomes'!JU24,'C1-Incomes'!KC24,'C1-Incomes'!KK24,'C1-Incomes'!KS24,'C1-Incomes'!LA24)/SUM('C1-Incomes'!$JG24,'C1-Incomes'!$JO24,'C1-Incomes'!$JW24,'C1-Incomes'!$KE24,'C1-Incomes'!$KM24,'C1-Incomes'!$KU24)*100</f>
        <v>1.4352371271433884</v>
      </c>
      <c r="I22" s="239"/>
      <c r="J22" s="456">
        <f t="shared" si="1"/>
        <v>50.405500293885687</v>
      </c>
      <c r="K22" s="456">
        <f>'C1-Incomes'!JH24/'C1-Incomes'!JG24*100</f>
        <v>49.594499706114313</v>
      </c>
      <c r="L22" s="456">
        <f>'C1-Incomes'!JI24/'C1-Incomes'!JG24*100</f>
        <v>36.498622302227481</v>
      </c>
      <c r="M22" s="456">
        <f>'C1-Incomes'!JJ24/'C1-Incomes'!JG24*100</f>
        <v>18.148057693487896</v>
      </c>
      <c r="N22" s="456">
        <f>'C1-Incomes'!JK24/'C1-Incomes'!JG24*100</f>
        <v>13.365178353982222</v>
      </c>
      <c r="O22" s="456">
        <f>'C1-Incomes'!JL24/'C1-Incomes'!JG24*100</f>
        <v>6.4426636968448161</v>
      </c>
      <c r="P22" s="456">
        <f>'C1-Incomes'!JM24/'C1-Incomes'!JG24*100</f>
        <v>2.2438198532599976</v>
      </c>
      <c r="Q22" s="458"/>
      <c r="R22" s="456">
        <f t="shared" si="2"/>
        <v>55.620964812064436</v>
      </c>
      <c r="S22" s="456">
        <f>'C1-Incomes'!JP24/'C1-Incomes'!JO24*100</f>
        <v>44.379035187935564</v>
      </c>
      <c r="T22" s="456">
        <f>'C1-Incomes'!JQ24/'C1-Incomes'!JO24*100</f>
        <v>32.111649084123542</v>
      </c>
      <c r="U22" s="456">
        <f>'C1-Incomes'!JR24/'C1-Incomes'!JO24*100</f>
        <v>15.25597523134925</v>
      </c>
      <c r="V22" s="456">
        <f>'C1-Incomes'!JS24/'C1-Incomes'!JO24*100</f>
        <v>10.941447918808791</v>
      </c>
      <c r="W22" s="456">
        <f>'C1-Incomes'!JT24/'C1-Incomes'!JO24*100</f>
        <v>5.1000784492935747</v>
      </c>
      <c r="X22" s="456">
        <f>'C1-Incomes'!JU24/'C1-Incomes'!JO24*100</f>
        <v>1.7135197452302069</v>
      </c>
      <c r="Y22" s="458"/>
      <c r="Z22" s="456">
        <f t="shared" si="3"/>
        <v>57.049867683193646</v>
      </c>
      <c r="AA22" s="456">
        <f>'C1-Incomes'!JX24/'C1-Incomes'!JW24*100</f>
        <v>42.950132316806354</v>
      </c>
      <c r="AB22" s="456">
        <f>'C1-Incomes'!JY24/'C1-Incomes'!JW24*100</f>
        <v>33.300556986098492</v>
      </c>
      <c r="AC22" s="456">
        <f>'C1-Incomes'!JZ24/'C1-Incomes'!JW24*100</f>
        <v>19.106032683698544</v>
      </c>
      <c r="AD22" s="456">
        <f>'C1-Incomes'!KA24/'C1-Incomes'!JW24*100</f>
        <v>14.953590204988387</v>
      </c>
      <c r="AE22" s="456">
        <f>'C1-Incomes'!KB24/'C1-Incomes'!JW24*100</f>
        <v>8.4717086169174305</v>
      </c>
      <c r="AF22" s="456">
        <f>'C1-Incomes'!KC24/'C1-Incomes'!JW24*100</f>
        <v>3.3826751186509139</v>
      </c>
      <c r="AG22" s="458"/>
      <c r="AH22" s="456">
        <f t="shared" si="4"/>
        <v>59.739374458384226</v>
      </c>
      <c r="AI22" s="456">
        <f>'C1-Incomes'!KF24/'C1-Incomes'!KE24*100</f>
        <v>40.260625541615774</v>
      </c>
      <c r="AJ22" s="456">
        <f>'C1-Incomes'!KG24/'C1-Incomes'!KE24*100</f>
        <v>28.871043926200329</v>
      </c>
      <c r="AK22" s="456">
        <f>'C1-Incomes'!KH24/'C1-Incomes'!KE24*100</f>
        <v>13.517049291002337</v>
      </c>
      <c r="AL22" s="456">
        <f>'C1-Incomes'!KI24/'C1-Incomes'!KE24*100</f>
        <v>9.7392799590959456</v>
      </c>
      <c r="AM22" s="456">
        <f>'C1-Incomes'!KJ24/'C1-Incomes'!KE24*100</f>
        <v>4.7098751732044803</v>
      </c>
      <c r="AN22" s="456">
        <f>'C1-Incomes'!KK24/'C1-Incomes'!KE24*100</f>
        <v>1.7025520837158903</v>
      </c>
      <c r="AP22" s="456">
        <f t="shared" si="5"/>
        <v>82.064325079572598</v>
      </c>
      <c r="AQ22" s="456">
        <f>'C1-Incomes'!KN24/'C1-Incomes'!KM24*100</f>
        <v>17.93567492042741</v>
      </c>
      <c r="AR22" s="456">
        <f>'C1-Incomes'!KO24/'C1-Incomes'!KM24*100</f>
        <v>8.4484007504794434</v>
      </c>
      <c r="AS22" s="456">
        <f>'C1-Incomes'!KP24/'C1-Incomes'!KM24*100</f>
        <v>1.3499215400292617</v>
      </c>
      <c r="AT22" s="456">
        <f>'C1-Incomes'!KQ24/'C1-Incomes'!KM24*100</f>
        <v>0.65464851649806088</v>
      </c>
      <c r="AU22" s="456">
        <f>'C1-Incomes'!KR24/'C1-Incomes'!KM24*100</f>
        <v>0.12544756543457902</v>
      </c>
      <c r="AV22" s="456">
        <f>'C1-Incomes'!KS24/'C1-Incomes'!KM24*100</f>
        <v>9.0915585383456472E-3</v>
      </c>
      <c r="AW22" s="456"/>
      <c r="AX22" s="456">
        <f t="shared" si="7"/>
        <v>37.505875713101148</v>
      </c>
      <c r="AY22" s="456">
        <f>'C1-Incomes'!LL24/'C1-Incomes'!LK24*100</f>
        <v>62.494124286898852</v>
      </c>
      <c r="AZ22" s="456">
        <f>'C1-Incomes'!LM24/'C1-Incomes'!LK24*100</f>
        <v>51.308170792012163</v>
      </c>
      <c r="BA22" s="456">
        <f>'C1-Incomes'!LN24/'C1-Incomes'!LK24*100</f>
        <v>28.710940507324491</v>
      </c>
      <c r="BB22" s="456">
        <f>'C1-Incomes'!LO24/'C1-Incomes'!LK24*100</f>
        <v>21.521791418048647</v>
      </c>
      <c r="BC22" s="456">
        <f>'C1-Incomes'!LP24/'C1-Incomes'!LK24*100</f>
        <v>11.760900985489222</v>
      </c>
      <c r="BD22" s="456">
        <f>'C1-Incomes'!LQ24/'C1-Incomes'!LK24*100</f>
        <v>5.1893350906578224</v>
      </c>
      <c r="BF22" s="456">
        <f t="shared" si="6"/>
        <v>76.008541279624964</v>
      </c>
      <c r="BG22" s="456">
        <f>'C1-Incomes'!KV24/'C1-Incomes'!KU24*100</f>
        <v>23.991458720375032</v>
      </c>
      <c r="BH22" s="456">
        <f>'C1-Incomes'!KW24/'C1-Incomes'!KU24*100</f>
        <v>13.505042516711519</v>
      </c>
      <c r="BI22" s="456">
        <f>'C1-Incomes'!KX24/'C1-Incomes'!KU24*100</f>
        <v>3.7924215535202705</v>
      </c>
      <c r="BJ22" s="456">
        <f>'C1-Incomes'!KY24/'C1-Incomes'!KU24*100</f>
        <v>2.3040818462974215</v>
      </c>
      <c r="BK22" s="456">
        <f>'C1-Incomes'!KZ24/'C1-Incomes'!KU24*100</f>
        <v>0.80436917234568972</v>
      </c>
      <c r="BL22" s="456">
        <f>'C1-Incomes'!LA24/'C1-Incomes'!KU24*100</f>
        <v>0.22307904917961627</v>
      </c>
    </row>
    <row r="23" spans="1:64" s="452" customFormat="1" ht="12" x14ac:dyDescent="0.25">
      <c r="A23" s="239">
        <v>1977</v>
      </c>
      <c r="B23" s="456">
        <f t="shared" si="0"/>
        <v>64.697347369055507</v>
      </c>
      <c r="C23" s="456">
        <f>SUM('C1-Incomes'!JH25,'C1-Incomes'!JP25,'C1-Incomes'!JX25,'C1-Incomes'!KF25,'C1-Incomes'!KN25,'C1-Incomes'!KV25)/SUM('C1-Incomes'!$JG25,'C1-Incomes'!$JO25,'C1-Incomes'!$JW25,'C1-Incomes'!$KE25,'C1-Incomes'!$KM25,'C1-Incomes'!$KU25)*100</f>
        <v>35.302652630944486</v>
      </c>
      <c r="D23" s="456">
        <f>SUM('C1-Incomes'!JI25,'C1-Incomes'!JQ25,'C1-Incomes'!JY25,'C1-Incomes'!KG25,'C1-Incomes'!KO25,'C1-Incomes'!KW25)/SUM('C1-Incomes'!$JG25,'C1-Incomes'!$JO25,'C1-Incomes'!$JW25,'C1-Incomes'!$KE25,'C1-Incomes'!$KM25,'C1-Incomes'!$KU25)*100</f>
        <v>24.313968469116773</v>
      </c>
      <c r="E23" s="456">
        <f>SUM('C1-Incomes'!JJ25,'C1-Incomes'!JR25,'C1-Incomes'!JZ25,'C1-Incomes'!KH25,'C1-Incomes'!KP25,'C1-Incomes'!KX25)/SUM('C1-Incomes'!$JG25,'C1-Incomes'!$JO25,'C1-Incomes'!$JW25,'C1-Incomes'!$KE25,'C1-Incomes'!$KM25,'C1-Incomes'!$KU25)*100</f>
        <v>10.938621993507423</v>
      </c>
      <c r="F23" s="456">
        <f>SUM('C1-Incomes'!JK25,'C1-Incomes'!JS25,'C1-Incomes'!KA25,'C1-Incomes'!KI25,'C1-Incomes'!KQ25,'C1-Incomes'!KY25)/SUM('C1-Incomes'!$JG25,'C1-Incomes'!$JO25,'C1-Incomes'!$JW25,'C1-Incomes'!$KE25,'C1-Incomes'!$KM25,'C1-Incomes'!$KU25)*100</f>
        <v>7.9158673157146779</v>
      </c>
      <c r="G23" s="456">
        <f>SUM('C1-Incomes'!JL25,'C1-Incomes'!JT25,'C1-Incomes'!KB25,'C1-Incomes'!KJ25,'C1-Incomes'!KR25,'C1-Incomes'!KZ25)/SUM('C1-Incomes'!$JG25,'C1-Incomes'!$JO25,'C1-Incomes'!$JW25,'C1-Incomes'!$KE25,'C1-Incomes'!$KM25,'C1-Incomes'!$KU25)*100</f>
        <v>3.8516423808863047</v>
      </c>
      <c r="H23" s="456">
        <f>SUM('C1-Incomes'!JM25,'C1-Incomes'!JU25,'C1-Incomes'!KC25,'C1-Incomes'!KK25,'C1-Incomes'!KS25,'C1-Incomes'!LA25)/SUM('C1-Incomes'!$JG25,'C1-Incomes'!$JO25,'C1-Incomes'!$JW25,'C1-Incomes'!$KE25,'C1-Incomes'!$KM25,'C1-Incomes'!$KU25)*100</f>
        <v>1.3783519637714721</v>
      </c>
      <c r="I23" s="239"/>
      <c r="J23" s="456">
        <f t="shared" si="1"/>
        <v>50.601942373707111</v>
      </c>
      <c r="K23" s="456">
        <f>'C1-Incomes'!JH25/'C1-Incomes'!JG25*100</f>
        <v>49.398057626292889</v>
      </c>
      <c r="L23" s="456">
        <f>'C1-Incomes'!JI25/'C1-Incomes'!JG25*100</f>
        <v>36.413576579743115</v>
      </c>
      <c r="M23" s="456">
        <f>'C1-Incomes'!JJ25/'C1-Incomes'!JG25*100</f>
        <v>17.931617179562931</v>
      </c>
      <c r="N23" s="456">
        <f>'C1-Incomes'!JK25/'C1-Incomes'!JG25*100</f>
        <v>13.1235607888943</v>
      </c>
      <c r="O23" s="456">
        <f>'C1-Incomes'!JL25/'C1-Incomes'!JG25*100</f>
        <v>6.3837426105239858</v>
      </c>
      <c r="P23" s="456">
        <f>'C1-Incomes'!JM25/'C1-Incomes'!JG25*100</f>
        <v>2.2500994686505882</v>
      </c>
      <c r="Q23" s="458"/>
      <c r="R23" s="456">
        <f t="shared" si="2"/>
        <v>56.572151824905276</v>
      </c>
      <c r="S23" s="456">
        <f>'C1-Incomes'!JP25/'C1-Incomes'!JO25*100</f>
        <v>43.427848175094724</v>
      </c>
      <c r="T23" s="456">
        <f>'C1-Incomes'!JQ25/'C1-Incomes'!JO25*100</f>
        <v>31.911742923511273</v>
      </c>
      <c r="U23" s="456">
        <f>'C1-Incomes'!JR25/'C1-Incomes'!JO25*100</f>
        <v>14.887736349820383</v>
      </c>
      <c r="V23" s="456">
        <f>'C1-Incomes'!JS25/'C1-Incomes'!JO25*100</f>
        <v>10.688703095571958</v>
      </c>
      <c r="W23" s="456">
        <f>'C1-Incomes'!JT25/'C1-Incomes'!JO25*100</f>
        <v>5.0267617620744911</v>
      </c>
      <c r="X23" s="456">
        <f>'C1-Incomes'!JU25/'C1-Incomes'!JO25*100</f>
        <v>1.6896775487448696</v>
      </c>
      <c r="Y23" s="458"/>
      <c r="Z23" s="456">
        <f t="shared" si="3"/>
        <v>59.64952049515356</v>
      </c>
      <c r="AA23" s="456">
        <f>'C1-Incomes'!JX25/'C1-Incomes'!JW25*100</f>
        <v>40.35047950484644</v>
      </c>
      <c r="AB23" s="456">
        <f>'C1-Incomes'!JY25/'C1-Incomes'!JW25*100</f>
        <v>30.736626649538714</v>
      </c>
      <c r="AC23" s="456">
        <f>'C1-Incomes'!JZ25/'C1-Incomes'!JW25*100</f>
        <v>17.178045325820392</v>
      </c>
      <c r="AD23" s="456">
        <f>'C1-Incomes'!KA25/'C1-Incomes'!JW25*100</f>
        <v>13.379871236716104</v>
      </c>
      <c r="AE23" s="456">
        <f>'C1-Incomes'!KB25/'C1-Incomes'!JW25*100</f>
        <v>7.4950118766787339</v>
      </c>
      <c r="AF23" s="456">
        <f>'C1-Incomes'!KC25/'C1-Incomes'!JW25*100</f>
        <v>3.0031757342636927</v>
      </c>
      <c r="AG23" s="458"/>
      <c r="AH23" s="456">
        <f t="shared" si="4"/>
        <v>60.499405158227844</v>
      </c>
      <c r="AI23" s="456">
        <f>'C1-Incomes'!KF25/'C1-Incomes'!KE25*100</f>
        <v>39.500594841772156</v>
      </c>
      <c r="AJ23" s="456">
        <f>'C1-Incomes'!KG25/'C1-Incomes'!KE25*100</f>
        <v>27.932309335443033</v>
      </c>
      <c r="AK23" s="456">
        <f>'C1-Incomes'!KH25/'C1-Incomes'!KE25*100</f>
        <v>12.317160579113924</v>
      </c>
      <c r="AL23" s="456">
        <f>'C1-Incomes'!KI25/'C1-Incomes'!KE25*100</f>
        <v>8.7251689746835446</v>
      </c>
      <c r="AM23" s="456">
        <f>'C1-Incomes'!KJ25/'C1-Incomes'!KE25*100</f>
        <v>4.0424220031645568</v>
      </c>
      <c r="AN23" s="456">
        <f>'C1-Incomes'!KK25/'C1-Incomes'!KE25*100</f>
        <v>1.4004258556962026</v>
      </c>
      <c r="AP23" s="456">
        <f t="shared" si="5"/>
        <v>82.333868924008058</v>
      </c>
      <c r="AQ23" s="456">
        <f>'C1-Incomes'!KN25/'C1-Incomes'!KM25*100</f>
        <v>17.666131075991938</v>
      </c>
      <c r="AR23" s="456">
        <f>'C1-Incomes'!KO25/'C1-Incomes'!KM25*100</f>
        <v>8.4053777894807649</v>
      </c>
      <c r="AS23" s="456">
        <f>'C1-Incomes'!KP25/'C1-Incomes'!KM25*100</f>
        <v>1.3566046685402982</v>
      </c>
      <c r="AT23" s="456">
        <f>'C1-Incomes'!KQ25/'C1-Incomes'!KM25*100</f>
        <v>0.66918834172648312</v>
      </c>
      <c r="AU23" s="456">
        <f>'C1-Incomes'!KR25/'C1-Incomes'!KM25*100</f>
        <v>0.13530656538250402</v>
      </c>
      <c r="AV23" s="456">
        <f>'C1-Incomes'!KS25/'C1-Incomes'!KM25*100</f>
        <v>1.3722960859322885E-2</v>
      </c>
      <c r="AW23" s="456"/>
      <c r="AX23" s="456">
        <f t="shared" si="7"/>
        <v>37.741830890362223</v>
      </c>
      <c r="AY23" s="456">
        <f>'C1-Incomes'!LL25/'C1-Incomes'!LK25*100</f>
        <v>62.258169109637777</v>
      </c>
      <c r="AZ23" s="456">
        <f>'C1-Incomes'!LM25/'C1-Incomes'!LK25*100</f>
        <v>51.127281511535152</v>
      </c>
      <c r="BA23" s="456">
        <f>'C1-Incomes'!LN25/'C1-Incomes'!LK25*100</f>
        <v>28.379760062634752</v>
      </c>
      <c r="BB23" s="456">
        <f>'C1-Incomes'!LO25/'C1-Incomes'!LK25*100</f>
        <v>21.281714482966795</v>
      </c>
      <c r="BC23" s="456">
        <f>'C1-Incomes'!LP25/'C1-Incomes'!LK25*100</f>
        <v>11.612326051854248</v>
      </c>
      <c r="BD23" s="456">
        <f>'C1-Incomes'!LQ25/'C1-Incomes'!LK25*100</f>
        <v>5.1227905655454942</v>
      </c>
      <c r="BF23" s="456">
        <f t="shared" si="6"/>
        <v>76.972573164349114</v>
      </c>
      <c r="BG23" s="456">
        <f>'C1-Incomes'!KV25/'C1-Incomes'!KU25*100</f>
        <v>23.027426835650878</v>
      </c>
      <c r="BH23" s="456">
        <f>'C1-Incomes'!KW25/'C1-Incomes'!KU25*100</f>
        <v>12.979086982400329</v>
      </c>
      <c r="BI23" s="456">
        <f>'C1-Incomes'!KX25/'C1-Incomes'!KU25*100</f>
        <v>3.6518220298629993</v>
      </c>
      <c r="BJ23" s="456">
        <f>'C1-Incomes'!KY25/'C1-Incomes'!KU25*100</f>
        <v>2.2342189635178817</v>
      </c>
      <c r="BK23" s="456">
        <f>'C1-Incomes'!KZ25/'C1-Incomes'!KU25*100</f>
        <v>0.80030205931551135</v>
      </c>
      <c r="BL23" s="456">
        <f>'C1-Incomes'!LA25/'C1-Incomes'!KU25*100</f>
        <v>0.22163757883934526</v>
      </c>
    </row>
    <row r="24" spans="1:64" s="452" customFormat="1" ht="12" x14ac:dyDescent="0.25">
      <c r="A24" s="239">
        <v>1978</v>
      </c>
      <c r="B24" s="456">
        <f t="shared" si="0"/>
        <v>65.130882418685729</v>
      </c>
      <c r="C24" s="456">
        <f>SUM('C1-Incomes'!JH26,'C1-Incomes'!JP26,'C1-Incomes'!JX26,'C1-Incomes'!KF26,'C1-Incomes'!KN26,'C1-Incomes'!KV26)/SUM('C1-Incomes'!$JG26,'C1-Incomes'!$JO26,'C1-Incomes'!$JW26,'C1-Incomes'!$KE26,'C1-Incomes'!$KM26,'C1-Incomes'!$KU26)*100</f>
        <v>34.869117581314271</v>
      </c>
      <c r="D24" s="456">
        <f>SUM('C1-Incomes'!JI26,'C1-Incomes'!JQ26,'C1-Incomes'!JY26,'C1-Incomes'!KG26,'C1-Incomes'!KO26,'C1-Incomes'!KW26)/SUM('C1-Incomes'!$JG26,'C1-Incomes'!$JO26,'C1-Incomes'!$JW26,'C1-Incomes'!$KE26,'C1-Incomes'!$KM26,'C1-Incomes'!$KU26)*100</f>
        <v>23.78743862882154</v>
      </c>
      <c r="E24" s="456">
        <f>SUM('C1-Incomes'!JJ26,'C1-Incomes'!JR26,'C1-Incomes'!JZ26,'C1-Incomes'!KH26,'C1-Incomes'!KP26,'C1-Incomes'!KX26)/SUM('C1-Incomes'!$JG26,'C1-Incomes'!$JO26,'C1-Incomes'!$JW26,'C1-Incomes'!$KE26,'C1-Incomes'!$KM26,'C1-Incomes'!$KU26)*100</f>
        <v>10.63065548657857</v>
      </c>
      <c r="F24" s="456">
        <f>SUM('C1-Incomes'!JK26,'C1-Incomes'!JS26,'C1-Incomes'!KA26,'C1-Incomes'!KI26,'C1-Incomes'!KQ26,'C1-Incomes'!KY26)/SUM('C1-Incomes'!$JG26,'C1-Incomes'!$JO26,'C1-Incomes'!$JW26,'C1-Incomes'!$KE26,'C1-Incomes'!$KM26,'C1-Incomes'!$KU26)*100</f>
        <v>7.7041080585272717</v>
      </c>
      <c r="G24" s="456">
        <f>SUM('C1-Incomes'!JL26,'C1-Incomes'!JT26,'C1-Incomes'!KB26,'C1-Incomes'!KJ26,'C1-Incomes'!KR26,'C1-Incomes'!KZ26)/SUM('C1-Incomes'!$JG26,'C1-Incomes'!$JO26,'C1-Incomes'!$JW26,'C1-Incomes'!$KE26,'C1-Incomes'!$KM26,'C1-Incomes'!$KU26)*100</f>
        <v>3.7027032119191756</v>
      </c>
      <c r="H24" s="456">
        <f>SUM('C1-Incomes'!JM26,'C1-Incomes'!JU26,'C1-Incomes'!KC26,'C1-Incomes'!KK26,'C1-Incomes'!KS26,'C1-Incomes'!LA26)/SUM('C1-Incomes'!$JG26,'C1-Incomes'!$JO26,'C1-Incomes'!$JW26,'C1-Incomes'!$KE26,'C1-Incomes'!$KM26,'C1-Incomes'!$KU26)*100</f>
        <v>1.294432697209015</v>
      </c>
      <c r="I24" s="239"/>
      <c r="J24" s="456">
        <f t="shared" si="1"/>
        <v>51.438685042085893</v>
      </c>
      <c r="K24" s="456">
        <f>'C1-Incomes'!JH26/'C1-Incomes'!JG26*100</f>
        <v>48.561314957914107</v>
      </c>
      <c r="L24" s="456">
        <f>'C1-Incomes'!JI26/'C1-Incomes'!JG26*100</f>
        <v>35.529141750625278</v>
      </c>
      <c r="M24" s="456">
        <f>'C1-Incomes'!JJ26/'C1-Incomes'!JG26*100</f>
        <v>17.339548021287928</v>
      </c>
      <c r="N24" s="456">
        <f>'C1-Incomes'!JK26/'C1-Incomes'!JG26*100</f>
        <v>12.699845103724828</v>
      </c>
      <c r="O24" s="456">
        <f>'C1-Incomes'!JL26/'C1-Incomes'!JG26*100</f>
        <v>6.0460976947877532</v>
      </c>
      <c r="P24" s="456">
        <f>'C1-Incomes'!JM26/'C1-Incomes'!JG26*100</f>
        <v>2.0329191318689417</v>
      </c>
      <c r="Q24" s="458"/>
      <c r="R24" s="456">
        <f t="shared" si="2"/>
        <v>56.549450015722819</v>
      </c>
      <c r="S24" s="456">
        <f>'C1-Incomes'!JP26/'C1-Incomes'!JO26*100</f>
        <v>43.450549984277181</v>
      </c>
      <c r="T24" s="456">
        <f>'C1-Incomes'!JQ26/'C1-Incomes'!JO26*100</f>
        <v>31.263606472084842</v>
      </c>
      <c r="U24" s="456">
        <f>'C1-Incomes'!JR26/'C1-Incomes'!JO26*100</f>
        <v>14.715079031474229</v>
      </c>
      <c r="V24" s="456">
        <f>'C1-Incomes'!JS26/'C1-Incomes'!JO26*100</f>
        <v>10.620183050799005</v>
      </c>
      <c r="W24" s="456">
        <f>'C1-Incomes'!JT26/'C1-Incomes'!JO26*100</f>
        <v>5.0317357308253055</v>
      </c>
      <c r="X24" s="456">
        <f>'C1-Incomes'!JU26/'C1-Incomes'!JO26*100</f>
        <v>1.7742522812383865</v>
      </c>
      <c r="Y24" s="458"/>
      <c r="Z24" s="456">
        <f t="shared" si="3"/>
        <v>60.8109662307969</v>
      </c>
      <c r="AA24" s="456">
        <f>'C1-Incomes'!JX26/'C1-Incomes'!JW26*100</f>
        <v>39.1890337692031</v>
      </c>
      <c r="AB24" s="456">
        <f>'C1-Incomes'!JY26/'C1-Incomes'!JW26*100</f>
        <v>29.2530553357653</v>
      </c>
      <c r="AC24" s="456">
        <f>'C1-Incomes'!JZ26/'C1-Incomes'!JW26*100</f>
        <v>16.1877487026666</v>
      </c>
      <c r="AD24" s="456">
        <f>'C1-Incomes'!KA26/'C1-Incomes'!JW26*100</f>
        <v>12.63879330524585</v>
      </c>
      <c r="AE24" s="456">
        <f>'C1-Incomes'!KB26/'C1-Incomes'!JW26*100</f>
        <v>7.0391501823973694</v>
      </c>
      <c r="AF24" s="456">
        <f>'C1-Incomes'!KC26/'C1-Incomes'!JW26*100</f>
        <v>2.7775868121563989</v>
      </c>
      <c r="AG24" s="458"/>
      <c r="AH24" s="456">
        <f t="shared" si="4"/>
        <v>61.728095813610508</v>
      </c>
      <c r="AI24" s="456">
        <f>'C1-Incomes'!KF26/'C1-Incomes'!KE26*100</f>
        <v>38.271904186389492</v>
      </c>
      <c r="AJ24" s="456">
        <f>'C1-Incomes'!KG26/'C1-Incomes'!KE26*100</f>
        <v>26.998396427662442</v>
      </c>
      <c r="AK24" s="456">
        <f>'C1-Incomes'!KH26/'C1-Incomes'!KE26*100</f>
        <v>12.023808471022067</v>
      </c>
      <c r="AL24" s="456">
        <f>'C1-Incomes'!KI26/'C1-Incomes'!KE26*100</f>
        <v>8.5808730148939496</v>
      </c>
      <c r="AM24" s="456">
        <f>'C1-Incomes'!KJ26/'C1-Incomes'!KE26*100</f>
        <v>4.0085011802203132</v>
      </c>
      <c r="AN24" s="456">
        <f>'C1-Incomes'!KK26/'C1-Incomes'!KE26*100</f>
        <v>1.3978032552371324</v>
      </c>
      <c r="AP24" s="456">
        <f t="shared" si="5"/>
        <v>82.287891379784043</v>
      </c>
      <c r="AQ24" s="456">
        <f>'C1-Incomes'!KN26/'C1-Incomes'!KM26*100</f>
        <v>17.712108620215954</v>
      </c>
      <c r="AR24" s="456">
        <f>'C1-Incomes'!KO26/'C1-Incomes'!KM26*100</f>
        <v>8.4567745920310085</v>
      </c>
      <c r="AS24" s="456">
        <f>'C1-Incomes'!KP26/'C1-Incomes'!KM26*100</f>
        <v>1.3949235277418668</v>
      </c>
      <c r="AT24" s="456">
        <f>'C1-Incomes'!KQ26/'C1-Incomes'!KM26*100</f>
        <v>0.68247481430175394</v>
      </c>
      <c r="AU24" s="456">
        <f>'C1-Incomes'!KR26/'C1-Incomes'!KM26*100</f>
        <v>0.13427805431076309</v>
      </c>
      <c r="AV24" s="456">
        <f>'C1-Incomes'!KS26/'C1-Incomes'!KM26*100</f>
        <v>1.3621985754283918E-2</v>
      </c>
      <c r="AW24" s="456"/>
      <c r="AX24" s="456">
        <f t="shared" si="7"/>
        <v>37.938386246626784</v>
      </c>
      <c r="AY24" s="456">
        <f>'C1-Incomes'!LL26/'C1-Incomes'!LK26*100</f>
        <v>62.061613753373216</v>
      </c>
      <c r="AZ24" s="456">
        <f>'C1-Incomes'!LM26/'C1-Incomes'!LK26*100</f>
        <v>50.94949381304771</v>
      </c>
      <c r="BA24" s="456">
        <f>'C1-Incomes'!LN26/'C1-Incomes'!LK26*100</f>
        <v>28.35434777326471</v>
      </c>
      <c r="BB24" s="456">
        <f>'C1-Incomes'!LO26/'C1-Incomes'!LK26*100</f>
        <v>21.228907356238697</v>
      </c>
      <c r="BC24" s="456">
        <f>'C1-Incomes'!LP26/'C1-Incomes'!LK26*100</f>
        <v>11.466211287661705</v>
      </c>
      <c r="BD24" s="456">
        <f>'C1-Incomes'!LQ26/'C1-Incomes'!LK26*100</f>
        <v>5.0018030031993321</v>
      </c>
      <c r="BF24" s="456">
        <f t="shared" si="6"/>
        <v>76.567002127306893</v>
      </c>
      <c r="BG24" s="456">
        <f>'C1-Incomes'!KV26/'C1-Incomes'!KU26*100</f>
        <v>23.432997872693115</v>
      </c>
      <c r="BH24" s="456">
        <f>'C1-Incomes'!KW26/'C1-Incomes'!KU26*100</f>
        <v>13.240986527056398</v>
      </c>
      <c r="BI24" s="456">
        <f>'C1-Incomes'!KX26/'C1-Incomes'!KU26*100</f>
        <v>3.7439971138615684</v>
      </c>
      <c r="BJ24" s="456">
        <f>'C1-Incomes'!KY26/'C1-Incomes'!KU26*100</f>
        <v>2.3107472492356429</v>
      </c>
      <c r="BK24" s="456">
        <f>'C1-Incomes'!KZ26/'C1-Incomes'!KU26*100</f>
        <v>0.84066068046192954</v>
      </c>
      <c r="BL24" s="456">
        <f>'C1-Incomes'!LA26/'C1-Incomes'!KU26*100</f>
        <v>0.24462455556783438</v>
      </c>
    </row>
    <row r="25" spans="1:64" s="452" customFormat="1" ht="12" x14ac:dyDescent="0.25">
      <c r="A25" s="239">
        <v>1979</v>
      </c>
      <c r="B25" s="456">
        <f t="shared" si="0"/>
        <v>64.692530882443862</v>
      </c>
      <c r="C25" s="456">
        <f>SUM('C1-Incomes'!JH27,'C1-Incomes'!JP27,'C1-Incomes'!JX27,'C1-Incomes'!KF27,'C1-Incomes'!KN27,'C1-Incomes'!KV27)/SUM('C1-Incomes'!$JG27,'C1-Incomes'!$JO27,'C1-Incomes'!$JW27,'C1-Incomes'!$KE27,'C1-Incomes'!$KM27,'C1-Incomes'!$KU27)*100</f>
        <v>35.307469117556138</v>
      </c>
      <c r="D25" s="456">
        <f>SUM('C1-Incomes'!JI27,'C1-Incomes'!JQ27,'C1-Incomes'!JY27,'C1-Incomes'!KG27,'C1-Incomes'!KO27,'C1-Incomes'!KW27)/SUM('C1-Incomes'!$JG27,'C1-Incomes'!$JO27,'C1-Incomes'!$JW27,'C1-Incomes'!$KE27,'C1-Incomes'!$KM27,'C1-Incomes'!$KU27)*100</f>
        <v>24.286453137823912</v>
      </c>
      <c r="E25" s="456">
        <f>SUM('C1-Incomes'!JJ27,'C1-Incomes'!JR27,'C1-Incomes'!JZ27,'C1-Incomes'!KH27,'C1-Incomes'!KP27,'C1-Incomes'!KX27)/SUM('C1-Incomes'!$JG27,'C1-Incomes'!$JO27,'C1-Incomes'!$JW27,'C1-Incomes'!$KE27,'C1-Incomes'!$KM27,'C1-Incomes'!$KU27)*100</f>
        <v>11.127390464845256</v>
      </c>
      <c r="F25" s="456">
        <f>SUM('C1-Incomes'!JK27,'C1-Incomes'!JS27,'C1-Incomes'!KA27,'C1-Incomes'!KI27,'C1-Incomes'!KQ27,'C1-Incomes'!KY27)/SUM('C1-Incomes'!$JG27,'C1-Incomes'!$JO27,'C1-Incomes'!$JW27,'C1-Incomes'!$KE27,'C1-Incomes'!$KM27,'C1-Incomes'!$KU27)*100</f>
        <v>8.1558925307204007</v>
      </c>
      <c r="G25" s="456">
        <f>SUM('C1-Incomes'!JL27,'C1-Incomes'!JT27,'C1-Incomes'!KB27,'C1-Incomes'!KJ27,'C1-Incomes'!KR27,'C1-Incomes'!KZ27)/SUM('C1-Incomes'!$JG27,'C1-Incomes'!$JO27,'C1-Incomes'!$JW27,'C1-Incomes'!$KE27,'C1-Incomes'!$KM27,'C1-Incomes'!$KU27)*100</f>
        <v>4.0972983863042032</v>
      </c>
      <c r="H25" s="456">
        <f>SUM('C1-Incomes'!JM27,'C1-Incomes'!JU27,'C1-Incomes'!KC27,'C1-Incomes'!KK27,'C1-Incomes'!KS27,'C1-Incomes'!LA27)/SUM('C1-Incomes'!$JG27,'C1-Incomes'!$JO27,'C1-Incomes'!$JW27,'C1-Incomes'!$KE27,'C1-Incomes'!$KM27,'C1-Incomes'!$KU27)*100</f>
        <v>1.5503882113306751</v>
      </c>
      <c r="I25" s="239"/>
      <c r="J25" s="456">
        <f t="shared" si="1"/>
        <v>50.874520955431905</v>
      </c>
      <c r="K25" s="456">
        <f>'C1-Incomes'!JH27/'C1-Incomes'!JG27*100</f>
        <v>49.125479044568095</v>
      </c>
      <c r="L25" s="456">
        <f>'C1-Incomes'!JI27/'C1-Incomes'!JG27*100</f>
        <v>36.32712743717024</v>
      </c>
      <c r="M25" s="456">
        <f>'C1-Incomes'!JJ27/'C1-Incomes'!JG27*100</f>
        <v>18.46207168670183</v>
      </c>
      <c r="N25" s="456">
        <f>'C1-Incomes'!JK27/'C1-Incomes'!JG27*100</f>
        <v>13.761980584703689</v>
      </c>
      <c r="O25" s="456">
        <f>'C1-Incomes'!JL27/'C1-Incomes'!JG27*100</f>
        <v>6.9811794216156908</v>
      </c>
      <c r="P25" s="456">
        <f>'C1-Incomes'!JM27/'C1-Incomes'!JG27*100</f>
        <v>2.6351722159676827</v>
      </c>
      <c r="Q25" s="458"/>
      <c r="R25" s="456">
        <f t="shared" si="2"/>
        <v>55.902024011244791</v>
      </c>
      <c r="S25" s="456">
        <f>'C1-Incomes'!JP27/'C1-Incomes'!JO27*100</f>
        <v>44.097975988755209</v>
      </c>
      <c r="T25" s="456">
        <f>'C1-Incomes'!JQ27/'C1-Incomes'!JO27*100</f>
        <v>32.038950808960927</v>
      </c>
      <c r="U25" s="456">
        <f>'C1-Incomes'!JR27/'C1-Incomes'!JO27*100</f>
        <v>15.00630003800191</v>
      </c>
      <c r="V25" s="456">
        <f>'C1-Incomes'!JS27/'C1-Incomes'!JO27*100</f>
        <v>10.892779204283057</v>
      </c>
      <c r="W25" s="456">
        <f>'C1-Incomes'!JT27/'C1-Incomes'!JO27*100</f>
        <v>5.3957274739232908</v>
      </c>
      <c r="X25" s="456">
        <f>'C1-Incomes'!JU27/'C1-Incomes'!JO27*100</f>
        <v>2.0561976037491276</v>
      </c>
      <c r="Y25" s="458"/>
      <c r="Z25" s="456">
        <f t="shared" si="3"/>
        <v>60.519731535727118</v>
      </c>
      <c r="AA25" s="456">
        <f>'C1-Incomes'!JX27/'C1-Incomes'!JW27*100</f>
        <v>39.480268464272882</v>
      </c>
      <c r="AB25" s="456">
        <f>'C1-Incomes'!JY27/'C1-Incomes'!JW27*100</f>
        <v>29.972711916469525</v>
      </c>
      <c r="AC25" s="456">
        <f>'C1-Incomes'!JZ27/'C1-Incomes'!JW27*100</f>
        <v>16.961085499832791</v>
      </c>
      <c r="AD25" s="456">
        <f>'C1-Incomes'!KA27/'C1-Incomes'!JW27*100</f>
        <v>13.357712089872054</v>
      </c>
      <c r="AE25" s="456">
        <f>'C1-Incomes'!KB27/'C1-Incomes'!JW27*100</f>
        <v>7.638556597346942</v>
      </c>
      <c r="AF25" s="456">
        <f>'C1-Incomes'!KC27/'C1-Incomes'!JW27*100</f>
        <v>3.1593606933623994</v>
      </c>
      <c r="AG25" s="458"/>
      <c r="AH25" s="456">
        <f t="shared" si="4"/>
        <v>61.65065348822138</v>
      </c>
      <c r="AI25" s="456">
        <f>'C1-Incomes'!KF27/'C1-Incomes'!KE27*100</f>
        <v>38.34934651177862</v>
      </c>
      <c r="AJ25" s="456">
        <f>'C1-Incomes'!KG27/'C1-Incomes'!KE27*100</f>
        <v>27.06123372750729</v>
      </c>
      <c r="AK25" s="456">
        <f>'C1-Incomes'!KH27/'C1-Incomes'!KE27*100</f>
        <v>12.000770957252108</v>
      </c>
      <c r="AL25" s="456">
        <f>'C1-Incomes'!KI27/'C1-Incomes'!KE27*100</f>
        <v>8.5686259486633372</v>
      </c>
      <c r="AM25" s="456">
        <f>'C1-Incomes'!KJ27/'C1-Incomes'!KE27*100</f>
        <v>4.0545271666452924</v>
      </c>
      <c r="AN25" s="456">
        <f>'C1-Incomes'!KK27/'C1-Incomes'!KE27*100</f>
        <v>1.4543688914410158</v>
      </c>
      <c r="AP25" s="456">
        <f t="shared" si="5"/>
        <v>81.414879308485425</v>
      </c>
      <c r="AQ25" s="456">
        <f>'C1-Incomes'!KN27/'C1-Incomes'!KM27*100</f>
        <v>18.585120691514579</v>
      </c>
      <c r="AR25" s="456">
        <f>'C1-Incomes'!KO27/'C1-Incomes'!KM27*100</f>
        <v>8.9582954746489083</v>
      </c>
      <c r="AS25" s="456">
        <f>'C1-Incomes'!KP27/'C1-Incomes'!KM27*100</f>
        <v>1.5088344843915813</v>
      </c>
      <c r="AT25" s="456">
        <f>'C1-Incomes'!KQ27/'C1-Incomes'!KM27*100</f>
        <v>0.73792670001647331</v>
      </c>
      <c r="AU25" s="456">
        <f>'C1-Incomes'!KR27/'C1-Incomes'!KM27*100</f>
        <v>0.14724875136783658</v>
      </c>
      <c r="AV25" s="456">
        <f>'C1-Incomes'!KS27/'C1-Incomes'!KM27*100</f>
        <v>1.5033993879315363E-2</v>
      </c>
      <c r="AW25" s="456"/>
      <c r="AX25" s="456">
        <f t="shared" si="7"/>
        <v>37.8689852286169</v>
      </c>
      <c r="AY25" s="456">
        <f>'C1-Incomes'!LL27/'C1-Incomes'!LK27*100</f>
        <v>62.1310147713831</v>
      </c>
      <c r="AZ25" s="456">
        <f>'C1-Incomes'!LM27/'C1-Incomes'!LK27*100</f>
        <v>51.155398400079562</v>
      </c>
      <c r="BA25" s="456">
        <f>'C1-Incomes'!LN27/'C1-Incomes'!LK27*100</f>
        <v>29.077711549529241</v>
      </c>
      <c r="BB25" s="456">
        <f>'C1-Incomes'!LO27/'C1-Incomes'!LK27*100</f>
        <v>21.812238316005836</v>
      </c>
      <c r="BC25" s="456">
        <f>'C1-Incomes'!LP27/'C1-Incomes'!LK27*100</f>
        <v>11.849765383503513</v>
      </c>
      <c r="BD25" s="456">
        <f>'C1-Incomes'!LQ27/'C1-Incomes'!LK27*100</f>
        <v>5.3908532511603235</v>
      </c>
      <c r="BF25" s="456">
        <f t="shared" si="6"/>
        <v>76.976366072098671</v>
      </c>
      <c r="BG25" s="456">
        <f>'C1-Incomes'!KV27/'C1-Incomes'!KU27*100</f>
        <v>23.023633927901333</v>
      </c>
      <c r="BH25" s="456">
        <f>'C1-Incomes'!KW27/'C1-Incomes'!KU27*100</f>
        <v>13.052508276419916</v>
      </c>
      <c r="BI25" s="456">
        <f>'C1-Incomes'!KX27/'C1-Incomes'!KU27*100</f>
        <v>3.747927157497978</v>
      </c>
      <c r="BJ25" s="456">
        <f>'C1-Incomes'!KY27/'C1-Incomes'!KU27*100</f>
        <v>2.307682346417165</v>
      </c>
      <c r="BK25" s="456">
        <f>'C1-Incomes'!KZ27/'C1-Incomes'!KU27*100</f>
        <v>0.84586827608635828</v>
      </c>
      <c r="BL25" s="456">
        <f>'C1-Incomes'!LA27/'C1-Incomes'!KU27*100</f>
        <v>0.24023806135808337</v>
      </c>
    </row>
    <row r="26" spans="1:64" s="452" customFormat="1" ht="12" x14ac:dyDescent="0.25">
      <c r="A26" s="239">
        <v>1980</v>
      </c>
      <c r="B26" s="456">
        <f t="shared" si="0"/>
        <v>64.226044907261581</v>
      </c>
      <c r="C26" s="456">
        <f>SUM('C1-Incomes'!JH28,'C1-Incomes'!JP28,'C1-Incomes'!JX28,'C1-Incomes'!KF28,'C1-Incomes'!KN28,'C1-Incomes'!KV28)/SUM('C1-Incomes'!$JG28,'C1-Incomes'!$JO28,'C1-Incomes'!$JW28,'C1-Incomes'!$KE28,'C1-Incomes'!$KM28,'C1-Incomes'!$KU28)*100</f>
        <v>35.773955092738419</v>
      </c>
      <c r="D26" s="456">
        <f>SUM('C1-Incomes'!JI28,'C1-Incomes'!JQ28,'C1-Incomes'!JY28,'C1-Incomes'!KG28,'C1-Incomes'!KO28,'C1-Incomes'!KW28)/SUM('C1-Incomes'!$JG28,'C1-Incomes'!$JO28,'C1-Incomes'!$JW28,'C1-Incomes'!$KE28,'C1-Incomes'!$KM28,'C1-Incomes'!$KU28)*100</f>
        <v>24.54385281203129</v>
      </c>
      <c r="E26" s="456">
        <f>SUM('C1-Incomes'!JJ28,'C1-Incomes'!JR28,'C1-Incomes'!JZ28,'C1-Incomes'!KH28,'C1-Incomes'!KP28,'C1-Incomes'!KX28)/SUM('C1-Incomes'!$JG28,'C1-Incomes'!$JO28,'C1-Incomes'!$JW28,'C1-Incomes'!$KE28,'C1-Incomes'!$KM28,'C1-Incomes'!$KU28)*100</f>
        <v>11.080312676889811</v>
      </c>
      <c r="F26" s="456">
        <f>SUM('C1-Incomes'!JK28,'C1-Incomes'!JS28,'C1-Incomes'!KA28,'C1-Incomes'!KI28,'C1-Incomes'!KQ28,'C1-Incomes'!KY28)/SUM('C1-Incomes'!$JG28,'C1-Incomes'!$JO28,'C1-Incomes'!$JW28,'C1-Incomes'!$KE28,'C1-Incomes'!$KM28,'C1-Incomes'!$KU28)*100</f>
        <v>8.0506026191704159</v>
      </c>
      <c r="G26" s="456">
        <f>SUM('C1-Incomes'!JL28,'C1-Incomes'!JT28,'C1-Incomes'!KB28,'C1-Incomes'!KJ28,'C1-Incomes'!KR28,'C1-Incomes'!KZ28)/SUM('C1-Incomes'!$JG28,'C1-Incomes'!$JO28,'C1-Incomes'!$JW28,'C1-Incomes'!$KE28,'C1-Incomes'!$KM28,'C1-Incomes'!$KU28)*100</f>
        <v>3.9510510732124917</v>
      </c>
      <c r="H26" s="456">
        <f>SUM('C1-Incomes'!JM28,'C1-Incomes'!JU28,'C1-Incomes'!KC28,'C1-Incomes'!KK28,'C1-Incomes'!KS28,'C1-Incomes'!LA28)/SUM('C1-Incomes'!$JG28,'C1-Incomes'!$JO28,'C1-Incomes'!$JW28,'C1-Incomes'!$KE28,'C1-Incomes'!$KM28,'C1-Incomes'!$KU28)*100</f>
        <v>1.4425276833348792</v>
      </c>
      <c r="I26" s="239"/>
      <c r="J26" s="456">
        <f t="shared" si="1"/>
        <v>50.926031714276746</v>
      </c>
      <c r="K26" s="456">
        <f>'C1-Incomes'!JH28/'C1-Incomes'!JG28*100</f>
        <v>49.073968285723254</v>
      </c>
      <c r="L26" s="456">
        <f>'C1-Incomes'!JI28/'C1-Incomes'!JG28*100</f>
        <v>36.054281988737081</v>
      </c>
      <c r="M26" s="456">
        <f>'C1-Incomes'!JJ28/'C1-Incomes'!JG28*100</f>
        <v>18.043879916914932</v>
      </c>
      <c r="N26" s="456">
        <f>'C1-Incomes'!JK28/'C1-Incomes'!JG28*100</f>
        <v>13.338740551184902</v>
      </c>
      <c r="O26" s="456">
        <f>'C1-Incomes'!JL28/'C1-Incomes'!JG28*100</f>
        <v>6.5882796414233473</v>
      </c>
      <c r="P26" s="456">
        <f>'C1-Incomes'!JM28/'C1-Incomes'!JG28*100</f>
        <v>2.3605025808981561</v>
      </c>
      <c r="Q26" s="458"/>
      <c r="R26" s="456">
        <f t="shared" si="2"/>
        <v>54.711173453871993</v>
      </c>
      <c r="S26" s="456">
        <f>'C1-Incomes'!JP28/'C1-Incomes'!JO28*100</f>
        <v>45.288826546128007</v>
      </c>
      <c r="T26" s="456">
        <f>'C1-Incomes'!JQ28/'C1-Incomes'!JO28*100</f>
        <v>33.124296442280269</v>
      </c>
      <c r="U26" s="456">
        <f>'C1-Incomes'!JR28/'C1-Incomes'!JO28*100</f>
        <v>15.565239646694485</v>
      </c>
      <c r="V26" s="456">
        <f>'C1-Incomes'!JS28/'C1-Incomes'!JO28*100</f>
        <v>11.196382430011919</v>
      </c>
      <c r="W26" s="456">
        <f>'C1-Incomes'!JT28/'C1-Incomes'!JO28*100</f>
        <v>5.5140336176522666</v>
      </c>
      <c r="X26" s="456">
        <f>'C1-Incomes'!JU28/'C1-Incomes'!JO28*100</f>
        <v>2.0222959992122349</v>
      </c>
      <c r="Y26" s="458"/>
      <c r="Z26" s="456">
        <f t="shared" si="3"/>
        <v>59.304959276137993</v>
      </c>
      <c r="AA26" s="456">
        <f>'C1-Incomes'!JX28/'C1-Incomes'!JW28*100</f>
        <v>40.695040723862007</v>
      </c>
      <c r="AB26" s="456">
        <f>'C1-Incomes'!JY28/'C1-Incomes'!JW28*100</f>
        <v>31.137303786232845</v>
      </c>
      <c r="AC26" s="456">
        <f>'C1-Incomes'!JZ28/'C1-Incomes'!JW28*100</f>
        <v>17.620474935085582</v>
      </c>
      <c r="AD26" s="456">
        <f>'C1-Incomes'!KA28/'C1-Incomes'!JW28*100</f>
        <v>13.768496065391341</v>
      </c>
      <c r="AE26" s="456">
        <f>'C1-Incomes'!KB28/'C1-Incomes'!JW28*100</f>
        <v>7.6989600498118804</v>
      </c>
      <c r="AF26" s="456">
        <f>'C1-Incomes'!KC28/'C1-Incomes'!JW28*100</f>
        <v>3.1773392454029992</v>
      </c>
      <c r="AG26" s="458"/>
      <c r="AH26" s="456">
        <f t="shared" si="4"/>
        <v>61.602640208884523</v>
      </c>
      <c r="AI26" s="456">
        <f>'C1-Incomes'!KF28/'C1-Incomes'!KE28*100</f>
        <v>38.397359791115477</v>
      </c>
      <c r="AJ26" s="456">
        <f>'C1-Incomes'!KG28/'C1-Incomes'!KE28*100</f>
        <v>27.345052844996275</v>
      </c>
      <c r="AK26" s="456">
        <f>'C1-Incomes'!KH28/'C1-Incomes'!KE28*100</f>
        <v>12.357944133220954</v>
      </c>
      <c r="AL26" s="456">
        <f>'C1-Incomes'!KI28/'C1-Incomes'!KE28*100</f>
        <v>8.8567198384730652</v>
      </c>
      <c r="AM26" s="456">
        <f>'C1-Incomes'!KJ28/'C1-Incomes'!KE28*100</f>
        <v>4.2373935940156677</v>
      </c>
      <c r="AN26" s="456">
        <f>'C1-Incomes'!KK28/'C1-Incomes'!KE28*100</f>
        <v>1.5239566442366075</v>
      </c>
      <c r="AP26" s="456">
        <f t="shared" si="5"/>
        <v>80.291389738993161</v>
      </c>
      <c r="AQ26" s="456">
        <f>'C1-Incomes'!KN28/'C1-Incomes'!KM28*100</f>
        <v>19.708610261006836</v>
      </c>
      <c r="AR26" s="456">
        <f>'C1-Incomes'!KO28/'C1-Incomes'!KM28*100</f>
        <v>9.6614432091904305</v>
      </c>
      <c r="AS26" s="456">
        <f>'C1-Incomes'!KP28/'C1-Incomes'!KM28*100</f>
        <v>1.6121259916100372</v>
      </c>
      <c r="AT26" s="456">
        <f>'C1-Incomes'!KQ28/'C1-Incomes'!KM28*100</f>
        <v>0.78730114845314614</v>
      </c>
      <c r="AU26" s="456">
        <f>'C1-Incomes'!KR28/'C1-Incomes'!KM28*100</f>
        <v>0.16014385739270134</v>
      </c>
      <c r="AV26" s="456">
        <f>'C1-Incomes'!KS28/'C1-Incomes'!KM28*100</f>
        <v>1.6294326759265211E-2</v>
      </c>
      <c r="AW26" s="456"/>
      <c r="AX26" s="456">
        <f t="shared" si="7"/>
        <v>37.25661986887674</v>
      </c>
      <c r="AY26" s="456">
        <f>'C1-Incomes'!LL28/'C1-Incomes'!LK28*100</f>
        <v>62.74338013112326</v>
      </c>
      <c r="AZ26" s="456">
        <f>'C1-Incomes'!LM28/'C1-Incomes'!LK28*100</f>
        <v>51.665693655502388</v>
      </c>
      <c r="BA26" s="456">
        <f>'C1-Incomes'!LN28/'C1-Incomes'!LK28*100</f>
        <v>29.723666948963317</v>
      </c>
      <c r="BB26" s="456">
        <f>'C1-Incomes'!LO28/'C1-Incomes'!LK28*100</f>
        <v>22.286793469469128</v>
      </c>
      <c r="BC26" s="456">
        <f>'C1-Incomes'!LP28/'C1-Incomes'!LK28*100</f>
        <v>12.038540320802005</v>
      </c>
      <c r="BD26" s="456">
        <f>'C1-Incomes'!LQ28/'C1-Incomes'!LK28*100</f>
        <v>5.4135538100934157</v>
      </c>
      <c r="BF26" s="456">
        <f t="shared" si="6"/>
        <v>76.569498927789766</v>
      </c>
      <c r="BG26" s="456">
        <f>'C1-Incomes'!KV28/'C1-Incomes'!KU28*100</f>
        <v>23.430501072210227</v>
      </c>
      <c r="BH26" s="456">
        <f>'C1-Incomes'!KW28/'C1-Incomes'!KU28*100</f>
        <v>13.361919565810126</v>
      </c>
      <c r="BI26" s="456">
        <f>'C1-Incomes'!KX28/'C1-Incomes'!KU28*100</f>
        <v>3.8882289084089283</v>
      </c>
      <c r="BJ26" s="456">
        <f>'C1-Incomes'!KY28/'C1-Incomes'!KU28*100</f>
        <v>2.4238660297271206</v>
      </c>
      <c r="BK26" s="456">
        <f>'C1-Incomes'!KZ28/'C1-Incomes'!KU28*100</f>
        <v>0.90967475258104213</v>
      </c>
      <c r="BL26" s="456">
        <f>'C1-Incomes'!LA28/'C1-Incomes'!KU28*100</f>
        <v>0.27089311847370318</v>
      </c>
    </row>
    <row r="27" spans="1:64" s="452" customFormat="1" ht="12" x14ac:dyDescent="0.25">
      <c r="A27" s="239">
        <v>1981</v>
      </c>
      <c r="B27" s="456">
        <f t="shared" si="0"/>
        <v>65.036254691910429</v>
      </c>
      <c r="C27" s="456">
        <f>SUM('C1-Incomes'!JH29,'C1-Incomes'!JP29,'C1-Incomes'!JX29,'C1-Incomes'!KF29,'C1-Incomes'!KN29,'C1-Incomes'!KV29)/SUM('C1-Incomes'!$JG29,'C1-Incomes'!$JO29,'C1-Incomes'!$JW29,'C1-Incomes'!$KE29,'C1-Incomes'!$KM29,'C1-Incomes'!$KU29)*100</f>
        <v>34.963745308089571</v>
      </c>
      <c r="D27" s="456">
        <f>SUM('C1-Incomes'!JI29,'C1-Incomes'!JQ29,'C1-Incomes'!JY29,'C1-Incomes'!KG29,'C1-Incomes'!KO29,'C1-Incomes'!KW29)/SUM('C1-Incomes'!$JG29,'C1-Incomes'!$JO29,'C1-Incomes'!$JW29,'C1-Incomes'!$KE29,'C1-Incomes'!$KM29,'C1-Incomes'!$KU29)*100</f>
        <v>23.453942272569332</v>
      </c>
      <c r="E27" s="456">
        <f>SUM('C1-Incomes'!JJ29,'C1-Incomes'!JR29,'C1-Incomes'!JZ29,'C1-Incomes'!KH29,'C1-Incomes'!KP29,'C1-Incomes'!KX29)/SUM('C1-Incomes'!$JG29,'C1-Incomes'!$JO29,'C1-Incomes'!$JW29,'C1-Incomes'!$KE29,'C1-Incomes'!$KM29,'C1-Incomes'!$KU29)*100</f>
        <v>10.117350971070406</v>
      </c>
      <c r="F27" s="456">
        <f>SUM('C1-Incomes'!JK29,'C1-Incomes'!JS29,'C1-Incomes'!KA29,'C1-Incomes'!KI29,'C1-Incomes'!KQ29,'C1-Incomes'!KY29)/SUM('C1-Incomes'!$JG29,'C1-Incomes'!$JO29,'C1-Incomes'!$JW29,'C1-Incomes'!$KE29,'C1-Incomes'!$KM29,'C1-Incomes'!$KU29)*100</f>
        <v>7.2574532108783094</v>
      </c>
      <c r="G27" s="456">
        <f>SUM('C1-Incomes'!JL29,'C1-Incomes'!JT29,'C1-Incomes'!KB29,'C1-Incomes'!KJ29,'C1-Incomes'!KR29,'C1-Incomes'!KZ29)/SUM('C1-Incomes'!$JG29,'C1-Incomes'!$JO29,'C1-Incomes'!$JW29,'C1-Incomes'!$KE29,'C1-Incomes'!$KM29,'C1-Incomes'!$KU29)*100</f>
        <v>3.4875051980127978</v>
      </c>
      <c r="H27" s="456">
        <f>SUM('C1-Incomes'!JM29,'C1-Incomes'!JU29,'C1-Incomes'!KC29,'C1-Incomes'!KK29,'C1-Incomes'!KS29,'C1-Incomes'!LA29)/SUM('C1-Incomes'!$JG29,'C1-Incomes'!$JO29,'C1-Incomes'!$JW29,'C1-Incomes'!$KE29,'C1-Incomes'!$KM29,'C1-Incomes'!$KU29)*100</f>
        <v>1.2494890978449222</v>
      </c>
      <c r="I27" s="239"/>
      <c r="J27" s="456">
        <f t="shared" si="1"/>
        <v>52.19244449526991</v>
      </c>
      <c r="K27" s="456">
        <f>'C1-Incomes'!JH29/'C1-Incomes'!JG29*100</f>
        <v>47.80755550473009</v>
      </c>
      <c r="L27" s="456">
        <f>'C1-Incomes'!JI29/'C1-Incomes'!JG29*100</f>
        <v>34.482422555872326</v>
      </c>
      <c r="M27" s="456">
        <f>'C1-Incomes'!JJ29/'C1-Incomes'!JG29*100</f>
        <v>16.695566151660156</v>
      </c>
      <c r="N27" s="456">
        <f>'C1-Incomes'!JK29/'C1-Incomes'!JG29*100</f>
        <v>12.259539203027487</v>
      </c>
      <c r="O27" s="456">
        <f>'C1-Incomes'!JL29/'C1-Incomes'!JG29*100</f>
        <v>5.9930810112643256</v>
      </c>
      <c r="P27" s="456">
        <f>'C1-Incomes'!JM29/'C1-Incomes'!JG29*100</f>
        <v>2.1102909641214156</v>
      </c>
      <c r="Q27" s="458"/>
      <c r="R27" s="456">
        <f t="shared" si="2"/>
        <v>54.845411182614988</v>
      </c>
      <c r="S27" s="456">
        <f>'C1-Incomes'!JP29/'C1-Incomes'!JO29*100</f>
        <v>45.154588817385012</v>
      </c>
      <c r="T27" s="456">
        <f>'C1-Incomes'!JQ29/'C1-Incomes'!JO29*100</f>
        <v>32.716295373308469</v>
      </c>
      <c r="U27" s="456">
        <f>'C1-Incomes'!JR29/'C1-Incomes'!JO29*100</f>
        <v>15.519231868056183</v>
      </c>
      <c r="V27" s="456">
        <f>'C1-Incomes'!JS29/'C1-Incomes'!JO29*100</f>
        <v>11.327373732244213</v>
      </c>
      <c r="W27" s="456">
        <f>'C1-Incomes'!JT29/'C1-Incomes'!JO29*100</f>
        <v>5.6168074005263167</v>
      </c>
      <c r="X27" s="456">
        <f>'C1-Incomes'!JU29/'C1-Incomes'!JO29*100</f>
        <v>2.0860549359310108</v>
      </c>
      <c r="Y27" s="458"/>
      <c r="Z27" s="456">
        <f t="shared" si="3"/>
        <v>61.85690114484818</v>
      </c>
      <c r="AA27" s="456">
        <f>'C1-Incomes'!JX29/'C1-Incomes'!JW29*100</f>
        <v>38.14309885515182</v>
      </c>
      <c r="AB27" s="456">
        <f>'C1-Incomes'!JY29/'C1-Incomes'!JW29*100</f>
        <v>28.148234317002064</v>
      </c>
      <c r="AC27" s="456">
        <f>'C1-Incomes'!JZ29/'C1-Incomes'!JW29*100</f>
        <v>14.868038611960463</v>
      </c>
      <c r="AD27" s="456">
        <f>'C1-Incomes'!KA29/'C1-Incomes'!JW29*100</f>
        <v>11.416834210339189</v>
      </c>
      <c r="AE27" s="456">
        <f>'C1-Incomes'!KB29/'C1-Incomes'!JW29*100</f>
        <v>6.2748510132973054</v>
      </c>
      <c r="AF27" s="456">
        <f>'C1-Incomes'!KC29/'C1-Incomes'!JW29*100</f>
        <v>2.5773241854511841</v>
      </c>
      <c r="AG27" s="458"/>
      <c r="AH27" s="456">
        <f t="shared" si="4"/>
        <v>61.939671627652935</v>
      </c>
      <c r="AI27" s="456">
        <f>'C1-Incomes'!KF29/'C1-Incomes'!KE29*100</f>
        <v>38.060328372347065</v>
      </c>
      <c r="AJ27" s="456">
        <f>'C1-Incomes'!KG29/'C1-Incomes'!KE29*100</f>
        <v>26.721500001106772</v>
      </c>
      <c r="AK27" s="456">
        <f>'C1-Incomes'!KH29/'C1-Incomes'!KE29*100</f>
        <v>11.678942711090302</v>
      </c>
      <c r="AL27" s="456">
        <f>'C1-Incomes'!KI29/'C1-Incomes'!KE29*100</f>
        <v>8.2319089802652954</v>
      </c>
      <c r="AM27" s="456">
        <f>'C1-Incomes'!KJ29/'C1-Incomes'!KE29*100</f>
        <v>3.8152243266369519</v>
      </c>
      <c r="AN27" s="456">
        <f>'C1-Incomes'!KK29/'C1-Incomes'!KE29*100</f>
        <v>1.3616428848334015</v>
      </c>
      <c r="AP27" s="456">
        <f t="shared" si="5"/>
        <v>79.789490639771756</v>
      </c>
      <c r="AQ27" s="456">
        <f>'C1-Incomes'!KN29/'C1-Incomes'!KM29*100</f>
        <v>20.210509360228244</v>
      </c>
      <c r="AR27" s="456">
        <f>'C1-Incomes'!KO29/'C1-Incomes'!KM29*100</f>
        <v>9.8909630792164052</v>
      </c>
      <c r="AS27" s="456">
        <f>'C1-Incomes'!KP29/'C1-Incomes'!KM29*100</f>
        <v>1.7005293291934187</v>
      </c>
      <c r="AT27" s="456">
        <f>'C1-Incomes'!KQ29/'C1-Incomes'!KM29*100</f>
        <v>0.83359461570222149</v>
      </c>
      <c r="AU27" s="456">
        <f>'C1-Incomes'!KR29/'C1-Incomes'!KM29*100</f>
        <v>0.16772005389396696</v>
      </c>
      <c r="AV27" s="456">
        <f>'C1-Incomes'!KS29/'C1-Incomes'!KM29*100</f>
        <v>1.6841121340110718E-2</v>
      </c>
      <c r="AW27" s="456"/>
      <c r="AX27" s="456">
        <f t="shared" si="7"/>
        <v>37.382767148564021</v>
      </c>
      <c r="AY27" s="456">
        <f>'C1-Incomes'!LL29/'C1-Incomes'!LK29*100</f>
        <v>62.617232851435979</v>
      </c>
      <c r="AZ27" s="456">
        <f>'C1-Incomes'!LM29/'C1-Incomes'!LK29*100</f>
        <v>51.440383301662706</v>
      </c>
      <c r="BA27" s="456">
        <f>'C1-Incomes'!LN29/'C1-Incomes'!LK29*100</f>
        <v>29.670534568127831</v>
      </c>
      <c r="BB27" s="456">
        <f>'C1-Incomes'!LO29/'C1-Incomes'!LK29*100</f>
        <v>22.301295668754047</v>
      </c>
      <c r="BC27" s="456">
        <f>'C1-Incomes'!LP29/'C1-Incomes'!LK29*100</f>
        <v>11.899760040380047</v>
      </c>
      <c r="BD27" s="456">
        <f>'C1-Incomes'!LQ29/'C1-Incomes'!LK29*100</f>
        <v>5.3441684735478301</v>
      </c>
      <c r="BF27" s="456">
        <f t="shared" si="6"/>
        <v>76.393907325431087</v>
      </c>
      <c r="BG27" s="456">
        <f>'C1-Incomes'!KV29/'C1-Incomes'!KU29*100</f>
        <v>23.606092674568913</v>
      </c>
      <c r="BH27" s="456">
        <f>'C1-Incomes'!KW29/'C1-Incomes'!KU29*100</f>
        <v>13.471399618301994</v>
      </c>
      <c r="BI27" s="456">
        <f>'C1-Incomes'!KX29/'C1-Incomes'!KU29*100</f>
        <v>3.9272612039950241</v>
      </c>
      <c r="BJ27" s="456">
        <f>'C1-Incomes'!KY29/'C1-Incomes'!KU29*100</f>
        <v>2.4548399898782955</v>
      </c>
      <c r="BK27" s="456">
        <f>'C1-Incomes'!KZ29/'C1-Incomes'!KU29*100</f>
        <v>0.94840005548645168</v>
      </c>
      <c r="BL27" s="456">
        <f>'C1-Incomes'!LA29/'C1-Incomes'!KU29*100</f>
        <v>0.2957897161654594</v>
      </c>
    </row>
    <row r="28" spans="1:64" s="452" customFormat="1" ht="12" x14ac:dyDescent="0.25">
      <c r="A28" s="239">
        <v>1982</v>
      </c>
      <c r="B28" s="456">
        <f t="shared" si="0"/>
        <v>64.214555960074392</v>
      </c>
      <c r="C28" s="456">
        <f>SUM('C1-Incomes'!JH30,'C1-Incomes'!JP30,'C1-Incomes'!JX30,'C1-Incomes'!KF30,'C1-Incomes'!KN30,'C1-Incomes'!KV30)/SUM('C1-Incomes'!$JG30,'C1-Incomes'!$JO30,'C1-Incomes'!$JW30,'C1-Incomes'!$KE30,'C1-Incomes'!$KM30,'C1-Incomes'!$KU30)*100</f>
        <v>35.785444039925601</v>
      </c>
      <c r="D28" s="456">
        <f>SUM('C1-Incomes'!JI30,'C1-Incomes'!JQ30,'C1-Incomes'!JY30,'C1-Incomes'!KG30,'C1-Incomes'!KO30,'C1-Incomes'!KW30)/SUM('C1-Incomes'!$JG30,'C1-Incomes'!$JO30,'C1-Incomes'!$JW30,'C1-Incomes'!$KE30,'C1-Incomes'!$KM30,'C1-Incomes'!$KU30)*100</f>
        <v>24.019045527060559</v>
      </c>
      <c r="E28" s="456">
        <f>SUM('C1-Incomes'!JJ30,'C1-Incomes'!JR30,'C1-Incomes'!JZ30,'C1-Incomes'!KH30,'C1-Incomes'!KP30,'C1-Incomes'!KX30)/SUM('C1-Incomes'!$JG30,'C1-Incomes'!$JO30,'C1-Incomes'!$JW30,'C1-Incomes'!$KE30,'C1-Incomes'!$KM30,'C1-Incomes'!$KU30)*100</f>
        <v>10.576277464053549</v>
      </c>
      <c r="F28" s="456">
        <f>SUM('C1-Incomes'!JK30,'C1-Incomes'!JS30,'C1-Incomes'!KA30,'C1-Incomes'!KI30,'C1-Incomes'!KQ30,'C1-Incomes'!KY30)/SUM('C1-Incomes'!$JG30,'C1-Incomes'!$JO30,'C1-Incomes'!$JW30,'C1-Incomes'!$KE30,'C1-Incomes'!$KM30,'C1-Incomes'!$KU30)*100</f>
        <v>7.6933971018026748</v>
      </c>
      <c r="G28" s="456">
        <f>SUM('C1-Incomes'!JL30,'C1-Incomes'!JT30,'C1-Incomes'!KB30,'C1-Incomes'!KJ30,'C1-Incomes'!KR30,'C1-Incomes'!KZ30)/SUM('C1-Incomes'!$JG30,'C1-Incomes'!$JO30,'C1-Incomes'!$JW30,'C1-Incomes'!$KE30,'C1-Incomes'!$KM30,'C1-Incomes'!$KU30)*100</f>
        <v>3.8798418819033711</v>
      </c>
      <c r="H28" s="456">
        <f>SUM('C1-Incomes'!JM30,'C1-Incomes'!JU30,'C1-Incomes'!KC30,'C1-Incomes'!KK30,'C1-Incomes'!KS30,'C1-Incomes'!LA30)/SUM('C1-Incomes'!$JG30,'C1-Incomes'!$JO30,'C1-Incomes'!$JW30,'C1-Incomes'!$KE30,'C1-Incomes'!$KM30,'C1-Incomes'!$KU30)*100</f>
        <v>1.4418788735383565</v>
      </c>
      <c r="I28" s="239"/>
      <c r="J28" s="456">
        <f t="shared" si="1"/>
        <v>50.845075023187036</v>
      </c>
      <c r="K28" s="456">
        <f>'C1-Incomes'!JH30/'C1-Incomes'!JG30*100</f>
        <v>49.154924976812964</v>
      </c>
      <c r="L28" s="456">
        <f>'C1-Incomes'!JI30/'C1-Incomes'!JG30*100</f>
        <v>35.90469403959564</v>
      </c>
      <c r="M28" s="456">
        <f>'C1-Incomes'!JJ30/'C1-Incomes'!JG30*100</f>
        <v>18.200594976586526</v>
      </c>
      <c r="N28" s="456">
        <f>'C1-Incomes'!JK30/'C1-Incomes'!JG30*100</f>
        <v>13.63810683369498</v>
      </c>
      <c r="O28" s="456">
        <f>'C1-Incomes'!JL30/'C1-Incomes'!JG30*100</f>
        <v>7.0349352781982848</v>
      </c>
      <c r="P28" s="456">
        <f>'C1-Incomes'!JM30/'C1-Incomes'!JG30*100</f>
        <v>2.6092884910753957</v>
      </c>
      <c r="Q28" s="458"/>
      <c r="R28" s="456">
        <f t="shared" si="2"/>
        <v>53.326421851266836</v>
      </c>
      <c r="S28" s="456">
        <f>'C1-Incomes'!JP30/'C1-Incomes'!JO30*100</f>
        <v>46.673578148733164</v>
      </c>
      <c r="T28" s="456">
        <f>'C1-Incomes'!JQ30/'C1-Incomes'!JO30*100</f>
        <v>33.301083777912005</v>
      </c>
      <c r="U28" s="456">
        <f>'C1-Incomes'!JR30/'C1-Incomes'!JO30*100</f>
        <v>15.780220156773483</v>
      </c>
      <c r="V28" s="456">
        <f>'C1-Incomes'!JS30/'C1-Incomes'!JO30*100</f>
        <v>11.604076161079973</v>
      </c>
      <c r="W28" s="456">
        <f>'C1-Incomes'!JT30/'C1-Incomes'!JO30*100</f>
        <v>6.0345499353707863</v>
      </c>
      <c r="X28" s="456">
        <f>'C1-Incomes'!JU30/'C1-Incomes'!JO30*100</f>
        <v>2.3036253571364731</v>
      </c>
      <c r="Y28" s="458"/>
      <c r="Z28" s="456">
        <f t="shared" si="3"/>
        <v>61.888947284282764</v>
      </c>
      <c r="AA28" s="456">
        <f>'C1-Incomes'!JX30/'C1-Incomes'!JW30*100</f>
        <v>38.111052715717236</v>
      </c>
      <c r="AB28" s="456">
        <f>'C1-Incomes'!JY30/'C1-Incomes'!JW30*100</f>
        <v>27.922703220649588</v>
      </c>
      <c r="AC28" s="456">
        <f>'C1-Incomes'!JZ30/'C1-Incomes'!JW30*100</f>
        <v>14.775585783912348</v>
      </c>
      <c r="AD28" s="456">
        <f>'C1-Incomes'!KA30/'C1-Incomes'!JW30*100</f>
        <v>11.447308067220337</v>
      </c>
      <c r="AE28" s="456">
        <f>'C1-Incomes'!KB30/'C1-Incomes'!JW30*100</f>
        <v>6.6433064919873663</v>
      </c>
      <c r="AF28" s="456">
        <f>'C1-Incomes'!KC30/'C1-Incomes'!JW30*100</f>
        <v>2.7772304908956214</v>
      </c>
      <c r="AG28" s="458"/>
      <c r="AH28" s="456">
        <f t="shared" si="4"/>
        <v>63.168830985313868</v>
      </c>
      <c r="AI28" s="456">
        <f>'C1-Incomes'!KF30/'C1-Incomes'!KE30*100</f>
        <v>36.831169014686132</v>
      </c>
      <c r="AJ28" s="456">
        <f>'C1-Incomes'!KG30/'C1-Incomes'!KE30*100</f>
        <v>25.909854306027796</v>
      </c>
      <c r="AK28" s="456">
        <f>'C1-Incomes'!KH30/'C1-Incomes'!KE30*100</f>
        <v>11.428825366938751</v>
      </c>
      <c r="AL28" s="456">
        <f>'C1-Incomes'!KI30/'C1-Incomes'!KE30*100</f>
        <v>8.1810307513633642</v>
      </c>
      <c r="AM28" s="456">
        <f>'C1-Incomes'!KJ30/'C1-Incomes'!KE30*100</f>
        <v>4.0406421725684094</v>
      </c>
      <c r="AN28" s="456">
        <f>'C1-Incomes'!KK30/'C1-Incomes'!KE30*100</f>
        <v>1.4934264427692971</v>
      </c>
      <c r="AP28" s="456">
        <f t="shared" si="5"/>
        <v>78.392831704023422</v>
      </c>
      <c r="AQ28" s="456">
        <f>'C1-Incomes'!KN30/'C1-Incomes'!KM30*100</f>
        <v>21.607168295976585</v>
      </c>
      <c r="AR28" s="456">
        <f>'C1-Incomes'!KO30/'C1-Incomes'!KM30*100</f>
        <v>10.575805255977833</v>
      </c>
      <c r="AS28" s="456">
        <f>'C1-Incomes'!KP30/'C1-Incomes'!KM30*100</f>
        <v>1.8375033689383178</v>
      </c>
      <c r="AT28" s="456">
        <f>'C1-Incomes'!KQ30/'C1-Incomes'!KM30*100</f>
        <v>0.89999296798780082</v>
      </c>
      <c r="AU28" s="456">
        <f>'C1-Incomes'!KR30/'C1-Incomes'!KM30*100</f>
        <v>0.17730316044243838</v>
      </c>
      <c r="AV28" s="456">
        <f>'C1-Incomes'!KS30/'C1-Incomes'!KM30*100</f>
        <v>1.8510361545147798E-2</v>
      </c>
      <c r="AW28" s="456"/>
      <c r="AX28" s="456">
        <f t="shared" si="7"/>
        <v>37.087769124418493</v>
      </c>
      <c r="AY28" s="456">
        <f>'C1-Incomes'!LL30/'C1-Incomes'!LK30*100</f>
        <v>62.912230875581507</v>
      </c>
      <c r="AZ28" s="456">
        <f>'C1-Incomes'!LM30/'C1-Incomes'!LK30*100</f>
        <v>51.736121598139171</v>
      </c>
      <c r="BA28" s="456">
        <f>'C1-Incomes'!LN30/'C1-Incomes'!LK30*100</f>
        <v>29.871887093536575</v>
      </c>
      <c r="BB28" s="456">
        <f>'C1-Incomes'!LO30/'C1-Incomes'!LK30*100</f>
        <v>22.37753015599327</v>
      </c>
      <c r="BC28" s="456">
        <f>'C1-Incomes'!LP30/'C1-Incomes'!LK30*100</f>
        <v>12.06842841888548</v>
      </c>
      <c r="BD28" s="456">
        <f>'C1-Incomes'!LQ30/'C1-Incomes'!LK30*100</f>
        <v>5.3792894288825099</v>
      </c>
      <c r="BF28" s="456">
        <f t="shared" si="6"/>
        <v>75.60553102568592</v>
      </c>
      <c r="BG28" s="456">
        <f>'C1-Incomes'!KV30/'C1-Incomes'!KU30*100</f>
        <v>24.394468974314083</v>
      </c>
      <c r="BH28" s="456">
        <f>'C1-Incomes'!KW30/'C1-Incomes'!KU30*100</f>
        <v>13.995729103619039</v>
      </c>
      <c r="BI28" s="456">
        <f>'C1-Incomes'!KX30/'C1-Incomes'!KU30*100</f>
        <v>4.1864343520996421</v>
      </c>
      <c r="BJ28" s="456">
        <f>'C1-Incomes'!KY30/'C1-Incomes'!KU30*100</f>
        <v>2.6734799664857563</v>
      </c>
      <c r="BK28" s="456">
        <f>'C1-Incomes'!KZ30/'C1-Incomes'!KU30*100</f>
        <v>1.1193183465472827</v>
      </c>
      <c r="BL28" s="456">
        <f>'C1-Incomes'!LA30/'C1-Incomes'!KU30*100</f>
        <v>0.37195914482405018</v>
      </c>
    </row>
    <row r="29" spans="1:64" s="452" customFormat="1" ht="12" x14ac:dyDescent="0.25">
      <c r="A29" s="239">
        <v>1983</v>
      </c>
      <c r="B29" s="456">
        <f t="shared" si="0"/>
        <v>64.078088228940857</v>
      </c>
      <c r="C29" s="456">
        <f>SUM('C1-Incomes'!JH31,'C1-Incomes'!JP31,'C1-Incomes'!JX31,'C1-Incomes'!KF31,'C1-Incomes'!KN31,'C1-Incomes'!KV31)/SUM('C1-Incomes'!$JG31,'C1-Incomes'!$JO31,'C1-Incomes'!$JW31,'C1-Incomes'!$KE31,'C1-Incomes'!$KM31,'C1-Incomes'!$KU31)*100</f>
        <v>35.921911771059136</v>
      </c>
      <c r="D29" s="456">
        <f>SUM('C1-Incomes'!JI31,'C1-Incomes'!JQ31,'C1-Incomes'!JY31,'C1-Incomes'!KG31,'C1-Incomes'!KO31,'C1-Incomes'!KW31)/SUM('C1-Incomes'!$JG31,'C1-Incomes'!$JO31,'C1-Incomes'!$JW31,'C1-Incomes'!$KE31,'C1-Incomes'!$KM31,'C1-Incomes'!$KU31)*100</f>
        <v>24.400560061446857</v>
      </c>
      <c r="E29" s="456">
        <f>SUM('C1-Incomes'!JJ31,'C1-Incomes'!JR31,'C1-Incomes'!JZ31,'C1-Incomes'!KH31,'C1-Incomes'!KP31,'C1-Incomes'!KX31)/SUM('C1-Incomes'!$JG31,'C1-Incomes'!$JO31,'C1-Incomes'!$JW31,'C1-Incomes'!$KE31,'C1-Incomes'!$KM31,'C1-Incomes'!$KU31)*100</f>
        <v>10.900932950697577</v>
      </c>
      <c r="F29" s="456">
        <f>SUM('C1-Incomes'!JK31,'C1-Incomes'!JS31,'C1-Incomes'!KA31,'C1-Incomes'!KI31,'C1-Incomes'!KQ31,'C1-Incomes'!KY31)/SUM('C1-Incomes'!$JG31,'C1-Incomes'!$JO31,'C1-Incomes'!$JW31,'C1-Incomes'!$KE31,'C1-Incomes'!$KM31,'C1-Incomes'!$KU31)*100</f>
        <v>8.0888471549516474</v>
      </c>
      <c r="G29" s="456">
        <f>SUM('C1-Incomes'!JL31,'C1-Incomes'!JT31,'C1-Incomes'!KB31,'C1-Incomes'!KJ31,'C1-Incomes'!KR31,'C1-Incomes'!KZ31)/SUM('C1-Incomes'!$JG31,'C1-Incomes'!$JO31,'C1-Incomes'!$JW31,'C1-Incomes'!$KE31,'C1-Incomes'!$KM31,'C1-Incomes'!$KU31)*100</f>
        <v>4.1530839109486033</v>
      </c>
      <c r="H29" s="456">
        <f>SUM('C1-Incomes'!JM31,'C1-Incomes'!JU31,'C1-Incomes'!KC31,'C1-Incomes'!KK31,'C1-Incomes'!KS31,'C1-Incomes'!LA31)/SUM('C1-Incomes'!$JG31,'C1-Incomes'!$JO31,'C1-Incomes'!$JW31,'C1-Incomes'!$KE31,'C1-Incomes'!$KM31,'C1-Incomes'!$KU31)*100</f>
        <v>1.5688736846951934</v>
      </c>
      <c r="I29" s="239"/>
      <c r="J29" s="456">
        <f t="shared" si="1"/>
        <v>49.499338467943474</v>
      </c>
      <c r="K29" s="456">
        <f>'C1-Incomes'!JH31/'C1-Incomes'!JG31*100</f>
        <v>50.500661532056526</v>
      </c>
      <c r="L29" s="456">
        <f>'C1-Incomes'!JI31/'C1-Incomes'!JG31*100</f>
        <v>37.642619133450154</v>
      </c>
      <c r="M29" s="456">
        <f>'C1-Incomes'!JJ31/'C1-Incomes'!JG31*100</f>
        <v>19.766164002861426</v>
      </c>
      <c r="N29" s="456">
        <f>'C1-Incomes'!JK31/'C1-Incomes'!JG31*100</f>
        <v>15.242606228124</v>
      </c>
      <c r="O29" s="456">
        <f>'C1-Incomes'!JL31/'C1-Incomes'!JG31*100</f>
        <v>8.1580769067079189</v>
      </c>
      <c r="P29" s="456">
        <f>'C1-Incomes'!JM31/'C1-Incomes'!JG31*100</f>
        <v>3.1125535069535615</v>
      </c>
      <c r="Q29" s="458"/>
      <c r="R29" s="456">
        <f t="shared" si="2"/>
        <v>52.869174867841643</v>
      </c>
      <c r="S29" s="456">
        <f>'C1-Incomes'!JP31/'C1-Incomes'!JO31*100</f>
        <v>47.130825132158357</v>
      </c>
      <c r="T29" s="456">
        <f>'C1-Incomes'!JQ31/'C1-Incomes'!JO31*100</f>
        <v>33.90196439965888</v>
      </c>
      <c r="U29" s="456">
        <f>'C1-Incomes'!JR31/'C1-Incomes'!JO31*100</f>
        <v>16.319282791098171</v>
      </c>
      <c r="V29" s="456">
        <f>'C1-Incomes'!JS31/'C1-Incomes'!JO31*100</f>
        <v>12.160858344851187</v>
      </c>
      <c r="W29" s="456">
        <f>'C1-Incomes'!JT31/'C1-Incomes'!JO31*100</f>
        <v>6.2511318053541727</v>
      </c>
      <c r="X29" s="456">
        <f>'C1-Incomes'!JU31/'C1-Incomes'!JO31*100</f>
        <v>2.3652741450101473</v>
      </c>
      <c r="Y29" s="458"/>
      <c r="Z29" s="456">
        <f t="shared" si="3"/>
        <v>62.392439091223899</v>
      </c>
      <c r="AA29" s="456">
        <f>'C1-Incomes'!JX31/'C1-Incomes'!JW31*100</f>
        <v>37.607560908776101</v>
      </c>
      <c r="AB29" s="456">
        <f>'C1-Incomes'!JY31/'C1-Incomes'!JW31*100</f>
        <v>27.46819099956338</v>
      </c>
      <c r="AC29" s="456">
        <f>'C1-Incomes'!JZ31/'C1-Incomes'!JW31*100</f>
        <v>14.323582229482529</v>
      </c>
      <c r="AD29" s="456">
        <f>'C1-Incomes'!KA31/'C1-Incomes'!JW31*100</f>
        <v>11.03957375449796</v>
      </c>
      <c r="AE29" s="456">
        <f>'C1-Incomes'!KB31/'C1-Incomes'!JW31*100</f>
        <v>6.101183739592587</v>
      </c>
      <c r="AF29" s="456">
        <f>'C1-Incomes'!KC31/'C1-Incomes'!JW31*100</f>
        <v>2.4514144928409038</v>
      </c>
      <c r="AG29" s="458"/>
      <c r="AH29" s="456">
        <f t="shared" si="4"/>
        <v>63.769523353296876</v>
      </c>
      <c r="AI29" s="456">
        <f>'C1-Incomes'!KF31/'C1-Incomes'!KE31*100</f>
        <v>36.230476646703124</v>
      </c>
      <c r="AJ29" s="456">
        <f>'C1-Incomes'!KG31/'C1-Incomes'!KE31*100</f>
        <v>25.368064636529482</v>
      </c>
      <c r="AK29" s="456">
        <f>'C1-Incomes'!KH31/'C1-Incomes'!KE31*100</f>
        <v>11.380204680323274</v>
      </c>
      <c r="AL29" s="456">
        <f>'C1-Incomes'!KI31/'C1-Incomes'!KE31*100</f>
        <v>8.2627211486968051</v>
      </c>
      <c r="AM29" s="456">
        <f>'C1-Incomes'!KJ31/'C1-Incomes'!KE31*100</f>
        <v>4.1417678476934423</v>
      </c>
      <c r="AN29" s="456">
        <f>'C1-Incomes'!KK31/'C1-Incomes'!KE31*100</f>
        <v>1.5916967660841017</v>
      </c>
      <c r="AP29" s="456">
        <f t="shared" si="5"/>
        <v>77.892872084497199</v>
      </c>
      <c r="AQ29" s="456">
        <f>'C1-Incomes'!KN31/'C1-Incomes'!KM31*100</f>
        <v>22.107127915502804</v>
      </c>
      <c r="AR29" s="456">
        <f>'C1-Incomes'!KO31/'C1-Incomes'!KM31*100</f>
        <v>11.210359511035064</v>
      </c>
      <c r="AS29" s="456">
        <f>'C1-Incomes'!KP31/'C1-Incomes'!KM31*100</f>
        <v>1.9077504471143882</v>
      </c>
      <c r="AT29" s="456">
        <f>'C1-Incomes'!KQ31/'C1-Incomes'!KM31*100</f>
        <v>0.93932451601550415</v>
      </c>
      <c r="AU29" s="456">
        <f>'C1-Incomes'!KR31/'C1-Incomes'!KM31*100</f>
        <v>0.18993099287966259</v>
      </c>
      <c r="AV29" s="456">
        <f>'C1-Incomes'!KS31/'C1-Incomes'!KM31*100</f>
        <v>1.9295101574861345E-2</v>
      </c>
      <c r="AW29" s="456"/>
      <c r="AX29" s="456">
        <f t="shared" si="7"/>
        <v>36.764510809408925</v>
      </c>
      <c r="AY29" s="456">
        <f>'C1-Incomes'!LL31/'C1-Incomes'!LK31*100</f>
        <v>63.235489190591075</v>
      </c>
      <c r="AZ29" s="456">
        <f>'C1-Incomes'!LM31/'C1-Incomes'!LK31*100</f>
        <v>52.276364163932456</v>
      </c>
      <c r="BA29" s="456">
        <f>'C1-Incomes'!LN31/'C1-Incomes'!LK31*100</f>
        <v>30.58331171399276</v>
      </c>
      <c r="BB29" s="456">
        <f>'C1-Incomes'!LO31/'C1-Incomes'!LK31*100</f>
        <v>23.165224417008446</v>
      </c>
      <c r="BC29" s="456">
        <f>'C1-Incomes'!LP31/'C1-Incomes'!LK31*100</f>
        <v>12.567536927985525</v>
      </c>
      <c r="BD29" s="456">
        <f>'C1-Incomes'!LQ31/'C1-Incomes'!LK31*100</f>
        <v>5.54750081893848</v>
      </c>
      <c r="BF29" s="456">
        <f t="shared" si="6"/>
        <v>75.230835552243846</v>
      </c>
      <c r="BG29" s="456">
        <f>'C1-Incomes'!KV31/'C1-Incomes'!KU31*100</f>
        <v>24.769164447756154</v>
      </c>
      <c r="BH29" s="456">
        <f>'C1-Incomes'!KW31/'C1-Incomes'!KU31*100</f>
        <v>14.368249014733875</v>
      </c>
      <c r="BI29" s="456">
        <f>'C1-Incomes'!KX31/'C1-Incomes'!KU31*100</f>
        <v>4.2751671028809941</v>
      </c>
      <c r="BJ29" s="456">
        <f>'C1-Incomes'!KY31/'C1-Incomes'!KU31*100</f>
        <v>2.7461869496626519</v>
      </c>
      <c r="BK29" s="456">
        <f>'C1-Incomes'!KZ31/'C1-Incomes'!KU31*100</f>
        <v>1.1163134130084236</v>
      </c>
      <c r="BL29" s="456">
        <f>'C1-Incomes'!LA31/'C1-Incomes'!KU31*100</f>
        <v>0.36553257933065936</v>
      </c>
    </row>
    <row r="30" spans="1:64" s="452" customFormat="1" ht="12" x14ac:dyDescent="0.25">
      <c r="A30" s="239">
        <v>1984</v>
      </c>
      <c r="B30" s="456">
        <f t="shared" si="0"/>
        <v>64.747425193749038</v>
      </c>
      <c r="C30" s="456">
        <f>SUM('C1-Incomes'!JH32,'C1-Incomes'!JP32,'C1-Incomes'!JX32,'C1-Incomes'!KF32,'C1-Incomes'!KN32,'C1-Incomes'!KV32)/SUM('C1-Incomes'!$JG32,'C1-Incomes'!$JO32,'C1-Incomes'!$JW32,'C1-Incomes'!$KE32,'C1-Incomes'!$KM32,'C1-Incomes'!$KU32)*100</f>
        <v>35.252574806250962</v>
      </c>
      <c r="D30" s="456">
        <f>SUM('C1-Incomes'!JI32,'C1-Incomes'!JQ32,'C1-Incomes'!JY32,'C1-Incomes'!KG32,'C1-Incomes'!KO32,'C1-Incomes'!KW32)/SUM('C1-Incomes'!$JG32,'C1-Incomes'!$JO32,'C1-Incomes'!$JW32,'C1-Incomes'!$KE32,'C1-Incomes'!$KM32,'C1-Incomes'!$KU32)*100</f>
        <v>23.989095503857165</v>
      </c>
      <c r="E30" s="456">
        <f>SUM('C1-Incomes'!JJ32,'C1-Incomes'!JR32,'C1-Incomes'!JZ32,'C1-Incomes'!KH32,'C1-Incomes'!KP32,'C1-Incomes'!KX32)/SUM('C1-Incomes'!$JG32,'C1-Incomes'!$JO32,'C1-Incomes'!$JW32,'C1-Incomes'!$KE32,'C1-Incomes'!$KM32,'C1-Incomes'!$KU32)*100</f>
        <v>10.941493377386424</v>
      </c>
      <c r="F30" s="456">
        <f>SUM('C1-Incomes'!JK32,'C1-Incomes'!JS32,'C1-Incomes'!KA32,'C1-Incomes'!KI32,'C1-Incomes'!KQ32,'C1-Incomes'!KY32)/SUM('C1-Incomes'!$JG32,'C1-Incomes'!$JO32,'C1-Incomes'!$JW32,'C1-Incomes'!$KE32,'C1-Incomes'!$KM32,'C1-Incomes'!$KU32)*100</f>
        <v>8.1422115887216915</v>
      </c>
      <c r="G30" s="456">
        <f>SUM('C1-Incomes'!JL32,'C1-Incomes'!JT32,'C1-Incomes'!KB32,'C1-Incomes'!KJ32,'C1-Incomes'!KR32,'C1-Incomes'!KZ32)/SUM('C1-Incomes'!$JG32,'C1-Incomes'!$JO32,'C1-Incomes'!$JW32,'C1-Incomes'!$KE32,'C1-Incomes'!$KM32,'C1-Incomes'!$KU32)*100</f>
        <v>4.2799751180218681</v>
      </c>
      <c r="H30" s="456">
        <f>SUM('C1-Incomes'!JM32,'C1-Incomes'!JU32,'C1-Incomes'!KC32,'C1-Incomes'!KK32,'C1-Incomes'!KS32,'C1-Incomes'!LA32)/SUM('C1-Incomes'!$JG32,'C1-Incomes'!$JO32,'C1-Incomes'!$JW32,'C1-Incomes'!$KE32,'C1-Incomes'!$KM32,'C1-Incomes'!$KU32)*100</f>
        <v>1.6966934734278738</v>
      </c>
      <c r="I30" s="239"/>
      <c r="J30" s="456">
        <f t="shared" si="1"/>
        <v>49.068220771999115</v>
      </c>
      <c r="K30" s="456">
        <f>'C1-Incomes'!JH32/'C1-Incomes'!JG32*100</f>
        <v>50.931779228000885</v>
      </c>
      <c r="L30" s="456">
        <f>'C1-Incomes'!JI32/'C1-Incomes'!JG32*100</f>
        <v>38.358514055722267</v>
      </c>
      <c r="M30" s="456">
        <f>'C1-Incomes'!JJ32/'C1-Incomes'!JG32*100</f>
        <v>20.778552009372614</v>
      </c>
      <c r="N30" s="456">
        <f>'C1-Incomes'!JK32/'C1-Incomes'!JG32*100</f>
        <v>16.113411485581228</v>
      </c>
      <c r="O30" s="456">
        <f>'C1-Incomes'!JL32/'C1-Incomes'!JG32*100</f>
        <v>8.815392916834746</v>
      </c>
      <c r="P30" s="456">
        <f>'C1-Incomes'!JM32/'C1-Incomes'!JG32*100</f>
        <v>3.6225572324902915</v>
      </c>
      <c r="Q30" s="458"/>
      <c r="R30" s="456">
        <f t="shared" si="2"/>
        <v>52.443702110836767</v>
      </c>
      <c r="S30" s="456">
        <f>'C1-Incomes'!JP32/'C1-Incomes'!JO32*100</f>
        <v>47.556297889163233</v>
      </c>
      <c r="T30" s="456">
        <f>'C1-Incomes'!JQ32/'C1-Incomes'!JO32*100</f>
        <v>34.478285435043453</v>
      </c>
      <c r="U30" s="456">
        <f>'C1-Incomes'!JR32/'C1-Incomes'!JO32*100</f>
        <v>17.417115868000153</v>
      </c>
      <c r="V30" s="456">
        <f>'C1-Incomes'!JS32/'C1-Incomes'!JO32*100</f>
        <v>13.264965434403114</v>
      </c>
      <c r="W30" s="456">
        <f>'C1-Incomes'!JT32/'C1-Incomes'!JO32*100</f>
        <v>7.2367951400565236</v>
      </c>
      <c r="X30" s="456">
        <f>'C1-Incomes'!JU32/'C1-Incomes'!JO32*100</f>
        <v>2.6278653977852477</v>
      </c>
      <c r="Y30" s="458"/>
      <c r="Z30" s="456">
        <f t="shared" si="3"/>
        <v>64.240619291333758</v>
      </c>
      <c r="AA30" s="456">
        <f>'C1-Incomes'!JX32/'C1-Incomes'!JW32*100</f>
        <v>35.759380708666249</v>
      </c>
      <c r="AB30" s="456">
        <f>'C1-Incomes'!JY32/'C1-Incomes'!JW32*100</f>
        <v>25.577216871018816</v>
      </c>
      <c r="AC30" s="456">
        <f>'C1-Incomes'!JZ32/'C1-Incomes'!JW32*100</f>
        <v>13.076601237158952</v>
      </c>
      <c r="AD30" s="456">
        <f>'C1-Incomes'!KA32/'C1-Incomes'!JW32*100</f>
        <v>9.8394218687482358</v>
      </c>
      <c r="AE30" s="456">
        <f>'C1-Incomes'!KB32/'C1-Incomes'!JW32*100</f>
        <v>5.4000615412938613</v>
      </c>
      <c r="AF30" s="456">
        <f>'C1-Incomes'!KC32/'C1-Incomes'!JW32*100</f>
        <v>2.2077369957165827</v>
      </c>
      <c r="AG30" s="458"/>
      <c r="AH30" s="456">
        <f t="shared" si="4"/>
        <v>64.606173006267085</v>
      </c>
      <c r="AI30" s="456">
        <f>'C1-Incomes'!KF32/'C1-Incomes'!KE32*100</f>
        <v>35.393826993732922</v>
      </c>
      <c r="AJ30" s="456">
        <f>'C1-Incomes'!KG32/'C1-Incomes'!KE32*100</f>
        <v>24.815618468255089</v>
      </c>
      <c r="AK30" s="456">
        <f>'C1-Incomes'!KH32/'C1-Incomes'!KE32*100</f>
        <v>11.060288935792828</v>
      </c>
      <c r="AL30" s="456">
        <f>'C1-Incomes'!KI32/'C1-Incomes'!KE32*100</f>
        <v>7.993885490282465</v>
      </c>
      <c r="AM30" s="456">
        <f>'C1-Incomes'!KJ32/'C1-Incomes'!KE32*100</f>
        <v>4.1036309480472424</v>
      </c>
      <c r="AN30" s="456">
        <f>'C1-Incomes'!KK32/'C1-Incomes'!KE32*100</f>
        <v>1.6438455856335941</v>
      </c>
      <c r="AP30" s="456">
        <f t="shared" si="5"/>
        <v>78.920809834623299</v>
      </c>
      <c r="AQ30" s="456">
        <f>'C1-Incomes'!KN32/'C1-Incomes'!KM32*100</f>
        <v>21.079190165376705</v>
      </c>
      <c r="AR30" s="456">
        <f>'C1-Incomes'!KO32/'C1-Incomes'!KM32*100</f>
        <v>10.622155726757896</v>
      </c>
      <c r="AS30" s="456">
        <f>'C1-Incomes'!KP32/'C1-Incomes'!KM32*100</f>
        <v>1.8082099840290407</v>
      </c>
      <c r="AT30" s="456">
        <f>'C1-Incomes'!KQ32/'C1-Incomes'!KM32*100</f>
        <v>0.88798177368794406</v>
      </c>
      <c r="AU30" s="456">
        <f>'C1-Incomes'!KR32/'C1-Incomes'!KM32*100</f>
        <v>0.17699882389540805</v>
      </c>
      <c r="AV30" s="456">
        <f>'C1-Incomes'!KS32/'C1-Incomes'!KM32*100</f>
        <v>1.9386185671315285E-2</v>
      </c>
      <c r="AW30" s="456"/>
      <c r="AX30" s="456">
        <f t="shared" si="7"/>
        <v>36.932549496052623</v>
      </c>
      <c r="AY30" s="456">
        <f>'C1-Incomes'!LL32/'C1-Incomes'!LK32*100</f>
        <v>63.067450503947377</v>
      </c>
      <c r="AZ30" s="456">
        <f>'C1-Incomes'!LM32/'C1-Incomes'!LK32*100</f>
        <v>52.222739765669857</v>
      </c>
      <c r="BA30" s="456">
        <f>'C1-Incomes'!LN32/'C1-Incomes'!LK32*100</f>
        <v>30.824719332655505</v>
      </c>
      <c r="BB30" s="456">
        <f>'C1-Incomes'!LO32/'C1-Incomes'!LK32*100</f>
        <v>23.321961791507178</v>
      </c>
      <c r="BC30" s="456">
        <f>'C1-Incomes'!LP32/'C1-Incomes'!LK32*100</f>
        <v>12.599820885406698</v>
      </c>
      <c r="BD30" s="456">
        <f>'C1-Incomes'!LQ32/'C1-Incomes'!LK32*100</f>
        <v>5.6277041007177031</v>
      </c>
      <c r="BF30" s="456">
        <f t="shared" si="6"/>
        <v>75.08150625738017</v>
      </c>
      <c r="BG30" s="456">
        <f>'C1-Incomes'!KV32/'C1-Incomes'!KU32*100</f>
        <v>24.918493742619823</v>
      </c>
      <c r="BH30" s="456">
        <f>'C1-Incomes'!KW32/'C1-Incomes'!KU32*100</f>
        <v>14.454197728167294</v>
      </c>
      <c r="BI30" s="456">
        <f>'C1-Incomes'!KX32/'C1-Incomes'!KU32*100</f>
        <v>4.4259105462087343</v>
      </c>
      <c r="BJ30" s="456">
        <f>'C1-Incomes'!KY32/'C1-Incomes'!KU32*100</f>
        <v>2.8547144146826398</v>
      </c>
      <c r="BK30" s="456">
        <f>'C1-Incomes'!KZ32/'C1-Incomes'!KU32*100</f>
        <v>1.2087569921177195</v>
      </c>
      <c r="BL30" s="456">
        <f>'C1-Incomes'!LA32/'C1-Incomes'!KU32*100</f>
        <v>0.39468429725583604</v>
      </c>
    </row>
    <row r="31" spans="1:64" s="452" customFormat="1" ht="12" x14ac:dyDescent="0.25">
      <c r="A31" s="239">
        <v>1985</v>
      </c>
      <c r="B31" s="456">
        <f t="shared" si="0"/>
        <v>64.219647521949298</v>
      </c>
      <c r="C31" s="456">
        <f>SUM('C1-Incomes'!JH33,'C1-Incomes'!JP33,'C1-Incomes'!JX33,'C1-Incomes'!KF33,'C1-Incomes'!KN33,'C1-Incomes'!KV33)/SUM('C1-Incomes'!$JG33,'C1-Incomes'!$JO33,'C1-Incomes'!$JW33,'C1-Incomes'!$KE33,'C1-Incomes'!$KM33,'C1-Incomes'!$KU33)*100</f>
        <v>35.780352478050709</v>
      </c>
      <c r="D31" s="456">
        <f>SUM('C1-Incomes'!JI33,'C1-Incomes'!JQ33,'C1-Incomes'!JY33,'C1-Incomes'!KG33,'C1-Incomes'!KO33,'C1-Incomes'!KW33)/SUM('C1-Incomes'!$JG33,'C1-Incomes'!$JO33,'C1-Incomes'!$JW33,'C1-Incomes'!$KE33,'C1-Incomes'!$KM33,'C1-Incomes'!$KU33)*100</f>
        <v>24.579566357067577</v>
      </c>
      <c r="E31" s="456">
        <f>SUM('C1-Incomes'!JJ33,'C1-Incomes'!JR33,'C1-Incomes'!JZ33,'C1-Incomes'!KH33,'C1-Incomes'!KP33,'C1-Incomes'!KX33)/SUM('C1-Incomes'!$JG33,'C1-Incomes'!$JO33,'C1-Incomes'!$JW33,'C1-Incomes'!$KE33,'C1-Incomes'!$KM33,'C1-Incomes'!$KU33)*100</f>
        <v>11.455761890301348</v>
      </c>
      <c r="F31" s="456">
        <f>SUM('C1-Incomes'!JK33,'C1-Incomes'!JS33,'C1-Incomes'!KA33,'C1-Incomes'!KI33,'C1-Incomes'!KQ33,'C1-Incomes'!KY33)/SUM('C1-Incomes'!$JG33,'C1-Incomes'!$JO33,'C1-Incomes'!$JW33,'C1-Incomes'!$KE33,'C1-Incomes'!$KM33,'C1-Incomes'!$KU33)*100</f>
        <v>8.647052300766795</v>
      </c>
      <c r="G31" s="456">
        <f>SUM('C1-Incomes'!JL33,'C1-Incomes'!JT33,'C1-Incomes'!KB33,'C1-Incomes'!KJ33,'C1-Incomes'!KR33,'C1-Incomes'!KZ33)/SUM('C1-Incomes'!$JG33,'C1-Incomes'!$JO33,'C1-Incomes'!$JW33,'C1-Incomes'!$KE33,'C1-Incomes'!$KM33,'C1-Incomes'!$KU33)*100</f>
        <v>4.6867948055355733</v>
      </c>
      <c r="H31" s="456">
        <f>SUM('C1-Incomes'!JM33,'C1-Incomes'!JU33,'C1-Incomes'!KC33,'C1-Incomes'!KK33,'C1-Incomes'!KS33,'C1-Incomes'!LA33)/SUM('C1-Incomes'!$JG33,'C1-Incomes'!$JO33,'C1-Incomes'!$JW33,'C1-Incomes'!$KE33,'C1-Incomes'!$KM33,'C1-Incomes'!$KU33)*100</f>
        <v>1.7708521980708731</v>
      </c>
      <c r="I31" s="239"/>
      <c r="J31" s="456">
        <f t="shared" si="1"/>
        <v>48.071507026665337</v>
      </c>
      <c r="K31" s="456">
        <f>'C1-Incomes'!JH33/'C1-Incomes'!JG33*100</f>
        <v>51.928492973334663</v>
      </c>
      <c r="L31" s="456">
        <f>'C1-Incomes'!JI33/'C1-Incomes'!JG33*100</f>
        <v>39.354173061315777</v>
      </c>
      <c r="M31" s="456">
        <f>'C1-Incomes'!JJ33/'C1-Incomes'!JG33*100</f>
        <v>21.687921416250408</v>
      </c>
      <c r="N31" s="456">
        <f>'C1-Incomes'!JK33/'C1-Incomes'!JG33*100</f>
        <v>16.953180199215826</v>
      </c>
      <c r="O31" s="456">
        <f>'C1-Incomes'!JL33/'C1-Incomes'!JG33*100</f>
        <v>9.5877937032224807</v>
      </c>
      <c r="P31" s="456">
        <f>'C1-Incomes'!JM33/'C1-Incomes'!JG33*100</f>
        <v>3.6709607850188677</v>
      </c>
      <c r="Q31" s="458"/>
      <c r="R31" s="456">
        <f t="shared" si="2"/>
        <v>49.201710840955862</v>
      </c>
      <c r="S31" s="456">
        <f>'C1-Incomes'!JP33/'C1-Incomes'!JO33*100</f>
        <v>50.798289159044138</v>
      </c>
      <c r="T31" s="456">
        <f>'C1-Incomes'!JQ33/'C1-Incomes'!JO33*100</f>
        <v>37.438018541791315</v>
      </c>
      <c r="U31" s="456">
        <f>'C1-Incomes'!JR33/'C1-Incomes'!JO33*100</f>
        <v>19.325631630144553</v>
      </c>
      <c r="V31" s="456">
        <f>'C1-Incomes'!JS33/'C1-Incomes'!JO33*100</f>
        <v>15.022269153551324</v>
      </c>
      <c r="W31" s="456">
        <f>'C1-Incomes'!JT33/'C1-Incomes'!JO33*100</f>
        <v>8.4099970264357751</v>
      </c>
      <c r="X31" s="456">
        <f>'C1-Incomes'!JU33/'C1-Incomes'!JO33*100</f>
        <v>3.047662926205521</v>
      </c>
      <c r="Y31" s="458"/>
      <c r="Z31" s="456">
        <f t="shared" si="3"/>
        <v>63.944002168851853</v>
      </c>
      <c r="AA31" s="456">
        <f>'C1-Incomes'!JX33/'C1-Incomes'!JW33*100</f>
        <v>36.055997831148147</v>
      </c>
      <c r="AB31" s="456">
        <f>'C1-Incomes'!JY33/'C1-Incomes'!JW33*100</f>
        <v>25.856335755422126</v>
      </c>
      <c r="AC31" s="456">
        <f>'C1-Incomes'!JZ33/'C1-Incomes'!JW33*100</f>
        <v>13.23527071437324</v>
      </c>
      <c r="AD31" s="456">
        <f>'C1-Incomes'!KA33/'C1-Incomes'!JW33*100</f>
        <v>10.31111809459625</v>
      </c>
      <c r="AE31" s="456">
        <f>'C1-Incomes'!KB33/'C1-Incomes'!JW33*100</f>
        <v>5.7667355728464651</v>
      </c>
      <c r="AF31" s="456">
        <f>'C1-Incomes'!KC33/'C1-Incomes'!JW33*100</f>
        <v>2.3575021186129148</v>
      </c>
      <c r="AG31" s="458"/>
      <c r="AH31" s="456">
        <f t="shared" si="4"/>
        <v>64.604367743151755</v>
      </c>
      <c r="AI31" s="456">
        <f>'C1-Incomes'!KF33/'C1-Incomes'!KE33*100</f>
        <v>35.395632256848238</v>
      </c>
      <c r="AJ31" s="456">
        <f>'C1-Incomes'!KG33/'C1-Incomes'!KE33*100</f>
        <v>24.910944172235919</v>
      </c>
      <c r="AK31" s="456">
        <f>'C1-Incomes'!KH33/'C1-Incomes'!KE33*100</f>
        <v>11.408295510492424</v>
      </c>
      <c r="AL31" s="456">
        <f>'C1-Incomes'!KI33/'C1-Incomes'!KE33*100</f>
        <v>8.4305898067176042</v>
      </c>
      <c r="AM31" s="456">
        <f>'C1-Incomes'!KJ33/'C1-Incomes'!KE33*100</f>
        <v>4.3461553593395621</v>
      </c>
      <c r="AN31" s="456">
        <f>'C1-Incomes'!KK33/'C1-Incomes'!KE33*100</f>
        <v>1.7038818585669837</v>
      </c>
      <c r="AP31" s="456">
        <f t="shared" si="5"/>
        <v>79.245071911663615</v>
      </c>
      <c r="AQ31" s="456">
        <f>'C1-Incomes'!KN33/'C1-Incomes'!KM33*100</f>
        <v>20.754928088336392</v>
      </c>
      <c r="AR31" s="456">
        <f>'C1-Incomes'!KO33/'C1-Incomes'!KM33*100</f>
        <v>10.53514781257253</v>
      </c>
      <c r="AS31" s="456">
        <f>'C1-Incomes'!KP33/'C1-Incomes'!KM33*100</f>
        <v>1.8500813720732572</v>
      </c>
      <c r="AT31" s="456">
        <f>'C1-Incomes'!KQ33/'C1-Incomes'!KM33*100</f>
        <v>0.9002156908770671</v>
      </c>
      <c r="AU31" s="456">
        <f>'C1-Incomes'!KR33/'C1-Incomes'!KM33*100</f>
        <v>0.19215973237729156</v>
      </c>
      <c r="AV31" s="456">
        <f>'C1-Incomes'!KS33/'C1-Incomes'!KM33*100</f>
        <v>1.7221323503687522E-2</v>
      </c>
      <c r="AW31" s="456"/>
      <c r="AX31" s="456">
        <f t="shared" si="7"/>
        <v>36.311788133199016</v>
      </c>
      <c r="AY31" s="456">
        <f>'C1-Incomes'!LL33/'C1-Incomes'!LK33*100</f>
        <v>63.688211866800984</v>
      </c>
      <c r="AZ31" s="456">
        <f>'C1-Incomes'!LM33/'C1-Incomes'!LK33*100</f>
        <v>53.035174198791132</v>
      </c>
      <c r="BA31" s="456">
        <f>'C1-Incomes'!LN33/'C1-Incomes'!LK33*100</f>
        <v>31.942306616521154</v>
      </c>
      <c r="BB31" s="456">
        <f>'C1-Incomes'!LO33/'C1-Incomes'!LK33*100</f>
        <v>24.542546459816428</v>
      </c>
      <c r="BC31" s="456">
        <f>'C1-Incomes'!LP33/'C1-Incomes'!LK33*100</f>
        <v>13.750746851802104</v>
      </c>
      <c r="BD31" s="456">
        <f>'C1-Incomes'!LQ33/'C1-Incomes'!LK33*100</f>
        <v>5.6459873244907097</v>
      </c>
      <c r="BF31" s="456">
        <f t="shared" si="6"/>
        <v>75.278970137150679</v>
      </c>
      <c r="BG31" s="456">
        <f>'C1-Incomes'!KV33/'C1-Incomes'!KU33*100</f>
        <v>24.721029862849321</v>
      </c>
      <c r="BH31" s="456">
        <f>'C1-Incomes'!KW33/'C1-Incomes'!KU33*100</f>
        <v>14.406855401186828</v>
      </c>
      <c r="BI31" s="456">
        <f>'C1-Incomes'!KX33/'C1-Incomes'!KU33*100</f>
        <v>4.4015550308893703</v>
      </c>
      <c r="BJ31" s="456">
        <f>'C1-Incomes'!KY33/'C1-Incomes'!KU33*100</f>
        <v>2.865260620037311</v>
      </c>
      <c r="BK31" s="456">
        <f>'C1-Incomes'!KZ33/'C1-Incomes'!KU33*100</f>
        <v>1.2593340664285513</v>
      </c>
      <c r="BL31" s="456">
        <f>'C1-Incomes'!LA33/'C1-Incomes'!KU33*100</f>
        <v>0.41563674602281786</v>
      </c>
    </row>
    <row r="32" spans="1:64" s="452" customFormat="1" ht="12" x14ac:dyDescent="0.25">
      <c r="A32" s="239">
        <v>1986</v>
      </c>
      <c r="B32" s="456">
        <f t="shared" si="0"/>
        <v>63.209115312364681</v>
      </c>
      <c r="C32" s="456">
        <f>SUM('C1-Incomes'!JH34,'C1-Incomes'!JP34,'C1-Incomes'!JX34,'C1-Incomes'!KF34,'C1-Incomes'!KN34,'C1-Incomes'!KV34)/SUM('C1-Incomes'!$JG34,'C1-Incomes'!$JO34,'C1-Incomes'!$JW34,'C1-Incomes'!$KE34,'C1-Incomes'!$KM34,'C1-Incomes'!$KU34)*100</f>
        <v>36.790884687635319</v>
      </c>
      <c r="D32" s="456">
        <f>SUM('C1-Incomes'!JI34,'C1-Incomes'!JQ34,'C1-Incomes'!JY34,'C1-Incomes'!KG34,'C1-Incomes'!KO34,'C1-Incomes'!KW34)/SUM('C1-Incomes'!$JG34,'C1-Incomes'!$JO34,'C1-Incomes'!$JW34,'C1-Incomes'!$KE34,'C1-Incomes'!$KM34,'C1-Incomes'!$KU34)*100</f>
        <v>25.483457221415978</v>
      </c>
      <c r="E32" s="456">
        <f>SUM('C1-Incomes'!JJ34,'C1-Incomes'!JR34,'C1-Incomes'!JZ34,'C1-Incomes'!KH34,'C1-Incomes'!KP34,'C1-Incomes'!KX34)/SUM('C1-Incomes'!$JG34,'C1-Incomes'!$JO34,'C1-Incomes'!$JW34,'C1-Incomes'!$KE34,'C1-Incomes'!$KM34,'C1-Incomes'!$KU34)*100</f>
        <v>12.232962538186976</v>
      </c>
      <c r="F32" s="456">
        <f>SUM('C1-Incomes'!JK34,'C1-Incomes'!JS34,'C1-Incomes'!KA34,'C1-Incomes'!KI34,'C1-Incomes'!KQ34,'C1-Incomes'!KY34)/SUM('C1-Incomes'!$JG34,'C1-Incomes'!$JO34,'C1-Incomes'!$JW34,'C1-Incomes'!$KE34,'C1-Incomes'!$KM34,'C1-Incomes'!$KU34)*100</f>
        <v>9.2910734407555289</v>
      </c>
      <c r="G32" s="456">
        <f>SUM('C1-Incomes'!JL34,'C1-Incomes'!JT34,'C1-Incomes'!KB34,'C1-Incomes'!KJ34,'C1-Incomes'!KR34,'C1-Incomes'!KZ34)/SUM('C1-Incomes'!$JG34,'C1-Incomes'!$JO34,'C1-Incomes'!$JW34,'C1-Incomes'!$KE34,'C1-Incomes'!$KM34,'C1-Incomes'!$KU34)*100</f>
        <v>5.0633806879149521</v>
      </c>
      <c r="H32" s="456">
        <f>SUM('C1-Incomes'!JM34,'C1-Incomes'!JU34,'C1-Incomes'!KC34,'C1-Incomes'!KK34,'C1-Incomes'!KS34,'C1-Incomes'!LA34)/SUM('C1-Incomes'!$JG34,'C1-Incomes'!$JO34,'C1-Incomes'!$JW34,'C1-Incomes'!$KE34,'C1-Incomes'!$KM34,'C1-Incomes'!$KU34)*100</f>
        <v>1.9341465232042145</v>
      </c>
      <c r="I32" s="239"/>
      <c r="J32" s="456">
        <f t="shared" si="1"/>
        <v>45.76760325034752</v>
      </c>
      <c r="K32" s="456">
        <f>'C1-Incomes'!JH34/'C1-Incomes'!JG34*100</f>
        <v>54.23239674965248</v>
      </c>
      <c r="L32" s="456">
        <f>'C1-Incomes'!JI34/'C1-Incomes'!JG34*100</f>
        <v>41.996988815996488</v>
      </c>
      <c r="M32" s="456">
        <f>'C1-Incomes'!JJ34/'C1-Incomes'!JG34*100</f>
        <v>24.128979615908364</v>
      </c>
      <c r="N32" s="456">
        <f>'C1-Incomes'!JK34/'C1-Incomes'!JG34*100</f>
        <v>19.100614775182169</v>
      </c>
      <c r="O32" s="456">
        <f>'C1-Incomes'!JL34/'C1-Incomes'!JG34*100</f>
        <v>10.87180318712972</v>
      </c>
      <c r="P32" s="456">
        <f>'C1-Incomes'!JM34/'C1-Incomes'!JG34*100</f>
        <v>4.3024661222792142</v>
      </c>
      <c r="Q32" s="458"/>
      <c r="R32" s="456">
        <f t="shared" si="2"/>
        <v>47.744466445296531</v>
      </c>
      <c r="S32" s="456">
        <f>'C1-Incomes'!JP34/'C1-Incomes'!JO34*100</f>
        <v>52.255533554703469</v>
      </c>
      <c r="T32" s="456">
        <f>'C1-Incomes'!JQ34/'C1-Incomes'!JO34*100</f>
        <v>38.891764536077098</v>
      </c>
      <c r="U32" s="456">
        <f>'C1-Incomes'!JR34/'C1-Incomes'!JO34*100</f>
        <v>20.716763526586988</v>
      </c>
      <c r="V32" s="456">
        <f>'C1-Incomes'!JS34/'C1-Incomes'!JO34*100</f>
        <v>16.126005782381672</v>
      </c>
      <c r="W32" s="456">
        <f>'C1-Incomes'!JT34/'C1-Incomes'!JO34*100</f>
        <v>9.3851979779821111</v>
      </c>
      <c r="X32" s="456">
        <f>'C1-Incomes'!JU34/'C1-Incomes'!JO34*100</f>
        <v>3.400066226961985</v>
      </c>
      <c r="Y32" s="458"/>
      <c r="Z32" s="456">
        <f t="shared" si="3"/>
        <v>63.865283538875161</v>
      </c>
      <c r="AA32" s="456">
        <f>'C1-Incomes'!JX34/'C1-Incomes'!JW34*100</f>
        <v>36.134716461124839</v>
      </c>
      <c r="AB32" s="456">
        <f>'C1-Incomes'!JY34/'C1-Incomes'!JW34*100</f>
        <v>25.893849854687552</v>
      </c>
      <c r="AC32" s="456">
        <f>'C1-Incomes'!JZ34/'C1-Incomes'!JW34*100</f>
        <v>13.345340194403022</v>
      </c>
      <c r="AD32" s="456">
        <f>'C1-Incomes'!KA34/'C1-Incomes'!JW34*100</f>
        <v>10.262419149677266</v>
      </c>
      <c r="AE32" s="456">
        <f>'C1-Incomes'!KB34/'C1-Incomes'!JW34*100</f>
        <v>5.8592130030150971</v>
      </c>
      <c r="AF32" s="456">
        <f>'C1-Incomes'!KC34/'C1-Incomes'!JW34*100</f>
        <v>2.0858861109599327</v>
      </c>
      <c r="AG32" s="458"/>
      <c r="AH32" s="456">
        <f t="shared" si="4"/>
        <v>64.480923428019651</v>
      </c>
      <c r="AI32" s="456">
        <f>'C1-Incomes'!KF34/'C1-Incomes'!KE34*100</f>
        <v>35.519076571980342</v>
      </c>
      <c r="AJ32" s="456">
        <f>'C1-Incomes'!KG34/'C1-Incomes'!KE34*100</f>
        <v>24.827353763987539</v>
      </c>
      <c r="AK32" s="456">
        <f>'C1-Incomes'!KH34/'C1-Incomes'!KE34*100</f>
        <v>11.310141065350521</v>
      </c>
      <c r="AL32" s="456">
        <f>'C1-Incomes'!KI34/'C1-Incomes'!KE34*100</f>
        <v>8.2147063721700562</v>
      </c>
      <c r="AM32" s="456">
        <f>'C1-Incomes'!KJ34/'C1-Incomes'!KE34*100</f>
        <v>4.1457029673843362</v>
      </c>
      <c r="AN32" s="456">
        <f>'C1-Incomes'!KK34/'C1-Incomes'!KE34*100</f>
        <v>1.540470668795545</v>
      </c>
      <c r="AP32" s="456">
        <f t="shared" si="5"/>
        <v>78.140832681385874</v>
      </c>
      <c r="AQ32" s="456">
        <f>'C1-Incomes'!KN34/'C1-Incomes'!KM34*100</f>
        <v>21.85916731861413</v>
      </c>
      <c r="AR32" s="456">
        <f>'C1-Incomes'!KO34/'C1-Incomes'!KM34*100</f>
        <v>11.014061625289639</v>
      </c>
      <c r="AS32" s="456">
        <f>'C1-Incomes'!KP34/'C1-Incomes'!KM34*100</f>
        <v>1.9497177837298727</v>
      </c>
      <c r="AT32" s="456">
        <f>'C1-Incomes'!KQ34/'C1-Incomes'!KM34*100</f>
        <v>0.95551759929266233</v>
      </c>
      <c r="AU32" s="456">
        <f>'C1-Incomes'!KR34/'C1-Incomes'!KM34*100</f>
        <v>0.16746001859818321</v>
      </c>
      <c r="AV32" s="456">
        <f>'C1-Incomes'!KS34/'C1-Incomes'!KM34*100</f>
        <v>2.0285897543174339E-2</v>
      </c>
      <c r="AW32" s="456"/>
      <c r="AX32" s="456">
        <f t="shared" si="7"/>
        <v>36.409246513723915</v>
      </c>
      <c r="AY32" s="456">
        <f>'C1-Incomes'!LL34/'C1-Incomes'!LK34*100</f>
        <v>63.590753486276085</v>
      </c>
      <c r="AZ32" s="456">
        <f>'C1-Incomes'!LM34/'C1-Incomes'!LK34*100</f>
        <v>53.129425103203907</v>
      </c>
      <c r="BA32" s="456">
        <f>'C1-Incomes'!LN34/'C1-Incomes'!LK34*100</f>
        <v>32.35048179548857</v>
      </c>
      <c r="BB32" s="456">
        <f>'C1-Incomes'!LO34/'C1-Incomes'!LK34*100</f>
        <v>25.056665596965765</v>
      </c>
      <c r="BC32" s="456">
        <f>'C1-Incomes'!LP34/'C1-Incomes'!LK34*100</f>
        <v>13.550760180257512</v>
      </c>
      <c r="BD32" s="456">
        <f>'C1-Incomes'!LQ34/'C1-Incomes'!LK34*100</f>
        <v>5.5349801122866555</v>
      </c>
      <c r="BF32" s="456">
        <f t="shared" si="6"/>
        <v>75.461784617076148</v>
      </c>
      <c r="BG32" s="456">
        <f>'C1-Incomes'!KV34/'C1-Incomes'!KU34*100</f>
        <v>24.538215382923845</v>
      </c>
      <c r="BH32" s="456">
        <f>'C1-Incomes'!KW34/'C1-Incomes'!KU34*100</f>
        <v>14.047459215414992</v>
      </c>
      <c r="BI32" s="456">
        <f>'C1-Incomes'!KX34/'C1-Incomes'!KU34*100</f>
        <v>4.1162908938478386</v>
      </c>
      <c r="BJ32" s="456">
        <f>'C1-Incomes'!KY34/'C1-Incomes'!KU34*100</f>
        <v>2.6036800399485065</v>
      </c>
      <c r="BK32" s="456">
        <f>'C1-Incomes'!KZ34/'C1-Incomes'!KU34*100</f>
        <v>1.0082954792217369</v>
      </c>
      <c r="BL32" s="456">
        <f>'C1-Incomes'!LA34/'C1-Incomes'!KU34*100</f>
        <v>0.35656515949624568</v>
      </c>
    </row>
    <row r="33" spans="1:64" s="452" customFormat="1" ht="12" x14ac:dyDescent="0.25">
      <c r="A33" s="239">
        <v>1987</v>
      </c>
      <c r="B33" s="456">
        <f t="shared" si="0"/>
        <v>62.668620742227503</v>
      </c>
      <c r="C33" s="456">
        <f>SUM('C1-Incomes'!JH35,'C1-Incomes'!JP35,'C1-Incomes'!JX35,'C1-Incomes'!KF35,'C1-Incomes'!KN35,'C1-Incomes'!KV35)/SUM('C1-Incomes'!$JG35,'C1-Incomes'!$JO35,'C1-Incomes'!$JW35,'C1-Incomes'!$KE35,'C1-Incomes'!$KM35,'C1-Incomes'!$KU35)*100</f>
        <v>37.331379257772497</v>
      </c>
      <c r="D33" s="456">
        <f>SUM('C1-Incomes'!JI35,'C1-Incomes'!JQ35,'C1-Incomes'!JY35,'C1-Incomes'!KG35,'C1-Incomes'!KO35,'C1-Incomes'!KW35)/SUM('C1-Incomes'!$JG35,'C1-Incomes'!$JO35,'C1-Incomes'!$JW35,'C1-Incomes'!$KE35,'C1-Incomes'!$KM35,'C1-Incomes'!$KU35)*100</f>
        <v>26.021611003680356</v>
      </c>
      <c r="E33" s="456">
        <f>SUM('C1-Incomes'!JJ35,'C1-Incomes'!JR35,'C1-Incomes'!JZ35,'C1-Incomes'!KH35,'C1-Incomes'!KP35,'C1-Incomes'!KX35)/SUM('C1-Incomes'!$JG35,'C1-Incomes'!$JO35,'C1-Incomes'!$JW35,'C1-Incomes'!$KE35,'C1-Incomes'!$KM35,'C1-Incomes'!$KU35)*100</f>
        <v>12.287533363890258</v>
      </c>
      <c r="F33" s="456">
        <f>SUM('C1-Incomes'!JK35,'C1-Incomes'!JS35,'C1-Incomes'!KA35,'C1-Incomes'!KI35,'C1-Incomes'!KQ35,'C1-Incomes'!KY35)/SUM('C1-Incomes'!$JG35,'C1-Incomes'!$JO35,'C1-Incomes'!$JW35,'C1-Incomes'!$KE35,'C1-Incomes'!$KM35,'C1-Incomes'!$KU35)*100</f>
        <v>9.1654219922829796</v>
      </c>
      <c r="G33" s="456">
        <f>SUM('C1-Incomes'!JL35,'C1-Incomes'!JT35,'C1-Incomes'!KB35,'C1-Incomes'!KJ35,'C1-Incomes'!KR35,'C1-Incomes'!KZ35)/SUM('C1-Incomes'!$JG35,'C1-Incomes'!$JO35,'C1-Incomes'!$JW35,'C1-Incomes'!$KE35,'C1-Incomes'!$KM35,'C1-Incomes'!$KU35)*100</f>
        <v>4.8005903583673737</v>
      </c>
      <c r="H33" s="456">
        <f>SUM('C1-Incomes'!JM35,'C1-Incomes'!JU35,'C1-Incomes'!KC35,'C1-Incomes'!KK35,'C1-Incomes'!KS35,'C1-Incomes'!LA35)/SUM('C1-Incomes'!$JG35,'C1-Incomes'!$JO35,'C1-Incomes'!$JW35,'C1-Incomes'!$KE35,'C1-Incomes'!$KM35,'C1-Incomes'!$KU35)*100</f>
        <v>1.854364525253589</v>
      </c>
      <c r="I33" s="239"/>
      <c r="J33" s="456">
        <f t="shared" si="1"/>
        <v>44.860084303204097</v>
      </c>
      <c r="K33" s="456">
        <f>'C1-Incomes'!JH35/'C1-Incomes'!JG35*100</f>
        <v>55.139915696795903</v>
      </c>
      <c r="L33" s="456">
        <f>'C1-Incomes'!JI35/'C1-Incomes'!JG35*100</f>
        <v>42.413205738148996</v>
      </c>
      <c r="M33" s="456">
        <f>'C1-Incomes'!JJ35/'C1-Incomes'!JG35*100</f>
        <v>23.179463153280913</v>
      </c>
      <c r="N33" s="456">
        <f>'C1-Incomes'!JK35/'C1-Incomes'!JG35*100</f>
        <v>17.765915040451393</v>
      </c>
      <c r="O33" s="456">
        <f>'C1-Incomes'!JL35/'C1-Incomes'!JG35*100</f>
        <v>9.542068759824156</v>
      </c>
      <c r="P33" s="456">
        <f>'C1-Incomes'!JM35/'C1-Incomes'!JG35*100</f>
        <v>3.6746232642802612</v>
      </c>
      <c r="Q33" s="458"/>
      <c r="R33" s="456">
        <f t="shared" si="2"/>
        <v>47.251797356879443</v>
      </c>
      <c r="S33" s="456">
        <f>'C1-Incomes'!JP35/'C1-Incomes'!JO35*100</f>
        <v>52.748202643120557</v>
      </c>
      <c r="T33" s="456">
        <f>'C1-Incomes'!JQ35/'C1-Incomes'!JO35*100</f>
        <v>40.289829511743974</v>
      </c>
      <c r="U33" s="456">
        <f>'C1-Incomes'!JR35/'C1-Incomes'!JO35*100</f>
        <v>22.131528752079479</v>
      </c>
      <c r="V33" s="456">
        <f>'C1-Incomes'!JS35/'C1-Incomes'!JO35*100</f>
        <v>17.307432322386255</v>
      </c>
      <c r="W33" s="456">
        <f>'C1-Incomes'!JT35/'C1-Incomes'!JO35*100</f>
        <v>9.5853686699473002</v>
      </c>
      <c r="X33" s="456">
        <f>'C1-Incomes'!JU35/'C1-Incomes'!JO35*100</f>
        <v>3.8725675031119482</v>
      </c>
      <c r="Y33" s="458"/>
      <c r="Z33" s="456">
        <f t="shared" si="3"/>
        <v>65.762504383240753</v>
      </c>
      <c r="AA33" s="456">
        <f>'C1-Incomes'!JX35/'C1-Incomes'!JW35*100</f>
        <v>34.23749561675924</v>
      </c>
      <c r="AB33" s="456">
        <f>'C1-Incomes'!JY35/'C1-Incomes'!JW35*100</f>
        <v>24.204199650405496</v>
      </c>
      <c r="AC33" s="456">
        <f>'C1-Incomes'!JZ35/'C1-Incomes'!JW35*100</f>
        <v>11.907605357491438</v>
      </c>
      <c r="AD33" s="456">
        <f>'C1-Incomes'!KA35/'C1-Incomes'!JW35*100</f>
        <v>8.9162882468811553</v>
      </c>
      <c r="AE33" s="456">
        <f>'C1-Incomes'!KB35/'C1-Incomes'!JW35*100</f>
        <v>4.7786054000816316</v>
      </c>
      <c r="AF33" s="456">
        <f>'C1-Incomes'!KC35/'C1-Incomes'!JW35*100</f>
        <v>1.9400823641106635</v>
      </c>
      <c r="AG33" s="458"/>
      <c r="AH33" s="456">
        <f t="shared" si="4"/>
        <v>64.713690742117677</v>
      </c>
      <c r="AI33" s="456">
        <f>'C1-Incomes'!KF35/'C1-Incomes'!KE35*100</f>
        <v>35.28630925788233</v>
      </c>
      <c r="AJ33" s="456">
        <f>'C1-Incomes'!KG35/'C1-Incomes'!KE35*100</f>
        <v>24.488033633386593</v>
      </c>
      <c r="AK33" s="456">
        <f>'C1-Incomes'!KH35/'C1-Incomes'!KE35*100</f>
        <v>10.896028578886586</v>
      </c>
      <c r="AL33" s="456">
        <f>'C1-Incomes'!KI35/'C1-Incomes'!KE35*100</f>
        <v>7.8675581726281818</v>
      </c>
      <c r="AM33" s="456">
        <f>'C1-Incomes'!KJ35/'C1-Incomes'!KE35*100</f>
        <v>4.0055371035104645</v>
      </c>
      <c r="AN33" s="456">
        <f>'C1-Incomes'!KK35/'C1-Incomes'!KE35*100</f>
        <v>1.6029025217129931</v>
      </c>
      <c r="AP33" s="456">
        <f t="shared" si="5"/>
        <v>78.507463151314084</v>
      </c>
      <c r="AQ33" s="456">
        <f>'C1-Incomes'!KN35/'C1-Incomes'!KM35*100</f>
        <v>21.492536848685923</v>
      </c>
      <c r="AR33" s="456">
        <f>'C1-Incomes'!KO35/'C1-Incomes'!KM35*100</f>
        <v>10.870491272079654</v>
      </c>
      <c r="AS33" s="456">
        <f>'C1-Incomes'!KP35/'C1-Incomes'!KM35*100</f>
        <v>1.9244880189327462</v>
      </c>
      <c r="AT33" s="456">
        <f>'C1-Incomes'!KQ35/'C1-Incomes'!KM35*100</f>
        <v>0.9485353668292954</v>
      </c>
      <c r="AU33" s="456">
        <f>'C1-Incomes'!KR35/'C1-Incomes'!KM35*100</f>
        <v>0.19510448951354617</v>
      </c>
      <c r="AV33" s="456">
        <f>'C1-Incomes'!KS35/'C1-Incomes'!KM35*100</f>
        <v>2.0732379685028956E-2</v>
      </c>
      <c r="AW33" s="456"/>
      <c r="AX33" s="456">
        <f t="shared" si="7"/>
        <v>36.393455991111963</v>
      </c>
      <c r="AY33" s="456">
        <f>'C1-Incomes'!LL35/'C1-Incomes'!LK35*100</f>
        <v>63.606544008888037</v>
      </c>
      <c r="AZ33" s="456">
        <f>'C1-Incomes'!LM35/'C1-Incomes'!LK35*100</f>
        <v>53.486005552950068</v>
      </c>
      <c r="BA33" s="456">
        <f>'C1-Incomes'!LN35/'C1-Incomes'!LK35*100</f>
        <v>32.149765088691382</v>
      </c>
      <c r="BB33" s="456">
        <f>'C1-Incomes'!LO35/'C1-Incomes'!LK35*100</f>
        <v>24.422230404406207</v>
      </c>
      <c r="BC33" s="456">
        <f>'C1-Incomes'!LP35/'C1-Incomes'!LK35*100</f>
        <v>13.256210532053709</v>
      </c>
      <c r="BD33" s="456">
        <f>'C1-Incomes'!LQ35/'C1-Incomes'!LK35*100</f>
        <v>5.6307514147125568</v>
      </c>
      <c r="BF33" s="456">
        <f t="shared" si="6"/>
        <v>74.831601900640237</v>
      </c>
      <c r="BG33" s="456">
        <f>'C1-Incomes'!KV35/'C1-Incomes'!KU35*100</f>
        <v>25.168398099359756</v>
      </c>
      <c r="BH33" s="456">
        <f>'C1-Incomes'!KW35/'C1-Incomes'!KU35*100</f>
        <v>14.888014830347782</v>
      </c>
      <c r="BI33" s="456">
        <f>'C1-Incomes'!KX35/'C1-Incomes'!KU35*100</f>
        <v>4.9601747562852747</v>
      </c>
      <c r="BJ33" s="456">
        <f>'C1-Incomes'!KY35/'C1-Incomes'!KU35*100</f>
        <v>3.3727069917683536</v>
      </c>
      <c r="BK33" s="456">
        <f>'C1-Incomes'!KZ35/'C1-Incomes'!KU35*100</f>
        <v>1.5866862618511164</v>
      </c>
      <c r="BL33" s="456">
        <f>'C1-Incomes'!LA35/'C1-Incomes'!KU35*100</f>
        <v>0.56570553014924041</v>
      </c>
    </row>
    <row r="34" spans="1:64" s="452" customFormat="1" ht="12" x14ac:dyDescent="0.25">
      <c r="A34" s="239">
        <v>1988</v>
      </c>
      <c r="B34" s="456">
        <f t="shared" si="0"/>
        <v>61.901854976068257</v>
      </c>
      <c r="C34" s="456">
        <f>SUM('C1-Incomes'!JH36,'C1-Incomes'!JP36,'C1-Incomes'!JX36,'C1-Incomes'!KF36,'C1-Incomes'!KN36,'C1-Incomes'!KV36)/SUM('C1-Incomes'!$JG36,'C1-Incomes'!$JO36,'C1-Incomes'!$JW36,'C1-Incomes'!$KE36,'C1-Incomes'!$KM36,'C1-Incomes'!$KU36)*100</f>
        <v>38.098145023931743</v>
      </c>
      <c r="D34" s="456">
        <f>SUM('C1-Incomes'!JI36,'C1-Incomes'!JQ36,'C1-Incomes'!JY36,'C1-Incomes'!KG36,'C1-Incomes'!KO36,'C1-Incomes'!KW36)/SUM('C1-Incomes'!$JG36,'C1-Incomes'!$JO36,'C1-Incomes'!$JW36,'C1-Incomes'!$KE36,'C1-Incomes'!$KM36,'C1-Incomes'!$KU36)*100</f>
        <v>27.000321838617953</v>
      </c>
      <c r="E34" s="456">
        <f>SUM('C1-Incomes'!JJ36,'C1-Incomes'!JR36,'C1-Incomes'!JZ36,'C1-Incomes'!KH36,'C1-Incomes'!KP36,'C1-Incomes'!KX36)/SUM('C1-Incomes'!$JG36,'C1-Incomes'!$JO36,'C1-Incomes'!$JW36,'C1-Incomes'!$KE36,'C1-Incomes'!$KM36,'C1-Incomes'!$KU36)*100</f>
        <v>13.65426811664158</v>
      </c>
      <c r="F34" s="456">
        <f>SUM('C1-Incomes'!JK36,'C1-Incomes'!JS36,'C1-Incomes'!KA36,'C1-Incomes'!KI36,'C1-Incomes'!KQ36,'C1-Incomes'!KY36)/SUM('C1-Incomes'!$JG36,'C1-Incomes'!$JO36,'C1-Incomes'!$JW36,'C1-Incomes'!$KE36,'C1-Incomes'!$KM36,'C1-Incomes'!$KU36)*100</f>
        <v>10.561732366228057</v>
      </c>
      <c r="G34" s="456">
        <f>SUM('C1-Incomes'!JL36,'C1-Incomes'!JT36,'C1-Incomes'!KB36,'C1-Incomes'!KJ36,'C1-Incomes'!KR36,'C1-Incomes'!KZ36)/SUM('C1-Incomes'!$JG36,'C1-Incomes'!$JO36,'C1-Incomes'!$JW36,'C1-Incomes'!$KE36,'C1-Incomes'!$KM36,'C1-Incomes'!$KU36)*100</f>
        <v>5.9413706082678015</v>
      </c>
      <c r="H34" s="456">
        <f>SUM('C1-Incomes'!JM36,'C1-Incomes'!JU36,'C1-Incomes'!KC36,'C1-Incomes'!KK36,'C1-Incomes'!KS36,'C1-Incomes'!LA36)/SUM('C1-Incomes'!$JG36,'C1-Incomes'!$JO36,'C1-Incomes'!$JW36,'C1-Incomes'!$KE36,'C1-Incomes'!$KM36,'C1-Incomes'!$KU36)*100</f>
        <v>2.4692155895684325</v>
      </c>
      <c r="I34" s="239"/>
      <c r="J34" s="456">
        <f t="shared" si="1"/>
        <v>43.361644358681147</v>
      </c>
      <c r="K34" s="456">
        <f>'C1-Incomes'!JH36/'C1-Incomes'!JG36*100</f>
        <v>56.638355641318853</v>
      </c>
      <c r="L34" s="456">
        <f>'C1-Incomes'!JI36/'C1-Incomes'!JG36*100</f>
        <v>44.5421399404201</v>
      </c>
      <c r="M34" s="456">
        <f>'C1-Incomes'!JJ36/'C1-Incomes'!JG36*100</f>
        <v>26.145371841200642</v>
      </c>
      <c r="N34" s="456">
        <f>'C1-Incomes'!JK36/'C1-Incomes'!JG36*100</f>
        <v>20.733914772714687</v>
      </c>
      <c r="O34" s="456">
        <f>'C1-Incomes'!JL36/'C1-Incomes'!JG36*100</f>
        <v>11.937137783142553</v>
      </c>
      <c r="P34" s="456">
        <f>'C1-Incomes'!JM36/'C1-Incomes'!JG36*100</f>
        <v>4.9771862040711579</v>
      </c>
      <c r="Q34" s="458"/>
      <c r="R34" s="456">
        <f t="shared" si="2"/>
        <v>46.814886820645953</v>
      </c>
      <c r="S34" s="456">
        <f>'C1-Incomes'!JP36/'C1-Incomes'!JO36*100</f>
        <v>53.185113179354047</v>
      </c>
      <c r="T34" s="456">
        <f>'C1-Incomes'!JQ36/'C1-Incomes'!JO36*100</f>
        <v>41.201511828783644</v>
      </c>
      <c r="U34" s="456">
        <f>'C1-Incomes'!JR36/'C1-Incomes'!JO36*100</f>
        <v>23.588749131096641</v>
      </c>
      <c r="V34" s="456">
        <f>'C1-Incomes'!JS36/'C1-Incomes'!JO36*100</f>
        <v>18.771286334557487</v>
      </c>
      <c r="W34" s="456">
        <f>'C1-Incomes'!JT36/'C1-Incomes'!JO36*100</f>
        <v>10.827913235062656</v>
      </c>
      <c r="X34" s="456">
        <f>'C1-Incomes'!JU36/'C1-Incomes'!JO36*100</f>
        <v>4.5884430171219455</v>
      </c>
      <c r="Y34" s="458"/>
      <c r="Z34" s="456">
        <f t="shared" si="3"/>
        <v>63.988650700915777</v>
      </c>
      <c r="AA34" s="456">
        <f>'C1-Incomes'!JX36/'C1-Incomes'!JW36*100</f>
        <v>36.011349299084223</v>
      </c>
      <c r="AB34" s="456">
        <f>'C1-Incomes'!JY36/'C1-Incomes'!JW36*100</f>
        <v>26.262804411504355</v>
      </c>
      <c r="AC34" s="456">
        <f>'C1-Incomes'!JZ36/'C1-Incomes'!JW36*100</f>
        <v>14.103683952167126</v>
      </c>
      <c r="AD34" s="456">
        <f>'C1-Incomes'!KA36/'C1-Incomes'!JW36*100</f>
        <v>11.133671148986851</v>
      </c>
      <c r="AE34" s="456">
        <f>'C1-Incomes'!KB36/'C1-Incomes'!JW36*100</f>
        <v>6.6293813400286492</v>
      </c>
      <c r="AF34" s="456">
        <f>'C1-Incomes'!KC36/'C1-Incomes'!JW36*100</f>
        <v>2.9794530877311574</v>
      </c>
      <c r="AG34" s="458"/>
      <c r="AH34" s="456">
        <f t="shared" si="4"/>
        <v>62.657286728297748</v>
      </c>
      <c r="AI34" s="456">
        <f>'C1-Incomes'!KF36/'C1-Incomes'!KE36*100</f>
        <v>37.342713271702252</v>
      </c>
      <c r="AJ34" s="456">
        <f>'C1-Incomes'!KG36/'C1-Incomes'!KE36*100</f>
        <v>26.406009719263572</v>
      </c>
      <c r="AK34" s="456">
        <f>'C1-Incomes'!KH36/'C1-Incomes'!KE36*100</f>
        <v>12.618479547106492</v>
      </c>
      <c r="AL34" s="456">
        <f>'C1-Incomes'!KI36/'C1-Incomes'!KE36*100</f>
        <v>9.5517466808930287</v>
      </c>
      <c r="AM34" s="456">
        <f>'C1-Incomes'!KJ36/'C1-Incomes'!KE36*100</f>
        <v>5.2616691875671595</v>
      </c>
      <c r="AN34" s="456">
        <f>'C1-Incomes'!KK36/'C1-Incomes'!KE36*100</f>
        <v>2.194180878702805</v>
      </c>
      <c r="AP34" s="456">
        <f t="shared" si="5"/>
        <v>78.236811396296986</v>
      </c>
      <c r="AQ34" s="456">
        <f>'C1-Incomes'!KN36/'C1-Incomes'!KM36*100</f>
        <v>21.763188603703007</v>
      </c>
      <c r="AR34" s="456">
        <f>'C1-Incomes'!KO36/'C1-Incomes'!KM36*100</f>
        <v>10.905520805617639</v>
      </c>
      <c r="AS34" s="456">
        <f>'C1-Incomes'!KP36/'C1-Incomes'!KM36*100</f>
        <v>1.9879917000785168</v>
      </c>
      <c r="AT34" s="456">
        <f>'C1-Incomes'!KQ36/'C1-Incomes'!KM36*100</f>
        <v>1.0015343324689563</v>
      </c>
      <c r="AU34" s="456">
        <f>'C1-Incomes'!KR36/'C1-Incomes'!KM36*100</f>
        <v>0.2099971430576108</v>
      </c>
      <c r="AV34" s="456">
        <f>'C1-Incomes'!KS36/'C1-Incomes'!KM36*100</f>
        <v>2.1747703318526875E-2</v>
      </c>
      <c r="AW34" s="456"/>
      <c r="AX34" s="456">
        <f t="shared" si="7"/>
        <v>35.958365679323364</v>
      </c>
      <c r="AY34" s="456">
        <f>'C1-Incomes'!LL36/'C1-Incomes'!LK36*100</f>
        <v>64.041634320676636</v>
      </c>
      <c r="AZ34" s="456">
        <f>'C1-Incomes'!LM36/'C1-Incomes'!LK36*100</f>
        <v>54.034503817707403</v>
      </c>
      <c r="BA34" s="456">
        <f>'C1-Incomes'!LN36/'C1-Incomes'!LK36*100</f>
        <v>32.972099955911467</v>
      </c>
      <c r="BB34" s="456">
        <f>'C1-Incomes'!LO36/'C1-Incomes'!LK36*100</f>
        <v>25.322958287835164</v>
      </c>
      <c r="BC34" s="456">
        <f>'C1-Incomes'!LP36/'C1-Incomes'!LK36*100</f>
        <v>13.804072394367465</v>
      </c>
      <c r="BD34" s="456">
        <f>'C1-Incomes'!LQ36/'C1-Incomes'!LK36*100</f>
        <v>5.974949958430809</v>
      </c>
      <c r="BF34" s="456">
        <f t="shared" si="6"/>
        <v>73.271090298937494</v>
      </c>
      <c r="BG34" s="456">
        <f>'C1-Incomes'!KV36/'C1-Incomes'!KU36*100</f>
        <v>26.728909701062509</v>
      </c>
      <c r="BH34" s="456">
        <f>'C1-Incomes'!KW36/'C1-Incomes'!KU36*100</f>
        <v>16.500641627387331</v>
      </c>
      <c r="BI34" s="456">
        <f>'C1-Incomes'!KX36/'C1-Incomes'!KU36*100</f>
        <v>6.389662255773751</v>
      </c>
      <c r="BJ34" s="456">
        <f>'C1-Incomes'!KY36/'C1-Incomes'!KU36*100</f>
        <v>4.6763710580753752</v>
      </c>
      <c r="BK34" s="456">
        <f>'C1-Incomes'!KZ36/'C1-Incomes'!KU36*100</f>
        <v>2.4623420149986939</v>
      </c>
      <c r="BL34" s="456">
        <f>'C1-Incomes'!LA36/'C1-Incomes'!KU36*100</f>
        <v>0.93911726839703025</v>
      </c>
    </row>
    <row r="35" spans="1:64" s="452" customFormat="1" ht="12" x14ac:dyDescent="0.25">
      <c r="A35" s="239">
        <v>1989</v>
      </c>
      <c r="B35" s="456">
        <f t="shared" si="0"/>
        <v>61.937891711345863</v>
      </c>
      <c r="C35" s="456">
        <f>SUM('C1-Incomes'!JH37,'C1-Incomes'!JP37,'C1-Incomes'!JX37,'C1-Incomes'!KF37,'C1-Incomes'!KN37,'C1-Incomes'!KV37)/SUM('C1-Incomes'!$JG37,'C1-Incomes'!$JO37,'C1-Incomes'!$JW37,'C1-Incomes'!$KE37,'C1-Incomes'!$KM37,'C1-Incomes'!$KU37)*100</f>
        <v>38.062108288654137</v>
      </c>
      <c r="D35" s="456">
        <f>SUM('C1-Incomes'!JI37,'C1-Incomes'!JQ37,'C1-Incomes'!JY37,'C1-Incomes'!KG37,'C1-Incomes'!KO37,'C1-Incomes'!KW37)/SUM('C1-Incomes'!$JG37,'C1-Incomes'!$JO37,'C1-Incomes'!$JW37,'C1-Incomes'!$KE37,'C1-Incomes'!$KM37,'C1-Incomes'!$KU37)*100</f>
        <v>26.791122127634114</v>
      </c>
      <c r="E35" s="456">
        <f>SUM('C1-Incomes'!JJ37,'C1-Incomes'!JR37,'C1-Incomes'!JZ37,'C1-Incomes'!KH37,'C1-Incomes'!KP37,'C1-Incomes'!KX37)/SUM('C1-Incomes'!$JG37,'C1-Incomes'!$JO37,'C1-Incomes'!$JW37,'C1-Incomes'!$KE37,'C1-Incomes'!$KM37,'C1-Incomes'!$KU37)*100</f>
        <v>13.194785561710601</v>
      </c>
      <c r="F35" s="456">
        <f>SUM('C1-Incomes'!JK37,'C1-Incomes'!JS37,'C1-Incomes'!KA37,'C1-Incomes'!KI37,'C1-Incomes'!KQ37,'C1-Incomes'!KY37)/SUM('C1-Incomes'!$JG37,'C1-Incomes'!$JO37,'C1-Incomes'!$JW37,'C1-Incomes'!$KE37,'C1-Incomes'!$KM37,'C1-Incomes'!$KU37)*100</f>
        <v>10.077814589788883</v>
      </c>
      <c r="G35" s="456">
        <f>SUM('C1-Incomes'!JL37,'C1-Incomes'!JT37,'C1-Incomes'!KB37,'C1-Incomes'!KJ37,'C1-Incomes'!KR37,'C1-Incomes'!KZ37)/SUM('C1-Incomes'!$JG37,'C1-Incomes'!$JO37,'C1-Incomes'!$JW37,'C1-Incomes'!$KE37,'C1-Incomes'!$KM37,'C1-Incomes'!$KU37)*100</f>
        <v>5.5121904679820988</v>
      </c>
      <c r="H35" s="456">
        <f>SUM('C1-Incomes'!JM37,'C1-Incomes'!JU37,'C1-Incomes'!KC37,'C1-Incomes'!KK37,'C1-Incomes'!KS37,'C1-Incomes'!LA37)/SUM('C1-Incomes'!$JG37,'C1-Incomes'!$JO37,'C1-Incomes'!$JW37,'C1-Incomes'!$KE37,'C1-Incomes'!$KM37,'C1-Incomes'!$KU37)*100</f>
        <v>2.2398613733186656</v>
      </c>
      <c r="I35" s="239"/>
      <c r="J35" s="456">
        <f t="shared" si="1"/>
        <v>44.579529476863343</v>
      </c>
      <c r="K35" s="456">
        <f>'C1-Incomes'!JH37/'C1-Incomes'!JG37*100</f>
        <v>55.420470523136657</v>
      </c>
      <c r="L35" s="456">
        <f>'C1-Incomes'!JI37/'C1-Incomes'!JG37*100</f>
        <v>42.925123107947286</v>
      </c>
      <c r="M35" s="456">
        <f>'C1-Incomes'!JJ37/'C1-Incomes'!JG37*100</f>
        <v>24.130263283853186</v>
      </c>
      <c r="N35" s="456">
        <f>'C1-Incomes'!JK37/'C1-Incomes'!JG37*100</f>
        <v>18.837925100537287</v>
      </c>
      <c r="O35" s="456">
        <f>'C1-Incomes'!JL37/'C1-Incomes'!JG37*100</f>
        <v>10.480161081949932</v>
      </c>
      <c r="P35" s="456">
        <f>'C1-Incomes'!JM37/'C1-Incomes'!JG37*100</f>
        <v>4.2677896061891811</v>
      </c>
      <c r="Q35" s="458"/>
      <c r="R35" s="456">
        <f t="shared" si="2"/>
        <v>47.867096400246027</v>
      </c>
      <c r="S35" s="456">
        <f>'C1-Incomes'!JP37/'C1-Incomes'!JO37*100</f>
        <v>52.132903599753973</v>
      </c>
      <c r="T35" s="456">
        <f>'C1-Incomes'!JQ37/'C1-Incomes'!JO37*100</f>
        <v>40.205318831699152</v>
      </c>
      <c r="U35" s="456">
        <f>'C1-Incomes'!JR37/'C1-Incomes'!JO37*100</f>
        <v>22.775983855378961</v>
      </c>
      <c r="V35" s="456">
        <f>'C1-Incomes'!JS37/'C1-Incomes'!JO37*100</f>
        <v>18.17686414128536</v>
      </c>
      <c r="W35" s="456">
        <f>'C1-Incomes'!JT37/'C1-Incomes'!JO37*100</f>
        <v>10.414911164897189</v>
      </c>
      <c r="X35" s="456">
        <f>'C1-Incomes'!JU37/'C1-Incomes'!JO37*100</f>
        <v>4.2482102327243165</v>
      </c>
      <c r="Y35" s="458"/>
      <c r="Z35" s="456">
        <f t="shared" si="3"/>
        <v>63.807519393676358</v>
      </c>
      <c r="AA35" s="456">
        <f>'C1-Incomes'!JX37/'C1-Incomes'!JW37*100</f>
        <v>36.192480606323642</v>
      </c>
      <c r="AB35" s="456">
        <f>'C1-Incomes'!JY37/'C1-Incomes'!JW37*100</f>
        <v>26.304830664994938</v>
      </c>
      <c r="AC35" s="456">
        <f>'C1-Incomes'!JZ37/'C1-Incomes'!JW37*100</f>
        <v>14.09460353474466</v>
      </c>
      <c r="AD35" s="456">
        <f>'C1-Incomes'!KA37/'C1-Incomes'!JW37*100</f>
        <v>11.014229766440017</v>
      </c>
      <c r="AE35" s="456">
        <f>'C1-Incomes'!KB37/'C1-Incomes'!JW37*100</f>
        <v>6.3854876709906607</v>
      </c>
      <c r="AF35" s="456">
        <f>'C1-Incomes'!KC37/'C1-Incomes'!JW37*100</f>
        <v>2.8479022592467573</v>
      </c>
      <c r="AG35" s="458"/>
      <c r="AH35" s="456">
        <f t="shared" si="4"/>
        <v>62.781518759967014</v>
      </c>
      <c r="AI35" s="456">
        <f>'C1-Incomes'!KF37/'C1-Incomes'!KE37*100</f>
        <v>37.218481240032986</v>
      </c>
      <c r="AJ35" s="456">
        <f>'C1-Incomes'!KG37/'C1-Incomes'!KE37*100</f>
        <v>26.147981128025432</v>
      </c>
      <c r="AK35" s="456">
        <f>'C1-Incomes'!KH37/'C1-Incomes'!KE37*100</f>
        <v>12.667912990887853</v>
      </c>
      <c r="AL35" s="456">
        <f>'C1-Incomes'!KI37/'C1-Incomes'!KE37*100</f>
        <v>9.4796476078582614</v>
      </c>
      <c r="AM35" s="456">
        <f>'C1-Incomes'!KJ37/'C1-Incomes'!KE37*100</f>
        <v>5.1540063448806839</v>
      </c>
      <c r="AN35" s="456">
        <f>'C1-Incomes'!KK37/'C1-Incomes'!KE37*100</f>
        <v>2.1331566485171134</v>
      </c>
      <c r="AP35" s="456">
        <f t="shared" si="5"/>
        <v>78.043261499348944</v>
      </c>
      <c r="AQ35" s="456">
        <f>'C1-Incomes'!KN37/'C1-Incomes'!KM37*100</f>
        <v>21.956738500651056</v>
      </c>
      <c r="AR35" s="456">
        <f>'C1-Incomes'!KO37/'C1-Incomes'!KM37*100</f>
        <v>11.111545391193101</v>
      </c>
      <c r="AS35" s="456">
        <f>'C1-Incomes'!KP37/'C1-Incomes'!KM37*100</f>
        <v>2.0088041846115514</v>
      </c>
      <c r="AT35" s="456">
        <f>'C1-Incomes'!KQ37/'C1-Incomes'!KM37*100</f>
        <v>1.0190445941067316</v>
      </c>
      <c r="AU35" s="456">
        <f>'C1-Incomes'!KR37/'C1-Incomes'!KM37*100</f>
        <v>0.21637893623708138</v>
      </c>
      <c r="AV35" s="456">
        <f>'C1-Incomes'!KS37/'C1-Incomes'!KM37*100</f>
        <v>2.2318624617757288E-2</v>
      </c>
      <c r="AW35" s="456"/>
      <c r="AX35" s="456">
        <f t="shared" si="7"/>
        <v>35.829226361399265</v>
      </c>
      <c r="AY35" s="456">
        <f>'C1-Incomes'!LL37/'C1-Incomes'!LK37*100</f>
        <v>64.170773638600735</v>
      </c>
      <c r="AZ35" s="456">
        <f>'C1-Incomes'!LM37/'C1-Incomes'!LK37*100</f>
        <v>54.08053857547246</v>
      </c>
      <c r="BA35" s="456">
        <f>'C1-Incomes'!LN37/'C1-Incomes'!LK37*100</f>
        <v>32.576373032247687</v>
      </c>
      <c r="BB35" s="456">
        <f>'C1-Incomes'!LO37/'C1-Incomes'!LK37*100</f>
        <v>25.081373863369521</v>
      </c>
      <c r="BC35" s="456">
        <f>'C1-Incomes'!LP37/'C1-Incomes'!LK37*100</f>
        <v>13.666940579091275</v>
      </c>
      <c r="BD35" s="456">
        <f>'C1-Incomes'!LQ37/'C1-Incomes'!LK37*100</f>
        <v>5.8931799034981909</v>
      </c>
      <c r="BF35" s="456">
        <f t="shared" si="6"/>
        <v>73.295754980930639</v>
      </c>
      <c r="BG35" s="456">
        <f>'C1-Incomes'!KV37/'C1-Incomes'!KU37*100</f>
        <v>26.704245019069354</v>
      </c>
      <c r="BH35" s="456">
        <f>'C1-Incomes'!KW37/'C1-Incomes'!KU37*100</f>
        <v>16.440921040174569</v>
      </c>
      <c r="BI35" s="456">
        <f>'C1-Incomes'!KX37/'C1-Incomes'!KU37*100</f>
        <v>6.2523441643158701</v>
      </c>
      <c r="BJ35" s="456">
        <f>'C1-Incomes'!KY37/'C1-Incomes'!KU37*100</f>
        <v>4.4885775839840516</v>
      </c>
      <c r="BK35" s="456">
        <f>'C1-Incomes'!KZ37/'C1-Incomes'!KU37*100</f>
        <v>2.2950834494941135</v>
      </c>
      <c r="BL35" s="456">
        <f>'C1-Incomes'!LA37/'C1-Incomes'!KU37*100</f>
        <v>0.86068944854738094</v>
      </c>
    </row>
    <row r="36" spans="1:64" s="452" customFormat="1" ht="12" x14ac:dyDescent="0.25">
      <c r="A36" s="239">
        <v>1990</v>
      </c>
      <c r="B36" s="456">
        <f t="shared" si="0"/>
        <v>62.047307841336782</v>
      </c>
      <c r="C36" s="456">
        <f>SUM('C1-Incomes'!JH38,'C1-Incomes'!JP38,'C1-Incomes'!JX38,'C1-Incomes'!KF38,'C1-Incomes'!KN38,'C1-Incomes'!KV38)/SUM('C1-Incomes'!$JG38,'C1-Incomes'!$JO38,'C1-Incomes'!$JW38,'C1-Incomes'!$KE38,'C1-Incomes'!$KM38,'C1-Incomes'!$KU38)*100</f>
        <v>37.952692158663218</v>
      </c>
      <c r="D36" s="456">
        <f>SUM('C1-Incomes'!JI38,'C1-Incomes'!JQ38,'C1-Incomes'!JY38,'C1-Incomes'!KG38,'C1-Incomes'!KO38,'C1-Incomes'!KW38)/SUM('C1-Incomes'!$JG38,'C1-Incomes'!$JO38,'C1-Incomes'!$JW38,'C1-Incomes'!$KE38,'C1-Incomes'!$KM38,'C1-Incomes'!$KU38)*100</f>
        <v>26.709128542669497</v>
      </c>
      <c r="E36" s="456">
        <f>SUM('C1-Incomes'!JJ38,'C1-Incomes'!JR38,'C1-Incomes'!JZ38,'C1-Incomes'!KH38,'C1-Incomes'!KP38,'C1-Incomes'!KX38)/SUM('C1-Incomes'!$JG38,'C1-Incomes'!$JO38,'C1-Incomes'!$JW38,'C1-Incomes'!$KE38,'C1-Incomes'!$KM38,'C1-Incomes'!$KU38)*100</f>
        <v>13.080180223794461</v>
      </c>
      <c r="F36" s="456">
        <f>SUM('C1-Incomes'!JK38,'C1-Incomes'!JS38,'C1-Incomes'!KA38,'C1-Incomes'!KI38,'C1-Incomes'!KQ38,'C1-Incomes'!KY38)/SUM('C1-Incomes'!$JG38,'C1-Incomes'!$JO38,'C1-Incomes'!$JW38,'C1-Incomes'!$KE38,'C1-Incomes'!$KM38,'C1-Incomes'!$KU38)*100</f>
        <v>9.9423940764374859</v>
      </c>
      <c r="G36" s="456">
        <f>SUM('C1-Incomes'!JL38,'C1-Incomes'!JT38,'C1-Incomes'!KB38,'C1-Incomes'!KJ38,'C1-Incomes'!KR38,'C1-Incomes'!KZ38)/SUM('C1-Incomes'!$JG38,'C1-Incomes'!$JO38,'C1-Incomes'!$JW38,'C1-Incomes'!$KE38,'C1-Incomes'!$KM38,'C1-Incomes'!$KU38)*100</f>
        <v>5.3824370743362087</v>
      </c>
      <c r="H36" s="456">
        <f>SUM('C1-Incomes'!JM38,'C1-Incomes'!JU38,'C1-Incomes'!KC38,'C1-Incomes'!KK38,'C1-Incomes'!KS38,'C1-Incomes'!LA38)/SUM('C1-Incomes'!$JG38,'C1-Incomes'!$JO38,'C1-Incomes'!$JW38,'C1-Incomes'!$KE38,'C1-Incomes'!$KM38,'C1-Incomes'!$KU38)*100</f>
        <v>2.1726153954473264</v>
      </c>
      <c r="I36" s="239"/>
      <c r="J36" s="456">
        <f t="shared" si="1"/>
        <v>44.99218109057589</v>
      </c>
      <c r="K36" s="456">
        <f>'C1-Incomes'!JH38/'C1-Incomes'!JG38*100</f>
        <v>55.00781890942411</v>
      </c>
      <c r="L36" s="456">
        <f>'C1-Incomes'!JI38/'C1-Incomes'!JG38*100</f>
        <v>42.535758688555561</v>
      </c>
      <c r="M36" s="456">
        <f>'C1-Incomes'!JJ38/'C1-Incomes'!JG38*100</f>
        <v>24.140105898175047</v>
      </c>
      <c r="N36" s="456">
        <f>'C1-Incomes'!JK38/'C1-Incomes'!JG38*100</f>
        <v>18.844656577207893</v>
      </c>
      <c r="O36" s="456">
        <f>'C1-Incomes'!JL38/'C1-Incomes'!JG38*100</f>
        <v>10.455657367223466</v>
      </c>
      <c r="P36" s="456">
        <f>'C1-Incomes'!JM38/'C1-Incomes'!JG38*100</f>
        <v>4.2360832269371524</v>
      </c>
      <c r="Q36" s="458"/>
      <c r="R36" s="456">
        <f t="shared" si="2"/>
        <v>49.135007978046218</v>
      </c>
      <c r="S36" s="456">
        <f>'C1-Incomes'!JP38/'C1-Incomes'!JO38*100</f>
        <v>50.864992021953782</v>
      </c>
      <c r="T36" s="456">
        <f>'C1-Incomes'!JQ38/'C1-Incomes'!JO38*100</f>
        <v>39.092140348587911</v>
      </c>
      <c r="U36" s="456">
        <f>'C1-Incomes'!JR38/'C1-Incomes'!JO38*100</f>
        <v>21.908015048604796</v>
      </c>
      <c r="V36" s="456">
        <f>'C1-Incomes'!JS38/'C1-Incomes'!JO38*100</f>
        <v>17.172077313823468</v>
      </c>
      <c r="W36" s="456">
        <f>'C1-Incomes'!JT38/'C1-Incomes'!JO38*100</f>
        <v>9.5039737686224655</v>
      </c>
      <c r="X36" s="456">
        <f>'C1-Incomes'!JU38/'C1-Incomes'!JO38*100</f>
        <v>3.8821507103230077</v>
      </c>
      <c r="Y36" s="458"/>
      <c r="Z36" s="456">
        <f t="shared" si="3"/>
        <v>60.595396959348527</v>
      </c>
      <c r="AA36" s="456">
        <f>'C1-Incomes'!JX38/'C1-Incomes'!JW38*100</f>
        <v>39.404603040651473</v>
      </c>
      <c r="AB36" s="456">
        <f>'C1-Incomes'!JY38/'C1-Incomes'!JW38*100</f>
        <v>28.430874942536281</v>
      </c>
      <c r="AC36" s="456">
        <f>'C1-Incomes'!JZ38/'C1-Incomes'!JW38*100</f>
        <v>13.79170305214422</v>
      </c>
      <c r="AD36" s="456">
        <f>'C1-Incomes'!KA38/'C1-Incomes'!JW38*100</f>
        <v>10.695720307677153</v>
      </c>
      <c r="AE36" s="456">
        <f>'C1-Incomes'!KB38/'C1-Incomes'!JW38*100</f>
        <v>6.1762857030275171</v>
      </c>
      <c r="AF36" s="456">
        <f>'C1-Incomes'!KC38/'C1-Incomes'!JW38*100</f>
        <v>2.6973181552505419</v>
      </c>
      <c r="AG36" s="458"/>
      <c r="AH36" s="456">
        <f t="shared" si="4"/>
        <v>61.276331613289344</v>
      </c>
      <c r="AI36" s="456">
        <f>'C1-Incomes'!KF38/'C1-Incomes'!KE38*100</f>
        <v>38.723668386710656</v>
      </c>
      <c r="AJ36" s="456">
        <f>'C1-Incomes'!KG38/'C1-Incomes'!KE38*100</f>
        <v>27.335921428226008</v>
      </c>
      <c r="AK36" s="456">
        <f>'C1-Incomes'!KH38/'C1-Incomes'!KE38*100</f>
        <v>12.736136968331829</v>
      </c>
      <c r="AL36" s="456">
        <f>'C1-Incomes'!KI38/'C1-Incomes'!KE38*100</f>
        <v>9.4774557905135026</v>
      </c>
      <c r="AM36" s="456">
        <f>'C1-Incomes'!KJ38/'C1-Incomes'!KE38*100</f>
        <v>4.9986316115007305</v>
      </c>
      <c r="AN36" s="456">
        <f>'C1-Incomes'!KK38/'C1-Incomes'!KE38*100</f>
        <v>2.0380347767006501</v>
      </c>
      <c r="AP36" s="456">
        <f t="shared" si="5"/>
        <v>78.872787326628014</v>
      </c>
      <c r="AQ36" s="456">
        <f>'C1-Incomes'!KN38/'C1-Incomes'!KM38*100</f>
        <v>21.127212673371979</v>
      </c>
      <c r="AR36" s="456">
        <f>'C1-Incomes'!KO38/'C1-Incomes'!KM38*100</f>
        <v>10.750292005428985</v>
      </c>
      <c r="AS36" s="456">
        <f>'C1-Incomes'!KP38/'C1-Incomes'!KM38*100</f>
        <v>2.0354983010593566</v>
      </c>
      <c r="AT36" s="456">
        <f>'C1-Incomes'!KQ38/'C1-Incomes'!KM38*100</f>
        <v>1.0032923825158504</v>
      </c>
      <c r="AU36" s="456">
        <f>'C1-Incomes'!KR38/'C1-Incomes'!KM38*100</f>
        <v>0.20947718247919223</v>
      </c>
      <c r="AV36" s="456">
        <f>'C1-Incomes'!KS38/'C1-Incomes'!KM38*100</f>
        <v>2.1874752870787214E-2</v>
      </c>
      <c r="AW36" s="456"/>
      <c r="AX36" s="456">
        <f t="shared" si="7"/>
        <v>35.329244914947637</v>
      </c>
      <c r="AY36" s="456">
        <f>'C1-Incomes'!LL38/'C1-Incomes'!LK38*100</f>
        <v>64.670755085052363</v>
      </c>
      <c r="AZ36" s="456">
        <f>'C1-Incomes'!LM38/'C1-Incomes'!LK38*100</f>
        <v>54.345088246588389</v>
      </c>
      <c r="BA36" s="456">
        <f>'C1-Incomes'!LN38/'C1-Incomes'!LK38*100</f>
        <v>32.5301347746747</v>
      </c>
      <c r="BB36" s="456">
        <f>'C1-Incomes'!LO38/'C1-Incomes'!LK38*100</f>
        <v>24.990125515391941</v>
      </c>
      <c r="BC36" s="456">
        <f>'C1-Incomes'!LP38/'C1-Incomes'!LK38*100</f>
        <v>13.58839125706125</v>
      </c>
      <c r="BD36" s="456">
        <f>'C1-Incomes'!LQ38/'C1-Incomes'!LK38*100</f>
        <v>5.9755421888289435</v>
      </c>
      <c r="BF36" s="456">
        <f t="shared" si="6"/>
        <v>73.193426914523499</v>
      </c>
      <c r="BG36" s="456">
        <f>'C1-Incomes'!KV38/'C1-Incomes'!KU38*100</f>
        <v>26.806573085476504</v>
      </c>
      <c r="BH36" s="456">
        <f>'C1-Incomes'!KW38/'C1-Incomes'!KU38*100</f>
        <v>16.592574649093212</v>
      </c>
      <c r="BI36" s="456">
        <f>'C1-Incomes'!KX38/'C1-Incomes'!KU38*100</f>
        <v>6.4610992189172229</v>
      </c>
      <c r="BJ36" s="456">
        <f>'C1-Incomes'!KY38/'C1-Incomes'!KU38*100</f>
        <v>4.6667034497520339</v>
      </c>
      <c r="BK36" s="456">
        <f>'C1-Incomes'!KZ38/'C1-Incomes'!KU38*100</f>
        <v>2.3978026073580683</v>
      </c>
      <c r="BL36" s="456">
        <f>'C1-Incomes'!LA38/'C1-Incomes'!KU38*100</f>
        <v>0.91123693799588601</v>
      </c>
    </row>
    <row r="37" spans="1:64" s="452" customFormat="1" ht="12" x14ac:dyDescent="0.25">
      <c r="A37" s="239">
        <v>1991</v>
      </c>
      <c r="B37" s="456">
        <f t="shared" si="0"/>
        <v>61.844635396948519</v>
      </c>
      <c r="C37" s="456">
        <f>SUM('C1-Incomes'!JH39,'C1-Incomes'!JP39,'C1-Incomes'!JX39,'C1-Incomes'!KF39,'C1-Incomes'!KN39,'C1-Incomes'!KV39)/SUM('C1-Incomes'!$JG39,'C1-Incomes'!$JO39,'C1-Incomes'!$JW39,'C1-Incomes'!$KE39,'C1-Incomes'!$KM39,'C1-Incomes'!$KU39)*100</f>
        <v>38.155364603051481</v>
      </c>
      <c r="D37" s="456">
        <f>SUM('C1-Incomes'!JI39,'C1-Incomes'!JQ39,'C1-Incomes'!JY39,'C1-Incomes'!KG39,'C1-Incomes'!KO39,'C1-Incomes'!KW39)/SUM('C1-Incomes'!$JG39,'C1-Incomes'!$JO39,'C1-Incomes'!$JW39,'C1-Incomes'!$KE39,'C1-Incomes'!$KM39,'C1-Incomes'!$KU39)*100</f>
        <v>26.848168659011424</v>
      </c>
      <c r="E37" s="456">
        <f>SUM('C1-Incomes'!JJ39,'C1-Incomes'!JR39,'C1-Incomes'!JZ39,'C1-Incomes'!KH39,'C1-Incomes'!KP39,'C1-Incomes'!KX39)/SUM('C1-Incomes'!$JG39,'C1-Incomes'!$JO39,'C1-Incomes'!$JW39,'C1-Incomes'!$KE39,'C1-Incomes'!$KM39,'C1-Incomes'!$KU39)*100</f>
        <v>12.911063743132159</v>
      </c>
      <c r="F37" s="456">
        <f>SUM('C1-Incomes'!JK39,'C1-Incomes'!JS39,'C1-Incomes'!KA39,'C1-Incomes'!KI39,'C1-Incomes'!KQ39,'C1-Incomes'!KY39)/SUM('C1-Incomes'!$JG39,'C1-Incomes'!$JO39,'C1-Incomes'!$JW39,'C1-Incomes'!$KE39,'C1-Incomes'!$KM39,'C1-Incomes'!$KU39)*100</f>
        <v>9.7356441340196138</v>
      </c>
      <c r="G37" s="456">
        <f>SUM('C1-Incomes'!JL39,'C1-Incomes'!JT39,'C1-Incomes'!KB39,'C1-Incomes'!KJ39,'C1-Incomes'!KR39,'C1-Incomes'!KZ39)/SUM('C1-Incomes'!$JG39,'C1-Incomes'!$JO39,'C1-Incomes'!$JW39,'C1-Incomes'!$KE39,'C1-Incomes'!$KM39,'C1-Incomes'!$KU39)*100</f>
        <v>5.2276569544622014</v>
      </c>
      <c r="H37" s="456">
        <f>SUM('C1-Incomes'!JM39,'C1-Incomes'!JU39,'C1-Incomes'!KC39,'C1-Incomes'!KK39,'C1-Incomes'!KS39,'C1-Incomes'!LA39)/SUM('C1-Incomes'!$JG39,'C1-Incomes'!$JO39,'C1-Incomes'!$JW39,'C1-Incomes'!$KE39,'C1-Incomes'!$KM39,'C1-Incomes'!$KU39)*100</f>
        <v>2.0700876187157431</v>
      </c>
      <c r="I37" s="239"/>
      <c r="J37" s="456">
        <f t="shared" si="1"/>
        <v>44.98251950674593</v>
      </c>
      <c r="K37" s="456">
        <f>'C1-Incomes'!JH39/'C1-Incomes'!JG39*100</f>
        <v>55.01748049325407</v>
      </c>
      <c r="L37" s="456">
        <f>'C1-Incomes'!JI39/'C1-Incomes'!JG39*100</f>
        <v>42.550225893626497</v>
      </c>
      <c r="M37" s="456">
        <f>'C1-Incomes'!JJ39/'C1-Incomes'!JG39*100</f>
        <v>23.899842219425267</v>
      </c>
      <c r="N37" s="456">
        <f>'C1-Incomes'!JK39/'C1-Incomes'!JG39*100</f>
        <v>18.586173348400408</v>
      </c>
      <c r="O37" s="456">
        <f>'C1-Incomes'!JL39/'C1-Incomes'!JG39*100</f>
        <v>10.244217603276901</v>
      </c>
      <c r="P37" s="456">
        <f>'C1-Incomes'!JM39/'C1-Incomes'!JG39*100</f>
        <v>4.057052966920164</v>
      </c>
      <c r="Q37" s="458"/>
      <c r="R37" s="456">
        <f t="shared" si="2"/>
        <v>48.57575037466502</v>
      </c>
      <c r="S37" s="456">
        <f>'C1-Incomes'!JP39/'C1-Incomes'!JO39*100</f>
        <v>51.42424962533498</v>
      </c>
      <c r="T37" s="456">
        <f>'C1-Incomes'!JQ39/'C1-Incomes'!JO39*100</f>
        <v>39.349121723370146</v>
      </c>
      <c r="U37" s="456">
        <f>'C1-Incomes'!JR39/'C1-Incomes'!JO39*100</f>
        <v>21.552822853162212</v>
      </c>
      <c r="V37" s="456">
        <f>'C1-Incomes'!JS39/'C1-Incomes'!JO39*100</f>
        <v>16.689633518340166</v>
      </c>
      <c r="W37" s="456">
        <f>'C1-Incomes'!JT39/'C1-Incomes'!JO39*100</f>
        <v>9.3080053789008286</v>
      </c>
      <c r="X37" s="456">
        <f>'C1-Incomes'!JU39/'C1-Incomes'!JO39*100</f>
        <v>3.7344692711550929</v>
      </c>
      <c r="Y37" s="458"/>
      <c r="Z37" s="456">
        <f t="shared" si="3"/>
        <v>56.950380730479658</v>
      </c>
      <c r="AA37" s="456">
        <f>'C1-Incomes'!JX39/'C1-Incomes'!JW39*100</f>
        <v>43.049619269520342</v>
      </c>
      <c r="AB37" s="456">
        <f>'C1-Incomes'!JY39/'C1-Incomes'!JW39*100</f>
        <v>31.377151630125706</v>
      </c>
      <c r="AC37" s="456">
        <f>'C1-Incomes'!JZ39/'C1-Incomes'!JW39*100</f>
        <v>15.294301291029003</v>
      </c>
      <c r="AD37" s="456">
        <f>'C1-Incomes'!KA39/'C1-Incomes'!JW39*100</f>
        <v>11.871316136589341</v>
      </c>
      <c r="AE37" s="456">
        <f>'C1-Incomes'!KB39/'C1-Incomes'!JW39*100</f>
        <v>6.8669527131980335</v>
      </c>
      <c r="AF37" s="456">
        <f>'C1-Incomes'!KC39/'C1-Incomes'!JW39*100</f>
        <v>3.0237965784760594</v>
      </c>
      <c r="AG37" s="458"/>
      <c r="AH37" s="456">
        <f t="shared" si="4"/>
        <v>59.68064063910618</v>
      </c>
      <c r="AI37" s="456">
        <f>'C1-Incomes'!KF39/'C1-Incomes'!KE39*100</f>
        <v>40.31935936089382</v>
      </c>
      <c r="AJ37" s="456">
        <f>'C1-Incomes'!KG39/'C1-Incomes'!KE39*100</f>
        <v>28.574630580035681</v>
      </c>
      <c r="AK37" s="456">
        <f>'C1-Incomes'!KH39/'C1-Incomes'!KE39*100</f>
        <v>13.346769867466405</v>
      </c>
      <c r="AL37" s="456">
        <f>'C1-Incomes'!KI39/'C1-Incomes'!KE39*100</f>
        <v>9.9946267358023899</v>
      </c>
      <c r="AM37" s="456">
        <f>'C1-Incomes'!KJ39/'C1-Incomes'!KE39*100</f>
        <v>5.3336991062319736</v>
      </c>
      <c r="AN37" s="456">
        <f>'C1-Incomes'!KK39/'C1-Incomes'!KE39*100</f>
        <v>2.138305668246506</v>
      </c>
      <c r="AP37" s="456">
        <f t="shared" si="5"/>
        <v>78.207282127789938</v>
      </c>
      <c r="AQ37" s="456">
        <f>'C1-Incomes'!KN39/'C1-Incomes'!KM39*100</f>
        <v>21.792717872210066</v>
      </c>
      <c r="AR37" s="456">
        <f>'C1-Incomes'!KO39/'C1-Incomes'!KM39*100</f>
        <v>11.512916205127539</v>
      </c>
      <c r="AS37" s="456">
        <f>'C1-Incomes'!KP39/'C1-Incomes'!KM39*100</f>
        <v>2.3378953077739255</v>
      </c>
      <c r="AT37" s="456">
        <f>'C1-Incomes'!KQ39/'C1-Incomes'!KM39*100</f>
        <v>1.1633548312533326</v>
      </c>
      <c r="AU37" s="456">
        <f>'C1-Incomes'!KR39/'C1-Incomes'!KM39*100</f>
        <v>0.24068143375795414</v>
      </c>
      <c r="AV37" s="456">
        <f>'C1-Incomes'!KS39/'C1-Incomes'!KM39*100</f>
        <v>2.4506255845208259E-2</v>
      </c>
      <c r="AW37" s="456"/>
      <c r="AX37" s="456">
        <f t="shared" si="7"/>
        <v>34.955609702570996</v>
      </c>
      <c r="AY37" s="456">
        <f>'C1-Incomes'!LL39/'C1-Incomes'!LK39*100</f>
        <v>65.044390297429004</v>
      </c>
      <c r="AZ37" s="456">
        <f>'C1-Incomes'!LM39/'C1-Incomes'!LK39*100</f>
        <v>54.586203552542159</v>
      </c>
      <c r="BA37" s="456">
        <f>'C1-Incomes'!LN39/'C1-Incomes'!LK39*100</f>
        <v>32.503343172981978</v>
      </c>
      <c r="BB37" s="456">
        <f>'C1-Incomes'!LO39/'C1-Incomes'!LK39*100</f>
        <v>24.871456006860292</v>
      </c>
      <c r="BC37" s="456">
        <f>'C1-Incomes'!LP39/'C1-Incomes'!LK39*100</f>
        <v>13.54014816689107</v>
      </c>
      <c r="BD37" s="456">
        <f>'C1-Incomes'!LQ39/'C1-Incomes'!LK39*100</f>
        <v>5.8943156176828886</v>
      </c>
      <c r="BF37" s="456">
        <f t="shared" si="6"/>
        <v>73.566590491107007</v>
      </c>
      <c r="BG37" s="456">
        <f>'C1-Incomes'!KV39/'C1-Incomes'!KU39*100</f>
        <v>26.433409508892996</v>
      </c>
      <c r="BH37" s="456">
        <f>'C1-Incomes'!KW39/'C1-Incomes'!KU39*100</f>
        <v>16.203197260114699</v>
      </c>
      <c r="BI37" s="456">
        <f>'C1-Incomes'!KX39/'C1-Incomes'!KU39*100</f>
        <v>6.0568235318256898</v>
      </c>
      <c r="BJ37" s="456">
        <f>'C1-Incomes'!KY39/'C1-Incomes'!KU39*100</f>
        <v>4.2665871089969594</v>
      </c>
      <c r="BK37" s="456">
        <f>'C1-Incomes'!KZ39/'C1-Incomes'!KU39*100</f>
        <v>2.1097808673111715</v>
      </c>
      <c r="BL37" s="456">
        <f>'C1-Incomes'!LA39/'C1-Incomes'!KU39*100</f>
        <v>0.77890044353859678</v>
      </c>
    </row>
    <row r="38" spans="1:64" s="452" customFormat="1" ht="12" x14ac:dyDescent="0.25">
      <c r="A38" s="239">
        <v>1992</v>
      </c>
      <c r="B38" s="456">
        <f t="shared" si="0"/>
        <v>60.087544994421549</v>
      </c>
      <c r="C38" s="456">
        <f>SUM('C1-Incomes'!JH40,'C1-Incomes'!JP40,'C1-Incomes'!JX40,'C1-Incomes'!KF40,'C1-Incomes'!KN40,'C1-Incomes'!KV40)/SUM('C1-Incomes'!$JG40,'C1-Incomes'!$JO40,'C1-Incomes'!$JW40,'C1-Incomes'!$KE40,'C1-Incomes'!$KM40,'C1-Incomes'!$KU40)*100</f>
        <v>39.912455005578451</v>
      </c>
      <c r="D38" s="456">
        <f>SUM('C1-Incomes'!JI40,'C1-Incomes'!JQ40,'C1-Incomes'!JY40,'C1-Incomes'!KG40,'C1-Incomes'!KO40,'C1-Incomes'!KW40)/SUM('C1-Incomes'!$JG40,'C1-Incomes'!$JO40,'C1-Incomes'!$JW40,'C1-Incomes'!$KE40,'C1-Incomes'!$KM40,'C1-Incomes'!$KU40)*100</f>
        <v>28.513455112121356</v>
      </c>
      <c r="E38" s="456">
        <f>SUM('C1-Incomes'!JJ40,'C1-Incomes'!JR40,'C1-Incomes'!JZ40,'C1-Incomes'!KH40,'C1-Incomes'!KP40,'C1-Incomes'!KX40)/SUM('C1-Incomes'!$JG40,'C1-Incomes'!$JO40,'C1-Incomes'!$JW40,'C1-Incomes'!$KE40,'C1-Incomes'!$KM40,'C1-Incomes'!$KU40)*100</f>
        <v>14.197982595877978</v>
      </c>
      <c r="F38" s="456">
        <f>SUM('C1-Incomes'!JK40,'C1-Incomes'!JS40,'C1-Incomes'!KA40,'C1-Incomes'!KI40,'C1-Incomes'!KQ40,'C1-Incomes'!KY40)/SUM('C1-Incomes'!$JG40,'C1-Incomes'!$JO40,'C1-Incomes'!$JW40,'C1-Incomes'!$KE40,'C1-Incomes'!$KM40,'C1-Incomes'!$KU40)*100</f>
        <v>10.896752582026973</v>
      </c>
      <c r="G38" s="456">
        <f>SUM('C1-Incomes'!JL40,'C1-Incomes'!JT40,'C1-Incomes'!KB40,'C1-Incomes'!KJ40,'C1-Incomes'!KR40,'C1-Incomes'!KZ40)/SUM('C1-Incomes'!$JG40,'C1-Incomes'!$JO40,'C1-Incomes'!$JW40,'C1-Incomes'!$KE40,'C1-Incomes'!$KM40,'C1-Incomes'!$KU40)*100</f>
        <v>6.0724754647296209</v>
      </c>
      <c r="H38" s="456">
        <f>SUM('C1-Incomes'!JM40,'C1-Incomes'!JU40,'C1-Incomes'!KC40,'C1-Incomes'!KK40,'C1-Incomes'!KS40,'C1-Incomes'!LA40)/SUM('C1-Incomes'!$JG40,'C1-Incomes'!$JO40,'C1-Incomes'!$JW40,'C1-Incomes'!$KE40,'C1-Incomes'!$KM40,'C1-Incomes'!$KU40)*100</f>
        <v>2.5215880195872651</v>
      </c>
      <c r="I38" s="239"/>
      <c r="J38" s="456">
        <f t="shared" si="1"/>
        <v>42.432224459064258</v>
      </c>
      <c r="K38" s="456">
        <f>'C1-Incomes'!JH40/'C1-Incomes'!JG40*100</f>
        <v>57.567775540935742</v>
      </c>
      <c r="L38" s="456">
        <f>'C1-Incomes'!JI40/'C1-Incomes'!JG40*100</f>
        <v>45.419104455120454</v>
      </c>
      <c r="M38" s="456">
        <f>'C1-Incomes'!JJ40/'C1-Incomes'!JG40*100</f>
        <v>26.771430346945436</v>
      </c>
      <c r="N38" s="456">
        <f>'C1-Incomes'!JK40/'C1-Incomes'!JG40*100</f>
        <v>21.278842395188658</v>
      </c>
      <c r="O38" s="456">
        <f>'C1-Incomes'!JL40/'C1-Incomes'!JG40*100</f>
        <v>12.233329082637352</v>
      </c>
      <c r="P38" s="456">
        <f>'C1-Incomes'!JM40/'C1-Incomes'!JG40*100</f>
        <v>5.1349803700006778</v>
      </c>
      <c r="Q38" s="458"/>
      <c r="R38" s="456">
        <f t="shared" si="2"/>
        <v>46.350096696212731</v>
      </c>
      <c r="S38" s="456">
        <f>'C1-Incomes'!JP40/'C1-Incomes'!JO40*100</f>
        <v>53.649903303787269</v>
      </c>
      <c r="T38" s="456">
        <f>'C1-Incomes'!JQ40/'C1-Incomes'!JO40*100</f>
        <v>41.880939747626208</v>
      </c>
      <c r="U38" s="456">
        <f>'C1-Incomes'!JR40/'C1-Incomes'!JO40*100</f>
        <v>23.391410128180631</v>
      </c>
      <c r="V38" s="456">
        <f>'C1-Incomes'!JS40/'C1-Incomes'!JO40*100</f>
        <v>18.347231306644957</v>
      </c>
      <c r="W38" s="456">
        <f>'C1-Incomes'!JT40/'C1-Incomes'!JO40*100</f>
        <v>10.487144961246749</v>
      </c>
      <c r="X38" s="456">
        <f>'C1-Incomes'!JU40/'C1-Incomes'!JO40*100</f>
        <v>4.2869687523364099</v>
      </c>
      <c r="Y38" s="458"/>
      <c r="Z38" s="456">
        <f t="shared" si="3"/>
        <v>53.969283828858195</v>
      </c>
      <c r="AA38" s="456">
        <f>'C1-Incomes'!JX40/'C1-Incomes'!JW40*100</f>
        <v>46.030716171141805</v>
      </c>
      <c r="AB38" s="456">
        <f>'C1-Incomes'!JY40/'C1-Incomes'!JW40*100</f>
        <v>33.949771654259592</v>
      </c>
      <c r="AC38" s="456">
        <f>'C1-Incomes'!JZ40/'C1-Incomes'!JW40*100</f>
        <v>16.662745076337611</v>
      </c>
      <c r="AD38" s="456">
        <f>'C1-Incomes'!KA40/'C1-Incomes'!JW40*100</f>
        <v>12.999732439316524</v>
      </c>
      <c r="AE38" s="456">
        <f>'C1-Incomes'!KB40/'C1-Incomes'!JW40*100</f>
        <v>7.7848817335536777</v>
      </c>
      <c r="AF38" s="456">
        <f>'C1-Incomes'!KC40/'C1-Incomes'!JW40*100</f>
        <v>3.5268109025577274</v>
      </c>
      <c r="AG38" s="458"/>
      <c r="AH38" s="456">
        <f t="shared" si="4"/>
        <v>58.013189235331971</v>
      </c>
      <c r="AI38" s="456">
        <f>'C1-Incomes'!KF40/'C1-Incomes'!KE40*100</f>
        <v>41.986810764668029</v>
      </c>
      <c r="AJ38" s="456">
        <f>'C1-Incomes'!KG40/'C1-Incomes'!KE40*100</f>
        <v>29.993497704104982</v>
      </c>
      <c r="AK38" s="456">
        <f>'C1-Incomes'!KH40/'C1-Incomes'!KE40*100</f>
        <v>14.358638304896781</v>
      </c>
      <c r="AL38" s="456">
        <f>'C1-Incomes'!KI40/'C1-Incomes'!KE40*100</f>
        <v>10.838352262682454</v>
      </c>
      <c r="AM38" s="456">
        <f>'C1-Incomes'!KJ40/'C1-Incomes'!KE40*100</f>
        <v>5.8914881370726224</v>
      </c>
      <c r="AN38" s="456">
        <f>'C1-Incomes'!KK40/'C1-Incomes'!KE40*100</f>
        <v>2.4423148511921453</v>
      </c>
      <c r="AP38" s="456">
        <f t="shared" si="5"/>
        <v>76.814821220384403</v>
      </c>
      <c r="AQ38" s="456">
        <f>'C1-Incomes'!KN40/'C1-Incomes'!KM40*100</f>
        <v>23.185178779615594</v>
      </c>
      <c r="AR38" s="456">
        <f>'C1-Incomes'!KO40/'C1-Incomes'!KM40*100</f>
        <v>12.419769348104019</v>
      </c>
      <c r="AS38" s="456">
        <f>'C1-Incomes'!KP40/'C1-Incomes'!KM40*100</f>
        <v>2.5490088161318352</v>
      </c>
      <c r="AT38" s="456">
        <f>'C1-Incomes'!KQ40/'C1-Incomes'!KM40*100</f>
        <v>1.2703935440403018</v>
      </c>
      <c r="AU38" s="456">
        <f>'C1-Incomes'!KR40/'C1-Incomes'!KM40*100</f>
        <v>0.26299485243705034</v>
      </c>
      <c r="AV38" s="456">
        <f>'C1-Incomes'!KS40/'C1-Incomes'!KM40*100</f>
        <v>2.6897244103688912E-2</v>
      </c>
      <c r="AW38" s="456"/>
      <c r="AX38" s="456">
        <f t="shared" si="7"/>
        <v>34.64280540721748</v>
      </c>
      <c r="AY38" s="456">
        <f>'C1-Incomes'!LL40/'C1-Incomes'!LK40*100</f>
        <v>65.35719459278252</v>
      </c>
      <c r="AZ38" s="456">
        <f>'C1-Incomes'!LM40/'C1-Incomes'!LK40*100</f>
        <v>55.036942311680917</v>
      </c>
      <c r="BA38" s="456">
        <f>'C1-Incomes'!LN40/'C1-Incomes'!LK40*100</f>
        <v>32.692510576954732</v>
      </c>
      <c r="BB38" s="456">
        <f>'C1-Incomes'!LO40/'C1-Incomes'!LK40*100</f>
        <v>25.176827545615698</v>
      </c>
      <c r="BC38" s="456">
        <f>'C1-Incomes'!LP40/'C1-Incomes'!LK40*100</f>
        <v>13.743828806141185</v>
      </c>
      <c r="BD38" s="456">
        <f>'C1-Incomes'!LQ40/'C1-Incomes'!LK40*100</f>
        <v>6.063234525672681</v>
      </c>
      <c r="BF38" s="456">
        <f t="shared" si="6"/>
        <v>72.789741513123971</v>
      </c>
      <c r="BG38" s="456">
        <f>'C1-Incomes'!KV40/'C1-Incomes'!KU40*100</f>
        <v>27.210258486876032</v>
      </c>
      <c r="BH38" s="456">
        <f>'C1-Incomes'!KW40/'C1-Incomes'!KU40*100</f>
        <v>16.860793201417966</v>
      </c>
      <c r="BI38" s="456">
        <f>'C1-Incomes'!KX40/'C1-Incomes'!KU40*100</f>
        <v>6.6036146486383052</v>
      </c>
      <c r="BJ38" s="456">
        <f>'C1-Incomes'!KY40/'C1-Incomes'!KU40*100</f>
        <v>4.7772214614908108</v>
      </c>
      <c r="BK38" s="456">
        <f>'C1-Incomes'!KZ40/'C1-Incomes'!KU40*100</f>
        <v>2.4713912836612839</v>
      </c>
      <c r="BL38" s="456">
        <f>'C1-Incomes'!LA40/'C1-Incomes'!KU40*100</f>
        <v>0.96152389947101957</v>
      </c>
    </row>
    <row r="39" spans="1:64" s="452" customFormat="1" ht="12" x14ac:dyDescent="0.25">
      <c r="A39" s="239">
        <v>1993</v>
      </c>
      <c r="B39" s="456">
        <f t="shared" si="0"/>
        <v>59.862391087043498</v>
      </c>
      <c r="C39" s="456">
        <f>SUM('C1-Incomes'!JH41,'C1-Incomes'!JP41,'C1-Incomes'!JX41,'C1-Incomes'!KF41,'C1-Incomes'!KN41,'C1-Incomes'!KV41)/SUM('C1-Incomes'!$JG41,'C1-Incomes'!$JO41,'C1-Incomes'!$JW41,'C1-Incomes'!$KE41,'C1-Incomes'!$KM41,'C1-Incomes'!$KU41)*100</f>
        <v>40.137608912956502</v>
      </c>
      <c r="D39" s="456">
        <f>SUM('C1-Incomes'!JI41,'C1-Incomes'!JQ41,'C1-Incomes'!JY41,'C1-Incomes'!KG41,'C1-Incomes'!KO41,'C1-Incomes'!KW41)/SUM('C1-Incomes'!$JG41,'C1-Incomes'!$JO41,'C1-Incomes'!$JW41,'C1-Incomes'!$KE41,'C1-Incomes'!$KM41,'C1-Incomes'!$KU41)*100</f>
        <v>28.798411440955572</v>
      </c>
      <c r="E39" s="456">
        <f>SUM('C1-Incomes'!JJ41,'C1-Incomes'!JR41,'C1-Incomes'!JZ41,'C1-Incomes'!KH41,'C1-Incomes'!KP41,'C1-Incomes'!KX41)/SUM('C1-Incomes'!$JG41,'C1-Incomes'!$JO41,'C1-Incomes'!$JW41,'C1-Incomes'!$KE41,'C1-Incomes'!$KM41,'C1-Incomes'!$KU41)*100</f>
        <v>14.376841178776395</v>
      </c>
      <c r="F39" s="456">
        <f>SUM('C1-Incomes'!JK41,'C1-Incomes'!JS41,'C1-Incomes'!KA41,'C1-Incomes'!KI41,'C1-Incomes'!KQ41,'C1-Incomes'!KY41)/SUM('C1-Incomes'!$JG41,'C1-Incomes'!$JO41,'C1-Incomes'!$JW41,'C1-Incomes'!$KE41,'C1-Incomes'!$KM41,'C1-Incomes'!$KU41)*100</f>
        <v>11.026828713346836</v>
      </c>
      <c r="G39" s="456">
        <f>SUM('C1-Incomes'!JL41,'C1-Incomes'!JT41,'C1-Incomes'!KB41,'C1-Incomes'!KJ41,'C1-Incomes'!KR41,'C1-Incomes'!KZ41)/SUM('C1-Incomes'!$JG41,'C1-Incomes'!$JO41,'C1-Incomes'!$JW41,'C1-Incomes'!$KE41,'C1-Incomes'!$KM41,'C1-Incomes'!$KU41)*100</f>
        <v>6.2064770145056718</v>
      </c>
      <c r="H39" s="456">
        <f>SUM('C1-Incomes'!JM41,'C1-Incomes'!JU41,'C1-Incomes'!KC41,'C1-Incomes'!KK41,'C1-Incomes'!KS41,'C1-Incomes'!LA41)/SUM('C1-Incomes'!$JG41,'C1-Incomes'!$JO41,'C1-Incomes'!$JW41,'C1-Incomes'!$KE41,'C1-Incomes'!$KM41,'C1-Incomes'!$KU41)*100</f>
        <v>2.569623076228758</v>
      </c>
      <c r="I39" s="239"/>
      <c r="J39" s="456">
        <f t="shared" si="1"/>
        <v>41.485479606212259</v>
      </c>
      <c r="K39" s="456">
        <f>'C1-Incomes'!JH41/'C1-Incomes'!JG41*100</f>
        <v>58.514520393787741</v>
      </c>
      <c r="L39" s="456">
        <f>'C1-Incomes'!JI41/'C1-Incomes'!JG41*100</f>
        <v>46.541254487476884</v>
      </c>
      <c r="M39" s="456">
        <f>'C1-Incomes'!JJ41/'C1-Incomes'!JG41*100</f>
        <v>27.857681710908139</v>
      </c>
      <c r="N39" s="456">
        <f>'C1-Incomes'!JK41/'C1-Incomes'!JG41*100</f>
        <v>22.211302560002419</v>
      </c>
      <c r="O39" s="456">
        <f>'C1-Incomes'!JL41/'C1-Incomes'!JG41*100</f>
        <v>12.948755334630418</v>
      </c>
      <c r="P39" s="456">
        <f>'C1-Incomes'!JM41/'C1-Incomes'!JG41*100</f>
        <v>5.3587564617047025</v>
      </c>
      <c r="Q39" s="458"/>
      <c r="R39" s="456">
        <f t="shared" si="2"/>
        <v>46.452302056362129</v>
      </c>
      <c r="S39" s="456">
        <f>'C1-Incomes'!JP41/'C1-Incomes'!JO41*100</f>
        <v>53.547697943637871</v>
      </c>
      <c r="T39" s="456">
        <f>'C1-Incomes'!JQ41/'C1-Incomes'!JO41*100</f>
        <v>41.751246603086756</v>
      </c>
      <c r="U39" s="456">
        <f>'C1-Incomes'!JR41/'C1-Incomes'!JO41*100</f>
        <v>23.189193195034598</v>
      </c>
      <c r="V39" s="456">
        <f>'C1-Incomes'!JS41/'C1-Incomes'!JO41*100</f>
        <v>18.162455175688361</v>
      </c>
      <c r="W39" s="456">
        <f>'C1-Incomes'!JT41/'C1-Incomes'!JO41*100</f>
        <v>10.524700121549536</v>
      </c>
      <c r="X39" s="456">
        <f>'C1-Incomes'!JU41/'C1-Incomes'!JO41*100</f>
        <v>4.407276536168089</v>
      </c>
      <c r="Y39" s="458"/>
      <c r="Z39" s="456">
        <f t="shared" si="3"/>
        <v>54.823410333640773</v>
      </c>
      <c r="AA39" s="456">
        <f>'C1-Incomes'!JX41/'C1-Incomes'!JW41*100</f>
        <v>45.176589666359227</v>
      </c>
      <c r="AB39" s="456">
        <f>'C1-Incomes'!JY41/'C1-Incomes'!JW41*100</f>
        <v>33.298889323882435</v>
      </c>
      <c r="AC39" s="456">
        <f>'C1-Incomes'!JZ41/'C1-Incomes'!JW41*100</f>
        <v>16.185619728211446</v>
      </c>
      <c r="AD39" s="456">
        <f>'C1-Incomes'!KA41/'C1-Incomes'!JW41*100</f>
        <v>12.58485191587067</v>
      </c>
      <c r="AE39" s="456">
        <f>'C1-Incomes'!KB41/'C1-Incomes'!JW41*100</f>
        <v>7.5404535656929834</v>
      </c>
      <c r="AF39" s="456">
        <f>'C1-Incomes'!KC41/'C1-Incomes'!JW41*100</f>
        <v>3.4586744864460459</v>
      </c>
      <c r="AG39" s="458"/>
      <c r="AH39" s="456">
        <f t="shared" si="4"/>
        <v>57.953396446588876</v>
      </c>
      <c r="AI39" s="456">
        <f>'C1-Incomes'!KF41/'C1-Incomes'!KE41*100</f>
        <v>42.046603553411124</v>
      </c>
      <c r="AJ39" s="456">
        <f>'C1-Incomes'!KG41/'C1-Incomes'!KE41*100</f>
        <v>30.036963163142278</v>
      </c>
      <c r="AK39" s="456">
        <f>'C1-Incomes'!KH41/'C1-Incomes'!KE41*100</f>
        <v>14.095824762678136</v>
      </c>
      <c r="AL39" s="456">
        <f>'C1-Incomes'!KI41/'C1-Incomes'!KE41*100</f>
        <v>10.559178828439467</v>
      </c>
      <c r="AM39" s="456">
        <f>'C1-Incomes'!KJ41/'C1-Incomes'!KE41*100</f>
        <v>5.7539321448236826</v>
      </c>
      <c r="AN39" s="456">
        <f>'C1-Incomes'!KK41/'C1-Incomes'!KE41*100</f>
        <v>2.4082484371339268</v>
      </c>
      <c r="AP39" s="456">
        <f t="shared" si="5"/>
        <v>76.927998783065021</v>
      </c>
      <c r="AQ39" s="456">
        <f>'C1-Incomes'!KN41/'C1-Incomes'!KM41*100</f>
        <v>23.072001216934975</v>
      </c>
      <c r="AR39" s="456">
        <f>'C1-Incomes'!KO41/'C1-Incomes'!KM41*100</f>
        <v>12.416306506072598</v>
      </c>
      <c r="AS39" s="456">
        <f>'C1-Incomes'!KP41/'C1-Incomes'!KM41*100</f>
        <v>2.5407459165036914</v>
      </c>
      <c r="AT39" s="456">
        <f>'C1-Incomes'!KQ41/'C1-Incomes'!KM41*100</f>
        <v>1.2539002913915593</v>
      </c>
      <c r="AU39" s="456">
        <f>'C1-Incomes'!KR41/'C1-Incomes'!KM41*100</f>
        <v>0.25814931072756903</v>
      </c>
      <c r="AV39" s="456">
        <f>'C1-Incomes'!KS41/'C1-Incomes'!KM41*100</f>
        <v>2.7083620815945435E-2</v>
      </c>
      <c r="AW39" s="456"/>
      <c r="AX39" s="456">
        <f t="shared" si="7"/>
        <v>34.832779341724788</v>
      </c>
      <c r="AY39" s="456">
        <f>'C1-Incomes'!LL41/'C1-Incomes'!LK41*100</f>
        <v>65.167220658275212</v>
      </c>
      <c r="AZ39" s="456">
        <f>'C1-Incomes'!LM41/'C1-Incomes'!LK41*100</f>
        <v>54.832877204173045</v>
      </c>
      <c r="BA39" s="456">
        <f>'C1-Incomes'!LN41/'C1-Incomes'!LK41*100</f>
        <v>32.133664688439076</v>
      </c>
      <c r="BB39" s="456">
        <f>'C1-Incomes'!LO41/'C1-Incomes'!LK41*100</f>
        <v>24.541140339059933</v>
      </c>
      <c r="BC39" s="456">
        <f>'C1-Incomes'!LP41/'C1-Incomes'!LK41*100</f>
        <v>13.491333928105686</v>
      </c>
      <c r="BD39" s="456">
        <f>'C1-Incomes'!LQ41/'C1-Incomes'!LK41*100</f>
        <v>5.9293565651754836</v>
      </c>
      <c r="BF39" s="456">
        <f t="shared" si="6"/>
        <v>73.281431232833711</v>
      </c>
      <c r="BG39" s="456">
        <f>'C1-Incomes'!KV41/'C1-Incomes'!KU41*100</f>
        <v>26.718568767166289</v>
      </c>
      <c r="BH39" s="456">
        <f>'C1-Incomes'!KW41/'C1-Incomes'!KU41*100</f>
        <v>16.235392089774781</v>
      </c>
      <c r="BI39" s="456">
        <f>'C1-Incomes'!KX41/'C1-Incomes'!KU41*100</f>
        <v>5.8533250255041986</v>
      </c>
      <c r="BJ39" s="456">
        <f>'C1-Incomes'!KY41/'C1-Incomes'!KU41*100</f>
        <v>4.0664403327316956</v>
      </c>
      <c r="BK39" s="456">
        <f>'C1-Incomes'!KZ41/'C1-Incomes'!KU41*100</f>
        <v>1.9949668756179861</v>
      </c>
      <c r="BL39" s="456">
        <f>'C1-Incomes'!LA41/'C1-Incomes'!KU41*100</f>
        <v>0.74678835282115663</v>
      </c>
    </row>
    <row r="40" spans="1:64" s="452" customFormat="1" ht="12" x14ac:dyDescent="0.25">
      <c r="A40" s="239">
        <v>1994</v>
      </c>
      <c r="B40" s="456">
        <f t="shared" si="0"/>
        <v>59.959744236907262</v>
      </c>
      <c r="C40" s="456">
        <f>SUM('C1-Incomes'!JH42,'C1-Incomes'!JP42,'C1-Incomes'!JX42,'C1-Incomes'!KF42,'C1-Incomes'!KN42,'C1-Incomes'!KV42)/SUM('C1-Incomes'!$JG42,'C1-Incomes'!$JO42,'C1-Incomes'!$JW42,'C1-Incomes'!$KE42,'C1-Incomes'!$KM42,'C1-Incomes'!$KU42)*100</f>
        <v>40.040255763092738</v>
      </c>
      <c r="D40" s="456">
        <f>SUM('C1-Incomes'!JI42,'C1-Incomes'!JQ42,'C1-Incomes'!JY42,'C1-Incomes'!KG42,'C1-Incomes'!KO42,'C1-Incomes'!KW42)/SUM('C1-Incomes'!$JG42,'C1-Incomes'!$JO42,'C1-Incomes'!$JW42,'C1-Incomes'!$KE42,'C1-Incomes'!$KM42,'C1-Incomes'!$KU42)*100</f>
        <v>28.799941096487892</v>
      </c>
      <c r="E40" s="456">
        <f>SUM('C1-Incomes'!JJ42,'C1-Incomes'!JR42,'C1-Incomes'!JZ42,'C1-Incomes'!KH42,'C1-Incomes'!KP42,'C1-Incomes'!KX42)/SUM('C1-Incomes'!$JG42,'C1-Incomes'!$JO42,'C1-Incomes'!$JW42,'C1-Incomes'!$KE42,'C1-Incomes'!$KM42,'C1-Incomes'!$KU42)*100</f>
        <v>14.446279056368965</v>
      </c>
      <c r="F40" s="456">
        <f>SUM('C1-Incomes'!JK42,'C1-Incomes'!JS42,'C1-Incomes'!KA42,'C1-Incomes'!KI42,'C1-Incomes'!KQ42,'C1-Incomes'!KY42)/SUM('C1-Incomes'!$JG42,'C1-Incomes'!$JO42,'C1-Incomes'!$JW42,'C1-Incomes'!$KE42,'C1-Incomes'!$KM42,'C1-Incomes'!$KU42)*100</f>
        <v>11.080560870786323</v>
      </c>
      <c r="G40" s="456">
        <f>SUM('C1-Incomes'!JL42,'C1-Incomes'!JT42,'C1-Incomes'!KB42,'C1-Incomes'!KJ42,'C1-Incomes'!KR42,'C1-Incomes'!KZ42)/SUM('C1-Incomes'!$JG42,'C1-Incomes'!$JO42,'C1-Incomes'!$JW42,'C1-Incomes'!$KE42,'C1-Incomes'!$KM42,'C1-Incomes'!$KU42)*100</f>
        <v>6.1914600565926969</v>
      </c>
      <c r="H40" s="456">
        <f>SUM('C1-Incomes'!JM42,'C1-Incomes'!JU42,'C1-Incomes'!KC42,'C1-Incomes'!KK42,'C1-Incomes'!KS42,'C1-Incomes'!LA42)/SUM('C1-Incomes'!$JG42,'C1-Incomes'!$JO42,'C1-Incomes'!$JW42,'C1-Incomes'!$KE42,'C1-Incomes'!$KM42,'C1-Incomes'!$KU42)*100</f>
        <v>2.5361763280547298</v>
      </c>
      <c r="I40" s="239"/>
      <c r="J40" s="456">
        <f t="shared" si="1"/>
        <v>41.557158959796872</v>
      </c>
      <c r="K40" s="456">
        <f>'C1-Incomes'!JH42/'C1-Incomes'!JG42*100</f>
        <v>58.442841040203128</v>
      </c>
      <c r="L40" s="456">
        <f>'C1-Incomes'!JI42/'C1-Incomes'!JG42*100</f>
        <v>46.41856982293853</v>
      </c>
      <c r="M40" s="456">
        <f>'C1-Incomes'!JJ42/'C1-Incomes'!JG42*100</f>
        <v>27.634559851155171</v>
      </c>
      <c r="N40" s="456">
        <f>'C1-Incomes'!JK42/'C1-Incomes'!JG42*100</f>
        <v>21.985112508211945</v>
      </c>
      <c r="O40" s="456">
        <f>'C1-Incomes'!JL42/'C1-Incomes'!JG42*100</f>
        <v>12.703887802237254</v>
      </c>
      <c r="P40" s="456">
        <f>'C1-Incomes'!JM42/'C1-Incomes'!JG42*100</f>
        <v>5.209498636601527</v>
      </c>
      <c r="Q40" s="458"/>
      <c r="R40" s="456">
        <f t="shared" si="2"/>
        <v>48.094441775315097</v>
      </c>
      <c r="S40" s="456">
        <f>'C1-Incomes'!JP42/'C1-Incomes'!JO42*100</f>
        <v>51.905558224684903</v>
      </c>
      <c r="T40" s="456">
        <f>'C1-Incomes'!JQ42/'C1-Incomes'!JO42*100</f>
        <v>39.988933885851537</v>
      </c>
      <c r="U40" s="456">
        <f>'C1-Incomes'!JR42/'C1-Incomes'!JO42*100</f>
        <v>21.863108810325926</v>
      </c>
      <c r="V40" s="456">
        <f>'C1-Incomes'!JS42/'C1-Incomes'!JO42*100</f>
        <v>16.869932234987584</v>
      </c>
      <c r="W40" s="456">
        <f>'C1-Incomes'!JT42/'C1-Incomes'!JO42*100</f>
        <v>9.5756633037981143</v>
      </c>
      <c r="X40" s="456">
        <f>'C1-Incomes'!JU42/'C1-Incomes'!JO42*100</f>
        <v>3.9295965395978532</v>
      </c>
      <c r="Y40" s="458"/>
      <c r="Z40" s="456">
        <f t="shared" si="3"/>
        <v>55.864430367577647</v>
      </c>
      <c r="AA40" s="456">
        <f>'C1-Incomes'!JX42/'C1-Incomes'!JW42*100</f>
        <v>44.135569632422353</v>
      </c>
      <c r="AB40" s="456">
        <f>'C1-Incomes'!JY42/'C1-Incomes'!JW42*100</f>
        <v>32.80657171731211</v>
      </c>
      <c r="AC40" s="456">
        <f>'C1-Incomes'!JZ42/'C1-Incomes'!JW42*100</f>
        <v>16.13109053054653</v>
      </c>
      <c r="AD40" s="456">
        <f>'C1-Incomes'!KA42/'C1-Incomes'!JW42*100</f>
        <v>12.692413752164523</v>
      </c>
      <c r="AE40" s="456">
        <f>'C1-Incomes'!KB42/'C1-Incomes'!JW42*100</f>
        <v>7.6456499122608896</v>
      </c>
      <c r="AF40" s="456">
        <f>'C1-Incomes'!KC42/'C1-Incomes'!JW42*100</f>
        <v>3.5326208871205931</v>
      </c>
      <c r="AG40" s="458"/>
      <c r="AH40" s="456">
        <f t="shared" si="4"/>
        <v>58.131001258034601</v>
      </c>
      <c r="AI40" s="456">
        <f>'C1-Incomes'!KF42/'C1-Incomes'!KE42*100</f>
        <v>41.868998741965399</v>
      </c>
      <c r="AJ40" s="456">
        <f>'C1-Incomes'!KG42/'C1-Incomes'!KE42*100</f>
        <v>30.137230291638733</v>
      </c>
      <c r="AK40" s="456">
        <f>'C1-Incomes'!KH42/'C1-Incomes'!KE42*100</f>
        <v>14.277648036694595</v>
      </c>
      <c r="AL40" s="456">
        <f>'C1-Incomes'!KI42/'C1-Incomes'!KE42*100</f>
        <v>10.841498342691942</v>
      </c>
      <c r="AM40" s="456">
        <f>'C1-Incomes'!KJ42/'C1-Incomes'!KE42*100</f>
        <v>5.9803192753037431</v>
      </c>
      <c r="AN40" s="456">
        <f>'C1-Incomes'!KK42/'C1-Incomes'!KE42*100</f>
        <v>2.4862082718407619</v>
      </c>
      <c r="AP40" s="456">
        <f t="shared" si="5"/>
        <v>76.115050635952755</v>
      </c>
      <c r="AQ40" s="456">
        <f>'C1-Incomes'!KN42/'C1-Incomes'!KM42*100</f>
        <v>23.884949364047248</v>
      </c>
      <c r="AR40" s="456">
        <f>'C1-Incomes'!KO42/'C1-Incomes'!KM42*100</f>
        <v>13.301320139585254</v>
      </c>
      <c r="AS40" s="456">
        <f>'C1-Incomes'!KP42/'C1-Incomes'!KM42*100</f>
        <v>3.4222478699195107</v>
      </c>
      <c r="AT40" s="456">
        <f>'C1-Incomes'!KQ42/'C1-Incomes'!KM42*100</f>
        <v>1.9668228974520834</v>
      </c>
      <c r="AU40" s="456">
        <f>'C1-Incomes'!KR42/'C1-Incomes'!KM42*100</f>
        <v>0.62501779755162923</v>
      </c>
      <c r="AV40" s="456">
        <f>'C1-Incomes'!KS42/'C1-Incomes'!KM42*100</f>
        <v>0.14257088272292817</v>
      </c>
      <c r="AW40" s="456"/>
      <c r="AX40" s="456">
        <f t="shared" si="7"/>
        <v>35.127897593434852</v>
      </c>
      <c r="AY40" s="456">
        <f>'C1-Incomes'!LL42/'C1-Incomes'!LK42*100</f>
        <v>64.872102406565148</v>
      </c>
      <c r="AZ40" s="456">
        <f>'C1-Incomes'!LM42/'C1-Incomes'!LK42*100</f>
        <v>54.470824032034805</v>
      </c>
      <c r="BA40" s="456">
        <f>'C1-Incomes'!LN42/'C1-Incomes'!LK42*100</f>
        <v>31.900787036780699</v>
      </c>
      <c r="BB40" s="456">
        <f>'C1-Incomes'!LO42/'C1-Incomes'!LK42*100</f>
        <v>24.309919825983783</v>
      </c>
      <c r="BC40" s="456">
        <f>'C1-Incomes'!LP42/'C1-Incomes'!LK42*100</f>
        <v>13.343392116867708</v>
      </c>
      <c r="BD40" s="456">
        <f>'C1-Incomes'!LQ42/'C1-Incomes'!LK42*100</f>
        <v>5.8291622256278428</v>
      </c>
      <c r="BF40" s="456">
        <f t="shared" si="6"/>
        <v>73.415388699974585</v>
      </c>
      <c r="BG40" s="456">
        <f>'C1-Incomes'!KV42/'C1-Incomes'!KU42*100</f>
        <v>26.584611300025419</v>
      </c>
      <c r="BH40" s="456">
        <f>'C1-Incomes'!KW42/'C1-Incomes'!KU42*100</f>
        <v>16.216063724687206</v>
      </c>
      <c r="BI40" s="456">
        <f>'C1-Incomes'!KX42/'C1-Incomes'!KU42*100</f>
        <v>5.8840037958595754</v>
      </c>
      <c r="BJ40" s="456">
        <f>'C1-Incomes'!KY42/'C1-Incomes'!KU42*100</f>
        <v>4.0766705905611884</v>
      </c>
      <c r="BK40" s="456">
        <f>'C1-Incomes'!KZ42/'C1-Incomes'!KU42*100</f>
        <v>2.0059865391024374</v>
      </c>
      <c r="BL40" s="456">
        <f>'C1-Incomes'!LA42/'C1-Incomes'!KU42*100</f>
        <v>0.75153590617674459</v>
      </c>
    </row>
    <row r="41" spans="1:64" s="452" customFormat="1" ht="12" x14ac:dyDescent="0.25">
      <c r="A41" s="239">
        <v>1995</v>
      </c>
      <c r="B41" s="456">
        <f t="shared" si="0"/>
        <v>59.043661421352823</v>
      </c>
      <c r="C41" s="456">
        <f>SUM('C1-Incomes'!JH43,'C1-Incomes'!JP43,'C1-Incomes'!JX43,'C1-Incomes'!KF43,'C1-Incomes'!KN43,'C1-Incomes'!KV43)/SUM('C1-Incomes'!$JG43,'C1-Incomes'!$JO43,'C1-Incomes'!$JW43,'C1-Incomes'!$KE43,'C1-Incomes'!$KM43,'C1-Incomes'!$KU43)*100</f>
        <v>40.956338578647177</v>
      </c>
      <c r="D41" s="456">
        <f>SUM('C1-Incomes'!JI43,'C1-Incomes'!JQ43,'C1-Incomes'!JY43,'C1-Incomes'!KG43,'C1-Incomes'!KO43,'C1-Incomes'!KW43)/SUM('C1-Incomes'!$JG43,'C1-Incomes'!$JO43,'C1-Incomes'!$JW43,'C1-Incomes'!$KE43,'C1-Incomes'!$KM43,'C1-Incomes'!$KU43)*100</f>
        <v>29.74767574332029</v>
      </c>
      <c r="E41" s="456">
        <f>SUM('C1-Incomes'!JJ43,'C1-Incomes'!JR43,'C1-Incomes'!JZ43,'C1-Incomes'!KH43,'C1-Incomes'!KP43,'C1-Incomes'!KX43)/SUM('C1-Incomes'!$JG43,'C1-Incomes'!$JO43,'C1-Incomes'!$JW43,'C1-Incomes'!$KE43,'C1-Incomes'!$KM43,'C1-Incomes'!$KU43)*100</f>
        <v>15.239777116131393</v>
      </c>
      <c r="F41" s="456">
        <f>SUM('C1-Incomes'!JK43,'C1-Incomes'!JS43,'C1-Incomes'!KA43,'C1-Incomes'!KI43,'C1-Incomes'!KQ43,'C1-Incomes'!KY43)/SUM('C1-Incomes'!$JG43,'C1-Incomes'!$JO43,'C1-Incomes'!$JW43,'C1-Incomes'!$KE43,'C1-Incomes'!$KM43,'C1-Incomes'!$KU43)*100</f>
        <v>11.79756991741275</v>
      </c>
      <c r="G41" s="456">
        <f>SUM('C1-Incomes'!JL43,'C1-Incomes'!JT43,'C1-Incomes'!KB43,'C1-Incomes'!KJ43,'C1-Incomes'!KR43,'C1-Incomes'!KZ43)/SUM('C1-Incomes'!$JG43,'C1-Incomes'!$JO43,'C1-Incomes'!$JW43,'C1-Incomes'!$KE43,'C1-Incomes'!$KM43,'C1-Incomes'!$KU43)*100</f>
        <v>6.6135037729033712</v>
      </c>
      <c r="H41" s="456">
        <f>SUM('C1-Incomes'!JM43,'C1-Incomes'!JU43,'C1-Incomes'!KC43,'C1-Incomes'!KK43,'C1-Incomes'!KS43,'C1-Incomes'!LA43)/SUM('C1-Incomes'!$JG43,'C1-Incomes'!$JO43,'C1-Incomes'!$JW43,'C1-Incomes'!$KE43,'C1-Incomes'!$KM43,'C1-Incomes'!$KU43)*100</f>
        <v>2.6823379417925031</v>
      </c>
      <c r="I41" s="239"/>
      <c r="J41" s="456">
        <f t="shared" si="1"/>
        <v>40.290994763708014</v>
      </c>
      <c r="K41" s="456">
        <f>'C1-Incomes'!JH43/'C1-Incomes'!JG43*100</f>
        <v>59.709005236291986</v>
      </c>
      <c r="L41" s="456">
        <f>'C1-Incomes'!JI43/'C1-Incomes'!JG43*100</f>
        <v>47.84935864045196</v>
      </c>
      <c r="M41" s="456">
        <f>'C1-Incomes'!JJ43/'C1-Incomes'!JG43*100</f>
        <v>28.92014243565318</v>
      </c>
      <c r="N41" s="456">
        <f>'C1-Incomes'!JK43/'C1-Incomes'!JG43*100</f>
        <v>23.164725146471081</v>
      </c>
      <c r="O41" s="456">
        <f>'C1-Incomes'!JL43/'C1-Incomes'!JG43*100</f>
        <v>13.391067090506958</v>
      </c>
      <c r="P41" s="456">
        <f>'C1-Incomes'!JM43/'C1-Incomes'!JG43*100</f>
        <v>5.4066070923375245</v>
      </c>
      <c r="Q41" s="458"/>
      <c r="R41" s="456">
        <f t="shared" si="2"/>
        <v>47.174554965551451</v>
      </c>
      <c r="S41" s="456">
        <f>'C1-Incomes'!JP43/'C1-Incomes'!JO43*100</f>
        <v>52.825445034448549</v>
      </c>
      <c r="T41" s="456">
        <f>'C1-Incomes'!JQ43/'C1-Incomes'!JO43*100</f>
        <v>41.161319051118596</v>
      </c>
      <c r="U41" s="456">
        <f>'C1-Incomes'!JR43/'C1-Incomes'!JO43*100</f>
        <v>22.824158179213953</v>
      </c>
      <c r="V41" s="456">
        <f>'C1-Incomes'!JS43/'C1-Incomes'!JO43*100</f>
        <v>17.862763218911287</v>
      </c>
      <c r="W41" s="456">
        <f>'C1-Incomes'!JT43/'C1-Incomes'!JO43*100</f>
        <v>10.159822410859174</v>
      </c>
      <c r="X41" s="456">
        <f>'C1-Incomes'!JU43/'C1-Incomes'!JO43*100</f>
        <v>4.0829059492219519</v>
      </c>
      <c r="Y41" s="458"/>
      <c r="Z41" s="456">
        <f t="shared" si="3"/>
        <v>55.20816746293373</v>
      </c>
      <c r="AA41" s="456">
        <f>'C1-Incomes'!JX43/'C1-Incomes'!JW43*100</f>
        <v>44.79183253706627</v>
      </c>
      <c r="AB41" s="456">
        <f>'C1-Incomes'!JY43/'C1-Incomes'!JW43*100</f>
        <v>33.506315779458888</v>
      </c>
      <c r="AC41" s="456">
        <f>'C1-Incomes'!JZ43/'C1-Incomes'!JW43*100</f>
        <v>16.784340058318634</v>
      </c>
      <c r="AD41" s="456">
        <f>'C1-Incomes'!KA43/'C1-Incomes'!JW43*100</f>
        <v>13.233729903470831</v>
      </c>
      <c r="AE41" s="456">
        <f>'C1-Incomes'!KB43/'C1-Incomes'!JW43*100</f>
        <v>7.9933748540748475</v>
      </c>
      <c r="AF41" s="456">
        <f>'C1-Incomes'!KC43/'C1-Incomes'!JW43*100</f>
        <v>3.6722025744539701</v>
      </c>
      <c r="AG41" s="458"/>
      <c r="AH41" s="456">
        <f t="shared" si="4"/>
        <v>57.174838004581247</v>
      </c>
      <c r="AI41" s="456">
        <f>'C1-Incomes'!KF43/'C1-Incomes'!KE43*100</f>
        <v>42.825161995418753</v>
      </c>
      <c r="AJ41" s="456">
        <f>'C1-Incomes'!KG43/'C1-Incomes'!KE43*100</f>
        <v>30.769415559817325</v>
      </c>
      <c r="AK41" s="456">
        <f>'C1-Incomes'!KH43/'C1-Incomes'!KE43*100</f>
        <v>14.783157691995404</v>
      </c>
      <c r="AL41" s="456">
        <f>'C1-Incomes'!KI43/'C1-Incomes'!KE43*100</f>
        <v>11.28318247936226</v>
      </c>
      <c r="AM41" s="456">
        <f>'C1-Incomes'!KJ43/'C1-Incomes'!KE43*100</f>
        <v>6.1970348729196312</v>
      </c>
      <c r="AN41" s="456">
        <f>'C1-Incomes'!KK43/'C1-Incomes'!KE43*100</f>
        <v>2.5882555509934289</v>
      </c>
      <c r="AP41" s="456">
        <f t="shared" si="5"/>
        <v>76.194372869031184</v>
      </c>
      <c r="AQ41" s="456">
        <f>'C1-Incomes'!KN43/'C1-Incomes'!KM43*100</f>
        <v>23.805627130968819</v>
      </c>
      <c r="AR41" s="456">
        <f>'C1-Incomes'!KO43/'C1-Incomes'!KM43*100</f>
        <v>13.302352604431505</v>
      </c>
      <c r="AS41" s="456">
        <f>'C1-Incomes'!KP43/'C1-Incomes'!KM43*100</f>
        <v>3.4938383659198076</v>
      </c>
      <c r="AT41" s="456">
        <f>'C1-Incomes'!KQ43/'C1-Incomes'!KM43*100</f>
        <v>2.047908571498994</v>
      </c>
      <c r="AU41" s="456">
        <f>'C1-Incomes'!KR43/'C1-Incomes'!KM43*100</f>
        <v>0.6763286307765688</v>
      </c>
      <c r="AV41" s="456">
        <f>'C1-Incomes'!KS43/'C1-Incomes'!KM43*100</f>
        <v>0.16558891071597034</v>
      </c>
      <c r="AW41" s="456"/>
      <c r="AX41" s="456">
        <f t="shared" si="7"/>
        <v>34.989049260941172</v>
      </c>
      <c r="AY41" s="456">
        <f>'C1-Incomes'!LL43/'C1-Incomes'!LK43*100</f>
        <v>65.010950739058828</v>
      </c>
      <c r="AZ41" s="456">
        <f>'C1-Incomes'!LM43/'C1-Incomes'!LK43*100</f>
        <v>54.581177930036432</v>
      </c>
      <c r="BA41" s="456">
        <f>'C1-Incomes'!LN43/'C1-Incomes'!LK43*100</f>
        <v>31.996045690902736</v>
      </c>
      <c r="BB41" s="456">
        <f>'C1-Incomes'!LO43/'C1-Incomes'!LK43*100</f>
        <v>24.404834729776933</v>
      </c>
      <c r="BC41" s="456">
        <f>'C1-Incomes'!LP43/'C1-Incomes'!LK43*100</f>
        <v>13.316172860921203</v>
      </c>
      <c r="BD41" s="456">
        <f>'C1-Incomes'!LQ43/'C1-Incomes'!LK43*100</f>
        <v>5.7869607540296419</v>
      </c>
      <c r="BF41" s="456">
        <f t="shared" si="6"/>
        <v>72.9984190140556</v>
      </c>
      <c r="BG41" s="456">
        <f>'C1-Incomes'!KV43/'C1-Incomes'!KU43*100</f>
        <v>27.001580985944397</v>
      </c>
      <c r="BH41" s="456">
        <f>'C1-Incomes'!KW43/'C1-Incomes'!KU43*100</f>
        <v>16.543362611053499</v>
      </c>
      <c r="BI41" s="456">
        <f>'C1-Incomes'!KX43/'C1-Incomes'!KU43*100</f>
        <v>6.0768332179589954</v>
      </c>
      <c r="BJ41" s="456">
        <f>'C1-Incomes'!KY43/'C1-Incomes'!KU43*100</f>
        <v>4.2550756791809059</v>
      </c>
      <c r="BK41" s="456">
        <f>'C1-Incomes'!KZ43/'C1-Incomes'!KU43*100</f>
        <v>2.0999064214711187</v>
      </c>
      <c r="BL41" s="456">
        <f>'C1-Incomes'!LA43/'C1-Incomes'!KU43*100</f>
        <v>0.78842938926389361</v>
      </c>
    </row>
    <row r="42" spans="1:64" s="452" customFormat="1" ht="12" x14ac:dyDescent="0.25">
      <c r="A42" s="239">
        <v>1996</v>
      </c>
      <c r="B42" s="456">
        <f t="shared" si="0"/>
        <v>58.071845517849212</v>
      </c>
      <c r="C42" s="456">
        <f>SUM('C1-Incomes'!JH44,'C1-Incomes'!JP44,'C1-Incomes'!JX44,'C1-Incomes'!KF44,'C1-Incomes'!KN44,'C1-Incomes'!KV44)/SUM('C1-Incomes'!$JG44,'C1-Incomes'!$JO44,'C1-Incomes'!$JW44,'C1-Incomes'!$KE44,'C1-Incomes'!$KM44,'C1-Incomes'!$KU44)*100</f>
        <v>41.928154482150788</v>
      </c>
      <c r="D42" s="456">
        <f>SUM('C1-Incomes'!JI44,'C1-Incomes'!JQ44,'C1-Incomes'!JY44,'C1-Incomes'!KG44,'C1-Incomes'!KO44,'C1-Incomes'!KW44)/SUM('C1-Incomes'!$JG44,'C1-Incomes'!$JO44,'C1-Incomes'!$JW44,'C1-Incomes'!$KE44,'C1-Incomes'!$KM44,'C1-Incomes'!$KU44)*100</f>
        <v>30.798677490120863</v>
      </c>
      <c r="E42" s="456">
        <f>SUM('C1-Incomes'!JJ44,'C1-Incomes'!JR44,'C1-Incomes'!JZ44,'C1-Incomes'!KH44,'C1-Incomes'!KP44,'C1-Incomes'!KX44)/SUM('C1-Incomes'!$JG44,'C1-Incomes'!$JO44,'C1-Incomes'!$JW44,'C1-Incomes'!$KE44,'C1-Incomes'!$KM44,'C1-Incomes'!$KU44)*100</f>
        <v>16.18569523001339</v>
      </c>
      <c r="F42" s="456">
        <f>SUM('C1-Incomes'!JK44,'C1-Incomes'!JS44,'C1-Incomes'!KA44,'C1-Incomes'!KI44,'C1-Incomes'!KQ44,'C1-Incomes'!KY44)/SUM('C1-Incomes'!$JG44,'C1-Incomes'!$JO44,'C1-Incomes'!$JW44,'C1-Incomes'!$KE44,'C1-Incomes'!$KM44,'C1-Incomes'!$KU44)*100</f>
        <v>12.646491340908383</v>
      </c>
      <c r="G42" s="456">
        <f>SUM('C1-Incomes'!JL44,'C1-Incomes'!JT44,'C1-Incomes'!KB44,'C1-Incomes'!KJ44,'C1-Incomes'!KR44,'C1-Incomes'!KZ44)/SUM('C1-Incomes'!$JG44,'C1-Incomes'!$JO44,'C1-Incomes'!$JW44,'C1-Incomes'!$KE44,'C1-Incomes'!$KM44,'C1-Incomes'!$KU44)*100</f>
        <v>7.1979937502025377</v>
      </c>
      <c r="H42" s="456">
        <f>SUM('C1-Incomes'!JM44,'C1-Incomes'!JU44,'C1-Incomes'!KC44,'C1-Incomes'!KK44,'C1-Incomes'!KS44,'C1-Incomes'!LA44)/SUM('C1-Incomes'!$JG44,'C1-Incomes'!$JO44,'C1-Incomes'!$JW44,'C1-Incomes'!$KE44,'C1-Incomes'!$KM44,'C1-Incomes'!$KU44)*100</f>
        <v>2.9917757145087509</v>
      </c>
      <c r="I42" s="239"/>
      <c r="J42" s="456">
        <f t="shared" si="1"/>
        <v>38.913704265047585</v>
      </c>
      <c r="K42" s="456">
        <f>'C1-Incomes'!JH44/'C1-Incomes'!JG44*100</f>
        <v>61.086295734952415</v>
      </c>
      <c r="L42" s="456">
        <f>'C1-Incomes'!JI44/'C1-Incomes'!JG44*100</f>
        <v>49.492786151215803</v>
      </c>
      <c r="M42" s="456">
        <f>'C1-Incomes'!JJ44/'C1-Incomes'!JG44*100</f>
        <v>30.536106970962123</v>
      </c>
      <c r="N42" s="456">
        <f>'C1-Incomes'!JK44/'C1-Incomes'!JG44*100</f>
        <v>24.660413057175042</v>
      </c>
      <c r="O42" s="456">
        <f>'C1-Incomes'!JL44/'C1-Incomes'!JG44*100</f>
        <v>14.512446508978774</v>
      </c>
      <c r="P42" s="456">
        <f>'C1-Incomes'!JM44/'C1-Incomes'!JG44*100</f>
        <v>6.0546477182146763</v>
      </c>
      <c r="Q42" s="458"/>
      <c r="R42" s="456">
        <f t="shared" si="2"/>
        <v>46.40642820712204</v>
      </c>
      <c r="S42" s="456">
        <f>'C1-Incomes'!JP44/'C1-Incomes'!JO44*100</f>
        <v>53.59357179287796</v>
      </c>
      <c r="T42" s="456">
        <f>'C1-Incomes'!JQ44/'C1-Incomes'!JO44*100</f>
        <v>42.230182715563622</v>
      </c>
      <c r="U42" s="456">
        <f>'C1-Incomes'!JR44/'C1-Incomes'!JO44*100</f>
        <v>24.115708131016948</v>
      </c>
      <c r="V42" s="456">
        <f>'C1-Incomes'!JS44/'C1-Incomes'!JO44*100</f>
        <v>19.022933263481743</v>
      </c>
      <c r="W42" s="456">
        <f>'C1-Incomes'!JT44/'C1-Incomes'!JO44*100</f>
        <v>10.969279497322951</v>
      </c>
      <c r="X42" s="456">
        <f>'C1-Incomes'!JU44/'C1-Incomes'!JO44*100</f>
        <v>4.5513434104131729</v>
      </c>
      <c r="Y42" s="458"/>
      <c r="Z42" s="456">
        <f t="shared" si="3"/>
        <v>55.059269956383112</v>
      </c>
      <c r="AA42" s="456">
        <f>'C1-Incomes'!JX44/'C1-Incomes'!JW44*100</f>
        <v>44.940730043616888</v>
      </c>
      <c r="AB42" s="456">
        <f>'C1-Incomes'!JY44/'C1-Incomes'!JW44*100</f>
        <v>33.2210343447532</v>
      </c>
      <c r="AC42" s="456">
        <f>'C1-Incomes'!JZ44/'C1-Incomes'!JW44*100</f>
        <v>16.58672343012309</v>
      </c>
      <c r="AD42" s="456">
        <f>'C1-Incomes'!KA44/'C1-Incomes'!JW44*100</f>
        <v>13.109801306614441</v>
      </c>
      <c r="AE42" s="456">
        <f>'C1-Incomes'!KB44/'C1-Incomes'!JW44*100</f>
        <v>7.8449742745498749</v>
      </c>
      <c r="AF42" s="456">
        <f>'C1-Incomes'!KC44/'C1-Incomes'!JW44*100</f>
        <v>3.5891978574740051</v>
      </c>
      <c r="AG42" s="458"/>
      <c r="AH42" s="456">
        <f t="shared" si="4"/>
        <v>56.925095737631516</v>
      </c>
      <c r="AI42" s="456">
        <f>'C1-Incomes'!KF44/'C1-Incomes'!KE44*100</f>
        <v>43.074904262368484</v>
      </c>
      <c r="AJ42" s="456">
        <f>'C1-Incomes'!KG44/'C1-Incomes'!KE44*100</f>
        <v>30.885911219417633</v>
      </c>
      <c r="AK42" s="456">
        <f>'C1-Incomes'!KH44/'C1-Incomes'!KE44*100</f>
        <v>14.763605242376251</v>
      </c>
      <c r="AL42" s="456">
        <f>'C1-Incomes'!KI44/'C1-Incomes'!KE44*100</f>
        <v>11.268388691326274</v>
      </c>
      <c r="AM42" s="456">
        <f>'C1-Incomes'!KJ44/'C1-Incomes'!KE44*100</f>
        <v>6.2026307869047113</v>
      </c>
      <c r="AN42" s="456">
        <f>'C1-Incomes'!KK44/'C1-Incomes'!KE44*100</f>
        <v>2.5945926088681901</v>
      </c>
      <c r="AP42" s="456">
        <f t="shared" si="5"/>
        <v>76.429316787100149</v>
      </c>
      <c r="AQ42" s="456">
        <f>'C1-Incomes'!KN44/'C1-Incomes'!KM44*100</f>
        <v>23.570683212899848</v>
      </c>
      <c r="AR42" s="456">
        <f>'C1-Incomes'!KO44/'C1-Incomes'!KM44*100</f>
        <v>13.254119419927044</v>
      </c>
      <c r="AS42" s="456">
        <f>'C1-Incomes'!KP44/'C1-Incomes'!KM44*100</f>
        <v>3.5646476270637018</v>
      </c>
      <c r="AT42" s="456">
        <f>'C1-Incomes'!KQ44/'C1-Incomes'!KM44*100</f>
        <v>2.1345064543625569</v>
      </c>
      <c r="AU42" s="456">
        <f>'C1-Incomes'!KR44/'C1-Incomes'!KM44*100</f>
        <v>0.73841353565732237</v>
      </c>
      <c r="AV42" s="456">
        <f>'C1-Incomes'!KS44/'C1-Incomes'!KM44*100</f>
        <v>0.19500988729008248</v>
      </c>
      <c r="AW42" s="456"/>
      <c r="AX42" s="456">
        <f t="shared" si="7"/>
        <v>35.060759917351788</v>
      </c>
      <c r="AY42" s="456">
        <f>'C1-Incomes'!LL44/'C1-Incomes'!LK44*100</f>
        <v>64.939240082648212</v>
      </c>
      <c r="AZ42" s="456">
        <f>'C1-Incomes'!LM44/'C1-Incomes'!LK44*100</f>
        <v>54.379973810471661</v>
      </c>
      <c r="BA42" s="456">
        <f>'C1-Incomes'!LN44/'C1-Incomes'!LK44*100</f>
        <v>31.764592566854176</v>
      </c>
      <c r="BB42" s="456">
        <f>'C1-Incomes'!LO44/'C1-Incomes'!LK44*100</f>
        <v>24.220656406317616</v>
      </c>
      <c r="BC42" s="456">
        <f>'C1-Incomes'!LP44/'C1-Incomes'!LK44*100</f>
        <v>13.14453903331891</v>
      </c>
      <c r="BD42" s="456">
        <f>'C1-Incomes'!LQ44/'C1-Incomes'!LK44*100</f>
        <v>5.7051123985287759</v>
      </c>
      <c r="BF42" s="456">
        <f t="shared" si="6"/>
        <v>72.711148782972231</v>
      </c>
      <c r="BG42" s="456">
        <f>'C1-Incomes'!KV44/'C1-Incomes'!KU44*100</f>
        <v>27.288851217027766</v>
      </c>
      <c r="BH42" s="456">
        <f>'C1-Incomes'!KW44/'C1-Incomes'!KU44*100</f>
        <v>16.834065593273493</v>
      </c>
      <c r="BI42" s="456">
        <f>'C1-Incomes'!KX44/'C1-Incomes'!KU44*100</f>
        <v>6.2409180336791801</v>
      </c>
      <c r="BJ42" s="456">
        <f>'C1-Incomes'!KY44/'C1-Incomes'!KU44*100</f>
        <v>4.3825688759178565</v>
      </c>
      <c r="BK42" s="456">
        <f>'C1-Incomes'!KZ44/'C1-Incomes'!KU44*100</f>
        <v>2.1793442528452607</v>
      </c>
      <c r="BL42" s="456">
        <f>'C1-Incomes'!LA44/'C1-Incomes'!KU44*100</f>
        <v>0.83602279863251239</v>
      </c>
    </row>
    <row r="43" spans="1:64" s="452" customFormat="1" ht="12" x14ac:dyDescent="0.25">
      <c r="A43" s="239">
        <v>1997</v>
      </c>
      <c r="B43" s="456">
        <f t="shared" si="0"/>
        <v>57.039290498774484</v>
      </c>
      <c r="C43" s="456">
        <f>SUM('C1-Incomes'!JH45,'C1-Incomes'!JP45,'C1-Incomes'!JX45,'C1-Incomes'!KF45,'C1-Incomes'!KN45,'C1-Incomes'!KV45)/SUM('C1-Incomes'!$JG45,'C1-Incomes'!$JO45,'C1-Incomes'!$JW45,'C1-Incomes'!$KE45,'C1-Incomes'!$KM45,'C1-Incomes'!$KU45)*100</f>
        <v>42.960709501225516</v>
      </c>
      <c r="D43" s="456">
        <f>SUM('C1-Incomes'!JI45,'C1-Incomes'!JQ45,'C1-Incomes'!JY45,'C1-Incomes'!KG45,'C1-Incomes'!KO45,'C1-Incomes'!KW45)/SUM('C1-Incomes'!$JG45,'C1-Incomes'!$JO45,'C1-Incomes'!$JW45,'C1-Incomes'!$KE45,'C1-Incomes'!$KM45,'C1-Incomes'!$KU45)*100</f>
        <v>31.886991294299914</v>
      </c>
      <c r="E43" s="456">
        <f>SUM('C1-Incomes'!JJ45,'C1-Incomes'!JR45,'C1-Incomes'!JZ45,'C1-Incomes'!KH45,'C1-Incomes'!KP45,'C1-Incomes'!KX45)/SUM('C1-Incomes'!$JG45,'C1-Incomes'!$JO45,'C1-Incomes'!$JW45,'C1-Incomes'!$KE45,'C1-Incomes'!$KM45,'C1-Incomes'!$KU45)*100</f>
        <v>17.136428178873</v>
      </c>
      <c r="F43" s="456">
        <f>SUM('C1-Incomes'!JK45,'C1-Incomes'!JS45,'C1-Incomes'!KA45,'C1-Incomes'!KI45,'C1-Incomes'!KQ45,'C1-Incomes'!KY45)/SUM('C1-Incomes'!$JG45,'C1-Incomes'!$JO45,'C1-Incomes'!$JW45,'C1-Incomes'!$KE45,'C1-Incomes'!$KM45,'C1-Incomes'!$KU45)*100</f>
        <v>13.422783764371026</v>
      </c>
      <c r="G43" s="456">
        <f>SUM('C1-Incomes'!JL45,'C1-Incomes'!JT45,'C1-Incomes'!KB45,'C1-Incomes'!KJ45,'C1-Incomes'!KR45,'C1-Incomes'!KZ45)/SUM('C1-Incomes'!$JG45,'C1-Incomes'!$JO45,'C1-Incomes'!$JW45,'C1-Incomes'!$KE45,'C1-Incomes'!$KM45,'C1-Incomes'!$KU45)*100</f>
        <v>7.7566047997265244</v>
      </c>
      <c r="H43" s="456">
        <f>SUM('C1-Incomes'!JM45,'C1-Incomes'!JU45,'C1-Incomes'!KC45,'C1-Incomes'!KK45,'C1-Incomes'!KS45,'C1-Incomes'!LA45)/SUM('C1-Incomes'!$JG45,'C1-Incomes'!$JO45,'C1-Incomes'!$JW45,'C1-Incomes'!$KE45,'C1-Incomes'!$KM45,'C1-Incomes'!$KU45)*100</f>
        <v>3.2062394883400023</v>
      </c>
      <c r="I43" s="239"/>
      <c r="J43" s="456">
        <f t="shared" si="1"/>
        <v>38.037250709683249</v>
      </c>
      <c r="K43" s="456">
        <f>'C1-Incomes'!JH45/'C1-Incomes'!JG45*100</f>
        <v>61.962749290316751</v>
      </c>
      <c r="L43" s="456">
        <f>'C1-Incomes'!JI45/'C1-Incomes'!JG45*100</f>
        <v>50.599116743016623</v>
      </c>
      <c r="M43" s="456">
        <f>'C1-Incomes'!JJ45/'C1-Incomes'!JG45*100</f>
        <v>31.621140069906783</v>
      </c>
      <c r="N43" s="456">
        <f>'C1-Incomes'!JK45/'C1-Incomes'!JG45*100</f>
        <v>25.552443237784651</v>
      </c>
      <c r="O43" s="456">
        <f>'C1-Incomes'!JL45/'C1-Incomes'!JG45*100</f>
        <v>15.212249665545938</v>
      </c>
      <c r="P43" s="456">
        <f>'C1-Incomes'!JM45/'C1-Incomes'!JG45*100</f>
        <v>6.2875949862859297</v>
      </c>
      <c r="Q43" s="458"/>
      <c r="R43" s="456">
        <f t="shared" si="2"/>
        <v>44.877581233492535</v>
      </c>
      <c r="S43" s="456">
        <f>'C1-Incomes'!JP45/'C1-Incomes'!JO45*100</f>
        <v>55.122418766507465</v>
      </c>
      <c r="T43" s="456">
        <f>'C1-Incomes'!JQ45/'C1-Incomes'!JO45*100</f>
        <v>43.666417222232049</v>
      </c>
      <c r="U43" s="456">
        <f>'C1-Incomes'!JR45/'C1-Incomes'!JO45*100</f>
        <v>25.413719810786279</v>
      </c>
      <c r="V43" s="456">
        <f>'C1-Incomes'!JS45/'C1-Incomes'!JO45*100</f>
        <v>20.17049052350561</v>
      </c>
      <c r="W43" s="456">
        <f>'C1-Incomes'!JT45/'C1-Incomes'!JO45*100</f>
        <v>11.841688336875864</v>
      </c>
      <c r="X43" s="456">
        <f>'C1-Incomes'!JU45/'C1-Incomes'!JO45*100</f>
        <v>4.9687347841021401</v>
      </c>
      <c r="Y43" s="458"/>
      <c r="Z43" s="456">
        <f t="shared" si="3"/>
        <v>53.77067417979908</v>
      </c>
      <c r="AA43" s="456">
        <f>'C1-Incomes'!JX45/'C1-Incomes'!JW45*100</f>
        <v>46.22932582020092</v>
      </c>
      <c r="AB43" s="456">
        <f>'C1-Incomes'!JY45/'C1-Incomes'!JW45*100</f>
        <v>34.271959766330603</v>
      </c>
      <c r="AC43" s="456">
        <f>'C1-Incomes'!JZ45/'C1-Incomes'!JW45*100</f>
        <v>17.473911822283124</v>
      </c>
      <c r="AD43" s="456">
        <f>'C1-Incomes'!KA45/'C1-Incomes'!JW45*100</f>
        <v>13.691865786921277</v>
      </c>
      <c r="AE43" s="456">
        <f>'C1-Incomes'!KB45/'C1-Incomes'!JW45*100</f>
        <v>8.3019283063863103</v>
      </c>
      <c r="AF43" s="456">
        <f>'C1-Incomes'!KC45/'C1-Incomes'!JW45*100</f>
        <v>3.7625566092133007</v>
      </c>
      <c r="AG43" s="458"/>
      <c r="AH43" s="456">
        <f t="shared" si="4"/>
        <v>56.126880646168587</v>
      </c>
      <c r="AI43" s="456">
        <f>'C1-Incomes'!KF45/'C1-Incomes'!KE45*100</f>
        <v>43.873119353831413</v>
      </c>
      <c r="AJ43" s="456">
        <f>'C1-Incomes'!KG45/'C1-Incomes'!KE45*100</f>
        <v>31.694440068484464</v>
      </c>
      <c r="AK43" s="456">
        <f>'C1-Incomes'!KH45/'C1-Incomes'!KE45*100</f>
        <v>15.542280385910992</v>
      </c>
      <c r="AL43" s="456">
        <f>'C1-Incomes'!KI45/'C1-Incomes'!KE45*100</f>
        <v>11.839644801824782</v>
      </c>
      <c r="AM43" s="456">
        <f>'C1-Incomes'!KJ45/'C1-Incomes'!KE45*100</f>
        <v>6.5736133358926505</v>
      </c>
      <c r="AN43" s="456">
        <f>'C1-Incomes'!KK45/'C1-Incomes'!KE45*100</f>
        <v>2.729705990779367</v>
      </c>
      <c r="AP43" s="456">
        <f t="shared" si="5"/>
        <v>76.383023625180712</v>
      </c>
      <c r="AQ43" s="456">
        <f>'C1-Incomes'!KN45/'C1-Incomes'!KM45*100</f>
        <v>23.616976374819291</v>
      </c>
      <c r="AR43" s="456">
        <f>'C1-Incomes'!KO45/'C1-Incomes'!KM45*100</f>
        <v>13.338269121394022</v>
      </c>
      <c r="AS43" s="456">
        <f>'C1-Incomes'!KP45/'C1-Incomes'!KM45*100</f>
        <v>3.6517667557064399</v>
      </c>
      <c r="AT43" s="456">
        <f>'C1-Incomes'!KQ45/'C1-Incomes'!KM45*100</f>
        <v>2.2225581085768722</v>
      </c>
      <c r="AU43" s="456">
        <f>'C1-Incomes'!KR45/'C1-Incomes'!KM45*100</f>
        <v>0.81191176399118881</v>
      </c>
      <c r="AV43" s="456">
        <f>'C1-Incomes'!KS45/'C1-Incomes'!KM45*100</f>
        <v>0.22687500330157367</v>
      </c>
      <c r="AW43" s="456"/>
      <c r="AX43" s="456">
        <f t="shared" si="7"/>
        <v>35.230481542225846</v>
      </c>
      <c r="AY43" s="456">
        <f>'C1-Incomes'!LL45/'C1-Incomes'!LK45*100</f>
        <v>64.769518457774154</v>
      </c>
      <c r="AZ43" s="456">
        <f>'C1-Incomes'!LM45/'C1-Incomes'!LK45*100</f>
        <v>54.21703347853488</v>
      </c>
      <c r="BA43" s="456">
        <f>'C1-Incomes'!LN45/'C1-Incomes'!LK45*100</f>
        <v>31.695015308815893</v>
      </c>
      <c r="BB43" s="456">
        <f>'C1-Incomes'!LO45/'C1-Incomes'!LK45*100</f>
        <v>24.07857657151331</v>
      </c>
      <c r="BC43" s="456">
        <f>'C1-Incomes'!LP45/'C1-Incomes'!LK45*100</f>
        <v>13.134464585156078</v>
      </c>
      <c r="BD43" s="456">
        <f>'C1-Incomes'!LQ45/'C1-Incomes'!LK45*100</f>
        <v>5.5920076277155779</v>
      </c>
      <c r="BF43" s="456">
        <f t="shared" si="6"/>
        <v>72.466833400933879</v>
      </c>
      <c r="BG43" s="456">
        <f>'C1-Incomes'!KV45/'C1-Incomes'!KU45*100</f>
        <v>27.533166599066121</v>
      </c>
      <c r="BH43" s="456">
        <f>'C1-Incomes'!KW45/'C1-Incomes'!KU45*100</f>
        <v>17.139476554152981</v>
      </c>
      <c r="BI43" s="456">
        <f>'C1-Incomes'!KX45/'C1-Incomes'!KU45*100</f>
        <v>6.4736995617506228</v>
      </c>
      <c r="BJ43" s="456">
        <f>'C1-Incomes'!KY45/'C1-Incomes'!KU45*100</f>
        <v>4.5840776482925092</v>
      </c>
      <c r="BK43" s="456">
        <f>'C1-Incomes'!KZ45/'C1-Incomes'!KU45*100</f>
        <v>2.3388169237960508</v>
      </c>
      <c r="BL43" s="456">
        <f>'C1-Incomes'!LA45/'C1-Incomes'!KU45*100</f>
        <v>0.89944970766886945</v>
      </c>
    </row>
    <row r="44" spans="1:64" s="452" customFormat="1" ht="12" x14ac:dyDescent="0.25">
      <c r="A44" s="239">
        <v>1998</v>
      </c>
      <c r="B44" s="456">
        <f t="shared" si="0"/>
        <v>56.23817979682341</v>
      </c>
      <c r="C44" s="456">
        <f>SUM('C1-Incomes'!JH46,'C1-Incomes'!JP46,'C1-Incomes'!JX46,'C1-Incomes'!KF46,'C1-Incomes'!KN46,'C1-Incomes'!KV46)/SUM('C1-Incomes'!$JG46,'C1-Incomes'!$JO46,'C1-Incomes'!$JW46,'C1-Incomes'!$KE46,'C1-Incomes'!$KM46,'C1-Incomes'!$KU46)*100</f>
        <v>43.76182020317659</v>
      </c>
      <c r="D44" s="456">
        <f>SUM('C1-Incomes'!JI46,'C1-Incomes'!JQ46,'C1-Incomes'!JY46,'C1-Incomes'!KG46,'C1-Incomes'!KO46,'C1-Incomes'!KW46)/SUM('C1-Incomes'!$JG46,'C1-Incomes'!$JO46,'C1-Incomes'!$JW46,'C1-Incomes'!$KE46,'C1-Incomes'!$KM46,'C1-Incomes'!$KU46)*100</f>
        <v>32.787588402003465</v>
      </c>
      <c r="E44" s="456">
        <f>SUM('C1-Incomes'!JJ46,'C1-Incomes'!JR46,'C1-Incomes'!JZ46,'C1-Incomes'!KH46,'C1-Incomes'!KP46,'C1-Incomes'!KX46)/SUM('C1-Incomes'!$JG46,'C1-Incomes'!$JO46,'C1-Incomes'!$JW46,'C1-Incomes'!$KE46,'C1-Incomes'!$KM46,'C1-Incomes'!$KU46)*100</f>
        <v>17.922494365468825</v>
      </c>
      <c r="F44" s="456">
        <f>SUM('C1-Incomes'!JK46,'C1-Incomes'!JS46,'C1-Incomes'!KA46,'C1-Incomes'!KI46,'C1-Incomes'!KQ46,'C1-Incomes'!KY46)/SUM('C1-Incomes'!$JG46,'C1-Incomes'!$JO46,'C1-Incomes'!$JW46,'C1-Incomes'!$KE46,'C1-Incomes'!$KM46,'C1-Incomes'!$KU46)*100</f>
        <v>14.161593272864872</v>
      </c>
      <c r="G44" s="456">
        <f>SUM('C1-Incomes'!JL46,'C1-Incomes'!JT46,'C1-Incomes'!KB46,'C1-Incomes'!KJ46,'C1-Incomes'!KR46,'C1-Incomes'!KZ46)/SUM('C1-Incomes'!$JG46,'C1-Incomes'!$JO46,'C1-Incomes'!$JW46,'C1-Incomes'!$KE46,'C1-Incomes'!$KM46,'C1-Incomes'!$KU46)*100</f>
        <v>8.2525820692160945</v>
      </c>
      <c r="H44" s="456">
        <f>SUM('C1-Incomes'!JM46,'C1-Incomes'!JU46,'C1-Incomes'!KC46,'C1-Incomes'!KK46,'C1-Incomes'!KS46,'C1-Incomes'!LA46)/SUM('C1-Incomes'!$JG46,'C1-Incomes'!$JO46,'C1-Incomes'!$JW46,'C1-Incomes'!$KE46,'C1-Incomes'!$KM46,'C1-Incomes'!$KU46)*100</f>
        <v>3.362959819865166</v>
      </c>
      <c r="I44" s="239"/>
      <c r="J44" s="456">
        <f t="shared" si="1"/>
        <v>36.628310904779724</v>
      </c>
      <c r="K44" s="456">
        <f>'C1-Incomes'!JH46/'C1-Incomes'!JG46*100</f>
        <v>63.371689095220276</v>
      </c>
      <c r="L44" s="456">
        <f>'C1-Incomes'!JI46/'C1-Incomes'!JG46*100</f>
        <v>52.045033256147597</v>
      </c>
      <c r="M44" s="456">
        <f>'C1-Incomes'!JJ46/'C1-Incomes'!JG46*100</f>
        <v>32.764793920108296</v>
      </c>
      <c r="N44" s="456">
        <f>'C1-Incomes'!JK46/'C1-Incomes'!JG46*100</f>
        <v>26.643267287834572</v>
      </c>
      <c r="O44" s="456">
        <f>'C1-Incomes'!JL46/'C1-Incomes'!JG46*100</f>
        <v>15.966708298294019</v>
      </c>
      <c r="P44" s="456">
        <f>'C1-Incomes'!JM46/'C1-Incomes'!JG46*100</f>
        <v>6.5391754190386964</v>
      </c>
      <c r="Q44" s="458"/>
      <c r="R44" s="456">
        <f t="shared" si="2"/>
        <v>44.230904582727185</v>
      </c>
      <c r="S44" s="456">
        <f>'C1-Incomes'!JP46/'C1-Incomes'!JO46*100</f>
        <v>55.769095417272815</v>
      </c>
      <c r="T44" s="456">
        <f>'C1-Incomes'!JQ46/'C1-Incomes'!JO46*100</f>
        <v>44.550134054392743</v>
      </c>
      <c r="U44" s="456">
        <f>'C1-Incomes'!JR46/'C1-Incomes'!JO46*100</f>
        <v>26.413012665698261</v>
      </c>
      <c r="V44" s="456">
        <f>'C1-Incomes'!JS46/'C1-Incomes'!JO46*100</f>
        <v>21.027247752659957</v>
      </c>
      <c r="W44" s="456">
        <f>'C1-Incomes'!JT46/'C1-Incomes'!JO46*100</f>
        <v>12.376560732635951</v>
      </c>
      <c r="X44" s="456">
        <f>'C1-Incomes'!JU46/'C1-Incomes'!JO46*100</f>
        <v>4.9837577554631878</v>
      </c>
      <c r="Y44" s="458"/>
      <c r="Z44" s="456">
        <f t="shared" si="3"/>
        <v>53.565738959897203</v>
      </c>
      <c r="AA44" s="456">
        <f>'C1-Incomes'!JX46/'C1-Incomes'!JW46*100</f>
        <v>46.434261040102797</v>
      </c>
      <c r="AB44" s="456">
        <f>'C1-Incomes'!JY46/'C1-Incomes'!JW46*100</f>
        <v>34.453847474132687</v>
      </c>
      <c r="AC44" s="456">
        <f>'C1-Incomes'!JZ46/'C1-Incomes'!JW46*100</f>
        <v>17.999536115056017</v>
      </c>
      <c r="AD44" s="456">
        <f>'C1-Incomes'!KA46/'C1-Incomes'!JW46*100</f>
        <v>14.299875020851649</v>
      </c>
      <c r="AE44" s="456">
        <f>'C1-Incomes'!KB46/'C1-Incomes'!JW46*100</f>
        <v>8.7290385428642292</v>
      </c>
      <c r="AF44" s="456">
        <f>'C1-Incomes'!KC46/'C1-Incomes'!JW46*100</f>
        <v>3.8386880593313952</v>
      </c>
      <c r="AG44" s="458"/>
      <c r="AH44" s="456">
        <f t="shared" si="4"/>
        <v>55.506734620018989</v>
      </c>
      <c r="AI44" s="456">
        <f>'C1-Incomes'!KF46/'C1-Incomes'!KE46*100</f>
        <v>44.493265379981011</v>
      </c>
      <c r="AJ44" s="456">
        <f>'C1-Incomes'!KG46/'C1-Incomes'!KE46*100</f>
        <v>32.359923831520923</v>
      </c>
      <c r="AK44" s="456">
        <f>'C1-Incomes'!KH46/'C1-Incomes'!KE46*100</f>
        <v>16.024630446585945</v>
      </c>
      <c r="AL44" s="456">
        <f>'C1-Incomes'!KI46/'C1-Incomes'!KE46*100</f>
        <v>12.324523637557594</v>
      </c>
      <c r="AM44" s="456">
        <f>'C1-Incomes'!KJ46/'C1-Incomes'!KE46*100</f>
        <v>6.864387693815269</v>
      </c>
      <c r="AN44" s="456">
        <f>'C1-Incomes'!KK46/'C1-Incomes'!KE46*100</f>
        <v>2.777434084341178</v>
      </c>
      <c r="AP44" s="456">
        <f t="shared" si="5"/>
        <v>76.38730082088378</v>
      </c>
      <c r="AQ44" s="456">
        <f>'C1-Incomes'!KN46/'C1-Incomes'!KM46*100</f>
        <v>23.612699179116213</v>
      </c>
      <c r="AR44" s="456">
        <f>'C1-Incomes'!KO46/'C1-Incomes'!KM46*100</f>
        <v>13.457620314307468</v>
      </c>
      <c r="AS44" s="456">
        <f>'C1-Incomes'!KP46/'C1-Incomes'!KM46*100</f>
        <v>3.7556164087286596</v>
      </c>
      <c r="AT44" s="456">
        <f>'C1-Incomes'!KQ46/'C1-Incomes'!KM46*100</f>
        <v>2.3273630863139712</v>
      </c>
      <c r="AU44" s="456">
        <f>'C1-Incomes'!KR46/'C1-Incomes'!KM46*100</f>
        <v>0.90013797560975073</v>
      </c>
      <c r="AV44" s="456">
        <f>'C1-Incomes'!KS46/'C1-Incomes'!KM46*100</f>
        <v>0.27699547862768403</v>
      </c>
      <c r="AW44" s="456"/>
      <c r="AX44" s="456">
        <f t="shared" si="7"/>
        <v>35.824235906831717</v>
      </c>
      <c r="AY44" s="456">
        <f>'C1-Incomes'!LL46/'C1-Incomes'!LK46*100</f>
        <v>64.175764093168283</v>
      </c>
      <c r="AZ44" s="456">
        <f>'C1-Incomes'!LM46/'C1-Incomes'!LK46*100</f>
        <v>53.656590239557936</v>
      </c>
      <c r="BA44" s="456">
        <f>'C1-Incomes'!LN46/'C1-Incomes'!LK46*100</f>
        <v>31.311558766708853</v>
      </c>
      <c r="BB44" s="456">
        <f>'C1-Incomes'!LO46/'C1-Incomes'!LK46*100</f>
        <v>23.877615843855153</v>
      </c>
      <c r="BC44" s="456">
        <f>'C1-Incomes'!LP46/'C1-Incomes'!LK46*100</f>
        <v>12.780108394406199</v>
      </c>
      <c r="BD44" s="456">
        <f>'C1-Incomes'!LQ46/'C1-Incomes'!LK46*100</f>
        <v>5.2915134140091995</v>
      </c>
      <c r="BF44" s="456">
        <f t="shared" si="6"/>
        <v>72.593800621767357</v>
      </c>
      <c r="BG44" s="456">
        <f>'C1-Incomes'!KV46/'C1-Incomes'!KU46*100</f>
        <v>27.406199378232643</v>
      </c>
      <c r="BH44" s="456">
        <f>'C1-Incomes'!KW46/'C1-Incomes'!KU46*100</f>
        <v>17.199573779850336</v>
      </c>
      <c r="BI44" s="456">
        <f>'C1-Incomes'!KX46/'C1-Incomes'!KU46*100</f>
        <v>6.5818584287076778</v>
      </c>
      <c r="BJ44" s="456">
        <f>'C1-Incomes'!KY46/'C1-Incomes'!KU46*100</f>
        <v>4.7201452762187746</v>
      </c>
      <c r="BK44" s="456">
        <f>'C1-Incomes'!KZ46/'C1-Incomes'!KU46*100</f>
        <v>2.45576973286013</v>
      </c>
      <c r="BL44" s="456">
        <f>'C1-Incomes'!LA46/'C1-Incomes'!KU46*100</f>
        <v>0.95501639705073171</v>
      </c>
    </row>
    <row r="45" spans="1:64" s="452" customFormat="1" ht="12" x14ac:dyDescent="0.25">
      <c r="A45" s="239">
        <v>1999</v>
      </c>
      <c r="B45" s="456">
        <f t="shared" si="0"/>
        <v>55.496931039435111</v>
      </c>
      <c r="C45" s="456">
        <f>SUM('C1-Incomes'!JH47,'C1-Incomes'!JP47,'C1-Incomes'!JX47,'C1-Incomes'!KF47,'C1-Incomes'!KN47,'C1-Incomes'!KV47)/SUM('C1-Incomes'!$JG47,'C1-Incomes'!$JO47,'C1-Incomes'!$JW47,'C1-Incomes'!$KE47,'C1-Incomes'!$KM47,'C1-Incomes'!$KU47)*100</f>
        <v>44.503068960564889</v>
      </c>
      <c r="D45" s="456">
        <f>SUM('C1-Incomes'!JI47,'C1-Incomes'!JQ47,'C1-Incomes'!JY47,'C1-Incomes'!KG47,'C1-Incomes'!KO47,'C1-Incomes'!KW47)/SUM('C1-Incomes'!$JG47,'C1-Incomes'!$JO47,'C1-Incomes'!$JW47,'C1-Incomes'!$KE47,'C1-Incomes'!$KM47,'C1-Incomes'!$KU47)*100</f>
        <v>33.583833969726747</v>
      </c>
      <c r="E45" s="456">
        <f>SUM('C1-Incomes'!JJ47,'C1-Incomes'!JR47,'C1-Incomes'!JZ47,'C1-Incomes'!KH47,'C1-Incomes'!KP47,'C1-Incomes'!KX47)/SUM('C1-Incomes'!$JG47,'C1-Incomes'!$JO47,'C1-Incomes'!$JW47,'C1-Incomes'!$KE47,'C1-Incomes'!$KM47,'C1-Incomes'!$KU47)*100</f>
        <v>18.721381004989443</v>
      </c>
      <c r="F45" s="456">
        <f>SUM('C1-Incomes'!JK47,'C1-Incomes'!JS47,'C1-Incomes'!KA47,'C1-Incomes'!KI47,'C1-Incomes'!KQ47,'C1-Incomes'!KY47)/SUM('C1-Incomes'!$JG47,'C1-Incomes'!$JO47,'C1-Incomes'!$JW47,'C1-Incomes'!$KE47,'C1-Incomes'!$KM47,'C1-Incomes'!$KU47)*100</f>
        <v>14.869331709899381</v>
      </c>
      <c r="G45" s="456">
        <f>SUM('C1-Incomes'!JL47,'C1-Incomes'!JT47,'C1-Incomes'!KB47,'C1-Incomes'!KJ47,'C1-Incomes'!KR47,'C1-Incomes'!KZ47)/SUM('C1-Incomes'!$JG47,'C1-Incomes'!$JO47,'C1-Incomes'!$JW47,'C1-Incomes'!$KE47,'C1-Incomes'!$KM47,'C1-Incomes'!$KU47)*100</f>
        <v>8.6843569172109163</v>
      </c>
      <c r="H45" s="456">
        <f>SUM('C1-Incomes'!JM47,'C1-Incomes'!JU47,'C1-Incomes'!KC47,'C1-Incomes'!KK47,'C1-Incomes'!KS47,'C1-Incomes'!LA47)/SUM('C1-Incomes'!$JG47,'C1-Incomes'!$JO47,'C1-Incomes'!$JW47,'C1-Incomes'!$KE47,'C1-Incomes'!$KM47,'C1-Incomes'!$KU47)*100</f>
        <v>3.56724513559571</v>
      </c>
      <c r="I45" s="239"/>
      <c r="J45" s="456">
        <f t="shared" si="1"/>
        <v>35.559970128641567</v>
      </c>
      <c r="K45" s="456">
        <f>'C1-Incomes'!JH47/'C1-Incomes'!JG47*100</f>
        <v>64.440029871358433</v>
      </c>
      <c r="L45" s="456">
        <f>'C1-Incomes'!JI47/'C1-Incomes'!JG47*100</f>
        <v>53.139778029589976</v>
      </c>
      <c r="M45" s="456">
        <f>'C1-Incomes'!JJ47/'C1-Incomes'!JG47*100</f>
        <v>33.792544173238845</v>
      </c>
      <c r="N45" s="456">
        <f>'C1-Incomes'!JK47/'C1-Incomes'!JG47*100</f>
        <v>27.549899816881762</v>
      </c>
      <c r="O45" s="456">
        <f>'C1-Incomes'!JL47/'C1-Incomes'!JG47*100</f>
        <v>16.549576916697561</v>
      </c>
      <c r="P45" s="456">
        <f>'C1-Incomes'!JM47/'C1-Incomes'!JG47*100</f>
        <v>6.8276564586489439</v>
      </c>
      <c r="Q45" s="458"/>
      <c r="R45" s="456">
        <f t="shared" si="2"/>
        <v>41.752325233078494</v>
      </c>
      <c r="S45" s="456">
        <f>'C1-Incomes'!JP47/'C1-Incomes'!JO47*100</f>
        <v>58.247674766921506</v>
      </c>
      <c r="T45" s="456">
        <f>'C1-Incomes'!JQ47/'C1-Incomes'!JO47*100</f>
        <v>46.841005538467861</v>
      </c>
      <c r="U45" s="456">
        <f>'C1-Incomes'!JR47/'C1-Incomes'!JO47*100</f>
        <v>28.146515795655162</v>
      </c>
      <c r="V45" s="456">
        <f>'C1-Incomes'!JS47/'C1-Incomes'!JO47*100</f>
        <v>22.677483210915629</v>
      </c>
      <c r="W45" s="456">
        <f>'C1-Incomes'!JT47/'C1-Incomes'!JO47*100</f>
        <v>13.481668018306461</v>
      </c>
      <c r="X45" s="456">
        <f>'C1-Incomes'!JU47/'C1-Incomes'!JO47*100</f>
        <v>5.4759190892397367</v>
      </c>
      <c r="Y45" s="458"/>
      <c r="Z45" s="456">
        <f t="shared" si="3"/>
        <v>53.674479247902511</v>
      </c>
      <c r="AA45" s="456">
        <f>'C1-Incomes'!JX47/'C1-Incomes'!JW47*100</f>
        <v>46.325520752097489</v>
      </c>
      <c r="AB45" s="456">
        <f>'C1-Incomes'!JY47/'C1-Incomes'!JW47*100</f>
        <v>34.89116976184151</v>
      </c>
      <c r="AC45" s="456">
        <f>'C1-Incomes'!JZ47/'C1-Incomes'!JW47*100</f>
        <v>19.142418744161731</v>
      </c>
      <c r="AD45" s="456">
        <f>'C1-Incomes'!KA47/'C1-Incomes'!JW47*100</f>
        <v>15.266184943481278</v>
      </c>
      <c r="AE45" s="456">
        <f>'C1-Incomes'!KB47/'C1-Incomes'!JW47*100</f>
        <v>9.0994658402392741</v>
      </c>
      <c r="AF45" s="456">
        <f>'C1-Incomes'!KC47/'C1-Incomes'!JW47*100</f>
        <v>3.9865233980649091</v>
      </c>
      <c r="AG45" s="458"/>
      <c r="AH45" s="456">
        <f t="shared" si="4"/>
        <v>55.536941161049839</v>
      </c>
      <c r="AI45" s="456">
        <f>'C1-Incomes'!KF47/'C1-Incomes'!KE47*100</f>
        <v>44.463058838950161</v>
      </c>
      <c r="AJ45" s="456">
        <f>'C1-Incomes'!KG47/'C1-Incomes'!KE47*100</f>
        <v>32.535524863822332</v>
      </c>
      <c r="AK45" s="456">
        <f>'C1-Incomes'!KH47/'C1-Incomes'!KE47*100</f>
        <v>16.502145202260039</v>
      </c>
      <c r="AL45" s="456">
        <f>'C1-Incomes'!KI47/'C1-Incomes'!KE47*100</f>
        <v>12.69715270846673</v>
      </c>
      <c r="AM45" s="456">
        <f>'C1-Incomes'!KJ47/'C1-Incomes'!KE47*100</f>
        <v>7.0003845693192233</v>
      </c>
      <c r="AN45" s="456">
        <f>'C1-Incomes'!KK47/'C1-Incomes'!KE47*100</f>
        <v>2.8210271092148713</v>
      </c>
      <c r="AP45" s="456">
        <f t="shared" si="5"/>
        <v>76.141919612501255</v>
      </c>
      <c r="AQ45" s="456">
        <f>'C1-Incomes'!KN47/'C1-Incomes'!KM47*100</f>
        <v>23.858080387498745</v>
      </c>
      <c r="AR45" s="456">
        <f>'C1-Incomes'!KO47/'C1-Incomes'!KM47*100</f>
        <v>13.638036145512086</v>
      </c>
      <c r="AS45" s="456">
        <f>'C1-Incomes'!KP47/'C1-Incomes'!KM47*100</f>
        <v>3.9006707090563126</v>
      </c>
      <c r="AT45" s="456">
        <f>'C1-Incomes'!KQ47/'C1-Incomes'!KM47*100</f>
        <v>2.4617656464555089</v>
      </c>
      <c r="AU45" s="456">
        <f>'C1-Incomes'!KR47/'C1-Incomes'!KM47*100</f>
        <v>1.0000867305588139</v>
      </c>
      <c r="AV45" s="456">
        <f>'C1-Incomes'!KS47/'C1-Incomes'!KM47*100</f>
        <v>0.34120937463353707</v>
      </c>
      <c r="AW45" s="456"/>
      <c r="AX45" s="456">
        <f t="shared" si="7"/>
        <v>36.11611872142759</v>
      </c>
      <c r="AY45" s="456">
        <f>'C1-Incomes'!LL47/'C1-Incomes'!LK47*100</f>
        <v>63.88388127857241</v>
      </c>
      <c r="AZ45" s="456">
        <f>'C1-Incomes'!LM47/'C1-Incomes'!LK47*100</f>
        <v>53.495813122735328</v>
      </c>
      <c r="BA45" s="456">
        <f>'C1-Incomes'!LN47/'C1-Incomes'!LK47*100</f>
        <v>31.263263129818824</v>
      </c>
      <c r="BB45" s="456">
        <f>'C1-Incomes'!LO47/'C1-Incomes'!LK47*100</f>
        <v>23.782118441084322</v>
      </c>
      <c r="BC45" s="456">
        <f>'C1-Incomes'!LP47/'C1-Incomes'!LK47*100</f>
        <v>12.716833617763248</v>
      </c>
      <c r="BD45" s="456">
        <f>'C1-Incomes'!LQ47/'C1-Incomes'!LK47*100</f>
        <v>5.2719731017572542</v>
      </c>
      <c r="BF45" s="456">
        <f t="shared" si="6"/>
        <v>72.664937658115477</v>
      </c>
      <c r="BG45" s="456">
        <f>'C1-Incomes'!KV47/'C1-Incomes'!KU47*100</f>
        <v>27.335062341884527</v>
      </c>
      <c r="BH45" s="456">
        <f>'C1-Incomes'!KW47/'C1-Incomes'!KU47*100</f>
        <v>17.196861520070051</v>
      </c>
      <c r="BI45" s="456">
        <f>'C1-Incomes'!KX47/'C1-Incomes'!KU47*100</f>
        <v>6.7111187616760075</v>
      </c>
      <c r="BJ45" s="456">
        <f>'C1-Incomes'!KY47/'C1-Incomes'!KU47*100</f>
        <v>4.8698996552613991</v>
      </c>
      <c r="BK45" s="456">
        <f>'C1-Incomes'!KZ47/'C1-Incomes'!KU47*100</f>
        <v>2.5787287063810829</v>
      </c>
      <c r="BL45" s="456">
        <f>'C1-Incomes'!LA47/'C1-Incomes'!KU47*100</f>
        <v>1.0268526353865461</v>
      </c>
    </row>
    <row r="46" spans="1:64" s="452" customFormat="1" ht="12" x14ac:dyDescent="0.25">
      <c r="A46" s="239">
        <v>2000</v>
      </c>
      <c r="B46" s="456">
        <f t="shared" si="0"/>
        <v>54.684469941713814</v>
      </c>
      <c r="C46" s="456">
        <f>SUM('C1-Incomes'!JH48,'C1-Incomes'!JP48,'C1-Incomes'!JX48,'C1-Incomes'!KF48,'C1-Incomes'!KN48,'C1-Incomes'!KV48)/SUM('C1-Incomes'!$JG48,'C1-Incomes'!$JO48,'C1-Incomes'!$JW48,'C1-Incomes'!$KE48,'C1-Incomes'!$KM48,'C1-Incomes'!$KU48)*100</f>
        <v>45.315530058286186</v>
      </c>
      <c r="D46" s="456">
        <f>SUM('C1-Incomes'!JI48,'C1-Incomes'!JQ48,'C1-Incomes'!JY48,'C1-Incomes'!KG48,'C1-Incomes'!KO48,'C1-Incomes'!KW48)/SUM('C1-Incomes'!$JG48,'C1-Incomes'!$JO48,'C1-Incomes'!$JW48,'C1-Incomes'!$KE48,'C1-Incomes'!$KM48,'C1-Incomes'!$KU48)*100</f>
        <v>34.518611219549783</v>
      </c>
      <c r="E46" s="456">
        <f>SUM('C1-Incomes'!JJ48,'C1-Incomes'!JR48,'C1-Incomes'!JZ48,'C1-Incomes'!KH48,'C1-Incomes'!KP48,'C1-Incomes'!KX48)/SUM('C1-Incomes'!$JG48,'C1-Incomes'!$JO48,'C1-Incomes'!$JW48,'C1-Incomes'!$KE48,'C1-Incomes'!$KM48,'C1-Incomes'!$KU48)*100</f>
        <v>19.667810713857307</v>
      </c>
      <c r="F46" s="456">
        <f>SUM('C1-Incomes'!JK48,'C1-Incomes'!JS48,'C1-Incomes'!KA48,'C1-Incomes'!KI48,'C1-Incomes'!KQ48,'C1-Incomes'!KY48)/SUM('C1-Incomes'!$JG48,'C1-Incomes'!$JO48,'C1-Incomes'!$JW48,'C1-Incomes'!$KE48,'C1-Incomes'!$KM48,'C1-Incomes'!$KU48)*100</f>
        <v>15.677605423308913</v>
      </c>
      <c r="G46" s="456">
        <f>SUM('C1-Incomes'!JL48,'C1-Incomes'!JT48,'C1-Incomes'!KB48,'C1-Incomes'!KJ48,'C1-Incomes'!KR48,'C1-Incomes'!KZ48)/SUM('C1-Incomes'!$JG48,'C1-Incomes'!$JO48,'C1-Incomes'!$JW48,'C1-Incomes'!$KE48,'C1-Incomes'!$KM48,'C1-Incomes'!$KU48)*100</f>
        <v>9.3378102445457785</v>
      </c>
      <c r="H46" s="456">
        <f>SUM('C1-Incomes'!JM48,'C1-Incomes'!JU48,'C1-Incomes'!KC48,'C1-Incomes'!KK48,'C1-Incomes'!KS48,'C1-Incomes'!LA48)/SUM('C1-Incomes'!$JG48,'C1-Incomes'!$JO48,'C1-Incomes'!$JW48,'C1-Incomes'!$KE48,'C1-Incomes'!$KM48,'C1-Incomes'!$KU48)*100</f>
        <v>3.9503957988789749</v>
      </c>
      <c r="I46" s="239"/>
      <c r="J46" s="456">
        <f t="shared" si="1"/>
        <v>34.685627403483082</v>
      </c>
      <c r="K46" s="456">
        <f>'C1-Incomes'!JH48/'C1-Incomes'!JG48*100</f>
        <v>65.314372596516918</v>
      </c>
      <c r="L46" s="456">
        <f>'C1-Incomes'!JI48/'C1-Incomes'!JG48*100</f>
        <v>54.257756659394055</v>
      </c>
      <c r="M46" s="456">
        <f>'C1-Incomes'!JJ48/'C1-Incomes'!JG48*100</f>
        <v>35.091084997276475</v>
      </c>
      <c r="N46" s="456">
        <f>'C1-Incomes'!JK48/'C1-Incomes'!JG48*100</f>
        <v>28.725334695128161</v>
      </c>
      <c r="O46" s="456">
        <f>'C1-Incomes'!JL48/'C1-Incomes'!JG48*100</f>
        <v>17.620080098838713</v>
      </c>
      <c r="P46" s="456">
        <f>'C1-Incomes'!JM48/'C1-Incomes'!JG48*100</f>
        <v>7.4876351398722436</v>
      </c>
      <c r="Q46" s="458"/>
      <c r="R46" s="456">
        <f t="shared" si="2"/>
        <v>40.182495551204475</v>
      </c>
      <c r="S46" s="456">
        <f>'C1-Incomes'!JP48/'C1-Incomes'!JO48*100</f>
        <v>59.817504448795525</v>
      </c>
      <c r="T46" s="456">
        <f>'C1-Incomes'!JQ48/'C1-Incomes'!JO48*100</f>
        <v>48.676465166204878</v>
      </c>
      <c r="U46" s="456">
        <f>'C1-Incomes'!JR48/'C1-Incomes'!JO48*100</f>
        <v>30.06099070186055</v>
      </c>
      <c r="V46" s="456">
        <f>'C1-Incomes'!JS48/'C1-Incomes'!JO48*100</f>
        <v>24.387418363027521</v>
      </c>
      <c r="W46" s="456">
        <f>'C1-Incomes'!JT48/'C1-Incomes'!JO48*100</f>
        <v>15.049488999557855</v>
      </c>
      <c r="X46" s="456">
        <f>'C1-Incomes'!JU48/'C1-Incomes'!JO48*100</f>
        <v>6.5498271037568463</v>
      </c>
      <c r="Y46" s="458"/>
      <c r="Z46" s="456">
        <f t="shared" si="3"/>
        <v>54.986919849174967</v>
      </c>
      <c r="AA46" s="456">
        <f>'C1-Incomes'!JX48/'C1-Incomes'!JW48*100</f>
        <v>45.013080150825033</v>
      </c>
      <c r="AB46" s="456">
        <f>'C1-Incomes'!JY48/'C1-Incomes'!JW48*100</f>
        <v>34.115841662912729</v>
      </c>
      <c r="AC46" s="456">
        <f>'C1-Incomes'!JZ48/'C1-Incomes'!JW48*100</f>
        <v>19.037304795034789</v>
      </c>
      <c r="AD46" s="456">
        <f>'C1-Incomes'!KA48/'C1-Incomes'!JW48*100</f>
        <v>15.084659179638621</v>
      </c>
      <c r="AE46" s="456">
        <f>'C1-Incomes'!KB48/'C1-Incomes'!JW48*100</f>
        <v>8.8509671655237998</v>
      </c>
      <c r="AF46" s="456">
        <f>'C1-Incomes'!KC48/'C1-Incomes'!JW48*100</f>
        <v>3.8887507320186199</v>
      </c>
      <c r="AG46" s="458"/>
      <c r="AH46" s="456">
        <f t="shared" si="4"/>
        <v>55.521779809119728</v>
      </c>
      <c r="AI46" s="456">
        <f>'C1-Incomes'!KF48/'C1-Incomes'!KE48*100</f>
        <v>44.478220190880272</v>
      </c>
      <c r="AJ46" s="456">
        <f>'C1-Incomes'!KG48/'C1-Incomes'!KE48*100</f>
        <v>32.75525052559243</v>
      </c>
      <c r="AK46" s="456">
        <f>'C1-Incomes'!KH48/'C1-Incomes'!KE48*100</f>
        <v>16.806853188738092</v>
      </c>
      <c r="AL46" s="456">
        <f>'C1-Incomes'!KI48/'C1-Incomes'!KE48*100</f>
        <v>12.817807939431667</v>
      </c>
      <c r="AM46" s="456">
        <f>'C1-Incomes'!KJ48/'C1-Incomes'!KE48*100</f>
        <v>6.9508400071478498</v>
      </c>
      <c r="AN46" s="456">
        <f>'C1-Incomes'!KK48/'C1-Incomes'!KE48*100</f>
        <v>2.8015068627143576</v>
      </c>
      <c r="AP46" s="456">
        <f t="shared" si="5"/>
        <v>75.670158395902192</v>
      </c>
      <c r="AQ46" s="456">
        <f>'C1-Incomes'!KN48/'C1-Incomes'!KM48*100</f>
        <v>24.329841604097805</v>
      </c>
      <c r="AR46" s="456">
        <f>'C1-Incomes'!KO48/'C1-Incomes'!KM48*100</f>
        <v>14.008371137330444</v>
      </c>
      <c r="AS46" s="456">
        <f>'C1-Incomes'!KP48/'C1-Incomes'!KM48*100</f>
        <v>4.1424115797999255</v>
      </c>
      <c r="AT46" s="456">
        <f>'C1-Incomes'!KQ48/'C1-Incomes'!KM48*100</f>
        <v>2.6599481893337424</v>
      </c>
      <c r="AU46" s="456">
        <f>'C1-Incomes'!KR48/'C1-Incomes'!KM48*100</f>
        <v>1.1576539144393612</v>
      </c>
      <c r="AV46" s="456">
        <f>'C1-Incomes'!KS48/'C1-Incomes'!KM48*100</f>
        <v>0.41752374406234266</v>
      </c>
      <c r="AW46" s="456"/>
      <c r="AX46" s="456">
        <f t="shared" si="7"/>
        <v>36.117372785634117</v>
      </c>
      <c r="AY46" s="456">
        <f>'C1-Incomes'!LL48/'C1-Incomes'!LK48*100</f>
        <v>63.882627214365883</v>
      </c>
      <c r="AZ46" s="456">
        <f>'C1-Incomes'!LM48/'C1-Incomes'!LK48*100</f>
        <v>53.501529383838388</v>
      </c>
      <c r="BA46" s="456">
        <f>'C1-Incomes'!LN48/'C1-Incomes'!LK48*100</f>
        <v>31.384346612794616</v>
      </c>
      <c r="BB46" s="456">
        <f>'C1-Incomes'!LO48/'C1-Incomes'!LK48*100</f>
        <v>23.678659563973067</v>
      </c>
      <c r="BC46" s="456">
        <f>'C1-Incomes'!LP48/'C1-Incomes'!LK48*100</f>
        <v>12.611726818742985</v>
      </c>
      <c r="BD46" s="456">
        <f>'C1-Incomes'!LQ48/'C1-Incomes'!LK48*100</f>
        <v>5.2430822533670032</v>
      </c>
      <c r="BF46" s="456">
        <f t="shared" si="6"/>
        <v>71.986960973889353</v>
      </c>
      <c r="BG46" s="456">
        <f>'C1-Incomes'!KV48/'C1-Incomes'!KU48*100</f>
        <v>28.013039026110647</v>
      </c>
      <c r="BH46" s="456">
        <f>'C1-Incomes'!KW48/'C1-Incomes'!KU48*100</f>
        <v>17.761869598793584</v>
      </c>
      <c r="BI46" s="456">
        <f>'C1-Incomes'!KX48/'C1-Incomes'!KU48*100</f>
        <v>7.0937055468398462</v>
      </c>
      <c r="BJ46" s="456">
        <f>'C1-Incomes'!KY48/'C1-Incomes'!KU48*100</f>
        <v>5.17062301312221</v>
      </c>
      <c r="BK46" s="456">
        <f>'C1-Incomes'!KZ48/'C1-Incomes'!KU48*100</f>
        <v>2.8211623432692425</v>
      </c>
      <c r="BL46" s="456">
        <f>'C1-Incomes'!LA48/'C1-Incomes'!KU48*100</f>
        <v>1.1469583989038477</v>
      </c>
    </row>
    <row r="47" spans="1:64" s="452" customFormat="1" ht="12" x14ac:dyDescent="0.25">
      <c r="A47" s="239">
        <v>2001</v>
      </c>
      <c r="B47" s="456">
        <f t="shared" si="0"/>
        <v>55.989296319755098</v>
      </c>
      <c r="C47" s="456">
        <f>SUM('C1-Incomes'!JH49,'C1-Incomes'!JP49,'C1-Incomes'!JX49,'C1-Incomes'!KF49,'C1-Incomes'!KN49,'C1-Incomes'!KV49)/SUM('C1-Incomes'!$JG49,'C1-Incomes'!$JO49,'C1-Incomes'!$JW49,'C1-Incomes'!$KE49,'C1-Incomes'!$KM49,'C1-Incomes'!$KU49)*100</f>
        <v>44.010703680244902</v>
      </c>
      <c r="D47" s="456">
        <f>SUM('C1-Incomes'!JI49,'C1-Incomes'!JQ49,'C1-Incomes'!JY49,'C1-Incomes'!KG49,'C1-Incomes'!KO49,'C1-Incomes'!KW49)/SUM('C1-Incomes'!$JG49,'C1-Incomes'!$JO49,'C1-Incomes'!$JW49,'C1-Incomes'!$KE49,'C1-Incomes'!$KM49,'C1-Incomes'!$KU49)*100</f>
        <v>32.766384211263649</v>
      </c>
      <c r="E47" s="456">
        <f>SUM('C1-Incomes'!JJ49,'C1-Incomes'!JR49,'C1-Incomes'!JZ49,'C1-Incomes'!KH49,'C1-Incomes'!KP49,'C1-Incomes'!KX49)/SUM('C1-Incomes'!$JG49,'C1-Incomes'!$JO49,'C1-Incomes'!$JW49,'C1-Incomes'!$KE49,'C1-Incomes'!$KM49,'C1-Incomes'!$KU49)*100</f>
        <v>17.896192360031183</v>
      </c>
      <c r="F47" s="456">
        <f>SUM('C1-Incomes'!JK49,'C1-Incomes'!JS49,'C1-Incomes'!KA49,'C1-Incomes'!KI49,'C1-Incomes'!KQ49,'C1-Incomes'!KY49)/SUM('C1-Incomes'!$JG49,'C1-Incomes'!$JO49,'C1-Incomes'!$JW49,'C1-Incomes'!$KE49,'C1-Incomes'!$KM49,'C1-Incomes'!$KU49)*100</f>
        <v>14.029005438521555</v>
      </c>
      <c r="G47" s="456">
        <f>SUM('C1-Incomes'!JL49,'C1-Incomes'!JT49,'C1-Incomes'!KB49,'C1-Incomes'!KJ49,'C1-Incomes'!KR49,'C1-Incomes'!KZ49)/SUM('C1-Incomes'!$JG49,'C1-Incomes'!$JO49,'C1-Incomes'!$JW49,'C1-Incomes'!$KE49,'C1-Incomes'!$KM49,'C1-Incomes'!$KU49)*100</f>
        <v>8.0874804678846122</v>
      </c>
      <c r="H47" s="456">
        <f>SUM('C1-Incomes'!JM49,'C1-Incomes'!JU49,'C1-Incomes'!KC49,'C1-Incomes'!KK49,'C1-Incomes'!KS49,'C1-Incomes'!LA49)/SUM('C1-Incomes'!$JG49,'C1-Incomes'!$JO49,'C1-Incomes'!$JW49,'C1-Incomes'!$KE49,'C1-Incomes'!$KM49,'C1-Incomes'!$KU49)*100</f>
        <v>3.3251036338865823</v>
      </c>
      <c r="I47" s="239"/>
      <c r="J47" s="456">
        <f t="shared" si="1"/>
        <v>37.097876318288435</v>
      </c>
      <c r="K47" s="456">
        <f>'C1-Incomes'!JH49/'C1-Incomes'!JG49*100</f>
        <v>62.902123681711565</v>
      </c>
      <c r="L47" s="456">
        <f>'C1-Incomes'!JI49/'C1-Incomes'!JG49*100</f>
        <v>50.989224899561734</v>
      </c>
      <c r="M47" s="456">
        <f>'C1-Incomes'!JJ49/'C1-Incomes'!JG49*100</f>
        <v>31.670700290422278</v>
      </c>
      <c r="N47" s="456">
        <f>'C1-Incomes'!JK49/'C1-Incomes'!JG49*100</f>
        <v>25.510865651599822</v>
      </c>
      <c r="O47" s="456">
        <f>'C1-Incomes'!JL49/'C1-Incomes'!JG49*100</f>
        <v>15.161007695588152</v>
      </c>
      <c r="P47" s="456">
        <f>'C1-Incomes'!JM49/'C1-Incomes'!JG49*100</f>
        <v>6.2826396365039079</v>
      </c>
      <c r="Q47" s="458"/>
      <c r="R47" s="456">
        <f t="shared" si="2"/>
        <v>42.085978136823478</v>
      </c>
      <c r="S47" s="456">
        <f>'C1-Incomes'!JP49/'C1-Incomes'!JO49*100</f>
        <v>57.914021863176522</v>
      </c>
      <c r="T47" s="456">
        <f>'C1-Incomes'!JQ49/'C1-Incomes'!JO49*100</f>
        <v>46.283583710134359</v>
      </c>
      <c r="U47" s="456">
        <f>'C1-Incomes'!JR49/'C1-Incomes'!JO49*100</f>
        <v>27.426045398097855</v>
      </c>
      <c r="V47" s="456">
        <f>'C1-Incomes'!JS49/'C1-Incomes'!JO49*100</f>
        <v>21.998144849915562</v>
      </c>
      <c r="W47" s="456">
        <f>'C1-Incomes'!JT49/'C1-Incomes'!JO49*100</f>
        <v>13.14925458833461</v>
      </c>
      <c r="X47" s="456">
        <f>'C1-Incomes'!JU49/'C1-Incomes'!JO49*100</f>
        <v>5.3652917704887848</v>
      </c>
      <c r="Y47" s="458"/>
      <c r="Z47" s="456">
        <f t="shared" si="3"/>
        <v>57.488100892700061</v>
      </c>
      <c r="AA47" s="456">
        <f>'C1-Incomes'!JX49/'C1-Incomes'!JW49*100</f>
        <v>42.511899107299939</v>
      </c>
      <c r="AB47" s="456">
        <f>'C1-Incomes'!JY49/'C1-Incomes'!JW49*100</f>
        <v>31.893587876758584</v>
      </c>
      <c r="AC47" s="456">
        <f>'C1-Incomes'!JZ49/'C1-Incomes'!JW49*100</f>
        <v>17.961367045577077</v>
      </c>
      <c r="AD47" s="456">
        <f>'C1-Incomes'!KA49/'C1-Incomes'!JW49*100</f>
        <v>14.014215723552411</v>
      </c>
      <c r="AE47" s="456">
        <f>'C1-Incomes'!KB49/'C1-Incomes'!JW49*100</f>
        <v>8.1163546737643788</v>
      </c>
      <c r="AF47" s="456">
        <f>'C1-Incomes'!KC49/'C1-Incomes'!JW49*100</f>
        <v>3.6772933464618318</v>
      </c>
      <c r="AG47" s="458"/>
      <c r="AH47" s="456">
        <f t="shared" si="4"/>
        <v>56.286663454054079</v>
      </c>
      <c r="AI47" s="456">
        <f>'C1-Incomes'!KF49/'C1-Incomes'!KE49*100</f>
        <v>43.713336545945921</v>
      </c>
      <c r="AJ47" s="456">
        <f>'C1-Incomes'!KG49/'C1-Incomes'!KE49*100</f>
        <v>32.087004649720171</v>
      </c>
      <c r="AK47" s="456">
        <f>'C1-Incomes'!KH49/'C1-Incomes'!KE49*100</f>
        <v>16.531341572779194</v>
      </c>
      <c r="AL47" s="456">
        <f>'C1-Incomes'!KI49/'C1-Incomes'!KE49*100</f>
        <v>12.573547098543211</v>
      </c>
      <c r="AM47" s="456">
        <f>'C1-Incomes'!KJ49/'C1-Incomes'!KE49*100</f>
        <v>6.8019881936295281</v>
      </c>
      <c r="AN47" s="456">
        <f>'C1-Incomes'!KK49/'C1-Incomes'!KE49*100</f>
        <v>2.7631641485882161</v>
      </c>
      <c r="AP47" s="456">
        <f t="shared" si="5"/>
        <v>75.099827113237453</v>
      </c>
      <c r="AQ47" s="456">
        <f>'C1-Incomes'!KN49/'C1-Incomes'!KM49*100</f>
        <v>24.900172886762544</v>
      </c>
      <c r="AR47" s="456">
        <f>'C1-Incomes'!KO49/'C1-Incomes'!KM49*100</f>
        <v>14.125139932133266</v>
      </c>
      <c r="AS47" s="456">
        <f>'C1-Incomes'!KP49/'C1-Incomes'!KM49*100</f>
        <v>3.8944470265849276</v>
      </c>
      <c r="AT47" s="456">
        <f>'C1-Incomes'!KQ49/'C1-Incomes'!KM49*100</f>
        <v>2.4112061107295255</v>
      </c>
      <c r="AU47" s="456">
        <f>'C1-Incomes'!KR49/'C1-Incomes'!KM49*100</f>
        <v>0.93606972730437921</v>
      </c>
      <c r="AV47" s="456">
        <f>'C1-Incomes'!KS49/'C1-Incomes'!KM49*100</f>
        <v>0.29638150636971705</v>
      </c>
      <c r="AW47" s="456"/>
      <c r="AX47" s="456">
        <f t="shared" si="7"/>
        <v>36.101776268033717</v>
      </c>
      <c r="AY47" s="456">
        <f>'C1-Incomes'!LL49/'C1-Incomes'!LK49*100</f>
        <v>63.898223731966283</v>
      </c>
      <c r="AZ47" s="456">
        <f>'C1-Incomes'!LM49/'C1-Incomes'!LK49*100</f>
        <v>53.300615886489055</v>
      </c>
      <c r="BA47" s="456">
        <f>'C1-Incomes'!LN49/'C1-Incomes'!LK49*100</f>
        <v>31.528360496960527</v>
      </c>
      <c r="BB47" s="456">
        <f>'C1-Incomes'!LO49/'C1-Incomes'!LK49*100</f>
        <v>23.748594680225228</v>
      </c>
      <c r="BC47" s="456">
        <f>'C1-Incomes'!LP49/'C1-Incomes'!LK49*100</f>
        <v>12.831736011709669</v>
      </c>
      <c r="BD47" s="456">
        <f>'C1-Incomes'!LQ49/'C1-Incomes'!LK49*100</f>
        <v>5.4755312572485089</v>
      </c>
      <c r="BF47" s="456">
        <f t="shared" si="6"/>
        <v>72.104194283086201</v>
      </c>
      <c r="BG47" s="456">
        <f>'C1-Incomes'!KV49/'C1-Incomes'!KU49*100</f>
        <v>27.895805716913792</v>
      </c>
      <c r="BH47" s="456">
        <f>'C1-Incomes'!KW49/'C1-Incomes'!KU49*100</f>
        <v>17.477119445305391</v>
      </c>
      <c r="BI47" s="456">
        <f>'C1-Incomes'!KX49/'C1-Incomes'!KU49*100</f>
        <v>6.7206174726801908</v>
      </c>
      <c r="BJ47" s="456">
        <f>'C1-Incomes'!KY49/'C1-Incomes'!KU49*100</f>
        <v>4.820834253491836</v>
      </c>
      <c r="BK47" s="456">
        <f>'C1-Incomes'!KZ49/'C1-Incomes'!KU49*100</f>
        <v>2.5333501674681811</v>
      </c>
      <c r="BL47" s="456">
        <f>'C1-Incomes'!LA49/'C1-Incomes'!KU49*100</f>
        <v>0.98501598376308508</v>
      </c>
    </row>
    <row r="48" spans="1:64" s="452" customFormat="1" ht="12" x14ac:dyDescent="0.25">
      <c r="A48" s="239">
        <v>2002</v>
      </c>
      <c r="B48" s="456">
        <f t="shared" si="0"/>
        <v>57.065740582241297</v>
      </c>
      <c r="C48" s="456">
        <f>SUM('C1-Incomes'!JH50,'C1-Incomes'!JP50,'C1-Incomes'!JX50,'C1-Incomes'!KF50,'C1-Incomes'!KN50,'C1-Incomes'!KV50)/SUM('C1-Incomes'!$JG50,'C1-Incomes'!$JO50,'C1-Incomes'!$JW50,'C1-Incomes'!$KE50,'C1-Incomes'!$KM50,'C1-Incomes'!$KU50)*100</f>
        <v>42.934259417758703</v>
      </c>
      <c r="D48" s="456">
        <f>SUM('C1-Incomes'!JI50,'C1-Incomes'!JQ50,'C1-Incomes'!JY50,'C1-Incomes'!KG50,'C1-Incomes'!KO50,'C1-Incomes'!KW50)/SUM('C1-Incomes'!$JG50,'C1-Incomes'!$JO50,'C1-Incomes'!$JW50,'C1-Incomes'!$KE50,'C1-Incomes'!$KM50,'C1-Incomes'!$KU50)*100</f>
        <v>31.495086018145159</v>
      </c>
      <c r="E48" s="456">
        <f>SUM('C1-Incomes'!JJ50,'C1-Incomes'!JR50,'C1-Incomes'!JZ50,'C1-Incomes'!KH50,'C1-Incomes'!KP50,'C1-Incomes'!KX50)/SUM('C1-Incomes'!$JG50,'C1-Incomes'!$JO50,'C1-Incomes'!$JW50,'C1-Incomes'!$KE50,'C1-Incomes'!$KM50,'C1-Incomes'!$KU50)*100</f>
        <v>16.371938558212314</v>
      </c>
      <c r="F48" s="456">
        <f>SUM('C1-Incomes'!JK50,'C1-Incomes'!JS50,'C1-Incomes'!KA50,'C1-Incomes'!KI50,'C1-Incomes'!KQ50,'C1-Incomes'!KY50)/SUM('C1-Incomes'!$JG50,'C1-Incomes'!$JO50,'C1-Incomes'!$JW50,'C1-Incomes'!$KE50,'C1-Incomes'!$KM50,'C1-Incomes'!$KU50)*100</f>
        <v>12.577618287159542</v>
      </c>
      <c r="G48" s="456">
        <f>SUM('C1-Incomes'!JL50,'C1-Incomes'!JT50,'C1-Incomes'!KB50,'C1-Incomes'!KJ50,'C1-Incomes'!KR50,'C1-Incomes'!KZ50)/SUM('C1-Incomes'!$JG50,'C1-Incomes'!$JO50,'C1-Incomes'!$JW50,'C1-Incomes'!$KE50,'C1-Incomes'!$KM50,'C1-Incomes'!$KU50)*100</f>
        <v>7.0972051560793155</v>
      </c>
      <c r="H48" s="456">
        <f>SUM('C1-Incomes'!JM50,'C1-Incomes'!JU50,'C1-Incomes'!KC50,'C1-Incomes'!KK50,'C1-Incomes'!KS50,'C1-Incomes'!LA50)/SUM('C1-Incomes'!$JG50,'C1-Incomes'!$JO50,'C1-Incomes'!$JW50,'C1-Incomes'!$KE50,'C1-Incomes'!$KM50,'C1-Incomes'!$KU50)*100</f>
        <v>2.9085880607896812</v>
      </c>
      <c r="I48" s="239"/>
      <c r="J48" s="456">
        <f t="shared" si="1"/>
        <v>35.859619845370787</v>
      </c>
      <c r="K48" s="456">
        <f>'C1-Incomes'!JH50/'C1-Incomes'!JG50*100</f>
        <v>64.140380154629213</v>
      </c>
      <c r="L48" s="456">
        <f>'C1-Incomes'!JI50/'C1-Incomes'!JG50*100</f>
        <v>51.921952941169714</v>
      </c>
      <c r="M48" s="456">
        <f>'C1-Incomes'!JJ50/'C1-Incomes'!JG50*100</f>
        <v>31.49788218632348</v>
      </c>
      <c r="N48" s="456">
        <f>'C1-Incomes'!JK50/'C1-Incomes'!JG50*100</f>
        <v>25.008781348736157</v>
      </c>
      <c r="O48" s="456">
        <f>'C1-Incomes'!JL50/'C1-Incomes'!JG50*100</f>
        <v>14.647805187336047</v>
      </c>
      <c r="P48" s="456">
        <f>'C1-Incomes'!JM50/'C1-Incomes'!JG50*100</f>
        <v>6.0458393047454084</v>
      </c>
      <c r="Q48" s="458"/>
      <c r="R48" s="456">
        <f t="shared" si="2"/>
        <v>42.729467095754728</v>
      </c>
      <c r="S48" s="456">
        <f>'C1-Incomes'!JP50/'C1-Incomes'!JO50*100</f>
        <v>57.270532904245272</v>
      </c>
      <c r="T48" s="456">
        <f>'C1-Incomes'!JQ50/'C1-Incomes'!JO50*100</f>
        <v>44.728526752633982</v>
      </c>
      <c r="U48" s="456">
        <f>'C1-Incomes'!JR50/'C1-Incomes'!JO50*100</f>
        <v>25.308945079364076</v>
      </c>
      <c r="V48" s="456">
        <f>'C1-Incomes'!JS50/'C1-Incomes'!JO50*100</f>
        <v>19.76351438472193</v>
      </c>
      <c r="W48" s="456">
        <f>'C1-Incomes'!JT50/'C1-Incomes'!JO50*100</f>
        <v>11.499222550763706</v>
      </c>
      <c r="X48" s="456">
        <f>'C1-Incomes'!JU50/'C1-Incomes'!JO50*100</f>
        <v>4.7400037677421878</v>
      </c>
      <c r="Y48" s="458"/>
      <c r="Z48" s="456">
        <f t="shared" si="3"/>
        <v>58.048485376040418</v>
      </c>
      <c r="AA48" s="456">
        <f>'C1-Incomes'!JX50/'C1-Incomes'!JW50*100</f>
        <v>41.951514623959582</v>
      </c>
      <c r="AB48" s="456">
        <f>'C1-Incomes'!JY50/'C1-Incomes'!JW50*100</f>
        <v>30.529962673006001</v>
      </c>
      <c r="AC48" s="456">
        <f>'C1-Incomes'!JZ50/'C1-Incomes'!JW50*100</f>
        <v>15.983032959765492</v>
      </c>
      <c r="AD48" s="456">
        <f>'C1-Incomes'!KA50/'C1-Incomes'!JW50*100</f>
        <v>12.287735779696259</v>
      </c>
      <c r="AE48" s="456">
        <f>'C1-Incomes'!KB50/'C1-Incomes'!JW50*100</f>
        <v>7.083279609868864</v>
      </c>
      <c r="AF48" s="456">
        <f>'C1-Incomes'!KC50/'C1-Incomes'!JW50*100</f>
        <v>3.2699280807430844</v>
      </c>
      <c r="AG48" s="458"/>
      <c r="AH48" s="456">
        <f t="shared" si="4"/>
        <v>56.466723375600871</v>
      </c>
      <c r="AI48" s="456">
        <f>'C1-Incomes'!KF50/'C1-Incomes'!KE50*100</f>
        <v>43.533276624399129</v>
      </c>
      <c r="AJ48" s="456">
        <f>'C1-Incomes'!KG50/'C1-Incomes'!KE50*100</f>
        <v>31.648428181964917</v>
      </c>
      <c r="AK48" s="456">
        <f>'C1-Incomes'!KH50/'C1-Incomes'!KE50*100</f>
        <v>15.768739562248516</v>
      </c>
      <c r="AL48" s="456">
        <f>'C1-Incomes'!KI50/'C1-Incomes'!KE50*100</f>
        <v>11.867998068409918</v>
      </c>
      <c r="AM48" s="456">
        <f>'C1-Incomes'!KJ50/'C1-Incomes'!KE50*100</f>
        <v>6.4094463004418785</v>
      </c>
      <c r="AN48" s="456">
        <f>'C1-Incomes'!KK50/'C1-Incomes'!KE50*100</f>
        <v>2.6382573639140761</v>
      </c>
      <c r="AP48" s="456">
        <f t="shared" si="5"/>
        <v>74.697060995697512</v>
      </c>
      <c r="AQ48" s="456">
        <f>'C1-Incomes'!KN50/'C1-Incomes'!KM50*100</f>
        <v>25.302939004302484</v>
      </c>
      <c r="AR48" s="456">
        <f>'C1-Incomes'!KO50/'C1-Incomes'!KM50*100</f>
        <v>14.471443568494482</v>
      </c>
      <c r="AS48" s="456">
        <f>'C1-Incomes'!KP50/'C1-Incomes'!KM50*100</f>
        <v>3.8131629988499736</v>
      </c>
      <c r="AT48" s="456">
        <f>'C1-Incomes'!KQ50/'C1-Incomes'!KM50*100</f>
        <v>2.2877998760298937</v>
      </c>
      <c r="AU48" s="456">
        <f>'C1-Incomes'!KR50/'C1-Incomes'!KM50*100</f>
        <v>0.81753677362123522</v>
      </c>
      <c r="AV48" s="456">
        <f>'C1-Incomes'!KS50/'C1-Incomes'!KM50*100</f>
        <v>0.23041203855437109</v>
      </c>
      <c r="AW48" s="456"/>
      <c r="AX48" s="456">
        <f t="shared" si="7"/>
        <v>34.592601176452561</v>
      </c>
      <c r="AY48" s="456">
        <f>'C1-Incomes'!LL50/'C1-Incomes'!LK50*100</f>
        <v>65.407398823547439</v>
      </c>
      <c r="AZ48" s="456">
        <f>'C1-Incomes'!LM50/'C1-Incomes'!LK50*100</f>
        <v>55.305474449140867</v>
      </c>
      <c r="BA48" s="456">
        <f>'C1-Incomes'!LN50/'C1-Incomes'!LK50*100</f>
        <v>33.999545920548869</v>
      </c>
      <c r="BB48" s="456">
        <f>'C1-Incomes'!LO50/'C1-Incomes'!LK50*100</f>
        <v>26.096924640877205</v>
      </c>
      <c r="BC48" s="456">
        <f>'C1-Incomes'!LP50/'C1-Incomes'!LK50*100</f>
        <v>14.525598877760421</v>
      </c>
      <c r="BD48" s="456">
        <f>'C1-Incomes'!LQ50/'C1-Incomes'!LK50*100</f>
        <v>6.2687588863364878</v>
      </c>
      <c r="BF48" s="456">
        <f t="shared" si="6"/>
        <v>72.29004315196633</v>
      </c>
      <c r="BG48" s="456">
        <f>'C1-Incomes'!KV50/'C1-Incomes'!KU50*100</f>
        <v>27.709956848033677</v>
      </c>
      <c r="BH48" s="456">
        <f>'C1-Incomes'!KW50/'C1-Incomes'!KU50*100</f>
        <v>17.358579677998932</v>
      </c>
      <c r="BI48" s="456">
        <f>'C1-Incomes'!KX50/'C1-Incomes'!KU50*100</f>
        <v>6.4736634029578219</v>
      </c>
      <c r="BJ48" s="456">
        <f>'C1-Incomes'!KY50/'C1-Incomes'!KU50*100</f>
        <v>4.5714742658605916</v>
      </c>
      <c r="BK48" s="456">
        <f>'C1-Incomes'!KZ50/'C1-Incomes'!KU50*100</f>
        <v>2.3535455504899461</v>
      </c>
      <c r="BL48" s="456">
        <f>'C1-Incomes'!LA50/'C1-Incomes'!KU50*100</f>
        <v>0.90553087745582872</v>
      </c>
    </row>
    <row r="49" spans="1:64" s="452" customFormat="1" ht="12" x14ac:dyDescent="0.25">
      <c r="A49" s="239">
        <v>2003</v>
      </c>
      <c r="B49" s="456">
        <f t="shared" si="0"/>
        <v>57.161290777264114</v>
      </c>
      <c r="C49" s="456">
        <f>SUM('C1-Incomes'!JH51,'C1-Incomes'!JP51,'C1-Incomes'!JX51,'C1-Incomes'!KF51,'C1-Incomes'!KN51,'C1-Incomes'!KV51)/SUM('C1-Incomes'!$JG51,'C1-Incomes'!$JO51,'C1-Incomes'!$JW51,'C1-Incomes'!$KE51,'C1-Incomes'!$KM51,'C1-Incomes'!$KU51)*100</f>
        <v>42.838709222735886</v>
      </c>
      <c r="D49" s="456">
        <f>SUM('C1-Incomes'!JI51,'C1-Incomes'!JQ51,'C1-Incomes'!JY51,'C1-Incomes'!KG51,'C1-Incomes'!KO51,'C1-Incomes'!KW51)/SUM('C1-Incomes'!$JG51,'C1-Incomes'!$JO51,'C1-Incomes'!$JW51,'C1-Incomes'!$KE51,'C1-Incomes'!$KM51,'C1-Incomes'!$KU51)*100</f>
        <v>31.342533625038566</v>
      </c>
      <c r="E49" s="456">
        <f>SUM('C1-Incomes'!JJ51,'C1-Incomes'!JR51,'C1-Incomes'!JZ51,'C1-Incomes'!KH51,'C1-Incomes'!KP51,'C1-Incomes'!KX51)/SUM('C1-Incomes'!$JG51,'C1-Incomes'!$JO51,'C1-Incomes'!$JW51,'C1-Incomes'!$KE51,'C1-Incomes'!$KM51,'C1-Incomes'!$KU51)*100</f>
        <v>16.39371205479787</v>
      </c>
      <c r="F49" s="456">
        <f>SUM('C1-Incomes'!JK51,'C1-Incomes'!JS51,'C1-Incomes'!KA51,'C1-Incomes'!KI51,'C1-Incomes'!KQ51,'C1-Incomes'!KY51)/SUM('C1-Incomes'!$JG51,'C1-Incomes'!$JO51,'C1-Incomes'!$JW51,'C1-Incomes'!$KE51,'C1-Incomes'!$KM51,'C1-Incomes'!$KU51)*100</f>
        <v>12.641048772231903</v>
      </c>
      <c r="G49" s="456">
        <f>SUM('C1-Incomes'!JL51,'C1-Incomes'!JT51,'C1-Incomes'!KB51,'C1-Incomes'!KJ51,'C1-Incomes'!KR51,'C1-Incomes'!KZ51)/SUM('C1-Incomes'!$JG51,'C1-Incomes'!$JO51,'C1-Incomes'!$JW51,'C1-Incomes'!$KE51,'C1-Incomes'!$KM51,'C1-Incomes'!$KU51)*100</f>
        <v>7.2508484489096832</v>
      </c>
      <c r="H49" s="456">
        <f>SUM('C1-Incomes'!JM51,'C1-Incomes'!JU51,'C1-Incomes'!KC51,'C1-Incomes'!KK51,'C1-Incomes'!KS51,'C1-Incomes'!LA51)/SUM('C1-Incomes'!$JG51,'C1-Incomes'!$JO51,'C1-Incomes'!$JW51,'C1-Incomes'!$KE51,'C1-Incomes'!$KM51,'C1-Incomes'!$KU51)*100</f>
        <v>3.0777314228238861</v>
      </c>
      <c r="I49" s="239"/>
      <c r="J49" s="456">
        <f t="shared" si="1"/>
        <v>35.331653499189812</v>
      </c>
      <c r="K49" s="456">
        <f>'C1-Incomes'!JH51/'C1-Incomes'!JG51*100</f>
        <v>64.668346500810188</v>
      </c>
      <c r="L49" s="456">
        <f>'C1-Incomes'!JI51/'C1-Incomes'!JG51*100</f>
        <v>52.514416034950571</v>
      </c>
      <c r="M49" s="456">
        <f>'C1-Incomes'!JJ51/'C1-Incomes'!JG51*100</f>
        <v>32.235462456416691</v>
      </c>
      <c r="N49" s="456">
        <f>'C1-Incomes'!JK51/'C1-Incomes'!JG51*100</f>
        <v>25.60234370556066</v>
      </c>
      <c r="O49" s="456">
        <f>'C1-Incomes'!JL51/'C1-Incomes'!JG51*100</f>
        <v>15.111212213061831</v>
      </c>
      <c r="P49" s="456">
        <f>'C1-Incomes'!JM51/'C1-Incomes'!JG51*100</f>
        <v>6.383284894915989</v>
      </c>
      <c r="Q49" s="458"/>
      <c r="R49" s="456">
        <f t="shared" si="2"/>
        <v>42.492271673376926</v>
      </c>
      <c r="S49" s="456">
        <f>'C1-Incomes'!JP51/'C1-Incomes'!JO51*100</f>
        <v>57.507728326623074</v>
      </c>
      <c r="T49" s="456">
        <f>'C1-Incomes'!JQ51/'C1-Incomes'!JO51*100</f>
        <v>44.985016546297501</v>
      </c>
      <c r="U49" s="456">
        <f>'C1-Incomes'!JR51/'C1-Incomes'!JO51*100</f>
        <v>25.827352921528014</v>
      </c>
      <c r="V49" s="456">
        <f>'C1-Incomes'!JS51/'C1-Incomes'!JO51*100</f>
        <v>20.31345110418949</v>
      </c>
      <c r="W49" s="456">
        <f>'C1-Incomes'!JT51/'C1-Incomes'!JO51*100</f>
        <v>11.995677729133996</v>
      </c>
      <c r="X49" s="456">
        <f>'C1-Incomes'!JU51/'C1-Incomes'!JO51*100</f>
        <v>5.1068880401506371</v>
      </c>
      <c r="Y49" s="458"/>
      <c r="Z49" s="456">
        <f t="shared" si="3"/>
        <v>55.96533730636542</v>
      </c>
      <c r="AA49" s="456">
        <f>'C1-Incomes'!JX51/'C1-Incomes'!JW51*100</f>
        <v>44.03466269363458</v>
      </c>
      <c r="AB49" s="456">
        <f>'C1-Incomes'!JY51/'C1-Incomes'!JW51*100</f>
        <v>32.200535709937093</v>
      </c>
      <c r="AC49" s="456">
        <f>'C1-Incomes'!JZ51/'C1-Incomes'!JW51*100</f>
        <v>17.344184369433357</v>
      </c>
      <c r="AD49" s="456">
        <f>'C1-Incomes'!KA51/'C1-Incomes'!JW51*100</f>
        <v>13.626646337008728</v>
      </c>
      <c r="AE49" s="456">
        <f>'C1-Incomes'!KB51/'C1-Incomes'!JW51*100</f>
        <v>8.4062147827459484</v>
      </c>
      <c r="AF49" s="456">
        <f>'C1-Incomes'!KC51/'C1-Incomes'!JW51*100</f>
        <v>4.1036866946267114</v>
      </c>
      <c r="AG49" s="458"/>
      <c r="AH49" s="456">
        <f t="shared" si="4"/>
        <v>55.194044952463081</v>
      </c>
      <c r="AI49" s="456">
        <f>'C1-Incomes'!KF51/'C1-Incomes'!KE51*100</f>
        <v>44.805955047536919</v>
      </c>
      <c r="AJ49" s="456">
        <f>'C1-Incomes'!KG51/'C1-Incomes'!KE51*100</f>
        <v>32.588789232900936</v>
      </c>
      <c r="AK49" s="456">
        <f>'C1-Incomes'!KH51/'C1-Incomes'!KE51*100</f>
        <v>16.479703276543418</v>
      </c>
      <c r="AL49" s="456">
        <f>'C1-Incomes'!KI51/'C1-Incomes'!KE51*100</f>
        <v>12.615259928294265</v>
      </c>
      <c r="AM49" s="456">
        <f>'C1-Incomes'!KJ51/'C1-Incomes'!KE51*100</f>
        <v>7.1039200068797523</v>
      </c>
      <c r="AN49" s="456">
        <f>'C1-Incomes'!KK51/'C1-Incomes'!KE51*100</f>
        <v>3.0972074891967734</v>
      </c>
      <c r="AP49" s="456">
        <f t="shared" si="5"/>
        <v>74.697645309139233</v>
      </c>
      <c r="AQ49" s="456">
        <f>'C1-Incomes'!KN51/'C1-Incomes'!KM51*100</f>
        <v>25.302354690860763</v>
      </c>
      <c r="AR49" s="456">
        <f>'C1-Incomes'!KO51/'C1-Incomes'!KM51*100</f>
        <v>14.44064900130028</v>
      </c>
      <c r="AS49" s="456">
        <f>'C1-Incomes'!KP51/'C1-Incomes'!KM51*100</f>
        <v>3.8044701702860824</v>
      </c>
      <c r="AT49" s="456">
        <f>'C1-Incomes'!KQ51/'C1-Incomes'!KM51*100</f>
        <v>2.2771585439267303</v>
      </c>
      <c r="AU49" s="456">
        <f>'C1-Incomes'!KR51/'C1-Incomes'!KM51*100</f>
        <v>0.81899253341610656</v>
      </c>
      <c r="AV49" s="456">
        <f>'C1-Incomes'!KS51/'C1-Incomes'!KM51*100</f>
        <v>0.22971114989685362</v>
      </c>
      <c r="AW49" s="456"/>
      <c r="AX49" s="456">
        <f t="shared" si="7"/>
        <v>34.571354620968322</v>
      </c>
      <c r="AY49" s="456">
        <f>'C1-Incomes'!LL51/'C1-Incomes'!LK51*100</f>
        <v>65.428645379031678</v>
      </c>
      <c r="AZ49" s="456">
        <f>'C1-Incomes'!LM51/'C1-Incomes'!LK51*100</f>
        <v>55.110243850032191</v>
      </c>
      <c r="BA49" s="456">
        <f>'C1-Incomes'!LN51/'C1-Incomes'!LK51*100</f>
        <v>34.027689997496964</v>
      </c>
      <c r="BB49" s="456">
        <f>'C1-Incomes'!LO51/'C1-Incomes'!LK51*100</f>
        <v>26.149162664306658</v>
      </c>
      <c r="BC49" s="456">
        <f>'C1-Incomes'!LP51/'C1-Incomes'!LK51*100</f>
        <v>14.552022428305801</v>
      </c>
      <c r="BD49" s="456">
        <f>'C1-Incomes'!LQ51/'C1-Incomes'!LK51*100</f>
        <v>6.3476646581563321</v>
      </c>
      <c r="BF49" s="456">
        <f t="shared" si="6"/>
        <v>71.816073086417873</v>
      </c>
      <c r="BG49" s="456">
        <f>'C1-Incomes'!KV51/'C1-Incomes'!KU51*100</f>
        <v>28.18392691358212</v>
      </c>
      <c r="BH49" s="456">
        <f>'C1-Incomes'!KW51/'C1-Incomes'!KU51*100</f>
        <v>17.716148732355968</v>
      </c>
      <c r="BI49" s="456">
        <f>'C1-Incomes'!KX51/'C1-Incomes'!KU51*100</f>
        <v>6.7784957252983569</v>
      </c>
      <c r="BJ49" s="456">
        <f>'C1-Incomes'!KY51/'C1-Incomes'!KU51*100</f>
        <v>4.8512121978554559</v>
      </c>
      <c r="BK49" s="456">
        <f>'C1-Incomes'!KZ51/'C1-Incomes'!KU51*100</f>
        <v>2.5420934565638822</v>
      </c>
      <c r="BL49" s="456">
        <f>'C1-Incomes'!LA51/'C1-Incomes'!KU51*100</f>
        <v>1.0143335885912037</v>
      </c>
    </row>
    <row r="50" spans="1:64" s="452" customFormat="1" ht="12" x14ac:dyDescent="0.25">
      <c r="A50" s="239">
        <v>2004</v>
      </c>
      <c r="B50" s="456">
        <f t="shared" si="0"/>
        <v>56.292567211984043</v>
      </c>
      <c r="C50" s="456">
        <f>SUM('C1-Incomes'!JH52,'C1-Incomes'!JP52,'C1-Incomes'!JX52,'C1-Incomes'!KF52,'C1-Incomes'!KN52,'C1-Incomes'!KV52)/SUM('C1-Incomes'!$JG52,'C1-Incomes'!$JO52,'C1-Incomes'!$JW52,'C1-Incomes'!$KE52,'C1-Incomes'!$KM52,'C1-Incomes'!$KU52)*100</f>
        <v>43.707432788015957</v>
      </c>
      <c r="D50" s="456">
        <f>SUM('C1-Incomes'!JI52,'C1-Incomes'!JQ52,'C1-Incomes'!JY52,'C1-Incomes'!KG52,'C1-Incomes'!KO52,'C1-Incomes'!KW52)/SUM('C1-Incomes'!$JG52,'C1-Incomes'!$JO52,'C1-Incomes'!$JW52,'C1-Incomes'!$KE52,'C1-Incomes'!$KM52,'C1-Incomes'!$KU52)*100</f>
        <v>32.478965685003196</v>
      </c>
      <c r="E50" s="456">
        <f>SUM('C1-Incomes'!JJ52,'C1-Incomes'!JR52,'C1-Incomes'!JZ52,'C1-Incomes'!KH52,'C1-Incomes'!KP52,'C1-Incomes'!KX52)/SUM('C1-Incomes'!$JG52,'C1-Incomes'!$JO52,'C1-Incomes'!$JW52,'C1-Incomes'!$KE52,'C1-Incomes'!$KM52,'C1-Incomes'!$KU52)*100</f>
        <v>17.496948599593441</v>
      </c>
      <c r="F50" s="456">
        <f>SUM('C1-Incomes'!JK52,'C1-Incomes'!JS52,'C1-Incomes'!KA52,'C1-Incomes'!KI52,'C1-Incomes'!KQ52,'C1-Incomes'!KY52)/SUM('C1-Incomes'!$JG52,'C1-Incomes'!$JO52,'C1-Incomes'!$JW52,'C1-Incomes'!$KE52,'C1-Incomes'!$KM52,'C1-Incomes'!$KU52)*100</f>
        <v>13.713435310074951</v>
      </c>
      <c r="G50" s="456">
        <f>SUM('C1-Incomes'!JL52,'C1-Incomes'!JT52,'C1-Incomes'!KB52,'C1-Incomes'!KJ52,'C1-Incomes'!KR52,'C1-Incomes'!KZ52)/SUM('C1-Incomes'!$JG52,'C1-Incomes'!$JO52,'C1-Incomes'!$JW52,'C1-Incomes'!$KE52,'C1-Incomes'!$KM52,'C1-Incomes'!$KU52)*100</f>
        <v>8.1280625172704575</v>
      </c>
      <c r="H50" s="456">
        <f>SUM('C1-Incomes'!JM52,'C1-Incomes'!JU52,'C1-Incomes'!KC52,'C1-Incomes'!KK52,'C1-Incomes'!KS52,'C1-Incomes'!LA52)/SUM('C1-Incomes'!$JG52,'C1-Incomes'!$JO52,'C1-Incomes'!$JW52,'C1-Incomes'!$KE52,'C1-Incomes'!$KM52,'C1-Incomes'!$KU52)*100</f>
        <v>3.5599011111615155</v>
      </c>
      <c r="I50" s="239"/>
      <c r="J50" s="456">
        <f t="shared" si="1"/>
        <v>33.236521870966001</v>
      </c>
      <c r="K50" s="456">
        <f>'C1-Incomes'!JH52/'C1-Incomes'!JG52*100</f>
        <v>66.763478129033999</v>
      </c>
      <c r="L50" s="456">
        <f>'C1-Incomes'!JI52/'C1-Incomes'!JG52*100</f>
        <v>55.186425150614724</v>
      </c>
      <c r="M50" s="456">
        <f>'C1-Incomes'!JJ52/'C1-Incomes'!JG52*100</f>
        <v>34.684027959437316</v>
      </c>
      <c r="N50" s="456">
        <f>'C1-Incomes'!JK52/'C1-Incomes'!JG52*100</f>
        <v>27.910283407069315</v>
      </c>
      <c r="O50" s="456">
        <f>'C1-Incomes'!JL52/'C1-Incomes'!JG52*100</f>
        <v>16.857287997115357</v>
      </c>
      <c r="P50" s="456">
        <f>'C1-Incomes'!JM52/'C1-Incomes'!JG52*100</f>
        <v>7.269101729972534</v>
      </c>
      <c r="Q50" s="458"/>
      <c r="R50" s="456">
        <f t="shared" si="2"/>
        <v>40.10373595517207</v>
      </c>
      <c r="S50" s="456">
        <f>'C1-Incomes'!JP52/'C1-Incomes'!JO52*100</f>
        <v>59.89626404482793</v>
      </c>
      <c r="T50" s="456">
        <f>'C1-Incomes'!JQ52/'C1-Incomes'!JO52*100</f>
        <v>47.990837405893586</v>
      </c>
      <c r="U50" s="456">
        <f>'C1-Incomes'!JR52/'C1-Incomes'!JO52*100</f>
        <v>28.761233932032638</v>
      </c>
      <c r="V50" s="456">
        <f>'C1-Incomes'!JS52/'C1-Incomes'!JO52*100</f>
        <v>23.061568997046074</v>
      </c>
      <c r="W50" s="456">
        <f>'C1-Incomes'!JT52/'C1-Incomes'!JO52*100</f>
        <v>14.095208274587815</v>
      </c>
      <c r="X50" s="456">
        <f>'C1-Incomes'!JU52/'C1-Incomes'!JO52*100</f>
        <v>6.1909810481104239</v>
      </c>
      <c r="Y50" s="458"/>
      <c r="Z50" s="456">
        <f t="shared" si="3"/>
        <v>53.913356283526895</v>
      </c>
      <c r="AA50" s="456">
        <f>'C1-Incomes'!JX52/'C1-Incomes'!JW52*100</f>
        <v>46.086643716473105</v>
      </c>
      <c r="AB50" s="456">
        <f>'C1-Incomes'!JY52/'C1-Incomes'!JW52*100</f>
        <v>34.056239185459091</v>
      </c>
      <c r="AC50" s="456">
        <f>'C1-Incomes'!JZ52/'C1-Incomes'!JW52*100</f>
        <v>18.737025526448274</v>
      </c>
      <c r="AD50" s="456">
        <f>'C1-Incomes'!KA52/'C1-Incomes'!JW52*100</f>
        <v>15.044683926184399</v>
      </c>
      <c r="AE50" s="456">
        <f>'C1-Incomes'!KB52/'C1-Incomes'!JW52*100</f>
        <v>9.7435053660399635</v>
      </c>
      <c r="AF50" s="456">
        <f>'C1-Incomes'!KC52/'C1-Incomes'!JW52*100</f>
        <v>4.8828630731038318</v>
      </c>
      <c r="AG50" s="458"/>
      <c r="AH50" s="456">
        <f t="shared" si="4"/>
        <v>53.737363952820502</v>
      </c>
      <c r="AI50" s="456">
        <f>'C1-Incomes'!KF52/'C1-Incomes'!KE52*100</f>
        <v>46.262636047179498</v>
      </c>
      <c r="AJ50" s="456">
        <f>'C1-Incomes'!KG52/'C1-Incomes'!KE52*100</f>
        <v>33.944266261915033</v>
      </c>
      <c r="AK50" s="456">
        <f>'C1-Incomes'!KH52/'C1-Incomes'!KE52*100</f>
        <v>17.458591821667838</v>
      </c>
      <c r="AL50" s="456">
        <f>'C1-Incomes'!KI52/'C1-Incomes'!KE52*100</f>
        <v>13.529381826077399</v>
      </c>
      <c r="AM50" s="456">
        <f>'C1-Incomes'!KJ52/'C1-Incomes'!KE52*100</f>
        <v>7.8996829250013736</v>
      </c>
      <c r="AN50" s="456">
        <f>'C1-Incomes'!KK52/'C1-Incomes'!KE52*100</f>
        <v>3.5442949571486935</v>
      </c>
      <c r="AP50" s="456">
        <f t="shared" si="5"/>
        <v>75.178388215783244</v>
      </c>
      <c r="AQ50" s="456">
        <f>'C1-Incomes'!KN52/'C1-Incomes'!KM52*100</f>
        <v>24.821611784216753</v>
      </c>
      <c r="AR50" s="456">
        <f>'C1-Incomes'!KO52/'C1-Incomes'!KM52*100</f>
        <v>14.224218419152452</v>
      </c>
      <c r="AS50" s="456">
        <f>'C1-Incomes'!KP52/'C1-Incomes'!KM52*100</f>
        <v>3.8684566723612952</v>
      </c>
      <c r="AT50" s="456">
        <f>'C1-Incomes'!KQ52/'C1-Incomes'!KM52*100</f>
        <v>2.3680049256690867</v>
      </c>
      <c r="AU50" s="456">
        <f>'C1-Incomes'!KR52/'C1-Incomes'!KM52*100</f>
        <v>0.89427395363439766</v>
      </c>
      <c r="AV50" s="456">
        <f>'C1-Incomes'!KS52/'C1-Incomes'!KM52*100</f>
        <v>0.2767479267010341</v>
      </c>
      <c r="AW50" s="456"/>
      <c r="AX50" s="456">
        <f t="shared" si="7"/>
        <v>33.204690620001315</v>
      </c>
      <c r="AY50" s="456">
        <f>'C1-Incomes'!LL52/'C1-Incomes'!LK52*100</f>
        <v>66.795309379998685</v>
      </c>
      <c r="AZ50" s="456">
        <f>'C1-Incomes'!LM52/'C1-Incomes'!LK52*100</f>
        <v>57.333799768986715</v>
      </c>
      <c r="BA50" s="456">
        <f>'C1-Incomes'!LN52/'C1-Incomes'!LK52*100</f>
        <v>36.971953911692772</v>
      </c>
      <c r="BB50" s="456">
        <f>'C1-Incomes'!LO52/'C1-Incomes'!LK52*100</f>
        <v>29.04220603212373</v>
      </c>
      <c r="BC50" s="456">
        <f>'C1-Incomes'!LP52/'C1-Incomes'!LK52*100</f>
        <v>16.448514709828803</v>
      </c>
      <c r="BD50" s="456">
        <f>'C1-Incomes'!LQ52/'C1-Incomes'!LK52*100</f>
        <v>6.9320940623967227</v>
      </c>
      <c r="BF50" s="456">
        <f t="shared" si="6"/>
        <v>71.425922810852711</v>
      </c>
      <c r="BG50" s="456">
        <f>'C1-Incomes'!KV52/'C1-Incomes'!KU52*100</f>
        <v>28.574077189147285</v>
      </c>
      <c r="BH50" s="456">
        <f>'C1-Incomes'!KW52/'C1-Incomes'!KU52*100</f>
        <v>18.245792730517195</v>
      </c>
      <c r="BI50" s="456">
        <f>'C1-Incomes'!KX52/'C1-Incomes'!KU52*100</f>
        <v>7.2779072239110354</v>
      </c>
      <c r="BJ50" s="456">
        <f>'C1-Incomes'!KY52/'C1-Incomes'!KU52*100</f>
        <v>5.3103499335629962</v>
      </c>
      <c r="BK50" s="456">
        <f>'C1-Incomes'!KZ52/'C1-Incomes'!KU52*100</f>
        <v>2.899622307817217</v>
      </c>
      <c r="BL50" s="456">
        <f>'C1-Incomes'!LA52/'C1-Incomes'!KU52*100</f>
        <v>1.2261218321946212</v>
      </c>
    </row>
    <row r="51" spans="1:64" s="452" customFormat="1" ht="12" x14ac:dyDescent="0.25">
      <c r="A51" s="239">
        <v>2005</v>
      </c>
      <c r="B51" s="456">
        <f t="shared" si="0"/>
        <v>54.76755321948086</v>
      </c>
      <c r="C51" s="456">
        <f>SUM('C1-Incomes'!JH53,'C1-Incomes'!JP53,'C1-Incomes'!JX53,'C1-Incomes'!KF53,'C1-Incomes'!KN53,'C1-Incomes'!KV53)/SUM('C1-Incomes'!$JG53,'C1-Incomes'!$JO53,'C1-Incomes'!$JW53,'C1-Incomes'!$KE53,'C1-Incomes'!$KM53,'C1-Incomes'!$KU53)*100</f>
        <v>45.23244678051914</v>
      </c>
      <c r="D51" s="456">
        <f>SUM('C1-Incomes'!JI53,'C1-Incomes'!JQ53,'C1-Incomes'!JY53,'C1-Incomes'!KG53,'C1-Incomes'!KO53,'C1-Incomes'!KW53)/SUM('C1-Incomes'!$JG53,'C1-Incomes'!$JO53,'C1-Incomes'!$JW53,'C1-Incomes'!$KE53,'C1-Incomes'!$KM53,'C1-Incomes'!$KU53)*100</f>
        <v>34.216800323204872</v>
      </c>
      <c r="E51" s="456">
        <f>SUM('C1-Incomes'!JJ53,'C1-Incomes'!JR53,'C1-Incomes'!JZ53,'C1-Incomes'!KH53,'C1-Incomes'!KP53,'C1-Incomes'!KX53)/SUM('C1-Incomes'!$JG53,'C1-Incomes'!$JO53,'C1-Incomes'!$JW53,'C1-Incomes'!$KE53,'C1-Incomes'!$KM53,'C1-Incomes'!$KU53)*100</f>
        <v>19.171990204258687</v>
      </c>
      <c r="F51" s="456">
        <f>SUM('C1-Incomes'!JK53,'C1-Incomes'!JS53,'C1-Incomes'!KA53,'C1-Incomes'!KI53,'C1-Incomes'!KQ53,'C1-Incomes'!KY53)/SUM('C1-Incomes'!$JG53,'C1-Incomes'!$JO53,'C1-Incomes'!$JW53,'C1-Incomes'!$KE53,'C1-Incomes'!$KM53,'C1-Incomes'!$KU53)*100</f>
        <v>15.332501252348948</v>
      </c>
      <c r="G51" s="456">
        <f>SUM('C1-Incomes'!JL53,'C1-Incomes'!JT53,'C1-Incomes'!KB53,'C1-Incomes'!KJ53,'C1-Incomes'!KR53,'C1-Incomes'!KZ53)/SUM('C1-Incomes'!$JG53,'C1-Incomes'!$JO53,'C1-Incomes'!$JW53,'C1-Incomes'!$KE53,'C1-Incomes'!$KM53,'C1-Incomes'!$KU53)*100</f>
        <v>9.221642559895411</v>
      </c>
      <c r="H51" s="456">
        <f>SUM('C1-Incomes'!JM53,'C1-Incomes'!JU53,'C1-Incomes'!KC53,'C1-Incomes'!KK53,'C1-Incomes'!KS53,'C1-Incomes'!LA53)/SUM('C1-Incomes'!$JG53,'C1-Incomes'!$JO53,'C1-Incomes'!$JW53,'C1-Incomes'!$KE53,'C1-Incomes'!$KM53,'C1-Incomes'!$KU53)*100</f>
        <v>4.0964385437201969</v>
      </c>
      <c r="I51" s="239"/>
      <c r="J51" s="456">
        <f t="shared" si="1"/>
        <v>31.268924348402393</v>
      </c>
      <c r="K51" s="456">
        <f>'C1-Incomes'!JH53/'C1-Incomes'!JG53*100</f>
        <v>68.731075651597607</v>
      </c>
      <c r="L51" s="456">
        <f>'C1-Incomes'!JI53/'C1-Incomes'!JG53*100</f>
        <v>57.620758023644058</v>
      </c>
      <c r="M51" s="456">
        <f>'C1-Incomes'!JJ53/'C1-Incomes'!JG53*100</f>
        <v>37.165186377717411</v>
      </c>
      <c r="N51" s="456">
        <f>'C1-Incomes'!JK53/'C1-Incomes'!JG53*100</f>
        <v>30.431102975341815</v>
      </c>
      <c r="O51" s="456">
        <f>'C1-Incomes'!JL53/'C1-Incomes'!JG53*100</f>
        <v>18.657156011495072</v>
      </c>
      <c r="P51" s="456">
        <f>'C1-Incomes'!JM53/'C1-Incomes'!JG53*100</f>
        <v>8.1511017102787999</v>
      </c>
      <c r="Q51" s="458"/>
      <c r="R51" s="456">
        <f t="shared" si="2"/>
        <v>38.377265511895196</v>
      </c>
      <c r="S51" s="456">
        <f>'C1-Incomes'!JP53/'C1-Incomes'!JO53*100</f>
        <v>61.622734488104804</v>
      </c>
      <c r="T51" s="456">
        <f>'C1-Incomes'!JQ53/'C1-Incomes'!JO53*100</f>
        <v>49.896996851073318</v>
      </c>
      <c r="U51" s="456">
        <f>'C1-Incomes'!JR53/'C1-Incomes'!JO53*100</f>
        <v>30.978340545352555</v>
      </c>
      <c r="V51" s="456">
        <f>'C1-Incomes'!JS53/'C1-Incomes'!JO53*100</f>
        <v>25.325038119475874</v>
      </c>
      <c r="W51" s="456">
        <f>'C1-Incomes'!JT53/'C1-Incomes'!JO53*100</f>
        <v>15.742579980302024</v>
      </c>
      <c r="X51" s="456">
        <f>'C1-Incomes'!JU53/'C1-Incomes'!JO53*100</f>
        <v>7.0780009315385808</v>
      </c>
      <c r="Y51" s="458"/>
      <c r="Z51" s="456">
        <f t="shared" si="3"/>
        <v>53.81465506656162</v>
      </c>
      <c r="AA51" s="456">
        <f>'C1-Incomes'!JX53/'C1-Incomes'!JW53*100</f>
        <v>46.18534493343838</v>
      </c>
      <c r="AB51" s="456">
        <f>'C1-Incomes'!JY53/'C1-Incomes'!JW53*100</f>
        <v>34.731337653101946</v>
      </c>
      <c r="AC51" s="456">
        <f>'C1-Incomes'!JZ53/'C1-Incomes'!JW53*100</f>
        <v>19.630283958702126</v>
      </c>
      <c r="AD51" s="456">
        <f>'C1-Incomes'!KA53/'C1-Incomes'!JW53*100</f>
        <v>15.949574604262809</v>
      </c>
      <c r="AE51" s="456">
        <f>'C1-Incomes'!KB53/'C1-Incomes'!JW53*100</f>
        <v>10.192115293311096</v>
      </c>
      <c r="AF51" s="456">
        <f>'C1-Incomes'!KC53/'C1-Incomes'!JW53*100</f>
        <v>5.0926796191509176</v>
      </c>
      <c r="AG51" s="458"/>
      <c r="AH51" s="456">
        <f t="shared" si="4"/>
        <v>53.489668905942573</v>
      </c>
      <c r="AI51" s="456">
        <f>'C1-Incomes'!KF53/'C1-Incomes'!KE53*100</f>
        <v>46.510331094057427</v>
      </c>
      <c r="AJ51" s="456">
        <f>'C1-Incomes'!KG53/'C1-Incomes'!KE53*100</f>
        <v>34.511279771893996</v>
      </c>
      <c r="AK51" s="456">
        <f>'C1-Incomes'!KH53/'C1-Incomes'!KE53*100</f>
        <v>18.212954997018631</v>
      </c>
      <c r="AL51" s="456">
        <f>'C1-Incomes'!KI53/'C1-Incomes'!KE53*100</f>
        <v>14.344729273390335</v>
      </c>
      <c r="AM51" s="456">
        <f>'C1-Incomes'!KJ53/'C1-Incomes'!KE53*100</f>
        <v>8.348462739369154</v>
      </c>
      <c r="AN51" s="456">
        <f>'C1-Incomes'!KK53/'C1-Incomes'!KE53*100</f>
        <v>3.7715789107142697</v>
      </c>
      <c r="AP51" s="456">
        <f t="shared" si="5"/>
        <v>75.243127245667964</v>
      </c>
      <c r="AQ51" s="456">
        <f>'C1-Incomes'!KN53/'C1-Incomes'!KM53*100</f>
        <v>24.756872754332036</v>
      </c>
      <c r="AR51" s="456">
        <f>'C1-Incomes'!KO53/'C1-Incomes'!KM53*100</f>
        <v>14.168829525743623</v>
      </c>
      <c r="AS51" s="456">
        <f>'C1-Incomes'!KP53/'C1-Incomes'!KM53*100</f>
        <v>3.9162789128623143</v>
      </c>
      <c r="AT51" s="456">
        <f>'C1-Incomes'!KQ53/'C1-Incomes'!KM53*100</f>
        <v>2.4428673810888388</v>
      </c>
      <c r="AU51" s="456">
        <f>'C1-Incomes'!KR53/'C1-Incomes'!KM53*100</f>
        <v>0.94377632146072454</v>
      </c>
      <c r="AV51" s="456">
        <f>'C1-Incomes'!KS53/'C1-Incomes'!KM53*100</f>
        <v>0.29284177450684801</v>
      </c>
      <c r="AW51" s="456"/>
      <c r="AX51" s="456">
        <f t="shared" si="7"/>
        <v>33.426482515096509</v>
      </c>
      <c r="AY51" s="456">
        <f>'C1-Incomes'!LL53/'C1-Incomes'!LK53*100</f>
        <v>66.573517484903491</v>
      </c>
      <c r="AZ51" s="456">
        <f>'C1-Incomes'!LM53/'C1-Incomes'!LK53*100</f>
        <v>57.140881965022281</v>
      </c>
      <c r="BA51" s="456">
        <f>'C1-Incomes'!LN53/'C1-Incomes'!LK53*100</f>
        <v>36.670249451575643</v>
      </c>
      <c r="BB51" s="456">
        <f>'C1-Incomes'!LO53/'C1-Incomes'!LK53*100</f>
        <v>29.041735746246495</v>
      </c>
      <c r="BC51" s="456">
        <f>'C1-Incomes'!LP53/'C1-Incomes'!LK53*100</f>
        <v>16.330056796238246</v>
      </c>
      <c r="BD51" s="456">
        <f>'C1-Incomes'!LQ53/'C1-Incomes'!LK53*100</f>
        <v>6.8111474743441676</v>
      </c>
      <c r="BF51" s="456">
        <f t="shared" si="6"/>
        <v>70.922936369094955</v>
      </c>
      <c r="BG51" s="456">
        <f>'C1-Incomes'!KV53/'C1-Incomes'!KU53*100</f>
        <v>29.077063630905048</v>
      </c>
      <c r="BH51" s="456">
        <f>'C1-Incomes'!KW53/'C1-Incomes'!KU53*100</f>
        <v>18.754692945586733</v>
      </c>
      <c r="BI51" s="456">
        <f>'C1-Incomes'!KX53/'C1-Incomes'!KU53*100</f>
        <v>7.8087185699680299</v>
      </c>
      <c r="BJ51" s="456">
        <f>'C1-Incomes'!KY53/'C1-Incomes'!KU53*100</f>
        <v>5.8387427419223963</v>
      </c>
      <c r="BK51" s="456">
        <f>'C1-Incomes'!KZ53/'C1-Incomes'!KU53*100</f>
        <v>3.2530027717823469</v>
      </c>
      <c r="BL51" s="456">
        <f>'C1-Incomes'!LA53/'C1-Incomes'!KU53*100</f>
        <v>1.3964035403515036</v>
      </c>
    </row>
    <row r="52" spans="1:64" s="452" customFormat="1" ht="12" x14ac:dyDescent="0.25">
      <c r="A52" s="239">
        <v>2006</v>
      </c>
      <c r="B52" s="456">
        <f t="shared" si="0"/>
        <v>54.089215367644854</v>
      </c>
      <c r="C52" s="456">
        <f>SUM('C1-Incomes'!JH54,'C1-Incomes'!JP54,'C1-Incomes'!JX54,'C1-Incomes'!KF54,'C1-Incomes'!KN54,'C1-Incomes'!KV54)/SUM('C1-Incomes'!$JG54,'C1-Incomes'!$JO54,'C1-Incomes'!$JW54,'C1-Incomes'!$KE54,'C1-Incomes'!$KM54,'C1-Incomes'!$KU54)*100</f>
        <v>45.910784632355146</v>
      </c>
      <c r="D52" s="456">
        <f>SUM('C1-Incomes'!JI54,'C1-Incomes'!JQ54,'C1-Incomes'!JY54,'C1-Incomes'!KG54,'C1-Incomes'!KO54,'C1-Incomes'!KW54)/SUM('C1-Incomes'!$JG54,'C1-Incomes'!$JO54,'C1-Incomes'!$JW54,'C1-Incomes'!$KE54,'C1-Incomes'!$KM54,'C1-Incomes'!$KU54)*100</f>
        <v>34.95120587225027</v>
      </c>
      <c r="E52" s="456">
        <f>SUM('C1-Incomes'!JJ54,'C1-Incomes'!JR54,'C1-Incomes'!JZ54,'C1-Incomes'!KH54,'C1-Incomes'!KP54,'C1-Incomes'!KX54)/SUM('C1-Incomes'!$JG54,'C1-Incomes'!$JO54,'C1-Incomes'!$JW54,'C1-Incomes'!$KE54,'C1-Incomes'!$KM54,'C1-Incomes'!$KU54)*100</f>
        <v>19.944715745020332</v>
      </c>
      <c r="F52" s="456">
        <f>SUM('C1-Incomes'!JK54,'C1-Incomes'!JS54,'C1-Incomes'!KA54,'C1-Incomes'!KI54,'C1-Incomes'!KQ54,'C1-Incomes'!KY54)/SUM('C1-Incomes'!$JG54,'C1-Incomes'!$JO54,'C1-Incomes'!$JW54,'C1-Incomes'!$KE54,'C1-Incomes'!$KM54,'C1-Incomes'!$KU54)*100</f>
        <v>15.945016870259931</v>
      </c>
      <c r="G52" s="456">
        <f>SUM('C1-Incomes'!JL54,'C1-Incomes'!JT54,'C1-Incomes'!KB54,'C1-Incomes'!KJ54,'C1-Incomes'!KR54,'C1-Incomes'!KZ54)/SUM('C1-Incomes'!$JG54,'C1-Incomes'!$JO54,'C1-Incomes'!$JW54,'C1-Incomes'!$KE54,'C1-Incomes'!$KM54,'C1-Incomes'!$KU54)*100</f>
        <v>9.6118224082687718</v>
      </c>
      <c r="H52" s="456">
        <f>SUM('C1-Incomes'!JM54,'C1-Incomes'!JU54,'C1-Incomes'!KC54,'C1-Incomes'!KK54,'C1-Incomes'!KS54,'C1-Incomes'!LA54)/SUM('C1-Incomes'!$JG54,'C1-Incomes'!$JO54,'C1-Incomes'!$JW54,'C1-Incomes'!$KE54,'C1-Incomes'!$KM54,'C1-Incomes'!$KU54)*100</f>
        <v>4.2076439800988092</v>
      </c>
      <c r="I52" s="239"/>
      <c r="J52" s="456">
        <f t="shared" si="1"/>
        <v>30.84291577160505</v>
      </c>
      <c r="K52" s="456">
        <f>'C1-Incomes'!JH54/'C1-Incomes'!JG54*100</f>
        <v>69.15708422839495</v>
      </c>
      <c r="L52" s="456">
        <f>'C1-Incomes'!JI54/'C1-Incomes'!JG54*100</f>
        <v>58.039989214323072</v>
      </c>
      <c r="M52" s="456">
        <f>'C1-Incomes'!JJ54/'C1-Incomes'!JG54*100</f>
        <v>37.706351352232495</v>
      </c>
      <c r="N52" s="456">
        <f>'C1-Incomes'!JK54/'C1-Incomes'!JG54*100</f>
        <v>30.801776210316167</v>
      </c>
      <c r="O52" s="456">
        <f>'C1-Incomes'!JL54/'C1-Incomes'!JG54*100</f>
        <v>18.914677480399433</v>
      </c>
      <c r="P52" s="456">
        <f>'C1-Incomes'!JM54/'C1-Incomes'!JG54*100</f>
        <v>8.1243992265289204</v>
      </c>
      <c r="Q52" s="458"/>
      <c r="R52" s="456">
        <f t="shared" si="2"/>
        <v>38.889481414825319</v>
      </c>
      <c r="S52" s="456">
        <f>'C1-Incomes'!JP54/'C1-Incomes'!JO54*100</f>
        <v>61.110518585174681</v>
      </c>
      <c r="T52" s="456">
        <f>'C1-Incomes'!JQ54/'C1-Incomes'!JO54*100</f>
        <v>49.79636039188167</v>
      </c>
      <c r="U52" s="456">
        <f>'C1-Incomes'!JR54/'C1-Incomes'!JO54*100</f>
        <v>31.433168535552706</v>
      </c>
      <c r="V52" s="456">
        <f>'C1-Incomes'!JS54/'C1-Incomes'!JO54*100</f>
        <v>25.874102297873026</v>
      </c>
      <c r="W52" s="456">
        <f>'C1-Incomes'!JT54/'C1-Incomes'!JO54*100</f>
        <v>16.11574466900375</v>
      </c>
      <c r="X52" s="456">
        <f>'C1-Incomes'!JU54/'C1-Incomes'!JO54*100</f>
        <v>7.2158234275498527</v>
      </c>
      <c r="Y52" s="458"/>
      <c r="Z52" s="456">
        <f t="shared" si="3"/>
        <v>53.750250299341893</v>
      </c>
      <c r="AA52" s="456">
        <f>'C1-Incomes'!JX54/'C1-Incomes'!JW54*100</f>
        <v>46.249749700658107</v>
      </c>
      <c r="AB52" s="456">
        <f>'C1-Incomes'!JY54/'C1-Incomes'!JW54*100</f>
        <v>35.26070991294327</v>
      </c>
      <c r="AC52" s="456">
        <f>'C1-Incomes'!JZ54/'C1-Incomes'!JW54*100</f>
        <v>20.424488244641104</v>
      </c>
      <c r="AD52" s="456">
        <f>'C1-Incomes'!KA54/'C1-Incomes'!JW54*100</f>
        <v>16.525108192965241</v>
      </c>
      <c r="AE52" s="456">
        <f>'C1-Incomes'!KB54/'C1-Incomes'!JW54*100</f>
        <v>10.491500364611936</v>
      </c>
      <c r="AF52" s="456">
        <f>'C1-Incomes'!KC54/'C1-Incomes'!JW54*100</f>
        <v>5.174361483475427</v>
      </c>
      <c r="AG52" s="458"/>
      <c r="AH52" s="456">
        <f t="shared" si="4"/>
        <v>53.243728883721182</v>
      </c>
      <c r="AI52" s="456">
        <f>'C1-Incomes'!KF54/'C1-Incomes'!KE54*100</f>
        <v>46.756271116278818</v>
      </c>
      <c r="AJ52" s="456">
        <f>'C1-Incomes'!KG54/'C1-Incomes'!KE54*100</f>
        <v>34.901625727882482</v>
      </c>
      <c r="AK52" s="456">
        <f>'C1-Incomes'!KH54/'C1-Incomes'!KE54*100</f>
        <v>18.779295836578818</v>
      </c>
      <c r="AL52" s="456">
        <f>'C1-Incomes'!KI54/'C1-Incomes'!KE54*100</f>
        <v>14.731546022664027</v>
      </c>
      <c r="AM52" s="456">
        <f>'C1-Incomes'!KJ54/'C1-Incomes'!KE54*100</f>
        <v>8.5841342797057223</v>
      </c>
      <c r="AN52" s="456">
        <f>'C1-Incomes'!KK54/'C1-Incomes'!KE54*100</f>
        <v>3.8186506163553817</v>
      </c>
      <c r="AP52" s="456">
        <f t="shared" si="5"/>
        <v>75.115141798194742</v>
      </c>
      <c r="AQ52" s="456">
        <f>'C1-Incomes'!KN54/'C1-Incomes'!KM54*100</f>
        <v>24.884858201805262</v>
      </c>
      <c r="AR52" s="456">
        <f>'C1-Incomes'!KO54/'C1-Incomes'!KM54*100</f>
        <v>14.171640627776322</v>
      </c>
      <c r="AS52" s="456">
        <f>'C1-Incomes'!KP54/'C1-Incomes'!KM54*100</f>
        <v>3.9673411697135839</v>
      </c>
      <c r="AT52" s="456">
        <f>'C1-Incomes'!KQ54/'C1-Incomes'!KM54*100</f>
        <v>2.4760979275030555</v>
      </c>
      <c r="AU52" s="456">
        <f>'C1-Incomes'!KR54/'C1-Incomes'!KM54*100</f>
        <v>0.97003528860285493</v>
      </c>
      <c r="AV52" s="456">
        <f>'C1-Incomes'!KS54/'C1-Incomes'!KM54*100</f>
        <v>0.29114106281916974</v>
      </c>
      <c r="AW52" s="456"/>
      <c r="AX52" s="456">
        <f t="shared" si="7"/>
        <v>31.651658457543718</v>
      </c>
      <c r="AY52" s="456">
        <f>'C1-Incomes'!LL54/'C1-Incomes'!LK54*100</f>
        <v>68.348341542456282</v>
      </c>
      <c r="AZ52" s="456">
        <f>'C1-Incomes'!LM54/'C1-Incomes'!LK54*100</f>
        <v>59.49053512421041</v>
      </c>
      <c r="BA52" s="456">
        <f>'C1-Incomes'!LN54/'C1-Incomes'!LK54*100</f>
        <v>39.695356154033043</v>
      </c>
      <c r="BB52" s="456">
        <f>'C1-Incomes'!LO54/'C1-Incomes'!LK54*100</f>
        <v>31.739772952502431</v>
      </c>
      <c r="BC52" s="456">
        <f>'C1-Incomes'!LP54/'C1-Incomes'!LK54*100</f>
        <v>18.189498339710884</v>
      </c>
      <c r="BD52" s="456">
        <f>'C1-Incomes'!LQ54/'C1-Incomes'!LK54*100</f>
        <v>7.4237801223882416</v>
      </c>
      <c r="BF52" s="456">
        <f t="shared" si="6"/>
        <v>70.894060819475072</v>
      </c>
      <c r="BG52" s="456">
        <f>'C1-Incomes'!KV54/'C1-Incomes'!KU54*100</f>
        <v>29.105939180524931</v>
      </c>
      <c r="BH52" s="456">
        <f>'C1-Incomes'!KW54/'C1-Incomes'!KU54*100</f>
        <v>18.760237620920641</v>
      </c>
      <c r="BI52" s="456">
        <f>'C1-Incomes'!KX54/'C1-Incomes'!KU54*100</f>
        <v>7.9362900783737036</v>
      </c>
      <c r="BJ52" s="456">
        <f>'C1-Incomes'!KY54/'C1-Incomes'!KU54*100</f>
        <v>5.9213532279194938</v>
      </c>
      <c r="BK52" s="456">
        <f>'C1-Incomes'!KZ54/'C1-Incomes'!KU54*100</f>
        <v>3.2952792134545383</v>
      </c>
      <c r="BL52" s="456">
        <f>'C1-Incomes'!LA54/'C1-Incomes'!KU54*100</f>
        <v>1.3750712617410101</v>
      </c>
    </row>
    <row r="53" spans="1:64" s="452" customFormat="1" ht="12" x14ac:dyDescent="0.25">
      <c r="A53" s="239">
        <v>2007</v>
      </c>
      <c r="B53" s="456">
        <f t="shared" si="0"/>
        <v>53.78067299371061</v>
      </c>
      <c r="C53" s="456">
        <f>SUM('C1-Incomes'!JH55,'C1-Incomes'!JP55,'C1-Incomes'!JX55,'C1-Incomes'!KF55,'C1-Incomes'!KN55,'C1-Incomes'!KV55)/SUM('C1-Incomes'!$JG55,'C1-Incomes'!$JO55,'C1-Incomes'!$JW55,'C1-Incomes'!$KE55,'C1-Incomes'!$KM55,'C1-Incomes'!$KU55)*100</f>
        <v>46.21932700628939</v>
      </c>
      <c r="D53" s="456">
        <f>SUM('C1-Incomes'!JI55,'C1-Incomes'!JQ55,'C1-Incomes'!JY55,'C1-Incomes'!KG55,'C1-Incomes'!KO55,'C1-Incomes'!KW55)/SUM('C1-Incomes'!$JG55,'C1-Incomes'!$JO55,'C1-Incomes'!$JW55,'C1-Incomes'!$KE55,'C1-Incomes'!$KM55,'C1-Incomes'!$KU55)*100</f>
        <v>35.422111179903155</v>
      </c>
      <c r="E53" s="456">
        <f>SUM('C1-Incomes'!JJ55,'C1-Incomes'!JR55,'C1-Incomes'!JZ55,'C1-Incomes'!KH55,'C1-Incomes'!KP55,'C1-Incomes'!KX55)/SUM('C1-Incomes'!$JG55,'C1-Incomes'!$JO55,'C1-Incomes'!$JW55,'C1-Incomes'!$KE55,'C1-Incomes'!$KM55,'C1-Incomes'!$KU55)*100</f>
        <v>20.396392380708551</v>
      </c>
      <c r="F53" s="456">
        <f>SUM('C1-Incomes'!JK55,'C1-Incomes'!JS55,'C1-Incomes'!KA55,'C1-Incomes'!KI55,'C1-Incomes'!KQ55,'C1-Incomes'!KY55)/SUM('C1-Incomes'!$JG55,'C1-Incomes'!$JO55,'C1-Incomes'!$JW55,'C1-Incomes'!$KE55,'C1-Incomes'!$KM55,'C1-Incomes'!$KU55)*100</f>
        <v>16.352711454774013</v>
      </c>
      <c r="G53" s="456">
        <f>SUM('C1-Incomes'!JL55,'C1-Incomes'!JT55,'C1-Incomes'!KB55,'C1-Incomes'!KJ55,'C1-Incomes'!KR55,'C1-Incomes'!KZ55)/SUM('C1-Incomes'!$JG55,'C1-Incomes'!$JO55,'C1-Incomes'!$JW55,'C1-Incomes'!$KE55,'C1-Incomes'!$KM55,'C1-Incomes'!$KU55)*100</f>
        <v>9.9008806873943733</v>
      </c>
      <c r="H53" s="456">
        <f>SUM('C1-Incomes'!JM55,'C1-Incomes'!JU55,'C1-Incomes'!KC55,'C1-Incomes'!KK55,'C1-Incomes'!KS55,'C1-Incomes'!LA55)/SUM('C1-Incomes'!$JG55,'C1-Incomes'!$JO55,'C1-Incomes'!$JW55,'C1-Incomes'!$KE55,'C1-Incomes'!$KM55,'C1-Incomes'!$KU55)*100</f>
        <v>4.4680026106083863</v>
      </c>
      <c r="I53" s="239"/>
      <c r="J53" s="456">
        <f t="shared" si="1"/>
        <v>30.764139014482893</v>
      </c>
      <c r="K53" s="456">
        <f>'C1-Incomes'!JH55/'C1-Incomes'!JG55*100</f>
        <v>69.235860985517107</v>
      </c>
      <c r="L53" s="456">
        <f>'C1-Incomes'!JI55/'C1-Incomes'!JG55*100</f>
        <v>58.278756096461294</v>
      </c>
      <c r="M53" s="456">
        <f>'C1-Incomes'!JJ55/'C1-Incomes'!JG55*100</f>
        <v>37.988524427782828</v>
      </c>
      <c r="N53" s="456">
        <f>'C1-Incomes'!JK55/'C1-Incomes'!JG55*100</f>
        <v>31.108525917933001</v>
      </c>
      <c r="O53" s="456">
        <f>'C1-Incomes'!JL55/'C1-Incomes'!JG55*100</f>
        <v>19.26979616957318</v>
      </c>
      <c r="P53" s="456">
        <f>'C1-Incomes'!JM55/'C1-Incomes'!JG55*100</f>
        <v>8.6520966232687009</v>
      </c>
      <c r="Q53" s="458"/>
      <c r="R53" s="456">
        <f t="shared" si="2"/>
        <v>37.252254378644778</v>
      </c>
      <c r="S53" s="456">
        <f>'C1-Incomes'!JP55/'C1-Incomes'!JO55*100</f>
        <v>62.747745621355222</v>
      </c>
      <c r="T53" s="456">
        <f>'C1-Incomes'!JQ55/'C1-Incomes'!JO55*100</f>
        <v>51.591228085806954</v>
      </c>
      <c r="U53" s="456">
        <f>'C1-Incomes'!JR55/'C1-Incomes'!JO55*100</f>
        <v>32.936343787262238</v>
      </c>
      <c r="V53" s="456">
        <f>'C1-Incomes'!JS55/'C1-Incomes'!JO55*100</f>
        <v>27.163636379856548</v>
      </c>
      <c r="W53" s="456">
        <f>'C1-Incomes'!JT55/'C1-Incomes'!JO55*100</f>
        <v>17.03171212481163</v>
      </c>
      <c r="X53" s="456">
        <f>'C1-Incomes'!JU55/'C1-Incomes'!JO55*100</f>
        <v>7.8256446499803092</v>
      </c>
      <c r="Y53" s="458"/>
      <c r="Z53" s="456">
        <f t="shared" si="3"/>
        <v>55.630544469644619</v>
      </c>
      <c r="AA53" s="456">
        <f>'C1-Incomes'!JX55/'C1-Incomes'!JW55*100</f>
        <v>44.369455530355381</v>
      </c>
      <c r="AB53" s="456">
        <f>'C1-Incomes'!JY55/'C1-Incomes'!JW55*100</f>
        <v>34.00502341019925</v>
      </c>
      <c r="AC53" s="456">
        <f>'C1-Incomes'!JZ55/'C1-Incomes'!JW55*100</f>
        <v>19.592186853299328</v>
      </c>
      <c r="AD53" s="456">
        <f>'C1-Incomes'!KA55/'C1-Incomes'!JW55*100</f>
        <v>15.868219092209904</v>
      </c>
      <c r="AE53" s="456">
        <f>'C1-Incomes'!KB55/'C1-Incomes'!JW55*100</f>
        <v>9.9522415436130558</v>
      </c>
      <c r="AF53" s="456">
        <f>'C1-Incomes'!KC55/'C1-Incomes'!JW55*100</f>
        <v>4.9558861514800503</v>
      </c>
      <c r="AG53" s="458"/>
      <c r="AH53" s="456">
        <f t="shared" si="4"/>
        <v>54.315600379369435</v>
      </c>
      <c r="AI53" s="456">
        <f>'C1-Incomes'!KF55/'C1-Incomes'!KE55*100</f>
        <v>45.684399620630565</v>
      </c>
      <c r="AJ53" s="456">
        <f>'C1-Incomes'!KG55/'C1-Incomes'!KE55*100</f>
        <v>34.257334632566341</v>
      </c>
      <c r="AK53" s="456">
        <f>'C1-Incomes'!KH55/'C1-Incomes'!KE55*100</f>
        <v>18.296044149984645</v>
      </c>
      <c r="AL53" s="456">
        <f>'C1-Incomes'!KI55/'C1-Incomes'!KE55*100</f>
        <v>14.322406675614371</v>
      </c>
      <c r="AM53" s="456">
        <f>'C1-Incomes'!KJ55/'C1-Incomes'!KE55*100</f>
        <v>8.2512044484285401</v>
      </c>
      <c r="AN53" s="456">
        <f>'C1-Incomes'!KK55/'C1-Incomes'!KE55*100</f>
        <v>3.7079153798151685</v>
      </c>
      <c r="AP53" s="456">
        <f t="shared" si="5"/>
        <v>75.010700791608954</v>
      </c>
      <c r="AQ53" s="456">
        <f>'C1-Incomes'!KN55/'C1-Incomes'!KM55*100</f>
        <v>24.989299208391049</v>
      </c>
      <c r="AR53" s="456">
        <f>'C1-Incomes'!KO55/'C1-Incomes'!KM55*100</f>
        <v>14.208875418627246</v>
      </c>
      <c r="AS53" s="456">
        <f>'C1-Incomes'!KP55/'C1-Incomes'!KM55*100</f>
        <v>4.076632102397495</v>
      </c>
      <c r="AT53" s="456">
        <f>'C1-Incomes'!KQ55/'C1-Incomes'!KM55*100</f>
        <v>2.5700082433458276</v>
      </c>
      <c r="AU53" s="456">
        <f>'C1-Incomes'!KR55/'C1-Incomes'!KM55*100</f>
        <v>1.035849083213267</v>
      </c>
      <c r="AV53" s="456">
        <f>'C1-Incomes'!KS55/'C1-Incomes'!KM55*100</f>
        <v>0.33026602354177709</v>
      </c>
      <c r="AW53" s="456"/>
      <c r="AX53" s="456">
        <f t="shared" si="7"/>
        <v>32.184633934748803</v>
      </c>
      <c r="AY53" s="456">
        <f>'C1-Incomes'!LL55/'C1-Incomes'!LK55*100</f>
        <v>67.815366065251197</v>
      </c>
      <c r="AZ53" s="456">
        <f>'C1-Incomes'!LM55/'C1-Incomes'!LK55*100</f>
        <v>58.959772761115879</v>
      </c>
      <c r="BA53" s="456">
        <f>'C1-Incomes'!LN55/'C1-Incomes'!LK55*100</f>
        <v>38.94650545463201</v>
      </c>
      <c r="BB53" s="456">
        <f>'C1-Incomes'!LO55/'C1-Incomes'!LK55*100</f>
        <v>30.963622118124984</v>
      </c>
      <c r="BC53" s="456">
        <f>'C1-Incomes'!LP55/'C1-Incomes'!LK55*100</f>
        <v>17.497328203053094</v>
      </c>
      <c r="BD53" s="456">
        <f>'C1-Incomes'!LQ55/'C1-Incomes'!LK55*100</f>
        <v>7.2171207759687714</v>
      </c>
      <c r="BF53" s="456">
        <f t="shared" si="6"/>
        <v>71.131365371789357</v>
      </c>
      <c r="BG53" s="456">
        <f>'C1-Incomes'!KV55/'C1-Incomes'!KU55*100</f>
        <v>28.868634628210639</v>
      </c>
      <c r="BH53" s="456">
        <f>'C1-Incomes'!KW55/'C1-Incomes'!KU55*100</f>
        <v>18.599152035689407</v>
      </c>
      <c r="BI53" s="456">
        <f>'C1-Incomes'!KX55/'C1-Incomes'!KU55*100</f>
        <v>7.9424247143217084</v>
      </c>
      <c r="BJ53" s="456">
        <f>'C1-Incomes'!KY55/'C1-Incomes'!KU55*100</f>
        <v>5.9500842851002647</v>
      </c>
      <c r="BK53" s="456">
        <f>'C1-Incomes'!KZ55/'C1-Incomes'!KU55*100</f>
        <v>3.3297963777030133</v>
      </c>
      <c r="BL53" s="456">
        <f>'C1-Incomes'!LA55/'C1-Incomes'!KU55*100</f>
        <v>1.4293127061997004</v>
      </c>
    </row>
    <row r="54" spans="1:64" s="452" customFormat="1" ht="12" x14ac:dyDescent="0.25">
      <c r="A54" s="239">
        <v>2008</v>
      </c>
      <c r="B54" s="456">
        <f t="shared" si="0"/>
        <v>54.415155933420237</v>
      </c>
      <c r="C54" s="456">
        <f>SUM('C1-Incomes'!JH56,'C1-Incomes'!JP56,'C1-Incomes'!JX56,'C1-Incomes'!KF56,'C1-Incomes'!KN56,'C1-Incomes'!KV56)/SUM('C1-Incomes'!$JG56,'C1-Incomes'!$JO56,'C1-Incomes'!$JW56,'C1-Incomes'!$KE56,'C1-Incomes'!$KM56,'C1-Incomes'!$KU56)*100</f>
        <v>45.584844066579763</v>
      </c>
      <c r="D54" s="456">
        <f>SUM('C1-Incomes'!JI56,'C1-Incomes'!JQ56,'C1-Incomes'!JY56,'C1-Incomes'!KG56,'C1-Incomes'!KO56,'C1-Incomes'!KW56)/SUM('C1-Incomes'!$JG56,'C1-Incomes'!$JO56,'C1-Incomes'!$JW56,'C1-Incomes'!$KE56,'C1-Incomes'!$KM56,'C1-Incomes'!$KU56)*100</f>
        <v>34.376774029127617</v>
      </c>
      <c r="E54" s="456">
        <f>SUM('C1-Incomes'!JJ56,'C1-Incomes'!JR56,'C1-Incomes'!JZ56,'C1-Incomes'!KH56,'C1-Incomes'!KP56,'C1-Incomes'!KX56)/SUM('C1-Incomes'!$JG56,'C1-Incomes'!$JO56,'C1-Incomes'!$JW56,'C1-Incomes'!$KE56,'C1-Incomes'!$KM56,'C1-Incomes'!$KU56)*100</f>
        <v>19.102184536227327</v>
      </c>
      <c r="F54" s="456">
        <f>SUM('C1-Incomes'!JK56,'C1-Incomes'!JS56,'C1-Incomes'!KA56,'C1-Incomes'!KI56,'C1-Incomes'!KQ56,'C1-Incomes'!KY56)/SUM('C1-Incomes'!$JG56,'C1-Incomes'!$JO56,'C1-Incomes'!$JW56,'C1-Incomes'!$KE56,'C1-Incomes'!$KM56,'C1-Incomes'!$KU56)*100</f>
        <v>15.128492445946746</v>
      </c>
      <c r="G54" s="456">
        <f>SUM('C1-Incomes'!JL56,'C1-Incomes'!JT56,'C1-Incomes'!KB56,'C1-Incomes'!KJ56,'C1-Incomes'!KR56,'C1-Incomes'!KZ56)/SUM('C1-Incomes'!$JG56,'C1-Incomes'!$JO56,'C1-Incomes'!$JW56,'C1-Incomes'!$KE56,'C1-Incomes'!$KM56,'C1-Incomes'!$KU56)*100</f>
        <v>9.0691582068676979</v>
      </c>
      <c r="H54" s="456">
        <f>SUM('C1-Incomes'!JM56,'C1-Incomes'!JU56,'C1-Incomes'!KC56,'C1-Incomes'!KK56,'C1-Incomes'!KS56,'C1-Incomes'!LA56)/SUM('C1-Incomes'!$JG56,'C1-Incomes'!$JO56,'C1-Incomes'!$JW56,'C1-Incomes'!$KE56,'C1-Incomes'!$KM56,'C1-Incomes'!$KU56)*100</f>
        <v>4.0680839793630819</v>
      </c>
      <c r="I54" s="239"/>
      <c r="J54" s="456">
        <f t="shared" si="1"/>
        <v>32.707111641052506</v>
      </c>
      <c r="K54" s="456">
        <f>'C1-Incomes'!JH56/'C1-Incomes'!JG56*100</f>
        <v>67.292888358947494</v>
      </c>
      <c r="L54" s="456">
        <f>'C1-Incomes'!JI56/'C1-Incomes'!JG56*100</f>
        <v>55.637909987681944</v>
      </c>
      <c r="M54" s="456">
        <f>'C1-Incomes'!JJ56/'C1-Incomes'!JG56*100</f>
        <v>34.980681231980313</v>
      </c>
      <c r="N54" s="456">
        <f>'C1-Incomes'!JK56/'C1-Incomes'!JG56*100</f>
        <v>28.279621861299358</v>
      </c>
      <c r="O54" s="456">
        <f>'C1-Incomes'!JL56/'C1-Incomes'!JG56*100</f>
        <v>17.363109515627002</v>
      </c>
      <c r="P54" s="456">
        <f>'C1-Incomes'!JM56/'C1-Incomes'!JG56*100</f>
        <v>7.7171666212117227</v>
      </c>
      <c r="Q54" s="458"/>
      <c r="R54" s="456">
        <f t="shared" si="2"/>
        <v>38.492390831687317</v>
      </c>
      <c r="S54" s="456">
        <f>'C1-Incomes'!JP56/'C1-Incomes'!JO56*100</f>
        <v>61.507609168312683</v>
      </c>
      <c r="T54" s="456">
        <f>'C1-Incomes'!JQ56/'C1-Incomes'!JO56*100</f>
        <v>49.897384640857098</v>
      </c>
      <c r="U54" s="456">
        <f>'C1-Incomes'!JR56/'C1-Incomes'!JO56*100</f>
        <v>31.174876403129975</v>
      </c>
      <c r="V54" s="456">
        <f>'C1-Incomes'!JS56/'C1-Incomes'!JO56*100</f>
        <v>25.604931177541239</v>
      </c>
      <c r="W54" s="456">
        <f>'C1-Incomes'!JT56/'C1-Incomes'!JO56*100</f>
        <v>16.067649047668631</v>
      </c>
      <c r="X54" s="456">
        <f>'C1-Incomes'!JU56/'C1-Incomes'!JO56*100</f>
        <v>7.5507783597256548</v>
      </c>
      <c r="Y54" s="458"/>
      <c r="Z54" s="456">
        <f t="shared" si="3"/>
        <v>55.249822429535961</v>
      </c>
      <c r="AA54" s="456">
        <f>'C1-Incomes'!JX56/'C1-Incomes'!JW56*100</f>
        <v>44.750177570464039</v>
      </c>
      <c r="AB54" s="456">
        <f>'C1-Incomes'!JY56/'C1-Incomes'!JW56*100</f>
        <v>33.782951559238818</v>
      </c>
      <c r="AC54" s="456">
        <f>'C1-Incomes'!JZ56/'C1-Incomes'!JW56*100</f>
        <v>18.719722714672454</v>
      </c>
      <c r="AD54" s="456">
        <f>'C1-Incomes'!KA56/'C1-Incomes'!JW56*100</f>
        <v>14.883850370028586</v>
      </c>
      <c r="AE54" s="456">
        <f>'C1-Incomes'!KB56/'C1-Incomes'!JW56*100</f>
        <v>9.1869034501155333</v>
      </c>
      <c r="AF54" s="456">
        <f>'C1-Incomes'!KC56/'C1-Incomes'!JW56*100</f>
        <v>4.5519552036509001</v>
      </c>
      <c r="AG54" s="458"/>
      <c r="AH54" s="456">
        <f t="shared" si="4"/>
        <v>53.88572234695161</v>
      </c>
      <c r="AI54" s="456">
        <f>'C1-Incomes'!KF56/'C1-Incomes'!KE56*100</f>
        <v>46.11427765304839</v>
      </c>
      <c r="AJ54" s="456">
        <f>'C1-Incomes'!KG56/'C1-Incomes'!KE56*100</f>
        <v>34.359130359665627</v>
      </c>
      <c r="AK54" s="456">
        <f>'C1-Incomes'!KH56/'C1-Incomes'!KE56*100</f>
        <v>18.012779968210488</v>
      </c>
      <c r="AL54" s="456">
        <f>'C1-Incomes'!KI56/'C1-Incomes'!KE56*100</f>
        <v>14.035879798579751</v>
      </c>
      <c r="AM54" s="456">
        <f>'C1-Incomes'!KJ56/'C1-Incomes'!KE56*100</f>
        <v>8.0361106237687796</v>
      </c>
      <c r="AN54" s="456">
        <f>'C1-Incomes'!KK56/'C1-Incomes'!KE56*100</f>
        <v>3.6354054112354213</v>
      </c>
      <c r="AP54" s="456">
        <f t="shared" si="5"/>
        <v>74.6082930242533</v>
      </c>
      <c r="AQ54" s="456">
        <f>'C1-Incomes'!KN56/'C1-Incomes'!KM56*100</f>
        <v>25.391706975746697</v>
      </c>
      <c r="AR54" s="456">
        <f>'C1-Incomes'!KO56/'C1-Incomes'!KM56*100</f>
        <v>14.392612082945771</v>
      </c>
      <c r="AS54" s="456">
        <f>'C1-Incomes'!KP56/'C1-Incomes'!KM56*100</f>
        <v>4.0411028829398195</v>
      </c>
      <c r="AT54" s="456">
        <f>'C1-Incomes'!KQ56/'C1-Incomes'!KM56*100</f>
        <v>2.5185944717139397</v>
      </c>
      <c r="AU54" s="456">
        <f>'C1-Incomes'!KR56/'C1-Incomes'!KM56*100</f>
        <v>0.99528546848721833</v>
      </c>
      <c r="AV54" s="456">
        <f>'C1-Incomes'!KS56/'C1-Incomes'!KM56*100</f>
        <v>0.31624882728715609</v>
      </c>
      <c r="AW54" s="456"/>
      <c r="AX54" s="456">
        <f t="shared" si="7"/>
        <v>32.254345102619382</v>
      </c>
      <c r="AY54" s="456">
        <f>'C1-Incomes'!LL56/'C1-Incomes'!LK56*100</f>
        <v>67.745654897380618</v>
      </c>
      <c r="AZ54" s="456">
        <f>'C1-Incomes'!LM56/'C1-Incomes'!LK56*100</f>
        <v>58.686617785783902</v>
      </c>
      <c r="BA54" s="456">
        <f>'C1-Incomes'!LN56/'C1-Incomes'!LK56*100</f>
        <v>38.5605337170363</v>
      </c>
      <c r="BB54" s="456">
        <f>'C1-Incomes'!LO56/'C1-Incomes'!LK56*100</f>
        <v>30.541022883087738</v>
      </c>
      <c r="BC54" s="456">
        <f>'C1-Incomes'!LP56/'C1-Incomes'!LK56*100</f>
        <v>17.392826945043264</v>
      </c>
      <c r="BD54" s="456">
        <f>'C1-Incomes'!LQ56/'C1-Incomes'!LK56*100</f>
        <v>7.1785137453858203</v>
      </c>
      <c r="BF54" s="456">
        <f t="shared" si="6"/>
        <v>71.385563549612513</v>
      </c>
      <c r="BG54" s="456">
        <f>'C1-Incomes'!KV56/'C1-Incomes'!KU56*100</f>
        <v>28.614436450387487</v>
      </c>
      <c r="BH54" s="456">
        <f>'C1-Incomes'!KW56/'C1-Incomes'!KU56*100</f>
        <v>18.300000927594041</v>
      </c>
      <c r="BI54" s="456">
        <f>'C1-Incomes'!KX56/'C1-Incomes'!KU56*100</f>
        <v>7.686465159422978</v>
      </c>
      <c r="BJ54" s="456">
        <f>'C1-Incomes'!KY56/'C1-Incomes'!KU56*100</f>
        <v>5.7298927179519881</v>
      </c>
      <c r="BK54" s="456">
        <f>'C1-Incomes'!KZ56/'C1-Incomes'!KU56*100</f>
        <v>3.2285087432984949</v>
      </c>
      <c r="BL54" s="456">
        <f>'C1-Incomes'!LA56/'C1-Incomes'!KU56*100</f>
        <v>1.4018478886365382</v>
      </c>
    </row>
    <row r="55" spans="1:64" s="452" customFormat="1" ht="12" x14ac:dyDescent="0.25">
      <c r="A55" s="239">
        <v>2009</v>
      </c>
      <c r="B55" s="456">
        <f t="shared" si="0"/>
        <v>56.078554626052721</v>
      </c>
      <c r="C55" s="456">
        <f>SUM('C1-Incomes'!JH57,'C1-Incomes'!JP57,'C1-Incomes'!JX57,'C1-Incomes'!KF57,'C1-Incomes'!KN57,'C1-Incomes'!KV57)/SUM('C1-Incomes'!$JG57,'C1-Incomes'!$JO57,'C1-Incomes'!$JW57,'C1-Incomes'!$KE57,'C1-Incomes'!$KM57,'C1-Incomes'!$KU57)*100</f>
        <v>43.921445373947279</v>
      </c>
      <c r="D55" s="456">
        <f>SUM('C1-Incomes'!JI57,'C1-Incomes'!JQ57,'C1-Incomes'!JY57,'C1-Incomes'!KG57,'C1-Incomes'!KO57,'C1-Incomes'!KW57)/SUM('C1-Incomes'!$JG57,'C1-Incomes'!$JO57,'C1-Incomes'!$JW57,'C1-Incomes'!$KE57,'C1-Incomes'!$KM57,'C1-Incomes'!$KU57)*100</f>
        <v>32.243828269635991</v>
      </c>
      <c r="E55" s="456">
        <f>SUM('C1-Incomes'!JJ57,'C1-Incomes'!JR57,'C1-Incomes'!JZ57,'C1-Incomes'!KH57,'C1-Incomes'!KP57,'C1-Incomes'!KX57)/SUM('C1-Incomes'!$JG57,'C1-Incomes'!$JO57,'C1-Incomes'!$JW57,'C1-Incomes'!$KE57,'C1-Incomes'!$KM57,'C1-Incomes'!$KU57)*100</f>
        <v>16.822401250109522</v>
      </c>
      <c r="F55" s="456">
        <f>SUM('C1-Incomes'!JK57,'C1-Incomes'!JS57,'C1-Incomes'!KA57,'C1-Incomes'!KI57,'C1-Incomes'!KQ57,'C1-Incomes'!KY57)/SUM('C1-Incomes'!$JG57,'C1-Incomes'!$JO57,'C1-Incomes'!$JW57,'C1-Incomes'!$KE57,'C1-Incomes'!$KM57,'C1-Incomes'!$KU57)*100</f>
        <v>13.040861120731066</v>
      </c>
      <c r="G55" s="456">
        <f>SUM('C1-Incomes'!JL57,'C1-Incomes'!JT57,'C1-Incomes'!KB57,'C1-Incomes'!KJ57,'C1-Incomes'!KR57,'C1-Incomes'!KZ57)/SUM('C1-Incomes'!$JG57,'C1-Incomes'!$JO57,'C1-Incomes'!$JW57,'C1-Incomes'!$KE57,'C1-Incomes'!$KM57,'C1-Incomes'!$KU57)*100</f>
        <v>7.6953851606879624</v>
      </c>
      <c r="H55" s="456">
        <f>SUM('C1-Incomes'!JM57,'C1-Incomes'!JU57,'C1-Incomes'!KC57,'C1-Incomes'!KK57,'C1-Incomes'!KS57,'C1-Incomes'!LA57)/SUM('C1-Incomes'!$JG57,'C1-Incomes'!$JO57,'C1-Incomes'!$JW57,'C1-Incomes'!$KE57,'C1-Incomes'!$KM57,'C1-Incomes'!$KU57)*100</f>
        <v>3.545417932620726</v>
      </c>
      <c r="I55" s="239"/>
      <c r="J55" s="456">
        <f t="shared" si="1"/>
        <v>33.484739968245066</v>
      </c>
      <c r="K55" s="456">
        <f>'C1-Incomes'!JH57/'C1-Incomes'!JG57*100</f>
        <v>66.515260031754934</v>
      </c>
      <c r="L55" s="456">
        <f>'C1-Incomes'!JI57/'C1-Incomes'!JG57*100</f>
        <v>54.131802944590348</v>
      </c>
      <c r="M55" s="456">
        <f>'C1-Incomes'!JJ57/'C1-Incomes'!JG57*100</f>
        <v>32.726085346011693</v>
      </c>
      <c r="N55" s="456">
        <f>'C1-Incomes'!JK57/'C1-Incomes'!JG57*100</f>
        <v>26.019138432562777</v>
      </c>
      <c r="O55" s="456">
        <f>'C1-Incomes'!JL57/'C1-Incomes'!JG57*100</f>
        <v>15.749971170580498</v>
      </c>
      <c r="P55" s="456">
        <f>'C1-Incomes'!JM57/'C1-Incomes'!JG57*100</f>
        <v>7.1250706078601578</v>
      </c>
      <c r="Q55" s="458"/>
      <c r="R55" s="456">
        <f t="shared" si="2"/>
        <v>37.832388658855109</v>
      </c>
      <c r="S55" s="456">
        <f>'C1-Incomes'!JP57/'C1-Incomes'!JO57*100</f>
        <v>62.167611341144891</v>
      </c>
      <c r="T55" s="456">
        <f>'C1-Incomes'!JQ57/'C1-Incomes'!JO57*100</f>
        <v>49.545574785737415</v>
      </c>
      <c r="U55" s="456">
        <f>'C1-Incomes'!JR57/'C1-Incomes'!JO57*100</f>
        <v>29.428648236890716</v>
      </c>
      <c r="V55" s="456">
        <f>'C1-Incomes'!JS57/'C1-Incomes'!JO57*100</f>
        <v>23.834950543987496</v>
      </c>
      <c r="W55" s="456">
        <f>'C1-Incomes'!JT57/'C1-Incomes'!JO57*100</f>
        <v>14.973590664868865</v>
      </c>
      <c r="X55" s="456">
        <f>'C1-Incomes'!JU57/'C1-Incomes'!JO57*100</f>
        <v>7.1460869446563393</v>
      </c>
      <c r="Y55" s="458"/>
      <c r="Z55" s="456">
        <f t="shared" si="3"/>
        <v>53.443793094129198</v>
      </c>
      <c r="AA55" s="456">
        <f>'C1-Incomes'!JX57/'C1-Incomes'!JW57*100</f>
        <v>46.556206905870802</v>
      </c>
      <c r="AB55" s="456">
        <f>'C1-Incomes'!JY57/'C1-Incomes'!JW57*100</f>
        <v>35.035491883394741</v>
      </c>
      <c r="AC55" s="456">
        <f>'C1-Incomes'!JZ57/'C1-Incomes'!JW57*100</f>
        <v>19.010443296368699</v>
      </c>
      <c r="AD55" s="456">
        <f>'C1-Incomes'!KA57/'C1-Incomes'!JW57*100</f>
        <v>14.95322146351131</v>
      </c>
      <c r="AE55" s="456">
        <f>'C1-Incomes'!KB57/'C1-Incomes'!JW57*100</f>
        <v>9.3394076905060039</v>
      </c>
      <c r="AF55" s="456">
        <f>'C1-Incomes'!KC57/'C1-Incomes'!JW57*100</f>
        <v>5.0626488149395987</v>
      </c>
      <c r="AG55" s="458"/>
      <c r="AH55" s="456">
        <f t="shared" si="4"/>
        <v>53.623008797896595</v>
      </c>
      <c r="AI55" s="456">
        <f>'C1-Incomes'!KF57/'C1-Incomes'!KE57*100</f>
        <v>46.376991202103405</v>
      </c>
      <c r="AJ55" s="456">
        <f>'C1-Incomes'!KG57/'C1-Incomes'!KE57*100</f>
        <v>34.269601750386116</v>
      </c>
      <c r="AK55" s="456">
        <f>'C1-Incomes'!KH57/'C1-Incomes'!KE57*100</f>
        <v>17.768560528057662</v>
      </c>
      <c r="AL55" s="456">
        <f>'C1-Incomes'!KI57/'C1-Incomes'!KE57*100</f>
        <v>13.705704723468411</v>
      </c>
      <c r="AM55" s="456">
        <f>'C1-Incomes'!KJ57/'C1-Incomes'!KE57*100</f>
        <v>7.9237115655107759</v>
      </c>
      <c r="AN55" s="456">
        <f>'C1-Incomes'!KK57/'C1-Incomes'!KE57*100</f>
        <v>3.823375521714349</v>
      </c>
      <c r="AP55" s="456">
        <f t="shared" si="5"/>
        <v>73.609522842920967</v>
      </c>
      <c r="AQ55" s="456">
        <f>'C1-Incomes'!KN57/'C1-Incomes'!KM57*100</f>
        <v>26.390477157079033</v>
      </c>
      <c r="AR55" s="456">
        <f>'C1-Incomes'!KO57/'C1-Incomes'!KM57*100</f>
        <v>14.979640832344824</v>
      </c>
      <c r="AS55" s="456">
        <f>'C1-Incomes'!KP57/'C1-Incomes'!KM57*100</f>
        <v>3.972775335631852</v>
      </c>
      <c r="AT55" s="456">
        <f>'C1-Incomes'!KQ57/'C1-Incomes'!KM57*100</f>
        <v>2.3853720330809396</v>
      </c>
      <c r="AU55" s="456">
        <f>'C1-Incomes'!KR57/'C1-Incomes'!KM57*100</f>
        <v>0.8725366528829418</v>
      </c>
      <c r="AV55" s="456">
        <f>'C1-Incomes'!KS57/'C1-Incomes'!KM57*100</f>
        <v>0.24735277363280597</v>
      </c>
      <c r="AW55" s="456"/>
      <c r="AX55" s="456">
        <f t="shared" si="7"/>
        <v>26.076515209696197</v>
      </c>
      <c r="AY55" s="456">
        <f>'C1-Incomes'!LL57/'C1-Incomes'!LK57*100</f>
        <v>73.923484790303803</v>
      </c>
      <c r="AZ55" s="456">
        <f>'C1-Incomes'!LM57/'C1-Incomes'!LK57*100</f>
        <v>66.860993346309741</v>
      </c>
      <c r="BA55" s="456">
        <f>'C1-Incomes'!LN57/'C1-Incomes'!LK57*100</f>
        <v>49.431797079102623</v>
      </c>
      <c r="BB55" s="456">
        <f>'C1-Incomes'!LO57/'C1-Incomes'!LK57*100</f>
        <v>40.675720090299791</v>
      </c>
      <c r="BC55" s="456">
        <f>'C1-Incomes'!LP57/'C1-Incomes'!LK57*100</f>
        <v>24.591155878316009</v>
      </c>
      <c r="BD55" s="456">
        <f>'C1-Incomes'!LQ57/'C1-Incomes'!LK57*100</f>
        <v>10.19677290805474</v>
      </c>
      <c r="BF55" s="456">
        <f t="shared" si="6"/>
        <v>71.667443526924899</v>
      </c>
      <c r="BG55" s="456">
        <f>'C1-Incomes'!KV57/'C1-Incomes'!KU57*100</f>
        <v>28.332556473075108</v>
      </c>
      <c r="BH55" s="456">
        <f>'C1-Incomes'!KW57/'C1-Incomes'!KU57*100</f>
        <v>17.827866523716107</v>
      </c>
      <c r="BI55" s="456">
        <f>'C1-Incomes'!KX57/'C1-Incomes'!KU57*100</f>
        <v>7.0472165822650066</v>
      </c>
      <c r="BJ55" s="456">
        <f>'C1-Incomes'!KY57/'C1-Incomes'!KU57*100</f>
        <v>5.1244810316772353</v>
      </c>
      <c r="BK55" s="456">
        <f>'C1-Incomes'!KZ57/'C1-Incomes'!KU57*100</f>
        <v>2.8091789786638688</v>
      </c>
      <c r="BL55" s="456">
        <f>'C1-Incomes'!LA57/'C1-Incomes'!KU57*100</f>
        <v>1.2117077527867757</v>
      </c>
    </row>
    <row r="56" spans="1:64" s="452" customFormat="1" ht="12" x14ac:dyDescent="0.25">
      <c r="A56" s="239">
        <v>2010</v>
      </c>
      <c r="B56" s="456">
        <f t="shared" si="0"/>
        <v>54.983000231345301</v>
      </c>
      <c r="C56" s="456">
        <f>SUM('C1-Incomes'!JH58,'C1-Incomes'!JP58,'C1-Incomes'!JX58,'C1-Incomes'!KF58,'C1-Incomes'!KN58,'C1-Incomes'!KV58)/SUM('C1-Incomes'!$JG58,'C1-Incomes'!$JO58,'C1-Incomes'!$JW58,'C1-Incomes'!$KE58,'C1-Incomes'!$KM58,'C1-Incomes'!$KU58)*100</f>
        <v>45.016999768654699</v>
      </c>
      <c r="D56" s="456">
        <f>SUM('C1-Incomes'!JI58,'C1-Incomes'!JQ58,'C1-Incomes'!JY58,'C1-Incomes'!KG58,'C1-Incomes'!KO58,'C1-Incomes'!KW58)/SUM('C1-Incomes'!$JG58,'C1-Incomes'!$JO58,'C1-Incomes'!$JW58,'C1-Incomes'!$KE58,'C1-Incomes'!$KM58,'C1-Incomes'!$KU58)*100</f>
        <v>33.454802972699859</v>
      </c>
      <c r="E56" s="456">
        <f>SUM('C1-Incomes'!JJ58,'C1-Incomes'!JR58,'C1-Incomes'!JZ58,'C1-Incomes'!KH58,'C1-Incomes'!KP58,'C1-Incomes'!KX58)/SUM('C1-Incomes'!$JG58,'C1-Incomes'!$JO58,'C1-Incomes'!$JW58,'C1-Incomes'!$KE58,'C1-Incomes'!$KM58,'C1-Incomes'!$KU58)*100</f>
        <v>17.860812859503653</v>
      </c>
      <c r="F56" s="456">
        <f>SUM('C1-Incomes'!JK58,'C1-Incomes'!JS58,'C1-Incomes'!KA58,'C1-Incomes'!KI58,'C1-Incomes'!KQ58,'C1-Incomes'!KY58)/SUM('C1-Incomes'!$JG58,'C1-Incomes'!$JO58,'C1-Incomes'!$JW58,'C1-Incomes'!$KE58,'C1-Incomes'!$KM58,'C1-Incomes'!$KU58)*100</f>
        <v>14.023209862811276</v>
      </c>
      <c r="G56" s="456">
        <f>SUM('C1-Incomes'!JL58,'C1-Incomes'!JT58,'C1-Incomes'!KB58,'C1-Incomes'!KJ58,'C1-Incomes'!KR58,'C1-Incomes'!KZ58)/SUM('C1-Incomes'!$JG58,'C1-Incomes'!$JO58,'C1-Incomes'!$JW58,'C1-Incomes'!$KE58,'C1-Incomes'!$KM58,'C1-Incomes'!$KU58)*100</f>
        <v>8.3861768047161913</v>
      </c>
      <c r="H56" s="456">
        <f>SUM('C1-Incomes'!JM58,'C1-Incomes'!JU58,'C1-Incomes'!KC58,'C1-Incomes'!KK58,'C1-Incomes'!KS58,'C1-Incomes'!LA58)/SUM('C1-Incomes'!$JG58,'C1-Incomes'!$JO58,'C1-Incomes'!$JW58,'C1-Incomes'!$KE58,'C1-Incomes'!$KM58,'C1-Incomes'!$KU58)*100</f>
        <v>3.9025768512851702</v>
      </c>
      <c r="I56" s="239"/>
      <c r="J56" s="456">
        <f t="shared" si="1"/>
        <v>32.703057234845474</v>
      </c>
      <c r="K56" s="456">
        <f>'C1-Incomes'!JH58/'C1-Incomes'!JG58*100</f>
        <v>67.296942765154526</v>
      </c>
      <c r="L56" s="456">
        <f>'C1-Incomes'!JI58/'C1-Incomes'!JG58*100</f>
        <v>55.243047839263347</v>
      </c>
      <c r="M56" s="456">
        <f>'C1-Incomes'!JJ58/'C1-Incomes'!JG58*100</f>
        <v>33.914939418633026</v>
      </c>
      <c r="N56" s="456">
        <f>'C1-Incomes'!JK58/'C1-Incomes'!JG58*100</f>
        <v>27.277510284885498</v>
      </c>
      <c r="O56" s="456">
        <f>'C1-Incomes'!JL58/'C1-Incomes'!JG58*100</f>
        <v>16.667487019761715</v>
      </c>
      <c r="P56" s="456">
        <f>'C1-Incomes'!JM58/'C1-Incomes'!JG58*100</f>
        <v>7.5949463147102199</v>
      </c>
      <c r="Q56" s="458"/>
      <c r="R56" s="456">
        <f t="shared" si="2"/>
        <v>36.831023160546728</v>
      </c>
      <c r="S56" s="456">
        <f>'C1-Incomes'!JP58/'C1-Incomes'!JO58*100</f>
        <v>63.168976839453272</v>
      </c>
      <c r="T56" s="456">
        <f>'C1-Incomes'!JQ58/'C1-Incomes'!JO58*100</f>
        <v>50.506698490165903</v>
      </c>
      <c r="U56" s="456">
        <f>'C1-Incomes'!JR58/'C1-Incomes'!JO58*100</f>
        <v>30.206275464176819</v>
      </c>
      <c r="V56" s="456">
        <f>'C1-Incomes'!JS58/'C1-Incomes'!JO58*100</f>
        <v>24.499428425897371</v>
      </c>
      <c r="W56" s="456">
        <f>'C1-Incomes'!JT58/'C1-Incomes'!JO58*100</f>
        <v>15.303250794386933</v>
      </c>
      <c r="X56" s="456">
        <f>'C1-Incomes'!JU58/'C1-Incomes'!JO58*100</f>
        <v>7.0637655551532053</v>
      </c>
      <c r="Y56" s="458"/>
      <c r="Z56" s="456">
        <f t="shared" si="3"/>
        <v>50.455228885387378</v>
      </c>
      <c r="AA56" s="456">
        <f>'C1-Incomes'!JX58/'C1-Incomes'!JW58*100</f>
        <v>49.544771114612622</v>
      </c>
      <c r="AB56" s="456">
        <f>'C1-Incomes'!JY58/'C1-Incomes'!JW58*100</f>
        <v>38.003898586694959</v>
      </c>
      <c r="AC56" s="456">
        <f>'C1-Incomes'!JZ58/'C1-Incomes'!JW58*100</f>
        <v>21.466481536407109</v>
      </c>
      <c r="AD56" s="456">
        <f>'C1-Incomes'!KA58/'C1-Incomes'!JW58*100</f>
        <v>17.262863221456694</v>
      </c>
      <c r="AE56" s="456">
        <f>'C1-Incomes'!KB58/'C1-Incomes'!JW58*100</f>
        <v>11.08769529664988</v>
      </c>
      <c r="AF56" s="456">
        <f>'C1-Incomes'!KC58/'C1-Incomes'!JW58*100</f>
        <v>6.1701148357552098</v>
      </c>
      <c r="AG56" s="458"/>
      <c r="AH56" s="456">
        <f t="shared" si="4"/>
        <v>51.995207358372198</v>
      </c>
      <c r="AI56" s="456">
        <f>'C1-Incomes'!KF58/'C1-Incomes'!KE58*100</f>
        <v>48.004792641627802</v>
      </c>
      <c r="AJ56" s="456">
        <f>'C1-Incomes'!KG58/'C1-Incomes'!KE58*100</f>
        <v>35.823424480476177</v>
      </c>
      <c r="AK56" s="456">
        <f>'C1-Incomes'!KH58/'C1-Incomes'!KE58*100</f>
        <v>19.008236260403255</v>
      </c>
      <c r="AL56" s="456">
        <f>'C1-Incomes'!KI58/'C1-Incomes'!KE58*100</f>
        <v>14.871761728811581</v>
      </c>
      <c r="AM56" s="456">
        <f>'C1-Incomes'!KJ58/'C1-Incomes'!KE58*100</f>
        <v>8.8367311368388641</v>
      </c>
      <c r="AN56" s="456">
        <f>'C1-Incomes'!KK58/'C1-Incomes'!KE58*100</f>
        <v>4.3813748606427083</v>
      </c>
      <c r="AP56" s="456">
        <f t="shared" si="5"/>
        <v>73.723135904704463</v>
      </c>
      <c r="AQ56" s="456">
        <f>'C1-Incomes'!KN58/'C1-Incomes'!KM58*100</f>
        <v>26.276864095295544</v>
      </c>
      <c r="AR56" s="456">
        <f>'C1-Incomes'!KO58/'C1-Incomes'!KM58*100</f>
        <v>15.035150708141416</v>
      </c>
      <c r="AS56" s="456">
        <f>'C1-Incomes'!KP58/'C1-Incomes'!KM58*100</f>
        <v>4.0482458705612494</v>
      </c>
      <c r="AT56" s="456">
        <f>'C1-Incomes'!KQ58/'C1-Incomes'!KM58*100</f>
        <v>2.4626474429240419</v>
      </c>
      <c r="AU56" s="456">
        <f>'C1-Incomes'!KR58/'C1-Incomes'!KM58*100</f>
        <v>0.90643203805731587</v>
      </c>
      <c r="AV56" s="456">
        <f>'C1-Incomes'!KS58/'C1-Incomes'!KM58*100</f>
        <v>0.24855351422950483</v>
      </c>
      <c r="AW56" s="456"/>
      <c r="AX56" s="456">
        <f t="shared" si="7"/>
        <v>21.079554925480153</v>
      </c>
      <c r="AY56" s="456">
        <f>'C1-Incomes'!LL58/'C1-Incomes'!LK58*100</f>
        <v>78.920445074519847</v>
      </c>
      <c r="AZ56" s="456">
        <f>'C1-Incomes'!LM58/'C1-Incomes'!LK58*100</f>
        <v>73.739163093469912</v>
      </c>
      <c r="BA56" s="456">
        <f>'C1-Incomes'!LN58/'C1-Incomes'!LK58*100</f>
        <v>58.778513010499353</v>
      </c>
      <c r="BB56" s="456">
        <f>'C1-Incomes'!LO58/'C1-Incomes'!LK58*100</f>
        <v>49.526450989500638</v>
      </c>
      <c r="BC56" s="456">
        <f>'C1-Incomes'!LP58/'C1-Incomes'!LK58*100</f>
        <v>30.302144892189503</v>
      </c>
      <c r="BD56" s="456">
        <f>'C1-Incomes'!LQ58/'C1-Incomes'!LK58*100</f>
        <v>12.091043304481433</v>
      </c>
      <c r="BF56" s="456">
        <f t="shared" si="6"/>
        <v>71.222640804064085</v>
      </c>
      <c r="BG56" s="456">
        <f>'C1-Incomes'!KV58/'C1-Incomes'!KU58*100</f>
        <v>28.777359195935919</v>
      </c>
      <c r="BH56" s="456">
        <f>'C1-Incomes'!KW58/'C1-Incomes'!KU58*100</f>
        <v>18.262218143552847</v>
      </c>
      <c r="BI56" s="456">
        <f>'C1-Incomes'!KX58/'C1-Incomes'!KU58*100</f>
        <v>7.3391079633380398</v>
      </c>
      <c r="BJ56" s="456">
        <f>'C1-Incomes'!KY58/'C1-Incomes'!KU58*100</f>
        <v>5.3880356226184771</v>
      </c>
      <c r="BK56" s="456">
        <f>'C1-Incomes'!KZ58/'C1-Incomes'!KU58*100</f>
        <v>2.955854626146766</v>
      </c>
      <c r="BL56" s="456">
        <f>'C1-Incomes'!LA58/'C1-Incomes'!KU58*100</f>
        <v>1.2570172674546654</v>
      </c>
    </row>
    <row r="57" spans="1:64" s="452" customFormat="1" ht="12" x14ac:dyDescent="0.25">
      <c r="A57" s="239">
        <v>2011</v>
      </c>
      <c r="B57" s="456">
        <f t="shared" si="0"/>
        <v>53.744507302110954</v>
      </c>
      <c r="C57" s="456">
        <f>SUM('C1-Incomes'!JH59,'C1-Incomes'!JP59,'C1-Incomes'!JX59,'C1-Incomes'!KF59,'C1-Incomes'!KN59,'C1-Incomes'!KV59)/SUM('C1-Incomes'!$JG59,'C1-Incomes'!$JO59,'C1-Incomes'!$JW59,'C1-Incomes'!$KE59,'C1-Incomes'!$KM59,'C1-Incomes'!$KU59)*100</f>
        <v>46.255492697889046</v>
      </c>
      <c r="D57" s="456">
        <f>SUM('C1-Incomes'!JI59,'C1-Incomes'!JQ59,'C1-Incomes'!JY59,'C1-Incomes'!KG59,'C1-Incomes'!KO59,'C1-Incomes'!KW59)/SUM('C1-Incomes'!$JG59,'C1-Incomes'!$JO59,'C1-Incomes'!$JW59,'C1-Incomes'!$KE59,'C1-Incomes'!$KM59,'C1-Incomes'!$KU59)*100</f>
        <v>34.547925093532982</v>
      </c>
      <c r="E57" s="456">
        <f>SUM('C1-Incomes'!JJ59,'C1-Incomes'!JR59,'C1-Incomes'!JZ59,'C1-Incomes'!KH59,'C1-Incomes'!KP59,'C1-Incomes'!KX59)/SUM('C1-Incomes'!$JG59,'C1-Incomes'!$JO59,'C1-Incomes'!$JW59,'C1-Incomes'!$KE59,'C1-Incomes'!$KM59,'C1-Incomes'!$KU59)*100</f>
        <v>18.455732474314186</v>
      </c>
      <c r="F57" s="456">
        <f>SUM('C1-Incomes'!JK59,'C1-Incomes'!JS59,'C1-Incomes'!KA59,'C1-Incomes'!KI59,'C1-Incomes'!KQ59,'C1-Incomes'!KY59)/SUM('C1-Incomes'!$JG59,'C1-Incomes'!$JO59,'C1-Incomes'!$JW59,'C1-Incomes'!$KE59,'C1-Incomes'!$KM59,'C1-Incomes'!$KU59)*100</f>
        <v>14.363354777671548</v>
      </c>
      <c r="G57" s="456">
        <f>SUM('C1-Incomes'!JL59,'C1-Incomes'!JT59,'C1-Incomes'!KB59,'C1-Incomes'!KJ59,'C1-Incomes'!KR59,'C1-Incomes'!KZ59)/SUM('C1-Incomes'!$JG59,'C1-Incomes'!$JO59,'C1-Incomes'!$JW59,'C1-Incomes'!$KE59,'C1-Incomes'!$KM59,'C1-Incomes'!$KU59)*100</f>
        <v>8.465923612545458</v>
      </c>
      <c r="H57" s="456">
        <f>SUM('C1-Incomes'!JM59,'C1-Incomes'!JU59,'C1-Incomes'!KC59,'C1-Incomes'!KK59,'C1-Incomes'!KS59,'C1-Incomes'!LA59)/SUM('C1-Incomes'!$JG59,'C1-Incomes'!$JO59,'C1-Incomes'!$JW59,'C1-Incomes'!$KE59,'C1-Incomes'!$KM59,'C1-Incomes'!$KU59)*100</f>
        <v>3.7256539808224431</v>
      </c>
      <c r="I57" s="239"/>
      <c r="J57" s="456">
        <f t="shared" si="1"/>
        <v>33.099509064576594</v>
      </c>
      <c r="K57" s="456">
        <f>'C1-Incomes'!JH59/'C1-Incomes'!JG59*100</f>
        <v>66.900490935423406</v>
      </c>
      <c r="L57" s="456">
        <f>'C1-Incomes'!JI59/'C1-Incomes'!JG59*100</f>
        <v>54.641284258532863</v>
      </c>
      <c r="M57" s="456">
        <f>'C1-Incomes'!JJ59/'C1-Incomes'!JG59*100</f>
        <v>32.988932321778911</v>
      </c>
      <c r="N57" s="456">
        <f>'C1-Incomes'!JK59/'C1-Incomes'!JG59*100</f>
        <v>26.163342047960768</v>
      </c>
      <c r="O57" s="456">
        <f>'C1-Incomes'!JL59/'C1-Incomes'!JG59*100</f>
        <v>15.679190516500546</v>
      </c>
      <c r="P57" s="456">
        <f>'C1-Incomes'!JM59/'C1-Incomes'!JG59*100</f>
        <v>6.7474450749810817</v>
      </c>
      <c r="Q57" s="458"/>
      <c r="R57" s="456">
        <f t="shared" si="2"/>
        <v>37.254170266220854</v>
      </c>
      <c r="S57" s="456">
        <f>'C1-Incomes'!JP59/'C1-Incomes'!JO59*100</f>
        <v>62.745829733779146</v>
      </c>
      <c r="T57" s="456">
        <f>'C1-Incomes'!JQ59/'C1-Incomes'!JO59*100</f>
        <v>50.304371299395392</v>
      </c>
      <c r="U57" s="456">
        <f>'C1-Incomes'!JR59/'C1-Incomes'!JO59*100</f>
        <v>30.43986564840862</v>
      </c>
      <c r="V57" s="456">
        <f>'C1-Incomes'!JS59/'C1-Incomes'!JO59*100</f>
        <v>24.737475532319372</v>
      </c>
      <c r="W57" s="456">
        <f>'C1-Incomes'!JT59/'C1-Incomes'!JO59*100</f>
        <v>15.573953542769958</v>
      </c>
      <c r="X57" s="456">
        <f>'C1-Incomes'!JU59/'C1-Incomes'!JO59*100</f>
        <v>7.1081299657134949</v>
      </c>
      <c r="Y57" s="458"/>
      <c r="Z57" s="456">
        <f t="shared" si="3"/>
        <v>51.266277352792983</v>
      </c>
      <c r="AA57" s="456">
        <f>'C1-Incomes'!JX59/'C1-Incomes'!JW59*100</f>
        <v>48.733722647207017</v>
      </c>
      <c r="AB57" s="456">
        <f>'C1-Incomes'!JY59/'C1-Incomes'!JW59*100</f>
        <v>36.566552650730557</v>
      </c>
      <c r="AC57" s="456">
        <f>'C1-Incomes'!JZ59/'C1-Incomes'!JW59*100</f>
        <v>19.739385390768298</v>
      </c>
      <c r="AD57" s="456">
        <f>'C1-Incomes'!KA59/'C1-Incomes'!JW59*100</f>
        <v>15.694673511794013</v>
      </c>
      <c r="AE57" s="456">
        <f>'C1-Incomes'!KB59/'C1-Incomes'!JW59*100</f>
        <v>9.7994388565256489</v>
      </c>
      <c r="AF57" s="456">
        <f>'C1-Incomes'!KC59/'C1-Incomes'!JW59*100</f>
        <v>5.0543646446318551</v>
      </c>
      <c r="AG57" s="458"/>
      <c r="AH57" s="456">
        <f t="shared" si="4"/>
        <v>52.066379666498435</v>
      </c>
      <c r="AI57" s="456">
        <f>'C1-Incomes'!KF59/'C1-Incomes'!KE59*100</f>
        <v>47.933620333501565</v>
      </c>
      <c r="AJ57" s="456">
        <f>'C1-Incomes'!KG59/'C1-Incomes'!KE59*100</f>
        <v>35.47353375125936</v>
      </c>
      <c r="AK57" s="456">
        <f>'C1-Incomes'!KH59/'C1-Incomes'!KE59*100</f>
        <v>18.299055635028118</v>
      </c>
      <c r="AL57" s="456">
        <f>'C1-Incomes'!KI59/'C1-Incomes'!KE59*100</f>
        <v>14.13349783310321</v>
      </c>
      <c r="AM57" s="456">
        <f>'C1-Incomes'!KJ59/'C1-Incomes'!KE59*100</f>
        <v>8.1450157697835355</v>
      </c>
      <c r="AN57" s="456">
        <f>'C1-Incomes'!KK59/'C1-Incomes'!KE59*100</f>
        <v>3.7722300080858058</v>
      </c>
      <c r="AP57" s="456">
        <f t="shared" si="5"/>
        <v>73.682912659698971</v>
      </c>
      <c r="AQ57" s="456">
        <f>'C1-Incomes'!KN59/'C1-Incomes'!KM59*100</f>
        <v>26.317087340301025</v>
      </c>
      <c r="AR57" s="456">
        <f>'C1-Incomes'!KO59/'C1-Incomes'!KM59*100</f>
        <v>15.177712315855215</v>
      </c>
      <c r="AS57" s="456">
        <f>'C1-Incomes'!KP59/'C1-Incomes'!KM59*100</f>
        <v>4.2573357244633891</v>
      </c>
      <c r="AT57" s="456">
        <f>'C1-Incomes'!KQ59/'C1-Incomes'!KM59*100</f>
        <v>2.5876047580453987</v>
      </c>
      <c r="AU57" s="456">
        <f>'C1-Incomes'!KR59/'C1-Incomes'!KM59*100</f>
        <v>0.98416786089063468</v>
      </c>
      <c r="AV57" s="456">
        <f>'C1-Incomes'!KS59/'C1-Incomes'!KM59*100</f>
        <v>0.27075873425496921</v>
      </c>
      <c r="AW57" s="456"/>
      <c r="AX57" s="456">
        <f t="shared" si="7"/>
        <v>21.68831318367063</v>
      </c>
      <c r="AY57" s="456">
        <f>'C1-Incomes'!LL59/'C1-Incomes'!LK59*100</f>
        <v>78.31168681632937</v>
      </c>
      <c r="AZ57" s="456">
        <f>'C1-Incomes'!LM59/'C1-Incomes'!LK59*100</f>
        <v>72.905744053133034</v>
      </c>
      <c r="BA57" s="456">
        <f>'C1-Incomes'!LN59/'C1-Incomes'!LK59*100</f>
        <v>57.708654153279092</v>
      </c>
      <c r="BB57" s="456">
        <f>'C1-Incomes'!LO59/'C1-Incomes'!LK59*100</f>
        <v>48.276833710967388</v>
      </c>
      <c r="BC57" s="456">
        <f>'C1-Incomes'!LP59/'C1-Incomes'!LK59*100</f>
        <v>29.581474846651368</v>
      </c>
      <c r="BD57" s="456">
        <f>'C1-Incomes'!LQ59/'C1-Incomes'!LK59*100</f>
        <v>11.6172409924195</v>
      </c>
      <c r="BF57" s="456">
        <f t="shared" si="6"/>
        <v>71.179685905835697</v>
      </c>
      <c r="BG57" s="456">
        <f>'C1-Incomes'!KV59/'C1-Incomes'!KU59*100</f>
        <v>28.820314094164296</v>
      </c>
      <c r="BH57" s="456">
        <f>'C1-Incomes'!KW59/'C1-Incomes'!KU59*100</f>
        <v>18.239839666787773</v>
      </c>
      <c r="BI57" s="456">
        <f>'C1-Incomes'!KX59/'C1-Incomes'!KU59*100</f>
        <v>7.2110971959717354</v>
      </c>
      <c r="BJ57" s="456">
        <f>'C1-Incomes'!KY59/'C1-Incomes'!KU59*100</f>
        <v>5.2060281246470632</v>
      </c>
      <c r="BK57" s="456">
        <f>'C1-Incomes'!KZ59/'C1-Incomes'!KU59*100</f>
        <v>2.7844104260811235</v>
      </c>
      <c r="BL57" s="456">
        <f>'C1-Incomes'!LA59/'C1-Incomes'!KU59*100</f>
        <v>1.1298288153467038</v>
      </c>
    </row>
    <row r="58" spans="1:64" s="452" customFormat="1" ht="12" x14ac:dyDescent="0.25">
      <c r="A58" s="239">
        <v>2012</v>
      </c>
      <c r="B58" s="456">
        <f t="shared" si="0"/>
        <v>52.222194084455502</v>
      </c>
      <c r="C58" s="456">
        <f>SUM('C1-Incomes'!JH60,'C1-Incomes'!JP60,'C1-Incomes'!JX60,'C1-Incomes'!KF60,'C1-Incomes'!KN60,'C1-Incomes'!KV60)/SUM('C1-Incomes'!$JG60,'C1-Incomes'!$JO60,'C1-Incomes'!$JW60,'C1-Incomes'!$KE60,'C1-Incomes'!$KM60,'C1-Incomes'!$KU60)*100</f>
        <v>47.777805915544498</v>
      </c>
      <c r="D58" s="456">
        <f>SUM('C1-Incomes'!JI60,'C1-Incomes'!JQ60,'C1-Incomes'!JY60,'C1-Incomes'!KG60,'C1-Incomes'!KO60,'C1-Incomes'!KW60)/SUM('C1-Incomes'!$JG60,'C1-Incomes'!$JO60,'C1-Incomes'!$JW60,'C1-Incomes'!$KE60,'C1-Incomes'!$KM60,'C1-Incomes'!$KU60)*100</f>
        <v>36.245858934568169</v>
      </c>
      <c r="E58" s="456">
        <f>SUM('C1-Incomes'!JJ60,'C1-Incomes'!JR60,'C1-Incomes'!JZ60,'C1-Incomes'!KH60,'C1-Incomes'!KP60,'C1-Incomes'!KX60)/SUM('C1-Incomes'!$JG60,'C1-Incomes'!$JO60,'C1-Incomes'!$JW60,'C1-Incomes'!$KE60,'C1-Incomes'!$KM60,'C1-Incomes'!$KU60)*100</f>
        <v>20.234681245637081</v>
      </c>
      <c r="F58" s="456">
        <f>SUM('C1-Incomes'!JK60,'C1-Incomes'!JS60,'C1-Incomes'!KA60,'C1-Incomes'!KI60,'C1-Incomes'!KQ60,'C1-Incomes'!KY60)/SUM('C1-Incomes'!$JG60,'C1-Incomes'!$JO60,'C1-Incomes'!$JW60,'C1-Incomes'!$KE60,'C1-Incomes'!$KM60,'C1-Incomes'!$KU60)*100</f>
        <v>16.115015117143354</v>
      </c>
      <c r="G58" s="456">
        <f>SUM('C1-Incomes'!JL60,'C1-Incomes'!JT60,'C1-Incomes'!KB60,'C1-Incomes'!KJ60,'C1-Incomes'!KR60,'C1-Incomes'!KZ60)/SUM('C1-Incomes'!$JG60,'C1-Incomes'!$JO60,'C1-Incomes'!$JW60,'C1-Incomes'!$KE60,'C1-Incomes'!$KM60,'C1-Incomes'!$KU60)*100</f>
        <v>9.8411107556086765</v>
      </c>
      <c r="H58" s="456">
        <f>SUM('C1-Incomes'!JM60,'C1-Incomes'!JU60,'C1-Incomes'!KC60,'C1-Incomes'!KK60,'C1-Incomes'!KS60,'C1-Incomes'!LA60)/SUM('C1-Incomes'!$JG60,'C1-Incomes'!$JO60,'C1-Incomes'!$JW60,'C1-Incomes'!$KE60,'C1-Incomes'!$KM60,'C1-Incomes'!$KU60)*100</f>
        <v>4.5234386094630814</v>
      </c>
      <c r="I58" s="239"/>
      <c r="J58" s="456">
        <f t="shared" si="1"/>
        <v>30.750808821370356</v>
      </c>
      <c r="K58" s="456">
        <f>'C1-Incomes'!JH60/'C1-Incomes'!JG60*100</f>
        <v>69.249191178629644</v>
      </c>
      <c r="L58" s="456">
        <f>'C1-Incomes'!JI60/'C1-Incomes'!JG60*100</f>
        <v>57.629334097137864</v>
      </c>
      <c r="M58" s="456">
        <f>'C1-Incomes'!JJ60/'C1-Incomes'!JG60*100</f>
        <v>36.417502332296046</v>
      </c>
      <c r="N58" s="456">
        <f>'C1-Incomes'!JK60/'C1-Incomes'!JG60*100</f>
        <v>29.50909992213872</v>
      </c>
      <c r="O58" s="456">
        <f>'C1-Incomes'!JL60/'C1-Incomes'!JG60*100</f>
        <v>18.27038534997634</v>
      </c>
      <c r="P58" s="456">
        <f>'C1-Incomes'!JM60/'C1-Incomes'!JG60*100</f>
        <v>8.2448707837985662</v>
      </c>
      <c r="Q58" s="458"/>
      <c r="R58" s="456">
        <f t="shared" si="2"/>
        <v>36.215406415346585</v>
      </c>
      <c r="S58" s="456">
        <f>'C1-Incomes'!JP60/'C1-Incomes'!JO60*100</f>
        <v>63.784593584653415</v>
      </c>
      <c r="T58" s="456">
        <f>'C1-Incomes'!JQ60/'C1-Incomes'!JO60*100</f>
        <v>51.50670968067007</v>
      </c>
      <c r="U58" s="456">
        <f>'C1-Incomes'!JR60/'C1-Incomes'!JO60*100</f>
        <v>31.977690293710943</v>
      </c>
      <c r="V58" s="456">
        <f>'C1-Incomes'!JS60/'C1-Incomes'!JO60*100</f>
        <v>26.157307783848626</v>
      </c>
      <c r="W58" s="456">
        <f>'C1-Incomes'!JT60/'C1-Incomes'!JO60*100</f>
        <v>16.491293739198774</v>
      </c>
      <c r="X58" s="456">
        <f>'C1-Incomes'!JU60/'C1-Incomes'!JO60*100</f>
        <v>7.5299497002777604</v>
      </c>
      <c r="Y58" s="458"/>
      <c r="Z58" s="456">
        <f t="shared" si="3"/>
        <v>49.278529391294654</v>
      </c>
      <c r="AA58" s="456">
        <f>'C1-Incomes'!JX60/'C1-Incomes'!JW60*100</f>
        <v>50.721470608705346</v>
      </c>
      <c r="AB58" s="456">
        <f>'C1-Incomes'!JY60/'C1-Incomes'!JW60*100</f>
        <v>38.404992720034528</v>
      </c>
      <c r="AC58" s="456">
        <f>'C1-Incomes'!JZ60/'C1-Incomes'!JW60*100</f>
        <v>21.653841580712964</v>
      </c>
      <c r="AD58" s="456">
        <f>'C1-Incomes'!KA60/'C1-Incomes'!JW60*100</f>
        <v>17.830996831892651</v>
      </c>
      <c r="AE58" s="456">
        <f>'C1-Incomes'!KB60/'C1-Incomes'!JW60*100</f>
        <v>11.79212453334447</v>
      </c>
      <c r="AF58" s="456">
        <f>'C1-Incomes'!KC60/'C1-Incomes'!JW60*100</f>
        <v>6.2675808354560765</v>
      </c>
      <c r="AG58" s="458"/>
      <c r="AH58" s="456">
        <f t="shared" si="4"/>
        <v>50.584221649181444</v>
      </c>
      <c r="AI58" s="456">
        <f>'C1-Incomes'!KF60/'C1-Incomes'!KE60*100</f>
        <v>49.415778350818556</v>
      </c>
      <c r="AJ58" s="456">
        <f>'C1-Incomes'!KG60/'C1-Incomes'!KE60*100</f>
        <v>36.837684134592863</v>
      </c>
      <c r="AK58" s="456">
        <f>'C1-Incomes'!KH60/'C1-Incomes'!KE60*100</f>
        <v>19.647705179819194</v>
      </c>
      <c r="AL58" s="456">
        <f>'C1-Incomes'!KI60/'C1-Incomes'!KE60*100</f>
        <v>15.581362494460835</v>
      </c>
      <c r="AM58" s="456">
        <f>'C1-Incomes'!KJ60/'C1-Incomes'!KE60*100</f>
        <v>9.3897680251450009</v>
      </c>
      <c r="AN58" s="456">
        <f>'C1-Incomes'!KK60/'C1-Incomes'!KE60*100</f>
        <v>4.5173012036345925</v>
      </c>
      <c r="AP58" s="456">
        <f t="shared" si="5"/>
        <v>73.417966757084059</v>
      </c>
      <c r="AQ58" s="456">
        <f>'C1-Incomes'!KN60/'C1-Incomes'!KM60*100</f>
        <v>26.582033242915937</v>
      </c>
      <c r="AR58" s="456">
        <f>'C1-Incomes'!KO60/'C1-Incomes'!KM60*100</f>
        <v>15.459461136460046</v>
      </c>
      <c r="AS58" s="456">
        <f>'C1-Incomes'!KP60/'C1-Incomes'!KM60*100</f>
        <v>4.4276456806971503</v>
      </c>
      <c r="AT58" s="456">
        <f>'C1-Incomes'!KQ60/'C1-Incomes'!KM60*100</f>
        <v>2.7563814540804499</v>
      </c>
      <c r="AU58" s="456">
        <f>'C1-Incomes'!KR60/'C1-Incomes'!KM60*100</f>
        <v>1.0955611770242846</v>
      </c>
      <c r="AV58" s="456">
        <f>'C1-Incomes'!KS60/'C1-Incomes'!KM60*100</f>
        <v>0.33414112321801004</v>
      </c>
      <c r="AW58" s="456"/>
      <c r="AX58" s="456">
        <f t="shared" si="7"/>
        <v>21.645189770465905</v>
      </c>
      <c r="AY58" s="456">
        <f>'C1-Incomes'!LL60/'C1-Incomes'!LK60*100</f>
        <v>78.354810229534095</v>
      </c>
      <c r="AZ58" s="456">
        <f>'C1-Incomes'!LM60/'C1-Incomes'!LK60*100</f>
        <v>73.033645619899971</v>
      </c>
      <c r="BA58" s="456">
        <f>'C1-Incomes'!LN60/'C1-Incomes'!LK60*100</f>
        <v>57.893798662806006</v>
      </c>
      <c r="BB58" s="456">
        <f>'C1-Incomes'!LO60/'C1-Incomes'!LK60*100</f>
        <v>48.770836563832596</v>
      </c>
      <c r="BC58" s="456">
        <f>'C1-Incomes'!LP60/'C1-Incomes'!LK60*100</f>
        <v>29.638247148196896</v>
      </c>
      <c r="BD58" s="456">
        <f>'C1-Incomes'!LQ60/'C1-Incomes'!LK60*100</f>
        <v>11.700235778889182</v>
      </c>
      <c r="BF58" s="456">
        <f t="shared" si="6"/>
        <v>70.255272865522485</v>
      </c>
      <c r="BG58" s="456">
        <f>'C1-Incomes'!KV60/'C1-Incomes'!KU60*100</f>
        <v>29.744727134477518</v>
      </c>
      <c r="BH58" s="456">
        <f>'C1-Incomes'!KW60/'C1-Incomes'!KU60*100</f>
        <v>19.190073579730608</v>
      </c>
      <c r="BI58" s="456">
        <f>'C1-Incomes'!KX60/'C1-Incomes'!KU60*100</f>
        <v>8.0619322045405166</v>
      </c>
      <c r="BJ58" s="456">
        <f>'C1-Incomes'!KY60/'C1-Incomes'!KU60*100</f>
        <v>5.9980661348577016</v>
      </c>
      <c r="BK58" s="456">
        <f>'C1-Incomes'!KZ60/'C1-Incomes'!KU60*100</f>
        <v>3.3847484398761676</v>
      </c>
      <c r="BL58" s="456">
        <f>'C1-Incomes'!LA60/'C1-Incomes'!KU60*100</f>
        <v>1.4909399535628938</v>
      </c>
    </row>
    <row r="59" spans="1:64" s="452" customFormat="1" ht="12" x14ac:dyDescent="0.25">
      <c r="A59" s="239">
        <v>2013</v>
      </c>
      <c r="B59" s="456">
        <f t="shared" si="0"/>
        <v>52.668087372040191</v>
      </c>
      <c r="C59" s="456">
        <f>SUM('C1-Incomes'!JH61,'C1-Incomes'!JP61,'C1-Incomes'!JX61,'C1-Incomes'!KF61,'C1-Incomes'!KN61,'C1-Incomes'!KV61)/SUM('C1-Incomes'!$JG61,'C1-Incomes'!$JO61,'C1-Incomes'!$JW61,'C1-Incomes'!$KE61,'C1-Incomes'!$KM61,'C1-Incomes'!$KU61)*100</f>
        <v>47.331912627959809</v>
      </c>
      <c r="D59" s="456">
        <f>SUM('C1-Incomes'!JI61,'C1-Incomes'!JQ61,'C1-Incomes'!JY61,'C1-Incomes'!KG61,'C1-Incomes'!KO61,'C1-Incomes'!KW61)/SUM('C1-Incomes'!$JG61,'C1-Incomes'!$JO61,'C1-Incomes'!$JW61,'C1-Incomes'!$KE61,'C1-Incomes'!$KM61,'C1-Incomes'!$KU61)*100</f>
        <v>35.727570030194627</v>
      </c>
      <c r="E59" s="456">
        <f>SUM('C1-Incomes'!JJ61,'C1-Incomes'!JR61,'C1-Incomes'!JZ61,'C1-Incomes'!KH61,'C1-Incomes'!KP61,'C1-Incomes'!KX61)/SUM('C1-Incomes'!$JG61,'C1-Incomes'!$JO61,'C1-Incomes'!$JW61,'C1-Incomes'!$KE61,'C1-Incomes'!$KM61,'C1-Incomes'!$KU61)*100</f>
        <v>19.853185088682256</v>
      </c>
      <c r="F59" s="456">
        <f>SUM('C1-Incomes'!JK61,'C1-Incomes'!JS61,'C1-Incomes'!KA61,'C1-Incomes'!KI61,'C1-Incomes'!KQ61,'C1-Incomes'!KY61)/SUM('C1-Incomes'!$JG61,'C1-Incomes'!$JO61,'C1-Incomes'!$JW61,'C1-Incomes'!$KE61,'C1-Incomes'!$KM61,'C1-Incomes'!$KU61)*100</f>
        <v>15.748350587995152</v>
      </c>
      <c r="G59" s="456">
        <f>SUM('C1-Incomes'!JL61,'C1-Incomes'!JT61,'C1-Incomes'!KB61,'C1-Incomes'!KJ61,'C1-Incomes'!KR61,'C1-Incomes'!KZ61)/SUM('C1-Incomes'!$JG61,'C1-Incomes'!$JO61,'C1-Incomes'!$JW61,'C1-Incomes'!$KE61,'C1-Incomes'!$KM61,'C1-Incomes'!$KU61)*100</f>
        <v>9.5834272031582994</v>
      </c>
      <c r="H59" s="456">
        <f>SUM('C1-Incomes'!JM61,'C1-Incomes'!JU61,'C1-Incomes'!KC61,'C1-Incomes'!KK61,'C1-Incomes'!KS61,'C1-Incomes'!LA61)/SUM('C1-Incomes'!$JG61,'C1-Incomes'!$JO61,'C1-Incomes'!$JW61,'C1-Incomes'!$KE61,'C1-Incomes'!$KM61,'C1-Incomes'!$KU61)*100</f>
        <v>4.3787855492557117</v>
      </c>
      <c r="I59" s="239"/>
      <c r="J59" s="456">
        <f t="shared" si="1"/>
        <v>31.134912524586682</v>
      </c>
      <c r="K59" s="456">
        <f>'C1-Incomes'!JH61/'C1-Incomes'!JG61*100</f>
        <v>68.865087475413318</v>
      </c>
      <c r="L59" s="456">
        <f>'C1-Incomes'!JI61/'C1-Incomes'!JG61*100</f>
        <v>57.221070185795384</v>
      </c>
      <c r="M59" s="456">
        <f>'C1-Incomes'!JJ61/'C1-Incomes'!JG61*100</f>
        <v>36.34899883590289</v>
      </c>
      <c r="N59" s="456">
        <f>'C1-Incomes'!JK61/'C1-Incomes'!JG61*100</f>
        <v>29.426527008721219</v>
      </c>
      <c r="O59" s="456">
        <f>'C1-Incomes'!JL61/'C1-Incomes'!JG61*100</f>
        <v>18.152202249119647</v>
      </c>
      <c r="P59" s="456">
        <f>'C1-Incomes'!JM61/'C1-Incomes'!JG61*100</f>
        <v>8.1559684680354305</v>
      </c>
      <c r="Q59" s="458"/>
      <c r="R59" s="456">
        <f t="shared" si="2"/>
        <v>34.980128147325729</v>
      </c>
      <c r="S59" s="456">
        <f>'C1-Incomes'!JP61/'C1-Incomes'!JO61*100</f>
        <v>65.019871852674271</v>
      </c>
      <c r="T59" s="456">
        <f>'C1-Incomes'!JQ61/'C1-Incomes'!JO61*100</f>
        <v>53.316477602256221</v>
      </c>
      <c r="U59" s="456">
        <f>'C1-Incomes'!JR61/'C1-Incomes'!JO61*100</f>
        <v>34.035582189506471</v>
      </c>
      <c r="V59" s="456">
        <f>'C1-Incomes'!JS61/'C1-Incomes'!JO61*100</f>
        <v>28.236101546392341</v>
      </c>
      <c r="W59" s="456">
        <f>'C1-Incomes'!JT61/'C1-Incomes'!JO61*100</f>
        <v>18.322264060343105</v>
      </c>
      <c r="X59" s="456">
        <f>'C1-Incomes'!JU61/'C1-Incomes'!JO61*100</f>
        <v>8.8193171297782502</v>
      </c>
      <c r="Y59" s="458"/>
      <c r="Z59" s="456">
        <f t="shared" si="3"/>
        <v>50.202827335089083</v>
      </c>
      <c r="AA59" s="456">
        <f>'C1-Incomes'!JX61/'C1-Incomes'!JW61*100</f>
        <v>49.797172664910917</v>
      </c>
      <c r="AB59" s="456">
        <f>'C1-Incomes'!JY61/'C1-Incomes'!JW61*100</f>
        <v>37.056189461369172</v>
      </c>
      <c r="AC59" s="456">
        <f>'C1-Incomes'!JZ61/'C1-Incomes'!JW61*100</f>
        <v>20.256948791160085</v>
      </c>
      <c r="AD59" s="456">
        <f>'C1-Incomes'!KA61/'C1-Incomes'!JW61*100</f>
        <v>16.512658816465581</v>
      </c>
      <c r="AE59" s="456">
        <f>'C1-Incomes'!KB61/'C1-Incomes'!JW61*100</f>
        <v>10.850978054826856</v>
      </c>
      <c r="AF59" s="456">
        <f>'C1-Incomes'!KC61/'C1-Incomes'!JW61*100</f>
        <v>5.6040105602770725</v>
      </c>
      <c r="AG59" s="458"/>
      <c r="AH59" s="456">
        <f t="shared" si="4"/>
        <v>50.568319804272512</v>
      </c>
      <c r="AI59" s="456">
        <f>'C1-Incomes'!KF61/'C1-Incomes'!KE61*100</f>
        <v>49.431680195727488</v>
      </c>
      <c r="AJ59" s="456">
        <f>'C1-Incomes'!KG61/'C1-Incomes'!KE61*100</f>
        <v>36.490643650020999</v>
      </c>
      <c r="AK59" s="456">
        <f>'C1-Incomes'!KH61/'C1-Incomes'!KE61*100</f>
        <v>19.11596591443644</v>
      </c>
      <c r="AL59" s="456">
        <f>'C1-Incomes'!KI61/'C1-Incomes'!KE61*100</f>
        <v>14.977068669392365</v>
      </c>
      <c r="AM59" s="456">
        <f>'C1-Incomes'!KJ61/'C1-Incomes'!KE61*100</f>
        <v>8.8870357924698364</v>
      </c>
      <c r="AN59" s="456">
        <f>'C1-Incomes'!KK61/'C1-Incomes'!KE61*100</f>
        <v>4.1297557303023797</v>
      </c>
      <c r="AP59" s="456">
        <f t="shared" si="5"/>
        <v>73.710998681646771</v>
      </c>
      <c r="AQ59" s="456">
        <f>'C1-Incomes'!KN61/'C1-Incomes'!KM61*100</f>
        <v>26.289001318353222</v>
      </c>
      <c r="AR59" s="456">
        <f>'C1-Incomes'!KO61/'C1-Incomes'!KM61*100</f>
        <v>15.07408205779428</v>
      </c>
      <c r="AS59" s="456">
        <f>'C1-Incomes'!KP61/'C1-Incomes'!KM61*100</f>
        <v>4.1200072276776627</v>
      </c>
      <c r="AT59" s="456">
        <f>'C1-Incomes'!KQ61/'C1-Incomes'!KM61*100</f>
        <v>2.4674819812134667</v>
      </c>
      <c r="AU59" s="456">
        <f>'C1-Incomes'!KR61/'C1-Incomes'!KM61*100</f>
        <v>0.91842749716457128</v>
      </c>
      <c r="AV59" s="456">
        <f>'C1-Incomes'!KS61/'C1-Incomes'!KM61*100</f>
        <v>0.25812212477825497</v>
      </c>
      <c r="AW59" s="456"/>
      <c r="AX59" s="456">
        <f t="shared" si="7"/>
        <v>21.518283778177505</v>
      </c>
      <c r="AY59" s="456">
        <f>'C1-Incomes'!LL61/'C1-Incomes'!LK61*100</f>
        <v>78.481716221822495</v>
      </c>
      <c r="AZ59" s="456">
        <f>'C1-Incomes'!LM61/'C1-Incomes'!LK61*100</f>
        <v>73.17952776608368</v>
      </c>
      <c r="BA59" s="456">
        <f>'C1-Incomes'!LN61/'C1-Incomes'!LK61*100</f>
        <v>58.213065974204902</v>
      </c>
      <c r="BB59" s="456">
        <f>'C1-Incomes'!LO61/'C1-Incomes'!LK61*100</f>
        <v>49.076918363121443</v>
      </c>
      <c r="BC59" s="456">
        <f>'C1-Incomes'!LP61/'C1-Incomes'!LK61*100</f>
        <v>30.073926916070263</v>
      </c>
      <c r="BD59" s="456">
        <f>'C1-Incomes'!LQ61/'C1-Incomes'!LK61*100</f>
        <v>11.858890761988595</v>
      </c>
      <c r="BF59" s="456">
        <f t="shared" si="6"/>
        <v>71.17660786281337</v>
      </c>
      <c r="BG59" s="456">
        <f>'C1-Incomes'!KV61/'C1-Incomes'!KU61*100</f>
        <v>28.823392137186637</v>
      </c>
      <c r="BH59" s="456">
        <f>'C1-Incomes'!KW61/'C1-Incomes'!KU61*100</f>
        <v>18.14266215524421</v>
      </c>
      <c r="BI59" s="456">
        <f>'C1-Incomes'!KX61/'C1-Incomes'!KU61*100</f>
        <v>6.9642546754857593</v>
      </c>
      <c r="BJ59" s="456">
        <f>'C1-Incomes'!KY61/'C1-Incomes'!KU61*100</f>
        <v>4.9311826030924548</v>
      </c>
      <c r="BK59" s="456">
        <f>'C1-Incomes'!KZ61/'C1-Incomes'!KU61*100</f>
        <v>2.5925737622665439</v>
      </c>
      <c r="BL59" s="456">
        <f>'C1-Incomes'!LA61/'C1-Incomes'!KU61*100</f>
        <v>1.0733170153807754</v>
      </c>
    </row>
    <row r="60" spans="1:64" s="452" customFormat="1" ht="12" x14ac:dyDescent="0.25">
      <c r="A60" s="239">
        <v>2014</v>
      </c>
      <c r="B60" s="456">
        <f>100-C60</f>
        <v>52.299977705643769</v>
      </c>
      <c r="C60" s="456">
        <f>SUM('C1-Incomes'!JH62,'C1-Incomes'!JP62,'C1-Incomes'!JX62,'C1-Incomes'!KF62,'C1-Incomes'!KN62,'C1-Incomes'!KV62)/SUM('C1-Incomes'!$JG62,'C1-Incomes'!$JO62,'C1-Incomes'!$JW62,'C1-Incomes'!$KE62,'C1-Incomes'!$KM62,'C1-Incomes'!$KU62)*100</f>
        <v>47.700022294356231</v>
      </c>
      <c r="D60" s="456">
        <f>SUM('C1-Incomes'!JI62,'C1-Incomes'!JQ62,'C1-Incomes'!JY62,'C1-Incomes'!KG62,'C1-Incomes'!KO62,'C1-Incomes'!KW62)/SUM('C1-Incomes'!$JG62,'C1-Incomes'!$JO62,'C1-Incomes'!$JW62,'C1-Incomes'!$KE62,'C1-Incomes'!$KM62,'C1-Incomes'!$KU62)*100</f>
        <v>36.25232626722979</v>
      </c>
      <c r="E60" s="456">
        <f>SUM('C1-Incomes'!JJ62,'C1-Incomes'!JR62,'C1-Incomes'!JZ62,'C1-Incomes'!KH62,'C1-Incomes'!KP62,'C1-Incomes'!KX62)/SUM('C1-Incomes'!$JG62,'C1-Incomes'!$JO62,'C1-Incomes'!$JW62,'C1-Incomes'!$KE62,'C1-Incomes'!$KM62,'C1-Incomes'!$KU62)*100</f>
        <v>20.367115610643243</v>
      </c>
      <c r="F60" s="456">
        <f>SUM('C1-Incomes'!JK62,'C1-Incomes'!JS62,'C1-Incomes'!KA62,'C1-Incomes'!KI62,'C1-Incomes'!KQ62,'C1-Incomes'!KY62)/SUM('C1-Incomes'!$JG62,'C1-Incomes'!$JO62,'C1-Incomes'!$JW62,'C1-Incomes'!$KE62,'C1-Incomes'!$KM62,'C1-Incomes'!$KU62)*100</f>
        <v>16.261186546955685</v>
      </c>
      <c r="G60" s="456">
        <f>SUM('C1-Incomes'!JL62,'C1-Incomes'!JT62,'C1-Incomes'!KB62,'C1-Incomes'!KJ62,'C1-Incomes'!KR62,'C1-Incomes'!KZ62)/SUM('C1-Incomes'!$JG62,'C1-Incomes'!$JO62,'C1-Incomes'!$JW62,'C1-Incomes'!$KE62,'C1-Incomes'!$KM62,'C1-Incomes'!$KU62)*100</f>
        <v>9.9339493443182576</v>
      </c>
      <c r="H60" s="456">
        <f>SUM('C1-Incomes'!JM62,'C1-Incomes'!JU62,'C1-Incomes'!KC62,'C1-Incomes'!KK62,'C1-Incomes'!KS62,'C1-Incomes'!LA62)/SUM('C1-Incomes'!$JG62,'C1-Incomes'!$JO62,'C1-Incomes'!$JW62,'C1-Incomes'!$KE62,'C1-Incomes'!$KM62,'C1-Incomes'!$KU62)*100</f>
        <v>4.5526804342029417</v>
      </c>
      <c r="I60" s="239"/>
      <c r="J60" s="456">
        <f>100-K60</f>
        <v>30.418898634859744</v>
      </c>
      <c r="K60" s="456">
        <f>'C1-Incomes'!JH62/'C1-Incomes'!JG62*100</f>
        <v>69.581101365140256</v>
      </c>
      <c r="L60" s="456">
        <f>'C1-Incomes'!JI62/'C1-Incomes'!JG62*100</f>
        <v>58.343513780290003</v>
      </c>
      <c r="M60" s="456">
        <f>'C1-Incomes'!JJ62/'C1-Incomes'!JG62*100</f>
        <v>37.661106804878081</v>
      </c>
      <c r="N60" s="456">
        <f>'C1-Incomes'!JK62/'C1-Incomes'!JG62*100</f>
        <v>30.765117029238471</v>
      </c>
      <c r="O60" s="456">
        <f>'C1-Incomes'!JL62/'C1-Incomes'!JG62*100</f>
        <v>19.110856768909279</v>
      </c>
      <c r="P60" s="456">
        <f>'C1-Incomes'!JM62/'C1-Incomes'!JG62*100</f>
        <v>8.6414045940683977</v>
      </c>
      <c r="Q60" s="458"/>
      <c r="R60" s="456">
        <f>100-S60</f>
        <v>35.045569859392046</v>
      </c>
      <c r="S60" s="456">
        <f>'C1-Incomes'!JP62/'C1-Incomes'!JO62*100</f>
        <v>64.954430140607954</v>
      </c>
      <c r="T60" s="456">
        <f>'C1-Incomes'!JQ62/'C1-Incomes'!JO62*100</f>
        <v>52.8395626614248</v>
      </c>
      <c r="U60" s="456">
        <f>'C1-Incomes'!JR62/'C1-Incomes'!JO62*100</f>
        <v>33.096825751505385</v>
      </c>
      <c r="V60" s="456">
        <f>'C1-Incomes'!JS62/'C1-Incomes'!JO62*100</f>
        <v>27.464114626385101</v>
      </c>
      <c r="W60" s="456">
        <f>'C1-Incomes'!JT62/'C1-Incomes'!JO62*100</f>
        <v>17.904151416472729</v>
      </c>
      <c r="X60" s="456">
        <f>'C1-Incomes'!JU62/'C1-Incomes'!JO62*100</f>
        <v>8.6040137641812109</v>
      </c>
      <c r="Y60" s="458"/>
      <c r="Z60" s="456">
        <f>100-AA60</f>
        <v>49.879537212058302</v>
      </c>
      <c r="AA60" s="456">
        <f>'C1-Incomes'!JX62/'C1-Incomes'!JW62*100</f>
        <v>50.120462787941698</v>
      </c>
      <c r="AB60" s="456">
        <f>'C1-Incomes'!JY62/'C1-Incomes'!JW62*100</f>
        <v>37.567478502311367</v>
      </c>
      <c r="AC60" s="456">
        <f>'C1-Incomes'!JZ62/'C1-Incomes'!JW62*100</f>
        <v>20.646994973262554</v>
      </c>
      <c r="AD60" s="456">
        <f>'C1-Incomes'!KA62/'C1-Incomes'!JW62*100</f>
        <v>16.837060431031105</v>
      </c>
      <c r="AE60" s="456">
        <f>'C1-Incomes'!KB62/'C1-Incomes'!JW62*100</f>
        <v>11.05610028745201</v>
      </c>
      <c r="AF60" s="456">
        <f>'C1-Incomes'!KC62/'C1-Incomes'!JW62*100</f>
        <v>5.7508037319791585</v>
      </c>
      <c r="AG60" s="458"/>
      <c r="AH60" s="456">
        <f>100-AI60</f>
        <v>50.011206992354502</v>
      </c>
      <c r="AI60" s="456">
        <f>'C1-Incomes'!KF62/'C1-Incomes'!KE62*100</f>
        <v>49.988793007645498</v>
      </c>
      <c r="AJ60" s="456">
        <f>'C1-Incomes'!KG62/'C1-Incomes'!KE62*100</f>
        <v>37.081973421242047</v>
      </c>
      <c r="AK60" s="456">
        <f>'C1-Incomes'!KH62/'C1-Incomes'!KE62*100</f>
        <v>19.444552477512804</v>
      </c>
      <c r="AL60" s="456">
        <f>'C1-Incomes'!KI62/'C1-Incomes'!KE62*100</f>
        <v>15.215209171948068</v>
      </c>
      <c r="AM60" s="456">
        <f>'C1-Incomes'!KJ62/'C1-Incomes'!KE62*100</f>
        <v>8.9749031197951989</v>
      </c>
      <c r="AN60" s="456">
        <f>'C1-Incomes'!KK62/'C1-Incomes'!KE62*100</f>
        <v>4.1648373844940973</v>
      </c>
      <c r="AP60" s="456">
        <f>100-AQ60</f>
        <v>73.802357402910303</v>
      </c>
      <c r="AQ60" s="456">
        <f>'C1-Incomes'!KN62/'C1-Incomes'!KM62*100</f>
        <v>26.197642597089693</v>
      </c>
      <c r="AR60" s="456">
        <f>'C1-Incomes'!KO62/'C1-Incomes'!KM62*100</f>
        <v>15.077313062452834</v>
      </c>
      <c r="AS60" s="456">
        <f>'C1-Incomes'!KP62/'C1-Incomes'!KM62*100</f>
        <v>4.2034504212822403</v>
      </c>
      <c r="AT60" s="456">
        <f>'C1-Incomes'!KQ62/'C1-Incomes'!KM62*100</f>
        <v>2.5692244368947499</v>
      </c>
      <c r="AU60" s="456">
        <f>'C1-Incomes'!KR62/'C1-Incomes'!KM62*100</f>
        <v>0.96955742193730343</v>
      </c>
      <c r="AV60" s="456">
        <f>'C1-Incomes'!KS62/'C1-Incomes'!KM62*100</f>
        <v>0.27939869767168662</v>
      </c>
      <c r="AW60" s="456"/>
      <c r="AX60" s="456">
        <f t="shared" si="7"/>
        <v>21.58429612210125</v>
      </c>
      <c r="AY60" s="456">
        <f>'C1-Incomes'!LL62/'C1-Incomes'!LK62*100</f>
        <v>78.41570387789875</v>
      </c>
      <c r="AZ60" s="456">
        <f>'C1-Incomes'!LM62/'C1-Incomes'!LK62*100</f>
        <v>73.08314290208628</v>
      </c>
      <c r="BA60" s="456">
        <f>'C1-Incomes'!LN62/'C1-Incomes'!LK62*100</f>
        <v>58.188494134319683</v>
      </c>
      <c r="BB60" s="456">
        <f>'C1-Incomes'!LO62/'C1-Incomes'!LK62*100</f>
        <v>49.164666662787795</v>
      </c>
      <c r="BC60" s="456">
        <f>'C1-Incomes'!LP62/'C1-Incomes'!LK62*100</f>
        <v>29.881986868921949</v>
      </c>
      <c r="BD60" s="456">
        <f>'C1-Incomes'!LQ62/'C1-Incomes'!LK62*100</f>
        <v>11.751488460643337</v>
      </c>
      <c r="BF60" s="456">
        <f>100-BG60</f>
        <v>70.952151150325719</v>
      </c>
      <c r="BG60" s="456">
        <f>'C1-Incomes'!KV62/'C1-Incomes'!KU62*100</f>
        <v>29.047848849674278</v>
      </c>
      <c r="BH60" s="456">
        <f>'C1-Incomes'!KW62/'C1-Incomes'!KU62*100</f>
        <v>18.419409075380795</v>
      </c>
      <c r="BI60" s="456">
        <f>'C1-Incomes'!KX62/'C1-Incomes'!KU62*100</f>
        <v>7.1876744572323865</v>
      </c>
      <c r="BJ60" s="456">
        <f>'C1-Incomes'!KY62/'C1-Incomes'!KU62*100</f>
        <v>5.1457028708077601</v>
      </c>
      <c r="BK60" s="456">
        <f>'C1-Incomes'!KZ62/'C1-Incomes'!KU62*100</f>
        <v>2.7156472805663867</v>
      </c>
      <c r="BL60" s="456">
        <f>'C1-Incomes'!LA62/'C1-Incomes'!KU62*100</f>
        <v>1.1288298917409794</v>
      </c>
    </row>
    <row r="61" spans="1:64" s="452" customFormat="1" ht="12" x14ac:dyDescent="0.25">
      <c r="A61" s="239">
        <v>2015</v>
      </c>
      <c r="B61" s="456">
        <f>100-C61</f>
        <v>52.187495314177205</v>
      </c>
      <c r="C61" s="456">
        <f>SUM('C1-Incomes'!JH63,'C1-Incomes'!JP63,'C1-Incomes'!JX63,'C1-Incomes'!KF63,'C1-Incomes'!KN63,'C1-Incomes'!KV63)/SUM('C1-Incomes'!$JG63,'C1-Incomes'!$JO63,'C1-Incomes'!$JW63,'C1-Incomes'!$KE63,'C1-Incomes'!$KM63,'C1-Incomes'!$KU63)*100</f>
        <v>47.812504685822795</v>
      </c>
      <c r="D61" s="456">
        <f>SUM('C1-Incomes'!JI63,'C1-Incomes'!JQ63,'C1-Incomes'!JY63,'C1-Incomes'!KG63,'C1-Incomes'!KO63,'C1-Incomes'!KW63)/SUM('C1-Incomes'!$JG63,'C1-Incomes'!$JO63,'C1-Incomes'!$JW63,'C1-Incomes'!$KE63,'C1-Incomes'!$KM63,'C1-Incomes'!$KU63)*100</f>
        <v>36.347768489155072</v>
      </c>
      <c r="E61" s="456">
        <f>SUM('C1-Incomes'!JJ63,'C1-Incomes'!JR63,'C1-Incomes'!JZ63,'C1-Incomes'!KH63,'C1-Incomes'!KP63,'C1-Incomes'!KX63)/SUM('C1-Incomes'!$JG63,'C1-Incomes'!$JO63,'C1-Incomes'!$JW63,'C1-Incomes'!$KE63,'C1-Incomes'!$KM63,'C1-Incomes'!$KU63)*100</f>
        <v>20.411832740306586</v>
      </c>
      <c r="F61" s="456">
        <f>SUM('C1-Incomes'!JK63,'C1-Incomes'!JS63,'C1-Incomes'!KA63,'C1-Incomes'!KI63,'C1-Incomes'!KQ63,'C1-Incomes'!KY63)/SUM('C1-Incomes'!$JG63,'C1-Incomes'!$JO63,'C1-Incomes'!$JW63,'C1-Incomes'!$KE63,'C1-Incomes'!$KM63,'C1-Incomes'!$KU63)*100</f>
        <v>16.294691136254542</v>
      </c>
      <c r="G61" s="456">
        <f>SUM('C1-Incomes'!JL63,'C1-Incomes'!JT63,'C1-Incomes'!KB63,'C1-Incomes'!KJ63,'C1-Incomes'!KR63,'C1-Incomes'!KZ63)/SUM('C1-Incomes'!$JG63,'C1-Incomes'!$JO63,'C1-Incomes'!$JW63,'C1-Incomes'!$KE63,'C1-Incomes'!$KM63,'C1-Incomes'!$KU63)*100</f>
        <v>9.8880587322064049</v>
      </c>
      <c r="H61" s="456">
        <f>SUM('C1-Incomes'!JM63,'C1-Incomes'!JU63,'C1-Incomes'!KC63,'C1-Incomes'!KK63,'C1-Incomes'!KS63,'C1-Incomes'!LA63)/SUM('C1-Incomes'!$JG63,'C1-Incomes'!$JO63,'C1-Incomes'!$JW63,'C1-Incomes'!$KE63,'C1-Incomes'!$KM63,'C1-Incomes'!$KU63)*100</f>
        <v>4.5069585381369448</v>
      </c>
      <c r="I61" s="239"/>
      <c r="J61" s="456">
        <f>100-K61</f>
        <v>30.906948745412393</v>
      </c>
      <c r="K61" s="456">
        <f>'C1-Incomes'!JH63/'C1-Incomes'!JG63*100</f>
        <v>69.093051254587607</v>
      </c>
      <c r="L61" s="456">
        <f>'C1-Incomes'!JI63/'C1-Incomes'!JG63*100</f>
        <v>57.65658762905899</v>
      </c>
      <c r="M61" s="456">
        <f>'C1-Incomes'!JJ63/'C1-Incomes'!JG63*100</f>
        <v>36.856050793426995</v>
      </c>
      <c r="N61" s="456">
        <f>'C1-Incomes'!JK63/'C1-Incomes'!JG63*100</f>
        <v>30.042706253265322</v>
      </c>
      <c r="O61" s="456">
        <f>'C1-Incomes'!JL63/'C1-Incomes'!JG63*100</f>
        <v>18.463823067195381</v>
      </c>
      <c r="P61" s="456">
        <f>'C1-Incomes'!JM63/'C1-Incomes'!JG63*100</f>
        <v>8.2616091845268951</v>
      </c>
      <c r="Q61" s="458"/>
      <c r="R61" s="456">
        <f>100-S61</f>
        <v>34.44256473164225</v>
      </c>
      <c r="S61" s="456">
        <f>'C1-Incomes'!JP63/'C1-Incomes'!JO63*100</f>
        <v>65.55743526835775</v>
      </c>
      <c r="T61" s="456">
        <f>'C1-Incomes'!JQ63/'C1-Incomes'!JO63*100</f>
        <v>53.754646936090779</v>
      </c>
      <c r="U61" s="456">
        <f>'C1-Incomes'!JR63/'C1-Incomes'!JO63*100</f>
        <v>34.06780340697614</v>
      </c>
      <c r="V61" s="456">
        <f>'C1-Incomes'!JS63/'C1-Incomes'!JO63*100</f>
        <v>28.271190307830953</v>
      </c>
      <c r="W61" s="456">
        <f>'C1-Incomes'!JT63/'C1-Incomes'!JO63*100</f>
        <v>18.279291699580067</v>
      </c>
      <c r="X61" s="456">
        <f>'C1-Incomes'!JU63/'C1-Incomes'!JO63*100</f>
        <v>8.699276111787583</v>
      </c>
      <c r="Y61" s="458"/>
      <c r="Z61" s="456">
        <f>100-AA61</f>
        <v>50.548108027770219</v>
      </c>
      <c r="AA61" s="456">
        <f>'C1-Incomes'!JX63/'C1-Incomes'!JW63*100</f>
        <v>49.451891972229781</v>
      </c>
      <c r="AB61" s="456">
        <f>'C1-Incomes'!JY63/'C1-Incomes'!JW63*100</f>
        <v>37.27552436947694</v>
      </c>
      <c r="AC61" s="456">
        <f>'C1-Incomes'!JZ63/'C1-Incomes'!JW63*100</f>
        <v>20.702631686869605</v>
      </c>
      <c r="AD61" s="456">
        <f>'C1-Incomes'!KA63/'C1-Incomes'!JW63*100</f>
        <v>16.882737442439264</v>
      </c>
      <c r="AE61" s="456">
        <f>'C1-Incomes'!KB63/'C1-Incomes'!JW63*100</f>
        <v>11.141597004322723</v>
      </c>
      <c r="AF61" s="456">
        <f>'C1-Incomes'!KC63/'C1-Incomes'!JW63*100</f>
        <v>5.8727669382223429</v>
      </c>
      <c r="AG61" s="458"/>
      <c r="AH61" s="456">
        <f>100-AI61</f>
        <v>50.207929062197195</v>
      </c>
      <c r="AI61" s="456">
        <f>'C1-Incomes'!KF63/'C1-Incomes'!KE63*100</f>
        <v>49.792070937802805</v>
      </c>
      <c r="AJ61" s="456">
        <f>'C1-Incomes'!KG63/'C1-Incomes'!KE63*100</f>
        <v>36.9613808905155</v>
      </c>
      <c r="AK61" s="456">
        <f>'C1-Incomes'!KH63/'C1-Incomes'!KE63*100</f>
        <v>19.34757969660604</v>
      </c>
      <c r="AL61" s="456">
        <f>'C1-Incomes'!KI63/'C1-Incomes'!KE63*100</f>
        <v>15.145963181888208</v>
      </c>
      <c r="AM61" s="456">
        <f>'C1-Incomes'!KJ63/'C1-Incomes'!KE63*100</f>
        <v>8.897731078184222</v>
      </c>
      <c r="AN61" s="456">
        <f>'C1-Incomes'!KK63/'C1-Incomes'!KE63*100</f>
        <v>4.1340084398345054</v>
      </c>
      <c r="AP61" s="456">
        <f>100-AQ61</f>
        <v>73.763796309026191</v>
      </c>
      <c r="AQ61" s="456">
        <f>'C1-Incomes'!KN63/'C1-Incomes'!KM63*100</f>
        <v>26.236203690973809</v>
      </c>
      <c r="AR61" s="456">
        <f>'C1-Incomes'!KO63/'C1-Incomes'!KM63*100</f>
        <v>15.051659235861953</v>
      </c>
      <c r="AS61" s="456">
        <f>'C1-Incomes'!KP63/'C1-Incomes'!KM63*100</f>
        <v>4.2068641938776397</v>
      </c>
      <c r="AT61" s="456">
        <f>'C1-Incomes'!KQ63/'C1-Incomes'!KM63*100</f>
        <v>2.5907025501595271</v>
      </c>
      <c r="AU61" s="456">
        <f>'C1-Incomes'!KR63/'C1-Incomes'!KM63*100</f>
        <v>0.98577201660226366</v>
      </c>
      <c r="AV61" s="456">
        <f>'C1-Incomes'!KS63/'C1-Incomes'!KM63*100</f>
        <v>0.29622089915063632</v>
      </c>
      <c r="AW61" s="456"/>
      <c r="AX61" s="456">
        <f t="shared" si="7"/>
        <v>21.64240939114822</v>
      </c>
      <c r="AY61" s="456">
        <f>'C1-Incomes'!LL63/'C1-Incomes'!LK63*100</f>
        <v>78.35759060885178</v>
      </c>
      <c r="AZ61" s="456">
        <f>'C1-Incomes'!LM63/'C1-Incomes'!LK63*100</f>
        <v>73.038916285613936</v>
      </c>
      <c r="BA61" s="456">
        <f>'C1-Incomes'!LN63/'C1-Incomes'!LK63*100</f>
        <v>57.968359702209035</v>
      </c>
      <c r="BB61" s="456">
        <f>'C1-Incomes'!LO63/'C1-Incomes'!LK63*100</f>
        <v>48.95921159589416</v>
      </c>
      <c r="BC61" s="456">
        <f>'C1-Incomes'!LP63/'C1-Incomes'!LK63*100</f>
        <v>29.511192895168222</v>
      </c>
      <c r="BD61" s="456">
        <f>'C1-Incomes'!LQ63/'C1-Incomes'!LK63*100</f>
        <v>11.566865818046992</v>
      </c>
      <c r="BF61" s="456">
        <f>100-BG61</f>
        <v>70.712835612058129</v>
      </c>
      <c r="BG61" s="456">
        <f>'C1-Incomes'!KV63/'C1-Incomes'!KU63*100</f>
        <v>29.287164387941871</v>
      </c>
      <c r="BH61" s="456">
        <f>'C1-Incomes'!KW63/'C1-Incomes'!KU63*100</f>
        <v>18.566495589564912</v>
      </c>
      <c r="BI61" s="456">
        <f>'C1-Incomes'!KX63/'C1-Incomes'!KU63*100</f>
        <v>7.2744595397710983</v>
      </c>
      <c r="BJ61" s="456">
        <f>'C1-Incomes'!KY63/'C1-Incomes'!KU63*100</f>
        <v>5.2527915198359327</v>
      </c>
      <c r="BK61" s="456">
        <f>'C1-Incomes'!KZ63/'C1-Incomes'!KU63*100</f>
        <v>2.808003177718482</v>
      </c>
      <c r="BL61" s="456">
        <f>'C1-Incomes'!LA63/'C1-Incomes'!KU63*100</f>
        <v>1.1923395891679713</v>
      </c>
    </row>
    <row r="62" spans="1:64" s="452" customFormat="1" x14ac:dyDescent="0.3">
      <c r="A62" s="548"/>
      <c r="B62" s="548"/>
      <c r="C62" s="548"/>
      <c r="D62" s="548"/>
      <c r="E62" s="548"/>
      <c r="F62" s="548"/>
      <c r="G62" s="548"/>
      <c r="H62" s="548"/>
      <c r="I62" s="548"/>
      <c r="J62" s="548"/>
      <c r="K62" s="548"/>
      <c r="L62" s="548"/>
      <c r="M62" s="548"/>
      <c r="N62" s="548"/>
      <c r="O62" s="548"/>
      <c r="P62" s="548"/>
      <c r="Q62" s="548"/>
      <c r="R62" s="548"/>
      <c r="S62" s="989"/>
      <c r="T62" s="989"/>
      <c r="U62" s="989"/>
      <c r="V62" s="989"/>
      <c r="W62" s="989"/>
      <c r="X62" s="989"/>
      <c r="Y62" s="548"/>
      <c r="Z62" s="548"/>
      <c r="AA62" s="548"/>
      <c r="AB62" s="548"/>
      <c r="AC62" s="548"/>
      <c r="AD62" s="548"/>
      <c r="AE62" s="548"/>
      <c r="AF62" s="548"/>
      <c r="AG62" s="548"/>
      <c r="AH62" s="548"/>
      <c r="AI62" s="548"/>
      <c r="AJ62" s="548"/>
      <c r="AK62" s="548"/>
      <c r="AL62" s="548"/>
      <c r="AM62" s="548"/>
      <c r="AN62" s="548"/>
      <c r="AO62" s="548"/>
      <c r="AP62" s="548"/>
      <c r="AQ62" s="548"/>
      <c r="AR62" s="548"/>
      <c r="AS62" s="548"/>
      <c r="AT62" s="548"/>
      <c r="AU62" s="548"/>
      <c r="AV62" s="548"/>
      <c r="AW62" s="548"/>
      <c r="AX62" s="548"/>
      <c r="AY62" s="548"/>
      <c r="AZ62" s="548"/>
      <c r="BA62" s="548"/>
      <c r="BB62" s="548"/>
      <c r="BC62" s="548"/>
      <c r="BD62" s="548"/>
      <c r="BE62" s="548"/>
      <c r="BF62" s="548"/>
      <c r="BG62" s="548"/>
      <c r="BH62" s="548"/>
      <c r="BI62" s="548"/>
      <c r="BJ62" s="548"/>
      <c r="BK62" s="548"/>
      <c r="BL62" s="548"/>
    </row>
    <row r="63" spans="1:64" s="452" customFormat="1" x14ac:dyDescent="0.3">
      <c r="S63" s="284"/>
      <c r="T63" s="284"/>
      <c r="U63" s="284"/>
      <c r="V63" s="284"/>
      <c r="W63" s="284"/>
      <c r="X63" s="284"/>
    </row>
    <row r="64" spans="1:64" x14ac:dyDescent="0.3">
      <c r="A64" s="24" t="s">
        <v>2063</v>
      </c>
      <c r="R64" s="495"/>
    </row>
    <row r="65" spans="18:37" x14ac:dyDescent="0.3">
      <c r="R65" s="518"/>
      <c r="S65" s="517"/>
      <c r="T65" s="517"/>
      <c r="U65" s="517"/>
      <c r="V65" s="517"/>
      <c r="W65" s="517"/>
      <c r="X65" s="517"/>
      <c r="AJ65" s="518"/>
    </row>
    <row r="66" spans="18:37" x14ac:dyDescent="0.3">
      <c r="R66" s="285"/>
      <c r="S66" s="285"/>
      <c r="T66" s="285"/>
      <c r="U66" s="285"/>
      <c r="V66" s="285"/>
      <c r="W66" s="285"/>
      <c r="X66" s="285"/>
      <c r="AJ66" s="285"/>
    </row>
    <row r="67" spans="18:37" x14ac:dyDescent="0.3">
      <c r="R67" s="517"/>
      <c r="S67" s="517"/>
      <c r="T67" s="285"/>
      <c r="U67" s="285"/>
      <c r="V67" s="285"/>
      <c r="W67" s="285"/>
      <c r="X67" s="285"/>
      <c r="AI67" s="249"/>
      <c r="AJ67" s="249"/>
      <c r="AK67" s="249"/>
    </row>
    <row r="68" spans="18:37" x14ac:dyDescent="0.3">
      <c r="R68" s="285"/>
      <c r="S68" s="285"/>
      <c r="T68" s="285"/>
      <c r="U68" s="285"/>
      <c r="V68" s="285"/>
      <c r="W68" s="285"/>
      <c r="X68" s="285"/>
      <c r="AJ68" s="285"/>
    </row>
    <row r="69" spans="18:37" x14ac:dyDescent="0.3">
      <c r="R69" s="517"/>
      <c r="S69" s="517"/>
      <c r="T69" s="285"/>
      <c r="U69" s="285"/>
      <c r="V69" s="285"/>
      <c r="W69" s="285"/>
      <c r="X69" s="285"/>
      <c r="AI69" s="249"/>
      <c r="AJ69" s="249"/>
      <c r="AK69" s="249"/>
    </row>
    <row r="70" spans="18:37" x14ac:dyDescent="0.3">
      <c r="R70" s="285"/>
      <c r="S70" s="285"/>
      <c r="T70" s="285"/>
      <c r="U70" s="285"/>
      <c r="V70" s="285"/>
      <c r="W70" s="285"/>
      <c r="X70" s="285"/>
      <c r="AJ70" s="285"/>
    </row>
    <row r="71" spans="18:37" x14ac:dyDescent="0.3">
      <c r="R71" s="517"/>
      <c r="S71" s="517"/>
      <c r="T71" s="285"/>
      <c r="U71" s="285"/>
      <c r="V71" s="285"/>
      <c r="W71" s="285"/>
      <c r="X71" s="285"/>
      <c r="AI71" s="249"/>
      <c r="AJ71" s="249"/>
      <c r="AK71" s="249"/>
    </row>
    <row r="72" spans="18:37" x14ac:dyDescent="0.3">
      <c r="R72" s="285"/>
      <c r="S72" s="285"/>
      <c r="T72" s="285"/>
      <c r="U72" s="285"/>
      <c r="V72" s="285"/>
      <c r="W72" s="285"/>
      <c r="X72" s="285"/>
      <c r="AJ72" s="285"/>
    </row>
    <row r="73" spans="18:37" x14ac:dyDescent="0.3">
      <c r="R73" s="517"/>
      <c r="S73" s="517"/>
      <c r="T73" s="285"/>
      <c r="U73" s="285"/>
      <c r="V73" s="285"/>
      <c r="W73" s="285"/>
      <c r="X73" s="285"/>
      <c r="AI73" s="249"/>
      <c r="AJ73" s="249"/>
      <c r="AK73" s="249"/>
    </row>
    <row r="78" spans="18:37" x14ac:dyDescent="0.3">
      <c r="R78" s="469"/>
      <c r="S78" s="494"/>
      <c r="T78" s="494"/>
      <c r="U78" s="494"/>
      <c r="V78" s="494"/>
      <c r="W78" s="494"/>
      <c r="X78" s="494"/>
    </row>
    <row r="80" spans="18:37" x14ac:dyDescent="0.3">
      <c r="R80" s="474"/>
    </row>
    <row r="81" spans="18:18" x14ac:dyDescent="0.3">
      <c r="R81" s="474"/>
    </row>
  </sheetData>
  <mergeCells count="8">
    <mergeCell ref="AH3:AN3"/>
    <mergeCell ref="AP3:AV3"/>
    <mergeCell ref="BF3:BL3"/>
    <mergeCell ref="B3:H3"/>
    <mergeCell ref="J3:P3"/>
    <mergeCell ref="R3:X3"/>
    <mergeCell ref="Z3:AF3"/>
    <mergeCell ref="AX3:BD3"/>
  </mergeCells>
  <hyperlinks>
    <hyperlink ref="J1" location="Index!A1" display="Index"/>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BW81"/>
  <sheetViews>
    <sheetView workbookViewId="0">
      <selection activeCell="X60" sqref="X60"/>
    </sheetView>
  </sheetViews>
  <sheetFormatPr defaultColWidth="9.109375" defaultRowHeight="14.4" x14ac:dyDescent="0.3"/>
  <cols>
    <col min="1" max="1" width="9.109375" style="24"/>
    <col min="2" max="2" width="9.44140625" style="24" customWidth="1"/>
    <col min="3" max="3" width="7.21875" style="24" customWidth="1"/>
    <col min="4" max="4" width="6.21875" style="24" customWidth="1"/>
    <col min="5" max="5" width="6.88671875" style="24" customWidth="1"/>
    <col min="6" max="7" width="7.5546875" style="24" customWidth="1"/>
    <col min="8" max="8" width="8.21875" style="24" customWidth="1"/>
    <col min="9" max="9" width="3" style="24" customWidth="1"/>
    <col min="10" max="10" width="8.77734375" style="24" customWidth="1"/>
    <col min="11" max="13" width="7.109375" style="24" customWidth="1"/>
    <col min="14" max="14" width="7.77734375" style="24" customWidth="1"/>
    <col min="15" max="15" width="8.109375" style="24" customWidth="1"/>
    <col min="16" max="16" width="9.21875" style="24" customWidth="1"/>
    <col min="17" max="17" width="3.109375" style="24" customWidth="1"/>
    <col min="18" max="18" width="7.44140625" style="24" customWidth="1"/>
    <col min="19" max="21" width="7.109375" style="24" customWidth="1"/>
    <col min="22" max="23" width="7.44140625" style="24" customWidth="1"/>
    <col min="24" max="24" width="8.44140625" style="24" customWidth="1"/>
    <col min="25" max="25" width="2.21875" style="24" customWidth="1"/>
    <col min="26" max="27" width="7.44140625" style="24" customWidth="1"/>
    <col min="28" max="28" width="7.21875" style="24" customWidth="1"/>
    <col min="29" max="29" width="6.77734375" style="24" customWidth="1"/>
    <col min="30" max="31" width="7.44140625" style="24" customWidth="1"/>
    <col min="32" max="32" width="9.109375" style="24"/>
    <col min="33" max="33" width="2.5546875" style="24" customWidth="1"/>
    <col min="34" max="38" width="7.44140625" style="24" customWidth="1"/>
    <col min="39" max="39" width="7.88671875" style="24" customWidth="1"/>
    <col min="40" max="40" width="9.109375" style="24"/>
    <col min="41" max="41" width="1.88671875" style="24" customWidth="1"/>
    <col min="42" max="42" width="7.88671875" style="24" customWidth="1"/>
    <col min="43" max="43" width="7.44140625" style="24" customWidth="1"/>
    <col min="44" max="45" width="6.77734375" style="24" customWidth="1"/>
    <col min="46" max="46" width="7.44140625" style="24" customWidth="1"/>
    <col min="47" max="47" width="7.88671875" style="24" customWidth="1"/>
    <col min="48" max="48" width="9.109375" style="24"/>
    <col min="49" max="49" width="1.88671875" style="24" customWidth="1"/>
    <col min="50" max="51" width="7.44140625" style="24" customWidth="1"/>
    <col min="52" max="53" width="7.5546875" style="24" customWidth="1"/>
    <col min="54" max="54" width="8" style="24" customWidth="1"/>
    <col min="55" max="55" width="8.44140625" style="24" customWidth="1"/>
    <col min="56" max="56" width="9.109375" style="24"/>
    <col min="57" max="57" width="3" style="24" customWidth="1"/>
    <col min="58" max="58" width="7.21875" style="24" customWidth="1"/>
    <col min="59" max="59" width="7.77734375" style="24" customWidth="1"/>
    <col min="60" max="61" width="7.109375" style="24" customWidth="1"/>
    <col min="62" max="64" width="7.88671875" style="24" customWidth="1"/>
    <col min="65" max="65" width="1.88671875" style="24" customWidth="1"/>
    <col min="66" max="66" width="7.5546875" style="24" customWidth="1"/>
    <col min="67" max="67" width="7.88671875" style="24" customWidth="1"/>
    <col min="68" max="69" width="7.21875" style="24" customWidth="1"/>
    <col min="70" max="70" width="7.88671875" style="24" customWidth="1"/>
    <col min="71" max="71" width="8" style="24" customWidth="1"/>
    <col min="72" max="16384" width="9.109375" style="24"/>
  </cols>
  <sheetData>
    <row r="1" spans="1:72" x14ac:dyDescent="0.3">
      <c r="A1" s="181" t="s">
        <v>1765</v>
      </c>
      <c r="B1" s="181"/>
      <c r="C1" s="181"/>
      <c r="D1" s="181"/>
      <c r="E1" s="181"/>
      <c r="F1" s="181"/>
      <c r="G1" s="181"/>
      <c r="H1" s="181"/>
      <c r="I1" s="181"/>
      <c r="J1" s="181"/>
      <c r="K1" s="181"/>
      <c r="L1" s="181"/>
      <c r="M1" s="181"/>
      <c r="N1" s="181"/>
      <c r="O1" s="181"/>
      <c r="P1" s="181"/>
      <c r="Q1" s="181"/>
    </row>
    <row r="2" spans="1:72" ht="15.6" x14ac:dyDescent="0.3">
      <c r="A2" s="500" t="s">
        <v>504</v>
      </c>
      <c r="B2" s="501"/>
      <c r="C2" s="501"/>
      <c r="D2" s="501"/>
      <c r="E2" s="501"/>
      <c r="F2" s="501"/>
      <c r="G2" s="501"/>
      <c r="H2" s="501"/>
      <c r="I2" s="501"/>
      <c r="J2" s="501"/>
      <c r="K2" s="501"/>
      <c r="L2" s="501"/>
      <c r="M2" s="501"/>
      <c r="N2" s="501"/>
      <c r="O2" s="501"/>
      <c r="P2" s="501"/>
      <c r="Q2" s="501"/>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row>
    <row r="3" spans="1:72" x14ac:dyDescent="0.3">
      <c r="B3" s="1451" t="s">
        <v>1297</v>
      </c>
      <c r="C3" s="1451"/>
      <c r="D3" s="1451"/>
      <c r="E3" s="1451"/>
      <c r="F3" s="1451"/>
      <c r="G3" s="1451"/>
      <c r="H3" s="1451"/>
      <c r="J3" s="1451" t="s">
        <v>575</v>
      </c>
      <c r="K3" s="1451"/>
      <c r="L3" s="1451"/>
      <c r="M3" s="1451"/>
      <c r="N3" s="1451"/>
      <c r="O3" s="1451"/>
      <c r="P3" s="1451"/>
      <c r="R3" s="1451" t="s">
        <v>568</v>
      </c>
      <c r="S3" s="1451"/>
      <c r="T3" s="1451"/>
      <c r="U3" s="1451"/>
      <c r="V3" s="1451"/>
      <c r="W3" s="1451"/>
      <c r="X3" s="1451"/>
      <c r="Z3" s="1451" t="s">
        <v>569</v>
      </c>
      <c r="AA3" s="1451"/>
      <c r="AB3" s="1451"/>
      <c r="AC3" s="1451"/>
      <c r="AD3" s="1451"/>
      <c r="AE3" s="1451"/>
      <c r="AF3" s="1451"/>
      <c r="AG3" s="447"/>
      <c r="AH3" s="1453" t="s">
        <v>571</v>
      </c>
      <c r="AI3" s="1453"/>
      <c r="AJ3" s="1453"/>
      <c r="AK3" s="1453"/>
      <c r="AL3" s="1453"/>
      <c r="AM3" s="1453"/>
      <c r="AN3" s="1453"/>
      <c r="AO3" s="447"/>
      <c r="AP3" s="1451" t="s">
        <v>570</v>
      </c>
      <c r="AQ3" s="1451"/>
      <c r="AR3" s="1451"/>
      <c r="AS3" s="1451"/>
      <c r="AT3" s="1451"/>
      <c r="AU3" s="1451"/>
      <c r="AV3" s="1451"/>
      <c r="AW3" s="447"/>
      <c r="AX3" s="1453" t="s">
        <v>572</v>
      </c>
      <c r="AY3" s="1453"/>
      <c r="AZ3" s="1453"/>
      <c r="BA3" s="1453"/>
      <c r="BB3" s="1453"/>
      <c r="BC3" s="1453"/>
      <c r="BD3" s="1453"/>
      <c r="BE3" s="985"/>
      <c r="BF3" s="1453" t="s">
        <v>1526</v>
      </c>
      <c r="BG3" s="1453"/>
      <c r="BH3" s="1453"/>
      <c r="BI3" s="1453"/>
      <c r="BJ3" s="1453"/>
      <c r="BK3" s="1453"/>
      <c r="BL3" s="1453"/>
      <c r="BM3" s="447"/>
      <c r="BN3" s="1451" t="s">
        <v>573</v>
      </c>
      <c r="BO3" s="1451"/>
      <c r="BP3" s="1451"/>
      <c r="BQ3" s="1451"/>
      <c r="BR3" s="1451"/>
      <c r="BS3" s="1451"/>
      <c r="BT3" s="1451"/>
    </row>
    <row r="4" spans="1:72" x14ac:dyDescent="0.3">
      <c r="B4" s="49" t="s">
        <v>496</v>
      </c>
      <c r="C4" s="49" t="s">
        <v>24</v>
      </c>
      <c r="D4" s="49" t="s">
        <v>25</v>
      </c>
      <c r="E4" s="49" t="s">
        <v>26</v>
      </c>
      <c r="F4" s="49" t="s">
        <v>28</v>
      </c>
      <c r="G4" s="49" t="s">
        <v>27</v>
      </c>
      <c r="H4" s="49" t="s">
        <v>23</v>
      </c>
      <c r="J4" s="49" t="s">
        <v>496</v>
      </c>
      <c r="K4" s="49" t="s">
        <v>24</v>
      </c>
      <c r="L4" s="49" t="s">
        <v>25</v>
      </c>
      <c r="M4" s="49" t="s">
        <v>26</v>
      </c>
      <c r="N4" s="49" t="s">
        <v>28</v>
      </c>
      <c r="O4" s="49" t="s">
        <v>27</v>
      </c>
      <c r="P4" s="49" t="s">
        <v>23</v>
      </c>
      <c r="R4" s="49" t="s">
        <v>496</v>
      </c>
      <c r="S4" s="49" t="s">
        <v>24</v>
      </c>
      <c r="T4" s="49" t="s">
        <v>25</v>
      </c>
      <c r="U4" s="49" t="s">
        <v>26</v>
      </c>
      <c r="V4" s="49" t="s">
        <v>28</v>
      </c>
      <c r="W4" s="49" t="s">
        <v>27</v>
      </c>
      <c r="X4" s="49" t="s">
        <v>23</v>
      </c>
      <c r="Z4" s="49" t="s">
        <v>496</v>
      </c>
      <c r="AA4" s="49" t="s">
        <v>24</v>
      </c>
      <c r="AB4" s="49" t="s">
        <v>25</v>
      </c>
      <c r="AC4" s="49" t="s">
        <v>26</v>
      </c>
      <c r="AD4" s="49" t="s">
        <v>28</v>
      </c>
      <c r="AE4" s="49" t="s">
        <v>27</v>
      </c>
      <c r="AF4" s="49" t="s">
        <v>23</v>
      </c>
      <c r="AG4" s="49"/>
      <c r="AH4" s="49" t="s">
        <v>496</v>
      </c>
      <c r="AI4" s="49" t="s">
        <v>24</v>
      </c>
      <c r="AJ4" s="49" t="s">
        <v>25</v>
      </c>
      <c r="AK4" s="49" t="s">
        <v>26</v>
      </c>
      <c r="AL4" s="49" t="s">
        <v>28</v>
      </c>
      <c r="AM4" s="49" t="s">
        <v>27</v>
      </c>
      <c r="AN4" s="49" t="s">
        <v>23</v>
      </c>
      <c r="AO4" s="49"/>
      <c r="AP4" s="49" t="s">
        <v>496</v>
      </c>
      <c r="AQ4" s="49" t="s">
        <v>24</v>
      </c>
      <c r="AR4" s="49" t="s">
        <v>25</v>
      </c>
      <c r="AS4" s="49" t="s">
        <v>26</v>
      </c>
      <c r="AT4" s="49" t="s">
        <v>28</v>
      </c>
      <c r="AU4" s="49" t="s">
        <v>27</v>
      </c>
      <c r="AV4" s="49" t="s">
        <v>23</v>
      </c>
      <c r="AW4" s="49"/>
      <c r="AX4" s="49" t="s">
        <v>496</v>
      </c>
      <c r="AY4" s="49" t="s">
        <v>24</v>
      </c>
      <c r="AZ4" s="49" t="s">
        <v>25</v>
      </c>
      <c r="BA4" s="49" t="s">
        <v>26</v>
      </c>
      <c r="BB4" s="49" t="s">
        <v>28</v>
      </c>
      <c r="BC4" s="49" t="s">
        <v>27</v>
      </c>
      <c r="BD4" s="49" t="s">
        <v>23</v>
      </c>
      <c r="BE4" s="49"/>
      <c r="BF4" s="49" t="s">
        <v>496</v>
      </c>
      <c r="BG4" s="49" t="s">
        <v>24</v>
      </c>
      <c r="BH4" s="49" t="s">
        <v>25</v>
      </c>
      <c r="BI4" s="49" t="s">
        <v>26</v>
      </c>
      <c r="BJ4" s="49" t="s">
        <v>28</v>
      </c>
      <c r="BK4" s="49" t="s">
        <v>27</v>
      </c>
      <c r="BL4" s="49" t="s">
        <v>23</v>
      </c>
      <c r="BM4" s="49"/>
      <c r="BN4" s="49" t="s">
        <v>496</v>
      </c>
      <c r="BO4" s="49" t="s">
        <v>24</v>
      </c>
      <c r="BP4" s="49" t="s">
        <v>25</v>
      </c>
      <c r="BQ4" s="49" t="s">
        <v>26</v>
      </c>
      <c r="BR4" s="49" t="s">
        <v>28</v>
      </c>
      <c r="BS4" s="49" t="s">
        <v>27</v>
      </c>
      <c r="BT4" s="49" t="s">
        <v>23</v>
      </c>
    </row>
    <row r="5" spans="1:72" x14ac:dyDescent="0.3">
      <c r="A5" s="446"/>
      <c r="B5" s="53" t="s">
        <v>29</v>
      </c>
      <c r="C5" s="53" t="s">
        <v>13</v>
      </c>
      <c r="D5" s="53" t="s">
        <v>14</v>
      </c>
      <c r="E5" s="53" t="s">
        <v>15</v>
      </c>
      <c r="F5" s="53" t="s">
        <v>16</v>
      </c>
      <c r="G5" s="53" t="s">
        <v>17</v>
      </c>
      <c r="H5" s="53" t="s">
        <v>18</v>
      </c>
      <c r="I5" s="446"/>
      <c r="J5" s="53" t="s">
        <v>29</v>
      </c>
      <c r="K5" s="53" t="s">
        <v>13</v>
      </c>
      <c r="L5" s="53" t="s">
        <v>14</v>
      </c>
      <c r="M5" s="53" t="s">
        <v>15</v>
      </c>
      <c r="N5" s="53" t="s">
        <v>16</v>
      </c>
      <c r="O5" s="53" t="s">
        <v>17</v>
      </c>
      <c r="P5" s="53" t="s">
        <v>18</v>
      </c>
      <c r="Q5" s="446"/>
      <c r="R5" s="53" t="s">
        <v>29</v>
      </c>
      <c r="S5" s="53" t="s">
        <v>13</v>
      </c>
      <c r="T5" s="53" t="s">
        <v>14</v>
      </c>
      <c r="U5" s="53" t="s">
        <v>15</v>
      </c>
      <c r="V5" s="53" t="s">
        <v>16</v>
      </c>
      <c r="W5" s="53" t="s">
        <v>17</v>
      </c>
      <c r="X5" s="53" t="s">
        <v>18</v>
      </c>
      <c r="Y5" s="125"/>
      <c r="Z5" s="53" t="s">
        <v>29</v>
      </c>
      <c r="AA5" s="53" t="s">
        <v>13</v>
      </c>
      <c r="AB5" s="53" t="s">
        <v>14</v>
      </c>
      <c r="AC5" s="53" t="s">
        <v>15</v>
      </c>
      <c r="AD5" s="53" t="s">
        <v>16</v>
      </c>
      <c r="AE5" s="53" t="s">
        <v>17</v>
      </c>
      <c r="AF5" s="53" t="s">
        <v>18</v>
      </c>
      <c r="AG5" s="53"/>
      <c r="AH5" s="53" t="s">
        <v>29</v>
      </c>
      <c r="AI5" s="53" t="s">
        <v>13</v>
      </c>
      <c r="AJ5" s="53" t="s">
        <v>14</v>
      </c>
      <c r="AK5" s="53" t="s">
        <v>15</v>
      </c>
      <c r="AL5" s="53" t="s">
        <v>16</v>
      </c>
      <c r="AM5" s="53" t="s">
        <v>17</v>
      </c>
      <c r="AN5" s="53" t="s">
        <v>18</v>
      </c>
      <c r="AO5" s="53"/>
      <c r="AP5" s="53" t="s">
        <v>29</v>
      </c>
      <c r="AQ5" s="53" t="s">
        <v>13</v>
      </c>
      <c r="AR5" s="53" t="s">
        <v>14</v>
      </c>
      <c r="AS5" s="53" t="s">
        <v>15</v>
      </c>
      <c r="AT5" s="53" t="s">
        <v>16</v>
      </c>
      <c r="AU5" s="53" t="s">
        <v>17</v>
      </c>
      <c r="AV5" s="53" t="s">
        <v>18</v>
      </c>
      <c r="AW5" s="53"/>
      <c r="AX5" s="53" t="s">
        <v>29</v>
      </c>
      <c r="AY5" s="53" t="s">
        <v>13</v>
      </c>
      <c r="AZ5" s="53" t="s">
        <v>14</v>
      </c>
      <c r="BA5" s="53" t="s">
        <v>15</v>
      </c>
      <c r="BB5" s="53" t="s">
        <v>16</v>
      </c>
      <c r="BC5" s="53" t="s">
        <v>17</v>
      </c>
      <c r="BD5" s="53" t="s">
        <v>18</v>
      </c>
      <c r="BE5" s="53"/>
      <c r="BF5" s="53" t="s">
        <v>29</v>
      </c>
      <c r="BG5" s="53" t="s">
        <v>13</v>
      </c>
      <c r="BH5" s="53" t="s">
        <v>14</v>
      </c>
      <c r="BI5" s="53" t="s">
        <v>15</v>
      </c>
      <c r="BJ5" s="53" t="s">
        <v>16</v>
      </c>
      <c r="BK5" s="53" t="s">
        <v>17</v>
      </c>
      <c r="BL5" s="53" t="s">
        <v>18</v>
      </c>
      <c r="BM5" s="53"/>
      <c r="BN5" s="53" t="s">
        <v>29</v>
      </c>
      <c r="BO5" s="53" t="s">
        <v>13</v>
      </c>
      <c r="BP5" s="53" t="s">
        <v>14</v>
      </c>
      <c r="BQ5" s="53" t="s">
        <v>15</v>
      </c>
      <c r="BR5" s="53" t="s">
        <v>16</v>
      </c>
      <c r="BS5" s="53" t="s">
        <v>17</v>
      </c>
      <c r="BT5" s="53" t="s">
        <v>18</v>
      </c>
    </row>
    <row r="6" spans="1:72" s="452" customFormat="1" ht="12" x14ac:dyDescent="0.25">
      <c r="A6" s="239">
        <v>1960</v>
      </c>
      <c r="B6" s="456">
        <f t="shared" ref="B6:D6" si="0">R6+Z6+AH6+AP6+AX6+BN6+BF6</f>
        <v>21.658089096972226</v>
      </c>
      <c r="C6" s="456">
        <f t="shared" si="0"/>
        <v>34.042108324898955</v>
      </c>
      <c r="D6" s="456">
        <f t="shared" si="0"/>
        <v>36.650881834289905</v>
      </c>
      <c r="E6" s="456">
        <f>U6+AC6+AK6+AS6+BA6+BQ6+BI6</f>
        <v>41.776680803588775</v>
      </c>
      <c r="F6" s="456">
        <f t="shared" ref="F6:G6" si="1">V6+AD6+AL6+AT6+BB6+BR6+BJ6</f>
        <v>43.75224698204434</v>
      </c>
      <c r="G6" s="456">
        <f t="shared" si="1"/>
        <v>47.977307468257322</v>
      </c>
      <c r="H6" s="456">
        <f>X6+AF6+AN6+AV6+BD6+BT6+BL6</f>
        <v>50.325224513703503</v>
      </c>
      <c r="I6" s="456"/>
      <c r="J6" s="456">
        <f t="shared" ref="J6:P6" si="2">R6+Z6+AH6+AP6+BN6+BF6</f>
        <v>17.490941678030204</v>
      </c>
      <c r="K6" s="456">
        <f t="shared" si="2"/>
        <v>32.640443694342764</v>
      </c>
      <c r="L6" s="456">
        <f t="shared" si="2"/>
        <v>35.732414311894367</v>
      </c>
      <c r="M6" s="456">
        <f t="shared" si="2"/>
        <v>41.503043448454889</v>
      </c>
      <c r="N6" s="456">
        <f t="shared" si="2"/>
        <v>43.57094088790322</v>
      </c>
      <c r="O6" s="456">
        <f t="shared" si="2"/>
        <v>47.900668076908808</v>
      </c>
      <c r="P6" s="456">
        <f t="shared" si="2"/>
        <v>50.303142951333648</v>
      </c>
      <c r="Q6" s="456"/>
      <c r="R6" s="456">
        <f>('C1-Incomes'!JG8-'C1-Incomes'!JH8)/('C1-Incomes'!$R8-'C1-Incomes'!$S8)*100</f>
        <v>6.0298464492064756</v>
      </c>
      <c r="S6" s="456">
        <f>'C1-Incomes'!JH8/'C1-Incomes'!$S8*100</f>
        <v>12.899050716487311</v>
      </c>
      <c r="T6" s="456">
        <f>'C1-Incomes'!JI8/'C1-Incomes'!$T8*100</f>
        <v>13.935903971538011</v>
      </c>
      <c r="U6" s="456">
        <f>'C1-Incomes'!JJ8/'C1-Incomes'!$U8*100</f>
        <v>16.225464954458722</v>
      </c>
      <c r="V6" s="456">
        <f>'C1-Incomes'!JK8/'C1-Incomes'!$V8*100</f>
        <v>16.919113117617236</v>
      </c>
      <c r="W6" s="456">
        <f>'C1-Incomes'!JL8/'C1-Incomes'!$W8*100</f>
        <v>17.736528025677302</v>
      </c>
      <c r="X6" s="456">
        <f>'C1-Incomes'!JM8/'C1-Incomes'!$X8*100</f>
        <v>17.217164140132056</v>
      </c>
      <c r="Y6" s="458"/>
      <c r="Z6" s="456">
        <f>('C1-Incomes'!JO8-'C1-Incomes'!JP8)/('C1-Incomes'!$R8-'C1-Incomes'!$S8)*100</f>
        <v>0.2976467665548389</v>
      </c>
      <c r="AA6" s="456">
        <f>'C1-Incomes'!JP8/'C1-Incomes'!$S8*100</f>
        <v>0.80227653645258878</v>
      </c>
      <c r="AB6" s="456">
        <f>'C1-Incomes'!JQ8/'C1-Incomes'!$T8*100</f>
        <v>0.93695970394445449</v>
      </c>
      <c r="AC6" s="456">
        <f>'C1-Incomes'!JR8/'C1-Incomes'!$U8*100</f>
        <v>1.2201975156463578</v>
      </c>
      <c r="AD6" s="456">
        <f>'C1-Incomes'!JS8/'C1-Incomes'!$V8*100</f>
        <v>1.2670106388982796</v>
      </c>
      <c r="AE6" s="456">
        <f>'C1-Incomes'!JT8/'C1-Incomes'!$W8*100</f>
        <v>1.312500337373453</v>
      </c>
      <c r="AF6" s="456">
        <f>'C1-Incomes'!JU8/'C1-Incomes'!$X8*100</f>
        <v>1.3575899410118268</v>
      </c>
      <c r="AG6" s="458"/>
      <c r="AH6" s="456">
        <f>('C1-Incomes'!JW8-'C1-Incomes'!JX8)/('C1-Incomes'!$R8-'C1-Incomes'!$S8)*100</f>
        <v>2.4256801477081997</v>
      </c>
      <c r="AI6" s="456">
        <f>'C1-Incomes'!JX8/'C1-Incomes'!$S8*100</f>
        <v>8.2106674241534883</v>
      </c>
      <c r="AJ6" s="456">
        <f>'C1-Incomes'!JY8/'C1-Incomes'!$T8*100</f>
        <v>9.9782892159655407</v>
      </c>
      <c r="AK6" s="456">
        <f>'C1-Incomes'!JZ8/'C1-Incomes'!$U8*100</f>
        <v>13.660130540178111</v>
      </c>
      <c r="AL6" s="456">
        <f>'C1-Incomes'!KA8/'C1-Incomes'!$V8*100</f>
        <v>15.195672925018014</v>
      </c>
      <c r="AM6" s="456">
        <f>'C1-Incomes'!KB8/'C1-Incomes'!$W8*100</f>
        <v>18.53187670432256</v>
      </c>
      <c r="AN6" s="456">
        <f>'C1-Incomes'!KC8/'C1-Incomes'!$X8*100</f>
        <v>20.919367494553413</v>
      </c>
      <c r="AO6" s="458"/>
      <c r="AP6" s="456">
        <f>('C1-Incomes'!KE8-'C1-Incomes'!KF8)/('C1-Incomes'!$R8-'C1-Incomes'!$S8)*100</f>
        <v>2.0146765592235387</v>
      </c>
      <c r="AQ6" s="456">
        <f>'C1-Incomes'!KF8/'C1-Incomes'!$S8*100</f>
        <v>5.6574827586070855</v>
      </c>
      <c r="AR6" s="456">
        <f>'C1-Incomes'!KG8/'C1-Incomes'!$T8*100</f>
        <v>6.4501915651715427</v>
      </c>
      <c r="AS6" s="456">
        <f>'C1-Incomes'!KH8/'C1-Incomes'!$U8*100</f>
        <v>7.2344144760643196</v>
      </c>
      <c r="AT6" s="456">
        <f>'C1-Incomes'!KI8/'C1-Incomes'!$V8*100</f>
        <v>7.384451008925967</v>
      </c>
      <c r="AU6" s="456">
        <f>'C1-Incomes'!KJ8/'C1-Incomes'!$W8*100</f>
        <v>7.919633239478391</v>
      </c>
      <c r="AV6" s="456">
        <f>'C1-Incomes'!KK8/'C1-Incomes'!$X8*100</f>
        <v>8.4198132916754247</v>
      </c>
      <c r="AX6" s="456">
        <f>('C1-Incomes'!KM8-'C1-Incomes'!KN8)/('C1-Incomes'!$R8-'C1-Incomes'!$S8)*100</f>
        <v>4.1671474189420232</v>
      </c>
      <c r="AY6" s="456">
        <f>'C1-Incomes'!KN8/'C1-Incomes'!$S8*100</f>
        <v>1.4016646305561919</v>
      </c>
      <c r="AZ6" s="456">
        <f>'C1-Incomes'!KO8/'C1-Incomes'!$T8*100</f>
        <v>0.91846752239553542</v>
      </c>
      <c r="BA6" s="456">
        <f>'C1-Incomes'!KP8/'C1-Incomes'!$U8*100</f>
        <v>0.27363735513388743</v>
      </c>
      <c r="BB6" s="456">
        <f>'C1-Incomes'!KQ8/'C1-Incomes'!$V8*100</f>
        <v>0.18130609414112583</v>
      </c>
      <c r="BC6" s="456">
        <f>'C1-Incomes'!KR8/'C1-Incomes'!$W8*100</f>
        <v>7.6639391348515648E-2</v>
      </c>
      <c r="BD6" s="456">
        <f>'C1-Incomes'!KS8/'C1-Incomes'!$X8*100</f>
        <v>2.2081562369855735E-2</v>
      </c>
      <c r="BE6" s="456"/>
      <c r="BF6" s="456">
        <f>('C1-Incomes'!LK8-'C1-Incomes'!LL8)/('C1-Incomes'!$R8-'C1-Incomes'!$S8)*100</f>
        <v>0.23461560857366257</v>
      </c>
      <c r="BG6" s="456">
        <f>'C1-Incomes'!LL8/'C1-Incomes'!$S8*100</f>
        <v>0.86921229996755678</v>
      </c>
      <c r="BH6" s="456">
        <f>'C1-Incomes'!LM8/'C1-Incomes'!$T8*100</f>
        <v>1.0328865019300351</v>
      </c>
      <c r="BI6" s="456">
        <f>'C1-Incomes'!LN8/'C1-Incomes'!$U8*100</f>
        <v>1.2857614373488522</v>
      </c>
      <c r="BJ6" s="456">
        <f>'C1-Incomes'!LO8/'C1-Incomes'!$V8*100</f>
        <v>1.3223274134818119</v>
      </c>
      <c r="BK6" s="456">
        <f>'C1-Incomes'!LP8/'C1-Incomes'!$W8*100</f>
        <v>1.4658870196251732</v>
      </c>
      <c r="BL6" s="456">
        <f>'C1-Incomes'!LQ8/'C1-Incomes'!$X8*100</f>
        <v>1.8360135920502956</v>
      </c>
      <c r="BN6" s="456">
        <f>('C1-Incomes'!KU8-'C1-Incomes'!KV8)/('C1-Incomes'!$R8-'C1-Incomes'!$S8)*100</f>
        <v>6.4884761467634871</v>
      </c>
      <c r="BO6" s="456">
        <f>'C1-Incomes'!KV8/'C1-Incomes'!$S8*100</f>
        <v>4.2017539586747308</v>
      </c>
      <c r="BP6" s="456">
        <f>'C1-Incomes'!KW8/'C1-Incomes'!$T8*100</f>
        <v>3.3981833533447809</v>
      </c>
      <c r="BQ6" s="456">
        <f>'C1-Incomes'!KX8/'C1-Incomes'!$U8*100</f>
        <v>1.8770745247585268</v>
      </c>
      <c r="BR6" s="456">
        <f>'C1-Incomes'!KY8/'C1-Incomes'!$V8*100</f>
        <v>1.4823657839619131</v>
      </c>
      <c r="BS6" s="456">
        <f>'C1-Incomes'!KZ8/'C1-Incomes'!$W8*100</f>
        <v>0.93424275043192528</v>
      </c>
      <c r="BT6" s="456">
        <f>'C1-Incomes'!LA8/'C1-Incomes'!$X8*100</f>
        <v>0.55319449191063952</v>
      </c>
    </row>
    <row r="7" spans="1:72" s="452" customFormat="1" ht="5.25" customHeight="1" x14ac:dyDescent="0.25">
      <c r="A7" s="239"/>
      <c r="I7" s="456"/>
      <c r="J7" s="239"/>
      <c r="K7" s="239"/>
      <c r="L7" s="239"/>
      <c r="M7" s="239"/>
      <c r="N7" s="239"/>
      <c r="O7" s="239"/>
      <c r="P7" s="239"/>
      <c r="Q7" s="456"/>
      <c r="R7" s="458"/>
      <c r="S7" s="458"/>
      <c r="T7" s="458"/>
      <c r="U7" s="458"/>
      <c r="V7" s="458"/>
      <c r="W7" s="458"/>
      <c r="X7" s="458"/>
      <c r="Y7" s="458"/>
      <c r="Z7" s="456"/>
      <c r="AA7" s="456"/>
      <c r="AB7" s="456"/>
      <c r="AC7" s="456"/>
      <c r="AD7" s="456"/>
      <c r="AE7" s="456"/>
      <c r="AF7" s="456"/>
      <c r="AG7" s="458"/>
      <c r="AH7" s="456"/>
      <c r="AI7" s="456"/>
      <c r="AJ7" s="456"/>
      <c r="AK7" s="456"/>
      <c r="AL7" s="456"/>
      <c r="AM7" s="456"/>
      <c r="AN7" s="456"/>
      <c r="AO7" s="458"/>
      <c r="AP7" s="456"/>
      <c r="AQ7" s="456"/>
      <c r="AR7" s="456"/>
      <c r="AS7" s="456"/>
      <c r="AT7" s="456"/>
      <c r="AU7" s="456"/>
      <c r="AV7" s="456"/>
      <c r="AX7" s="456"/>
      <c r="AY7" s="456"/>
      <c r="AZ7" s="456"/>
      <c r="BA7" s="456"/>
      <c r="BB7" s="456"/>
      <c r="BC7" s="456"/>
      <c r="BD7" s="456"/>
      <c r="BE7" s="456"/>
      <c r="BF7" s="456"/>
      <c r="BG7" s="456"/>
      <c r="BH7" s="456"/>
      <c r="BI7" s="456"/>
      <c r="BJ7" s="456"/>
      <c r="BK7" s="456"/>
      <c r="BL7" s="456"/>
      <c r="BN7" s="456"/>
      <c r="BO7" s="456"/>
      <c r="BP7" s="456"/>
      <c r="BQ7" s="456"/>
      <c r="BR7" s="456"/>
      <c r="BS7" s="456"/>
      <c r="BT7" s="456"/>
    </row>
    <row r="8" spans="1:72" s="452" customFormat="1" ht="12" x14ac:dyDescent="0.25">
      <c r="A8" s="239">
        <v>1962</v>
      </c>
      <c r="B8" s="456">
        <f t="shared" ref="B8" si="3">R8+Z8+AH8+AP8+AX8+BN8+BF8</f>
        <v>22.468247393529325</v>
      </c>
      <c r="C8" s="456">
        <f t="shared" ref="C8" si="4">S8+AA8+AI8+AQ8+AY8+BO8+BG8</f>
        <v>32.417733137229988</v>
      </c>
      <c r="D8" s="456">
        <f t="shared" ref="D8" si="5">T8+AB8+AJ8+AR8+AZ8+BP8+BH8</f>
        <v>34.359040488286084</v>
      </c>
      <c r="E8" s="456">
        <f>U8+AC8+AK8+AS8+BA8+BQ8+BI8</f>
        <v>38.573777622551901</v>
      </c>
      <c r="F8" s="456">
        <f t="shared" ref="F8" si="6">V8+AD8+AL8+AT8+BB8+BR8+BJ8</f>
        <v>40.033808165899629</v>
      </c>
      <c r="G8" s="456">
        <f t="shared" ref="G8" si="7">W8+AE8+AM8+AU8+BC8+BS8+BK8</f>
        <v>42.484900387280348</v>
      </c>
      <c r="H8" s="456">
        <f t="shared" ref="H8" si="8">X8+AF8+AN8+AV8+BD8+BT8+BL8</f>
        <v>45.114925464342882</v>
      </c>
      <c r="I8" s="456"/>
      <c r="J8" s="456">
        <f t="shared" ref="J8:P8" si="9">R8+Z8+AH8+AP8+BN8+BF8</f>
        <v>18.201459958964133</v>
      </c>
      <c r="K8" s="456">
        <f t="shared" si="9"/>
        <v>30.853510548306794</v>
      </c>
      <c r="L8" s="456">
        <f t="shared" si="9"/>
        <v>33.312966138216062</v>
      </c>
      <c r="M8" s="456">
        <f t="shared" si="9"/>
        <v>38.233228945789186</v>
      </c>
      <c r="N8" s="456">
        <f t="shared" si="9"/>
        <v>39.802237134063326</v>
      </c>
      <c r="O8" s="456">
        <f t="shared" si="9"/>
        <v>42.39601835073158</v>
      </c>
      <c r="P8" s="456">
        <f t="shared" si="9"/>
        <v>45.091001657126476</v>
      </c>
      <c r="Q8" s="456"/>
      <c r="R8" s="456">
        <f>('C1-Incomes'!JG10-'C1-Incomes'!JH10)/('C1-Incomes'!$R10-'C1-Incomes'!$S10)*100</f>
        <v>6.0305513030115634</v>
      </c>
      <c r="S8" s="456">
        <f>'C1-Incomes'!JH10/'C1-Incomes'!$S10*100</f>
        <v>12.863697087659503</v>
      </c>
      <c r="T8" s="456">
        <f>'C1-Incomes'!JI10/'C1-Incomes'!$T10*100</f>
        <v>13.88888540248788</v>
      </c>
      <c r="U8" s="456">
        <f>'C1-Incomes'!JJ10/'C1-Incomes'!$U10*100</f>
        <v>15.754037767074095</v>
      </c>
      <c r="V8" s="456">
        <f>'C1-Incomes'!JK10/'C1-Incomes'!$V10*100</f>
        <v>16.182391063637201</v>
      </c>
      <c r="W8" s="456">
        <f>'C1-Incomes'!JL10/'C1-Incomes'!$W10*100</f>
        <v>16.181322192157314</v>
      </c>
      <c r="X8" s="456">
        <f>'C1-Incomes'!JM10/'C1-Incomes'!$X10*100</f>
        <v>16.334947334212156</v>
      </c>
      <c r="Y8" s="458"/>
      <c r="Z8" s="456">
        <f>('C1-Incomes'!JO10-'C1-Incomes'!JP10)/('C1-Incomes'!$R10-'C1-Incomes'!$S10)*100</f>
        <v>0.36743918966953587</v>
      </c>
      <c r="AA8" s="456">
        <f>'C1-Incomes'!JP10/'C1-Incomes'!$S10*100</f>
        <v>0.97017218633100932</v>
      </c>
      <c r="AB8" s="456">
        <f>'C1-Incomes'!JQ10/'C1-Incomes'!$T10*100</f>
        <v>1.1378437077911365</v>
      </c>
      <c r="AC8" s="456">
        <f>'C1-Incomes'!JR10/'C1-Incomes'!$U10*100</f>
        <v>1.4617271500987592</v>
      </c>
      <c r="AD8" s="456">
        <f>'C1-Incomes'!JS10/'C1-Incomes'!$V10*100</f>
        <v>1.5215932124283884</v>
      </c>
      <c r="AE8" s="456">
        <f>'C1-Incomes'!JT10/'C1-Incomes'!$W10*100</f>
        <v>1.5283782744335259</v>
      </c>
      <c r="AF8" s="456">
        <f>'C1-Incomes'!JU10/'C1-Incomes'!$X10*100</f>
        <v>1.4834366205942175</v>
      </c>
      <c r="AG8" s="458"/>
      <c r="AH8" s="456">
        <f>('C1-Incomes'!JW10-'C1-Incomes'!JX10)/('C1-Incomes'!$R10-'C1-Incomes'!$S10)*100</f>
        <v>2.8840965796126552</v>
      </c>
      <c r="AI8" s="456">
        <f>'C1-Incomes'!JX10/'C1-Incomes'!$S10*100</f>
        <v>6.7092684170643677</v>
      </c>
      <c r="AJ8" s="456">
        <f>'C1-Incomes'!JY10/'C1-Incomes'!$T10*100</f>
        <v>7.9977150447347238</v>
      </c>
      <c r="AK8" s="456">
        <f>'C1-Incomes'!JZ10/'C1-Incomes'!$U10*100</f>
        <v>11.211291491857095</v>
      </c>
      <c r="AL8" s="456">
        <f>'C1-Incomes'!KA10/'C1-Incomes'!$V10*100</f>
        <v>12.446557150279029</v>
      </c>
      <c r="AM8" s="456">
        <f>'C1-Incomes'!KB10/'C1-Incomes'!$W10*100</f>
        <v>15.066128232410907</v>
      </c>
      <c r="AN8" s="456">
        <f>'C1-Incomes'!KC10/'C1-Incomes'!$X10*100</f>
        <v>17.069900310173832</v>
      </c>
      <c r="AO8" s="458"/>
      <c r="AP8" s="456">
        <f>('C1-Incomes'!KE10-'C1-Incomes'!KF10)/('C1-Incomes'!$R10-'C1-Incomes'!$S10)*100</f>
        <v>2.514393687144699</v>
      </c>
      <c r="AQ8" s="456">
        <f>'C1-Incomes'!KF10/'C1-Incomes'!$S10*100</f>
        <v>5.1135815462241112</v>
      </c>
      <c r="AR8" s="456">
        <f>'C1-Incomes'!KG10/'C1-Incomes'!$T10*100</f>
        <v>5.6519108859757781</v>
      </c>
      <c r="AS8" s="456">
        <f>'C1-Incomes'!KH10/'C1-Incomes'!$U10*100</f>
        <v>6.3480265799159508</v>
      </c>
      <c r="AT8" s="456">
        <f>'C1-Incomes'!KI10/'C1-Incomes'!$V10*100</f>
        <v>6.5265032162844685</v>
      </c>
      <c r="AU8" s="456">
        <f>'C1-Incomes'!KJ10/'C1-Incomes'!$W10*100</f>
        <v>6.9949449596344806</v>
      </c>
      <c r="AV8" s="456">
        <f>'C1-Incomes'!KK10/'C1-Incomes'!$X10*100</f>
        <v>7.5212055968743208</v>
      </c>
      <c r="AX8" s="456">
        <f>('C1-Incomes'!KM10-'C1-Incomes'!KN10)/('C1-Incomes'!$R10-'C1-Incomes'!$S10)*100</f>
        <v>4.2667874345651953</v>
      </c>
      <c r="AY8" s="456">
        <f>'C1-Incomes'!KN10/'C1-Incomes'!$S10*100</f>
        <v>1.5642225889231969</v>
      </c>
      <c r="AZ8" s="456">
        <f>'C1-Incomes'!KO10/'C1-Incomes'!$T10*100</f>
        <v>1.0460743500700211</v>
      </c>
      <c r="BA8" s="456">
        <f>'C1-Incomes'!KP10/'C1-Incomes'!$U10*100</f>
        <v>0.34054867676271694</v>
      </c>
      <c r="BB8" s="456">
        <f>'C1-Incomes'!KQ10/'C1-Incomes'!$V10*100</f>
        <v>0.23157103183630176</v>
      </c>
      <c r="BC8" s="456">
        <f>'C1-Incomes'!KR10/'C1-Incomes'!$W10*100</f>
        <v>8.8882036548765239E-2</v>
      </c>
      <c r="BD8" s="456">
        <f>'C1-Incomes'!KS10/'C1-Incomes'!$X10*100</f>
        <v>2.39238072164062E-2</v>
      </c>
      <c r="BE8" s="456"/>
      <c r="BF8" s="456">
        <f>('C1-Incomes'!LK10-'C1-Incomes'!LL10)/('C1-Incomes'!$R10-'C1-Incomes'!$S10)*100</f>
        <v>0.24736518393189433</v>
      </c>
      <c r="BG8" s="456">
        <f>'C1-Incomes'!LL10/'C1-Incomes'!$S10*100</f>
        <v>0.92370527461333174</v>
      </c>
      <c r="BH8" s="456">
        <f>'C1-Incomes'!LM10/'C1-Incomes'!$T10*100</f>
        <v>1.1037381034474145</v>
      </c>
      <c r="BI8" s="456">
        <f>'C1-Incomes'!LN10/'C1-Incomes'!$U10*100</f>
        <v>1.3727697939427308</v>
      </c>
      <c r="BJ8" s="456">
        <f>'C1-Incomes'!LO10/'C1-Incomes'!$V10*100</f>
        <v>1.4262059644279594</v>
      </c>
      <c r="BK8" s="456">
        <f>'C1-Incomes'!LP10/'C1-Incomes'!$W10*100</f>
        <v>1.5567781111589358</v>
      </c>
      <c r="BL8" s="456">
        <f>'C1-Incomes'!LQ10/'C1-Incomes'!$X10*100</f>
        <v>1.9839913719920232</v>
      </c>
      <c r="BN8" s="456">
        <f>('C1-Incomes'!KU10-'C1-Incomes'!KV10)/('C1-Incomes'!$R10-'C1-Incomes'!$S10)*100</f>
        <v>6.1576140155937837</v>
      </c>
      <c r="BO8" s="456">
        <f>'C1-Incomes'!KV10/'C1-Incomes'!$S10*100</f>
        <v>4.2730860364144672</v>
      </c>
      <c r="BP8" s="456">
        <f>'C1-Incomes'!KW10/'C1-Incomes'!$T10*100</f>
        <v>3.5328729937791348</v>
      </c>
      <c r="BQ8" s="456">
        <f>'C1-Incomes'!KX10/'C1-Incomes'!$U10*100</f>
        <v>2.0853761629005541</v>
      </c>
      <c r="BR8" s="456">
        <f>'C1-Incomes'!KY10/'C1-Incomes'!$V10*100</f>
        <v>1.6989865270062858</v>
      </c>
      <c r="BS8" s="456">
        <f>'C1-Incomes'!KZ10/'C1-Incomes'!$W10*100</f>
        <v>1.0684665809364151</v>
      </c>
      <c r="BT8" s="456">
        <f>'C1-Incomes'!LA10/'C1-Incomes'!$X10*100</f>
        <v>0.69752042327992658</v>
      </c>
    </row>
    <row r="9" spans="1:72" s="452" customFormat="1" ht="5.25" customHeight="1" x14ac:dyDescent="0.25">
      <c r="A9" s="239"/>
      <c r="I9" s="456"/>
      <c r="J9" s="239"/>
      <c r="K9" s="239"/>
      <c r="L9" s="239"/>
      <c r="M9" s="239"/>
      <c r="N9" s="239"/>
      <c r="O9" s="239"/>
      <c r="P9" s="239"/>
      <c r="Q9" s="456"/>
      <c r="R9" s="458"/>
      <c r="S9" s="458"/>
      <c r="T9" s="458"/>
      <c r="U9" s="458"/>
      <c r="V9" s="458"/>
      <c r="W9" s="458"/>
      <c r="X9" s="458"/>
      <c r="Y9" s="458"/>
      <c r="Z9" s="456"/>
      <c r="AA9" s="456"/>
      <c r="AB9" s="456"/>
      <c r="AC9" s="456"/>
      <c r="AD9" s="456"/>
      <c r="AE9" s="456"/>
      <c r="AF9" s="456"/>
      <c r="AG9" s="458"/>
      <c r="AH9" s="456"/>
      <c r="AI9" s="456"/>
      <c r="AJ9" s="456"/>
      <c r="AK9" s="456"/>
      <c r="AL9" s="456"/>
      <c r="AM9" s="456"/>
      <c r="AN9" s="456"/>
      <c r="AO9" s="458"/>
      <c r="AP9" s="456"/>
      <c r="AQ9" s="456"/>
      <c r="AR9" s="456"/>
      <c r="AS9" s="456"/>
      <c r="AT9" s="456"/>
      <c r="AU9" s="456"/>
      <c r="AV9" s="456"/>
      <c r="AX9" s="456"/>
      <c r="AY9" s="456"/>
      <c r="AZ9" s="456"/>
      <c r="BA9" s="456"/>
      <c r="BB9" s="456"/>
      <c r="BC9" s="456"/>
      <c r="BD9" s="456"/>
      <c r="BE9" s="456"/>
      <c r="BF9" s="456"/>
      <c r="BG9" s="456"/>
      <c r="BH9" s="456"/>
      <c r="BI9" s="456"/>
      <c r="BJ9" s="456"/>
      <c r="BK9" s="456"/>
      <c r="BL9" s="456"/>
      <c r="BN9" s="456"/>
      <c r="BO9" s="456"/>
      <c r="BP9" s="456"/>
      <c r="BQ9" s="456"/>
      <c r="BR9" s="456"/>
      <c r="BS9" s="456"/>
      <c r="BT9" s="456"/>
    </row>
    <row r="10" spans="1:72" s="452" customFormat="1" ht="12" x14ac:dyDescent="0.25">
      <c r="A10" s="239">
        <v>1964</v>
      </c>
      <c r="B10" s="456">
        <f t="shared" ref="B10" si="10">R10+Z10+AH10+AP10+AX10+BN10+BF10</f>
        <v>21.49196352906776</v>
      </c>
      <c r="C10" s="456">
        <f t="shared" ref="C10" si="11">S10+AA10+AI10+AQ10+AY10+BO10+BG10</f>
        <v>32.391817008511332</v>
      </c>
      <c r="D10" s="456">
        <f t="shared" ref="D10" si="12">T10+AB10+AJ10+AR10+AZ10+BP10+BH10</f>
        <v>34.213685471388303</v>
      </c>
      <c r="E10" s="456">
        <f>U10+AC10+AK10+AS10+BA10+BQ10+BI10</f>
        <v>38.3669616717875</v>
      </c>
      <c r="F10" s="456">
        <f t="shared" ref="F10" si="13">V10+AD10+AL10+AT10+BB10+BR10+BJ10</f>
        <v>39.710492504334709</v>
      </c>
      <c r="G10" s="456">
        <f t="shared" ref="G10" si="14">W10+AE10+AM10+AU10+BC10+BS10+BK10</f>
        <v>42.262207991495949</v>
      </c>
      <c r="H10" s="456">
        <f t="shared" ref="H10" si="15">X10+AF10+AN10+AV10+BD10+BT10+BL10</f>
        <v>45.087046068239829</v>
      </c>
      <c r="I10" s="456"/>
      <c r="J10" s="456">
        <f t="shared" ref="J10:P10" si="16">R10+Z10+AH10+AP10+BN10+BF10</f>
        <v>17.186414642776736</v>
      </c>
      <c r="K10" s="456">
        <f t="shared" si="16"/>
        <v>30.58770707306839</v>
      </c>
      <c r="L10" s="456">
        <f t="shared" si="16"/>
        <v>33.020222212955268</v>
      </c>
      <c r="M10" s="456">
        <f t="shared" si="16"/>
        <v>38.018844507362594</v>
      </c>
      <c r="N10" s="456">
        <f t="shared" si="16"/>
        <v>39.482969581657287</v>
      </c>
      <c r="O10" s="456">
        <f t="shared" si="16"/>
        <v>42.173372489896181</v>
      </c>
      <c r="P10" s="456">
        <f t="shared" si="16"/>
        <v>45.063761321418475</v>
      </c>
      <c r="Q10" s="456"/>
      <c r="R10" s="456">
        <f>('C1-Incomes'!JG12-'C1-Incomes'!JH12)/('C1-Incomes'!$R12-'C1-Incomes'!$S12)*100</f>
        <v>4.9885915631802593</v>
      </c>
      <c r="S10" s="456">
        <f>'C1-Incomes'!JH12/'C1-Incomes'!$S12*100</f>
        <v>11.861919353512244</v>
      </c>
      <c r="T10" s="456">
        <f>'C1-Incomes'!JI12/'C1-Incomes'!$T12*100</f>
        <v>12.812430434973681</v>
      </c>
      <c r="U10" s="456">
        <f>'C1-Incomes'!JJ12/'C1-Incomes'!$U12*100</f>
        <v>14.626151036320611</v>
      </c>
      <c r="V10" s="456">
        <f>'C1-Incomes'!JK12/'C1-Incomes'!$V12*100</f>
        <v>14.896927251688016</v>
      </c>
      <c r="W10" s="456">
        <f>'C1-Incomes'!JL12/'C1-Incomes'!$W12*100</f>
        <v>15.174219629727052</v>
      </c>
      <c r="X10" s="456">
        <f>'C1-Incomes'!JM12/'C1-Incomes'!$X12*100</f>
        <v>15.560252036738348</v>
      </c>
      <c r="Y10" s="458"/>
      <c r="Z10" s="456">
        <f>('C1-Incomes'!JO12-'C1-Incomes'!JP12)/('C1-Incomes'!$R12-'C1-Incomes'!$S12)*100</f>
        <v>0.45441163584734928</v>
      </c>
      <c r="AA10" s="456">
        <f>'C1-Incomes'!JP12/'C1-Incomes'!$S12*100</f>
        <v>0.99517022054307691</v>
      </c>
      <c r="AB10" s="456">
        <f>'C1-Incomes'!JQ12/'C1-Incomes'!$T12*100</f>
        <v>1.114180285707685</v>
      </c>
      <c r="AC10" s="456">
        <f>'C1-Incomes'!JR12/'C1-Incomes'!$U12*100</f>
        <v>1.3520412575133427</v>
      </c>
      <c r="AD10" s="456">
        <f>'C1-Incomes'!JS12/'C1-Incomes'!$V12*100</f>
        <v>1.3493326575851117</v>
      </c>
      <c r="AE10" s="456">
        <f>'C1-Incomes'!JT12/'C1-Incomes'!$W12*100</f>
        <v>1.33327352888497</v>
      </c>
      <c r="AF10" s="456">
        <f>'C1-Incomes'!JU12/'C1-Incomes'!$X12*100</f>
        <v>1.2735694803901958</v>
      </c>
      <c r="AG10" s="458"/>
      <c r="AH10" s="456">
        <f>('C1-Incomes'!JW12-'C1-Incomes'!JX12)/('C1-Incomes'!$R12-'C1-Incomes'!$S12)*100</f>
        <v>2.756817013875327</v>
      </c>
      <c r="AI10" s="456">
        <f>'C1-Incomes'!JX12/'C1-Incomes'!$S12*100</f>
        <v>7.1063563092696125</v>
      </c>
      <c r="AJ10" s="456">
        <f>'C1-Incomes'!JY12/'C1-Incomes'!$T12*100</f>
        <v>8.5093939639332916</v>
      </c>
      <c r="AK10" s="456">
        <f>'C1-Incomes'!JZ12/'C1-Incomes'!$U12*100</f>
        <v>11.832587575119522</v>
      </c>
      <c r="AL10" s="456">
        <f>'C1-Incomes'!KA12/'C1-Incomes'!$V12*100</f>
        <v>13.208610750917446</v>
      </c>
      <c r="AM10" s="456">
        <f>'C1-Incomes'!KB12/'C1-Incomes'!$W12*100</f>
        <v>15.742228647497125</v>
      </c>
      <c r="AN10" s="456">
        <f>'C1-Incomes'!KC12/'C1-Incomes'!$X12*100</f>
        <v>17.763590471868309</v>
      </c>
      <c r="AO10" s="458"/>
      <c r="AP10" s="456">
        <f>('C1-Incomes'!KE12-'C1-Incomes'!KF12)/('C1-Incomes'!$R12-'C1-Incomes'!$S12)*100</f>
        <v>2.5689285147695253</v>
      </c>
      <c r="AQ10" s="456">
        <f>'C1-Incomes'!KF12/'C1-Incomes'!$S12*100</f>
        <v>5.125794378320907</v>
      </c>
      <c r="AR10" s="456">
        <f>'C1-Incomes'!KG12/'C1-Incomes'!$T12*100</f>
        <v>5.7022465956704425</v>
      </c>
      <c r="AS10" s="456">
        <f>'C1-Incomes'!KH12/'C1-Incomes'!$U12*100</f>
        <v>6.6644190890097432</v>
      </c>
      <c r="AT10" s="456">
        <f>'C1-Incomes'!KI12/'C1-Incomes'!$V12*100</f>
        <v>6.8833017192720973</v>
      </c>
      <c r="AU10" s="456">
        <f>'C1-Incomes'!KJ12/'C1-Incomes'!$W12*100</f>
        <v>7.294248118196939</v>
      </c>
      <c r="AV10" s="456">
        <f>'C1-Incomes'!KK12/'C1-Incomes'!$X12*100</f>
        <v>7.7278388628757657</v>
      </c>
      <c r="AX10" s="456">
        <f>('C1-Incomes'!KM12-'C1-Incomes'!KN12)/('C1-Incomes'!$R12-'C1-Incomes'!$S12)*100</f>
        <v>4.3055488862910236</v>
      </c>
      <c r="AY10" s="456">
        <f>'C1-Incomes'!KN12/'C1-Incomes'!$S12*100</f>
        <v>1.8041099354429408</v>
      </c>
      <c r="AZ10" s="456">
        <f>'C1-Incomes'!KO12/'C1-Incomes'!$T12*100</f>
        <v>1.1934632584330342</v>
      </c>
      <c r="BA10" s="456">
        <f>'C1-Incomes'!KP12/'C1-Incomes'!$U12*100</f>
        <v>0.34811716442490315</v>
      </c>
      <c r="BB10" s="456">
        <f>'C1-Incomes'!KQ12/'C1-Incomes'!$V12*100</f>
        <v>0.22752292267742757</v>
      </c>
      <c r="BC10" s="456">
        <f>'C1-Incomes'!KR12/'C1-Incomes'!$W12*100</f>
        <v>8.8835501599768107E-2</v>
      </c>
      <c r="BD10" s="456">
        <f>'C1-Incomes'!KS12/'C1-Incomes'!$X12*100</f>
        <v>2.3284746821355513E-2</v>
      </c>
      <c r="BE10" s="456"/>
      <c r="BF10" s="456">
        <f>('C1-Incomes'!LK12-'C1-Incomes'!LL12)/('C1-Incomes'!$R12-'C1-Incomes'!$S12)*100</f>
        <v>0.2705095454671953</v>
      </c>
      <c r="BG10" s="456">
        <f>'C1-Incomes'!LL12/'C1-Incomes'!$S12*100</f>
        <v>1.0367260773496407</v>
      </c>
      <c r="BH10" s="456">
        <f>'C1-Incomes'!LM12/'C1-Incomes'!$T12*100</f>
        <v>1.2203540793744982</v>
      </c>
      <c r="BI10" s="456">
        <f>'C1-Incomes'!LN12/'C1-Incomes'!$U12*100</f>
        <v>1.4610109703152541</v>
      </c>
      <c r="BJ10" s="456">
        <f>'C1-Incomes'!LO12/'C1-Incomes'!$V12*100</f>
        <v>1.4703743339489712</v>
      </c>
      <c r="BK10" s="456">
        <f>'C1-Incomes'!LP12/'C1-Incomes'!$W12*100</f>
        <v>1.5925236582423756</v>
      </c>
      <c r="BL10" s="456">
        <f>'C1-Incomes'!LQ12/'C1-Incomes'!$X12*100</f>
        <v>2.0545296608099508</v>
      </c>
      <c r="BN10" s="456">
        <f>('C1-Incomes'!KU12-'C1-Incomes'!KV12)/('C1-Incomes'!$R12-'C1-Incomes'!$S12)*100</f>
        <v>6.1471563696370817</v>
      </c>
      <c r="BO10" s="456">
        <f>'C1-Incomes'!KV12/'C1-Incomes'!$S12*100</f>
        <v>4.4617407340729072</v>
      </c>
      <c r="BP10" s="456">
        <f>'C1-Incomes'!KW12/'C1-Incomes'!$T12*100</f>
        <v>3.661616853295671</v>
      </c>
      <c r="BQ10" s="456">
        <f>'C1-Incomes'!KX12/'C1-Incomes'!$U12*100</f>
        <v>2.0826345790841212</v>
      </c>
      <c r="BR10" s="456">
        <f>'C1-Incomes'!KY12/'C1-Incomes'!$V12*100</f>
        <v>1.6744228682456432</v>
      </c>
      <c r="BS10" s="456">
        <f>'C1-Incomes'!KZ12/'C1-Incomes'!$W12*100</f>
        <v>1.0368789073477103</v>
      </c>
      <c r="BT10" s="456">
        <f>'C1-Incomes'!LA12/'C1-Incomes'!$X12*100</f>
        <v>0.68398080873591138</v>
      </c>
    </row>
    <row r="11" spans="1:72" s="452" customFormat="1" ht="5.25" customHeight="1" x14ac:dyDescent="0.25">
      <c r="A11" s="239"/>
      <c r="I11" s="456"/>
      <c r="J11" s="239"/>
      <c r="K11" s="239"/>
      <c r="L11" s="239"/>
      <c r="M11" s="239"/>
      <c r="N11" s="239"/>
      <c r="O11" s="239"/>
      <c r="P11" s="239"/>
      <c r="Q11" s="456"/>
      <c r="R11" s="458"/>
      <c r="S11" s="458"/>
      <c r="T11" s="458"/>
      <c r="U11" s="458"/>
      <c r="V11" s="458"/>
      <c r="W11" s="458"/>
      <c r="X11" s="458"/>
      <c r="Y11" s="458"/>
      <c r="Z11" s="456"/>
      <c r="AA11" s="456"/>
      <c r="AB11" s="456"/>
      <c r="AC11" s="456"/>
      <c r="AD11" s="456"/>
      <c r="AE11" s="456"/>
      <c r="AF11" s="456"/>
      <c r="AG11" s="458"/>
      <c r="AH11" s="456"/>
      <c r="AI11" s="456"/>
      <c r="AJ11" s="456"/>
      <c r="AK11" s="456"/>
      <c r="AL11" s="456"/>
      <c r="AM11" s="456"/>
      <c r="AN11" s="456"/>
      <c r="AO11" s="458"/>
      <c r="AP11" s="456"/>
      <c r="AQ11" s="456"/>
      <c r="AR11" s="456"/>
      <c r="AS11" s="456"/>
      <c r="AT11" s="456"/>
      <c r="AU11" s="456"/>
      <c r="AV11" s="456"/>
      <c r="AX11" s="456"/>
      <c r="AY11" s="456"/>
      <c r="AZ11" s="456"/>
      <c r="BA11" s="456"/>
      <c r="BB11" s="456"/>
      <c r="BC11" s="456"/>
      <c r="BD11" s="456"/>
      <c r="BE11" s="456"/>
      <c r="BF11" s="456"/>
      <c r="BG11" s="456"/>
      <c r="BH11" s="456"/>
      <c r="BI11" s="456"/>
      <c r="BJ11" s="456"/>
      <c r="BK11" s="456"/>
      <c r="BL11" s="456"/>
      <c r="BN11" s="456"/>
      <c r="BO11" s="456"/>
      <c r="BP11" s="456"/>
      <c r="BQ11" s="456"/>
      <c r="BR11" s="456"/>
      <c r="BS11" s="456"/>
      <c r="BT11" s="456"/>
    </row>
    <row r="12" spans="1:72" s="452" customFormat="1" ht="12" x14ac:dyDescent="0.25">
      <c r="A12" s="239">
        <v>1966</v>
      </c>
      <c r="B12" s="456">
        <f t="shared" ref="B12:B61" si="17">R12+Z12+AH12+AP12+AX12+BN12+BF12</f>
        <v>22.729103282981576</v>
      </c>
      <c r="C12" s="456">
        <f t="shared" ref="C12:C61" si="18">S12+AA12+AI12+AQ12+AY12+BO12+BG12</f>
        <v>31.6117115064426</v>
      </c>
      <c r="D12" s="456">
        <f t="shared" ref="D12:D61" si="19">T12+AB12+AJ12+AR12+AZ12+BP12+BH12</f>
        <v>33.298048786381457</v>
      </c>
      <c r="E12" s="456">
        <f t="shared" ref="E12:E60" si="20">U12+AC12+AK12+AS12+BA12+BQ12+BI12</f>
        <v>36.801923793810523</v>
      </c>
      <c r="F12" s="456">
        <f t="shared" ref="F12:F61" si="21">V12+AD12+AL12+AT12+BB12+BR12+BJ12</f>
        <v>38.075729175689332</v>
      </c>
      <c r="G12" s="456">
        <f t="shared" ref="G12:G61" si="22">W12+AE12+AM12+AU12+BC12+BS12+BK12</f>
        <v>40.363727788799942</v>
      </c>
      <c r="H12" s="456">
        <f t="shared" ref="H12:H61" si="23">X12+AF12+AN12+AV12+BD12+BT12+BL12</f>
        <v>42.452221208100205</v>
      </c>
      <c r="I12" s="456"/>
      <c r="J12" s="456">
        <f t="shared" ref="J12:J61" si="24">R12+Z12+AH12+AP12+BN12+BF12</f>
        <v>17.633714092503119</v>
      </c>
      <c r="K12" s="456">
        <f t="shared" ref="K12:K61" si="25">S12+AA12+AI12+AQ12+BO12+BG12</f>
        <v>29.604581138239229</v>
      </c>
      <c r="L12" s="456">
        <f t="shared" ref="L12:L61" si="26">T12+AB12+AJ12+AR12+BP12+BH12</f>
        <v>31.959403417717407</v>
      </c>
      <c r="M12" s="456">
        <f t="shared" ref="M12:M61" si="27">U12+AC12+AK12+AS12+BQ12+BI12</f>
        <v>36.359328700338367</v>
      </c>
      <c r="N12" s="456">
        <f t="shared" ref="N12:N61" si="28">V12+AD12+AL12+AT12+BR12+BJ12</f>
        <v>37.784469030688136</v>
      </c>
      <c r="O12" s="456">
        <f t="shared" ref="O12:O61" si="29">W12+AE12+AM12+AU12+BS12+BK12</f>
        <v>40.253990142048934</v>
      </c>
      <c r="P12" s="456">
        <f t="shared" ref="P12:P61" si="30">X12+AF12+AN12+AV12+BT12+BL12</f>
        <v>42.423235879222517</v>
      </c>
      <c r="Q12" s="456"/>
      <c r="R12" s="456">
        <f>('C1-Incomes'!JG14-'C1-Incomes'!JH14)/('C1-Incomes'!$R14-'C1-Incomes'!$S14)*100</f>
        <v>5.595982434332833</v>
      </c>
      <c r="S12" s="456">
        <f>'C1-Incomes'!JH14/'C1-Incomes'!$S14*100</f>
        <v>12.241869158239664</v>
      </c>
      <c r="T12" s="456">
        <f>'C1-Incomes'!JI14/'C1-Incomes'!$T14*100</f>
        <v>13.310355173190095</v>
      </c>
      <c r="U12" s="456">
        <f>'C1-Incomes'!JJ14/'C1-Incomes'!$U14*100</f>
        <v>15.1905011622045</v>
      </c>
      <c r="V12" s="456">
        <f>'C1-Incomes'!JK14/'C1-Incomes'!$V14*100</f>
        <v>15.648645759579841</v>
      </c>
      <c r="W12" s="456">
        <f>'C1-Incomes'!JL14/'C1-Incomes'!$W14*100</f>
        <v>16.197400702806885</v>
      </c>
      <c r="X12" s="456">
        <f>'C1-Incomes'!JM14/'C1-Incomes'!$X14*100</f>
        <v>16.51496280527007</v>
      </c>
      <c r="Y12" s="458"/>
      <c r="Z12" s="456">
        <f>('C1-Incomes'!JO14-'C1-Incomes'!JP14)/('C1-Incomes'!$R14-'C1-Incomes'!$S14)*100</f>
        <v>0.49981798734104788</v>
      </c>
      <c r="AA12" s="456">
        <f>'C1-Incomes'!JP14/'C1-Incomes'!$S14*100</f>
        <v>1.166898804951189</v>
      </c>
      <c r="AB12" s="456">
        <f>'C1-Incomes'!JQ14/'C1-Incomes'!$T14*100</f>
        <v>1.3367937131912038</v>
      </c>
      <c r="AC12" s="456">
        <f>'C1-Incomes'!JR14/'C1-Incomes'!$U14*100</f>
        <v>1.598450563048242</v>
      </c>
      <c r="AD12" s="456">
        <f>'C1-Incomes'!JS14/'C1-Incomes'!$V14*100</f>
        <v>1.6511237042144138</v>
      </c>
      <c r="AE12" s="456">
        <f>'C1-Incomes'!JT14/'C1-Incomes'!$W14*100</f>
        <v>1.6542584001699192</v>
      </c>
      <c r="AF12" s="456">
        <f>'C1-Incomes'!JU14/'C1-Incomes'!$X14*100</f>
        <v>1.5555377514709439</v>
      </c>
      <c r="AG12" s="458"/>
      <c r="AH12" s="456">
        <f>('C1-Incomes'!JW14-'C1-Incomes'!JX14)/('C1-Incomes'!$R14-'C1-Incomes'!$S14)*100</f>
        <v>3.0563015768643593</v>
      </c>
      <c r="AI12" s="456">
        <f>'C1-Incomes'!JX14/'C1-Incomes'!$S14*100</f>
        <v>6.7598822855897041</v>
      </c>
      <c r="AJ12" s="456">
        <f>'C1-Incomes'!JY14/'C1-Incomes'!$T14*100</f>
        <v>7.9914921097822997</v>
      </c>
      <c r="AK12" s="456">
        <f>'C1-Incomes'!JZ14/'C1-Incomes'!$U14*100</f>
        <v>10.86197942909757</v>
      </c>
      <c r="AL12" s="456">
        <f>'C1-Incomes'!KA14/'C1-Incomes'!$V14*100</f>
        <v>12.011080917556914</v>
      </c>
      <c r="AM12" s="456">
        <f>'C1-Incomes'!KB14/'C1-Incomes'!$W14*100</f>
        <v>14.024492384825177</v>
      </c>
      <c r="AN12" s="456">
        <f>'C1-Incomes'!KC14/'C1-Incomes'!$X14*100</f>
        <v>15.552499711692125</v>
      </c>
      <c r="AO12" s="458"/>
      <c r="AP12" s="456">
        <f>('C1-Incomes'!KE14-'C1-Incomes'!KF14)/('C1-Incomes'!$R14-'C1-Incomes'!$S14)*100</f>
        <v>2.5803218429302834</v>
      </c>
      <c r="AQ12" s="456">
        <f>'C1-Incomes'!KF14/'C1-Incomes'!$S14*100</f>
        <v>4.6174511576002146</v>
      </c>
      <c r="AR12" s="456">
        <f>'C1-Incomes'!KG14/'C1-Incomes'!$T14*100</f>
        <v>5.0125538402913161</v>
      </c>
      <c r="AS12" s="456">
        <f>'C1-Incomes'!KH14/'C1-Incomes'!$U14*100</f>
        <v>5.4675903177735403</v>
      </c>
      <c r="AT12" s="456">
        <f>'C1-Incomes'!KI14/'C1-Incomes'!$V14*100</f>
        <v>5.5648569292964707</v>
      </c>
      <c r="AU12" s="456">
        <f>'C1-Incomes'!KJ14/'C1-Incomes'!$W14*100</f>
        <v>5.8219306838440854</v>
      </c>
      <c r="AV12" s="456">
        <f>'C1-Incomes'!KK14/'C1-Incomes'!$X14*100</f>
        <v>6.0621494823127327</v>
      </c>
      <c r="AX12" s="456">
        <f>('C1-Incomes'!KM14-'C1-Incomes'!KN14)/('C1-Incomes'!$R14-'C1-Incomes'!$S14)*100</f>
        <v>5.095389190478457</v>
      </c>
      <c r="AY12" s="456">
        <f>'C1-Incomes'!KN14/'C1-Incomes'!$S14*100</f>
        <v>2.0071303682033692</v>
      </c>
      <c r="AZ12" s="456">
        <f>'C1-Incomes'!KO14/'C1-Incomes'!$T14*100</f>
        <v>1.3386453686640531</v>
      </c>
      <c r="BA12" s="456">
        <f>'C1-Incomes'!KP14/'C1-Incomes'!$U14*100</f>
        <v>0.44259509347215698</v>
      </c>
      <c r="BB12" s="456">
        <f>'C1-Incomes'!KQ14/'C1-Incomes'!$V14*100</f>
        <v>0.29126014500119868</v>
      </c>
      <c r="BC12" s="456">
        <f>'C1-Incomes'!KR14/'C1-Incomes'!$W14*100</f>
        <v>0.10973764675100621</v>
      </c>
      <c r="BD12" s="456">
        <f>'C1-Incomes'!KS14/'C1-Incomes'!$X14*100</f>
        <v>2.8985328877686366E-2</v>
      </c>
      <c r="BE12" s="456"/>
      <c r="BF12" s="456">
        <f>('C1-Incomes'!LK14-'C1-Incomes'!LL14)/('C1-Incomes'!$R14-'C1-Incomes'!$S14)*100</f>
        <v>0.27653792286837298</v>
      </c>
      <c r="BG12" s="456">
        <f>'C1-Incomes'!LL14/'C1-Incomes'!$S14*100</f>
        <v>1.0062782126982728</v>
      </c>
      <c r="BH12" s="456">
        <f>'C1-Incomes'!LM14/'C1-Incomes'!$T14*100</f>
        <v>1.1847824773529851</v>
      </c>
      <c r="BI12" s="456">
        <f>'C1-Incomes'!LN14/'C1-Incomes'!$U14*100</f>
        <v>1.3845498659955922</v>
      </c>
      <c r="BJ12" s="456">
        <f>'C1-Incomes'!LO14/'C1-Incomes'!$V14*100</f>
        <v>1.4042612386914317</v>
      </c>
      <c r="BK12" s="456">
        <f>'C1-Incomes'!LP14/'C1-Incomes'!$W14*100</f>
        <v>1.550539942504688</v>
      </c>
      <c r="BL12" s="456">
        <f>'C1-Incomes'!LQ14/'C1-Incomes'!$X14*100</f>
        <v>2.0130247756594626</v>
      </c>
      <c r="BN12" s="456">
        <f>('C1-Incomes'!KU14-'C1-Incomes'!KV14)/('C1-Incomes'!$R14-'C1-Incomes'!$S14)*100</f>
        <v>5.6247523281662239</v>
      </c>
      <c r="BO12" s="456">
        <f>'C1-Incomes'!KV14/'C1-Incomes'!$S14*100</f>
        <v>3.8122015191601819</v>
      </c>
      <c r="BP12" s="456">
        <f>'C1-Incomes'!KW14/'C1-Incomes'!$T14*100</f>
        <v>3.1234261039095079</v>
      </c>
      <c r="BQ12" s="456">
        <f>'C1-Incomes'!KX14/'C1-Incomes'!$U14*100</f>
        <v>1.856257362218916</v>
      </c>
      <c r="BR12" s="456">
        <f>'C1-Incomes'!KY14/'C1-Incomes'!$V14*100</f>
        <v>1.5045004813490594</v>
      </c>
      <c r="BS12" s="456">
        <f>'C1-Incomes'!KZ14/'C1-Incomes'!$W14*100</f>
        <v>1.0053680278981842</v>
      </c>
      <c r="BT12" s="456">
        <f>'C1-Incomes'!LA14/'C1-Incomes'!$X14*100</f>
        <v>0.72506135281718531</v>
      </c>
    </row>
    <row r="13" spans="1:72" s="452" customFormat="1" ht="12" x14ac:dyDescent="0.25">
      <c r="A13" s="239">
        <v>1967</v>
      </c>
      <c r="B13" s="456">
        <f t="shared" si="17"/>
        <v>22.740093120325469</v>
      </c>
      <c r="C13" s="456">
        <f t="shared" si="18"/>
        <v>32.182091047942968</v>
      </c>
      <c r="D13" s="456">
        <f t="shared" si="19"/>
        <v>34.229255614590151</v>
      </c>
      <c r="E13" s="456">
        <f t="shared" si="20"/>
        <v>38.672274842274653</v>
      </c>
      <c r="F13" s="456">
        <f t="shared" si="21"/>
        <v>40.224758784746719</v>
      </c>
      <c r="G13" s="456">
        <f t="shared" si="22"/>
        <v>43.298919473501634</v>
      </c>
      <c r="H13" s="456">
        <f t="shared" si="23"/>
        <v>45.847895065512603</v>
      </c>
      <c r="I13" s="456"/>
      <c r="J13" s="456">
        <f t="shared" si="24"/>
        <v>17.41146857732431</v>
      </c>
      <c r="K13" s="456">
        <f t="shared" si="25"/>
        <v>30.194975900064836</v>
      </c>
      <c r="L13" s="456">
        <f t="shared" si="26"/>
        <v>32.900690324149892</v>
      </c>
      <c r="M13" s="456">
        <f t="shared" si="27"/>
        <v>38.221897360522291</v>
      </c>
      <c r="N13" s="456">
        <f t="shared" si="28"/>
        <v>39.924083270768229</v>
      </c>
      <c r="O13" s="456">
        <f t="shared" si="29"/>
        <v>43.17935964074492</v>
      </c>
      <c r="P13" s="456">
        <f t="shared" si="30"/>
        <v>45.813650833566676</v>
      </c>
      <c r="Q13" s="456"/>
      <c r="R13" s="456">
        <f>('C1-Incomes'!JG15-'C1-Incomes'!JH15)/('C1-Incomes'!$R15-'C1-Incomes'!$S15)*100</f>
        <v>5.7458769436875103</v>
      </c>
      <c r="S13" s="456">
        <f>'C1-Incomes'!JH15/'C1-Incomes'!$S15*100</f>
        <v>12.777886783757161</v>
      </c>
      <c r="T13" s="456">
        <f>'C1-Incomes'!JI15/'C1-Incomes'!$T15*100</f>
        <v>14.082273015844091</v>
      </c>
      <c r="U13" s="456">
        <f>'C1-Incomes'!JJ15/'C1-Incomes'!$U15*100</f>
        <v>16.573598901727692</v>
      </c>
      <c r="V13" s="456">
        <f>'C1-Incomes'!JK15/'C1-Incomes'!$V15*100</f>
        <v>17.137822356362513</v>
      </c>
      <c r="W13" s="456">
        <f>'C1-Incomes'!JL15/'C1-Incomes'!$W15*100</f>
        <v>18.07406730686424</v>
      </c>
      <c r="X13" s="456">
        <f>'C1-Incomes'!JM15/'C1-Incomes'!$X15*100</f>
        <v>18.40297281239036</v>
      </c>
      <c r="Y13" s="458"/>
      <c r="Z13" s="456">
        <f>('C1-Incomes'!JO15-'C1-Incomes'!JP15)/('C1-Incomes'!$R15-'C1-Incomes'!$S15)*100</f>
        <v>0.55616600167611563</v>
      </c>
      <c r="AA13" s="456">
        <f>'C1-Incomes'!JP15/'C1-Incomes'!$S15*100</f>
        <v>1.1869127480059931</v>
      </c>
      <c r="AB13" s="456">
        <f>'C1-Incomes'!JQ15/'C1-Incomes'!$T15*100</f>
        <v>1.3426457032632197</v>
      </c>
      <c r="AC13" s="456">
        <f>'C1-Incomes'!JR15/'C1-Incomes'!$U15*100</f>
        <v>1.5777733912386578</v>
      </c>
      <c r="AD13" s="456">
        <f>'C1-Incomes'!JS15/'C1-Incomes'!$V15*100</f>
        <v>1.5958289834364097</v>
      </c>
      <c r="AE13" s="456">
        <f>'C1-Incomes'!JT15/'C1-Incomes'!$W15*100</f>
        <v>1.6445205363818303</v>
      </c>
      <c r="AF13" s="456">
        <f>'C1-Incomes'!JU15/'C1-Incomes'!$X15*100</f>
        <v>1.6753552843394686</v>
      </c>
      <c r="AG13" s="458"/>
      <c r="AH13" s="456">
        <f>('C1-Incomes'!JW15-'C1-Incomes'!JX15)/('C1-Incomes'!$R15-'C1-Incomes'!$S15)*100</f>
        <v>2.6860698873953939</v>
      </c>
      <c r="AI13" s="456">
        <f>'C1-Incomes'!JX15/'C1-Incomes'!$S15*100</f>
        <v>6.3013754999456868</v>
      </c>
      <c r="AJ13" s="456">
        <f>'C1-Incomes'!JY15/'C1-Incomes'!$T15*100</f>
        <v>7.5229635418620457</v>
      </c>
      <c r="AK13" s="456">
        <f>'C1-Incomes'!JZ15/'C1-Incomes'!$U15*100</f>
        <v>10.591986029721621</v>
      </c>
      <c r="AL13" s="456">
        <f>'C1-Incomes'!KA15/'C1-Incomes'!$V15*100</f>
        <v>11.813578225836185</v>
      </c>
      <c r="AM13" s="456">
        <f>'C1-Incomes'!KB15/'C1-Incomes'!$W15*100</f>
        <v>13.902017187224647</v>
      </c>
      <c r="AN13" s="456">
        <f>'C1-Incomes'!KC15/'C1-Incomes'!$X15*100</f>
        <v>15.458692645278516</v>
      </c>
      <c r="AO13" s="458"/>
      <c r="AP13" s="456">
        <f>('C1-Incomes'!KE15-'C1-Incomes'!KF15)/('C1-Incomes'!$R15-'C1-Incomes'!$S15)*100</f>
        <v>2.5196290971243021</v>
      </c>
      <c r="AQ13" s="456">
        <f>'C1-Incomes'!KF15/'C1-Incomes'!$S15*100</f>
        <v>5.0969254169964104</v>
      </c>
      <c r="AR13" s="456">
        <f>'C1-Incomes'!KG15/'C1-Incomes'!$T15*100</f>
        <v>5.6244208503018722</v>
      </c>
      <c r="AS13" s="456">
        <f>'C1-Incomes'!KH15/'C1-Incomes'!$U15*100</f>
        <v>6.178696874127426</v>
      </c>
      <c r="AT13" s="456">
        <f>'C1-Incomes'!KI15/'C1-Incomes'!$V15*100</f>
        <v>6.4116669113319054</v>
      </c>
      <c r="AU13" s="456">
        <f>'C1-Incomes'!KJ15/'C1-Incomes'!$W15*100</f>
        <v>6.9067145334820736</v>
      </c>
      <c r="AV13" s="456">
        <f>'C1-Incomes'!KK15/'C1-Incomes'!$X15*100</f>
        <v>7.4534778278780562</v>
      </c>
      <c r="AX13" s="456">
        <f>('C1-Incomes'!KM15-'C1-Incomes'!KN15)/('C1-Incomes'!$R15-'C1-Incomes'!$S15)*100</f>
        <v>5.328624543001161</v>
      </c>
      <c r="AY13" s="456">
        <f>'C1-Incomes'!KN15/'C1-Incomes'!$S15*100</f>
        <v>1.9871151478781275</v>
      </c>
      <c r="AZ13" s="456">
        <f>'C1-Incomes'!KO15/'C1-Incomes'!$T15*100</f>
        <v>1.3285652904402676</v>
      </c>
      <c r="BA13" s="456">
        <f>'C1-Incomes'!KP15/'C1-Incomes'!$U15*100</f>
        <v>0.45037748175236264</v>
      </c>
      <c r="BB13" s="456">
        <f>'C1-Incomes'!KQ15/'C1-Incomes'!$V15*100</f>
        <v>0.3006755139784919</v>
      </c>
      <c r="BC13" s="456">
        <f>'C1-Incomes'!KR15/'C1-Incomes'!$W15*100</f>
        <v>0.11955983275671266</v>
      </c>
      <c r="BD13" s="456">
        <f>'C1-Incomes'!KS15/'C1-Incomes'!$X15*100</f>
        <v>3.4244231945928849E-2</v>
      </c>
      <c r="BE13" s="456"/>
      <c r="BF13" s="456">
        <f>('C1-Incomes'!LK15-'C1-Incomes'!LL15)/('C1-Incomes'!$R15-'C1-Incomes'!$S15)*100</f>
        <v>0.26307059102793445</v>
      </c>
      <c r="BG13" s="456">
        <f>'C1-Incomes'!LL15/'C1-Incomes'!$S15*100</f>
        <v>0.981227627546713</v>
      </c>
      <c r="BH13" s="456">
        <f>'C1-Incomes'!LM15/'C1-Incomes'!$T15*100</f>
        <v>1.1620300202740537</v>
      </c>
      <c r="BI13" s="456">
        <f>'C1-Incomes'!LN15/'C1-Incomes'!$U15*100</f>
        <v>1.3724258155213549</v>
      </c>
      <c r="BJ13" s="456">
        <f>'C1-Incomes'!LO15/'C1-Incomes'!$V15*100</f>
        <v>1.4033800844057325</v>
      </c>
      <c r="BK13" s="456">
        <f>'C1-Incomes'!LP15/'C1-Incomes'!$W15*100</f>
        <v>1.6051119528123092</v>
      </c>
      <c r="BL13" s="456">
        <f>'C1-Incomes'!LQ15/'C1-Incomes'!$X15*100</f>
        <v>2.0947050870667354</v>
      </c>
      <c r="BN13" s="456">
        <f>('C1-Incomes'!KU15-'C1-Incomes'!KV15)/('C1-Incomes'!$R15-'C1-Incomes'!$S15)*100</f>
        <v>5.6406560564130546</v>
      </c>
      <c r="BO13" s="456">
        <f>'C1-Incomes'!KV15/'C1-Incomes'!$S15*100</f>
        <v>3.8506478238128756</v>
      </c>
      <c r="BP13" s="456">
        <f>'C1-Incomes'!KW15/'C1-Incomes'!$T15*100</f>
        <v>3.1663571926046039</v>
      </c>
      <c r="BQ13" s="456">
        <f>'C1-Incomes'!KX15/'C1-Incomes'!$U15*100</f>
        <v>1.9274163481855364</v>
      </c>
      <c r="BR13" s="456">
        <f>'C1-Incomes'!KY15/'C1-Incomes'!$V15*100</f>
        <v>1.5618067093954842</v>
      </c>
      <c r="BS13" s="456">
        <f>'C1-Incomes'!KZ15/'C1-Incomes'!$W15*100</f>
        <v>1.0469281239798278</v>
      </c>
      <c r="BT13" s="456">
        <f>'C1-Incomes'!LA15/'C1-Incomes'!$X15*100</f>
        <v>0.72844717661354186</v>
      </c>
    </row>
    <row r="14" spans="1:72" s="452" customFormat="1" ht="12" x14ac:dyDescent="0.25">
      <c r="A14" s="239">
        <v>1968</v>
      </c>
      <c r="B14" s="456">
        <f t="shared" si="17"/>
        <v>23.760250229779768</v>
      </c>
      <c r="C14" s="456">
        <f t="shared" si="18"/>
        <v>34.333173208477504</v>
      </c>
      <c r="D14" s="456">
        <f t="shared" si="19"/>
        <v>36.575792760518624</v>
      </c>
      <c r="E14" s="456">
        <f t="shared" si="20"/>
        <v>41.422888099162755</v>
      </c>
      <c r="F14" s="456">
        <f t="shared" si="21"/>
        <v>43.351116065261806</v>
      </c>
      <c r="G14" s="456">
        <f t="shared" si="22"/>
        <v>46.565323825440437</v>
      </c>
      <c r="H14" s="456">
        <f t="shared" si="23"/>
        <v>49.929618752526189</v>
      </c>
      <c r="I14" s="456"/>
      <c r="J14" s="456">
        <f t="shared" si="24"/>
        <v>18.459374901259622</v>
      </c>
      <c r="K14" s="456">
        <f t="shared" si="25"/>
        <v>32.23761878483127</v>
      </c>
      <c r="L14" s="456">
        <f t="shared" si="26"/>
        <v>35.160140307083267</v>
      </c>
      <c r="M14" s="456">
        <f t="shared" si="27"/>
        <v>40.949914770750354</v>
      </c>
      <c r="N14" s="456">
        <f t="shared" si="28"/>
        <v>43.037134409293337</v>
      </c>
      <c r="O14" s="456">
        <f t="shared" si="29"/>
        <v>46.448608022372866</v>
      </c>
      <c r="P14" s="456">
        <f t="shared" si="30"/>
        <v>49.892499009474285</v>
      </c>
      <c r="Q14" s="456"/>
      <c r="R14" s="456">
        <f>('C1-Incomes'!JG16-'C1-Incomes'!JH16)/('C1-Incomes'!$R16-'C1-Incomes'!$S16)*100</f>
        <v>6.262503860925511</v>
      </c>
      <c r="S14" s="456">
        <f>'C1-Incomes'!JH16/'C1-Incomes'!$S16*100</f>
        <v>13.778780011150522</v>
      </c>
      <c r="T14" s="456">
        <f>'C1-Incomes'!JI16/'C1-Incomes'!$T16*100</f>
        <v>15.160131229153833</v>
      </c>
      <c r="U14" s="456">
        <f>'C1-Incomes'!JJ16/'C1-Incomes'!$U16*100</f>
        <v>17.901577657705204</v>
      </c>
      <c r="V14" s="456">
        <f>'C1-Incomes'!JK16/'C1-Incomes'!$V16*100</f>
        <v>18.655239134273888</v>
      </c>
      <c r="W14" s="456">
        <f>'C1-Incomes'!JL16/'C1-Incomes'!$W16*100</f>
        <v>19.208487022821558</v>
      </c>
      <c r="X14" s="456">
        <f>'C1-Incomes'!JM16/'C1-Incomes'!$X16*100</f>
        <v>20.109647125275426</v>
      </c>
      <c r="Y14" s="458"/>
      <c r="Z14" s="456">
        <f>('C1-Incomes'!JO16-'C1-Incomes'!JP16)/('C1-Incomes'!$R16-'C1-Incomes'!$S16)*100</f>
        <v>0.69841891413073298</v>
      </c>
      <c r="AA14" s="456">
        <f>'C1-Incomes'!JP16/'C1-Incomes'!$S16*100</f>
        <v>1.2894145957991179</v>
      </c>
      <c r="AB14" s="456">
        <f>'C1-Incomes'!JQ16/'C1-Incomes'!$T16*100</f>
        <v>1.4156854557261835</v>
      </c>
      <c r="AC14" s="456">
        <f>'C1-Incomes'!JR16/'C1-Incomes'!$U16*100</f>
        <v>1.5757091017785421</v>
      </c>
      <c r="AD14" s="456">
        <f>'C1-Incomes'!JS16/'C1-Incomes'!$V16*100</f>
        <v>1.5936405024108244</v>
      </c>
      <c r="AE14" s="456">
        <f>'C1-Incomes'!JT16/'C1-Incomes'!$W16*100</f>
        <v>1.6065818137478989</v>
      </c>
      <c r="AF14" s="456">
        <f>'C1-Incomes'!JU16/'C1-Incomes'!$X16*100</f>
        <v>1.7356096015267526</v>
      </c>
      <c r="AG14" s="458"/>
      <c r="AH14" s="456">
        <f>('C1-Incomes'!JW16-'C1-Incomes'!JX16)/('C1-Incomes'!$R16-'C1-Incomes'!$S16)*100</f>
        <v>2.8742045719612941</v>
      </c>
      <c r="AI14" s="456">
        <f>'C1-Incomes'!JX16/'C1-Incomes'!$S16*100</f>
        <v>7.0460385241385284</v>
      </c>
      <c r="AJ14" s="456">
        <f>'C1-Incomes'!JY16/'C1-Incomes'!$T16*100</f>
        <v>8.4791429609641433</v>
      </c>
      <c r="AK14" s="456">
        <f>'C1-Incomes'!JZ16/'C1-Incomes'!$U16*100</f>
        <v>11.906238157479828</v>
      </c>
      <c r="AL14" s="456">
        <f>'C1-Incomes'!KA16/'C1-Incomes'!$V16*100</f>
        <v>13.27494449686589</v>
      </c>
      <c r="AM14" s="456">
        <f>'C1-Incomes'!KB16/'C1-Incomes'!$W16*100</f>
        <v>15.887781512368129</v>
      </c>
      <c r="AN14" s="456">
        <f>'C1-Incomes'!KC16/'C1-Incomes'!$X16*100</f>
        <v>17.459422399675454</v>
      </c>
      <c r="AO14" s="458"/>
      <c r="AP14" s="456">
        <f>('C1-Incomes'!KE16-'C1-Incomes'!KF16)/('C1-Incomes'!$R16-'C1-Incomes'!$S16)*100</f>
        <v>2.5042089064274284</v>
      </c>
      <c r="AQ14" s="456">
        <f>'C1-Incomes'!KF16/'C1-Incomes'!$S16*100</f>
        <v>5.2563831359799904</v>
      </c>
      <c r="AR14" s="456">
        <f>'C1-Incomes'!KG16/'C1-Incomes'!$T16*100</f>
        <v>5.7997554026953324</v>
      </c>
      <c r="AS14" s="456">
        <f>'C1-Incomes'!KH16/'C1-Incomes'!$U16*100</f>
        <v>6.3899833135855149</v>
      </c>
      <c r="AT14" s="456">
        <f>'C1-Incomes'!KI16/'C1-Incomes'!$V16*100</f>
        <v>6.660209632195448</v>
      </c>
      <c r="AU14" s="456">
        <f>'C1-Incomes'!KJ16/'C1-Incomes'!$W16*100</f>
        <v>7.2667917316547443</v>
      </c>
      <c r="AV14" s="456">
        <f>'C1-Incomes'!KK16/'C1-Incomes'!$X16*100</f>
        <v>7.8567685230746696</v>
      </c>
      <c r="AX14" s="456">
        <f>('C1-Incomes'!KM16-'C1-Incomes'!KN16)/('C1-Incomes'!$R16-'C1-Incomes'!$S16)*100</f>
        <v>5.3008753285201449</v>
      </c>
      <c r="AY14" s="456">
        <f>'C1-Incomes'!KN16/'C1-Incomes'!$S16*100</f>
        <v>2.0955544236462309</v>
      </c>
      <c r="AZ14" s="456">
        <f>'C1-Incomes'!KO16/'C1-Incomes'!$T16*100</f>
        <v>1.415652453435353</v>
      </c>
      <c r="BA14" s="456">
        <f>'C1-Incomes'!KP16/'C1-Incomes'!$U16*100</f>
        <v>0.47297332841240347</v>
      </c>
      <c r="BB14" s="456">
        <f>'C1-Incomes'!KQ16/'C1-Incomes'!$V16*100</f>
        <v>0.31398165596847133</v>
      </c>
      <c r="BC14" s="456">
        <f>'C1-Incomes'!KR16/'C1-Incomes'!$W16*100</f>
        <v>0.11671580306757384</v>
      </c>
      <c r="BD14" s="456">
        <f>'C1-Incomes'!KS16/'C1-Incomes'!$X16*100</f>
        <v>3.7119743051903874E-2</v>
      </c>
      <c r="BE14" s="456"/>
      <c r="BF14" s="456">
        <f>('C1-Incomes'!LK16-'C1-Incomes'!LL16)/('C1-Incomes'!$R16-'C1-Incomes'!$S16)*100</f>
        <v>0.24781580157475111</v>
      </c>
      <c r="BG14" s="456">
        <f>'C1-Incomes'!LL16/'C1-Incomes'!$S16*100</f>
        <v>0.92152509066675981</v>
      </c>
      <c r="BH14" s="456">
        <f>'C1-Incomes'!LM16/'C1-Incomes'!$T16*100</f>
        <v>1.088693216648096</v>
      </c>
      <c r="BI14" s="456">
        <f>'C1-Incomes'!LN16/'C1-Incomes'!$U16*100</f>
        <v>1.2946016735545904</v>
      </c>
      <c r="BJ14" s="456">
        <f>'C1-Incomes'!LO16/'C1-Incomes'!$V16*100</f>
        <v>1.336290456933473</v>
      </c>
      <c r="BK14" s="456">
        <f>'C1-Incomes'!LP16/'C1-Incomes'!$W16*100</f>
        <v>1.4914519850740178</v>
      </c>
      <c r="BL14" s="456">
        <f>'C1-Incomes'!LQ16/'C1-Incomes'!$X16*100</f>
        <v>2.0107136219849457</v>
      </c>
      <c r="BN14" s="456">
        <f>('C1-Incomes'!KU16-'C1-Incomes'!KV16)/('C1-Incomes'!$R16-'C1-Incomes'!$S16)*100</f>
        <v>5.8722228462399046</v>
      </c>
      <c r="BO14" s="456">
        <f>'C1-Incomes'!KV16/'C1-Incomes'!$S16*100</f>
        <v>3.9454774270963546</v>
      </c>
      <c r="BP14" s="456">
        <f>'C1-Incomes'!KW16/'C1-Incomes'!$T16*100</f>
        <v>3.2167320418956793</v>
      </c>
      <c r="BQ14" s="456">
        <f>'C1-Incomes'!KX16/'C1-Incomes'!$U16*100</f>
        <v>1.8818048666466782</v>
      </c>
      <c r="BR14" s="456">
        <f>'C1-Incomes'!KY16/'C1-Incomes'!$V16*100</f>
        <v>1.5168101866138133</v>
      </c>
      <c r="BS14" s="456">
        <f>'C1-Incomes'!KZ16/'C1-Incomes'!$W16*100</f>
        <v>0.98751395670652398</v>
      </c>
      <c r="BT14" s="456">
        <f>'C1-Incomes'!LA16/'C1-Incomes'!$X16*100</f>
        <v>0.72033773793703104</v>
      </c>
    </row>
    <row r="15" spans="1:72" s="452" customFormat="1" ht="12" x14ac:dyDescent="0.25">
      <c r="A15" s="239">
        <v>1969</v>
      </c>
      <c r="B15" s="456">
        <f t="shared" si="17"/>
        <v>25.019279703707973</v>
      </c>
      <c r="C15" s="456">
        <f t="shared" si="18"/>
        <v>35.534423735854794</v>
      </c>
      <c r="D15" s="456">
        <f t="shared" si="19"/>
        <v>37.747101549385981</v>
      </c>
      <c r="E15" s="456">
        <f t="shared" si="20"/>
        <v>42.839371396354672</v>
      </c>
      <c r="F15" s="456">
        <f t="shared" si="21"/>
        <v>44.815402697492921</v>
      </c>
      <c r="G15" s="456">
        <f t="shared" si="22"/>
        <v>48.804615372023221</v>
      </c>
      <c r="H15" s="456">
        <f t="shared" si="23"/>
        <v>52.950555551767863</v>
      </c>
      <c r="I15" s="456"/>
      <c r="J15" s="456">
        <f t="shared" si="24"/>
        <v>19.527368142043983</v>
      </c>
      <c r="K15" s="456">
        <f t="shared" si="25"/>
        <v>33.239205098635722</v>
      </c>
      <c r="L15" s="456">
        <f t="shared" si="26"/>
        <v>36.188396375115893</v>
      </c>
      <c r="M15" s="456">
        <f t="shared" si="27"/>
        <v>42.268610948043019</v>
      </c>
      <c r="N15" s="456">
        <f t="shared" si="28"/>
        <v>44.431022747369937</v>
      </c>
      <c r="O15" s="456">
        <f t="shared" si="29"/>
        <v>48.648685466315172</v>
      </c>
      <c r="P15" s="456">
        <f t="shared" si="30"/>
        <v>52.90551661150959</v>
      </c>
      <c r="Q15" s="456"/>
      <c r="R15" s="456">
        <f>('C1-Incomes'!JG17-'C1-Incomes'!JH17)/('C1-Incomes'!$R17-'C1-Incomes'!$S17)*100</f>
        <v>7.156035068274778</v>
      </c>
      <c r="S15" s="456">
        <f>'C1-Incomes'!JH17/'C1-Incomes'!$S17*100</f>
        <v>15.08646770616898</v>
      </c>
      <c r="T15" s="456">
        <f>'C1-Incomes'!JI17/'C1-Incomes'!$T17*100</f>
        <v>16.578632858822591</v>
      </c>
      <c r="U15" s="456">
        <f>'C1-Incomes'!JJ17/'C1-Incomes'!$U17*100</f>
        <v>19.756614083601161</v>
      </c>
      <c r="V15" s="456">
        <f>'C1-Incomes'!JK17/'C1-Incomes'!$V17*100</f>
        <v>20.595721157561911</v>
      </c>
      <c r="W15" s="456">
        <f>'C1-Incomes'!JL17/'C1-Incomes'!$W17*100</f>
        <v>21.804757793555339</v>
      </c>
      <c r="X15" s="456">
        <f>'C1-Incomes'!JM17/'C1-Incomes'!$X17*100</f>
        <v>22.90412114103431</v>
      </c>
      <c r="Y15" s="458"/>
      <c r="Z15" s="456">
        <f>('C1-Incomes'!JO17-'C1-Incomes'!JP17)/('C1-Incomes'!$R17-'C1-Incomes'!$S17)*100</f>
        <v>0.79451435707822404</v>
      </c>
      <c r="AA15" s="456">
        <f>'C1-Incomes'!JP17/'C1-Incomes'!$S17*100</f>
        <v>1.5291094861678223</v>
      </c>
      <c r="AB15" s="456">
        <f>'C1-Incomes'!JQ17/'C1-Incomes'!$T17*100</f>
        <v>1.7080414580712326</v>
      </c>
      <c r="AC15" s="456">
        <f>'C1-Incomes'!JR17/'C1-Incomes'!$U17*100</f>
        <v>1.9991129082699715</v>
      </c>
      <c r="AD15" s="456">
        <f>'C1-Incomes'!JS17/'C1-Incomes'!$V17*100</f>
        <v>2.0314826733585245</v>
      </c>
      <c r="AE15" s="456">
        <f>'C1-Incomes'!JT17/'C1-Incomes'!$W17*100</f>
        <v>2.1210147354330586</v>
      </c>
      <c r="AF15" s="456">
        <f>'C1-Incomes'!JU17/'C1-Incomes'!$X17*100</f>
        <v>2.2450136290982692</v>
      </c>
      <c r="AG15" s="458"/>
      <c r="AH15" s="456">
        <f>('C1-Incomes'!JW17-'C1-Incomes'!JX17)/('C1-Incomes'!$R17-'C1-Incomes'!$S17)*100</f>
        <v>2.8211176839343124</v>
      </c>
      <c r="AI15" s="456">
        <f>'C1-Incomes'!JX17/'C1-Incomes'!$S17*100</f>
        <v>6.2014269526633701</v>
      </c>
      <c r="AJ15" s="456">
        <f>'C1-Incomes'!JY17/'C1-Incomes'!$T17*100</f>
        <v>7.4847368041652125</v>
      </c>
      <c r="AK15" s="456">
        <f>'C1-Incomes'!JZ17/'C1-Incomes'!$U17*100</f>
        <v>10.604967421997053</v>
      </c>
      <c r="AL15" s="456">
        <f>'C1-Incomes'!KA17/'C1-Incomes'!$V17*100</f>
        <v>11.988899111407731</v>
      </c>
      <c r="AM15" s="456">
        <f>'C1-Incomes'!KB17/'C1-Incomes'!$W17*100</f>
        <v>14.655276778157845</v>
      </c>
      <c r="AN15" s="456">
        <f>'C1-Incomes'!KC17/'C1-Incomes'!$X17*100</f>
        <v>16.758445195711499</v>
      </c>
      <c r="AO15" s="458"/>
      <c r="AP15" s="456">
        <f>('C1-Incomes'!KE17-'C1-Incomes'!KF17)/('C1-Incomes'!$R17-'C1-Incomes'!$S17)*100</f>
        <v>2.5935506000383848</v>
      </c>
      <c r="AQ15" s="456">
        <f>'C1-Incomes'!KF17/'C1-Incomes'!$S17*100</f>
        <v>5.2885672504650465</v>
      </c>
      <c r="AR15" s="456">
        <f>'C1-Incomes'!KG17/'C1-Incomes'!$T17*100</f>
        <v>5.8019927787280334</v>
      </c>
      <c r="AS15" s="456">
        <f>'C1-Incomes'!KH17/'C1-Incomes'!$U17*100</f>
        <v>6.3260487306728104</v>
      </c>
      <c r="AT15" s="456">
        <f>'C1-Incomes'!KI17/'C1-Incomes'!$V17*100</f>
        <v>6.5788167613506197</v>
      </c>
      <c r="AU15" s="456">
        <f>'C1-Incomes'!KJ17/'C1-Incomes'!$W17*100</f>
        <v>7.1712181238911699</v>
      </c>
      <c r="AV15" s="456">
        <f>'C1-Incomes'!KK17/'C1-Incomes'!$X17*100</f>
        <v>7.8725840427812024</v>
      </c>
      <c r="AX15" s="456">
        <f>('C1-Incomes'!KM17-'C1-Incomes'!KN17)/('C1-Incomes'!$R17-'C1-Incomes'!$S17)*100</f>
        <v>5.4919115616639882</v>
      </c>
      <c r="AY15" s="456">
        <f>'C1-Incomes'!KN17/'C1-Incomes'!$S17*100</f>
        <v>2.2952186372190728</v>
      </c>
      <c r="AZ15" s="456">
        <f>'C1-Incomes'!KO17/'C1-Incomes'!$T17*100</f>
        <v>1.5587051742700875</v>
      </c>
      <c r="BA15" s="456">
        <f>'C1-Incomes'!KP17/'C1-Incomes'!$U17*100</f>
        <v>0.57076044831165296</v>
      </c>
      <c r="BB15" s="456">
        <f>'C1-Incomes'!KQ17/'C1-Incomes'!$V17*100</f>
        <v>0.38437995012298426</v>
      </c>
      <c r="BC15" s="456">
        <f>'C1-Incomes'!KR17/'C1-Incomes'!$W17*100</f>
        <v>0.15592990570804652</v>
      </c>
      <c r="BD15" s="456">
        <f>'C1-Incomes'!KS17/'C1-Incomes'!$X17*100</f>
        <v>4.5038940258272639E-2</v>
      </c>
      <c r="BE15" s="456"/>
      <c r="BF15" s="456">
        <f>('C1-Incomes'!LK17-'C1-Incomes'!LL17)/('C1-Incomes'!$R17-'C1-Incomes'!$S17)*100</f>
        <v>0.25584178689207593</v>
      </c>
      <c r="BG15" s="456">
        <f>'C1-Incomes'!LL17/'C1-Incomes'!$S17*100</f>
        <v>0.99527054006411353</v>
      </c>
      <c r="BH15" s="456">
        <f>'C1-Incomes'!LM17/'C1-Incomes'!$T17*100</f>
        <v>1.1970877156182023</v>
      </c>
      <c r="BI15" s="456">
        <f>'C1-Incomes'!LN17/'C1-Incomes'!$U17*100</f>
        <v>1.4949310682825483</v>
      </c>
      <c r="BJ15" s="456">
        <f>'C1-Incomes'!LO17/'C1-Incomes'!$V17*100</f>
        <v>1.5487987425992671</v>
      </c>
      <c r="BK15" s="456">
        <f>'C1-Incomes'!LP17/'C1-Incomes'!$W17*100</f>
        <v>1.7927049361602116</v>
      </c>
      <c r="BL15" s="456">
        <f>'C1-Incomes'!LQ17/'C1-Incomes'!$X17*100</f>
        <v>2.3629256881876732</v>
      </c>
      <c r="BN15" s="456">
        <f>('C1-Incomes'!KU17-'C1-Incomes'!KV17)/('C1-Incomes'!$R17-'C1-Incomes'!$S17)*100</f>
        <v>5.9063086458262086</v>
      </c>
      <c r="BO15" s="456">
        <f>'C1-Incomes'!KV17/'C1-Incomes'!$S17*100</f>
        <v>4.1383631631063951</v>
      </c>
      <c r="BP15" s="456">
        <f>'C1-Incomes'!KW17/'C1-Incomes'!$T17*100</f>
        <v>3.4179047597106256</v>
      </c>
      <c r="BQ15" s="456">
        <f>'C1-Incomes'!KX17/'C1-Incomes'!$U17*100</f>
        <v>2.0869367352194756</v>
      </c>
      <c r="BR15" s="456">
        <f>'C1-Incomes'!KY17/'C1-Incomes'!$V17*100</f>
        <v>1.6873043010918762</v>
      </c>
      <c r="BS15" s="456">
        <f>'C1-Incomes'!KZ17/'C1-Incomes'!$W17*100</f>
        <v>1.1037130991175437</v>
      </c>
      <c r="BT15" s="456">
        <f>'C1-Incomes'!LA17/'C1-Incomes'!$X17*100</f>
        <v>0.76242691469664192</v>
      </c>
    </row>
    <row r="16" spans="1:72" s="452" customFormat="1" ht="12" x14ac:dyDescent="0.25">
      <c r="A16" s="239">
        <v>1970</v>
      </c>
      <c r="B16" s="456">
        <f t="shared" si="17"/>
        <v>24.049797549357141</v>
      </c>
      <c r="C16" s="456">
        <f t="shared" si="18"/>
        <v>33.740739746701571</v>
      </c>
      <c r="D16" s="456">
        <f t="shared" si="19"/>
        <v>35.772051237934853</v>
      </c>
      <c r="E16" s="456">
        <f t="shared" si="20"/>
        <v>40.298319924226995</v>
      </c>
      <c r="F16" s="456">
        <f t="shared" si="21"/>
        <v>42.123222667559226</v>
      </c>
      <c r="G16" s="456">
        <f t="shared" si="22"/>
        <v>45.911158652067471</v>
      </c>
      <c r="H16" s="456">
        <f t="shared" si="23"/>
        <v>49.302028488857573</v>
      </c>
      <c r="I16" s="456"/>
      <c r="J16" s="456">
        <f t="shared" si="24"/>
        <v>18.651595031722881</v>
      </c>
      <c r="K16" s="456">
        <f t="shared" si="25"/>
        <v>31.424064298825957</v>
      </c>
      <c r="L16" s="456">
        <f t="shared" si="26"/>
        <v>34.156134190568551</v>
      </c>
      <c r="M16" s="456">
        <f t="shared" si="27"/>
        <v>39.689481723246153</v>
      </c>
      <c r="N16" s="456">
        <f t="shared" si="28"/>
        <v>41.714327134579499</v>
      </c>
      <c r="O16" s="456">
        <f t="shared" si="29"/>
        <v>45.739659553899784</v>
      </c>
      <c r="P16" s="456">
        <f t="shared" si="30"/>
        <v>49.253187430982294</v>
      </c>
      <c r="Q16" s="456"/>
      <c r="R16" s="456">
        <f>('C1-Incomes'!JG18-'C1-Incomes'!JH18)/('C1-Incomes'!$R18-'C1-Incomes'!$S18)*100</f>
        <v>6.6412197542251166</v>
      </c>
      <c r="S16" s="456">
        <f>'C1-Incomes'!JH18/'C1-Incomes'!$S18*100</f>
        <v>13.915354222435846</v>
      </c>
      <c r="T16" s="456">
        <f>'C1-Incomes'!JI18/'C1-Incomes'!$T18*100</f>
        <v>15.277392064234597</v>
      </c>
      <c r="U16" s="456">
        <f>'C1-Incomes'!JJ18/'C1-Incomes'!$U18*100</f>
        <v>18.011655120863548</v>
      </c>
      <c r="V16" s="456">
        <f>'C1-Incomes'!JK18/'C1-Incomes'!$V18*100</f>
        <v>18.707655657099338</v>
      </c>
      <c r="W16" s="456">
        <f>'C1-Incomes'!JL18/'C1-Incomes'!$W18*100</f>
        <v>19.578237259242435</v>
      </c>
      <c r="X16" s="456">
        <f>'C1-Incomes'!JM18/'C1-Incomes'!$X18*100</f>
        <v>19.946559019560969</v>
      </c>
      <c r="Y16" s="458"/>
      <c r="Z16" s="456">
        <f>('C1-Incomes'!JO18-'C1-Incomes'!JP18)/('C1-Incomes'!$R18-'C1-Incomes'!$S18)*100</f>
        <v>0.82246848873049561</v>
      </c>
      <c r="AA16" s="456">
        <f>'C1-Incomes'!JP18/'C1-Incomes'!$S18*100</f>
        <v>1.6841780819791909</v>
      </c>
      <c r="AB16" s="456">
        <f>'C1-Incomes'!JQ18/'C1-Incomes'!$T18*100</f>
        <v>1.9140752035542177</v>
      </c>
      <c r="AC16" s="456">
        <f>'C1-Incomes'!JR18/'C1-Incomes'!$U18*100</f>
        <v>2.3116098337892255</v>
      </c>
      <c r="AD16" s="456">
        <f>'C1-Incomes'!JS18/'C1-Incomes'!$V18*100</f>
        <v>2.3698693565442954</v>
      </c>
      <c r="AE16" s="456">
        <f>'C1-Incomes'!JT18/'C1-Incomes'!$W18*100</f>
        <v>2.4711395388119226</v>
      </c>
      <c r="AF16" s="456">
        <f>'C1-Incomes'!JU18/'C1-Incomes'!$X18*100</f>
        <v>2.5332315692819005</v>
      </c>
      <c r="AG16" s="458"/>
      <c r="AH16" s="456">
        <f>('C1-Incomes'!JW18-'C1-Incomes'!JX18)/('C1-Incomes'!$R18-'C1-Incomes'!$S18)*100</f>
        <v>2.3070151969064372</v>
      </c>
      <c r="AI16" s="456">
        <f>'C1-Incomes'!JX18/'C1-Incomes'!$S18*100</f>
        <v>4.9504465169533409</v>
      </c>
      <c r="AJ16" s="456">
        <f>'C1-Incomes'!JY18/'C1-Incomes'!$T18*100</f>
        <v>5.9445509223607864</v>
      </c>
      <c r="AK16" s="456">
        <f>'C1-Incomes'!JZ18/'C1-Incomes'!$U18*100</f>
        <v>8.6464736320650388</v>
      </c>
      <c r="AL16" s="456">
        <f>'C1-Incomes'!KA18/'C1-Incomes'!$V18*100</f>
        <v>9.9255618144541966</v>
      </c>
      <c r="AM16" s="456">
        <f>'C1-Incomes'!KB18/'C1-Incomes'!$W18*100</f>
        <v>12.519875397462958</v>
      </c>
      <c r="AN16" s="456">
        <f>'C1-Incomes'!KC18/'C1-Incomes'!$X18*100</f>
        <v>14.648566003950203</v>
      </c>
      <c r="AO16" s="458"/>
      <c r="AP16" s="456">
        <f>('C1-Incomes'!KE18-'C1-Incomes'!KF18)/('C1-Incomes'!$R18-'C1-Incomes'!$S18)*100</f>
        <v>2.8149419773007369</v>
      </c>
      <c r="AQ16" s="456">
        <f>'C1-Incomes'!KF18/'C1-Incomes'!$S18*100</f>
        <v>5.550524230269815</v>
      </c>
      <c r="AR16" s="456">
        <f>'C1-Incomes'!KG18/'C1-Incomes'!$T18*100</f>
        <v>6.1359052208300735</v>
      </c>
      <c r="AS16" s="456">
        <f>'C1-Incomes'!KH18/'C1-Incomes'!$U18*100</f>
        <v>6.7692083273013113</v>
      </c>
      <c r="AT16" s="456">
        <f>'C1-Incomes'!KI18/'C1-Incomes'!$V18*100</f>
        <v>7.0682827245203832</v>
      </c>
      <c r="AU16" s="456">
        <f>'C1-Incomes'!KJ18/'C1-Incomes'!$W18*100</f>
        <v>7.8502103412442805</v>
      </c>
      <c r="AV16" s="456">
        <f>'C1-Incomes'!KK18/'C1-Incomes'!$X18*100</f>
        <v>8.5487050974925793</v>
      </c>
      <c r="AX16" s="456">
        <f>('C1-Incomes'!KM18-'C1-Incomes'!KN18)/('C1-Incomes'!$R18-'C1-Incomes'!$S18)*100</f>
        <v>5.3982025176342585</v>
      </c>
      <c r="AY16" s="456">
        <f>'C1-Incomes'!KN18/'C1-Incomes'!$S18*100</f>
        <v>2.3166754478756055</v>
      </c>
      <c r="AZ16" s="456">
        <f>'C1-Incomes'!KO18/'C1-Incomes'!$T18*100</f>
        <v>1.6159170473663018</v>
      </c>
      <c r="BA16" s="456">
        <f>'C1-Incomes'!KP18/'C1-Incomes'!$U18*100</f>
        <v>0.60883820098083852</v>
      </c>
      <c r="BB16" s="456">
        <f>'C1-Incomes'!KQ18/'C1-Incomes'!$V18*100</f>
        <v>0.40889553297972847</v>
      </c>
      <c r="BC16" s="456">
        <f>'C1-Incomes'!KR18/'C1-Incomes'!$W18*100</f>
        <v>0.17149909816768424</v>
      </c>
      <c r="BD16" s="456">
        <f>'C1-Incomes'!KS18/'C1-Incomes'!$X18*100</f>
        <v>4.8841057875273097E-2</v>
      </c>
      <c r="BE16" s="456"/>
      <c r="BF16" s="456">
        <f>('C1-Incomes'!LK18-'C1-Incomes'!LL18)/('C1-Incomes'!$R18-'C1-Incomes'!$S18)*100</f>
        <v>0.24351226434378109</v>
      </c>
      <c r="BG16" s="456">
        <f>'C1-Incomes'!LL18/'C1-Incomes'!$S18*100</f>
        <v>1.0097293316669009</v>
      </c>
      <c r="BH16" s="456">
        <f>'C1-Incomes'!LM18/'C1-Incomes'!$T18*100</f>
        <v>1.2375622284654126</v>
      </c>
      <c r="BI16" s="456">
        <f>'C1-Incomes'!LN18/'C1-Incomes'!$U18*100</f>
        <v>1.5985046479802361</v>
      </c>
      <c r="BJ16" s="456">
        <f>'C1-Incomes'!LO18/'C1-Incomes'!$V18*100</f>
        <v>1.6695850584694143</v>
      </c>
      <c r="BK16" s="456">
        <f>'C1-Incomes'!LP18/'C1-Incomes'!$W18*100</f>
        <v>1.9398568488712229</v>
      </c>
      <c r="BL16" s="456">
        <f>'C1-Incomes'!LQ18/'C1-Incomes'!$X18*100</f>
        <v>2.5680186138034635</v>
      </c>
      <c r="BN16" s="456">
        <f>('C1-Incomes'!KU18-'C1-Incomes'!KV18)/('C1-Incomes'!$R18-'C1-Incomes'!$S18)*100</f>
        <v>5.8224373502163109</v>
      </c>
      <c r="BO16" s="456">
        <f>'C1-Incomes'!KV18/'C1-Incomes'!$S18*100</f>
        <v>4.3138319155208666</v>
      </c>
      <c r="BP16" s="456">
        <f>'C1-Incomes'!KW18/'C1-Incomes'!$T18*100</f>
        <v>3.646648551123461</v>
      </c>
      <c r="BQ16" s="456">
        <f>'C1-Incomes'!KX18/'C1-Incomes'!$U18*100</f>
        <v>2.3520301612467978</v>
      </c>
      <c r="BR16" s="456">
        <f>'C1-Incomes'!KY18/'C1-Incomes'!$V18*100</f>
        <v>1.9733725234918762</v>
      </c>
      <c r="BS16" s="456">
        <f>'C1-Incomes'!KZ18/'C1-Incomes'!$W18*100</f>
        <v>1.3803401682669709</v>
      </c>
      <c r="BT16" s="456">
        <f>'C1-Incomes'!LA18/'C1-Incomes'!$X18*100</f>
        <v>1.0081071268931885</v>
      </c>
    </row>
    <row r="17" spans="1:72" s="452" customFormat="1" ht="12" x14ac:dyDescent="0.25">
      <c r="A17" s="239">
        <v>1971</v>
      </c>
      <c r="B17" s="456">
        <f t="shared" si="17"/>
        <v>23.386871325076712</v>
      </c>
      <c r="C17" s="456">
        <f t="shared" si="18"/>
        <v>32.845904790016732</v>
      </c>
      <c r="D17" s="456">
        <f t="shared" si="19"/>
        <v>34.674293771382374</v>
      </c>
      <c r="E17" s="456">
        <f t="shared" si="20"/>
        <v>38.620011554534862</v>
      </c>
      <c r="F17" s="456">
        <f t="shared" si="21"/>
        <v>40.023681560548411</v>
      </c>
      <c r="G17" s="456">
        <f t="shared" si="22"/>
        <v>43.41699140939793</v>
      </c>
      <c r="H17" s="456">
        <f t="shared" si="23"/>
        <v>47.156543414192143</v>
      </c>
      <c r="I17" s="456"/>
      <c r="J17" s="456">
        <f t="shared" si="24"/>
        <v>17.922079852544179</v>
      </c>
      <c r="K17" s="456">
        <f t="shared" si="25"/>
        <v>30.476648053456614</v>
      </c>
      <c r="L17" s="456">
        <f t="shared" si="26"/>
        <v>33.047303846688685</v>
      </c>
      <c r="M17" s="456">
        <f t="shared" si="27"/>
        <v>38.00893807565393</v>
      </c>
      <c r="N17" s="456">
        <f t="shared" si="28"/>
        <v>39.620417868572531</v>
      </c>
      <c r="O17" s="456">
        <f t="shared" si="29"/>
        <v>43.254338941328626</v>
      </c>
      <c r="P17" s="456">
        <f t="shared" si="30"/>
        <v>47.110164330262094</v>
      </c>
      <c r="Q17" s="456"/>
      <c r="R17" s="456">
        <f>('C1-Incomes'!JG19-'C1-Incomes'!JH19)/('C1-Incomes'!$R19-'C1-Incomes'!$S19)*100</f>
        <v>5.7571328033611353</v>
      </c>
      <c r="S17" s="456">
        <f>'C1-Incomes'!JH19/'C1-Incomes'!$S19*100</f>
        <v>12.567645419127851</v>
      </c>
      <c r="T17" s="456">
        <f>'C1-Incomes'!JI19/'C1-Incomes'!$T19*100</f>
        <v>13.811384955859477</v>
      </c>
      <c r="U17" s="456">
        <f>'C1-Incomes'!JJ19/'C1-Incomes'!$U19*100</f>
        <v>16.198344272613241</v>
      </c>
      <c r="V17" s="456">
        <f>'C1-Incomes'!JK19/'C1-Incomes'!$V19*100</f>
        <v>16.787868211886952</v>
      </c>
      <c r="W17" s="456">
        <f>'C1-Incomes'!JL19/'C1-Incomes'!$W19*100</f>
        <v>17.564606525770969</v>
      </c>
      <c r="X17" s="456">
        <f>'C1-Incomes'!JM19/'C1-Incomes'!$X19*100</f>
        <v>18.609876611675276</v>
      </c>
      <c r="Y17" s="458"/>
      <c r="Z17" s="456">
        <f>('C1-Incomes'!JO19-'C1-Incomes'!JP19)/('C1-Incomes'!$R19-'C1-Incomes'!$S19)*100</f>
        <v>0.86371159268003228</v>
      </c>
      <c r="AA17" s="456">
        <f>'C1-Incomes'!JP19/'C1-Incomes'!$S19*100</f>
        <v>1.7461530085868271</v>
      </c>
      <c r="AB17" s="456">
        <f>'C1-Incomes'!JQ19/'C1-Incomes'!$T19*100</f>
        <v>1.9745686992032176</v>
      </c>
      <c r="AC17" s="456">
        <f>'C1-Incomes'!JR19/'C1-Incomes'!$U19*100</f>
        <v>2.346742825437429</v>
      </c>
      <c r="AD17" s="456">
        <f>'C1-Incomes'!JS19/'C1-Incomes'!$V19*100</f>
        <v>2.388801006428662</v>
      </c>
      <c r="AE17" s="456">
        <f>'C1-Incomes'!JT19/'C1-Incomes'!$W19*100</f>
        <v>2.4352742240506737</v>
      </c>
      <c r="AF17" s="456">
        <f>'C1-Incomes'!JU19/'C1-Incomes'!$X19*100</f>
        <v>2.5125370140772838</v>
      </c>
      <c r="AG17" s="458"/>
      <c r="AH17" s="456">
        <f>('C1-Incomes'!JW19-'C1-Incomes'!JX19)/('C1-Incomes'!$R19-'C1-Incomes'!$S19)*100</f>
        <v>2.2967535511969084</v>
      </c>
      <c r="AI17" s="456">
        <f>'C1-Incomes'!JX19/'C1-Incomes'!$S19*100</f>
        <v>5.163829108832271</v>
      </c>
      <c r="AJ17" s="456">
        <f>'C1-Incomes'!JY19/'C1-Incomes'!$T19*100</f>
        <v>6.1850879587399001</v>
      </c>
      <c r="AK17" s="456">
        <f>'C1-Incomes'!JZ19/'C1-Incomes'!$U19*100</f>
        <v>8.8918182197491866</v>
      </c>
      <c r="AL17" s="456">
        <f>'C1-Incomes'!KA19/'C1-Incomes'!$V19*100</f>
        <v>9.9997571492775901</v>
      </c>
      <c r="AM17" s="456">
        <f>'C1-Incomes'!KB19/'C1-Incomes'!$W19*100</f>
        <v>12.492389480835527</v>
      </c>
      <c r="AN17" s="456">
        <f>'C1-Incomes'!KC19/'C1-Incomes'!$X19*100</f>
        <v>14.329413983585267</v>
      </c>
      <c r="AO17" s="458"/>
      <c r="AP17" s="456">
        <f>('C1-Incomes'!KE19-'C1-Incomes'!KF19)/('C1-Incomes'!$R19-'C1-Incomes'!$S19)*100</f>
        <v>2.8607668375937236</v>
      </c>
      <c r="AQ17" s="456">
        <f>'C1-Incomes'!KF19/'C1-Incomes'!$S19*100</f>
        <v>5.5550863573812563</v>
      </c>
      <c r="AR17" s="456">
        <f>'C1-Incomes'!KG19/'C1-Incomes'!$T19*100</f>
        <v>6.0858042345900483</v>
      </c>
      <c r="AS17" s="456">
        <f>'C1-Incomes'!KH19/'C1-Incomes'!$U19*100</f>
        <v>6.5439769427536074</v>
      </c>
      <c r="AT17" s="456">
        <f>'C1-Incomes'!KI19/'C1-Incomes'!$V19*100</f>
        <v>6.7465622386094655</v>
      </c>
      <c r="AU17" s="456">
        <f>'C1-Incomes'!KJ19/'C1-Incomes'!$W19*100</f>
        <v>7.4118344913555996</v>
      </c>
      <c r="AV17" s="456">
        <f>'C1-Incomes'!KK19/'C1-Incomes'!$X19*100</f>
        <v>8.0774079534740508</v>
      </c>
      <c r="AX17" s="456">
        <f>('C1-Incomes'!KM19-'C1-Incomes'!KN19)/('C1-Incomes'!$R19-'C1-Incomes'!$S19)*100</f>
        <v>5.4647914725325339</v>
      </c>
      <c r="AY17" s="456">
        <f>'C1-Incomes'!KN19/'C1-Incomes'!$S19*100</f>
        <v>2.3692567365601152</v>
      </c>
      <c r="AZ17" s="456">
        <f>'C1-Incomes'!KO19/'C1-Incomes'!$T19*100</f>
        <v>1.6269899246936927</v>
      </c>
      <c r="BA17" s="456">
        <f>'C1-Incomes'!KP19/'C1-Incomes'!$U19*100</f>
        <v>0.61107347888093311</v>
      </c>
      <c r="BB17" s="456">
        <f>'C1-Incomes'!KQ19/'C1-Incomes'!$V19*100</f>
        <v>0.40326369197588274</v>
      </c>
      <c r="BC17" s="456">
        <f>'C1-Incomes'!KR19/'C1-Incomes'!$W19*100</f>
        <v>0.16265246806930356</v>
      </c>
      <c r="BD17" s="456">
        <f>'C1-Incomes'!KS19/'C1-Incomes'!$X19*100</f>
        <v>4.6379083930047138E-2</v>
      </c>
      <c r="BE17" s="456"/>
      <c r="BF17" s="456">
        <f>('C1-Incomes'!LK19-'C1-Incomes'!LL19)/('C1-Incomes'!$R19-'C1-Incomes'!$S19)*100</f>
        <v>0.27335631243172764</v>
      </c>
      <c r="BG17" s="456">
        <f>'C1-Incomes'!LL19/'C1-Incomes'!$S19*100</f>
        <v>1.112889542333896</v>
      </c>
      <c r="BH17" s="456">
        <f>'C1-Incomes'!LM19/'C1-Incomes'!$T19*100</f>
        <v>1.3585060501780388</v>
      </c>
      <c r="BI17" s="456">
        <f>'C1-Incomes'!LN19/'C1-Incomes'!$U19*100</f>
        <v>1.7275763829926745</v>
      </c>
      <c r="BJ17" s="456">
        <f>'C1-Incomes'!LO19/'C1-Incomes'!$V19*100</f>
        <v>1.7945823295889722</v>
      </c>
      <c r="BK17" s="456">
        <f>'C1-Incomes'!LP19/'C1-Incomes'!$W19*100</f>
        <v>2.0470987662332201</v>
      </c>
      <c r="BL17" s="456">
        <f>'C1-Incomes'!LQ19/'C1-Incomes'!$X19*100</f>
        <v>2.6715560283709037</v>
      </c>
      <c r="BN17" s="456">
        <f>('C1-Incomes'!KU19-'C1-Incomes'!KV19)/('C1-Incomes'!$R19-'C1-Incomes'!$S19)*100</f>
        <v>5.8703587552806527</v>
      </c>
      <c r="BO17" s="456">
        <f>'C1-Incomes'!KV19/'C1-Incomes'!$S19*100</f>
        <v>4.3310446171945154</v>
      </c>
      <c r="BP17" s="456">
        <f>'C1-Incomes'!KW19/'C1-Incomes'!$T19*100</f>
        <v>3.631951948118004</v>
      </c>
      <c r="BQ17" s="456">
        <f>'C1-Incomes'!KX19/'C1-Incomes'!$U19*100</f>
        <v>2.3004794321077893</v>
      </c>
      <c r="BR17" s="456">
        <f>'C1-Incomes'!KY19/'C1-Incomes'!$V19*100</f>
        <v>1.9028469327808994</v>
      </c>
      <c r="BS17" s="456">
        <f>'C1-Incomes'!KZ19/'C1-Incomes'!$W19*100</f>
        <v>1.3031354530826416</v>
      </c>
      <c r="BT17" s="456">
        <f>'C1-Incomes'!LA19/'C1-Incomes'!$X19*100</f>
        <v>0.9093727390793146</v>
      </c>
    </row>
    <row r="18" spans="1:72" s="452" customFormat="1" ht="12" x14ac:dyDescent="0.25">
      <c r="A18" s="239">
        <v>1972</v>
      </c>
      <c r="B18" s="456">
        <f t="shared" si="17"/>
        <v>24.199779734385043</v>
      </c>
      <c r="C18" s="456">
        <f t="shared" si="18"/>
        <v>33.916855553505378</v>
      </c>
      <c r="D18" s="456">
        <f t="shared" si="19"/>
        <v>35.804670712928775</v>
      </c>
      <c r="E18" s="456">
        <f t="shared" si="20"/>
        <v>39.811081026828077</v>
      </c>
      <c r="F18" s="456">
        <f t="shared" si="21"/>
        <v>41.234640405581565</v>
      </c>
      <c r="G18" s="456">
        <f t="shared" si="22"/>
        <v>44.259109796114871</v>
      </c>
      <c r="H18" s="456">
        <f t="shared" si="23"/>
        <v>47.708084792608282</v>
      </c>
      <c r="I18" s="456"/>
      <c r="J18" s="456">
        <f t="shared" si="24"/>
        <v>18.448006881920385</v>
      </c>
      <c r="K18" s="456">
        <f t="shared" si="25"/>
        <v>31.479320389236875</v>
      </c>
      <c r="L18" s="456">
        <f t="shared" si="26"/>
        <v>34.127975070205345</v>
      </c>
      <c r="M18" s="456">
        <f t="shared" si="27"/>
        <v>39.21798077944122</v>
      </c>
      <c r="N18" s="456">
        <f t="shared" si="28"/>
        <v>40.834635115789844</v>
      </c>
      <c r="O18" s="456">
        <f t="shared" si="29"/>
        <v>44.098225003178442</v>
      </c>
      <c r="P18" s="456">
        <f t="shared" si="30"/>
        <v>47.661096217143069</v>
      </c>
      <c r="Q18" s="456"/>
      <c r="R18" s="456">
        <f>('C1-Incomes'!JG20-'C1-Incomes'!JH20)/('C1-Incomes'!$R20-'C1-Incomes'!$S20)*100</f>
        <v>6.1908534651319167</v>
      </c>
      <c r="S18" s="456">
        <f>'C1-Incomes'!JH20/'C1-Incomes'!$S20*100</f>
        <v>13.741737376208066</v>
      </c>
      <c r="T18" s="456">
        <f>'C1-Incomes'!JI20/'C1-Incomes'!$T20*100</f>
        <v>15.030956019346231</v>
      </c>
      <c r="U18" s="456">
        <f>'C1-Incomes'!JJ20/'C1-Incomes'!$U20*100</f>
        <v>17.283660672052449</v>
      </c>
      <c r="V18" s="456">
        <f>'C1-Incomes'!JK20/'C1-Incomes'!$V20*100</f>
        <v>17.733434021277173</v>
      </c>
      <c r="W18" s="456">
        <f>'C1-Incomes'!JL20/'C1-Incomes'!$W20*100</f>
        <v>18.288097489122084</v>
      </c>
      <c r="X18" s="456">
        <f>'C1-Incomes'!JM20/'C1-Incomes'!$X20*100</f>
        <v>19.444900573096398</v>
      </c>
      <c r="Y18" s="458"/>
      <c r="Z18" s="456">
        <f>('C1-Incomes'!JO20-'C1-Incomes'!JP20)/('C1-Incomes'!$R20-'C1-Incomes'!$S20)*100</f>
        <v>1.1214869498315929</v>
      </c>
      <c r="AA18" s="456">
        <f>'C1-Incomes'!JP20/'C1-Incomes'!$S20*100</f>
        <v>2.0915320125325181</v>
      </c>
      <c r="AB18" s="456">
        <f>'C1-Incomes'!JQ20/'C1-Incomes'!$T20*100</f>
        <v>2.2997935632698709</v>
      </c>
      <c r="AC18" s="456">
        <f>'C1-Incomes'!JR20/'C1-Incomes'!$U20*100</f>
        <v>2.5999614742266139</v>
      </c>
      <c r="AD18" s="456">
        <f>'C1-Incomes'!JS20/'C1-Incomes'!$V20*100</f>
        <v>2.6548172194173318</v>
      </c>
      <c r="AE18" s="456">
        <f>'C1-Incomes'!JT20/'C1-Incomes'!$W20*100</f>
        <v>2.7265638328723516</v>
      </c>
      <c r="AF18" s="456">
        <f>'C1-Incomes'!JU20/'C1-Incomes'!$X20*100</f>
        <v>2.7487015315775682</v>
      </c>
      <c r="AG18" s="458"/>
      <c r="AH18" s="456">
        <f>('C1-Incomes'!JW20-'C1-Incomes'!JX20)/('C1-Incomes'!$R20-'C1-Incomes'!$S20)*100</f>
        <v>2.3279996093452366</v>
      </c>
      <c r="AI18" s="456">
        <f>'C1-Incomes'!JX20/'C1-Incomes'!$S20*100</f>
        <v>5.2726593430749906</v>
      </c>
      <c r="AJ18" s="456">
        <f>'C1-Incomes'!JY20/'C1-Incomes'!$T20*100</f>
        <v>6.3487180457735661</v>
      </c>
      <c r="AK18" s="456">
        <f>'C1-Incomes'!JZ20/'C1-Incomes'!$U20*100</f>
        <v>8.9978854900339691</v>
      </c>
      <c r="AL18" s="456">
        <f>'C1-Incomes'!KA20/'C1-Incomes'!$V20*100</f>
        <v>10.127156579522095</v>
      </c>
      <c r="AM18" s="456">
        <f>'C1-Incomes'!KB20/'C1-Incomes'!$W20*100</f>
        <v>12.443465015484058</v>
      </c>
      <c r="AN18" s="456">
        <f>'C1-Incomes'!KC20/'C1-Incomes'!$X20*100</f>
        <v>14.161476453998576</v>
      </c>
      <c r="AO18" s="458"/>
      <c r="AP18" s="456">
        <f>('C1-Incomes'!KE20-'C1-Incomes'!KF20)/('C1-Incomes'!$R20-'C1-Incomes'!$S20)*100</f>
        <v>2.8646065648528798</v>
      </c>
      <c r="AQ18" s="456">
        <f>'C1-Incomes'!KF20/'C1-Incomes'!$S20*100</f>
        <v>5.1516131697236602</v>
      </c>
      <c r="AR18" s="456">
        <f>'C1-Incomes'!KG20/'C1-Incomes'!$T20*100</f>
        <v>5.6722052865468742</v>
      </c>
      <c r="AS18" s="456">
        <f>'C1-Incomes'!KH20/'C1-Incomes'!$U20*100</f>
        <v>6.5119023709433783</v>
      </c>
      <c r="AT18" s="456">
        <f>'C1-Incomes'!KI20/'C1-Incomes'!$V20*100</f>
        <v>6.7759113113172775</v>
      </c>
      <c r="AU18" s="456">
        <f>'C1-Incomes'!KJ20/'C1-Incomes'!$W20*100</f>
        <v>7.3873012949893564</v>
      </c>
      <c r="AV18" s="456">
        <f>'C1-Incomes'!KK20/'C1-Incomes'!$X20*100</f>
        <v>7.7546381516323741</v>
      </c>
      <c r="AX18" s="456">
        <f>('C1-Incomes'!KM20-'C1-Incomes'!KN20)/('C1-Incomes'!$R20-'C1-Incomes'!$S20)*100</f>
        <v>5.7517728524646579</v>
      </c>
      <c r="AY18" s="456">
        <f>'C1-Incomes'!KN20/'C1-Incomes'!$S20*100</f>
        <v>2.437535164268505</v>
      </c>
      <c r="AZ18" s="456">
        <f>'C1-Incomes'!KO20/'C1-Incomes'!$T20*100</f>
        <v>1.676695642723429</v>
      </c>
      <c r="BA18" s="456">
        <f>'C1-Incomes'!KP20/'C1-Incomes'!$U20*100</f>
        <v>0.59310024738686096</v>
      </c>
      <c r="BB18" s="456">
        <f>'C1-Incomes'!KQ20/'C1-Incomes'!$V20*100</f>
        <v>0.4000052897917189</v>
      </c>
      <c r="BC18" s="456">
        <f>'C1-Incomes'!KR20/'C1-Incomes'!$W20*100</f>
        <v>0.1608847929364278</v>
      </c>
      <c r="BD18" s="456">
        <f>'C1-Incomes'!KS20/'C1-Incomes'!$X20*100</f>
        <v>4.6988575465213914E-2</v>
      </c>
      <c r="BE18" s="456"/>
      <c r="BF18" s="456">
        <f>('C1-Incomes'!LK20-'C1-Incomes'!LL20)/('C1-Incomes'!$R20-'C1-Incomes'!$S20)*100</f>
        <v>0.29930570986033811</v>
      </c>
      <c r="BG18" s="456">
        <f>'C1-Incomes'!LL20/'C1-Incomes'!$S20*100</f>
        <v>1.1624004574112592</v>
      </c>
      <c r="BH18" s="456">
        <f>'C1-Incomes'!LM20/'C1-Incomes'!$T20*100</f>
        <v>1.4062822461959561</v>
      </c>
      <c r="BI18" s="456">
        <f>'C1-Incomes'!LN20/'C1-Incomes'!$U20*100</f>
        <v>1.7747842417986739</v>
      </c>
      <c r="BJ18" s="456">
        <f>'C1-Incomes'!LO20/'C1-Incomes'!$V20*100</f>
        <v>1.8385204769925139</v>
      </c>
      <c r="BK18" s="456">
        <f>'C1-Incomes'!LP20/'C1-Incomes'!$W20*100</f>
        <v>2.0834058957368393</v>
      </c>
      <c r="BL18" s="456">
        <f>'C1-Incomes'!LQ20/'C1-Incomes'!$X20*100</f>
        <v>2.7040111737523773</v>
      </c>
      <c r="BN18" s="456">
        <f>('C1-Incomes'!KU20-'C1-Incomes'!KV20)/('C1-Incomes'!$R20-'C1-Incomes'!$S20)*100</f>
        <v>5.6437545828984232</v>
      </c>
      <c r="BO18" s="456">
        <f>'C1-Incomes'!KV20/'C1-Incomes'!$S20*100</f>
        <v>4.0593780302863802</v>
      </c>
      <c r="BP18" s="456">
        <f>'C1-Incomes'!KW20/'C1-Incomes'!$T20*100</f>
        <v>3.3700199090728451</v>
      </c>
      <c r="BQ18" s="456">
        <f>'C1-Incomes'!KX20/'C1-Incomes'!$U20*100</f>
        <v>2.0497865303861378</v>
      </c>
      <c r="BR18" s="456">
        <f>'C1-Incomes'!KY20/'C1-Incomes'!$V20*100</f>
        <v>1.7047955072634513</v>
      </c>
      <c r="BS18" s="456">
        <f>'C1-Incomes'!KZ20/'C1-Incomes'!$W20*100</f>
        <v>1.1693914749737575</v>
      </c>
      <c r="BT18" s="456">
        <f>'C1-Incomes'!LA20/'C1-Incomes'!$X20*100</f>
        <v>0.84736833308578141</v>
      </c>
    </row>
    <row r="19" spans="1:72" s="452" customFormat="1" ht="12" x14ac:dyDescent="0.25">
      <c r="A19" s="239">
        <v>1973</v>
      </c>
      <c r="B19" s="456">
        <f t="shared" si="17"/>
        <v>24.945682459431968</v>
      </c>
      <c r="C19" s="456">
        <f t="shared" si="18"/>
        <v>32.861854325164728</v>
      </c>
      <c r="D19" s="456">
        <f t="shared" si="19"/>
        <v>34.078712484653096</v>
      </c>
      <c r="E19" s="456">
        <f t="shared" si="20"/>
        <v>36.42602712290519</v>
      </c>
      <c r="F19" s="456">
        <f t="shared" si="21"/>
        <v>37.140955893161042</v>
      </c>
      <c r="G19" s="456">
        <f t="shared" si="22"/>
        <v>39.138068388846875</v>
      </c>
      <c r="H19" s="456">
        <f t="shared" si="23"/>
        <v>40.863907474263165</v>
      </c>
      <c r="I19" s="456"/>
      <c r="J19" s="456">
        <f t="shared" si="24"/>
        <v>18.450471677452004</v>
      </c>
      <c r="K19" s="456">
        <f t="shared" si="25"/>
        <v>29.953764272845604</v>
      </c>
      <c r="L19" s="456">
        <f t="shared" si="26"/>
        <v>32.09135308122142</v>
      </c>
      <c r="M19" s="456">
        <f t="shared" si="27"/>
        <v>35.707234262512166</v>
      </c>
      <c r="N19" s="456">
        <f t="shared" si="28"/>
        <v>36.643197485086866</v>
      </c>
      <c r="O19" s="456">
        <f t="shared" si="29"/>
        <v>38.928144749594772</v>
      </c>
      <c r="P19" s="456">
        <f t="shared" si="30"/>
        <v>40.803131835263905</v>
      </c>
      <c r="Q19" s="456"/>
      <c r="R19" s="456">
        <f>('C1-Incomes'!JG21-'C1-Incomes'!JH21)/('C1-Incomes'!$R21-'C1-Incomes'!$S21)*100</f>
        <v>6.0055082529909249</v>
      </c>
      <c r="S19" s="456">
        <f>'C1-Incomes'!JH21/'C1-Incomes'!$S21*100</f>
        <v>12.838815419676502</v>
      </c>
      <c r="T19" s="456">
        <f>'C1-Incomes'!JI21/'C1-Incomes'!$T21*100</f>
        <v>13.909528431119236</v>
      </c>
      <c r="U19" s="456">
        <f>'C1-Incomes'!JJ21/'C1-Incomes'!$U21*100</f>
        <v>15.470084649185409</v>
      </c>
      <c r="V19" s="456">
        <f>'C1-Incomes'!JK21/'C1-Incomes'!$V21*100</f>
        <v>15.679008708002435</v>
      </c>
      <c r="W19" s="456">
        <f>'C1-Incomes'!JL21/'C1-Incomes'!$W21*100</f>
        <v>16.093511351874788</v>
      </c>
      <c r="X19" s="456">
        <f>'C1-Incomes'!JM21/'C1-Incomes'!$X21*100</f>
        <v>16.228240831626508</v>
      </c>
      <c r="Y19" s="458"/>
      <c r="Z19" s="456">
        <f>('C1-Incomes'!JO21-'C1-Incomes'!JP21)/('C1-Incomes'!$R21-'C1-Incomes'!$S21)*100</f>
        <v>1.0822150768374867</v>
      </c>
      <c r="AA19" s="456">
        <f>'C1-Incomes'!JP21/'C1-Incomes'!$S21*100</f>
        <v>2.0867045740150014</v>
      </c>
      <c r="AB19" s="456">
        <f>'C1-Incomes'!JQ21/'C1-Incomes'!$T21*100</f>
        <v>2.2858977107318315</v>
      </c>
      <c r="AC19" s="456">
        <f>'C1-Incomes'!JR21/'C1-Incomes'!$U21*100</f>
        <v>2.5796683812840038</v>
      </c>
      <c r="AD19" s="456">
        <f>'C1-Incomes'!JS21/'C1-Incomes'!$V21*100</f>
        <v>2.5741733030567735</v>
      </c>
      <c r="AE19" s="456">
        <f>'C1-Incomes'!JT21/'C1-Incomes'!$W21*100</f>
        <v>2.5863556728362114</v>
      </c>
      <c r="AF19" s="456">
        <f>'C1-Incomes'!JU21/'C1-Incomes'!$X21*100</f>
        <v>2.4243369247295137</v>
      </c>
      <c r="AG19" s="458"/>
      <c r="AH19" s="456">
        <f>('C1-Incomes'!JW21-'C1-Incomes'!JX21)/('C1-Incomes'!$R21-'C1-Incomes'!$S21)*100</f>
        <v>2.5996830766030565</v>
      </c>
      <c r="AI19" s="456">
        <f>'C1-Incomes'!JX21/'C1-Incomes'!$S21*100</f>
        <v>5.0903168597114332</v>
      </c>
      <c r="AJ19" s="456">
        <f>'C1-Incomes'!JY21/'C1-Incomes'!$T21*100</f>
        <v>6.0248277513155024</v>
      </c>
      <c r="AK19" s="456">
        <f>'C1-Incomes'!JZ21/'C1-Incomes'!$U21*100</f>
        <v>8.3309784458265987</v>
      </c>
      <c r="AL19" s="456">
        <f>'C1-Incomes'!KA21/'C1-Incomes'!$V21*100</f>
        <v>9.2359752781527042</v>
      </c>
      <c r="AM19" s="456">
        <f>'C1-Incomes'!KB21/'C1-Incomes'!$W21*100</f>
        <v>11.157106795872947</v>
      </c>
      <c r="AN19" s="456">
        <f>'C1-Incomes'!KC21/'C1-Incomes'!$X21*100</f>
        <v>12.704457686352264</v>
      </c>
      <c r="AO19" s="458"/>
      <c r="AP19" s="456">
        <f>('C1-Incomes'!KE21-'C1-Incomes'!KF21)/('C1-Incomes'!$R21-'C1-Incomes'!$S21)*100</f>
        <v>2.8088903701551171</v>
      </c>
      <c r="AQ19" s="456">
        <f>'C1-Incomes'!KF21/'C1-Incomes'!$S21*100</f>
        <v>4.7777550131978499</v>
      </c>
      <c r="AR19" s="456">
        <f>'C1-Incomes'!KG21/'C1-Incomes'!$T21*100</f>
        <v>5.1949415353125712</v>
      </c>
      <c r="AS19" s="456">
        <f>'C1-Incomes'!KH21/'C1-Incomes'!$U21*100</f>
        <v>5.635390743518542</v>
      </c>
      <c r="AT19" s="456">
        <f>'C1-Incomes'!KI21/'C1-Incomes'!$V21*100</f>
        <v>5.7445547677792979</v>
      </c>
      <c r="AU19" s="456">
        <f>'C1-Incomes'!KJ21/'C1-Incomes'!$W21*100</f>
        <v>5.9303569813614816</v>
      </c>
      <c r="AV19" s="456">
        <f>'C1-Incomes'!KK21/'C1-Incomes'!$X21*100</f>
        <v>6.0754740981310213</v>
      </c>
      <c r="AX19" s="456">
        <f>('C1-Incomes'!KM21-'C1-Incomes'!KN21)/('C1-Incomes'!$R21-'C1-Incomes'!$S21)*100</f>
        <v>6.4952107819799636</v>
      </c>
      <c r="AY19" s="456">
        <f>'C1-Incomes'!KN21/'C1-Incomes'!$S21*100</f>
        <v>2.9080900523191278</v>
      </c>
      <c r="AZ19" s="456">
        <f>'C1-Incomes'!KO21/'C1-Incomes'!$T21*100</f>
        <v>1.9873594034316748</v>
      </c>
      <c r="BA19" s="456">
        <f>'C1-Incomes'!KP21/'C1-Incomes'!$U21*100</f>
        <v>0.71879286039302148</v>
      </c>
      <c r="BB19" s="456">
        <f>'C1-Incomes'!KQ21/'C1-Incomes'!$V21*100</f>
        <v>0.49775840807417349</v>
      </c>
      <c r="BC19" s="456">
        <f>'C1-Incomes'!KR21/'C1-Incomes'!$W21*100</f>
        <v>0.20992363925210322</v>
      </c>
      <c r="BD19" s="456">
        <f>'C1-Incomes'!KS21/'C1-Incomes'!$X21*100</f>
        <v>6.0775638999259009E-2</v>
      </c>
      <c r="BE19" s="456"/>
      <c r="BF19" s="456">
        <f>('C1-Incomes'!LK21-'C1-Incomes'!LL21)/('C1-Incomes'!$R21-'C1-Incomes'!$S21)*100</f>
        <v>0.25763831279728</v>
      </c>
      <c r="BG19" s="456">
        <f>'C1-Incomes'!LL21/'C1-Incomes'!$S21*100</f>
        <v>1.0135021689982919</v>
      </c>
      <c r="BH19" s="456">
        <f>'C1-Incomes'!LM21/'C1-Incomes'!$T21*100</f>
        <v>1.2235254661653245</v>
      </c>
      <c r="BI19" s="456">
        <f>'C1-Incomes'!LN21/'C1-Incomes'!$U21*100</f>
        <v>1.5293676157483198</v>
      </c>
      <c r="BJ19" s="456">
        <f>'C1-Incomes'!LO21/'C1-Incomes'!$V21*100</f>
        <v>1.5917433700048309</v>
      </c>
      <c r="BK19" s="456">
        <f>'C1-Incomes'!LP21/'C1-Incomes'!$W21*100</f>
        <v>1.8549058693644003</v>
      </c>
      <c r="BL19" s="456">
        <f>'C1-Incomes'!LQ21/'C1-Incomes'!$X21*100</f>
        <v>2.3832876258538138</v>
      </c>
      <c r="BN19" s="456">
        <f>('C1-Incomes'!KU21-'C1-Incomes'!KV21)/('C1-Incomes'!$R21-'C1-Incomes'!$S21)*100</f>
        <v>5.69653658806814</v>
      </c>
      <c r="BO19" s="456">
        <f>'C1-Incomes'!KV21/'C1-Incomes'!$S21*100</f>
        <v>4.1466702372465196</v>
      </c>
      <c r="BP19" s="456">
        <f>'C1-Incomes'!KW21/'C1-Incomes'!$T21*100</f>
        <v>3.452632186576948</v>
      </c>
      <c r="BQ19" s="456">
        <f>'C1-Incomes'!KX21/'C1-Incomes'!$U21*100</f>
        <v>2.1617444269492929</v>
      </c>
      <c r="BR19" s="456">
        <f>'C1-Incomes'!KY21/'C1-Incomes'!$V21*100</f>
        <v>1.8177420580908277</v>
      </c>
      <c r="BS19" s="456">
        <f>'C1-Incomes'!KZ21/'C1-Incomes'!$W21*100</f>
        <v>1.3059080782849353</v>
      </c>
      <c r="BT19" s="456">
        <f>'C1-Incomes'!LA21/'C1-Incomes'!$X21*100</f>
        <v>0.98733466857078533</v>
      </c>
    </row>
    <row r="20" spans="1:72" s="452" customFormat="1" ht="12" x14ac:dyDescent="0.25">
      <c r="A20" s="239">
        <v>1974</v>
      </c>
      <c r="B20" s="456">
        <f t="shared" si="17"/>
        <v>25.691923627275866</v>
      </c>
      <c r="C20" s="456">
        <f t="shared" si="18"/>
        <v>33.160410719519881</v>
      </c>
      <c r="D20" s="456">
        <f t="shared" si="19"/>
        <v>34.287818273169272</v>
      </c>
      <c r="E20" s="456">
        <f t="shared" si="20"/>
        <v>36.491524377956999</v>
      </c>
      <c r="F20" s="456">
        <f t="shared" si="21"/>
        <v>37.251254941076006</v>
      </c>
      <c r="G20" s="456">
        <f t="shared" si="22"/>
        <v>39.094616184829896</v>
      </c>
      <c r="H20" s="456">
        <f t="shared" si="23"/>
        <v>40.510406719602905</v>
      </c>
      <c r="I20" s="456"/>
      <c r="J20" s="456">
        <f t="shared" si="24"/>
        <v>19.043055504407047</v>
      </c>
      <c r="K20" s="456">
        <f t="shared" si="25"/>
        <v>29.898960613995047</v>
      </c>
      <c r="L20" s="456">
        <f t="shared" si="26"/>
        <v>32.001066055119914</v>
      </c>
      <c r="M20" s="456">
        <f t="shared" si="27"/>
        <v>35.630990404386047</v>
      </c>
      <c r="N20" s="456">
        <f t="shared" si="28"/>
        <v>36.662754699076629</v>
      </c>
      <c r="O20" s="456">
        <f t="shared" si="29"/>
        <v>38.831475804883702</v>
      </c>
      <c r="P20" s="456">
        <f t="shared" si="30"/>
        <v>40.436009501644946</v>
      </c>
      <c r="Q20" s="456"/>
      <c r="R20" s="456">
        <f>('C1-Incomes'!JG22-'C1-Incomes'!JH22)/('C1-Incomes'!$R22-'C1-Incomes'!$S22)*100</f>
        <v>6.4109990825008607</v>
      </c>
      <c r="S20" s="456">
        <f>'C1-Incomes'!JH22/'C1-Incomes'!$S22*100</f>
        <v>13.700737897271665</v>
      </c>
      <c r="T20" s="456">
        <f>'C1-Incomes'!JI22/'C1-Incomes'!$T22*100</f>
        <v>15.032715027012927</v>
      </c>
      <c r="U20" s="456">
        <f>'C1-Incomes'!JJ22/'C1-Incomes'!$U22*100</f>
        <v>17.461403624635174</v>
      </c>
      <c r="V20" s="456">
        <f>'C1-Incomes'!JK22/'C1-Incomes'!$V22*100</f>
        <v>18.072452968565418</v>
      </c>
      <c r="W20" s="456">
        <f>'C1-Incomes'!JL22/'C1-Incomes'!$W22*100</f>
        <v>18.929243541409331</v>
      </c>
      <c r="X20" s="456">
        <f>'C1-Incomes'!JM22/'C1-Incomes'!$X22*100</f>
        <v>18.883330162789743</v>
      </c>
      <c r="Y20" s="458"/>
      <c r="Z20" s="456">
        <f>('C1-Incomes'!JO22-'C1-Incomes'!JP22)/('C1-Incomes'!$R22-'C1-Incomes'!$S22)*100</f>
        <v>1.0820415732400712</v>
      </c>
      <c r="AA20" s="456">
        <f>'C1-Incomes'!JP22/'C1-Incomes'!$S22*100</f>
        <v>2.0779250334516006</v>
      </c>
      <c r="AB20" s="456">
        <f>'C1-Incomes'!JQ22/'C1-Incomes'!$T22*100</f>
        <v>2.2719883692511038</v>
      </c>
      <c r="AC20" s="456">
        <f>'C1-Incomes'!JR22/'C1-Incomes'!$U22*100</f>
        <v>2.5343469182941676</v>
      </c>
      <c r="AD20" s="456">
        <f>'C1-Incomes'!JS22/'C1-Incomes'!$V22*100</f>
        <v>2.5408075423013865</v>
      </c>
      <c r="AE20" s="456">
        <f>'C1-Incomes'!JT22/'C1-Incomes'!$W22*100</f>
        <v>2.5330621408464746</v>
      </c>
      <c r="AF20" s="456">
        <f>'C1-Incomes'!JU22/'C1-Incomes'!$X22*100</f>
        <v>2.4446405970616469</v>
      </c>
      <c r="AG20" s="458"/>
      <c r="AH20" s="456">
        <f>('C1-Incomes'!JW22-'C1-Incomes'!JX22)/('C1-Incomes'!$R22-'C1-Incomes'!$S22)*100</f>
        <v>2.7188862334272303</v>
      </c>
      <c r="AI20" s="456">
        <f>'C1-Incomes'!JX22/'C1-Incomes'!$S22*100</f>
        <v>4.3308104643639167</v>
      </c>
      <c r="AJ20" s="456">
        <f>'C1-Incomes'!JY22/'C1-Incomes'!$T22*100</f>
        <v>4.9419069046674746</v>
      </c>
      <c r="AK20" s="456">
        <f>'C1-Incomes'!JZ22/'C1-Incomes'!$U22*100</f>
        <v>6.3916876553542012</v>
      </c>
      <c r="AL20" s="456">
        <f>'C1-Incomes'!KA22/'C1-Incomes'!$V22*100</f>
        <v>7.0921192796605563</v>
      </c>
      <c r="AM20" s="456">
        <f>'C1-Incomes'!KB22/'C1-Incomes'!$W22*100</f>
        <v>8.5918030996861781</v>
      </c>
      <c r="AN20" s="456">
        <f>'C1-Incomes'!KC22/'C1-Incomes'!$X22*100</f>
        <v>10.07586520291024</v>
      </c>
      <c r="AO20" s="458"/>
      <c r="AP20" s="456">
        <f>('C1-Incomes'!KE22-'C1-Incomes'!KF22)/('C1-Incomes'!$R22-'C1-Incomes'!$S22)*100</f>
        <v>2.7941805149258472</v>
      </c>
      <c r="AQ20" s="456">
        <f>'C1-Incomes'!KF22/'C1-Incomes'!$S22*100</f>
        <v>4.5504594864671208</v>
      </c>
      <c r="AR20" s="456">
        <f>'C1-Incomes'!KG22/'C1-Incomes'!$T22*100</f>
        <v>4.9641034176203958</v>
      </c>
      <c r="AS20" s="456">
        <f>'C1-Incomes'!KH22/'C1-Incomes'!$U22*100</f>
        <v>5.3829703652964573</v>
      </c>
      <c r="AT20" s="456">
        <f>'C1-Incomes'!KI22/'C1-Incomes'!$V22*100</f>
        <v>5.3790352419139538</v>
      </c>
      <c r="AU20" s="456">
        <f>'C1-Incomes'!KJ22/'C1-Incomes'!$W22*100</f>
        <v>5.4167534121029659</v>
      </c>
      <c r="AV20" s="456">
        <f>'C1-Incomes'!KK22/'C1-Incomes'!$X22*100</f>
        <v>5.454560217483488</v>
      </c>
      <c r="AX20" s="456">
        <f>('C1-Incomes'!KM22-'C1-Incomes'!KN22)/('C1-Incomes'!$R22-'C1-Incomes'!$S22)*100</f>
        <v>6.6488681228688211</v>
      </c>
      <c r="AY20" s="456">
        <f>'C1-Incomes'!KN22/'C1-Incomes'!$S22*100</f>
        <v>3.2614501055248351</v>
      </c>
      <c r="AZ20" s="456">
        <f>'C1-Incomes'!KO22/'C1-Incomes'!$T22*100</f>
        <v>2.2867522180493554</v>
      </c>
      <c r="BA20" s="456">
        <f>'C1-Incomes'!KP22/'C1-Incomes'!$U22*100</f>
        <v>0.86053397357094641</v>
      </c>
      <c r="BB20" s="456">
        <f>'C1-Incomes'!KQ22/'C1-Incomes'!$V22*100</f>
        <v>0.58850024199937701</v>
      </c>
      <c r="BC20" s="456">
        <f>'C1-Incomes'!KR22/'C1-Incomes'!$W22*100</f>
        <v>0.26314037994619482</v>
      </c>
      <c r="BD20" s="456">
        <f>'C1-Incomes'!KS22/'C1-Incomes'!$X22*100</f>
        <v>7.4397217957961087E-2</v>
      </c>
      <c r="BE20" s="456"/>
      <c r="BF20" s="456">
        <f>('C1-Incomes'!LK22-'C1-Incomes'!LL22)/('C1-Incomes'!$R22-'C1-Incomes'!$S22)*100</f>
        <v>0.22768215614821183</v>
      </c>
      <c r="BG20" s="456">
        <f>'C1-Incomes'!LL22/'C1-Incomes'!$S22*100</f>
        <v>0.89728224691566072</v>
      </c>
      <c r="BH20" s="456">
        <f>'C1-Incomes'!LM22/'C1-Incomes'!$T22*100</f>
        <v>1.101036829644634</v>
      </c>
      <c r="BI20" s="456">
        <f>'C1-Incomes'!LN22/'C1-Incomes'!$U22*100</f>
        <v>1.4281031626823184</v>
      </c>
      <c r="BJ20" s="456">
        <f>'C1-Incomes'!LO22/'C1-Incomes'!$V22*100</f>
        <v>1.4934939084695387</v>
      </c>
      <c r="BK20" s="456">
        <f>'C1-Incomes'!LP22/'C1-Incomes'!$W22*100</f>
        <v>1.7449772956739309</v>
      </c>
      <c r="BL20" s="456">
        <f>'C1-Incomes'!LQ22/'C1-Incomes'!$X22*100</f>
        <v>2.2688399962088619</v>
      </c>
      <c r="BN20" s="456">
        <f>('C1-Incomes'!KU22-'C1-Incomes'!KV22)/('C1-Incomes'!$R22-'C1-Incomes'!$S22)*100</f>
        <v>5.8092659441648253</v>
      </c>
      <c r="BO20" s="456">
        <f>'C1-Incomes'!KV22/'C1-Incomes'!$S22*100</f>
        <v>4.3417454855250828</v>
      </c>
      <c r="BP20" s="456">
        <f>'C1-Incomes'!KW22/'C1-Incomes'!$T22*100</f>
        <v>3.6893155069233794</v>
      </c>
      <c r="BQ20" s="456">
        <f>'C1-Incomes'!KX22/'C1-Incomes'!$U22*100</f>
        <v>2.4324786781237275</v>
      </c>
      <c r="BR20" s="456">
        <f>'C1-Incomes'!KY22/'C1-Incomes'!$V22*100</f>
        <v>2.0848457581657764</v>
      </c>
      <c r="BS20" s="456">
        <f>'C1-Incomes'!KZ22/'C1-Incomes'!$W22*100</f>
        <v>1.6156363151648225</v>
      </c>
      <c r="BT20" s="456">
        <f>'C1-Incomes'!LA22/'C1-Incomes'!$X22*100</f>
        <v>1.3087733251909706</v>
      </c>
    </row>
    <row r="21" spans="1:72" s="452" customFormat="1" ht="12" x14ac:dyDescent="0.25">
      <c r="A21" s="239">
        <v>1975</v>
      </c>
      <c r="B21" s="456">
        <f t="shared" si="17"/>
        <v>23.988098432167025</v>
      </c>
      <c r="C21" s="456">
        <f t="shared" si="18"/>
        <v>31.752953294498095</v>
      </c>
      <c r="D21" s="456">
        <f t="shared" si="19"/>
        <v>32.569762753537042</v>
      </c>
      <c r="E21" s="456">
        <f t="shared" si="20"/>
        <v>34.32154021005573</v>
      </c>
      <c r="F21" s="456">
        <f t="shared" si="21"/>
        <v>34.733712061457169</v>
      </c>
      <c r="G21" s="456">
        <f t="shared" si="22"/>
        <v>35.521211133017971</v>
      </c>
      <c r="H21" s="456">
        <f t="shared" si="23"/>
        <v>36.606556379409</v>
      </c>
      <c r="I21" s="456"/>
      <c r="J21" s="456">
        <f t="shared" si="24"/>
        <v>17.648911107491561</v>
      </c>
      <c r="K21" s="456">
        <f t="shared" si="25"/>
        <v>28.55062593560006</v>
      </c>
      <c r="L21" s="456">
        <f t="shared" si="26"/>
        <v>30.291230270701771</v>
      </c>
      <c r="M21" s="456">
        <f t="shared" si="27"/>
        <v>33.471358629429972</v>
      </c>
      <c r="N21" s="456">
        <f t="shared" si="28"/>
        <v>34.14206027458701</v>
      </c>
      <c r="O21" s="456">
        <f t="shared" si="29"/>
        <v>35.272886138324651</v>
      </c>
      <c r="P21" s="456">
        <f t="shared" si="30"/>
        <v>36.532836083383565</v>
      </c>
      <c r="Q21" s="456"/>
      <c r="R21" s="456">
        <f>('C1-Incomes'!JG23-'C1-Incomes'!JH23)/('C1-Incomes'!$R23-'C1-Incomes'!$S23)*100</f>
        <v>5.4209198835729566</v>
      </c>
      <c r="S21" s="456">
        <f>'C1-Incomes'!JH23/'C1-Incomes'!$S23*100</f>
        <v>12.548921545395689</v>
      </c>
      <c r="T21" s="456">
        <f>'C1-Incomes'!JI23/'C1-Incomes'!$T23*100</f>
        <v>13.694461295193616</v>
      </c>
      <c r="U21" s="456">
        <f>'C1-Incomes'!JJ23/'C1-Incomes'!$U23*100</f>
        <v>15.717772456012485</v>
      </c>
      <c r="V21" s="456">
        <f>'C1-Incomes'!JK23/'C1-Incomes'!$V23*100</f>
        <v>16.100386807838944</v>
      </c>
      <c r="W21" s="456">
        <f>'C1-Incomes'!JL23/'C1-Incomes'!$W23*100</f>
        <v>16.17855963443758</v>
      </c>
      <c r="X21" s="456">
        <f>'C1-Incomes'!JM23/'C1-Incomes'!$X23*100</f>
        <v>16.00057927131207</v>
      </c>
      <c r="Y21" s="458"/>
      <c r="Z21" s="456">
        <f>('C1-Incomes'!JO23-'C1-Incomes'!JP23)/('C1-Incomes'!$R23-'C1-Incomes'!$S23)*100</f>
        <v>1.0927628973135337</v>
      </c>
      <c r="AA21" s="456">
        <f>'C1-Incomes'!JP23/'C1-Incomes'!$S23*100</f>
        <v>2.1152769825090521</v>
      </c>
      <c r="AB21" s="456">
        <f>'C1-Incomes'!JQ23/'C1-Incomes'!$T23*100</f>
        <v>2.3134850761080861</v>
      </c>
      <c r="AC21" s="456">
        <f>'C1-Incomes'!JR23/'C1-Incomes'!$U23*100</f>
        <v>2.5882591070705057</v>
      </c>
      <c r="AD21" s="456">
        <f>'C1-Incomes'!JS23/'C1-Incomes'!$V23*100</f>
        <v>2.5820983668642046</v>
      </c>
      <c r="AE21" s="456">
        <f>'C1-Incomes'!JT23/'C1-Incomes'!$W23*100</f>
        <v>2.5020544898939479</v>
      </c>
      <c r="AF21" s="456">
        <f>'C1-Incomes'!JU23/'C1-Incomes'!$X23*100</f>
        <v>2.3366371420592764</v>
      </c>
      <c r="AG21" s="458"/>
      <c r="AH21" s="456">
        <f>('C1-Incomes'!JW23-'C1-Incomes'!JX23)/('C1-Incomes'!$R23-'C1-Incomes'!$S23)*100</f>
        <v>2.3708967458517858</v>
      </c>
      <c r="AI21" s="456">
        <f>'C1-Incomes'!JX23/'C1-Incomes'!$S23*100</f>
        <v>4.0709355357296344</v>
      </c>
      <c r="AJ21" s="456">
        <f>'C1-Incomes'!JY23/'C1-Incomes'!$T23*100</f>
        <v>4.6401735643905155</v>
      </c>
      <c r="AK21" s="456">
        <f>'C1-Incomes'!JZ23/'C1-Incomes'!$U23*100</f>
        <v>6.1892328624782484</v>
      </c>
      <c r="AL21" s="456">
        <f>'C1-Incomes'!KA23/'C1-Incomes'!$V23*100</f>
        <v>6.7552492808278002</v>
      </c>
      <c r="AM21" s="456">
        <f>'C1-Incomes'!KB23/'C1-Incomes'!$W23*100</f>
        <v>8.1429301978937669</v>
      </c>
      <c r="AN21" s="456">
        <f>'C1-Incomes'!KC23/'C1-Incomes'!$X23*100</f>
        <v>9.4910819833227684</v>
      </c>
      <c r="AO21" s="458"/>
      <c r="AP21" s="456">
        <f>('C1-Incomes'!KE23-'C1-Incomes'!KF23)/('C1-Incomes'!$R23-'C1-Incomes'!$S23)*100</f>
        <v>2.7729153217394122</v>
      </c>
      <c r="AQ21" s="456">
        <f>'C1-Incomes'!KF23/'C1-Incomes'!$S23*100</f>
        <v>4.6079157529514738</v>
      </c>
      <c r="AR21" s="456">
        <f>'C1-Incomes'!KG23/'C1-Incomes'!$T23*100</f>
        <v>4.9272209101661977</v>
      </c>
      <c r="AS21" s="456">
        <f>'C1-Incomes'!KH23/'C1-Incomes'!$U23*100</f>
        <v>5.2076283203161777</v>
      </c>
      <c r="AT21" s="456">
        <f>'C1-Incomes'!KI23/'C1-Incomes'!$V23*100</f>
        <v>5.2019803249849002</v>
      </c>
      <c r="AU21" s="456">
        <f>'C1-Incomes'!KJ23/'C1-Incomes'!$W23*100</f>
        <v>5.2443270151362755</v>
      </c>
      <c r="AV21" s="456">
        <f>'C1-Incomes'!KK23/'C1-Incomes'!$X23*100</f>
        <v>5.321439257728005</v>
      </c>
      <c r="AX21" s="456">
        <f>('C1-Incomes'!KM23-'C1-Incomes'!KN23)/('C1-Incomes'!$R23-'C1-Incomes'!$S23)*100</f>
        <v>6.3391873246754633</v>
      </c>
      <c r="AY21" s="456">
        <f>'C1-Incomes'!KN23/'C1-Incomes'!$S23*100</f>
        <v>3.2023273588980334</v>
      </c>
      <c r="AZ21" s="456">
        <f>'C1-Incomes'!KO23/'C1-Incomes'!$T23*100</f>
        <v>2.2785324828352733</v>
      </c>
      <c r="BA21" s="456">
        <f>'C1-Incomes'!KP23/'C1-Incomes'!$U23*100</f>
        <v>0.85018158062575344</v>
      </c>
      <c r="BB21" s="456">
        <f>'C1-Incomes'!KQ23/'C1-Incomes'!$V23*100</f>
        <v>0.59165178687015707</v>
      </c>
      <c r="BC21" s="456">
        <f>'C1-Incomes'!KR23/'C1-Incomes'!$W23*100</f>
        <v>0.24832499469331801</v>
      </c>
      <c r="BD21" s="456">
        <f>'C1-Incomes'!KS23/'C1-Incomes'!$X23*100</f>
        <v>7.3720296025432203E-2</v>
      </c>
      <c r="BE21" s="456"/>
      <c r="BF21" s="456">
        <f>('C1-Incomes'!LK23-'C1-Incomes'!LL23)/('C1-Incomes'!$R23-'C1-Incomes'!$S23)*100</f>
        <v>0.21160515195456225</v>
      </c>
      <c r="BG21" s="456">
        <f>'C1-Incomes'!LL23/'C1-Incomes'!$S23*100</f>
        <v>0.85387068698725421</v>
      </c>
      <c r="BH21" s="456">
        <f>'C1-Incomes'!LM23/'C1-Incomes'!$T23*100</f>
        <v>1.0426276636980762</v>
      </c>
      <c r="BI21" s="456">
        <f>'C1-Incomes'!LN23/'C1-Incomes'!$U23*100</f>
        <v>1.3587349042924544</v>
      </c>
      <c r="BJ21" s="456">
        <f>'C1-Incomes'!LO23/'C1-Incomes'!$V23*100</f>
        <v>1.4261823615510545</v>
      </c>
      <c r="BK21" s="456">
        <f>'C1-Incomes'!LP23/'C1-Incomes'!$W23*100</f>
        <v>1.6369730330084376</v>
      </c>
      <c r="BL21" s="456">
        <f>'C1-Incomes'!LQ23/'C1-Incomes'!$X23*100</f>
        <v>2.115285693269779</v>
      </c>
      <c r="BN21" s="456">
        <f>('C1-Incomes'!KU23-'C1-Incomes'!KV23)/('C1-Incomes'!$R23-'C1-Incomes'!$S23)*100</f>
        <v>5.7798111070593086</v>
      </c>
      <c r="BO21" s="456">
        <f>'C1-Incomes'!KV23/'C1-Incomes'!$S23*100</f>
        <v>4.3537054320269561</v>
      </c>
      <c r="BP21" s="456">
        <f>'C1-Incomes'!KW23/'C1-Incomes'!$T23*100</f>
        <v>3.6732617611452754</v>
      </c>
      <c r="BQ21" s="456">
        <f>'C1-Incomes'!KX23/'C1-Incomes'!$U23*100</f>
        <v>2.4097309792601012</v>
      </c>
      <c r="BR21" s="456">
        <f>'C1-Incomes'!KY23/'C1-Incomes'!$V23*100</f>
        <v>2.0761631325201031</v>
      </c>
      <c r="BS21" s="456">
        <f>'C1-Incomes'!KZ23/'C1-Incomes'!$W23*100</f>
        <v>1.5680417679546386</v>
      </c>
      <c r="BT21" s="456">
        <f>'C1-Incomes'!LA23/'C1-Incomes'!$X23*100</f>
        <v>1.2678127356916733</v>
      </c>
    </row>
    <row r="22" spans="1:72" s="452" customFormat="1" ht="12" x14ac:dyDescent="0.25">
      <c r="A22" s="239">
        <v>1976</v>
      </c>
      <c r="B22" s="456">
        <f t="shared" si="17"/>
        <v>24.45295133560623</v>
      </c>
      <c r="C22" s="456">
        <f t="shared" si="18"/>
        <v>33.286733934188476</v>
      </c>
      <c r="D22" s="456">
        <f t="shared" si="19"/>
        <v>34.342526337601747</v>
      </c>
      <c r="E22" s="456">
        <f t="shared" si="20"/>
        <v>36.320248672547322</v>
      </c>
      <c r="F22" s="456">
        <f t="shared" si="21"/>
        <v>37.028703292622524</v>
      </c>
      <c r="G22" s="456">
        <f t="shared" si="22"/>
        <v>38.537455034203546</v>
      </c>
      <c r="H22" s="456">
        <f t="shared" si="23"/>
        <v>39.876460924493017</v>
      </c>
      <c r="I22" s="456"/>
      <c r="J22" s="456">
        <f t="shared" si="24"/>
        <v>18.007331874423308</v>
      </c>
      <c r="K22" s="456">
        <f t="shared" si="25"/>
        <v>29.908272841177926</v>
      </c>
      <c r="L22" s="456">
        <f t="shared" si="26"/>
        <v>31.969295941005104</v>
      </c>
      <c r="M22" s="456">
        <f t="shared" si="27"/>
        <v>35.449424788126727</v>
      </c>
      <c r="N22" s="456">
        <f t="shared" si="28"/>
        <v>36.437790081294835</v>
      </c>
      <c r="O22" s="456">
        <f t="shared" si="29"/>
        <v>38.29718181194513</v>
      </c>
      <c r="P22" s="456">
        <f t="shared" si="30"/>
        <v>39.826650026264709</v>
      </c>
      <c r="Q22" s="456"/>
      <c r="R22" s="456">
        <f>('C1-Incomes'!JG24-'C1-Incomes'!JH24)/('C1-Incomes'!$R24-'C1-Incomes'!$S24)*100</f>
        <v>5.656191412351868</v>
      </c>
      <c r="S22" s="456">
        <f>'C1-Incomes'!JH24/'C1-Incomes'!$S24*100</f>
        <v>13.346599246411058</v>
      </c>
      <c r="T22" s="456">
        <f>'C1-Incomes'!JI24/'C1-Incomes'!$T24*100</f>
        <v>14.647981270951133</v>
      </c>
      <c r="U22" s="456">
        <f>'C1-Incomes'!JJ24/'C1-Incomes'!$U24*100</f>
        <v>16.72583717922868</v>
      </c>
      <c r="V22" s="456">
        <f>'C1-Incomes'!JK24/'C1-Incomes'!$V24*100</f>
        <v>17.235590972238139</v>
      </c>
      <c r="W22" s="456">
        <f>'C1-Incomes'!JL24/'C1-Incomes'!$W24*100</f>
        <v>17.629683107956652</v>
      </c>
      <c r="X22" s="456">
        <f>'C1-Incomes'!JM24/'C1-Incomes'!$X24*100</f>
        <v>17.563454052566989</v>
      </c>
      <c r="Y22" s="458"/>
      <c r="Z22" s="456">
        <f>('C1-Incomes'!JO24-'C1-Incomes'!JP24)/('C1-Incomes'!$R24-'C1-Incomes'!$S24)*100</f>
        <v>1.155953076406929</v>
      </c>
      <c r="AA22" s="456">
        <f>'C1-Incomes'!JP24/'C1-Incomes'!$S24*100</f>
        <v>2.2119254304178799</v>
      </c>
      <c r="AB22" s="456">
        <f>'C1-Incomes'!JQ24/'C1-Incomes'!$T24*100</f>
        <v>2.3868187029944989</v>
      </c>
      <c r="AC22" s="456">
        <f>'C1-Incomes'!JR24/'C1-Incomes'!$U24*100</f>
        <v>2.6040733150368096</v>
      </c>
      <c r="AD22" s="456">
        <f>'C1-Incomes'!JS24/'C1-Incomes'!$V24*100</f>
        <v>2.6132546785015127</v>
      </c>
      <c r="AE22" s="456">
        <f>'C1-Incomes'!JT24/'C1-Incomes'!$W24*100</f>
        <v>2.5847075958986379</v>
      </c>
      <c r="AF22" s="456">
        <f>'C1-Incomes'!JU24/'C1-Incomes'!$X24*100</f>
        <v>2.484085698923693</v>
      </c>
      <c r="AG22" s="458"/>
      <c r="AH22" s="456">
        <f>('C1-Incomes'!JW24-'C1-Incomes'!JX24)/('C1-Incomes'!$R24-'C1-Incomes'!$S24)*100</f>
        <v>2.6828486611482383</v>
      </c>
      <c r="AI22" s="456">
        <f>'C1-Incomes'!JX24/'C1-Incomes'!$S24*100</f>
        <v>4.8439201765477824</v>
      </c>
      <c r="AJ22" s="456">
        <f>'C1-Incomes'!JY24/'C1-Incomes'!$T24*100</f>
        <v>5.6007755265209926</v>
      </c>
      <c r="AK22" s="456">
        <f>'C1-Incomes'!JZ24/'C1-Incomes'!$U24*100</f>
        <v>7.3794432088467614</v>
      </c>
      <c r="AL22" s="456">
        <f>'C1-Incomes'!KA24/'C1-Incomes'!$V24*100</f>
        <v>8.0815052656979081</v>
      </c>
      <c r="AM22" s="456">
        <f>'C1-Incomes'!KB24/'C1-Incomes'!$W24*100</f>
        <v>9.7150584708460528</v>
      </c>
      <c r="AN22" s="456">
        <f>'C1-Incomes'!KC24/'C1-Incomes'!$X24*100</f>
        <v>11.096284840940752</v>
      </c>
      <c r="AO22" s="458"/>
      <c r="AP22" s="456">
        <f>('C1-Incomes'!KE24-'C1-Incomes'!KF24)/('C1-Incomes'!$R24-'C1-Incomes'!$S24)*100</f>
        <v>2.7539606670382333</v>
      </c>
      <c r="AQ22" s="456">
        <f>'C1-Incomes'!KF24/'C1-Incomes'!$S24*100</f>
        <v>4.4511119677519222</v>
      </c>
      <c r="AR22" s="456">
        <f>'C1-Incomes'!KG24/'C1-Incomes'!$T24*100</f>
        <v>4.7600847589351272</v>
      </c>
      <c r="AS22" s="456">
        <f>'C1-Incomes'!KH24/'C1-Incomes'!$U24*100</f>
        <v>5.1178847889812333</v>
      </c>
      <c r="AT22" s="456">
        <f>'C1-Incomes'!KI24/'C1-Incomes'!$V24*100</f>
        <v>5.1597559962828514</v>
      </c>
      <c r="AU22" s="456">
        <f>'C1-Incomes'!KJ24/'C1-Incomes'!$W24*100</f>
        <v>5.2946753398004773</v>
      </c>
      <c r="AV22" s="456">
        <f>'C1-Incomes'!KK24/'C1-Incomes'!$X24*100</f>
        <v>5.4748628370767891</v>
      </c>
      <c r="AX22" s="456">
        <f>('C1-Incomes'!KM24-'C1-Incomes'!KN24)/('C1-Incomes'!$R24-'C1-Incomes'!$S24)*100</f>
        <v>6.4456194611829183</v>
      </c>
      <c r="AY22" s="456">
        <f>'C1-Incomes'!KN24/'C1-Incomes'!$S24*100</f>
        <v>3.3784610930105483</v>
      </c>
      <c r="AZ22" s="456">
        <f>'C1-Incomes'!KO24/'C1-Incomes'!$T24*100</f>
        <v>2.3732303965966515</v>
      </c>
      <c r="BA22" s="456">
        <f>'C1-Incomes'!KP24/'C1-Incomes'!$U24*100</f>
        <v>0.87082388442059744</v>
      </c>
      <c r="BB22" s="456">
        <f>'C1-Incomes'!KQ24/'C1-Incomes'!$V24*100</f>
        <v>0.59091321132768493</v>
      </c>
      <c r="BC22" s="456">
        <f>'C1-Incomes'!KR24/'C1-Incomes'!$W24*100</f>
        <v>0.24027322225841694</v>
      </c>
      <c r="BD22" s="456">
        <f>'C1-Incomes'!KS24/'C1-Incomes'!$X24*100</f>
        <v>4.9810898228305249E-2</v>
      </c>
      <c r="BE22" s="456"/>
      <c r="BF22" s="456">
        <f>('C1-Incomes'!LK24-'C1-Incomes'!LL24)/('C1-Incomes'!$R24-'C1-Incomes'!$S24)*100</f>
        <v>0.21479361748025444</v>
      </c>
      <c r="BG22" s="456">
        <f>'C1-Incomes'!LL24/'C1-Incomes'!$S24*100</f>
        <v>0.85832583995637313</v>
      </c>
      <c r="BH22" s="456">
        <f>'C1-Incomes'!LM24/'C1-Incomes'!$T24*100</f>
        <v>1.0509056569510895</v>
      </c>
      <c r="BI22" s="456">
        <f>'C1-Incomes'!LN24/'C1-Incomes'!$U24*100</f>
        <v>1.3504578276504413</v>
      </c>
      <c r="BJ22" s="456">
        <f>'C1-Incomes'!LO24/'C1-Incomes'!$V24*100</f>
        <v>1.416464622765798</v>
      </c>
      <c r="BK22" s="456">
        <f>'C1-Incomes'!LP24/'C1-Incomes'!$W24*100</f>
        <v>1.6424627595524068</v>
      </c>
      <c r="BL22" s="456">
        <f>'C1-Incomes'!LQ24/'C1-Incomes'!$X24*100</f>
        <v>2.0730489240562067</v>
      </c>
      <c r="BN22" s="456">
        <f>('C1-Incomes'!KU24-'C1-Incomes'!KV24)/('C1-Incomes'!$R24-'C1-Incomes'!$S24)*100</f>
        <v>5.5435844399977858</v>
      </c>
      <c r="BO22" s="456">
        <f>'C1-Incomes'!KV24/'C1-Incomes'!$S24*100</f>
        <v>4.196390180092914</v>
      </c>
      <c r="BP22" s="456">
        <f>'C1-Incomes'!KW24/'C1-Incomes'!$T24*100</f>
        <v>3.5227300246522604</v>
      </c>
      <c r="BQ22" s="456">
        <f>'C1-Incomes'!KX24/'C1-Incomes'!$U24*100</f>
        <v>2.2717284683827952</v>
      </c>
      <c r="BR22" s="456">
        <f>'C1-Incomes'!KY24/'C1-Incomes'!$V24*100</f>
        <v>1.9312185458086191</v>
      </c>
      <c r="BS22" s="456">
        <f>'C1-Incomes'!KZ24/'C1-Incomes'!$W24*100</f>
        <v>1.4305945378908989</v>
      </c>
      <c r="BT22" s="456">
        <f>'C1-Incomes'!LA24/'C1-Incomes'!$X24*100</f>
        <v>1.1349136727002704</v>
      </c>
    </row>
    <row r="23" spans="1:72" s="452" customFormat="1" ht="12" x14ac:dyDescent="0.25">
      <c r="A23" s="239">
        <v>1977</v>
      </c>
      <c r="B23" s="456">
        <f t="shared" si="17"/>
        <v>24.828066094350813</v>
      </c>
      <c r="C23" s="456">
        <f t="shared" si="18"/>
        <v>33.288778110661511</v>
      </c>
      <c r="D23" s="456">
        <f t="shared" si="19"/>
        <v>34.172346785595025</v>
      </c>
      <c r="E23" s="456">
        <f t="shared" si="20"/>
        <v>35.351543103741392</v>
      </c>
      <c r="F23" s="456">
        <f t="shared" si="21"/>
        <v>35.645068205635177</v>
      </c>
      <c r="G23" s="456">
        <f t="shared" si="22"/>
        <v>36.823197285296828</v>
      </c>
      <c r="H23" s="456">
        <f t="shared" si="23"/>
        <v>37.934094198924996</v>
      </c>
      <c r="I23" s="456"/>
      <c r="J23" s="456">
        <f t="shared" si="24"/>
        <v>18.323724114164079</v>
      </c>
      <c r="K23" s="456">
        <f t="shared" si="25"/>
        <v>29.927845775757092</v>
      </c>
      <c r="L23" s="456">
        <f t="shared" si="26"/>
        <v>31.802480877022184</v>
      </c>
      <c r="M23" s="456">
        <f t="shared" si="27"/>
        <v>34.479220733480417</v>
      </c>
      <c r="N23" s="456">
        <f t="shared" si="28"/>
        <v>35.046452833745249</v>
      </c>
      <c r="O23" s="456">
        <f t="shared" si="29"/>
        <v>36.567607882404936</v>
      </c>
      <c r="P23" s="456">
        <f t="shared" si="30"/>
        <v>37.860328175338765</v>
      </c>
      <c r="Q23" s="456"/>
      <c r="R23" s="456">
        <f>('C1-Incomes'!JG25-'C1-Incomes'!JH25)/('C1-Incomes'!$R25-'C1-Incomes'!$S25)*100</f>
        <v>5.8669812814354261</v>
      </c>
      <c r="S23" s="456">
        <f>'C1-Incomes'!JH25/'C1-Incomes'!$S25*100</f>
        <v>13.792749996883158</v>
      </c>
      <c r="T23" s="456">
        <f>'C1-Incomes'!JI25/'C1-Incomes'!$T25*100</f>
        <v>15.067893596126112</v>
      </c>
      <c r="U23" s="456">
        <f>'C1-Incomes'!JJ25/'C1-Incomes'!$U25*100</f>
        <v>16.922551037021623</v>
      </c>
      <c r="V23" s="456">
        <f>'C1-Incomes'!JK25/'C1-Incomes'!$V25*100</f>
        <v>17.229546928151652</v>
      </c>
      <c r="W23" s="456">
        <f>'C1-Incomes'!JL25/'C1-Incomes'!$W25*100</f>
        <v>17.697911247961372</v>
      </c>
      <c r="X23" s="456">
        <f>'C1-Incomes'!JM25/'C1-Incomes'!$X25*100</f>
        <v>17.751413354181253</v>
      </c>
      <c r="Y23" s="458"/>
      <c r="Z23" s="456">
        <f>('C1-Incomes'!JO25-'C1-Incomes'!JP25)/('C1-Incomes'!$R25-'C1-Incomes'!$S25)*100</f>
        <v>1.2250091556336009</v>
      </c>
      <c r="AA23" s="456">
        <f>'C1-Incomes'!JP25/'C1-Incomes'!$S25*100</f>
        <v>2.2646360909714476</v>
      </c>
      <c r="AB23" s="456">
        <f>'C1-Incomes'!JQ25/'C1-Incomes'!$T25*100</f>
        <v>2.4662031776370701</v>
      </c>
      <c r="AC23" s="456">
        <f>'C1-Incomes'!JR25/'C1-Incomes'!$U25*100</f>
        <v>2.6240020175762711</v>
      </c>
      <c r="AD23" s="456">
        <f>'C1-Incomes'!JS25/'C1-Incomes'!$V25*100</f>
        <v>2.6208146345102241</v>
      </c>
      <c r="AE23" s="456">
        <f>'C1-Incomes'!JT25/'C1-Incomes'!$W25*100</f>
        <v>2.602699741706302</v>
      </c>
      <c r="AF23" s="456">
        <f>'C1-Incomes'!JU25/'C1-Incomes'!$X25*100</f>
        <v>2.4895690419359564</v>
      </c>
      <c r="AG23" s="458"/>
      <c r="AH23" s="456">
        <f>('C1-Incomes'!JW25-'C1-Incomes'!JX25)/('C1-Incomes'!$R25-'C1-Incomes'!$S25)*100</f>
        <v>2.9120597292550698</v>
      </c>
      <c r="AI23" s="456">
        <f>'C1-Incomes'!JX25/'C1-Incomes'!$S25*100</f>
        <v>4.7438997064801836</v>
      </c>
      <c r="AJ23" s="456">
        <f>'C1-Incomes'!JY25/'C1-Incomes'!$T25*100</f>
        <v>5.3553913834974569</v>
      </c>
      <c r="AK23" s="456">
        <f>'C1-Incomes'!JZ25/'C1-Incomes'!$U25*100</f>
        <v>6.8259943601410855</v>
      </c>
      <c r="AL23" s="456">
        <f>'C1-Incomes'!KA25/'C1-Incomes'!$V25*100</f>
        <v>7.3963918397833099</v>
      </c>
      <c r="AM23" s="456">
        <f>'C1-Incomes'!KB25/'C1-Incomes'!$W25*100</f>
        <v>8.7491281321446674</v>
      </c>
      <c r="AN23" s="456">
        <f>'C1-Incomes'!KC25/'C1-Incomes'!$X25*100</f>
        <v>9.9760306053746852</v>
      </c>
      <c r="AO23" s="458"/>
      <c r="AP23" s="456">
        <f>('C1-Incomes'!KE25-'C1-Incomes'!KF25)/('C1-Incomes'!$R25-'C1-Incomes'!$S25)*100</f>
        <v>2.7248686578349708</v>
      </c>
      <c r="AQ23" s="456">
        <f>'C1-Incomes'!KF25/'C1-Incomes'!$S25*100</f>
        <v>4.2844154995181736</v>
      </c>
      <c r="AR23" s="456">
        <f>'C1-Incomes'!KG25/'C1-Incomes'!$T25*100</f>
        <v>4.4899654987763533</v>
      </c>
      <c r="AS23" s="456">
        <f>'C1-Incomes'!KH25/'C1-Incomes'!$U25*100</f>
        <v>4.5154800871533638</v>
      </c>
      <c r="AT23" s="456">
        <f>'C1-Incomes'!KI25/'C1-Incomes'!$V25*100</f>
        <v>4.4498253981927594</v>
      </c>
      <c r="AU23" s="456">
        <f>'C1-Incomes'!KJ25/'C1-Incomes'!$W25*100</f>
        <v>4.3534669109785664</v>
      </c>
      <c r="AV23" s="456">
        <f>'C1-Incomes'!KK25/'C1-Incomes'!$X25*100</f>
        <v>4.2917883284314451</v>
      </c>
      <c r="AX23" s="456">
        <f>('C1-Incomes'!KM25-'C1-Incomes'!KN25)/('C1-Incomes'!$R25-'C1-Incomes'!$S25)*100</f>
        <v>6.5043419801867328</v>
      </c>
      <c r="AY23" s="456">
        <f>'C1-Incomes'!KN25/'C1-Incomes'!$S25*100</f>
        <v>3.3609323349044198</v>
      </c>
      <c r="AZ23" s="456">
        <f>'C1-Incomes'!KO25/'C1-Incomes'!$T25*100</f>
        <v>2.3698659085728453</v>
      </c>
      <c r="BA23" s="456">
        <f>'C1-Incomes'!KP25/'C1-Incomes'!$U25*100</f>
        <v>0.87232237026097292</v>
      </c>
      <c r="BB23" s="456">
        <f>'C1-Incomes'!KQ25/'C1-Incomes'!$V25*100</f>
        <v>0.59861537188992853</v>
      </c>
      <c r="BC23" s="456">
        <f>'C1-Incomes'!KR25/'C1-Incomes'!$W25*100</f>
        <v>0.25558940289189502</v>
      </c>
      <c r="BD23" s="456">
        <f>'C1-Incomes'!KS25/'C1-Incomes'!$X25*100</f>
        <v>7.3766023586235269E-2</v>
      </c>
      <c r="BE23" s="456"/>
      <c r="BF23" s="456">
        <f>('C1-Incomes'!LK25-'C1-Incomes'!LL25)/('C1-Incomes'!$R25-'C1-Incomes'!$S25)*100</f>
        <v>0.24949456823298924</v>
      </c>
      <c r="BG23" s="456">
        <f>'C1-Incomes'!LL25/'C1-Incomes'!$S25*100</f>
        <v>0.99112390830434216</v>
      </c>
      <c r="BH23" s="456">
        <f>'C1-Incomes'!LM25/'C1-Incomes'!$T25*100</f>
        <v>1.2062366616957796</v>
      </c>
      <c r="BI23" s="456">
        <f>'C1-Incomes'!LN25/'C1-Incomes'!$U25*100</f>
        <v>1.527023459467616</v>
      </c>
      <c r="BJ23" s="456">
        <f>'C1-Incomes'!LO25/'C1-Incomes'!$V25*100</f>
        <v>1.5930132869012619</v>
      </c>
      <c r="BK23" s="456">
        <f>'C1-Incomes'!LP25/'C1-Incomes'!$W25*100</f>
        <v>1.8355088463083153</v>
      </c>
      <c r="BL23" s="456">
        <f>'C1-Incomes'!LQ25/'C1-Incomes'!$X25*100</f>
        <v>2.3042438478963057</v>
      </c>
      <c r="BN23" s="456">
        <f>('C1-Incomes'!KU25-'C1-Incomes'!KV25)/('C1-Incomes'!$R25-'C1-Incomes'!$S25)*100</f>
        <v>5.3453107217720222</v>
      </c>
      <c r="BO23" s="456">
        <f>'C1-Incomes'!KV25/'C1-Incomes'!$S25*100</f>
        <v>3.851020573599786</v>
      </c>
      <c r="BP23" s="456">
        <f>'C1-Incomes'!KW25/'C1-Incomes'!$T25*100</f>
        <v>3.2167905592894135</v>
      </c>
      <c r="BQ23" s="456">
        <f>'C1-Incomes'!KX25/'C1-Incomes'!$U25*100</f>
        <v>2.064169772120461</v>
      </c>
      <c r="BR23" s="456">
        <f>'C1-Incomes'!KY25/'C1-Incomes'!$V25*100</f>
        <v>1.7568607462060455</v>
      </c>
      <c r="BS23" s="456">
        <f>'C1-Incomes'!KZ25/'C1-Incomes'!$W25*100</f>
        <v>1.3288930033057103</v>
      </c>
      <c r="BT23" s="456">
        <f>'C1-Incomes'!LA25/'C1-Incomes'!$X25*100</f>
        <v>1.0472829975191142</v>
      </c>
    </row>
    <row r="24" spans="1:72" s="452" customFormat="1" ht="12" x14ac:dyDescent="0.25">
      <c r="A24" s="239">
        <v>1978</v>
      </c>
      <c r="B24" s="456">
        <f t="shared" si="17"/>
        <v>25.130047692531633</v>
      </c>
      <c r="C24" s="456">
        <f t="shared" si="18"/>
        <v>32.816874939148484</v>
      </c>
      <c r="D24" s="456">
        <f t="shared" si="19"/>
        <v>33.495674428766328</v>
      </c>
      <c r="E24" s="456">
        <f t="shared" si="20"/>
        <v>34.39657488314586</v>
      </c>
      <c r="F24" s="456">
        <f t="shared" si="21"/>
        <v>34.646729230403672</v>
      </c>
      <c r="G24" s="456">
        <f t="shared" si="22"/>
        <v>35.122674439920651</v>
      </c>
      <c r="H24" s="456">
        <f t="shared" si="23"/>
        <v>35.575397437924885</v>
      </c>
      <c r="I24" s="456"/>
      <c r="J24" s="456">
        <f t="shared" si="24"/>
        <v>18.402336916905018</v>
      </c>
      <c r="K24" s="456">
        <f t="shared" si="25"/>
        <v>29.333934892330721</v>
      </c>
      <c r="L24" s="456">
        <f t="shared" si="26"/>
        <v>31.018046918421856</v>
      </c>
      <c r="M24" s="456">
        <f t="shared" si="27"/>
        <v>33.463202790810335</v>
      </c>
      <c r="N24" s="456">
        <f t="shared" si="28"/>
        <v>34.012664751164245</v>
      </c>
      <c r="O24" s="456">
        <f t="shared" si="29"/>
        <v>34.860569129728013</v>
      </c>
      <c r="P24" s="456">
        <f t="shared" si="30"/>
        <v>35.499030973012808</v>
      </c>
      <c r="Q24" s="456"/>
      <c r="R24" s="456">
        <f>('C1-Incomes'!JG26-'C1-Incomes'!JH26)/('C1-Incomes'!$R26-'C1-Incomes'!$S26)*100</f>
        <v>6.1957522348510921</v>
      </c>
      <c r="S24" s="456">
        <f>'C1-Incomes'!JH26/'C1-Incomes'!$S26*100</f>
        <v>14.068214300300275</v>
      </c>
      <c r="T24" s="456">
        <f>'C1-Incomes'!JI26/'C1-Incomes'!$T26*100</f>
        <v>15.335176589573452</v>
      </c>
      <c r="U24" s="456">
        <f>'C1-Incomes'!JJ26/'C1-Incomes'!$U26*100</f>
        <v>17.092870011683292</v>
      </c>
      <c r="V24" s="456">
        <f>'C1-Incomes'!JK26/'C1-Incomes'!$V26*100</f>
        <v>17.382731601624009</v>
      </c>
      <c r="W24" s="456">
        <f>'C1-Incomes'!JL26/'C1-Incomes'!$W26*100</f>
        <v>17.386763451090349</v>
      </c>
      <c r="X24" s="456">
        <f>'C1-Incomes'!JM26/'C1-Incomes'!$X26*100</f>
        <v>16.790173097356011</v>
      </c>
      <c r="Y24" s="458"/>
      <c r="Z24" s="456">
        <f>('C1-Incomes'!JO26-'C1-Incomes'!JP26)/('C1-Incomes'!$R26-'C1-Incomes'!$S26)*100</f>
        <v>1.2553793453640836</v>
      </c>
      <c r="AA24" s="456">
        <f>'C1-Incomes'!JP26/'C1-Incomes'!$S26*100</f>
        <v>2.3199905950588144</v>
      </c>
      <c r="AB24" s="456">
        <f>'C1-Incomes'!JQ26/'C1-Incomes'!$T26*100</f>
        <v>2.4870559148973008</v>
      </c>
      <c r="AC24" s="456">
        <f>'C1-Incomes'!JR26/'C1-Incomes'!$U26*100</f>
        <v>2.6735125386787422</v>
      </c>
      <c r="AD24" s="456">
        <f>'C1-Incomes'!JS26/'C1-Incomes'!$V26*100</f>
        <v>2.6791313853997325</v>
      </c>
      <c r="AE24" s="456">
        <f>'C1-Incomes'!JT26/'C1-Incomes'!$W26*100</f>
        <v>2.6668821102172533</v>
      </c>
      <c r="AF24" s="456">
        <f>'C1-Incomes'!JU26/'C1-Incomes'!$X26*100</f>
        <v>2.7008026556521338</v>
      </c>
      <c r="AG24" s="458"/>
      <c r="AH24" s="456">
        <f>('C1-Incomes'!JW26-'C1-Incomes'!JX26)/('C1-Incomes'!$R26-'C1-Incomes'!$S26)*100</f>
        <v>3.0044574032055626</v>
      </c>
      <c r="AI24" s="456">
        <f>'C1-Incomes'!JX26/'C1-Incomes'!$S26*100</f>
        <v>4.656858646481699</v>
      </c>
      <c r="AJ24" s="456">
        <f>'C1-Incomes'!JY26/'C1-Incomes'!$T26*100</f>
        <v>5.1791114897922137</v>
      </c>
      <c r="AK24" s="456">
        <f>'C1-Incomes'!JZ26/'C1-Incomes'!$U26*100</f>
        <v>6.5455121544143902</v>
      </c>
      <c r="AL24" s="456">
        <f>'C1-Incomes'!KA26/'C1-Incomes'!$V26*100</f>
        <v>7.0958622268666431</v>
      </c>
      <c r="AM24" s="456">
        <f>'C1-Incomes'!KB26/'C1-Incomes'!$W26*100</f>
        <v>8.3031671169294796</v>
      </c>
      <c r="AN24" s="456">
        <f>'C1-Incomes'!KC26/'C1-Incomes'!$X26*100</f>
        <v>9.4098494403974851</v>
      </c>
      <c r="AO24" s="458"/>
      <c r="AP24" s="456">
        <f>('C1-Incomes'!KE26-'C1-Incomes'!KF26)/('C1-Incomes'!$R26-'C1-Incomes'!$S26)*100</f>
        <v>2.4972603383801113</v>
      </c>
      <c r="AQ24" s="456">
        <f>'C1-Incomes'!KF26/'C1-Incomes'!$S26*100</f>
        <v>3.7239630503084342</v>
      </c>
      <c r="AR24" s="456">
        <f>'C1-Incomes'!KG26/'C1-Incomes'!$T26*100</f>
        <v>3.9139816933998643</v>
      </c>
      <c r="AS24" s="456">
        <f>'C1-Incomes'!KH26/'C1-Incomes'!$U26*100</f>
        <v>3.9810352418985091</v>
      </c>
      <c r="AT24" s="456">
        <f>'C1-Incomes'!KI26/'C1-Incomes'!$V26*100</f>
        <v>3.9448258090482033</v>
      </c>
      <c r="AU24" s="456">
        <f>'C1-Incomes'!KJ26/'C1-Incomes'!$W26*100</f>
        <v>3.871705864885131</v>
      </c>
      <c r="AV24" s="456">
        <f>'C1-Incomes'!KK26/'C1-Incomes'!$X26*100</f>
        <v>3.8775541671919851</v>
      </c>
      <c r="AX24" s="456">
        <f>('C1-Incomes'!KM26-'C1-Incomes'!KN26)/('C1-Incomes'!$R26-'C1-Incomes'!$S26)*100</f>
        <v>6.7277107756266137</v>
      </c>
      <c r="AY24" s="456">
        <f>'C1-Incomes'!KN26/'C1-Incomes'!$S26*100</f>
        <v>3.4829400468177618</v>
      </c>
      <c r="AZ24" s="456">
        <f>'C1-Incomes'!KO26/'C1-Incomes'!$T26*100</f>
        <v>2.4776275103444712</v>
      </c>
      <c r="BA24" s="456">
        <f>'C1-Incomes'!KP26/'C1-Incomes'!$U26*100</f>
        <v>0.93337209233551965</v>
      </c>
      <c r="BB24" s="456">
        <f>'C1-Incomes'!KQ26/'C1-Incomes'!$V26*100</f>
        <v>0.63406447923942777</v>
      </c>
      <c r="BC24" s="456">
        <f>'C1-Incomes'!KR26/'C1-Incomes'!$W26*100</f>
        <v>0.26210531019263872</v>
      </c>
      <c r="BD24" s="456">
        <f>'C1-Incomes'!KS26/'C1-Incomes'!$X26*100</f>
        <v>7.6366464912077922E-2</v>
      </c>
      <c r="BE24" s="456"/>
      <c r="BF24" s="456">
        <f>('C1-Incomes'!LK26-'C1-Incomes'!LL26)/('C1-Incomes'!$R26-'C1-Incomes'!$S26)*100</f>
        <v>0.17308590787086572</v>
      </c>
      <c r="BG24" s="456">
        <f>'C1-Incomes'!LL26/'C1-Incomes'!$S26*100</f>
        <v>0.68100495770139557</v>
      </c>
      <c r="BH24" s="456">
        <f>'C1-Incomes'!LM26/'C1-Incomes'!$T26*100</f>
        <v>0.83295705448178603</v>
      </c>
      <c r="BI24" s="456">
        <f>'C1-Incomes'!LN26/'C1-Incomes'!$U26*100</f>
        <v>1.0587064312125363</v>
      </c>
      <c r="BJ24" s="456">
        <f>'C1-Incomes'!LO26/'C1-Incomes'!$V26*100</f>
        <v>1.1005908923619327</v>
      </c>
      <c r="BK24" s="456">
        <f>'C1-Incomes'!LP26/'C1-Incomes'!$W26*100</f>
        <v>1.2489417908766098</v>
      </c>
      <c r="BL24" s="456">
        <f>'C1-Incomes'!LQ26/'C1-Incomes'!$X26*100</f>
        <v>1.5647333023889523</v>
      </c>
      <c r="BN24" s="456">
        <f>('C1-Incomes'!KU26-'C1-Incomes'!KV26)/('C1-Incomes'!$R26-'C1-Incomes'!$S26)*100</f>
        <v>5.2764016872333004</v>
      </c>
      <c r="BO24" s="456">
        <f>'C1-Incomes'!KV26/'C1-Incomes'!$S26*100</f>
        <v>3.883903342480103</v>
      </c>
      <c r="BP24" s="456">
        <f>'C1-Incomes'!KW26/'C1-Incomes'!$T26*100</f>
        <v>3.2697641762772367</v>
      </c>
      <c r="BQ24" s="456">
        <f>'C1-Incomes'!KX26/'C1-Incomes'!$U26*100</f>
        <v>2.1115664129228664</v>
      </c>
      <c r="BR24" s="456">
        <f>'C1-Incomes'!KY26/'C1-Incomes'!$V26*100</f>
        <v>1.8095228358637212</v>
      </c>
      <c r="BS24" s="456">
        <f>'C1-Incomes'!KZ26/'C1-Incomes'!$W26*100</f>
        <v>1.3831087957291948</v>
      </c>
      <c r="BT24" s="456">
        <f>'C1-Incomes'!LA26/'C1-Incomes'!$X26*100</f>
        <v>1.1559183100262347</v>
      </c>
    </row>
    <row r="25" spans="1:72" s="452" customFormat="1" ht="12" x14ac:dyDescent="0.25">
      <c r="A25" s="239">
        <v>1979</v>
      </c>
      <c r="B25" s="456">
        <f t="shared" si="17"/>
        <v>25.287615300708381</v>
      </c>
      <c r="C25" s="456">
        <f t="shared" si="18"/>
        <v>33.656233573194662</v>
      </c>
      <c r="D25" s="456">
        <f t="shared" si="19"/>
        <v>34.472477207841919</v>
      </c>
      <c r="E25" s="456">
        <f t="shared" si="20"/>
        <v>36.153666991007135</v>
      </c>
      <c r="F25" s="456">
        <f t="shared" si="21"/>
        <v>36.659825268114759</v>
      </c>
      <c r="G25" s="456">
        <f t="shared" si="22"/>
        <v>38.089000733169165</v>
      </c>
      <c r="H25" s="456">
        <f t="shared" si="23"/>
        <v>40.26256276050507</v>
      </c>
      <c r="I25" s="456"/>
      <c r="J25" s="456">
        <f t="shared" si="24"/>
        <v>18.298356184539784</v>
      </c>
      <c r="K25" s="456">
        <f t="shared" si="25"/>
        <v>29.815250860720038</v>
      </c>
      <c r="L25" s="456">
        <f t="shared" si="26"/>
        <v>31.726013222985006</v>
      </c>
      <c r="M25" s="456">
        <f t="shared" si="27"/>
        <v>35.100597924521281</v>
      </c>
      <c r="N25" s="456">
        <f t="shared" si="28"/>
        <v>35.947790589963162</v>
      </c>
      <c r="O25" s="456">
        <f t="shared" si="29"/>
        <v>37.795841583469873</v>
      </c>
      <c r="P25" s="456">
        <f t="shared" si="30"/>
        <v>40.179471005288612</v>
      </c>
      <c r="Q25" s="456"/>
      <c r="R25" s="456">
        <f>('C1-Incomes'!JG27-'C1-Incomes'!JH27)/('C1-Incomes'!$R27-'C1-Incomes'!$S27)*100</f>
        <v>6.5590014448160483</v>
      </c>
      <c r="S25" s="456">
        <f>'C1-Incomes'!JH27/'C1-Incomes'!$S27*100</f>
        <v>15.247330028171181</v>
      </c>
      <c r="T25" s="456">
        <f>'C1-Incomes'!JI27/'C1-Incomes'!$T27*100</f>
        <v>16.725904721718042</v>
      </c>
      <c r="U25" s="456">
        <f>'C1-Incomes'!JJ27/'C1-Incomes'!$U27*100</f>
        <v>19.351102927035178</v>
      </c>
      <c r="V25" s="456">
        <f>'C1-Incomes'!JK27/'C1-Incomes'!$V27*100</f>
        <v>19.942467705029504</v>
      </c>
      <c r="W25" s="456">
        <f>'C1-Incomes'!JL27/'C1-Incomes'!$W27*100</f>
        <v>20.873278514292661</v>
      </c>
      <c r="X25" s="456">
        <f>'C1-Incomes'!JM27/'C1-Incomes'!$X27*100</f>
        <v>21.872710374544216</v>
      </c>
      <c r="Y25" s="458"/>
      <c r="Z25" s="456">
        <f>('C1-Incomes'!JO27-'C1-Incomes'!JP27)/('C1-Incomes'!$R27-'C1-Incomes'!$S27)*100</f>
        <v>1.2227597714912193</v>
      </c>
      <c r="AA25" s="456">
        <f>'C1-Incomes'!JP27/'C1-Incomes'!$S27*100</f>
        <v>2.3221051139913778</v>
      </c>
      <c r="AB25" s="456">
        <f>'C1-Incomes'!JQ27/'C1-Incomes'!$T27*100</f>
        <v>2.502724601477238</v>
      </c>
      <c r="AC25" s="456">
        <f>'C1-Incomes'!JR27/'C1-Incomes'!$U27*100</f>
        <v>2.6685486910889962</v>
      </c>
      <c r="AD25" s="456">
        <f>'C1-Incomes'!JS27/'C1-Incomes'!$V27*100</f>
        <v>2.6780141857728328</v>
      </c>
      <c r="AE25" s="456">
        <f>'C1-Incomes'!JT27/'C1-Incomes'!$W27*100</f>
        <v>2.7370837761813167</v>
      </c>
      <c r="AF25" s="456">
        <f>'C1-Incomes'!JU27/'C1-Incomes'!$X27*100</f>
        <v>2.8955739719483167</v>
      </c>
      <c r="AG25" s="458"/>
      <c r="AH25" s="456">
        <f>('C1-Incomes'!JW27-'C1-Incomes'!JX27)/('C1-Incomes'!$R27-'C1-Incomes'!$S27)*100</f>
        <v>2.7967955196264827</v>
      </c>
      <c r="AI25" s="456">
        <f>'C1-Incomes'!JX27/'C1-Incomes'!$S27*100</f>
        <v>4.3923144909415299</v>
      </c>
      <c r="AJ25" s="456">
        <f>'C1-Incomes'!JY27/'C1-Incomes'!$T27*100</f>
        <v>4.9466471099698586</v>
      </c>
      <c r="AK25" s="456">
        <f>'C1-Incomes'!JZ27/'C1-Incomes'!$U27*100</f>
        <v>6.3724327661925662</v>
      </c>
      <c r="AL25" s="456">
        <f>'C1-Incomes'!KA27/'C1-Incomes'!$V27*100</f>
        <v>6.9383525573679332</v>
      </c>
      <c r="AM25" s="456">
        <f>'C1-Incomes'!KB27/'C1-Incomes'!$W27*100</f>
        <v>8.1865232140026709</v>
      </c>
      <c r="AN25" s="456">
        <f>'C1-Incomes'!KC27/'C1-Incomes'!$X27*100</f>
        <v>9.3998113760438038</v>
      </c>
      <c r="AO25" s="458"/>
      <c r="AP25" s="456">
        <f>('C1-Incomes'!KE27-'C1-Incomes'!KF27)/('C1-Incomes'!$R27-'C1-Incomes'!$S27)*100</f>
        <v>2.2726622471292051</v>
      </c>
      <c r="AQ25" s="456">
        <f>'C1-Incomes'!KF27/'C1-Incomes'!$S27*100</f>
        <v>3.40333570157429</v>
      </c>
      <c r="AR25" s="456">
        <f>'C1-Incomes'!KG27/'C1-Incomes'!$T27*100</f>
        <v>3.5625910527069835</v>
      </c>
      <c r="AS25" s="456">
        <f>'C1-Incomes'!KH27/'C1-Incomes'!$U27*100</f>
        <v>3.596617527979677</v>
      </c>
      <c r="AT25" s="456">
        <f>'C1-Incomes'!KI27/'C1-Incomes'!$V27*100</f>
        <v>3.5503319506519588</v>
      </c>
      <c r="AU25" s="456">
        <f>'C1-Incomes'!KJ27/'C1-Incomes'!$W27*100</f>
        <v>3.4662661200664546</v>
      </c>
      <c r="AV25" s="456">
        <f>'C1-Incomes'!KK27/'C1-Incomes'!$X27*100</f>
        <v>3.4516598871213424</v>
      </c>
      <c r="AX25" s="456">
        <f>('C1-Incomes'!KM27-'C1-Incomes'!KN27)/('C1-Incomes'!$R27-'C1-Incomes'!$S27)*100</f>
        <v>6.9892591161685962</v>
      </c>
      <c r="AY25" s="456">
        <f>'C1-Incomes'!KN27/'C1-Incomes'!$S27*100</f>
        <v>3.8409827124746276</v>
      </c>
      <c r="AZ25" s="456">
        <f>'C1-Incomes'!KO27/'C1-Incomes'!$T27*100</f>
        <v>2.7464639848569119</v>
      </c>
      <c r="BA25" s="456">
        <f>'C1-Incomes'!KP27/'C1-Incomes'!$U27*100</f>
        <v>1.0530690664858531</v>
      </c>
      <c r="BB25" s="456">
        <f>'C1-Incomes'!KQ27/'C1-Incomes'!$V27*100</f>
        <v>0.71203467815159649</v>
      </c>
      <c r="BC25" s="456">
        <f>'C1-Incomes'!KR27/'C1-Incomes'!$W27*100</f>
        <v>0.29315914969929457</v>
      </c>
      <c r="BD25" s="456">
        <f>'C1-Incomes'!KS27/'C1-Incomes'!$X27*100</f>
        <v>8.3091755216461047E-2</v>
      </c>
      <c r="BE25" s="456"/>
      <c r="BF25" s="456">
        <f>('C1-Incomes'!LK27-'C1-Incomes'!LL27)/('C1-Incomes'!$R27-'C1-Incomes'!$S27)*100</f>
        <v>0.16345707484746466</v>
      </c>
      <c r="BG25" s="456">
        <f>'C1-Incomes'!LL27/'C1-Incomes'!$S27*100</f>
        <v>0.64562168754847338</v>
      </c>
      <c r="BH25" s="456">
        <f>'C1-Incomes'!LM27/'C1-Incomes'!$T27*100</f>
        <v>0.78855627834254738</v>
      </c>
      <c r="BI25" s="456">
        <f>'C1-Incomes'!LN27/'C1-Incomes'!$U27*100</f>
        <v>1.0203946560054498</v>
      </c>
      <c r="BJ25" s="456">
        <f>'C1-Incomes'!LO27/'C1-Incomes'!$V27*100</f>
        <v>1.0582319075474502</v>
      </c>
      <c r="BK25" s="456">
        <f>'C1-Incomes'!LP27/'C1-Incomes'!$W27*100</f>
        <v>1.1861900624726383</v>
      </c>
      <c r="BL25" s="456">
        <f>'C1-Incomes'!LQ27/'C1-Incomes'!$X27*100</f>
        <v>1.4980757385583163</v>
      </c>
      <c r="BN25" s="456">
        <f>('C1-Incomes'!KU27-'C1-Incomes'!KV27)/('C1-Incomes'!$R27-'C1-Incomes'!$S27)*100</f>
        <v>5.2836801266293651</v>
      </c>
      <c r="BO25" s="456">
        <f>'C1-Incomes'!KV27/'C1-Incomes'!$S27*100</f>
        <v>3.8045438384931884</v>
      </c>
      <c r="BP25" s="456">
        <f>'C1-Incomes'!KW27/'C1-Incomes'!$T27*100</f>
        <v>3.1995894587703364</v>
      </c>
      <c r="BQ25" s="456">
        <f>'C1-Incomes'!KX27/'C1-Incomes'!$U27*100</f>
        <v>2.0915013562194105</v>
      </c>
      <c r="BR25" s="456">
        <f>'C1-Incomes'!KY27/'C1-Incomes'!$V27*100</f>
        <v>1.7803922835934758</v>
      </c>
      <c r="BS25" s="456">
        <f>'C1-Incomes'!KZ27/'C1-Incomes'!$W27*100</f>
        <v>1.3464998964541266</v>
      </c>
      <c r="BT25" s="456">
        <f>'C1-Incomes'!LA27/'C1-Incomes'!$X27*100</f>
        <v>1.0616396570726165</v>
      </c>
    </row>
    <row r="26" spans="1:72" s="452" customFormat="1" ht="12" x14ac:dyDescent="0.25">
      <c r="A26" s="239">
        <v>1980</v>
      </c>
      <c r="B26" s="456">
        <f t="shared" si="17"/>
        <v>24.976743013723798</v>
      </c>
      <c r="C26" s="456">
        <f t="shared" si="18"/>
        <v>34.181636486113035</v>
      </c>
      <c r="D26" s="456">
        <f t="shared" si="19"/>
        <v>35.141613467771869</v>
      </c>
      <c r="E26" s="456">
        <f t="shared" si="20"/>
        <v>37.194888124762194</v>
      </c>
      <c r="F26" s="456">
        <f t="shared" si="21"/>
        <v>37.773747107734472</v>
      </c>
      <c r="G26" s="456">
        <f t="shared" si="22"/>
        <v>39.243943956722291</v>
      </c>
      <c r="H26" s="456">
        <f t="shared" si="23"/>
        <v>41.091614116960152</v>
      </c>
      <c r="I26" s="456"/>
      <c r="J26" s="456">
        <f t="shared" si="24"/>
        <v>18.109242996062466</v>
      </c>
      <c r="K26" s="456">
        <f t="shared" si="25"/>
        <v>30.09658553131656</v>
      </c>
      <c r="L26" s="456">
        <f t="shared" si="26"/>
        <v>32.153062420044947</v>
      </c>
      <c r="M26" s="456">
        <f t="shared" si="27"/>
        <v>36.033533349390751</v>
      </c>
      <c r="N26" s="456">
        <f t="shared" si="28"/>
        <v>36.981779424439139</v>
      </c>
      <c r="O26" s="456">
        <f t="shared" si="29"/>
        <v>38.904019676870533</v>
      </c>
      <c r="P26" s="456">
        <f t="shared" si="30"/>
        <v>40.993220370134289</v>
      </c>
      <c r="Q26" s="456"/>
      <c r="R26" s="456">
        <f>('C1-Incomes'!JG28-'C1-Incomes'!JH28)/('C1-Incomes'!$R28-'C1-Incomes'!$S28)*100</f>
        <v>6.7018719504798918</v>
      </c>
      <c r="S26" s="456">
        <f>'C1-Incomes'!JH28/'C1-Incomes'!$S28*100</f>
        <v>15.650176866654956</v>
      </c>
      <c r="T26" s="456">
        <f>'C1-Incomes'!JI28/'C1-Incomes'!$T28*100</f>
        <v>17.159400847677801</v>
      </c>
      <c r="U26" s="456">
        <f>'C1-Incomes'!JJ28/'C1-Incomes'!$U28*100</f>
        <v>19.999652680173043</v>
      </c>
      <c r="V26" s="456">
        <f>'C1-Incomes'!JK28/'C1-Incomes'!$V28*100</f>
        <v>20.644672416832563</v>
      </c>
      <c r="W26" s="456">
        <f>'C1-Incomes'!JL28/'C1-Incomes'!$W28*100</f>
        <v>21.516445163208346</v>
      </c>
      <c r="X26" s="456">
        <f>'C1-Incomes'!JM28/'C1-Incomes'!$X28*100</f>
        <v>21.931187736162212</v>
      </c>
      <c r="Y26" s="458"/>
      <c r="Z26" s="456">
        <f>('C1-Incomes'!JO28-'C1-Incomes'!JP28)/('C1-Incomes'!$R28-'C1-Incomes'!$S28)*100</f>
        <v>1.2214150589113588</v>
      </c>
      <c r="AA26" s="456">
        <f>'C1-Incomes'!JP28/'C1-Incomes'!$S28*100</f>
        <v>2.4501354333520493</v>
      </c>
      <c r="AB26" s="456">
        <f>'C1-Incomes'!JQ28/'C1-Incomes'!$T28*100</f>
        <v>2.6743785604089427</v>
      </c>
      <c r="AC26" s="456">
        <f>'C1-Incomes'!JR28/'C1-Incomes'!$U28*100</f>
        <v>2.9267072806658034</v>
      </c>
      <c r="AD26" s="456">
        <f>'C1-Incomes'!JS28/'C1-Incomes'!$V28*100</f>
        <v>2.9396921027894205</v>
      </c>
      <c r="AE26" s="456">
        <f>'C1-Incomes'!JT28/'C1-Incomes'!$W28*100</f>
        <v>3.0549130718750388</v>
      </c>
      <c r="AF26" s="456">
        <f>'C1-Incomes'!JU28/'C1-Incomes'!$X28*100</f>
        <v>3.1873763546962626</v>
      </c>
      <c r="AG26" s="458"/>
      <c r="AH26" s="456">
        <f>('C1-Incomes'!JW28-'C1-Incomes'!JX28)/('C1-Incomes'!$R28-'C1-Incomes'!$S28)*100</f>
        <v>2.346306436948256</v>
      </c>
      <c r="AI26" s="456">
        <f>'C1-Incomes'!JX28/'C1-Incomes'!$S28*100</f>
        <v>3.9016381579097406</v>
      </c>
      <c r="AJ26" s="456">
        <f>'C1-Incomes'!JY28/'C1-Incomes'!$T28*100</f>
        <v>4.4551640738165341</v>
      </c>
      <c r="AK26" s="456">
        <f>'C1-Incomes'!JZ28/'C1-Incomes'!$U28*100</f>
        <v>5.8714797310779812</v>
      </c>
      <c r="AL26" s="456">
        <f>'C1-Incomes'!KA28/'C1-Incomes'!$V28*100</f>
        <v>6.4064450592317019</v>
      </c>
      <c r="AM26" s="456">
        <f>'C1-Incomes'!KB28/'C1-Incomes'!$W28*100</f>
        <v>7.5590634874746492</v>
      </c>
      <c r="AN26" s="456">
        <f>'C1-Incomes'!KC28/'C1-Incomes'!$X28*100</f>
        <v>8.8748023665888791</v>
      </c>
      <c r="AO26" s="458"/>
      <c r="AP26" s="456">
        <f>('C1-Incomes'!KE28-'C1-Incomes'!KF28)/('C1-Incomes'!$R28-'C1-Incomes'!$S28)*100</f>
        <v>2.2222385053041989</v>
      </c>
      <c r="AQ26" s="456">
        <f>'C1-Incomes'!KF28/'C1-Incomes'!$S28*100</f>
        <v>3.3566378570432183</v>
      </c>
      <c r="AR26" s="456">
        <f>'C1-Incomes'!KG28/'C1-Incomes'!$T28*100</f>
        <v>3.5674598044229495</v>
      </c>
      <c r="AS26" s="456">
        <f>'C1-Incomes'!KH28/'C1-Incomes'!$U28*100</f>
        <v>3.7546875799724209</v>
      </c>
      <c r="AT26" s="456">
        <f>'C1-Incomes'!KI28/'C1-Incomes'!$V28*100</f>
        <v>3.7575185285929793</v>
      </c>
      <c r="AU26" s="456">
        <f>'C1-Incomes'!KJ28/'C1-Incomes'!$W28*100</f>
        <v>3.7934324514487923</v>
      </c>
      <c r="AV26" s="456">
        <f>'C1-Incomes'!KK28/'C1-Incomes'!$X28*100</f>
        <v>3.8811938785823847</v>
      </c>
      <c r="AX26" s="456">
        <f>('C1-Incomes'!KM28-'C1-Incomes'!KN28)/('C1-Incomes'!$R28-'C1-Incomes'!$S28)*100</f>
        <v>6.8675000176613352</v>
      </c>
      <c r="AY26" s="456">
        <f>'C1-Incomes'!KN28/'C1-Incomes'!$S28*100</f>
        <v>4.0850509547964844</v>
      </c>
      <c r="AZ26" s="456">
        <f>'C1-Incomes'!KO28/'C1-Incomes'!$T28*100</f>
        <v>2.9885510477269177</v>
      </c>
      <c r="BA26" s="456">
        <f>'C1-Incomes'!KP28/'C1-Incomes'!$U28*100</f>
        <v>1.161354775371443</v>
      </c>
      <c r="BB26" s="456">
        <f>'C1-Incomes'!KQ28/'C1-Incomes'!$V28*100</f>
        <v>0.79196768329533296</v>
      </c>
      <c r="BC26" s="456">
        <f>'C1-Incomes'!KR28/'C1-Incomes'!$W28*100</f>
        <v>0.33992427985176021</v>
      </c>
      <c r="BD26" s="456">
        <f>'C1-Incomes'!KS28/'C1-Incomes'!$X28*100</f>
        <v>9.8393746825863673E-2</v>
      </c>
      <c r="BE26" s="456"/>
      <c r="BF26" s="456">
        <f>('C1-Incomes'!LK28-'C1-Incomes'!LL28)/('C1-Incomes'!$R28-'C1-Incomes'!$S28)*100</f>
        <v>0.17141066559310603</v>
      </c>
      <c r="BG26" s="456">
        <f>'C1-Incomes'!LL28/'C1-Incomes'!$S28*100</f>
        <v>0.69954246747903648</v>
      </c>
      <c r="BH26" s="456">
        <f>'C1-Incomes'!LM28/'C1-Incomes'!$T28*100</f>
        <v>0.85965785144009632</v>
      </c>
      <c r="BI26" s="456">
        <f>'C1-Incomes'!LN28/'C1-Incomes'!$U28*100</f>
        <v>1.151789229135771</v>
      </c>
      <c r="BJ26" s="456">
        <f>'C1-Incomes'!LO28/'C1-Incomes'!$V28*100</f>
        <v>1.2059210062071277</v>
      </c>
      <c r="BK26" s="456">
        <f>'C1-Incomes'!LP28/'C1-Incomes'!$W28*100</f>
        <v>1.3745179923511768</v>
      </c>
      <c r="BL26" s="456">
        <f>'C1-Incomes'!LQ28/'C1-Incomes'!$X28*100</f>
        <v>1.7584022548422815</v>
      </c>
      <c r="BN26" s="456">
        <f>('C1-Incomes'!KU28-'C1-Incomes'!KV28)/('C1-Incomes'!$R28-'C1-Incomes'!$S28)*100</f>
        <v>5.4460003788256532</v>
      </c>
      <c r="BO26" s="456">
        <f>'C1-Incomes'!KV28/'C1-Incomes'!$S28*100</f>
        <v>4.0384547488775571</v>
      </c>
      <c r="BP26" s="456">
        <f>'C1-Incomes'!KW28/'C1-Incomes'!$T28*100</f>
        <v>3.4370012822786262</v>
      </c>
      <c r="BQ26" s="456">
        <f>'C1-Incomes'!KX28/'C1-Incomes'!$U28*100</f>
        <v>2.329216848365733</v>
      </c>
      <c r="BR26" s="456">
        <f>'C1-Incomes'!KY28/'C1-Incomes'!$V28*100</f>
        <v>2.0275303107853442</v>
      </c>
      <c r="BS26" s="456">
        <f>'C1-Incomes'!KZ28/'C1-Incomes'!$W28*100</f>
        <v>1.6056475105125285</v>
      </c>
      <c r="BT26" s="456">
        <f>'C1-Incomes'!LA28/'C1-Incomes'!$X28*100</f>
        <v>1.3602577792622714</v>
      </c>
    </row>
    <row r="27" spans="1:72" s="452" customFormat="1" ht="12" x14ac:dyDescent="0.25">
      <c r="A27" s="239">
        <v>1981</v>
      </c>
      <c r="B27" s="456">
        <f t="shared" si="17"/>
        <v>25.688711115901967</v>
      </c>
      <c r="C27" s="456">
        <f t="shared" si="18"/>
        <v>34.186944680622993</v>
      </c>
      <c r="D27" s="456">
        <f t="shared" si="19"/>
        <v>34.656111027996467</v>
      </c>
      <c r="E27" s="456">
        <f t="shared" si="20"/>
        <v>35.922526693149109</v>
      </c>
      <c r="F27" s="456">
        <f t="shared" si="21"/>
        <v>36.286881990689359</v>
      </c>
      <c r="G27" s="456">
        <f t="shared" si="22"/>
        <v>37.235208137425616</v>
      </c>
      <c r="H27" s="456">
        <f t="shared" si="23"/>
        <v>38.564974206838315</v>
      </c>
      <c r="I27" s="456"/>
      <c r="J27" s="456">
        <f t="shared" si="24"/>
        <v>18.555098415877914</v>
      </c>
      <c r="K27" s="456">
        <f t="shared" si="25"/>
        <v>29.772591694776239</v>
      </c>
      <c r="L27" s="456">
        <f t="shared" si="26"/>
        <v>31.405455131795879</v>
      </c>
      <c r="M27" s="456">
        <f t="shared" si="27"/>
        <v>34.590169957599635</v>
      </c>
      <c r="N27" s="456">
        <f t="shared" si="28"/>
        <v>35.368530979832052</v>
      </c>
      <c r="O27" s="456">
        <f t="shared" si="29"/>
        <v>36.842066514475889</v>
      </c>
      <c r="P27" s="456">
        <f t="shared" si="30"/>
        <v>38.451891577690091</v>
      </c>
      <c r="Q27" s="456"/>
      <c r="R27" s="456">
        <f>('C1-Incomes'!JG29-'C1-Incomes'!JH29)/('C1-Incomes'!$R29-'C1-Incomes'!$S29)*100</f>
        <v>7.0862930884119937</v>
      </c>
      <c r="S27" s="456">
        <f>'C1-Incomes'!JH29/'C1-Incomes'!$S29*100</f>
        <v>15.857472802144439</v>
      </c>
      <c r="T27" s="456">
        <f>'C1-Incomes'!JI29/'C1-Incomes'!$T29*100</f>
        <v>17.209879370519317</v>
      </c>
      <c r="U27" s="456">
        <f>'C1-Incomes'!JJ29/'C1-Incomes'!$U29*100</f>
        <v>19.864845166632801</v>
      </c>
      <c r="V27" s="456">
        <f>'C1-Incomes'!JK29/'C1-Incomes'!$V29*100</f>
        <v>20.510469077096349</v>
      </c>
      <c r="W27" s="456">
        <f>'C1-Incomes'!JL29/'C1-Incomes'!$W29*100</f>
        <v>21.333485633666871</v>
      </c>
      <c r="X27" s="456">
        <f>'C1-Incomes'!JM29/'C1-Incomes'!$X29*100</f>
        <v>21.518642484434146</v>
      </c>
      <c r="Y27" s="458"/>
      <c r="Z27" s="456">
        <f>('C1-Incomes'!JO29-'C1-Incomes'!JP29)/('C1-Incomes'!$R29-'C1-Incomes'!$S29)*100</f>
        <v>1.2237620087703851</v>
      </c>
      <c r="AA27" s="456">
        <f>'C1-Incomes'!JP29/'C1-Incomes'!$S29*100</f>
        <v>2.4614132052890119</v>
      </c>
      <c r="AB27" s="456">
        <f>'C1-Incomes'!JQ29/'C1-Incomes'!$T29*100</f>
        <v>2.6834244608046447</v>
      </c>
      <c r="AC27" s="456">
        <f>'C1-Incomes'!JR29/'C1-Incomes'!$U29*100</f>
        <v>3.0345860187267806</v>
      </c>
      <c r="AD27" s="456">
        <f>'C1-Incomes'!JS29/'C1-Incomes'!$V29*100</f>
        <v>3.1144106290842104</v>
      </c>
      <c r="AE27" s="456">
        <f>'C1-Incomes'!JT29/'C1-Incomes'!$W29*100</f>
        <v>3.2858399133294927</v>
      </c>
      <c r="AF27" s="456">
        <f>'C1-Incomes'!JU29/'C1-Incomes'!$X29*100</f>
        <v>3.4957749755454661</v>
      </c>
      <c r="AG27" s="458"/>
      <c r="AH27" s="456">
        <f>('C1-Incomes'!JW29-'C1-Incomes'!JX29)/('C1-Incomes'!$R29-'C1-Incomes'!$S29)*100</f>
        <v>2.0255758532537955</v>
      </c>
      <c r="AI27" s="456">
        <f>'C1-Incomes'!JX29/'C1-Incomes'!$S29*100</f>
        <v>3.0514221183851968</v>
      </c>
      <c r="AJ27" s="456">
        <f>'C1-Incomes'!JY29/'C1-Incomes'!$T29*100</f>
        <v>3.3882862510151761</v>
      </c>
      <c r="AK27" s="456">
        <f>'C1-Incomes'!JZ29/'C1-Incomes'!$U29*100</f>
        <v>4.2666458212421636</v>
      </c>
      <c r="AL27" s="456">
        <f>'C1-Incomes'!KA29/'C1-Incomes'!$V29*100</f>
        <v>4.6067645878826466</v>
      </c>
      <c r="AM27" s="456">
        <f>'C1-Incomes'!KB29/'C1-Incomes'!$W29*100</f>
        <v>5.3872107939110858</v>
      </c>
      <c r="AN27" s="456">
        <f>'C1-Incomes'!KC29/'C1-Incomes'!$X29*100</f>
        <v>6.3385578610716848</v>
      </c>
      <c r="AO27" s="458"/>
      <c r="AP27" s="456">
        <f>('C1-Incomes'!KE29-'C1-Incomes'!KF29)/('C1-Incomes'!$R29-'C1-Incomes'!$S29)*100</f>
        <v>2.223427503243709</v>
      </c>
      <c r="AQ27" s="456">
        <f>'C1-Incomes'!KF29/'C1-Incomes'!$S29*100</f>
        <v>3.3377405142353997</v>
      </c>
      <c r="AR27" s="456">
        <f>'C1-Incomes'!KG29/'C1-Incomes'!$T29*100</f>
        <v>3.5260096156175242</v>
      </c>
      <c r="AS27" s="456">
        <f>'C1-Incomes'!KH29/'C1-Incomes'!$U29*100</f>
        <v>3.6739239644007284</v>
      </c>
      <c r="AT27" s="456">
        <f>'C1-Incomes'!KI29/'C1-Incomes'!$V29*100</f>
        <v>3.6412006204053355</v>
      </c>
      <c r="AU27" s="456">
        <f>'C1-Incomes'!KJ29/'C1-Incomes'!$W29*100</f>
        <v>3.5906605660003552</v>
      </c>
      <c r="AV27" s="456">
        <f>'C1-Incomes'!KK29/'C1-Incomes'!$X29*100</f>
        <v>3.6709490252346795</v>
      </c>
      <c r="AX27" s="456">
        <f>('C1-Incomes'!KM29-'C1-Incomes'!KN29)/('C1-Incomes'!$R29-'C1-Incomes'!$S29)*100</f>
        <v>7.1336127000240506</v>
      </c>
      <c r="AY27" s="456">
        <f>'C1-Incomes'!KN29/'C1-Incomes'!$S29*100</f>
        <v>4.4143529858467536</v>
      </c>
      <c r="AZ27" s="456">
        <f>'C1-Incomes'!KO29/'C1-Incomes'!$T29*100</f>
        <v>3.2506558962005965</v>
      </c>
      <c r="BA27" s="456">
        <f>'C1-Incomes'!KP29/'C1-Incomes'!$U29*100</f>
        <v>1.332356735549477</v>
      </c>
      <c r="BB27" s="456">
        <f>'C1-Incomes'!KQ29/'C1-Incomes'!$V29*100</f>
        <v>0.91835101085730397</v>
      </c>
      <c r="BC27" s="456">
        <f>'C1-Incomes'!KR29/'C1-Incomes'!$W29*100</f>
        <v>0.39314162294972466</v>
      </c>
      <c r="BD27" s="456">
        <f>'C1-Incomes'!KS29/'C1-Incomes'!$X29*100</f>
        <v>0.11308262914822151</v>
      </c>
      <c r="BE27" s="456"/>
      <c r="BF27" s="456">
        <f>('C1-Incomes'!LK29-'C1-Incomes'!LL29)/('C1-Incomes'!$R29-'C1-Incomes'!$S29)*100</f>
        <v>0.16124586747437475</v>
      </c>
      <c r="BG27" s="456">
        <f>'C1-Incomes'!LL29/'C1-Incomes'!$S29*100</f>
        <v>0.65983748445745527</v>
      </c>
      <c r="BH27" s="456">
        <f>'C1-Incomes'!LM29/'C1-Incomes'!$T29*100</f>
        <v>0.81562387028057037</v>
      </c>
      <c r="BI27" s="456">
        <f>'C1-Incomes'!LN29/'C1-Incomes'!$U29*100</f>
        <v>1.1215408056316021</v>
      </c>
      <c r="BJ27" s="456">
        <f>'C1-Incomes'!LO29/'C1-Incomes'!$V29*100</f>
        <v>1.1853243779820788</v>
      </c>
      <c r="BK27" s="456">
        <f>'C1-Incomes'!LP29/'C1-Incomes'!$W29*100</f>
        <v>1.3457226125529247</v>
      </c>
      <c r="BL27" s="456">
        <f>'C1-Incomes'!LQ29/'C1-Incomes'!$X29*100</f>
        <v>1.7312442588614481</v>
      </c>
      <c r="BN27" s="456">
        <f>('C1-Incomes'!KU29-'C1-Incomes'!KV29)/('C1-Incomes'!$R29-'C1-Incomes'!$S29)*100</f>
        <v>5.8347940947236587</v>
      </c>
      <c r="BO27" s="456">
        <f>'C1-Incomes'!KV29/'C1-Incomes'!$S29*100</f>
        <v>4.4047055702647331</v>
      </c>
      <c r="BP27" s="456">
        <f>'C1-Incomes'!KW29/'C1-Incomes'!$T29*100</f>
        <v>3.782231563558641</v>
      </c>
      <c r="BQ27" s="456">
        <f>'C1-Incomes'!KX29/'C1-Incomes'!$U29*100</f>
        <v>2.6286281809655567</v>
      </c>
      <c r="BR27" s="456">
        <f>'C1-Incomes'!KY29/'C1-Incomes'!$V29*100</f>
        <v>2.3103616873814334</v>
      </c>
      <c r="BS27" s="456">
        <f>'C1-Incomes'!KZ29/'C1-Incomes'!$W29*100</f>
        <v>1.8991469950151594</v>
      </c>
      <c r="BT27" s="456">
        <f>'C1-Incomes'!LA29/'C1-Incomes'!$X29*100</f>
        <v>1.6967229725426647</v>
      </c>
    </row>
    <row r="28" spans="1:72" s="452" customFormat="1" ht="12" x14ac:dyDescent="0.25">
      <c r="A28" s="239">
        <v>1982</v>
      </c>
      <c r="B28" s="456">
        <f t="shared" si="17"/>
        <v>24.405013143600041</v>
      </c>
      <c r="C28" s="456">
        <f t="shared" si="18"/>
        <v>33.41819853532693</v>
      </c>
      <c r="D28" s="456">
        <f t="shared" si="19"/>
        <v>34.056646126787776</v>
      </c>
      <c r="E28" s="456">
        <f t="shared" si="20"/>
        <v>35.869362928493651</v>
      </c>
      <c r="F28" s="456">
        <f t="shared" si="21"/>
        <v>36.392071870007584</v>
      </c>
      <c r="G28" s="456">
        <f t="shared" si="22"/>
        <v>37.943102784179047</v>
      </c>
      <c r="H28" s="456">
        <f t="shared" si="23"/>
        <v>39.440657813402559</v>
      </c>
      <c r="I28" s="456"/>
      <c r="J28" s="456">
        <f t="shared" si="24"/>
        <v>17.258480880218766</v>
      </c>
      <c r="K28" s="456">
        <f t="shared" si="25"/>
        <v>28.644717791309755</v>
      </c>
      <c r="L28" s="456">
        <f t="shared" si="26"/>
        <v>30.52544749539182</v>
      </c>
      <c r="M28" s="456">
        <f t="shared" si="27"/>
        <v>34.413170680641876</v>
      </c>
      <c r="N28" s="456">
        <f t="shared" si="28"/>
        <v>35.39825403213316</v>
      </c>
      <c r="O28" s="456">
        <f t="shared" si="29"/>
        <v>37.539264191039997</v>
      </c>
      <c r="P28" s="456">
        <f t="shared" si="30"/>
        <v>39.323566369962073</v>
      </c>
      <c r="Q28" s="456"/>
      <c r="R28" s="456">
        <f>('C1-Incomes'!JG30-'C1-Incomes'!JH30)/('C1-Incomes'!$R30-'C1-Incomes'!$S30)*100</f>
        <v>6.6868176011847584</v>
      </c>
      <c r="S28" s="456">
        <f>'C1-Incomes'!JH30/'C1-Incomes'!$S30*100</f>
        <v>15.665921139802441</v>
      </c>
      <c r="T28" s="456">
        <f>'C1-Incomes'!JI30/'C1-Incomes'!$T30*100</f>
        <v>17.294639381013756</v>
      </c>
      <c r="U28" s="456">
        <f>'C1-Incomes'!JJ30/'C1-Incomes'!$U30*100</f>
        <v>20.807875183709097</v>
      </c>
      <c r="V28" s="456">
        <f>'C1-Incomes'!JK30/'C1-Incomes'!$V30*100</f>
        <v>21.725677958111966</v>
      </c>
      <c r="W28" s="456">
        <f>'C1-Incomes'!JL30/'C1-Incomes'!$W30*100</f>
        <v>23.115485933211726</v>
      </c>
      <c r="X28" s="456">
        <f>'C1-Incomes'!JM30/'C1-Incomes'!$X30*100</f>
        <v>23.811345414301126</v>
      </c>
      <c r="Y28" s="458"/>
      <c r="Z28" s="456">
        <f>('C1-Incomes'!JO30-'C1-Incomes'!JP30)/('C1-Incomes'!$R30-'C1-Incomes'!$S30)*100</f>
        <v>1.2292389183086945</v>
      </c>
      <c r="AA28" s="456">
        <f>'C1-Incomes'!JP30/'C1-Incomes'!$S30*100</f>
        <v>2.6072535556581755</v>
      </c>
      <c r="AB28" s="456">
        <f>'C1-Incomes'!JQ30/'C1-Incomes'!$T30*100</f>
        <v>2.8115248190594349</v>
      </c>
      <c r="AC28" s="456">
        <f>'C1-Incomes'!JR30/'C1-Incomes'!$U30*100</f>
        <v>3.1621209688447998</v>
      </c>
      <c r="AD28" s="456">
        <f>'C1-Incomes'!JS30/'C1-Incomes'!$V30*100</f>
        <v>3.2400603043790706</v>
      </c>
      <c r="AE28" s="456">
        <f>'C1-Incomes'!JT30/'C1-Incomes'!$W30*100</f>
        <v>3.4754502820614492</v>
      </c>
      <c r="AF28" s="456">
        <f>'C1-Incomes'!JU30/'C1-Incomes'!$X30*100</f>
        <v>3.6846561002792995</v>
      </c>
      <c r="AG28" s="458"/>
      <c r="AH28" s="456">
        <f>('C1-Incomes'!JW30-'C1-Incomes'!JX30)/('C1-Incomes'!$R30-'C1-Incomes'!$S30)*100</f>
        <v>1.4103112277772485</v>
      </c>
      <c r="AI28" s="456">
        <f>'C1-Incomes'!JX30/'C1-Incomes'!$S30*100</f>
        <v>2.1046075645773965</v>
      </c>
      <c r="AJ28" s="456">
        <f>'C1-Incomes'!JY30/'C1-Incomes'!$T30*100</f>
        <v>2.3304995550782892</v>
      </c>
      <c r="AK28" s="456">
        <f>'C1-Incomes'!JZ30/'C1-Incomes'!$U30*100</f>
        <v>2.926969115491536</v>
      </c>
      <c r="AL28" s="456">
        <f>'C1-Incomes'!KA30/'C1-Incomes'!$V30*100</f>
        <v>3.1597585927811753</v>
      </c>
      <c r="AM28" s="456">
        <f>'C1-Incomes'!KB30/'C1-Incomes'!$W30*100</f>
        <v>3.7823219585836911</v>
      </c>
      <c r="AN28" s="456">
        <f>'C1-Incomes'!KC30/'C1-Incomes'!$X30*100</f>
        <v>4.3914206979651418</v>
      </c>
      <c r="AO28" s="458"/>
      <c r="AP28" s="456">
        <f>('C1-Incomes'!KE30-'C1-Incomes'!KF30)/('C1-Incomes'!$R30-'C1-Incomes'!$S30)*100</f>
        <v>2.3937962039394214</v>
      </c>
      <c r="AQ28" s="456">
        <f>'C1-Incomes'!KF30/'C1-Incomes'!$S30*100</f>
        <v>3.3823469308776737</v>
      </c>
      <c r="AR28" s="456">
        <f>'C1-Incomes'!KG30/'C1-Incomes'!$T30*100</f>
        <v>3.5961599584086512</v>
      </c>
      <c r="AS28" s="456">
        <f>'C1-Incomes'!KH30/'C1-Incomes'!$U30*100</f>
        <v>3.7649351081031761</v>
      </c>
      <c r="AT28" s="456">
        <f>'C1-Incomes'!KI30/'C1-Incomes'!$V30*100</f>
        <v>3.7552687590442293</v>
      </c>
      <c r="AU28" s="456">
        <f>'C1-Incomes'!KJ30/'C1-Incomes'!$W30*100</f>
        <v>3.8256661061340256</v>
      </c>
      <c r="AV28" s="456">
        <f>'C1-Incomes'!KK30/'C1-Incomes'!$X30*100</f>
        <v>3.9269866307571308</v>
      </c>
      <c r="AX28" s="456">
        <f>('C1-Incomes'!KM30-'C1-Incomes'!KN30)/('C1-Incomes'!$R30-'C1-Incomes'!$S30)*100</f>
        <v>7.1465322633812747</v>
      </c>
      <c r="AY28" s="456">
        <f>'C1-Incomes'!KN30/'C1-Incomes'!$S30*100</f>
        <v>4.7734807440171698</v>
      </c>
      <c r="AZ28" s="456">
        <f>'C1-Incomes'!KO30/'C1-Incomes'!$T30*100</f>
        <v>3.5311986313959571</v>
      </c>
      <c r="BA28" s="456">
        <f>'C1-Incomes'!KP30/'C1-Incomes'!$U30*100</f>
        <v>1.4561922478517808</v>
      </c>
      <c r="BB28" s="456">
        <f>'C1-Incomes'!KQ30/'C1-Incomes'!$V30*100</f>
        <v>0.99381783787442679</v>
      </c>
      <c r="BC28" s="456">
        <f>'C1-Incomes'!KR30/'C1-Incomes'!$W30*100</f>
        <v>0.4038385931390483</v>
      </c>
      <c r="BD28" s="456">
        <f>'C1-Incomes'!KS30/'C1-Incomes'!$X30*100</f>
        <v>0.11709144344048879</v>
      </c>
      <c r="BE28" s="456"/>
      <c r="BF28" s="456">
        <f>('C1-Incomes'!LK30-'C1-Incomes'!LL30)/('C1-Incomes'!$R30-'C1-Incomes'!$S30)*100</f>
        <v>0.16646248138959138</v>
      </c>
      <c r="BG28" s="456">
        <f>'C1-Incomes'!LL30/'C1-Incomes'!$S30*100</f>
        <v>0.68428820315950067</v>
      </c>
      <c r="BH28" s="456">
        <f>'C1-Incomes'!LM30/'C1-Incomes'!$T30*100</f>
        <v>0.8504900128977182</v>
      </c>
      <c r="BI28" s="456">
        <f>'C1-Incomes'!LN30/'C1-Incomes'!$U30*100</f>
        <v>1.1655203933836438</v>
      </c>
      <c r="BJ28" s="456">
        <f>'C1-Incomes'!LO30/'C1-Incomes'!$V30*100</f>
        <v>1.2165962389670124</v>
      </c>
      <c r="BK28" s="456">
        <f>'C1-Incomes'!LP30/'C1-Incomes'!$W30*100</f>
        <v>1.3533455809115198</v>
      </c>
      <c r="BL28" s="456">
        <f>'C1-Incomes'!LQ30/'C1-Incomes'!$X30*100</f>
        <v>1.6753356001440591</v>
      </c>
      <c r="BN28" s="456">
        <f>('C1-Incomes'!KU30-'C1-Incomes'!KV30)/('C1-Incomes'!$R30-'C1-Incomes'!$S30)*100</f>
        <v>5.3718544476190502</v>
      </c>
      <c r="BO28" s="456">
        <f>'C1-Incomes'!KV30/'C1-Incomes'!$S30*100</f>
        <v>4.2003003972345656</v>
      </c>
      <c r="BP28" s="456">
        <f>'C1-Incomes'!KW30/'C1-Incomes'!$T30*100</f>
        <v>3.6421337689339666</v>
      </c>
      <c r="BQ28" s="456">
        <f>'C1-Incomes'!KX30/'C1-Incomes'!$U30*100</f>
        <v>2.5857499111096174</v>
      </c>
      <c r="BR28" s="456">
        <f>'C1-Incomes'!KY30/'C1-Incomes'!$V30*100</f>
        <v>2.300892178849709</v>
      </c>
      <c r="BS28" s="456">
        <f>'C1-Incomes'!KZ30/'C1-Incomes'!$W30*100</f>
        <v>1.9869943301375856</v>
      </c>
      <c r="BT28" s="456">
        <f>'C1-Incomes'!LA30/'C1-Incomes'!$X30*100</f>
        <v>1.8338219265153177</v>
      </c>
    </row>
    <row r="29" spans="1:72" s="452" customFormat="1" ht="12" x14ac:dyDescent="0.25">
      <c r="A29" s="239">
        <v>1983</v>
      </c>
      <c r="B29" s="456">
        <f t="shared" si="17"/>
        <v>23.892812083363065</v>
      </c>
      <c r="C29" s="456">
        <f t="shared" si="18"/>
        <v>32.50458456111059</v>
      </c>
      <c r="D29" s="456">
        <f t="shared" si="19"/>
        <v>33.269529960878678</v>
      </c>
      <c r="E29" s="456">
        <f t="shared" si="20"/>
        <v>35.166695130179285</v>
      </c>
      <c r="F29" s="456">
        <f t="shared" si="21"/>
        <v>36.145552417178585</v>
      </c>
      <c r="G29" s="456">
        <f t="shared" si="22"/>
        <v>38.357510182278837</v>
      </c>
      <c r="H29" s="456">
        <f t="shared" si="23"/>
        <v>40.142960988922219</v>
      </c>
      <c r="I29" s="456"/>
      <c r="J29" s="456">
        <f t="shared" si="24"/>
        <v>16.752133922614576</v>
      </c>
      <c r="K29" s="456">
        <f t="shared" si="25"/>
        <v>27.639495008652133</v>
      </c>
      <c r="L29" s="456">
        <f t="shared" si="26"/>
        <v>29.564993988896447</v>
      </c>
      <c r="M29" s="456">
        <f t="shared" si="27"/>
        <v>33.683988012401883</v>
      </c>
      <c r="N29" s="456">
        <f t="shared" si="28"/>
        <v>35.134853195076147</v>
      </c>
      <c r="O29" s="456">
        <f t="shared" si="29"/>
        <v>37.935736118463623</v>
      </c>
      <c r="P29" s="456">
        <f t="shared" si="30"/>
        <v>40.024796502512288</v>
      </c>
      <c r="Q29" s="456"/>
      <c r="R29" s="456">
        <f>('C1-Incomes'!JG31-'C1-Incomes'!JH31)/('C1-Incomes'!$R31-'C1-Incomes'!$S31)*100</f>
        <v>5.8750492966637546</v>
      </c>
      <c r="S29" s="456">
        <f>'C1-Incomes'!JH31/'C1-Incomes'!$S31*100</f>
        <v>14.388845860283395</v>
      </c>
      <c r="T29" s="456">
        <f>'C1-Incomes'!JI31/'C1-Incomes'!$T31*100</f>
        <v>16.105139382272231</v>
      </c>
      <c r="U29" s="456">
        <f>'C1-Incomes'!JJ31/'C1-Incomes'!$U31*100</f>
        <v>19.889624371494783</v>
      </c>
      <c r="V29" s="456">
        <f>'C1-Incomes'!JK31/'C1-Incomes'!$V31*100</f>
        <v>21.23419898625399</v>
      </c>
      <c r="W29" s="456">
        <f>'C1-Incomes'!JL31/'C1-Incomes'!$W31*100</f>
        <v>23.455365513583473</v>
      </c>
      <c r="X29" s="456">
        <f>'C1-Incomes'!JM31/'C1-Incomes'!$X31*100</f>
        <v>24.67897436932472</v>
      </c>
      <c r="Y29" s="458"/>
      <c r="Z29" s="456">
        <f>('C1-Incomes'!JO31-'C1-Incomes'!JP31)/('C1-Incomes'!$R31-'C1-Incomes'!$S31)*100</f>
        <v>1.2738257655241827</v>
      </c>
      <c r="AA29" s="456">
        <f>'C1-Incomes'!JP31/'C1-Incomes'!$S31*100</f>
        <v>2.7260217253622763</v>
      </c>
      <c r="AB29" s="456">
        <f>'C1-Incomes'!JQ31/'C1-Incomes'!$T31*100</f>
        <v>2.9444548154563792</v>
      </c>
      <c r="AC29" s="456">
        <f>'C1-Incomes'!JR31/'C1-Incomes'!$U31*100</f>
        <v>3.3335013205235415</v>
      </c>
      <c r="AD29" s="456">
        <f>'C1-Incomes'!JS31/'C1-Incomes'!$V31*100</f>
        <v>3.4390323297134566</v>
      </c>
      <c r="AE29" s="456">
        <f>'C1-Incomes'!JT31/'C1-Incomes'!$W31*100</f>
        <v>3.6484503671171757</v>
      </c>
      <c r="AF29" s="456">
        <f>'C1-Incomes'!JU31/'C1-Incomes'!$X31*100</f>
        <v>3.8070373878704022</v>
      </c>
      <c r="AG29" s="458"/>
      <c r="AH29" s="456">
        <f>('C1-Incomes'!JW31-'C1-Incomes'!JX31)/('C1-Incomes'!$R31-'C1-Incomes'!$S31)*100</f>
        <v>1.7130695385868155</v>
      </c>
      <c r="AI29" s="456">
        <f>'C1-Incomes'!JX31/'C1-Incomes'!$S31*100</f>
        <v>2.4787627970311452</v>
      </c>
      <c r="AJ29" s="456">
        <f>'C1-Incomes'!JY31/'C1-Incomes'!$T31*100</f>
        <v>2.7186019340457666</v>
      </c>
      <c r="AK29" s="456">
        <f>'C1-Incomes'!JZ31/'C1-Incomes'!$U31*100</f>
        <v>3.3341623352912362</v>
      </c>
      <c r="AL29" s="456">
        <f>'C1-Incomes'!KA31/'C1-Incomes'!$V31*100</f>
        <v>3.5576225274222355</v>
      </c>
      <c r="AM29" s="456">
        <f>'C1-Incomes'!KB31/'C1-Incomes'!$W31*100</f>
        <v>4.057882083079015</v>
      </c>
      <c r="AN29" s="456">
        <f>'C1-Incomes'!KC31/'C1-Incomes'!$X31*100</f>
        <v>4.496327525595599</v>
      </c>
      <c r="AO29" s="458"/>
      <c r="AP29" s="456">
        <f>('C1-Incomes'!KE31-'C1-Incomes'!KF31)/('C1-Incomes'!$R31-'C1-Incomes'!$S31)*100</f>
        <v>2.4219806648322675</v>
      </c>
      <c r="AQ29" s="456">
        <f>'C1-Incomes'!KF31/'C1-Incomes'!$S31*100</f>
        <v>3.303302312678781</v>
      </c>
      <c r="AR29" s="456">
        <f>'C1-Incomes'!KG31/'C1-Incomes'!$T31*100</f>
        <v>3.4731006597725296</v>
      </c>
      <c r="AS29" s="456">
        <f>'C1-Incomes'!KH31/'C1-Incomes'!$U31*100</f>
        <v>3.6643727150117211</v>
      </c>
      <c r="AT29" s="456">
        <f>'C1-Incomes'!KI31/'C1-Incomes'!$V31*100</f>
        <v>3.6833681592799663</v>
      </c>
      <c r="AU29" s="456">
        <f>'C1-Incomes'!KJ31/'C1-Incomes'!$W31*100</f>
        <v>3.8105313856732796</v>
      </c>
      <c r="AV29" s="456">
        <f>'C1-Incomes'!KK31/'C1-Incomes'!$X31*100</f>
        <v>4.0384619518829572</v>
      </c>
      <c r="AX29" s="456">
        <f>('C1-Incomes'!KM31-'C1-Incomes'!KN31)/('C1-Incomes'!$R31-'C1-Incomes'!$S31)*100</f>
        <v>7.140678160748493</v>
      </c>
      <c r="AY29" s="456">
        <f>'C1-Incomes'!KN31/'C1-Incomes'!$S31*100</f>
        <v>4.8650895524584561</v>
      </c>
      <c r="AZ29" s="456">
        <f>'C1-Incomes'!KO31/'C1-Incomes'!$T31*100</f>
        <v>3.7045359719822359</v>
      </c>
      <c r="BA29" s="456">
        <f>'C1-Incomes'!KP31/'C1-Incomes'!$U31*100</f>
        <v>1.4827071177773981</v>
      </c>
      <c r="BB29" s="456">
        <f>'C1-Incomes'!KQ31/'C1-Incomes'!$V31*100</f>
        <v>1.0106992221024365</v>
      </c>
      <c r="BC29" s="456">
        <f>'C1-Incomes'!KR31/'C1-Incomes'!$W31*100</f>
        <v>0.42177406381521704</v>
      </c>
      <c r="BD29" s="456">
        <f>'C1-Incomes'!KS31/'C1-Incomes'!$X31*100</f>
        <v>0.11816448640993332</v>
      </c>
      <c r="BE29" s="456"/>
      <c r="BF29" s="456">
        <f>('C1-Incomes'!LK31-'C1-Incomes'!LL31)/('C1-Incomes'!$R31-'C1-Incomes'!$S31)*100</f>
        <v>0.12598940312067847</v>
      </c>
      <c r="BG29" s="456">
        <f>'C1-Incomes'!LL31/'C1-Incomes'!$S31*100</f>
        <v>0.52021501408084514</v>
      </c>
      <c r="BH29" s="456">
        <f>'C1-Incomes'!LM31/'C1-Incomes'!$T31*100</f>
        <v>0.64577783628643493</v>
      </c>
      <c r="BI29" s="456">
        <f>'C1-Incomes'!LN31/'C1-Incomes'!$U31*100</f>
        <v>0.88854986386449752</v>
      </c>
      <c r="BJ29" s="456">
        <f>'C1-Incomes'!LO31/'C1-Incomes'!$V31*100</f>
        <v>0.93176473826394657</v>
      </c>
      <c r="BK29" s="456">
        <f>'C1-Incomes'!LP31/'C1-Incomes'!$W31*100</f>
        <v>1.0432723242732505</v>
      </c>
      <c r="BL29" s="456">
        <f>'C1-Incomes'!LQ31/'C1-Incomes'!$X31*100</f>
        <v>1.2699913490161461</v>
      </c>
      <c r="BN29" s="456">
        <f>('C1-Incomes'!KU31-'C1-Incomes'!KV31)/('C1-Incomes'!$R31-'C1-Incomes'!$S31)*100</f>
        <v>5.3422192538868787</v>
      </c>
      <c r="BO29" s="456">
        <f>'C1-Incomes'!KV31/'C1-Incomes'!$S31*100</f>
        <v>4.2223472992156941</v>
      </c>
      <c r="BP29" s="456">
        <f>'C1-Incomes'!KW31/'C1-Incomes'!$T31*100</f>
        <v>3.6779193610631067</v>
      </c>
      <c r="BQ29" s="456">
        <f>'C1-Incomes'!KX31/'C1-Incomes'!$U31*100</f>
        <v>2.5737774062161054</v>
      </c>
      <c r="BR29" s="456">
        <f>'C1-Incomes'!KY31/'C1-Incomes'!$V31*100</f>
        <v>2.2888664541425601</v>
      </c>
      <c r="BS29" s="456">
        <f>'C1-Incomes'!KZ31/'C1-Incomes'!$W31*100</f>
        <v>1.9202344447374213</v>
      </c>
      <c r="BT29" s="456">
        <f>'C1-Incomes'!LA31/'C1-Incomes'!$X31*100</f>
        <v>1.7340039188224692</v>
      </c>
    </row>
    <row r="30" spans="1:72" s="452" customFormat="1" ht="12" x14ac:dyDescent="0.25">
      <c r="A30" s="239">
        <v>1984</v>
      </c>
      <c r="B30" s="456">
        <f t="shared" si="17"/>
        <v>24.274230463041011</v>
      </c>
      <c r="C30" s="456">
        <f t="shared" si="18"/>
        <v>31.539087376096063</v>
      </c>
      <c r="D30" s="456">
        <f t="shared" si="19"/>
        <v>32.107653759106853</v>
      </c>
      <c r="E30" s="456">
        <f t="shared" si="20"/>
        <v>33.858537518649833</v>
      </c>
      <c r="F30" s="456">
        <f t="shared" si="21"/>
        <v>34.776290284461815</v>
      </c>
      <c r="G30" s="456">
        <f t="shared" si="22"/>
        <v>37.298805171501996</v>
      </c>
      <c r="H30" s="456">
        <f t="shared" si="23"/>
        <v>39.588762430567051</v>
      </c>
      <c r="I30" s="456"/>
      <c r="J30" s="456">
        <f t="shared" si="24"/>
        <v>16.853837790722601</v>
      </c>
      <c r="K30" s="456">
        <f t="shared" si="25"/>
        <v>26.856894130636206</v>
      </c>
      <c r="L30" s="456">
        <f t="shared" si="26"/>
        <v>28.58912652623097</v>
      </c>
      <c r="M30" s="456">
        <f t="shared" si="27"/>
        <v>32.480947790988239</v>
      </c>
      <c r="N30" s="456">
        <f t="shared" si="28"/>
        <v>33.842912288222259</v>
      </c>
      <c r="O30" s="456">
        <f t="shared" si="29"/>
        <v>36.919442131799769</v>
      </c>
      <c r="P30" s="456">
        <f t="shared" si="30"/>
        <v>39.477851578142385</v>
      </c>
      <c r="Q30" s="456"/>
      <c r="R30" s="456">
        <f>('C1-Incomes'!JG32-'C1-Incomes'!JH32)/('C1-Incomes'!$R32-'C1-Incomes'!$S32)*100</f>
        <v>5.5258860013827347</v>
      </c>
      <c r="S30" s="456">
        <f>'C1-Incomes'!JH32/'C1-Incomes'!$S32*100</f>
        <v>13.550350091168378</v>
      </c>
      <c r="T30" s="456">
        <f>'C1-Incomes'!JI32/'C1-Incomes'!$T32*100</f>
        <v>15.218655402236184</v>
      </c>
      <c r="U30" s="456">
        <f>'C1-Incomes'!JJ32/'C1-Incomes'!$U32*100</f>
        <v>18.960621479659348</v>
      </c>
      <c r="V30" s="456">
        <f>'C1-Incomes'!JK32/'C1-Incomes'!$V32*100</f>
        <v>20.286506302666186</v>
      </c>
      <c r="W30" s="456">
        <f>'C1-Incomes'!JL32/'C1-Incomes'!$W32*100</f>
        <v>22.630417488551693</v>
      </c>
      <c r="X30" s="456">
        <f>'C1-Incomes'!JM32/'C1-Incomes'!$X32*100</f>
        <v>24.823509808222322</v>
      </c>
      <c r="Y30" s="458"/>
      <c r="Z30" s="456">
        <f>('C1-Incomes'!JO32-'C1-Incomes'!JP32)/('C1-Incomes'!$R32-'C1-Incomes'!$S32)*100</f>
        <v>1.3184746826523546</v>
      </c>
      <c r="AA30" s="456">
        <f>'C1-Incomes'!JP32/'C1-Incomes'!$S32*100</f>
        <v>2.8245323245328158</v>
      </c>
      <c r="AB30" s="456">
        <f>'C1-Incomes'!JQ32/'C1-Incomes'!$T32*100</f>
        <v>3.0537748324236906</v>
      </c>
      <c r="AC30" s="456">
        <f>'C1-Incomes'!JR32/'C1-Incomes'!$U32*100</f>
        <v>3.5480552339219278</v>
      </c>
      <c r="AD30" s="456">
        <f>'C1-Incomes'!JS32/'C1-Incomes'!$V32*100</f>
        <v>3.7282302644216099</v>
      </c>
      <c r="AE30" s="456">
        <f>'C1-Incomes'!JT32/'C1-Incomes'!$W32*100</f>
        <v>4.1473817552378183</v>
      </c>
      <c r="AF30" s="456">
        <f>'C1-Incomes'!JU32/'C1-Incomes'!$X32*100</f>
        <v>4.0200170021490695</v>
      </c>
      <c r="AG30" s="458"/>
      <c r="AH30" s="456">
        <f>('C1-Incomes'!JW32-'C1-Incomes'!JX32)/('C1-Incomes'!$R32-'C1-Incomes'!$S32)*100</f>
        <v>1.9503208001561343</v>
      </c>
      <c r="AI30" s="456">
        <f>'C1-Incomes'!JX32/'C1-Incomes'!$S32*100</f>
        <v>2.564757922152558</v>
      </c>
      <c r="AJ30" s="456">
        <f>'C1-Incomes'!JY32/'C1-Incomes'!$T32*100</f>
        <v>2.7356625001875483</v>
      </c>
      <c r="AK30" s="456">
        <f>'C1-Incomes'!JZ32/'C1-Incomes'!$U32*100</f>
        <v>3.2168209755689077</v>
      </c>
      <c r="AL30" s="456">
        <f>'C1-Incomes'!KA32/'C1-Incomes'!$V32*100</f>
        <v>3.339520140092092</v>
      </c>
      <c r="AM30" s="456">
        <f>'C1-Incomes'!KB32/'C1-Incomes'!$W32*100</f>
        <v>3.737182649240836</v>
      </c>
      <c r="AN30" s="456">
        <f>'C1-Incomes'!KC32/'C1-Incomes'!$X32*100</f>
        <v>4.0784016076419016</v>
      </c>
      <c r="AO30" s="458"/>
      <c r="AP30" s="456">
        <f>('C1-Incomes'!KE32-'C1-Incomes'!KF32)/('C1-Incomes'!$R32-'C1-Incomes'!$S32)*100</f>
        <v>2.4001063112263634</v>
      </c>
      <c r="AQ30" s="456">
        <f>'C1-Incomes'!KF32/'C1-Incomes'!$S32*100</f>
        <v>3.1063046303554307</v>
      </c>
      <c r="AR30" s="456">
        <f>'C1-Incomes'!KG32/'C1-Incomes'!$T32*100</f>
        <v>3.2478387873673902</v>
      </c>
      <c r="AS30" s="456">
        <f>'C1-Incomes'!KH32/'C1-Incomes'!$U32*100</f>
        <v>3.3293435632016086</v>
      </c>
      <c r="AT30" s="456">
        <f>'C1-Incomes'!KI32/'C1-Incomes'!$V32*100</f>
        <v>3.3199576029339442</v>
      </c>
      <c r="AU30" s="456">
        <f>'C1-Incomes'!KJ32/'C1-Incomes'!$W32*100</f>
        <v>3.4751538836382574</v>
      </c>
      <c r="AV30" s="456">
        <f>'C1-Incomes'!KK32/'C1-Incomes'!$X32*100</f>
        <v>3.7158981609378419</v>
      </c>
      <c r="AX30" s="456">
        <f>('C1-Incomes'!KM32-'C1-Incomes'!KN32)/('C1-Incomes'!$R32-'C1-Incomes'!$S32)*100</f>
        <v>7.4203926723184113</v>
      </c>
      <c r="AY30" s="456">
        <f>'C1-Incomes'!KN32/'C1-Incomes'!$S32*100</f>
        <v>4.6821932454598549</v>
      </c>
      <c r="AZ30" s="456">
        <f>'C1-Incomes'!KO32/'C1-Incomes'!$T32*100</f>
        <v>3.5185272328758797</v>
      </c>
      <c r="BA30" s="456">
        <f>'C1-Incomes'!KP32/'C1-Incomes'!$U32*100</f>
        <v>1.3775897276615929</v>
      </c>
      <c r="BB30" s="456">
        <f>'C1-Incomes'!KQ32/'C1-Incomes'!$V32*100</f>
        <v>0.93337799623955364</v>
      </c>
      <c r="BC30" s="456">
        <f>'C1-Incomes'!KR32/'C1-Incomes'!$W32*100</f>
        <v>0.37936303970222607</v>
      </c>
      <c r="BD30" s="456">
        <f>'C1-Incomes'!KS32/'C1-Incomes'!$X32*100</f>
        <v>0.11091085242466352</v>
      </c>
      <c r="BE30" s="456"/>
      <c r="BF30" s="456">
        <f>('C1-Incomes'!LK32-'C1-Incomes'!LL32)/('C1-Incomes'!$R32-'C1-Incomes'!$S32)*100</f>
        <v>0.11504741626303726</v>
      </c>
      <c r="BG30" s="456">
        <f>'C1-Incomes'!LL32/'C1-Incomes'!$S32*100</f>
        <v>0.4641228107318896</v>
      </c>
      <c r="BH30" s="456">
        <f>'C1-Incomes'!LM32/'C1-Incomes'!$T32*100</f>
        <v>0.57311283077446662</v>
      </c>
      <c r="BI30" s="456">
        <f>'C1-Incomes'!LN32/'C1-Incomes'!$U32*100</f>
        <v>0.77804083292026971</v>
      </c>
      <c r="BJ30" s="456">
        <f>'C1-Incomes'!LO32/'C1-Incomes'!$V32*100</f>
        <v>0.81217723570533307</v>
      </c>
      <c r="BK30" s="456">
        <f>'C1-Incomes'!LP32/'C1-Incomes'!$W32*100</f>
        <v>0.89470782085435785</v>
      </c>
      <c r="BL30" s="456">
        <f>'C1-Incomes'!LQ32/'C1-Incomes'!$X32*100</f>
        <v>1.0667070274153181</v>
      </c>
      <c r="BN30" s="456">
        <f>('C1-Incomes'!KU32-'C1-Incomes'!KV32)/('C1-Incomes'!$R32-'C1-Incomes'!$S32)*100</f>
        <v>5.544002579041976</v>
      </c>
      <c r="BO30" s="456">
        <f>'C1-Incomes'!KV32/'C1-Incomes'!$S32*100</f>
        <v>4.3468263516951318</v>
      </c>
      <c r="BP30" s="456">
        <f>'C1-Incomes'!KW32/'C1-Incomes'!$T32*100</f>
        <v>3.7600821732416909</v>
      </c>
      <c r="BQ30" s="456">
        <f>'C1-Incomes'!KX32/'C1-Incomes'!$U32*100</f>
        <v>2.6480657057161778</v>
      </c>
      <c r="BR30" s="456">
        <f>'C1-Incomes'!KY32/'C1-Incomes'!$V32*100</f>
        <v>2.3565207424030969</v>
      </c>
      <c r="BS30" s="456">
        <f>'C1-Incomes'!KZ32/'C1-Incomes'!$W32*100</f>
        <v>2.0345985342768111</v>
      </c>
      <c r="BT30" s="456">
        <f>'C1-Incomes'!LA32/'C1-Incomes'!$X32*100</f>
        <v>1.773317971775928</v>
      </c>
    </row>
    <row r="31" spans="1:72" s="452" customFormat="1" ht="12" x14ac:dyDescent="0.25">
      <c r="A31" s="239">
        <v>1985</v>
      </c>
      <c r="B31" s="456">
        <f t="shared" si="17"/>
        <v>24.458762248040909</v>
      </c>
      <c r="C31" s="456">
        <f t="shared" si="18"/>
        <v>32.51308770791298</v>
      </c>
      <c r="D31" s="456">
        <f t="shared" si="19"/>
        <v>33.395734466147722</v>
      </c>
      <c r="E31" s="456">
        <f t="shared" si="20"/>
        <v>35.763564128340221</v>
      </c>
      <c r="F31" s="456">
        <f t="shared" si="21"/>
        <v>36.887446197725275</v>
      </c>
      <c r="G31" s="456">
        <f t="shared" si="22"/>
        <v>39.704463064635632</v>
      </c>
      <c r="H31" s="456">
        <f t="shared" si="23"/>
        <v>42.244857731871988</v>
      </c>
      <c r="I31" s="456"/>
      <c r="J31" s="456">
        <f t="shared" si="24"/>
        <v>16.837933015927813</v>
      </c>
      <c r="K31" s="456">
        <f t="shared" si="25"/>
        <v>27.797834717474977</v>
      </c>
      <c r="L31" s="456">
        <f t="shared" si="26"/>
        <v>29.827930249035433</v>
      </c>
      <c r="M31" s="456">
        <f t="shared" si="27"/>
        <v>34.331226380441365</v>
      </c>
      <c r="N31" s="456">
        <f t="shared" si="28"/>
        <v>35.935481862095379</v>
      </c>
      <c r="O31" s="456">
        <f t="shared" si="29"/>
        <v>39.301230298625363</v>
      </c>
      <c r="P31" s="456">
        <f t="shared" si="30"/>
        <v>42.143302426503865</v>
      </c>
      <c r="Q31" s="456"/>
      <c r="R31" s="456">
        <f>('C1-Incomes'!JG33-'C1-Incomes'!JH33)/('C1-Incomes'!$R33-'C1-Incomes'!$S33)*100</f>
        <v>5.6459629954942816</v>
      </c>
      <c r="S31" s="456">
        <f>'C1-Incomes'!JH33/'C1-Incomes'!$S33*100</f>
        <v>14.408202680590573</v>
      </c>
      <c r="T31" s="456">
        <f>'C1-Incomes'!JI33/'C1-Incomes'!$T33*100</f>
        <v>16.276892534622718</v>
      </c>
      <c r="U31" s="456">
        <f>'C1-Incomes'!JJ33/'C1-Incomes'!$U33*100</f>
        <v>20.506562307040014</v>
      </c>
      <c r="V31" s="456">
        <f>'C1-Incomes'!JK33/'C1-Incomes'!$V33*100</f>
        <v>21.895032890514596</v>
      </c>
      <c r="W31" s="456">
        <f>'C1-Incomes'!JL33/'C1-Incomes'!$W33*100</f>
        <v>24.57154328706612</v>
      </c>
      <c r="X31" s="456">
        <f>'C1-Incomes'!JM33/'C1-Incomes'!$X33*100</f>
        <v>26.438460352998572</v>
      </c>
      <c r="Y31" s="458"/>
      <c r="Z31" s="456">
        <f>('C1-Incomes'!JO33-'C1-Incomes'!JP33)/('C1-Incomes'!$R33-'C1-Incomes'!$S33)*100</f>
        <v>1.2373829935945047</v>
      </c>
      <c r="AA31" s="456">
        <f>'C1-Incomes'!JP33/'C1-Incomes'!$S33*100</f>
        <v>3.0180527378175461</v>
      </c>
      <c r="AB31" s="456">
        <f>'C1-Incomes'!JQ33/'C1-Incomes'!$T33*100</f>
        <v>3.3156387648637287</v>
      </c>
      <c r="AC31" s="456">
        <f>'C1-Incomes'!JR33/'C1-Incomes'!$U33*100</f>
        <v>3.9127515896188227</v>
      </c>
      <c r="AD31" s="456">
        <f>'C1-Incomes'!JS33/'C1-Incomes'!$V33*100</f>
        <v>4.1543550552500266</v>
      </c>
      <c r="AE31" s="456">
        <f>'C1-Incomes'!JT33/'C1-Incomes'!$W33*100</f>
        <v>4.6151226190596093</v>
      </c>
      <c r="AF31" s="456">
        <f>'C1-Incomes'!JU33/'C1-Incomes'!$X33*100</f>
        <v>4.6999906686569455</v>
      </c>
      <c r="AG31" s="458"/>
      <c r="AH31" s="456">
        <f>('C1-Incomes'!JW33-'C1-Incomes'!JX33)/('C1-Incomes'!$R33-'C1-Incomes'!$S33)*100</f>
        <v>1.8196982083941549</v>
      </c>
      <c r="AI31" s="456">
        <f>'C1-Incomes'!JX33/'C1-Incomes'!$S33*100</f>
        <v>2.4239902673200691</v>
      </c>
      <c r="AJ31" s="456">
        <f>'C1-Incomes'!JY33/'C1-Incomes'!$T33*100</f>
        <v>2.5911762022887181</v>
      </c>
      <c r="AK31" s="456">
        <f>'C1-Incomes'!JZ33/'C1-Incomes'!$U33*100</f>
        <v>3.0321942685235594</v>
      </c>
      <c r="AL31" s="456">
        <f>'C1-Incomes'!KA33/'C1-Incomes'!$V33*100</f>
        <v>3.2266320798106736</v>
      </c>
      <c r="AM31" s="456">
        <f>'C1-Incomes'!KB33/'C1-Incomes'!$W33*100</f>
        <v>3.5809070990470016</v>
      </c>
      <c r="AN31" s="456">
        <f>'C1-Incomes'!KC33/'C1-Incomes'!$X33*100</f>
        <v>4.1139382589892852</v>
      </c>
      <c r="AO31" s="458"/>
      <c r="AP31" s="456">
        <f>('C1-Incomes'!KE33-'C1-Incomes'!KF33)/('C1-Incomes'!$R33-'C1-Incomes'!$S33)*100</f>
        <v>2.4215317044489741</v>
      </c>
      <c r="AQ31" s="456">
        <f>'C1-Incomes'!KF33/'C1-Incomes'!$S33*100</f>
        <v>3.1342364233413869</v>
      </c>
      <c r="AR31" s="456">
        <f>'C1-Incomes'!KG33/'C1-Incomes'!$T33*100</f>
        <v>3.2881292641888451</v>
      </c>
      <c r="AS31" s="456">
        <f>'C1-Incomes'!KH33/'C1-Incomes'!$U33*100</f>
        <v>3.4424978848706913</v>
      </c>
      <c r="AT31" s="456">
        <f>'C1-Incomes'!KI33/'C1-Incomes'!$V33*100</f>
        <v>3.4748044708444037</v>
      </c>
      <c r="AU31" s="456">
        <f>'C1-Incomes'!KJ33/'C1-Incomes'!$W33*100</f>
        <v>3.5546511764868773</v>
      </c>
      <c r="AV31" s="456">
        <f>'C1-Incomes'!KK33/'C1-Incomes'!$X33*100</f>
        <v>3.9162813371373582</v>
      </c>
      <c r="AX31" s="456">
        <f>('C1-Incomes'!KM33-'C1-Incomes'!KN33)/('C1-Incomes'!$R33-'C1-Incomes'!$S33)*100</f>
        <v>7.6208292321130982</v>
      </c>
      <c r="AY31" s="456">
        <f>'C1-Incomes'!KN33/'C1-Incomes'!$S33*100</f>
        <v>4.7152529904380094</v>
      </c>
      <c r="AZ31" s="456">
        <f>'C1-Incomes'!KO33/'C1-Incomes'!$T33*100</f>
        <v>3.5678042171122852</v>
      </c>
      <c r="BA31" s="456">
        <f>'C1-Incomes'!KP33/'C1-Incomes'!$U33*100</f>
        <v>1.4323377478988539</v>
      </c>
      <c r="BB31" s="456">
        <f>'C1-Incomes'!KQ33/'C1-Incomes'!$V33*100</f>
        <v>0.95196433562989791</v>
      </c>
      <c r="BC31" s="456">
        <f>'C1-Incomes'!KR33/'C1-Incomes'!$W33*100</f>
        <v>0.4032327660102677</v>
      </c>
      <c r="BD31" s="456">
        <f>'C1-Incomes'!KS33/'C1-Incomes'!$X33*100</f>
        <v>0.10155530536812207</v>
      </c>
      <c r="BE31" s="456"/>
      <c r="BF31" s="456">
        <f>('C1-Incomes'!LK33-'C1-Incomes'!LL33)/('C1-Incomes'!$R33-'C1-Incomes'!$S33)*100</f>
        <v>0.11312269911288479</v>
      </c>
      <c r="BG31" s="456">
        <f>'C1-Incomes'!LL33/'C1-Incomes'!$S33*100</f>
        <v>0.46872161213813524</v>
      </c>
      <c r="BH31" s="456">
        <f>'C1-Incomes'!LM33/'C1-Incomes'!$T33*100</f>
        <v>0.58183057256651793</v>
      </c>
      <c r="BI31" s="456">
        <f>'C1-Incomes'!LN33/'C1-Incomes'!$U33*100</f>
        <v>0.80111163295607624</v>
      </c>
      <c r="BJ31" s="456">
        <f>'C1-Incomes'!LO33/'C1-Incomes'!$V33*100</f>
        <v>0.84074806896014265</v>
      </c>
      <c r="BK31" s="456">
        <f>'C1-Incomes'!LP33/'C1-Incomes'!$W33*100</f>
        <v>0.93474225079815143</v>
      </c>
      <c r="BL31" s="456">
        <f>'C1-Incomes'!LQ33/'C1-Incomes'!$X33*100</f>
        <v>1.0785695296569209</v>
      </c>
      <c r="BN31" s="456">
        <f>('C1-Incomes'!KU33-'C1-Incomes'!KV33)/('C1-Incomes'!$R33-'C1-Incomes'!$S33)*100</f>
        <v>5.6002344148830128</v>
      </c>
      <c r="BO31" s="456">
        <f>'C1-Incomes'!KV33/'C1-Incomes'!$S33*100</f>
        <v>4.3446309962672656</v>
      </c>
      <c r="BP31" s="456">
        <f>'C1-Incomes'!KW33/'C1-Incomes'!$T33*100</f>
        <v>3.7742629105049068</v>
      </c>
      <c r="BQ31" s="456">
        <f>'C1-Incomes'!KX33/'C1-Incomes'!$U33*100</f>
        <v>2.6361086974322023</v>
      </c>
      <c r="BR31" s="456">
        <f>'C1-Incomes'!KY33/'C1-Incomes'!$V33*100</f>
        <v>2.3439092967155393</v>
      </c>
      <c r="BS31" s="456">
        <f>'C1-Incomes'!KZ33/'C1-Incomes'!$W33*100</f>
        <v>2.0442638661676011</v>
      </c>
      <c r="BT31" s="456">
        <f>'C1-Incomes'!LA33/'C1-Incomes'!$X33*100</f>
        <v>1.8960622790647912</v>
      </c>
    </row>
    <row r="32" spans="1:72" s="452" customFormat="1" ht="12" x14ac:dyDescent="0.25">
      <c r="A32" s="239">
        <v>1986</v>
      </c>
      <c r="B32" s="456">
        <f t="shared" si="17"/>
        <v>24.345393632280395</v>
      </c>
      <c r="C32" s="456">
        <f t="shared" si="18"/>
        <v>34.092015791872193</v>
      </c>
      <c r="D32" s="456">
        <f t="shared" si="19"/>
        <v>35.66151677654053</v>
      </c>
      <c r="E32" s="456">
        <f t="shared" si="20"/>
        <v>39.959560314712398</v>
      </c>
      <c r="F32" s="456">
        <f t="shared" si="21"/>
        <v>41.967812342061663</v>
      </c>
      <c r="G32" s="456">
        <f t="shared" si="22"/>
        <v>47.028255278723677</v>
      </c>
      <c r="H32" s="456">
        <f t="shared" si="23"/>
        <v>49.677497798844989</v>
      </c>
      <c r="I32" s="456"/>
      <c r="J32" s="456">
        <f t="shared" si="24"/>
        <v>16.613070667457386</v>
      </c>
      <c r="K32" s="456">
        <f t="shared" si="25"/>
        <v>28.939319753412132</v>
      </c>
      <c r="L32" s="456">
        <f t="shared" si="26"/>
        <v>31.75262052661499</v>
      </c>
      <c r="M32" s="456">
        <f t="shared" si="27"/>
        <v>38.35204103362009</v>
      </c>
      <c r="N32" s="456">
        <f t="shared" si="28"/>
        <v>40.878903499957687</v>
      </c>
      <c r="O32" s="456">
        <f t="shared" si="29"/>
        <v>46.635783994056261</v>
      </c>
      <c r="P32" s="456">
        <f t="shared" si="30"/>
        <v>49.546229634929013</v>
      </c>
      <c r="Q32" s="456"/>
      <c r="R32" s="456">
        <f>('C1-Incomes'!JG34-'C1-Incomes'!JH34)/('C1-Incomes'!$R34-'C1-Incomes'!$S34)*100</f>
        <v>5.3468213858664262</v>
      </c>
      <c r="S32" s="456">
        <f>'C1-Incomes'!JH34/'C1-Incomes'!$S34*100</f>
        <v>15.092641751835389</v>
      </c>
      <c r="T32" s="456">
        <f>'C1-Incomes'!JI34/'C1-Incomes'!$T34*100</f>
        <v>17.596664342682388</v>
      </c>
      <c r="U32" s="456">
        <f>'C1-Incomes'!JJ34/'C1-Incomes'!$U34*100</f>
        <v>23.487075840260712</v>
      </c>
      <c r="V32" s="456">
        <f>'C1-Incomes'!JK34/'C1-Incomes'!$V34*100</f>
        <v>25.69837933265331</v>
      </c>
      <c r="W32" s="456">
        <f>'C1-Incomes'!JL34/'C1-Incomes'!$W34*100</f>
        <v>30.081804842728733</v>
      </c>
      <c r="X32" s="456">
        <f>'C1-Incomes'!JM34/'C1-Incomes'!$X34*100</f>
        <v>32.86912918228974</v>
      </c>
      <c r="Y32" s="458"/>
      <c r="Z32" s="456">
        <f>('C1-Incomes'!JO34-'C1-Incomes'!JP34)/('C1-Incomes'!$R34-'C1-Incomes'!$S34)*100</f>
        <v>1.2292043019384176</v>
      </c>
      <c r="AA32" s="456">
        <f>'C1-Incomes'!JP34/'C1-Incomes'!$S34*100</f>
        <v>3.204809892548556</v>
      </c>
      <c r="AB32" s="456">
        <f>'C1-Incomes'!JQ34/'C1-Incomes'!$T34*100</f>
        <v>3.5911485117090249</v>
      </c>
      <c r="AC32" s="456">
        <f>'C1-Incomes'!JR34/'C1-Incomes'!$U34*100</f>
        <v>4.4440140472839254</v>
      </c>
      <c r="AD32" s="456">
        <f>'C1-Incomes'!JS34/'C1-Incomes'!$V34*100</f>
        <v>4.7813300274100916</v>
      </c>
      <c r="AE32" s="456">
        <f>'C1-Incomes'!JT34/'C1-Incomes'!$W34*100</f>
        <v>5.7228092009319917</v>
      </c>
      <c r="AF32" s="456">
        <f>'C1-Incomes'!JU34/'C1-Incomes'!$X34*100</f>
        <v>5.7242901102845325</v>
      </c>
      <c r="AG32" s="458"/>
      <c r="AH32" s="456">
        <f>('C1-Incomes'!JW34-'C1-Incomes'!JX34)/('C1-Incomes'!$R34-'C1-Incomes'!$S34)*100</f>
        <v>1.9504216047411518</v>
      </c>
      <c r="AI32" s="456">
        <f>'C1-Incomes'!JX34/'C1-Incomes'!$S34*100</f>
        <v>2.6287982957194762</v>
      </c>
      <c r="AJ32" s="456">
        <f>'C1-Incomes'!JY34/'C1-Incomes'!$T34*100</f>
        <v>2.8361877088883332</v>
      </c>
      <c r="AK32" s="456">
        <f>'C1-Incomes'!JZ34/'C1-Incomes'!$U34*100</f>
        <v>3.3958288260906975</v>
      </c>
      <c r="AL32" s="456">
        <f>'C1-Incomes'!KA34/'C1-Incomes'!$V34*100</f>
        <v>3.6093939512363749</v>
      </c>
      <c r="AM32" s="456">
        <f>'C1-Incomes'!KB34/'C1-Incomes'!$W34*100</f>
        <v>4.238066255808798</v>
      </c>
      <c r="AN32" s="456">
        <f>'C1-Incomes'!KC34/'C1-Incomes'!$X34*100</f>
        <v>4.1656950966464503</v>
      </c>
      <c r="AO32" s="458"/>
      <c r="AP32" s="456">
        <f>('C1-Incomes'!KE34-'C1-Incomes'!KF34)/('C1-Incomes'!$R34-'C1-Incomes'!$S34)*100</f>
        <v>2.4898064358761429</v>
      </c>
      <c r="AQ32" s="456">
        <f>'C1-Incomes'!KF34/'C1-Incomes'!$S34*100</f>
        <v>3.2671190669551513</v>
      </c>
      <c r="AR32" s="456">
        <f>'C1-Incomes'!KG34/'C1-Incomes'!$T34*100</f>
        <v>3.4382659015724433</v>
      </c>
      <c r="AS32" s="456">
        <f>'C1-Incomes'!KH34/'C1-Incomes'!$U34*100</f>
        <v>3.6387720122771068</v>
      </c>
      <c r="AT32" s="456">
        <f>'C1-Incomes'!KI34/'C1-Incomes'!$V34*100</f>
        <v>3.6529797490125251</v>
      </c>
      <c r="AU32" s="456">
        <f>'C1-Incomes'!KJ34/'C1-Incomes'!$W34*100</f>
        <v>3.7913800495429819</v>
      </c>
      <c r="AV32" s="456">
        <f>'C1-Incomes'!KK34/'C1-Incomes'!$X34*100</f>
        <v>3.8897438503338688</v>
      </c>
      <c r="AX32" s="456">
        <f>('C1-Incomes'!KM34-'C1-Incomes'!KN34)/('C1-Incomes'!$R34-'C1-Incomes'!$S34)*100</f>
        <v>7.7323229648230098</v>
      </c>
      <c r="AY32" s="456">
        <f>'C1-Incomes'!KN34/'C1-Incomes'!$S34*100</f>
        <v>5.1526960384600651</v>
      </c>
      <c r="AZ32" s="456">
        <f>'C1-Incomes'!KO34/'C1-Incomes'!$T34*100</f>
        <v>3.908896249925542</v>
      </c>
      <c r="BA32" s="456">
        <f>'C1-Incomes'!KP34/'C1-Incomes'!$U34*100</f>
        <v>1.607519281092306</v>
      </c>
      <c r="BB32" s="456">
        <f>'C1-Incomes'!KQ34/'C1-Incomes'!$V34*100</f>
        <v>1.0889088421039756</v>
      </c>
      <c r="BC32" s="456">
        <f>'C1-Incomes'!KR34/'C1-Incomes'!$W34*100</f>
        <v>0.39247128466741232</v>
      </c>
      <c r="BD32" s="456">
        <f>'C1-Incomes'!KS34/'C1-Incomes'!$X34*100</f>
        <v>0.13126816391597951</v>
      </c>
      <c r="BE32" s="456"/>
      <c r="BF32" s="456">
        <f>('C1-Incomes'!LK34-'C1-Incomes'!LL34)/('C1-Incomes'!$R34-'C1-Incomes'!$S34)*100</f>
        <v>0.12126103720821557</v>
      </c>
      <c r="BG32" s="456">
        <f>'C1-Incomes'!LL34/'C1-Incomes'!$S34*100</f>
        <v>0.50451318102988751</v>
      </c>
      <c r="BH32" s="456">
        <f>'C1-Incomes'!LM34/'C1-Incomes'!$T34*100</f>
        <v>0.63462824159554532</v>
      </c>
      <c r="BI32" s="456">
        <f>'C1-Incomes'!LN34/'C1-Incomes'!$U34*100</f>
        <v>0.89772398253978691</v>
      </c>
      <c r="BJ32" s="456">
        <f>'C1-Incomes'!LO34/'C1-Incomes'!$V34*100</f>
        <v>0.96106718214614262</v>
      </c>
      <c r="BK32" s="456">
        <f>'C1-Incomes'!LP34/'C1-Incomes'!$W34*100</f>
        <v>1.0689023891549148</v>
      </c>
      <c r="BL32" s="456">
        <f>'C1-Incomes'!LQ34/'C1-Incomes'!$X34*100</f>
        <v>1.2054768774679301</v>
      </c>
      <c r="BN32" s="456">
        <f>('C1-Incomes'!KU34-'C1-Incomes'!KV34)/('C1-Incomes'!$R34-'C1-Incomes'!$S34)*100</f>
        <v>5.4755559018270326</v>
      </c>
      <c r="BO32" s="456">
        <f>'C1-Incomes'!KV34/'C1-Incomes'!$S34*100</f>
        <v>4.2414375653236718</v>
      </c>
      <c r="BP32" s="456">
        <f>'C1-Incomes'!KW34/'C1-Incomes'!$T34*100</f>
        <v>3.6557258201672558</v>
      </c>
      <c r="BQ32" s="456">
        <f>'C1-Incomes'!KX34/'C1-Incomes'!$U34*100</f>
        <v>2.488626325167862</v>
      </c>
      <c r="BR32" s="456">
        <f>'C1-Incomes'!KY34/'C1-Incomes'!$V34*100</f>
        <v>2.1757532574992373</v>
      </c>
      <c r="BS32" s="456">
        <f>'C1-Incomes'!KZ34/'C1-Incomes'!$W34*100</f>
        <v>1.732821255888841</v>
      </c>
      <c r="BT32" s="456">
        <f>'C1-Incomes'!LA34/'C1-Incomes'!$X34*100</f>
        <v>1.6918945179064802</v>
      </c>
    </row>
    <row r="33" spans="1:75" s="452" customFormat="1" ht="12" x14ac:dyDescent="0.25">
      <c r="A33" s="239">
        <v>1987</v>
      </c>
      <c r="B33" s="456">
        <f t="shared" si="17"/>
        <v>24.769156102373795</v>
      </c>
      <c r="C33" s="456">
        <f t="shared" si="18"/>
        <v>35.034443131881083</v>
      </c>
      <c r="D33" s="456">
        <f t="shared" si="19"/>
        <v>36.479417450841446</v>
      </c>
      <c r="E33" s="456">
        <f t="shared" si="20"/>
        <v>39.331736346740392</v>
      </c>
      <c r="F33" s="456">
        <f t="shared" si="21"/>
        <v>40.385014516974586</v>
      </c>
      <c r="G33" s="456">
        <f t="shared" si="22"/>
        <v>42.794774197482532</v>
      </c>
      <c r="H33" s="456">
        <f t="shared" si="23"/>
        <v>44.659735682322989</v>
      </c>
      <c r="I33" s="456"/>
      <c r="J33" s="456">
        <f t="shared" si="24"/>
        <v>17.023026857831752</v>
      </c>
      <c r="K33" s="456">
        <f t="shared" si="25"/>
        <v>30.046041659320494</v>
      </c>
      <c r="L33" s="456">
        <f t="shared" si="26"/>
        <v>32.721458193212719</v>
      </c>
      <c r="M33" s="456">
        <f t="shared" si="27"/>
        <v>37.819656775827752</v>
      </c>
      <c r="N33" s="456">
        <f t="shared" si="28"/>
        <v>39.359526939607704</v>
      </c>
      <c r="O33" s="456">
        <f t="shared" si="29"/>
        <v>42.368364427420993</v>
      </c>
      <c r="P33" s="456">
        <f t="shared" si="30"/>
        <v>44.537596854481031</v>
      </c>
      <c r="Q33" s="456"/>
      <c r="R33" s="456">
        <f>('C1-Incomes'!JG35-'C1-Incomes'!JH35)/('C1-Incomes'!$R35-'C1-Incomes'!$S35)*100</f>
        <v>5.5177096940981558</v>
      </c>
      <c r="S33" s="456">
        <f>'C1-Incomes'!JH35/'C1-Incomes'!$S35*100</f>
        <v>15.953823505974308</v>
      </c>
      <c r="T33" s="456">
        <f>'C1-Incomes'!JI35/'C1-Incomes'!$T35*100</f>
        <v>18.278012144210333</v>
      </c>
      <c r="U33" s="456">
        <f>'C1-Incomes'!JJ35/'C1-Incomes'!$U35*100</f>
        <v>22.703236548111459</v>
      </c>
      <c r="V33" s="456">
        <f>'C1-Incomes'!JK35/'C1-Incomes'!$V35*100</f>
        <v>23.943598579634688</v>
      </c>
      <c r="W33" s="456">
        <f>'C1-Incomes'!JL35/'C1-Incomes'!$W35*100</f>
        <v>25.997248908374456</v>
      </c>
      <c r="X33" s="456">
        <f>'C1-Incomes'!JM35/'C1-Incomes'!$X35*100</f>
        <v>26.98624016050119</v>
      </c>
      <c r="Y33" s="458"/>
      <c r="Z33" s="456">
        <f>('C1-Incomes'!JO35-'C1-Incomes'!JP35)/('C1-Incomes'!$R35-'C1-Incomes'!$S35)*100</f>
        <v>1.2694666079103618</v>
      </c>
      <c r="AA33" s="456">
        <f>'C1-Incomes'!JP35/'C1-Incomes'!$S35*100</f>
        <v>3.3335773655374719</v>
      </c>
      <c r="AB33" s="456">
        <f>'C1-Incomes'!JQ35/'C1-Incomes'!$T35*100</f>
        <v>3.7925165029529855</v>
      </c>
      <c r="AC33" s="456">
        <f>'C1-Incomes'!JR35/'C1-Incomes'!$U35*100</f>
        <v>4.7347821569995476</v>
      </c>
      <c r="AD33" s="456">
        <f>'C1-Incomes'!JS35/'C1-Incomes'!$V35*100</f>
        <v>5.094935275745657</v>
      </c>
      <c r="AE33" s="456">
        <f>'C1-Incomes'!JT35/'C1-Incomes'!$W35*100</f>
        <v>5.704240911175531</v>
      </c>
      <c r="AF33" s="456">
        <f>'C1-Incomes'!JU35/'C1-Incomes'!$X35*100</f>
        <v>6.2120185615161336</v>
      </c>
      <c r="AG33" s="458"/>
      <c r="AH33" s="456">
        <f>('C1-Incomes'!JW35-'C1-Incomes'!JX35)/('C1-Incomes'!$R35-'C1-Incomes'!$S35)*100</f>
        <v>2.3164426963480591</v>
      </c>
      <c r="AI33" s="456">
        <f>'C1-Incomes'!JX35/'C1-Incomes'!$S35*100</f>
        <v>2.8369072092457635</v>
      </c>
      <c r="AJ33" s="456">
        <f>'C1-Incomes'!JY35/'C1-Incomes'!$T35*100</f>
        <v>2.9871913620393094</v>
      </c>
      <c r="AK33" s="456">
        <f>'C1-Incomes'!JZ35/'C1-Incomes'!$U35*100</f>
        <v>3.3400524711213873</v>
      </c>
      <c r="AL33" s="456">
        <f>'C1-Incomes'!KA35/'C1-Incomes'!$V35*100</f>
        <v>3.4413623079810032</v>
      </c>
      <c r="AM33" s="456">
        <f>'C1-Incomes'!KB35/'C1-Incomes'!$W35*100</f>
        <v>3.7284684796886487</v>
      </c>
      <c r="AN33" s="456">
        <f>'C1-Incomes'!KC35/'C1-Incomes'!$X35*100</f>
        <v>4.0803196272513791</v>
      </c>
      <c r="AO33" s="458"/>
      <c r="AP33" s="456">
        <f>('C1-Incomes'!KE35-'C1-Incomes'!KF35)/('C1-Incomes'!$R35-'C1-Incomes'!$S35)*100</f>
        <v>2.5569981871375642</v>
      </c>
      <c r="AQ33" s="456">
        <f>'C1-Incomes'!KF35/'C1-Incomes'!$S35*100</f>
        <v>3.279747508934804</v>
      </c>
      <c r="AR33" s="456">
        <f>'C1-Incomes'!KG35/'C1-Incomes'!$T35*100</f>
        <v>3.3901371233950197</v>
      </c>
      <c r="AS33" s="456">
        <f>'C1-Incomes'!KH35/'C1-Incomes'!$U35*100</f>
        <v>3.4283734555686354</v>
      </c>
      <c r="AT33" s="456">
        <f>'C1-Incomes'!KI35/'C1-Incomes'!$V35*100</f>
        <v>3.4062560740519809</v>
      </c>
      <c r="AU33" s="456">
        <f>'C1-Incomes'!KJ35/'C1-Incomes'!$W35*100</f>
        <v>3.5057512609539181</v>
      </c>
      <c r="AV33" s="456">
        <f>'C1-Incomes'!KK35/'C1-Incomes'!$X35*100</f>
        <v>3.7815701591840187</v>
      </c>
      <c r="AX33" s="456">
        <f>('C1-Incomes'!KM35-'C1-Incomes'!KN35)/('C1-Incomes'!$R35-'C1-Incomes'!$S35)*100</f>
        <v>7.7461292445420433</v>
      </c>
      <c r="AY33" s="456">
        <f>'C1-Incomes'!KN35/'C1-Incomes'!$S35*100</f>
        <v>4.9884014725605947</v>
      </c>
      <c r="AZ33" s="456">
        <f>'C1-Incomes'!KO35/'C1-Incomes'!$T35*100</f>
        <v>3.7579592576287233</v>
      </c>
      <c r="BA33" s="456">
        <f>'C1-Incomes'!KP35/'C1-Incomes'!$U35*100</f>
        <v>1.5120795709126422</v>
      </c>
      <c r="BB33" s="456">
        <f>'C1-Incomes'!KQ35/'C1-Incomes'!$V35*100</f>
        <v>1.0254875773668846</v>
      </c>
      <c r="BC33" s="456">
        <f>'C1-Incomes'!KR35/'C1-Incomes'!$W35*100</f>
        <v>0.42640977006153707</v>
      </c>
      <c r="BD33" s="456">
        <f>'C1-Incomes'!KS35/'C1-Incomes'!$X35*100</f>
        <v>0.12213882784195829</v>
      </c>
      <c r="BE33" s="456"/>
      <c r="BF33" s="456">
        <f>('C1-Incomes'!LK35-'C1-Incomes'!LL35)/('C1-Incomes'!$R35-'C1-Incomes'!$S35)*100</f>
        <v>0.12029742617294885</v>
      </c>
      <c r="BG33" s="456">
        <f>'C1-Incomes'!LL35/'C1-Incomes'!$S35*100</f>
        <v>0.49457796088642558</v>
      </c>
      <c r="BH33" s="456">
        <f>'C1-Incomes'!LM35/'C1-Incomes'!$T35*100</f>
        <v>0.6194443589492018</v>
      </c>
      <c r="BI33" s="456">
        <f>'C1-Incomes'!LN35/'C1-Incomes'!$U35*100</f>
        <v>0.84624570936295485</v>
      </c>
      <c r="BJ33" s="456">
        <f>'C1-Incomes'!LO35/'C1-Incomes'!$V35*100</f>
        <v>0.88454807354425036</v>
      </c>
      <c r="BK33" s="456">
        <f>'C1-Incomes'!LP35/'C1-Incomes'!$W35*100</f>
        <v>0.97059604721324111</v>
      </c>
      <c r="BL33" s="456">
        <f>'C1-Incomes'!LQ35/'C1-Incomes'!$X35*100</f>
        <v>1.1112971236133695</v>
      </c>
      <c r="BN33" s="456">
        <f>('C1-Incomes'!KU35-'C1-Incomes'!KV35)/('C1-Incomes'!$R35-'C1-Incomes'!$S35)*100</f>
        <v>5.2421122461646599</v>
      </c>
      <c r="BO33" s="456">
        <f>'C1-Incomes'!KV35/'C1-Incomes'!$S35*100</f>
        <v>4.1474081087417245</v>
      </c>
      <c r="BP33" s="456">
        <f>'C1-Incomes'!KW35/'C1-Incomes'!$T35*100</f>
        <v>3.6541567016658685</v>
      </c>
      <c r="BQ33" s="456">
        <f>'C1-Incomes'!KX35/'C1-Incomes'!$U35*100</f>
        <v>2.7669664346637717</v>
      </c>
      <c r="BR33" s="456">
        <f>'C1-Incomes'!KY35/'C1-Incomes'!$V35*100</f>
        <v>2.5888266286501245</v>
      </c>
      <c r="BS33" s="456">
        <f>'C1-Incomes'!KZ35/'C1-Incomes'!$W35*100</f>
        <v>2.4620588200151987</v>
      </c>
      <c r="BT33" s="456">
        <f>'C1-Incomes'!LA35/'C1-Incomes'!$X35*100</f>
        <v>2.366151222414945</v>
      </c>
    </row>
    <row r="34" spans="1:75" s="452" customFormat="1" ht="12" x14ac:dyDescent="0.25">
      <c r="A34" s="239">
        <v>1988</v>
      </c>
      <c r="B34" s="456">
        <f t="shared" si="17"/>
        <v>24.714098870366445</v>
      </c>
      <c r="C34" s="456">
        <f t="shared" si="18"/>
        <v>33.32998654080501</v>
      </c>
      <c r="D34" s="456">
        <f t="shared" si="19"/>
        <v>34.162472825011157</v>
      </c>
      <c r="E34" s="456">
        <f t="shared" si="20"/>
        <v>35.787559410577337</v>
      </c>
      <c r="F34" s="456">
        <f t="shared" si="21"/>
        <v>36.323844943865396</v>
      </c>
      <c r="G34" s="456">
        <f t="shared" si="22"/>
        <v>37.530259848951538</v>
      </c>
      <c r="H34" s="456">
        <f t="shared" si="23"/>
        <v>38.737348140879305</v>
      </c>
      <c r="I34" s="456"/>
      <c r="J34" s="456">
        <f t="shared" si="24"/>
        <v>16.590504375230605</v>
      </c>
      <c r="K34" s="456">
        <f t="shared" si="25"/>
        <v>28.422575061144126</v>
      </c>
      <c r="L34" s="456">
        <f t="shared" si="26"/>
        <v>30.615178448351298</v>
      </c>
      <c r="M34" s="456">
        <f t="shared" si="27"/>
        <v>34.45251288917774</v>
      </c>
      <c r="N34" s="456">
        <f t="shared" si="28"/>
        <v>35.441169846411256</v>
      </c>
      <c r="O34" s="456">
        <f t="shared" si="29"/>
        <v>37.190128180749191</v>
      </c>
      <c r="P34" s="456">
        <f t="shared" si="30"/>
        <v>38.64993334508236</v>
      </c>
      <c r="Q34" s="456"/>
      <c r="R34" s="456">
        <f>('C1-Incomes'!JG36-'C1-Incomes'!JH36)/('C1-Incomes'!$R36-'C1-Incomes'!$S36)*100</f>
        <v>5.1634307698558572</v>
      </c>
      <c r="S34" s="456">
        <f>'C1-Incomes'!JH36/'C1-Incomes'!$S36*100</f>
        <v>14.646575874540883</v>
      </c>
      <c r="T34" s="456">
        <f>'C1-Incomes'!JI36/'C1-Incomes'!$T36*100</f>
        <v>16.61565318379024</v>
      </c>
      <c r="U34" s="456">
        <f>'C1-Incomes'!JJ36/'C1-Incomes'!$U36*100</f>
        <v>20.135952415482972</v>
      </c>
      <c r="V34" s="456">
        <f>'C1-Incomes'!JK36/'C1-Incomes'!$V36*100</f>
        <v>20.956167574443661</v>
      </c>
      <c r="W34" s="456">
        <f>'C1-Incomes'!JL36/'C1-Incomes'!$W36*100</f>
        <v>22.173252892808467</v>
      </c>
      <c r="X34" s="456">
        <f>'C1-Incomes'!JM36/'C1-Incomes'!$X36*100</f>
        <v>22.943039727401089</v>
      </c>
      <c r="Y34" s="458"/>
      <c r="Z34" s="456">
        <f>('C1-Incomes'!JO36-'C1-Incomes'!JP36)/('C1-Incomes'!$R36-'C1-Incomes'!$S36)*100</f>
        <v>1.2485070462440744</v>
      </c>
      <c r="AA34" s="456">
        <f>'C1-Incomes'!JP36/'C1-Incomes'!$S36*100</f>
        <v>3.0802783400014055</v>
      </c>
      <c r="AB34" s="456">
        <f>'C1-Incomes'!JQ36/'C1-Incomes'!$T36*100</f>
        <v>3.4421825400341999</v>
      </c>
      <c r="AC34" s="456">
        <f>'C1-Incomes'!JR36/'C1-Incomes'!$U36*100</f>
        <v>4.0687093760986768</v>
      </c>
      <c r="AD34" s="456">
        <f>'C1-Incomes'!JS36/'C1-Incomes'!$V36*100</f>
        <v>4.249119964605903</v>
      </c>
      <c r="AE34" s="456">
        <f>'C1-Incomes'!JT36/'C1-Incomes'!$W36*100</f>
        <v>4.5045185042097771</v>
      </c>
      <c r="AF34" s="456">
        <f>'C1-Incomes'!JU36/'C1-Incomes'!$X36*100</f>
        <v>4.7370374236740664</v>
      </c>
      <c r="AG34" s="458"/>
      <c r="AH34" s="456">
        <f>('C1-Incomes'!JW36-'C1-Incomes'!JX36)/('C1-Incomes'!$R36-'C1-Incomes'!$S36)*100</f>
        <v>2.3406629850067198</v>
      </c>
      <c r="AI34" s="456">
        <f>'C1-Incomes'!JX36/'C1-Incomes'!$S36*100</f>
        <v>2.8606727774006124</v>
      </c>
      <c r="AJ34" s="456">
        <f>'C1-Incomes'!JY36/'C1-Incomes'!$T36*100</f>
        <v>3.0094751350299718</v>
      </c>
      <c r="AK34" s="456">
        <f>'C1-Incomes'!JZ36/'C1-Incomes'!$U36*100</f>
        <v>3.3366698744517067</v>
      </c>
      <c r="AL34" s="456">
        <f>'C1-Incomes'!KA36/'C1-Incomes'!$V36*100</f>
        <v>3.4567841549863103</v>
      </c>
      <c r="AM34" s="456">
        <f>'C1-Incomes'!KB36/'C1-Incomes'!$W36*100</f>
        <v>3.7827315752457449</v>
      </c>
      <c r="AN34" s="456">
        <f>'C1-Incomes'!KC36/'C1-Incomes'!$X36*100</f>
        <v>4.2189748809722092</v>
      </c>
      <c r="AO34" s="458"/>
      <c r="AP34" s="456">
        <f>('C1-Incomes'!KE36-'C1-Incomes'!KF36)/('C1-Incomes'!$R36-'C1-Incomes'!$S36)*100</f>
        <v>2.5175327249990112</v>
      </c>
      <c r="AQ34" s="456">
        <f>'C1-Incomes'!KF36/'C1-Incomes'!$S36*100</f>
        <v>3.2583839984242475</v>
      </c>
      <c r="AR34" s="456">
        <f>'C1-Incomes'!KG36/'C1-Incomes'!$T36*100</f>
        <v>3.3236864314374981</v>
      </c>
      <c r="AS34" s="456">
        <f>'C1-Incomes'!KH36/'C1-Incomes'!$U36*100</f>
        <v>3.2791048708124388</v>
      </c>
      <c r="AT34" s="456">
        <f>'C1-Incomes'!KI36/'C1-Incomes'!$V36*100</f>
        <v>3.2574988752207839</v>
      </c>
      <c r="AU34" s="456">
        <f>'C1-Incomes'!KJ36/'C1-Incomes'!$W36*100</f>
        <v>3.2977950963466465</v>
      </c>
      <c r="AV34" s="456">
        <f>'C1-Incomes'!KK36/'C1-Incomes'!$X36*100</f>
        <v>3.4127967084824071</v>
      </c>
      <c r="AX34" s="456">
        <f>('C1-Incomes'!KM36-'C1-Incomes'!KN36)/('C1-Incomes'!$R36-'C1-Incomes'!$S36)*100</f>
        <v>8.1235944951358405</v>
      </c>
      <c r="AY34" s="456">
        <f>'C1-Incomes'!KN36/'C1-Incomes'!$S36*100</f>
        <v>4.9074114796608805</v>
      </c>
      <c r="AZ34" s="456">
        <f>'C1-Incomes'!KO36/'C1-Incomes'!$T36*100</f>
        <v>3.5472943766598619</v>
      </c>
      <c r="BA34" s="456">
        <f>'C1-Incomes'!KP36/'C1-Incomes'!$U36*100</f>
        <v>1.3350465213995975</v>
      </c>
      <c r="BB34" s="456">
        <f>'C1-Incomes'!KQ36/'C1-Incomes'!$V36*100</f>
        <v>0.88267509745414796</v>
      </c>
      <c r="BC34" s="456">
        <f>'C1-Incomes'!KR36/'C1-Incomes'!$W36*100</f>
        <v>0.34013166820234858</v>
      </c>
      <c r="BD34" s="456">
        <f>'C1-Incomes'!KS36/'C1-Incomes'!$X36*100</f>
        <v>8.7414795796945374E-2</v>
      </c>
      <c r="BE34" s="456"/>
      <c r="BF34" s="456">
        <f>('C1-Incomes'!LK36-'C1-Incomes'!LL36)/('C1-Incomes'!$R36-'C1-Incomes'!$S36)*100</f>
        <v>0.11763971206914027</v>
      </c>
      <c r="BG34" s="456">
        <f>'C1-Incomes'!LL36/'C1-Incomes'!$S36*100</f>
        <v>0.45499777078793741</v>
      </c>
      <c r="BH34" s="456">
        <f>'C1-Incomes'!LM36/'C1-Incomes'!$T36*100</f>
        <v>0.55378208401982332</v>
      </c>
      <c r="BI34" s="456">
        <f>'C1-Incomes'!LN36/'C1-Incomes'!$U36*100</f>
        <v>0.69766245856098907</v>
      </c>
      <c r="BJ34" s="456">
        <f>'C1-Incomes'!LO36/'C1-Incomes'!$V36*100</f>
        <v>0.70317979941800879</v>
      </c>
      <c r="BK34" s="456">
        <f>'C1-Incomes'!LP36/'C1-Incomes'!$W36*100</f>
        <v>0.70446241087385042</v>
      </c>
      <c r="BL34" s="456">
        <f>'C1-Incomes'!LQ36/'C1-Incomes'!$X36*100</f>
        <v>0.75669825710405925</v>
      </c>
      <c r="BN34" s="456">
        <f>('C1-Incomes'!KU36-'C1-Incomes'!KV36)/('C1-Incomes'!$R36-'C1-Incomes'!$S36)*100</f>
        <v>5.2027311370558005</v>
      </c>
      <c r="BO34" s="456">
        <f>'C1-Incomes'!KV36/'C1-Incomes'!$S36*100</f>
        <v>4.1216662999890419</v>
      </c>
      <c r="BP34" s="456">
        <f>'C1-Incomes'!KW36/'C1-Incomes'!$T36*100</f>
        <v>3.670399074039564</v>
      </c>
      <c r="BQ34" s="456">
        <f>'C1-Incomes'!KX36/'C1-Incomes'!$U36*100</f>
        <v>2.9344138937709543</v>
      </c>
      <c r="BR34" s="456">
        <f>'C1-Incomes'!KY36/'C1-Incomes'!$V36*100</f>
        <v>2.8184194777365867</v>
      </c>
      <c r="BS34" s="456">
        <f>'C1-Incomes'!KZ36/'C1-Incomes'!$W36*100</f>
        <v>2.7273677012647046</v>
      </c>
      <c r="BT34" s="456">
        <f>'C1-Incomes'!LA36/'C1-Incomes'!$X36*100</f>
        <v>2.5813863474485257</v>
      </c>
    </row>
    <row r="35" spans="1:75" s="452" customFormat="1" ht="12" x14ac:dyDescent="0.25">
      <c r="A35" s="239">
        <v>1989</v>
      </c>
      <c r="B35" s="456">
        <f t="shared" si="17"/>
        <v>25.020352137524334</v>
      </c>
      <c r="C35" s="456">
        <f t="shared" si="18"/>
        <v>34.211507493039896</v>
      </c>
      <c r="D35" s="456">
        <f t="shared" si="19"/>
        <v>35.091746135344657</v>
      </c>
      <c r="E35" s="456">
        <f t="shared" si="20"/>
        <v>36.761583876663849</v>
      </c>
      <c r="F35" s="456">
        <f t="shared" si="21"/>
        <v>37.380413267238438</v>
      </c>
      <c r="G35" s="456">
        <f t="shared" si="22"/>
        <v>38.641976110129875</v>
      </c>
      <c r="H35" s="456">
        <f t="shared" si="23"/>
        <v>39.83532355540185</v>
      </c>
      <c r="I35" s="456"/>
      <c r="J35" s="456">
        <f t="shared" si="24"/>
        <v>17.024068585940245</v>
      </c>
      <c r="K35" s="456">
        <f t="shared" si="25"/>
        <v>29.252277652425175</v>
      </c>
      <c r="L35" s="456">
        <f t="shared" si="26"/>
        <v>31.444653435634596</v>
      </c>
      <c r="M35" s="456">
        <f t="shared" si="27"/>
        <v>35.364389393865466</v>
      </c>
      <c r="N35" s="456">
        <f t="shared" si="28"/>
        <v>36.436946930062646</v>
      </c>
      <c r="O35" s="456">
        <f t="shared" si="29"/>
        <v>38.263324819276782</v>
      </c>
      <c r="P35" s="456">
        <f t="shared" si="30"/>
        <v>39.73636435705891</v>
      </c>
      <c r="Q35" s="456"/>
      <c r="R35" s="456">
        <f>('C1-Incomes'!JG37-'C1-Incomes'!JH37)/('C1-Incomes'!$R37-'C1-Incomes'!$S37)*100</f>
        <v>5.5582194016962436</v>
      </c>
      <c r="S35" s="456">
        <f>'C1-Incomes'!JH37/'C1-Incomes'!$S37*100</f>
        <v>15.232249540266492</v>
      </c>
      <c r="T35" s="456">
        <f>'C1-Incomes'!JI37/'C1-Incomes'!$T37*100</f>
        <v>17.144756325554269</v>
      </c>
      <c r="U35" s="456">
        <f>'C1-Incomes'!JJ37/'C1-Incomes'!$U37*100</f>
        <v>20.423433158029813</v>
      </c>
      <c r="V35" s="456">
        <f>'C1-Incomes'!JK37/'C1-Incomes'!$V37*100</f>
        <v>21.223339226745704</v>
      </c>
      <c r="W35" s="456">
        <f>'C1-Incomes'!JL37/'C1-Incomes'!$W37*100</f>
        <v>22.31720734601986</v>
      </c>
      <c r="X35" s="456">
        <f>'C1-Incomes'!JM37/'C1-Incomes'!$X37*100</f>
        <v>23.02709604122569</v>
      </c>
      <c r="Y35" s="458"/>
      <c r="Z35" s="456">
        <f>('C1-Incomes'!JO37-'C1-Incomes'!JP37)/('C1-Incomes'!$R37-'C1-Incomes'!$S37)*100</f>
        <v>1.3449391748262196</v>
      </c>
      <c r="AA35" s="456">
        <f>'C1-Incomes'!JP37/'C1-Incomes'!$S37*100</f>
        <v>3.2290227540375569</v>
      </c>
      <c r="AB35" s="456">
        <f>'C1-Incomes'!JQ37/'C1-Incomes'!$T37*100</f>
        <v>3.6188337509409614</v>
      </c>
      <c r="AC35" s="456">
        <f>'C1-Incomes'!JR37/'C1-Incomes'!$U37*100</f>
        <v>4.344193767444863</v>
      </c>
      <c r="AD35" s="456">
        <f>'C1-Incomes'!JS37/'C1-Incomes'!$V37*100</f>
        <v>4.6149283764090869</v>
      </c>
      <c r="AE35" s="456">
        <f>'C1-Incomes'!JT37/'C1-Incomes'!$W37*100</f>
        <v>4.9979604429399185</v>
      </c>
      <c r="AF35" s="456">
        <f>'C1-Incomes'!JU37/'C1-Incomes'!$X37*100</f>
        <v>5.1654424307657552</v>
      </c>
      <c r="AG35" s="458"/>
      <c r="AH35" s="456">
        <f>('C1-Incomes'!JW37-'C1-Incomes'!JX37)/('C1-Incomes'!$R37-'C1-Incomes'!$S37)*100</f>
        <v>2.1811540561511977</v>
      </c>
      <c r="AI35" s="456">
        <f>'C1-Incomes'!JX37/'C1-Incomes'!$S37*100</f>
        <v>2.727259492498864</v>
      </c>
      <c r="AJ35" s="456">
        <f>'C1-Incomes'!JY37/'C1-Incomes'!$T37*100</f>
        <v>2.8805110956489486</v>
      </c>
      <c r="AK35" s="456">
        <f>'C1-Incomes'!JZ37/'C1-Incomes'!$U37*100</f>
        <v>3.2706481529453928</v>
      </c>
      <c r="AL35" s="456">
        <f>'C1-Incomes'!KA37/'C1-Incomes'!$V37*100</f>
        <v>3.402115521887223</v>
      </c>
      <c r="AM35" s="456">
        <f>'C1-Incomes'!KB37/'C1-Incomes'!$W37*100</f>
        <v>3.7280371863259223</v>
      </c>
      <c r="AN35" s="456">
        <f>'C1-Incomes'!KC37/'C1-Incomes'!$X37*100</f>
        <v>4.2128454340261881</v>
      </c>
      <c r="AO35" s="458"/>
      <c r="AP35" s="456">
        <f>('C1-Incomes'!KE37-'C1-Incomes'!KF37)/('C1-Incomes'!$R37-'C1-Incomes'!$S37)*100</f>
        <v>2.5849160326335014</v>
      </c>
      <c r="AQ35" s="456">
        <f>'C1-Incomes'!KF37/'C1-Incomes'!$S37*100</f>
        <v>3.3780564397793547</v>
      </c>
      <c r="AR35" s="456">
        <f>'C1-Incomes'!KG37/'C1-Incomes'!$T37*100</f>
        <v>3.4488344464057881</v>
      </c>
      <c r="AS35" s="456">
        <f>'C1-Incomes'!KH37/'C1-Incomes'!$U37*100</f>
        <v>3.5406759146795981</v>
      </c>
      <c r="AT35" s="456">
        <f>'C1-Incomes'!KI37/'C1-Incomes'!$V37*100</f>
        <v>3.5268522028311815</v>
      </c>
      <c r="AU35" s="456">
        <f>'C1-Incomes'!KJ37/'C1-Incomes'!$W37*100</f>
        <v>3.6243593973389441</v>
      </c>
      <c r="AV35" s="456">
        <f>'C1-Incomes'!KK37/'C1-Incomes'!$X37*100</f>
        <v>3.8007852943612495</v>
      </c>
      <c r="AX35" s="456">
        <f>('C1-Incomes'!KM37-'C1-Incomes'!KN37)/('C1-Incomes'!$R37-'C1-Incomes'!$S37)*100</f>
        <v>7.9962835515840878</v>
      </c>
      <c r="AY35" s="456">
        <f>'C1-Incomes'!KN37/'C1-Incomes'!$S37*100</f>
        <v>4.9592298406147197</v>
      </c>
      <c r="AZ35" s="456">
        <f>'C1-Incomes'!KO37/'C1-Incomes'!$T37*100</f>
        <v>3.6470926997100603</v>
      </c>
      <c r="BA35" s="456">
        <f>'C1-Incomes'!KP37/'C1-Incomes'!$U37*100</f>
        <v>1.3971944827983862</v>
      </c>
      <c r="BB35" s="456">
        <f>'C1-Incomes'!KQ37/'C1-Incomes'!$V37*100</f>
        <v>0.94346633717579453</v>
      </c>
      <c r="BC35" s="456">
        <f>'C1-Incomes'!KR37/'C1-Incomes'!$W37*100</f>
        <v>0.37865129085309029</v>
      </c>
      <c r="BD35" s="456">
        <f>'C1-Incomes'!KS37/'C1-Incomes'!$X37*100</f>
        <v>9.895919834294116E-2</v>
      </c>
      <c r="BE35" s="456"/>
      <c r="BF35" s="456">
        <f>('C1-Incomes'!LK37-'C1-Incomes'!LL37)/('C1-Incomes'!$R37-'C1-Incomes'!$S37)*100</f>
        <v>0.12240538447213445</v>
      </c>
      <c r="BG35" s="456">
        <f>'C1-Incomes'!LL37/'C1-Incomes'!$S37*100</f>
        <v>0.48327463153123773</v>
      </c>
      <c r="BH35" s="456">
        <f>'C1-Incomes'!LM37/'C1-Incomes'!$T37*100</f>
        <v>0.5918663667859918</v>
      </c>
      <c r="BI35" s="456">
        <f>'C1-Incomes'!LN37/'C1-Incomes'!$U37*100</f>
        <v>0.75549623313597836</v>
      </c>
      <c r="BJ35" s="456">
        <f>'C1-Incomes'!LO37/'C1-Incomes'!$V37*100</f>
        <v>0.77427432411475972</v>
      </c>
      <c r="BK35" s="456">
        <f>'C1-Incomes'!LP37/'C1-Incomes'!$W37*100</f>
        <v>0.79745481151610764</v>
      </c>
      <c r="BL35" s="456">
        <f>'C1-Incomes'!LQ37/'C1-Incomes'!$X37*100</f>
        <v>0.87126196664020639</v>
      </c>
      <c r="BN35" s="456">
        <f>('C1-Incomes'!KU37-'C1-Incomes'!KV37)/('C1-Incomes'!$R37-'C1-Incomes'!$S37)*100</f>
        <v>5.2324345361609472</v>
      </c>
      <c r="BO35" s="456">
        <f>'C1-Incomes'!KV37/'C1-Incomes'!$S37*100</f>
        <v>4.2024147943116716</v>
      </c>
      <c r="BP35" s="456">
        <f>'C1-Incomes'!KW37/'C1-Incomes'!$T37*100</f>
        <v>3.7598514502986373</v>
      </c>
      <c r="BQ35" s="456">
        <f>'C1-Incomes'!KX37/'C1-Incomes'!$U37*100</f>
        <v>3.0299421676298186</v>
      </c>
      <c r="BR35" s="456">
        <f>'C1-Incomes'!KY37/'C1-Incomes'!$V37*100</f>
        <v>2.8954372780746982</v>
      </c>
      <c r="BS35" s="456">
        <f>'C1-Incomes'!KZ37/'C1-Incomes'!$W37*100</f>
        <v>2.7983056351360376</v>
      </c>
      <c r="BT35" s="456">
        <f>'C1-Incomes'!LA37/'C1-Incomes'!$X37*100</f>
        <v>2.6589331900398281</v>
      </c>
    </row>
    <row r="36" spans="1:75" s="452" customFormat="1" ht="12" x14ac:dyDescent="0.25">
      <c r="A36" s="239">
        <v>1990</v>
      </c>
      <c r="B36" s="456">
        <f t="shared" si="17"/>
        <v>25.057507760180847</v>
      </c>
      <c r="C36" s="456">
        <f t="shared" si="18"/>
        <v>33.731800471513928</v>
      </c>
      <c r="D36" s="456">
        <f t="shared" si="19"/>
        <v>34.53507544859341</v>
      </c>
      <c r="E36" s="456">
        <f t="shared" si="20"/>
        <v>36.114421715151764</v>
      </c>
      <c r="F36" s="456">
        <f t="shared" si="21"/>
        <v>36.667865106324776</v>
      </c>
      <c r="G36" s="456">
        <f t="shared" si="22"/>
        <v>37.865854570252296</v>
      </c>
      <c r="H36" s="456">
        <f t="shared" si="23"/>
        <v>38.944885716014625</v>
      </c>
      <c r="I36" s="456"/>
      <c r="J36" s="456">
        <f t="shared" si="24"/>
        <v>16.858608499620157</v>
      </c>
      <c r="K36" s="456">
        <f t="shared" si="25"/>
        <v>28.953534906377378</v>
      </c>
      <c r="L36" s="456">
        <f t="shared" si="26"/>
        <v>31.009658219829525</v>
      </c>
      <c r="M36" s="456">
        <f t="shared" si="27"/>
        <v>34.695483388080511</v>
      </c>
      <c r="N36" s="456">
        <f t="shared" si="28"/>
        <v>35.73389459158976</v>
      </c>
      <c r="O36" s="456">
        <f t="shared" si="29"/>
        <v>37.493918322186964</v>
      </c>
      <c r="P36" s="456">
        <f t="shared" si="30"/>
        <v>38.846144845359589</v>
      </c>
      <c r="Q36" s="456"/>
      <c r="R36" s="456">
        <f>('C1-Incomes'!JG38-'C1-Incomes'!JH38)/('C1-Incomes'!$R38-'C1-Incomes'!$S38)*100</f>
        <v>5.5463640114681825</v>
      </c>
      <c r="S36" s="456">
        <f>'C1-Incomes'!JH38/'C1-Incomes'!$S38*100</f>
        <v>14.753513728225858</v>
      </c>
      <c r="T36" s="456">
        <f>'C1-Incomes'!JI38/'C1-Incomes'!$T38*100</f>
        <v>16.541976742197637</v>
      </c>
      <c r="U36" s="456">
        <f>'C1-Incomes'!JJ38/'C1-Incomes'!$U38*100</f>
        <v>19.956064874174757</v>
      </c>
      <c r="V36" s="456">
        <f>'C1-Incomes'!JK38/'C1-Incomes'!$V38*100</f>
        <v>20.803520685996386</v>
      </c>
      <c r="W36" s="456">
        <f>'C1-Incomes'!JL38/'C1-Incomes'!$W38*100</f>
        <v>22.015374905739442</v>
      </c>
      <c r="X36" s="456">
        <f>'C1-Incomes'!JM38/'C1-Incomes'!$X38*100</f>
        <v>22.675728159330582</v>
      </c>
      <c r="Y36" s="458"/>
      <c r="Z36" s="456">
        <f>('C1-Incomes'!JO38-'C1-Incomes'!JP38)/('C1-Incomes'!$R38-'C1-Incomes'!$S38)*100</f>
        <v>1.4036951619068834</v>
      </c>
      <c r="AA36" s="456">
        <f>'C1-Incomes'!JP38/'C1-Incomes'!$S38*100</f>
        <v>3.1615530278842252</v>
      </c>
      <c r="AB36" s="456">
        <f>'C1-Incomes'!JQ38/'C1-Incomes'!$T38*100</f>
        <v>3.5231661252146642</v>
      </c>
      <c r="AC36" s="456">
        <f>'C1-Incomes'!JR38/'C1-Incomes'!$U38*100</f>
        <v>4.1970990321566291</v>
      </c>
      <c r="AD36" s="456">
        <f>'C1-Incomes'!JS38/'C1-Incomes'!$V38*100</f>
        <v>4.3932093254559694</v>
      </c>
      <c r="AE36" s="456">
        <f>'C1-Incomes'!JT38/'C1-Incomes'!$W38*100</f>
        <v>4.6375693975788614</v>
      </c>
      <c r="AF36" s="456">
        <f>'C1-Incomes'!JU38/'C1-Incomes'!$X38*100</f>
        <v>4.8159237149329419</v>
      </c>
      <c r="AG36" s="458"/>
      <c r="AH36" s="456">
        <f>('C1-Incomes'!JW38-'C1-Incomes'!JX38)/('C1-Incomes'!$R38-'C1-Incomes'!$S38)*100</f>
        <v>1.9241501630451332</v>
      </c>
      <c r="AI36" s="456">
        <f>'C1-Incomes'!JX38/'C1-Incomes'!$S38*100</f>
        <v>2.7223627989546171</v>
      </c>
      <c r="AJ36" s="456">
        <f>'C1-Incomes'!JY38/'C1-Incomes'!$T38*100</f>
        <v>2.8480752007368579</v>
      </c>
      <c r="AK36" s="456">
        <f>'C1-Incomes'!JZ38/'C1-Incomes'!$U38*100</f>
        <v>2.9368491437559046</v>
      </c>
      <c r="AL36" s="456">
        <f>'C1-Incomes'!KA38/'C1-Incomes'!$V38*100</f>
        <v>3.0414918299151905</v>
      </c>
      <c r="AM36" s="456">
        <f>'C1-Incomes'!KB38/'C1-Incomes'!$W38*100</f>
        <v>3.3498867487914405</v>
      </c>
      <c r="AN36" s="456">
        <f>'C1-Incomes'!KC38/'C1-Incomes'!$X38*100</f>
        <v>3.7192634153800039</v>
      </c>
      <c r="AO36" s="458"/>
      <c r="AP36" s="456">
        <f>('C1-Incomes'!KE38-'C1-Incomes'!KF38)/('C1-Incomes'!$R38-'C1-Incomes'!$S38)*100</f>
        <v>2.5801740918556635</v>
      </c>
      <c r="AQ36" s="456">
        <f>'C1-Incomes'!KF38/'C1-Incomes'!$S38*100</f>
        <v>3.5475821601430675</v>
      </c>
      <c r="AR36" s="456">
        <f>'C1-Incomes'!KG38/'C1-Incomes'!$T38*100</f>
        <v>3.6312142157501217</v>
      </c>
      <c r="AS36" s="456">
        <f>'C1-Incomes'!KH38/'C1-Incomes'!$U38*100</f>
        <v>3.5963204881468398</v>
      </c>
      <c r="AT36" s="456">
        <f>'C1-Incomes'!KI38/'C1-Incomes'!$V38*100</f>
        <v>3.5737593865278514</v>
      </c>
      <c r="AU36" s="456">
        <f>'C1-Incomes'!KJ38/'C1-Incomes'!$W38*100</f>
        <v>3.5950985844267072</v>
      </c>
      <c r="AV36" s="456">
        <f>'C1-Incomes'!KK38/'C1-Incomes'!$X38*100</f>
        <v>3.7264326666612031</v>
      </c>
      <c r="AX36" s="456">
        <f>('C1-Incomes'!KM38-'C1-Incomes'!KN38)/('C1-Incomes'!$R38-'C1-Incomes'!$S38)*100</f>
        <v>8.1988992605606903</v>
      </c>
      <c r="AY36" s="456">
        <f>'C1-Incomes'!KN38/'C1-Incomes'!$S38*100</f>
        <v>4.7782655651365493</v>
      </c>
      <c r="AZ36" s="456">
        <f>'C1-Incomes'!KO38/'C1-Incomes'!$T38*100</f>
        <v>3.5254172287638843</v>
      </c>
      <c r="BA36" s="456">
        <f>'C1-Incomes'!KP38/'C1-Incomes'!$U38*100</f>
        <v>1.4189383270712521</v>
      </c>
      <c r="BB36" s="456">
        <f>'C1-Incomes'!KQ38/'C1-Incomes'!$V38*100</f>
        <v>0.93397051473501425</v>
      </c>
      <c r="BC36" s="456">
        <f>'C1-Incomes'!KR38/'C1-Incomes'!$W38*100</f>
        <v>0.37193624806533176</v>
      </c>
      <c r="BD36" s="456">
        <f>'C1-Incomes'!KS38/'C1-Incomes'!$X38*100</f>
        <v>9.8740870655030732E-2</v>
      </c>
      <c r="BE36" s="456"/>
      <c r="BF36" s="456">
        <f>('C1-Incomes'!LK38-'C1-Incomes'!LL38)/('C1-Incomes'!$R38-'C1-Incomes'!$S38)*100</f>
        <v>0.14509343258200205</v>
      </c>
      <c r="BG36" s="456">
        <f>'C1-Incomes'!LL38/'C1-Incomes'!$S38*100</f>
        <v>0.57785789231965778</v>
      </c>
      <c r="BH36" s="456">
        <f>'C1-Incomes'!LM38/'C1-Incomes'!$T38*100</f>
        <v>0.70410203302240071</v>
      </c>
      <c r="BI36" s="456">
        <f>'C1-Incomes'!LN38/'C1-Incomes'!$U38*100</f>
        <v>0.89590853994274877</v>
      </c>
      <c r="BJ36" s="456">
        <f>'C1-Incomes'!LO38/'C1-Incomes'!$V38*100</f>
        <v>0.91909229807307424</v>
      </c>
      <c r="BK36" s="456">
        <f>'C1-Incomes'!LP38/'C1-Incomes'!$W38*100</f>
        <v>0.95320182127843345</v>
      </c>
      <c r="BL36" s="456">
        <f>'C1-Incomes'!LQ38/'C1-Incomes'!$X38*100</f>
        <v>1.0656538354471625</v>
      </c>
      <c r="BN36" s="456">
        <f>('C1-Incomes'!KU38-'C1-Incomes'!KV38)/('C1-Incomes'!$R38-'C1-Incomes'!$S38)*100</f>
        <v>5.2591316387622928</v>
      </c>
      <c r="BO36" s="456">
        <f>'C1-Incomes'!KV38/'C1-Incomes'!$S38*100</f>
        <v>4.1906652988499538</v>
      </c>
      <c r="BP36" s="456">
        <f>'C1-Incomes'!KW38/'C1-Incomes'!$T38*100</f>
        <v>3.7611239029078418</v>
      </c>
      <c r="BQ36" s="456">
        <f>'C1-Incomes'!KX38/'C1-Incomes'!$U38*100</f>
        <v>3.1132413099036271</v>
      </c>
      <c r="BR36" s="456">
        <f>'C1-Incomes'!KY38/'C1-Incomes'!$V38*100</f>
        <v>3.0028210656212893</v>
      </c>
      <c r="BS36" s="456">
        <f>'C1-Incomes'!KZ38/'C1-Incomes'!$W38*100</f>
        <v>2.9427868643720845</v>
      </c>
      <c r="BT36" s="456">
        <f>'C1-Incomes'!LA38/'C1-Incomes'!$X38*100</f>
        <v>2.8431430536076938</v>
      </c>
    </row>
    <row r="37" spans="1:75" s="452" customFormat="1" ht="12" x14ac:dyDescent="0.25">
      <c r="A37" s="239">
        <v>1991</v>
      </c>
      <c r="B37" s="456">
        <f t="shared" si="17"/>
        <v>24.548610862926701</v>
      </c>
      <c r="C37" s="456">
        <f t="shared" si="18"/>
        <v>33.693898486844624</v>
      </c>
      <c r="D37" s="456">
        <f t="shared" si="19"/>
        <v>34.667092268796054</v>
      </c>
      <c r="E37" s="456">
        <f t="shared" si="20"/>
        <v>36.665283665137665</v>
      </c>
      <c r="F37" s="456">
        <f t="shared" si="21"/>
        <v>37.356737339521075</v>
      </c>
      <c r="G37" s="456">
        <f t="shared" si="22"/>
        <v>38.984753689889814</v>
      </c>
      <c r="H37" s="456">
        <f t="shared" si="23"/>
        <v>40.082693871520206</v>
      </c>
      <c r="I37" s="456"/>
      <c r="J37" s="456">
        <f t="shared" si="24"/>
        <v>16.380007840701516</v>
      </c>
      <c r="K37" s="456">
        <f t="shared" si="25"/>
        <v>28.686019231023181</v>
      </c>
      <c r="L37" s="456">
        <f t="shared" si="26"/>
        <v>30.810949985126186</v>
      </c>
      <c r="M37" s="456">
        <f t="shared" si="27"/>
        <v>34.951116514257642</v>
      </c>
      <c r="N37" s="456">
        <f t="shared" si="28"/>
        <v>36.204621852160557</v>
      </c>
      <c r="O37" s="456">
        <f t="shared" si="29"/>
        <v>38.521667472437272</v>
      </c>
      <c r="P37" s="456">
        <f t="shared" si="30"/>
        <v>39.96056930681128</v>
      </c>
      <c r="Q37" s="456"/>
      <c r="R37" s="456">
        <f>('C1-Incomes'!JG39-'C1-Incomes'!JH39)/('C1-Incomes'!$R39-'C1-Incomes'!$S39)*100</f>
        <v>5.2171537494545799</v>
      </c>
      <c r="S37" s="456">
        <f>'C1-Incomes'!JH39/'C1-Incomes'!$S39*100</f>
        <v>14.038878391801735</v>
      </c>
      <c r="T37" s="456">
        <f>'C1-Incomes'!JI39/'C1-Incomes'!$T39*100</f>
        <v>15.82555092422078</v>
      </c>
      <c r="U37" s="456">
        <f>'C1-Incomes'!JJ39/'C1-Incomes'!$U39*100</f>
        <v>19.45863645418104</v>
      </c>
      <c r="V37" s="456">
        <f>'C1-Incomes'!JK39/'C1-Incomes'!$V39*100</f>
        <v>20.439160861075329</v>
      </c>
      <c r="W37" s="456">
        <f>'C1-Incomes'!JL39/'C1-Incomes'!$W39*100</f>
        <v>21.887054631231269</v>
      </c>
      <c r="X37" s="456">
        <f>'C1-Incomes'!JM39/'C1-Incomes'!$X39*100</f>
        <v>22.450499320238507</v>
      </c>
      <c r="Y37" s="458"/>
      <c r="Z37" s="456">
        <f>('C1-Incomes'!JO39-'C1-Incomes'!JP39)/('C1-Incomes'!$R39-'C1-Incomes'!$S39)*100</f>
        <v>1.3551846668116274</v>
      </c>
      <c r="AA37" s="456">
        <f>'C1-Incomes'!JP39/'C1-Incomes'!$S39*100</f>
        <v>3.1563763431361935</v>
      </c>
      <c r="AB37" s="456">
        <f>'C1-Incomes'!JQ39/'C1-Incomes'!$T39*100</f>
        <v>3.5203116552496749</v>
      </c>
      <c r="AC37" s="456">
        <f>'C1-Incomes'!JR39/'C1-Incomes'!$U39*100</f>
        <v>4.2209541264849237</v>
      </c>
      <c r="AD37" s="456">
        <f>'C1-Incomes'!JS39/'C1-Incomes'!$V39*100</f>
        <v>4.4147791322630274</v>
      </c>
      <c r="AE37" s="456">
        <f>'C1-Incomes'!JT39/'C1-Incomes'!$W39*100</f>
        <v>4.7835933672634026</v>
      </c>
      <c r="AF37" s="456">
        <f>'C1-Incomes'!JU39/'C1-Incomes'!$X39*100</f>
        <v>4.9708804633143657</v>
      </c>
      <c r="AG37" s="458"/>
      <c r="AH37" s="456">
        <f>('C1-Incomes'!JW39-'C1-Incomes'!JX39)/('C1-Incomes'!$R39-'C1-Incomes'!$S39)*100</f>
        <v>1.6754747271535548</v>
      </c>
      <c r="AI37" s="456">
        <f>'C1-Incomes'!JX39/'C1-Incomes'!$S39*100</f>
        <v>2.7864574764535068</v>
      </c>
      <c r="AJ37" s="456">
        <f>'C1-Incomes'!JY39/'C1-Incomes'!$T39*100</f>
        <v>2.9602055945598376</v>
      </c>
      <c r="AK37" s="456">
        <f>'C1-Incomes'!JZ39/'C1-Incomes'!$U39*100</f>
        <v>3.1586274306184485</v>
      </c>
      <c r="AL37" s="456">
        <f>'C1-Incomes'!KA39/'C1-Incomes'!$V39*100</f>
        <v>3.3114891751174587</v>
      </c>
      <c r="AM37" s="456">
        <f>'C1-Incomes'!KB39/'C1-Incomes'!$W39*100</f>
        <v>3.7215509976339995</v>
      </c>
      <c r="AN37" s="456">
        <f>'C1-Incomes'!KC39/'C1-Incomes'!$X39*100</f>
        <v>4.2444291553125284</v>
      </c>
      <c r="AO37" s="458"/>
      <c r="AP37" s="456">
        <f>('C1-Incomes'!KE39-'C1-Incomes'!KF39)/('C1-Incomes'!$R39-'C1-Incomes'!$S39)*100</f>
        <v>2.6240332960794701</v>
      </c>
      <c r="AQ37" s="456">
        <f>'C1-Incomes'!KF39/'C1-Incomes'!$S39*100</f>
        <v>3.9002401015864185</v>
      </c>
      <c r="AR37" s="456">
        <f>'C1-Incomes'!KG39/'C1-Incomes'!$T39*100</f>
        <v>4.0288731950464403</v>
      </c>
      <c r="AS37" s="456">
        <f>'C1-Incomes'!KH39/'C1-Incomes'!$U39*100</f>
        <v>4.1194529692266162</v>
      </c>
      <c r="AT37" s="456">
        <f>'C1-Incomes'!KI39/'C1-Incomes'!$V39*100</f>
        <v>4.16663698100903</v>
      </c>
      <c r="AU37" s="456">
        <f>'C1-Incomes'!KJ39/'C1-Incomes'!$W39*100</f>
        <v>4.3199930216891058</v>
      </c>
      <c r="AV37" s="456">
        <f>'C1-Incomes'!KK39/'C1-Incomes'!$X39*100</f>
        <v>4.4857092500753648</v>
      </c>
      <c r="AX37" s="456">
        <f>('C1-Incomes'!KM39-'C1-Incomes'!KN39)/('C1-Incomes'!$R39-'C1-Incomes'!$S39)*100</f>
        <v>8.1686030222251844</v>
      </c>
      <c r="AY37" s="456">
        <f>'C1-Incomes'!KN39/'C1-Incomes'!$S39*100</f>
        <v>5.0078792558214413</v>
      </c>
      <c r="AZ37" s="456">
        <f>'C1-Incomes'!KO39/'C1-Incomes'!$T39*100</f>
        <v>3.8561422836698687</v>
      </c>
      <c r="BA37" s="456">
        <f>'C1-Incomes'!KP39/'C1-Incomes'!$U39*100</f>
        <v>1.714167150880022</v>
      </c>
      <c r="BB37" s="456">
        <f>'C1-Incomes'!KQ39/'C1-Incomes'!$V39*100</f>
        <v>1.1521154873605144</v>
      </c>
      <c r="BC37" s="456">
        <f>'C1-Incomes'!KR39/'C1-Incomes'!$W39*100</f>
        <v>0.46308621745254447</v>
      </c>
      <c r="BD37" s="456">
        <f>'C1-Incomes'!KS39/'C1-Incomes'!$X39*100</f>
        <v>0.12212456470893063</v>
      </c>
      <c r="BE37" s="456"/>
      <c r="BF37" s="456">
        <f>('C1-Incomes'!LK39-'C1-Incomes'!LL39)/('C1-Incomes'!$R39-'C1-Incomes'!$S39)*100</f>
        <v>0.13614634546697968</v>
      </c>
      <c r="BG37" s="456">
        <f>'C1-Incomes'!LL39/'C1-Incomes'!$S39*100</f>
        <v>0.55736643172381917</v>
      </c>
      <c r="BH37" s="456">
        <f>'C1-Incomes'!LM39/'C1-Incomes'!$T39*100</f>
        <v>0.68177191376518986</v>
      </c>
      <c r="BI37" s="456">
        <f>'C1-Incomes'!LN39/'C1-Incomes'!$U39*100</f>
        <v>0.88867845551593938</v>
      </c>
      <c r="BJ37" s="456">
        <f>'C1-Incomes'!LO39/'C1-Incomes'!$V39*100</f>
        <v>0.91848810539717718</v>
      </c>
      <c r="BK37" s="456">
        <f>'C1-Incomes'!LP39/'C1-Incomes'!$W39*100</f>
        <v>0.97147402206172118</v>
      </c>
      <c r="BL37" s="456">
        <f>'C1-Incomes'!LQ39/'C1-Incomes'!$X39*100</f>
        <v>1.0953375135765411</v>
      </c>
      <c r="BN37" s="456">
        <f>('C1-Incomes'!KU39-'C1-Incomes'!KV39)/('C1-Incomes'!$R39-'C1-Incomes'!$S39)*100</f>
        <v>5.3720150557353037</v>
      </c>
      <c r="BO37" s="456">
        <f>'C1-Incomes'!KV39/'C1-Incomes'!$S39*100</f>
        <v>4.246700486321509</v>
      </c>
      <c r="BP37" s="456">
        <f>'C1-Incomes'!KW39/'C1-Incomes'!$T39*100</f>
        <v>3.7942367022842629</v>
      </c>
      <c r="BQ37" s="456">
        <f>'C1-Incomes'!KX39/'C1-Incomes'!$U39*100</f>
        <v>3.1047670782306804</v>
      </c>
      <c r="BR37" s="456">
        <f>'C1-Incomes'!KY39/'C1-Incomes'!$V39*100</f>
        <v>2.9540675972985415</v>
      </c>
      <c r="BS37" s="456">
        <f>'C1-Incomes'!KZ39/'C1-Incomes'!$W39*100</f>
        <v>2.8380014325577751</v>
      </c>
      <c r="BT37" s="456">
        <f>'C1-Incomes'!LA39/'C1-Incomes'!$X39*100</f>
        <v>2.7137136042939751</v>
      </c>
    </row>
    <row r="38" spans="1:75" s="452" customFormat="1" ht="12" x14ac:dyDescent="0.25">
      <c r="A38" s="239">
        <v>1992</v>
      </c>
      <c r="B38" s="456">
        <f t="shared" si="17"/>
        <v>23.762875544171646</v>
      </c>
      <c r="C38" s="456">
        <f t="shared" si="18"/>
        <v>33.993801673057661</v>
      </c>
      <c r="D38" s="456">
        <f t="shared" si="19"/>
        <v>35.163673686670123</v>
      </c>
      <c r="E38" s="456">
        <f t="shared" si="20"/>
        <v>37.635856572737751</v>
      </c>
      <c r="F38" s="456">
        <f t="shared" si="21"/>
        <v>38.567693993228119</v>
      </c>
      <c r="G38" s="456">
        <f t="shared" si="22"/>
        <v>40.538049039758846</v>
      </c>
      <c r="H38" s="456">
        <f t="shared" si="23"/>
        <v>41.9283767414491</v>
      </c>
      <c r="I38" s="456"/>
      <c r="J38" s="456">
        <f t="shared" si="24"/>
        <v>15.760629202114158</v>
      </c>
      <c r="K38" s="456">
        <f t="shared" si="25"/>
        <v>28.843559704210591</v>
      </c>
      <c r="L38" s="456">
        <f t="shared" si="26"/>
        <v>31.179871181807925</v>
      </c>
      <c r="M38" s="456">
        <f t="shared" si="27"/>
        <v>35.884469920930549</v>
      </c>
      <c r="N38" s="456">
        <f t="shared" si="28"/>
        <v>37.402311073609759</v>
      </c>
      <c r="O38" s="456">
        <f t="shared" si="29"/>
        <v>40.0828111170051</v>
      </c>
      <c r="P38" s="456">
        <f t="shared" si="30"/>
        <v>41.812561302077988</v>
      </c>
      <c r="Q38" s="456"/>
      <c r="R38" s="456">
        <f>('C1-Incomes'!JG40-'C1-Incomes'!JH40)/('C1-Incomes'!$R40-'C1-Incomes'!$S40)*100</f>
        <v>4.7971232666619992</v>
      </c>
      <c r="S38" s="456">
        <f>'C1-Incomes'!JH40/'C1-Incomes'!$S40*100</f>
        <v>13.877614485753078</v>
      </c>
      <c r="T38" s="456">
        <f>'C1-Incomes'!JI40/'C1-Incomes'!$T40*100</f>
        <v>15.810333198282736</v>
      </c>
      <c r="U38" s="456">
        <f>'C1-Incomes'!JJ40/'C1-Incomes'!$U40*100</f>
        <v>19.961834893882475</v>
      </c>
      <c r="V38" s="456">
        <f>'C1-Incomes'!JK40/'C1-Incomes'!$V40*100</f>
        <v>21.183443287256026</v>
      </c>
      <c r="W38" s="456">
        <f>'C1-Incomes'!JL40/'C1-Incomes'!$W40*100</f>
        <v>22.98021192226684</v>
      </c>
      <c r="X38" s="456">
        <f>'C1-Incomes'!JM40/'C1-Incomes'!$X40*100</f>
        <v>23.99471789975064</v>
      </c>
      <c r="Y38" s="458"/>
      <c r="Z38" s="456">
        <f>('C1-Incomes'!JO40-'C1-Incomes'!JP40)/('C1-Incomes'!$R40-'C1-Incomes'!$S40)*100</f>
        <v>1.3182515748677628</v>
      </c>
      <c r="AA38" s="456">
        <f>'C1-Incomes'!JP40/'C1-Incomes'!$S40*100</f>
        <v>3.2536204558597737</v>
      </c>
      <c r="AB38" s="456">
        <f>'C1-Incomes'!JQ40/'C1-Incomes'!$T40*100</f>
        <v>3.6675956565529155</v>
      </c>
      <c r="AC38" s="456">
        <f>'C1-Incomes'!JR40/'C1-Incomes'!$U40*100</f>
        <v>4.3878105022583611</v>
      </c>
      <c r="AD38" s="456">
        <f>'C1-Incomes'!JS40/'C1-Incomes'!$V40*100</f>
        <v>4.5949592956932781</v>
      </c>
      <c r="AE38" s="456">
        <f>'C1-Incomes'!JT40/'C1-Incomes'!$W40*100</f>
        <v>4.9559762652044963</v>
      </c>
      <c r="AF38" s="456">
        <f>'C1-Incomes'!JU40/'C1-Incomes'!$X40*100</f>
        <v>5.0395267463674429</v>
      </c>
      <c r="AG38" s="458"/>
      <c r="AH38" s="456">
        <f>('C1-Incomes'!JW40-'C1-Incomes'!JX40)/('C1-Incomes'!$R40-'C1-Incomes'!$S40)*100</f>
        <v>1.6820607741752913</v>
      </c>
      <c r="AI38" s="456">
        <f>'C1-Incomes'!JX40/'C1-Incomes'!$S40*100</f>
        <v>3.0590956188781786</v>
      </c>
      <c r="AJ38" s="456">
        <f>'C1-Incomes'!JY40/'C1-Incomes'!$T40*100</f>
        <v>3.2579863697064582</v>
      </c>
      <c r="AK38" s="456">
        <f>'C1-Incomes'!JZ40/'C1-Incomes'!$U40*100</f>
        <v>3.4251956481745198</v>
      </c>
      <c r="AL38" s="456">
        <f>'C1-Incomes'!KA40/'C1-Incomes'!$V40*100</f>
        <v>3.5677377190175386</v>
      </c>
      <c r="AM38" s="456">
        <f>'C1-Incomes'!KB40/'C1-Incomes'!$W40*100</f>
        <v>4.0315434024646386</v>
      </c>
      <c r="AN38" s="456">
        <f>'C1-Incomes'!KC40/'C1-Incomes'!$X40*100</f>
        <v>4.5432745811517909</v>
      </c>
      <c r="AO38" s="458"/>
      <c r="AP38" s="456">
        <f>('C1-Incomes'!KE40-'C1-Incomes'!KF40)/('C1-Incomes'!$R40-'C1-Incomes'!$S40)*100</f>
        <v>2.5313141212346686</v>
      </c>
      <c r="AQ38" s="456">
        <f>'C1-Incomes'!KF40/'C1-Incomes'!$S40*100</f>
        <v>3.9064518930841174</v>
      </c>
      <c r="AR38" s="456">
        <f>'C1-Incomes'!KG40/'C1-Incomes'!$T40*100</f>
        <v>4.0296172058835928</v>
      </c>
      <c r="AS38" s="456">
        <f>'C1-Incomes'!KH40/'C1-Incomes'!$U40*100</f>
        <v>4.13215269729913</v>
      </c>
      <c r="AT38" s="456">
        <f>'C1-Incomes'!KI40/'C1-Incomes'!$V40*100</f>
        <v>4.1643386609727226</v>
      </c>
      <c r="AU38" s="456">
        <f>'C1-Incomes'!KJ40/'C1-Incomes'!$W40*100</f>
        <v>4.2713838431337292</v>
      </c>
      <c r="AV38" s="456">
        <f>'C1-Incomes'!KK40/'C1-Incomes'!$X40*100</f>
        <v>4.404663477020188</v>
      </c>
      <c r="AX38" s="456">
        <f>('C1-Incomes'!KM40-'C1-Incomes'!KN40)/('C1-Incomes'!$R40-'C1-Incomes'!$S40)*100</f>
        <v>8.0022463420574876</v>
      </c>
      <c r="AY38" s="456">
        <f>'C1-Incomes'!KN40/'C1-Incomes'!$S40*100</f>
        <v>5.1502419688470704</v>
      </c>
      <c r="AZ38" s="456">
        <f>'C1-Incomes'!KO40/'C1-Incomes'!$T40*100</f>
        <v>3.9838025048621959</v>
      </c>
      <c r="BA38" s="456">
        <f>'C1-Incomes'!KP40/'C1-Incomes'!$U40*100</f>
        <v>1.751386651807199</v>
      </c>
      <c r="BB38" s="456">
        <f>'C1-Incomes'!KQ40/'C1-Incomes'!$V40*100</f>
        <v>1.1653829196183616</v>
      </c>
      <c r="BC38" s="456">
        <f>'C1-Incomes'!KR40/'C1-Incomes'!$W40*100</f>
        <v>0.45523792275374408</v>
      </c>
      <c r="BD38" s="456">
        <f>'C1-Incomes'!KS40/'C1-Incomes'!$X40*100</f>
        <v>0.11581543937111485</v>
      </c>
      <c r="BE38" s="456"/>
      <c r="BF38" s="456">
        <f>('C1-Incomes'!LK40-'C1-Incomes'!LL40)/('C1-Incomes'!$R40-'C1-Incomes'!$S40)*100</f>
        <v>0.12928163120380429</v>
      </c>
      <c r="BG38" s="456">
        <f>'C1-Incomes'!LL40/'C1-Incomes'!$S40*100</f>
        <v>0.52007677856822654</v>
      </c>
      <c r="BH38" s="456">
        <f>'C1-Incomes'!LM40/'C1-Incomes'!$T40*100</f>
        <v>0.63240521696670504</v>
      </c>
      <c r="BI38" s="456">
        <f>'C1-Incomes'!LN40/'C1-Incomes'!$U40*100</f>
        <v>0.80466636286518956</v>
      </c>
      <c r="BJ38" s="456">
        <f>'C1-Incomes'!LO40/'C1-Incomes'!$V40*100</f>
        <v>0.8273480581652044</v>
      </c>
      <c r="BK38" s="456">
        <f>'C1-Incomes'!LP40/'C1-Incomes'!$W40*100</f>
        <v>0.85222799834848217</v>
      </c>
      <c r="BL38" s="456">
        <f>'C1-Incomes'!LQ40/'C1-Incomes'!$X40*100</f>
        <v>0.93523320546447886</v>
      </c>
      <c r="BN38" s="456">
        <f>('C1-Incomes'!KU40-'C1-Incomes'!KV40)/('C1-Incomes'!$R40-'C1-Incomes'!$S40)*100</f>
        <v>5.3025978339706326</v>
      </c>
      <c r="BO38" s="456">
        <f>'C1-Incomes'!KV40/'C1-Incomes'!$S40*100</f>
        <v>4.2267004720672157</v>
      </c>
      <c r="BP38" s="456">
        <f>'C1-Incomes'!KW40/'C1-Incomes'!$T40*100</f>
        <v>3.7819335344155149</v>
      </c>
      <c r="BQ38" s="456">
        <f>'C1-Incomes'!KX40/'C1-Incomes'!$U40*100</f>
        <v>3.1728098164508713</v>
      </c>
      <c r="BR38" s="456">
        <f>'C1-Incomes'!KY40/'C1-Incomes'!$V40*100</f>
        <v>3.0644840525049903</v>
      </c>
      <c r="BS38" s="456">
        <f>'C1-Incomes'!KZ40/'C1-Incomes'!$W40*100</f>
        <v>2.9914676855869131</v>
      </c>
      <c r="BT38" s="456">
        <f>'C1-Incomes'!LA40/'C1-Incomes'!$X40*100</f>
        <v>2.8951453923234514</v>
      </c>
      <c r="BV38" s="519"/>
      <c r="BW38" s="519"/>
    </row>
    <row r="39" spans="1:75" s="452" customFormat="1" ht="12" x14ac:dyDescent="0.25">
      <c r="A39" s="239">
        <v>1993</v>
      </c>
      <c r="B39" s="456">
        <f t="shared" si="17"/>
        <v>23.692398626641172</v>
      </c>
      <c r="C39" s="456">
        <f t="shared" si="18"/>
        <v>35.015125282315594</v>
      </c>
      <c r="D39" s="456">
        <f t="shared" si="19"/>
        <v>36.708365619093968</v>
      </c>
      <c r="E39" s="456">
        <f t="shared" si="20"/>
        <v>40.761793481913713</v>
      </c>
      <c r="F39" s="456">
        <f t="shared" si="21"/>
        <v>42.343647805092857</v>
      </c>
      <c r="G39" s="456">
        <f t="shared" si="22"/>
        <v>45.997976743456498</v>
      </c>
      <c r="H39" s="456">
        <f t="shared" si="23"/>
        <v>48.284483417721702</v>
      </c>
      <c r="I39" s="456"/>
      <c r="J39" s="456">
        <f t="shared" si="24"/>
        <v>15.721305295597295</v>
      </c>
      <c r="K39" s="456">
        <f t="shared" si="25"/>
        <v>29.799800508309946</v>
      </c>
      <c r="L39" s="456">
        <f t="shared" si="26"/>
        <v>32.618764652024808</v>
      </c>
      <c r="M39" s="456">
        <f t="shared" si="27"/>
        <v>38.906422848485576</v>
      </c>
      <c r="N39" s="456">
        <f t="shared" si="28"/>
        <v>41.103364776470137</v>
      </c>
      <c r="O39" s="456">
        <f t="shared" si="29"/>
        <v>45.504910187913211</v>
      </c>
      <c r="P39" s="456">
        <f t="shared" si="30"/>
        <v>48.153499989277371</v>
      </c>
      <c r="Q39" s="456"/>
      <c r="R39" s="456">
        <f>('C1-Incomes'!JG41-'C1-Incomes'!JH41)/('C1-Incomes'!$R41-'C1-Incomes'!$S41)*100</f>
        <v>4.7208584653575558</v>
      </c>
      <c r="S39" s="456">
        <f>'C1-Incomes'!JH41/'C1-Incomes'!$S41*100</f>
        <v>14.52617084760967</v>
      </c>
      <c r="T39" s="456">
        <f>'C1-Incomes'!JI41/'C1-Incomes'!$T41*100</f>
        <v>16.835189166081033</v>
      </c>
      <c r="U39" s="456">
        <f>'C1-Incomes'!JJ41/'C1-Incomes'!$U41*100</f>
        <v>22.341165185697882</v>
      </c>
      <c r="V39" s="456">
        <f>'C1-Incomes'!JK41/'C1-Incomes'!$V41*100</f>
        <v>24.128105956814778</v>
      </c>
      <c r="W39" s="456">
        <f>'C1-Incomes'!JL41/'C1-Incomes'!$W41*100</f>
        <v>27.161516010227771</v>
      </c>
      <c r="X39" s="456">
        <f>'C1-Incomes'!JM41/'C1-Incomes'!$X41*100</f>
        <v>28.461976427716923</v>
      </c>
      <c r="Y39" s="458"/>
      <c r="Z39" s="456">
        <f>('C1-Incomes'!JO41-'C1-Incomes'!JP41)/('C1-Incomes'!$R41-'C1-Incomes'!$S41)*100</f>
        <v>1.3116288699052137</v>
      </c>
      <c r="AA39" s="456">
        <f>'C1-Incomes'!JP41/'C1-Incomes'!$S41*100</f>
        <v>3.2984291800980223</v>
      </c>
      <c r="AB39" s="456">
        <f>'C1-Incomes'!JQ41/'C1-Incomes'!$T41*100</f>
        <v>3.7473842183865127</v>
      </c>
      <c r="AC39" s="456">
        <f>'C1-Incomes'!JR41/'C1-Incomes'!$U41*100</f>
        <v>4.6145074063732787</v>
      </c>
      <c r="AD39" s="456">
        <f>'C1-Incomes'!JS41/'C1-Incomes'!$V41*100</f>
        <v>4.8955627287912611</v>
      </c>
      <c r="AE39" s="456">
        <f>'C1-Incomes'!JT41/'C1-Incomes'!$W41*100</f>
        <v>5.4779059630654432</v>
      </c>
      <c r="AF39" s="456">
        <f>'C1-Incomes'!JU41/'C1-Incomes'!$X41*100</f>
        <v>5.8083154742368759</v>
      </c>
      <c r="AG39" s="458"/>
      <c r="AH39" s="456">
        <f>('C1-Incomes'!JW41-'C1-Incomes'!JX41)/('C1-Incomes'!$R41-'C1-Incomes'!$S41)*100</f>
        <v>1.9014624816885886</v>
      </c>
      <c r="AI39" s="456">
        <f>'C1-Incomes'!JX41/'C1-Incomes'!$S41*100</f>
        <v>3.4182025154518292</v>
      </c>
      <c r="AJ39" s="456">
        <f>'C1-Incomes'!JY41/'C1-Incomes'!$T41*100</f>
        <v>3.6711870390365435</v>
      </c>
      <c r="AK39" s="456">
        <f>'C1-Incomes'!JZ41/'C1-Incomes'!$U41*100</f>
        <v>3.9562800708230728</v>
      </c>
      <c r="AL39" s="456">
        <f>'C1-Incomes'!KA41/'C1-Incomes'!$V41*100</f>
        <v>4.1667185009856125</v>
      </c>
      <c r="AM39" s="456">
        <f>'C1-Incomes'!KB41/'C1-Incomes'!$W41*100</f>
        <v>4.8208131526739511</v>
      </c>
      <c r="AN39" s="456">
        <f>'C1-Incomes'!KC41/'C1-Incomes'!$X41*100</f>
        <v>5.5989626804670465</v>
      </c>
      <c r="AO39" s="458"/>
      <c r="AP39" s="456">
        <f>('C1-Incomes'!KE41-'C1-Incomes'!KF41)/('C1-Incomes'!$R41-'C1-Incomes'!$S41)*100</f>
        <v>2.4276027420881867</v>
      </c>
      <c r="AQ39" s="456">
        <f>'C1-Incomes'!KF41/'C1-Incomes'!$S41*100</f>
        <v>3.8423089196343567</v>
      </c>
      <c r="AR39" s="456">
        <f>'C1-Incomes'!KG41/'C1-Incomes'!$T41*100</f>
        <v>3.9995377316633336</v>
      </c>
      <c r="AS39" s="456">
        <f>'C1-Incomes'!KH41/'C1-Incomes'!$U41*100</f>
        <v>4.1612633414817708</v>
      </c>
      <c r="AT39" s="456">
        <f>'C1-Incomes'!KI41/'C1-Incomes'!$V41*100</f>
        <v>4.2223400754793738</v>
      </c>
      <c r="AU39" s="456">
        <f>'C1-Incomes'!KJ41/'C1-Incomes'!$W41*100</f>
        <v>4.4428799478770573</v>
      </c>
      <c r="AV39" s="456">
        <f>'C1-Incomes'!KK41/'C1-Incomes'!$X41*100</f>
        <v>4.7084306971794065</v>
      </c>
      <c r="AX39" s="456">
        <f>('C1-Incomes'!KM41-'C1-Incomes'!KN41)/('C1-Incomes'!$R41-'C1-Incomes'!$S41)*100</f>
        <v>7.971093331043873</v>
      </c>
      <c r="AY39" s="456">
        <f>'C1-Incomes'!KN41/'C1-Incomes'!$S41*100</f>
        <v>5.2153247740056479</v>
      </c>
      <c r="AZ39" s="456">
        <f>'C1-Incomes'!KO41/'C1-Incomes'!$T41*100</f>
        <v>4.0896009670691615</v>
      </c>
      <c r="BA39" s="456">
        <f>'C1-Incomes'!KP41/'C1-Incomes'!$U41*100</f>
        <v>1.8553706334281355</v>
      </c>
      <c r="BB39" s="456">
        <f>'C1-Incomes'!KQ41/'C1-Incomes'!$V41*100</f>
        <v>1.240283028622718</v>
      </c>
      <c r="BC39" s="456">
        <f>'C1-Incomes'!KR41/'C1-Incomes'!$W41*100</f>
        <v>0.49306655554328999</v>
      </c>
      <c r="BD39" s="456">
        <f>'C1-Incomes'!KS41/'C1-Incomes'!$X41*100</f>
        <v>0.13098342844433311</v>
      </c>
      <c r="BE39" s="456"/>
      <c r="BF39" s="456">
        <f>('C1-Incomes'!LK41-'C1-Incomes'!LL41)/('C1-Incomes'!$R41-'C1-Incomes'!$S41)*100</f>
        <v>0.13742672246747231</v>
      </c>
      <c r="BG39" s="456">
        <f>'C1-Incomes'!LL41/'C1-Incomes'!$S41*100</f>
        <v>0.56088637779178074</v>
      </c>
      <c r="BH39" s="456">
        <f>'C1-Incomes'!LM41/'C1-Incomes'!$T41*100</f>
        <v>0.68766852323090277</v>
      </c>
      <c r="BI39" s="456">
        <f>'C1-Incomes'!LN41/'C1-Incomes'!$U41*100</f>
        <v>0.89346861303941894</v>
      </c>
      <c r="BJ39" s="456">
        <f>'C1-Incomes'!LO41/'C1-Incomes'!$V41*100</f>
        <v>0.9242769822801139</v>
      </c>
      <c r="BK39" s="456">
        <f>'C1-Incomes'!LP41/'C1-Incomes'!$W41*100</f>
        <v>0.98115826935924744</v>
      </c>
      <c r="BL39" s="456">
        <f>'C1-Incomes'!LQ41/'C1-Incomes'!$X41*100</f>
        <v>1.0918596016121984</v>
      </c>
      <c r="BN39" s="456">
        <f>('C1-Incomes'!KU41-'C1-Incomes'!KV41)/('C1-Incomes'!$R41-'C1-Incomes'!$S41)*100</f>
        <v>5.222326014090279</v>
      </c>
      <c r="BO39" s="456">
        <f>'C1-Incomes'!KV41/'C1-Incomes'!$S41*100</f>
        <v>4.1538026677242899</v>
      </c>
      <c r="BP39" s="456">
        <f>'C1-Incomes'!KW41/'C1-Incomes'!$T41*100</f>
        <v>3.677797973626483</v>
      </c>
      <c r="BQ39" s="456">
        <f>'C1-Incomes'!KX41/'C1-Incomes'!$U41*100</f>
        <v>2.9397382310701552</v>
      </c>
      <c r="BR39" s="456">
        <f>'C1-Incomes'!KY41/'C1-Incomes'!$V41*100</f>
        <v>2.7663605321190032</v>
      </c>
      <c r="BS39" s="456">
        <f>'C1-Incomes'!KZ41/'C1-Incomes'!$W41*100</f>
        <v>2.6206368447097388</v>
      </c>
      <c r="BT39" s="456">
        <f>'C1-Incomes'!LA41/'C1-Incomes'!$X41*100</f>
        <v>2.4839551080649183</v>
      </c>
      <c r="BV39" s="519"/>
      <c r="BW39" s="519"/>
    </row>
    <row r="40" spans="1:75" s="452" customFormat="1" ht="12" x14ac:dyDescent="0.25">
      <c r="A40" s="239">
        <v>1994</v>
      </c>
      <c r="B40" s="456">
        <f t="shared" si="17"/>
        <v>23.984045300056891</v>
      </c>
      <c r="C40" s="456">
        <f t="shared" si="18"/>
        <v>35.572430307023865</v>
      </c>
      <c r="D40" s="456">
        <f t="shared" si="19"/>
        <v>37.300528642637943</v>
      </c>
      <c r="E40" s="456">
        <f t="shared" si="20"/>
        <v>41.430603645399515</v>
      </c>
      <c r="F40" s="456">
        <f t="shared" si="21"/>
        <v>43.047296398568719</v>
      </c>
      <c r="G40" s="456">
        <f t="shared" si="22"/>
        <v>46.339314079914772</v>
      </c>
      <c r="H40" s="456">
        <f t="shared" si="23"/>
        <v>48.205937733651986</v>
      </c>
      <c r="I40" s="456"/>
      <c r="J40" s="456">
        <f t="shared" si="24"/>
        <v>16.149104955313344</v>
      </c>
      <c r="K40" s="456">
        <f t="shared" si="25"/>
        <v>30.171041863684348</v>
      </c>
      <c r="L40" s="456">
        <f t="shared" si="26"/>
        <v>32.927837718887886</v>
      </c>
      <c r="M40" s="456">
        <f t="shared" si="27"/>
        <v>38.947641367169659</v>
      </c>
      <c r="N40" s="456">
        <f t="shared" si="28"/>
        <v>41.113959253971196</v>
      </c>
      <c r="O40" s="456">
        <f t="shared" si="29"/>
        <v>45.155229166760549</v>
      </c>
      <c r="P40" s="456">
        <f t="shared" si="30"/>
        <v>47.521021874585401</v>
      </c>
      <c r="Q40" s="456"/>
      <c r="R40" s="456">
        <f>('C1-Incomes'!JG42-'C1-Incomes'!JH42)/('C1-Incomes'!$R42-'C1-Incomes'!$S42)*100</f>
        <v>4.7609853361648575</v>
      </c>
      <c r="S40" s="456">
        <f>'C1-Incomes'!JH42/'C1-Incomes'!$S42*100</f>
        <v>14.709511382629628</v>
      </c>
      <c r="T40" s="456">
        <f>'C1-Incomes'!JI42/'C1-Incomes'!$T42*100</f>
        <v>16.983673458502942</v>
      </c>
      <c r="U40" s="456">
        <f>'C1-Incomes'!JJ42/'C1-Incomes'!$U42*100</f>
        <v>22.315008287772336</v>
      </c>
      <c r="V40" s="456">
        <f>'C1-Incomes'!JK42/'C1-Incomes'!$V42*100</f>
        <v>24.052314431875583</v>
      </c>
      <c r="W40" s="456">
        <f>'C1-Incomes'!JL42/'C1-Incomes'!$W42*100</f>
        <v>26.786313898522216</v>
      </c>
      <c r="X40" s="456">
        <f>'C1-Incomes'!JM42/'C1-Incomes'!$X42*100</f>
        <v>27.854037333658514</v>
      </c>
      <c r="Y40" s="458"/>
      <c r="Z40" s="456">
        <f>('C1-Incomes'!JO42-'C1-Incomes'!JP42)/('C1-Incomes'!$R42-'C1-Incomes'!$S42)*100</f>
        <v>1.3338568527555625</v>
      </c>
      <c r="AA40" s="456">
        <f>'C1-Incomes'!JP42/'C1-Incomes'!$S42*100</f>
        <v>3.1625990388434193</v>
      </c>
      <c r="AB40" s="456">
        <f>'C1-Incomes'!JQ42/'C1-Incomes'!$T42*100</f>
        <v>3.5419550324350011</v>
      </c>
      <c r="AC40" s="456">
        <f>'C1-Incomes'!JR42/'C1-Incomes'!$U42*100</f>
        <v>4.2738547535141347</v>
      </c>
      <c r="AD40" s="456">
        <f>'C1-Incomes'!JS42/'C1-Incomes'!$V42*100</f>
        <v>4.4679145648987273</v>
      </c>
      <c r="AE40" s="456">
        <f>'C1-Incomes'!JT42/'C1-Incomes'!$W42*100</f>
        <v>4.8877446969272924</v>
      </c>
      <c r="AF40" s="456">
        <f>'C1-Incomes'!JU42/'C1-Incomes'!$X42*100</f>
        <v>5.0863182337414061</v>
      </c>
      <c r="AG40" s="458"/>
      <c r="AH40" s="456">
        <f>('C1-Incomes'!JW42-'C1-Incomes'!JX42)/('C1-Incomes'!$R42-'C1-Incomes'!$S42)*100</f>
        <v>2.0230331094294014</v>
      </c>
      <c r="AI40" s="456">
        <f>'C1-Incomes'!JX42/'C1-Incomes'!$S42*100</f>
        <v>3.5113351540325959</v>
      </c>
      <c r="AJ40" s="456">
        <f>'C1-Incomes'!JY42/'C1-Incomes'!$T42*100</f>
        <v>3.7941748955732852</v>
      </c>
      <c r="AK40" s="456">
        <f>'C1-Incomes'!JZ42/'C1-Incomes'!$U42*100</f>
        <v>4.1174169758535193</v>
      </c>
      <c r="AL40" s="456">
        <f>'C1-Incomes'!KA42/'C1-Incomes'!$V42*100</f>
        <v>4.3892369106115021</v>
      </c>
      <c r="AM40" s="456">
        <f>'C1-Incomes'!KB42/'C1-Incomes'!$W42*100</f>
        <v>5.0957408581080497</v>
      </c>
      <c r="AN40" s="456">
        <f>'C1-Incomes'!KC42/'C1-Incomes'!$X42*100</f>
        <v>5.9704336807606575</v>
      </c>
      <c r="AO40" s="458"/>
      <c r="AP40" s="456">
        <f>('C1-Incomes'!KE42-'C1-Incomes'!KF42)/('C1-Incomes'!$R42-'C1-Incomes'!$S42)*100</f>
        <v>2.4306008495082887</v>
      </c>
      <c r="AQ40" s="456">
        <f>'C1-Incomes'!KF42/'C1-Incomes'!$S42*100</f>
        <v>3.8460448975275332</v>
      </c>
      <c r="AR40" s="456">
        <f>'C1-Incomes'!KG42/'C1-Incomes'!$T42*100</f>
        <v>4.0243714564023518</v>
      </c>
      <c r="AS40" s="456">
        <f>'C1-Incomes'!KH42/'C1-Incomes'!$U42*100</f>
        <v>4.2078090191523181</v>
      </c>
      <c r="AT40" s="456">
        <f>'C1-Incomes'!KI42/'C1-Incomes'!$V42*100</f>
        <v>4.3288479903317221</v>
      </c>
      <c r="AU40" s="456">
        <f>'C1-Incomes'!KJ42/'C1-Incomes'!$W42*100</f>
        <v>4.6020943969978312</v>
      </c>
      <c r="AV40" s="456">
        <f>'C1-Incomes'!KK42/'C1-Incomes'!$X42*100</f>
        <v>4.8515954417784108</v>
      </c>
      <c r="AX40" s="456">
        <f>('C1-Incomes'!KM42-'C1-Incomes'!KN42)/('C1-Incomes'!$R42-'C1-Incomes'!$S42)*100</f>
        <v>7.8349403447435462</v>
      </c>
      <c r="AY40" s="456">
        <f>'C1-Incomes'!KN42/'C1-Incomes'!$S42*100</f>
        <v>5.4013884433395258</v>
      </c>
      <c r="AZ40" s="456">
        <f>'C1-Incomes'!KO42/'C1-Incomes'!$T42*100</f>
        <v>4.3726909237500564</v>
      </c>
      <c r="BA40" s="456">
        <f>'C1-Incomes'!KP42/'C1-Incomes'!$U42*100</f>
        <v>2.4829622782298579</v>
      </c>
      <c r="BB40" s="456">
        <f>'C1-Incomes'!KQ42/'C1-Incomes'!$V42*100</f>
        <v>1.933337144597524</v>
      </c>
      <c r="BC40" s="456">
        <f>'C1-Incomes'!KR42/'C1-Incomes'!$W42*100</f>
        <v>1.1840849131542197</v>
      </c>
      <c r="BD40" s="456">
        <f>'C1-Incomes'!KS42/'C1-Incomes'!$X42*100</f>
        <v>0.68491585906658592</v>
      </c>
      <c r="BE40" s="456"/>
      <c r="BF40" s="456">
        <f>('C1-Incomes'!LK42-'C1-Incomes'!LL42)/('C1-Incomes'!$R42-'C1-Incomes'!$S42)*100</f>
        <v>0.14902300434507504</v>
      </c>
      <c r="BG40" s="456">
        <f>'C1-Incomes'!LL42/'C1-Incomes'!$S42*100</f>
        <v>0.60460963269777634</v>
      </c>
      <c r="BH40" s="456">
        <f>'C1-Incomes'!LM42/'C1-Incomes'!$T42*100</f>
        <v>0.73799595805246199</v>
      </c>
      <c r="BI40" s="456">
        <f>'C1-Incomes'!LN42/'C1-Incomes'!$U42*100</f>
        <v>0.95388509083420503</v>
      </c>
      <c r="BJ40" s="456">
        <f>'C1-Incomes'!LO42/'C1-Incomes'!$V42*100</f>
        <v>0.98483135923567844</v>
      </c>
      <c r="BK40" s="456">
        <f>'C1-Incomes'!LP42/'C1-Incomes'!$W42*100</f>
        <v>1.0418200596877454</v>
      </c>
      <c r="BL40" s="456">
        <f>'C1-Incomes'!LQ42/'C1-Incomes'!$X42*100</f>
        <v>1.1541135205240263</v>
      </c>
      <c r="BN40" s="456">
        <f>('C1-Incomes'!KU42-'C1-Incomes'!KV42)/('C1-Incomes'!$R42-'C1-Incomes'!$S42)*100</f>
        <v>5.4516058031101586</v>
      </c>
      <c r="BO40" s="456">
        <f>'C1-Incomes'!KV42/'C1-Incomes'!$S42*100</f>
        <v>4.336941757953392</v>
      </c>
      <c r="BP40" s="456">
        <f>'C1-Incomes'!KW42/'C1-Incomes'!$T42*100</f>
        <v>3.8456669179218479</v>
      </c>
      <c r="BQ40" s="456">
        <f>'C1-Incomes'!KX42/'C1-Incomes'!$U42*100</f>
        <v>3.079667240043146</v>
      </c>
      <c r="BR40" s="456">
        <f>'C1-Incomes'!KY42/'C1-Incomes'!$V42*100</f>
        <v>2.8908139970179811</v>
      </c>
      <c r="BS40" s="456">
        <f>'C1-Incomes'!KZ42/'C1-Incomes'!$W42*100</f>
        <v>2.741515256517411</v>
      </c>
      <c r="BT40" s="456">
        <f>'C1-Incomes'!LA42/'C1-Incomes'!$X42*100</f>
        <v>2.6045236641223912</v>
      </c>
      <c r="BV40" s="519"/>
      <c r="BW40" s="519"/>
    </row>
    <row r="41" spans="1:75" s="452" customFormat="1" ht="12" x14ac:dyDescent="0.25">
      <c r="A41" s="239">
        <v>1995</v>
      </c>
      <c r="B41" s="456">
        <f t="shared" si="17"/>
        <v>23.891769020612845</v>
      </c>
      <c r="C41" s="456">
        <f t="shared" si="18"/>
        <v>35.861522512762832</v>
      </c>
      <c r="D41" s="456">
        <f t="shared" si="19"/>
        <v>37.638031058551974</v>
      </c>
      <c r="E41" s="456">
        <f t="shared" si="20"/>
        <v>41.63737258510421</v>
      </c>
      <c r="F41" s="456">
        <f t="shared" si="21"/>
        <v>43.206120228133578</v>
      </c>
      <c r="G41" s="456">
        <f t="shared" si="22"/>
        <v>46.290304937473408</v>
      </c>
      <c r="H41" s="456">
        <f t="shared" si="23"/>
        <v>47.563771695418119</v>
      </c>
      <c r="I41" s="456"/>
      <c r="J41" s="456">
        <f t="shared" si="24"/>
        <v>16.063381865088559</v>
      </c>
      <c r="K41" s="456">
        <f t="shared" si="25"/>
        <v>30.620710614356529</v>
      </c>
      <c r="L41" s="456">
        <f t="shared" si="26"/>
        <v>33.416601799353487</v>
      </c>
      <c r="M41" s="456">
        <f t="shared" si="27"/>
        <v>39.249341165328083</v>
      </c>
      <c r="N41" s="456">
        <f t="shared" si="28"/>
        <v>41.329282013316501</v>
      </c>
      <c r="O41" s="456">
        <f t="shared" si="29"/>
        <v>45.105044126322838</v>
      </c>
      <c r="P41" s="456">
        <f t="shared" si="30"/>
        <v>46.829628373411396</v>
      </c>
      <c r="Q41" s="456"/>
      <c r="R41" s="456">
        <f>('C1-Incomes'!JG43-'C1-Incomes'!JH43)/('C1-Incomes'!$R43-'C1-Incomes'!$S43)*100</f>
        <v>4.7726927220786877</v>
      </c>
      <c r="S41" s="456">
        <f>'C1-Incomes'!JH43/'C1-Incomes'!$S43*100</f>
        <v>15.155311553201258</v>
      </c>
      <c r="T41" s="456">
        <f>'C1-Incomes'!JI43/'C1-Incomes'!$T43*100</f>
        <v>17.50706196630356</v>
      </c>
      <c r="U41" s="456">
        <f>'C1-Incomes'!JJ43/'C1-Incomes'!$U43*100</f>
        <v>22.789969402708905</v>
      </c>
      <c r="V41" s="456">
        <f>'C1-Incomes'!JK43/'C1-Incomes'!$V43*100</f>
        <v>24.476511084140043</v>
      </c>
      <c r="W41" s="456">
        <f>'C1-Incomes'!JL43/'C1-Incomes'!$W43*100</f>
        <v>27.056861966682348</v>
      </c>
      <c r="X41" s="456">
        <f>'C1-Incomes'!JM43/'C1-Incomes'!$X43*100</f>
        <v>27.636338321211195</v>
      </c>
      <c r="Y41" s="458"/>
      <c r="Z41" s="456">
        <f>('C1-Incomes'!JO43-'C1-Incomes'!JP43)/('C1-Incomes'!$R43-'C1-Incomes'!$S43)*100</f>
        <v>1.3389144185160506</v>
      </c>
      <c r="AA41" s="456">
        <f>'C1-Incomes'!JP43/'C1-Incomes'!$S43*100</f>
        <v>3.2126078762423327</v>
      </c>
      <c r="AB41" s="456">
        <f>'C1-Incomes'!JQ43/'C1-Incomes'!$T43*100</f>
        <v>3.6084106333747417</v>
      </c>
      <c r="AC41" s="456">
        <f>'C1-Incomes'!JR43/'C1-Incomes'!$U43*100</f>
        <v>4.3095071472452595</v>
      </c>
      <c r="AD41" s="456">
        <f>'C1-Incomes'!JS43/'C1-Incomes'!$V43*100</f>
        <v>4.5223120371388754</v>
      </c>
      <c r="AE41" s="456">
        <f>'C1-Incomes'!JT43/'C1-Incomes'!$W43*100</f>
        <v>4.9185589313370217</v>
      </c>
      <c r="AF41" s="456">
        <f>'C1-Incomes'!JU43/'C1-Incomes'!$X43*100</f>
        <v>5.0005133278741232</v>
      </c>
      <c r="AG41" s="458"/>
      <c r="AH41" s="456">
        <f>('C1-Incomes'!JW43-'C1-Incomes'!JX43)/('C1-Incomes'!$R43-'C1-Incomes'!$S43)*100</f>
        <v>2.1496651560670923</v>
      </c>
      <c r="AI41" s="456">
        <f>'C1-Incomes'!JX43/'C1-Incomes'!$S43*100</f>
        <v>3.7371098576739481</v>
      </c>
      <c r="AJ41" s="456">
        <f>'C1-Incomes'!JY43/'C1-Incomes'!$T43*100</f>
        <v>4.0297288644728742</v>
      </c>
      <c r="AK41" s="456">
        <f>'C1-Incomes'!JZ43/'C1-Incomes'!$U43*100</f>
        <v>4.3477001623304057</v>
      </c>
      <c r="AL41" s="456">
        <f>'C1-Incomes'!KA43/'C1-Incomes'!$V43*100</f>
        <v>4.5963874369725124</v>
      </c>
      <c r="AM41" s="456">
        <f>'C1-Incomes'!KB43/'C1-Incomes'!$W43*100</f>
        <v>5.3088984865364397</v>
      </c>
      <c r="AN41" s="456">
        <f>'C1-Incomes'!KC43/'C1-Incomes'!$X43*100</f>
        <v>6.1701301167777594</v>
      </c>
      <c r="AO41" s="458"/>
      <c r="AP41" s="456">
        <f>('C1-Incomes'!KE43-'C1-Incomes'!KF43)/('C1-Incomes'!$R43-'C1-Incomes'!$S43)*100</f>
        <v>2.319322482501351</v>
      </c>
      <c r="AQ41" s="456">
        <f>'C1-Incomes'!KF43/'C1-Incomes'!$S43*100</f>
        <v>3.7224147310832736</v>
      </c>
      <c r="AR41" s="456">
        <f>'C1-Incomes'!KG43/'C1-Incomes'!$T43*100</f>
        <v>3.855290481126826</v>
      </c>
      <c r="AS41" s="456">
        <f>'C1-Incomes'!KH43/'C1-Incomes'!$U43*100</f>
        <v>3.9894335430579275</v>
      </c>
      <c r="AT41" s="456">
        <f>'C1-Incomes'!KI43/'C1-Incomes'!$V43*100</f>
        <v>4.082767829784081</v>
      </c>
      <c r="AU41" s="456">
        <f>'C1-Incomes'!KJ43/'C1-Incomes'!$W43*100</f>
        <v>4.2879221420749092</v>
      </c>
      <c r="AV41" s="456">
        <f>'C1-Incomes'!KK43/'C1-Incomes'!$X43*100</f>
        <v>4.530681737562352</v>
      </c>
      <c r="AX41" s="456">
        <f>('C1-Incomes'!KM43-'C1-Incomes'!KN43)/('C1-Incomes'!$R43-'C1-Incomes'!$S43)*100</f>
        <v>7.828387155524287</v>
      </c>
      <c r="AY41" s="456">
        <f>'C1-Incomes'!KN43/'C1-Incomes'!$S43*100</f>
        <v>5.2408118984062977</v>
      </c>
      <c r="AZ41" s="456">
        <f>'C1-Incomes'!KO43/'C1-Incomes'!$T43*100</f>
        <v>4.2214292591984837</v>
      </c>
      <c r="BA41" s="456">
        <f>'C1-Incomes'!KP43/'C1-Incomes'!$U43*100</f>
        <v>2.388031419776127</v>
      </c>
      <c r="BB41" s="456">
        <f>'C1-Incomes'!KQ43/'C1-Incomes'!$V43*100</f>
        <v>1.876838214817077</v>
      </c>
      <c r="BC41" s="456">
        <f>'C1-Incomes'!KR43/'C1-Incomes'!$W43*100</f>
        <v>1.1852608111505691</v>
      </c>
      <c r="BD41" s="456">
        <f>'C1-Incomes'!KS43/'C1-Incomes'!$X43*100</f>
        <v>0.73414332200672405</v>
      </c>
      <c r="BE41" s="456"/>
      <c r="BF41" s="456">
        <f>('C1-Incomes'!LK43-'C1-Incomes'!LL43)/('C1-Incomes'!$R43-'C1-Incomes'!$S43)*100</f>
        <v>0.14040092152989184</v>
      </c>
      <c r="BG41" s="456">
        <f>'C1-Incomes'!LL43/'C1-Incomes'!$S43*100</f>
        <v>0.55897692793925291</v>
      </c>
      <c r="BH41" s="456">
        <f>'C1-Incomes'!LM43/'C1-Incomes'!$T43*100</f>
        <v>0.67649156250414089</v>
      </c>
      <c r="BI41" s="456">
        <f>'C1-Incomes'!LN43/'C1-Incomes'!$U43*100</f>
        <v>0.85412602532969084</v>
      </c>
      <c r="BJ41" s="456">
        <f>'C1-Incomes'!LO43/'C1-Incomes'!$V43*100</f>
        <v>0.87353551086285997</v>
      </c>
      <c r="BK41" s="456">
        <f>'C1-Incomes'!LP43/'C1-Incomes'!$W43*100</f>
        <v>0.91143142122529286</v>
      </c>
      <c r="BL41" s="456">
        <f>'C1-Incomes'!LQ43/'C1-Incomes'!$X43*100</f>
        <v>1.0020480799138733</v>
      </c>
      <c r="BN41" s="456">
        <f>('C1-Incomes'!KU43-'C1-Incomes'!KV43)/('C1-Incomes'!$R43-'C1-Incomes'!$S43)*100</f>
        <v>5.342386164395486</v>
      </c>
      <c r="BO41" s="456">
        <f>'C1-Incomes'!KV43/'C1-Incomes'!$S43*100</f>
        <v>4.2342896682164675</v>
      </c>
      <c r="BP41" s="456">
        <f>'C1-Incomes'!KW43/'C1-Incomes'!$T43*100</f>
        <v>3.7396182915713436</v>
      </c>
      <c r="BQ41" s="456">
        <f>'C1-Incomes'!KX43/'C1-Incomes'!$U43*100</f>
        <v>2.9586048846558897</v>
      </c>
      <c r="BR41" s="456">
        <f>'C1-Incomes'!KY43/'C1-Incomes'!$V43*100</f>
        <v>2.7777681144181283</v>
      </c>
      <c r="BS41" s="456">
        <f>'C1-Incomes'!KZ43/'C1-Incomes'!$W43*100</f>
        <v>2.6213711784668217</v>
      </c>
      <c r="BT41" s="456">
        <f>'C1-Incomes'!LA43/'C1-Incomes'!$X43*100</f>
        <v>2.4899167900720931</v>
      </c>
      <c r="BV41" s="519"/>
      <c r="BW41" s="519"/>
    </row>
    <row r="42" spans="1:75" s="452" customFormat="1" ht="12" x14ac:dyDescent="0.25">
      <c r="A42" s="239">
        <v>1996</v>
      </c>
      <c r="B42" s="456">
        <f t="shared" si="17"/>
        <v>24.059188314951417</v>
      </c>
      <c r="C42" s="456">
        <f t="shared" si="18"/>
        <v>36.67484386613588</v>
      </c>
      <c r="D42" s="456">
        <f t="shared" si="19"/>
        <v>38.676738060293587</v>
      </c>
      <c r="E42" s="456">
        <f t="shared" si="20"/>
        <v>43.256704059945399</v>
      </c>
      <c r="F42" s="456">
        <f t="shared" si="21"/>
        <v>45.094148603146955</v>
      </c>
      <c r="G42" s="456">
        <f t="shared" si="22"/>
        <v>48.748426465442193</v>
      </c>
      <c r="H42" s="456">
        <f t="shared" si="23"/>
        <v>50.683131559973887</v>
      </c>
      <c r="I42" s="456"/>
      <c r="J42" s="456">
        <f t="shared" si="24"/>
        <v>16.276715531219121</v>
      </c>
      <c r="K42" s="456">
        <f t="shared" si="25"/>
        <v>31.657753229453551</v>
      </c>
      <c r="L42" s="456">
        <f t="shared" si="26"/>
        <v>34.635637958068855</v>
      </c>
      <c r="M42" s="456">
        <f t="shared" si="27"/>
        <v>40.948489453077066</v>
      </c>
      <c r="N42" s="456">
        <f t="shared" si="28"/>
        <v>43.249134669988969</v>
      </c>
      <c r="O42" s="456">
        <f t="shared" si="29"/>
        <v>47.535023509675071</v>
      </c>
      <c r="P42" s="456">
        <f t="shared" si="30"/>
        <v>49.882227270965799</v>
      </c>
      <c r="Q42" s="456"/>
      <c r="R42" s="456">
        <f>('C1-Incomes'!JG44-'C1-Incomes'!JH44)/('C1-Incomes'!$R44-'C1-Incomes'!$S44)*100</f>
        <v>4.9501605502528383</v>
      </c>
      <c r="S42" s="456">
        <f>'C1-Incomes'!JH44/'C1-Incomes'!$S44*100</f>
        <v>16.243613365706448</v>
      </c>
      <c r="T42" s="456">
        <f>'C1-Incomes'!JI44/'C1-Incomes'!$T44*100</f>
        <v>18.851664820947573</v>
      </c>
      <c r="U42" s="456">
        <f>'C1-Incomes'!JJ44/'C1-Incomes'!$U44*100</f>
        <v>24.702011836930794</v>
      </c>
      <c r="V42" s="456">
        <f>'C1-Incomes'!JK44/'C1-Incomes'!$V44*100</f>
        <v>26.62941353916931</v>
      </c>
      <c r="W42" s="456">
        <f>'C1-Incomes'!JL44/'C1-Incomes'!$W44*100</f>
        <v>29.792373846933245</v>
      </c>
      <c r="X42" s="456">
        <f>'C1-Incomes'!JM44/'C1-Incomes'!$X44*100</f>
        <v>31.065041992832963</v>
      </c>
      <c r="Y42" s="458"/>
      <c r="Z42" s="456">
        <f>('C1-Incomes'!JO44-'C1-Incomes'!JP44)/('C1-Incomes'!$R44-'C1-Incomes'!$S44)*100</f>
        <v>1.3420603838921481</v>
      </c>
      <c r="AA42" s="456">
        <f>'C1-Incomes'!JP44/'C1-Incomes'!$S44*100</f>
        <v>3.2398787561359157</v>
      </c>
      <c r="AB42" s="456">
        <f>'C1-Incomes'!JQ44/'C1-Incomes'!$T44*100</f>
        <v>3.6568569354234781</v>
      </c>
      <c r="AC42" s="456">
        <f>'C1-Incomes'!JR44/'C1-Incomes'!$U44*100</f>
        <v>4.4350230266131776</v>
      </c>
      <c r="AD42" s="456">
        <f>'C1-Incomes'!JS44/'C1-Incomes'!$V44*100</f>
        <v>4.6699899132902072</v>
      </c>
      <c r="AE42" s="456">
        <f>'C1-Incomes'!JT44/'C1-Incomes'!$W44*100</f>
        <v>5.1194084663168704</v>
      </c>
      <c r="AF42" s="456">
        <f>'C1-Incomes'!JU44/'C1-Incomes'!$X44*100</f>
        <v>5.3088429003758648</v>
      </c>
      <c r="AG42" s="458"/>
      <c r="AH42" s="456">
        <f>('C1-Incomes'!JW44-'C1-Incomes'!JX44)/('C1-Incomes'!$R44-'C1-Incomes'!$S44)*100</f>
        <v>2.2096655473975302</v>
      </c>
      <c r="AI42" s="456">
        <f>'C1-Incomes'!JX44/'C1-Incomes'!$S44*100</f>
        <v>3.7701476723301375</v>
      </c>
      <c r="AJ42" s="456">
        <f>'C1-Incomes'!JY44/'C1-Incomes'!$T44*100</f>
        <v>3.9920901666529653</v>
      </c>
      <c r="AK42" s="456">
        <f>'C1-Incomes'!JZ44/'C1-Incomes'!$U44*100</f>
        <v>4.2331011422380094</v>
      </c>
      <c r="AL42" s="456">
        <f>'C1-Incomes'!KA44/'C1-Incomes'!$V44*100</f>
        <v>4.4661854235402547</v>
      </c>
      <c r="AM42" s="456">
        <f>'C1-Incomes'!KB44/'C1-Incomes'!$W44*100</f>
        <v>5.0808384426702915</v>
      </c>
      <c r="AN42" s="456">
        <f>'C1-Incomes'!KC44/'C1-Incomes'!$X44*100</f>
        <v>5.8097821830014222</v>
      </c>
      <c r="AO42" s="458"/>
      <c r="AP42" s="456">
        <f>('C1-Incomes'!KE44-'C1-Incomes'!KF44)/('C1-Incomes'!$R44-'C1-Incomes'!$S44)*100</f>
        <v>2.2949857833940572</v>
      </c>
      <c r="AQ42" s="456">
        <f>'C1-Incomes'!KF44/'C1-Incomes'!$S44*100</f>
        <v>3.6301343080850303</v>
      </c>
      <c r="AR42" s="456">
        <f>'C1-Incomes'!KG44/'C1-Incomes'!$T44*100</f>
        <v>3.7284450314918547</v>
      </c>
      <c r="AS42" s="456">
        <f>'C1-Incomes'!KH44/'C1-Incomes'!$U44*100</f>
        <v>3.7850411080444326</v>
      </c>
      <c r="AT42" s="456">
        <f>'C1-Incomes'!KI44/'C1-Incomes'!$V44*100</f>
        <v>3.8564046125898708</v>
      </c>
      <c r="AU42" s="456">
        <f>'C1-Incomes'!KJ44/'C1-Incomes'!$W44*100</f>
        <v>4.0355239271722088</v>
      </c>
      <c r="AV42" s="456">
        <f>'C1-Incomes'!KK44/'C1-Incomes'!$X44*100</f>
        <v>4.2190217221092992</v>
      </c>
      <c r="AX42" s="456">
        <f>('C1-Incomes'!KM44-'C1-Incomes'!KN44)/('C1-Incomes'!$R44-'C1-Incomes'!$S44)*100</f>
        <v>7.7824727837322971</v>
      </c>
      <c r="AY42" s="456">
        <f>'C1-Incomes'!KN44/'C1-Incomes'!$S44*100</f>
        <v>5.0170906366823225</v>
      </c>
      <c r="AZ42" s="456">
        <f>'C1-Incomes'!KO44/'C1-Incomes'!$T44*100</f>
        <v>4.0411001022247319</v>
      </c>
      <c r="BA42" s="456">
        <f>'C1-Incomes'!KP44/'C1-Incomes'!$U44*100</f>
        <v>2.3082146068683334</v>
      </c>
      <c r="BB42" s="456">
        <f>'C1-Incomes'!KQ44/'C1-Incomes'!$V44*100</f>
        <v>1.8450139331579833</v>
      </c>
      <c r="BC42" s="456">
        <f>'C1-Incomes'!KR44/'C1-Incomes'!$W44*100</f>
        <v>1.2134029557671122</v>
      </c>
      <c r="BD42" s="456">
        <f>'C1-Incomes'!KS44/'C1-Incomes'!$X44*100</f>
        <v>0.80090428900808486</v>
      </c>
      <c r="BE42" s="456"/>
      <c r="BF42" s="456">
        <f>('C1-Incomes'!LK44-'C1-Incomes'!LL44)/('C1-Incomes'!$R44-'C1-Incomes'!$S44)*100</f>
        <v>0.15383003724782823</v>
      </c>
      <c r="BG42" s="456">
        <f>'C1-Incomes'!LL44/'C1-Incomes'!$S44*100</f>
        <v>0.59559242445986293</v>
      </c>
      <c r="BH42" s="456">
        <f>'C1-Incomes'!LM44/'C1-Incomes'!$T44*100</f>
        <v>0.71441392404564186</v>
      </c>
      <c r="BI42" s="456">
        <f>'C1-Incomes'!LN44/'C1-Incomes'!$U44*100</f>
        <v>0.88626797378546407</v>
      </c>
      <c r="BJ42" s="456">
        <f>'C1-Incomes'!LO44/'C1-Incomes'!$V44*100</f>
        <v>0.90209084175178877</v>
      </c>
      <c r="BK42" s="456">
        <f>'C1-Incomes'!LP44/'C1-Incomes'!$W44*100</f>
        <v>0.93070692863086535</v>
      </c>
      <c r="BL42" s="456">
        <f>'C1-Incomes'!LQ44/'C1-Incomes'!$X44*100</f>
        <v>1.0096024138768871</v>
      </c>
      <c r="BN42" s="456">
        <f>('C1-Incomes'!KU44-'C1-Incomes'!KV44)/('C1-Incomes'!$R44-'C1-Incomes'!$S44)*100</f>
        <v>5.326013229034718</v>
      </c>
      <c r="BO42" s="456">
        <f>'C1-Incomes'!KV44/'C1-Incomes'!$S44*100</f>
        <v>4.1783867027361605</v>
      </c>
      <c r="BP42" s="456">
        <f>'C1-Incomes'!KW44/'C1-Incomes'!$T44*100</f>
        <v>3.692167079507342</v>
      </c>
      <c r="BQ42" s="456">
        <f>'C1-Incomes'!KX44/'C1-Incomes'!$U44*100</f>
        <v>2.9070443654651879</v>
      </c>
      <c r="BR42" s="456">
        <f>'C1-Incomes'!KY44/'C1-Incomes'!$V44*100</f>
        <v>2.7250503396475443</v>
      </c>
      <c r="BS42" s="456">
        <f>'C1-Incomes'!KZ44/'C1-Incomes'!$W44*100</f>
        <v>2.5761718979515948</v>
      </c>
      <c r="BT42" s="456">
        <f>'C1-Incomes'!LA44/'C1-Incomes'!$X44*100</f>
        <v>2.4699360587693708</v>
      </c>
      <c r="BV42" s="519"/>
      <c r="BW42" s="519"/>
    </row>
    <row r="43" spans="1:75" s="452" customFormat="1" ht="12" x14ac:dyDescent="0.25">
      <c r="A43" s="239">
        <v>1997</v>
      </c>
      <c r="B43" s="456">
        <f t="shared" si="17"/>
        <v>24.141483944125486</v>
      </c>
      <c r="C43" s="456">
        <f t="shared" si="18"/>
        <v>37.332514289741553</v>
      </c>
      <c r="D43" s="456">
        <f t="shared" si="19"/>
        <v>39.455323582371008</v>
      </c>
      <c r="E43" s="456">
        <f t="shared" si="20"/>
        <v>44.099000877494312</v>
      </c>
      <c r="F43" s="456">
        <f t="shared" si="21"/>
        <v>45.678306310609059</v>
      </c>
      <c r="G43" s="456">
        <f t="shared" si="22"/>
        <v>49.11192778306846</v>
      </c>
      <c r="H43" s="456">
        <f t="shared" si="23"/>
        <v>50.775060477259274</v>
      </c>
      <c r="I43" s="456"/>
      <c r="J43" s="456">
        <f t="shared" si="24"/>
        <v>16.34037243988578</v>
      </c>
      <c r="K43" s="456">
        <f t="shared" si="25"/>
        <v>32.430186967578948</v>
      </c>
      <c r="L43" s="456">
        <f t="shared" si="26"/>
        <v>35.521584186420377</v>
      </c>
      <c r="M43" s="456">
        <f t="shared" si="27"/>
        <v>41.862895954579663</v>
      </c>
      <c r="N43" s="456">
        <f t="shared" si="28"/>
        <v>43.877467854277334</v>
      </c>
      <c r="O43" s="456">
        <f t="shared" si="29"/>
        <v>47.886543186074292</v>
      </c>
      <c r="P43" s="456">
        <f t="shared" si="30"/>
        <v>49.919127385887045</v>
      </c>
      <c r="Q43" s="456"/>
      <c r="R43" s="456">
        <f>('C1-Incomes'!JG45-'C1-Incomes'!JH45)/('C1-Incomes'!$R45-'C1-Incomes'!$S45)*100</f>
        <v>5.1414182756036135</v>
      </c>
      <c r="S43" s="456">
        <f>'C1-Incomes'!JH45/'C1-Incomes'!$S45*100</f>
        <v>17.022481370137513</v>
      </c>
      <c r="T43" s="456">
        <f>'C1-Incomes'!JI45/'C1-Incomes'!$T45*100</f>
        <v>19.749823721299229</v>
      </c>
      <c r="U43" s="456">
        <f>'C1-Incomes'!JJ45/'C1-Incomes'!$U45*100</f>
        <v>25.626001626348092</v>
      </c>
      <c r="V43" s="456">
        <f>'C1-Incomes'!JK45/'C1-Incomes'!$V45*100</f>
        <v>27.401115447735236</v>
      </c>
      <c r="W43" s="456">
        <f>'C1-Incomes'!JL45/'C1-Incomes'!$W45*100</f>
        <v>30.385837136942662</v>
      </c>
      <c r="X43" s="456">
        <f>'C1-Incomes'!JM45/'C1-Incomes'!$X45*100</f>
        <v>31.394379634286601</v>
      </c>
      <c r="Y43" s="458"/>
      <c r="Z43" s="456">
        <f>('C1-Incomes'!JO45-'C1-Incomes'!JP45)/('C1-Incomes'!$R45-'C1-Incomes'!$S45)*100</f>
        <v>1.3289705997916657</v>
      </c>
      <c r="AA43" s="456">
        <f>'C1-Incomes'!JP45/'C1-Incomes'!$S45*100</f>
        <v>3.3176652831489051</v>
      </c>
      <c r="AB43" s="456">
        <f>'C1-Incomes'!JQ45/'C1-Incomes'!$T45*100</f>
        <v>3.7340485606321328</v>
      </c>
      <c r="AC43" s="456">
        <f>'C1-Incomes'!JR45/'C1-Incomes'!$U45*100</f>
        <v>4.5121515369468828</v>
      </c>
      <c r="AD43" s="456">
        <f>'C1-Incomes'!JS45/'C1-Incomes'!$V45*100</f>
        <v>4.7387563993916411</v>
      </c>
      <c r="AE43" s="456">
        <f>'C1-Incomes'!JT45/'C1-Incomes'!$W45*100</f>
        <v>5.182072702283345</v>
      </c>
      <c r="AF43" s="456">
        <f>'C1-Incomes'!JU45/'C1-Incomes'!$X45*100</f>
        <v>5.4353219846201677</v>
      </c>
      <c r="AG43" s="458"/>
      <c r="AH43" s="456">
        <f>('C1-Incomes'!JW45-'C1-Incomes'!JX45)/('C1-Incomes'!$R45-'C1-Incomes'!$S45)*100</f>
        <v>2.1734403648834264</v>
      </c>
      <c r="AI43" s="456">
        <f>'C1-Incomes'!JX45/'C1-Incomes'!$S45*100</f>
        <v>3.7978532303955479</v>
      </c>
      <c r="AJ43" s="456">
        <f>'C1-Incomes'!JY45/'C1-Incomes'!$T45*100</f>
        <v>4.0002548087533318</v>
      </c>
      <c r="AK43" s="456">
        <f>'C1-Incomes'!JZ45/'C1-Incomes'!$U45*100</f>
        <v>4.2346926401331126</v>
      </c>
      <c r="AL43" s="456">
        <f>'C1-Incomes'!KA45/'C1-Incomes'!$V45*100</f>
        <v>4.3906303236050634</v>
      </c>
      <c r="AM43" s="456">
        <f>'C1-Incomes'!KB45/'C1-Incomes'!$W45*100</f>
        <v>4.9588979243865339</v>
      </c>
      <c r="AN43" s="456">
        <f>'C1-Incomes'!KC45/'C1-Incomes'!$X45*100</f>
        <v>5.6179622720549469</v>
      </c>
      <c r="AO43" s="458"/>
      <c r="AP43" s="456">
        <f>('C1-Incomes'!KE45-'C1-Incomes'!KF45)/('C1-Incomes'!$R45-'C1-Incomes'!$S45)*100</f>
        <v>2.2562440945598499</v>
      </c>
      <c r="AQ43" s="456">
        <f>'C1-Incomes'!KF45/'C1-Incomes'!$S45*100</f>
        <v>3.5845286873353519</v>
      </c>
      <c r="AR43" s="456">
        <f>'C1-Incomes'!KG45/'C1-Incomes'!$T45*100</f>
        <v>3.6791265799724369</v>
      </c>
      <c r="AS43" s="456">
        <f>'C1-Incomes'!KH45/'C1-Incomes'!$U45*100</f>
        <v>3.7459279806584922</v>
      </c>
      <c r="AT43" s="456">
        <f>'C1-Incomes'!KI45/'C1-Incomes'!$V45*100</f>
        <v>3.7758596423814219</v>
      </c>
      <c r="AU43" s="456">
        <f>'C1-Incomes'!KJ45/'C1-Incomes'!$W45*100</f>
        <v>3.9050201102051139</v>
      </c>
      <c r="AV43" s="456">
        <f>'C1-Incomes'!KK45/'C1-Incomes'!$X45*100</f>
        <v>4.0534477389076677</v>
      </c>
      <c r="AX43" s="456">
        <f>('C1-Incomes'!KM45-'C1-Incomes'!KN45)/('C1-Incomes'!$R45-'C1-Incomes'!$S45)*100</f>
        <v>7.8011115042397075</v>
      </c>
      <c r="AY43" s="456">
        <f>'C1-Incomes'!KN45/'C1-Incomes'!$S45*100</f>
        <v>4.9023273221626047</v>
      </c>
      <c r="AZ43" s="456">
        <f>'C1-Incomes'!KO45/'C1-Incomes'!$T45*100</f>
        <v>3.9337393959506368</v>
      </c>
      <c r="BA43" s="456">
        <f>'C1-Incomes'!KP45/'C1-Incomes'!$U45*100</f>
        <v>2.236104922914647</v>
      </c>
      <c r="BB43" s="456">
        <f>'C1-Incomes'!KQ45/'C1-Incomes'!$V45*100</f>
        <v>1.8008384563317228</v>
      </c>
      <c r="BC43" s="456">
        <f>'C1-Incomes'!KR45/'C1-Incomes'!$W45*100</f>
        <v>1.2253845969941679</v>
      </c>
      <c r="BD43" s="456">
        <f>'C1-Incomes'!KS45/'C1-Incomes'!$X45*100</f>
        <v>0.85593309137222962</v>
      </c>
      <c r="BE43" s="456"/>
      <c r="BF43" s="456">
        <f>('C1-Incomes'!LK45-'C1-Incomes'!LL45)/('C1-Incomes'!$R45-'C1-Incomes'!$S45)*100</f>
        <v>0.17090048346031522</v>
      </c>
      <c r="BG43" s="456">
        <f>'C1-Incomes'!LL45/'C1-Incomes'!$S45*100</f>
        <v>0.63857770349564247</v>
      </c>
      <c r="BH43" s="456">
        <f>'C1-Incomes'!LM45/'C1-Incomes'!$T45*100</f>
        <v>0.75946354663453175</v>
      </c>
      <c r="BI43" s="456">
        <f>'C1-Incomes'!LN45/'C1-Incomes'!$U45*100</f>
        <v>0.9218180026135635</v>
      </c>
      <c r="BJ43" s="456">
        <f>'C1-Incomes'!LO45/'C1-Incomes'!$V45*100</f>
        <v>0.92665380632415117</v>
      </c>
      <c r="BK43" s="456">
        <f>'C1-Incomes'!LP45/'C1-Incomes'!$W45*100</f>
        <v>0.94154488683890047</v>
      </c>
      <c r="BL43" s="456">
        <f>'C1-Incomes'!LQ45/'C1-Incomes'!$X45*100</f>
        <v>1.002042163374353</v>
      </c>
      <c r="BN43" s="456">
        <f>('C1-Incomes'!KU45-'C1-Incomes'!KV45)/('C1-Incomes'!$R45-'C1-Incomes'!$S45)*100</f>
        <v>5.2693986215869089</v>
      </c>
      <c r="BO43" s="456">
        <f>'C1-Incomes'!KV45/'C1-Incomes'!$S45*100</f>
        <v>4.0690806930659935</v>
      </c>
      <c r="BP43" s="456">
        <f>'C1-Incomes'!KW45/'C1-Incomes'!$T45*100</f>
        <v>3.5988669691287103</v>
      </c>
      <c r="BQ43" s="456">
        <f>'C1-Incomes'!KX45/'C1-Incomes'!$U45*100</f>
        <v>2.8223041678795253</v>
      </c>
      <c r="BR43" s="456">
        <f>'C1-Incomes'!KY45/'C1-Incomes'!$V45*100</f>
        <v>2.6444522348398194</v>
      </c>
      <c r="BS43" s="456">
        <f>'C1-Incomes'!KZ45/'C1-Incomes'!$W45*100</f>
        <v>2.5131704254177429</v>
      </c>
      <c r="BT43" s="456">
        <f>'C1-Incomes'!LA45/'C1-Incomes'!$X45*100</f>
        <v>2.4159735926433048</v>
      </c>
      <c r="BV43" s="519"/>
      <c r="BW43" s="519"/>
    </row>
    <row r="44" spans="1:75" s="452" customFormat="1" ht="12" x14ac:dyDescent="0.25">
      <c r="A44" s="239">
        <v>1998</v>
      </c>
      <c r="B44" s="456">
        <f t="shared" si="17"/>
        <v>24.174456565062751</v>
      </c>
      <c r="C44" s="456">
        <f t="shared" si="18"/>
        <v>38.454422573413382</v>
      </c>
      <c r="D44" s="456">
        <f t="shared" si="19"/>
        <v>40.845364616777019</v>
      </c>
      <c r="E44" s="456">
        <f t="shared" si="20"/>
        <v>46.069785332897936</v>
      </c>
      <c r="F44" s="456">
        <f t="shared" si="21"/>
        <v>47.977029926038533</v>
      </c>
      <c r="G44" s="456">
        <f t="shared" si="22"/>
        <v>51.532692205142382</v>
      </c>
      <c r="H44" s="456">
        <f t="shared" si="23"/>
        <v>52.662606788410798</v>
      </c>
      <c r="I44" s="456"/>
      <c r="J44" s="456">
        <f t="shared" si="24"/>
        <v>16.337398743112256</v>
      </c>
      <c r="K44" s="456">
        <f t="shared" si="25"/>
        <v>33.554215727144324</v>
      </c>
      <c r="L44" s="456">
        <f t="shared" si="26"/>
        <v>36.894565970740359</v>
      </c>
      <c r="M44" s="456">
        <f t="shared" si="27"/>
        <v>43.797956468200034</v>
      </c>
      <c r="N44" s="456">
        <f t="shared" si="28"/>
        <v>46.120095855235398</v>
      </c>
      <c r="O44" s="456">
        <f t="shared" si="29"/>
        <v>50.206616998608517</v>
      </c>
      <c r="P44" s="456">
        <f t="shared" si="30"/>
        <v>51.639589752664222</v>
      </c>
      <c r="Q44" s="456"/>
      <c r="R44" s="456">
        <f>('C1-Incomes'!JG46-'C1-Incomes'!JH46)/('C1-Incomes'!$R46-'C1-Incomes'!$S46)*100</f>
        <v>5.1862901885250725</v>
      </c>
      <c r="S44" s="456">
        <f>'C1-Incomes'!JH46/'C1-Incomes'!$S46*100</f>
        <v>18.149810538943129</v>
      </c>
      <c r="T44" s="456">
        <f>'C1-Incomes'!JI46/'C1-Incomes'!$T46*100</f>
        <v>21.086473287790621</v>
      </c>
      <c r="U44" s="456">
        <f>'C1-Incomes'!JJ46/'C1-Incomes'!$U46*100</f>
        <v>27.353308312481346</v>
      </c>
      <c r="V44" s="456">
        <f>'C1-Incomes'!JK46/'C1-Incomes'!$V46*100</f>
        <v>29.33782131860923</v>
      </c>
      <c r="W44" s="456">
        <f>'C1-Incomes'!JL46/'C1-Incomes'!$W46*100</f>
        <v>32.462539904989299</v>
      </c>
      <c r="X44" s="456">
        <f>'C1-Incomes'!JM46/'C1-Incomes'!$X46*100</f>
        <v>33.330452376017007</v>
      </c>
      <c r="Y44" s="458"/>
      <c r="Z44" s="456">
        <f>('C1-Incomes'!JO46-'C1-Incomes'!JP46)/('C1-Incomes'!$R46-'C1-Incomes'!$S46)*100</f>
        <v>1.37558327712816</v>
      </c>
      <c r="AA44" s="456">
        <f>'C1-Incomes'!JP46/'C1-Incomes'!$S46*100</f>
        <v>3.508258273333297</v>
      </c>
      <c r="AB44" s="456">
        <f>'C1-Incomes'!JQ46/'C1-Incomes'!$T46*100</f>
        <v>3.964558400490148</v>
      </c>
      <c r="AC44" s="456">
        <f>'C1-Incomes'!JR46/'C1-Incomes'!$U46*100</f>
        <v>4.8433014911166516</v>
      </c>
      <c r="AD44" s="456">
        <f>'C1-Incomes'!JS46/'C1-Incomes'!$V46*100</f>
        <v>5.0856205587673751</v>
      </c>
      <c r="AE44" s="456">
        <f>'C1-Incomes'!JT46/'C1-Incomes'!$W46*100</f>
        <v>5.5269842564092029</v>
      </c>
      <c r="AF44" s="456">
        <f>'C1-Incomes'!JU46/'C1-Incomes'!$X46*100</f>
        <v>5.5795129457376822</v>
      </c>
      <c r="AG44" s="458"/>
      <c r="AH44" s="456">
        <f>('C1-Incomes'!JW46-'C1-Incomes'!JX46)/('C1-Incomes'!$R46-'C1-Incomes'!$S46)*100</f>
        <v>2.0189285377204866</v>
      </c>
      <c r="AI44" s="456">
        <f>'C1-Incomes'!JX46/'C1-Incomes'!$S46*100</f>
        <v>3.5400490257091959</v>
      </c>
      <c r="AJ44" s="456">
        <f>'C1-Incomes'!JY46/'C1-Incomes'!$T46*100</f>
        <v>3.7158340619306376</v>
      </c>
      <c r="AK44" s="456">
        <f>'C1-Incomes'!JZ46/'C1-Incomes'!$U46*100</f>
        <v>3.9999785046849148</v>
      </c>
      <c r="AL44" s="456">
        <f>'C1-Incomes'!KA46/'C1-Incomes'!$V46*100</f>
        <v>4.191471758446851</v>
      </c>
      <c r="AM44" s="456">
        <f>'C1-Incomes'!KB46/'C1-Incomes'!$W46*100</f>
        <v>4.7241909305525214</v>
      </c>
      <c r="AN44" s="456">
        <f>'C1-Incomes'!KC46/'C1-Incomes'!$X46*100</f>
        <v>5.2082877107818621</v>
      </c>
      <c r="AO44" s="458"/>
      <c r="AP44" s="456">
        <f>('C1-Incomes'!KE46-'C1-Incomes'!KF46)/('C1-Incomes'!$R46-'C1-Incomes'!$S46)*100</f>
        <v>2.17888953655069</v>
      </c>
      <c r="AQ44" s="456">
        <f>'C1-Incomes'!KF46/'C1-Incomes'!$S46*100</f>
        <v>3.532813455595305</v>
      </c>
      <c r="AR44" s="456">
        <f>'C1-Incomes'!KG46/'C1-Incomes'!$T46*100</f>
        <v>3.6348104101523178</v>
      </c>
      <c r="AS44" s="456">
        <f>'C1-Incomes'!KH46/'C1-Incomes'!$U46*100</f>
        <v>3.7088567154694414</v>
      </c>
      <c r="AT44" s="456">
        <f>'C1-Incomes'!KI46/'C1-Incomes'!$V46*100</f>
        <v>3.7623581279732372</v>
      </c>
      <c r="AU44" s="456">
        <f>'C1-Incomes'!KJ46/'C1-Incomes'!$W46*100</f>
        <v>3.8691763301498456</v>
      </c>
      <c r="AV44" s="456">
        <f>'C1-Incomes'!KK46/'C1-Incomes'!$X46*100</f>
        <v>3.9247463471470767</v>
      </c>
      <c r="AX44" s="456">
        <f>('C1-Incomes'!KM46-'C1-Incomes'!KN46)/('C1-Incomes'!$R46-'C1-Incomes'!$S46)*100</f>
        <v>7.8370578219504967</v>
      </c>
      <c r="AY44" s="456">
        <f>'C1-Incomes'!KN46/'C1-Incomes'!$S46*100</f>
        <v>4.9002068462690529</v>
      </c>
      <c r="AZ44" s="456">
        <f>'C1-Incomes'!KO46/'C1-Incomes'!$T46*100</f>
        <v>3.9507986460366684</v>
      </c>
      <c r="BA44" s="456">
        <f>'C1-Incomes'!KP46/'C1-Incomes'!$U46*100</f>
        <v>2.2718288646979037</v>
      </c>
      <c r="BB44" s="456">
        <f>'C1-Incomes'!KQ46/'C1-Incomes'!$V46*100</f>
        <v>1.8569340708031346</v>
      </c>
      <c r="BC44" s="456">
        <f>'C1-Incomes'!KR46/'C1-Incomes'!$W46*100</f>
        <v>1.3260752065338677</v>
      </c>
      <c r="BD44" s="456">
        <f>'C1-Incomes'!KS46/'C1-Incomes'!$X46*100</f>
        <v>1.0230170357465764</v>
      </c>
      <c r="BE44" s="456"/>
      <c r="BF44" s="456">
        <f>('C1-Incomes'!LK46-'C1-Incomes'!LL46)/('C1-Incomes'!$R46-'C1-Incomes'!$S46)*100</f>
        <v>0.19719260376087436</v>
      </c>
      <c r="BG44" s="456">
        <f>'C1-Incomes'!LL46/'C1-Incomes'!$S46*100</f>
        <v>0.71453190467519945</v>
      </c>
      <c r="BH44" s="456">
        <f>'C1-Incomes'!LM46/'C1-Incomes'!$T46*100</f>
        <v>0.84512606163450599</v>
      </c>
      <c r="BI44" s="456">
        <f>'C1-Incomes'!LN46/'C1-Incomes'!$U46*100</f>
        <v>1.0162039352904217</v>
      </c>
      <c r="BJ44" s="456">
        <f>'C1-Incomes'!LO46/'C1-Incomes'!$V46*100</f>
        <v>1.0221275690287612</v>
      </c>
      <c r="BK44" s="456">
        <f>'C1-Incomes'!LP46/'C1-Incomes'!$W46*100</f>
        <v>1.0101256675945913</v>
      </c>
      <c r="BL44" s="456">
        <f>'C1-Incomes'!LQ46/'C1-Incomes'!$X46*100</f>
        <v>1.0485083315793584</v>
      </c>
      <c r="BN44" s="456">
        <f>('C1-Incomes'!KU46-'C1-Incomes'!KV46)/('C1-Incomes'!$R46-'C1-Incomes'!$S46)*100</f>
        <v>5.380514599426971</v>
      </c>
      <c r="BO44" s="456">
        <f>'C1-Incomes'!KV46/'C1-Incomes'!$S46*100</f>
        <v>4.1087525288882025</v>
      </c>
      <c r="BP44" s="456">
        <f>'C1-Incomes'!KW46/'C1-Incomes'!$T46*100</f>
        <v>3.6477637487421255</v>
      </c>
      <c r="BQ44" s="456">
        <f>'C1-Incomes'!KX46/'C1-Incomes'!$U46*100</f>
        <v>2.8763075091572556</v>
      </c>
      <c r="BR44" s="456">
        <f>'C1-Incomes'!KY46/'C1-Incomes'!$V46*100</f>
        <v>2.7206965224099426</v>
      </c>
      <c r="BS44" s="456">
        <f>'C1-Incomes'!KZ46/'C1-Incomes'!$W46*100</f>
        <v>2.6135999089130504</v>
      </c>
      <c r="BT44" s="456">
        <f>'C1-Incomes'!LA46/'C1-Incomes'!$X46*100</f>
        <v>2.5480820414012362</v>
      </c>
      <c r="BV44" s="519"/>
      <c r="BW44" s="519"/>
    </row>
    <row r="45" spans="1:75" s="452" customFormat="1" ht="12" x14ac:dyDescent="0.25">
      <c r="A45" s="239">
        <v>1999</v>
      </c>
      <c r="B45" s="456">
        <f t="shared" si="17"/>
        <v>24.104025862687497</v>
      </c>
      <c r="C45" s="456">
        <f t="shared" si="18"/>
        <v>39.031188192605846</v>
      </c>
      <c r="D45" s="456">
        <f t="shared" si="19"/>
        <v>41.394044857362253</v>
      </c>
      <c r="E45" s="456">
        <f t="shared" si="20"/>
        <v>46.399442126598373</v>
      </c>
      <c r="F45" s="456">
        <f t="shared" si="21"/>
        <v>48.150979307358206</v>
      </c>
      <c r="G45" s="456">
        <f t="shared" si="22"/>
        <v>51.447291408387102</v>
      </c>
      <c r="H45" s="456">
        <f t="shared" si="23"/>
        <v>52.378168467252443</v>
      </c>
      <c r="I45" s="456"/>
      <c r="J45" s="456">
        <f t="shared" si="24"/>
        <v>16.210815899863064</v>
      </c>
      <c r="K45" s="456">
        <f t="shared" si="25"/>
        <v>34.089866097155436</v>
      </c>
      <c r="L45" s="456">
        <f t="shared" si="26"/>
        <v>37.432872305547441</v>
      </c>
      <c r="M45" s="456">
        <f t="shared" si="27"/>
        <v>44.123672395175475</v>
      </c>
      <c r="N45" s="456">
        <f t="shared" si="28"/>
        <v>46.272585355854318</v>
      </c>
      <c r="O45" s="456">
        <f t="shared" si="29"/>
        <v>50.048737012330839</v>
      </c>
      <c r="P45" s="456">
        <f t="shared" si="30"/>
        <v>51.195737461487141</v>
      </c>
      <c r="Q45" s="456"/>
      <c r="R45" s="456">
        <f>('C1-Incomes'!JG47-'C1-Incomes'!JH47)/('C1-Incomes'!$R47-'C1-Incomes'!$S47)*100</f>
        <v>5.1645584419733455</v>
      </c>
      <c r="S45" s="456">
        <f>'C1-Incomes'!JH47/'C1-Incomes'!$S47*100</f>
        <v>18.698439968921445</v>
      </c>
      <c r="T45" s="456">
        <f>'C1-Incomes'!JI47/'C1-Incomes'!$T47*100</f>
        <v>21.623880610106987</v>
      </c>
      <c r="U45" s="456">
        <f>'C1-Incomes'!JJ47/'C1-Incomes'!$U47*100</f>
        <v>27.621794690704348</v>
      </c>
      <c r="V45" s="456">
        <f>'C1-Incomes'!JK47/'C1-Incomes'!$V47*100</f>
        <v>29.451130706381168</v>
      </c>
      <c r="W45" s="456">
        <f>'C1-Incomes'!JL47/'C1-Incomes'!$W47*100</f>
        <v>32.424296970993041</v>
      </c>
      <c r="X45" s="456">
        <f>'C1-Incomes'!JM47/'C1-Incomes'!$X47*100</f>
        <v>33.148851833326965</v>
      </c>
      <c r="Y45" s="458"/>
      <c r="Z45" s="456">
        <f>('C1-Incomes'!JO47-'C1-Incomes'!JP47)/('C1-Incomes'!$R47-'C1-Incomes'!$S47)*100</f>
        <v>1.3175530462899114</v>
      </c>
      <c r="AA45" s="456">
        <f>'C1-Incomes'!JP47/'C1-Incomes'!$S47*100</f>
        <v>3.6723483305289948</v>
      </c>
      <c r="AB45" s="456">
        <f>'C1-Incomes'!JQ47/'C1-Incomes'!$T47*100</f>
        <v>4.1414816579166382</v>
      </c>
      <c r="AC45" s="456">
        <f>'C1-Incomes'!JR47/'C1-Incomes'!$U47*100</f>
        <v>4.9988635070192595</v>
      </c>
      <c r="AD45" s="456">
        <f>'C1-Incomes'!JS47/'C1-Incomes'!$V47*100</f>
        <v>5.267353156714444</v>
      </c>
      <c r="AE45" s="456">
        <f>'C1-Incomes'!JT47/'C1-Incomes'!$W47*100</f>
        <v>5.7390886756178965</v>
      </c>
      <c r="AF45" s="456">
        <f>'C1-Incomes'!JU47/'C1-Incomes'!$X47*100</f>
        <v>5.7765626232024676</v>
      </c>
      <c r="AG45" s="458"/>
      <c r="AH45" s="456">
        <f>('C1-Incomes'!JW47-'C1-Incomes'!JX47)/('C1-Incomes'!$R47-'C1-Incomes'!$S47)*100</f>
        <v>2.0215752368884692</v>
      </c>
      <c r="AI45" s="456">
        <f>'C1-Incomes'!JX47/'C1-Incomes'!$S47*100</f>
        <v>3.4859424423967651</v>
      </c>
      <c r="AJ45" s="456">
        <f>'C1-Incomes'!JY47/'C1-Incomes'!$T47*100</f>
        <v>3.6819652848623372</v>
      </c>
      <c r="AK45" s="456">
        <f>'C1-Incomes'!JZ47/'C1-Incomes'!$U47*100</f>
        <v>4.0576826287513406</v>
      </c>
      <c r="AL45" s="456">
        <f>'C1-Incomes'!KA47/'C1-Incomes'!$V47*100</f>
        <v>4.2321663457035266</v>
      </c>
      <c r="AM45" s="456">
        <f>'C1-Incomes'!KB47/'C1-Incomes'!$W47*100</f>
        <v>4.6232761249941889</v>
      </c>
      <c r="AN45" s="456">
        <f>'C1-Incomes'!KC47/'C1-Incomes'!$X47*100</f>
        <v>5.0192798179824205</v>
      </c>
      <c r="AO45" s="458"/>
      <c r="AP45" s="456">
        <f>('C1-Incomes'!KE47-'C1-Incomes'!KF47)/('C1-Incomes'!$R47-'C1-Incomes'!$S47)*100</f>
        <v>2.1762251056951611</v>
      </c>
      <c r="AQ45" s="456">
        <f>'C1-Incomes'!KF47/'C1-Incomes'!$S47*100</f>
        <v>3.4809599714032955</v>
      </c>
      <c r="AR45" s="456">
        <f>'C1-Incomes'!KG47/'C1-Incomes'!$T47*100</f>
        <v>3.5720848569670358</v>
      </c>
      <c r="AS45" s="456">
        <f>'C1-Incomes'!KH47/'C1-Incomes'!$U47*100</f>
        <v>3.6393301725786324</v>
      </c>
      <c r="AT45" s="456">
        <f>'C1-Incomes'!KI47/'C1-Incomes'!$V47*100</f>
        <v>3.6621686734468639</v>
      </c>
      <c r="AU45" s="456">
        <f>'C1-Incomes'!KJ47/'C1-Incomes'!$W47*100</f>
        <v>3.7004592218982832</v>
      </c>
      <c r="AV45" s="456">
        <f>'C1-Incomes'!KK47/'C1-Incomes'!$X47*100</f>
        <v>3.6953377645985741</v>
      </c>
      <c r="AX45" s="456">
        <f>('C1-Incomes'!KM47-'C1-Incomes'!KN47)/('C1-Incomes'!$R47-'C1-Incomes'!$S47)*100</f>
        <v>7.8932099628244297</v>
      </c>
      <c r="AY45" s="456">
        <f>'C1-Incomes'!KN47/'C1-Incomes'!$S47*100</f>
        <v>4.9413220954504062</v>
      </c>
      <c r="AZ45" s="456">
        <f>'C1-Incomes'!KO47/'C1-Incomes'!$T47*100</f>
        <v>3.9611725518148138</v>
      </c>
      <c r="BA45" s="456">
        <f>'C1-Incomes'!KP47/'C1-Incomes'!$U47*100</f>
        <v>2.2757697314228951</v>
      </c>
      <c r="BB45" s="456">
        <f>'C1-Incomes'!KQ47/'C1-Incomes'!$V47*100</f>
        <v>1.8783939515038903</v>
      </c>
      <c r="BC45" s="456">
        <f>'C1-Incomes'!KR47/'C1-Incomes'!$W47*100</f>
        <v>1.3985543960562645</v>
      </c>
      <c r="BD45" s="456">
        <f>'C1-Incomes'!KS47/'C1-Incomes'!$X47*100</f>
        <v>1.1824310057652987</v>
      </c>
      <c r="BE45" s="456"/>
      <c r="BF45" s="456">
        <f>('C1-Incomes'!LK47-'C1-Incomes'!LL47)/('C1-Incomes'!$R47-'C1-Incomes'!$S47)*100</f>
        <v>0.21394192534296202</v>
      </c>
      <c r="BG45" s="456">
        <f>'C1-Incomes'!LL47/'C1-Incomes'!$S47*100</f>
        <v>0.75607339178379807</v>
      </c>
      <c r="BH45" s="456">
        <f>'C1-Incomes'!LM47/'C1-Incomes'!$T47*100</f>
        <v>0.88788498370386271</v>
      </c>
      <c r="BI45" s="456">
        <f>'C1-Incomes'!LN47/'C1-Incomes'!$U47*100</f>
        <v>1.0422894160634895</v>
      </c>
      <c r="BJ45" s="456">
        <f>'C1-Incomes'!LO47/'C1-Incomes'!$V47*100</f>
        <v>1.0369444847452751</v>
      </c>
      <c r="BK45" s="456">
        <f>'C1-Incomes'!LP47/'C1-Incomes'!$W47*100</f>
        <v>1.0162151870311276</v>
      </c>
      <c r="BL45" s="456">
        <f>'C1-Incomes'!LQ47/'C1-Incomes'!$X47*100</f>
        <v>1.043982056802488</v>
      </c>
      <c r="BN45" s="456">
        <f>('C1-Incomes'!KU47-'C1-Incomes'!KV47)/('C1-Incomes'!$R47-'C1-Incomes'!$S47)*100</f>
        <v>5.316962143673214</v>
      </c>
      <c r="BO45" s="456">
        <f>'C1-Incomes'!KV47/'C1-Incomes'!$S47*100</f>
        <v>3.9961019921211394</v>
      </c>
      <c r="BP45" s="456">
        <f>'C1-Incomes'!KW47/'C1-Incomes'!$T47*100</f>
        <v>3.5255749119905797</v>
      </c>
      <c r="BQ45" s="456">
        <f>'C1-Incomes'!KX47/'C1-Incomes'!$U47*100</f>
        <v>2.7637119800584058</v>
      </c>
      <c r="BR45" s="456">
        <f>'C1-Incomes'!KY47/'C1-Incomes'!$V47*100</f>
        <v>2.6228219888630382</v>
      </c>
      <c r="BS45" s="456">
        <f>'C1-Incomes'!KZ47/'C1-Incomes'!$W47*100</f>
        <v>2.5454008317962988</v>
      </c>
      <c r="BT45" s="456">
        <f>'C1-Incomes'!LA47/'C1-Incomes'!$X47*100</f>
        <v>2.5117233655742184</v>
      </c>
      <c r="BV45" s="519"/>
      <c r="BW45" s="519"/>
    </row>
    <row r="46" spans="1:75" s="452" customFormat="1" ht="12" x14ac:dyDescent="0.25">
      <c r="A46" s="239">
        <v>2000</v>
      </c>
      <c r="B46" s="456">
        <f t="shared" si="17"/>
        <v>24.344938809398233</v>
      </c>
      <c r="C46" s="456">
        <f t="shared" si="18"/>
        <v>39.456995834906841</v>
      </c>
      <c r="D46" s="456">
        <f t="shared" si="19"/>
        <v>41.973264650238491</v>
      </c>
      <c r="E46" s="456">
        <f t="shared" si="20"/>
        <v>47.398800935344632</v>
      </c>
      <c r="F46" s="456">
        <f t="shared" si="21"/>
        <v>49.156249785835385</v>
      </c>
      <c r="G46" s="456">
        <f t="shared" si="22"/>
        <v>52.763513422104232</v>
      </c>
      <c r="H46" s="456">
        <f t="shared" si="23"/>
        <v>54.127500541467796</v>
      </c>
      <c r="I46" s="456"/>
      <c r="J46" s="456">
        <f t="shared" si="24"/>
        <v>16.429885863475533</v>
      </c>
      <c r="K46" s="456">
        <f t="shared" si="25"/>
        <v>34.524776335872737</v>
      </c>
      <c r="L46" s="456">
        <f t="shared" si="26"/>
        <v>38.014164088841078</v>
      </c>
      <c r="M46" s="456">
        <f t="shared" si="27"/>
        <v>45.079731702892751</v>
      </c>
      <c r="N46" s="456">
        <f t="shared" si="28"/>
        <v>47.216840301318669</v>
      </c>
      <c r="O46" s="456">
        <f t="shared" si="29"/>
        <v>51.239444540692396</v>
      </c>
      <c r="P46" s="456">
        <f t="shared" si="30"/>
        <v>52.794228461237189</v>
      </c>
      <c r="Q46" s="456"/>
      <c r="R46" s="456">
        <f>('C1-Incomes'!JG48-'C1-Incomes'!JH48)/('C1-Incomes'!$R48-'C1-Incomes'!$S48)*100</f>
        <v>5.308250269853974</v>
      </c>
      <c r="S46" s="456">
        <f>'C1-Incomes'!JH48/'C1-Incomes'!$S48*100</f>
        <v>19.372449095118537</v>
      </c>
      <c r="T46" s="456">
        <f>'C1-Incomes'!JI48/'C1-Incomes'!$T48*100</f>
        <v>22.435894116082007</v>
      </c>
      <c r="U46" s="456">
        <f>'C1-Incomes'!JJ48/'C1-Incomes'!$U48*100</f>
        <v>28.74285593974588</v>
      </c>
      <c r="V46" s="456">
        <f>'C1-Incomes'!JK48/'C1-Incomes'!$V48*100</f>
        <v>30.643198181904818</v>
      </c>
      <c r="W46" s="456">
        <f>'C1-Incomes'!JL48/'C1-Incomes'!$W48*100</f>
        <v>33.939573784033264</v>
      </c>
      <c r="X46" s="456">
        <f>'C1-Incomes'!JM48/'C1-Incomes'!$X48*100</f>
        <v>34.982829620331621</v>
      </c>
      <c r="Y46" s="458"/>
      <c r="Z46" s="456">
        <f>('C1-Incomes'!JO48-'C1-Incomes'!JP48)/('C1-Incomes'!$R48-'C1-Incomes'!$S48)*100</f>
        <v>1.3331771081695472</v>
      </c>
      <c r="AA46" s="456">
        <f>'C1-Incomes'!JP48/'C1-Incomes'!$S48*100</f>
        <v>3.8463886645159899</v>
      </c>
      <c r="AB46" s="456">
        <f>'C1-Incomes'!JQ48/'C1-Incomes'!$T48*100</f>
        <v>4.3636477710477104</v>
      </c>
      <c r="AC46" s="456">
        <f>'C1-Incomes'!JR48/'C1-Incomes'!$U48*100</f>
        <v>5.3380854001364604</v>
      </c>
      <c r="AD46" s="456">
        <f>'C1-Incomes'!JS48/'C1-Incomes'!$V48*100</f>
        <v>5.6400626417925679</v>
      </c>
      <c r="AE46" s="456">
        <f>'C1-Incomes'!JT48/'C1-Incomes'!$W48*100</f>
        <v>6.2844802569873668</v>
      </c>
      <c r="AF46" s="456">
        <f>'C1-Incomes'!JU48/'C1-Incomes'!$X48*100</f>
        <v>6.6342098338587245</v>
      </c>
      <c r="AG46" s="458"/>
      <c r="AH46" s="456">
        <f>('C1-Incomes'!JW48-'C1-Incomes'!JX48)/('C1-Incomes'!$R48-'C1-Incomes'!$S48)*100</f>
        <v>2.0123230034690653</v>
      </c>
      <c r="AI46" s="456">
        <f>'C1-Incomes'!JX48/'C1-Incomes'!$S48*100</f>
        <v>3.1926474480922695</v>
      </c>
      <c r="AJ46" s="456">
        <f>'C1-Incomes'!JY48/'C1-Incomes'!$T48*100</f>
        <v>3.3734486307052629</v>
      </c>
      <c r="AK46" s="456">
        <f>'C1-Incomes'!JZ48/'C1-Incomes'!$U48*100</f>
        <v>3.7288511533988822</v>
      </c>
      <c r="AL46" s="456">
        <f>'C1-Incomes'!KA48/'C1-Incomes'!$V48*100</f>
        <v>3.8480522245851896</v>
      </c>
      <c r="AM46" s="456">
        <f>'C1-Incomes'!KB48/'C1-Incomes'!$W48*100</f>
        <v>4.0768590648344452</v>
      </c>
      <c r="AN46" s="456">
        <f>'C1-Incomes'!KC48/'C1-Incomes'!$X48*100</f>
        <v>4.3446703477154998</v>
      </c>
      <c r="AO46" s="458"/>
      <c r="AP46" s="456">
        <f>('C1-Incomes'!KE48-'C1-Incomes'!KF48)/('C1-Incomes'!$R48-'C1-Incomes'!$S48)*100</f>
        <v>2.1583544530804173</v>
      </c>
      <c r="AQ46" s="456">
        <f>'C1-Incomes'!KF48/'C1-Incomes'!$S48*100</f>
        <v>3.351048563909921</v>
      </c>
      <c r="AR46" s="456">
        <f>'C1-Incomes'!KG48/'C1-Incomes'!$T48*100</f>
        <v>3.4404878303160746</v>
      </c>
      <c r="AS46" s="456">
        <f>'C1-Incomes'!KH48/'C1-Incomes'!$U48*100</f>
        <v>3.4968506201478338</v>
      </c>
      <c r="AT46" s="456">
        <f>'C1-Incomes'!KI48/'C1-Incomes'!$V48*100</f>
        <v>3.4732840703434196</v>
      </c>
      <c r="AU46" s="456">
        <f>'C1-Incomes'!KJ48/'C1-Incomes'!$W48*100</f>
        <v>3.4008959910855201</v>
      </c>
      <c r="AV46" s="456">
        <f>'C1-Incomes'!KK48/'C1-Incomes'!$X48*100</f>
        <v>3.3247538995305379</v>
      </c>
      <c r="AX46" s="456">
        <f>('C1-Incomes'!KM48-'C1-Incomes'!KN48)/('C1-Incomes'!$R48-'C1-Incomes'!$S48)*100</f>
        <v>7.9150529459227004</v>
      </c>
      <c r="AY46" s="456">
        <f>'C1-Incomes'!KN48/'C1-Incomes'!$S48*100</f>
        <v>4.9322194990341064</v>
      </c>
      <c r="AZ46" s="456">
        <f>'C1-Incomes'!KO48/'C1-Incomes'!$T48*100</f>
        <v>3.9591005613974142</v>
      </c>
      <c r="BA46" s="456">
        <f>'C1-Incomes'!KP48/'C1-Incomes'!$U48*100</f>
        <v>2.3190692324518829</v>
      </c>
      <c r="BB46" s="456">
        <f>'C1-Incomes'!KQ48/'C1-Incomes'!$V48*100</f>
        <v>1.9394094845167187</v>
      </c>
      <c r="BC46" s="456">
        <f>'C1-Incomes'!KR48/'C1-Incomes'!$W48*100</f>
        <v>1.5240688814118377</v>
      </c>
      <c r="BD46" s="456">
        <f>'C1-Incomes'!KS48/'C1-Incomes'!$X48*100</f>
        <v>1.3332720802306055</v>
      </c>
      <c r="BE46" s="456"/>
      <c r="BF46" s="456">
        <f>('C1-Incomes'!LK48-'C1-Incomes'!LL48)/('C1-Incomes'!$R48-'C1-Incomes'!$S48)*100</f>
        <v>0.19648850716511615</v>
      </c>
      <c r="BG46" s="456">
        <f>'C1-Incomes'!LL48/'C1-Incomes'!$S48*100</f>
        <v>0.67356219382797966</v>
      </c>
      <c r="BH46" s="456">
        <f>'C1-Incomes'!LM48/'C1-Incomes'!$T48*100</f>
        <v>0.78644238300280689</v>
      </c>
      <c r="BI46" s="456">
        <f>'C1-Incomes'!LN48/'C1-Incomes'!$U48*100</f>
        <v>0.91382993094062082</v>
      </c>
      <c r="BJ46" s="456">
        <f>'C1-Incomes'!LO48/'C1-Incomes'!$V48*100</f>
        <v>0.89793576772960615</v>
      </c>
      <c r="BK46" s="456">
        <f>'C1-Incomes'!LP48/'C1-Incomes'!$W48*100</f>
        <v>0.8635594202716238</v>
      </c>
      <c r="BL46" s="456">
        <f>'C1-Incomes'!LQ48/'C1-Incomes'!$X48*100</f>
        <v>0.87079534231256495</v>
      </c>
      <c r="BN46" s="456">
        <f>('C1-Incomes'!KU48-'C1-Incomes'!KV48)/('C1-Incomes'!$R48-'C1-Incomes'!$S48)*100</f>
        <v>5.4212925217374126</v>
      </c>
      <c r="BO46" s="456">
        <f>'C1-Incomes'!KV48/'C1-Incomes'!$S48*100</f>
        <v>4.0886803704080448</v>
      </c>
      <c r="BP46" s="456">
        <f>'C1-Incomes'!KW48/'C1-Incomes'!$T48*100</f>
        <v>3.6142433576872182</v>
      </c>
      <c r="BQ46" s="456">
        <f>'C1-Incomes'!KX48/'C1-Incomes'!$U48*100</f>
        <v>2.8592586585230695</v>
      </c>
      <c r="BR46" s="456">
        <f>'C1-Incomes'!KY48/'C1-Incomes'!$V48*100</f>
        <v>2.7143074149630628</v>
      </c>
      <c r="BS46" s="456">
        <f>'C1-Incomes'!KZ48/'C1-Incomes'!$W48*100</f>
        <v>2.6740760234801839</v>
      </c>
      <c r="BT46" s="456">
        <f>'C1-Incomes'!LA48/'C1-Incomes'!$X48*100</f>
        <v>2.636969417488245</v>
      </c>
      <c r="BV46" s="519"/>
      <c r="BW46" s="519"/>
    </row>
    <row r="47" spans="1:75" s="452" customFormat="1" ht="12" x14ac:dyDescent="0.25">
      <c r="A47" s="239">
        <v>2001</v>
      </c>
      <c r="B47" s="456">
        <f t="shared" si="17"/>
        <v>23.55640545635622</v>
      </c>
      <c r="C47" s="456">
        <f t="shared" si="18"/>
        <v>37.754099318960641</v>
      </c>
      <c r="D47" s="456">
        <f t="shared" si="19"/>
        <v>39.910111165990998</v>
      </c>
      <c r="E47" s="456">
        <f t="shared" si="20"/>
        <v>44.816678978226328</v>
      </c>
      <c r="F47" s="456">
        <f t="shared" si="21"/>
        <v>46.326002911696179</v>
      </c>
      <c r="G47" s="456">
        <f t="shared" si="22"/>
        <v>50.209308034760078</v>
      </c>
      <c r="H47" s="456">
        <f t="shared" si="23"/>
        <v>52.14187261918913</v>
      </c>
      <c r="I47" s="456"/>
      <c r="J47" s="456">
        <f t="shared" si="24"/>
        <v>15.816456607100845</v>
      </c>
      <c r="K47" s="456">
        <f t="shared" si="25"/>
        <v>32.573137864683417</v>
      </c>
      <c r="L47" s="456">
        <f t="shared" si="26"/>
        <v>35.745973061077855</v>
      </c>
      <c r="M47" s="456">
        <f t="shared" si="27"/>
        <v>42.460056146559388</v>
      </c>
      <c r="N47" s="456">
        <f t="shared" si="28"/>
        <v>44.400425120032509</v>
      </c>
      <c r="O47" s="456">
        <f t="shared" si="29"/>
        <v>48.802065935000947</v>
      </c>
      <c r="P47" s="456">
        <f t="shared" si="30"/>
        <v>51.017255575293987</v>
      </c>
      <c r="Q47" s="456"/>
      <c r="R47" s="456">
        <f>('C1-Incomes'!JG49-'C1-Incomes'!JH49)/('C1-Incomes'!$R49-'C1-Incomes'!$S49)*100</f>
        <v>5.3769198983800397</v>
      </c>
      <c r="S47" s="456">
        <f>'C1-Incomes'!JH49/'C1-Incomes'!$S49*100</f>
        <v>18.405968365874557</v>
      </c>
      <c r="T47" s="456">
        <f>'C1-Incomes'!JI49/'C1-Incomes'!$T49*100</f>
        <v>21.139569570352563</v>
      </c>
      <c r="U47" s="456">
        <f>'C1-Incomes'!JJ49/'C1-Incomes'!$U49*100</f>
        <v>26.951771185277728</v>
      </c>
      <c r="V47" s="456">
        <f>'C1-Incomes'!JK49/'C1-Incomes'!$V49*100</f>
        <v>28.650835610260035</v>
      </c>
      <c r="W47" s="456">
        <f>'C1-Incomes'!JL49/'C1-Incomes'!$W49*100</f>
        <v>32.053396181414435</v>
      </c>
      <c r="X47" s="456">
        <f>'C1-Incomes'!JM49/'C1-Incomes'!$X49*100</f>
        <v>33.525948560070027</v>
      </c>
      <c r="Y47" s="458"/>
      <c r="Z47" s="456">
        <f>('C1-Incomes'!JO49-'C1-Incomes'!JP49)/('C1-Incomes'!$R49-'C1-Incomes'!$S49)*100</f>
        <v>1.3635477550350308</v>
      </c>
      <c r="AA47" s="456">
        <f>'C1-Incomes'!JP49/'C1-Incomes'!$S49*100</f>
        <v>3.7881354422759568</v>
      </c>
      <c r="AB47" s="456">
        <f>'C1-Incomes'!JQ49/'C1-Incomes'!$T49*100</f>
        <v>4.2893661335071185</v>
      </c>
      <c r="AC47" s="456">
        <f>'C1-Incomes'!JR49/'C1-Incomes'!$U49*100</f>
        <v>5.2172451590822542</v>
      </c>
      <c r="AD47" s="456">
        <f>'C1-Incomes'!JS49/'C1-Incomes'!$V49*100</f>
        <v>5.5226378403009102</v>
      </c>
      <c r="AE47" s="456">
        <f>'C1-Incomes'!JT49/'C1-Incomes'!$W49*100</f>
        <v>6.2143473871032544</v>
      </c>
      <c r="AF47" s="456">
        <f>'C1-Incomes'!JU49/'C1-Incomes'!$X49*100</f>
        <v>6.4000103820652106</v>
      </c>
      <c r="AG47" s="458"/>
      <c r="AH47" s="456">
        <f>('C1-Incomes'!JW49-'C1-Incomes'!JX49)/('C1-Incomes'!$R49-'C1-Incomes'!$S49)*100</f>
        <v>1.4695193612282733</v>
      </c>
      <c r="AI47" s="456">
        <f>'C1-Incomes'!JX49/'C1-Incomes'!$S49*100</f>
        <v>2.1938993628368211</v>
      </c>
      <c r="AJ47" s="456">
        <f>'C1-Incomes'!JY49/'C1-Incomes'!$T49*100</f>
        <v>2.3320289671928296</v>
      </c>
      <c r="AK47" s="456">
        <f>'C1-Incomes'!JZ49/'C1-Incomes'!$U49*100</f>
        <v>2.6957639729039458</v>
      </c>
      <c r="AL47" s="456">
        <f>'C1-Incomes'!KA49/'C1-Incomes'!$V49*100</f>
        <v>2.7758355161679327</v>
      </c>
      <c r="AM47" s="456">
        <f>'C1-Incomes'!KB49/'C1-Incomes'!$W49*100</f>
        <v>3.0263547357650964</v>
      </c>
      <c r="AN47" s="456">
        <f>'C1-Incomes'!KC49/'C1-Incomes'!$X49*100</f>
        <v>3.4608281368569269</v>
      </c>
      <c r="AO47" s="458"/>
      <c r="AP47" s="456">
        <f>('C1-Incomes'!KE49-'C1-Incomes'!KF49)/('C1-Incomes'!$R49-'C1-Incomes'!$S49)*100</f>
        <v>2.1884854342639732</v>
      </c>
      <c r="AQ47" s="456">
        <f>'C1-Incomes'!KF49/'C1-Incomes'!$S49*100</f>
        <v>3.4313179083680185</v>
      </c>
      <c r="AR47" s="456">
        <f>'C1-Incomes'!KG49/'C1-Incomes'!$T49*100</f>
        <v>3.5686219675736806</v>
      </c>
      <c r="AS47" s="456">
        <f>'C1-Incomes'!KH49/'C1-Incomes'!$U49*100</f>
        <v>3.7739086295904478</v>
      </c>
      <c r="AT47" s="456">
        <f>'C1-Incomes'!KI49/'C1-Incomes'!$V49*100</f>
        <v>3.7881184238085557</v>
      </c>
      <c r="AU47" s="456">
        <f>'C1-Incomes'!KJ49/'C1-Incomes'!$W49*100</f>
        <v>3.857762564142555</v>
      </c>
      <c r="AV47" s="456">
        <f>'C1-Incomes'!KK49/'C1-Incomes'!$X49*100</f>
        <v>3.9554804933849801</v>
      </c>
      <c r="AX47" s="456">
        <f>('C1-Incomes'!KM49-'C1-Incomes'!KN49)/('C1-Incomes'!$R49-'C1-Incomes'!$S49)*100</f>
        <v>7.7399488492553763</v>
      </c>
      <c r="AY47" s="456">
        <f>'C1-Incomes'!KN49/'C1-Incomes'!$S49*100</f>
        <v>5.1809614542772264</v>
      </c>
      <c r="AZ47" s="456">
        <f>'C1-Incomes'!KO49/'C1-Incomes'!$T49*100</f>
        <v>4.1641381049131443</v>
      </c>
      <c r="BA47" s="456">
        <f>'C1-Incomes'!KP49/'C1-Incomes'!$U49*100</f>
        <v>2.3566228316669395</v>
      </c>
      <c r="BB47" s="456">
        <f>'C1-Incomes'!KQ49/'C1-Incomes'!$V49*100</f>
        <v>1.9255777916636712</v>
      </c>
      <c r="BC47" s="456">
        <f>'C1-Incomes'!KR49/'C1-Incomes'!$W49*100</f>
        <v>1.4072420997591288</v>
      </c>
      <c r="BD47" s="456">
        <f>'C1-Incomes'!KS49/'C1-Incomes'!$X49*100</f>
        <v>1.1246170438951444</v>
      </c>
      <c r="BE47" s="456"/>
      <c r="BF47" s="456">
        <f>('C1-Incomes'!LK49-'C1-Incomes'!LL49)/('C1-Incomes'!$R49-'C1-Incomes'!$S49)*100</f>
        <v>0.18695387998512167</v>
      </c>
      <c r="BG47" s="456">
        <f>'C1-Incomes'!LL49/'C1-Incomes'!$S49*100</f>
        <v>0.66804165508383795</v>
      </c>
      <c r="BH47" s="456">
        <f>'C1-Incomes'!LM49/'C1-Incomes'!$T49*100</f>
        <v>0.78953493635584815</v>
      </c>
      <c r="BI47" s="456">
        <f>'C1-Incomes'!LN49/'C1-Incomes'!$U49*100</f>
        <v>0.9586331140557427</v>
      </c>
      <c r="BJ47" s="456">
        <f>'C1-Incomes'!LO49/'C1-Incomes'!$V49*100</f>
        <v>0.95295283678863318</v>
      </c>
      <c r="BK47" s="456">
        <f>'C1-Incomes'!LP49/'C1-Incomes'!$W49*100</f>
        <v>0.96928790639143891</v>
      </c>
      <c r="BL47" s="456">
        <f>'C1-Incomes'!LQ49/'C1-Incomes'!$X49*100</f>
        <v>1.0439665451644173</v>
      </c>
      <c r="BN47" s="456">
        <f>('C1-Incomes'!KU49-'C1-Incomes'!KV49)/('C1-Incomes'!$R49-'C1-Incomes'!$S49)*100</f>
        <v>5.2310302782084062</v>
      </c>
      <c r="BO47" s="456">
        <f>'C1-Incomes'!KV49/'C1-Incomes'!$S49*100</f>
        <v>4.0857751302442216</v>
      </c>
      <c r="BP47" s="456">
        <f>'C1-Incomes'!KW49/'C1-Incomes'!$T49*100</f>
        <v>3.6268514860958128</v>
      </c>
      <c r="BQ47" s="456">
        <f>'C1-Incomes'!KX49/'C1-Incomes'!$U49*100</f>
        <v>2.8627340856492705</v>
      </c>
      <c r="BR47" s="456">
        <f>'C1-Incomes'!KY49/'C1-Incomes'!$V49*100</f>
        <v>2.7100448927064433</v>
      </c>
      <c r="BS47" s="456">
        <f>'C1-Incomes'!KZ49/'C1-Incomes'!$W49*100</f>
        <v>2.6809171601841761</v>
      </c>
      <c r="BT47" s="456">
        <f>'C1-Incomes'!LA49/'C1-Incomes'!$X49*100</f>
        <v>2.6310214577524218</v>
      </c>
      <c r="BV47" s="519"/>
      <c r="BW47" s="519"/>
    </row>
    <row r="48" spans="1:75" s="452" customFormat="1" ht="12" x14ac:dyDescent="0.25">
      <c r="A48" s="239">
        <v>2002</v>
      </c>
      <c r="B48" s="456">
        <f t="shared" si="17"/>
        <v>21.829133263260925</v>
      </c>
      <c r="C48" s="456">
        <f t="shared" si="18"/>
        <v>34.470278656628459</v>
      </c>
      <c r="D48" s="456">
        <f t="shared" si="19"/>
        <v>36.237513480585392</v>
      </c>
      <c r="E48" s="456">
        <f t="shared" si="20"/>
        <v>40.022167999760953</v>
      </c>
      <c r="F48" s="456">
        <f t="shared" si="21"/>
        <v>41.123123384001708</v>
      </c>
      <c r="G48" s="456">
        <f t="shared" si="22"/>
        <v>44.423128948527513</v>
      </c>
      <c r="H48" s="456">
        <f t="shared" si="23"/>
        <v>46.243090250397039</v>
      </c>
      <c r="I48" s="456"/>
      <c r="J48" s="456">
        <f t="shared" si="24"/>
        <v>14.288760150699188</v>
      </c>
      <c r="K48" s="456">
        <f t="shared" si="25"/>
        <v>29.167042976489803</v>
      </c>
      <c r="L48" s="456">
        <f t="shared" si="26"/>
        <v>31.9026728976289</v>
      </c>
      <c r="M48" s="456">
        <f t="shared" si="27"/>
        <v>37.604453793443199</v>
      </c>
      <c r="N48" s="456">
        <f t="shared" si="28"/>
        <v>39.182979013298095</v>
      </c>
      <c r="O48" s="456">
        <f t="shared" si="29"/>
        <v>43.095428088567303</v>
      </c>
      <c r="P48" s="456">
        <f t="shared" si="30"/>
        <v>45.293816796110626</v>
      </c>
      <c r="Q48" s="456"/>
      <c r="R48" s="456">
        <f>('C1-Incomes'!JG50-'C1-Incomes'!JH50)/('C1-Incomes'!$R50-'C1-Incomes'!$S50)*100</f>
        <v>4.1633106802880384</v>
      </c>
      <c r="S48" s="456">
        <f>'C1-Incomes'!JH50/'C1-Incomes'!$S50*100</f>
        <v>15.461275072908172</v>
      </c>
      <c r="T48" s="456">
        <f>'C1-Incomes'!JI50/'C1-Incomes'!$T50*100</f>
        <v>17.887766297437359</v>
      </c>
      <c r="U48" s="456">
        <f>'C1-Incomes'!JJ50/'C1-Incomes'!$U50*100</f>
        <v>22.96914155530207</v>
      </c>
      <c r="V48" s="456">
        <f>'C1-Incomes'!JK50/'C1-Incomes'!$V50*100</f>
        <v>24.392278121627044</v>
      </c>
      <c r="W48" s="456">
        <f>'C1-Incomes'!JL50/'C1-Incomes'!$W50*100</f>
        <v>27.35957286224739</v>
      </c>
      <c r="X48" s="456">
        <f>'C1-Incomes'!JM50/'C1-Incomes'!$X50*100</f>
        <v>28.647490723772506</v>
      </c>
      <c r="Y48" s="458"/>
      <c r="Z48" s="456">
        <f>('C1-Incomes'!JO50-'C1-Incomes'!JP50)/('C1-Incomes'!$R50-'C1-Incomes'!$S50)*100</f>
        <v>1.1954318301808493</v>
      </c>
      <c r="AA48" s="456">
        <f>'C1-Incomes'!JP50/'C1-Incomes'!$S50*100</f>
        <v>3.3266660106379886</v>
      </c>
      <c r="AB48" s="456">
        <f>'C1-Incomes'!JQ50/'C1-Incomes'!$T50*100</f>
        <v>3.7132474056592679</v>
      </c>
      <c r="AC48" s="456">
        <f>'C1-Incomes'!JR50/'C1-Incomes'!$U50*100</f>
        <v>4.4473535200863301</v>
      </c>
      <c r="AD48" s="456">
        <f>'C1-Incomes'!JS50/'C1-Incomes'!$V50*100</f>
        <v>4.6450266213273048</v>
      </c>
      <c r="AE48" s="456">
        <f>'C1-Incomes'!JT50/'C1-Incomes'!$W50*100</f>
        <v>5.1757040634235914</v>
      </c>
      <c r="AF48" s="456">
        <f>'C1-Incomes'!JU50/'C1-Incomes'!$X50*100</f>
        <v>5.4121880018663919</v>
      </c>
      <c r="AG48" s="458"/>
      <c r="AH48" s="456">
        <f>('C1-Incomes'!JW50-'C1-Incomes'!JX50)/('C1-Incomes'!$R50-'C1-Incomes'!$S50)*100</f>
        <v>1.3538860393887118</v>
      </c>
      <c r="AI48" s="456">
        <f>'C1-Incomes'!JX50/'C1-Incomes'!$S50*100</f>
        <v>2.0315125081578511</v>
      </c>
      <c r="AJ48" s="456">
        <f>'C1-Incomes'!JY50/'C1-Incomes'!$T50*100</f>
        <v>2.1129510912173783</v>
      </c>
      <c r="AK48" s="456">
        <f>'C1-Incomes'!JZ50/'C1-Incomes'!$U50*100</f>
        <v>2.3414273297364208</v>
      </c>
      <c r="AL48" s="456">
        <f>'C1-Incomes'!KA50/'C1-Incomes'!$V50*100</f>
        <v>2.4076301661334245</v>
      </c>
      <c r="AM48" s="456">
        <f>'C1-Incomes'!KB50/'C1-Incomes'!$W50*100</f>
        <v>2.6578423765924208</v>
      </c>
      <c r="AN48" s="456">
        <f>'C1-Incomes'!KC50/'C1-Incomes'!$X50*100</f>
        <v>3.1126211693179671</v>
      </c>
      <c r="AO48" s="458"/>
      <c r="AP48" s="456">
        <f>('C1-Incomes'!KE50-'C1-Incomes'!KF50)/('C1-Incomes'!$R50-'C1-Incomes'!$S50)*100</f>
        <v>2.2697924135812277</v>
      </c>
      <c r="AQ48" s="456">
        <f>'C1-Incomes'!KF50/'C1-Incomes'!$S50*100</f>
        <v>3.633252214631614</v>
      </c>
      <c r="AR48" s="456">
        <f>'C1-Incomes'!KG50/'C1-Incomes'!$T50*100</f>
        <v>3.7750060496081121</v>
      </c>
      <c r="AS48" s="456">
        <f>'C1-Incomes'!KH50/'C1-Incomes'!$U50*100</f>
        <v>3.9812624123929767</v>
      </c>
      <c r="AT48" s="456">
        <f>'C1-Incomes'!KI50/'C1-Incomes'!$V50*100</f>
        <v>4.0077231566297442</v>
      </c>
      <c r="AU48" s="456">
        <f>'C1-Incomes'!KJ50/'C1-Incomes'!$W50*100</f>
        <v>4.1449346156619038</v>
      </c>
      <c r="AV48" s="456">
        <f>'C1-Incomes'!KK50/'C1-Incomes'!$X50*100</f>
        <v>4.3282023858900782</v>
      </c>
      <c r="AX48" s="456">
        <f>('C1-Incomes'!KM50-'C1-Incomes'!KN50)/('C1-Incomes'!$R50-'C1-Incomes'!$S50)*100</f>
        <v>7.5403731125617348</v>
      </c>
      <c r="AY48" s="456">
        <f>'C1-Incomes'!KN50/'C1-Incomes'!$S50*100</f>
        <v>5.303235680138652</v>
      </c>
      <c r="AZ48" s="456">
        <f>'C1-Incomes'!KO50/'C1-Incomes'!$T50*100</f>
        <v>4.3348405829564864</v>
      </c>
      <c r="BA48" s="456">
        <f>'C1-Incomes'!KP50/'C1-Incomes'!$U50*100</f>
        <v>2.4177142063177519</v>
      </c>
      <c r="BB48" s="456">
        <f>'C1-Incomes'!KQ50/'C1-Incomes'!$V50*100</f>
        <v>1.9401443707036135</v>
      </c>
      <c r="BC48" s="456">
        <f>'C1-Incomes'!KR50/'C1-Incomes'!$W50*100</f>
        <v>1.3277008599602074</v>
      </c>
      <c r="BD48" s="456">
        <f>'C1-Incomes'!KS50/'C1-Incomes'!$X50*100</f>
        <v>0.94927345428640963</v>
      </c>
      <c r="BE48" s="456"/>
      <c r="BF48" s="456">
        <f>('C1-Incomes'!LK50-'C1-Incomes'!LL50)/('C1-Incomes'!$R50-'C1-Incomes'!$S50)*100</f>
        <v>0.15694455859502537</v>
      </c>
      <c r="BG48" s="456">
        <f>'C1-Incomes'!LL50/'C1-Incomes'!$S50*100</f>
        <v>0.61612745118901302</v>
      </c>
      <c r="BH48" s="456">
        <f>'C1-Incomes'!LM50/'C1-Incomes'!$T50*100</f>
        <v>0.74456586011137726</v>
      </c>
      <c r="BI48" s="456">
        <f>'C1-Incomes'!LN50/'C1-Incomes'!$U50*100</f>
        <v>0.96887205670904952</v>
      </c>
      <c r="BJ48" s="456">
        <f>'C1-Incomes'!LO50/'C1-Incomes'!$V50*100</f>
        <v>0.994670113038857</v>
      </c>
      <c r="BK48" s="456">
        <f>'C1-Incomes'!LP50/'C1-Incomes'!$W50*100</f>
        <v>1.0602315124539468</v>
      </c>
      <c r="BL48" s="456">
        <f>'C1-Incomes'!LQ50/'C1-Incomes'!$X50*100</f>
        <v>1.1607573905078123</v>
      </c>
      <c r="BN48" s="456">
        <f>('C1-Incomes'!KU50-'C1-Incomes'!KV50)/('C1-Incomes'!$R50-'C1-Incomes'!$S50)*100</f>
        <v>5.1493946286653358</v>
      </c>
      <c r="BO48" s="456">
        <f>'C1-Incomes'!KV50/'C1-Incomes'!$S50*100</f>
        <v>4.0982097189651654</v>
      </c>
      <c r="BP48" s="456">
        <f>'C1-Incomes'!KW50/'C1-Incomes'!$T50*100</f>
        <v>3.6691361935954054</v>
      </c>
      <c r="BQ48" s="456">
        <f>'C1-Incomes'!KX50/'C1-Incomes'!$U50*100</f>
        <v>2.8963969192163415</v>
      </c>
      <c r="BR48" s="456">
        <f>'C1-Incomes'!KY50/'C1-Incomes'!$V50*100</f>
        <v>2.7356508345417256</v>
      </c>
      <c r="BS48" s="456">
        <f>'C1-Incomes'!KZ50/'C1-Incomes'!$W50*100</f>
        <v>2.6971426581880493</v>
      </c>
      <c r="BT48" s="456">
        <f>'C1-Incomes'!LA50/'C1-Incomes'!$X50*100</f>
        <v>2.6325571247558721</v>
      </c>
      <c r="BV48" s="519"/>
      <c r="BW48" s="519"/>
    </row>
    <row r="49" spans="1:75" s="452" customFormat="1" ht="12" x14ac:dyDescent="0.25">
      <c r="A49" s="239">
        <v>2003</v>
      </c>
      <c r="B49" s="456">
        <f t="shared" si="17"/>
        <v>21.450745085146259</v>
      </c>
      <c r="C49" s="456">
        <f t="shared" si="18"/>
        <v>33.164451788248982</v>
      </c>
      <c r="D49" s="456">
        <f t="shared" si="19"/>
        <v>34.717662158331585</v>
      </c>
      <c r="E49" s="456">
        <f t="shared" si="20"/>
        <v>38.076933433733615</v>
      </c>
      <c r="F49" s="456">
        <f t="shared" si="21"/>
        <v>38.944877974282626</v>
      </c>
      <c r="G49" s="456">
        <f t="shared" si="22"/>
        <v>41.766136776151193</v>
      </c>
      <c r="H49" s="456">
        <f t="shared" si="23"/>
        <v>43.122471627394795</v>
      </c>
      <c r="I49" s="456"/>
      <c r="J49" s="456">
        <f t="shared" si="24"/>
        <v>13.954682582766338</v>
      </c>
      <c r="K49" s="456">
        <f t="shared" si="25"/>
        <v>27.973863513745957</v>
      </c>
      <c r="L49" s="456">
        <f t="shared" si="26"/>
        <v>30.488691517384318</v>
      </c>
      <c r="M49" s="456">
        <f t="shared" si="27"/>
        <v>35.747998577281209</v>
      </c>
      <c r="N49" s="456">
        <f t="shared" si="28"/>
        <v>37.095741018087445</v>
      </c>
      <c r="O49" s="456">
        <f t="shared" si="29"/>
        <v>40.521947217240822</v>
      </c>
      <c r="P49" s="456">
        <f t="shared" si="30"/>
        <v>42.274092993232124</v>
      </c>
      <c r="Q49" s="456"/>
      <c r="R49" s="456">
        <f>('C1-Incomes'!JG51-'C1-Incomes'!JH51)/('C1-Incomes'!$R51-'C1-Incomes'!$S51)*100</f>
        <v>3.6840857101833366</v>
      </c>
      <c r="S49" s="456">
        <f>'C1-Incomes'!JH51/'C1-Incomes'!$S51*100</f>
        <v>13.784368484154175</v>
      </c>
      <c r="T49" s="456">
        <f>'C1-Incomes'!JI51/'C1-Incomes'!$T51*100</f>
        <v>15.979602585523301</v>
      </c>
      <c r="U49" s="456">
        <f>'C1-Incomes'!JJ51/'C1-Incomes'!$U51*100</f>
        <v>20.503902984042654</v>
      </c>
      <c r="V49" s="456">
        <f>'C1-Incomes'!JK51/'C1-Incomes'!$V51*100</f>
        <v>21.602052077566999</v>
      </c>
      <c r="W49" s="456">
        <f>'C1-Incomes'!JL51/'C1-Incomes'!$W51*100</f>
        <v>23.853130833496785</v>
      </c>
      <c r="X49" s="456">
        <f>'C1-Incomes'!JM51/'C1-Incomes'!$X51*100</f>
        <v>24.49578436951408</v>
      </c>
      <c r="Y49" s="458"/>
      <c r="Z49" s="456">
        <f>('C1-Incomes'!JO51-'C1-Incomes'!JP51)/('C1-Incomes'!$R51-'C1-Incomes'!$S51)*100</f>
        <v>1.1608895595267492</v>
      </c>
      <c r="AA49" s="456">
        <f>'C1-Incomes'!JP51/'C1-Incomes'!$S51*100</f>
        <v>3.2117114718538051</v>
      </c>
      <c r="AB49" s="456">
        <f>'C1-Incomes'!JQ51/'C1-Incomes'!$T51*100</f>
        <v>3.5864973254145025</v>
      </c>
      <c r="AC49" s="456">
        <f>'C1-Incomes'!JR51/'C1-Incomes'!$U51*100</f>
        <v>4.3042523307329477</v>
      </c>
      <c r="AD49" s="456">
        <f>'C1-Incomes'!JS51/'C1-Incomes'!$V51*100</f>
        <v>4.4907015318755121</v>
      </c>
      <c r="AE49" s="456">
        <f>'C1-Incomes'!JT51/'C1-Incomes'!$W51*100</f>
        <v>4.9611923845212829</v>
      </c>
      <c r="AF49" s="456">
        <f>'C1-Incomes'!JU51/'C1-Incomes'!$X51*100</f>
        <v>5.1347422983854356</v>
      </c>
      <c r="AG49" s="458"/>
      <c r="AH49" s="456">
        <f>('C1-Incomes'!JW51-'C1-Incomes'!JX51)/('C1-Incomes'!$R51-'C1-Incomes'!$S51)*100</f>
        <v>1.6563050230172263</v>
      </c>
      <c r="AI49" s="456">
        <f>'C1-Incomes'!JX51/'C1-Incomes'!$S51*100</f>
        <v>2.6640674846326418</v>
      </c>
      <c r="AJ49" s="456">
        <f>'C1-Incomes'!JY51/'C1-Incomes'!$T51*100</f>
        <v>2.7810318399240836</v>
      </c>
      <c r="AK49" s="456">
        <f>'C1-Incomes'!JZ51/'C1-Incomes'!$U51*100</f>
        <v>3.1312081960513964</v>
      </c>
      <c r="AL49" s="456">
        <f>'C1-Incomes'!KA51/'C1-Incomes'!$V51*100</f>
        <v>3.2633202811523176</v>
      </c>
      <c r="AM49" s="456">
        <f>'C1-Incomes'!KB51/'C1-Incomes'!$W51*100</f>
        <v>3.7661880266940466</v>
      </c>
      <c r="AN49" s="456">
        <f>'C1-Incomes'!KC51/'C1-Incomes'!$X51*100</f>
        <v>4.4696832661872872</v>
      </c>
      <c r="AO49" s="458"/>
      <c r="AP49" s="456">
        <f>('C1-Incomes'!KE51-'C1-Incomes'!KF51)/('C1-Incomes'!$R51-'C1-Incomes'!$S51)*100</f>
        <v>2.2613745009863031</v>
      </c>
      <c r="AQ49" s="456">
        <f>'C1-Incomes'!KF51/'C1-Incomes'!$S51*100</f>
        <v>3.7527130830773103</v>
      </c>
      <c r="AR49" s="456">
        <f>'C1-Incomes'!KG51/'C1-Incomes'!$T51*100</f>
        <v>3.8964594788497688</v>
      </c>
      <c r="AS49" s="456">
        <f>'C1-Incomes'!KH51/'C1-Incomes'!$U51*100</f>
        <v>4.1187603756603224</v>
      </c>
      <c r="AT49" s="456">
        <f>'C1-Incomes'!KI51/'C1-Incomes'!$V51*100</f>
        <v>4.1824041168449853</v>
      </c>
      <c r="AU49" s="456">
        <f>'C1-Incomes'!KJ51/'C1-Incomes'!$W51*100</f>
        <v>4.4061436612343172</v>
      </c>
      <c r="AV49" s="456">
        <f>'C1-Incomes'!KK51/'C1-Incomes'!$X51*100</f>
        <v>4.6701618096490076</v>
      </c>
      <c r="AX49" s="456">
        <f>('C1-Incomes'!KM51-'C1-Incomes'!KN51)/('C1-Incomes'!$R51-'C1-Incomes'!$S51)*100</f>
        <v>7.4960625023799228</v>
      </c>
      <c r="AY49" s="456">
        <f>'C1-Incomes'!KN51/'C1-Incomes'!$S51*100</f>
        <v>5.1905882745030159</v>
      </c>
      <c r="AZ49" s="456">
        <f>'C1-Incomes'!KO51/'C1-Incomes'!$T51*100</f>
        <v>4.2289706409472636</v>
      </c>
      <c r="BA49" s="456">
        <f>'C1-Incomes'!KP51/'C1-Incomes'!$U51*100</f>
        <v>2.3289348564524062</v>
      </c>
      <c r="BB49" s="456">
        <f>'C1-Incomes'!KQ51/'C1-Incomes'!$V51*100</f>
        <v>1.8491369561951791</v>
      </c>
      <c r="BC49" s="456">
        <f>'C1-Incomes'!KR51/'C1-Incomes'!$W51*100</f>
        <v>1.2441895589103729</v>
      </c>
      <c r="BD49" s="456">
        <f>'C1-Incomes'!KS51/'C1-Incomes'!$X51*100</f>
        <v>0.84837863416267045</v>
      </c>
      <c r="BE49" s="456"/>
      <c r="BF49" s="456">
        <f>('C1-Incomes'!LK51-'C1-Incomes'!LL51)/('C1-Incomes'!$R51-'C1-Incomes'!$S51)*100</f>
        <v>0.12903695546949176</v>
      </c>
      <c r="BG49" s="456">
        <f>'C1-Incomes'!LL51/'C1-Incomes'!$S51*100</f>
        <v>0.49922346943577978</v>
      </c>
      <c r="BH49" s="456">
        <f>'C1-Incomes'!LM51/'C1-Incomes'!$T51*100</f>
        <v>0.60027701489664786</v>
      </c>
      <c r="BI49" s="456">
        <f>'C1-Incomes'!LN51/'C1-Incomes'!$U51*100</f>
        <v>0.77475974688742122</v>
      </c>
      <c r="BJ49" s="456">
        <f>'C1-Incomes'!LO51/'C1-Incomes'!$V51*100</f>
        <v>0.78977797763095603</v>
      </c>
      <c r="BK49" s="456">
        <f>'C1-Incomes'!LP51/'C1-Incomes'!$W51*100</f>
        <v>0.82224527948783277</v>
      </c>
      <c r="BL49" s="456">
        <f>'C1-Incomes'!LQ51/'C1-Incomes'!$X51*100</f>
        <v>0.87195293813222374</v>
      </c>
      <c r="BN49" s="456">
        <f>('C1-Incomes'!KU51-'C1-Incomes'!KV51)/('C1-Incomes'!$R51-'C1-Incomes'!$S51)*100</f>
        <v>5.0629908335832319</v>
      </c>
      <c r="BO49" s="456">
        <f>'C1-Incomes'!KV51/'C1-Incomes'!$S51*100</f>
        <v>4.0617795205922445</v>
      </c>
      <c r="BP49" s="456">
        <f>'C1-Incomes'!KW51/'C1-Incomes'!$T51*100</f>
        <v>3.6448232727760161</v>
      </c>
      <c r="BQ49" s="456">
        <f>'C1-Incomes'!KX51/'C1-Incomes'!$U51*100</f>
        <v>2.9151149439064699</v>
      </c>
      <c r="BR49" s="456">
        <f>'C1-Incomes'!KY51/'C1-Incomes'!$V51*100</f>
        <v>2.7674850330166798</v>
      </c>
      <c r="BS49" s="456">
        <f>'C1-Incomes'!KZ51/'C1-Incomes'!$W51*100</f>
        <v>2.7130470318065614</v>
      </c>
      <c r="BT49" s="456">
        <f>'C1-Incomes'!LA51/'C1-Incomes'!$X51*100</f>
        <v>2.6317683113640848</v>
      </c>
      <c r="BV49" s="519"/>
      <c r="BW49" s="519"/>
    </row>
    <row r="50" spans="1:75" s="452" customFormat="1" ht="12" x14ac:dyDescent="0.25">
      <c r="A50" s="239">
        <v>2004</v>
      </c>
      <c r="B50" s="456">
        <f t="shared" si="17"/>
        <v>21.56790220915757</v>
      </c>
      <c r="C50" s="456">
        <f t="shared" si="18"/>
        <v>33.458050150576859</v>
      </c>
      <c r="D50" s="456">
        <f t="shared" si="19"/>
        <v>35.078465487975848</v>
      </c>
      <c r="E50" s="456">
        <f t="shared" si="20"/>
        <v>38.335731536561909</v>
      </c>
      <c r="F50" s="456">
        <f t="shared" si="21"/>
        <v>39.309366113422421</v>
      </c>
      <c r="G50" s="456">
        <f t="shared" si="22"/>
        <v>41.815843836017599</v>
      </c>
      <c r="H50" s="456">
        <f t="shared" si="23"/>
        <v>42.485496219783343</v>
      </c>
      <c r="I50" s="456"/>
      <c r="J50" s="456">
        <f t="shared" si="24"/>
        <v>13.9908454789438</v>
      </c>
      <c r="K50" s="456">
        <f t="shared" si="25"/>
        <v>28.50607103676407</v>
      </c>
      <c r="L50" s="456">
        <f t="shared" si="26"/>
        <v>31.084043206800782</v>
      </c>
      <c r="M50" s="456">
        <f t="shared" si="27"/>
        <v>36.139493864802567</v>
      </c>
      <c r="N50" s="456">
        <f t="shared" si="28"/>
        <v>37.55058292110175</v>
      </c>
      <c r="O50" s="456">
        <f t="shared" si="29"/>
        <v>40.622663071744647</v>
      </c>
      <c r="P50" s="456">
        <f t="shared" si="30"/>
        <v>41.628269963150046</v>
      </c>
      <c r="Q50" s="456"/>
      <c r="R50" s="456">
        <f>('C1-Incomes'!JG52-'C1-Incomes'!JH52)/('C1-Incomes'!$R52-'C1-Incomes'!$S52)*100</f>
        <v>3.3864609314719281</v>
      </c>
      <c r="S50" s="456">
        <f>'C1-Incomes'!JH52/'C1-Incomes'!$S52*100</f>
        <v>13.465136205066337</v>
      </c>
      <c r="T50" s="456">
        <f>'C1-Incomes'!JI52/'C1-Incomes'!$T52*100</f>
        <v>15.666817960297857</v>
      </c>
      <c r="U50" s="456">
        <f>'C1-Incomes'!JJ52/'C1-Incomes'!$U52*100</f>
        <v>19.906462907226533</v>
      </c>
      <c r="V50" s="456">
        <f>'C1-Incomes'!JK52/'C1-Incomes'!$V52*100</f>
        <v>20.956411775181831</v>
      </c>
      <c r="W50" s="456">
        <f>'C1-Incomes'!JL52/'C1-Incomes'!$W52*100</f>
        <v>22.737689928673575</v>
      </c>
      <c r="X50" s="456">
        <f>'C1-Incomes'!JM52/'C1-Incomes'!$X52*100</f>
        <v>22.76223000365702</v>
      </c>
      <c r="Y50" s="458"/>
      <c r="Z50" s="456">
        <f>('C1-Incomes'!JO52-'C1-Incomes'!JP52)/('C1-Incomes'!$R52-'C1-Incomes'!$S52)*100</f>
        <v>1.1331166830605968</v>
      </c>
      <c r="AA50" s="456">
        <f>'C1-Incomes'!JP52/'C1-Incomes'!$S52*100</f>
        <v>3.3498922123971346</v>
      </c>
      <c r="AB50" s="456">
        <f>'C1-Incomes'!JQ52/'C1-Incomes'!$T52*100</f>
        <v>3.7780366307237445</v>
      </c>
      <c r="AC50" s="456">
        <f>'C1-Incomes'!JR52/'C1-Incomes'!$U52*100</f>
        <v>4.5775319818942561</v>
      </c>
      <c r="AD50" s="456">
        <f>'C1-Incomes'!JS52/'C1-Incomes'!$V52*100</f>
        <v>4.8017642030215102</v>
      </c>
      <c r="AE50" s="456">
        <f>'C1-Incomes'!JT52/'C1-Incomes'!$W52*100</f>
        <v>5.2721703232751391</v>
      </c>
      <c r="AF50" s="456">
        <f>'C1-Incomes'!JU52/'C1-Incomes'!$X52*100</f>
        <v>5.3759204870363781</v>
      </c>
      <c r="AG50" s="458"/>
      <c r="AH50" s="456">
        <f>('C1-Incomes'!JW52-'C1-Incomes'!JX52)/('C1-Incomes'!$R52-'C1-Incomes'!$S52)*100</f>
        <v>1.961751643626148</v>
      </c>
      <c r="AI50" s="456">
        <f>'C1-Incomes'!JX52/'C1-Incomes'!$S52*100</f>
        <v>3.3194339749358126</v>
      </c>
      <c r="AJ50" s="456">
        <f>'C1-Incomes'!JY52/'C1-Incomes'!$T52*100</f>
        <v>3.4527280916198269</v>
      </c>
      <c r="AK50" s="456">
        <f>'C1-Incomes'!JZ52/'C1-Incomes'!$U52*100</f>
        <v>3.8404523046268486</v>
      </c>
      <c r="AL50" s="456">
        <f>'C1-Incomes'!KA52/'C1-Incomes'!$V52*100</f>
        <v>4.0341579769290847</v>
      </c>
      <c r="AM50" s="456">
        <f>'C1-Incomes'!KB52/'C1-Incomes'!$W52*100</f>
        <v>4.6934372730850891</v>
      </c>
      <c r="AN50" s="456">
        <f>'C1-Incomes'!KC52/'C1-Incomes'!$X52*100</f>
        <v>5.4604164022326236</v>
      </c>
      <c r="AO50" s="458"/>
      <c r="AP50" s="456">
        <f>('C1-Incomes'!KE52-'C1-Incomes'!KF52)/('C1-Incomes'!$R52-'C1-Incomes'!$S52)*100</f>
        <v>2.2144586104764934</v>
      </c>
      <c r="AQ50" s="456">
        <f>'C1-Incomes'!KF52/'C1-Incomes'!$S52*100</f>
        <v>3.7736609788834996</v>
      </c>
      <c r="AR50" s="456">
        <f>'C1-Incomes'!KG52/'C1-Incomes'!$T52*100</f>
        <v>3.8974061754709264</v>
      </c>
      <c r="AS50" s="456">
        <f>'C1-Incomes'!KH52/'C1-Incomes'!$U52*100</f>
        <v>4.0526070112569865</v>
      </c>
      <c r="AT50" s="456">
        <f>'C1-Incomes'!KI52/'C1-Incomes'!$V52*100</f>
        <v>4.1085761358266453</v>
      </c>
      <c r="AU50" s="456">
        <f>'C1-Incomes'!KJ52/'C1-Incomes'!$W52*100</f>
        <v>4.3095210066289358</v>
      </c>
      <c r="AV50" s="456">
        <f>'C1-Incomes'!KK52/'C1-Incomes'!$X52*100</f>
        <v>4.4887418145195142</v>
      </c>
      <c r="AX50" s="456">
        <f>('C1-Incomes'!KM52-'C1-Incomes'!KN52)/('C1-Incomes'!$R52-'C1-Incomes'!$S52)*100</f>
        <v>7.5770567302137684</v>
      </c>
      <c r="AY50" s="456">
        <f>'C1-Incomes'!KN52/'C1-Incomes'!$S52*100</f>
        <v>4.9519791138127918</v>
      </c>
      <c r="AZ50" s="456">
        <f>'C1-Incomes'!KO52/'C1-Incomes'!$T52*100</f>
        <v>3.9944222811750705</v>
      </c>
      <c r="BA50" s="456">
        <f>'C1-Incomes'!KP52/'C1-Incomes'!$U52*100</f>
        <v>2.1962376717593433</v>
      </c>
      <c r="BB50" s="456">
        <f>'C1-Incomes'!KQ52/'C1-Incomes'!$V52*100</f>
        <v>1.7587831923206707</v>
      </c>
      <c r="BC50" s="456">
        <f>'C1-Incomes'!KR52/'C1-Incomes'!$W52*100</f>
        <v>1.1931807642729548</v>
      </c>
      <c r="BD50" s="456">
        <f>'C1-Incomes'!KS52/'C1-Incomes'!$X52*100</f>
        <v>0.85722625663329877</v>
      </c>
      <c r="BE50" s="456"/>
      <c r="BF50" s="456">
        <f>('C1-Incomes'!LK52-'C1-Incomes'!LL52)/('C1-Incomes'!$R52-'C1-Incomes'!$S52)*100</f>
        <v>0.12693231657551618</v>
      </c>
      <c r="BG50" s="456">
        <f>'C1-Incomes'!LL52/'C1-Incomes'!$S52*100</f>
        <v>0.50542885335095178</v>
      </c>
      <c r="BH50" s="456">
        <f>'C1-Incomes'!LM52/'C1-Incomes'!$T52*100</f>
        <v>0.61066288921784206</v>
      </c>
      <c r="BI50" s="456">
        <f>'C1-Incomes'!LN52/'C1-Incomes'!$U52*100</f>
        <v>0.79612129777626373</v>
      </c>
      <c r="BJ50" s="456">
        <f>'C1-Incomes'!LO52/'C1-Incomes'!$V52*100</f>
        <v>0.81813419881944893</v>
      </c>
      <c r="BK50" s="456">
        <f>'C1-Incomes'!LP52/'C1-Incomes'!$W52*100</f>
        <v>0.83239140795305921</v>
      </c>
      <c r="BL50" s="456">
        <f>'C1-Incomes'!LQ52/'C1-Incomes'!$X52*100</f>
        <v>0.81440564569882257</v>
      </c>
      <c r="BN50" s="456">
        <f>('C1-Incomes'!KU52-'C1-Incomes'!KV52)/('C1-Incomes'!$R52-'C1-Incomes'!$S52)*100</f>
        <v>5.1681252937331204</v>
      </c>
      <c r="BO50" s="456">
        <f>'C1-Incomes'!KV52/'C1-Incomes'!$S52*100</f>
        <v>4.0925188121303355</v>
      </c>
      <c r="BP50" s="456">
        <f>'C1-Incomes'!KW52/'C1-Incomes'!$T52*100</f>
        <v>3.6783914594705842</v>
      </c>
      <c r="BQ50" s="456">
        <f>'C1-Incomes'!KX52/'C1-Incomes'!$U52*100</f>
        <v>2.9663183620216751</v>
      </c>
      <c r="BR50" s="456">
        <f>'C1-Incomes'!KY52/'C1-Incomes'!$V52*100</f>
        <v>2.8315386313232298</v>
      </c>
      <c r="BS50" s="456">
        <f>'C1-Incomes'!KZ52/'C1-Incomes'!$W52*100</f>
        <v>2.7774531321288487</v>
      </c>
      <c r="BT50" s="456">
        <f>'C1-Incomes'!LA52/'C1-Incomes'!$X52*100</f>
        <v>2.7265556100056907</v>
      </c>
      <c r="BV50" s="519"/>
      <c r="BW50" s="519"/>
    </row>
    <row r="51" spans="1:75" s="452" customFormat="1" ht="12" x14ac:dyDescent="0.25">
      <c r="A51" s="239">
        <v>2005</v>
      </c>
      <c r="B51" s="456">
        <f t="shared" si="17"/>
        <v>22.371525756379505</v>
      </c>
      <c r="C51" s="456">
        <f t="shared" si="18"/>
        <v>35.637679782272627</v>
      </c>
      <c r="D51" s="456">
        <f t="shared" si="19"/>
        <v>37.471300374282578</v>
      </c>
      <c r="E51" s="456">
        <f t="shared" si="20"/>
        <v>41.016864406332139</v>
      </c>
      <c r="F51" s="456">
        <f t="shared" si="21"/>
        <v>42.231709964893795</v>
      </c>
      <c r="G51" s="456">
        <f t="shared" si="22"/>
        <v>44.533308727434964</v>
      </c>
      <c r="H51" s="456">
        <f t="shared" si="23"/>
        <v>45.105108657575592</v>
      </c>
      <c r="I51" s="456"/>
      <c r="J51" s="456">
        <f t="shared" si="24"/>
        <v>14.829046754253579</v>
      </c>
      <c r="K51" s="456">
        <f t="shared" si="25"/>
        <v>30.887460198103081</v>
      </c>
      <c r="L51" s="456">
        <f t="shared" si="26"/>
        <v>33.699118490798412</v>
      </c>
      <c r="M51" s="456">
        <f t="shared" si="27"/>
        <v>38.984320794162144</v>
      </c>
      <c r="N51" s="456">
        <f t="shared" si="28"/>
        <v>40.599156189577933</v>
      </c>
      <c r="O51" s="456">
        <f t="shared" si="29"/>
        <v>43.426279664137354</v>
      </c>
      <c r="P51" s="456">
        <f t="shared" si="30"/>
        <v>44.321174807877988</v>
      </c>
      <c r="Q51" s="456"/>
      <c r="R51" s="456">
        <f>('C1-Incomes'!JG53-'C1-Incomes'!JH53)/('C1-Incomes'!$R53-'C1-Incomes'!$S53)*100</f>
        <v>3.531010201659627</v>
      </c>
      <c r="S51" s="456">
        <f>'C1-Incomes'!JH53/'C1-Incomes'!$S53*100</f>
        <v>14.856270563007316</v>
      </c>
      <c r="T51" s="456">
        <f>'C1-Incomes'!JI53/'C1-Incomes'!$T53*100</f>
        <v>17.281298638488941</v>
      </c>
      <c r="U51" s="456">
        <f>'C1-Incomes'!JJ53/'C1-Incomes'!$U53*100</f>
        <v>21.729079655519456</v>
      </c>
      <c r="V51" s="456">
        <f>'C1-Incomes'!JK53/'C1-Incomes'!$V53*100</f>
        <v>22.909945538422722</v>
      </c>
      <c r="W51" s="456">
        <f>'C1-Incomes'!JL53/'C1-Incomes'!$W53*100</f>
        <v>24.653248134997938</v>
      </c>
      <c r="X51" s="456">
        <f>'C1-Incomes'!JM53/'C1-Incomes'!$X53*100</f>
        <v>24.581108172268188</v>
      </c>
      <c r="Y51" s="458"/>
      <c r="Z51" s="456">
        <f>('C1-Incomes'!JO53-'C1-Incomes'!JP53)/('C1-Incomes'!$R53-'C1-Incomes'!$S53)*100</f>
        <v>1.1576948556018278</v>
      </c>
      <c r="AA51" s="456">
        <f>'C1-Incomes'!JP53/'C1-Incomes'!$S53*100</f>
        <v>3.558210784413681</v>
      </c>
      <c r="AB51" s="456">
        <f>'C1-Incomes'!JQ53/'C1-Incomes'!$T53*100</f>
        <v>3.9976600638664714</v>
      </c>
      <c r="AC51" s="456">
        <f>'C1-Incomes'!JR53/'C1-Incomes'!$U53*100</f>
        <v>4.8383492335740774</v>
      </c>
      <c r="AD51" s="456">
        <f>'C1-Incomes'!JS53/'C1-Incomes'!$V53*100</f>
        <v>5.0931974968713014</v>
      </c>
      <c r="AE51" s="456">
        <f>'C1-Incomes'!JT53/'C1-Incomes'!$W53*100</f>
        <v>5.5569777551388189</v>
      </c>
      <c r="AF51" s="456">
        <f>'C1-Incomes'!JU53/'C1-Incomes'!$X53*100</f>
        <v>5.70203406035656</v>
      </c>
      <c r="AG51" s="458"/>
      <c r="AH51" s="456">
        <f>('C1-Incomes'!JW53-'C1-Incomes'!JX53)/('C1-Incomes'!$R53-'C1-Incomes'!$S53)*100</f>
        <v>2.5231734124796716</v>
      </c>
      <c r="AI51" s="456">
        <f>'C1-Incomes'!JX53/'C1-Incomes'!$S53*100</f>
        <v>4.1449696901951549</v>
      </c>
      <c r="AJ51" s="456">
        <f>'C1-Incomes'!JY53/'C1-Incomes'!$T53*100</f>
        <v>4.324933422837236</v>
      </c>
      <c r="AK51" s="456">
        <f>'C1-Incomes'!JZ53/'C1-Incomes'!$U53*100</f>
        <v>4.7653204099595818</v>
      </c>
      <c r="AL51" s="456">
        <f>'C1-Incomes'!KA53/'C1-Incomes'!$V53*100</f>
        <v>4.9855832860000211</v>
      </c>
      <c r="AM51" s="456">
        <f>'C1-Incomes'!KB53/'C1-Incomes'!$W53*100</f>
        <v>5.5918245924285541</v>
      </c>
      <c r="AN51" s="456">
        <f>'C1-Incomes'!KC53/'C1-Incomes'!$X53*100</f>
        <v>6.3766416189018251</v>
      </c>
      <c r="AO51" s="458"/>
      <c r="AP51" s="456">
        <f>('C1-Incomes'!KE53-'C1-Incomes'!KF53)/('C1-Incomes'!$R53-'C1-Incomes'!$S53)*100</f>
        <v>2.2538935651288736</v>
      </c>
      <c r="AQ51" s="456">
        <f>'C1-Incomes'!KF53/'C1-Incomes'!$S53*100</f>
        <v>3.7513151761394448</v>
      </c>
      <c r="AR51" s="456">
        <f>'C1-Incomes'!KG53/'C1-Incomes'!$T53*100</f>
        <v>3.8622104612232819</v>
      </c>
      <c r="AS51" s="456">
        <f>'C1-Incomes'!KH53/'C1-Incomes'!$U53*100</f>
        <v>3.973405556943773</v>
      </c>
      <c r="AT51" s="456">
        <f>'C1-Incomes'!KI53/'C1-Incomes'!$V53*100</f>
        <v>4.0297321741109497</v>
      </c>
      <c r="AU51" s="456">
        <f>'C1-Incomes'!KJ53/'C1-Incomes'!$W53*100</f>
        <v>4.1163536591082277</v>
      </c>
      <c r="AV51" s="456">
        <f>'C1-Incomes'!KK53/'C1-Incomes'!$X53*100</f>
        <v>4.2441019492198269</v>
      </c>
      <c r="AX51" s="456">
        <f>('C1-Incomes'!KM53-'C1-Incomes'!KN53)/('C1-Incomes'!$R53-'C1-Incomes'!$S53)*100</f>
        <v>7.5424790021259254</v>
      </c>
      <c r="AY51" s="456">
        <f>'C1-Incomes'!KN53/'C1-Incomes'!$S53*100</f>
        <v>4.7502195841695469</v>
      </c>
      <c r="AZ51" s="456">
        <f>'C1-Incomes'!KO53/'C1-Incomes'!$T53*100</f>
        <v>3.7721818834841629</v>
      </c>
      <c r="BA51" s="456">
        <f>'C1-Incomes'!KP53/'C1-Incomes'!$U53*100</f>
        <v>2.032543612169992</v>
      </c>
      <c r="BB51" s="456">
        <f>'C1-Incomes'!KQ53/'C1-Incomes'!$V53*100</f>
        <v>1.6325537753158592</v>
      </c>
      <c r="BC51" s="456">
        <f>'C1-Incomes'!KR53/'C1-Incomes'!$W53*100</f>
        <v>1.1070290632976065</v>
      </c>
      <c r="BD51" s="456">
        <f>'C1-Incomes'!KS53/'C1-Incomes'!$X53*100</f>
        <v>0.78393384969760449</v>
      </c>
      <c r="BE51" s="456"/>
      <c r="BF51" s="456">
        <f>('C1-Incomes'!LK53-'C1-Incomes'!LL53)/('C1-Incomes'!$R53-'C1-Incomes'!$S53)*100</f>
        <v>0.12149770061143531</v>
      </c>
      <c r="BG51" s="456">
        <f>'C1-Incomes'!LL53/'C1-Incomes'!$S53*100</f>
        <v>0.46317969641449952</v>
      </c>
      <c r="BH51" s="456">
        <f>'C1-Incomes'!LM53/'C1-Incomes'!$T53*100</f>
        <v>0.55161453047682929</v>
      </c>
      <c r="BI51" s="456">
        <f>'C1-Incomes'!LN53/'C1-Incomes'!$U53*100</f>
        <v>0.69009714628890595</v>
      </c>
      <c r="BJ51" s="456">
        <f>'C1-Incomes'!LO53/'C1-Incomes'!$V53*100</f>
        <v>0.70375303832749758</v>
      </c>
      <c r="BK51" s="456">
        <f>'C1-Incomes'!LP53/'C1-Incomes'!$W53*100</f>
        <v>0.69455677074763111</v>
      </c>
      <c r="BL51" s="456">
        <f>'C1-Incomes'!LQ53/'C1-Incomes'!$X53*100</f>
        <v>0.66114509400332944</v>
      </c>
      <c r="BN51" s="456">
        <f>('C1-Incomes'!KU53-'C1-Incomes'!KV53)/('C1-Incomes'!$R53-'C1-Incomes'!$S53)*100</f>
        <v>5.2417770187721437</v>
      </c>
      <c r="BO51" s="456">
        <f>'C1-Incomes'!KV53/'C1-Incomes'!$S53*100</f>
        <v>4.1135142879329871</v>
      </c>
      <c r="BP51" s="456">
        <f>'C1-Incomes'!KW53/'C1-Incomes'!$T53*100</f>
        <v>3.6814013739056564</v>
      </c>
      <c r="BQ51" s="456">
        <f>'C1-Incomes'!KX53/'C1-Incomes'!$U53*100</f>
        <v>2.9880687918763535</v>
      </c>
      <c r="BR51" s="456">
        <f>'C1-Incomes'!KY53/'C1-Incomes'!$V53*100</f>
        <v>2.8769446558454392</v>
      </c>
      <c r="BS51" s="456">
        <f>'C1-Incomes'!KZ53/'C1-Incomes'!$W53*100</f>
        <v>2.8133187517161882</v>
      </c>
      <c r="BT51" s="456">
        <f>'C1-Incomes'!LA53/'C1-Incomes'!$X53*100</f>
        <v>2.756143913128263</v>
      </c>
      <c r="BV51" s="519"/>
      <c r="BW51" s="519"/>
    </row>
    <row r="52" spans="1:75" s="452" customFormat="1" ht="12" x14ac:dyDescent="0.25">
      <c r="A52" s="239">
        <v>2006</v>
      </c>
      <c r="B52" s="456">
        <f t="shared" si="17"/>
        <v>22.636007925995692</v>
      </c>
      <c r="C52" s="456">
        <f t="shared" si="18"/>
        <v>36.337212691152537</v>
      </c>
      <c r="D52" s="456">
        <f t="shared" si="19"/>
        <v>38.330511695228708</v>
      </c>
      <c r="E52" s="456">
        <f t="shared" si="20"/>
        <v>42.136459160218337</v>
      </c>
      <c r="F52" s="456">
        <f t="shared" si="21"/>
        <v>43.353540400349246</v>
      </c>
      <c r="G52" s="456">
        <f t="shared" si="22"/>
        <v>45.991048616019157</v>
      </c>
      <c r="H52" s="456">
        <f t="shared" si="23"/>
        <v>46.888213910643152</v>
      </c>
      <c r="I52" s="456"/>
      <c r="J52" s="456">
        <f t="shared" si="24"/>
        <v>15.190108045678549</v>
      </c>
      <c r="K52" s="456">
        <f t="shared" si="25"/>
        <v>31.709207428599754</v>
      </c>
      <c r="L52" s="456">
        <f t="shared" si="26"/>
        <v>34.685433360265577</v>
      </c>
      <c r="M52" s="456">
        <f t="shared" si="27"/>
        <v>40.175663002452545</v>
      </c>
      <c r="N52" s="456">
        <f t="shared" si="28"/>
        <v>41.778582525731508</v>
      </c>
      <c r="O52" s="456">
        <f t="shared" si="29"/>
        <v>44.904293745662869</v>
      </c>
      <c r="P52" s="456">
        <f t="shared" si="30"/>
        <v>46.127722630452439</v>
      </c>
      <c r="Q52" s="456"/>
      <c r="R52" s="456">
        <f>('C1-Incomes'!JG54-'C1-Incomes'!JH54)/('C1-Incomes'!$R54-'C1-Incomes'!$S54)*100</f>
        <v>3.6996848889401113</v>
      </c>
      <c r="S52" s="456">
        <f>'C1-Incomes'!JH54/'C1-Incomes'!$S54*100</f>
        <v>15.563775410298977</v>
      </c>
      <c r="T52" s="456">
        <f>'C1-Incomes'!JI54/'C1-Incomes'!$T54*100</f>
        <v>18.064821114696638</v>
      </c>
      <c r="U52" s="456">
        <f>'C1-Incomes'!JJ54/'C1-Incomes'!$U54*100</f>
        <v>22.551062843771401</v>
      </c>
      <c r="V52" s="456">
        <f>'C1-Incomes'!JK54/'C1-Incomes'!$V54*100</f>
        <v>23.708085989092133</v>
      </c>
      <c r="W52" s="456">
        <f>'C1-Incomes'!JL54/'C1-Incomes'!$W54*100</f>
        <v>25.642632543074019</v>
      </c>
      <c r="X52" s="456">
        <f>'C1-Incomes'!JM54/'C1-Incomes'!$X54*100</f>
        <v>25.680391415148087</v>
      </c>
      <c r="Y52" s="458"/>
      <c r="Z52" s="456">
        <f>('C1-Incomes'!JO54-'C1-Incomes'!JP54)/('C1-Incomes'!$R54-'C1-Incomes'!$S54)*100</f>
        <v>1.2148861224373588</v>
      </c>
      <c r="AA52" s="456">
        <f>'C1-Incomes'!JP54/'C1-Incomes'!$S54*100</f>
        <v>3.5816930257794879</v>
      </c>
      <c r="AB52" s="456">
        <f>'C1-Incomes'!JQ54/'C1-Incomes'!$T54*100</f>
        <v>4.0364358529952975</v>
      </c>
      <c r="AC52" s="456">
        <f>'C1-Incomes'!JR54/'C1-Incomes'!$U54*100</f>
        <v>4.89592524112612</v>
      </c>
      <c r="AD52" s="456">
        <f>'C1-Incomes'!JS54/'C1-Incomes'!$V54*100</f>
        <v>5.1865686998556457</v>
      </c>
      <c r="AE52" s="456">
        <f>'C1-Incomes'!JT54/'C1-Incomes'!$W54*100</f>
        <v>5.6899461725343912</v>
      </c>
      <c r="AF52" s="456">
        <f>'C1-Incomes'!JU54/'C1-Incomes'!$X54*100</f>
        <v>5.9400539781206847</v>
      </c>
      <c r="AG52" s="458"/>
      <c r="AH52" s="456">
        <f>('C1-Incomes'!JW54-'C1-Incomes'!JX54)/('C1-Incomes'!$R54-'C1-Incomes'!$S54)*100</f>
        <v>2.7015925549261786</v>
      </c>
      <c r="AI52" s="456">
        <f>'C1-Incomes'!JX54/'C1-Incomes'!$S54*100</f>
        <v>4.3613176539489942</v>
      </c>
      <c r="AJ52" s="456">
        <f>'C1-Incomes'!JY54/'C1-Incomes'!$T54*100</f>
        <v>4.5986191769763538</v>
      </c>
      <c r="AK52" s="456">
        <f>'C1-Incomes'!JZ54/'C1-Incomes'!$U54*100</f>
        <v>5.1183943204367139</v>
      </c>
      <c r="AL52" s="456">
        <f>'C1-Incomes'!KA54/'C1-Incomes'!$V54*100</f>
        <v>5.3296058996795681</v>
      </c>
      <c r="AM52" s="456">
        <f>'C1-Incomes'!KB54/'C1-Incomes'!$W54*100</f>
        <v>5.9597949875501728</v>
      </c>
      <c r="AN52" s="456">
        <f>'C1-Incomes'!KC54/'C1-Incomes'!$X54*100</f>
        <v>6.8532598688264583</v>
      </c>
      <c r="AO52" s="458"/>
      <c r="AP52" s="456">
        <f>('C1-Incomes'!KE54-'C1-Incomes'!KF54)/('C1-Incomes'!$R54-'C1-Incomes'!$S54)*100</f>
        <v>2.2588017695464861</v>
      </c>
      <c r="AQ52" s="456">
        <f>'C1-Incomes'!KF54/'C1-Incomes'!$S54*100</f>
        <v>3.7215040591952833</v>
      </c>
      <c r="AR52" s="456">
        <f>'C1-Incomes'!KG54/'C1-Incomes'!$T54*100</f>
        <v>3.8419556511754047</v>
      </c>
      <c r="AS52" s="456">
        <f>'C1-Incomes'!KH54/'C1-Incomes'!$U54*100</f>
        <v>3.9722096017743005</v>
      </c>
      <c r="AT52" s="456">
        <f>'C1-Incomes'!KI54/'C1-Incomes'!$V54*100</f>
        <v>4.0102311630530831</v>
      </c>
      <c r="AU52" s="456">
        <f>'C1-Incomes'!KJ54/'C1-Incomes'!$W54*100</f>
        <v>4.115859292272054</v>
      </c>
      <c r="AV52" s="456">
        <f>'C1-Incomes'!KK54/'C1-Incomes'!$X54*100</f>
        <v>4.2689459450911311</v>
      </c>
      <c r="AX52" s="456">
        <f>('C1-Incomes'!KM54-'C1-Incomes'!KN54)/('C1-Incomes'!$R54-'C1-Incomes'!$S54)*100</f>
        <v>7.4458998803171417</v>
      </c>
      <c r="AY52" s="456">
        <f>'C1-Incomes'!KN54/'C1-Incomes'!$S54*100</f>
        <v>4.6280052625527883</v>
      </c>
      <c r="AZ52" s="456">
        <f>'C1-Incomes'!KO54/'C1-Incomes'!$T54*100</f>
        <v>3.6450783349631295</v>
      </c>
      <c r="BA52" s="456">
        <f>'C1-Incomes'!KP54/'C1-Incomes'!$U54*100</f>
        <v>1.9607961577657884</v>
      </c>
      <c r="BB52" s="456">
        <f>'C1-Incomes'!KQ54/'C1-Incomes'!$V54*100</f>
        <v>1.5749578746177388</v>
      </c>
      <c r="BC52" s="456">
        <f>'C1-Incomes'!KR54/'C1-Incomes'!$W54*100</f>
        <v>1.0867548703562775</v>
      </c>
      <c r="BD52" s="456">
        <f>'C1-Incomes'!KS54/'C1-Incomes'!$X54*100</f>
        <v>0.76049128019071688</v>
      </c>
      <c r="BE52" s="456"/>
      <c r="BF52" s="456">
        <f>('C1-Incomes'!LK54-'C1-Incomes'!LL54)/('C1-Incomes'!$R54-'C1-Incomes'!$S54)*100</f>
        <v>0.11790088108807931</v>
      </c>
      <c r="BG52" s="456">
        <f>'C1-Incomes'!LL54/'C1-Incomes'!$S54*100</f>
        <v>0.47765852556264693</v>
      </c>
      <c r="BH52" s="456">
        <f>'C1-Incomes'!LM54/'C1-Incomes'!$T54*100</f>
        <v>0.57499688215412081</v>
      </c>
      <c r="BI52" s="456">
        <f>'C1-Incomes'!LN54/'C1-Incomes'!$U54*100</f>
        <v>0.73723081567290072</v>
      </c>
      <c r="BJ52" s="456">
        <f>'C1-Incomes'!LO54/'C1-Incomes'!$V54*100</f>
        <v>0.75864014461181017</v>
      </c>
      <c r="BK52" s="456">
        <f>'C1-Incomes'!LP54/'C1-Incomes'!$W54*100</f>
        <v>0.76576526361060004</v>
      </c>
      <c r="BL52" s="456">
        <f>'C1-Incomes'!LQ54/'C1-Incomes'!$X54*100</f>
        <v>0.72869662019881443</v>
      </c>
      <c r="BN52" s="456">
        <f>('C1-Incomes'!KU54-'C1-Incomes'!KV54)/('C1-Incomes'!$R54-'C1-Incomes'!$S54)*100</f>
        <v>5.1972418287403359</v>
      </c>
      <c r="BO52" s="456">
        <f>'C1-Incomes'!KV54/'C1-Incomes'!$S54*100</f>
        <v>4.0032587538143662</v>
      </c>
      <c r="BP52" s="456">
        <f>'C1-Incomes'!KW54/'C1-Incomes'!$T54*100</f>
        <v>3.5686046822677695</v>
      </c>
      <c r="BQ52" s="456">
        <f>'C1-Incomes'!KX54/'C1-Incomes'!$U54*100</f>
        <v>2.900840179671107</v>
      </c>
      <c r="BR52" s="456">
        <f>'C1-Incomes'!KY54/'C1-Incomes'!$V54*100</f>
        <v>2.7854506294392687</v>
      </c>
      <c r="BS52" s="456">
        <f>'C1-Incomes'!KZ54/'C1-Incomes'!$W54*100</f>
        <v>2.7302954866216345</v>
      </c>
      <c r="BT52" s="456">
        <f>'C1-Incomes'!LA54/'C1-Incomes'!$X54*100</f>
        <v>2.6563748030672572</v>
      </c>
      <c r="BV52" s="519"/>
      <c r="BW52" s="519"/>
    </row>
    <row r="53" spans="1:75" s="452" customFormat="1" ht="12" x14ac:dyDescent="0.25">
      <c r="A53" s="239">
        <v>2007</v>
      </c>
      <c r="B53" s="456">
        <f t="shared" si="17"/>
        <v>22.861934834559829</v>
      </c>
      <c r="C53" s="456">
        <f t="shared" si="18"/>
        <v>37.679890030762117</v>
      </c>
      <c r="D53" s="456">
        <f t="shared" si="19"/>
        <v>39.971702102443359</v>
      </c>
      <c r="E53" s="456">
        <f t="shared" si="20"/>
        <v>44.375373744936688</v>
      </c>
      <c r="F53" s="456">
        <f t="shared" si="21"/>
        <v>45.857881724644983</v>
      </c>
      <c r="G53" s="456">
        <f t="shared" si="22"/>
        <v>48.826434553451776</v>
      </c>
      <c r="H53" s="456">
        <f t="shared" si="23"/>
        <v>50.554822435087118</v>
      </c>
      <c r="I53" s="456"/>
      <c r="J53" s="456">
        <f t="shared" si="24"/>
        <v>15.404418757513566</v>
      </c>
      <c r="K53" s="456">
        <f t="shared" si="25"/>
        <v>32.948580767769492</v>
      </c>
      <c r="L53" s="456">
        <f t="shared" si="26"/>
        <v>36.253856995414203</v>
      </c>
      <c r="M53" s="456">
        <f t="shared" si="27"/>
        <v>42.322838165826305</v>
      </c>
      <c r="N53" s="456">
        <f t="shared" si="28"/>
        <v>44.189809421134186</v>
      </c>
      <c r="O53" s="456">
        <f t="shared" si="29"/>
        <v>47.642921316848003</v>
      </c>
      <c r="P53" s="456">
        <f t="shared" si="30"/>
        <v>49.687984443982465</v>
      </c>
      <c r="Q53" s="456"/>
      <c r="R53" s="456">
        <f>('C1-Incomes'!JG55-'C1-Incomes'!JH55)/('C1-Incomes'!$R55-'C1-Incomes'!$S55)*100</f>
        <v>3.9571710515753948</v>
      </c>
      <c r="S53" s="456">
        <f>'C1-Incomes'!JH55/'C1-Incomes'!$S55*100</f>
        <v>16.96006216307967</v>
      </c>
      <c r="T53" s="456">
        <f>'C1-Incomes'!JI55/'C1-Incomes'!$T55*100</f>
        <v>19.729266635302423</v>
      </c>
      <c r="U53" s="456">
        <f>'C1-Incomes'!JJ55/'C1-Incomes'!$U55*100</f>
        <v>24.746323243229011</v>
      </c>
      <c r="V53" s="456">
        <f>'C1-Incomes'!JK55/'C1-Incomes'!$V55*100</f>
        <v>26.123350077720751</v>
      </c>
      <c r="W53" s="456">
        <f>'C1-Incomes'!JL55/'C1-Incomes'!$W55*100</f>
        <v>28.48543376912173</v>
      </c>
      <c r="X53" s="456">
        <f>'C1-Incomes'!JM55/'C1-Incomes'!$X55*100</f>
        <v>29.380858604950035</v>
      </c>
      <c r="Y53" s="458"/>
      <c r="Z53" s="456">
        <f>('C1-Incomes'!JO55-'C1-Incomes'!JP55)/('C1-Incomes'!$R55-'C1-Incomes'!$S55)*100</f>
        <v>1.205479716277325</v>
      </c>
      <c r="AA53" s="456">
        <f>'C1-Incomes'!JP55/'C1-Incomes'!$S55*100</f>
        <v>3.8668894728456351</v>
      </c>
      <c r="AB53" s="456">
        <f>'C1-Incomes'!JQ55/'C1-Incomes'!$T55*100</f>
        <v>4.3938358066596361</v>
      </c>
      <c r="AC53" s="456">
        <f>'C1-Incomes'!JR55/'C1-Incomes'!$U55*100</f>
        <v>5.397602931153493</v>
      </c>
      <c r="AD53" s="456">
        <f>'C1-Incomes'!JS55/'C1-Incomes'!$V55*100</f>
        <v>5.7385825750630994</v>
      </c>
      <c r="AE53" s="456">
        <f>'C1-Incomes'!JT55/'C1-Incomes'!$W55*100</f>
        <v>6.3339016179012981</v>
      </c>
      <c r="AF53" s="456">
        <f>'C1-Incomes'!JU55/'C1-Incomes'!$X55*100</f>
        <v>6.6854483024257876</v>
      </c>
      <c r="AG53" s="458"/>
      <c r="AH53" s="456">
        <f>('C1-Incomes'!JW55-'C1-Incomes'!JX55)/('C1-Incomes'!$R55-'C1-Incomes'!$S55)*100</f>
        <v>2.4960172791157498</v>
      </c>
      <c r="AI53" s="456">
        <f>'C1-Incomes'!JX55/'C1-Incomes'!$S55*100</f>
        <v>3.7911822349382311</v>
      </c>
      <c r="AJ53" s="456">
        <f>'C1-Incomes'!JY55/'C1-Incomes'!$T55*100</f>
        <v>4.0154846082004783</v>
      </c>
      <c r="AK53" s="456">
        <f>'C1-Incomes'!JZ55/'C1-Incomes'!$U55*100</f>
        <v>4.451797380207287</v>
      </c>
      <c r="AL53" s="456">
        <f>'C1-Incomes'!KA55/'C1-Incomes'!$V55*100</f>
        <v>4.6480612766468674</v>
      </c>
      <c r="AM53" s="456">
        <f>'C1-Incomes'!KB55/'C1-Incomes'!$W55*100</f>
        <v>5.1316950786349427</v>
      </c>
      <c r="AN53" s="456">
        <f>'C1-Incomes'!KC55/'C1-Incomes'!$X55*100</f>
        <v>5.8702779110534546</v>
      </c>
      <c r="AO53" s="458"/>
      <c r="AP53" s="456">
        <f>('C1-Incomes'!KE55-'C1-Incomes'!KF55)/('C1-Incomes'!$R55-'C1-Incomes'!$S55)*100</f>
        <v>2.3948886602191641</v>
      </c>
      <c r="AQ53" s="456">
        <f>'C1-Incomes'!KF55/'C1-Incomes'!$S55*100</f>
        <v>3.8360560952744107</v>
      </c>
      <c r="AR53" s="456">
        <f>'C1-Incomes'!KG55/'C1-Incomes'!$T55*100</f>
        <v>3.975345903882638</v>
      </c>
      <c r="AS53" s="456">
        <f>'C1-Incomes'!KH55/'C1-Incomes'!$U55*100</f>
        <v>4.0854146445113937</v>
      </c>
      <c r="AT53" s="456">
        <f>'C1-Incomes'!KI55/'C1-Incomes'!$V55*100</f>
        <v>4.1227416809099298</v>
      </c>
      <c r="AU53" s="456">
        <f>'C1-Incomes'!KJ55/'C1-Incomes'!$W55*100</f>
        <v>4.181034484350902</v>
      </c>
      <c r="AV53" s="456">
        <f>'C1-Incomes'!KK55/'C1-Incomes'!$X55*100</f>
        <v>4.3161211021463268</v>
      </c>
      <c r="AX53" s="456">
        <f>('C1-Incomes'!KM55-'C1-Incomes'!KN55)/('C1-Incomes'!$R55-'C1-Incomes'!$S55)*100</f>
        <v>7.457516077046261</v>
      </c>
      <c r="AY53" s="456">
        <f>'C1-Incomes'!KN55/'C1-Incomes'!$S55*100</f>
        <v>4.7313092629926246</v>
      </c>
      <c r="AZ53" s="456">
        <f>'C1-Incomes'!KO55/'C1-Incomes'!$T55*100</f>
        <v>3.7178451070291545</v>
      </c>
      <c r="BA53" s="456">
        <f>'C1-Incomes'!KP55/'C1-Incomes'!$U55*100</f>
        <v>2.0525355791103803</v>
      </c>
      <c r="BB53" s="456">
        <f>'C1-Incomes'!KQ55/'C1-Incomes'!$V55*100</f>
        <v>1.6680723035107963</v>
      </c>
      <c r="BC53" s="456">
        <f>'C1-Incomes'!KR55/'C1-Incomes'!$W55*100</f>
        <v>1.1835132366037777</v>
      </c>
      <c r="BD53" s="456">
        <f>'C1-Incomes'!KS55/'C1-Incomes'!$X55*100</f>
        <v>0.86683799110465354</v>
      </c>
      <c r="BE53" s="456"/>
      <c r="BF53" s="456">
        <f>('C1-Incomes'!LK55-'C1-Incomes'!LL55)/('C1-Incomes'!$R55-'C1-Incomes'!$S55)*100</f>
        <v>0.1107254640803301</v>
      </c>
      <c r="BG53" s="456">
        <f>'C1-Incomes'!LL55/'C1-Incomes'!$S55*100</f>
        <v>0.44430717846172113</v>
      </c>
      <c r="BH53" s="456">
        <f>'C1-Incomes'!LM55/'C1-Incomes'!$T55*100</f>
        <v>0.53384520562975613</v>
      </c>
      <c r="BI53" s="456">
        <f>'C1-Incomes'!LN55/'C1-Incomes'!$U55*100</f>
        <v>0.6785558980390366</v>
      </c>
      <c r="BJ53" s="456">
        <f>'C1-Incomes'!LO55/'C1-Incomes'!$V55*100</f>
        <v>0.69544065188431481</v>
      </c>
      <c r="BK53" s="456">
        <f>'C1-Incomes'!LP55/'C1-Incomes'!$W55*100</f>
        <v>0.69179326811994102</v>
      </c>
      <c r="BL53" s="456">
        <f>'C1-Incomes'!LQ55/'C1-Incomes'!$X55*100</f>
        <v>0.65548985205548405</v>
      </c>
      <c r="BN53" s="456">
        <f>('C1-Incomes'!KU55-'C1-Incomes'!KV55)/('C1-Incomes'!$R55-'C1-Incomes'!$S55)*100</f>
        <v>5.2401365862456029</v>
      </c>
      <c r="BO53" s="456">
        <f>'C1-Incomes'!KV55/'C1-Incomes'!$S55*100</f>
        <v>4.0500836231698223</v>
      </c>
      <c r="BP53" s="456">
        <f>'C1-Incomes'!KW55/'C1-Incomes'!$T55*100</f>
        <v>3.606078835739277</v>
      </c>
      <c r="BQ53" s="456">
        <f>'C1-Incomes'!KX55/'C1-Incomes'!$U55*100</f>
        <v>2.9631440686860824</v>
      </c>
      <c r="BR53" s="456">
        <f>'C1-Incomes'!KY55/'C1-Incomes'!$V55*100</f>
        <v>2.8616331589092221</v>
      </c>
      <c r="BS53" s="456">
        <f>'C1-Incomes'!KZ55/'C1-Incomes'!$W55*100</f>
        <v>2.8190630987191816</v>
      </c>
      <c r="BT53" s="456">
        <f>'C1-Incomes'!LA55/'C1-Incomes'!$X55*100</f>
        <v>2.7797886713513775</v>
      </c>
      <c r="BV53" s="519"/>
      <c r="BW53" s="519"/>
    </row>
    <row r="54" spans="1:75" s="452" customFormat="1" ht="12" x14ac:dyDescent="0.25">
      <c r="A54" s="239">
        <v>2008</v>
      </c>
      <c r="B54" s="456">
        <f t="shared" si="17"/>
        <v>21.823319877297244</v>
      </c>
      <c r="C54" s="456">
        <f t="shared" si="18"/>
        <v>36.289384751277751</v>
      </c>
      <c r="D54" s="456">
        <f t="shared" si="19"/>
        <v>38.406997618595902</v>
      </c>
      <c r="E54" s="456">
        <f t="shared" si="20"/>
        <v>42.42597937973369</v>
      </c>
      <c r="F54" s="456">
        <f t="shared" si="21"/>
        <v>43.739482202802058</v>
      </c>
      <c r="G54" s="456">
        <f t="shared" si="22"/>
        <v>46.870098398412793</v>
      </c>
      <c r="H54" s="456">
        <f t="shared" si="23"/>
        <v>48.169333755576709</v>
      </c>
      <c r="I54" s="456"/>
      <c r="J54" s="456">
        <f t="shared" si="24"/>
        <v>14.522855999857859</v>
      </c>
      <c r="K54" s="456">
        <f t="shared" si="25"/>
        <v>31.396208353983464</v>
      </c>
      <c r="L54" s="456">
        <f t="shared" si="26"/>
        <v>34.522076988899329</v>
      </c>
      <c r="M54" s="456">
        <f t="shared" si="27"/>
        <v>40.263453269769485</v>
      </c>
      <c r="N54" s="456">
        <f t="shared" si="28"/>
        <v>41.985002494925148</v>
      </c>
      <c r="O54" s="456">
        <f t="shared" si="29"/>
        <v>45.629668125643761</v>
      </c>
      <c r="P54" s="456">
        <f t="shared" si="30"/>
        <v>47.265084289748287</v>
      </c>
      <c r="Q54" s="456"/>
      <c r="R54" s="456">
        <f>('C1-Incomes'!JG56-'C1-Incomes'!JH56)/('C1-Incomes'!$R56-'C1-Incomes'!$S56)*100</f>
        <v>4.0568266877340191</v>
      </c>
      <c r="S54" s="456">
        <f>'C1-Incomes'!JH56/'C1-Incomes'!$S56*100</f>
        <v>16.438002900563763</v>
      </c>
      <c r="T54" s="456">
        <f>'C1-Incomes'!JI56/'C1-Incomes'!$T56*100</f>
        <v>19.036813110680395</v>
      </c>
      <c r="U54" s="456">
        <f>'C1-Incomes'!JJ56/'C1-Incomes'!$U56*100</f>
        <v>23.728518510614354</v>
      </c>
      <c r="V54" s="456">
        <f>'C1-Incomes'!JK56/'C1-Incomes'!$V56*100</f>
        <v>24.971498843382349</v>
      </c>
      <c r="W54" s="456">
        <f>'C1-Incomes'!JL56/'C1-Incomes'!$W56*100</f>
        <v>27.430461001224849</v>
      </c>
      <c r="X54" s="456">
        <f>'C1-Incomes'!JM56/'C1-Incomes'!$X56*100</f>
        <v>27.970364302375177</v>
      </c>
      <c r="Y54" s="458"/>
      <c r="Z54" s="456">
        <f>('C1-Incomes'!JO56-'C1-Incomes'!JP56)/('C1-Incomes'!$R56-'C1-Incomes'!$S56)*100</f>
        <v>1.2395119268605279</v>
      </c>
      <c r="AA54" s="456">
        <f>'C1-Incomes'!JP56/'C1-Incomes'!$S56*100</f>
        <v>3.9006797105581748</v>
      </c>
      <c r="AB54" s="456">
        <f>'C1-Incomes'!JQ56/'C1-Incomes'!$T56*100</f>
        <v>4.4323371054160718</v>
      </c>
      <c r="AC54" s="456">
        <f>'C1-Incomes'!JR56/'C1-Incomes'!$U56*100</f>
        <v>5.4900798796641963</v>
      </c>
      <c r="AD54" s="456">
        <f>'C1-Incomes'!JS56/'C1-Incomes'!$V56*100</f>
        <v>5.8698389714073462</v>
      </c>
      <c r="AE54" s="456">
        <f>'C1-Incomes'!JT56/'C1-Incomes'!$W56*100</f>
        <v>6.5900620118059461</v>
      </c>
      <c r="AF54" s="456">
        <f>'C1-Incomes'!JU56/'C1-Incomes'!$X56*100</f>
        <v>7.1049909693442759</v>
      </c>
      <c r="AG54" s="458"/>
      <c r="AH54" s="456">
        <f>('C1-Incomes'!JW56-'C1-Incomes'!JX56)/('C1-Incomes'!$R56-'C1-Incomes'!$S56)*100</f>
        <v>1.6075523853051683</v>
      </c>
      <c r="AI54" s="456">
        <f>'C1-Incomes'!JX56/'C1-Incomes'!$S56*100</f>
        <v>2.5642752022659319</v>
      </c>
      <c r="AJ54" s="456">
        <f>'C1-Incomes'!JY56/'C1-Incomes'!$T56*100</f>
        <v>2.7115087840331906</v>
      </c>
      <c r="AK54" s="456">
        <f>'C1-Incomes'!JZ56/'C1-Incomes'!$U56*100</f>
        <v>2.9787342491058779</v>
      </c>
      <c r="AL54" s="456">
        <f>'C1-Incomes'!KA56/'C1-Incomes'!$V56*100</f>
        <v>3.0830196599319311</v>
      </c>
      <c r="AM54" s="456">
        <f>'C1-Incomes'!KB56/'C1-Incomes'!$W56*100</f>
        <v>3.4045893837796029</v>
      </c>
      <c r="AN54" s="456">
        <f>'C1-Incomes'!KC56/'C1-Incomes'!$X56*100</f>
        <v>3.8701536875242768</v>
      </c>
      <c r="AO54" s="458"/>
      <c r="AP54" s="456">
        <f>('C1-Incomes'!KE56-'C1-Incomes'!KF56)/('C1-Incomes'!$R56-'C1-Incomes'!$S56)*100</f>
        <v>2.3385430909543774</v>
      </c>
      <c r="AQ54" s="456">
        <f>'C1-Incomes'!KF56/'C1-Incomes'!$S56*100</f>
        <v>3.9413291001513162</v>
      </c>
      <c r="AR54" s="456">
        <f>'C1-Incomes'!KG56/'C1-Incomes'!$T56*100</f>
        <v>4.1133248430290834</v>
      </c>
      <c r="AS54" s="456">
        <f>'C1-Incomes'!KH56/'C1-Incomes'!$U56*100</f>
        <v>4.2751416760067293</v>
      </c>
      <c r="AT54" s="456">
        <f>'C1-Incomes'!KI56/'C1-Incomes'!$V56*100</f>
        <v>4.336487105032278</v>
      </c>
      <c r="AU54" s="456">
        <f>'C1-Incomes'!KJ56/'C1-Incomes'!$W56*100</f>
        <v>4.4420036914091696</v>
      </c>
      <c r="AV54" s="456">
        <f>'C1-Incomes'!KK56/'C1-Incomes'!$X56*100</f>
        <v>4.6102078048779243</v>
      </c>
      <c r="AX54" s="456">
        <f>('C1-Incomes'!KM56-'C1-Incomes'!KN56)/('C1-Incomes'!$R56-'C1-Incomes'!$S56)*100</f>
        <v>7.3004638774393849</v>
      </c>
      <c r="AY54" s="456">
        <f>'C1-Incomes'!KN56/'C1-Incomes'!$S56*100</f>
        <v>4.8931763972942823</v>
      </c>
      <c r="AZ54" s="456">
        <f>'C1-Incomes'!KO56/'C1-Incomes'!$T56*100</f>
        <v>3.8849206296965741</v>
      </c>
      <c r="BA54" s="456">
        <f>'C1-Incomes'!KP56/'C1-Incomes'!$U56*100</f>
        <v>2.162526109964213</v>
      </c>
      <c r="BB54" s="456">
        <f>'C1-Incomes'!KQ56/'C1-Incomes'!$V56*100</f>
        <v>1.7544797078769141</v>
      </c>
      <c r="BC54" s="456">
        <f>'C1-Incomes'!KR56/'C1-Incomes'!$W56*100</f>
        <v>1.2404302727690295</v>
      </c>
      <c r="BD54" s="456">
        <f>'C1-Incomes'!KS56/'C1-Incomes'!$X56*100</f>
        <v>0.90424946582842425</v>
      </c>
      <c r="BE54" s="456"/>
      <c r="BF54" s="456">
        <f>('C1-Incomes'!LK56-'C1-Incomes'!LL56)/('C1-Incomes'!$R56-'C1-Incomes'!$S56)*100</f>
        <v>0.11455768498172833</v>
      </c>
      <c r="BG54" s="456">
        <f>'C1-Incomes'!LL56/'C1-Incomes'!$S56*100</f>
        <v>0.47386329262434046</v>
      </c>
      <c r="BH54" s="456">
        <f>'C1-Incomes'!LM56/'C1-Incomes'!$T56*100</f>
        <v>0.57498201304495389</v>
      </c>
      <c r="BI54" s="456">
        <f>'C1-Incomes'!LN56/'C1-Incomes'!$U56*100</f>
        <v>0.74899192669979797</v>
      </c>
      <c r="BJ54" s="456">
        <f>'C1-Incomes'!LO56/'C1-Incomes'!$V56*100</f>
        <v>0.77222939658383472</v>
      </c>
      <c r="BK54" s="456">
        <f>'C1-Incomes'!LP56/'C1-Incomes'!$W56*100</f>
        <v>0.78680573531418552</v>
      </c>
      <c r="BL54" s="456">
        <f>'C1-Incomes'!LQ56/'C1-Incomes'!$X56*100</f>
        <v>0.74501758064432377</v>
      </c>
      <c r="BN54" s="456">
        <f>('C1-Incomes'!KU56-'C1-Incomes'!KV56)/('C1-Incomes'!$R56-'C1-Incomes'!$S56)*100</f>
        <v>5.1658642240220383</v>
      </c>
      <c r="BO54" s="456">
        <f>'C1-Incomes'!KV56/'C1-Incomes'!$S56*100</f>
        <v>4.0780581478199363</v>
      </c>
      <c r="BP54" s="456">
        <f>'C1-Incomes'!KW56/'C1-Incomes'!$T56*100</f>
        <v>3.6531111326956336</v>
      </c>
      <c r="BQ54" s="456">
        <f>'C1-Incomes'!KX56/'C1-Incomes'!$U56*100</f>
        <v>3.0419870276785304</v>
      </c>
      <c r="BR54" s="456">
        <f>'C1-Incomes'!KY56/'C1-Incomes'!$V56*100</f>
        <v>2.9519285185874189</v>
      </c>
      <c r="BS54" s="456">
        <f>'C1-Incomes'!KZ56/'C1-Incomes'!$W56*100</f>
        <v>2.9757463021100126</v>
      </c>
      <c r="BT54" s="456">
        <f>'C1-Incomes'!LA56/'C1-Incomes'!$X56*100</f>
        <v>2.9643499449823101</v>
      </c>
      <c r="BV54" s="519"/>
      <c r="BW54" s="519"/>
    </row>
    <row r="55" spans="1:75" s="452" customFormat="1" ht="12" x14ac:dyDescent="0.25">
      <c r="A55" s="239">
        <v>2009</v>
      </c>
      <c r="B55" s="456">
        <f t="shared" si="17"/>
        <v>19.839806576493412</v>
      </c>
      <c r="C55" s="456">
        <f t="shared" si="18"/>
        <v>31.812019689738591</v>
      </c>
      <c r="D55" s="456">
        <f t="shared" si="19"/>
        <v>33.299445920981292</v>
      </c>
      <c r="E55" s="456">
        <f t="shared" si="20"/>
        <v>36.00557738155608</v>
      </c>
      <c r="F55" s="456">
        <f t="shared" si="21"/>
        <v>36.909080071612664</v>
      </c>
      <c r="G55" s="456">
        <f t="shared" si="22"/>
        <v>39.421001002575061</v>
      </c>
      <c r="H55" s="456">
        <f t="shared" si="23"/>
        <v>40.474045769296126</v>
      </c>
      <c r="I55" s="456"/>
      <c r="J55" s="456">
        <f t="shared" si="24"/>
        <v>12.845749156571665</v>
      </c>
      <c r="K55" s="456">
        <f t="shared" si="25"/>
        <v>26.724460247131816</v>
      </c>
      <c r="L55" s="456">
        <f t="shared" si="26"/>
        <v>29.193679192574383</v>
      </c>
      <c r="M55" s="456">
        <f t="shared" si="27"/>
        <v>33.763072687934852</v>
      </c>
      <c r="N55" s="456">
        <f t="shared" si="28"/>
        <v>35.130925659820136</v>
      </c>
      <c r="O55" s="456">
        <f t="shared" si="29"/>
        <v>38.244409261266028</v>
      </c>
      <c r="P55" s="456">
        <f t="shared" si="30"/>
        <v>39.729003309082827</v>
      </c>
      <c r="Q55" s="456"/>
      <c r="R55" s="456">
        <f>('C1-Incomes'!JG57-'C1-Incomes'!JH57)/('C1-Incomes'!$R57-'C1-Incomes'!$S57)*100</f>
        <v>3.0716110863501482</v>
      </c>
      <c r="S55" s="456">
        <f>'C1-Incomes'!JH57/'C1-Incomes'!$S57*100</f>
        <v>12.379629633707308</v>
      </c>
      <c r="T55" s="456">
        <f>'C1-Incomes'!JI57/'C1-Incomes'!$T57*100</f>
        <v>14.324170033702032</v>
      </c>
      <c r="U55" s="456">
        <f>'C1-Incomes'!JJ57/'C1-Incomes'!$U57*100</f>
        <v>17.834359556902644</v>
      </c>
      <c r="V55" s="456">
        <f>'C1-Incomes'!JK57/'C1-Incomes'!$V57*100</f>
        <v>18.725368155740085</v>
      </c>
      <c r="W55" s="456">
        <f>'C1-Incomes'!JL57/'C1-Incomes'!$W57*100</f>
        <v>20.504348944561798</v>
      </c>
      <c r="X55" s="456">
        <f>'C1-Incomes'!JM57/'C1-Incomes'!$X57*100</f>
        <v>20.719416311442082</v>
      </c>
      <c r="Y55" s="458"/>
      <c r="Z55" s="456">
        <f>('C1-Incomes'!JO57-'C1-Incomes'!JP57)/('C1-Incomes'!$R57-'C1-Incomes'!$S57)*100</f>
        <v>1.0341503923202284</v>
      </c>
      <c r="AA55" s="456">
        <f>'C1-Incomes'!JP57/'C1-Incomes'!$S57*100</f>
        <v>3.4478723785614158</v>
      </c>
      <c r="AB55" s="456">
        <f>'C1-Incomes'!JQ57/'C1-Incomes'!$T57*100</f>
        <v>3.9068117860983449</v>
      </c>
      <c r="AC55" s="456">
        <f>'C1-Incomes'!JR57/'C1-Incomes'!$U57*100</f>
        <v>4.7789712307209573</v>
      </c>
      <c r="AD55" s="456">
        <f>'C1-Incomes'!JS57/'C1-Incomes'!$V57*100</f>
        <v>5.1115469140761345</v>
      </c>
      <c r="AE55" s="456">
        <f>'C1-Incomes'!JT57/'C1-Incomes'!$W57*100</f>
        <v>5.8088855549819103</v>
      </c>
      <c r="AF55" s="456">
        <f>'C1-Incomes'!JU57/'C1-Incomes'!$X57*100</f>
        <v>6.1923754871302839</v>
      </c>
      <c r="AG55" s="458"/>
      <c r="AH55" s="456">
        <f>('C1-Incomes'!JW57-'C1-Incomes'!JX57)/('C1-Incomes'!$R57-'C1-Incomes'!$S57)*100</f>
        <v>1.2498325895110955</v>
      </c>
      <c r="AI55" s="456">
        <f>'C1-Incomes'!JX57/'C1-Incomes'!$S57*100</f>
        <v>2.2090178406203256</v>
      </c>
      <c r="AJ55" s="456">
        <f>'C1-Incomes'!JY57/'C1-Incomes'!$T57*100</f>
        <v>2.3635264655527588</v>
      </c>
      <c r="AK55" s="456">
        <f>'C1-Incomes'!JZ57/'C1-Incomes'!$U57*100</f>
        <v>2.6411373001194631</v>
      </c>
      <c r="AL55" s="456">
        <f>'C1-Incomes'!KA57/'C1-Incomes'!$V57*100</f>
        <v>2.7435159777507643</v>
      </c>
      <c r="AM55" s="456">
        <f>'C1-Incomes'!KB57/'C1-Incomes'!$W57*100</f>
        <v>3.0997083266003358</v>
      </c>
      <c r="AN55" s="456">
        <f>'C1-Incomes'!KC57/'C1-Incomes'!$X57*100</f>
        <v>3.7531975283337236</v>
      </c>
      <c r="AO55" s="458"/>
      <c r="AP55" s="456">
        <f>('C1-Incomes'!KE57-'C1-Incomes'!KF57)/('C1-Incomes'!$R57-'C1-Incomes'!$S57)*100</f>
        <v>2.4576411143366252</v>
      </c>
      <c r="AQ55" s="456">
        <f>'C1-Incomes'!KF57/'C1-Incomes'!$S57*100</f>
        <v>4.3125775484158666</v>
      </c>
      <c r="AR55" s="456">
        <f>'C1-Incomes'!KG57/'C1-Incomes'!$T57*100</f>
        <v>4.5307909287337971</v>
      </c>
      <c r="AS55" s="456">
        <f>'C1-Incomes'!KH57/'C1-Incomes'!$U57*100</f>
        <v>4.8379758368452608</v>
      </c>
      <c r="AT55" s="456">
        <f>'C1-Incomes'!KI57/'C1-Incomes'!$V57*100</f>
        <v>4.9281828585776424</v>
      </c>
      <c r="AU55" s="456">
        <f>'C1-Incomes'!KJ57/'C1-Incomes'!$W57*100</f>
        <v>5.1539816566014656</v>
      </c>
      <c r="AV55" s="456">
        <f>'C1-Incomes'!KK57/'C1-Incomes'!$X57*100</f>
        <v>5.5549900962071446</v>
      </c>
      <c r="AX55" s="456">
        <f>('C1-Incomes'!KM57-'C1-Incomes'!KN57)/('C1-Incomes'!$R57-'C1-Incomes'!$S57)*100</f>
        <v>6.9940574199217451</v>
      </c>
      <c r="AY55" s="456">
        <f>'C1-Incomes'!KN57/'C1-Incomes'!$S57*100</f>
        <v>5.0875594426067732</v>
      </c>
      <c r="AZ55" s="456">
        <f>'C1-Incomes'!KO57/'C1-Incomes'!$T57*100</f>
        <v>4.1057667284069055</v>
      </c>
      <c r="BA55" s="456">
        <f>'C1-Incomes'!KP57/'C1-Incomes'!$U57*100</f>
        <v>2.2425046936212323</v>
      </c>
      <c r="BB55" s="456">
        <f>'C1-Incomes'!KQ57/'C1-Incomes'!$V57*100</f>
        <v>1.7781544117925343</v>
      </c>
      <c r="BC55" s="456">
        <f>'C1-Incomes'!KR57/'C1-Incomes'!$W57*100</f>
        <v>1.1765917413090332</v>
      </c>
      <c r="BD55" s="456">
        <f>'C1-Incomes'!KS57/'C1-Incomes'!$X57*100</f>
        <v>0.74504246021330045</v>
      </c>
      <c r="BE55" s="456"/>
      <c r="BF55" s="456">
        <f>('C1-Incomes'!LK57-'C1-Incomes'!LL57)/('C1-Incomes'!$R57-'C1-Incomes'!$S57)*100</f>
        <v>6.8441499263598313E-2</v>
      </c>
      <c r="BG55" s="456">
        <f>'C1-Incomes'!LL57/'C1-Incomes'!$S57*100</f>
        <v>0.39365833925849025</v>
      </c>
      <c r="BH55" s="456">
        <f>'C1-Incomes'!LM57/'C1-Incomes'!$T57*100</f>
        <v>0.50622135938653368</v>
      </c>
      <c r="BI55" s="456">
        <f>'C1-Incomes'!LN57/'C1-Incomes'!$U57*100</f>
        <v>0.77076240759998993</v>
      </c>
      <c r="BJ55" s="456">
        <f>'C1-Incomes'!LO57/'C1-Incomes'!$V57*100</f>
        <v>0.83757435023410864</v>
      </c>
      <c r="BK55" s="456">
        <f>'C1-Incomes'!LP57/'C1-Incomes'!$W57*100</f>
        <v>0.91600075023259409</v>
      </c>
      <c r="BL55" s="456">
        <f>'C1-Incomes'!LQ57/'C1-Incomes'!$X57*100</f>
        <v>0.84840214373329192</v>
      </c>
      <c r="BN55" s="456">
        <f>('C1-Incomes'!KU57-'C1-Incomes'!KV57)/('C1-Incomes'!$R57-'C1-Incomes'!$S57)*100</f>
        <v>4.9640724747899707</v>
      </c>
      <c r="BO55" s="456">
        <f>'C1-Incomes'!KV57/'C1-Incomes'!$S57*100</f>
        <v>3.98170450656841</v>
      </c>
      <c r="BP55" s="456">
        <f>'C1-Incomes'!KW57/'C1-Incomes'!$T57*100</f>
        <v>3.5621586191009156</v>
      </c>
      <c r="BQ55" s="456">
        <f>'C1-Incomes'!KX57/'C1-Incomes'!$U57*100</f>
        <v>2.8998663557465334</v>
      </c>
      <c r="BR55" s="456">
        <f>'C1-Incomes'!KY57/'C1-Incomes'!$V57*100</f>
        <v>2.7847374034413979</v>
      </c>
      <c r="BS55" s="456">
        <f>'C1-Incomes'!KZ57/'C1-Incomes'!$W57*100</f>
        <v>2.7614840282879345</v>
      </c>
      <c r="BT55" s="456">
        <f>'C1-Incomes'!LA57/'C1-Incomes'!$X57*100</f>
        <v>2.6606217422363074</v>
      </c>
      <c r="BV55" s="519"/>
      <c r="BW55" s="519"/>
    </row>
    <row r="56" spans="1:75" s="452" customFormat="1" ht="12" x14ac:dyDescent="0.25">
      <c r="A56" s="239">
        <v>2010</v>
      </c>
      <c r="B56" s="456">
        <f t="shared" si="17"/>
        <v>19.893665778667319</v>
      </c>
      <c r="C56" s="456">
        <f t="shared" si="18"/>
        <v>31.797749143299225</v>
      </c>
      <c r="D56" s="456">
        <f t="shared" si="19"/>
        <v>33.110308855288835</v>
      </c>
      <c r="E56" s="456">
        <f t="shared" si="20"/>
        <v>35.365948563824013</v>
      </c>
      <c r="F56" s="456">
        <f t="shared" si="21"/>
        <v>36.112770891677322</v>
      </c>
      <c r="G56" s="456">
        <f t="shared" si="22"/>
        <v>37.978219082446003</v>
      </c>
      <c r="H56" s="456">
        <f t="shared" si="23"/>
        <v>38.329167576198316</v>
      </c>
      <c r="I56" s="456"/>
      <c r="J56" s="456">
        <f t="shared" si="24"/>
        <v>12.979690964983133</v>
      </c>
      <c r="K56" s="456">
        <f t="shared" si="25"/>
        <v>27.022561231592054</v>
      </c>
      <c r="L56" s="456">
        <f t="shared" si="26"/>
        <v>29.291324292997515</v>
      </c>
      <c r="M56" s="456">
        <f t="shared" si="27"/>
        <v>33.320735455547606</v>
      </c>
      <c r="N56" s="456">
        <f t="shared" si="28"/>
        <v>34.496773510807401</v>
      </c>
      <c r="O56" s="456">
        <f t="shared" si="29"/>
        <v>36.93267964013463</v>
      </c>
      <c r="P56" s="456">
        <f t="shared" si="30"/>
        <v>37.705668104114721</v>
      </c>
      <c r="Q56" s="456"/>
      <c r="R56" s="456">
        <f>('C1-Incomes'!JG58-'C1-Incomes'!JH58)/('C1-Incomes'!$R58-'C1-Incomes'!$S58)*100</f>
        <v>3.1468184683285405</v>
      </c>
      <c r="S56" s="456">
        <f>'C1-Incomes'!JH58/'C1-Incomes'!$S58*100</f>
        <v>12.547916199226272</v>
      </c>
      <c r="T56" s="456">
        <f>'C1-Incomes'!JI58/'C1-Incomes'!$T58*100</f>
        <v>14.397168623386092</v>
      </c>
      <c r="U56" s="456">
        <f>'C1-Incomes'!JJ58/'C1-Incomes'!$U58*100</f>
        <v>17.580129690239986</v>
      </c>
      <c r="V56" s="456">
        <f>'C1-Incomes'!JK58/'C1-Incomes'!$V58*100</f>
        <v>18.365488382803651</v>
      </c>
      <c r="W56" s="456">
        <f>'C1-Incomes'!JL58/'C1-Incomes'!$W58*100</f>
        <v>19.725800753510381</v>
      </c>
      <c r="X56" s="456">
        <f>'C1-Incomes'!JM58/'C1-Incomes'!$X58*100</f>
        <v>19.54790561940332</v>
      </c>
      <c r="Y56" s="458"/>
      <c r="Z56" s="456">
        <f>('C1-Incomes'!JO58-'C1-Incomes'!JP58)/('C1-Incomes'!$R58-'C1-Incomes'!$S58)*100</f>
        <v>0.99695161983614322</v>
      </c>
      <c r="AA56" s="456">
        <f>'C1-Incomes'!JP58/'C1-Incomes'!$S58*100</f>
        <v>3.3132719279427327</v>
      </c>
      <c r="AB56" s="456">
        <f>'C1-Incomes'!JQ58/'C1-Incomes'!$T58*100</f>
        <v>3.7027586434190187</v>
      </c>
      <c r="AC56" s="456">
        <f>'C1-Incomes'!JR58/'C1-Incomes'!$U58*100</f>
        <v>4.4045867837747004</v>
      </c>
      <c r="AD56" s="456">
        <f>'C1-Incomes'!JS58/'C1-Incomes'!$V58*100</f>
        <v>4.6401355729150744</v>
      </c>
      <c r="AE56" s="456">
        <f>'C1-Incomes'!JT58/'C1-Incomes'!$W58*100</f>
        <v>5.0947769577779383</v>
      </c>
      <c r="AF56" s="456">
        <f>'C1-Incomes'!JU58/'C1-Incomes'!$X58*100</f>
        <v>5.1143302158508197</v>
      </c>
      <c r="AG56" s="458"/>
      <c r="AH56" s="456">
        <f>('C1-Incomes'!JW58-'C1-Incomes'!JX58)/('C1-Incomes'!$R58-'C1-Incomes'!$S58)*100</f>
        <v>1.4892166548525267</v>
      </c>
      <c r="AI56" s="456">
        <f>'C1-Incomes'!JX58/'C1-Incomes'!$S58*100</f>
        <v>2.8336256099003294</v>
      </c>
      <c r="AJ56" s="456">
        <f>'C1-Incomes'!JY58/'C1-Incomes'!$T58*100</f>
        <v>3.0380574247785819</v>
      </c>
      <c r="AK56" s="456">
        <f>'C1-Incomes'!JZ58/'C1-Incomes'!$U58*100</f>
        <v>3.4131884253416094</v>
      </c>
      <c r="AL56" s="456">
        <f>'C1-Incomes'!KA58/'C1-Incomes'!$V58*100</f>
        <v>3.5651593915882835</v>
      </c>
      <c r="AM56" s="456">
        <f>'C1-Incomes'!KB58/'C1-Incomes'!$W58*100</f>
        <v>4.0250767604377531</v>
      </c>
      <c r="AN56" s="456">
        <f>'C1-Incomes'!KC58/'C1-Incomes'!$X58*100</f>
        <v>4.8712132256722516</v>
      </c>
      <c r="AO56" s="458"/>
      <c r="AP56" s="456">
        <f>('C1-Incomes'!KE58-'C1-Incomes'!KF58)/('C1-Incomes'!$R58-'C1-Incomes'!$S58)*100</f>
        <v>2.2919294664215979</v>
      </c>
      <c r="AQ56" s="456">
        <f>'C1-Incomes'!KF58/'C1-Incomes'!$S58*100</f>
        <v>4.1002984627476549</v>
      </c>
      <c r="AR56" s="456">
        <f>'C1-Incomes'!KG58/'C1-Incomes'!$T58*100</f>
        <v>4.2768218180583073</v>
      </c>
      <c r="AS56" s="456">
        <f>'C1-Incomes'!KH58/'C1-Incomes'!$U58*100</f>
        <v>4.5136455135865292</v>
      </c>
      <c r="AT56" s="456">
        <f>'C1-Incomes'!KI58/'C1-Incomes'!$V58*100</f>
        <v>4.5868524507758082</v>
      </c>
      <c r="AU56" s="456">
        <f>'C1-Incomes'!KJ58/'C1-Incomes'!$W58*100</f>
        <v>4.7908299488501358</v>
      </c>
      <c r="AV56" s="456">
        <f>'C1-Incomes'!KK58/'C1-Incomes'!$X58*100</f>
        <v>5.1658350538414943</v>
      </c>
      <c r="AX56" s="456">
        <f>('C1-Incomes'!KM58-'C1-Incomes'!KN58)/('C1-Incomes'!$R58-'C1-Incomes'!$S58)*100</f>
        <v>6.9139748136841854</v>
      </c>
      <c r="AY56" s="456">
        <f>'C1-Incomes'!KN58/'C1-Incomes'!$S58*100</f>
        <v>4.7751879117071692</v>
      </c>
      <c r="AZ56" s="456">
        <f>'C1-Incomes'!KO58/'C1-Incomes'!$T58*100</f>
        <v>3.8189845622913179</v>
      </c>
      <c r="BA56" s="456">
        <f>'C1-Incomes'!KP58/'C1-Incomes'!$U58*100</f>
        <v>2.0452131082764033</v>
      </c>
      <c r="BB56" s="456">
        <f>'C1-Incomes'!KQ58/'C1-Incomes'!$V58*100</f>
        <v>1.6159973808699262</v>
      </c>
      <c r="BC56" s="456">
        <f>'C1-Incomes'!KR58/'C1-Incomes'!$W58*100</f>
        <v>1.0455394423113751</v>
      </c>
      <c r="BD56" s="456">
        <f>'C1-Incomes'!KS58/'C1-Incomes'!$X58*100</f>
        <v>0.62349947208359402</v>
      </c>
      <c r="BE56" s="456"/>
      <c r="BF56" s="456">
        <f>('C1-Incomes'!LK58-'C1-Incomes'!LL58)/('C1-Incomes'!$R58-'C1-Incomes'!$S58)*100</f>
        <v>4.1702224903110569E-2</v>
      </c>
      <c r="BG56" s="456">
        <f>'C1-Incomes'!LL58/'C1-Incomes'!$S58*100</f>
        <v>0.30253822436618938</v>
      </c>
      <c r="BH56" s="456">
        <f>'C1-Incomes'!LM58/'C1-Incomes'!$T58*100</f>
        <v>0.39510462875963182</v>
      </c>
      <c r="BI56" s="456">
        <f>'C1-Incomes'!LN58/'C1-Incomes'!$U58*100</f>
        <v>0.62641778173834706</v>
      </c>
      <c r="BJ56" s="456">
        <f>'C1-Incomes'!LO58/'C1-Incomes'!$V58*100</f>
        <v>0.68556622717137983</v>
      </c>
      <c r="BK56" s="456">
        <f>'C1-Incomes'!LP58/'C1-Incomes'!$W58*100</f>
        <v>0.73731376232368617</v>
      </c>
      <c r="BL56" s="456">
        <f>'C1-Incomes'!LQ58/'C1-Incomes'!$X58*100</f>
        <v>0.6398140239533987</v>
      </c>
      <c r="BN56" s="456">
        <f>('C1-Incomes'!KU58-'C1-Incomes'!KV58)/('C1-Incomes'!$R58-'C1-Incomes'!$S58)*100</f>
        <v>5.0130725306412156</v>
      </c>
      <c r="BO56" s="456">
        <f>'C1-Incomes'!KV58/'C1-Incomes'!$S58*100</f>
        <v>3.9249108074088745</v>
      </c>
      <c r="BP56" s="456">
        <f>'C1-Incomes'!KW58/'C1-Incomes'!$T58*100</f>
        <v>3.4814131545958844</v>
      </c>
      <c r="BQ56" s="456">
        <f>'C1-Incomes'!KX58/'C1-Incomes'!$U58*100</f>
        <v>2.7827672608664362</v>
      </c>
      <c r="BR56" s="456">
        <f>'C1-Incomes'!KY58/'C1-Incomes'!$V58*100</f>
        <v>2.6535714855532038</v>
      </c>
      <c r="BS56" s="456">
        <f>'C1-Incomes'!KZ58/'C1-Incomes'!$W58*100</f>
        <v>2.5588814572347309</v>
      </c>
      <c r="BT56" s="456">
        <f>'C1-Incomes'!LA58/'C1-Incomes'!$X58*100</f>
        <v>2.3665699653934333</v>
      </c>
      <c r="BV56" s="519"/>
      <c r="BW56" s="519"/>
    </row>
    <row r="57" spans="1:75" s="452" customFormat="1" ht="12" x14ac:dyDescent="0.25">
      <c r="A57" s="239">
        <v>2011</v>
      </c>
      <c r="B57" s="456">
        <f t="shared" si="17"/>
        <v>19.690225657015024</v>
      </c>
      <c r="C57" s="456">
        <f t="shared" si="18"/>
        <v>32.942444911255492</v>
      </c>
      <c r="D57" s="456">
        <f t="shared" si="19"/>
        <v>34.646095142763677</v>
      </c>
      <c r="E57" s="456">
        <f t="shared" si="20"/>
        <v>37.796787149554724</v>
      </c>
      <c r="F57" s="456">
        <f t="shared" si="21"/>
        <v>38.789131990915699</v>
      </c>
      <c r="G57" s="456">
        <f t="shared" si="22"/>
        <v>41.622522652582667</v>
      </c>
      <c r="H57" s="456">
        <f t="shared" si="23"/>
        <v>42.409783247983995</v>
      </c>
      <c r="I57" s="456"/>
      <c r="J57" s="456">
        <f t="shared" si="24"/>
        <v>13.580469148666877</v>
      </c>
      <c r="K57" s="456">
        <f t="shared" si="25"/>
        <v>28.721220502061097</v>
      </c>
      <c r="L57" s="456">
        <f t="shared" si="26"/>
        <v>31.223472904191976</v>
      </c>
      <c r="M57" s="456">
        <f t="shared" si="27"/>
        <v>35.843749181628148</v>
      </c>
      <c r="N57" s="456">
        <f t="shared" si="28"/>
        <v>37.225202570660166</v>
      </c>
      <c r="O57" s="456">
        <f t="shared" si="29"/>
        <v>40.540166513746172</v>
      </c>
      <c r="P57" s="456">
        <f t="shared" si="30"/>
        <v>41.719369448266903</v>
      </c>
      <c r="Q57" s="456"/>
      <c r="R57" s="456">
        <f>('C1-Incomes'!JG59-'C1-Incomes'!JH59)/('C1-Incomes'!$R59-'C1-Incomes'!$S59)*100</f>
        <v>3.6632904693323698</v>
      </c>
      <c r="S57" s="456">
        <f>'C1-Incomes'!JH59/'C1-Incomes'!$S59*100</f>
        <v>14.322624624924471</v>
      </c>
      <c r="T57" s="456">
        <f>'C1-Incomes'!JI59/'C1-Incomes'!$T59*100</f>
        <v>16.44622529790966</v>
      </c>
      <c r="U57" s="456">
        <f>'C1-Incomes'!JJ59/'C1-Incomes'!$U59*100</f>
        <v>20.199179717002252</v>
      </c>
      <c r="V57" s="456">
        <f>'C1-Incomes'!JK59/'C1-Incomes'!$V59*100</f>
        <v>21.105960141783271</v>
      </c>
      <c r="W57" s="456">
        <f>'C1-Incomes'!JL59/'C1-Incomes'!$W59*100</f>
        <v>23.015336526622985</v>
      </c>
      <c r="X57" s="456">
        <f>'C1-Incomes'!JM59/'C1-Incomes'!$X59*100</f>
        <v>22.964607774198349</v>
      </c>
      <c r="Y57" s="458"/>
      <c r="Z57" s="456">
        <f>('C1-Incomes'!JO59-'C1-Incomes'!JP59)/('C1-Incomes'!$R59-'C1-Incomes'!$S59)*100</f>
        <v>1.0611621877538819</v>
      </c>
      <c r="AA57" s="456">
        <f>'C1-Incomes'!JP59/'C1-Incomes'!$S59*100</f>
        <v>3.4572854567994056</v>
      </c>
      <c r="AB57" s="456">
        <f>'C1-Incomes'!JQ59/'C1-Incomes'!$T59*100</f>
        <v>3.8968001234049288</v>
      </c>
      <c r="AC57" s="456">
        <f>'C1-Incomes'!JR59/'C1-Incomes'!$U59*100</f>
        <v>4.7969508879265508</v>
      </c>
      <c r="AD57" s="456">
        <f>'C1-Incomes'!JS59/'C1-Incomes'!$V59*100</f>
        <v>5.1359920146939082</v>
      </c>
      <c r="AE57" s="456">
        <f>'C1-Incomes'!JT59/'C1-Incomes'!$W59*100</f>
        <v>5.8836879964066755</v>
      </c>
      <c r="AF57" s="456">
        <f>'C1-Incomes'!JU59/'C1-Incomes'!$X59*100</f>
        <v>6.2263295236547878</v>
      </c>
      <c r="AG57" s="458"/>
      <c r="AH57" s="456">
        <f>('C1-Incomes'!JW59-'C1-Incomes'!JX59)/('C1-Incomes'!$R59-'C1-Incomes'!$S59)*100</f>
        <v>1.514122993186259</v>
      </c>
      <c r="AI57" s="456">
        <f>'C1-Incomes'!JX59/'C1-Incomes'!$S59*100</f>
        <v>2.7842130230078985</v>
      </c>
      <c r="AJ57" s="456">
        <f>'C1-Incomes'!JY59/'C1-Incomes'!$T59*100</f>
        <v>2.9370336614277184</v>
      </c>
      <c r="AK57" s="456">
        <f>'C1-Incomes'!JZ59/'C1-Incomes'!$U59*100</f>
        <v>3.2253635055686312</v>
      </c>
      <c r="AL57" s="456">
        <f>'C1-Incomes'!KA59/'C1-Incomes'!$V59*100</f>
        <v>3.3786542294737694</v>
      </c>
      <c r="AM57" s="456">
        <f>'C1-Incomes'!KB59/'C1-Incomes'!$W59*100</f>
        <v>3.8386142203952778</v>
      </c>
      <c r="AN57" s="456">
        <f>'C1-Incomes'!KC59/'C1-Incomes'!$X59*100</f>
        <v>4.5905615314989436</v>
      </c>
      <c r="AO57" s="458"/>
      <c r="AP57" s="456">
        <f>('C1-Incomes'!KE59-'C1-Incomes'!KF59)/('C1-Incomes'!$R59-'C1-Incomes'!$S59)*100</f>
        <v>2.2239448341500867</v>
      </c>
      <c r="AQ57" s="456">
        <f>'C1-Incomes'!KF59/'C1-Incomes'!$S59*100</f>
        <v>3.960503142959773</v>
      </c>
      <c r="AR57" s="456">
        <f>'C1-Incomes'!KG59/'C1-Incomes'!$T59*100</f>
        <v>4.1206584283106569</v>
      </c>
      <c r="AS57" s="456">
        <f>'C1-Incomes'!KH59/'C1-Incomes'!$U59*100</f>
        <v>4.324251814819843</v>
      </c>
      <c r="AT57" s="456">
        <f>'C1-Incomes'!KI59/'C1-Incomes'!$V59*100</f>
        <v>4.4002603873395261</v>
      </c>
      <c r="AU57" s="456">
        <f>'C1-Incomes'!KJ59/'C1-Incomes'!$W59*100</f>
        <v>4.6142640923734701</v>
      </c>
      <c r="AV57" s="456">
        <f>'C1-Incomes'!KK59/'C1-Incomes'!$X59*100</f>
        <v>4.9548973912950993</v>
      </c>
      <c r="AX57" s="456">
        <f>('C1-Incomes'!KM59-'C1-Incomes'!KN59)/('C1-Incomes'!$R59-'C1-Incomes'!$S59)*100</f>
        <v>6.1097565083481475</v>
      </c>
      <c r="AY57" s="456">
        <f>'C1-Incomes'!KN59/'C1-Incomes'!$S59*100</f>
        <v>4.2212244091943907</v>
      </c>
      <c r="AZ57" s="456">
        <f>'C1-Incomes'!KO59/'C1-Incomes'!$T59*100</f>
        <v>3.422622238571702</v>
      </c>
      <c r="BA57" s="456">
        <f>'C1-Incomes'!KP59/'C1-Incomes'!$U59*100</f>
        <v>1.9530379679265792</v>
      </c>
      <c r="BB57" s="456">
        <f>'C1-Incomes'!KQ59/'C1-Incomes'!$V59*100</f>
        <v>1.5639294202555394</v>
      </c>
      <c r="BC57" s="456">
        <f>'C1-Incomes'!KR59/'C1-Incomes'!$W59*100</f>
        <v>1.0823561388364924</v>
      </c>
      <c r="BD57" s="456">
        <f>'C1-Incomes'!KS59/'C1-Incomes'!$X59*100</f>
        <v>0.69041379971709549</v>
      </c>
      <c r="BE57" s="456"/>
      <c r="BF57" s="456">
        <f>('C1-Incomes'!LK59-'C1-Incomes'!LL59)/('C1-Incomes'!$R59-'C1-Incomes'!$S59)*100</f>
        <v>3.0330565799056446E-2</v>
      </c>
      <c r="BG57" s="456">
        <f>'C1-Incomes'!LL59/'C1-Incomes'!$S59*100</f>
        <v>0.21184821838337062</v>
      </c>
      <c r="BH57" s="456">
        <f>'C1-Incomes'!LM59/'C1-Incomes'!$T59*100</f>
        <v>0.27727583128623373</v>
      </c>
      <c r="BI57" s="456">
        <f>'C1-Incomes'!LN59/'C1-Incomes'!$U59*100</f>
        <v>0.44648960429758427</v>
      </c>
      <c r="BJ57" s="456">
        <f>'C1-Incomes'!LO59/'C1-Incomes'!$V59*100</f>
        <v>0.49210253872123322</v>
      </c>
      <c r="BK57" s="456">
        <f>'C1-Incomes'!LP59/'C1-Incomes'!$W59*100</f>
        <v>0.54867913757776055</v>
      </c>
      <c r="BL57" s="456">
        <f>'C1-Incomes'!LQ59/'C1-Incomes'!$X59*100</f>
        <v>0.49960595362396454</v>
      </c>
      <c r="BN57" s="456">
        <f>('C1-Incomes'!KU59-'C1-Incomes'!KV59)/('C1-Incomes'!$R59-'C1-Incomes'!$S59)*100</f>
        <v>5.0876180984452217</v>
      </c>
      <c r="BO57" s="456">
        <f>'C1-Incomes'!KV59/'C1-Incomes'!$S59*100</f>
        <v>3.9847460359861793</v>
      </c>
      <c r="BP57" s="456">
        <f>'C1-Incomes'!KW59/'C1-Incomes'!$T59*100</f>
        <v>3.5454795618527752</v>
      </c>
      <c r="BQ57" s="456">
        <f>'C1-Incomes'!KX59/'C1-Incomes'!$U59*100</f>
        <v>2.8515136520132911</v>
      </c>
      <c r="BR57" s="456">
        <f>'C1-Incomes'!KY59/'C1-Incomes'!$V59*100</f>
        <v>2.7122332586484497</v>
      </c>
      <c r="BS57" s="456">
        <f>'C1-Incomes'!KZ59/'C1-Incomes'!$W59*100</f>
        <v>2.6395845403700062</v>
      </c>
      <c r="BT57" s="456">
        <f>'C1-Incomes'!LA59/'C1-Incomes'!$X59*100</f>
        <v>2.483367273995762</v>
      </c>
      <c r="BV57" s="519"/>
      <c r="BW57" s="519"/>
    </row>
    <row r="58" spans="1:75" s="452" customFormat="1" ht="12" x14ac:dyDescent="0.25">
      <c r="A58" s="239">
        <v>2012</v>
      </c>
      <c r="B58" s="456">
        <f t="shared" si="17"/>
        <v>19.428540871241257</v>
      </c>
      <c r="C58" s="456">
        <f t="shared" si="18"/>
        <v>32.59125879980094</v>
      </c>
      <c r="D58" s="456">
        <f t="shared" si="19"/>
        <v>34.257341373062673</v>
      </c>
      <c r="E58" s="456">
        <f t="shared" si="20"/>
        <v>37.285307523011184</v>
      </c>
      <c r="F58" s="456">
        <f t="shared" si="21"/>
        <v>38.204038897031097</v>
      </c>
      <c r="G58" s="456">
        <f t="shared" si="22"/>
        <v>40.282689370881329</v>
      </c>
      <c r="H58" s="456">
        <f t="shared" si="23"/>
        <v>40.504504945880015</v>
      </c>
      <c r="I58" s="456"/>
      <c r="J58" s="456">
        <f t="shared" si="24"/>
        <v>13.260944296225791</v>
      </c>
      <c r="K58" s="456">
        <f t="shared" si="25"/>
        <v>28.521013598912972</v>
      </c>
      <c r="L58" s="456">
        <f t="shared" si="26"/>
        <v>30.983456480376706</v>
      </c>
      <c r="M58" s="456">
        <f t="shared" si="27"/>
        <v>35.464664564709679</v>
      </c>
      <c r="N58" s="456">
        <f t="shared" si="28"/>
        <v>36.746954125478688</v>
      </c>
      <c r="O58" s="456">
        <f t="shared" si="29"/>
        <v>39.282669682293957</v>
      </c>
      <c r="P58" s="456">
        <f t="shared" si="30"/>
        <v>39.83593567130373</v>
      </c>
      <c r="Q58" s="456"/>
      <c r="R58" s="456">
        <f>('C1-Incomes'!JG60-'C1-Incomes'!JH60)/('C1-Incomes'!$R60-'C1-Incomes'!$S60)*100</f>
        <v>3.4292647595019821</v>
      </c>
      <c r="S58" s="456">
        <f>'C1-Incomes'!JH60/'C1-Incomes'!$S60*100</f>
        <v>14.075957567907341</v>
      </c>
      <c r="T58" s="456">
        <f>'C1-Incomes'!JI60/'C1-Incomes'!$T60*100</f>
        <v>16.201063454202593</v>
      </c>
      <c r="U58" s="456">
        <f>'C1-Incomes'!JJ60/'C1-Incomes'!$U60*100</f>
        <v>19.87892753517384</v>
      </c>
      <c r="V58" s="456">
        <f>'C1-Incomes'!JK60/'C1-Incomes'!$V60*100</f>
        <v>20.707722224683465</v>
      </c>
      <c r="W58" s="456">
        <f>'C1-Incomes'!JL60/'C1-Incomes'!$W60*100</f>
        <v>22.138617234516243</v>
      </c>
      <c r="X58" s="456">
        <f>'C1-Incomes'!JM60/'C1-Incomes'!$X60*100</f>
        <v>21.899349107200926</v>
      </c>
      <c r="Y58" s="458"/>
      <c r="Z58" s="456">
        <f>('C1-Incomes'!JO60-'C1-Incomes'!JP60)/('C1-Incomes'!$R60-'C1-Incomes'!$S60)*100</f>
        <v>1.0800978069918761</v>
      </c>
      <c r="AA58" s="456">
        <f>'C1-Incomes'!JP60/'C1-Incomes'!$S60*100</f>
        <v>3.4674027090849027</v>
      </c>
      <c r="AB58" s="456">
        <f>'C1-Incomes'!JQ60/'C1-Incomes'!$T60*100</f>
        <v>3.8724781576622078</v>
      </c>
      <c r="AC58" s="456">
        <f>'C1-Incomes'!JR60/'C1-Incomes'!$U60*100</f>
        <v>4.668261047630808</v>
      </c>
      <c r="AD58" s="456">
        <f>'C1-Incomes'!JS60/'C1-Incomes'!$V60*100</f>
        <v>4.909018379012946</v>
      </c>
      <c r="AE58" s="456">
        <f>'C1-Incomes'!JT60/'C1-Incomes'!$W60*100</f>
        <v>5.3442006965175901</v>
      </c>
      <c r="AF58" s="456">
        <f>'C1-Incomes'!JU60/'C1-Incomes'!$X60*100</f>
        <v>5.3489024330777992</v>
      </c>
      <c r="AG58" s="458"/>
      <c r="AH58" s="456">
        <f>('C1-Incomes'!JW60-'C1-Incomes'!JX60)/('C1-Incomes'!$R60-'C1-Incomes'!$S60)*100</f>
        <v>1.679777295394469</v>
      </c>
      <c r="AI58" s="456">
        <f>'C1-Incomes'!JX60/'C1-Incomes'!$S60*100</f>
        <v>3.1514075811807962</v>
      </c>
      <c r="AJ58" s="456">
        <f>'C1-Incomes'!JY60/'C1-Incomes'!$T60*100</f>
        <v>3.3001760147804218</v>
      </c>
      <c r="AK58" s="456">
        <f>'C1-Incomes'!JZ60/'C1-Incomes'!$U60*100</f>
        <v>3.612994029078104</v>
      </c>
      <c r="AL58" s="456">
        <f>'C1-Incomes'!KA60/'C1-Incomes'!$V60*100</f>
        <v>3.8247361914712812</v>
      </c>
      <c r="AM58" s="456">
        <f>'C1-Incomes'!KB60/'C1-Incomes'!$W60*100</f>
        <v>4.3676148712448732</v>
      </c>
      <c r="AN58" s="456">
        <f>'C1-Incomes'!KC60/'C1-Incomes'!$X60*100</f>
        <v>5.088582172080117</v>
      </c>
      <c r="AO58" s="458"/>
      <c r="AP58" s="456">
        <f>('C1-Incomes'!KE60-'C1-Incomes'!KF60)/('C1-Incomes'!$R60-'C1-Incomes'!$S60)*100</f>
        <v>2.1226746866585473</v>
      </c>
      <c r="AQ58" s="456">
        <f>'C1-Incomes'!KF60/'C1-Incomes'!$S60*100</f>
        <v>3.7796603947890359</v>
      </c>
      <c r="AR58" s="456">
        <f>'C1-Incomes'!KG60/'C1-Incomes'!$T60*100</f>
        <v>3.8968719674391665</v>
      </c>
      <c r="AS58" s="456">
        <f>'C1-Incomes'!KH60/'C1-Incomes'!$U60*100</f>
        <v>4.0356967260829375</v>
      </c>
      <c r="AT58" s="456">
        <f>'C1-Incomes'!KI60/'C1-Incomes'!$V60*100</f>
        <v>4.1143922658266385</v>
      </c>
      <c r="AU58" s="456">
        <f>'C1-Incomes'!KJ60/'C1-Incomes'!$W60*100</f>
        <v>4.2813579888542366</v>
      </c>
      <c r="AV58" s="456">
        <f>'C1-Incomes'!KK60/'C1-Incomes'!$X60*100</f>
        <v>4.5149224848315246</v>
      </c>
      <c r="AX58" s="456">
        <f>('C1-Incomes'!KM60-'C1-Incomes'!KN60)/('C1-Incomes'!$R60-'C1-Incomes'!$S60)*100</f>
        <v>6.1675965750154678</v>
      </c>
      <c r="AY58" s="456">
        <f>'C1-Incomes'!KN60/'C1-Incomes'!$S60*100</f>
        <v>4.0702452008879657</v>
      </c>
      <c r="AZ58" s="456">
        <f>'C1-Incomes'!KO60/'C1-Incomes'!$T60*100</f>
        <v>3.2738848926859654</v>
      </c>
      <c r="BA58" s="456">
        <f>'C1-Incomes'!KP60/'C1-Incomes'!$U60*100</f>
        <v>1.8206429583015085</v>
      </c>
      <c r="BB58" s="456">
        <f>'C1-Incomes'!KQ60/'C1-Incomes'!$V60*100</f>
        <v>1.457084771552408</v>
      </c>
      <c r="BC58" s="456">
        <f>'C1-Incomes'!KR60/'C1-Incomes'!$W60*100</f>
        <v>1.0000196885873733</v>
      </c>
      <c r="BD58" s="456">
        <f>'C1-Incomes'!KS60/'C1-Incomes'!$X60*100</f>
        <v>0.66856927457628734</v>
      </c>
      <c r="BE58" s="456"/>
      <c r="BF58" s="456">
        <f>('C1-Incomes'!LK60-'C1-Incomes'!LL60)/('C1-Incomes'!$R60-'C1-Incomes'!$S60)*100</f>
        <v>3.9016857768426561E-2</v>
      </c>
      <c r="BG58" s="456">
        <f>'C1-Incomes'!LL60/'C1-Incomes'!$S60*100</f>
        <v>0.25743958477616841</v>
      </c>
      <c r="BH58" s="456">
        <f>'C1-Incomes'!LM60/'C1-Incomes'!$T60*100</f>
        <v>0.33187101298117327</v>
      </c>
      <c r="BI58" s="456">
        <f>'C1-Incomes'!LN60/'C1-Incomes'!$U60*100</f>
        <v>0.51081219830550495</v>
      </c>
      <c r="BJ58" s="456">
        <f>'C1-Incomes'!LO60/'C1-Incomes'!$V60*100</f>
        <v>0.55320104553334637</v>
      </c>
      <c r="BK58" s="456">
        <f>'C1-Incomes'!LP60/'C1-Incomes'!$W60*100</f>
        <v>0.58049932475603627</v>
      </c>
      <c r="BL58" s="456">
        <f>'C1-Incomes'!LQ60/'C1-Incomes'!$X60*100</f>
        <v>0.50232915631410113</v>
      </c>
      <c r="BN58" s="456">
        <f>('C1-Incomes'!KU60-'C1-Incomes'!KV60)/('C1-Incomes'!$R60-'C1-Incomes'!$S60)*100</f>
        <v>4.91011288991049</v>
      </c>
      <c r="BO58" s="456">
        <f>'C1-Incomes'!KV60/'C1-Incomes'!$S60*100</f>
        <v>3.7891457611747268</v>
      </c>
      <c r="BP58" s="456">
        <f>'C1-Incomes'!KW60/'C1-Incomes'!$T60*100</f>
        <v>3.3809958733111394</v>
      </c>
      <c r="BQ58" s="456">
        <f>'C1-Incomes'!KX60/'C1-Incomes'!$U60*100</f>
        <v>2.7579730284384847</v>
      </c>
      <c r="BR58" s="456">
        <f>'C1-Incomes'!KY60/'C1-Incomes'!$V60*100</f>
        <v>2.6378840189510058</v>
      </c>
      <c r="BS58" s="456">
        <f>'C1-Incomes'!KZ60/'C1-Incomes'!$W60*100</f>
        <v>2.5703795664049784</v>
      </c>
      <c r="BT58" s="456">
        <f>'C1-Incomes'!LA60/'C1-Incomes'!$X60*100</f>
        <v>2.481850317799259</v>
      </c>
      <c r="BV58" s="519"/>
      <c r="BW58" s="519"/>
    </row>
    <row r="59" spans="1:75" s="452" customFormat="1" ht="12" x14ac:dyDescent="0.25">
      <c r="A59" s="239">
        <v>2013</v>
      </c>
      <c r="B59" s="456">
        <f t="shared" si="17"/>
        <v>20.736031346848783</v>
      </c>
      <c r="C59" s="456">
        <f t="shared" si="18"/>
        <v>35.6161114224968</v>
      </c>
      <c r="D59" s="456">
        <f t="shared" si="19"/>
        <v>37.948381225900022</v>
      </c>
      <c r="E59" s="456">
        <f t="shared" si="20"/>
        <v>43.107131422703404</v>
      </c>
      <c r="F59" s="456">
        <f t="shared" si="21"/>
        <v>44.975278179262503</v>
      </c>
      <c r="G59" s="456">
        <f t="shared" si="22"/>
        <v>49.206239613027925</v>
      </c>
      <c r="H59" s="456">
        <f t="shared" si="23"/>
        <v>51.41656041494322</v>
      </c>
      <c r="I59" s="456"/>
      <c r="J59" s="456">
        <f t="shared" si="24"/>
        <v>13.80675125032001</v>
      </c>
      <c r="K59" s="456">
        <f t="shared" si="25"/>
        <v>30.92825117472341</v>
      </c>
      <c r="L59" s="456">
        <f t="shared" si="26"/>
        <v>34.162971314927169</v>
      </c>
      <c r="M59" s="456">
        <f t="shared" si="27"/>
        <v>41.003273371520635</v>
      </c>
      <c r="N59" s="456">
        <f t="shared" si="28"/>
        <v>43.319827766446231</v>
      </c>
      <c r="O59" s="456">
        <f t="shared" si="29"/>
        <v>48.098567337565392</v>
      </c>
      <c r="P59" s="456">
        <f t="shared" si="30"/>
        <v>50.702797852104865</v>
      </c>
      <c r="Q59" s="456"/>
      <c r="R59" s="456">
        <f>('C1-Incomes'!JG61-'C1-Incomes'!JH61)/('C1-Incomes'!$R61-'C1-Incomes'!$S61)*100</f>
        <v>3.7260552464639405</v>
      </c>
      <c r="S59" s="456">
        <f>'C1-Incomes'!JH61/'C1-Incomes'!$S61*100</f>
        <v>15.633113827244566</v>
      </c>
      <c r="T59" s="456">
        <f>'C1-Incomes'!JI61/'C1-Incomes'!$T61*100</f>
        <v>18.292953664959843</v>
      </c>
      <c r="U59" s="456">
        <f>'C1-Incomes'!JJ61/'C1-Incomes'!$U61*100</f>
        <v>23.629619505734908</v>
      </c>
      <c r="V59" s="456">
        <f>'C1-Incomes'!JK61/'C1-Incomes'!$V61*100</f>
        <v>25.133155238313282</v>
      </c>
      <c r="W59" s="456">
        <f>'C1-Incomes'!JL61/'C1-Incomes'!$W61*100</f>
        <v>27.870293880473952</v>
      </c>
      <c r="X59" s="456">
        <f>'C1-Incomes'!JM61/'C1-Incomes'!$X61*100</f>
        <v>28.711103878659561</v>
      </c>
      <c r="Y59" s="458"/>
      <c r="Z59" s="456">
        <f>('C1-Incomes'!JO61-'C1-Incomes'!JP61)/('C1-Incomes'!$R61-'C1-Incomes'!$S61)*100</f>
        <v>1.0928270760761707</v>
      </c>
      <c r="AA59" s="456">
        <f>'C1-Incomes'!JP61/'C1-Incomes'!$S61*100</f>
        <v>3.853194273973287</v>
      </c>
      <c r="AB59" s="456">
        <f>'C1-Incomes'!JQ61/'C1-Incomes'!$T61*100</f>
        <v>4.4495666702970684</v>
      </c>
      <c r="AC59" s="456">
        <f>'C1-Incomes'!JR61/'C1-Incomes'!$U61*100</f>
        <v>5.7759825052009131</v>
      </c>
      <c r="AD59" s="456">
        <f>'C1-Incomes'!JS61/'C1-Incomes'!$V61*100</f>
        <v>6.2956583318144146</v>
      </c>
      <c r="AE59" s="456">
        <f>'C1-Incomes'!JT61/'C1-Incomes'!$W61*100</f>
        <v>7.3437819731738321</v>
      </c>
      <c r="AF59" s="456">
        <f>'C1-Incomes'!JU61/'C1-Incomes'!$X61*100</f>
        <v>8.1047145281044752</v>
      </c>
      <c r="AG59" s="458"/>
      <c r="AH59" s="456">
        <f>('C1-Incomes'!JW61-'C1-Incomes'!JX61)/('C1-Incomes'!$R61-'C1-Incomes'!$S61)*100</f>
        <v>1.7753072045926461</v>
      </c>
      <c r="AI59" s="456">
        <f>'C1-Incomes'!JX61/'C1-Incomes'!$S61*100</f>
        <v>3.3403715109980041</v>
      </c>
      <c r="AJ59" s="456">
        <f>'C1-Incomes'!JY61/'C1-Incomes'!$T61*100</f>
        <v>3.5005180024438851</v>
      </c>
      <c r="AK59" s="456">
        <f>'C1-Incomes'!JZ61/'C1-Incomes'!$U61*100</f>
        <v>3.891186120150516</v>
      </c>
      <c r="AL59" s="456">
        <f>'C1-Incomes'!KA61/'C1-Incomes'!$V61*100</f>
        <v>4.1674338186642741</v>
      </c>
      <c r="AM59" s="456">
        <f>'C1-Incomes'!KB61/'C1-Incomes'!$W61*100</f>
        <v>4.9229430364665996</v>
      </c>
      <c r="AN59" s="456">
        <f>'C1-Incomes'!KC61/'C1-Incomes'!$X61*100</f>
        <v>5.8293079177405769</v>
      </c>
      <c r="AO59" s="458"/>
      <c r="AP59" s="456">
        <f>('C1-Incomes'!KE61-'C1-Incomes'!KF61)/('C1-Incomes'!$R61-'C1-Incomes'!$S61)*100</f>
        <v>2.0679839665296318</v>
      </c>
      <c r="AQ59" s="456">
        <f>'C1-Incomes'!KF61/'C1-Incomes'!$S61*100</f>
        <v>3.8345884729626798</v>
      </c>
      <c r="AR59" s="456">
        <f>'C1-Incomes'!KG61/'C1-Incomes'!$T61*100</f>
        <v>3.9863587988339502</v>
      </c>
      <c r="AS59" s="456">
        <f>'C1-Incomes'!KH61/'C1-Incomes'!$U61*100</f>
        <v>4.2464647734538801</v>
      </c>
      <c r="AT59" s="456">
        <f>'C1-Incomes'!KI61/'C1-Incomes'!$V61*100</f>
        <v>4.3712115929292938</v>
      </c>
      <c r="AU59" s="456">
        <f>'C1-Incomes'!KJ61/'C1-Incomes'!$W61*100</f>
        <v>4.6626858860776981</v>
      </c>
      <c r="AV59" s="456">
        <f>'C1-Incomes'!KK61/'C1-Incomes'!$X61*100</f>
        <v>4.9678184972663884</v>
      </c>
      <c r="AX59" s="456">
        <f>('C1-Incomes'!KM61-'C1-Incomes'!KN61)/('C1-Incomes'!$R61-'C1-Incomes'!$S61)*100</f>
        <v>6.9292800965287729</v>
      </c>
      <c r="AY59" s="456">
        <f>'C1-Incomes'!KN61/'C1-Incomes'!$S61*100</f>
        <v>4.6878602477733944</v>
      </c>
      <c r="AZ59" s="456">
        <f>'C1-Incomes'!KO61/'C1-Incomes'!$T61*100</f>
        <v>3.7854099109728492</v>
      </c>
      <c r="BA59" s="456">
        <f>'C1-Incomes'!KP61/'C1-Incomes'!$U61*100</f>
        <v>2.1038580511827698</v>
      </c>
      <c r="BB59" s="456">
        <f>'C1-Incomes'!KQ61/'C1-Incomes'!$V61*100</f>
        <v>1.6554504128162748</v>
      </c>
      <c r="BC59" s="456">
        <f>'C1-Incomes'!KR61/'C1-Incomes'!$W61*100</f>
        <v>1.1076722754625334</v>
      </c>
      <c r="BD59" s="456">
        <f>'C1-Incomes'!KS61/'C1-Incomes'!$X61*100</f>
        <v>0.7137625628383526</v>
      </c>
      <c r="BE59" s="456"/>
      <c r="BF59" s="456">
        <f>('C1-Incomes'!LK61-'C1-Incomes'!LL61)/('C1-Incomes'!$R61-'C1-Incomes'!$S61)*100</f>
        <v>5.1236460157760268E-2</v>
      </c>
      <c r="BG59" s="456">
        <f>'C1-Incomes'!LL61/'C1-Incomes'!$S61*100</f>
        <v>0.35447427662011177</v>
      </c>
      <c r="BH59" s="456">
        <f>'C1-Incomes'!LM61/'C1-Incomes'!$T61*100</f>
        <v>0.46546529728177444</v>
      </c>
      <c r="BI59" s="456">
        <f>'C1-Incomes'!LN61/'C1-Incomes'!$U61*100</f>
        <v>0.75292998864566307</v>
      </c>
      <c r="BJ59" s="456">
        <f>'C1-Incomes'!LO61/'C1-Incomes'!$V61*100</f>
        <v>0.83397904142503299</v>
      </c>
      <c r="BK59" s="456">
        <f>'C1-Incomes'!LP61/'C1-Incomes'!$W61*100</f>
        <v>0.91869682027000221</v>
      </c>
      <c r="BL59" s="456">
        <f>'C1-Incomes'!LQ61/'C1-Incomes'!$X61*100</f>
        <v>0.83059300211363218</v>
      </c>
      <c r="BN59" s="456">
        <f>('C1-Incomes'!KU61-'C1-Incomes'!KV61)/('C1-Incomes'!$R61-'C1-Incomes'!$S61)*100</f>
        <v>5.0933412964998617</v>
      </c>
      <c r="BO59" s="456">
        <f>'C1-Incomes'!KV61/'C1-Incomes'!$S61*100</f>
        <v>3.9125088129247634</v>
      </c>
      <c r="BP59" s="456">
        <f>'C1-Incomes'!KW61/'C1-Incomes'!$T61*100</f>
        <v>3.468108881110648</v>
      </c>
      <c r="BQ59" s="456">
        <f>'C1-Incomes'!KX61/'C1-Incomes'!$U61*100</f>
        <v>2.7070904783347527</v>
      </c>
      <c r="BR59" s="456">
        <f>'C1-Incomes'!KY61/'C1-Incomes'!$V61*100</f>
        <v>2.518389743299934</v>
      </c>
      <c r="BS59" s="456">
        <f>'C1-Incomes'!KZ61/'C1-Incomes'!$W61*100</f>
        <v>2.3801657411033088</v>
      </c>
      <c r="BT59" s="456">
        <f>'C1-Incomes'!LA61/'C1-Incomes'!$X61*100</f>
        <v>2.2592600282202357</v>
      </c>
      <c r="BV59" s="519"/>
      <c r="BW59" s="519"/>
    </row>
    <row r="60" spans="1:75" s="452" customFormat="1" ht="12" x14ac:dyDescent="0.25">
      <c r="A60" s="239">
        <v>2014</v>
      </c>
      <c r="B60" s="456">
        <f t="shared" si="17"/>
        <v>20.84132513826847</v>
      </c>
      <c r="C60" s="456">
        <f t="shared" si="18"/>
        <v>35.81397390690686</v>
      </c>
      <c r="D60" s="456">
        <f t="shared" si="19"/>
        <v>38.122449822816471</v>
      </c>
      <c r="E60" s="456">
        <f t="shared" si="20"/>
        <v>43.27036680089671</v>
      </c>
      <c r="F60" s="456">
        <f t="shared" si="21"/>
        <v>45.204195303533908</v>
      </c>
      <c r="G60" s="456">
        <f t="shared" si="22"/>
        <v>49.385414190099695</v>
      </c>
      <c r="H60" s="456">
        <f t="shared" si="23"/>
        <v>51.748679219998927</v>
      </c>
      <c r="I60" s="456"/>
      <c r="J60" s="456">
        <f t="shared" si="24"/>
        <v>13.893428550568764</v>
      </c>
      <c r="K60" s="456">
        <f t="shared" si="25"/>
        <v>31.197136603614346</v>
      </c>
      <c r="L60" s="456">
        <f t="shared" si="26"/>
        <v>34.408196230952434</v>
      </c>
      <c r="M60" s="456">
        <f t="shared" si="27"/>
        <v>41.187489262437069</v>
      </c>
      <c r="N60" s="456">
        <f t="shared" si="28"/>
        <v>43.539828336642131</v>
      </c>
      <c r="O60" s="456">
        <f t="shared" si="29"/>
        <v>48.262088858496313</v>
      </c>
      <c r="P60" s="456">
        <f t="shared" si="30"/>
        <v>51.006895601932371</v>
      </c>
      <c r="Q60" s="456"/>
      <c r="R60" s="456">
        <f>('C1-Incomes'!JG62-'C1-Incomes'!JH62)/('C1-Incomes'!$R62-'C1-Incomes'!$S62)*100</f>
        <v>3.7604710573494038</v>
      </c>
      <c r="S60" s="456">
        <f>'C1-Incomes'!JH62/'C1-Incomes'!$S62*100</f>
        <v>16.102351749626688</v>
      </c>
      <c r="T60" s="456">
        <f>'C1-Incomes'!JI62/'C1-Incomes'!$T62*100</f>
        <v>18.873647262084468</v>
      </c>
      <c r="U60" s="456">
        <f>'C1-Incomes'!JJ62/'C1-Incomes'!$U62*100</f>
        <v>24.505667675764325</v>
      </c>
      <c r="V60" s="456">
        <f>'C1-Incomes'!JK62/'C1-Incomes'!$V62*100</f>
        <v>26.171057301057431</v>
      </c>
      <c r="W60" s="456">
        <f>'C1-Incomes'!JL62/'C1-Incomes'!$W62*100</f>
        <v>29.075542605420807</v>
      </c>
      <c r="X60" s="456">
        <f>'C1-Incomes'!JM62/'C1-Incomes'!$X62*100</f>
        <v>30.126789516545326</v>
      </c>
      <c r="Y60" s="458"/>
      <c r="Z60" s="456">
        <f>('C1-Incomes'!JO62-'C1-Incomes'!JP62)/('C1-Incomes'!$R62-'C1-Incomes'!$S62)*100</f>
        <v>1.0666950192132727</v>
      </c>
      <c r="AA60" s="456">
        <f>'C1-Incomes'!JP62/'C1-Incomes'!$S62*100</f>
        <v>3.7009665839470727</v>
      </c>
      <c r="AB60" s="456">
        <f>'C1-Incomes'!JQ62/'C1-Incomes'!$T62*100</f>
        <v>4.2085340319630085</v>
      </c>
      <c r="AC60" s="456">
        <f>'C1-Incomes'!JR62/'C1-Incomes'!$U62*100</f>
        <v>5.3023474210859298</v>
      </c>
      <c r="AD60" s="456">
        <f>'C1-Incomes'!JS62/'C1-Incomes'!$V62*100</f>
        <v>5.7522357393617902</v>
      </c>
      <c r="AE60" s="456">
        <f>'C1-Incomes'!JT62/'C1-Incomes'!$W62*100</f>
        <v>6.7067140334346549</v>
      </c>
      <c r="AF60" s="456">
        <f>'C1-Incomes'!JU62/'C1-Incomes'!$X62*100</f>
        <v>7.3854674165197727</v>
      </c>
      <c r="AG60" s="458"/>
      <c r="AH60" s="456">
        <f>('C1-Incomes'!JW62-'C1-Incomes'!JX62)/('C1-Incomes'!$R62-'C1-Incomes'!$S62)*100</f>
        <v>1.7792552055424158</v>
      </c>
      <c r="AI60" s="456">
        <f>'C1-Incomes'!JX62/'C1-Incomes'!$S62*100</f>
        <v>3.3468029879326595</v>
      </c>
      <c r="AJ60" s="456">
        <f>'C1-Incomes'!JY62/'C1-Incomes'!$T62*100</f>
        <v>3.50664954242828</v>
      </c>
      <c r="AK60" s="456">
        <f>'C1-Incomes'!JZ62/'C1-Incomes'!$U62*100</f>
        <v>3.876567741756809</v>
      </c>
      <c r="AL60" s="456">
        <f>'C1-Incomes'!KA62/'C1-Incomes'!$V62*100</f>
        <v>4.1328156409405468</v>
      </c>
      <c r="AM60" s="456">
        <f>'C1-Incomes'!KB62/'C1-Incomes'!$W62*100</f>
        <v>4.8536304330022517</v>
      </c>
      <c r="AN60" s="456">
        <f>'C1-Incomes'!KC62/'C1-Incomes'!$X62*100</f>
        <v>5.7851433474419576</v>
      </c>
      <c r="AO60" s="458"/>
      <c r="AP60" s="456">
        <f>('C1-Incomes'!KE62-'C1-Incomes'!KF62)/('C1-Incomes'!$R62-'C1-Incomes'!$S62)*100</f>
        <v>1.981109414941826</v>
      </c>
      <c r="AQ60" s="456">
        <f>'C1-Incomes'!KF62/'C1-Incomes'!$S62*100</f>
        <v>3.7069183689810519</v>
      </c>
      <c r="AR60" s="456">
        <f>'C1-Incomes'!KG62/'C1-Incomes'!$T62*100</f>
        <v>3.8438678820292145</v>
      </c>
      <c r="AS60" s="456">
        <f>'C1-Incomes'!KH62/'C1-Incomes'!$U62*100</f>
        <v>4.0542803241419865</v>
      </c>
      <c r="AT60" s="456">
        <f>'C1-Incomes'!KI62/'C1-Incomes'!$V62*100</f>
        <v>4.1474674383957897</v>
      </c>
      <c r="AU60" s="456">
        <f>'C1-Incomes'!KJ62/'C1-Incomes'!$W62*100</f>
        <v>4.3754205368514745</v>
      </c>
      <c r="AV60" s="456">
        <f>'C1-Incomes'!KK62/'C1-Incomes'!$X62*100</f>
        <v>4.652741494418815</v>
      </c>
      <c r="AX60" s="456">
        <f>('C1-Incomes'!KM62-'C1-Incomes'!KN62)/('C1-Incomes'!$R62-'C1-Incomes'!$S62)*100</f>
        <v>6.947896587699705</v>
      </c>
      <c r="AY60" s="456">
        <f>'C1-Incomes'!KN62/'C1-Incomes'!$S62*100</f>
        <v>4.6168373032925123</v>
      </c>
      <c r="AZ60" s="456">
        <f>'C1-Incomes'!KO62/'C1-Incomes'!$T62*100</f>
        <v>3.7142535918640385</v>
      </c>
      <c r="BA60" s="456">
        <f>'C1-Incomes'!KP62/'C1-Incomes'!$U62*100</f>
        <v>2.0828775384596399</v>
      </c>
      <c r="BB60" s="456">
        <f>'C1-Incomes'!KQ62/'C1-Incomes'!$V62*100</f>
        <v>1.6643669668917782</v>
      </c>
      <c r="BC60" s="456">
        <f>'C1-Incomes'!KR62/'C1-Incomes'!$W62*100</f>
        <v>1.1233253316033796</v>
      </c>
      <c r="BD60" s="456">
        <f>'C1-Incomes'!KS62/'C1-Incomes'!$X62*100</f>
        <v>0.74178361806655502</v>
      </c>
      <c r="BE60" s="456"/>
      <c r="BF60" s="456">
        <f>('C1-Incomes'!LK62-'C1-Incomes'!LL62)/('C1-Incomes'!$R62-'C1-Incomes'!$S62)*100</f>
        <v>4.5361007838235767E-2</v>
      </c>
      <c r="BG60" s="456">
        <f>'C1-Incomes'!LL62/'C1-Incomes'!$S62*100</f>
        <v>0.30849426563657878</v>
      </c>
      <c r="BH60" s="456">
        <f>'C1-Incomes'!LM62/'C1-Incomes'!$T62*100</f>
        <v>0.40190786801776585</v>
      </c>
      <c r="BI60" s="456">
        <f>'C1-Incomes'!LN62/'C1-Incomes'!$U62*100</f>
        <v>0.64366014474776123</v>
      </c>
      <c r="BJ60" s="456">
        <f>'C1-Incomes'!LO62/'C1-Incomes'!$V62*100</f>
        <v>0.71098728766032215</v>
      </c>
      <c r="BK60" s="456">
        <f>'C1-Incomes'!LP62/'C1-Incomes'!$W62*100</f>
        <v>0.77286418282742786</v>
      </c>
      <c r="BL60" s="456">
        <f>'C1-Incomes'!LQ62/'C1-Incomes'!$X62*100</f>
        <v>0.69647804710153727</v>
      </c>
      <c r="BN60" s="456">
        <f>('C1-Incomes'!KU62-'C1-Incomes'!KV62)/('C1-Incomes'!$R62-'C1-Incomes'!$S62)*100</f>
        <v>5.2605368456836086</v>
      </c>
      <c r="BO60" s="456">
        <f>'C1-Incomes'!KV62/'C1-Incomes'!$S62*100</f>
        <v>4.0316026474902991</v>
      </c>
      <c r="BP60" s="456">
        <f>'C1-Incomes'!KW62/'C1-Incomes'!$T62*100</f>
        <v>3.5735896444296986</v>
      </c>
      <c r="BQ60" s="456">
        <f>'C1-Incomes'!KX62/'C1-Incomes'!$U62*100</f>
        <v>2.8049659549402577</v>
      </c>
      <c r="BR60" s="456">
        <f>'C1-Incomes'!KY62/'C1-Incomes'!$V62*100</f>
        <v>2.6252649292262569</v>
      </c>
      <c r="BS60" s="456">
        <f>'C1-Incomes'!KZ62/'C1-Incomes'!$W62*100</f>
        <v>2.4779170669596948</v>
      </c>
      <c r="BT60" s="456">
        <f>'C1-Incomes'!LA62/'C1-Incomes'!$X62*100</f>
        <v>2.3602757799049647</v>
      </c>
      <c r="BV60" s="519"/>
      <c r="BW60" s="519"/>
    </row>
    <row r="61" spans="1:75" s="452" customFormat="1" ht="12" x14ac:dyDescent="0.25">
      <c r="A61" s="239">
        <v>2015</v>
      </c>
      <c r="B61" s="456">
        <f t="shared" si="17"/>
        <v>20.972042822063472</v>
      </c>
      <c r="C61" s="456">
        <f t="shared" si="18"/>
        <v>36.583843364777877</v>
      </c>
      <c r="D61" s="456">
        <f t="shared" si="19"/>
        <v>39.036001257100303</v>
      </c>
      <c r="E61" s="456">
        <f>U61+AC61+AK61+AS61+BA61+BQ61+BI61</f>
        <v>44.456368855472498</v>
      </c>
      <c r="F61" s="456">
        <f t="shared" si="21"/>
        <v>46.46503488631302</v>
      </c>
      <c r="G61" s="456">
        <f t="shared" si="22"/>
        <v>50.525644854961286</v>
      </c>
      <c r="H61" s="456">
        <f t="shared" si="23"/>
        <v>52.422222326393445</v>
      </c>
      <c r="I61" s="456"/>
      <c r="J61" s="456">
        <f t="shared" si="24"/>
        <v>14.058764939648185</v>
      </c>
      <c r="K61" s="456">
        <f t="shared" si="25"/>
        <v>31.932361808661017</v>
      </c>
      <c r="L61" s="456">
        <f t="shared" si="26"/>
        <v>35.29779637401316</v>
      </c>
      <c r="M61" s="456">
        <f t="shared" si="27"/>
        <v>42.346769977416095</v>
      </c>
      <c r="N61" s="456">
        <f t="shared" si="28"/>
        <v>44.765574684940461</v>
      </c>
      <c r="O61" s="456">
        <f t="shared" si="29"/>
        <v>49.366770174790588</v>
      </c>
      <c r="P61" s="456">
        <f t="shared" si="30"/>
        <v>51.62778009713611</v>
      </c>
      <c r="Q61" s="456"/>
      <c r="R61" s="456">
        <f>('C1-Incomes'!JG63-'C1-Incomes'!JH63)/('C1-Incomes'!$R63-'C1-Incomes'!$S63)*100</f>
        <v>3.9819935190245364</v>
      </c>
      <c r="S61" s="456">
        <f>'C1-Incomes'!JH63/'C1-Incomes'!$S63*100</f>
        <v>16.839467125243758</v>
      </c>
      <c r="T61" s="456">
        <f>'C1-Incomes'!JI63/'C1-Incomes'!$T63*100</f>
        <v>19.684814258560344</v>
      </c>
      <c r="U61" s="456">
        <f>'C1-Incomes'!JJ63/'C1-Incomes'!$U63*100</f>
        <v>25.407027296271849</v>
      </c>
      <c r="V61" s="456">
        <f>'C1-Incomes'!JK63/'C1-Incomes'!$V63*100</f>
        <v>27.091693918290723</v>
      </c>
      <c r="W61" s="456">
        <f>'C1-Incomes'!JL63/'C1-Incomes'!$W63*100</f>
        <v>29.839069870904378</v>
      </c>
      <c r="X61" s="456">
        <f>'C1-Incomes'!JM63/'C1-Incomes'!$X63*100</f>
        <v>30.458950511348664</v>
      </c>
      <c r="Y61" s="458"/>
      <c r="Z61" s="456">
        <f>('C1-Incomes'!JO63-'C1-Incomes'!JP63)/('C1-Incomes'!$R63-'C1-Incomes'!$S63)*100</f>
        <v>1.076866517985859</v>
      </c>
      <c r="AA61" s="456">
        <f>'C1-Incomes'!JP63/'C1-Incomes'!$S63*100</f>
        <v>3.8773758484822403</v>
      </c>
      <c r="AB61" s="456">
        <f>'C1-Incomes'!JQ63/'C1-Incomes'!$T63*100</f>
        <v>4.4536939878851101</v>
      </c>
      <c r="AC61" s="456">
        <f>'C1-Incomes'!JR63/'C1-Incomes'!$U63*100</f>
        <v>5.6991641075469701</v>
      </c>
      <c r="AD61" s="456">
        <f>'C1-Incomes'!JS63/'C1-Incomes'!$V63*100</f>
        <v>6.1867586867819195</v>
      </c>
      <c r="AE61" s="456">
        <f>'C1-Incomes'!JT63/'C1-Incomes'!$W63*100</f>
        <v>7.1687756437762822</v>
      </c>
      <c r="AF61" s="456">
        <f>'C1-Incomes'!JU63/'C1-Incomes'!$X63*100</f>
        <v>7.7831495928161756</v>
      </c>
      <c r="AG61" s="458"/>
      <c r="AH61" s="456">
        <f>('C1-Incomes'!JW63-'C1-Incomes'!JX63)/('C1-Incomes'!$R63-'C1-Incomes'!$S63)*100</f>
        <v>1.6772015609028654</v>
      </c>
      <c r="AI61" s="456">
        <f>'C1-Incomes'!JX63/'C1-Incomes'!$S63*100</f>
        <v>3.103936443862378</v>
      </c>
      <c r="AJ61" s="456">
        <f>'C1-Incomes'!JY63/'C1-Incomes'!$T63*100</f>
        <v>3.2774953446078245</v>
      </c>
      <c r="AK61" s="456">
        <f>'C1-Incomes'!JZ63/'C1-Incomes'!$U63*100</f>
        <v>3.6754163949209815</v>
      </c>
      <c r="AL61" s="456">
        <f>'C1-Incomes'!KA63/'C1-Incomes'!$V63*100</f>
        <v>3.920811030869789</v>
      </c>
      <c r="AM61" s="456">
        <f>'C1-Incomes'!KB63/'C1-Incomes'!$W63*100</f>
        <v>4.6371061053722604</v>
      </c>
      <c r="AN61" s="456">
        <f>'C1-Incomes'!KC63/'C1-Incomes'!$X63*100</f>
        <v>5.5760799315327967</v>
      </c>
      <c r="AO61" s="458"/>
      <c r="AP61" s="456">
        <f>('C1-Incomes'!KE63-'C1-Incomes'!KF63)/('C1-Incomes'!$R63-'C1-Incomes'!$S63)*100</f>
        <v>1.915953381540541</v>
      </c>
      <c r="AQ61" s="456">
        <f>'C1-Incomes'!KF63/'C1-Incomes'!$S63*100</f>
        <v>3.5943666364566846</v>
      </c>
      <c r="AR61" s="456">
        <f>'C1-Incomes'!KG63/'C1-Incomes'!$T63*100</f>
        <v>3.7376513408431031</v>
      </c>
      <c r="AS61" s="456">
        <f>'C1-Incomes'!KH63/'C1-Incomes'!$U63*100</f>
        <v>3.9503894541313187</v>
      </c>
      <c r="AT61" s="456">
        <f>'C1-Incomes'!KI63/'C1-Incomes'!$V63*100</f>
        <v>4.0454069678859232</v>
      </c>
      <c r="AU61" s="456">
        <f>'C1-Incomes'!KJ63/'C1-Incomes'!$W63*100</f>
        <v>4.2590343206612014</v>
      </c>
      <c r="AV61" s="456">
        <f>'C1-Incomes'!KK63/'C1-Incomes'!$X63*100</f>
        <v>4.5142942097629009</v>
      </c>
      <c r="AX61" s="456">
        <f>('C1-Incomes'!KM63-'C1-Incomes'!KN63)/('C1-Incomes'!$R63-'C1-Incomes'!$S63)*100</f>
        <v>6.9132778824152821</v>
      </c>
      <c r="AY61" s="456">
        <f>'C1-Incomes'!KN63/'C1-Incomes'!$S63*100</f>
        <v>4.6514815561168561</v>
      </c>
      <c r="AZ61" s="456">
        <f>'C1-Incomes'!KO63/'C1-Incomes'!$T63*100</f>
        <v>3.7382048830871408</v>
      </c>
      <c r="BA61" s="456">
        <f>'C1-Incomes'!KP63/'C1-Incomes'!$U63*100</f>
        <v>2.1095988780563997</v>
      </c>
      <c r="BB61" s="456">
        <f>'C1-Incomes'!KQ63/'C1-Incomes'!$V63*100</f>
        <v>1.6994602013725606</v>
      </c>
      <c r="BC61" s="456">
        <f>'C1-Incomes'!KR63/'C1-Incomes'!$W63*100</f>
        <v>1.1588746801706984</v>
      </c>
      <c r="BD61" s="456">
        <f>'C1-Incomes'!KS63/'C1-Incomes'!$X63*100</f>
        <v>0.79444222925733454</v>
      </c>
      <c r="BE61" s="456"/>
      <c r="BF61" s="456">
        <f>('C1-Incomes'!LK63-'C1-Incomes'!LL63)/('C1-Incomes'!$R63-'C1-Incomes'!$S63)*100</f>
        <v>4.6348865949957858E-2</v>
      </c>
      <c r="BG61" s="456">
        <f>'C1-Incomes'!LL63/'C1-Incomes'!$S63*100</f>
        <v>0.31744181477158184</v>
      </c>
      <c r="BH61" s="456">
        <f>'C1-Incomes'!LM63/'C1-Incomes'!$T63*100</f>
        <v>0.41450120189183765</v>
      </c>
      <c r="BI61" s="456">
        <f>'C1-Incomes'!LN63/'C1-Incomes'!$U63*100</f>
        <v>0.66424019974637727</v>
      </c>
      <c r="BJ61" s="456">
        <f>'C1-Incomes'!LO63/'C1-Incomes'!$V63*100</f>
        <v>0.73387249683080302</v>
      </c>
      <c r="BK61" s="456">
        <f>'C1-Incomes'!LP63/'C1-Incomes'!$W63*100</f>
        <v>0.79275593844933179</v>
      </c>
      <c r="BL61" s="456">
        <f>'C1-Incomes'!LQ63/'C1-Incomes'!$X63*100</f>
        <v>0.70885119128025864</v>
      </c>
      <c r="BN61" s="456">
        <f>('C1-Incomes'!KU63-'C1-Incomes'!KV63)/('C1-Incomes'!$R63-'C1-Incomes'!$S63)*100</f>
        <v>5.3604010942444251</v>
      </c>
      <c r="BO61" s="456">
        <f>'C1-Incomes'!KV63/'C1-Incomes'!$S63*100</f>
        <v>4.1997739398443787</v>
      </c>
      <c r="BP61" s="456">
        <f>'C1-Incomes'!KW63/'C1-Incomes'!$T63*100</f>
        <v>3.7296402402249393</v>
      </c>
      <c r="BQ61" s="456">
        <f>'C1-Incomes'!KX63/'C1-Incomes'!$U63*100</f>
        <v>2.9505325247985978</v>
      </c>
      <c r="BR61" s="456">
        <f>'C1-Incomes'!KY63/'C1-Incomes'!$V63*100</f>
        <v>2.7870315842813009</v>
      </c>
      <c r="BS61" s="456">
        <f>'C1-Incomes'!KZ63/'C1-Incomes'!$W63*100</f>
        <v>2.6700282956271328</v>
      </c>
      <c r="BT61" s="456">
        <f>'C1-Incomes'!LA63/'C1-Incomes'!$X63*100</f>
        <v>2.586454660395312</v>
      </c>
      <c r="BV61" s="519"/>
      <c r="BW61" s="519"/>
    </row>
    <row r="62" spans="1:75" s="452" customFormat="1" ht="9" customHeight="1" x14ac:dyDescent="0.3">
      <c r="A62" s="548"/>
      <c r="B62" s="548"/>
      <c r="C62" s="548"/>
      <c r="D62" s="548"/>
      <c r="E62" s="1251"/>
      <c r="F62" s="548"/>
      <c r="G62" s="548"/>
      <c r="H62" s="548"/>
      <c r="I62" s="548"/>
      <c r="J62" s="548"/>
      <c r="K62" s="548"/>
      <c r="L62" s="548"/>
      <c r="M62" s="548"/>
      <c r="N62" s="548"/>
      <c r="O62" s="548"/>
      <c r="P62" s="548"/>
      <c r="Q62" s="548"/>
      <c r="R62" s="548"/>
      <c r="S62" s="548"/>
      <c r="T62" s="548"/>
      <c r="U62" s="548"/>
      <c r="V62" s="548"/>
      <c r="W62" s="548"/>
      <c r="X62" s="548"/>
      <c r="Y62" s="548"/>
      <c r="Z62" s="548"/>
      <c r="AA62" s="989"/>
      <c r="AB62" s="989"/>
      <c r="AC62" s="989"/>
      <c r="AD62" s="989"/>
      <c r="AE62" s="989"/>
      <c r="AF62" s="989"/>
      <c r="AG62" s="548"/>
      <c r="AH62" s="548"/>
      <c r="AI62" s="548"/>
      <c r="AJ62" s="548"/>
      <c r="AK62" s="548"/>
      <c r="AL62" s="548"/>
      <c r="AM62" s="548"/>
      <c r="AN62" s="548"/>
      <c r="AO62" s="548"/>
      <c r="AP62" s="548"/>
      <c r="AQ62" s="548"/>
      <c r="AR62" s="548"/>
      <c r="AS62" s="548"/>
      <c r="AT62" s="548"/>
      <c r="AU62" s="548"/>
      <c r="AV62" s="548"/>
      <c r="AW62" s="548"/>
      <c r="AX62" s="548"/>
      <c r="AY62" s="548"/>
      <c r="AZ62" s="548"/>
      <c r="BA62" s="548"/>
      <c r="BB62" s="548"/>
      <c r="BC62" s="548"/>
      <c r="BD62" s="548"/>
      <c r="BE62" s="548"/>
      <c r="BF62" s="548"/>
      <c r="BG62" s="548"/>
      <c r="BH62" s="548"/>
      <c r="BI62" s="548"/>
      <c r="BJ62" s="548"/>
      <c r="BK62" s="548"/>
      <c r="BL62" s="548"/>
      <c r="BM62" s="548"/>
      <c r="BN62" s="548"/>
      <c r="BO62" s="548"/>
      <c r="BP62" s="548"/>
      <c r="BQ62" s="548"/>
      <c r="BR62" s="548"/>
      <c r="BS62" s="548"/>
      <c r="BT62" s="548"/>
    </row>
    <row r="63" spans="1:75" s="452" customFormat="1" x14ac:dyDescent="0.3">
      <c r="E63" s="519"/>
      <c r="AA63" s="284"/>
      <c r="AB63" s="284"/>
      <c r="AC63" s="284"/>
      <c r="AD63" s="284"/>
      <c r="AE63" s="284"/>
      <c r="AF63" s="284"/>
    </row>
    <row r="64" spans="1:75" x14ac:dyDescent="0.3">
      <c r="A64" s="24" t="str">
        <f>'C8-Tax Dist'!A64</f>
        <v>Notes: See Table B1 for definitions of each tax and the online appendix for other details. In 1960, corporate income tax and property tax totals are distributed using 1962 distributions.</v>
      </c>
      <c r="E64" s="32"/>
      <c r="Z64" s="495"/>
    </row>
    <row r="65" spans="1:32" x14ac:dyDescent="0.3">
      <c r="A65" s="1281"/>
      <c r="B65" s="32"/>
      <c r="E65" s="32"/>
      <c r="Z65" s="469"/>
      <c r="AA65" s="494"/>
      <c r="AB65" s="494"/>
      <c r="AC65" s="494"/>
      <c r="AD65" s="494"/>
      <c r="AE65" s="494"/>
      <c r="AF65" s="494"/>
    </row>
    <row r="66" spans="1:32" x14ac:dyDescent="0.3">
      <c r="A66" s="1281"/>
      <c r="B66" s="32"/>
      <c r="C66" s="34"/>
      <c r="E66" s="32"/>
      <c r="J66" s="248"/>
      <c r="M66" s="248"/>
      <c r="P66" s="516"/>
      <c r="U66" s="516"/>
      <c r="X66" s="496"/>
      <c r="AA66" s="516"/>
      <c r="AB66" s="494"/>
      <c r="AC66" s="494"/>
      <c r="AD66" s="494"/>
      <c r="AE66" s="494"/>
      <c r="AF66" s="494"/>
    </row>
    <row r="67" spans="1:32" x14ac:dyDescent="0.3">
      <c r="A67" s="1281"/>
      <c r="B67" s="32"/>
      <c r="C67" s="34"/>
      <c r="E67" s="248"/>
      <c r="J67" s="248"/>
      <c r="M67" s="248"/>
      <c r="P67" s="516"/>
      <c r="Z67" s="469"/>
      <c r="AA67" s="284"/>
      <c r="AB67" s="284"/>
      <c r="AC67" s="284"/>
      <c r="AD67" s="284"/>
      <c r="AE67" s="284"/>
      <c r="AF67" s="284"/>
    </row>
    <row r="68" spans="1:32" x14ac:dyDescent="0.3">
      <c r="B68" s="248"/>
      <c r="C68" s="34"/>
      <c r="E68" s="248"/>
      <c r="J68" s="248"/>
      <c r="M68" s="248"/>
      <c r="Z68" s="469"/>
      <c r="AA68" s="284"/>
      <c r="AB68" s="284"/>
      <c r="AC68" s="284"/>
      <c r="AD68" s="284"/>
      <c r="AE68" s="284"/>
      <c r="AF68" s="284"/>
    </row>
    <row r="69" spans="1:32" x14ac:dyDescent="0.3">
      <c r="Z69" s="469"/>
      <c r="AA69" s="284"/>
      <c r="AB69" s="284"/>
      <c r="AC69" s="284"/>
      <c r="AD69" s="284"/>
      <c r="AE69" s="284"/>
      <c r="AF69" s="284"/>
    </row>
    <row r="70" spans="1:32" x14ac:dyDescent="0.3">
      <c r="Z70" s="469"/>
      <c r="AA70" s="494"/>
      <c r="AB70" s="494"/>
      <c r="AC70" s="494"/>
      <c r="AD70" s="494"/>
      <c r="AE70" s="494"/>
      <c r="AF70" s="494"/>
    </row>
    <row r="71" spans="1:32" x14ac:dyDescent="0.3">
      <c r="Z71" s="474"/>
      <c r="AA71" s="494"/>
      <c r="AB71" s="494"/>
      <c r="AC71" s="494"/>
      <c r="AD71" s="494"/>
      <c r="AE71" s="494"/>
      <c r="AF71" s="494"/>
    </row>
    <row r="72" spans="1:32" x14ac:dyDescent="0.3">
      <c r="Z72" s="474"/>
      <c r="AA72" s="494"/>
      <c r="AB72" s="494"/>
      <c r="AC72" s="494"/>
      <c r="AD72" s="494"/>
      <c r="AE72" s="494"/>
      <c r="AF72" s="494"/>
    </row>
    <row r="73" spans="1:32" x14ac:dyDescent="0.3">
      <c r="Z73" s="474"/>
    </row>
    <row r="78" spans="1:32" x14ac:dyDescent="0.3">
      <c r="Z78" s="469"/>
      <c r="AA78" s="494"/>
      <c r="AB78" s="494"/>
      <c r="AC78" s="494"/>
      <c r="AD78" s="494"/>
      <c r="AE78" s="494"/>
      <c r="AF78" s="494"/>
    </row>
    <row r="80" spans="1:32" x14ac:dyDescent="0.3">
      <c r="Z80" s="474"/>
    </row>
    <row r="81" spans="26:26" x14ac:dyDescent="0.3">
      <c r="Z81" s="474"/>
    </row>
  </sheetData>
  <mergeCells count="9">
    <mergeCell ref="AX3:BD3"/>
    <mergeCell ref="BN3:BT3"/>
    <mergeCell ref="B3:H3"/>
    <mergeCell ref="R3:X3"/>
    <mergeCell ref="Z3:AF3"/>
    <mergeCell ref="AH3:AN3"/>
    <mergeCell ref="AP3:AV3"/>
    <mergeCell ref="J3:P3"/>
    <mergeCell ref="BF3:BL3"/>
  </mergeCells>
  <hyperlinks>
    <hyperlink ref="A2" location="Index!A1" display="Index"/>
  </hyperlink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CF80"/>
  <sheetViews>
    <sheetView workbookViewId="0">
      <selection activeCell="L64" sqref="L64"/>
    </sheetView>
  </sheetViews>
  <sheetFormatPr defaultColWidth="9.109375" defaultRowHeight="14.4" x14ac:dyDescent="0.3"/>
  <cols>
    <col min="1" max="1" width="9.109375" style="24"/>
    <col min="2" max="3" width="9.44140625" style="24" customWidth="1"/>
    <col min="4" max="4" width="7.21875" style="24" customWidth="1"/>
    <col min="5" max="5" width="6.21875" style="24" customWidth="1"/>
    <col min="6" max="6" width="6.88671875" style="24" customWidth="1"/>
    <col min="7" max="7" width="8.109375" style="24" customWidth="1"/>
    <col min="8" max="8" width="9.21875" style="24" customWidth="1"/>
    <col min="9" max="9" width="8.21875" style="24" customWidth="1"/>
    <col min="10" max="10" width="3" style="24" customWidth="1"/>
    <col min="11" max="12" width="8.77734375" style="24" customWidth="1"/>
    <col min="13" max="13" width="7.109375" style="24" customWidth="1"/>
    <col min="14" max="14" width="6.88671875" style="24" customWidth="1"/>
    <col min="15" max="15" width="7.109375" style="24" customWidth="1"/>
    <col min="16" max="16" width="8" style="24" customWidth="1"/>
    <col min="17" max="17" width="9.109375" style="24" customWidth="1"/>
    <col min="18" max="18" width="9.21875" style="24" customWidth="1"/>
    <col min="19" max="19" width="3.109375" style="24" customWidth="1"/>
    <col min="20" max="21" width="7.44140625" style="24" customWidth="1"/>
    <col min="22" max="24" width="7.109375" style="24" customWidth="1"/>
    <col min="25" max="25" width="7.88671875" style="24" customWidth="1"/>
    <col min="26" max="26" width="8.88671875" style="24" customWidth="1"/>
    <col min="27" max="27" width="8.44140625" style="24" customWidth="1"/>
    <col min="28" max="28" width="2.21875" style="24" customWidth="1"/>
    <col min="29" max="31" width="7.44140625" style="24" customWidth="1"/>
    <col min="32" max="32" width="7.21875" style="24" customWidth="1"/>
    <col min="33" max="33" width="6.77734375" style="24" customWidth="1"/>
    <col min="34" max="34" width="8.109375" style="24" customWidth="1"/>
    <col min="35" max="35" width="8.77734375" style="24" customWidth="1"/>
    <col min="36" max="36" width="9.109375" style="24"/>
    <col min="37" max="37" width="2.5546875" style="24" customWidth="1"/>
    <col min="38" max="42" width="7.44140625" style="24" customWidth="1"/>
    <col min="43" max="43" width="8" style="24" customWidth="1"/>
    <col min="44" max="44" width="9.44140625" style="24" customWidth="1"/>
    <col min="45" max="45" width="9.109375" style="24"/>
    <col min="46" max="46" width="1.88671875" style="24" customWidth="1"/>
    <col min="47" max="48" width="7.88671875" style="24" customWidth="1"/>
    <col min="49" max="49" width="7.44140625" style="24" customWidth="1"/>
    <col min="50" max="51" width="6.77734375" style="24" customWidth="1"/>
    <col min="52" max="52" width="7.44140625" style="24" customWidth="1"/>
    <col min="53" max="53" width="7.88671875" style="24" customWidth="1"/>
    <col min="54" max="54" width="9.109375" style="24"/>
    <col min="55" max="55" width="1.88671875" style="24" customWidth="1"/>
    <col min="56" max="58" width="7.44140625" style="24" customWidth="1"/>
    <col min="59" max="60" width="7.5546875" style="24" customWidth="1"/>
    <col min="61" max="61" width="8.5546875" style="24" customWidth="1"/>
    <col min="62" max="62" width="8.88671875" style="24" customWidth="1"/>
    <col min="63" max="63" width="9.109375" style="24"/>
    <col min="64" max="64" width="3" style="24" customWidth="1"/>
    <col min="65" max="66" width="7.21875" style="24" customWidth="1"/>
    <col min="67" max="67" width="7.77734375" style="24" customWidth="1"/>
    <col min="68" max="69" width="7.109375" style="24" customWidth="1"/>
    <col min="70" max="70" width="8.109375" style="24" customWidth="1"/>
    <col min="71" max="71" width="9.109375" style="24" customWidth="1"/>
    <col min="72" max="72" width="7.88671875" style="24" customWidth="1"/>
    <col min="73" max="73" width="1.88671875" style="24" customWidth="1"/>
    <col min="74" max="75" width="7.5546875" style="24" customWidth="1"/>
    <col min="76" max="76" width="7.88671875" style="24" customWidth="1"/>
    <col min="77" max="78" width="7.21875" style="24" customWidth="1"/>
    <col min="79" max="79" width="8.21875" style="24" customWidth="1"/>
    <col min="80" max="80" width="9.5546875" style="24" customWidth="1"/>
    <col min="81" max="16384" width="9.109375" style="24"/>
  </cols>
  <sheetData>
    <row r="1" spans="1:81" x14ac:dyDescent="0.3">
      <c r="A1" s="181" t="s">
        <v>2175</v>
      </c>
      <c r="B1" s="181"/>
      <c r="C1" s="181"/>
      <c r="D1" s="181"/>
      <c r="E1" s="181"/>
      <c r="F1" s="181"/>
      <c r="G1" s="181"/>
      <c r="H1" s="181"/>
      <c r="I1" s="181"/>
      <c r="J1" s="181"/>
      <c r="K1" s="181"/>
      <c r="L1" s="181"/>
      <c r="M1" s="181"/>
      <c r="N1" s="181"/>
      <c r="O1" s="181"/>
      <c r="P1" s="181"/>
      <c r="Q1" s="181"/>
      <c r="R1" s="181"/>
      <c r="S1" s="181"/>
      <c r="BM1" s="516"/>
      <c r="BN1" s="516"/>
      <c r="BO1" s="516"/>
      <c r="BP1" s="516"/>
      <c r="BQ1" s="516"/>
      <c r="BR1" s="516"/>
      <c r="BS1" s="516"/>
      <c r="BT1" s="516"/>
      <c r="BV1" s="516"/>
      <c r="BW1" s="516"/>
      <c r="BX1" s="516"/>
      <c r="BY1" s="516"/>
      <c r="BZ1" s="516"/>
      <c r="CA1" s="516"/>
      <c r="CB1" s="516"/>
      <c r="CC1" s="516"/>
    </row>
    <row r="2" spans="1:81" ht="15.6" x14ac:dyDescent="0.3">
      <c r="A2" s="500" t="s">
        <v>504</v>
      </c>
      <c r="B2" s="501"/>
      <c r="C2" s="501"/>
      <c r="D2" s="501"/>
      <c r="E2" s="501"/>
      <c r="F2" s="501"/>
      <c r="G2" s="501"/>
      <c r="H2" s="501"/>
      <c r="I2" s="501"/>
      <c r="J2" s="501"/>
      <c r="K2" s="501"/>
      <c r="L2" s="501"/>
      <c r="M2" s="501"/>
      <c r="N2" s="501"/>
      <c r="O2" s="501"/>
      <c r="P2" s="501"/>
      <c r="Q2" s="501"/>
      <c r="R2" s="501"/>
      <c r="S2" s="501"/>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row>
    <row r="3" spans="1:81" x14ac:dyDescent="0.3">
      <c r="B3" s="1451" t="s">
        <v>1297</v>
      </c>
      <c r="C3" s="1451"/>
      <c r="D3" s="1451"/>
      <c r="E3" s="1451"/>
      <c r="F3" s="1451"/>
      <c r="G3" s="1451"/>
      <c r="H3" s="1451"/>
      <c r="I3" s="1451"/>
      <c r="K3" s="1451" t="s">
        <v>575</v>
      </c>
      <c r="L3" s="1451"/>
      <c r="M3" s="1451"/>
      <c r="N3" s="1451"/>
      <c r="O3" s="1451"/>
      <c r="P3" s="1451"/>
      <c r="Q3" s="1451"/>
      <c r="R3" s="1451"/>
      <c r="T3" s="1451" t="s">
        <v>568</v>
      </c>
      <c r="U3" s="1451"/>
      <c r="V3" s="1451"/>
      <c r="W3" s="1451"/>
      <c r="X3" s="1451"/>
      <c r="Y3" s="1451"/>
      <c r="Z3" s="1451"/>
      <c r="AA3" s="1451"/>
      <c r="AC3" s="1451" t="s">
        <v>569</v>
      </c>
      <c r="AD3" s="1451"/>
      <c r="AE3" s="1451"/>
      <c r="AF3" s="1451"/>
      <c r="AG3" s="1451"/>
      <c r="AH3" s="1451"/>
      <c r="AI3" s="1451"/>
      <c r="AJ3" s="1451"/>
      <c r="AK3" s="1337"/>
      <c r="AL3" s="1453" t="s">
        <v>571</v>
      </c>
      <c r="AM3" s="1453"/>
      <c r="AN3" s="1453"/>
      <c r="AO3" s="1453"/>
      <c r="AP3" s="1453"/>
      <c r="AQ3" s="1453"/>
      <c r="AR3" s="1453"/>
      <c r="AS3" s="1453"/>
      <c r="AT3" s="1337"/>
      <c r="AU3" s="1451" t="s">
        <v>570</v>
      </c>
      <c r="AV3" s="1451"/>
      <c r="AW3" s="1451"/>
      <c r="AX3" s="1451"/>
      <c r="AY3" s="1451"/>
      <c r="AZ3" s="1451"/>
      <c r="BA3" s="1451"/>
      <c r="BB3" s="1451"/>
      <c r="BC3" s="1337"/>
      <c r="BD3" s="1453" t="s">
        <v>572</v>
      </c>
      <c r="BE3" s="1453"/>
      <c r="BF3" s="1453"/>
      <c r="BG3" s="1453"/>
      <c r="BH3" s="1453"/>
      <c r="BI3" s="1453"/>
      <c r="BJ3" s="1453"/>
      <c r="BK3" s="1453"/>
      <c r="BL3" s="1337"/>
      <c r="BM3" s="1453" t="s">
        <v>1526</v>
      </c>
      <c r="BN3" s="1453"/>
      <c r="BO3" s="1453"/>
      <c r="BP3" s="1453"/>
      <c r="BQ3" s="1453"/>
      <c r="BR3" s="1453"/>
      <c r="BS3" s="1453"/>
      <c r="BT3" s="1453"/>
      <c r="BU3" s="1337"/>
      <c r="BV3" s="1451" t="s">
        <v>573</v>
      </c>
      <c r="BW3" s="1451"/>
      <c r="BX3" s="1451"/>
      <c r="BY3" s="1451"/>
      <c r="BZ3" s="1451"/>
      <c r="CA3" s="1451"/>
      <c r="CB3" s="1451"/>
      <c r="CC3" s="1451"/>
    </row>
    <row r="4" spans="1:81" x14ac:dyDescent="0.3">
      <c r="A4" s="446"/>
      <c r="B4" s="1336" t="s">
        <v>2176</v>
      </c>
      <c r="C4" s="1336" t="s">
        <v>2177</v>
      </c>
      <c r="D4" s="1336" t="s">
        <v>19</v>
      </c>
      <c r="E4" s="1336" t="s">
        <v>20</v>
      </c>
      <c r="F4" s="1336" t="s">
        <v>21</v>
      </c>
      <c r="G4" s="1336" t="s">
        <v>225</v>
      </c>
      <c r="H4" s="1336" t="s">
        <v>22</v>
      </c>
      <c r="I4" s="1336" t="s">
        <v>18</v>
      </c>
      <c r="J4" s="446"/>
      <c r="K4" s="1336" t="s">
        <v>2176</v>
      </c>
      <c r="L4" s="1336" t="s">
        <v>2177</v>
      </c>
      <c r="M4" s="1336" t="s">
        <v>19</v>
      </c>
      <c r="N4" s="1336" t="s">
        <v>20</v>
      </c>
      <c r="O4" s="1336" t="s">
        <v>21</v>
      </c>
      <c r="P4" s="1336" t="s">
        <v>225</v>
      </c>
      <c r="Q4" s="1336" t="s">
        <v>22</v>
      </c>
      <c r="R4" s="1336" t="s">
        <v>18</v>
      </c>
      <c r="S4" s="446"/>
      <c r="T4" s="1336" t="s">
        <v>2176</v>
      </c>
      <c r="U4" s="1336" t="s">
        <v>2177</v>
      </c>
      <c r="V4" s="1336" t="s">
        <v>19</v>
      </c>
      <c r="W4" s="1336" t="s">
        <v>20</v>
      </c>
      <c r="X4" s="1336" t="s">
        <v>21</v>
      </c>
      <c r="Y4" s="1336" t="s">
        <v>225</v>
      </c>
      <c r="Z4" s="1336" t="s">
        <v>22</v>
      </c>
      <c r="AA4" s="1336" t="s">
        <v>18</v>
      </c>
      <c r="AB4" s="125"/>
      <c r="AC4" s="1336" t="s">
        <v>2176</v>
      </c>
      <c r="AD4" s="1336" t="s">
        <v>2177</v>
      </c>
      <c r="AE4" s="1336" t="s">
        <v>19</v>
      </c>
      <c r="AF4" s="1336" t="s">
        <v>20</v>
      </c>
      <c r="AG4" s="1336" t="s">
        <v>21</v>
      </c>
      <c r="AH4" s="1336" t="s">
        <v>225</v>
      </c>
      <c r="AI4" s="1336" t="s">
        <v>22</v>
      </c>
      <c r="AJ4" s="1336" t="s">
        <v>18</v>
      </c>
      <c r="AK4" s="1336"/>
      <c r="AL4" s="1336" t="s">
        <v>2176</v>
      </c>
      <c r="AM4" s="1336" t="s">
        <v>2177</v>
      </c>
      <c r="AN4" s="1336" t="s">
        <v>19</v>
      </c>
      <c r="AO4" s="1336" t="s">
        <v>20</v>
      </c>
      <c r="AP4" s="1336" t="s">
        <v>21</v>
      </c>
      <c r="AQ4" s="1336" t="s">
        <v>225</v>
      </c>
      <c r="AR4" s="1336" t="s">
        <v>22</v>
      </c>
      <c r="AS4" s="1336" t="s">
        <v>18</v>
      </c>
      <c r="AT4" s="1336"/>
      <c r="AU4" s="1336" t="s">
        <v>2176</v>
      </c>
      <c r="AV4" s="1336" t="s">
        <v>2177</v>
      </c>
      <c r="AW4" s="1336" t="s">
        <v>19</v>
      </c>
      <c r="AX4" s="1336" t="s">
        <v>20</v>
      </c>
      <c r="AY4" s="1336" t="s">
        <v>21</v>
      </c>
      <c r="AZ4" s="1336" t="s">
        <v>225</v>
      </c>
      <c r="BA4" s="1336" t="s">
        <v>22</v>
      </c>
      <c r="BB4" s="1336" t="s">
        <v>18</v>
      </c>
      <c r="BC4" s="1336"/>
      <c r="BD4" s="1336" t="s">
        <v>2176</v>
      </c>
      <c r="BE4" s="1336" t="s">
        <v>2177</v>
      </c>
      <c r="BF4" s="1336" t="s">
        <v>19</v>
      </c>
      <c r="BG4" s="1336" t="s">
        <v>20</v>
      </c>
      <c r="BH4" s="1336" t="s">
        <v>21</v>
      </c>
      <c r="BI4" s="1336" t="s">
        <v>225</v>
      </c>
      <c r="BJ4" s="1336" t="s">
        <v>22</v>
      </c>
      <c r="BK4" s="1336" t="s">
        <v>18</v>
      </c>
      <c r="BL4" s="1336"/>
      <c r="BM4" s="1336" t="s">
        <v>2176</v>
      </c>
      <c r="BN4" s="1336" t="s">
        <v>2177</v>
      </c>
      <c r="BO4" s="1336" t="s">
        <v>19</v>
      </c>
      <c r="BP4" s="1336" t="s">
        <v>20</v>
      </c>
      <c r="BQ4" s="1336" t="s">
        <v>21</v>
      </c>
      <c r="BR4" s="1336" t="s">
        <v>225</v>
      </c>
      <c r="BS4" s="1336" t="s">
        <v>22</v>
      </c>
      <c r="BT4" s="1336" t="s">
        <v>18</v>
      </c>
      <c r="BU4" s="1336"/>
      <c r="BV4" s="1336" t="s">
        <v>2176</v>
      </c>
      <c r="BW4" s="1336" t="s">
        <v>2177</v>
      </c>
      <c r="BX4" s="1336" t="s">
        <v>19</v>
      </c>
      <c r="BY4" s="1336" t="s">
        <v>20</v>
      </c>
      <c r="BZ4" s="1336" t="s">
        <v>21</v>
      </c>
      <c r="CA4" s="1336" t="s">
        <v>225</v>
      </c>
      <c r="CB4" s="1336" t="s">
        <v>22</v>
      </c>
      <c r="CC4" s="1336" t="s">
        <v>18</v>
      </c>
    </row>
    <row r="5" spans="1:81" s="452" customFormat="1" ht="12" x14ac:dyDescent="0.25">
      <c r="A5" s="239">
        <v>1960</v>
      </c>
      <c r="B5" s="456"/>
      <c r="C5" s="456"/>
      <c r="D5" s="456">
        <f t="shared" ref="D5:I5" si="0">V5+AE5+AN5+AW5+BF5+BX5+BO5</f>
        <v>28.050580606699462</v>
      </c>
      <c r="E5" s="456">
        <f t="shared" si="0"/>
        <v>32.326875658773133</v>
      </c>
      <c r="F5" s="456">
        <f t="shared" si="0"/>
        <v>36.331432228887316</v>
      </c>
      <c r="G5" s="456">
        <f t="shared" si="0"/>
        <v>39.640644997954745</v>
      </c>
      <c r="H5" s="456">
        <f t="shared" si="0"/>
        <v>46.600936917809108</v>
      </c>
      <c r="I5" s="456">
        <f t="shared" si="0"/>
        <v>50.325224513703503</v>
      </c>
      <c r="J5" s="456"/>
      <c r="K5" s="456"/>
      <c r="L5" s="456"/>
      <c r="M5" s="456">
        <f t="shared" ref="M5:R5" si="1">V5+AE5+AN5+AW5+BX5+BO5</f>
        <v>25.539165031311608</v>
      </c>
      <c r="N5" s="456">
        <f t="shared" si="1"/>
        <v>30.864444231023683</v>
      </c>
      <c r="O5" s="456">
        <f t="shared" si="1"/>
        <v>35.803302428598151</v>
      </c>
      <c r="P5" s="456">
        <f t="shared" si="1"/>
        <v>39.357482889142467</v>
      </c>
      <c r="Q5" s="456">
        <f t="shared" si="1"/>
        <v>46.492315225702455</v>
      </c>
      <c r="R5" s="456">
        <f t="shared" si="1"/>
        <v>50.303142951333648</v>
      </c>
      <c r="S5" s="456"/>
      <c r="T5" s="456"/>
      <c r="U5" s="456"/>
      <c r="V5" s="456">
        <f>('C1-Incomes'!JH8-'C1-Incomes'!JI8)/('C1-Incomes'!$S8-'C1-Incomes'!$T8)*100</f>
        <v>10.517726697756389</v>
      </c>
      <c r="W5" s="456">
        <f>('C1-Incomes'!JI8-'C1-Incomes'!JJ8)/('C1-Incomes'!$T8-'C1-Incomes'!$U8)*100</f>
        <v>12.004482960166284</v>
      </c>
      <c r="X5" s="456">
        <f>('C1-Incomes'!JJ8-'C1-Incomes'!JK8)/('C1-Incomes'!$U8-'C1-Incomes'!$V8)*100</f>
        <v>14.31356409637864</v>
      </c>
      <c r="Y5" s="456">
        <f>('C1-Incomes'!JK8-'C1-Incomes'!JL8)/('C1-Incomes'!$V8-'C1-Incomes'!$W8)*100</f>
        <v>16.123648823373099</v>
      </c>
      <c r="Z5" s="456">
        <f>('C1-Incomes'!JL8-'C1-Incomes'!JM8)/('C1-Incomes'!$W8-'C1-Incomes'!$X8)*100</f>
        <v>18.040983908570293</v>
      </c>
      <c r="AA5" s="456">
        <f>'C1-Incomes'!JM8/'C1-Incomes'!$X8*100</f>
        <v>17.217164140132056</v>
      </c>
      <c r="AB5" s="458"/>
      <c r="AC5" s="456"/>
      <c r="AD5" s="456"/>
      <c r="AE5" s="456">
        <f>('C1-Incomes'!JP8-'C1-Incomes'!JQ8)/('C1-Incomes'!$S8-'C1-Incomes'!$T8)*100</f>
        <v>0.49295189470137285</v>
      </c>
      <c r="AF5" s="456">
        <f>('C1-Incomes'!JQ8-'C1-Incomes'!JR8)/('C1-Incomes'!$T8-'C1-Incomes'!$U8)*100</f>
        <v>0.69802679723578409</v>
      </c>
      <c r="AG5" s="456">
        <f>('C1-Incomes'!JR8-'C1-Incomes'!JS8)/('C1-Incomes'!$U8-'C1-Incomes'!$V8)*100</f>
        <v>1.0911666102559197</v>
      </c>
      <c r="AH5" s="456">
        <f>('C1-Incomes'!JS8-'C1-Incomes'!JT8)/('C1-Incomes'!$V8-'C1-Incomes'!$W8)*100</f>
        <v>1.2227425070889273</v>
      </c>
      <c r="AI5" s="456">
        <f>('C1-Incomes'!JT8-'C1-Incomes'!JU8)/('C1-Incomes'!$W8-'C1-Incomes'!$X8)*100</f>
        <v>1.2860683973270166</v>
      </c>
      <c r="AJ5" s="456">
        <f>'C1-Incomes'!JU8/'C1-Incomes'!$X8*100</f>
        <v>1.3575899410118268</v>
      </c>
      <c r="AK5" s="458"/>
      <c r="AL5" s="456"/>
      <c r="AM5" s="456"/>
      <c r="AN5" s="456">
        <f>('C1-Incomes'!JX8-'C1-Incomes'!JY8)/('C1-Incomes'!$S8-'C1-Incomes'!$T8)*100</f>
        <v>4.1509991843422345</v>
      </c>
      <c r="AO5" s="456">
        <f>('C1-Incomes'!JY8-'C1-Incomes'!JZ8)/('C1-Incomes'!$T8-'C1-Incomes'!$U8)*100</f>
        <v>6.8723725152671449</v>
      </c>
      <c r="AP5" s="456">
        <f>('C1-Incomes'!JZ8-'C1-Incomes'!KA8)/('C1-Incomes'!$U8-'C1-Incomes'!$V8)*100</f>
        <v>9.4277185493128801</v>
      </c>
      <c r="AQ5" s="456">
        <f>('C1-Incomes'!KA8-'C1-Incomes'!KB8)/('C1-Incomes'!$V8-'C1-Incomes'!$W8)*100</f>
        <v>11.949058557465886</v>
      </c>
      <c r="AR5" s="456">
        <f>('C1-Incomes'!KB8-'C1-Incomes'!KC8)/('C1-Incomes'!$W8-'C1-Incomes'!$X8)*100</f>
        <v>17.132307660981173</v>
      </c>
      <c r="AS5" s="456">
        <f>'C1-Incomes'!KC8/'C1-Incomes'!$X8*100</f>
        <v>20.919367494553413</v>
      </c>
      <c r="AT5" s="458"/>
      <c r="AU5" s="456"/>
      <c r="AV5" s="456"/>
      <c r="AW5" s="456">
        <f>('C1-Incomes'!KF8-'C1-Incomes'!KG8)/('C1-Incomes'!$S8-'C1-Incomes'!$T8)*100</f>
        <v>3.8368813265952157</v>
      </c>
      <c r="AX5" s="456">
        <f>('C1-Incomes'!KG8-'C1-Incomes'!KH8)/('C1-Incomes'!$T8-'C1-Incomes'!$U8)*100</f>
        <v>5.7886391457355666</v>
      </c>
      <c r="AY5" s="456">
        <f>('C1-Incomes'!KH8-'C1-Incomes'!KI8)/('C1-Incomes'!$U8-'C1-Incomes'!$V8)*100</f>
        <v>6.8208691210022456</v>
      </c>
      <c r="AZ5" s="456">
        <f>('C1-Incomes'!KI8-'C1-Incomes'!KJ8)/('C1-Incomes'!$V8-'C1-Incomes'!$W8)*100</f>
        <v>6.8636404008484542</v>
      </c>
      <c r="BA5" s="456">
        <f>('C1-Incomes'!KJ8-'C1-Incomes'!KK8)/('C1-Incomes'!$W8-'C1-Incomes'!$X8)*100</f>
        <v>7.6264230960021271</v>
      </c>
      <c r="BB5" s="456">
        <f>'C1-Incomes'!KK8/'C1-Incomes'!$X8*100</f>
        <v>8.4198132916754247</v>
      </c>
      <c r="BD5" s="456"/>
      <c r="BE5" s="456"/>
      <c r="BF5" s="456">
        <f>('C1-Incomes'!KN8-'C1-Incomes'!KO8)/('C1-Incomes'!$S8-'C1-Incomes'!$T8)*100</f>
        <v>2.5114155753878529</v>
      </c>
      <c r="BG5" s="456">
        <f>('C1-Incomes'!KO8-'C1-Incomes'!KP8)/('C1-Incomes'!$T8-'C1-Incomes'!$U8)*100</f>
        <v>1.4624314277494486</v>
      </c>
      <c r="BH5" s="456">
        <f>('C1-Incomes'!KP8-'C1-Incomes'!KQ8)/('C1-Incomes'!$U8-'C1-Incomes'!$V8)*100</f>
        <v>0.52812980028916412</v>
      </c>
      <c r="BI5" s="456">
        <f>('C1-Incomes'!KQ8-'C1-Incomes'!KR8)/('C1-Incomes'!$V8-'C1-Incomes'!$W8)*100</f>
        <v>0.28316210881227794</v>
      </c>
      <c r="BJ5" s="456">
        <f>('C1-Incomes'!KR8-'C1-Incomes'!KS8)/('C1-Incomes'!$W8-'C1-Incomes'!$X8)*100</f>
        <v>0.10862169210665279</v>
      </c>
      <c r="BK5" s="456">
        <f>'C1-Incomes'!KS8/'C1-Incomes'!$X8*100</f>
        <v>2.2081562369855735E-2</v>
      </c>
      <c r="BL5" s="456"/>
      <c r="BM5" s="456"/>
      <c r="BN5" s="456"/>
      <c r="BO5" s="456">
        <f>('C1-Incomes'!LL8-'C1-Incomes'!LM8)/('C1-Incomes'!$S8-'C1-Incomes'!$T8)*100</f>
        <v>0.4933044205436673</v>
      </c>
      <c r="BP5" s="456">
        <f>('C1-Incomes'!LM8-'C1-Incomes'!LN8)/('C1-Incomes'!$T8-'C1-Incomes'!$U8)*100</f>
        <v>0.81956701965351231</v>
      </c>
      <c r="BQ5" s="456">
        <f>('C1-Incomes'!LN8-'C1-Incomes'!LO8)/('C1-Incomes'!$U8-'C1-Incomes'!$V8)*100</f>
        <v>1.1849747203094743</v>
      </c>
      <c r="BR5" s="456">
        <f>('C1-Incomes'!LO8-'C1-Incomes'!LP8)/('C1-Incomes'!$V8-'C1-Incomes'!$W8)*100</f>
        <v>1.1826229137757656</v>
      </c>
      <c r="BS5" s="456">
        <f>('C1-Incomes'!LP8-'C1-Incomes'!LQ8)/('C1-Incomes'!$W8-'C1-Incomes'!$X8)*100</f>
        <v>1.2489154212408444</v>
      </c>
      <c r="BT5" s="456">
        <f>'C1-Incomes'!LQ8/'C1-Incomes'!$X8*100</f>
        <v>1.8360135920502956</v>
      </c>
      <c r="BV5" s="456"/>
      <c r="BW5" s="456"/>
      <c r="BX5" s="456">
        <f>('C1-Incomes'!KV8-'C1-Incomes'!KW8)/('C1-Incomes'!$S8-'C1-Incomes'!$T8)*100</f>
        <v>6.0473015073727305</v>
      </c>
      <c r="BY5" s="456">
        <f>('C1-Incomes'!KW8-'C1-Incomes'!KX8)/('C1-Incomes'!$T8-'C1-Incomes'!$U8)*100</f>
        <v>4.6813557929653911</v>
      </c>
      <c r="BZ5" s="456">
        <f>('C1-Incomes'!KX8-'C1-Incomes'!KY8)/('C1-Incomes'!$U8-'C1-Incomes'!$V8)*100</f>
        <v>2.9650093313389911</v>
      </c>
      <c r="CA5" s="456">
        <f>('C1-Incomes'!KY8-'C1-Incomes'!KZ8)/('C1-Incomes'!$V8-'C1-Incomes'!$W8)*100</f>
        <v>2.0157696865903292</v>
      </c>
      <c r="CB5" s="456">
        <f>('C1-Incomes'!KZ8-'C1-Incomes'!LA8)/('C1-Incomes'!$W8-'C1-Incomes'!$X8)*100</f>
        <v>1.1576167415810048</v>
      </c>
      <c r="CC5" s="456">
        <f>'C1-Incomes'!LA8/'C1-Incomes'!$X8*100</f>
        <v>0.55319449191063952</v>
      </c>
    </row>
    <row r="6" spans="1:81" s="452" customFormat="1" ht="5.25" customHeight="1" x14ac:dyDescent="0.25">
      <c r="A6" s="239"/>
      <c r="J6" s="456"/>
      <c r="K6" s="239"/>
      <c r="L6" s="239"/>
      <c r="M6" s="239"/>
      <c r="N6" s="239"/>
      <c r="O6" s="239"/>
      <c r="P6" s="239"/>
      <c r="Q6" s="239"/>
      <c r="R6" s="239"/>
      <c r="S6" s="456"/>
      <c r="T6" s="458"/>
      <c r="U6" s="458"/>
      <c r="V6" s="458"/>
      <c r="W6" s="458"/>
      <c r="X6" s="458"/>
      <c r="Y6" s="458"/>
      <c r="Z6" s="458"/>
      <c r="AA6" s="458"/>
      <c r="AB6" s="458"/>
      <c r="AC6" s="456"/>
      <c r="AD6" s="456"/>
      <c r="AE6" s="456"/>
      <c r="AF6" s="456"/>
      <c r="AG6" s="456"/>
      <c r="AH6" s="456"/>
      <c r="AI6" s="456"/>
      <c r="AJ6" s="456"/>
      <c r="AK6" s="458"/>
      <c r="AL6" s="456"/>
      <c r="AM6" s="456"/>
      <c r="AN6" s="456"/>
      <c r="AO6" s="456"/>
      <c r="AP6" s="456"/>
      <c r="AQ6" s="456"/>
      <c r="AR6" s="456"/>
      <c r="AS6" s="456"/>
      <c r="AT6" s="458"/>
      <c r="AU6" s="456"/>
      <c r="AV6" s="456"/>
      <c r="AW6" s="456"/>
      <c r="AX6" s="456"/>
      <c r="AY6" s="456"/>
      <c r="AZ6" s="456"/>
      <c r="BA6" s="456"/>
      <c r="BB6" s="456"/>
      <c r="BD6" s="456"/>
      <c r="BE6" s="456"/>
      <c r="BF6" s="456"/>
      <c r="BG6" s="456"/>
      <c r="BH6" s="456"/>
      <c r="BI6" s="456"/>
      <c r="BJ6" s="456"/>
      <c r="BK6" s="456"/>
      <c r="BL6" s="456"/>
      <c r="BM6" s="456"/>
      <c r="BN6" s="456"/>
      <c r="BO6" s="456"/>
      <c r="BP6" s="456"/>
      <c r="BQ6" s="456"/>
      <c r="BR6" s="456"/>
      <c r="BS6" s="456"/>
      <c r="BT6" s="456"/>
      <c r="BV6" s="456"/>
      <c r="BW6" s="456"/>
      <c r="BX6" s="456"/>
      <c r="BY6" s="456"/>
      <c r="BZ6" s="456"/>
      <c r="CA6" s="456"/>
      <c r="CB6" s="456"/>
      <c r="CC6" s="456"/>
    </row>
    <row r="7" spans="1:81" s="452" customFormat="1" ht="12" x14ac:dyDescent="0.25">
      <c r="A7" s="239">
        <v>1962</v>
      </c>
      <c r="B7" s="456">
        <f t="shared" ref="B7:I7" si="2">T7+AC7+AL7+AU7+BD7+BV7+BM7</f>
        <v>16.967866481116218</v>
      </c>
      <c r="C7" s="456">
        <f t="shared" si="2"/>
        <v>25.671879151763441</v>
      </c>
      <c r="D7" s="456">
        <f t="shared" si="2"/>
        <v>27.999553260563335</v>
      </c>
      <c r="E7" s="456">
        <f t="shared" si="2"/>
        <v>30.646783610303828</v>
      </c>
      <c r="F7" s="456">
        <f t="shared" si="2"/>
        <v>34.3927953745739</v>
      </c>
      <c r="G7" s="456">
        <f t="shared" si="2"/>
        <v>37.637578134908104</v>
      </c>
      <c r="H7" s="456">
        <f t="shared" si="2"/>
        <v>40.944850673909137</v>
      </c>
      <c r="I7" s="456">
        <f t="shared" si="2"/>
        <v>45.114925464342882</v>
      </c>
      <c r="J7" s="456"/>
      <c r="K7" s="456">
        <f t="shared" ref="K7:R7" si="3">T7+AC7+AL7+AU7+BV7+BM7</f>
        <v>12.218054469907296</v>
      </c>
      <c r="L7" s="456">
        <f t="shared" si="3"/>
        <v>21.676031699196617</v>
      </c>
      <c r="M7" s="456">
        <f t="shared" si="3"/>
        <v>25.256088177768181</v>
      </c>
      <c r="N7" s="456">
        <f t="shared" si="3"/>
        <v>28.979296239707594</v>
      </c>
      <c r="O7" s="456">
        <f t="shared" si="3"/>
        <v>33.740175418932964</v>
      </c>
      <c r="P7" s="456">
        <f t="shared" si="3"/>
        <v>37.26651188024114</v>
      </c>
      <c r="Q7" s="456">
        <f t="shared" si="3"/>
        <v>40.817931394545894</v>
      </c>
      <c r="R7" s="456">
        <f t="shared" si="3"/>
        <v>45.091001657126476</v>
      </c>
      <c r="S7" s="456"/>
      <c r="T7" s="456">
        <f>'F-B5'!W36/'F-B5'!$AE36*100</f>
        <v>2.2973177687397879</v>
      </c>
      <c r="U7" s="456">
        <f>'F-B6'!P36/'F-B6'!$X36*100</f>
        <v>8.1246108508704893</v>
      </c>
      <c r="V7" s="456">
        <f>('C1-Incomes'!JH10-'C1-Incomes'!JI10)/('C1-Incomes'!$S10-'C1-Incomes'!$T10)*100</f>
        <v>10.530492930211466</v>
      </c>
      <c r="W7" s="456">
        <f>('C1-Incomes'!JI10-'C1-Incomes'!JJ10)/('C1-Incomes'!$T10-'C1-Incomes'!$U10)*100</f>
        <v>12.246096190883545</v>
      </c>
      <c r="X7" s="456">
        <f>('C1-Incomes'!JJ10-'C1-Incomes'!JK10)/('C1-Incomes'!$U10-'C1-Incomes'!$V10)*100</f>
        <v>14.527393888318841</v>
      </c>
      <c r="Y7" s="456">
        <f>('C1-Incomes'!JK10-'C1-Incomes'!JL10)/('C1-Incomes'!$V10-'C1-Incomes'!$W10)*100</f>
        <v>16.183436010831365</v>
      </c>
      <c r="Z7" s="456">
        <f>('C1-Incomes'!JL10-'C1-Incomes'!JM10)/('C1-Incomes'!$W10-'C1-Incomes'!$X10)*100</f>
        <v>16.09136473964039</v>
      </c>
      <c r="AA7" s="456">
        <f>'C1-Incomes'!JM10/'C1-Incomes'!$X10*100</f>
        <v>16.334947334212156</v>
      </c>
      <c r="AB7" s="458"/>
      <c r="AC7" s="456">
        <f>'F-B5'!X36/'F-B5'!$AE36*100</f>
        <v>0.20706991313930756</v>
      </c>
      <c r="AD7" s="456">
        <f>'F-B6'!Q36/'F-B6'!$X36*100</f>
        <v>0.45739413398749429</v>
      </c>
      <c r="AE7" s="456">
        <f>('C1-Incomes'!JP10-'C1-Incomes'!JQ10)/('C1-Incomes'!$S10-'C1-Incomes'!$T10)*100</f>
        <v>0.5885721570506357</v>
      </c>
      <c r="AF7" s="456">
        <f>('C1-Incomes'!JQ10-'C1-Incomes'!JR10)/('C1-Incomes'!$T10-'C1-Incomes'!$U10)*100</f>
        <v>0.8525735953098541</v>
      </c>
      <c r="AG7" s="456">
        <f>('C1-Incomes'!JR10-'C1-Incomes'!JS10)/('C1-Incomes'!$U10-'C1-Incomes'!$V10)*100</f>
        <v>1.2902931037379146</v>
      </c>
      <c r="AH7" s="456">
        <f>('C1-Incomes'!JS10-'C1-Incomes'!JT10)/('C1-Incomes'!$V10-'C1-Incomes'!$W10)*100</f>
        <v>1.5149600187863752</v>
      </c>
      <c r="AI7" s="456">
        <f>('C1-Incomes'!JT10-'C1-Incomes'!JU10)/('C1-Incomes'!$W10-'C1-Incomes'!$X10)*100</f>
        <v>1.5546945182280369</v>
      </c>
      <c r="AJ7" s="456">
        <f>'C1-Incomes'!JU10/'C1-Incomes'!$X10*100</f>
        <v>1.4834366205942175</v>
      </c>
      <c r="AK7" s="458"/>
      <c r="AL7" s="456">
        <f>'F-B5'!Y36/'F-B5'!$AE36*100</f>
        <v>2.3147261887079078</v>
      </c>
      <c r="AM7" s="456">
        <f>'F-B6'!R36/'F-B6'!$X36*100</f>
        <v>3.2034699840345215</v>
      </c>
      <c r="AN7" s="456">
        <f>('C1-Incomes'!JX10-'C1-Incomes'!JY10)/('C1-Incomes'!$S10-'C1-Incomes'!$T10)*100</f>
        <v>3.7769202963840911</v>
      </c>
      <c r="AO7" s="456">
        <f>('C1-Incomes'!JY10-'C1-Incomes'!JZ10)/('C1-Incomes'!$T10-'C1-Incomes'!$U10)*100</f>
        <v>5.1672606442066265</v>
      </c>
      <c r="AP7" s="456">
        <f>('C1-Incomes'!JZ10-'C1-Incomes'!KA10)/('C1-Incomes'!$U10-'C1-Incomes'!$V10)*100</f>
        <v>7.6739519389756188</v>
      </c>
      <c r="AQ7" s="456">
        <f>('C1-Incomes'!KA10-'C1-Incomes'!KB10)/('C1-Incomes'!$V10-'C1-Incomes'!$W10)*100</f>
        <v>9.8856192791672406</v>
      </c>
      <c r="AR7" s="456">
        <f>('C1-Incomes'!KB10-'C1-Incomes'!KC10)/('C1-Incomes'!$W10-'C1-Incomes'!$X10)*100</f>
        <v>13.892790137297894</v>
      </c>
      <c r="AS7" s="456">
        <f>'C1-Incomes'!KC10/'C1-Incomes'!$X10*100</f>
        <v>17.069900310173832</v>
      </c>
      <c r="AT7" s="458"/>
      <c r="AU7" s="456">
        <f>'F-B5'!Z36/'F-B5'!$AE36*100</f>
        <v>1.8711570025994499</v>
      </c>
      <c r="AV7" s="456">
        <f>'F-B6'!S36/'F-B6'!$X36*100</f>
        <v>2.875200453836257</v>
      </c>
      <c r="AW7" s="456">
        <f>('C1-Incomes'!KF10-'C1-Incomes'!KG10)/('C1-Incomes'!$S10-'C1-Incomes'!$T10)*100</f>
        <v>3.8884093164810176</v>
      </c>
      <c r="AX7" s="456">
        <f>('C1-Incomes'!KG10-'C1-Incomes'!KH10)/('C1-Incomes'!$T10-'C1-Incomes'!$U10)*100</f>
        <v>5.038785988650254</v>
      </c>
      <c r="AY7" s="456">
        <f>('C1-Incomes'!KH10-'C1-Incomes'!KI10)/('C1-Incomes'!$U10-'C1-Incomes'!$V10)*100</f>
        <v>5.8369361429826236</v>
      </c>
      <c r="AZ7" s="456">
        <f>('C1-Incomes'!KI10-'C1-Incomes'!KJ10)/('C1-Incomes'!$V10-'C1-Incomes'!$W10)*100</f>
        <v>6.0685464885065885</v>
      </c>
      <c r="BA7" s="456">
        <f>('C1-Incomes'!KJ10-'C1-Incomes'!KK10)/('C1-Incomes'!$W10-'C1-Incomes'!$X10)*100</f>
        <v>6.6867853338544201</v>
      </c>
      <c r="BB7" s="456">
        <f>'C1-Incomes'!KK10/'C1-Incomes'!$X10*100</f>
        <v>7.5212055968743208</v>
      </c>
      <c r="BD7" s="456">
        <f>'F-B5'!AA36/'F-B5'!$AE36*100</f>
        <v>4.7498120112089222</v>
      </c>
      <c r="BE7" s="456">
        <f>'F-B6'!T36/'F-B6'!$X36*100</f>
        <v>3.9958474525668231</v>
      </c>
      <c r="BF7" s="456">
        <f>('C1-Incomes'!KN10-'C1-Incomes'!KO10)/('C1-Incomes'!$S10-'C1-Incomes'!$T10)*100</f>
        <v>2.7434650827951557</v>
      </c>
      <c r="BG7" s="456">
        <f>('C1-Incomes'!KO10-'C1-Incomes'!KP10)/('C1-Incomes'!$T10-'C1-Incomes'!$U10)*100</f>
        <v>1.6674873705962343</v>
      </c>
      <c r="BH7" s="456">
        <f>('C1-Incomes'!KP10-'C1-Incomes'!KQ10)/('C1-Incomes'!$U10-'C1-Incomes'!$V10)*100</f>
        <v>0.65261995564093866</v>
      </c>
      <c r="BI7" s="456">
        <f>('C1-Incomes'!KQ10-'C1-Incomes'!KR10)/('C1-Incomes'!$V10-'C1-Incomes'!$W10)*100</f>
        <v>0.37106625466696341</v>
      </c>
      <c r="BJ7" s="456">
        <f>('C1-Incomes'!KR10-'C1-Incomes'!KS10)/('C1-Incomes'!$W10-'C1-Incomes'!$X10)*100</f>
        <v>0.12691927936324574</v>
      </c>
      <c r="BK7" s="456">
        <f>'C1-Incomes'!KS10/'C1-Incomes'!$X10*100</f>
        <v>2.39238072164062E-2</v>
      </c>
      <c r="BL7" s="456"/>
      <c r="BM7" s="456">
        <f>'F-B5'!AC36/'F-B5'!$AE36*100</f>
        <v>0.40612442166815782</v>
      </c>
      <c r="BN7" s="456">
        <f>'F-B6'!V36/'F-B6'!$X36*100</f>
        <v>0.27665053300044445</v>
      </c>
      <c r="BO7" s="456">
        <f>('C1-Incomes'!LL10-'C1-Incomes'!LM10)/('C1-Incomes'!$S10-'C1-Incomes'!$T10)*100</f>
        <v>0.5139724102828096</v>
      </c>
      <c r="BP7" s="456">
        <f>('C1-Incomes'!LM10-'C1-Incomes'!LN10)/('C1-Incomes'!$T10-'C1-Incomes'!$U10)*100</f>
        <v>0.86678032610066524</v>
      </c>
      <c r="BQ7" s="456">
        <f>('C1-Incomes'!LN10-'C1-Incomes'!LO10)/('C1-Incomes'!$U10-'C1-Incomes'!$V10)*100</f>
        <v>1.2197485566702602</v>
      </c>
      <c r="BR7" s="456">
        <f>('C1-Incomes'!LO10-'C1-Incomes'!LP10)/('C1-Incomes'!$V10-'C1-Incomes'!$W10)*100</f>
        <v>1.2985563817323109</v>
      </c>
      <c r="BS7" s="456">
        <f>('C1-Incomes'!LP10-'C1-Incomes'!LQ10)/('C1-Incomes'!$W10-'C1-Incomes'!$X10)*100</f>
        <v>1.3066171276639751</v>
      </c>
      <c r="BT7" s="456">
        <f>'C1-Incomes'!LQ10/'C1-Incomes'!$X10*100</f>
        <v>1.9839913719920232</v>
      </c>
      <c r="BV7" s="456">
        <f>'F-B5'!AB36/'F-B5'!$AE36*100</f>
        <v>5.1216591750526854</v>
      </c>
      <c r="BW7" s="456">
        <f>'F-B6'!U36/'F-B6'!$X36*100</f>
        <v>6.7387057434674098</v>
      </c>
      <c r="BX7" s="456">
        <f>('C1-Incomes'!KV10-'C1-Incomes'!KW10)/('C1-Incomes'!$S10-'C1-Incomes'!$T10)*100</f>
        <v>5.957721067358162</v>
      </c>
      <c r="BY7" s="456">
        <f>('C1-Incomes'!KW10-'C1-Incomes'!KX10)/('C1-Incomes'!$T10-'C1-Incomes'!$U10)*100</f>
        <v>4.8077994945566482</v>
      </c>
      <c r="BZ7" s="456">
        <f>('C1-Incomes'!KX10-'C1-Incomes'!KY10)/('C1-Incomes'!$U10-'C1-Incomes'!$V10)*100</f>
        <v>3.1918517882477038</v>
      </c>
      <c r="CA7" s="456">
        <f>('C1-Incomes'!KY10-'C1-Incomes'!KZ10)/('C1-Incomes'!$V10-'C1-Incomes'!$W10)*100</f>
        <v>2.3153937012172601</v>
      </c>
      <c r="CB7" s="456">
        <f>('C1-Incomes'!KZ10-'C1-Incomes'!LA10)/('C1-Incomes'!$W10-'C1-Incomes'!$X10)*100</f>
        <v>1.2856795378611756</v>
      </c>
      <c r="CC7" s="456">
        <f>'C1-Incomes'!LA10/'C1-Incomes'!$X10*100</f>
        <v>0.69752042327992658</v>
      </c>
    </row>
    <row r="8" spans="1:81" s="452" customFormat="1" ht="5.25" customHeight="1" x14ac:dyDescent="0.25">
      <c r="A8" s="239"/>
      <c r="J8" s="456"/>
      <c r="K8" s="239"/>
      <c r="L8" s="239"/>
      <c r="M8" s="239"/>
      <c r="N8" s="239"/>
      <c r="O8" s="239"/>
      <c r="P8" s="239"/>
      <c r="Q8" s="239"/>
      <c r="R8" s="239"/>
      <c r="S8" s="456"/>
      <c r="T8" s="458"/>
      <c r="U8" s="458"/>
      <c r="V8" s="458"/>
      <c r="W8" s="458"/>
      <c r="X8" s="458"/>
      <c r="Y8" s="458"/>
      <c r="Z8" s="458"/>
      <c r="AA8" s="458"/>
      <c r="AB8" s="458"/>
      <c r="AC8" s="456"/>
      <c r="AD8" s="456"/>
      <c r="AE8" s="456"/>
      <c r="AF8" s="456"/>
      <c r="AG8" s="456"/>
      <c r="AH8" s="456"/>
      <c r="AI8" s="456"/>
      <c r="AJ8" s="456"/>
      <c r="AK8" s="458"/>
      <c r="AL8" s="456"/>
      <c r="AM8" s="456"/>
      <c r="AN8" s="456"/>
      <c r="AO8" s="456"/>
      <c r="AP8" s="456"/>
      <c r="AQ8" s="456"/>
      <c r="AR8" s="456"/>
      <c r="AS8" s="456"/>
      <c r="AT8" s="458"/>
      <c r="AU8" s="456"/>
      <c r="AV8" s="456"/>
      <c r="AW8" s="456"/>
      <c r="AX8" s="456"/>
      <c r="AY8" s="456"/>
      <c r="AZ8" s="456"/>
      <c r="BA8" s="456"/>
      <c r="BB8" s="456"/>
      <c r="BD8" s="456"/>
      <c r="BE8" s="456"/>
      <c r="BF8" s="456"/>
      <c r="BG8" s="456"/>
      <c r="BH8" s="456"/>
      <c r="BI8" s="456"/>
      <c r="BJ8" s="456"/>
      <c r="BK8" s="456"/>
      <c r="BL8" s="456"/>
      <c r="BM8" s="456"/>
      <c r="BN8" s="456"/>
      <c r="BO8" s="456"/>
      <c r="BP8" s="456"/>
      <c r="BQ8" s="456"/>
      <c r="BR8" s="456"/>
      <c r="BS8" s="456"/>
      <c r="BT8" s="456"/>
      <c r="BV8" s="456"/>
      <c r="BW8" s="456"/>
      <c r="BX8" s="456"/>
      <c r="BY8" s="456"/>
      <c r="BZ8" s="456"/>
      <c r="CA8" s="456"/>
      <c r="CB8" s="456"/>
      <c r="CC8" s="456"/>
    </row>
    <row r="9" spans="1:81" s="452" customFormat="1" ht="12" x14ac:dyDescent="0.25">
      <c r="A9" s="239">
        <v>1964</v>
      </c>
      <c r="B9" s="456">
        <f t="shared" ref="B9:I9" si="4">T9+AC9+AL9+AU9+BD9+BV9+BM9</f>
        <v>16.452424213192874</v>
      </c>
      <c r="C9" s="456">
        <f t="shared" si="4"/>
        <v>24.477994564565648</v>
      </c>
      <c r="D9" s="456">
        <f t="shared" si="4"/>
        <v>28.089174585401139</v>
      </c>
      <c r="E9" s="456">
        <f t="shared" si="4"/>
        <v>30.29778281848504</v>
      </c>
      <c r="F9" s="456">
        <f t="shared" si="4"/>
        <v>34.215295956778355</v>
      </c>
      <c r="G9" s="456">
        <f t="shared" si="4"/>
        <v>37.102108364843708</v>
      </c>
      <c r="H9" s="456">
        <f t="shared" si="4"/>
        <v>40.566484463189298</v>
      </c>
      <c r="I9" s="456">
        <f t="shared" si="4"/>
        <v>45.087046068239829</v>
      </c>
      <c r="J9" s="456"/>
      <c r="K9" s="456">
        <f t="shared" ref="K9:R9" si="5">T9+AC9+AL9+AU9+BV9+BM9</f>
        <v>11.951284800274832</v>
      </c>
      <c r="L9" s="456">
        <f t="shared" si="5"/>
        <v>20.283175414502189</v>
      </c>
      <c r="M9" s="456">
        <f t="shared" si="5"/>
        <v>24.842921953286741</v>
      </c>
      <c r="N9" s="456">
        <f t="shared" si="5"/>
        <v>28.307287806702767</v>
      </c>
      <c r="O9" s="456">
        <f t="shared" si="5"/>
        <v>33.494528632966116</v>
      </c>
      <c r="P9" s="456">
        <f t="shared" si="5"/>
        <v>36.732818042428342</v>
      </c>
      <c r="Q9" s="456">
        <f t="shared" si="5"/>
        <v>40.438299464678138</v>
      </c>
      <c r="R9" s="456">
        <f t="shared" si="5"/>
        <v>45.063761321418475</v>
      </c>
      <c r="S9" s="456"/>
      <c r="T9" s="456">
        <f>'F-B5'!W38/'F-B5'!$AE38*100</f>
        <v>1.8298953187625151</v>
      </c>
      <c r="U9" s="456">
        <f>'F-B6'!P38/'F-B6'!$X38*100</f>
        <v>6.7768254209189571</v>
      </c>
      <c r="V9" s="456">
        <f>('C1-Incomes'!JH12-'C1-Incomes'!JI12)/('C1-Incomes'!$S12-'C1-Incomes'!$T12)*100</f>
        <v>9.617130892618567</v>
      </c>
      <c r="W9" s="456">
        <f>('C1-Incomes'!JI12-'C1-Incomes'!JJ12)/('C1-Incomes'!$T12-'C1-Incomes'!$U12)*100</f>
        <v>11.102369997924711</v>
      </c>
      <c r="X9" s="456">
        <f>('C1-Incomes'!JJ12-'C1-Incomes'!JK12)/('C1-Incomes'!$U12-'C1-Incomes'!$V12)*100</f>
        <v>13.789421202849311</v>
      </c>
      <c r="Y9" s="456">
        <f>('C1-Incomes'!JK12-'C1-Incomes'!JL12)/('C1-Incomes'!$V12-'C1-Incomes'!$W12)*100</f>
        <v>14.613476747696518</v>
      </c>
      <c r="Z9" s="456">
        <f>('C1-Incomes'!JL12-'C1-Incomes'!JM12)/('C1-Incomes'!$W12-'C1-Incomes'!$X12)*100</f>
        <v>14.942488033977519</v>
      </c>
      <c r="AA9" s="456">
        <f>'C1-Incomes'!JM12/'C1-Incomes'!$X12*100</f>
        <v>15.560252036738348</v>
      </c>
      <c r="AB9" s="458"/>
      <c r="AC9" s="456">
        <f>'F-B5'!X38/'F-B5'!$AE38*100</f>
        <v>0.27801436401471435</v>
      </c>
      <c r="AD9" s="456">
        <f>'F-B6'!Q38/'F-B6'!$X38*100</f>
        <v>0.55427548773286062</v>
      </c>
      <c r="AE9" s="456">
        <f>('C1-Incomes'!JP12-'C1-Incomes'!JQ12)/('C1-Incomes'!$S12-'C1-Incomes'!$T12)*100</f>
        <v>0.714108351594678</v>
      </c>
      <c r="AF9" s="456">
        <f>('C1-Incomes'!JQ12-'C1-Incomes'!JR12)/('C1-Incomes'!$T12-'C1-Incomes'!$U12)*100</f>
        <v>0.88991385950024982</v>
      </c>
      <c r="AG9" s="456">
        <f>('C1-Incomes'!JR12-'C1-Incomes'!JS12)/('C1-Incomes'!$U12-'C1-Incomes'!$V12)*100</f>
        <v>1.360411144668364</v>
      </c>
      <c r="AH9" s="456">
        <f>('C1-Incomes'!JS12-'C1-Incomes'!JT12)/('C1-Incomes'!$V12-'C1-Incomes'!$W12)*100</f>
        <v>1.3657484283895971</v>
      </c>
      <c r="AI9" s="456">
        <f>('C1-Incomes'!JT12-'C1-Incomes'!JU12)/('C1-Incomes'!$W12-'C1-Incomes'!$X12)*100</f>
        <v>1.3691133034197451</v>
      </c>
      <c r="AJ9" s="456">
        <f>'C1-Incomes'!JU12/'C1-Incomes'!$X12*100</f>
        <v>1.2735694803901958</v>
      </c>
      <c r="AK9" s="458"/>
      <c r="AL9" s="456">
        <f>'F-B5'!Y38/'F-B5'!$AE38*100</f>
        <v>2.262310145052477</v>
      </c>
      <c r="AM9" s="456">
        <f>'F-B6'!R38/'F-B6'!$X38*100</f>
        <v>3.0367723680111198</v>
      </c>
      <c r="AN9" s="456">
        <f>('C1-Incomes'!JX12-'C1-Incomes'!JY12)/('C1-Incomes'!$S12-'C1-Incomes'!$T12)*100</f>
        <v>3.7928518180375237</v>
      </c>
      <c r="AO9" s="456">
        <f>('C1-Incomes'!JY12-'C1-Incomes'!JZ12)/('C1-Incomes'!$T12-'C1-Incomes'!$U12)*100</f>
        <v>5.3761319196453261</v>
      </c>
      <c r="AP9" s="456">
        <f>('C1-Incomes'!JZ12-'C1-Incomes'!KA12)/('C1-Incomes'!$U12-'C1-Incomes'!$V12)*100</f>
        <v>7.5805167602002248</v>
      </c>
      <c r="AQ9" s="456">
        <f>('C1-Incomes'!KA12-'C1-Incomes'!KB12)/('C1-Incomes'!$V12-'C1-Incomes'!$W12)*100</f>
        <v>10.618726114397452</v>
      </c>
      <c r="AR9" s="456">
        <f>('C1-Incomes'!KB12-'C1-Incomes'!KC12)/('C1-Incomes'!$W12-'C1-Incomes'!$X12)*100</f>
        <v>14.528824299465251</v>
      </c>
      <c r="AS9" s="456">
        <f>'C1-Incomes'!KC12/'C1-Incomes'!$X12*100</f>
        <v>17.763590471868309</v>
      </c>
      <c r="AT9" s="458"/>
      <c r="AU9" s="456">
        <f>'F-B5'!Z38/'F-B5'!$AE38*100</f>
        <v>2.0163805006981983</v>
      </c>
      <c r="AV9" s="456">
        <f>'F-B6'!S38/'F-B6'!$X38*100</f>
        <v>2.8817427236491651</v>
      </c>
      <c r="AW9" s="456">
        <f>('C1-Incomes'!KF12-'C1-Incomes'!KG12)/('C1-Incomes'!$S12-'C1-Incomes'!$T12)*100</f>
        <v>3.7644075297076056</v>
      </c>
      <c r="AX9" s="456">
        <f>('C1-Incomes'!KG12-'C1-Incomes'!KH12)/('C1-Incomes'!$T12-'C1-Incomes'!$U12)*100</f>
        <v>4.7950654602439631</v>
      </c>
      <c r="AY9" s="456">
        <f>('C1-Incomes'!KH12-'C1-Incomes'!KI12)/('C1-Incomes'!$U12-'C1-Incomes'!$V12)*100</f>
        <v>5.9880464374432947</v>
      </c>
      <c r="AZ9" s="456">
        <f>('C1-Incomes'!KI12-'C1-Incomes'!KJ12)/('C1-Incomes'!$V12-'C1-Incomes'!$W12)*100</f>
        <v>6.4632289977913082</v>
      </c>
      <c r="BA9" s="456">
        <f>('C1-Incomes'!KJ12-'C1-Incomes'!KK12)/('C1-Incomes'!$W12-'C1-Incomes'!$X12)*100</f>
        <v>7.0339677030251835</v>
      </c>
      <c r="BB9" s="456">
        <f>'C1-Incomes'!KK12/'C1-Incomes'!$X12*100</f>
        <v>7.7278388628757657</v>
      </c>
      <c r="BD9" s="456">
        <f>'F-B5'!AA38/'F-B5'!$AE38*100</f>
        <v>4.5011394129180395</v>
      </c>
      <c r="BE9" s="456">
        <f>'F-B6'!T38/'F-B6'!$X38*100</f>
        <v>4.1948191500634602</v>
      </c>
      <c r="BF9" s="456">
        <f>('C1-Incomes'!KN12-'C1-Incomes'!KO12)/('C1-Incomes'!$S12-'C1-Incomes'!$T12)*100</f>
        <v>3.2462526321143992</v>
      </c>
      <c r="BG9" s="456">
        <f>('C1-Incomes'!KO12-'C1-Incomes'!KP12)/('C1-Incomes'!$T12-'C1-Incomes'!$U12)*100</f>
        <v>1.9904950117822766</v>
      </c>
      <c r="BH9" s="456">
        <f>('C1-Incomes'!KP12-'C1-Incomes'!KQ12)/('C1-Incomes'!$U12-'C1-Incomes'!$V12)*100</f>
        <v>0.72076732381223874</v>
      </c>
      <c r="BI9" s="456">
        <f>('C1-Incomes'!KQ12-'C1-Incomes'!KR12)/('C1-Incomes'!$V12-'C1-Incomes'!$W12)*100</f>
        <v>0.36929032241536713</v>
      </c>
      <c r="BJ9" s="456">
        <f>('C1-Incomes'!KR12-'C1-Incomes'!KS12)/('C1-Incomes'!$W12-'C1-Incomes'!$X12)*100</f>
        <v>0.12818499851115886</v>
      </c>
      <c r="BK9" s="456">
        <f>'C1-Incomes'!KS12/'C1-Incomes'!$X12*100</f>
        <v>2.3284746821355513E-2</v>
      </c>
      <c r="BL9" s="456"/>
      <c r="BM9" s="456">
        <f>'F-B5'!AC38/'F-B5'!$AE38*100</f>
        <v>0.45140832413493304</v>
      </c>
      <c r="BN9" s="456">
        <f>'F-B6'!V38/'F-B6'!$X38*100</f>
        <v>0.30109205710398612</v>
      </c>
      <c r="BO9" s="456">
        <f>('C1-Incomes'!LL12-'C1-Incomes'!LM12)/('C1-Incomes'!$S12-'C1-Incomes'!$T12)*100</f>
        <v>0.60305830841781416</v>
      </c>
      <c r="BP9" s="456">
        <f>('C1-Incomes'!LM12-'C1-Incomes'!LN12)/('C1-Incomes'!$T12-'C1-Incomes'!$U12)*100</f>
        <v>0.99345153010898613</v>
      </c>
      <c r="BQ9" s="456">
        <f>('C1-Incomes'!LN12-'C1-Incomes'!LO12)/('C1-Incomes'!$U12-'C1-Incomes'!$V12)*100</f>
        <v>1.4320770933743243</v>
      </c>
      <c r="BR9" s="456">
        <f>('C1-Incomes'!LO12-'C1-Incomes'!LP12)/('C1-Incomes'!$V12-'C1-Incomes'!$W12)*100</f>
        <v>1.3455123100518971</v>
      </c>
      <c r="BS9" s="456">
        <f>('C1-Incomes'!LP12-'C1-Incomes'!LQ12)/('C1-Incomes'!$W12-'C1-Incomes'!$X12)*100</f>
        <v>1.3151858330330188</v>
      </c>
      <c r="BT9" s="456">
        <f>'C1-Incomes'!LQ12/'C1-Incomes'!$X12*100</f>
        <v>2.0545296608099508</v>
      </c>
      <c r="BV9" s="456">
        <f>'F-B5'!AB38/'F-B5'!$AE38*100</f>
        <v>5.1132761476119937</v>
      </c>
      <c r="BW9" s="456">
        <f>'F-B6'!U38/'F-B6'!$X38*100</f>
        <v>6.7324673570861027</v>
      </c>
      <c r="BX9" s="456">
        <f>('C1-Incomes'!KV12-'C1-Incomes'!KW12)/('C1-Incomes'!$S12-'C1-Incomes'!$T12)*100</f>
        <v>6.3513650529105528</v>
      </c>
      <c r="BY9" s="456">
        <f>('C1-Incomes'!KW12-'C1-Incomes'!KX12)/('C1-Incomes'!$T12-'C1-Incomes'!$U12)*100</f>
        <v>5.1503550392795301</v>
      </c>
      <c r="BZ9" s="456">
        <f>('C1-Incomes'!KX12-'C1-Incomes'!KY12)/('C1-Incomes'!$U12-'C1-Incomes'!$V12)*100</f>
        <v>3.344055994430597</v>
      </c>
      <c r="CA9" s="456">
        <f>('C1-Incomes'!KY12-'C1-Incomes'!KZ12)/('C1-Incomes'!$V12-'C1-Incomes'!$W12)*100</f>
        <v>2.3261254441015726</v>
      </c>
      <c r="CB9" s="456">
        <f>('C1-Incomes'!KZ12-'C1-Incomes'!LA12)/('C1-Incomes'!$W12-'C1-Incomes'!$X12)*100</f>
        <v>1.2487202917574249</v>
      </c>
      <c r="CC9" s="456">
        <f>'C1-Incomes'!LA12/'C1-Incomes'!$X12*100</f>
        <v>0.68398080873591138</v>
      </c>
    </row>
    <row r="10" spans="1:81" s="452" customFormat="1" ht="5.25" customHeight="1" x14ac:dyDescent="0.25">
      <c r="A10" s="239"/>
      <c r="J10" s="456"/>
      <c r="K10" s="239"/>
      <c r="L10" s="239"/>
      <c r="M10" s="239"/>
      <c r="N10" s="239"/>
      <c r="O10" s="239"/>
      <c r="P10" s="239"/>
      <c r="Q10" s="239"/>
      <c r="R10" s="239"/>
      <c r="S10" s="456"/>
      <c r="T10" s="458"/>
      <c r="U10" s="458"/>
      <c r="V10" s="458"/>
      <c r="W10" s="458"/>
      <c r="X10" s="458"/>
      <c r="Y10" s="458"/>
      <c r="Z10" s="458"/>
      <c r="AA10" s="458"/>
      <c r="AB10" s="458"/>
      <c r="AC10" s="456"/>
      <c r="AD10" s="456"/>
      <c r="AE10" s="456"/>
      <c r="AF10" s="456"/>
      <c r="AG10" s="456"/>
      <c r="AH10" s="456"/>
      <c r="AI10" s="456"/>
      <c r="AJ10" s="456"/>
      <c r="AK10" s="458"/>
      <c r="AL10" s="456"/>
      <c r="AM10" s="456"/>
      <c r="AN10" s="456"/>
      <c r="AO10" s="456"/>
      <c r="AP10" s="456"/>
      <c r="AQ10" s="456"/>
      <c r="AR10" s="456"/>
      <c r="AS10" s="456"/>
      <c r="AT10" s="458"/>
      <c r="AU10" s="456"/>
      <c r="AV10" s="456"/>
      <c r="AW10" s="456"/>
      <c r="AX10" s="456"/>
      <c r="AY10" s="456"/>
      <c r="AZ10" s="456"/>
      <c r="BA10" s="456"/>
      <c r="BB10" s="456"/>
      <c r="BD10" s="456"/>
      <c r="BE10" s="456"/>
      <c r="BF10" s="456"/>
      <c r="BG10" s="456"/>
      <c r="BH10" s="456"/>
      <c r="BI10" s="456"/>
      <c r="BJ10" s="456"/>
      <c r="BK10" s="456"/>
      <c r="BL10" s="456"/>
      <c r="BM10" s="456"/>
      <c r="BN10" s="456"/>
      <c r="BO10" s="456"/>
      <c r="BP10" s="456"/>
      <c r="BQ10" s="456"/>
      <c r="BR10" s="456"/>
      <c r="BS10" s="456"/>
      <c r="BT10" s="456"/>
      <c r="BV10" s="456"/>
      <c r="BW10" s="456"/>
      <c r="BX10" s="456"/>
      <c r="BY10" s="456"/>
      <c r="BZ10" s="456"/>
      <c r="CA10" s="456"/>
      <c r="CB10" s="456"/>
      <c r="CC10" s="456"/>
    </row>
    <row r="11" spans="1:81" s="452" customFormat="1" ht="12" x14ac:dyDescent="0.25">
      <c r="A11" s="239">
        <v>1966</v>
      </c>
      <c r="B11" s="456">
        <f t="shared" ref="B11:B60" si="6">T11+AC11+AL11+AU11+BD11+BV11+BM11</f>
        <v>17.932047060411339</v>
      </c>
      <c r="C11" s="456">
        <f t="shared" ref="C11:C60" si="7">U11+AD11+AM11+AV11+BE11+BW11+BN11</f>
        <v>25.681960156573851</v>
      </c>
      <c r="D11" s="456">
        <f t="shared" ref="D11:D60" si="8">V11+AE11+AN11+AW11+BF11+BX11+BO11</f>
        <v>27.637411693941928</v>
      </c>
      <c r="E11" s="456">
        <f t="shared" ref="E11:E60" si="9">W11+AF11+AO11+AX11+BG11+BY11+BP11</f>
        <v>30.028507934775043</v>
      </c>
      <c r="F11" s="456">
        <f t="shared" ref="F11:F60" si="10">X11+AG11+AP11+AY11+BH11+BZ11+BQ11</f>
        <v>33.192305558146913</v>
      </c>
      <c r="G11" s="456">
        <f t="shared" ref="G11:G60" si="11">Y11+AH11+AQ11+AZ11+BI11+CA11+BR11</f>
        <v>35.702506983119754</v>
      </c>
      <c r="H11" s="456">
        <f t="shared" ref="H11:H60" si="12">Z11+AI11+AR11+BA11+BJ11+CB11+BS11</f>
        <v>39.155181641758091</v>
      </c>
      <c r="I11" s="456">
        <f t="shared" ref="I11:I60" si="13">AA11+AJ11+AS11+BB11+BK11+CC11+BT11</f>
        <v>42.452221208100205</v>
      </c>
      <c r="J11" s="456"/>
      <c r="K11" s="456">
        <f t="shared" ref="K11:K60" si="14">T11+AC11+AL11+AU11+BV11+BM11</f>
        <v>12.660244326296773</v>
      </c>
      <c r="L11" s="456">
        <f t="shared" ref="L11:L60" si="15">U11+AD11+AM11+AV11+BW11+BN11</f>
        <v>20.690267280691828</v>
      </c>
      <c r="M11" s="456">
        <f t="shared" ref="M11:M60" si="16">V11+AE11+AN11+AW11+BX11+BO11</f>
        <v>24.054819619510415</v>
      </c>
      <c r="N11" s="456">
        <f t="shared" ref="N11:N60" si="17">W11+AF11+AO11+AX11+BY11+BP11</f>
        <v>27.853738853472418</v>
      </c>
      <c r="O11" s="456">
        <f t="shared" ref="O11:O60" si="18">X11+AG11+AP11+AY11+BZ11+BQ11</f>
        <v>32.320868353104878</v>
      </c>
      <c r="P11" s="456">
        <f t="shared" ref="P11:P60" si="19">Y11+AH11+AQ11+AZ11+CA11+BR11</f>
        <v>35.222962973421474</v>
      </c>
      <c r="Q11" s="456">
        <f t="shared" ref="Q11:Q60" si="20">Z11+AI11+AR11+BA11+CB11+BS11</f>
        <v>38.99871514169655</v>
      </c>
      <c r="R11" s="456">
        <f t="shared" ref="R11:R60" si="21">AA11+AJ11+AS11+BB11+CC11+BT11</f>
        <v>42.423235879222517</v>
      </c>
      <c r="S11" s="456"/>
      <c r="T11" s="456">
        <f>'F-B5'!W40/'F-B5'!$AE40*100</f>
        <v>2.5011325455768936</v>
      </c>
      <c r="U11" s="456">
        <f>'F-B6'!P40/'F-B6'!$X40*100</f>
        <v>7.4151428064817377</v>
      </c>
      <c r="V11" s="456">
        <f>('C1-Incomes'!JH14-'C1-Incomes'!JI14)/('C1-Incomes'!$S14-'C1-Incomes'!$T14)*100</f>
        <v>9.7236992645923941</v>
      </c>
      <c r="W11" s="456">
        <f>('C1-Incomes'!JI14-'C1-Incomes'!JJ14)/('C1-Incomes'!$T14-'C1-Incomes'!$U14)*100</f>
        <v>11.555950662460408</v>
      </c>
      <c r="X11" s="456">
        <f>('C1-Incomes'!JJ14-'C1-Incomes'!JK14)/('C1-Incomes'!$U14-'C1-Incomes'!$V14)*100</f>
        <v>13.892243895605732</v>
      </c>
      <c r="Y11" s="456">
        <f>('C1-Incomes'!JK14-'C1-Incomes'!JL14)/('C1-Incomes'!$V14-'C1-Incomes'!$W14)*100</f>
        <v>15.079450742552215</v>
      </c>
      <c r="Z11" s="456">
        <f>('C1-Incomes'!JL14-'C1-Incomes'!JM14)/('C1-Incomes'!$W14-'C1-Incomes'!$X14)*100</f>
        <v>16.013637396764498</v>
      </c>
      <c r="AA11" s="456">
        <f>'C1-Incomes'!JM14/'C1-Incomes'!$X14*100</f>
        <v>16.51496280527007</v>
      </c>
      <c r="AB11" s="458"/>
      <c r="AC11" s="456">
        <f>'F-B5'!X40/'F-B5'!$AE40*100</f>
        <v>0.28822606471548584</v>
      </c>
      <c r="AD11" s="456">
        <f>'F-B6'!Q40/'F-B6'!$X40*100</f>
        <v>0.62419223958045089</v>
      </c>
      <c r="AE11" s="456">
        <f>('C1-Incomes'!JP14-'C1-Incomes'!JQ14)/('C1-Incomes'!$S14-'C1-Incomes'!$T14)*100</f>
        <v>0.76649651888680925</v>
      </c>
      <c r="AF11" s="456">
        <f>('C1-Incomes'!JQ14-'C1-Incomes'!JR14)/('C1-Incomes'!$T14-'C1-Incomes'!$U14)*100</f>
        <v>1.0926360997214386</v>
      </c>
      <c r="AG11" s="456">
        <f>('C1-Incomes'!JR14-'C1-Incomes'!JS14)/('C1-Incomes'!$U14-'C1-Incomes'!$V14)*100</f>
        <v>1.4491891973891782</v>
      </c>
      <c r="AH11" s="456">
        <f>('C1-Incomes'!JS14-'C1-Incomes'!JT14)/('C1-Incomes'!$V14-'C1-Incomes'!$W14)*100</f>
        <v>1.6478722468201936</v>
      </c>
      <c r="AI11" s="456">
        <f>('C1-Incomes'!JT14-'C1-Incomes'!JU14)/('C1-Incomes'!$W14-'C1-Incomes'!$X14)*100</f>
        <v>1.7113849673479915</v>
      </c>
      <c r="AJ11" s="456">
        <f>'C1-Incomes'!JU14/'C1-Incomes'!$X14*100</f>
        <v>1.5555377514709439</v>
      </c>
      <c r="AK11" s="458"/>
      <c r="AL11" s="456">
        <f>'F-B5'!Y40/'F-B5'!$AE40*100</f>
        <v>2.5751652256553057</v>
      </c>
      <c r="AM11" s="456">
        <f>'F-B6'!R40/'F-B6'!$X40*100</f>
        <v>3.3391147067999318</v>
      </c>
      <c r="AN11" s="456">
        <f>('C1-Incomes'!JX14-'C1-Incomes'!JY14)/('C1-Incomes'!$S14-'C1-Incomes'!$T14)*100</f>
        <v>3.8572679915262587</v>
      </c>
      <c r="AO11" s="456">
        <f>('C1-Incomes'!JY14-'C1-Incomes'!JZ14)/('C1-Incomes'!$T14-'C1-Incomes'!$U14)*100</f>
        <v>5.3129788823924393</v>
      </c>
      <c r="AP11" s="456">
        <f>('C1-Incomes'!JZ14-'C1-Incomes'!KA14)/('C1-Incomes'!$U14-'C1-Incomes'!$V14)*100</f>
        <v>7.6057381332308687</v>
      </c>
      <c r="AQ11" s="456">
        <f>('C1-Incomes'!KA14-'C1-Incomes'!KB14)/('C1-Incomes'!$V14-'C1-Incomes'!$W14)*100</f>
        <v>9.9226737176946447</v>
      </c>
      <c r="AR11" s="456">
        <f>('C1-Incomes'!KB14-'C1-Incomes'!KC14)/('C1-Incomes'!$W14-'C1-Incomes'!$X14)*100</f>
        <v>13.140282096934735</v>
      </c>
      <c r="AS11" s="456">
        <f>'C1-Incomes'!KC14/'C1-Incomes'!$X14*100</f>
        <v>15.552499711692125</v>
      </c>
      <c r="AT11" s="458"/>
      <c r="AU11" s="456">
        <f>'F-B5'!Z40/'F-B5'!$AE40*100</f>
        <v>2.0293997705149094</v>
      </c>
      <c r="AV11" s="456">
        <f>'F-B6'!S40/'F-B6'!$X40*100</f>
        <v>2.9041551913331896</v>
      </c>
      <c r="AW11" s="456">
        <f>('C1-Incomes'!KF14-'C1-Incomes'!KG14)/('C1-Incomes'!$S14-'C1-Incomes'!$T14)*100</f>
        <v>3.6862871867754228</v>
      </c>
      <c r="AX11" s="456">
        <f>('C1-Incomes'!KG14-'C1-Incomes'!KH14)/('C1-Incomes'!$T14-'C1-Incomes'!$U14)*100</f>
        <v>4.587949552482872</v>
      </c>
      <c r="AY11" s="456">
        <f>('C1-Incomes'!KH14-'C1-Incomes'!KI14)/('C1-Incomes'!$U14-'C1-Incomes'!$V14)*100</f>
        <v>5.191963177498371</v>
      </c>
      <c r="AZ11" s="456">
        <f>('C1-Incomes'!KI14-'C1-Incomes'!KJ14)/('C1-Incomes'!$V14-'C1-Incomes'!$W14)*100</f>
        <v>5.2982076682682306</v>
      </c>
      <c r="BA11" s="456">
        <f>('C1-Incomes'!KJ14-'C1-Incomes'!KK14)/('C1-Incomes'!$W14-'C1-Incomes'!$X14)*100</f>
        <v>5.6829235408703838</v>
      </c>
      <c r="BB11" s="456">
        <f>'C1-Incomes'!KK14/'C1-Incomes'!$X14*100</f>
        <v>6.0621494823127327</v>
      </c>
      <c r="BD11" s="456">
        <f>'F-B5'!AA40/'F-B5'!$AE40*100</f>
        <v>5.2718027341145648</v>
      </c>
      <c r="BE11" s="456">
        <f>'F-B6'!T40/'F-B6'!$X40*100</f>
        <v>4.9916928758820234</v>
      </c>
      <c r="BF11" s="456">
        <f>('C1-Incomes'!KN14-'C1-Incomes'!KO14)/('C1-Incomes'!$S14-'C1-Incomes'!$T14)*100</f>
        <v>3.5825920744315134</v>
      </c>
      <c r="BG11" s="456">
        <f>('C1-Incomes'!KO14-'C1-Incomes'!KP14)/('C1-Incomes'!$T14-'C1-Incomes'!$U14)*100</f>
        <v>2.1747690813026233</v>
      </c>
      <c r="BH11" s="456">
        <f>('C1-Incomes'!KP14-'C1-Incomes'!KQ14)/('C1-Incomes'!$U14-'C1-Incomes'!$V14)*100</f>
        <v>0.87143720504203392</v>
      </c>
      <c r="BI11" s="456">
        <f>('C1-Incomes'!KQ14-'C1-Incomes'!KR14)/('C1-Incomes'!$V14-'C1-Incomes'!$W14)*100</f>
        <v>0.47954400969827937</v>
      </c>
      <c r="BJ11" s="456">
        <f>('C1-Incomes'!KR14-'C1-Incomes'!KS14)/('C1-Incomes'!$W14-'C1-Incomes'!$X14)*100</f>
        <v>0.15646650006154117</v>
      </c>
      <c r="BK11" s="456">
        <f>'C1-Incomes'!KS14/'C1-Incomes'!$X14*100</f>
        <v>2.8985328877686366E-2</v>
      </c>
      <c r="BL11" s="456"/>
      <c r="BM11" s="456">
        <f>'F-B5'!AC40/'F-B5'!$AE40*100</f>
        <v>0.45949069743805954</v>
      </c>
      <c r="BN11" s="456">
        <f>'F-B6'!V40/'F-B6'!$X40*100</f>
        <v>0.30213326644064131</v>
      </c>
      <c r="BO11" s="456">
        <f>('C1-Incomes'!LL14-'C1-Incomes'!LM14)/('C1-Incomes'!$S14-'C1-Incomes'!$T14)*100</f>
        <v>0.58558570118983266</v>
      </c>
      <c r="BP11" s="456">
        <f>('C1-Incomes'!LM14-'C1-Incomes'!LN14)/('C1-Incomes'!$T14-'C1-Incomes'!$U14)*100</f>
        <v>0.99837524632992902</v>
      </c>
      <c r="BQ11" s="456">
        <f>('C1-Incomes'!LN14-'C1-Incomes'!LO14)/('C1-Incomes'!$U14-'C1-Incomes'!$V14)*100</f>
        <v>1.3286931932690882</v>
      </c>
      <c r="BR11" s="456">
        <f>('C1-Incomes'!LO14-'C1-Incomes'!LP14)/('C1-Incomes'!$V14-'C1-Incomes'!$W14)*100</f>
        <v>1.2525339324768685</v>
      </c>
      <c r="BS11" s="456">
        <f>('C1-Incomes'!LP14-'C1-Incomes'!LQ14)/('C1-Incomes'!$W14-'C1-Incomes'!$X14)*100</f>
        <v>1.2829143622614119</v>
      </c>
      <c r="BT11" s="456">
        <f>'C1-Incomes'!LQ14/'C1-Incomes'!$X14*100</f>
        <v>2.0130247756594626</v>
      </c>
      <c r="BV11" s="456">
        <f>'F-B5'!AB40/'F-B5'!$AE40*100</f>
        <v>4.8068300223961202</v>
      </c>
      <c r="BW11" s="456">
        <f>'F-B6'!U40/'F-B6'!$X40*100</f>
        <v>6.1055290700558764</v>
      </c>
      <c r="BX11" s="456">
        <f>('C1-Incomes'!KV14-'C1-Incomes'!KW14)/('C1-Incomes'!$S14-'C1-Incomes'!$T14)*100</f>
        <v>5.4354829565396985</v>
      </c>
      <c r="BY11" s="456">
        <f>('C1-Incomes'!KW14-'C1-Incomes'!KX14)/('C1-Incomes'!$T14-'C1-Incomes'!$U14)*100</f>
        <v>4.3058484100853311</v>
      </c>
      <c r="BZ11" s="456">
        <f>('C1-Incomes'!KX14-'C1-Incomes'!KY14)/('C1-Incomes'!$U14-'C1-Incomes'!$V14)*100</f>
        <v>2.853040756111644</v>
      </c>
      <c r="CA11" s="456">
        <f>('C1-Incomes'!KY14-'C1-Incomes'!KZ14)/('C1-Incomes'!$V14-'C1-Incomes'!$W14)*100</f>
        <v>2.0222246656093263</v>
      </c>
      <c r="CB11" s="456">
        <f>('C1-Incomes'!KZ14-'C1-Incomes'!LA14)/('C1-Incomes'!$W14-'C1-Incomes'!$X14)*100</f>
        <v>1.1675727775175315</v>
      </c>
      <c r="CC11" s="456">
        <f>'C1-Incomes'!LA14/'C1-Incomes'!$X14*100</f>
        <v>0.72506135281718531</v>
      </c>
    </row>
    <row r="12" spans="1:81" s="452" customFormat="1" ht="12" x14ac:dyDescent="0.25">
      <c r="A12" s="239">
        <v>1967</v>
      </c>
      <c r="B12" s="456">
        <f t="shared" si="6"/>
        <v>18.465051926592867</v>
      </c>
      <c r="C12" s="456">
        <f t="shared" si="7"/>
        <v>25.436364170268135</v>
      </c>
      <c r="D12" s="456">
        <f t="shared" si="8"/>
        <v>27.444612273874824</v>
      </c>
      <c r="E12" s="456">
        <f t="shared" si="9"/>
        <v>30.20743682836153</v>
      </c>
      <c r="F12" s="456">
        <f t="shared" si="10"/>
        <v>34.299984835093753</v>
      </c>
      <c r="G12" s="456">
        <f t="shared" si="11"/>
        <v>37.178322064132161</v>
      </c>
      <c r="H12" s="456">
        <f t="shared" si="12"/>
        <v>41.863394195052955</v>
      </c>
      <c r="I12" s="456">
        <f t="shared" si="13"/>
        <v>45.847895065512603</v>
      </c>
      <c r="J12" s="456"/>
      <c r="K12" s="456">
        <f t="shared" si="14"/>
        <v>12.728513496457094</v>
      </c>
      <c r="L12" s="456">
        <f t="shared" si="15"/>
        <v>20.352720710908542</v>
      </c>
      <c r="M12" s="456">
        <f t="shared" si="16"/>
        <v>23.93350339236779</v>
      </c>
      <c r="N12" s="456">
        <f t="shared" si="17"/>
        <v>28.083936372029882</v>
      </c>
      <c r="O12" s="456">
        <f t="shared" si="18"/>
        <v>33.427998858820814</v>
      </c>
      <c r="P12" s="456">
        <f t="shared" si="19"/>
        <v>36.698164240080729</v>
      </c>
      <c r="Q12" s="456">
        <f t="shared" si="20"/>
        <v>41.695786549679369</v>
      </c>
      <c r="R12" s="456">
        <f t="shared" si="21"/>
        <v>45.813650833566676</v>
      </c>
      <c r="S12" s="456"/>
      <c r="T12" s="456">
        <f>'F-B5'!W41/'F-B5'!$AE41*100</f>
        <v>2.600059647243766</v>
      </c>
      <c r="U12" s="456">
        <f>'F-B6'!P41/'F-B6'!$X41*100</f>
        <v>7.6351622917169877</v>
      </c>
      <c r="V12" s="456">
        <f>('C1-Incomes'!JH15-'C1-Incomes'!JI15)/('C1-Incomes'!$S15-'C1-Incomes'!$T15)*100</f>
        <v>9.7593204269648286</v>
      </c>
      <c r="W12" s="456">
        <f>('C1-Incomes'!JI15-'C1-Incomes'!JJ15)/('C1-Incomes'!$T15-'C1-Incomes'!$U15)*100</f>
        <v>11.827126068013721</v>
      </c>
      <c r="X12" s="456">
        <f>('C1-Incomes'!JJ15-'C1-Incomes'!JK15)/('C1-Incomes'!$U15-'C1-Incomes'!$V15)*100</f>
        <v>14.984565672444363</v>
      </c>
      <c r="Y12" s="456">
        <f>('C1-Incomes'!JK15-'C1-Incomes'!JL15)/('C1-Incomes'!$V15-'C1-Incomes'!$W15)*100</f>
        <v>16.210020824343829</v>
      </c>
      <c r="Z12" s="456">
        <f>('C1-Incomes'!JL15-'C1-Incomes'!JM15)/('C1-Incomes'!$W15-'C1-Incomes'!$X15)*100</f>
        <v>17.888835181110068</v>
      </c>
      <c r="AA12" s="456">
        <f>'C1-Incomes'!JM15/'C1-Incomes'!$X15*100</f>
        <v>18.40297281239036</v>
      </c>
      <c r="AB12" s="458"/>
      <c r="AC12" s="456">
        <f>'F-B5'!X41/'F-B5'!$AE41*100</f>
        <v>0.40566425449097188</v>
      </c>
      <c r="AD12" s="456">
        <f>'F-B6'!Q41/'F-B6'!$X41*100</f>
        <v>0.64655292469646009</v>
      </c>
      <c r="AE12" s="456">
        <f>('C1-Incomes'!JP15-'C1-Incomes'!JQ15)/('C1-Incomes'!$S15-'C1-Incomes'!$T15)*100</f>
        <v>0.82652082740806088</v>
      </c>
      <c r="AF12" s="456">
        <f>('C1-Incomes'!JQ15-'C1-Incomes'!JR15)/('C1-Incomes'!$T15-'C1-Incomes'!$U15)*100</f>
        <v>1.1298082375214955</v>
      </c>
      <c r="AG12" s="456">
        <f>('C1-Incomes'!JR15-'C1-Incomes'!JS15)/('C1-Incomes'!$U15-'C1-Incomes'!$V15)*100</f>
        <v>1.5269230840758941</v>
      </c>
      <c r="AH12" s="456">
        <f>('C1-Incomes'!JS15-'C1-Incomes'!JT15)/('C1-Incomes'!$V15-'C1-Incomes'!$W15)*100</f>
        <v>1.5475765497170926</v>
      </c>
      <c r="AI12" s="456">
        <f>('C1-Incomes'!JT15-'C1-Incomes'!JU15)/('C1-Incomes'!$W15-'C1-Incomes'!$X15)*100</f>
        <v>1.6271551052311686</v>
      </c>
      <c r="AJ12" s="456">
        <f>'C1-Incomes'!JU15/'C1-Incomes'!$X15*100</f>
        <v>1.6753552843394686</v>
      </c>
      <c r="AK12" s="458"/>
      <c r="AL12" s="456">
        <f>'F-B5'!Y41/'F-B5'!$AE41*100</f>
        <v>2.2507189152603888</v>
      </c>
      <c r="AM12" s="456">
        <f>'F-B6'!R41/'F-B6'!$X41*100</f>
        <v>2.9475288773484563</v>
      </c>
      <c r="AN12" s="456">
        <f>('C1-Incomes'!JX15-'C1-Incomes'!JY15)/('C1-Incomes'!$S15-'C1-Incomes'!$T15)*100</f>
        <v>3.4744179052700068</v>
      </c>
      <c r="AO12" s="456">
        <f>('C1-Incomes'!JY15-'C1-Incomes'!JZ15)/('C1-Incomes'!$T15-'C1-Incomes'!$U15)*100</f>
        <v>4.7448859184022893</v>
      </c>
      <c r="AP12" s="456">
        <f>('C1-Incomes'!JZ15-'C1-Incomes'!KA15)/('C1-Incomes'!$U15-'C1-Incomes'!$V15)*100</f>
        <v>7.1515927310849934</v>
      </c>
      <c r="AQ12" s="456">
        <f>('C1-Incomes'!KA15-'C1-Incomes'!KB15)/('C1-Incomes'!$V15-'C1-Incomes'!$W15)*100</f>
        <v>9.7439736134264301</v>
      </c>
      <c r="AR12" s="456">
        <f>('C1-Incomes'!KB15-'C1-Incomes'!KC15)/('C1-Incomes'!$W15-'C1-Incomes'!$X15)*100</f>
        <v>13.025332852788148</v>
      </c>
      <c r="AS12" s="456">
        <f>'C1-Incomes'!KC15/'C1-Incomes'!$X15*100</f>
        <v>15.458692645278516</v>
      </c>
      <c r="AT12" s="458"/>
      <c r="AU12" s="456">
        <f>'F-B5'!Z41/'F-B5'!$AE41*100</f>
        <v>2.3273589001040675</v>
      </c>
      <c r="AV12" s="456">
        <f>'F-B6'!S41/'F-B6'!$X41*100</f>
        <v>2.635100922682549</v>
      </c>
      <c r="AW12" s="456">
        <f>('C1-Incomes'!KF15-'C1-Incomes'!KG15)/('C1-Incomes'!$S15-'C1-Incomes'!$T15)*100</f>
        <v>3.8762133846485072</v>
      </c>
      <c r="AX12" s="456">
        <f>('C1-Incomes'!KG15-'C1-Incomes'!KH15)/('C1-Incomes'!$T15-'C1-Incomes'!$U15)*100</f>
        <v>5.1226904703189167</v>
      </c>
      <c r="AY12" s="456">
        <f>('C1-Incomes'!KH15-'C1-Incomes'!KI15)/('C1-Incomes'!$U15-'C1-Incomes'!$V15)*100</f>
        <v>5.522578934498541</v>
      </c>
      <c r="AZ12" s="456">
        <f>('C1-Incomes'!KI15-'C1-Incomes'!KJ15)/('C1-Incomes'!$V15-'C1-Incomes'!$W15)*100</f>
        <v>5.9210838197948092</v>
      </c>
      <c r="BA12" s="456">
        <f>('C1-Incomes'!KJ15-'C1-Incomes'!KK15)/('C1-Incomes'!$W15-'C1-Incomes'!$X15)*100</f>
        <v>6.5987898389917321</v>
      </c>
      <c r="BB12" s="456">
        <f>'C1-Incomes'!KK15/'C1-Incomes'!$X15*100</f>
        <v>7.4534778278780562</v>
      </c>
      <c r="BD12" s="456">
        <f>'F-B5'!AA41/'F-B5'!$AE41*100</f>
        <v>5.7365384301357727</v>
      </c>
      <c r="BE12" s="456">
        <f>'F-B6'!T41/'F-B6'!$X41*100</f>
        <v>5.0836434593595934</v>
      </c>
      <c r="BF12" s="456">
        <f>('C1-Incomes'!KN15-'C1-Incomes'!KO15)/('C1-Incomes'!$S15-'C1-Incomes'!$T15)*100</f>
        <v>3.511108881507039</v>
      </c>
      <c r="BG12" s="456">
        <f>('C1-Incomes'!KO15-'C1-Incomes'!KP15)/('C1-Incomes'!$T15-'C1-Incomes'!$U15)*100</f>
        <v>2.1235004563316475</v>
      </c>
      <c r="BH12" s="456">
        <f>('C1-Incomes'!KP15-'C1-Incomes'!KQ15)/('C1-Incomes'!$U15-'C1-Incomes'!$V15)*100</f>
        <v>0.87198597627293484</v>
      </c>
      <c r="BI12" s="456">
        <f>('C1-Incomes'!KQ15-'C1-Incomes'!KR15)/('C1-Incomes'!$V15-'C1-Incomes'!$W15)*100</f>
        <v>0.48015782405143026</v>
      </c>
      <c r="BJ12" s="456">
        <f>('C1-Incomes'!KR15-'C1-Incomes'!KS15)/('C1-Incomes'!$W15-'C1-Incomes'!$X15)*100</f>
        <v>0.16760764537358253</v>
      </c>
      <c r="BK12" s="456">
        <f>'C1-Incomes'!KS15/'C1-Incomes'!$X15*100</f>
        <v>3.4244231945928849E-2</v>
      </c>
      <c r="BL12" s="456"/>
      <c r="BM12" s="456">
        <f>'F-B5'!AC41/'F-B5'!$AE41*100</f>
        <v>0.43480984155408092</v>
      </c>
      <c r="BN12" s="456">
        <f>'F-B6'!V41/'F-B6'!$X41*100</f>
        <v>0.28873608840420822</v>
      </c>
      <c r="BO12" s="456">
        <f>('C1-Incomes'!LL15-'C1-Incomes'!LM15)/('C1-Incomes'!$S15-'C1-Incomes'!$T15)*100</f>
        <v>0.56282086543215204</v>
      </c>
      <c r="BP12" s="456">
        <f>('C1-Incomes'!LM15-'C1-Incomes'!LN15)/('C1-Incomes'!$T15-'C1-Incomes'!$U15)*100</f>
        <v>0.97157985147969195</v>
      </c>
      <c r="BQ12" s="456">
        <f>('C1-Incomes'!LN15-'C1-Incomes'!LO15)/('C1-Incomes'!$U15-'C1-Incomes'!$V15)*100</f>
        <v>1.2852487202740788</v>
      </c>
      <c r="BR12" s="456">
        <f>('C1-Incomes'!LO15-'C1-Incomes'!LP15)/('C1-Incomes'!$V15-'C1-Incomes'!$W15)*100</f>
        <v>1.2034675118847151</v>
      </c>
      <c r="BS12" s="456">
        <f>('C1-Incomes'!LP15-'C1-Incomes'!LQ15)/('C1-Incomes'!$W15-'C1-Incomes'!$X15)*100</f>
        <v>1.3293841966972835</v>
      </c>
      <c r="BT12" s="456">
        <f>'C1-Incomes'!LQ15/'C1-Incomes'!$X15*100</f>
        <v>2.0947050870667354</v>
      </c>
      <c r="BV12" s="456">
        <f>'F-B5'!AB41/'F-B5'!$AE41*100</f>
        <v>4.7099019378038181</v>
      </c>
      <c r="BW12" s="456">
        <f>'F-B6'!U41/'F-B6'!$X41*100</f>
        <v>6.1996396060598844</v>
      </c>
      <c r="BX12" s="456">
        <f>('C1-Incomes'!KV15-'C1-Incomes'!KW15)/('C1-Incomes'!$S15-'C1-Incomes'!$T15)*100</f>
        <v>5.4342099826442318</v>
      </c>
      <c r="BY12" s="456">
        <f>('C1-Incomes'!KW15-'C1-Incomes'!KX15)/('C1-Incomes'!$T15-'C1-Incomes'!$U15)*100</f>
        <v>4.2878458262937649</v>
      </c>
      <c r="BZ12" s="456">
        <f>('C1-Incomes'!KX15-'C1-Incomes'!KY15)/('C1-Incomes'!$U15-'C1-Incomes'!$V15)*100</f>
        <v>2.9570897164429497</v>
      </c>
      <c r="CA12" s="456">
        <f>('C1-Incomes'!KY15-'C1-Incomes'!KZ15)/('C1-Incomes'!$V15-'C1-Incomes'!$W15)*100</f>
        <v>2.0720419209138567</v>
      </c>
      <c r="CB12" s="456">
        <f>('C1-Incomes'!KZ15-'C1-Incomes'!LA15)/('C1-Incomes'!$W15-'C1-Incomes'!$X15)*100</f>
        <v>1.2262893748609716</v>
      </c>
      <c r="CC12" s="456">
        <f>'C1-Incomes'!LA15/'C1-Incomes'!$X15*100</f>
        <v>0.72844717661354186</v>
      </c>
    </row>
    <row r="13" spans="1:81" s="452" customFormat="1" ht="12" x14ac:dyDescent="0.25">
      <c r="A13" s="239">
        <v>1968</v>
      </c>
      <c r="B13" s="456">
        <f t="shared" si="6"/>
        <v>18.833262025352621</v>
      </c>
      <c r="C13" s="456">
        <f t="shared" si="7"/>
        <v>26.851051771391877</v>
      </c>
      <c r="D13" s="456">
        <f t="shared" si="8"/>
        <v>29.138020960945667</v>
      </c>
      <c r="E13" s="456">
        <f t="shared" si="9"/>
        <v>32.197201333217031</v>
      </c>
      <c r="F13" s="456">
        <f t="shared" si="10"/>
        <v>35.842686513956842</v>
      </c>
      <c r="G13" s="456">
        <f t="shared" si="11"/>
        <v>40.086328268018129</v>
      </c>
      <c r="H13" s="456">
        <f t="shared" si="12"/>
        <v>44.741864883969292</v>
      </c>
      <c r="I13" s="456">
        <f t="shared" si="13"/>
        <v>49.929618752526189</v>
      </c>
      <c r="J13" s="456"/>
      <c r="K13" s="456">
        <f t="shared" si="14"/>
        <v>13.423466349624533</v>
      </c>
      <c r="L13" s="456">
        <f t="shared" si="15"/>
        <v>21.615840925647028</v>
      </c>
      <c r="M13" s="456">
        <f t="shared" si="16"/>
        <v>25.467436013095032</v>
      </c>
      <c r="N13" s="456">
        <f t="shared" si="17"/>
        <v>29.929985944220309</v>
      </c>
      <c r="O13" s="456">
        <f t="shared" si="18"/>
        <v>34.909598718684457</v>
      </c>
      <c r="P13" s="456">
        <f t="shared" si="19"/>
        <v>39.571976506127221</v>
      </c>
      <c r="Q13" s="456">
        <f t="shared" si="20"/>
        <v>44.582007753970792</v>
      </c>
      <c r="R13" s="456">
        <f t="shared" si="21"/>
        <v>49.892499009474285</v>
      </c>
      <c r="S13" s="456"/>
      <c r="T13" s="456">
        <f>'F-B5'!W42/'F-B5'!$AE42*100</f>
        <v>2.8932883063944108</v>
      </c>
      <c r="U13" s="456">
        <f>'F-B6'!P42/'F-B6'!$X42*100</f>
        <v>8.2936927289191225</v>
      </c>
      <c r="V13" s="456">
        <f>('C1-Incomes'!JH16-'C1-Incomes'!JI16)/('C1-Incomes'!$S16-'C1-Incomes'!$T16)*100</f>
        <v>10.578803502290951</v>
      </c>
      <c r="W13" s="456">
        <f>('C1-Incomes'!JI16-'C1-Incomes'!JJ16)/('C1-Incomes'!$T16-'C1-Incomes'!$U16)*100</f>
        <v>12.683663779718573</v>
      </c>
      <c r="X13" s="456">
        <f>('C1-Incomes'!JJ16-'C1-Incomes'!JK16)/('C1-Incomes'!$U16-'C1-Incomes'!$V16)*100</f>
        <v>15.720516579763563</v>
      </c>
      <c r="Y13" s="456">
        <f>('C1-Incomes'!JK16-'C1-Incomes'!JL16)/('C1-Incomes'!$V16-'C1-Incomes'!$W16)*100</f>
        <v>18.093285119427975</v>
      </c>
      <c r="Z13" s="456">
        <f>('C1-Incomes'!JL16-'C1-Incomes'!JM16)/('C1-Incomes'!$W16-'C1-Incomes'!$X16)*100</f>
        <v>18.720055276458584</v>
      </c>
      <c r="AA13" s="456">
        <f>'C1-Incomes'!JM16/'C1-Incomes'!$X16*100</f>
        <v>20.109647125275426</v>
      </c>
      <c r="AB13" s="458"/>
      <c r="AC13" s="456">
        <f>'F-B5'!X42/'F-B5'!$AE42*100</f>
        <v>0.5008231126648196</v>
      </c>
      <c r="AD13" s="456">
        <f>'F-B6'!Q42/'F-B6'!$X42*100</f>
        <v>0.81754290183762701</v>
      </c>
      <c r="AE13" s="456">
        <f>('C1-Incomes'!JP16-'C1-Incomes'!JQ16)/('C1-Incomes'!$S16-'C1-Incomes'!$T16)*100</f>
        <v>0.99690116383923877</v>
      </c>
      <c r="AF13" s="456">
        <f>('C1-Incomes'!JQ16-'C1-Incomes'!JR16)/('C1-Incomes'!$T16-'C1-Incomes'!$U16)*100</f>
        <v>1.2711291563721878</v>
      </c>
      <c r="AG13" s="456">
        <f>('C1-Incomes'!JR16-'C1-Incomes'!JS16)/('C1-Incomes'!$U16-'C1-Incomes'!$V16)*100</f>
        <v>1.5238164666791472</v>
      </c>
      <c r="AH13" s="456">
        <f>('C1-Incomes'!JS16-'C1-Incomes'!JT16)/('C1-Incomes'!$V16-'C1-Incomes'!$W16)*100</f>
        <v>1.5804955415103308</v>
      </c>
      <c r="AI13" s="456">
        <f>('C1-Incomes'!JT16-'C1-Incomes'!JU16)/('C1-Incomes'!$W16-'C1-Incomes'!$X16)*100</f>
        <v>1.5366483274089353</v>
      </c>
      <c r="AJ13" s="456">
        <f>'C1-Incomes'!JU16/'C1-Incomes'!$X16*100</f>
        <v>1.7356096015267526</v>
      </c>
      <c r="AK13" s="458"/>
      <c r="AL13" s="456">
        <f>'F-B5'!Y42/'F-B5'!$AE42*100</f>
        <v>2.4204015439398803</v>
      </c>
      <c r="AM13" s="456">
        <f>'F-B6'!R42/'F-B6'!$X42*100</f>
        <v>3.1477874412850624</v>
      </c>
      <c r="AN13" s="456">
        <f>('C1-Incomes'!JX16-'C1-Incomes'!JY16)/('C1-Incomes'!$S16-'C1-Incomes'!$T16)*100</f>
        <v>3.7261728210386833</v>
      </c>
      <c r="AO13" s="456">
        <f>('C1-Incomes'!JY16-'C1-Incomes'!JZ16)/('C1-Incomes'!$T16-'C1-Incomes'!$U16)*100</f>
        <v>5.3832992443419823</v>
      </c>
      <c r="AP13" s="456">
        <f>('C1-Incomes'!JZ16-'C1-Incomes'!KA16)/('C1-Incomes'!$U16-'C1-Incomes'!$V16)*100</f>
        <v>7.9452660011766207</v>
      </c>
      <c r="AQ13" s="456">
        <f>('C1-Incomes'!KA16-'C1-Incomes'!KB16)/('C1-Incomes'!$V16-'C1-Incomes'!$W16)*100</f>
        <v>10.620990850781668</v>
      </c>
      <c r="AR13" s="456">
        <f>('C1-Incomes'!KB16-'C1-Incomes'!KC16)/('C1-Incomes'!$W16-'C1-Incomes'!$X16)*100</f>
        <v>15.0359469702566</v>
      </c>
      <c r="AS13" s="456">
        <f>'C1-Incomes'!KC16/'C1-Incomes'!$X16*100</f>
        <v>17.459422399675454</v>
      </c>
      <c r="AT13" s="458"/>
      <c r="AU13" s="456">
        <f>'F-B5'!Z42/'F-B5'!$AE42*100</f>
        <v>2.2760326157649011</v>
      </c>
      <c r="AV13" s="456">
        <f>'F-B6'!S42/'F-B6'!$X42*100</f>
        <v>2.6417688618629014</v>
      </c>
      <c r="AW13" s="456">
        <f>('C1-Incomes'!KF16-'C1-Incomes'!KG16)/('C1-Incomes'!$S16-'C1-Incomes'!$T16)*100</f>
        <v>3.9976312223513868</v>
      </c>
      <c r="AX13" s="456">
        <f>('C1-Incomes'!KG16-'C1-Incomes'!KH16)/('C1-Incomes'!$T16-'C1-Incomes'!$U16)*100</f>
        <v>5.266576933896987</v>
      </c>
      <c r="AY13" s="456">
        <f>('C1-Incomes'!KH16-'C1-Incomes'!KI16)/('C1-Incomes'!$U16-'C1-Incomes'!$V16)*100</f>
        <v>5.6079609811731617</v>
      </c>
      <c r="AZ13" s="456">
        <f>('C1-Incomes'!KI16-'C1-Incomes'!KJ16)/('C1-Incomes'!$V16-'C1-Incomes'!$W16)*100</f>
        <v>6.0440821183252496</v>
      </c>
      <c r="BA13" s="456">
        <f>('C1-Incomes'!KJ16-'C1-Incomes'!KK16)/('C1-Incomes'!$W16-'C1-Incomes'!$X16)*100</f>
        <v>6.9470223657427539</v>
      </c>
      <c r="BB13" s="456">
        <f>'C1-Incomes'!KK16/'C1-Incomes'!$X16*100</f>
        <v>7.8567685230746696</v>
      </c>
      <c r="BD13" s="456">
        <f>'F-B5'!AA42/'F-B5'!$AE42*100</f>
        <v>5.4097956757280876</v>
      </c>
      <c r="BE13" s="456">
        <f>'F-B6'!T42/'F-B6'!$X42*100</f>
        <v>5.2352108457448479</v>
      </c>
      <c r="BF13" s="456">
        <f>('C1-Incomes'!KN16-'C1-Incomes'!KO16)/('C1-Incomes'!$S16-'C1-Incomes'!$T16)*100</f>
        <v>3.6705849478506352</v>
      </c>
      <c r="BG13" s="456">
        <f>('C1-Incomes'!KO16-'C1-Incomes'!KP16)/('C1-Incomes'!$T16-'C1-Incomes'!$U16)*100</f>
        <v>2.2672153889967248</v>
      </c>
      <c r="BH13" s="456">
        <f>('C1-Incomes'!KP16-'C1-Incomes'!KQ16)/('C1-Incomes'!$U16-'C1-Incomes'!$V16)*100</f>
        <v>0.93308779527238528</v>
      </c>
      <c r="BI13" s="456">
        <f>('C1-Incomes'!KQ16-'C1-Incomes'!KR16)/('C1-Incomes'!$V16-'C1-Incomes'!$W16)*100</f>
        <v>0.51435176189090948</v>
      </c>
      <c r="BJ13" s="456">
        <f>('C1-Incomes'!KR16-'C1-Incomes'!KS16)/('C1-Incomes'!$W16-'C1-Incomes'!$X16)*100</f>
        <v>0.15985712999849624</v>
      </c>
      <c r="BK13" s="456">
        <f>'C1-Incomes'!KS16/'C1-Incomes'!$X16*100</f>
        <v>3.7119743051903874E-2</v>
      </c>
      <c r="BL13" s="456"/>
      <c r="BM13" s="456">
        <f>'F-B5'!AC42/'F-B5'!$AE42*100</f>
        <v>0.40725120942830306</v>
      </c>
      <c r="BN13" s="456">
        <f>'F-B6'!V42/'F-B6'!$X42*100</f>
        <v>0.27218040795721204</v>
      </c>
      <c r="BO13" s="456">
        <f>('C1-Incomes'!LL16-'C1-Incomes'!LM16)/('C1-Incomes'!$S16-'C1-Incomes'!$T16)*100</f>
        <v>0.53427087957366826</v>
      </c>
      <c r="BP13" s="456">
        <f>('C1-Incomes'!LM16-'C1-Incomes'!LN16)/('C1-Incomes'!$T16-'C1-Incomes'!$U16)*100</f>
        <v>0.90268717772585094</v>
      </c>
      <c r="BQ13" s="456">
        <f>('C1-Incomes'!LN16-'C1-Incomes'!LO16)/('C1-Incomes'!$U16-'C1-Incomes'!$V16)*100</f>
        <v>1.1739562834937984</v>
      </c>
      <c r="BR13" s="456">
        <f>('C1-Incomes'!LO16-'C1-Incomes'!LP16)/('C1-Incomes'!$V16-'C1-Incomes'!$W16)*100</f>
        <v>1.1786872459802467</v>
      </c>
      <c r="BS13" s="456">
        <f>('C1-Incomes'!LP16-'C1-Incomes'!LQ16)/('C1-Incomes'!$W16-'C1-Incomes'!$X16)*100</f>
        <v>1.210010466030863</v>
      </c>
      <c r="BT13" s="456">
        <f>'C1-Incomes'!LQ16/'C1-Incomes'!$X16*100</f>
        <v>2.0107136219849457</v>
      </c>
      <c r="BV13" s="456">
        <f>'F-B5'!AB42/'F-B5'!$AE42*100</f>
        <v>4.9256695614322199</v>
      </c>
      <c r="BW13" s="456">
        <f>'F-B6'!U42/'F-B6'!$X42*100</f>
        <v>6.4428685837851036</v>
      </c>
      <c r="BX13" s="456">
        <f>('C1-Incomes'!KV16-'C1-Incomes'!KW16)/('C1-Incomes'!$S16-'C1-Incomes'!$T16)*100</f>
        <v>5.6336564240011011</v>
      </c>
      <c r="BY13" s="456">
        <f>('C1-Incomes'!KW16-'C1-Incomes'!KX16)/('C1-Incomes'!$T16-'C1-Incomes'!$U16)*100</f>
        <v>4.4226296521647255</v>
      </c>
      <c r="BZ13" s="456">
        <f>('C1-Incomes'!KX16-'C1-Incomes'!KY16)/('C1-Incomes'!$U16-'C1-Incomes'!$V16)*100</f>
        <v>2.9380824063981663</v>
      </c>
      <c r="CA13" s="456">
        <f>('C1-Incomes'!KY16-'C1-Incomes'!KZ16)/('C1-Incomes'!$V16-'C1-Incomes'!$W16)*100</f>
        <v>2.0544356301017483</v>
      </c>
      <c r="CB13" s="456">
        <f>('C1-Incomes'!KZ16-'C1-Incomes'!LA16)/('C1-Incomes'!$W16-'C1-Incomes'!$X16)*100</f>
        <v>1.1323243480730463</v>
      </c>
      <c r="CC13" s="456">
        <f>'C1-Incomes'!LA16/'C1-Incomes'!$X16*100</f>
        <v>0.72033773793703104</v>
      </c>
    </row>
    <row r="14" spans="1:81" s="452" customFormat="1" ht="12" x14ac:dyDescent="0.25">
      <c r="A14" s="239">
        <v>1969</v>
      </c>
      <c r="B14" s="456">
        <f t="shared" si="6"/>
        <v>19.812183708737614</v>
      </c>
      <c r="C14" s="456">
        <f t="shared" si="7"/>
        <v>28.303557538291702</v>
      </c>
      <c r="D14" s="456">
        <f t="shared" si="8"/>
        <v>30.72839597053288</v>
      </c>
      <c r="E14" s="456">
        <f t="shared" si="9"/>
        <v>33.51215004495414</v>
      </c>
      <c r="F14" s="456">
        <f t="shared" si="10"/>
        <v>37.46351285821914</v>
      </c>
      <c r="G14" s="456">
        <f t="shared" si="11"/>
        <v>41.026889056894632</v>
      </c>
      <c r="H14" s="456">
        <f t="shared" si="12"/>
        <v>46.385931452294535</v>
      </c>
      <c r="I14" s="456">
        <f t="shared" si="13"/>
        <v>52.950555551767863</v>
      </c>
      <c r="J14" s="456"/>
      <c r="K14" s="456">
        <f t="shared" si="14"/>
        <v>14.24731249383464</v>
      </c>
      <c r="L14" s="456">
        <f t="shared" si="15"/>
        <v>22.855911346656665</v>
      </c>
      <c r="M14" s="456">
        <f t="shared" si="16"/>
        <v>26.833439616950461</v>
      </c>
      <c r="N14" s="456">
        <f t="shared" si="17"/>
        <v>31.131827374120366</v>
      </c>
      <c r="O14" s="456">
        <f t="shared" si="18"/>
        <v>36.385698097583408</v>
      </c>
      <c r="P14" s="456">
        <f t="shared" si="19"/>
        <v>40.425552483980617</v>
      </c>
      <c r="Q14" s="456">
        <f t="shared" si="20"/>
        <v>46.165309297458798</v>
      </c>
      <c r="R14" s="456">
        <f t="shared" si="21"/>
        <v>52.90551661150959</v>
      </c>
      <c r="S14" s="456"/>
      <c r="T14" s="456">
        <f>'F-B5'!W43/'F-B5'!$AE43*100</f>
        <v>3.4384339409361773</v>
      </c>
      <c r="U14" s="456">
        <f>'F-B6'!P43/'F-B6'!$X43*100</f>
        <v>9.4115418068095451</v>
      </c>
      <c r="V14" s="456">
        <f>('C1-Incomes'!JH17-'C1-Incomes'!JI17)/('C1-Incomes'!$S17-'C1-Incomes'!$T17)*100</f>
        <v>11.84542325304349</v>
      </c>
      <c r="W14" s="456">
        <f>('C1-Incomes'!JI17-'C1-Incomes'!JJ17)/('C1-Incomes'!$T17-'C1-Incomes'!$U17)*100</f>
        <v>13.935686437406266</v>
      </c>
      <c r="X14" s="456">
        <f>('C1-Incomes'!JJ17-'C1-Incomes'!JK17)/('C1-Incomes'!$U17-'C1-Incomes'!$V17)*100</f>
        <v>17.473795524318518</v>
      </c>
      <c r="Y14" s="456">
        <f>('C1-Incomes'!JK17-'C1-Incomes'!JL17)/('C1-Incomes'!$V17-'C1-Incomes'!$W17)*100</f>
        <v>19.447511683374508</v>
      </c>
      <c r="Z14" s="456">
        <f>('C1-Incomes'!JL17-'C1-Incomes'!JM17)/('C1-Incomes'!$W17-'C1-Incomes'!$X17)*100</f>
        <v>21.163404485208702</v>
      </c>
      <c r="AA14" s="456">
        <f>'C1-Incomes'!JM17/'C1-Incomes'!$X17*100</f>
        <v>22.90412114103431</v>
      </c>
      <c r="AB14" s="458"/>
      <c r="AC14" s="456">
        <f>'F-B5'!X43/'F-B5'!$AE43*100</f>
        <v>0.57559916067965355</v>
      </c>
      <c r="AD14" s="456">
        <f>'F-B6'!Q43/'F-B6'!$X43*100</f>
        <v>0.92733245233152517</v>
      </c>
      <c r="AE14" s="456">
        <f>('C1-Incomes'!JP17-'C1-Incomes'!JQ17)/('C1-Incomes'!$S17-'C1-Incomes'!$T17)*100</f>
        <v>1.1404618394961152</v>
      </c>
      <c r="AF14" s="456">
        <f>('C1-Incomes'!JQ17-'C1-Incomes'!JR17)/('C1-Incomes'!$T17-'C1-Incomes'!$U17)*100</f>
        <v>1.4659738707358743</v>
      </c>
      <c r="AG14" s="456">
        <f>('C1-Incomes'!JR17-'C1-Incomes'!JS17)/('C1-Incomes'!$U17-'C1-Incomes'!$V17)*100</f>
        <v>1.9110498912881542</v>
      </c>
      <c r="AH14" s="456">
        <f>('C1-Incomes'!JS17-'C1-Incomes'!JT17)/('C1-Incomes'!$V17-'C1-Incomes'!$W17)*100</f>
        <v>1.9464550084747008</v>
      </c>
      <c r="AI14" s="456">
        <f>('C1-Incomes'!JT17-'C1-Incomes'!JU17)/('C1-Incomes'!$W17-'C1-Incomes'!$X17)*100</f>
        <v>2.0486755030347115</v>
      </c>
      <c r="AJ14" s="456">
        <f>'C1-Incomes'!JU17/'C1-Incomes'!$X17*100</f>
        <v>2.2450136290982692</v>
      </c>
      <c r="AK14" s="458"/>
      <c r="AL14" s="456">
        <f>'F-B5'!Y43/'F-B5'!$AE43*100</f>
        <v>2.4373406367255748</v>
      </c>
      <c r="AM14" s="456">
        <f>'F-B6'!R43/'F-B6'!$X43*100</f>
        <v>3.0539591552015555</v>
      </c>
      <c r="AN14" s="456">
        <f>('C1-Incomes'!JX17-'C1-Incomes'!JY17)/('C1-Incomes'!$S17-'C1-Incomes'!$T17)*100</f>
        <v>3.4140248554795201</v>
      </c>
      <c r="AO14" s="456">
        <f>('C1-Incomes'!JY17-'C1-Incomes'!JZ17)/('C1-Incomes'!$T17-'C1-Incomes'!$U17)*100</f>
        <v>4.8898182813325608</v>
      </c>
      <c r="AP14" s="456">
        <f>('C1-Incomes'!JZ17-'C1-Incomes'!KA17)/('C1-Incomes'!$U17-'C1-Incomes'!$V17)*100</f>
        <v>6.8399354690977132</v>
      </c>
      <c r="AQ14" s="456">
        <f>('C1-Incomes'!KA17-'C1-Incomes'!KB17)/('C1-Incomes'!$V17-'C1-Incomes'!$W17)*100</f>
        <v>9.4566680709408732</v>
      </c>
      <c r="AR14" s="456">
        <f>('C1-Incomes'!KB17-'C1-Incomes'!KC17)/('C1-Incomes'!$W17-'C1-Incomes'!$X17)*100</f>
        <v>13.428317533335473</v>
      </c>
      <c r="AS14" s="456">
        <f>'C1-Incomes'!KC17/'C1-Incomes'!$X17*100</f>
        <v>16.758445195711499</v>
      </c>
      <c r="AT14" s="458"/>
      <c r="AU14" s="456">
        <f>'F-B5'!Z43/'F-B5'!$AE43*100</f>
        <v>2.3720954390231719</v>
      </c>
      <c r="AV14" s="456">
        <f>'F-B6'!S43/'F-B6'!$X43*100</f>
        <v>2.7279097178791671</v>
      </c>
      <c r="AW14" s="456">
        <f>('C1-Incomes'!KF17-'C1-Incomes'!KG17)/('C1-Incomes'!$S17-'C1-Incomes'!$T17)*100</f>
        <v>4.1733857589856918</v>
      </c>
      <c r="AX14" s="456">
        <f>('C1-Incomes'!KG17-'C1-Incomes'!KH17)/('C1-Incomes'!$T17-'C1-Incomes'!$U17)*100</f>
        <v>5.3661652187616014</v>
      </c>
      <c r="AY14" s="456">
        <f>('C1-Incomes'!KH17-'C1-Incomes'!KI17)/('C1-Incomes'!$U17-'C1-Incomes'!$V17)*100</f>
        <v>5.638384939565718</v>
      </c>
      <c r="AZ14" s="456">
        <f>('C1-Incomes'!KI17-'C1-Incomes'!KJ17)/('C1-Incomes'!$V17-'C1-Incomes'!$W17)*100</f>
        <v>6.016219370385965</v>
      </c>
      <c r="BA14" s="456">
        <f>('C1-Incomes'!KJ17-'C1-Incomes'!KK17)/('C1-Incomes'!$W17-'C1-Incomes'!$X17)*100</f>
        <v>6.7620509877725929</v>
      </c>
      <c r="BB14" s="456">
        <f>'C1-Incomes'!KK17/'C1-Incomes'!$X17*100</f>
        <v>7.8725840427812024</v>
      </c>
      <c r="BD14" s="456">
        <f>'F-B5'!AA43/'F-B5'!$AE43*100</f>
        <v>5.5648712149029738</v>
      </c>
      <c r="BE14" s="456">
        <f>'F-B6'!T43/'F-B6'!$X43*100</f>
        <v>5.4476461916350365</v>
      </c>
      <c r="BF14" s="456">
        <f>('C1-Incomes'!KN17-'C1-Incomes'!KO17)/('C1-Incomes'!$S17-'C1-Incomes'!$T17)*100</f>
        <v>3.8949563535824181</v>
      </c>
      <c r="BG14" s="456">
        <f>('C1-Incomes'!KO17-'C1-Incomes'!KP17)/('C1-Incomes'!$T17-'C1-Incomes'!$U17)*100</f>
        <v>2.3803226708337775</v>
      </c>
      <c r="BH14" s="456">
        <f>('C1-Incomes'!KP17-'C1-Incomes'!KQ17)/('C1-Incomes'!$U17-'C1-Incomes'!$V17)*100</f>
        <v>1.0778147606357329</v>
      </c>
      <c r="BI14" s="456">
        <f>('C1-Incomes'!KQ17-'C1-Incomes'!KR17)/('C1-Incomes'!$V17-'C1-Incomes'!$W17)*100</f>
        <v>0.60133657291401676</v>
      </c>
      <c r="BJ14" s="456">
        <f>('C1-Incomes'!KR17-'C1-Incomes'!KS17)/('C1-Incomes'!$W17-'C1-Incomes'!$X17)*100</f>
        <v>0.22062215483574019</v>
      </c>
      <c r="BK14" s="456">
        <f>'C1-Incomes'!KS17/'C1-Incomes'!$X17*100</f>
        <v>4.5038940258272639E-2</v>
      </c>
      <c r="BL14" s="456"/>
      <c r="BM14" s="456">
        <f>'F-B5'!AC43/'F-B5'!$AE43*100</f>
        <v>0.4247680870775864</v>
      </c>
      <c r="BN14" s="456">
        <f>'F-B6'!V43/'F-B6'!$X43*100</f>
        <v>0.27843174859799258</v>
      </c>
      <c r="BO14" s="456">
        <f>('C1-Incomes'!LL17-'C1-Incomes'!LM17)/('C1-Incomes'!$S17-'C1-Incomes'!$T17)*100</f>
        <v>0.55691528413831559</v>
      </c>
      <c r="BP14" s="456">
        <f>('C1-Incomes'!LM17-'C1-Incomes'!LN17)/('C1-Incomes'!$T17-'C1-Incomes'!$U17)*100</f>
        <v>0.94938832176110899</v>
      </c>
      <c r="BQ14" s="456">
        <f>('C1-Incomes'!LN17-'C1-Incomes'!LO17)/('C1-Incomes'!$U17-'C1-Incomes'!$V17)*100</f>
        <v>1.3483822779176244</v>
      </c>
      <c r="BR14" s="456">
        <f>('C1-Incomes'!LO17-'C1-Incomes'!LP17)/('C1-Incomes'!$V17-'C1-Incomes'!$W17)*100</f>
        <v>1.3171635762839375</v>
      </c>
      <c r="BS14" s="456">
        <f>('C1-Incomes'!LP17-'C1-Incomes'!LQ17)/('C1-Incomes'!$W17-'C1-Incomes'!$X17)*100</f>
        <v>1.4600460689718873</v>
      </c>
      <c r="BT14" s="456">
        <f>'C1-Incomes'!LQ17/'C1-Incomes'!$X17*100</f>
        <v>2.3629256881876732</v>
      </c>
      <c r="BV14" s="456">
        <f>'F-B5'!AB43/'F-B5'!$AE43*100</f>
        <v>4.9990752293924761</v>
      </c>
      <c r="BW14" s="456">
        <f>'F-B6'!U43/'F-B6'!$X43*100</f>
        <v>6.4567364658368804</v>
      </c>
      <c r="BX14" s="456">
        <f>('C1-Incomes'!KV17-'C1-Incomes'!KW17)/('C1-Incomes'!$S17-'C1-Incomes'!$T17)*100</f>
        <v>5.703228625807327</v>
      </c>
      <c r="BY14" s="456">
        <f>('C1-Incomes'!KW17-'C1-Incomes'!KX17)/('C1-Incomes'!$T17-'C1-Incomes'!$U17)*100</f>
        <v>4.5247952441229558</v>
      </c>
      <c r="BZ14" s="456">
        <f>('C1-Incomes'!KX17-'C1-Incomes'!KY17)/('C1-Incomes'!$U17-'C1-Incomes'!$V17)*100</f>
        <v>3.1741499953956831</v>
      </c>
      <c r="CA14" s="456">
        <f>('C1-Incomes'!KY17-'C1-Incomes'!KZ17)/('C1-Incomes'!$V17-'C1-Incomes'!$W17)*100</f>
        <v>2.2415347745206291</v>
      </c>
      <c r="CB14" s="456">
        <f>('C1-Incomes'!KZ17-'C1-Incomes'!LA17)/('C1-Incomes'!$W17-'C1-Incomes'!$X17)*100</f>
        <v>1.302814719135426</v>
      </c>
      <c r="CC14" s="456">
        <f>'C1-Incomes'!LA17/'C1-Incomes'!$X17*100</f>
        <v>0.76242691469664192</v>
      </c>
    </row>
    <row r="15" spans="1:81" s="452" customFormat="1" ht="12" x14ac:dyDescent="0.25">
      <c r="A15" s="239">
        <v>1970</v>
      </c>
      <c r="B15" s="456">
        <f t="shared" si="6"/>
        <v>18.995588699411591</v>
      </c>
      <c r="C15" s="456">
        <f t="shared" si="7"/>
        <v>27.312754266563847</v>
      </c>
      <c r="D15" s="456">
        <f t="shared" si="8"/>
        <v>29.539524427211106</v>
      </c>
      <c r="E15" s="456">
        <f t="shared" si="9"/>
        <v>32.269655104198939</v>
      </c>
      <c r="F15" s="456">
        <f t="shared" si="10"/>
        <v>35.64601410559932</v>
      </c>
      <c r="G15" s="456">
        <f t="shared" si="11"/>
        <v>38.68065279079201</v>
      </c>
      <c r="H15" s="456">
        <f t="shared" si="12"/>
        <v>44.056988391433585</v>
      </c>
      <c r="I15" s="456">
        <f t="shared" si="13"/>
        <v>49.302028488857573</v>
      </c>
      <c r="J15" s="456"/>
      <c r="K15" s="456">
        <f t="shared" si="14"/>
        <v>13.510253644984207</v>
      </c>
      <c r="L15" s="456">
        <f t="shared" si="15"/>
        <v>21.968727614450884</v>
      </c>
      <c r="M15" s="456">
        <f t="shared" si="16"/>
        <v>25.77352082844029</v>
      </c>
      <c r="N15" s="456">
        <f t="shared" si="17"/>
        <v>29.874467248488937</v>
      </c>
      <c r="O15" s="456">
        <f t="shared" si="18"/>
        <v>34.527453158498332</v>
      </c>
      <c r="P15" s="456">
        <f t="shared" si="19"/>
        <v>38.056005508395657</v>
      </c>
      <c r="Q15" s="456">
        <f t="shared" si="20"/>
        <v>43.81841833463745</v>
      </c>
      <c r="R15" s="456">
        <f t="shared" si="21"/>
        <v>49.253187430982294</v>
      </c>
      <c r="S15" s="456"/>
      <c r="T15" s="456">
        <f>'F-B5'!W44/'F-B5'!$AE44*100</f>
        <v>3.1656919047107519</v>
      </c>
      <c r="U15" s="456">
        <f>'F-B6'!P44/'F-B6'!$X44*100</f>
        <v>8.8021774896557989</v>
      </c>
      <c r="V15" s="456">
        <f>('C1-Incomes'!JH18-'C1-Incomes'!JI18)/('C1-Incomes'!$S18-'C1-Incomes'!$T18)*100</f>
        <v>11.098349409837427</v>
      </c>
      <c r="W15" s="456">
        <f>('C1-Incomes'!JI18-'C1-Incomes'!JJ18)/('C1-Incomes'!$T18-'C1-Incomes'!$U18)*100</f>
        <v>13.161637781428404</v>
      </c>
      <c r="X15" s="456">
        <f>('C1-Incomes'!JJ18-'C1-Incomes'!JK18)/('C1-Incomes'!$U18-'C1-Incomes'!$V18)*100</f>
        <v>16.237309963934692</v>
      </c>
      <c r="Y15" s="456">
        <f>('C1-Incomes'!JK18-'C1-Incomes'!JL18)/('C1-Incomes'!$V18-'C1-Incomes'!$W18)*100</f>
        <v>17.916449572555472</v>
      </c>
      <c r="Z15" s="456">
        <f>('C1-Incomes'!JL18-'C1-Incomes'!JM18)/('C1-Incomes'!$W18-'C1-Incomes'!$X18)*100</f>
        <v>19.376834289739651</v>
      </c>
      <c r="AA15" s="456">
        <f>'C1-Incomes'!JM18/'C1-Incomes'!$X18*100</f>
        <v>19.946559019560969</v>
      </c>
      <c r="AB15" s="458"/>
      <c r="AC15" s="456">
        <f>'F-B5'!X44/'F-B5'!$AE44*100</f>
        <v>0.56513553110242809</v>
      </c>
      <c r="AD15" s="456">
        <f>'F-B6'!Q44/'F-B6'!$X44*100</f>
        <v>0.98246883096493653</v>
      </c>
      <c r="AE15" s="456">
        <f>('C1-Incomes'!JP18-'C1-Incomes'!JQ18)/('C1-Incomes'!$S18-'C1-Incomes'!$T18)*100</f>
        <v>1.208698416139578</v>
      </c>
      <c r="AF15" s="456">
        <f>('C1-Incomes'!JQ18-'C1-Incomes'!JR18)/('C1-Incomes'!$T18-'C1-Incomes'!$U18)*100</f>
        <v>1.6064655920925981</v>
      </c>
      <c r="AG15" s="456">
        <f>('C1-Incomes'!JR18-'C1-Incomes'!JS18)/('C1-Incomes'!$U18-'C1-Incomes'!$V18)*100</f>
        <v>2.1630862383843716</v>
      </c>
      <c r="AH15" s="456">
        <f>('C1-Incomes'!JS18-'C1-Incomes'!JT18)/('C1-Incomes'!$V18-'C1-Incomes'!$W18)*100</f>
        <v>2.2778325110656308</v>
      </c>
      <c r="AI15" s="456">
        <f>('C1-Incomes'!JT18-'C1-Incomes'!JU18)/('C1-Incomes'!$W18-'C1-Incomes'!$X18)*100</f>
        <v>2.4371868358592219</v>
      </c>
      <c r="AJ15" s="456">
        <f>'C1-Incomes'!JU18/'C1-Incomes'!$X18*100</f>
        <v>2.5332315692819005</v>
      </c>
      <c r="AK15" s="458"/>
      <c r="AL15" s="456">
        <f>'F-B5'!Y44/'F-B5'!$AE44*100</f>
        <v>1.9180368672402699</v>
      </c>
      <c r="AM15" s="456">
        <f>'F-B6'!R44/'F-B6'!$X44*100</f>
        <v>2.5488678785140562</v>
      </c>
      <c r="AN15" s="456">
        <f>('C1-Incomes'!JX18-'C1-Incomes'!JY18)/('C1-Incomes'!$S18-'C1-Incomes'!$T18)*100</f>
        <v>2.894411942642412</v>
      </c>
      <c r="AO15" s="456">
        <f>('C1-Incomes'!JY18-'C1-Incomes'!JZ18)/('C1-Incomes'!$T18-'C1-Incomes'!$U18)*100</f>
        <v>3.8538213815403703</v>
      </c>
      <c r="AP15" s="456">
        <f>('C1-Incomes'!JZ18-'C1-Incomes'!KA18)/('C1-Incomes'!$U18-'C1-Incomes'!$V18)*100</f>
        <v>5.3856371764185784</v>
      </c>
      <c r="AQ15" s="456">
        <f>('C1-Incomes'!KA18-'C1-Incomes'!KB18)/('C1-Incomes'!$V18-'C1-Incomes'!$W18)*100</f>
        <v>7.5677854876418964</v>
      </c>
      <c r="AR15" s="456">
        <f>('C1-Incomes'!KB18-'C1-Incomes'!KC18)/('C1-Incomes'!$W18-'C1-Incomes'!$X18)*100</f>
        <v>11.35588060951331</v>
      </c>
      <c r="AS15" s="456">
        <f>'C1-Incomes'!KC18/'C1-Incomes'!$X18*100</f>
        <v>14.648566003950203</v>
      </c>
      <c r="AT15" s="458"/>
      <c r="AU15" s="456">
        <f>'F-B5'!Z44/'F-B5'!$AE44*100</f>
        <v>2.7286677486598672</v>
      </c>
      <c r="AV15" s="456">
        <f>'F-B6'!S44/'F-B6'!$X44*100</f>
        <v>2.8685841778015475</v>
      </c>
      <c r="AW15" s="456">
        <f>('C1-Incomes'!KF18-'C1-Incomes'!KG18)/('C1-Incomes'!$S18-'C1-Incomes'!$T18)*100</f>
        <v>4.339822870141572</v>
      </c>
      <c r="AX15" s="456">
        <f>('C1-Incomes'!KG18-'C1-Incomes'!KH18)/('C1-Incomes'!$T18-'C1-Incomes'!$U18)*100</f>
        <v>5.6458595551131276</v>
      </c>
      <c r="AY15" s="456">
        <f>('C1-Incomes'!KH18-'C1-Incomes'!KI18)/('C1-Incomes'!$U18-'C1-Incomes'!$V18)*100</f>
        <v>6.0067646499773257</v>
      </c>
      <c r="AZ15" s="456">
        <f>('C1-Incomes'!KI18-'C1-Incomes'!KJ18)/('C1-Incomes'!$V18-'C1-Incomes'!$W18)*100</f>
        <v>6.3576475738327645</v>
      </c>
      <c r="BA15" s="456">
        <f>('C1-Incomes'!KJ18-'C1-Incomes'!KK18)/('C1-Incomes'!$W18-'C1-Incomes'!$X18)*100</f>
        <v>7.468264626256202</v>
      </c>
      <c r="BB15" s="456">
        <f>'C1-Incomes'!KK18/'C1-Incomes'!$X18*100</f>
        <v>8.5487050974925793</v>
      </c>
      <c r="BD15" s="456">
        <f>'F-B5'!AA44/'F-B5'!$AE44*100</f>
        <v>5.4853350544273853</v>
      </c>
      <c r="BE15" s="456">
        <f>'F-B6'!T44/'F-B6'!$X44*100</f>
        <v>5.3440266521129631</v>
      </c>
      <c r="BF15" s="456">
        <f>('C1-Incomes'!KN18-'C1-Incomes'!KO18)/('C1-Incomes'!$S18-'C1-Incomes'!$T18)*100</f>
        <v>3.7660035987708138</v>
      </c>
      <c r="BG15" s="456">
        <f>('C1-Incomes'!KO18-'C1-Incomes'!KP18)/('C1-Incomes'!$T18-'C1-Incomes'!$U18)*100</f>
        <v>2.3951878557100028</v>
      </c>
      <c r="BH15" s="456">
        <f>('C1-Incomes'!KP18-'C1-Incomes'!KQ18)/('C1-Incomes'!$U18-'C1-Incomes'!$V18)*100</f>
        <v>1.1185609471009914</v>
      </c>
      <c r="BI15" s="456">
        <f>('C1-Incomes'!KQ18-'C1-Incomes'!KR18)/('C1-Incomes'!$V18-'C1-Incomes'!$W18)*100</f>
        <v>0.6246472823963628</v>
      </c>
      <c r="BJ15" s="456">
        <f>('C1-Incomes'!KR18-'C1-Incomes'!KS18)/('C1-Incomes'!$W18-'C1-Incomes'!$X18)*100</f>
        <v>0.23857005679613802</v>
      </c>
      <c r="BK15" s="456">
        <f>'C1-Incomes'!KS18/'C1-Incomes'!$X18*100</f>
        <v>4.8841057875273097E-2</v>
      </c>
      <c r="BL15" s="456"/>
      <c r="BM15" s="456">
        <f>'F-B5'!AC44/'F-B5'!$AE44*100</f>
        <v>0.39229439827284135</v>
      </c>
      <c r="BN15" s="456">
        <f>'F-B6'!V44/'F-B6'!$X44*100</f>
        <v>0.27143703797076202</v>
      </c>
      <c r="BO15" s="456">
        <f>('C1-Incomes'!LL18-'C1-Incomes'!LM18)/('C1-Incomes'!$S18-'C1-Incomes'!$T18)*100</f>
        <v>0.5385189533252398</v>
      </c>
      <c r="BP15" s="456">
        <f>('C1-Incomes'!LM18-'C1-Incomes'!LN18)/('C1-Incomes'!$T18-'C1-Incomes'!$U18)*100</f>
        <v>0.95826742247244723</v>
      </c>
      <c r="BQ15" s="456">
        <f>('C1-Incomes'!LN18-'C1-Incomes'!LO18)/('C1-Incomes'!$U18-'C1-Incomes'!$V18)*100</f>
        <v>1.4172961926159684</v>
      </c>
      <c r="BR15" s="456">
        <f>('C1-Incomes'!LO18-'C1-Incomes'!LP18)/('C1-Incomes'!$V18-'C1-Incomes'!$W18)*100</f>
        <v>1.4239553730728172</v>
      </c>
      <c r="BS15" s="456">
        <f>('C1-Incomes'!LP18-'C1-Incomes'!LQ18)/('C1-Incomes'!$W18-'C1-Incomes'!$X18)*100</f>
        <v>1.5963700978412254</v>
      </c>
      <c r="BT15" s="456">
        <f>'C1-Incomes'!LQ18/'C1-Incomes'!$X18*100</f>
        <v>2.5680186138034635</v>
      </c>
      <c r="BV15" s="456">
        <f>'F-B5'!AB44/'F-B5'!$AE44*100</f>
        <v>4.7404271949980483</v>
      </c>
      <c r="BW15" s="456">
        <f>'F-B6'!U44/'F-B6'!$X44*100</f>
        <v>6.49519219954378</v>
      </c>
      <c r="BX15" s="456">
        <f>('C1-Incomes'!KV18-'C1-Incomes'!KW18)/('C1-Incomes'!$S18-'C1-Incomes'!$T18)*100</f>
        <v>5.6937192363540587</v>
      </c>
      <c r="BY15" s="456">
        <f>('C1-Incomes'!KW18-'C1-Incomes'!KX18)/('C1-Incomes'!$T18-'C1-Incomes'!$U18)*100</f>
        <v>4.648415515841994</v>
      </c>
      <c r="BZ15" s="456">
        <f>('C1-Incomes'!KX18-'C1-Incomes'!KY18)/('C1-Incomes'!$U18-'C1-Incomes'!$V18)*100</f>
        <v>3.3173589371673895</v>
      </c>
      <c r="CA15" s="456">
        <f>('C1-Incomes'!KY18-'C1-Incomes'!KZ18)/('C1-Incomes'!$V18-'C1-Incomes'!$W18)*100</f>
        <v>2.5123349902270711</v>
      </c>
      <c r="CB15" s="456">
        <f>('C1-Incomes'!KZ18-'C1-Incomes'!LA18)/('C1-Incomes'!$W18-'C1-Incomes'!$X18)*100</f>
        <v>1.5838818754278436</v>
      </c>
      <c r="CC15" s="456">
        <f>'C1-Incomes'!LA18/'C1-Incomes'!$X18*100</f>
        <v>1.0081071268931885</v>
      </c>
    </row>
    <row r="16" spans="1:81" s="452" customFormat="1" ht="12" x14ac:dyDescent="0.25">
      <c r="A16" s="239">
        <v>1971</v>
      </c>
      <c r="B16" s="456">
        <f t="shared" si="6"/>
        <v>17.972745554829636</v>
      </c>
      <c r="C16" s="456">
        <f t="shared" si="7"/>
        <v>26.884267581455379</v>
      </c>
      <c r="D16" s="456">
        <f t="shared" si="8"/>
        <v>29.045935934425557</v>
      </c>
      <c r="E16" s="456">
        <f t="shared" si="9"/>
        <v>31.570995580086667</v>
      </c>
      <c r="F16" s="456">
        <f t="shared" si="10"/>
        <v>34.913766789195712</v>
      </c>
      <c r="G16" s="456">
        <f t="shared" si="11"/>
        <v>36.846735122476318</v>
      </c>
      <c r="H16" s="456">
        <f t="shared" si="12"/>
        <v>41.361622368044394</v>
      </c>
      <c r="I16" s="456">
        <f t="shared" si="13"/>
        <v>47.156543414192143</v>
      </c>
      <c r="J16" s="456"/>
      <c r="K16" s="456">
        <f t="shared" si="14"/>
        <v>12.783507931373688</v>
      </c>
      <c r="L16" s="456">
        <f t="shared" si="15"/>
        <v>21.24844196440014</v>
      </c>
      <c r="M16" s="456">
        <f t="shared" si="16"/>
        <v>25.134014701208599</v>
      </c>
      <c r="N16" s="456">
        <f t="shared" si="17"/>
        <v>29.144989648150961</v>
      </c>
      <c r="O16" s="456">
        <f t="shared" si="18"/>
        <v>33.753993165976404</v>
      </c>
      <c r="P16" s="456">
        <f t="shared" si="19"/>
        <v>36.218202001889502</v>
      </c>
      <c r="Q16" s="456">
        <f t="shared" si="20"/>
        <v>41.135062588675005</v>
      </c>
      <c r="R16" s="456">
        <f t="shared" si="21"/>
        <v>47.110164330262094</v>
      </c>
      <c r="S16" s="456"/>
      <c r="T16" s="456">
        <f>'F-B5'!W45/'F-B5'!$AE45*100</f>
        <v>2.4650342585652871</v>
      </c>
      <c r="U16" s="456">
        <f>'F-B6'!P45/'F-B6'!$X45*100</f>
        <v>7.800512927356845</v>
      </c>
      <c r="V16" s="456">
        <f>('C1-Incomes'!JH19-'C1-Incomes'!JI19)/('C1-Incomes'!$S19-'C1-Incomes'!$T19)*100</f>
        <v>9.9827624690471026</v>
      </c>
      <c r="W16" s="456">
        <f>('C1-Incomes'!JI19-'C1-Incomes'!JJ19)/('C1-Incomes'!$T19-'C1-Incomes'!$U19)*100</f>
        <v>11.934046804102428</v>
      </c>
      <c r="X16" s="456">
        <f>('C1-Incomes'!JJ19-'C1-Incomes'!JK19)/('C1-Incomes'!$U19-'C1-Incomes'!$V19)*100</f>
        <v>14.641767581072685</v>
      </c>
      <c r="Y16" s="456">
        <f>('C1-Incomes'!JK19-'C1-Incomes'!JL19)/('C1-Incomes'!$V19-'C1-Incomes'!$W19)*100</f>
        <v>16.060656100548343</v>
      </c>
      <c r="Z16" s="456">
        <f>('C1-Incomes'!JL19-'C1-Incomes'!JM19)/('C1-Incomes'!$W19-'C1-Incomes'!$X19)*100</f>
        <v>16.990094987579671</v>
      </c>
      <c r="AA16" s="456">
        <f>'C1-Incomes'!JM19/'C1-Incomes'!$X19*100</f>
        <v>18.609876611675276</v>
      </c>
      <c r="AB16" s="458"/>
      <c r="AC16" s="456">
        <f>'F-B5'!X45/'F-B5'!$AE45*100</f>
        <v>0.5739788294742415</v>
      </c>
      <c r="AD16" s="456">
        <f>'F-B6'!Q45/'F-B6'!$X45*100</f>
        <v>1.0435464796219669</v>
      </c>
      <c r="AE16" s="456">
        <f>('C1-Incomes'!JP19-'C1-Incomes'!JQ19)/('C1-Incomes'!$S19-'C1-Incomes'!$T19)*100</f>
        <v>1.2714331763647291</v>
      </c>
      <c r="AF16" s="456">
        <f>('C1-Incomes'!JQ19-'C1-Incomes'!JR19)/('C1-Incomes'!$T19-'C1-Incomes'!$U19)*100</f>
        <v>1.6818545832263492</v>
      </c>
      <c r="AG16" s="456">
        <f>('C1-Incomes'!JR19-'C1-Incomes'!JS19)/('C1-Incomes'!$U19-'C1-Incomes'!$V19)*100</f>
        <v>2.2356925697002277</v>
      </c>
      <c r="AH16" s="456">
        <f>('C1-Incomes'!JS19-'C1-Incomes'!JT19)/('C1-Incomes'!$V19-'C1-Incomes'!$W19)*100</f>
        <v>2.3452910029905558</v>
      </c>
      <c r="AI16" s="456">
        <f>('C1-Incomes'!JT19-'C1-Incomes'!JU19)/('C1-Incomes'!$W19-'C1-Incomes'!$X19)*100</f>
        <v>2.3928082959219292</v>
      </c>
      <c r="AJ16" s="456">
        <f>'C1-Incomes'!JU19/'C1-Incomes'!$X19*100</f>
        <v>2.5125370140772838</v>
      </c>
      <c r="AK16" s="458"/>
      <c r="AL16" s="456">
        <f>'F-B5'!Y45/'F-B5'!$AE45*100</f>
        <v>1.8990211715445033</v>
      </c>
      <c r="AM16" s="456">
        <f>'F-B6'!R45/'F-B6'!$X45*100</f>
        <v>2.5436229653995865</v>
      </c>
      <c r="AN16" s="456">
        <f>('C1-Incomes'!JX19-'C1-Incomes'!JY19)/('C1-Incomes'!$S19-'C1-Incomes'!$T19)*100</f>
        <v>3.0413311815874517</v>
      </c>
      <c r="AO16" s="456">
        <f>('C1-Incomes'!JY19-'C1-Incomes'!JZ19)/('C1-Incomes'!$T19-'C1-Incomes'!$U19)*100</f>
        <v>4.0562506761595012</v>
      </c>
      <c r="AP16" s="456">
        <f>('C1-Incomes'!JZ19-'C1-Incomes'!KA19)/('C1-Incomes'!$U19-'C1-Incomes'!$V19)*100</f>
        <v>5.9664206260925372</v>
      </c>
      <c r="AQ16" s="456">
        <f>('C1-Incomes'!KA19-'C1-Incomes'!KB19)/('C1-Incomes'!$V19-'C1-Incomes'!$W19)*100</f>
        <v>7.666059444114806</v>
      </c>
      <c r="AR16" s="456">
        <f>('C1-Incomes'!KB19-'C1-Incomes'!KC19)/('C1-Incomes'!$W19-'C1-Incomes'!$X19)*100</f>
        <v>11.482706158790783</v>
      </c>
      <c r="AS16" s="456">
        <f>'C1-Incomes'!KC19/'C1-Incomes'!$X19*100</f>
        <v>14.329413983585267</v>
      </c>
      <c r="AT16" s="458"/>
      <c r="AU16" s="456">
        <f>'F-B5'!Z45/'F-B5'!$AE45*100</f>
        <v>2.7341479620406171</v>
      </c>
      <c r="AV16" s="456">
        <f>'F-B6'!S45/'F-B6'!$X45*100</f>
        <v>2.9393581950841923</v>
      </c>
      <c r="AW16" s="456">
        <f>('C1-Incomes'!KF19-'C1-Incomes'!KG19)/('C1-Incomes'!$S19-'C1-Incomes'!$T19)*100</f>
        <v>4.4520872554108628</v>
      </c>
      <c r="AX16" s="456">
        <f>('C1-Incomes'!KG19-'C1-Incomes'!KH19)/('C1-Incomes'!$T19-'C1-Incomes'!$U19)*100</f>
        <v>5.7254524267096016</v>
      </c>
      <c r="AY16" s="456">
        <f>('C1-Incomes'!KH19-'C1-Incomes'!KI19)/('C1-Incomes'!$U19-'C1-Incomes'!$V19)*100</f>
        <v>6.009071524041393</v>
      </c>
      <c r="AZ16" s="456">
        <f>('C1-Incomes'!KI19-'C1-Incomes'!KJ19)/('C1-Incomes'!$V19-'C1-Incomes'!$W19)*100</f>
        <v>6.123708916085258</v>
      </c>
      <c r="BA16" s="456">
        <f>('C1-Incomes'!KJ19-'C1-Incomes'!KK19)/('C1-Incomes'!$W19-'C1-Incomes'!$X19)*100</f>
        <v>7.0460155143682632</v>
      </c>
      <c r="BB16" s="456">
        <f>'C1-Incomes'!KK19/'C1-Incomes'!$X19*100</f>
        <v>8.0774079534740508</v>
      </c>
      <c r="BD16" s="456">
        <f>'F-B5'!AA45/'F-B5'!$AE45*100</f>
        <v>5.1892376234559494</v>
      </c>
      <c r="BE16" s="456">
        <f>'F-B6'!T45/'F-B6'!$X45*100</f>
        <v>5.6358256170552412</v>
      </c>
      <c r="BF16" s="456">
        <f>('C1-Incomes'!KN19-'C1-Incomes'!KO19)/('C1-Incomes'!$S19-'C1-Incomes'!$T19)*100</f>
        <v>3.9119212332169591</v>
      </c>
      <c r="BG16" s="456">
        <f>('C1-Incomes'!KO19-'C1-Incomes'!KP19)/('C1-Incomes'!$T19-'C1-Incomes'!$U19)*100</f>
        <v>2.4260059319357059</v>
      </c>
      <c r="BH16" s="456">
        <f>('C1-Incomes'!KP19-'C1-Incomes'!KQ19)/('C1-Incomes'!$U19-'C1-Incomes'!$V19)*100</f>
        <v>1.1597736232193048</v>
      </c>
      <c r="BI16" s="456">
        <f>('C1-Incomes'!KQ19-'C1-Incomes'!KR19)/('C1-Incomes'!$V19-'C1-Incomes'!$W19)*100</f>
        <v>0.6285331205868151</v>
      </c>
      <c r="BJ16" s="456">
        <f>('C1-Incomes'!KR19-'C1-Incomes'!KS19)/('C1-Incomes'!$W19-'C1-Incomes'!$X19)*100</f>
        <v>0.22655977936938726</v>
      </c>
      <c r="BK16" s="456">
        <f>'C1-Incomes'!KS19/'C1-Incomes'!$X19*100</f>
        <v>4.6379083930047138E-2</v>
      </c>
      <c r="BL16" s="456"/>
      <c r="BM16" s="456">
        <f>'F-B5'!AC45/'F-B5'!$AE45*100</f>
        <v>0.43925735652039266</v>
      </c>
      <c r="BN16" s="456">
        <f>'F-B6'!V45/'F-B6'!$X45*100</f>
        <v>0.30727305000885807</v>
      </c>
      <c r="BO16" s="456">
        <f>('C1-Incomes'!LL19-'C1-Incomes'!LM19)/('C1-Incomes'!$S19-'C1-Incomes'!$T19)*100</f>
        <v>0.60242098791847476</v>
      </c>
      <c r="BP16" s="456">
        <f>('C1-Incomes'!LM19-'C1-Incomes'!LN19)/('C1-Incomes'!$T19-'C1-Incomes'!$U19)*100</f>
        <v>1.0682330607678625</v>
      </c>
      <c r="BQ16" s="456">
        <f>('C1-Incomes'!LN19-'C1-Incomes'!LO19)/('C1-Incomes'!$U19-'C1-Incomes'!$V19)*100</f>
        <v>1.5506541450341873</v>
      </c>
      <c r="BR16" s="456">
        <f>('C1-Incomes'!LO19-'C1-Incomes'!LP19)/('C1-Incomes'!$V19-'C1-Incomes'!$W19)*100</f>
        <v>1.5581667855667842</v>
      </c>
      <c r="BS16" s="456">
        <f>('C1-Incomes'!LP19-'C1-Incomes'!LQ19)/('C1-Incomes'!$W19-'C1-Incomes'!$X19)*100</f>
        <v>1.7038784760485353</v>
      </c>
      <c r="BT16" s="456">
        <f>'C1-Incomes'!LQ19/'C1-Incomes'!$X19*100</f>
        <v>2.6715560283709037</v>
      </c>
      <c r="BV16" s="456">
        <f>'F-B5'!AB45/'F-B5'!$AE45*100</f>
        <v>4.6720683532286449</v>
      </c>
      <c r="BW16" s="456">
        <f>'F-B6'!U45/'F-B6'!$X45*100</f>
        <v>6.6141283469286885</v>
      </c>
      <c r="BX16" s="456">
        <f>('C1-Incomes'!KV19-'C1-Incomes'!KW19)/('C1-Incomes'!$S19-'C1-Incomes'!$T19)*100</f>
        <v>5.7839796308799789</v>
      </c>
      <c r="BY16" s="456">
        <f>('C1-Incomes'!KW19-'C1-Incomes'!KX19)/('C1-Incomes'!$T19-'C1-Incomes'!$U19)*100</f>
        <v>4.679152097185221</v>
      </c>
      <c r="BZ16" s="456">
        <f>('C1-Incomes'!KX19-'C1-Incomes'!KY19)/('C1-Incomes'!$U19-'C1-Incomes'!$V19)*100</f>
        <v>3.3503867200353787</v>
      </c>
      <c r="CA16" s="456">
        <f>('C1-Incomes'!KY19-'C1-Incomes'!KZ19)/('C1-Incomes'!$V19-'C1-Incomes'!$W19)*100</f>
        <v>2.464319752583755</v>
      </c>
      <c r="CB16" s="456">
        <f>('C1-Incomes'!KZ19-'C1-Incomes'!LA19)/('C1-Incomes'!$W19-'C1-Incomes'!$X19)*100</f>
        <v>1.519559155965823</v>
      </c>
      <c r="CC16" s="456">
        <f>'C1-Incomes'!LA19/'C1-Incomes'!$X19*100</f>
        <v>0.9093727390793146</v>
      </c>
    </row>
    <row r="17" spans="1:81" s="452" customFormat="1" ht="12" x14ac:dyDescent="0.25">
      <c r="A17" s="239">
        <v>1972</v>
      </c>
      <c r="B17" s="456">
        <f t="shared" si="6"/>
        <v>18.579007825072893</v>
      </c>
      <c r="C17" s="456">
        <f t="shared" si="7"/>
        <v>27.884427553957952</v>
      </c>
      <c r="D17" s="456">
        <f t="shared" si="8"/>
        <v>29.926053622039738</v>
      </c>
      <c r="E17" s="456">
        <f t="shared" si="9"/>
        <v>32.575892847815595</v>
      </c>
      <c r="F17" s="456">
        <f t="shared" si="10"/>
        <v>36.042990574584195</v>
      </c>
      <c r="G17" s="456">
        <f t="shared" si="11"/>
        <v>38.420191431760806</v>
      </c>
      <c r="H17" s="456">
        <f t="shared" si="12"/>
        <v>42.372553317481049</v>
      </c>
      <c r="I17" s="456">
        <f t="shared" si="13"/>
        <v>47.708084792608282</v>
      </c>
      <c r="J17" s="456"/>
      <c r="K17" s="456">
        <f t="shared" si="14"/>
        <v>12.717321556917614</v>
      </c>
      <c r="L17" s="456">
        <f t="shared" si="15"/>
        <v>22.201853086125638</v>
      </c>
      <c r="M17" s="456">
        <f t="shared" si="16"/>
        <v>25.880119554435325</v>
      </c>
      <c r="N17" s="456">
        <f t="shared" si="17"/>
        <v>30.025924486353549</v>
      </c>
      <c r="O17" s="456">
        <f t="shared" si="18"/>
        <v>34.938777635341935</v>
      </c>
      <c r="P17" s="456">
        <f t="shared" si="19"/>
        <v>37.797670272210127</v>
      </c>
      <c r="Q17" s="456">
        <f t="shared" si="20"/>
        <v>42.149368378216899</v>
      </c>
      <c r="R17" s="456">
        <f t="shared" si="21"/>
        <v>47.661096217143069</v>
      </c>
      <c r="S17" s="456"/>
      <c r="T17" s="456">
        <f>'F-B5'!W46/'F-B5'!$AE46*100</f>
        <v>2.7983531473906824</v>
      </c>
      <c r="U17" s="456">
        <f>'F-B6'!P46/'F-B6'!$X46*100</f>
        <v>8.3266759248140918</v>
      </c>
      <c r="V17" s="456">
        <f>('C1-Incomes'!JH20-'C1-Incomes'!JI20)/('C1-Incomes'!$S20-'C1-Incomes'!$T20)*100</f>
        <v>11.0163560138247</v>
      </c>
      <c r="W17" s="456">
        <f>('C1-Incomes'!JI20-'C1-Incomes'!JJ20)/('C1-Incomes'!$T20-'C1-Incomes'!$U20)*100</f>
        <v>13.21549470874066</v>
      </c>
      <c r="X17" s="456">
        <f>('C1-Incomes'!JJ20-'C1-Incomes'!JK20)/('C1-Incomes'!$U20-'C1-Incomes'!$V20)*100</f>
        <v>16.093133119649643</v>
      </c>
      <c r="Y17" s="456">
        <f>('C1-Incomes'!JK20-'C1-Incomes'!JL20)/('C1-Incomes'!$V20-'C1-Incomes'!$W20)*100</f>
        <v>17.217286616123005</v>
      </c>
      <c r="Z17" s="456">
        <f>('C1-Incomes'!JL20-'C1-Incomes'!JM20)/('C1-Incomes'!$W20-'C1-Incomes'!$X20)*100</f>
        <v>17.655337218376673</v>
      </c>
      <c r="AA17" s="456">
        <f>'C1-Incomes'!JM20/'C1-Incomes'!$X20*100</f>
        <v>19.444900573096398</v>
      </c>
      <c r="AB17" s="458"/>
      <c r="AC17" s="456">
        <f>'F-B5'!X46/'F-B5'!$AE46*100</f>
        <v>0.68132491203305245</v>
      </c>
      <c r="AD17" s="456">
        <f>'F-B6'!Q46/'F-B6'!$X46*100</f>
        <v>1.3986005469367311</v>
      </c>
      <c r="AE17" s="456">
        <f>('C1-Incomes'!JP20-'C1-Incomes'!JQ20)/('C1-Incomes'!$S20-'C1-Incomes'!$T20)*100</f>
        <v>1.6512714315196426</v>
      </c>
      <c r="AF17" s="456">
        <f>('C1-Incomes'!JQ20-'C1-Incomes'!JR20)/('C1-Incomes'!$T20-'C1-Incomes'!$U20)*100</f>
        <v>2.0578873602651346</v>
      </c>
      <c r="AG17" s="456">
        <f>('C1-Incomes'!JR20-'C1-Incomes'!JS20)/('C1-Incomes'!$U20-'C1-Incomes'!$V20)*100</f>
        <v>2.4547610612414785</v>
      </c>
      <c r="AH17" s="456">
        <f>('C1-Incomes'!JS20-'C1-Incomes'!JT20)/('C1-Incomes'!$V20-'C1-Incomes'!$W20)*100</f>
        <v>2.5880527207434048</v>
      </c>
      <c r="AI17" s="456">
        <f>('C1-Incomes'!JT20-'C1-Incomes'!JU20)/('C1-Incomes'!$W20-'C1-Incomes'!$X20)*100</f>
        <v>2.7144547224969986</v>
      </c>
      <c r="AJ17" s="456">
        <f>'C1-Incomes'!JU20/'C1-Incomes'!$X20*100</f>
        <v>2.7487015315775682</v>
      </c>
      <c r="AK17" s="458"/>
      <c r="AL17" s="456">
        <f>'F-B5'!Y46/'F-B5'!$AE46*100</f>
        <v>1.9191601804398792</v>
      </c>
      <c r="AM17" s="456">
        <f>'F-B6'!R46/'F-B6'!$X46*100</f>
        <v>2.5853933758522625</v>
      </c>
      <c r="AN17" s="456">
        <f>('C1-Incomes'!JX20-'C1-Incomes'!JY20)/('C1-Incomes'!$S20-'C1-Incomes'!$T20)*100</f>
        <v>2.9978936555213753</v>
      </c>
      <c r="AO17" s="456">
        <f>('C1-Incomes'!JY20-'C1-Incomes'!JZ20)/('C1-Incomes'!$T20-'C1-Incomes'!$U20)*100</f>
        <v>4.2137462044392411</v>
      </c>
      <c r="AP17" s="456">
        <f>('C1-Incomes'!JZ20-'C1-Incomes'!KA20)/('C1-Incomes'!$U20-'C1-Incomes'!$V20)*100</f>
        <v>6.0087614156864237</v>
      </c>
      <c r="AQ17" s="456">
        <f>('C1-Incomes'!KA20-'C1-Incomes'!KB20)/('C1-Incomes'!$V20-'C1-Incomes'!$W20)*100</f>
        <v>7.9716935680429311</v>
      </c>
      <c r="AR17" s="456">
        <f>('C1-Incomes'!KB20-'C1-Incomes'!KC20)/('C1-Incomes'!$W20-'C1-Incomes'!$X20)*100</f>
        <v>11.503729119169401</v>
      </c>
      <c r="AS17" s="456">
        <f>'C1-Incomes'!KC20/'C1-Incomes'!$X20*100</f>
        <v>14.161476453998576</v>
      </c>
      <c r="AT17" s="458"/>
      <c r="AU17" s="456">
        <f>'F-B5'!Z46/'F-B5'!$AE46*100</f>
        <v>2.1341909999727111</v>
      </c>
      <c r="AV17" s="456">
        <f>'F-B6'!S46/'F-B6'!$X46*100</f>
        <v>3.3244555913111</v>
      </c>
      <c r="AW17" s="456">
        <f>('C1-Incomes'!KF20-'C1-Incomes'!KG20)/('C1-Incomes'!$S20-'C1-Incomes'!$T20)*100</f>
        <v>4.0510922765878936</v>
      </c>
      <c r="AX17" s="456">
        <f>('C1-Incomes'!KG20-'C1-Incomes'!KH20)/('C1-Incomes'!$T20-'C1-Incomes'!$U20)*100</f>
        <v>4.9954909345261518</v>
      </c>
      <c r="AY17" s="456">
        <f>('C1-Incomes'!KH20-'C1-Incomes'!KI20)/('C1-Incomes'!$U20-'C1-Incomes'!$V20)*100</f>
        <v>5.8130839146307256</v>
      </c>
      <c r="AZ17" s="456">
        <f>('C1-Incomes'!KI20-'C1-Incomes'!KJ20)/('C1-Incomes'!$V20-'C1-Incomes'!$W20)*100</f>
        <v>6.206976503269261</v>
      </c>
      <c r="BA17" s="456">
        <f>('C1-Incomes'!KJ20-'C1-Incomes'!KK20)/('C1-Incomes'!$W20-'C1-Incomes'!$X20)*100</f>
        <v>7.1863715325395132</v>
      </c>
      <c r="BB17" s="456">
        <f>'C1-Incomes'!KK20/'C1-Incomes'!$X20*100</f>
        <v>7.7546381516323741</v>
      </c>
      <c r="BD17" s="456">
        <f>'F-B5'!AA46/'F-B5'!$AE46*100</f>
        <v>5.8616862681552782</v>
      </c>
      <c r="BE17" s="456">
        <f>'F-B6'!T46/'F-B6'!$X46*100</f>
        <v>5.682574467832314</v>
      </c>
      <c r="BF17" s="456">
        <f>('C1-Incomes'!KN20-'C1-Incomes'!KO20)/('C1-Incomes'!$S20-'C1-Incomes'!$T20)*100</f>
        <v>4.0459340676044135</v>
      </c>
      <c r="BG17" s="456">
        <f>('C1-Incomes'!KO20-'C1-Incomes'!KP20)/('C1-Incomes'!$T20-'C1-Incomes'!$U20)*100</f>
        <v>2.5499683614620432</v>
      </c>
      <c r="BH17" s="456">
        <f>('C1-Incomes'!KP20-'C1-Incomes'!KQ20)/('C1-Incomes'!$U20-'C1-Incomes'!$V20)*100</f>
        <v>1.1042129392422613</v>
      </c>
      <c r="BI17" s="456">
        <f>('C1-Incomes'!KQ20-'C1-Incomes'!KR20)/('C1-Incomes'!$V20-'C1-Incomes'!$W20)*100</f>
        <v>0.6225211595506821</v>
      </c>
      <c r="BJ17" s="456">
        <f>('C1-Incomes'!KR20-'C1-Incomes'!KS20)/('C1-Incomes'!$W20-'C1-Incomes'!$X20)*100</f>
        <v>0.223184939264153</v>
      </c>
      <c r="BK17" s="456">
        <f>'C1-Incomes'!KS20/'C1-Incomes'!$X20*100</f>
        <v>4.6988575465213914E-2</v>
      </c>
      <c r="BL17" s="456"/>
      <c r="BM17" s="456">
        <f>'F-B5'!AC46/'F-B5'!$AE46*100</f>
        <v>0.47073882461237487</v>
      </c>
      <c r="BN17" s="456">
        <f>'F-B6'!V46/'F-B6'!$X46*100</f>
        <v>0.33734470915255271</v>
      </c>
      <c r="BO17" s="456">
        <f>('C1-Incomes'!LL20-'C1-Incomes'!LM20)/('C1-Incomes'!$S20-'C1-Incomes'!$T20)*100</f>
        <v>0.64683943499180763</v>
      </c>
      <c r="BP17" s="456">
        <f>('C1-Incomes'!LM20-'C1-Incomes'!LN20)/('C1-Incomes'!$T20-'C1-Incomes'!$U20)*100</f>
        <v>1.1093054032289948</v>
      </c>
      <c r="BQ17" s="456">
        <f>('C1-Incomes'!LN20-'C1-Incomes'!LO20)/('C1-Incomes'!$U20-'C1-Incomes'!$V20)*100</f>
        <v>1.6060776160826633</v>
      </c>
      <c r="BR17" s="456">
        <f>('C1-Incomes'!LO20-'C1-Incomes'!LP20)/('C1-Incomes'!$V20-'C1-Incomes'!$W20)*100</f>
        <v>1.6106400039264273</v>
      </c>
      <c r="BS17" s="456">
        <f>('C1-Incomes'!LP20-'C1-Incomes'!LQ20)/('C1-Incomes'!$W20-'C1-Incomes'!$X20)*100</f>
        <v>1.7439407186610647</v>
      </c>
      <c r="BT17" s="456">
        <f>'C1-Incomes'!LQ20/'C1-Incomes'!$X20*100</f>
        <v>2.7040111737523773</v>
      </c>
      <c r="BV17" s="456">
        <f>'F-B5'!AB46/'F-B5'!$AE46*100</f>
        <v>4.713553492468912</v>
      </c>
      <c r="BW17" s="456">
        <f>'F-B6'!U46/'F-B6'!$X46*100</f>
        <v>6.229382938058901</v>
      </c>
      <c r="BX17" s="456">
        <f>('C1-Incomes'!KV20-'C1-Incomes'!KW20)/('C1-Incomes'!$S20-'C1-Incomes'!$T20)*100</f>
        <v>5.5166667419899058</v>
      </c>
      <c r="BY17" s="456">
        <f>('C1-Incomes'!KW20-'C1-Incomes'!KX20)/('C1-Incomes'!$T20-'C1-Incomes'!$U20)*100</f>
        <v>4.4339998751533649</v>
      </c>
      <c r="BZ17" s="456">
        <f>('C1-Incomes'!KX20-'C1-Incomes'!KY20)/('C1-Incomes'!$U20-'C1-Incomes'!$V20)*100</f>
        <v>2.9629605080510064</v>
      </c>
      <c r="CA17" s="456">
        <f>('C1-Incomes'!KY20-'C1-Incomes'!KZ20)/('C1-Incomes'!$V20-'C1-Incomes'!$W20)*100</f>
        <v>2.2030208601050973</v>
      </c>
      <c r="CB17" s="456">
        <f>('C1-Incomes'!KZ20-'C1-Incomes'!LA20)/('C1-Incomes'!$W20-'C1-Incomes'!$X20)*100</f>
        <v>1.3455350669732478</v>
      </c>
      <c r="CC17" s="456">
        <f>'C1-Incomes'!LA20/'C1-Incomes'!$X20*100</f>
        <v>0.84736833308578141</v>
      </c>
    </row>
    <row r="18" spans="1:81" s="452" customFormat="1" ht="12" x14ac:dyDescent="0.25">
      <c r="A18" s="239">
        <v>1973</v>
      </c>
      <c r="B18" s="456">
        <f t="shared" si="6"/>
        <v>19.260404874816238</v>
      </c>
      <c r="C18" s="456">
        <f t="shared" si="7"/>
        <v>28.749477453849845</v>
      </c>
      <c r="D18" s="456">
        <f t="shared" si="8"/>
        <v>30.285849579414052</v>
      </c>
      <c r="E18" s="456">
        <f t="shared" si="9"/>
        <v>32.202135153722033</v>
      </c>
      <c r="F18" s="456">
        <f t="shared" si="10"/>
        <v>34.595193548666593</v>
      </c>
      <c r="G18" s="456">
        <f t="shared" si="11"/>
        <v>35.394832139820672</v>
      </c>
      <c r="H18" s="456">
        <f t="shared" si="12"/>
        <v>38.236269201335425</v>
      </c>
      <c r="I18" s="456">
        <f t="shared" si="13"/>
        <v>40.863907474263165</v>
      </c>
      <c r="J18" s="456"/>
      <c r="K18" s="456">
        <f t="shared" si="14"/>
        <v>12.995184772710621</v>
      </c>
      <c r="L18" s="456">
        <f t="shared" si="15"/>
        <v>22.105583511053553</v>
      </c>
      <c r="M18" s="456">
        <f t="shared" si="16"/>
        <v>25.428636284917356</v>
      </c>
      <c r="N18" s="456">
        <f t="shared" si="17"/>
        <v>29.200611232824322</v>
      </c>
      <c r="O18" s="456">
        <f t="shared" si="18"/>
        <v>33.310362065679094</v>
      </c>
      <c r="P18" s="456">
        <f t="shared" si="19"/>
        <v>34.6454128323414</v>
      </c>
      <c r="Q18" s="456">
        <f t="shared" si="20"/>
        <v>37.948411560829356</v>
      </c>
      <c r="R18" s="456">
        <f t="shared" si="21"/>
        <v>40.803131835263905</v>
      </c>
      <c r="S18" s="456"/>
      <c r="T18" s="456">
        <f>'F-B5'!W47/'F-B5'!$AE47*100</f>
        <v>2.9072374316325016</v>
      </c>
      <c r="U18" s="456">
        <f>'F-B6'!P47/'F-B6'!$X47*100</f>
        <v>8.008462020666455</v>
      </c>
      <c r="V18" s="456">
        <f>('C1-Incomes'!JH21-'C1-Incomes'!JI21)/('C1-Incomes'!$S21-'C1-Incomes'!$T21)*100</f>
        <v>10.572189866560953</v>
      </c>
      <c r="W18" s="456">
        <f>('C1-Incomes'!JI21-'C1-Incomes'!JJ21)/('C1-Incomes'!$T21-'C1-Incomes'!$U21)*100</f>
        <v>12.661930697631254</v>
      </c>
      <c r="X18" s="456">
        <f>('C1-Incomes'!JJ21-'C1-Incomes'!JK21)/('C1-Incomes'!$U21-'C1-Incomes'!$V21)*100</f>
        <v>14.935059067250139</v>
      </c>
      <c r="Y18" s="456">
        <f>('C1-Incomes'!JK21-'C1-Incomes'!JL21)/('C1-Incomes'!$V21-'C1-Incomes'!$W21)*100</f>
        <v>15.316599022092699</v>
      </c>
      <c r="Z18" s="456">
        <f>('C1-Incomes'!JL21-'C1-Incomes'!JM21)/('C1-Incomes'!$W21-'C1-Incomes'!$X21)*100</f>
        <v>16.023111430815732</v>
      </c>
      <c r="AA18" s="456">
        <f>'C1-Incomes'!JM21/'C1-Incomes'!$X21*100</f>
        <v>16.228240831626508</v>
      </c>
      <c r="AB18" s="458"/>
      <c r="AC18" s="456">
        <f>'F-B5'!X47/'F-B5'!$AE47*100</f>
        <v>0.63723334305851531</v>
      </c>
      <c r="AD18" s="456">
        <f>'F-B6'!Q47/'F-B6'!$X47*100</f>
        <v>1.3698845194424436</v>
      </c>
      <c r="AE18" s="456">
        <f>('C1-Incomes'!JP21-'C1-Incomes'!JQ21)/('C1-Incomes'!$S21-'C1-Incomes'!$T21)*100</f>
        <v>1.6650264503138259</v>
      </c>
      <c r="AF18" s="456">
        <f>('C1-Incomes'!JQ21-'C1-Incomes'!JR21)/('C1-Incomes'!$T21-'C1-Incomes'!$U21)*100</f>
        <v>2.0510406652097508</v>
      </c>
      <c r="AG18" s="456">
        <f>('C1-Incomes'!JR21-'C1-Incomes'!JS21)/('C1-Incomes'!$U21-'C1-Incomes'!$V21)*100</f>
        <v>2.5937405156420605</v>
      </c>
      <c r="AH18" s="456">
        <f>('C1-Incomes'!JS21-'C1-Incomes'!JT21)/('C1-Incomes'!$V21-'C1-Incomes'!$W21)*100</f>
        <v>2.5635219625389989</v>
      </c>
      <c r="AI18" s="456">
        <f>('C1-Incomes'!JT21-'C1-Incomes'!JU21)/('C1-Incomes'!$W21-'C1-Incomes'!$X21)*100</f>
        <v>2.6710149997913653</v>
      </c>
      <c r="AJ18" s="456">
        <f>'C1-Incomes'!JU21/'C1-Incomes'!$X21*100</f>
        <v>2.4243369247295137</v>
      </c>
      <c r="AK18" s="458"/>
      <c r="AL18" s="456">
        <f>'F-B5'!Y47/'F-B5'!$AE47*100</f>
        <v>2.1843669737742926</v>
      </c>
      <c r="AM18" s="456">
        <f>'F-B6'!R47/'F-B6'!$X47*100</f>
        <v>2.8681744386888486</v>
      </c>
      <c r="AN18" s="456">
        <f>('C1-Incomes'!JX21-'C1-Incomes'!JY21)/('C1-Incomes'!$S21-'C1-Incomes'!$T21)*100</f>
        <v>3.1120217947057056</v>
      </c>
      <c r="AO18" s="456">
        <f>('C1-Incomes'!JY21-'C1-Incomes'!JZ21)/('C1-Incomes'!$T21-'C1-Incomes'!$U21)*100</f>
        <v>4.1811592270766846</v>
      </c>
      <c r="AP18" s="456">
        <f>('C1-Incomes'!JZ21-'C1-Incomes'!KA21)/('C1-Incomes'!$U21-'C1-Incomes'!$V21)*100</f>
        <v>6.0134068860623318</v>
      </c>
      <c r="AQ18" s="456">
        <f>('C1-Incomes'!KA21-'C1-Incomes'!KB21)/('C1-Incomes'!$V21-'C1-Incomes'!$W21)*100</f>
        <v>7.556283531378984</v>
      </c>
      <c r="AR18" s="456">
        <f>('C1-Incomes'!KB21-'C1-Incomes'!KC21)/('C1-Incomes'!$W21-'C1-Incomes'!$X21)*100</f>
        <v>10.348572681875424</v>
      </c>
      <c r="AS18" s="456">
        <f>'C1-Incomes'!KC21/'C1-Incomes'!$X21*100</f>
        <v>12.704457686352264</v>
      </c>
      <c r="AT18" s="458"/>
      <c r="AU18" s="456">
        <f>'F-B5'!Z47/'F-B5'!$AE47*100</f>
        <v>2.078619413398525</v>
      </c>
      <c r="AV18" s="456">
        <f>'F-B6'!S47/'F-B6'!$X47*100</f>
        <v>3.2809920838517637</v>
      </c>
      <c r="AW18" s="456">
        <f>('C1-Incomes'!KF21-'C1-Incomes'!KG21)/('C1-Incomes'!$S21-'C1-Incomes'!$T21)*100</f>
        <v>3.8945999367815509</v>
      </c>
      <c r="AX18" s="456">
        <f>('C1-Incomes'!KG21-'C1-Incomes'!KH21)/('C1-Incomes'!$T21-'C1-Incomes'!$U21)*100</f>
        <v>4.8428212928548628</v>
      </c>
      <c r="AY18" s="456">
        <f>('C1-Incomes'!KH21-'C1-Incomes'!KI21)/('C1-Incomes'!$U21-'C1-Incomes'!$V21)*100</f>
        <v>5.3558367948866188</v>
      </c>
      <c r="AZ18" s="456">
        <f>('C1-Incomes'!KI21-'C1-Incomes'!KJ21)/('C1-Incomes'!$V21-'C1-Incomes'!$W21)*100</f>
        <v>5.5821033989856446</v>
      </c>
      <c r="BA18" s="456">
        <f>('C1-Incomes'!KJ21-'C1-Incomes'!KK21)/('C1-Incomes'!$W21-'C1-Incomes'!$X21)*100</f>
        <v>5.8545292294565536</v>
      </c>
      <c r="BB18" s="456">
        <f>'C1-Incomes'!KK21/'C1-Incomes'!$X21*100</f>
        <v>6.0754740981310213</v>
      </c>
      <c r="BD18" s="456">
        <f>'F-B5'!AA47/'F-B5'!$AE47*100</f>
        <v>6.2652201021056193</v>
      </c>
      <c r="BE18" s="456">
        <f>'F-B6'!T47/'F-B6'!$X47*100</f>
        <v>6.643893942796292</v>
      </c>
      <c r="BF18" s="456">
        <f>('C1-Incomes'!KN21-'C1-Incomes'!KO21)/('C1-Incomes'!$S21-'C1-Incomes'!$T21)*100</f>
        <v>4.8572132944966935</v>
      </c>
      <c r="BG18" s="456">
        <f>('C1-Incomes'!KO21-'C1-Incomes'!KP21)/('C1-Incomes'!$T21-'C1-Incomes'!$U21)*100</f>
        <v>3.0015239208977111</v>
      </c>
      <c r="BH18" s="456">
        <f>('C1-Incomes'!KP21-'C1-Incomes'!KQ21)/('C1-Incomes'!$U21-'C1-Incomes'!$V21)*100</f>
        <v>1.2848314829874981</v>
      </c>
      <c r="BI18" s="456">
        <f>('C1-Incomes'!KQ21-'C1-Incomes'!KR21)/('C1-Incomes'!$V21-'C1-Incomes'!$W21)*100</f>
        <v>0.74941930747926933</v>
      </c>
      <c r="BJ18" s="456">
        <f>('C1-Incomes'!KR21-'C1-Incomes'!KS21)/('C1-Incomes'!$W21-'C1-Incomes'!$X21)*100</f>
        <v>0.28785764050606621</v>
      </c>
      <c r="BK18" s="456">
        <f>'C1-Incomes'!KS21/'C1-Incomes'!$X21*100</f>
        <v>6.0775638999259009E-2</v>
      </c>
      <c r="BL18" s="456"/>
      <c r="BM18" s="456">
        <f>'F-B5'!AC47/'F-B5'!$AE47*100</f>
        <v>0.40857383891901233</v>
      </c>
      <c r="BN18" s="456">
        <f>'F-B6'!V47/'F-B6'!$X47*100</f>
        <v>0.28846905937589112</v>
      </c>
      <c r="BO18" s="456">
        <f>('C1-Incomes'!LL21-'C1-Incomes'!LM21)/('C1-Incomes'!$S21-'C1-Incomes'!$T21)*100</f>
        <v>0.56889734303570194</v>
      </c>
      <c r="BP18" s="456">
        <f>('C1-Incomes'!LM21-'C1-Incomes'!LN21)/('C1-Incomes'!$T21-'C1-Incomes'!$U21)*100</f>
        <v>0.97901779114053633</v>
      </c>
      <c r="BQ18" s="456">
        <f>('C1-Incomes'!LN21-'C1-Incomes'!LO21)/('C1-Incomes'!$U21-'C1-Incomes'!$V21)*100</f>
        <v>1.3696319471579963</v>
      </c>
      <c r="BR18" s="456">
        <f>('C1-Incomes'!LO21-'C1-Incomes'!LP21)/('C1-Incomes'!$V21-'C1-Incomes'!$W21)*100</f>
        <v>1.3616540324673567</v>
      </c>
      <c r="BS18" s="456">
        <f>('C1-Incomes'!LP21-'C1-Incomes'!LQ21)/('C1-Incomes'!$W21-'C1-Incomes'!$X21)*100</f>
        <v>1.5788116247013257</v>
      </c>
      <c r="BT18" s="456">
        <f>'C1-Incomes'!LQ21/'C1-Incomes'!$X21*100</f>
        <v>2.3832876258538138</v>
      </c>
      <c r="BV18" s="456">
        <f>'F-B5'!AB47/'F-B5'!$AE47*100</f>
        <v>4.7791537719277724</v>
      </c>
      <c r="BW18" s="456">
        <f>'F-B6'!U47/'F-B6'!$X47*100</f>
        <v>6.2896013890281486</v>
      </c>
      <c r="BX18" s="456">
        <f>('C1-Incomes'!KV21-'C1-Incomes'!KW21)/('C1-Incomes'!$S21-'C1-Incomes'!$T21)*100</f>
        <v>5.6159008935196191</v>
      </c>
      <c r="BY18" s="456">
        <f>('C1-Incomes'!KW21-'C1-Incomes'!KX21)/('C1-Incomes'!$T21-'C1-Incomes'!$U21)*100</f>
        <v>4.4846415589112336</v>
      </c>
      <c r="BZ18" s="456">
        <f>('C1-Incomes'!KX21-'C1-Incomes'!KY21)/('C1-Incomes'!$U21-'C1-Incomes'!$V21)*100</f>
        <v>3.0426868546799515</v>
      </c>
      <c r="CA18" s="456">
        <f>('C1-Incomes'!KY21-'C1-Incomes'!KZ21)/('C1-Incomes'!$V21-'C1-Incomes'!$W21)*100</f>
        <v>2.2652508848777186</v>
      </c>
      <c r="CB18" s="456">
        <f>('C1-Incomes'!KZ21-'C1-Incomes'!LA21)/('C1-Incomes'!$W21-'C1-Incomes'!$X21)*100</f>
        <v>1.4723715941889532</v>
      </c>
      <c r="CC18" s="456">
        <f>'C1-Incomes'!LA21/'C1-Incomes'!$X21*100</f>
        <v>0.98733466857078533</v>
      </c>
    </row>
    <row r="19" spans="1:81" s="452" customFormat="1" ht="12" x14ac:dyDescent="0.25">
      <c r="A19" s="239">
        <v>1974</v>
      </c>
      <c r="B19" s="456">
        <f t="shared" si="6"/>
        <v>19.585700901090981</v>
      </c>
      <c r="C19" s="456">
        <f t="shared" si="7"/>
        <v>29.718642408862106</v>
      </c>
      <c r="D19" s="456">
        <f t="shared" si="8"/>
        <v>30.831681459975439</v>
      </c>
      <c r="E19" s="456">
        <f t="shared" si="9"/>
        <v>32.605213566689187</v>
      </c>
      <c r="F19" s="456">
        <f t="shared" si="10"/>
        <v>34.609290063405908</v>
      </c>
      <c r="G19" s="456">
        <f t="shared" si="11"/>
        <v>35.623001419595411</v>
      </c>
      <c r="H19" s="456">
        <f t="shared" si="12"/>
        <v>38.385556483649879</v>
      </c>
      <c r="I19" s="456">
        <f t="shared" si="13"/>
        <v>40.510406719602905</v>
      </c>
      <c r="J19" s="456"/>
      <c r="K19" s="456">
        <f t="shared" si="14"/>
        <v>13.713430969490826</v>
      </c>
      <c r="L19" s="456">
        <f t="shared" si="15"/>
        <v>22.571330800033408</v>
      </c>
      <c r="M19" s="456">
        <f t="shared" si="16"/>
        <v>25.556933250820734</v>
      </c>
      <c r="N19" s="456">
        <f t="shared" si="17"/>
        <v>29.229495117882706</v>
      </c>
      <c r="O19" s="456">
        <f t="shared" si="18"/>
        <v>33.07479185944085</v>
      </c>
      <c r="P19" s="456">
        <f t="shared" si="19"/>
        <v>34.747108598994515</v>
      </c>
      <c r="Q19" s="456">
        <f t="shared" si="20"/>
        <v>38.027889288647245</v>
      </c>
      <c r="R19" s="456">
        <f t="shared" si="21"/>
        <v>40.436009501644946</v>
      </c>
      <c r="S19" s="456"/>
      <c r="T19" s="456">
        <f>'F-B5'!W48/'F-B5'!$AE48*100</f>
        <v>3.1628434555249476</v>
      </c>
      <c r="U19" s="456">
        <f>'F-B6'!P48/'F-B6'!$X48*100</f>
        <v>8.4957605870379744</v>
      </c>
      <c r="V19" s="456">
        <f>('C1-Incomes'!JH22-'C1-Incomes'!JI22)/('C1-Incomes'!$S22-'C1-Incomes'!$T22)*100</f>
        <v>10.949457665884168</v>
      </c>
      <c r="W19" s="456">
        <f>('C1-Incomes'!JI22-'C1-Incomes'!JJ22)/('C1-Incomes'!$T22-'C1-Incomes'!$U22)*100</f>
        <v>13.178328520547556</v>
      </c>
      <c r="X19" s="456">
        <f>('C1-Incomes'!JJ22-'C1-Incomes'!JK22)/('C1-Incomes'!$U22-'C1-Incomes'!$V22)*100</f>
        <v>15.947527391582719</v>
      </c>
      <c r="Y19" s="456">
        <f>('C1-Incomes'!JK22-'C1-Incomes'!JL22)/('C1-Incomes'!$V22-'C1-Incomes'!$W22)*100</f>
        <v>17.315644029388906</v>
      </c>
      <c r="Z19" s="456">
        <f>('C1-Incomes'!JL22-'C1-Incomes'!JM22)/('C1-Incomes'!$W22-'C1-Incomes'!$X22)*100</f>
        <v>18.952237992724395</v>
      </c>
      <c r="AA19" s="456">
        <f>'C1-Incomes'!JM22/'C1-Incomes'!$X22*100</f>
        <v>18.883330162789743</v>
      </c>
      <c r="AB19" s="458"/>
      <c r="AC19" s="456">
        <f>'F-B5'!X48/'F-B5'!$AE48*100</f>
        <v>0.73094558195663251</v>
      </c>
      <c r="AD19" s="456">
        <f>'F-B6'!Q48/'F-B6'!$X48*100</f>
        <v>1.3073852731989517</v>
      </c>
      <c r="AE19" s="456">
        <f>('C1-Incomes'!JP22-'C1-Incomes'!JQ22)/('C1-Incomes'!$S22-'C1-Incomes'!$T22)*100</f>
        <v>1.6770753435428856</v>
      </c>
      <c r="AF19" s="456">
        <f>('C1-Incomes'!JQ22-'C1-Incomes'!JR22)/('C1-Incomes'!$T22-'C1-Incomes'!$U22)*100</f>
        <v>2.0716686766904346</v>
      </c>
      <c r="AG19" s="456">
        <f>('C1-Incomes'!JR22-'C1-Incomes'!JS22)/('C1-Incomes'!$U22-'C1-Incomes'!$V22)*100</f>
        <v>2.5183407066316064</v>
      </c>
      <c r="AH19" s="456">
        <f>('C1-Incomes'!JS22-'C1-Incomes'!JT22)/('C1-Incomes'!$V22-'C1-Incomes'!$W22)*100</f>
        <v>2.5476491080753094</v>
      </c>
      <c r="AI19" s="456">
        <f>('C1-Incomes'!JT22-'C1-Incomes'!JU22)/('C1-Incomes'!$W22-'C1-Incomes'!$X22)*100</f>
        <v>2.5773456360910565</v>
      </c>
      <c r="AJ19" s="456">
        <f>'C1-Incomes'!JU22/'C1-Incomes'!$X22*100</f>
        <v>2.4446405970616469</v>
      </c>
      <c r="AK19" s="458"/>
      <c r="AL19" s="456">
        <f>'F-B5'!Y48/'F-B5'!$AE48*100</f>
        <v>2.4079652655772437</v>
      </c>
      <c r="AM19" s="456">
        <f>'F-B6'!R48/'F-B6'!$X48*100</f>
        <v>2.9184444255728925</v>
      </c>
      <c r="AN19" s="456">
        <f>('C1-Incomes'!JX22-'C1-Incomes'!JY22)/('C1-Incomes'!$S22-'C1-Incomes'!$T22)*100</f>
        <v>3.0685533894207153</v>
      </c>
      <c r="AO19" s="456">
        <f>('C1-Incomes'!JY22-'C1-Incomes'!JZ22)/('C1-Incomes'!$T22-'C1-Incomes'!$U22)*100</f>
        <v>3.8349498974831127</v>
      </c>
      <c r="AP19" s="456">
        <f>('C1-Incomes'!JZ22-'C1-Incomes'!KA22)/('C1-Incomes'!$U22-'C1-Incomes'!$V22)*100</f>
        <v>4.6563666056735222</v>
      </c>
      <c r="AQ19" s="456">
        <f>('C1-Incomes'!KA22-'C1-Incomes'!KB22)/('C1-Incomes'!$V22-'C1-Incomes'!$W22)*100</f>
        <v>5.7674383635686723</v>
      </c>
      <c r="AR19" s="456">
        <f>('C1-Incomes'!KB22-'C1-Incomes'!KC22)/('C1-Incomes'!$W22-'C1-Incomes'!$X22)*100</f>
        <v>7.8485514635157587</v>
      </c>
      <c r="AS19" s="456">
        <f>'C1-Incomes'!KC22/'C1-Incomes'!$X22*100</f>
        <v>10.07586520291024</v>
      </c>
      <c r="AT19" s="458"/>
      <c r="AU19" s="456">
        <f>'F-B5'!Z48/'F-B5'!$AE48*100</f>
        <v>2.153206517696526</v>
      </c>
      <c r="AV19" s="456">
        <f>'F-B6'!S48/'F-B6'!$X48*100</f>
        <v>3.2055764171834804</v>
      </c>
      <c r="AW19" s="456">
        <f>('C1-Incomes'!KF22-'C1-Incomes'!KG22)/('C1-Incomes'!$S22-'C1-Incomes'!$T22)*100</f>
        <v>3.6960526462862511</v>
      </c>
      <c r="AX19" s="456">
        <f>('C1-Incomes'!KG22-'C1-Incomes'!KH22)/('C1-Incomes'!$T22-'C1-Incomes'!$U22)*100</f>
        <v>4.6442842293822348</v>
      </c>
      <c r="AY19" s="456">
        <f>('C1-Incomes'!KH22-'C1-Incomes'!KI22)/('C1-Incomes'!$U22-'C1-Incomes'!$V22)*100</f>
        <v>5.3927196430300413</v>
      </c>
      <c r="AZ19" s="456">
        <f>('C1-Incomes'!KI22-'C1-Incomes'!KJ22)/('C1-Incomes'!$V22-'C1-Incomes'!$W22)*100</f>
        <v>5.3457185257021074</v>
      </c>
      <c r="BA19" s="456">
        <f>('C1-Incomes'!KJ22-'C1-Incomes'!KK22)/('C1-Incomes'!$W22-'C1-Incomes'!$X22)*100</f>
        <v>5.3978189147551774</v>
      </c>
      <c r="BB19" s="456">
        <f>'C1-Incomes'!KK22/'C1-Incomes'!$X22*100</f>
        <v>5.454560217483488</v>
      </c>
      <c r="BD19" s="456">
        <f>'F-B5'!AA48/'F-B5'!$AE48*100</f>
        <v>5.8722699316001554</v>
      </c>
      <c r="BE19" s="456">
        <f>'F-B6'!T48/'F-B6'!$X48*100</f>
        <v>7.1473116088286979</v>
      </c>
      <c r="BF19" s="456">
        <f>('C1-Incomes'!KN22-'C1-Incomes'!KO22)/('C1-Incomes'!$S22-'C1-Incomes'!$T22)*100</f>
        <v>5.2747482091547049</v>
      </c>
      <c r="BG19" s="456">
        <f>('C1-Incomes'!KO22-'C1-Incomes'!KP22)/('C1-Incomes'!$T22-'C1-Incomes'!$U22)*100</f>
        <v>3.375718448806476</v>
      </c>
      <c r="BH19" s="456">
        <f>('C1-Incomes'!KP22-'C1-Incomes'!KQ22)/('C1-Incomes'!$U22-'C1-Incomes'!$V22)*100</f>
        <v>1.5344982039650557</v>
      </c>
      <c r="BI19" s="456">
        <f>('C1-Incomes'!KQ22-'C1-Incomes'!KR22)/('C1-Incomes'!$V22-'C1-Incomes'!$W22)*100</f>
        <v>0.87589282060089502</v>
      </c>
      <c r="BJ19" s="456">
        <f>('C1-Incomes'!KR22-'C1-Incomes'!KS22)/('C1-Incomes'!$W22-'C1-Incomes'!$X22)*100</f>
        <v>0.35766719500263555</v>
      </c>
      <c r="BK19" s="456">
        <f>'C1-Incomes'!KS22/'C1-Incomes'!$X22*100</f>
        <v>7.4397217957961087E-2</v>
      </c>
      <c r="BL19" s="456"/>
      <c r="BM19" s="456">
        <f>'F-B5'!AC48/'F-B5'!$AE48*100</f>
        <v>0.35476686116114603</v>
      </c>
      <c r="BN19" s="456">
        <f>'F-B6'!V48/'F-B6'!$X48*100</f>
        <v>0.25368149234111154</v>
      </c>
      <c r="BO19" s="456">
        <f>('C1-Incomes'!LL22-'C1-Incomes'!LM22)/('C1-Incomes'!$S22-'C1-Incomes'!$T22)*100</f>
        <v>0.47641469371245626</v>
      </c>
      <c r="BP19" s="456">
        <f>('C1-Incomes'!LM22-'C1-Incomes'!LN22)/('C1-Incomes'!$T22-'C1-Incomes'!$U22)*100</f>
        <v>0.85131053896332609</v>
      </c>
      <c r="BQ19" s="456">
        <f>('C1-Incomes'!LN22-'C1-Incomes'!LO22)/('C1-Incomes'!$U22-'C1-Incomes'!$V22)*100</f>
        <v>1.2660974312431426</v>
      </c>
      <c r="BR19" s="456">
        <f>('C1-Incomes'!LO22-'C1-Incomes'!LP22)/('C1-Incomes'!$V22-'C1-Incomes'!$W22)*100</f>
        <v>1.2713569224626395</v>
      </c>
      <c r="BS19" s="456">
        <f>('C1-Incomes'!LP22-'C1-Incomes'!LQ22)/('C1-Incomes'!$W22-'C1-Incomes'!$X22)*100</f>
        <v>1.4826150882869418</v>
      </c>
      <c r="BT19" s="456">
        <f>'C1-Incomes'!LQ22/'C1-Incomes'!$X22*100</f>
        <v>2.2688399962088619</v>
      </c>
      <c r="BV19" s="456">
        <f>'F-B5'!AB48/'F-B5'!$AE48*100</f>
        <v>4.9037032875743298</v>
      </c>
      <c r="BW19" s="456">
        <f>'F-B6'!U48/'F-B6'!$X48*100</f>
        <v>6.390482604698998</v>
      </c>
      <c r="BX19" s="456">
        <f>('C1-Incomes'!KV22-'C1-Incomes'!KW22)/('C1-Incomes'!$S22-'C1-Incomes'!$T22)*100</f>
        <v>5.6893795119742583</v>
      </c>
      <c r="BY19" s="456">
        <f>('C1-Incomes'!KW22-'C1-Incomes'!KX22)/('C1-Incomes'!$T22-'C1-Incomes'!$U22)*100</f>
        <v>4.6489532548160435</v>
      </c>
      <c r="BZ19" s="456">
        <f>('C1-Incomes'!KX22-'C1-Incomes'!KY22)/('C1-Incomes'!$U22-'C1-Incomes'!$V22)*100</f>
        <v>3.293740081279819</v>
      </c>
      <c r="CA19" s="456">
        <f>('C1-Incomes'!KY22-'C1-Incomes'!KZ22)/('C1-Incomes'!$V22-'C1-Incomes'!$W22)*100</f>
        <v>2.4993016497968856</v>
      </c>
      <c r="CB19" s="456">
        <f>('C1-Incomes'!KZ22-'C1-Incomes'!LA22)/('C1-Incomes'!$W22-'C1-Incomes'!$X22)*100</f>
        <v>1.7693201932739169</v>
      </c>
      <c r="CC19" s="456">
        <f>'C1-Incomes'!LA22/'C1-Incomes'!$X22*100</f>
        <v>1.3087733251909706</v>
      </c>
    </row>
    <row r="20" spans="1:81" s="452" customFormat="1" ht="12" x14ac:dyDescent="0.25">
      <c r="A20" s="239">
        <v>1975</v>
      </c>
      <c r="B20" s="456">
        <f t="shared" si="6"/>
        <v>17.090820732363955</v>
      </c>
      <c r="C20" s="456">
        <f t="shared" si="7"/>
        <v>28.498983081291218</v>
      </c>
      <c r="D20" s="456">
        <f t="shared" si="8"/>
        <v>30.077711315125029</v>
      </c>
      <c r="E20" s="456">
        <f t="shared" si="9"/>
        <v>31.229170706282897</v>
      </c>
      <c r="F20" s="456">
        <f t="shared" si="10"/>
        <v>33.28823876632768</v>
      </c>
      <c r="G20" s="456">
        <f t="shared" si="11"/>
        <v>34.049895312476643</v>
      </c>
      <c r="H20" s="456">
        <f t="shared" si="12"/>
        <v>34.951434806177815</v>
      </c>
      <c r="I20" s="456">
        <f t="shared" si="13"/>
        <v>36.606556379409</v>
      </c>
      <c r="J20" s="456"/>
      <c r="K20" s="456">
        <f t="shared" si="14"/>
        <v>11.679007622109191</v>
      </c>
      <c r="L20" s="456">
        <f t="shared" si="15"/>
        <v>21.567267826772035</v>
      </c>
      <c r="M20" s="456">
        <f t="shared" si="16"/>
        <v>24.980719368807868</v>
      </c>
      <c r="N20" s="456">
        <f t="shared" si="17"/>
        <v>27.85755653486618</v>
      </c>
      <c r="O20" s="456">
        <f t="shared" si="18"/>
        <v>31.789931390051251</v>
      </c>
      <c r="P20" s="456">
        <f t="shared" si="19"/>
        <v>33.16011922382291</v>
      </c>
      <c r="Q20" s="456">
        <f t="shared" si="20"/>
        <v>34.611447159266845</v>
      </c>
      <c r="R20" s="456">
        <f t="shared" si="21"/>
        <v>36.532836083383565</v>
      </c>
      <c r="S20" s="456"/>
      <c r="T20" s="456">
        <f>'F-B5'!W49/'F-B5'!$AE49*100</f>
        <v>2.1224057628215385</v>
      </c>
      <c r="U20" s="456">
        <f>'F-B6'!P49/'F-B6'!$X49*100</f>
        <v>7.5284420824190832</v>
      </c>
      <c r="V20" s="456">
        <f>('C1-Incomes'!JH23-'C1-Incomes'!JI23)/('C1-Incomes'!$S23-'C1-Incomes'!$T23)*100</f>
        <v>10.199467512187073</v>
      </c>
      <c r="W20" s="456">
        <f>('C1-Incomes'!JI23-'C1-Incomes'!JJ23)/('C1-Incomes'!$T23-'C1-Incomes'!$U23)*100</f>
        <v>12.146071206474955</v>
      </c>
      <c r="X20" s="456">
        <f>('C1-Incomes'!JJ23-'C1-Incomes'!JK23)/('C1-Incomes'!$U23-'C1-Incomes'!$V23)*100</f>
        <v>14.758570703663104</v>
      </c>
      <c r="Y20" s="456">
        <f>('C1-Incomes'!JK23-'C1-Incomes'!JL23)/('C1-Incomes'!$V23-'C1-Incomes'!$W23)*100</f>
        <v>16.032506234929382</v>
      </c>
      <c r="Z20" s="456">
        <f>('C1-Incomes'!JL23-'C1-Incomes'!JM23)/('C1-Incomes'!$W23-'C1-Incomes'!$X23)*100</f>
        <v>16.271994417414266</v>
      </c>
      <c r="AA20" s="456">
        <f>'C1-Incomes'!JM23/'C1-Incomes'!$X23*100</f>
        <v>16.00057927131207</v>
      </c>
      <c r="AB20" s="458"/>
      <c r="AC20" s="456">
        <f>'F-B5'!X49/'F-B5'!$AE49*100</f>
        <v>0.59140566234911907</v>
      </c>
      <c r="AD20" s="456">
        <f>'F-B6'!Q49/'F-B6'!$X49*100</f>
        <v>1.413095466330675</v>
      </c>
      <c r="AE20" s="456">
        <f>('C1-Incomes'!JP23-'C1-Incomes'!JQ23)/('C1-Incomes'!$S23-'C1-Incomes'!$T23)*100</f>
        <v>1.708760486679914</v>
      </c>
      <c r="AF20" s="456">
        <f>('C1-Incomes'!JQ23-'C1-Incomes'!JR23)/('C1-Incomes'!$T23-'C1-Incomes'!$U23)*100</f>
        <v>2.1032072926319674</v>
      </c>
      <c r="AG20" s="456">
        <f>('C1-Incomes'!JR23-'C1-Incomes'!JS23)/('C1-Incomes'!$U23-'C1-Incomes'!$V23)*100</f>
        <v>2.6037038826609771</v>
      </c>
      <c r="AH20" s="456">
        <f>('C1-Incomes'!JS23-'C1-Incomes'!JT23)/('C1-Incomes'!$V23-'C1-Incomes'!$W23)*100</f>
        <v>2.6516036471905853</v>
      </c>
      <c r="AI20" s="456">
        <f>('C1-Incomes'!JT23-'C1-Incomes'!JU23)/('C1-Incomes'!$W23-'C1-Incomes'!$X23)*100</f>
        <v>2.5888940362579076</v>
      </c>
      <c r="AJ20" s="456">
        <f>'C1-Incomes'!JU23/'C1-Incomes'!$X23*100</f>
        <v>2.3366371420592764</v>
      </c>
      <c r="AK20" s="458"/>
      <c r="AL20" s="456">
        <f>'F-B5'!Y49/'F-B5'!$AE49*100</f>
        <v>1.9567029837097036</v>
      </c>
      <c r="AM20" s="456">
        <f>'F-B6'!R49/'F-B6'!$X49*100</f>
        <v>2.6355378892218728</v>
      </c>
      <c r="AN20" s="456">
        <f>('C1-Incomes'!JX23-'C1-Incomes'!JY23)/('C1-Incomes'!$S23-'C1-Incomes'!$T23)*100</f>
        <v>2.9034521877891186</v>
      </c>
      <c r="AO20" s="456">
        <f>('C1-Incomes'!JY23-'C1-Incomes'!JZ23)/('C1-Incomes'!$T23-'C1-Incomes'!$U23)*100</f>
        <v>3.4547167199643738</v>
      </c>
      <c r="AP20" s="456">
        <f>('C1-Incomes'!JZ23-'C1-Incomes'!KA23)/('C1-Incomes'!$U23-'C1-Incomes'!$V23)*100</f>
        <v>4.7702480864297465</v>
      </c>
      <c r="AQ20" s="456">
        <f>('C1-Incomes'!KA23-'C1-Incomes'!KB23)/('C1-Incomes'!$V23-'C1-Incomes'!$W23)*100</f>
        <v>5.550270776599687</v>
      </c>
      <c r="AR20" s="456">
        <f>('C1-Incomes'!KB23-'C1-Incomes'!KC23)/('C1-Incomes'!$W23-'C1-Incomes'!$X23)*100</f>
        <v>7.4351876847359151</v>
      </c>
      <c r="AS20" s="456">
        <f>'C1-Incomes'!KC23/'C1-Incomes'!$X23*100</f>
        <v>9.4910819833227684</v>
      </c>
      <c r="AT20" s="458"/>
      <c r="AU20" s="456">
        <f>'F-B5'!Z49/'F-B5'!$AE49*100</f>
        <v>2.0124695519410043</v>
      </c>
      <c r="AV20" s="456">
        <f>'F-B6'!S49/'F-B6'!$X49*100</f>
        <v>3.2587875303154616</v>
      </c>
      <c r="AW20" s="456">
        <f>('C1-Incomes'!KF23-'C1-Incomes'!KG23)/('C1-Incomes'!$S23-'C1-Incomes'!$T23)*100</f>
        <v>3.9530342531390277</v>
      </c>
      <c r="AX20" s="456">
        <f>('C1-Incomes'!KG23-'C1-Incomes'!KH23)/('C1-Incomes'!$T23-'C1-Incomes'!$U23)*100</f>
        <v>4.7126320406500639</v>
      </c>
      <c r="AY20" s="456">
        <f>('C1-Incomes'!KH23-'C1-Incomes'!KI23)/('C1-Incomes'!$U23-'C1-Incomes'!$V23)*100</f>
        <v>5.2217876611594072</v>
      </c>
      <c r="AZ20" s="456">
        <f>('C1-Incomes'!KI23-'C1-Incomes'!KJ23)/('C1-Incomes'!$V23-'C1-Incomes'!$W23)*100</f>
        <v>5.1652090105349577</v>
      </c>
      <c r="BA20" s="456">
        <f>('C1-Incomes'!KJ23-'C1-Incomes'!KK23)/('C1-Incomes'!$W23-'C1-Incomes'!$X23)*100</f>
        <v>5.2038452140831817</v>
      </c>
      <c r="BB20" s="456">
        <f>'C1-Incomes'!KK23/'C1-Incomes'!$X23*100</f>
        <v>5.321439257728005</v>
      </c>
      <c r="BD20" s="456">
        <f>'F-B5'!AA49/'F-B5'!$AE49*100</f>
        <v>5.4118131102547622</v>
      </c>
      <c r="BE20" s="456">
        <f>'F-B6'!T49/'F-B6'!$X49*100</f>
        <v>6.9317152545191831</v>
      </c>
      <c r="BF20" s="456">
        <f>('C1-Incomes'!KN23-'C1-Incomes'!KO23)/('C1-Incomes'!$S23-'C1-Incomes'!$T23)*100</f>
        <v>5.0969919463171625</v>
      </c>
      <c r="BG20" s="456">
        <f>('C1-Incomes'!KO23-'C1-Incomes'!KP23)/('C1-Incomes'!$T23-'C1-Incomes'!$U23)*100</f>
        <v>3.3716141714167196</v>
      </c>
      <c r="BH20" s="456">
        <f>('C1-Incomes'!KP23-'C1-Incomes'!KQ23)/('C1-Incomes'!$U23-'C1-Incomes'!$V23)*100</f>
        <v>1.4983073762764316</v>
      </c>
      <c r="BI20" s="456">
        <f>('C1-Incomes'!KQ23-'C1-Incomes'!KR23)/('C1-Incomes'!$V23-'C1-Incomes'!$W23)*100</f>
        <v>0.8897760886537327</v>
      </c>
      <c r="BJ20" s="456">
        <f>('C1-Incomes'!KR23-'C1-Incomes'!KS23)/('C1-Incomes'!$W23-'C1-Incomes'!$X23)*100</f>
        <v>0.33998764691096545</v>
      </c>
      <c r="BK20" s="456">
        <f>'C1-Incomes'!KS23/'C1-Incomes'!$X23*100</f>
        <v>7.3720296025432203E-2</v>
      </c>
      <c r="BL20" s="456"/>
      <c r="BM20" s="456">
        <f>'F-B5'!AC49/'F-B5'!$AE49*100</f>
        <v>0.32974978693482138</v>
      </c>
      <c r="BN20" s="456">
        <f>'F-B6'!V49/'F-B6'!$X49*100</f>
        <v>0.24012053916738232</v>
      </c>
      <c r="BO20" s="456">
        <f>('C1-Incomes'!LL23-'C1-Incomes'!LM23)/('C1-Incomes'!$S23-'C1-Incomes'!$T23)*100</f>
        <v>0.46673803593107388</v>
      </c>
      <c r="BP20" s="456">
        <f>('C1-Incomes'!LM23-'C1-Incomes'!LN23)/('C1-Incomes'!$T23-'C1-Incomes'!$U23)*100</f>
        <v>0.80071859514410892</v>
      </c>
      <c r="BQ20" s="456">
        <f>('C1-Incomes'!LN23-'C1-Incomes'!LO23)/('C1-Incomes'!$U23-'C1-Incomes'!$V23)*100</f>
        <v>1.1896463197029687</v>
      </c>
      <c r="BR20" s="456">
        <f>('C1-Incomes'!LO23-'C1-Incomes'!LP23)/('C1-Incomes'!$V23-'C1-Incomes'!$W23)*100</f>
        <v>1.2431444420450375</v>
      </c>
      <c r="BS20" s="456">
        <f>('C1-Incomes'!LP23-'C1-Incomes'!LQ23)/('C1-Incomes'!$W23-'C1-Incomes'!$X23)*100</f>
        <v>1.3858720754550136</v>
      </c>
      <c r="BT20" s="456">
        <f>'C1-Incomes'!LQ23/'C1-Incomes'!$X23*100</f>
        <v>2.115285693269779</v>
      </c>
      <c r="BV20" s="456">
        <f>'F-B5'!AB49/'F-B5'!$AE49*100</f>
        <v>4.6662738743530046</v>
      </c>
      <c r="BW20" s="456">
        <f>'F-B6'!U49/'F-B6'!$X49*100</f>
        <v>6.4912843193175629</v>
      </c>
      <c r="BX20" s="456">
        <f>('C1-Incomes'!KV23-'C1-Incomes'!KW23)/('C1-Incomes'!$S23-'C1-Incomes'!$T23)*100</f>
        <v>5.7492668930816615</v>
      </c>
      <c r="BY20" s="456">
        <f>('C1-Incomes'!KW23-'C1-Incomes'!KX23)/('C1-Incomes'!$T23-'C1-Incomes'!$U23)*100</f>
        <v>4.6402106800007115</v>
      </c>
      <c r="BZ20" s="456">
        <f>('C1-Incomes'!KX23-'C1-Incomes'!KY23)/('C1-Incomes'!$U23-'C1-Incomes'!$V23)*100</f>
        <v>3.2459747364350497</v>
      </c>
      <c r="CA20" s="456">
        <f>('C1-Incomes'!KY23-'C1-Incomes'!KZ23)/('C1-Incomes'!$V23-'C1-Incomes'!$W23)*100</f>
        <v>2.5173851125232587</v>
      </c>
      <c r="CB20" s="456">
        <f>('C1-Incomes'!KZ23-'C1-Incomes'!LA23)/('C1-Incomes'!$W23-'C1-Incomes'!$X23)*100</f>
        <v>1.7256537313205627</v>
      </c>
      <c r="CC20" s="456">
        <f>'C1-Incomes'!LA23/'C1-Incomes'!$X23*100</f>
        <v>1.2678127356916733</v>
      </c>
    </row>
    <row r="21" spans="1:81" s="452" customFormat="1" ht="12" x14ac:dyDescent="0.25">
      <c r="A21" s="239">
        <v>1976</v>
      </c>
      <c r="B21" s="456">
        <f t="shared" si="6"/>
        <v>17.363696931416843</v>
      </c>
      <c r="C21" s="456">
        <f t="shared" si="7"/>
        <v>29.1503671898265</v>
      </c>
      <c r="D21" s="456">
        <f t="shared" si="8"/>
        <v>31.137744608668822</v>
      </c>
      <c r="E21" s="456">
        <f t="shared" si="9"/>
        <v>32.817032062276105</v>
      </c>
      <c r="F21" s="456">
        <f t="shared" si="10"/>
        <v>34.54576196672997</v>
      </c>
      <c r="G21" s="456">
        <f t="shared" si="11"/>
        <v>35.683900787415119</v>
      </c>
      <c r="H21" s="456">
        <f t="shared" si="12"/>
        <v>37.817755274268698</v>
      </c>
      <c r="I21" s="456">
        <f t="shared" si="13"/>
        <v>39.876460924493017</v>
      </c>
      <c r="J21" s="456"/>
      <c r="K21" s="456">
        <f t="shared" si="14"/>
        <v>11.900164714750144</v>
      </c>
      <c r="L21" s="456">
        <f t="shared" si="15"/>
        <v>22.068628933312599</v>
      </c>
      <c r="M21" s="456">
        <f t="shared" si="16"/>
        <v>25.713208899763757</v>
      </c>
      <c r="N21" s="456">
        <f t="shared" si="17"/>
        <v>29.284936999472592</v>
      </c>
      <c r="O21" s="456">
        <f t="shared" si="18"/>
        <v>32.973837751892951</v>
      </c>
      <c r="P21" s="456">
        <f t="shared" si="19"/>
        <v>34.780450050707607</v>
      </c>
      <c r="Q21" s="456">
        <f t="shared" si="20"/>
        <v>37.475110815352416</v>
      </c>
      <c r="R21" s="456">
        <f t="shared" si="21"/>
        <v>39.826650026264709</v>
      </c>
      <c r="S21" s="456"/>
      <c r="T21" s="456">
        <f>'F-B5'!W50/'F-B5'!$AE50*100</f>
        <v>2.291724611817195</v>
      </c>
      <c r="U21" s="456">
        <f>'F-B6'!P50/'F-B6'!$X50*100</f>
        <v>7.8354281146282316</v>
      </c>
      <c r="V21" s="456">
        <f>('C1-Incomes'!JH24-'C1-Incomes'!JI24)/('C1-Incomes'!$S24-'C1-Incomes'!$T24)*100</f>
        <v>10.697729951539769</v>
      </c>
      <c r="W21" s="456">
        <f>('C1-Incomes'!JI24-'C1-Incomes'!JJ24)/('C1-Incomes'!$T24-'C1-Incomes'!$U24)*100</f>
        <v>13.045250070003137</v>
      </c>
      <c r="X21" s="456">
        <f>('C1-Incomes'!JJ24-'C1-Incomes'!JK24)/('C1-Incomes'!$U24-'C1-Incomes'!$V24)*100</f>
        <v>15.449042161872104</v>
      </c>
      <c r="Y21" s="456">
        <f>('C1-Incomes'!JK24-'C1-Incomes'!JL24)/('C1-Incomes'!$V24-'C1-Incomes'!$W24)*100</f>
        <v>16.884323048701948</v>
      </c>
      <c r="Z21" s="456">
        <f>('C1-Incomes'!JL24-'C1-Incomes'!JM24)/('C1-Incomes'!$W24-'C1-Incomes'!$X24)*100</f>
        <v>17.665280438491433</v>
      </c>
      <c r="AA21" s="456">
        <f>'C1-Incomes'!JM24/'C1-Incomes'!$X24*100</f>
        <v>17.563454052566989</v>
      </c>
      <c r="AB21" s="458"/>
      <c r="AC21" s="456">
        <f>'F-B5'!X50/'F-B5'!$AE50*100</f>
        <v>0.73635267512705915</v>
      </c>
      <c r="AD21" s="456">
        <f>'F-B6'!Q50/'F-B6'!$X50*100</f>
        <v>1.4277371803884773</v>
      </c>
      <c r="AE21" s="456">
        <f>('C1-Incomes'!JP24-'C1-Incomes'!JQ24)/('C1-Incomes'!$S24-'C1-Incomes'!$T24)*100</f>
        <v>1.8559427820702596</v>
      </c>
      <c r="AF21" s="456">
        <f>('C1-Incomes'!JQ24-'C1-Incomes'!JR24)/('C1-Incomes'!$T24-'C1-Incomes'!$U24)*100</f>
        <v>2.219241757989344</v>
      </c>
      <c r="AG21" s="456">
        <f>('C1-Incomes'!JR24-'C1-Incomes'!JS24)/('C1-Incomes'!$U24-'C1-Incomes'!$V24)*100</f>
        <v>2.5810764893436366</v>
      </c>
      <c r="AH21" s="456">
        <f>('C1-Incomes'!JS24-'C1-Incomes'!JT24)/('C1-Incomes'!$V24-'C1-Incomes'!$W24)*100</f>
        <v>2.6386996785917716</v>
      </c>
      <c r="AI21" s="456">
        <f>('C1-Incomes'!JT24-'C1-Incomes'!JU24)/('C1-Incomes'!$W24-'C1-Incomes'!$X24)*100</f>
        <v>2.6387906702317925</v>
      </c>
      <c r="AJ21" s="456">
        <f>'C1-Incomes'!JU24/'C1-Incomes'!$X24*100</f>
        <v>2.484085698923693</v>
      </c>
      <c r="AK21" s="458"/>
      <c r="AL21" s="456">
        <f>'F-B5'!Y50/'F-B5'!$AE50*100</f>
        <v>2.1359245720352455</v>
      </c>
      <c r="AM21" s="456">
        <f>'F-B6'!R50/'F-B6'!$X50*100</f>
        <v>3.0371030256629039</v>
      </c>
      <c r="AN21" s="456">
        <f>('C1-Incomes'!JX24-'C1-Incomes'!JY24)/('C1-Incomes'!$S24-'C1-Incomes'!$T24)*100</f>
        <v>3.3033956730595539</v>
      </c>
      <c r="AO21" s="456">
        <f>('C1-Incomes'!JY24-'C1-Incomes'!JZ24)/('C1-Incomes'!$T24-'C1-Incomes'!$U24)*100</f>
        <v>4.2288198585533845</v>
      </c>
      <c r="AP21" s="456">
        <f>('C1-Incomes'!JZ24-'C1-Incomes'!KA24)/('C1-Incomes'!$U24-'C1-Incomes'!$V24)*100</f>
        <v>5.6209681403816631</v>
      </c>
      <c r="AQ21" s="456">
        <f>('C1-Incomes'!KA24-'C1-Incomes'!KB24)/('C1-Incomes'!$V24-'C1-Incomes'!$W24)*100</f>
        <v>6.625462908211885</v>
      </c>
      <c r="AR21" s="456">
        <f>('C1-Incomes'!KB24-'C1-Incomes'!KC24)/('C1-Incomes'!$W24-'C1-Incomes'!$X24)*100</f>
        <v>8.9726657045543892</v>
      </c>
      <c r="AS21" s="456">
        <f>'C1-Incomes'!KC24/'C1-Incomes'!$X24*100</f>
        <v>11.096284840940752</v>
      </c>
      <c r="AT21" s="458"/>
      <c r="AU21" s="456">
        <f>'F-B5'!Z50/'F-B5'!$AE50*100</f>
        <v>1.9232801192007769</v>
      </c>
      <c r="AV21" s="456">
        <f>'F-B6'!S50/'F-B6'!$X50*100</f>
        <v>3.2920101248087015</v>
      </c>
      <c r="AW21" s="456">
        <f>('C1-Incomes'!KF24-'C1-Incomes'!KG24)/('C1-Incomes'!$S24-'C1-Incomes'!$T24)*100</f>
        <v>3.8222201250164156</v>
      </c>
      <c r="AX21" s="456">
        <f>('C1-Incomes'!KG24-'C1-Incomes'!KH24)/('C1-Incomes'!$T24-'C1-Incomes'!$U24)*100</f>
        <v>4.484099658346322</v>
      </c>
      <c r="AY21" s="456">
        <f>('C1-Incomes'!KH24-'C1-Incomes'!KI24)/('C1-Incomes'!$U24-'C1-Incomes'!$V24)*100</f>
        <v>5.0130087692506295</v>
      </c>
      <c r="AZ21" s="456">
        <f>('C1-Incomes'!KI24-'C1-Incomes'!KJ24)/('C1-Incomes'!$V24-'C1-Incomes'!$W24)*100</f>
        <v>5.0394977283631022</v>
      </c>
      <c r="BA21" s="456">
        <f>('C1-Incomes'!KJ24-'C1-Incomes'!KK24)/('C1-Incomes'!$W24-'C1-Incomes'!$X24)*100</f>
        <v>5.1978267004677647</v>
      </c>
      <c r="BB21" s="456">
        <f>'C1-Incomes'!KK24/'C1-Incomes'!$X24*100</f>
        <v>5.4748628370767891</v>
      </c>
      <c r="BD21" s="456">
        <f>'F-B5'!AA50/'F-B5'!$AE50*100</f>
        <v>5.4635322166666995</v>
      </c>
      <c r="BE21" s="456">
        <f>'F-B6'!T50/'F-B6'!$X50*100</f>
        <v>7.0817382565139013</v>
      </c>
      <c r="BF21" s="456">
        <f>('C1-Incomes'!KN24-'C1-Incomes'!KO24)/('C1-Incomes'!$S24-'C1-Incomes'!$T24)*100</f>
        <v>5.424535708905065</v>
      </c>
      <c r="BG21" s="456">
        <f>('C1-Incomes'!KO24-'C1-Incomes'!KP24)/('C1-Incomes'!$T24-'C1-Incomes'!$U24)*100</f>
        <v>3.5320950628035122</v>
      </c>
      <c r="BH21" s="456">
        <f>('C1-Incomes'!KP24-'C1-Incomes'!KQ24)/('C1-Incomes'!$U24-'C1-Incomes'!$V24)*100</f>
        <v>1.5719242148370183</v>
      </c>
      <c r="BI21" s="456">
        <f>('C1-Incomes'!KQ24-'C1-Incomes'!KR24)/('C1-Incomes'!$V24-'C1-Incomes'!$W24)*100</f>
        <v>0.90345073670751452</v>
      </c>
      <c r="BJ21" s="456">
        <f>('C1-Incomes'!KR24-'C1-Incomes'!KS24)/('C1-Incomes'!$W24-'C1-Incomes'!$X24)*100</f>
        <v>0.34264445891628581</v>
      </c>
      <c r="BK21" s="456">
        <f>'C1-Incomes'!KS24/'C1-Incomes'!$X24*100</f>
        <v>4.9810898228305249E-2</v>
      </c>
      <c r="BL21" s="456"/>
      <c r="BM21" s="456">
        <f>'F-B5'!AC50/'F-B5'!$AE50*100</f>
        <v>0.33166757855251189</v>
      </c>
      <c r="BN21" s="456">
        <f>'F-B6'!V50/'F-B6'!$X50*100</f>
        <v>0.2446468693894201</v>
      </c>
      <c r="BO21" s="456">
        <f>('C1-Incomes'!LL24-'C1-Incomes'!LM24)/('C1-Incomes'!$S24-'C1-Incomes'!$T24)*100</f>
        <v>0.4663435054612271</v>
      </c>
      <c r="BP21" s="456">
        <f>('C1-Incomes'!LM24-'C1-Incomes'!LN24)/('C1-Incomes'!$T24-'C1-Incomes'!$U24)*100</f>
        <v>0.81984939921013122</v>
      </c>
      <c r="BQ21" s="456">
        <f>('C1-Incomes'!LN24-'C1-Incomes'!LO24)/('C1-Incomes'!$U24-'C1-Incomes'!$V24)*100</f>
        <v>1.1851287054924429</v>
      </c>
      <c r="BR21" s="456">
        <f>('C1-Incomes'!LO24-'C1-Incomes'!LP24)/('C1-Incomes'!$V24-'C1-Incomes'!$W24)*100</f>
        <v>1.2150246826174267</v>
      </c>
      <c r="BS21" s="456">
        <f>('C1-Incomes'!LP24-'C1-Incomes'!LQ24)/('C1-Incomes'!$W24-'C1-Incomes'!$X24)*100</f>
        <v>1.4110278110790611</v>
      </c>
      <c r="BT21" s="456">
        <f>'C1-Incomes'!LQ24/'C1-Incomes'!$X24*100</f>
        <v>2.0730489240562067</v>
      </c>
      <c r="BV21" s="456">
        <f>'F-B5'!AB50/'F-B5'!$AE50*100</f>
        <v>4.4812151580173536</v>
      </c>
      <c r="BW21" s="456">
        <f>'F-B6'!U50/'F-B6'!$X50*100</f>
        <v>6.2317036184348646</v>
      </c>
      <c r="BX21" s="456">
        <f>('C1-Incomes'!KV24-'C1-Incomes'!KW24)/('C1-Incomes'!$S24-'C1-Incomes'!$T24)*100</f>
        <v>5.567576862616531</v>
      </c>
      <c r="BY21" s="456">
        <f>('C1-Incomes'!KW24-'C1-Incomes'!KX24)/('C1-Incomes'!$T24-'C1-Incomes'!$U24)*100</f>
        <v>4.4876762553702703</v>
      </c>
      <c r="BZ21" s="456">
        <f>('C1-Incomes'!KX24-'C1-Incomes'!KY24)/('C1-Incomes'!$U24-'C1-Incomes'!$V24)*100</f>
        <v>3.1246134855524725</v>
      </c>
      <c r="CA21" s="456">
        <f>('C1-Incomes'!KY24-'C1-Incomes'!KZ24)/('C1-Incomes'!$V24-'C1-Incomes'!$W24)*100</f>
        <v>2.3774420042214803</v>
      </c>
      <c r="CB21" s="456">
        <f>('C1-Incomes'!KZ24-'C1-Incomes'!LA24)/('C1-Incomes'!$W24-'C1-Incomes'!$X24)*100</f>
        <v>1.5895194905279761</v>
      </c>
      <c r="CC21" s="456">
        <f>'C1-Incomes'!LA24/'C1-Incomes'!$X24*100</f>
        <v>1.1349136727002704</v>
      </c>
    </row>
    <row r="22" spans="1:81" s="452" customFormat="1" ht="12" x14ac:dyDescent="0.25">
      <c r="A22" s="239">
        <v>1977</v>
      </c>
      <c r="B22" s="456">
        <f t="shared" si="6"/>
        <v>17.718173844847716</v>
      </c>
      <c r="C22" s="456">
        <f t="shared" si="7"/>
        <v>29.533030519247095</v>
      </c>
      <c r="D22" s="456">
        <f t="shared" si="8"/>
        <v>31.455648225309268</v>
      </c>
      <c r="E22" s="456">
        <f t="shared" si="9"/>
        <v>33.251561679151145</v>
      </c>
      <c r="F22" s="456">
        <f t="shared" si="10"/>
        <v>34.601138684125871</v>
      </c>
      <c r="G22" s="456">
        <f t="shared" si="11"/>
        <v>34.585277802393257</v>
      </c>
      <c r="H22" s="456">
        <f t="shared" si="12"/>
        <v>36.221303795708231</v>
      </c>
      <c r="I22" s="456">
        <f t="shared" si="13"/>
        <v>37.934094198924996</v>
      </c>
      <c r="J22" s="456"/>
      <c r="K22" s="456">
        <f t="shared" si="14"/>
        <v>12.064152242987857</v>
      </c>
      <c r="L22" s="456">
        <f t="shared" si="15"/>
        <v>22.480463601345694</v>
      </c>
      <c r="M22" s="456">
        <f t="shared" si="16"/>
        <v>26.038561642276548</v>
      </c>
      <c r="N22" s="456">
        <f t="shared" si="17"/>
        <v>29.712326628978161</v>
      </c>
      <c r="O22" s="456">
        <f t="shared" si="18"/>
        <v>33.029077382059157</v>
      </c>
      <c r="P22" s="456">
        <f t="shared" si="19"/>
        <v>33.678092141998711</v>
      </c>
      <c r="Q22" s="456">
        <f t="shared" si="20"/>
        <v>35.867200924179848</v>
      </c>
      <c r="R22" s="456">
        <f t="shared" si="21"/>
        <v>37.860328175338765</v>
      </c>
      <c r="S22" s="456"/>
      <c r="T22" s="456">
        <f>'F-B5'!W51/'F-B5'!$AE51*100</f>
        <v>2.2575314445630181</v>
      </c>
      <c r="U22" s="456">
        <f>'F-B6'!P51/'F-B6'!$X51*100</f>
        <v>8.1940928765934196</v>
      </c>
      <c r="V22" s="456">
        <f>('C1-Incomes'!JH25-'C1-Incomes'!JI25)/('C1-Incomes'!$S25-'C1-Incomes'!$T25)*100</f>
        <v>11.147224067544672</v>
      </c>
      <c r="W22" s="456">
        <f>('C1-Incomes'!JI25-'C1-Incomes'!JJ25)/('C1-Incomes'!$T25-'C1-Incomes'!$U25)*100</f>
        <v>13.619669137779425</v>
      </c>
      <c r="X22" s="456">
        <f>('C1-Incomes'!JJ25-'C1-Incomes'!JK25)/('C1-Incomes'!$U25-'C1-Incomes'!$V25)*100</f>
        <v>16.137708200680017</v>
      </c>
      <c r="Y22" s="456">
        <f>('C1-Incomes'!JK25-'C1-Incomes'!JL25)/('C1-Incomes'!$V25-'C1-Incomes'!$W25)*100</f>
        <v>16.808228059171839</v>
      </c>
      <c r="Z22" s="456">
        <f>('C1-Incomes'!JL25-'C1-Incomes'!JM25)/('C1-Incomes'!$W25-'C1-Incomes'!$X25)*100</f>
        <v>17.668923347267825</v>
      </c>
      <c r="AA22" s="456">
        <f>'C1-Incomes'!JM25/'C1-Incomes'!$X25*100</f>
        <v>17.751413354181253</v>
      </c>
      <c r="AB22" s="458"/>
      <c r="AC22" s="456">
        <f>'F-B5'!X51/'F-B5'!$AE51*100</f>
        <v>0.70285956801258231</v>
      </c>
      <c r="AD22" s="456">
        <f>'F-B6'!Q51/'F-B6'!$X51*100</f>
        <v>1.5616533575690195</v>
      </c>
      <c r="AE22" s="456">
        <f>('C1-Incomes'!JP25-'C1-Incomes'!JQ25)/('C1-Incomes'!$S25-'C1-Incomes'!$T25)*100</f>
        <v>1.8464471477091262</v>
      </c>
      <c r="AF22" s="456">
        <f>('C1-Incomes'!JQ25-'C1-Incomes'!JR25)/('C1-Incomes'!$T25-'C1-Incomes'!$U25)*100</f>
        <v>2.3429846605893396</v>
      </c>
      <c r="AG22" s="456">
        <f>('C1-Incomes'!JR25-'C1-Incomes'!JS25)/('C1-Incomes'!$U25-'C1-Incomes'!$V25)*100</f>
        <v>2.6321506437903071</v>
      </c>
      <c r="AH22" s="456">
        <f>('C1-Incomes'!JS25-'C1-Incomes'!JT25)/('C1-Incomes'!$V25-'C1-Incomes'!$W25)*100</f>
        <v>2.6371099538269038</v>
      </c>
      <c r="AI22" s="456">
        <f>('C1-Incomes'!JT25-'C1-Incomes'!JU25)/('C1-Incomes'!$W25-'C1-Incomes'!$X25)*100</f>
        <v>2.6639949265511182</v>
      </c>
      <c r="AJ22" s="456">
        <f>'C1-Incomes'!JU25/'C1-Incomes'!$X25*100</f>
        <v>2.4895690419359564</v>
      </c>
      <c r="AK22" s="458"/>
      <c r="AL22" s="456">
        <f>'F-B5'!Y51/'F-B5'!$AE51*100</f>
        <v>2.382384396030429</v>
      </c>
      <c r="AM22" s="456">
        <f>'F-B6'!R51/'F-B6'!$X51*100</f>
        <v>3.253555986392223</v>
      </c>
      <c r="AN22" s="456">
        <f>('C1-Incomes'!JX25-'C1-Incomes'!JY25)/('C1-Incomes'!$S25-'C1-Incomes'!$T25)*100</f>
        <v>3.4752448756953971</v>
      </c>
      <c r="AO22" s="456">
        <f>('C1-Incomes'!JY25-'C1-Incomes'!JZ25)/('C1-Incomes'!$T25-'C1-Incomes'!$U25)*100</f>
        <v>4.2070590002060193</v>
      </c>
      <c r="AP22" s="456">
        <f>('C1-Incomes'!JZ25-'C1-Incomes'!KA25)/('C1-Incomes'!$U25-'C1-Incomes'!$V25)*100</f>
        <v>5.367758635497796</v>
      </c>
      <c r="AQ22" s="456">
        <f>('C1-Incomes'!KA25-'C1-Incomes'!KB25)/('C1-Incomes'!$V25-'C1-Incomes'!$W25)*100</f>
        <v>6.1795328677822443</v>
      </c>
      <c r="AR22" s="456">
        <f>('C1-Incomes'!KB25-'C1-Incomes'!KC25)/('C1-Incomes'!$W25-'C1-Incomes'!$X25)*100</f>
        <v>8.0843818339616131</v>
      </c>
      <c r="AS22" s="456">
        <f>'C1-Incomes'!KC25/'C1-Incomes'!$X25*100</f>
        <v>9.9760306053746852</v>
      </c>
      <c r="AT22" s="458"/>
      <c r="AU22" s="456">
        <f>'F-B5'!Z51/'F-B5'!$AE51*100</f>
        <v>1.9139992901386145</v>
      </c>
      <c r="AV22" s="456">
        <f>'F-B6'!S51/'F-B6'!$X51*100</f>
        <v>3.2476584438151228</v>
      </c>
      <c r="AW22" s="456">
        <f>('C1-Incomes'!KF25-'C1-Incomes'!KG25)/('C1-Incomes'!$S25-'C1-Incomes'!$T25)*100</f>
        <v>3.8579632527783834</v>
      </c>
      <c r="AX22" s="456">
        <f>('C1-Incomes'!KG25-'C1-Incomes'!KH25)/('C1-Incomes'!$T25-'C1-Incomes'!$U25)*100</f>
        <v>4.4700422233954331</v>
      </c>
      <c r="AY22" s="456">
        <f>('C1-Incomes'!KH25-'C1-Incomes'!KI25)/('C1-Incomes'!$U25-'C1-Incomes'!$V25)*100</f>
        <v>4.6833279763003297</v>
      </c>
      <c r="AZ22" s="456">
        <f>('C1-Incomes'!KI25-'C1-Incomes'!KJ25)/('C1-Incomes'!$V25-'C1-Incomes'!$W25)*100</f>
        <v>4.5365050343917401</v>
      </c>
      <c r="BA22" s="456">
        <f>('C1-Incomes'!KJ25-'C1-Incomes'!KK25)/('C1-Incomes'!$W25-'C1-Incomes'!$X25)*100</f>
        <v>4.386884896776114</v>
      </c>
      <c r="BB22" s="456">
        <f>'C1-Incomes'!KK25/'C1-Incomes'!$X25*100</f>
        <v>4.2917883284314451</v>
      </c>
      <c r="BD22" s="456">
        <f>'F-B5'!AA51/'F-B5'!$AE51*100</f>
        <v>5.6540216018598555</v>
      </c>
      <c r="BE22" s="456">
        <f>'F-B6'!T51/'F-B6'!$X51*100</f>
        <v>7.0525669179014034</v>
      </c>
      <c r="BF22" s="456">
        <f>('C1-Incomes'!KN25-'C1-Incomes'!KO25)/('C1-Incomes'!$S25-'C1-Incomes'!$T25)*100</f>
        <v>5.4170865830327219</v>
      </c>
      <c r="BG22" s="456">
        <f>('C1-Incomes'!KO25-'C1-Incomes'!KP25)/('C1-Incomes'!$T25-'C1-Incomes'!$U25)*100</f>
        <v>3.5392350501729819</v>
      </c>
      <c r="BH22" s="456">
        <f>('C1-Incomes'!KP25-'C1-Incomes'!KQ25)/('C1-Incomes'!$U25-'C1-Incomes'!$V25)*100</f>
        <v>1.5720613020667173</v>
      </c>
      <c r="BI22" s="456">
        <f>('C1-Incomes'!KQ25-'C1-Incomes'!KR25)/('C1-Incomes'!$V25-'C1-Incomes'!$W25)*100</f>
        <v>0.90718566039455062</v>
      </c>
      <c r="BJ22" s="456">
        <f>('C1-Incomes'!KR25-'C1-Incomes'!KS25)/('C1-Incomes'!$W25-'C1-Incomes'!$X25)*100</f>
        <v>0.35410287152837971</v>
      </c>
      <c r="BK22" s="456">
        <f>'C1-Incomes'!KS25/'C1-Incomes'!$X25*100</f>
        <v>7.3766023586235269E-2</v>
      </c>
      <c r="BL22" s="456"/>
      <c r="BM22" s="456">
        <f>'F-B5'!AC51/'F-B5'!$AE51*100</f>
        <v>0.38694637058598752</v>
      </c>
      <c r="BN22" s="456">
        <f>'F-B6'!V51/'F-B6'!$X51*100</f>
        <v>0.2818969298239411</v>
      </c>
      <c r="BO22" s="456">
        <f>('C1-Incomes'!LL25-'C1-Incomes'!LM25)/('C1-Incomes'!$S25-'C1-Incomes'!$T25)*100</f>
        <v>0.54483192427500871</v>
      </c>
      <c r="BP22" s="456">
        <f>('C1-Incomes'!LM25-'C1-Incomes'!LN25)/('C1-Incomes'!$T25-'C1-Incomes'!$U25)*100</f>
        <v>0.95574766237762532</v>
      </c>
      <c r="BQ22" s="456">
        <f>('C1-Incomes'!LN25-'C1-Incomes'!LO25)/('C1-Incomes'!$U25-'C1-Incomes'!$V25)*100</f>
        <v>1.3583187802548913</v>
      </c>
      <c r="BR22" s="456">
        <f>('C1-Incomes'!LO25-'C1-Incomes'!LP25)/('C1-Incomes'!$V25-'C1-Incomes'!$W25)*100</f>
        <v>1.3748755029139708</v>
      </c>
      <c r="BS22" s="456">
        <f>('C1-Incomes'!LP25-'C1-Incomes'!LQ25)/('C1-Incomes'!$W25-'C1-Incomes'!$X25)*100</f>
        <v>1.5815441963601133</v>
      </c>
      <c r="BT22" s="456">
        <f>'C1-Incomes'!LQ25/'C1-Incomes'!$X25*100</f>
        <v>2.3042438478963057</v>
      </c>
      <c r="BV22" s="456">
        <f>'F-B5'!AB51/'F-B5'!$AE51*100</f>
        <v>4.420431173657227</v>
      </c>
      <c r="BW22" s="456">
        <f>'F-B6'!U51/'F-B6'!$X51*100</f>
        <v>5.9416060071519681</v>
      </c>
      <c r="BX22" s="456">
        <f>('C1-Incomes'!KV25-'C1-Incomes'!KW25)/('C1-Incomes'!$S25-'C1-Incomes'!$T25)*100</f>
        <v>5.1668503742739649</v>
      </c>
      <c r="BY22" s="456">
        <f>('C1-Incomes'!KW25-'C1-Incomes'!KX25)/('C1-Incomes'!$T25-'C1-Incomes'!$U25)*100</f>
        <v>4.1168239446303181</v>
      </c>
      <c r="BZ22" s="456">
        <f>('C1-Incomes'!KX25-'C1-Incomes'!KY25)/('C1-Incomes'!$U25-'C1-Incomes'!$V25)*100</f>
        <v>2.8498131455358107</v>
      </c>
      <c r="CA22" s="456">
        <f>('C1-Incomes'!KY25-'C1-Incomes'!KZ25)/('C1-Incomes'!$V25-'C1-Incomes'!$W25)*100</f>
        <v>2.1418407239120061</v>
      </c>
      <c r="CB22" s="456">
        <f>('C1-Incomes'!KZ25-'C1-Incomes'!LA25)/('C1-Incomes'!$W25-'C1-Incomes'!$X25)*100</f>
        <v>1.4814717232630645</v>
      </c>
      <c r="CC22" s="456">
        <f>'C1-Incomes'!LA25/'C1-Incomes'!$X25*100</f>
        <v>1.0472829975191142</v>
      </c>
    </row>
    <row r="23" spans="1:81" s="452" customFormat="1" ht="12" x14ac:dyDescent="0.25">
      <c r="A23" s="239">
        <v>1978</v>
      </c>
      <c r="B23" s="456">
        <f t="shared" si="6"/>
        <v>18.151754082351815</v>
      </c>
      <c r="C23" s="456">
        <f t="shared" si="7"/>
        <v>29.726316761169219</v>
      </c>
      <c r="D23" s="456">
        <f t="shared" si="8"/>
        <v>31.431271632688041</v>
      </c>
      <c r="E23" s="456">
        <f t="shared" si="9"/>
        <v>32.793972610540351</v>
      </c>
      <c r="F23" s="456">
        <f t="shared" si="10"/>
        <v>33.752658398937903</v>
      </c>
      <c r="G23" s="456">
        <f t="shared" si="11"/>
        <v>34.21444082560955</v>
      </c>
      <c r="H23" s="456">
        <f t="shared" si="12"/>
        <v>34.880841254200625</v>
      </c>
      <c r="I23" s="456">
        <f t="shared" si="13"/>
        <v>35.575397437924885</v>
      </c>
      <c r="J23" s="456"/>
      <c r="K23" s="456">
        <f t="shared" si="14"/>
        <v>12.41241354624411</v>
      </c>
      <c r="L23" s="456">
        <f t="shared" si="15"/>
        <v>22.359437593485278</v>
      </c>
      <c r="M23" s="456">
        <f t="shared" si="16"/>
        <v>25.896231671434943</v>
      </c>
      <c r="N23" s="456">
        <f t="shared" si="17"/>
        <v>29.113540917608898</v>
      </c>
      <c r="O23" s="456">
        <f t="shared" si="18"/>
        <v>32.048845544592062</v>
      </c>
      <c r="P23" s="456">
        <f t="shared" si="19"/>
        <v>33.242535702908313</v>
      </c>
      <c r="Q23" s="456">
        <f t="shared" si="20"/>
        <v>34.519518946276101</v>
      </c>
      <c r="R23" s="456">
        <f t="shared" si="21"/>
        <v>35.499030973012808</v>
      </c>
      <c r="S23" s="456"/>
      <c r="T23" s="456">
        <f>'F-B5'!W52/'F-B5'!$AE52*100</f>
        <v>2.5917635346068559</v>
      </c>
      <c r="U23" s="456">
        <f>'F-B6'!P52/'F-B6'!$X52*100</f>
        <v>8.5264129229441981</v>
      </c>
      <c r="V23" s="456">
        <f>('C1-Incomes'!JH26-'C1-Incomes'!JI26)/('C1-Incomes'!$S26-'C1-Incomes'!$T26)*100</f>
        <v>11.482020344606617</v>
      </c>
      <c r="W23" s="456">
        <f>('C1-Incomes'!JI26-'C1-Incomes'!JJ26)/('C1-Incomes'!$T26-'C1-Incomes'!$U26)*100</f>
        <v>13.966127807121925</v>
      </c>
      <c r="X23" s="456">
        <f>('C1-Incomes'!JJ26-'C1-Incomes'!JK26)/('C1-Incomes'!$U26-'C1-Incomes'!$V26)*100</f>
        <v>16.346744038069133</v>
      </c>
      <c r="Y23" s="456">
        <f>('C1-Incomes'!JK26-'C1-Incomes'!JL26)/('C1-Incomes'!$V26-'C1-Incomes'!$W26)*100</f>
        <v>17.379069579737195</v>
      </c>
      <c r="Z23" s="456">
        <f>('C1-Incomes'!JL26-'C1-Incomes'!JM26)/('C1-Incomes'!$W26-'C1-Incomes'!$X26)*100</f>
        <v>17.705446942871049</v>
      </c>
      <c r="AA23" s="456">
        <f>'C1-Incomes'!JM26/'C1-Incomes'!$X26*100</f>
        <v>16.790173097356011</v>
      </c>
      <c r="AB23" s="458"/>
      <c r="AC23" s="456">
        <f>'F-B5'!X52/'F-B5'!$AE52*100</f>
        <v>0.82769470511714927</v>
      </c>
      <c r="AD23" s="456">
        <f>'F-B6'!Q52/'F-B6'!$X52*100</f>
        <v>1.531958397306511</v>
      </c>
      <c r="AE23" s="456">
        <f>('C1-Incomes'!JP26-'C1-Incomes'!JQ26)/('C1-Incomes'!$S26-'C1-Incomes'!$T26)*100</f>
        <v>1.9789675638049133</v>
      </c>
      <c r="AF23" s="456">
        <f>('C1-Incomes'!JQ26-'C1-Incomes'!JR26)/('C1-Incomes'!$T26-'C1-Incomes'!$U26)*100</f>
        <v>2.3418268262763768</v>
      </c>
      <c r="AG23" s="456">
        <f>('C1-Incomes'!JR26-'C1-Incomes'!JS26)/('C1-Incomes'!$U26-'C1-Incomes'!$V26)*100</f>
        <v>2.6590491960842826</v>
      </c>
      <c r="AH23" s="456">
        <f>('C1-Incomes'!JS26-'C1-Incomes'!JT26)/('C1-Incomes'!$V26-'C1-Incomes'!$W26)*100</f>
        <v>2.6902570770185052</v>
      </c>
      <c r="AI23" s="456">
        <f>('C1-Incomes'!JT26-'C1-Incomes'!JU26)/('C1-Incomes'!$W26-'C1-Incomes'!$X26)*100</f>
        <v>2.6487626119809353</v>
      </c>
      <c r="AJ23" s="456">
        <f>'C1-Incomes'!JU26/'C1-Incomes'!$X26*100</f>
        <v>2.7008026556521338</v>
      </c>
      <c r="AK23" s="458"/>
      <c r="AL23" s="456">
        <f>'F-B5'!Y52/'F-B5'!$AE52*100</f>
        <v>2.4946830783828764</v>
      </c>
      <c r="AM23" s="456">
        <f>'F-B6'!R52/'F-B6'!$X52*100</f>
        <v>3.3341229702987452</v>
      </c>
      <c r="AN23" s="456">
        <f>('C1-Incomes'!JX26-'C1-Incomes'!JY26)/('C1-Incomes'!$S26-'C1-Incomes'!$T26)*100</f>
        <v>3.5908070692967837</v>
      </c>
      <c r="AO23" s="456">
        <f>('C1-Incomes'!JY26-'C1-Incomes'!JZ26)/('C1-Incomes'!$T26-'C1-Incomes'!$U26)*100</f>
        <v>4.1148364901187788</v>
      </c>
      <c r="AP23" s="456">
        <f>('C1-Incomes'!JZ26-'C1-Incomes'!KA26)/('C1-Incomes'!$U26-'C1-Incomes'!$V26)*100</f>
        <v>5.1288688395100479</v>
      </c>
      <c r="AQ23" s="456">
        <f>('C1-Incomes'!KA26-'C1-Incomes'!KB26)/('C1-Incomes'!$V26-'C1-Incomes'!$W26)*100</f>
        <v>5.9992992305607009</v>
      </c>
      <c r="AR23" s="456">
        <f>('C1-Incomes'!KB26-'C1-Incomes'!KC26)/('C1-Incomes'!$W26-'C1-Incomes'!$X26)*100</f>
        <v>7.7120053843819036</v>
      </c>
      <c r="AS23" s="456">
        <f>'C1-Incomes'!KC26/'C1-Incomes'!$X26*100</f>
        <v>9.4098494403974851</v>
      </c>
      <c r="AT23" s="458"/>
      <c r="AU23" s="456">
        <f>'F-B5'!Z52/'F-B5'!$AE52*100</f>
        <v>1.8040307455961901</v>
      </c>
      <c r="AV23" s="456">
        <f>'F-B6'!S52/'F-B6'!$X52*100</f>
        <v>2.9455644519903403</v>
      </c>
      <c r="AW23" s="456">
        <f>('C1-Incomes'!KF26-'C1-Incomes'!KG26)/('C1-Incomes'!$S26-'C1-Incomes'!$T26)*100</f>
        <v>3.3360864178365359</v>
      </c>
      <c r="AX23" s="456">
        <f>('C1-Incomes'!KG26-'C1-Incomes'!KH26)/('C1-Incomes'!$T26-'C1-Incomes'!$U26)*100</f>
        <v>3.8617543949549886</v>
      </c>
      <c r="AY23" s="456">
        <f>('C1-Incomes'!KH26-'C1-Incomes'!KI26)/('C1-Incomes'!$U26-'C1-Incomes'!$V26)*100</f>
        <v>4.0742411004083445</v>
      </c>
      <c r="AZ23" s="456">
        <f>('C1-Incomes'!KI26-'C1-Incomes'!KJ26)/('C1-Incomes'!$V26-'C1-Incomes'!$W26)*100</f>
        <v>4.0112387141239116</v>
      </c>
      <c r="BA23" s="456">
        <f>('C1-Incomes'!KJ26-'C1-Incomes'!KK26)/('C1-Incomes'!$W26-'C1-Incomes'!$X26)*100</f>
        <v>3.8685818495729976</v>
      </c>
      <c r="BB23" s="456">
        <f>'C1-Incomes'!KK26/'C1-Incomes'!$X26*100</f>
        <v>3.8775541671919851</v>
      </c>
      <c r="BD23" s="456">
        <f>'F-B5'!AA52/'F-B5'!$AE52*100</f>
        <v>5.7393405361077026</v>
      </c>
      <c r="BE23" s="456">
        <f>'F-B6'!T52/'F-B6'!$X52*100</f>
        <v>7.3668791676839414</v>
      </c>
      <c r="BF23" s="456">
        <f>('C1-Incomes'!KN26-'C1-Incomes'!KO26)/('C1-Incomes'!$S26-'C1-Incomes'!$T26)*100</f>
        <v>5.5350399612530996</v>
      </c>
      <c r="BG23" s="456">
        <f>('C1-Incomes'!KO26-'C1-Incomes'!KP26)/('C1-Incomes'!$T26-'C1-Incomes'!$U26)*100</f>
        <v>3.6804316929314478</v>
      </c>
      <c r="BH23" s="456">
        <f>('C1-Incomes'!KP26-'C1-Incomes'!KQ26)/('C1-Incomes'!$U26-'C1-Incomes'!$V26)*100</f>
        <v>1.7038128543458482</v>
      </c>
      <c r="BI23" s="456">
        <f>('C1-Incomes'!KQ26-'C1-Incomes'!KR26)/('C1-Incomes'!$V26-'C1-Incomes'!$W26)*100</f>
        <v>0.97190512270123575</v>
      </c>
      <c r="BJ23" s="456">
        <f>('C1-Incomes'!KR26-'C1-Incomes'!KS26)/('C1-Incomes'!$W26-'C1-Incomes'!$X26)*100</f>
        <v>0.36132230792452347</v>
      </c>
      <c r="BK23" s="456">
        <f>'C1-Incomes'!KS26/'C1-Incomes'!$X26*100</f>
        <v>7.6366464912077922E-2</v>
      </c>
      <c r="BL23" s="456"/>
      <c r="BM23" s="456">
        <f>'F-B5'!AC52/'F-B5'!$AE52*100</f>
        <v>0.269518477388069</v>
      </c>
      <c r="BN23" s="456">
        <f>'F-B6'!V52/'F-B6'!$X52*100</f>
        <v>0.19420573008448155</v>
      </c>
      <c r="BO23" s="456">
        <f>('C1-Incomes'!LL26-'C1-Incomes'!LM26)/('C1-Incomes'!$S26-'C1-Incomes'!$T26)*100</f>
        <v>0.37083187869533862</v>
      </c>
      <c r="BP23" s="456">
        <f>('C1-Incomes'!LM26-'C1-Incomes'!LN26)/('C1-Incomes'!$T26-'C1-Incomes'!$U26)*100</f>
        <v>0.6571232569237091</v>
      </c>
      <c r="BQ23" s="456">
        <f>('C1-Incomes'!LN26-'C1-Incomes'!LO26)/('C1-Incomes'!$U26-'C1-Incomes'!$V26)*100</f>
        <v>0.95089261441539064</v>
      </c>
      <c r="BR23" s="456">
        <f>('C1-Incomes'!LO26-'C1-Incomes'!LP26)/('C1-Incomes'!$V26-'C1-Incomes'!$W26)*100</f>
        <v>0.96584770767105776</v>
      </c>
      <c r="BS23" s="456">
        <f>('C1-Incomes'!LP26-'C1-Incomes'!LQ26)/('C1-Incomes'!$W26-'C1-Incomes'!$X26)*100</f>
        <v>1.0802539451320032</v>
      </c>
      <c r="BT23" s="456">
        <f>'C1-Incomes'!LQ26/'C1-Incomes'!$X26*100</f>
        <v>1.5647333023889523</v>
      </c>
      <c r="BV23" s="456">
        <f>'F-B5'!AB52/'F-B5'!$AE52*100</f>
        <v>4.4247230051529698</v>
      </c>
      <c r="BW23" s="456">
        <f>'F-B6'!U52/'F-B6'!$X52*100</f>
        <v>5.8271731208610049</v>
      </c>
      <c r="BX23" s="456">
        <f>('C1-Incomes'!KV26-'C1-Incomes'!KW26)/('C1-Incomes'!$S26-'C1-Incomes'!$T26)*100</f>
        <v>5.1375183971947553</v>
      </c>
      <c r="BY23" s="456">
        <f>('C1-Incomes'!KW26-'C1-Incomes'!KX26)/('C1-Incomes'!$T26-'C1-Incomes'!$U26)*100</f>
        <v>4.1718721422131182</v>
      </c>
      <c r="BZ23" s="456">
        <f>('C1-Incomes'!KX26-'C1-Incomes'!KY26)/('C1-Incomes'!$U26-'C1-Incomes'!$V26)*100</f>
        <v>2.8890497561048636</v>
      </c>
      <c r="CA23" s="456">
        <f>('C1-Incomes'!KY26-'C1-Incomes'!KZ26)/('C1-Incomes'!$V26-'C1-Incomes'!$W26)*100</f>
        <v>2.1968233937969397</v>
      </c>
      <c r="CB23" s="456">
        <f>('C1-Incomes'!KZ26-'C1-Incomes'!LA26)/('C1-Incomes'!$W26-'C1-Incomes'!$X26)*100</f>
        <v>1.5044682123372159</v>
      </c>
      <c r="CC23" s="456">
        <f>'C1-Incomes'!LA26/'C1-Incomes'!$X26*100</f>
        <v>1.1559183100262347</v>
      </c>
    </row>
    <row r="24" spans="1:81" s="452" customFormat="1" ht="12" x14ac:dyDescent="0.25">
      <c r="A24" s="239">
        <v>1979</v>
      </c>
      <c r="B24" s="456">
        <f t="shared" si="6"/>
        <v>18.022614253028362</v>
      </c>
      <c r="C24" s="456">
        <f t="shared" si="7"/>
        <v>29.998677733496081</v>
      </c>
      <c r="D24" s="456">
        <f t="shared" si="8"/>
        <v>31.967845024074858</v>
      </c>
      <c r="E24" s="456">
        <f t="shared" si="9"/>
        <v>33.15544142691202</v>
      </c>
      <c r="F24" s="456">
        <f t="shared" si="10"/>
        <v>34.830460264256878</v>
      </c>
      <c r="G24" s="456">
        <f t="shared" si="11"/>
        <v>35.315740180525417</v>
      </c>
      <c r="H24" s="456">
        <f t="shared" si="12"/>
        <v>36.865202282992335</v>
      </c>
      <c r="I24" s="456">
        <f t="shared" si="13"/>
        <v>40.26256276050507</v>
      </c>
      <c r="J24" s="456"/>
      <c r="K24" s="456">
        <f t="shared" si="14"/>
        <v>12.177625740622934</v>
      </c>
      <c r="L24" s="456">
        <f t="shared" si="15"/>
        <v>22.279625667596662</v>
      </c>
      <c r="M24" s="456">
        <f t="shared" si="16"/>
        <v>25.86286562229612</v>
      </c>
      <c r="N24" s="456">
        <f t="shared" si="17"/>
        <v>29.082380218426614</v>
      </c>
      <c r="O24" s="456">
        <f t="shared" si="18"/>
        <v>32.885853872182459</v>
      </c>
      <c r="P24" s="456">
        <f t="shared" si="19"/>
        <v>34.209769022833562</v>
      </c>
      <c r="Q24" s="456">
        <f t="shared" si="20"/>
        <v>36.453767165748708</v>
      </c>
      <c r="R24" s="456">
        <f t="shared" si="21"/>
        <v>40.179471005288612</v>
      </c>
      <c r="S24" s="456"/>
      <c r="T24" s="456">
        <f>'F-B5'!W53/'F-B5'!$AE53*100</f>
        <v>2.6979189754836268</v>
      </c>
      <c r="U24" s="456">
        <f>'F-B6'!P53/'F-B6'!$X53*100</f>
        <v>9.0215227707866585</v>
      </c>
      <c r="V24" s="456">
        <f>('C1-Incomes'!JH27-'C1-Incomes'!JI27)/('C1-Incomes'!$S27-'C1-Incomes'!$T27)*100</f>
        <v>12.188918941533181</v>
      </c>
      <c r="W24" s="456">
        <f>('C1-Incomes'!JI27-'C1-Incomes'!JJ27)/('C1-Incomes'!$T27-'C1-Incomes'!$U27)*100</f>
        <v>14.669337400730548</v>
      </c>
      <c r="X24" s="456">
        <f>('C1-Incomes'!JJ27-'C1-Incomes'!JK27)/('C1-Incomes'!$U27-'C1-Incomes'!$V27)*100</f>
        <v>17.805148059564178</v>
      </c>
      <c r="Y24" s="456">
        <f>('C1-Incomes'!JK27-'C1-Incomes'!JL27)/('C1-Incomes'!$V27-'C1-Incomes'!$W27)*100</f>
        <v>19.067075593501801</v>
      </c>
      <c r="Z24" s="456">
        <f>('C1-Incomes'!JL27-'C1-Incomes'!JM27)/('C1-Incomes'!$W27-'C1-Incomes'!$X27)*100</f>
        <v>20.31056019926379</v>
      </c>
      <c r="AA24" s="456">
        <f>'C1-Incomes'!JM27/'C1-Incomes'!$X27*100</f>
        <v>21.872710374544216</v>
      </c>
      <c r="AB24" s="458"/>
      <c r="AC24" s="456">
        <f>'F-B5'!X53/'F-B5'!$AE53*100</f>
        <v>0.6619711491125535</v>
      </c>
      <c r="AD24" s="456">
        <f>'F-B6'!Q53/'F-B6'!$X53*100</f>
        <v>1.5804195606663283</v>
      </c>
      <c r="AE24" s="456">
        <f>('C1-Incomes'!JP27-'C1-Incomes'!JQ27)/('C1-Incomes'!$S27-'C1-Incomes'!$T27)*100</f>
        <v>1.9484962287584717</v>
      </c>
      <c r="AF24" s="456">
        <f>('C1-Incomes'!JQ27-'C1-Incomes'!JR27)/('C1-Incomes'!$T27-'C1-Incomes'!$U27)*100</f>
        <v>2.3728188278722904</v>
      </c>
      <c r="AG24" s="456">
        <f>('C1-Incomes'!JR27-'C1-Incomes'!JS27)/('C1-Incomes'!$U27-'C1-Incomes'!$V27)*100</f>
        <v>2.6438038497930227</v>
      </c>
      <c r="AH24" s="456">
        <f>('C1-Incomes'!JS27-'C1-Incomes'!JT27)/('C1-Incomes'!$V27-'C1-Incomes'!$W27)*100</f>
        <v>2.6224614859543891</v>
      </c>
      <c r="AI24" s="456">
        <f>('C1-Incomes'!JT27-'C1-Incomes'!JU27)/('C1-Incomes'!$W27-'C1-Incomes'!$X27)*100</f>
        <v>2.6478477417325501</v>
      </c>
      <c r="AJ24" s="456">
        <f>'C1-Incomes'!JU27/'C1-Incomes'!$X27*100</f>
        <v>2.8955739719483167</v>
      </c>
      <c r="AK24" s="458"/>
      <c r="AL24" s="456">
        <f>'F-B5'!Y53/'F-B5'!$AE53*100</f>
        <v>2.3879996045209975</v>
      </c>
      <c r="AM24" s="456">
        <f>'F-B6'!R53/'F-B6'!$X53*100</f>
        <v>3.0575173941040772</v>
      </c>
      <c r="AN24" s="456">
        <f>('C1-Incomes'!JX27-'C1-Incomes'!JY27)/('C1-Incomes'!$S27-'C1-Incomes'!$T27)*100</f>
        <v>3.2456852167353119</v>
      </c>
      <c r="AO24" s="456">
        <f>('C1-Incomes'!JY27-'C1-Incomes'!JZ27)/('C1-Incomes'!$T27-'C1-Incomes'!$U27)*100</f>
        <v>3.8296936618906487</v>
      </c>
      <c r="AP24" s="456">
        <f>('C1-Incomes'!JZ27-'C1-Incomes'!KA27)/('C1-Incomes'!$U27-'C1-Incomes'!$V27)*100</f>
        <v>4.8929965733016152</v>
      </c>
      <c r="AQ24" s="456">
        <f>('C1-Incomes'!KA27-'C1-Incomes'!KB27)/('C1-Incomes'!$V27-'C1-Incomes'!$W27)*100</f>
        <v>5.7644955976240384</v>
      </c>
      <c r="AR24" s="456">
        <f>('C1-Incomes'!KB27-'C1-Incomes'!KC27)/('C1-Incomes'!$W27-'C1-Incomes'!$X27)*100</f>
        <v>7.5033956318817401</v>
      </c>
      <c r="AS24" s="456">
        <f>'C1-Incomes'!KC27/'C1-Incomes'!$X27*100</f>
        <v>9.3998113760438038</v>
      </c>
      <c r="AT24" s="458"/>
      <c r="AU24" s="456">
        <f>'F-B5'!Z53/'F-B5'!$AE53*100</f>
        <v>1.7139489582198741</v>
      </c>
      <c r="AV24" s="456">
        <f>'F-B6'!S53/'F-B6'!$X53*100</f>
        <v>2.6289984300443261</v>
      </c>
      <c r="AW24" s="456">
        <f>('C1-Incomes'!KF27-'C1-Incomes'!KG27)/('C1-Incomes'!$S27-'C1-Incomes'!$T27)*100</f>
        <v>3.0739182337680071</v>
      </c>
      <c r="AX24" s="456">
        <f>('C1-Incomes'!KG27-'C1-Incomes'!KH27)/('C1-Incomes'!$T27-'C1-Incomes'!$U27)*100</f>
        <v>3.5359348798692625</v>
      </c>
      <c r="AY24" s="456">
        <f>('C1-Incomes'!KH27-'C1-Incomes'!KI27)/('C1-Incomes'!$U27-'C1-Incomes'!$V27)*100</f>
        <v>3.7176179937263485</v>
      </c>
      <c r="AZ24" s="456">
        <f>('C1-Incomes'!KI27-'C1-Incomes'!KJ27)/('C1-Incomes'!$V27-'C1-Incomes'!$W27)*100</f>
        <v>3.6293926622500874</v>
      </c>
      <c r="BA24" s="456">
        <f>('C1-Incomes'!KJ27-'C1-Incomes'!KK27)/('C1-Incomes'!$W27-'C1-Incomes'!$X27)*100</f>
        <v>3.474489987164032</v>
      </c>
      <c r="BB24" s="456">
        <f>'C1-Incomes'!KK27/'C1-Incomes'!$X27*100</f>
        <v>3.4516598871213424</v>
      </c>
      <c r="BD24" s="456">
        <f>'F-B5'!AA53/'F-B5'!$AE53*100</f>
        <v>5.8449885124054255</v>
      </c>
      <c r="BE24" s="456">
        <f>'F-B6'!T53/'F-B6'!$X53*100</f>
        <v>7.7190520658994162</v>
      </c>
      <c r="BF24" s="456">
        <f>('C1-Incomes'!KN27-'C1-Incomes'!KO27)/('C1-Incomes'!$S27-'C1-Incomes'!$T27)*100</f>
        <v>6.1049794017787402</v>
      </c>
      <c r="BG24" s="456">
        <f>('C1-Incomes'!KO27-'C1-Incomes'!KP27)/('C1-Incomes'!$T27-'C1-Incomes'!$U27)*100</f>
        <v>4.0730612084854005</v>
      </c>
      <c r="BH24" s="456">
        <f>('C1-Incomes'!KP27-'C1-Incomes'!KQ27)/('C1-Incomes'!$U27-'C1-Incomes'!$V27)*100</f>
        <v>1.9446063920744192</v>
      </c>
      <c r="BI24" s="456">
        <f>('C1-Incomes'!KQ27-'C1-Incomes'!KR27)/('C1-Incomes'!$V27-'C1-Incomes'!$W27)*100</f>
        <v>1.1059711576918509</v>
      </c>
      <c r="BJ24" s="456">
        <f>('C1-Incomes'!KR27-'C1-Incomes'!KS27)/('C1-Incomes'!$W27-'C1-Incomes'!$X27)*100</f>
        <v>0.41143511724362869</v>
      </c>
      <c r="BK24" s="456">
        <f>'C1-Incomes'!KS27/'C1-Incomes'!$X27*100</f>
        <v>8.3091755216461047E-2</v>
      </c>
      <c r="BL24" s="456"/>
      <c r="BM24" s="456">
        <f>'F-B5'!AC53/'F-B5'!$AE53*100</f>
        <v>0.25666687656868992</v>
      </c>
      <c r="BN24" s="456">
        <f>'F-B6'!V53/'F-B6'!$X53*100</f>
        <v>0.18159950875936334</v>
      </c>
      <c r="BO24" s="456">
        <f>('C1-Incomes'!LL27-'C1-Incomes'!LM27)/('C1-Incomes'!$S27-'C1-Incomes'!$T27)*100</f>
        <v>0.34996348437714586</v>
      </c>
      <c r="BP24" s="456">
        <f>('C1-Incomes'!LM27-'C1-Incomes'!LN27)/('C1-Incomes'!$T27-'C1-Incomes'!$U27)*100</f>
        <v>0.60693523720112874</v>
      </c>
      <c r="BQ24" s="456">
        <f>('C1-Incomes'!LN27-'C1-Incomes'!LO27)/('C1-Incomes'!$U27-'C1-Incomes'!$V27)*100</f>
        <v>0.92147993302943676</v>
      </c>
      <c r="BR24" s="456">
        <f>('C1-Incomes'!LO27-'C1-Incomes'!LP27)/('C1-Incomes'!$V27-'C1-Incomes'!$W27)*100</f>
        <v>0.93789213676651029</v>
      </c>
      <c r="BS24" s="456">
        <f>('C1-Incomes'!LP27-'C1-Incomes'!LQ27)/('C1-Incomes'!$W27-'C1-Incomes'!$X27)*100</f>
        <v>1.0105865129876335</v>
      </c>
      <c r="BT24" s="456">
        <f>'C1-Incomes'!LQ27/'C1-Incomes'!$X27*100</f>
        <v>1.4980757385583163</v>
      </c>
      <c r="BV24" s="456">
        <f>'F-B5'!AB53/'F-B5'!$AE53*100</f>
        <v>4.4591201767171915</v>
      </c>
      <c r="BW24" s="456">
        <f>'F-B6'!U53/'F-B6'!$X53*100</f>
        <v>5.8095680032359116</v>
      </c>
      <c r="BX24" s="456">
        <f>('C1-Incomes'!KV27-'C1-Incomes'!KW27)/('C1-Incomes'!$S27-'C1-Incomes'!$T27)*100</f>
        <v>5.0558835171240029</v>
      </c>
      <c r="BY24" s="456">
        <f>('C1-Incomes'!KW27-'C1-Incomes'!KX27)/('C1-Incomes'!$T27-'C1-Incomes'!$U27)*100</f>
        <v>4.0676602108627389</v>
      </c>
      <c r="BZ24" s="456">
        <f>('C1-Incomes'!KX27-'C1-Incomes'!KY27)/('C1-Incomes'!$U27-'C1-Incomes'!$V27)*100</f>
        <v>2.9048074627678551</v>
      </c>
      <c r="CA24" s="456">
        <f>('C1-Incomes'!KY27-'C1-Incomes'!KZ27)/('C1-Incomes'!$V27-'C1-Incomes'!$W27)*100</f>
        <v>2.1884515467367418</v>
      </c>
      <c r="CB24" s="456">
        <f>('C1-Incomes'!KZ27-'C1-Incomes'!LA27)/('C1-Incomes'!$W27-'C1-Incomes'!$X27)*100</f>
        <v>1.5068870927189519</v>
      </c>
      <c r="CC24" s="456">
        <f>'C1-Incomes'!LA27/'C1-Incomes'!$X27*100</f>
        <v>1.0616396570726165</v>
      </c>
    </row>
    <row r="25" spans="1:81" s="452" customFormat="1" ht="12" x14ac:dyDescent="0.25">
      <c r="A25" s="239">
        <v>1980</v>
      </c>
      <c r="B25" s="456">
        <f t="shared" si="6"/>
        <v>17.261826438339941</v>
      </c>
      <c r="C25" s="456">
        <f t="shared" si="7"/>
        <v>29.931398527927279</v>
      </c>
      <c r="D25" s="456">
        <f t="shared" si="8"/>
        <v>32.231939339382407</v>
      </c>
      <c r="E25" s="456">
        <f t="shared" si="9"/>
        <v>33.596497694089791</v>
      </c>
      <c r="F25" s="456">
        <f t="shared" si="10"/>
        <v>35.734489137646683</v>
      </c>
      <c r="G25" s="456">
        <f t="shared" si="11"/>
        <v>36.449378018915951</v>
      </c>
      <c r="H25" s="456">
        <f t="shared" si="12"/>
        <v>38.242414594169631</v>
      </c>
      <c r="I25" s="456">
        <f t="shared" si="13"/>
        <v>41.091614116960152</v>
      </c>
      <c r="J25" s="456"/>
      <c r="K25" s="456">
        <f t="shared" si="14"/>
        <v>11.80249132678831</v>
      </c>
      <c r="L25" s="456">
        <f t="shared" si="15"/>
        <v>22.174726850412718</v>
      </c>
      <c r="M25" s="456">
        <f t="shared" si="16"/>
        <v>25.919915466433462</v>
      </c>
      <c r="N25" s="456">
        <f t="shared" si="17"/>
        <v>29.232957785316984</v>
      </c>
      <c r="O25" s="456">
        <f t="shared" si="18"/>
        <v>33.64121043781342</v>
      </c>
      <c r="P25" s="456">
        <f t="shared" si="19"/>
        <v>35.250204789820977</v>
      </c>
      <c r="Q25" s="456">
        <f t="shared" si="20"/>
        <v>37.771568721284574</v>
      </c>
      <c r="R25" s="456">
        <f t="shared" si="21"/>
        <v>40.993220370134289</v>
      </c>
      <c r="S25" s="456"/>
      <c r="T25" s="456">
        <f>'F-B5'!W54/'F-B5'!$AE54*100</f>
        <v>2.7507218816669163</v>
      </c>
      <c r="U25" s="456">
        <f>'F-B6'!P54/'F-B6'!$X54*100</f>
        <v>9.1967861823091397</v>
      </c>
      <c r="V25" s="456">
        <f>('C1-Incomes'!JH28-'C1-Incomes'!JI28)/('C1-Incomes'!$S28-'C1-Incomes'!$T28)*100</f>
        <v>12.584968277493736</v>
      </c>
      <c r="W25" s="456">
        <f>('C1-Incomes'!JI28-'C1-Incomes'!JJ28)/('C1-Incomes'!$T28-'C1-Incomes'!$U28)*100</f>
        <v>15.022074556391244</v>
      </c>
      <c r="X25" s="456">
        <f>('C1-Incomes'!JJ28-'C1-Incomes'!JK28)/('C1-Incomes'!$U28-'C1-Incomes'!$V28)*100</f>
        <v>18.372337223737951</v>
      </c>
      <c r="Y25" s="456">
        <f>('C1-Incomes'!JK28-'C1-Incomes'!JL28)/('C1-Incomes'!$V28-'C1-Incomes'!$W28)*100</f>
        <v>19.8593701774968</v>
      </c>
      <c r="Z25" s="456">
        <f>('C1-Incomes'!JL28-'C1-Incomes'!JM28)/('C1-Incomes'!$W28-'C1-Incomes'!$X28)*100</f>
        <v>21.291634007162799</v>
      </c>
      <c r="AA25" s="456">
        <f>'C1-Incomes'!JM28/'C1-Incomes'!$X28*100</f>
        <v>21.931187736162212</v>
      </c>
      <c r="AB25" s="458"/>
      <c r="AC25" s="456">
        <f>'F-B5'!X54/'F-B5'!$AE54*100</f>
        <v>0.61223516755598228</v>
      </c>
      <c r="AD25" s="456">
        <f>'F-B6'!Q54/'F-B6'!$X54*100</f>
        <v>1.6060756145007662</v>
      </c>
      <c r="AE25" s="456">
        <f>('C1-Incomes'!JP28-'C1-Incomes'!JQ28)/('C1-Incomes'!$S28-'C1-Incomes'!$T28)*100</f>
        <v>1.9947014038388671</v>
      </c>
      <c r="AF25" s="456">
        <f>('C1-Incomes'!JQ28-'C1-Incomes'!JR28)/('C1-Incomes'!$T28-'C1-Incomes'!$U28)*100</f>
        <v>2.4844979302192312</v>
      </c>
      <c r="AG25" s="456">
        <f>('C1-Incomes'!JR28-'C1-Incomes'!JS28)/('C1-Incomes'!$U28-'C1-Incomes'!$V28)*100</f>
        <v>2.8939479703069382</v>
      </c>
      <c r="AH25" s="456">
        <f>('C1-Incomes'!JS28-'C1-Incomes'!JT28)/('C1-Incomes'!$V28-'C1-Incomes'!$W28)*100</f>
        <v>2.8358998181400801</v>
      </c>
      <c r="AI25" s="456">
        <f>('C1-Incomes'!JT28-'C1-Incomes'!JU28)/('C1-Incomes'!$W28-'C1-Incomes'!$X28)*100</f>
        <v>2.983111367187393</v>
      </c>
      <c r="AJ25" s="456">
        <f>'C1-Incomes'!JU28/'C1-Incomes'!$X28*100</f>
        <v>3.1873763546962626</v>
      </c>
      <c r="AK25" s="458"/>
      <c r="AL25" s="456">
        <f>'F-B5'!Y54/'F-B5'!$AE54*100</f>
        <v>1.942491790944703</v>
      </c>
      <c r="AM25" s="456">
        <f>'F-B6'!R54/'F-B6'!$X54*100</f>
        <v>2.6012911603298274</v>
      </c>
      <c r="AN25" s="456">
        <f>('C1-Incomes'!JX28-'C1-Incomes'!JY28)/('C1-Incomes'!$S28-'C1-Incomes'!$T28)*100</f>
        <v>2.7774363077569539</v>
      </c>
      <c r="AO25" s="456">
        <f>('C1-Incomes'!JY28-'C1-Incomes'!JZ28)/('C1-Incomes'!$T28-'C1-Incomes'!$U28)*100</f>
        <v>3.3893681974113528</v>
      </c>
      <c r="AP25" s="456">
        <f>('C1-Incomes'!JZ28-'C1-Incomes'!KA28)/('C1-Incomes'!$U28-'C1-Incomes'!$V28)*100</f>
        <v>4.5218197165334102</v>
      </c>
      <c r="AQ25" s="456">
        <f>('C1-Incomes'!KA28-'C1-Incomes'!KB28)/('C1-Incomes'!$V28-'C1-Incomes'!$W28)*100</f>
        <v>5.3681540177167584</v>
      </c>
      <c r="AR25" s="456">
        <f>('C1-Incomes'!KB28-'C1-Incomes'!KC28)/('C1-Incomes'!$W28-'C1-Incomes'!$X28)*100</f>
        <v>6.8458674045139389</v>
      </c>
      <c r="AS25" s="456">
        <f>'C1-Incomes'!KC28/'C1-Incomes'!$X28*100</f>
        <v>8.8748023665888791</v>
      </c>
      <c r="AT25" s="458"/>
      <c r="AU25" s="456">
        <f>'F-B5'!Z54/'F-B5'!$AE54*100</f>
        <v>1.6864828531730571</v>
      </c>
      <c r="AV25" s="456">
        <f>'F-B6'!S54/'F-B6'!$X54*100</f>
        <v>2.560536058676175</v>
      </c>
      <c r="AW25" s="456">
        <f>('C1-Incomes'!KF28-'C1-Incomes'!KG28)/('C1-Incomes'!$S28-'C1-Incomes'!$T28)*100</f>
        <v>2.9284620183223868</v>
      </c>
      <c r="AX25" s="456">
        <f>('C1-Incomes'!KG28-'C1-Incomes'!KH28)/('C1-Incomes'!$T28-'C1-Incomes'!$U28)*100</f>
        <v>3.4265684783219728</v>
      </c>
      <c r="AY25" s="456">
        <f>('C1-Incomes'!KH28-'C1-Incomes'!KI28)/('C1-Incomes'!$U28-'C1-Incomes'!$V28)*100</f>
        <v>3.7475454009276903</v>
      </c>
      <c r="AZ25" s="456">
        <f>('C1-Incomes'!KI28-'C1-Incomes'!KJ28)/('C1-Incomes'!$V28-'C1-Incomes'!$W28)*100</f>
        <v>3.7251668817225627</v>
      </c>
      <c r="BA25" s="456">
        <f>('C1-Incomes'!KJ28-'C1-Incomes'!KK28)/('C1-Incomes'!$W28-'C1-Incomes'!$X28)*100</f>
        <v>3.7458613816413417</v>
      </c>
      <c r="BB25" s="456">
        <f>'C1-Incomes'!KK28/'C1-Incomes'!$X28*100</f>
        <v>3.8811938785823847</v>
      </c>
      <c r="BD25" s="456">
        <f>'F-B5'!AA54/'F-B5'!$AE54*100</f>
        <v>5.4593351115516295</v>
      </c>
      <c r="BE25" s="456">
        <f>'F-B6'!T54/'F-B6'!$X54*100</f>
        <v>7.7566716775145563</v>
      </c>
      <c r="BF25" s="456">
        <f>('C1-Incomes'!KN28-'C1-Incomes'!KO28)/('C1-Incomes'!$S28-'C1-Incomes'!$T28)*100</f>
        <v>6.3120238729489433</v>
      </c>
      <c r="BG25" s="456">
        <f>('C1-Incomes'!KO28-'C1-Incomes'!KP28)/('C1-Incomes'!$T28-'C1-Incomes'!$U28)*100</f>
        <v>4.3635399087728111</v>
      </c>
      <c r="BH25" s="456">
        <f>('C1-Incomes'!KP28-'C1-Incomes'!KQ28)/('C1-Incomes'!$U28-'C1-Incomes'!$V28)*100</f>
        <v>2.09327869983326</v>
      </c>
      <c r="BI25" s="456">
        <f>('C1-Incomes'!KQ28-'C1-Incomes'!KR28)/('C1-Incomes'!$V28-'C1-Incomes'!$W28)*100</f>
        <v>1.199173229094969</v>
      </c>
      <c r="BJ25" s="456">
        <f>('C1-Incomes'!KR28-'C1-Incomes'!KS28)/('C1-Incomes'!$W28-'C1-Incomes'!$X28)*100</f>
        <v>0.47084587288505864</v>
      </c>
      <c r="BK25" s="456">
        <f>'C1-Incomes'!KS28/'C1-Incomes'!$X28*100</f>
        <v>9.8393746825863673E-2</v>
      </c>
      <c r="BL25" s="456"/>
      <c r="BM25" s="456">
        <f>'F-B5'!AC54/'F-B5'!$AE54*100</f>
        <v>0.27263692668141459</v>
      </c>
      <c r="BN25" s="456">
        <f>'F-B6'!V54/'F-B6'!$X54*100</f>
        <v>0.19064088308465288</v>
      </c>
      <c r="BO25" s="456">
        <f>('C1-Incomes'!LL28-'C1-Incomes'!LM28)/('C1-Incomes'!$S28-'C1-Incomes'!$T28)*100</f>
        <v>0.37435080849037705</v>
      </c>
      <c r="BP25" s="456">
        <f>('C1-Incomes'!LM28-'C1-Incomes'!LN28)/('C1-Incomes'!$T28-'C1-Incomes'!$U28)*100</f>
        <v>0.63982520599816284</v>
      </c>
      <c r="BQ25" s="456">
        <f>('C1-Incomes'!LN28-'C1-Incomes'!LO28)/('C1-Incomes'!$U28-'C1-Incomes'!$V28)*100</f>
        <v>1.0152205747117644</v>
      </c>
      <c r="BR25" s="456">
        <f>('C1-Incomes'!LO28-'C1-Incomes'!LP28)/('C1-Incomes'!$V28-'C1-Incomes'!$W28)*100</f>
        <v>1.0540470329559486</v>
      </c>
      <c r="BS25" s="456">
        <f>('C1-Incomes'!LP28-'C1-Incomes'!LQ28)/('C1-Incomes'!$W28-'C1-Incomes'!$X28)*100</f>
        <v>1.1664335793533398</v>
      </c>
      <c r="BT25" s="456">
        <f>'C1-Incomes'!LQ28/'C1-Incomes'!$X28*100</f>
        <v>1.7584022548422815</v>
      </c>
      <c r="BV25" s="456">
        <f>'F-B5'!AB54/'F-B5'!$AE54*100</f>
        <v>4.5379227067662375</v>
      </c>
      <c r="BW25" s="456">
        <f>'F-B6'!U54/'F-B6'!$X54*100</f>
        <v>6.0193969515121584</v>
      </c>
      <c r="BX25" s="456">
        <f>('C1-Incomes'!KV28-'C1-Incomes'!KW28)/('C1-Incomes'!$S28-'C1-Incomes'!$T28)*100</f>
        <v>5.2599966505311384</v>
      </c>
      <c r="BY25" s="456">
        <f>('C1-Incomes'!KW28-'C1-Incomes'!KX28)/('C1-Incomes'!$T28-'C1-Incomes'!$U28)*100</f>
        <v>4.2706234169750168</v>
      </c>
      <c r="BZ25" s="456">
        <f>('C1-Incomes'!KX28-'C1-Incomes'!KY28)/('C1-Incomes'!$U28-'C1-Incomes'!$V28)*100</f>
        <v>3.0903395515956671</v>
      </c>
      <c r="CA25" s="456">
        <f>('C1-Incomes'!KY28-'C1-Incomes'!KZ28)/('C1-Incomes'!$V28-'C1-Incomes'!$W28)*100</f>
        <v>2.4075668617888262</v>
      </c>
      <c r="CB25" s="456">
        <f>('C1-Incomes'!KZ28-'C1-Incomes'!LA28)/('C1-Incomes'!$W28-'C1-Incomes'!$X28)*100</f>
        <v>1.7386609814257568</v>
      </c>
      <c r="CC25" s="456">
        <f>'C1-Incomes'!LA28/'C1-Incomes'!$X28*100</f>
        <v>1.3602577792622714</v>
      </c>
    </row>
    <row r="26" spans="1:81" s="452" customFormat="1" ht="12" x14ac:dyDescent="0.25">
      <c r="A26" s="239">
        <v>1981</v>
      </c>
      <c r="B26" s="456">
        <f t="shared" si="6"/>
        <v>17.567359302824933</v>
      </c>
      <c r="C26" s="456">
        <f t="shared" si="7"/>
        <v>30.854272894877123</v>
      </c>
      <c r="D26" s="456">
        <f t="shared" si="8"/>
        <v>33.257303577389607</v>
      </c>
      <c r="E26" s="456">
        <f t="shared" si="9"/>
        <v>33.741062553892299</v>
      </c>
      <c r="F26" s="456">
        <f t="shared" si="10"/>
        <v>35.025329452202634</v>
      </c>
      <c r="G26" s="456">
        <f t="shared" si="11"/>
        <v>35.445943053027939</v>
      </c>
      <c r="H26" s="456">
        <f t="shared" si="12"/>
        <v>36.522035990698463</v>
      </c>
      <c r="I26" s="456">
        <f t="shared" si="13"/>
        <v>38.564974206838315</v>
      </c>
      <c r="J26" s="456"/>
      <c r="K26" s="456">
        <f t="shared" si="14"/>
        <v>12.010956204248137</v>
      </c>
      <c r="L26" s="456">
        <f t="shared" si="15"/>
        <v>22.732707999944548</v>
      </c>
      <c r="M26" s="456">
        <f t="shared" si="16"/>
        <v>26.537114607558824</v>
      </c>
      <c r="N26" s="456">
        <f t="shared" si="17"/>
        <v>29.104339848720617</v>
      </c>
      <c r="O26" s="456">
        <f t="shared" si="18"/>
        <v>32.673515070675506</v>
      </c>
      <c r="P26" s="456">
        <f t="shared" si="19"/>
        <v>34.061856676508889</v>
      </c>
      <c r="Q26" s="456">
        <f t="shared" si="20"/>
        <v>35.978694811289998</v>
      </c>
      <c r="R26" s="456">
        <f t="shared" si="21"/>
        <v>38.451891577690091</v>
      </c>
      <c r="S26" s="456"/>
      <c r="T26" s="456">
        <f>'F-B5'!W55/'F-B5'!$AE55*100</f>
        <v>2.9621043690633728</v>
      </c>
      <c r="U26" s="456">
        <f>'F-B6'!P55/'F-B6'!$X55*100</f>
        <v>9.6696537867989854</v>
      </c>
      <c r="V26" s="456">
        <f>('C1-Incomes'!JH29-'C1-Incomes'!JI29)/('C1-Incomes'!$S29-'C1-Incomes'!$T29)*100</f>
        <v>13.177713818401193</v>
      </c>
      <c r="W26" s="456">
        <f>('C1-Incomes'!JI29-'C1-Incomes'!JJ29)/('C1-Incomes'!$T29-'C1-Incomes'!$U29)*100</f>
        <v>15.291534179930109</v>
      </c>
      <c r="X26" s="456">
        <f>('C1-Incomes'!JJ29-'C1-Incomes'!JK29)/('C1-Incomes'!$U29-'C1-Incomes'!$V29)*100</f>
        <v>18.275045333701907</v>
      </c>
      <c r="Y26" s="456">
        <f>('C1-Incomes'!JK29-'C1-Incomes'!JL29)/('C1-Incomes'!$V29-'C1-Incomes'!$W29)*100</f>
        <v>19.78064983596067</v>
      </c>
      <c r="Z26" s="456">
        <f>('C1-Incomes'!JL29-'C1-Incomes'!JM29)/('C1-Incomes'!$W29-'C1-Incomes'!$X29)*100</f>
        <v>21.234183424217914</v>
      </c>
      <c r="AA26" s="456">
        <f>'C1-Incomes'!JM29/'C1-Incomes'!$X29*100</f>
        <v>21.518642484434146</v>
      </c>
      <c r="AB26" s="458"/>
      <c r="AC26" s="456">
        <f>'F-B5'!X55/'F-B5'!$AE55*100</f>
        <v>0.59117196077390322</v>
      </c>
      <c r="AD26" s="456">
        <f>'F-B6'!Q55/'F-B6'!$X55*100</f>
        <v>1.6200116421874899</v>
      </c>
      <c r="AE26" s="456">
        <f>('C1-Incomes'!JP29-'C1-Incomes'!JQ29)/('C1-Incomes'!$S29-'C1-Incomes'!$T29)*100</f>
        <v>2.0215035875953919</v>
      </c>
      <c r="AF26" s="456">
        <f>('C1-Incomes'!JQ29-'C1-Incomes'!JR29)/('C1-Incomes'!$T29-'C1-Incomes'!$U29)*100</f>
        <v>2.4296927228116818</v>
      </c>
      <c r="AG26" s="456">
        <f>('C1-Incomes'!JR29-'C1-Incomes'!JS29)/('C1-Incomes'!$U29-'C1-Incomes'!$V29)*100</f>
        <v>2.8380239798163882</v>
      </c>
      <c r="AH26" s="456">
        <f>('C1-Incomes'!JS29-'C1-Incomes'!JT29)/('C1-Incomes'!$V29-'C1-Incomes'!$W29)*100</f>
        <v>2.9623937721479878</v>
      </c>
      <c r="AI26" s="456">
        <f>('C1-Incomes'!JT29-'C1-Incomes'!JU29)/('C1-Incomes'!$W29-'C1-Incomes'!$X29)*100</f>
        <v>3.1732488024283168</v>
      </c>
      <c r="AJ26" s="456">
        <f>'C1-Incomes'!JU29/'C1-Incomes'!$X29*100</f>
        <v>3.4957749755454661</v>
      </c>
      <c r="AK26" s="458"/>
      <c r="AL26" s="456">
        <f>'F-B5'!Y55/'F-B5'!$AE55*100</f>
        <v>1.6091765305665984</v>
      </c>
      <c r="AM26" s="456">
        <f>'F-B6'!R55/'F-B6'!$X55*100</f>
        <v>2.2864052474127923</v>
      </c>
      <c r="AN26" s="456">
        <f>('C1-Incomes'!JX29-'C1-Incomes'!JY29)/('C1-Incomes'!$S29-'C1-Incomes'!$T29)*100</f>
        <v>2.3839344657625028</v>
      </c>
      <c r="AO26" s="456">
        <f>('C1-Incomes'!JY29-'C1-Incomes'!JZ29)/('C1-Incomes'!$T29-'C1-Incomes'!$U29)*100</f>
        <v>2.7536276578161365</v>
      </c>
      <c r="AP26" s="456">
        <f>('C1-Incomes'!JZ29-'C1-Incomes'!KA29)/('C1-Incomes'!$U29-'C1-Incomes'!$V29)*100</f>
        <v>3.4291291964420179</v>
      </c>
      <c r="AQ26" s="456">
        <f>('C1-Incomes'!KA29-'C1-Incomes'!KB29)/('C1-Incomes'!$V29-'C1-Incomes'!$W29)*100</f>
        <v>3.9146950866270096</v>
      </c>
      <c r="AR26" s="456">
        <f>('C1-Incomes'!KB29-'C1-Incomes'!KC29)/('C1-Incomes'!$W29-'C1-Incomes'!$X29)*100</f>
        <v>4.8769900522514922</v>
      </c>
      <c r="AS26" s="456">
        <f>'C1-Incomes'!KC29/'C1-Incomes'!$X29*100</f>
        <v>6.3385578610716848</v>
      </c>
      <c r="AT26" s="458"/>
      <c r="AU26" s="456">
        <f>'F-B5'!Z55/'F-B5'!$AE55*100</f>
        <v>1.7059820938010013</v>
      </c>
      <c r="AV26" s="456">
        <f>'F-B6'!S55/'F-B6'!$X55*100</f>
        <v>2.5475514037926108</v>
      </c>
      <c r="AW26" s="456">
        <f>('C1-Incomes'!KF29-'C1-Incomes'!KG29)/('C1-Incomes'!$S29-'C1-Incomes'!$T29)*100</f>
        <v>2.9646901109115911</v>
      </c>
      <c r="AX26" s="456">
        <f>('C1-Incomes'!KG29-'C1-Incomes'!KH29)/('C1-Incomes'!$T29-'C1-Incomes'!$U29)*100</f>
        <v>3.4191341221468483</v>
      </c>
      <c r="AY26" s="456">
        <f>('C1-Incomes'!KH29-'C1-Incomes'!KI29)/('C1-Incomes'!$U29-'C1-Incomes'!$V29)*100</f>
        <v>3.7545027130710866</v>
      </c>
      <c r="AZ26" s="456">
        <f>('C1-Incomes'!KI29-'C1-Incomes'!KJ29)/('C1-Incomes'!$V29-'C1-Incomes'!$W29)*100</f>
        <v>3.6860175853355397</v>
      </c>
      <c r="BA26" s="456">
        <f>('C1-Incomes'!KJ29-'C1-Incomes'!KK29)/('C1-Incomes'!$W29-'C1-Incomes'!$X29)*100</f>
        <v>3.5476007420609101</v>
      </c>
      <c r="BB26" s="456">
        <f>'C1-Incomes'!KK29/'C1-Incomes'!$X29*100</f>
        <v>3.6709490252346795</v>
      </c>
      <c r="BD26" s="456">
        <f>'F-B5'!AA55/'F-B5'!$AE55*100</f>
        <v>5.5564030985767978</v>
      </c>
      <c r="BE26" s="456">
        <f>'F-B6'!T55/'F-B6'!$X55*100</f>
        <v>8.1215648949325736</v>
      </c>
      <c r="BF26" s="456">
        <f>('C1-Incomes'!KN29-'C1-Incomes'!KO29)/('C1-Incomes'!$S29-'C1-Incomes'!$T29)*100</f>
        <v>6.720188969830784</v>
      </c>
      <c r="BG26" s="456">
        <f>('C1-Incomes'!KO29-'C1-Incomes'!KP29)/('C1-Incomes'!$T29-'C1-Incomes'!$U29)*100</f>
        <v>4.6367227051716826</v>
      </c>
      <c r="BH26" s="456">
        <f>('C1-Incomes'!KP29-'C1-Incomes'!KQ29)/('C1-Incomes'!$U29-'C1-Incomes'!$V29)*100</f>
        <v>2.3518143815271233</v>
      </c>
      <c r="BI26" s="456">
        <f>('C1-Incomes'!KQ29-'C1-Incomes'!KR29)/('C1-Incomes'!$V29-'C1-Incomes'!$W29)*100</f>
        <v>1.3840863765190494</v>
      </c>
      <c r="BJ26" s="456">
        <f>('C1-Incomes'!KR29-'C1-Incomes'!KS29)/('C1-Incomes'!$W29-'C1-Incomes'!$X29)*100</f>
        <v>0.54334117940846205</v>
      </c>
      <c r="BK26" s="456">
        <f>'C1-Incomes'!KS29/'C1-Incomes'!$X29*100</f>
        <v>0.11308262914822151</v>
      </c>
      <c r="BL26" s="456"/>
      <c r="BM26" s="456">
        <f>'F-B5'!AC55/'F-B5'!$AE55*100</f>
        <v>0.2565942039409756</v>
      </c>
      <c r="BN26" s="456">
        <f>'F-B6'!V55/'F-B6'!$X55*100</f>
        <v>0.17992866460843998</v>
      </c>
      <c r="BO26" s="456">
        <f>('C1-Incomes'!LL29-'C1-Incomes'!LM29)/('C1-Incomes'!$S29-'C1-Incomes'!$T29)*100</f>
        <v>0.35115075021892128</v>
      </c>
      <c r="BP26" s="456">
        <f>('C1-Incomes'!LM29-'C1-Incomes'!LN29)/('C1-Incomes'!$T29-'C1-Incomes'!$U29)*100</f>
        <v>0.59458362844034818</v>
      </c>
      <c r="BQ26" s="456">
        <f>('C1-Incomes'!LN29-'C1-Incomes'!LO29)/('C1-Incomes'!$U29-'C1-Incomes'!$V29)*100</f>
        <v>0.96447860421202003</v>
      </c>
      <c r="BR26" s="456">
        <f>('C1-Incomes'!LO29-'C1-Incomes'!LP29)/('C1-Incomes'!$V29-'C1-Incomes'!$W29)*100</f>
        <v>1.0430894291229837</v>
      </c>
      <c r="BS26" s="456">
        <f>('C1-Incomes'!LP29-'C1-Incomes'!LQ29)/('C1-Incomes'!$W29-'C1-Incomes'!$X29)*100</f>
        <v>1.1389619601104477</v>
      </c>
      <c r="BT26" s="456">
        <f>'C1-Incomes'!LQ29/'C1-Incomes'!$X29*100</f>
        <v>1.7312442588614481</v>
      </c>
      <c r="BV26" s="456">
        <f>'F-B5'!AB55/'F-B5'!$AE55*100</f>
        <v>4.8859270461022852</v>
      </c>
      <c r="BW26" s="456">
        <f>'F-B6'!U55/'F-B6'!$X55*100</f>
        <v>6.4291572551442302</v>
      </c>
      <c r="BX26" s="456">
        <f>('C1-Incomes'!KV29-'C1-Incomes'!KW29)/('C1-Incomes'!$S29-'C1-Incomes'!$T29)*100</f>
        <v>5.638121874669225</v>
      </c>
      <c r="BY26" s="456">
        <f>('C1-Incomes'!KW29-'C1-Incomes'!KX29)/('C1-Incomes'!$T29-'C1-Incomes'!$U29)*100</f>
        <v>4.615767537575497</v>
      </c>
      <c r="BZ26" s="456">
        <f>('C1-Incomes'!KX29-'C1-Incomes'!KY29)/('C1-Incomes'!$U29-'C1-Incomes'!$V29)*100</f>
        <v>3.4123352434320866</v>
      </c>
      <c r="CA26" s="456">
        <f>('C1-Incomes'!KY29-'C1-Incomes'!KZ29)/('C1-Incomes'!$V29-'C1-Incomes'!$W29)*100</f>
        <v>2.6750109673146967</v>
      </c>
      <c r="CB26" s="456">
        <f>('C1-Incomes'!KZ29-'C1-Incomes'!LA29)/('C1-Incomes'!$W29-'C1-Incomes'!$X29)*100</f>
        <v>2.0077098302209149</v>
      </c>
      <c r="CC26" s="456">
        <f>'C1-Incomes'!LA29/'C1-Incomes'!$X29*100</f>
        <v>1.6967229725426647</v>
      </c>
    </row>
    <row r="27" spans="1:81" s="452" customFormat="1" ht="12" x14ac:dyDescent="0.25">
      <c r="A27" s="239">
        <v>1982</v>
      </c>
      <c r="B27" s="456">
        <f t="shared" si="6"/>
        <v>16.209015112235669</v>
      </c>
      <c r="C27" s="456">
        <f t="shared" si="7"/>
        <v>29.573256534643502</v>
      </c>
      <c r="D27" s="456">
        <f t="shared" si="8"/>
        <v>32.16969930526804</v>
      </c>
      <c r="E27" s="456">
        <f t="shared" si="9"/>
        <v>32.736828183350326</v>
      </c>
      <c r="F27" s="456">
        <f t="shared" si="10"/>
        <v>34.540681121090344</v>
      </c>
      <c r="G27" s="456">
        <f t="shared" si="11"/>
        <v>34.932471933496871</v>
      </c>
      <c r="H27" s="456">
        <f t="shared" si="12"/>
        <v>37.10048987032895</v>
      </c>
      <c r="I27" s="456">
        <f t="shared" si="13"/>
        <v>39.440657813402559</v>
      </c>
      <c r="J27" s="456"/>
      <c r="K27" s="456">
        <f t="shared" si="14"/>
        <v>10.85562170591046</v>
      </c>
      <c r="L27" s="456">
        <f t="shared" si="15"/>
        <v>21.313790482137591</v>
      </c>
      <c r="M27" s="456">
        <f t="shared" si="16"/>
        <v>24.966906771422288</v>
      </c>
      <c r="N27" s="456">
        <f t="shared" si="17"/>
        <v>27.694841625692735</v>
      </c>
      <c r="O27" s="456">
        <f t="shared" si="18"/>
        <v>31.909172329070806</v>
      </c>
      <c r="P27" s="456">
        <f t="shared" si="19"/>
        <v>33.383453254497745</v>
      </c>
      <c r="Q27" s="456">
        <f t="shared" si="20"/>
        <v>36.535310393796124</v>
      </c>
      <c r="R27" s="456">
        <f t="shared" si="21"/>
        <v>39.323566369962073</v>
      </c>
      <c r="S27" s="456"/>
      <c r="T27" s="456">
        <f>'F-B5'!W56/'F-B5'!$AE56*100</f>
        <v>2.6791641655787841</v>
      </c>
      <c r="U27" s="456">
        <f>'F-B6'!P56/'F-B6'!$X56*100</f>
        <v>9.1742172278428136</v>
      </c>
      <c r="V27" s="456">
        <f>('C1-Incomes'!JH30-'C1-Incomes'!JI30)/('C1-Incomes'!$S30-'C1-Incomes'!$T30)*100</f>
        <v>12.480924442607016</v>
      </c>
      <c r="W27" s="456">
        <f>('C1-Incomes'!JI30-'C1-Incomes'!JJ30)/('C1-Incomes'!$T30-'C1-Incomes'!$U30)*100</f>
        <v>14.736693403152998</v>
      </c>
      <c r="X27" s="456">
        <f>('C1-Incomes'!JJ30-'C1-Incomes'!JK30)/('C1-Incomes'!$U30-'C1-Incomes'!$V30)*100</f>
        <v>18.474898354192099</v>
      </c>
      <c r="Y27" s="456">
        <f>('C1-Incomes'!JK30-'C1-Incomes'!JL30)/('C1-Incomes'!$V30-'C1-Incomes'!$W30)*100</f>
        <v>20.417797106941869</v>
      </c>
      <c r="Z27" s="456">
        <f>('C1-Incomes'!JL30-'C1-Incomes'!JM30)/('C1-Incomes'!$W30-'C1-Incomes'!$X30)*100</f>
        <v>22.723954287596694</v>
      </c>
      <c r="AA27" s="456">
        <f>'C1-Incomes'!JM30/'C1-Incomes'!$X30*100</f>
        <v>23.811345414301126</v>
      </c>
      <c r="AB27" s="458"/>
      <c r="AC27" s="456">
        <f>'F-B5'!X56/'F-B5'!$AE56*100</f>
        <v>0.54594115493081741</v>
      </c>
      <c r="AD27" s="456">
        <f>'F-B6'!Q56/'F-B6'!$X56*100</f>
        <v>1.6533361185361448</v>
      </c>
      <c r="AE27" s="456">
        <f>('C1-Incomes'!JP30-'C1-Incomes'!JQ30)/('C1-Incomes'!$S30-'C1-Incomes'!$T30)*100</f>
        <v>2.2077963120399788</v>
      </c>
      <c r="AF27" s="456">
        <f>('C1-Incomes'!JQ30-'C1-Incomes'!JR30)/('C1-Incomes'!$T30-'C1-Incomes'!$U30)*100</f>
        <v>2.5562598549175699</v>
      </c>
      <c r="AG27" s="456">
        <f>('C1-Incomes'!JR30-'C1-Incomes'!JS30)/('C1-Incomes'!$U30-'C1-Incomes'!$V30)*100</f>
        <v>2.9640057866067577</v>
      </c>
      <c r="AH27" s="456">
        <f>('C1-Incomes'!JS30-'C1-Incomes'!JT30)/('C1-Incomes'!$V30-'C1-Incomes'!$W30)*100</f>
        <v>3.0185462176247175</v>
      </c>
      <c r="AI27" s="456">
        <f>('C1-Incomes'!JT30-'C1-Incomes'!JU30)/('C1-Incomes'!$W30-'C1-Incomes'!$X30)*100</f>
        <v>3.3577387318058713</v>
      </c>
      <c r="AJ27" s="456">
        <f>'C1-Incomes'!JU30/'C1-Incomes'!$X30*100</f>
        <v>3.6846561002792995</v>
      </c>
      <c r="AK27" s="458"/>
      <c r="AL27" s="456">
        <f>'F-B5'!Y56/'F-B5'!$AE56*100</f>
        <v>1.0782376970408583</v>
      </c>
      <c r="AM27" s="456">
        <f>'F-B6'!R56/'F-B6'!$X56*100</f>
        <v>1.616416768001393</v>
      </c>
      <c r="AN27" s="456">
        <f>('C1-Incomes'!JX30-'C1-Incomes'!JY30)/('C1-Incomes'!$S30-'C1-Incomes'!$T30)*100</f>
        <v>1.6628704823346379</v>
      </c>
      <c r="AO27" s="456">
        <f>('C1-Incomes'!JY30-'C1-Incomes'!JZ30)/('C1-Incomes'!$T30-'C1-Incomes'!$U30)*100</f>
        <v>1.8962170307441981</v>
      </c>
      <c r="AP27" s="456">
        <f>('C1-Incomes'!JZ30-'C1-Incomes'!KA30)/('C1-Incomes'!$U30-'C1-Incomes'!$V30)*100</f>
        <v>2.3352380030796751</v>
      </c>
      <c r="AQ27" s="456">
        <f>('C1-Incomes'!KA30-'C1-Incomes'!KB30)/('C1-Incomes'!$V30-'C1-Incomes'!$W30)*100</f>
        <v>2.5738944163184732</v>
      </c>
      <c r="AR27" s="456">
        <f>('C1-Incomes'!KB30-'C1-Incomes'!KC30)/('C1-Incomes'!$W30-'C1-Incomes'!$X30)*100</f>
        <v>3.4396070308532978</v>
      </c>
      <c r="AS27" s="456">
        <f>'C1-Incomes'!KC30/'C1-Incomes'!$X30*100</f>
        <v>4.3914206979651418</v>
      </c>
      <c r="AT27" s="458"/>
      <c r="AU27" s="456">
        <f>'F-B5'!Z56/'F-B5'!$AE56*100</f>
        <v>1.8577959241988149</v>
      </c>
      <c r="AV27" s="456">
        <f>'F-B6'!S56/'F-B6'!$X56*100</f>
        <v>2.726471400819015</v>
      </c>
      <c r="AW27" s="456">
        <f>('C1-Incomes'!KF30-'C1-Incomes'!KG30)/('C1-Incomes'!$S30-'C1-Incomes'!$T30)*100</f>
        <v>2.9642305438486622</v>
      </c>
      <c r="AX27" s="456">
        <f>('C1-Incomes'!KG30-'C1-Incomes'!KH30)/('C1-Incomes'!$T30-'C1-Incomes'!$U30)*100</f>
        <v>3.4732767420322426</v>
      </c>
      <c r="AY27" s="456">
        <f>('C1-Incomes'!KH30-'C1-Incomes'!KI30)/('C1-Incomes'!$U30-'C1-Incomes'!$V30)*100</f>
        <v>3.7895061477747634</v>
      </c>
      <c r="AZ27" s="456">
        <f>('C1-Incomes'!KI30-'C1-Incomes'!KJ30)/('C1-Incomes'!$V30-'C1-Incomes'!$W30)*100</f>
        <v>3.689021231413435</v>
      </c>
      <c r="BA27" s="456">
        <f>('C1-Incomes'!KJ30-'C1-Incomes'!KK30)/('C1-Incomes'!$W30-'C1-Incomes'!$X30)*100</f>
        <v>3.7686571943948941</v>
      </c>
      <c r="BB27" s="456">
        <f>'C1-Incomes'!KK30/'C1-Incomes'!$X30*100</f>
        <v>3.9269866307571308</v>
      </c>
      <c r="BD27" s="456">
        <f>'F-B5'!AA56/'F-B5'!$AE56*100</f>
        <v>5.3533934063252087</v>
      </c>
      <c r="BE27" s="456">
        <f>'F-B6'!T56/'F-B6'!$X56*100</f>
        <v>8.2594660525059087</v>
      </c>
      <c r="BF27" s="456">
        <f>('C1-Incomes'!KN30-'C1-Incomes'!KO30)/('C1-Incomes'!$S30-'C1-Incomes'!$T30)*100</f>
        <v>7.2027925338457504</v>
      </c>
      <c r="BG27" s="456">
        <f>('C1-Incomes'!KO30-'C1-Incomes'!KP30)/('C1-Incomes'!$T30-'C1-Incomes'!$U30)*100</f>
        <v>5.0419865576575926</v>
      </c>
      <c r="BH27" s="456">
        <f>('C1-Incomes'!KP30-'C1-Incomes'!KQ30)/('C1-Incomes'!$U30-'C1-Incomes'!$V30)*100</f>
        <v>2.6315087920195404</v>
      </c>
      <c r="BI27" s="456">
        <f>('C1-Incomes'!KQ30-'C1-Incomes'!KR30)/('C1-Incomes'!$V30-'C1-Incomes'!$W30)*100</f>
        <v>1.5490186789991236</v>
      </c>
      <c r="BJ27" s="456">
        <f>('C1-Incomes'!KR30-'C1-Incomes'!KS30)/('C1-Incomes'!$W30-'C1-Incomes'!$X30)*100</f>
        <v>0.56517947653282374</v>
      </c>
      <c r="BK27" s="456">
        <f>'C1-Incomes'!KS30/'C1-Incomes'!$X30*100</f>
        <v>0.11709144344048879</v>
      </c>
      <c r="BL27" s="456"/>
      <c r="BM27" s="456">
        <f>'F-B5'!AC56/'F-B5'!$AE56*100</f>
        <v>0.26416896562199327</v>
      </c>
      <c r="BN27" s="456">
        <f>'F-B6'!V56/'F-B6'!$X56*100</f>
        <v>0.18711568102012099</v>
      </c>
      <c r="BO27" s="456">
        <f>('C1-Incomes'!LL30-'C1-Incomes'!LM30)/('C1-Incomes'!$S30-'C1-Incomes'!$T30)*100</f>
        <v>0.35927666851221002</v>
      </c>
      <c r="BP27" s="456">
        <f>('C1-Incomes'!LM30-'C1-Incomes'!LN30)/('C1-Incomes'!$T30-'C1-Incomes'!$U30)*100</f>
        <v>0.62112007022273819</v>
      </c>
      <c r="BQ27" s="456">
        <f>('C1-Incomes'!LN30-'C1-Incomes'!LO30)/('C1-Incomes'!$U30-'C1-Incomes'!$V30)*100</f>
        <v>1.0356899247717866</v>
      </c>
      <c r="BR27" s="456">
        <f>('C1-Incomes'!LO30-'C1-Incomes'!LP30)/('C1-Incomes'!$V30-'C1-Incomes'!$W30)*100</f>
        <v>1.0879080684112954</v>
      </c>
      <c r="BS27" s="456">
        <f>('C1-Incomes'!LP30-'C1-Incomes'!LQ30)/('C1-Incomes'!$W30-'C1-Incomes'!$X30)*100</f>
        <v>1.1721749774667471</v>
      </c>
      <c r="BT27" s="456">
        <f>'C1-Incomes'!LQ30/'C1-Incomes'!$X30*100</f>
        <v>1.6753356001440591</v>
      </c>
      <c r="BV27" s="456">
        <f>'F-B5'!AB56/'F-B5'!$AE56*100</f>
        <v>4.4303137985391938</v>
      </c>
      <c r="BW27" s="456">
        <f>'F-B6'!U56/'F-B6'!$X56*100</f>
        <v>5.9562332859181017</v>
      </c>
      <c r="BX27" s="456">
        <f>('C1-Incomes'!KV30-'C1-Incomes'!KW30)/('C1-Incomes'!$S30-'C1-Incomes'!$T30)*100</f>
        <v>5.2918083220797847</v>
      </c>
      <c r="BY27" s="456">
        <f>('C1-Incomes'!KW30-'C1-Incomes'!KX30)/('C1-Incomes'!$T30-'C1-Incomes'!$U30)*100</f>
        <v>4.4112745246229901</v>
      </c>
      <c r="BZ27" s="456">
        <f>('C1-Incomes'!KX30-'C1-Incomes'!KY30)/('C1-Incomes'!$U30-'C1-Incomes'!$V30)*100</f>
        <v>3.3098341126457229</v>
      </c>
      <c r="CA27" s="456">
        <f>('C1-Incomes'!KY30-'C1-Incomes'!KZ30)/('C1-Incomes'!$V30-'C1-Incomes'!$W30)*100</f>
        <v>2.5962862137879577</v>
      </c>
      <c r="CB27" s="456">
        <f>('C1-Incomes'!KZ30-'C1-Incomes'!LA30)/('C1-Incomes'!$W30-'C1-Incomes'!$X30)*100</f>
        <v>2.0731781716786224</v>
      </c>
      <c r="CC27" s="456">
        <f>'C1-Incomes'!LA30/'C1-Incomes'!$X30*100</f>
        <v>1.8338219265153177</v>
      </c>
    </row>
    <row r="28" spans="1:81" s="452" customFormat="1" ht="12" x14ac:dyDescent="0.25">
      <c r="A28" s="239">
        <v>1983</v>
      </c>
      <c r="B28" s="456">
        <f t="shared" si="6"/>
        <v>16.075511780883495</v>
      </c>
      <c r="C28" s="456">
        <f t="shared" si="7"/>
        <v>28.706142549173251</v>
      </c>
      <c r="D28" s="456">
        <f t="shared" si="8"/>
        <v>30.979589580069252</v>
      </c>
      <c r="E28" s="456">
        <f t="shared" si="9"/>
        <v>31.866201313870999</v>
      </c>
      <c r="F28" s="456">
        <f t="shared" si="10"/>
        <v>32.620469797845224</v>
      </c>
      <c r="G28" s="456">
        <f t="shared" si="11"/>
        <v>34.066348166093313</v>
      </c>
      <c r="H28" s="456">
        <f t="shared" si="12"/>
        <v>37.341754528496061</v>
      </c>
      <c r="I28" s="456">
        <f t="shared" si="13"/>
        <v>40.142960988922219</v>
      </c>
      <c r="J28" s="456"/>
      <c r="K28" s="456">
        <f t="shared" si="14"/>
        <v>10.496606563896217</v>
      </c>
      <c r="L28" s="456">
        <f t="shared" si="15"/>
        <v>20.615902146565151</v>
      </c>
      <c r="M28" s="456">
        <f t="shared" si="16"/>
        <v>23.800820664361655</v>
      </c>
      <c r="N28" s="456">
        <f t="shared" si="17"/>
        <v>26.51818372504917</v>
      </c>
      <c r="O28" s="456">
        <f t="shared" si="18"/>
        <v>29.909965250359235</v>
      </c>
      <c r="P28" s="456">
        <f t="shared" si="19"/>
        <v>32.502068892869794</v>
      </c>
      <c r="Q28" s="456">
        <f t="shared" si="20"/>
        <v>36.747254818225322</v>
      </c>
      <c r="R28" s="456">
        <f t="shared" si="21"/>
        <v>40.024796502512288</v>
      </c>
      <c r="S28" s="456"/>
      <c r="T28" s="456">
        <f>'F-B5'!W57/'F-B5'!$AE57*100</f>
        <v>2.3163053670307998</v>
      </c>
      <c r="U28" s="456">
        <f>'F-B6'!P57/'F-B6'!$X57*100</f>
        <v>8.0387753859941853</v>
      </c>
      <c r="V28" s="456">
        <f>('C1-Incomes'!JH31-'C1-Incomes'!JI31)/('C1-Incomes'!$S31-'C1-Incomes'!$T31)*100</f>
        <v>10.967243471642002</v>
      </c>
      <c r="W28" s="456">
        <f>('C1-Incomes'!JI31-'C1-Incomes'!JJ31)/('C1-Incomes'!$T31-'C1-Incomes'!$U31)*100</f>
        <v>13.305764670209358</v>
      </c>
      <c r="X28" s="456">
        <f>('C1-Incomes'!JJ31-'C1-Incomes'!JK31)/('C1-Incomes'!$U31-'C1-Incomes'!$V31)*100</f>
        <v>16.392086997269139</v>
      </c>
      <c r="Y28" s="456">
        <f>('C1-Incomes'!JK31-'C1-Incomes'!JL31)/('C1-Incomes'!$V31-'C1-Incomes'!$W31)*100</f>
        <v>19.146338648747722</v>
      </c>
      <c r="Z28" s="456">
        <f>('C1-Incomes'!JL31-'C1-Incomes'!JM31)/('C1-Incomes'!$W31-'C1-Incomes'!$X31)*100</f>
        <v>22.759245738895064</v>
      </c>
      <c r="AA28" s="456">
        <f>'C1-Incomes'!JM31/'C1-Incomes'!$X31*100</f>
        <v>24.67897436932472</v>
      </c>
      <c r="AB28" s="458"/>
      <c r="AC28" s="456">
        <f>'F-B5'!X57/'F-B5'!$AE57*100</f>
        <v>0.50879110222300838</v>
      </c>
      <c r="AD28" s="456">
        <f>'F-B6'!Q57/'F-B6'!$X57*100</f>
        <v>1.7389689432738675</v>
      </c>
      <c r="AE28" s="456">
        <f>('C1-Incomes'!JP31-'C1-Incomes'!JQ31)/('C1-Incomes'!$S31-'C1-Incomes'!$T31)*100</f>
        <v>2.2905535649055331</v>
      </c>
      <c r="AF28" s="456">
        <f>('C1-Incomes'!JQ31-'C1-Incomes'!JR31)/('C1-Incomes'!$T31-'C1-Incomes'!$U31)*100</f>
        <v>2.6566780238445871</v>
      </c>
      <c r="AG28" s="456">
        <f>('C1-Incomes'!JR31-'C1-Incomes'!JS31)/('C1-Incomes'!$U31-'C1-Incomes'!$V31)*100</f>
        <v>3.0589917137453577</v>
      </c>
      <c r="AH28" s="456">
        <f>('C1-Incomes'!JS31-'C1-Incomes'!JT31)/('C1-Incomes'!$V31-'C1-Incomes'!$W31)*100</f>
        <v>3.242182787423928</v>
      </c>
      <c r="AI28" s="456">
        <f>('C1-Incomes'!JT31-'C1-Incomes'!JU31)/('C1-Incomes'!$W31-'C1-Incomes'!$X31)*100</f>
        <v>3.5582290838719146</v>
      </c>
      <c r="AJ28" s="456">
        <f>'C1-Incomes'!JU31/'C1-Incomes'!$X31*100</f>
        <v>3.8070373878704022</v>
      </c>
      <c r="AK28" s="458"/>
      <c r="AL28" s="456">
        <f>'F-B5'!Y57/'F-B5'!$AE57*100</f>
        <v>1.2743820897404685</v>
      </c>
      <c r="AM28" s="456">
        <f>'F-B6'!R57/'F-B6'!$X57*100</f>
        <v>1.9797927130829778</v>
      </c>
      <c r="AN28" s="456">
        <f>('C1-Incomes'!JX31-'C1-Incomes'!JY31)/('C1-Incomes'!$S31-'C1-Incomes'!$T31)*100</f>
        <v>2.0006195461331462</v>
      </c>
      <c r="AO28" s="456">
        <f>('C1-Incomes'!JY31-'C1-Incomes'!JZ31)/('C1-Incomes'!$T31-'C1-Incomes'!$U31)*100</f>
        <v>2.2632733422027216</v>
      </c>
      <c r="AP28" s="456">
        <f>('C1-Incomes'!JZ31-'C1-Incomes'!KA31)/('C1-Incomes'!$U31-'C1-Incomes'!$V31)*100</f>
        <v>2.7528927165949351</v>
      </c>
      <c r="AQ28" s="456">
        <f>('C1-Incomes'!KA31-'C1-Incomes'!KB31)/('C1-Incomes'!$V31-'C1-Incomes'!$W31)*100</f>
        <v>3.0873866977971272</v>
      </c>
      <c r="AR28" s="456">
        <f>('C1-Incomes'!KB31-'C1-Incomes'!KC31)/('C1-Incomes'!$W31-'C1-Incomes'!$X31)*100</f>
        <v>3.8084473546314905</v>
      </c>
      <c r="AS28" s="456">
        <f>'C1-Incomes'!KC31/'C1-Incomes'!$X31*100</f>
        <v>4.496327525595599</v>
      </c>
      <c r="AT28" s="458"/>
      <c r="AU28" s="456">
        <f>'F-B5'!Z57/'F-B5'!$AE57*100</f>
        <v>1.8703192784122893</v>
      </c>
      <c r="AV28" s="456">
        <f>'F-B6'!S57/'F-B6'!$X57*100</f>
        <v>2.757392303847332</v>
      </c>
      <c r="AW28" s="456">
        <f>('C1-Incomes'!KF31-'C1-Incomes'!KG31)/('C1-Incomes'!$S31-'C1-Incomes'!$T31)*100</f>
        <v>2.9647923651902617</v>
      </c>
      <c r="AX28" s="456">
        <f>('C1-Incomes'!KG31-'C1-Incomes'!KH31)/('C1-Incomes'!$T31-'C1-Incomes'!$U31)*100</f>
        <v>3.3316171670157289</v>
      </c>
      <c r="AY28" s="456">
        <f>('C1-Incomes'!KH31-'C1-Incomes'!KI31)/('C1-Incomes'!$U31-'C1-Incomes'!$V31)*100</f>
        <v>3.6149613431630092</v>
      </c>
      <c r="AZ28" s="456">
        <f>('C1-Incomes'!KI31-'C1-Incomes'!KJ31)/('C1-Incomes'!$V31-'C1-Incomes'!$W31)*100</f>
        <v>3.5638367988397652</v>
      </c>
      <c r="BA28" s="456">
        <f>('C1-Incomes'!KJ31-'C1-Incomes'!KK31)/('C1-Incomes'!$W31-'C1-Incomes'!$X31)*100</f>
        <v>3.6808600665666824</v>
      </c>
      <c r="BB28" s="456">
        <f>'C1-Incomes'!KK31/'C1-Incomes'!$X31*100</f>
        <v>4.0384619518829572</v>
      </c>
      <c r="BD28" s="456">
        <f>'F-B5'!AA57/'F-B5'!$AE57*100</f>
        <v>5.5789052169872786</v>
      </c>
      <c r="BE28" s="456">
        <f>'F-B6'!T57/'F-B6'!$X57*100</f>
        <v>8.0902404026080976</v>
      </c>
      <c r="BF28" s="456">
        <f>('C1-Incomes'!KN31-'C1-Incomes'!KO31)/('C1-Incomes'!$S31-'C1-Incomes'!$T31)*100</f>
        <v>7.1787689157075976</v>
      </c>
      <c r="BG28" s="456">
        <f>('C1-Incomes'!KO31-'C1-Incomes'!KP31)/('C1-Incomes'!$T31-'C1-Incomes'!$U31)*100</f>
        <v>5.3480175888218309</v>
      </c>
      <c r="BH28" s="456">
        <f>('C1-Incomes'!KP31-'C1-Incomes'!KQ31)/('C1-Incomes'!$U31-'C1-Incomes'!$V31)*100</f>
        <v>2.7105045474859883</v>
      </c>
      <c r="BI28" s="456">
        <f>('C1-Incomes'!KQ31-'C1-Incomes'!KR31)/('C1-Incomes'!$V31-'C1-Incomes'!$W31)*100</f>
        <v>1.5642792732235173</v>
      </c>
      <c r="BJ28" s="456">
        <f>('C1-Incomes'!KR31-'C1-Incomes'!KS31)/('C1-Incomes'!$W31-'C1-Incomes'!$X31)*100</f>
        <v>0.59449971027073911</v>
      </c>
      <c r="BK28" s="456">
        <f>'C1-Incomes'!KS31/'C1-Incomes'!$X31*100</f>
        <v>0.11816448640993332</v>
      </c>
      <c r="BL28" s="456"/>
      <c r="BM28" s="456">
        <f>'F-B5'!AC57/'F-B5'!$AE57*100</f>
        <v>0.20018209319321414</v>
      </c>
      <c r="BN28" s="456">
        <f>'F-B6'!V57/'F-B6'!$X57*100</f>
        <v>0.14127044211683729</v>
      </c>
      <c r="BO28" s="456">
        <f>('C1-Incomes'!LL31-'C1-Incomes'!LM31)/('C1-Incomes'!$S31-'C1-Incomes'!$T31)*100</f>
        <v>0.26989299929787774</v>
      </c>
      <c r="BP28" s="456">
        <f>('C1-Incomes'!LM31-'C1-Incomes'!LN31)/('C1-Incomes'!$T31-'C1-Incomes'!$U31)*100</f>
        <v>0.46619993421160821</v>
      </c>
      <c r="BQ28" s="456">
        <f>('C1-Incomes'!LN31-'C1-Incomes'!LO31)/('C1-Incomes'!$U31-'C1-Incomes'!$V31)*100</f>
        <v>0.77613837202504532</v>
      </c>
      <c r="BR28" s="456">
        <f>('C1-Incomes'!LO31-'C1-Incomes'!LP31)/('C1-Incomes'!$V31-'C1-Incomes'!$W31)*100</f>
        <v>0.82694942464592336</v>
      </c>
      <c r="BS28" s="456">
        <f>('C1-Incomes'!LP31-'C1-Incomes'!LQ31)/('C1-Incomes'!$W31-'C1-Incomes'!$X31)*100</f>
        <v>0.91429025971799527</v>
      </c>
      <c r="BT28" s="456">
        <f>'C1-Incomes'!LQ31/'C1-Incomes'!$X31*100</f>
        <v>1.2699913490161461</v>
      </c>
      <c r="BV28" s="456">
        <f>'F-B5'!AB57/'F-B5'!$AE57*100</f>
        <v>4.3266266332964367</v>
      </c>
      <c r="BW28" s="456">
        <f>'F-B6'!U57/'F-B6'!$X57*100</f>
        <v>5.9597023582499524</v>
      </c>
      <c r="BX28" s="456">
        <f>('C1-Incomes'!KV31-'C1-Incomes'!KW31)/('C1-Incomes'!$S31-'C1-Incomes'!$T31)*100</f>
        <v>5.3077187171928353</v>
      </c>
      <c r="BY28" s="456">
        <f>('C1-Incomes'!KW31-'C1-Incomes'!KX31)/('C1-Incomes'!$T31-'C1-Incomes'!$U31)*100</f>
        <v>4.4946505875651646</v>
      </c>
      <c r="BZ28" s="456">
        <f>('C1-Incomes'!KX31-'C1-Incomes'!KY31)/('C1-Incomes'!$U31-'C1-Incomes'!$V31)*100</f>
        <v>3.31489410756175</v>
      </c>
      <c r="CA28" s="456">
        <f>('C1-Incomes'!KY31-'C1-Incomes'!KZ31)/('C1-Incomes'!$V31-'C1-Incomes'!$W31)*100</f>
        <v>2.6353745354153246</v>
      </c>
      <c r="CB28" s="456">
        <f>('C1-Incomes'!KZ31-'C1-Incomes'!LA31)/('C1-Incomes'!$W31-'C1-Incomes'!$X31)*100</f>
        <v>2.0261823145421776</v>
      </c>
      <c r="CC28" s="456">
        <f>'C1-Incomes'!LA31/'C1-Incomes'!$X31*100</f>
        <v>1.7340039188224692</v>
      </c>
    </row>
    <row r="29" spans="1:81" s="452" customFormat="1" ht="12" x14ac:dyDescent="0.25">
      <c r="A29" s="239">
        <v>1984</v>
      </c>
      <c r="B29" s="456">
        <f t="shared" si="6"/>
        <v>17.045050074664182</v>
      </c>
      <c r="C29" s="456">
        <f t="shared" si="7"/>
        <v>28.648205757435964</v>
      </c>
      <c r="D29" s="456">
        <f t="shared" si="8"/>
        <v>30.381719620206713</v>
      </c>
      <c r="E29" s="456">
        <f t="shared" si="9"/>
        <v>30.760792357604917</v>
      </c>
      <c r="F29" s="456">
        <f t="shared" si="10"/>
        <v>31.441446169319779</v>
      </c>
      <c r="G29" s="456">
        <f t="shared" si="11"/>
        <v>32.348613272328379</v>
      </c>
      <c r="H29" s="456">
        <f t="shared" si="12"/>
        <v>35.926996517932594</v>
      </c>
      <c r="I29" s="456">
        <f t="shared" si="13"/>
        <v>39.588762430567051</v>
      </c>
      <c r="J29" s="456"/>
      <c r="K29" s="456">
        <f t="shared" si="14"/>
        <v>11.09111632805682</v>
      </c>
      <c r="L29" s="456">
        <f t="shared" si="15"/>
        <v>20.351488133976634</v>
      </c>
      <c r="M29" s="456">
        <f t="shared" si="16"/>
        <v>23.330780065024452</v>
      </c>
      <c r="N29" s="456">
        <f t="shared" si="17"/>
        <v>25.59535620054459</v>
      </c>
      <c r="O29" s="456">
        <f t="shared" si="18"/>
        <v>28.893933153722159</v>
      </c>
      <c r="P29" s="456">
        <f t="shared" si="19"/>
        <v>30.882049374481756</v>
      </c>
      <c r="Q29" s="456">
        <f t="shared" si="20"/>
        <v>35.386816051564793</v>
      </c>
      <c r="R29" s="456">
        <f t="shared" si="21"/>
        <v>39.477851578142385</v>
      </c>
      <c r="S29" s="456"/>
      <c r="T29" s="456">
        <f>'F-B5'!W58/'F-B5'!$AE58*100</f>
        <v>2.3508394674595925</v>
      </c>
      <c r="U29" s="456">
        <f>'F-B6'!P58/'F-B6'!$X58*100</f>
        <v>7.4232269019205672</v>
      </c>
      <c r="V29" s="456">
        <f>('C1-Incomes'!JH32-'C1-Incomes'!JI32)/('C1-Incomes'!$S32-'C1-Incomes'!$T32)*100</f>
        <v>10.154365327200749</v>
      </c>
      <c r="W29" s="456">
        <f>('C1-Incomes'!JI32-'C1-Incomes'!JJ32)/('C1-Incomes'!$T32-'C1-Incomes'!$U32)*100</f>
        <v>12.340160671822803</v>
      </c>
      <c r="X29" s="456">
        <f>('C1-Incomes'!JJ32-'C1-Incomes'!JK32)/('C1-Incomes'!$U32-'C1-Incomes'!$V32)*100</f>
        <v>15.468630111959788</v>
      </c>
      <c r="Y29" s="456">
        <f>('C1-Incomes'!JK32-'C1-Incomes'!JL32)/('C1-Incomes'!$V32-'C1-Incomes'!$W32)*100</f>
        <v>18.030718107444315</v>
      </c>
      <c r="Z29" s="456">
        <f>('C1-Incomes'!JL32-'C1-Incomes'!JM32)/('C1-Incomes'!$W32-'C1-Incomes'!$X32)*100</f>
        <v>21.316636189668809</v>
      </c>
      <c r="AA29" s="456">
        <f>'C1-Incomes'!JM32/'C1-Incomes'!$X32*100</f>
        <v>24.823509808222322</v>
      </c>
      <c r="AB29" s="458"/>
      <c r="AC29" s="456">
        <f>'F-B5'!X58/'F-B5'!$AE58*100</f>
        <v>0.55701716703607251</v>
      </c>
      <c r="AD29" s="456">
        <f>'F-B6'!Q58/'F-B6'!$X58*100</f>
        <v>1.7735056476995172</v>
      </c>
      <c r="AE29" s="456">
        <f>('C1-Incomes'!JP32-'C1-Incomes'!JQ32)/('C1-Incomes'!$S32-'C1-Incomes'!$T32)*100</f>
        <v>2.3578886838955659</v>
      </c>
      <c r="AF29" s="456">
        <f>('C1-Incomes'!JQ32-'C1-Incomes'!JR32)/('C1-Incomes'!$T32-'C1-Incomes'!$U32)*100</f>
        <v>2.673551307778844</v>
      </c>
      <c r="AG29" s="456">
        <f>('C1-Incomes'!JR32-'C1-Incomes'!JS32)/('C1-Incomes'!$U32-'C1-Incomes'!$V32)*100</f>
        <v>3.0735270997563489</v>
      </c>
      <c r="AH29" s="456">
        <f>('C1-Incomes'!JS32-'C1-Incomes'!JT32)/('C1-Incomes'!$V32-'C1-Incomes'!$W32)*100</f>
        <v>3.3248374265502201</v>
      </c>
      <c r="AI29" s="456">
        <f>('C1-Incomes'!JT32-'C1-Incomes'!JU32)/('C1-Incomes'!$W32-'C1-Incomes'!$X32)*100</f>
        <v>4.22368015327788</v>
      </c>
      <c r="AJ29" s="456">
        <f>'C1-Incomes'!JU32/'C1-Incomes'!$X32*100</f>
        <v>4.0200170021490695</v>
      </c>
      <c r="AK29" s="458"/>
      <c r="AL29" s="456">
        <f>'F-B5'!Y58/'F-B5'!$AE58*100</f>
        <v>1.4842820313840877</v>
      </c>
      <c r="AM29" s="456">
        <f>'F-B6'!R58/'F-B6'!$X58*100</f>
        <v>2.2288157474837007</v>
      </c>
      <c r="AN29" s="456">
        <f>('C1-Incomes'!JX32-'C1-Incomes'!JY32)/('C1-Incomes'!$S32-'C1-Incomes'!$T32)*100</f>
        <v>2.2168663586307313</v>
      </c>
      <c r="AO29" s="456">
        <f>('C1-Incomes'!JY32-'C1-Incomes'!JZ32)/('C1-Incomes'!$T32-'C1-Incomes'!$U32)*100</f>
        <v>2.3655329727620242</v>
      </c>
      <c r="AP29" s="456">
        <f>('C1-Incomes'!JZ32-'C1-Incomes'!KA32)/('C1-Incomes'!$U32-'C1-Incomes'!$V32)*100</f>
        <v>2.8936673984978345</v>
      </c>
      <c r="AQ29" s="456">
        <f>('C1-Incomes'!KA32-'C1-Incomes'!KB32)/('C1-Incomes'!$V32-'C1-Incomes'!$W32)*100</f>
        <v>2.9568083721625613</v>
      </c>
      <c r="AR29" s="456">
        <f>('C1-Incomes'!KB32-'C1-Incomes'!KC32)/('C1-Incomes'!$W32-'C1-Incomes'!$X32)*100</f>
        <v>3.5327739782739238</v>
      </c>
      <c r="AS29" s="456">
        <f>'C1-Incomes'!KC32/'C1-Incomes'!$X32*100</f>
        <v>4.0784016076419016</v>
      </c>
      <c r="AT29" s="458"/>
      <c r="AU29" s="456">
        <f>'F-B5'!Z58/'F-B5'!$AE58*100</f>
        <v>1.9269380002521808</v>
      </c>
      <c r="AV29" s="456">
        <f>'F-B6'!S58/'F-B6'!$X58*100</f>
        <v>2.6828617227322327</v>
      </c>
      <c r="AW29" s="456">
        <f>('C1-Incomes'!KF32-'C1-Incomes'!KG32)/('C1-Incomes'!$S32-'C1-Incomes'!$T32)*100</f>
        <v>2.8181991873019783</v>
      </c>
      <c r="AX29" s="456">
        <f>('C1-Incomes'!KG32-'C1-Incomes'!KH32)/('C1-Incomes'!$T32-'C1-Incomes'!$U32)*100</f>
        <v>3.1851415146267779</v>
      </c>
      <c r="AY29" s="456">
        <f>('C1-Incomes'!KH32-'C1-Incomes'!KI32)/('C1-Incomes'!$U32-'C1-Incomes'!$V32)*100</f>
        <v>3.3540634269963574</v>
      </c>
      <c r="AZ29" s="456">
        <f>('C1-Incomes'!KI32-'C1-Incomes'!KJ32)/('C1-Incomes'!$V32-'C1-Incomes'!$W32)*100</f>
        <v>3.1705961680539496</v>
      </c>
      <c r="BA29" s="456">
        <f>('C1-Incomes'!KJ32-'C1-Incomes'!KK32)/('C1-Incomes'!$W32-'C1-Incomes'!$X32)*100</f>
        <v>3.3309349985086194</v>
      </c>
      <c r="BB29" s="456">
        <f>'C1-Incomes'!KK32/'C1-Incomes'!$X32*100</f>
        <v>3.7158981609378419</v>
      </c>
      <c r="BD29" s="456">
        <f>'F-B5'!AA58/'F-B5'!$AE58*100</f>
        <v>5.953933746607361</v>
      </c>
      <c r="BE29" s="456">
        <f>'F-B6'!T58/'F-B6'!$X58*100</f>
        <v>8.2967176234593314</v>
      </c>
      <c r="BF29" s="456">
        <f>('C1-Incomes'!KN32-'C1-Incomes'!KO32)/('C1-Incomes'!$S32-'C1-Incomes'!$T32)*100</f>
        <v>7.050939555182258</v>
      </c>
      <c r="BG29" s="456">
        <f>('C1-Incomes'!KO32-'C1-Incomes'!KP32)/('C1-Incomes'!$T32-'C1-Incomes'!$U32)*100</f>
        <v>5.1654361570603289</v>
      </c>
      <c r="BH29" s="456">
        <f>('C1-Incomes'!KP32-'C1-Incomes'!KQ32)/('C1-Incomes'!$U32-'C1-Incomes'!$V32)*100</f>
        <v>2.5475130155976182</v>
      </c>
      <c r="BI29" s="456">
        <f>('C1-Incomes'!KQ32-'C1-Incomes'!KR32)/('C1-Incomes'!$V32-'C1-Incomes'!$W32)*100</f>
        <v>1.4665638978466238</v>
      </c>
      <c r="BJ29" s="456">
        <f>('C1-Incomes'!KR32-'C1-Incomes'!KS32)/('C1-Incomes'!$W32-'C1-Incomes'!$X32)*100</f>
        <v>0.54018046636780093</v>
      </c>
      <c r="BK29" s="456">
        <f>'C1-Incomes'!KS32/'C1-Incomes'!$X32*100</f>
        <v>0.11091085242466352</v>
      </c>
      <c r="BL29" s="456"/>
      <c r="BM29" s="456">
        <f>'F-B5'!AC58/'F-B5'!$AE58*100</f>
        <v>0.1839228207413795</v>
      </c>
      <c r="BN29" s="456">
        <f>'F-B6'!V58/'F-B6'!$X58*100</f>
        <v>0.12785836164868572</v>
      </c>
      <c r="BO29" s="456">
        <f>('C1-Incomes'!LL32-'C1-Incomes'!LM32)/('C1-Incomes'!$S32-'C1-Incomes'!$T32)*100</f>
        <v>0.24226387098409452</v>
      </c>
      <c r="BP29" s="456">
        <f>('C1-Incomes'!LM32-'C1-Incomes'!LN32)/('C1-Incomes'!$T32-'C1-Incomes'!$U32)*100</f>
        <v>0.41547265924809923</v>
      </c>
      <c r="BQ29" s="456">
        <f>('C1-Incomes'!LN32-'C1-Incomes'!LO32)/('C1-Incomes'!$U32-'C1-Incomes'!$V32)*100</f>
        <v>0.68813556982251012</v>
      </c>
      <c r="BR29" s="456">
        <f>('C1-Incomes'!LO32-'C1-Incomes'!LP32)/('C1-Incomes'!$V32-'C1-Incomes'!$W32)*100</f>
        <v>0.73274951641076003</v>
      </c>
      <c r="BS29" s="456">
        <f>('C1-Incomes'!LP32-'C1-Incomes'!LQ32)/('C1-Incomes'!$W32-'C1-Incomes'!$X32)*100</f>
        <v>0.791670963273998</v>
      </c>
      <c r="BT29" s="456">
        <f>'C1-Incomes'!LQ32/'C1-Incomes'!$X32*100</f>
        <v>1.0667070274153181</v>
      </c>
      <c r="BV29" s="456">
        <f>'F-B5'!AB58/'F-B5'!$AE58*100</f>
        <v>4.5881168411835089</v>
      </c>
      <c r="BW29" s="456">
        <f>'F-B6'!U58/'F-B6'!$X58*100</f>
        <v>6.1152197524919325</v>
      </c>
      <c r="BX29" s="456">
        <f>('C1-Incomes'!KV32-'C1-Incomes'!KW32)/('C1-Incomes'!$S32-'C1-Incomes'!$T32)*100</f>
        <v>5.5411966370113372</v>
      </c>
      <c r="BY29" s="456">
        <f>('C1-Incomes'!KW32-'C1-Incomes'!KX32)/('C1-Incomes'!$T32-'C1-Incomes'!$U32)*100</f>
        <v>4.6154970743060399</v>
      </c>
      <c r="BZ29" s="456">
        <f>('C1-Incomes'!KX32-'C1-Incomes'!KY32)/('C1-Incomes'!$U32-'C1-Incomes'!$V32)*100</f>
        <v>3.4159095466893192</v>
      </c>
      <c r="CA29" s="456">
        <f>('C1-Incomes'!KY32-'C1-Incomes'!KZ32)/('C1-Incomes'!$V32-'C1-Incomes'!$W32)*100</f>
        <v>2.6663397838599447</v>
      </c>
      <c r="CB29" s="456">
        <f>('C1-Incomes'!KZ32-'C1-Incomes'!LA32)/('C1-Incomes'!$W32-'C1-Incomes'!$X32)*100</f>
        <v>2.1911197685615647</v>
      </c>
      <c r="CC29" s="456">
        <f>'C1-Incomes'!LA32/'C1-Incomes'!$X32*100</f>
        <v>1.773317971775928</v>
      </c>
    </row>
    <row r="30" spans="1:81" s="452" customFormat="1" ht="12" x14ac:dyDescent="0.25">
      <c r="A30" s="239">
        <v>1985</v>
      </c>
      <c r="B30" s="456">
        <f t="shared" si="6"/>
        <v>17.241479860814522</v>
      </c>
      <c r="C30" s="456">
        <f t="shared" si="7"/>
        <v>28.858023651757467</v>
      </c>
      <c r="D30" s="456">
        <f t="shared" si="8"/>
        <v>30.714165843978961</v>
      </c>
      <c r="E30" s="456">
        <f t="shared" si="9"/>
        <v>31.554633982915295</v>
      </c>
      <c r="F30" s="456">
        <f t="shared" si="10"/>
        <v>32.692024384567446</v>
      </c>
      <c r="G30" s="456">
        <f t="shared" si="11"/>
        <v>34.025656102645904</v>
      </c>
      <c r="H30" s="456">
        <f t="shared" si="12"/>
        <v>38.301112418902527</v>
      </c>
      <c r="I30" s="456">
        <f t="shared" si="13"/>
        <v>42.244857731871988</v>
      </c>
      <c r="J30" s="456"/>
      <c r="K30" s="456">
        <f t="shared" si="14"/>
        <v>10.957104408326533</v>
      </c>
      <c r="L30" s="456">
        <f t="shared" si="15"/>
        <v>20.432411296600414</v>
      </c>
      <c r="M30" s="456">
        <f t="shared" si="16"/>
        <v>23.660298150861713</v>
      </c>
      <c r="N30" s="456">
        <f t="shared" si="17"/>
        <v>26.32640274642231</v>
      </c>
      <c r="O30" s="456">
        <f t="shared" si="18"/>
        <v>29.946838903059703</v>
      </c>
      <c r="P30" s="456">
        <f t="shared" si="19"/>
        <v>32.516238743130785</v>
      </c>
      <c r="Q30" s="456">
        <f t="shared" si="20"/>
        <v>37.73122867355611</v>
      </c>
      <c r="R30" s="456">
        <f t="shared" si="21"/>
        <v>42.143302426503865</v>
      </c>
      <c r="S30" s="456"/>
      <c r="T30" s="456">
        <f>'F-B5'!W59/'F-B5'!$AE59*100</f>
        <v>2.4107709071933838</v>
      </c>
      <c r="U30" s="456">
        <f>'F-B6'!P59/'F-B6'!$X59*100</f>
        <v>7.5941246395133026</v>
      </c>
      <c r="V30" s="456">
        <f>('C1-Incomes'!JH33-'C1-Incomes'!JI33)/('C1-Incomes'!$S33-'C1-Incomes'!$T33)*100</f>
        <v>10.599626935007766</v>
      </c>
      <c r="W30" s="456">
        <f>('C1-Incomes'!JI33-'C1-Incomes'!JJ33)/('C1-Incomes'!$T33-'C1-Incomes'!$U33)*100</f>
        <v>12.988122575258135</v>
      </c>
      <c r="X30" s="456">
        <f>('C1-Incomes'!JJ33-'C1-Incomes'!JK33)/('C1-Incomes'!$U33-'C1-Incomes'!$V33)*100</f>
        <v>16.711909205638513</v>
      </c>
      <c r="Y30" s="456">
        <f>('C1-Incomes'!JK33-'C1-Incomes'!JL33)/('C1-Incomes'!$V33-'C1-Incomes'!$W33)*100</f>
        <v>19.175982453791775</v>
      </c>
      <c r="Z30" s="456">
        <f>('C1-Incomes'!JL33-'C1-Incomes'!JM33)/('C1-Incomes'!$W33-'C1-Incomes'!$X33)*100</f>
        <v>23.540231379591283</v>
      </c>
      <c r="AA30" s="456">
        <f>'C1-Incomes'!JM33/'C1-Incomes'!$X33*100</f>
        <v>26.438460352998572</v>
      </c>
      <c r="AB30" s="458"/>
      <c r="AC30" s="456">
        <f>'F-B5'!X59/'F-B5'!$AE59*100</f>
        <v>0.45525544492759884</v>
      </c>
      <c r="AD30" s="456">
        <f>'F-B6'!Q59/'F-B6'!$X59*100</f>
        <v>1.7083630310870326</v>
      </c>
      <c r="AE30" s="456">
        <f>('C1-Incomes'!JP33-'C1-Incomes'!JQ33)/('C1-Incomes'!$S33-'C1-Incomes'!$T33)*100</f>
        <v>2.4115428226559148</v>
      </c>
      <c r="AF30" s="456">
        <f>('C1-Incomes'!JQ33-'C1-Incomes'!JR33)/('C1-Incomes'!$T33-'C1-Incomes'!$U33)*100</f>
        <v>2.8513550675377379</v>
      </c>
      <c r="AG30" s="456">
        <f>('C1-Incomes'!JR33-'C1-Incomes'!JS33)/('C1-Incomes'!$U33-'C1-Incomes'!$V33)*100</f>
        <v>3.2524557568669716</v>
      </c>
      <c r="AH30" s="456">
        <f>('C1-Incomes'!JS33-'C1-Incomes'!JT33)/('C1-Incomes'!$V33-'C1-Incomes'!$W33)*100</f>
        <v>3.6862641234089404</v>
      </c>
      <c r="AI30" s="456">
        <f>('C1-Incomes'!JT33-'C1-Incomes'!JU33)/('C1-Incomes'!$W33-'C1-Incomes'!$X33)*100</f>
        <v>4.568240284696147</v>
      </c>
      <c r="AJ30" s="456">
        <f>'C1-Incomes'!JU33/'C1-Incomes'!$X33*100</f>
        <v>4.6999906686569455</v>
      </c>
      <c r="AK30" s="458"/>
      <c r="AL30" s="456">
        <f>'F-B5'!Y59/'F-B5'!$AE59*100</f>
        <v>1.3435043099156303</v>
      </c>
      <c r="AM30" s="456">
        <f>'F-B6'!R59/'F-B6'!$X59*100</f>
        <v>2.1064517187920409</v>
      </c>
      <c r="AN30" s="456">
        <f>('C1-Incomes'!JX33-'C1-Incomes'!JY33)/('C1-Incomes'!$S33-'C1-Incomes'!$T33)*100</f>
        <v>2.0832487068357226</v>
      </c>
      <c r="AO30" s="456">
        <f>('C1-Incomes'!JY33-'C1-Incomes'!JZ33)/('C1-Incomes'!$T33-'C1-Incomes'!$U33)*100</f>
        <v>2.248263623810685</v>
      </c>
      <c r="AP30" s="456">
        <f>('C1-Incomes'!JZ33-'C1-Incomes'!KA33)/('C1-Incomes'!$U33-'C1-Incomes'!$V33)*100</f>
        <v>2.5008009121126529</v>
      </c>
      <c r="AQ30" s="456">
        <f>('C1-Incomes'!KA33-'C1-Incomes'!KB33)/('C1-Incomes'!$V33-'C1-Incomes'!$W33)*100</f>
        <v>2.8667262684917079</v>
      </c>
      <c r="AR30" s="456">
        <f>('C1-Incomes'!KB33-'C1-Incomes'!KC33)/('C1-Incomes'!$W33-'C1-Incomes'!$X33)*100</f>
        <v>3.28645300018266</v>
      </c>
      <c r="AS30" s="456">
        <f>'C1-Incomes'!KC33/'C1-Incomes'!$X33*100</f>
        <v>4.1139382589892852</v>
      </c>
      <c r="AT30" s="458"/>
      <c r="AU30" s="456">
        <f>'F-B5'!Z59/'F-B5'!$AE59*100</f>
        <v>1.9186765859515311</v>
      </c>
      <c r="AV30" s="456">
        <f>'F-B6'!S59/'F-B6'!$X59*100</f>
        <v>2.7243400161711571</v>
      </c>
      <c r="AW30" s="456">
        <f>('C1-Incomes'!KF33-'C1-Incomes'!KG33)/('C1-Incomes'!$S33-'C1-Incomes'!$T33)*100</f>
        <v>2.8205875105451916</v>
      </c>
      <c r="AX30" s="456">
        <f>('C1-Incomes'!KG33-'C1-Incomes'!KH33)/('C1-Incomes'!$T33-'C1-Incomes'!$U33)*100</f>
        <v>3.1681002998290921</v>
      </c>
      <c r="AY30" s="456">
        <f>('C1-Incomes'!KH33-'C1-Incomes'!KI33)/('C1-Incomes'!$U33-'C1-Incomes'!$V33)*100</f>
        <v>3.3542048463865339</v>
      </c>
      <c r="AZ30" s="456">
        <f>('C1-Incomes'!KI33-'C1-Incomes'!KJ33)/('C1-Incomes'!$V33-'C1-Incomes'!$W33)*100</f>
        <v>3.3936886940748563</v>
      </c>
      <c r="BA30" s="456">
        <f>('C1-Incomes'!KJ33-'C1-Incomes'!KK33)/('C1-Incomes'!$W33-'C1-Incomes'!$X33)*100</f>
        <v>3.3548814611703568</v>
      </c>
      <c r="BB30" s="456">
        <f>'C1-Incomes'!KK33/'C1-Incomes'!$X33*100</f>
        <v>3.9162813371373582</v>
      </c>
      <c r="BD30" s="456">
        <f>'F-B5'!AA59/'F-B5'!$AE59*100</f>
        <v>6.2843754524879909</v>
      </c>
      <c r="BE30" s="456">
        <f>'F-B6'!T59/'F-B6'!$X59*100</f>
        <v>8.4256123551570496</v>
      </c>
      <c r="BF30" s="456">
        <f>('C1-Incomes'!KN33-'C1-Incomes'!KO33)/('C1-Incomes'!$S33-'C1-Incomes'!$T33)*100</f>
        <v>7.0538676931172457</v>
      </c>
      <c r="BG30" s="456">
        <f>('C1-Incomes'!KO33-'C1-Incomes'!KP33)/('C1-Incomes'!$T33-'C1-Incomes'!$U33)*100</f>
        <v>5.2282312364929853</v>
      </c>
      <c r="BH30" s="456">
        <f>('C1-Incomes'!KP33-'C1-Incomes'!KQ33)/('C1-Incomes'!$U33-'C1-Incomes'!$V33)*100</f>
        <v>2.7451854815077428</v>
      </c>
      <c r="BI30" s="456">
        <f>('C1-Incomes'!KQ33-'C1-Incomes'!KR33)/('C1-Incomes'!$V33-'C1-Incomes'!$W33)*100</f>
        <v>1.5094173595151104</v>
      </c>
      <c r="BJ30" s="456">
        <f>('C1-Incomes'!KR33-'C1-Incomes'!KS33)/('C1-Incomes'!$W33-'C1-Incomes'!$X33)*100</f>
        <v>0.5698837453464185</v>
      </c>
      <c r="BK30" s="456">
        <f>'C1-Incomes'!KS33/'C1-Incomes'!$X33*100</f>
        <v>0.10155530536812207</v>
      </c>
      <c r="BL30" s="456"/>
      <c r="BM30" s="456">
        <f>'F-B5'!AC59/'F-B5'!$AE59*100</f>
        <v>0.18036579423082391</v>
      </c>
      <c r="BN30" s="456">
        <f>'F-B6'!V59/'F-B6'!$X59*100</f>
        <v>0.12580279567879379</v>
      </c>
      <c r="BO30" s="456">
        <f>('C1-Incomes'!LL33-'C1-Incomes'!LM33)/('C1-Incomes'!$S33-'C1-Incomes'!$T33)*100</f>
        <v>0.23819430319700535</v>
      </c>
      <c r="BP30" s="456">
        <f>('C1-Incomes'!LM33-'C1-Incomes'!LN33)/('C1-Incomes'!$T33-'C1-Incomes'!$U33)*100</f>
        <v>0.4113290906849576</v>
      </c>
      <c r="BQ30" s="456">
        <f>('C1-Incomes'!LN33-'C1-Incomes'!LO33)/('C1-Incomes'!$U33-'C1-Incomes'!$V33)*100</f>
        <v>0.69278630968206989</v>
      </c>
      <c r="BR30" s="456">
        <f>('C1-Incomes'!LO33-'C1-Incomes'!LP33)/('C1-Incomes'!$V33-'C1-Incomes'!$W33)*100</f>
        <v>0.74525995820767521</v>
      </c>
      <c r="BS30" s="456">
        <f>('C1-Incomes'!LP33-'C1-Incomes'!LQ33)/('C1-Incomes'!$W33-'C1-Incomes'!$X33)*100</f>
        <v>0.85528998802038947</v>
      </c>
      <c r="BT30" s="456">
        <f>'C1-Incomes'!LQ33/'C1-Incomes'!$X33*100</f>
        <v>1.0785695296569209</v>
      </c>
      <c r="BV30" s="456">
        <f>'F-B5'!AB59/'F-B5'!$AE59*100</f>
        <v>4.648531366107564</v>
      </c>
      <c r="BW30" s="456">
        <f>'F-B6'!U59/'F-B6'!$X59*100</f>
        <v>6.1733290953580875</v>
      </c>
      <c r="BX30" s="456">
        <f>('C1-Incomes'!KV33-'C1-Incomes'!KW33)/('C1-Incomes'!$S33-'C1-Incomes'!$T33)*100</f>
        <v>5.5070978726201165</v>
      </c>
      <c r="BY30" s="456">
        <f>('C1-Incomes'!KW33-'C1-Incomes'!KX33)/('C1-Incomes'!$T33-'C1-Incomes'!$U33)*100</f>
        <v>4.6592320893016987</v>
      </c>
      <c r="BZ30" s="456">
        <f>('C1-Incomes'!KX33-'C1-Incomes'!KY33)/('C1-Incomes'!$U33-'C1-Incomes'!$V33)*100</f>
        <v>3.4346818723729617</v>
      </c>
      <c r="CA30" s="456">
        <f>('C1-Incomes'!KY33-'C1-Incomes'!KZ33)/('C1-Incomes'!$V33-'C1-Incomes'!$W33)*100</f>
        <v>2.6483172451558339</v>
      </c>
      <c r="CB30" s="456">
        <f>('C1-Incomes'!KZ33-'C1-Incomes'!LA33)/('C1-Incomes'!$W33-'C1-Incomes'!$X33)*100</f>
        <v>2.1261325598952783</v>
      </c>
      <c r="CC30" s="456">
        <f>'C1-Incomes'!LA33/'C1-Incomes'!$X33*100</f>
        <v>1.8960622790647912</v>
      </c>
    </row>
    <row r="31" spans="1:81" s="452" customFormat="1" ht="12" x14ac:dyDescent="0.25">
      <c r="A31" s="239">
        <v>1986</v>
      </c>
      <c r="B31" s="456">
        <f t="shared" si="6"/>
        <v>17.103696920723081</v>
      </c>
      <c r="C31" s="456">
        <f t="shared" si="7"/>
        <v>28.721531560488611</v>
      </c>
      <c r="D31" s="456">
        <f t="shared" si="8"/>
        <v>30.987698786399825</v>
      </c>
      <c r="E31" s="456">
        <f t="shared" si="9"/>
        <v>32.413182059383807</v>
      </c>
      <c r="F31" s="456">
        <f t="shared" si="10"/>
        <v>34.704998015174311</v>
      </c>
      <c r="G31" s="456">
        <f t="shared" si="11"/>
        <v>37.178320522064695</v>
      </c>
      <c r="H31" s="456">
        <f t="shared" si="12"/>
        <v>45.523869613172991</v>
      </c>
      <c r="I31" s="456">
        <f t="shared" si="13"/>
        <v>49.677497798844989</v>
      </c>
      <c r="J31" s="456"/>
      <c r="K31" s="456">
        <f t="shared" si="14"/>
        <v>10.830687031214813</v>
      </c>
      <c r="L31" s="456">
        <f t="shared" si="15"/>
        <v>20.118559595254148</v>
      </c>
      <c r="M31" s="456">
        <f t="shared" si="16"/>
        <v>23.374890347458155</v>
      </c>
      <c r="N31" s="456">
        <f t="shared" si="17"/>
        <v>26.764972878183116</v>
      </c>
      <c r="O31" s="456">
        <f t="shared" si="18"/>
        <v>31.740542042997536</v>
      </c>
      <c r="P31" s="456">
        <f t="shared" si="19"/>
        <v>35.430263453959512</v>
      </c>
      <c r="Q31" s="456">
        <f t="shared" si="20"/>
        <v>44.983072825018809</v>
      </c>
      <c r="R31" s="456">
        <f t="shared" si="21"/>
        <v>49.546229634929013</v>
      </c>
      <c r="S31" s="456"/>
      <c r="T31" s="456">
        <f>'F-B5'!W60/'F-B5'!$AE60*100</f>
        <v>2.2527551535668517</v>
      </c>
      <c r="U31" s="456">
        <f>'F-B6'!P60/'F-B6'!$X60*100</f>
        <v>7.1927896828183648</v>
      </c>
      <c r="V31" s="456">
        <f>('C1-Incomes'!JH34-'C1-Incomes'!JI34)/('C1-Incomes'!$S34-'C1-Incomes'!$T34)*100</f>
        <v>10.139933861374288</v>
      </c>
      <c r="W31" s="456">
        <f>('C1-Incomes'!JI34-'C1-Incomes'!JJ34)/('C1-Incomes'!$T34-'C1-Incomes'!$U34)*100</f>
        <v>13.144864821344521</v>
      </c>
      <c r="X31" s="456">
        <f>('C1-Incomes'!JJ34-'C1-Incomes'!JK34)/('C1-Incomes'!$U34-'C1-Incomes'!$V34)*100</f>
        <v>17.701232327731155</v>
      </c>
      <c r="Y31" s="456">
        <f>('C1-Incomes'!JK34-'C1-Incomes'!JL34)/('C1-Incomes'!$V34-'C1-Incomes'!$W34)*100</f>
        <v>21.549655419184848</v>
      </c>
      <c r="Z31" s="456">
        <f>('C1-Incomes'!JL34-'C1-Incomes'!JM34)/('C1-Incomes'!$W34-'C1-Incomes'!$X34)*100</f>
        <v>28.499008722770604</v>
      </c>
      <c r="AA31" s="456">
        <f>'C1-Incomes'!JM34/'C1-Incomes'!$X34*100</f>
        <v>32.86912918228974</v>
      </c>
      <c r="AB31" s="458"/>
      <c r="AC31" s="456">
        <f>'F-B5'!X60/'F-B5'!$AE60*100</f>
        <v>0.44629700321597843</v>
      </c>
      <c r="AD31" s="456">
        <f>'F-B6'!Q60/'F-B6'!$X60*100</f>
        <v>1.6962990388923147</v>
      </c>
      <c r="AE31" s="456">
        <f>('C1-Incomes'!JP34-'C1-Incomes'!JQ34)/('C1-Incomes'!$S34-'C1-Incomes'!$T34)*100</f>
        <v>2.4406704896134288</v>
      </c>
      <c r="AF31" s="456">
        <f>('C1-Incomes'!JQ34-'C1-Incomes'!JR34)/('C1-Incomes'!$T34-'C1-Incomes'!$U34)*100</f>
        <v>2.9465778591155933</v>
      </c>
      <c r="AG31" s="456">
        <f>('C1-Incomes'!JR34-'C1-Incomes'!JS34)/('C1-Incomes'!$U34-'C1-Incomes'!$V34)*100</f>
        <v>3.5614316781067918</v>
      </c>
      <c r="AH31" s="456">
        <f>('C1-Incomes'!JS34-'C1-Incomes'!JT34)/('C1-Incomes'!$V34-'C1-Incomes'!$W34)*100</f>
        <v>3.8902604398820455</v>
      </c>
      <c r="AI31" s="456">
        <f>('C1-Incomes'!JT34-'C1-Incomes'!JU34)/('C1-Incomes'!$W34-'C1-Incomes'!$X34)*100</f>
        <v>5.7219682591212591</v>
      </c>
      <c r="AJ31" s="456">
        <f>'C1-Incomes'!JU34/'C1-Incomes'!$X34*100</f>
        <v>5.7242901102845325</v>
      </c>
      <c r="AK31" s="458"/>
      <c r="AL31" s="456">
        <f>'F-B5'!Y60/'F-B5'!$AE60*100</f>
        <v>1.4177773809236274</v>
      </c>
      <c r="AM31" s="456">
        <f>'F-B6'!R60/'F-B6'!$X60*100</f>
        <v>2.2682054777744565</v>
      </c>
      <c r="AN31" s="456">
        <f>('C1-Incomes'!JX34-'C1-Incomes'!JY34)/('C1-Incomes'!$S34-'C1-Incomes'!$T34)*100</f>
        <v>2.218602642232157</v>
      </c>
      <c r="AO31" s="456">
        <f>('C1-Incomes'!JY34-'C1-Incomes'!JZ34)/('C1-Incomes'!$T34-'C1-Incomes'!$U34)*100</f>
        <v>2.4132274354495853</v>
      </c>
      <c r="AP31" s="456">
        <f>('C1-Incomes'!JZ34-'C1-Incomes'!KA34)/('C1-Incomes'!$U34-'C1-Incomes'!$V34)*100</f>
        <v>2.8370387739437963</v>
      </c>
      <c r="AQ31" s="456">
        <f>('C1-Incomes'!KA34-'C1-Incomes'!KB34)/('C1-Incomes'!$V34-'C1-Incomes'!$W34)*100</f>
        <v>3.0143826255688237</v>
      </c>
      <c r="AR31" s="456">
        <f>('C1-Incomes'!KB34-'C1-Incomes'!KC34)/('C1-Incomes'!$W34-'C1-Incomes'!$X34)*100</f>
        <v>4.2791625818779337</v>
      </c>
      <c r="AS31" s="456">
        <f>'C1-Incomes'!KC34/'C1-Incomes'!$X34*100</f>
        <v>4.1656950966464503</v>
      </c>
      <c r="AT31" s="458"/>
      <c r="AU31" s="456">
        <f>'F-B5'!Z60/'F-B5'!$AE60*100</f>
        <v>1.9757005211637195</v>
      </c>
      <c r="AV31" s="456">
        <f>'F-B6'!S60/'F-B6'!$X60*100</f>
        <v>2.7965300638087225</v>
      </c>
      <c r="AW31" s="456">
        <f>('C1-Incomes'!KF34-'C1-Incomes'!KG34)/('C1-Incomes'!$S34-'C1-Incomes'!$T34)*100</f>
        <v>2.9286076328591109</v>
      </c>
      <c r="AX31" s="456">
        <f>('C1-Incomes'!KG34-'C1-Incomes'!KH34)/('C1-Incomes'!$T34-'C1-Incomes'!$U34)*100</f>
        <v>3.2867292885484947</v>
      </c>
      <c r="AY31" s="456">
        <f>('C1-Incomes'!KH34-'C1-Incomes'!KI34)/('C1-Incomes'!$U34-'C1-Incomes'!$V34)*100</f>
        <v>3.6015976751944097</v>
      </c>
      <c r="AZ31" s="456">
        <f>('C1-Incomes'!KI34-'C1-Incomes'!KJ34)/('C1-Incomes'!$V34-'C1-Incomes'!$W34)*100</f>
        <v>3.5219898108643468</v>
      </c>
      <c r="BA31" s="456">
        <f>('C1-Incomes'!KJ34-'C1-Incomes'!KK34)/('C1-Incomes'!$W34-'C1-Incomes'!$X34)*100</f>
        <v>3.7355236714292426</v>
      </c>
      <c r="BB31" s="456">
        <f>'C1-Incomes'!KK34/'C1-Incomes'!$X34*100</f>
        <v>3.8897438503338688</v>
      </c>
      <c r="BD31" s="456">
        <f>'F-B5'!AA60/'F-B5'!$AE60*100</f>
        <v>6.2730098895082698</v>
      </c>
      <c r="BE31" s="456">
        <f>'F-B6'!T60/'F-B6'!$X60*100</f>
        <v>8.6029719652344614</v>
      </c>
      <c r="BF31" s="456">
        <f>('C1-Incomes'!KN34-'C1-Incomes'!KO34)/('C1-Incomes'!$S34-'C1-Incomes'!$T34)*100</f>
        <v>7.6128084389416708</v>
      </c>
      <c r="BG31" s="456">
        <f>('C1-Incomes'!KO34-'C1-Incomes'!KP34)/('C1-Incomes'!$T34-'C1-Incomes'!$U34)*100</f>
        <v>5.6482091812006914</v>
      </c>
      <c r="BH31" s="456">
        <f>('C1-Incomes'!KP34-'C1-Incomes'!KQ34)/('C1-Incomes'!$U34-'C1-Incomes'!$V34)*100</f>
        <v>2.9644559721767738</v>
      </c>
      <c r="BI31" s="456">
        <f>('C1-Incomes'!KQ34-'C1-Incomes'!KR34)/('C1-Incomes'!$V34-'C1-Incomes'!$W34)*100</f>
        <v>1.7480570681051788</v>
      </c>
      <c r="BJ31" s="456">
        <f>('C1-Incomes'!KR34-'C1-Incomes'!KS34)/('C1-Incomes'!$W34-'C1-Incomes'!$X34)*100</f>
        <v>0.54079678815418508</v>
      </c>
      <c r="BK31" s="456">
        <f>'C1-Incomes'!KS34/'C1-Incomes'!$X34*100</f>
        <v>0.13126816391597951</v>
      </c>
      <c r="BL31" s="456"/>
      <c r="BM31" s="456">
        <f>'F-B5'!AC60/'F-B5'!$AE60*100</f>
        <v>0.19286364206047826</v>
      </c>
      <c r="BN31" s="456">
        <f>'F-B6'!V60/'F-B6'!$X60*100</f>
        <v>0.13417023317988336</v>
      </c>
      <c r="BO31" s="456">
        <f>('C1-Incomes'!LL34-'C1-Incomes'!LM34)/('C1-Incomes'!$S34-'C1-Incomes'!$T34)*100</f>
        <v>0.24715851918022028</v>
      </c>
      <c r="BP31" s="456">
        <f>('C1-Incomes'!LM34-'C1-Incomes'!LN34)/('C1-Incomes'!$T34-'C1-Incomes'!$U34)*100</f>
        <v>0.43578822947022378</v>
      </c>
      <c r="BQ31" s="456">
        <f>('C1-Incomes'!LN34-'C1-Incomes'!LO34)/('C1-Incomes'!$U34-'C1-Incomes'!$V34)*100</f>
        <v>0.7319874195731374</v>
      </c>
      <c r="BR31" s="456">
        <f>('C1-Incomes'!LO34-'C1-Incomes'!LP34)/('C1-Incomes'!$V34-'C1-Incomes'!$W34)*100</f>
        <v>0.85900579180135328</v>
      </c>
      <c r="BS31" s="456">
        <f>('C1-Incomes'!LP34-'C1-Incomes'!LQ34)/('C1-Incomes'!$W34-'C1-Incomes'!$X34)*100</f>
        <v>0.99134788029529908</v>
      </c>
      <c r="BT31" s="456">
        <f>'C1-Incomes'!LQ34/'C1-Incomes'!$X34*100</f>
        <v>1.2054768774679301</v>
      </c>
      <c r="BV31" s="456">
        <f>'F-B5'!AB60/'F-B5'!$AE60*100</f>
        <v>4.5452933302841574</v>
      </c>
      <c r="BW31" s="456">
        <f>'F-B6'!U60/'F-B6'!$X60*100</f>
        <v>6.0305650987804054</v>
      </c>
      <c r="BX31" s="456">
        <f>('C1-Incomes'!KV34-'C1-Incomes'!KW34)/('C1-Incomes'!$S34-'C1-Incomes'!$T34)*100</f>
        <v>5.3999172021989494</v>
      </c>
      <c r="BY31" s="456">
        <f>('C1-Incomes'!KW34-'C1-Incomes'!KX34)/('C1-Incomes'!$T34-'C1-Incomes'!$U34)*100</f>
        <v>4.5377852442546951</v>
      </c>
      <c r="BZ31" s="456">
        <f>('C1-Incomes'!KX34-'C1-Incomes'!KY34)/('C1-Incomes'!$U34-'C1-Incomes'!$V34)*100</f>
        <v>3.3072541684482459</v>
      </c>
      <c r="CA31" s="456">
        <f>('C1-Incomes'!KY34-'C1-Incomes'!KZ34)/('C1-Incomes'!$V34-'C1-Incomes'!$W34)*100</f>
        <v>2.5949693666580953</v>
      </c>
      <c r="CB31" s="456">
        <f>('C1-Incomes'!KZ34-'C1-Incomes'!LA34)/('C1-Incomes'!$W34-'C1-Incomes'!$X34)*100</f>
        <v>1.7560617095244684</v>
      </c>
      <c r="CC31" s="456">
        <f>'C1-Incomes'!LA34/'C1-Incomes'!$X34*100</f>
        <v>1.6918945179064802</v>
      </c>
    </row>
    <row r="32" spans="1:81" s="452" customFormat="1" ht="12" x14ac:dyDescent="0.25">
      <c r="A32" s="239">
        <v>1987</v>
      </c>
      <c r="B32" s="456">
        <f t="shared" si="6"/>
        <v>17.474177077096449</v>
      </c>
      <c r="C32" s="456">
        <f t="shared" si="7"/>
        <v>29.172143075078377</v>
      </c>
      <c r="D32" s="456">
        <f t="shared" si="8"/>
        <v>32.082269401342053</v>
      </c>
      <c r="E32" s="456">
        <f t="shared" si="9"/>
        <v>34.238394659775899</v>
      </c>
      <c r="F32" s="456">
        <f t="shared" si="10"/>
        <v>36.530441181724704</v>
      </c>
      <c r="G32" s="456">
        <f t="shared" si="11"/>
        <v>38.026073771925944</v>
      </c>
      <c r="H32" s="456">
        <f t="shared" si="12"/>
        <v>41.694848041623892</v>
      </c>
      <c r="I32" s="456">
        <f t="shared" si="13"/>
        <v>44.659735682322989</v>
      </c>
      <c r="J32" s="456"/>
      <c r="K32" s="456">
        <f t="shared" si="14"/>
        <v>11.156107495917771</v>
      </c>
      <c r="L32" s="456">
        <f t="shared" si="15"/>
        <v>20.574541794743403</v>
      </c>
      <c r="M32" s="456">
        <f t="shared" si="16"/>
        <v>24.579996826572739</v>
      </c>
      <c r="N32" s="456">
        <f t="shared" si="17"/>
        <v>28.715882507602895</v>
      </c>
      <c r="O32" s="456">
        <f t="shared" si="18"/>
        <v>33.724223141624954</v>
      </c>
      <c r="P32" s="456">
        <f t="shared" si="19"/>
        <v>36.414142218199927</v>
      </c>
      <c r="Q32" s="456">
        <f t="shared" si="20"/>
        <v>41.088983858945525</v>
      </c>
      <c r="R32" s="456">
        <f t="shared" si="21"/>
        <v>44.537596854481031</v>
      </c>
      <c r="S32" s="456"/>
      <c r="T32" s="456">
        <f>'F-B5'!W61/'F-B5'!$AE61*100</f>
        <v>2.3250868102913795</v>
      </c>
      <c r="U32" s="456">
        <f>'F-B6'!P61/'F-B6'!$X61*100</f>
        <v>7.4212919996102373</v>
      </c>
      <c r="V32" s="456">
        <f>('C1-Incomes'!JH35-'C1-Incomes'!JI35)/('C1-Incomes'!$S35-'C1-Incomes'!$T35)*100</f>
        <v>11.205359431156392</v>
      </c>
      <c r="W32" s="456">
        <f>('C1-Incomes'!JI35-'C1-Incomes'!JJ35)/('C1-Incomes'!$T35-'C1-Incomes'!$U35)*100</f>
        <v>14.801181850451645</v>
      </c>
      <c r="X32" s="456">
        <f>('C1-Incomes'!JJ35-'C1-Incomes'!JK35)/('C1-Incomes'!$U35-'C1-Incomes'!$V35)*100</f>
        <v>19.404373759563871</v>
      </c>
      <c r="Y32" s="456">
        <f>('C1-Incomes'!JK35-'C1-Incomes'!JL35)/('C1-Incomes'!$V35-'C1-Incomes'!$W35)*100</f>
        <v>21.933257268120322</v>
      </c>
      <c r="Z32" s="456">
        <f>('C1-Incomes'!JL35-'C1-Incomes'!JM35)/('C1-Incomes'!$W35-'C1-Incomes'!$X35)*100</f>
        <v>25.413956784128448</v>
      </c>
      <c r="AA32" s="456">
        <f>'C1-Incomes'!JM35/'C1-Incomes'!$X35*100</f>
        <v>26.98624016050119</v>
      </c>
      <c r="AB32" s="458"/>
      <c r="AC32" s="456">
        <f>'F-B5'!X61/'F-B5'!$AE61*100</f>
        <v>0.55350651382735438</v>
      </c>
      <c r="AD32" s="456">
        <f>'F-B6'!Q61/'F-B6'!$X61*100</f>
        <v>1.696353533222416</v>
      </c>
      <c r="AE32" s="456">
        <f>('C1-Incomes'!JP35-'C1-Incomes'!JQ35)/('C1-Incomes'!$S35-'C1-Incomes'!$T35)*100</f>
        <v>2.3959357426959342</v>
      </c>
      <c r="AF32" s="456">
        <f>('C1-Incomes'!JQ35-'C1-Incomes'!JR35)/('C1-Incomes'!$T35-'C1-Incomes'!$U35)*100</f>
        <v>3.0521929686550786</v>
      </c>
      <c r="AG32" s="456">
        <f>('C1-Incomes'!JR35-'C1-Incomes'!JS35)/('C1-Incomes'!$U35-'C1-Incomes'!$V35)*100</f>
        <v>3.7769201042955851</v>
      </c>
      <c r="AH32" s="456">
        <f>('C1-Incomes'!JS35-'C1-Incomes'!JT35)/('C1-Incomes'!$V35-'C1-Incomes'!$W35)*100</f>
        <v>4.4984791638646904</v>
      </c>
      <c r="AI32" s="456">
        <f>('C1-Incomes'!JT35-'C1-Incomes'!JU35)/('C1-Incomes'!$W35-'C1-Incomes'!$X35)*100</f>
        <v>5.4047613114572357</v>
      </c>
      <c r="AJ32" s="456">
        <f>'C1-Incomes'!JU35/'C1-Incomes'!$X35*100</f>
        <v>6.2120185615161336</v>
      </c>
      <c r="AK32" s="458"/>
      <c r="AL32" s="456">
        <f>'F-B5'!Y61/'F-B5'!$AE61*100</f>
        <v>1.7204392927028103</v>
      </c>
      <c r="AM32" s="456">
        <f>'F-B6'!R61/'F-B6'!$X61*100</f>
        <v>2.6718061622176275</v>
      </c>
      <c r="AN32" s="456">
        <f>('C1-Incomes'!JX35-'C1-Incomes'!JY35)/('C1-Incomes'!$S35-'C1-Incomes'!$T35)*100</f>
        <v>2.5298672001799716</v>
      </c>
      <c r="AO32" s="456">
        <f>('C1-Incomes'!JY35-'C1-Incomes'!JZ35)/('C1-Incomes'!$T35-'C1-Incomes'!$U35)*100</f>
        <v>2.709953852351819</v>
      </c>
      <c r="AP32" s="456">
        <f>('C1-Incomes'!JZ35-'C1-Incomes'!KA35)/('C1-Incomes'!$U35-'C1-Incomes'!$V35)*100</f>
        <v>3.0706091614776789</v>
      </c>
      <c r="AQ32" s="456">
        <f>('C1-Incomes'!KA35-'C1-Incomes'!KB35)/('C1-Incomes'!$V35-'C1-Incomes'!$W35)*100</f>
        <v>3.160310860372193</v>
      </c>
      <c r="AR32" s="456">
        <f>('C1-Incomes'!KB35-'C1-Incomes'!KC35)/('C1-Incomes'!$W35-'C1-Incomes'!$X35)*100</f>
        <v>3.5209519795791446</v>
      </c>
      <c r="AS32" s="456">
        <f>'C1-Incomes'!KC35/'C1-Incomes'!$X35*100</f>
        <v>4.0803196272513791</v>
      </c>
      <c r="AT32" s="458"/>
      <c r="AU32" s="456">
        <f>'F-B5'!Z61/'F-B5'!$AE61*100</f>
        <v>1.9837737833325759</v>
      </c>
      <c r="AV32" s="456">
        <f>'F-B6'!S61/'F-B6'!$X61*100</f>
        <v>2.898779810549911</v>
      </c>
      <c r="AW32" s="456">
        <f>('C1-Incomes'!KF35-'C1-Incomes'!KG35)/('C1-Incomes'!$S35-'C1-Incomes'!$T35)*100</f>
        <v>3.0542145595546</v>
      </c>
      <c r="AX32" s="456">
        <f>('C1-Incomes'!KG35-'C1-Incomes'!KH35)/('C1-Incomes'!$T35-'C1-Incomes'!$U35)*100</f>
        <v>3.360095429259407</v>
      </c>
      <c r="AY32" s="456">
        <f>('C1-Incomes'!KH35-'C1-Incomes'!KI35)/('C1-Incomes'!$U35-'C1-Incomes'!$V35)*100</f>
        <v>3.4871967708677989</v>
      </c>
      <c r="AZ32" s="456">
        <f>('C1-Incomes'!KI35-'C1-Incomes'!KJ35)/('C1-Incomes'!$V35-'C1-Incomes'!$W35)*100</f>
        <v>3.308859121062155</v>
      </c>
      <c r="BA32" s="456">
        <f>('C1-Incomes'!KJ35-'C1-Incomes'!KK35)/('C1-Incomes'!$W35-'C1-Incomes'!$X35)*100</f>
        <v>3.3430774347599437</v>
      </c>
      <c r="BB32" s="456">
        <f>'C1-Incomes'!KK35/'C1-Incomes'!$X35*100</f>
        <v>3.7815701591840187</v>
      </c>
      <c r="BD32" s="456">
        <f>'F-B5'!AA61/'F-B5'!$AE61*100</f>
        <v>6.3180695811786745</v>
      </c>
      <c r="BE32" s="456">
        <f>'F-B6'!T61/'F-B6'!$X61*100</f>
        <v>8.5976012803349739</v>
      </c>
      <c r="BF32" s="456">
        <f>('C1-Incomes'!KN35-'C1-Incomes'!KO35)/('C1-Incomes'!$S35-'C1-Incomes'!$T35)*100</f>
        <v>7.5022725747693118</v>
      </c>
      <c r="BG32" s="456">
        <f>('C1-Incomes'!KO35-'C1-Incomes'!KP35)/('C1-Incomes'!$T35-'C1-Incomes'!$U35)*100</f>
        <v>5.5225121521730074</v>
      </c>
      <c r="BH32" s="456">
        <f>('C1-Incomes'!KP35-'C1-Incomes'!KQ35)/('C1-Incomes'!$U35-'C1-Incomes'!$V35)*100</f>
        <v>2.806218040099751</v>
      </c>
      <c r="BI32" s="456">
        <f>('C1-Incomes'!KQ35-'C1-Incomes'!KR35)/('C1-Incomes'!$V35-'C1-Incomes'!$W35)*100</f>
        <v>1.6119315537260168</v>
      </c>
      <c r="BJ32" s="456">
        <f>('C1-Incomes'!KR35-'C1-Incomes'!KS35)/('C1-Incomes'!$W35-'C1-Incomes'!$X35)*100</f>
        <v>0.6058641826783695</v>
      </c>
      <c r="BK32" s="456">
        <f>'C1-Incomes'!KS35/'C1-Incomes'!$X35*100</f>
        <v>0.12213882784195829</v>
      </c>
      <c r="BL32" s="456"/>
      <c r="BM32" s="456">
        <f>'F-B5'!AC61/'F-B5'!$AE61*100</f>
        <v>0.19271566777632193</v>
      </c>
      <c r="BN32" s="456">
        <f>'F-B6'!V61/'F-B6'!$X61*100</f>
        <v>0.13051782878080775</v>
      </c>
      <c r="BO32" s="456">
        <f>('C1-Incomes'!LL35-'C1-Incomes'!LM35)/('C1-Incomes'!$S35-'C1-Incomes'!$T35)*100</f>
        <v>0.23946802893055233</v>
      </c>
      <c r="BP32" s="456">
        <f>('C1-Incomes'!LM35-'C1-Incomes'!LN35)/('C1-Incomes'!$T35-'C1-Incomes'!$U35)*100</f>
        <v>0.44125004973207893</v>
      </c>
      <c r="BQ32" s="456">
        <f>('C1-Incomes'!LN35-'C1-Incomes'!LO35)/('C1-Incomes'!$U35-'C1-Incomes'!$V35)*100</f>
        <v>0.74437686728311103</v>
      </c>
      <c r="BR32" s="456">
        <f>('C1-Incomes'!LO35-'C1-Incomes'!LP35)/('C1-Incomes'!$V35-'C1-Incomes'!$W35)*100</f>
        <v>0.80031474822200488</v>
      </c>
      <c r="BS32" s="456">
        <f>('C1-Incomes'!LP35-'C1-Incomes'!LQ35)/('C1-Incomes'!$W35-'C1-Incomes'!$X35)*100</f>
        <v>0.88761267444766245</v>
      </c>
      <c r="BT32" s="456">
        <f>'C1-Incomes'!LQ35/'C1-Incomes'!$X35*100</f>
        <v>1.1112971236133695</v>
      </c>
      <c r="BV32" s="456">
        <f>'F-B5'!AB61/'F-B5'!$AE61*100</f>
        <v>4.38058542798733</v>
      </c>
      <c r="BW32" s="456">
        <f>'F-B6'!U61/'F-B6'!$X61*100</f>
        <v>5.7557924603624047</v>
      </c>
      <c r="BX32" s="456">
        <f>('C1-Incomes'!KV35-'C1-Incomes'!KW35)/('C1-Incomes'!$S35-'C1-Incomes'!$T35)*100</f>
        <v>5.155151864055286</v>
      </c>
      <c r="BY32" s="456">
        <f>('C1-Incomes'!KW35-'C1-Incomes'!KX35)/('C1-Incomes'!$T35-'C1-Incomes'!$U35)*100</f>
        <v>4.351208357152867</v>
      </c>
      <c r="BZ32" s="456">
        <f>('C1-Incomes'!KX35-'C1-Incomes'!KY35)/('C1-Incomes'!$U35-'C1-Incomes'!$V35)*100</f>
        <v>3.2407464781369097</v>
      </c>
      <c r="CA32" s="456">
        <f>('C1-Incomes'!KY35-'C1-Incomes'!KZ35)/('C1-Incomes'!$V35-'C1-Incomes'!$W35)*100</f>
        <v>2.7129210565585633</v>
      </c>
      <c r="CB32" s="456">
        <f>('C1-Incomes'!KZ35-'C1-Incomes'!LA35)/('C1-Incomes'!$W35-'C1-Incomes'!$X35)*100</f>
        <v>2.5186236745730972</v>
      </c>
      <c r="CC32" s="456">
        <f>'C1-Incomes'!LA35/'C1-Incomes'!$X35*100</f>
        <v>2.366151222414945</v>
      </c>
    </row>
    <row r="33" spans="1:84" s="452" customFormat="1" ht="12" x14ac:dyDescent="0.25">
      <c r="A33" s="239">
        <v>1988</v>
      </c>
      <c r="B33" s="456">
        <f t="shared" si="6"/>
        <v>17.480591108100626</v>
      </c>
      <c r="C33" s="456">
        <f t="shared" si="7"/>
        <v>29.066805146664191</v>
      </c>
      <c r="D33" s="456">
        <f t="shared" si="8"/>
        <v>31.448732905212434</v>
      </c>
      <c r="E33" s="456">
        <f t="shared" si="9"/>
        <v>32.635963133148216</v>
      </c>
      <c r="F33" s="456">
        <f t="shared" si="10"/>
        <v>34.070680115654824</v>
      </c>
      <c r="G33" s="456">
        <f t="shared" si="11"/>
        <v>34.883868278335797</v>
      </c>
      <c r="H33" s="456">
        <f t="shared" si="12"/>
        <v>36.715559547140039</v>
      </c>
      <c r="I33" s="456">
        <f t="shared" si="13"/>
        <v>38.737348140879305</v>
      </c>
      <c r="J33" s="456"/>
      <c r="K33" s="456">
        <f t="shared" si="14"/>
        <v>10.893207014164149</v>
      </c>
      <c r="L33" s="456">
        <f t="shared" si="15"/>
        <v>20.029894710126751</v>
      </c>
      <c r="M33" s="456">
        <f t="shared" si="16"/>
        <v>23.467726949106453</v>
      </c>
      <c r="N33" s="456">
        <f t="shared" si="17"/>
        <v>27.010614687337785</v>
      </c>
      <c r="O33" s="456">
        <f t="shared" si="18"/>
        <v>31.287399243004575</v>
      </c>
      <c r="P33" s="456">
        <f t="shared" si="19"/>
        <v>33.353613418011243</v>
      </c>
      <c r="Q33" s="456">
        <f t="shared" si="20"/>
        <v>36.20486163817602</v>
      </c>
      <c r="R33" s="456">
        <f t="shared" si="21"/>
        <v>38.64993334508236</v>
      </c>
      <c r="S33" s="456"/>
      <c r="T33" s="456">
        <f>'F-B5'!W62/'F-B5'!$AE62*100</f>
        <v>2.1644368990568861</v>
      </c>
      <c r="U33" s="456">
        <f>'F-B6'!P62/'F-B6'!$X62*100</f>
        <v>6.9464084845152234</v>
      </c>
      <c r="V33" s="456">
        <f>('C1-Incomes'!JH36-'C1-Incomes'!JI36)/('C1-Incomes'!$S36-'C1-Incomes'!$T36)*100</f>
        <v>10.19685229702797</v>
      </c>
      <c r="W33" s="456">
        <f>('C1-Incomes'!JI36-'C1-Incomes'!JJ36)/('C1-Incomes'!$T36-'C1-Incomes'!$U36)*100</f>
        <v>13.308893443622663</v>
      </c>
      <c r="X33" s="456">
        <f>('C1-Incomes'!JJ36-'C1-Incomes'!JK36)/('C1-Incomes'!$U36-'C1-Incomes'!$V36)*100</f>
        <v>17.510092987265356</v>
      </c>
      <c r="Y33" s="456">
        <f>('C1-Incomes'!JK36-'C1-Incomes'!JL36)/('C1-Incomes'!$V36-'C1-Incomes'!$W36)*100</f>
        <v>19.50345470508562</v>
      </c>
      <c r="Z33" s="456">
        <f>('C1-Incomes'!JL36-'C1-Incomes'!JM36)/('C1-Incomes'!$W36-'C1-Incomes'!$X36)*100</f>
        <v>21.653700536392556</v>
      </c>
      <c r="AA33" s="456">
        <f>'C1-Incomes'!JM36/'C1-Incomes'!$X36*100</f>
        <v>22.943039727401089</v>
      </c>
      <c r="AB33" s="458"/>
      <c r="AC33" s="456">
        <f>'F-B5'!X62/'F-B5'!$AE62*100</f>
        <v>0.60187050836402689</v>
      </c>
      <c r="AD33" s="456">
        <f>'F-B6'!Q62/'F-B6'!$X62*100</f>
        <v>1.6329488244519952</v>
      </c>
      <c r="AE33" s="456">
        <f>('C1-Incomes'!JP36-'C1-Incomes'!JQ36)/('C1-Incomes'!$S36-'C1-Incomes'!$T36)*100</f>
        <v>2.2624467372895878</v>
      </c>
      <c r="AF33" s="456">
        <f>('C1-Incomes'!JQ36-'C1-Incomes'!JR36)/('C1-Incomes'!$T36-'C1-Incomes'!$U36)*100</f>
        <v>2.8536604908343168</v>
      </c>
      <c r="AG33" s="456">
        <f>('C1-Incomes'!JR36-'C1-Incomes'!JS36)/('C1-Incomes'!$U36-'C1-Incomes'!$V36)*100</f>
        <v>3.4911379430343739</v>
      </c>
      <c r="AH33" s="456">
        <f>('C1-Incomes'!JS36-'C1-Incomes'!JT36)/('C1-Incomes'!$V36-'C1-Incomes'!$W36)*100</f>
        <v>3.9442763027036505</v>
      </c>
      <c r="AI33" s="456">
        <f>('C1-Incomes'!JT36-'C1-Incomes'!JU36)/('C1-Incomes'!$W36-'C1-Incomes'!$X36)*100</f>
        <v>4.3475844711889549</v>
      </c>
      <c r="AJ33" s="456">
        <f>'C1-Incomes'!JU36/'C1-Incomes'!$X36*100</f>
        <v>4.7370374236740664</v>
      </c>
      <c r="AK33" s="458"/>
      <c r="AL33" s="456">
        <f>'F-B5'!Y62/'F-B5'!$AE62*100</f>
        <v>1.7482595867493294</v>
      </c>
      <c r="AM33" s="456">
        <f>'F-B6'!R62/'F-B6'!$X62*100</f>
        <v>2.692861789901245</v>
      </c>
      <c r="AN33" s="456">
        <f>('C1-Incomes'!JX36-'C1-Incomes'!JY36)/('C1-Incomes'!$S36-'C1-Incomes'!$T36)*100</f>
        <v>2.5244090075513315</v>
      </c>
      <c r="AO33" s="456">
        <f>('C1-Incomes'!JY36-'C1-Incomes'!JZ36)/('C1-Incomes'!$T36-'C1-Incomes'!$U36)*100</f>
        <v>2.7021278556357262</v>
      </c>
      <c r="AP33" s="456">
        <f>('C1-Incomes'!JZ36-'C1-Incomes'!KA36)/('C1-Incomes'!$U36-'C1-Incomes'!$V36)*100</f>
        <v>2.9521327044669214</v>
      </c>
      <c r="AQ33" s="456">
        <f>('C1-Incomes'!KA36-'C1-Incomes'!KB36)/('C1-Incomes'!$V36-'C1-Incomes'!$W36)*100</f>
        <v>3.0677333587930664</v>
      </c>
      <c r="AR33" s="456">
        <f>('C1-Incomes'!KB36-'C1-Incomes'!KC36)/('C1-Incomes'!$W36-'C1-Incomes'!$X36)*100</f>
        <v>3.488297808291549</v>
      </c>
      <c r="AS33" s="456">
        <f>'C1-Incomes'!KC36/'C1-Incomes'!$X36*100</f>
        <v>4.2189748809722092</v>
      </c>
      <c r="AT33" s="458"/>
      <c r="AU33" s="456">
        <f>'F-B5'!Z62/'F-B5'!$AE62*100</f>
        <v>1.8576128538029442</v>
      </c>
      <c r="AV33" s="456">
        <f>'F-B6'!S62/'F-B6'!$X62*100</f>
        <v>2.9098717808604362</v>
      </c>
      <c r="AW33" s="456">
        <f>('C1-Incomes'!KF36-'C1-Incomes'!KG36)/('C1-Incomes'!$S36-'C1-Incomes'!$T36)*100</f>
        <v>3.110813471618068</v>
      </c>
      <c r="AX33" s="456">
        <f>('C1-Incomes'!KG36-'C1-Incomes'!KH36)/('C1-Incomes'!$T36-'C1-Incomes'!$U36)*100</f>
        <v>3.3655636981486867</v>
      </c>
      <c r="AY33" s="456">
        <f>('C1-Incomes'!KH36-'C1-Incomes'!KI36)/('C1-Incomes'!$U36-'C1-Incomes'!$V36)*100</f>
        <v>3.3482749009082795</v>
      </c>
      <c r="AZ33" s="456">
        <f>('C1-Incomes'!KI36-'C1-Incomes'!KJ36)/('C1-Incomes'!$V36-'C1-Incomes'!$W36)*100</f>
        <v>3.2094013112022743</v>
      </c>
      <c r="BA33" s="456">
        <f>('C1-Incomes'!KJ36-'C1-Incomes'!KK36)/('C1-Incomes'!$W36-'C1-Incomes'!$X36)*100</f>
        <v>3.2201770391238527</v>
      </c>
      <c r="BB33" s="456">
        <f>'C1-Incomes'!KK36/'C1-Incomes'!$X36*100</f>
        <v>3.4127967084824071</v>
      </c>
      <c r="BD33" s="456">
        <f>'F-B5'!AA62/'F-B5'!$AE62*100</f>
        <v>6.5873840939364783</v>
      </c>
      <c r="BE33" s="456">
        <f>'F-B6'!T62/'F-B6'!$X62*100</f>
        <v>9.0369104365374398</v>
      </c>
      <c r="BF33" s="456">
        <f>('C1-Incomes'!KN36-'C1-Incomes'!KO36)/('C1-Incomes'!$S36-'C1-Incomes'!$T36)*100</f>
        <v>7.9810059561059816</v>
      </c>
      <c r="BG33" s="456">
        <f>('C1-Incomes'!KO36-'C1-Incomes'!KP36)/('C1-Incomes'!$T36-'C1-Incomes'!$U36)*100</f>
        <v>5.6253484458104293</v>
      </c>
      <c r="BH33" s="456">
        <f>('C1-Incomes'!KP36-'C1-Incomes'!KQ36)/('C1-Incomes'!$U36-'C1-Incomes'!$V36)*100</f>
        <v>2.7832808726502529</v>
      </c>
      <c r="BI33" s="456">
        <f>('C1-Incomes'!KQ36-'C1-Incomes'!KR36)/('C1-Incomes'!$V36-'C1-Incomes'!$W36)*100</f>
        <v>1.5302548603245538</v>
      </c>
      <c r="BJ33" s="456">
        <f>('C1-Incomes'!KR36-'C1-Incomes'!KS36)/('C1-Incomes'!$W36-'C1-Incomes'!$X36)*100</f>
        <v>0.51069790896401623</v>
      </c>
      <c r="BK33" s="456">
        <f>'C1-Incomes'!KS36/'C1-Incomes'!$X36*100</f>
        <v>8.7414795796945374E-2</v>
      </c>
      <c r="BL33" s="456"/>
      <c r="BM33" s="456">
        <f>'F-B5'!AC62/'F-B5'!$AE62*100</f>
        <v>0.18944800873501444</v>
      </c>
      <c r="BN33" s="456">
        <f>'F-B6'!V62/'F-B6'!$X62*100</f>
        <v>0.1271508059945024</v>
      </c>
      <c r="BO33" s="456">
        <f>('C1-Incomes'!LL36-'C1-Incomes'!LM36)/('C1-Incomes'!$S36-'C1-Incomes'!$T36)*100</f>
        <v>0.23176484559420163</v>
      </c>
      <c r="BP33" s="456">
        <f>('C1-Incomes'!LM36-'C1-Incomes'!LN36)/('C1-Incomes'!$T36-'C1-Incomes'!$U36)*100</f>
        <v>0.41862941698243039</v>
      </c>
      <c r="BQ33" s="456">
        <f>('C1-Incomes'!LN36-'C1-Incomes'!LO36)/('C1-Incomes'!$U36-'C1-Incomes'!$V36)*100</f>
        <v>0.67999909139467962</v>
      </c>
      <c r="BR33" s="456">
        <f>('C1-Incomes'!LO36-'C1-Incomes'!LP36)/('C1-Incomes'!$V36-'C1-Incomes'!$W36)*100</f>
        <v>0.70164887455993019</v>
      </c>
      <c r="BS33" s="456">
        <f>('C1-Incomes'!LP36-'C1-Incomes'!LQ36)/('C1-Incomes'!$W36-'C1-Incomes'!$X36)*100</f>
        <v>0.66920686248213657</v>
      </c>
      <c r="BT33" s="456">
        <f>'C1-Incomes'!LQ36/'C1-Incomes'!$X36*100</f>
        <v>0.75669825710405925</v>
      </c>
      <c r="BV33" s="456">
        <f>'F-B5'!AB62/'F-B5'!$AE62*100</f>
        <v>4.3315791574559475</v>
      </c>
      <c r="BW33" s="456">
        <f>'F-B6'!U62/'F-B6'!$X62*100</f>
        <v>5.7206530244033464</v>
      </c>
      <c r="BX33" s="456">
        <f>('C1-Incomes'!KV36-'C1-Incomes'!KW36)/('C1-Incomes'!$S36-'C1-Incomes'!$T36)*100</f>
        <v>5.1414405900252884</v>
      </c>
      <c r="BY33" s="456">
        <f>('C1-Incomes'!KW36-'C1-Incomes'!KX36)/('C1-Incomes'!$T36-'C1-Incomes'!$U36)*100</f>
        <v>4.3617397821139612</v>
      </c>
      <c r="BZ33" s="456">
        <f>('C1-Incomes'!KX36-'C1-Incomes'!KY36)/('C1-Incomes'!$U36-'C1-Incomes'!$V36)*100</f>
        <v>3.3057616159349621</v>
      </c>
      <c r="CA33" s="456">
        <f>('C1-Incomes'!KY36-'C1-Incomes'!KZ36)/('C1-Incomes'!$V36-'C1-Incomes'!$W36)*100</f>
        <v>2.9270988656667005</v>
      </c>
      <c r="CB33" s="456">
        <f>('C1-Incomes'!KZ36-'C1-Incomes'!LA36)/('C1-Incomes'!$W36-'C1-Incomes'!$X36)*100</f>
        <v>2.8258949206969763</v>
      </c>
      <c r="CC33" s="456">
        <f>'C1-Incomes'!LA36/'C1-Incomes'!$X36*100</f>
        <v>2.5813863474485257</v>
      </c>
    </row>
    <row r="34" spans="1:84" s="452" customFormat="1" ht="12" x14ac:dyDescent="0.25">
      <c r="A34" s="239">
        <v>1989</v>
      </c>
      <c r="B34" s="456">
        <f t="shared" si="6"/>
        <v>17.588861653645647</v>
      </c>
      <c r="C34" s="456">
        <f t="shared" si="7"/>
        <v>29.491603951772746</v>
      </c>
      <c r="D34" s="456">
        <f t="shared" si="8"/>
        <v>32.269241109195804</v>
      </c>
      <c r="E34" s="456">
        <f t="shared" si="9"/>
        <v>33.599591071221646</v>
      </c>
      <c r="F34" s="456">
        <f t="shared" si="10"/>
        <v>34.89263005766955</v>
      </c>
      <c r="G34" s="456">
        <f t="shared" si="11"/>
        <v>35.963130933281136</v>
      </c>
      <c r="H34" s="456">
        <f t="shared" si="12"/>
        <v>37.86391900122684</v>
      </c>
      <c r="I34" s="456">
        <f t="shared" si="13"/>
        <v>39.83532355540185</v>
      </c>
      <c r="J34" s="456"/>
      <c r="K34" s="456">
        <f t="shared" si="14"/>
        <v>11.066087139152561</v>
      </c>
      <c r="L34" s="456">
        <f t="shared" si="15"/>
        <v>20.619661627638511</v>
      </c>
      <c r="M34" s="456">
        <f t="shared" si="16"/>
        <v>24.414751122878403</v>
      </c>
      <c r="N34" s="456">
        <f t="shared" si="17"/>
        <v>27.942005414588813</v>
      </c>
      <c r="O34" s="456">
        <f t="shared" si="18"/>
        <v>32.125111276344931</v>
      </c>
      <c r="P34" s="456">
        <f t="shared" si="19"/>
        <v>34.385132284364339</v>
      </c>
      <c r="Q34" s="456">
        <f t="shared" si="20"/>
        <v>37.302909737644448</v>
      </c>
      <c r="R34" s="456">
        <f t="shared" si="21"/>
        <v>39.73636435705891</v>
      </c>
      <c r="S34" s="456"/>
      <c r="T34" s="456">
        <f>'F-B5'!W63/'F-B5'!$AE63*100</f>
        <v>2.326303631695994</v>
      </c>
      <c r="U34" s="456">
        <f>'F-B6'!P63/'F-B6'!$X63*100</f>
        <v>7.4788424348138216</v>
      </c>
      <c r="V34" s="456">
        <f>('C1-Incomes'!JH37-'C1-Incomes'!JI37)/('C1-Incomes'!$S37-'C1-Incomes'!$T37)*100</f>
        <v>11.012260256210396</v>
      </c>
      <c r="W34" s="456">
        <f>('C1-Incomes'!JI37-'C1-Incomes'!JJ37)/('C1-Incomes'!$T37-'C1-Incomes'!$U37)*100</f>
        <v>14.214954154873787</v>
      </c>
      <c r="X34" s="456">
        <f>('C1-Incomes'!JJ37-'C1-Incomes'!JK37)/('C1-Incomes'!$U37-'C1-Incomes'!$V37)*100</f>
        <v>18.007601711215116</v>
      </c>
      <c r="Y34" s="456">
        <f>('C1-Incomes'!JK37-'C1-Incomes'!JL37)/('C1-Incomes'!$V37-'C1-Incomes'!$W37)*100</f>
        <v>19.994450812774094</v>
      </c>
      <c r="Z34" s="456">
        <f>('C1-Incomes'!JL37-'C1-Incomes'!JM37)/('C1-Incomes'!$W37-'C1-Incomes'!$X37)*100</f>
        <v>21.854363144171408</v>
      </c>
      <c r="AA34" s="456">
        <f>'C1-Incomes'!JM37/'C1-Incomes'!$X37*100</f>
        <v>23.02709604122569</v>
      </c>
      <c r="AB34" s="458"/>
      <c r="AC34" s="456">
        <f>'F-B5'!X63/'F-B5'!$AE63*100</f>
        <v>0.71441513931286615</v>
      </c>
      <c r="AD34" s="456">
        <f>'F-B6'!Q63/'F-B6'!$X63*100</f>
        <v>1.7196392201622093</v>
      </c>
      <c r="AE34" s="456">
        <f>('C1-Incomes'!JP37-'C1-Incomes'!JQ37)/('C1-Incomes'!$S37-'C1-Incomes'!$T37)*100</f>
        <v>2.368896012321414</v>
      </c>
      <c r="AF34" s="456">
        <f>('C1-Incomes'!JQ37-'C1-Incomes'!JR37)/('C1-Incomes'!$T37-'C1-Incomes'!$U37)*100</f>
        <v>2.9706572274641516</v>
      </c>
      <c r="AG34" s="456">
        <f>('C1-Incomes'!JR37-'C1-Incomes'!JS37)/('C1-Incomes'!$U37-'C1-Incomes'!$V37)*100</f>
        <v>3.5265362853272251</v>
      </c>
      <c r="AH34" s="456">
        <f>('C1-Incomes'!JS37-'C1-Incomes'!JT37)/('C1-Incomes'!$V37-'C1-Incomes'!$W37)*100</f>
        <v>4.1846172077723383</v>
      </c>
      <c r="AI34" s="456">
        <f>('C1-Incomes'!JT37-'C1-Incomes'!JU37)/('C1-Incomes'!$W37-'C1-Incomes'!$X37)*100</f>
        <v>4.8887629483147013</v>
      </c>
      <c r="AJ34" s="456">
        <f>'C1-Incomes'!JU37/'C1-Incomes'!$X37*100</f>
        <v>5.1654424307657552</v>
      </c>
      <c r="AK34" s="458"/>
      <c r="AL34" s="456">
        <f>'F-B5'!Y63/'F-B5'!$AE63*100</f>
        <v>1.606665475434879</v>
      </c>
      <c r="AM34" s="456">
        <f>'F-B6'!R63/'F-B6'!$X63*100</f>
        <v>2.5225540426943813</v>
      </c>
      <c r="AN34" s="456">
        <f>('C1-Incomes'!JX37-'C1-Incomes'!JY37)/('C1-Incomes'!$S37-'C1-Incomes'!$T37)*100</f>
        <v>2.3891063795097969</v>
      </c>
      <c r="AO34" s="456">
        <f>('C1-Incomes'!JY37-'C1-Incomes'!JZ37)/('C1-Incomes'!$T37-'C1-Incomes'!$U37)*100</f>
        <v>2.5318874112381304</v>
      </c>
      <c r="AP34" s="456">
        <f>('C1-Incomes'!JZ37-'C1-Incomes'!KA37)/('C1-Incomes'!$U37-'C1-Incomes'!$V37)*100</f>
        <v>2.8735977784814</v>
      </c>
      <c r="AQ34" s="456">
        <f>('C1-Incomes'!KA37-'C1-Incomes'!KB37)/('C1-Incomes'!$V37-'C1-Incomes'!$W37)*100</f>
        <v>3.0359641090854406</v>
      </c>
      <c r="AR34" s="456">
        <f>('C1-Incomes'!KB37-'C1-Incomes'!KC37)/('C1-Incomes'!$W37-'C1-Incomes'!$X37)*100</f>
        <v>3.4119444129492229</v>
      </c>
      <c r="AS34" s="456">
        <f>'C1-Incomes'!KC37/'C1-Incomes'!$X37*100</f>
        <v>4.2128454340261881</v>
      </c>
      <c r="AT34" s="458"/>
      <c r="AU34" s="456">
        <f>'F-B5'!Z63/'F-B5'!$AE63*100</f>
        <v>1.8945604122475903</v>
      </c>
      <c r="AV34" s="456">
        <f>'F-B6'!S63/'F-B6'!$X63*100</f>
        <v>2.995172054112444</v>
      </c>
      <c r="AW34" s="456">
        <f>('C1-Incomes'!KF37-'C1-Incomes'!KG37)/('C1-Incomes'!$S37-'C1-Incomes'!$T37)*100</f>
        <v>3.2218831745088439</v>
      </c>
      <c r="AX34" s="456">
        <f>('C1-Incomes'!KG37-'C1-Incomes'!KH37)/('C1-Incomes'!$T37-'C1-Incomes'!$U37)*100</f>
        <v>3.3667655671427079</v>
      </c>
      <c r="AY34" s="456">
        <f>('C1-Incomes'!KH37-'C1-Incomes'!KI37)/('C1-Incomes'!$U37-'C1-Incomes'!$V37)*100</f>
        <v>3.5824255139153203</v>
      </c>
      <c r="AZ34" s="456">
        <f>('C1-Incomes'!KI37-'C1-Incomes'!KJ37)/('C1-Incomes'!$V37-'C1-Incomes'!$W37)*100</f>
        <v>3.4173093251312832</v>
      </c>
      <c r="BA34" s="456">
        <f>('C1-Incomes'!KJ37-'C1-Incomes'!KK37)/('C1-Incomes'!$W37-'C1-Incomes'!$X37)*100</f>
        <v>3.5093305145800633</v>
      </c>
      <c r="BB34" s="456">
        <f>'C1-Incomes'!KK37/'C1-Incomes'!$X37*100</f>
        <v>3.8007852943612495</v>
      </c>
      <c r="BD34" s="456">
        <f>'F-B5'!AA63/'F-B5'!$AE63*100</f>
        <v>6.5227745144930873</v>
      </c>
      <c r="BE34" s="456">
        <f>'F-B6'!T63/'F-B6'!$X63*100</f>
        <v>8.871942324134233</v>
      </c>
      <c r="BF34" s="456">
        <f>('C1-Incomes'!KN37-'C1-Incomes'!KO37)/('C1-Incomes'!$S37-'C1-Incomes'!$T37)*100</f>
        <v>7.8544899863174065</v>
      </c>
      <c r="BG34" s="456">
        <f>('C1-Incomes'!KO37-'C1-Incomes'!KP37)/('C1-Incomes'!$T37-'C1-Incomes'!$U37)*100</f>
        <v>5.6575856566328371</v>
      </c>
      <c r="BH34" s="456">
        <f>('C1-Incomes'!KP37-'C1-Incomes'!KQ37)/('C1-Incomes'!$U37-'C1-Incomes'!$V37)*100</f>
        <v>2.7675187813246174</v>
      </c>
      <c r="BI34" s="456">
        <f>('C1-Incomes'!KQ37-'C1-Incomes'!KR37)/('C1-Incomes'!$V37-'C1-Incomes'!$W37)*100</f>
        <v>1.5779986489167952</v>
      </c>
      <c r="BJ34" s="456">
        <f>('C1-Incomes'!KR37-'C1-Incomes'!KS37)/('C1-Incomes'!$W37-'C1-Incomes'!$X37)*100</f>
        <v>0.561009263582391</v>
      </c>
      <c r="BK34" s="456">
        <f>'C1-Incomes'!KS37/'C1-Incomes'!$X37*100</f>
        <v>9.895919834294116E-2</v>
      </c>
      <c r="BL34" s="456"/>
      <c r="BM34" s="456">
        <f>'F-B5'!AC63/'F-B5'!$AE63*100</f>
        <v>0.1986522103463701</v>
      </c>
      <c r="BN34" s="456">
        <f>'F-B6'!V63/'F-B6'!$X63*100</f>
        <v>0.13205168982866733</v>
      </c>
      <c r="BO34" s="456">
        <f>('C1-Incomes'!LL37-'C1-Incomes'!LM37)/('C1-Incomes'!$S37-'C1-Incomes'!$T37)*100</f>
        <v>0.24366452262217864</v>
      </c>
      <c r="BP34" s="456">
        <f>('C1-Incomes'!LM37-'C1-Incomes'!LN37)/('C1-Incomes'!$T37-'C1-Incomes'!$U37)*100</f>
        <v>0.44564788838280711</v>
      </c>
      <c r="BQ34" s="456">
        <f>('C1-Incomes'!LN37-'C1-Incomes'!LO37)/('C1-Incomes'!$U37-'C1-Incomes'!$V37)*100</f>
        <v>0.6987836959120608</v>
      </c>
      <c r="BR34" s="456">
        <f>('C1-Incomes'!LO37-'C1-Incomes'!LP37)/('C1-Incomes'!$V37-'C1-Incomes'!$W37)*100</f>
        <v>0.74823258115160107</v>
      </c>
      <c r="BS34" s="456">
        <f>('C1-Incomes'!LP37-'C1-Incomes'!LQ37)/('C1-Incomes'!$W37-'C1-Incomes'!$X37)*100</f>
        <v>0.74933288193077519</v>
      </c>
      <c r="BT34" s="456">
        <f>'C1-Incomes'!LQ37/'C1-Incomes'!$X37*100</f>
        <v>0.87126196664020639</v>
      </c>
      <c r="BV34" s="456">
        <f>'F-B5'!AB63/'F-B5'!$AE63*100</f>
        <v>4.3254902701148623</v>
      </c>
      <c r="BW34" s="456">
        <f>'F-B6'!U63/'F-B6'!$X63*100</f>
        <v>5.7714021860269868</v>
      </c>
      <c r="BX34" s="456">
        <f>('C1-Incomes'!KV37-'C1-Incomes'!KW37)/('C1-Incomes'!$S37-'C1-Incomes'!$T37)*100</f>
        <v>5.1789407777057717</v>
      </c>
      <c r="BY34" s="456">
        <f>('C1-Incomes'!KW37-'C1-Incomes'!KX37)/('C1-Incomes'!$T37-'C1-Incomes'!$U37)*100</f>
        <v>4.4120931654872262</v>
      </c>
      <c r="BZ34" s="456">
        <f>('C1-Incomes'!KX37-'C1-Incomes'!KY37)/('C1-Incomes'!$U37-'C1-Incomes'!$V37)*100</f>
        <v>3.4361662914938038</v>
      </c>
      <c r="CA34" s="456">
        <f>('C1-Incomes'!KY37-'C1-Incomes'!KZ37)/('C1-Incomes'!$V37-'C1-Incomes'!$W37)*100</f>
        <v>3.0045582484495843</v>
      </c>
      <c r="CB34" s="456">
        <f>('C1-Incomes'!KZ37-'C1-Incomes'!LA37)/('C1-Incomes'!$W37-'C1-Incomes'!$X37)*100</f>
        <v>2.8891758356982806</v>
      </c>
      <c r="CC34" s="456">
        <f>'C1-Incomes'!LA37/'C1-Incomes'!$X37*100</f>
        <v>2.6589331900398281</v>
      </c>
    </row>
    <row r="35" spans="1:84" s="452" customFormat="1" ht="12" x14ac:dyDescent="0.25">
      <c r="A35" s="239">
        <v>1990</v>
      </c>
      <c r="B35" s="456">
        <f t="shared" si="6"/>
        <v>17.5356261940533</v>
      </c>
      <c r="C35" s="456">
        <f t="shared" si="7"/>
        <v>29.588512417201201</v>
      </c>
      <c r="D35" s="456">
        <f t="shared" si="8"/>
        <v>31.946667887138005</v>
      </c>
      <c r="E35" s="456">
        <f t="shared" si="9"/>
        <v>33.132088374049502</v>
      </c>
      <c r="F35" s="456">
        <f t="shared" si="10"/>
        <v>34.464344905742095</v>
      </c>
      <c r="G35" s="456">
        <f t="shared" si="11"/>
        <v>35.347521046679205</v>
      </c>
      <c r="H35" s="456">
        <f t="shared" si="12"/>
        <v>37.166217189716626</v>
      </c>
      <c r="I35" s="456">
        <f t="shared" si="13"/>
        <v>38.944885716014625</v>
      </c>
      <c r="J35" s="456"/>
      <c r="K35" s="456">
        <f t="shared" si="14"/>
        <v>10.773162857376105</v>
      </c>
      <c r="L35" s="456">
        <f t="shared" si="15"/>
        <v>20.537241619462076</v>
      </c>
      <c r="M35" s="456">
        <f t="shared" si="16"/>
        <v>24.384174688431425</v>
      </c>
      <c r="N35" s="456">
        <f t="shared" si="17"/>
        <v>27.735414199008467</v>
      </c>
      <c r="O35" s="456">
        <f t="shared" si="18"/>
        <v>31.599487893563627</v>
      </c>
      <c r="P35" s="456">
        <f t="shared" si="19"/>
        <v>33.794113861039158</v>
      </c>
      <c r="Q35" s="456">
        <f t="shared" si="20"/>
        <v>36.617142682967604</v>
      </c>
      <c r="R35" s="456">
        <f t="shared" si="21"/>
        <v>38.846144845359589</v>
      </c>
      <c r="S35" s="456"/>
      <c r="T35" s="456">
        <f>'F-B5'!W64/'F-B5'!$AE64*100</f>
        <v>2.2510425668389509</v>
      </c>
      <c r="U35" s="456">
        <f>'F-B6'!P64/'F-B6'!$X64*100</f>
        <v>7.5017858709144498</v>
      </c>
      <c r="V35" s="456">
        <f>('C1-Incomes'!JH38-'C1-Incomes'!JI38)/('C1-Incomes'!$S38-'C1-Incomes'!$T38)*100</f>
        <v>10.778979859637158</v>
      </c>
      <c r="W35" s="456">
        <f>('C1-Incomes'!JI38-'C1-Incomes'!JJ38)/('C1-Incomes'!$T38-'C1-Incomes'!$U38)*100</f>
        <v>13.509125984931059</v>
      </c>
      <c r="X35" s="456">
        <f>('C1-Incomes'!JJ38-'C1-Incomes'!JK38)/('C1-Incomes'!$U38-'C1-Incomes'!$V38)*100</f>
        <v>17.429397821339435</v>
      </c>
      <c r="Y35" s="456">
        <f>('C1-Incomes'!JK38-'C1-Incomes'!JL38)/('C1-Incomes'!$V38-'C1-Incomes'!$W38)*100</f>
        <v>19.467895817520109</v>
      </c>
      <c r="Z35" s="456">
        <f>('C1-Incomes'!JL38-'C1-Incomes'!JM38)/('C1-Incomes'!$W38-'C1-Incomes'!$X38)*100</f>
        <v>21.58720578162735</v>
      </c>
      <c r="AA35" s="456">
        <f>'C1-Incomes'!JM38/'C1-Incomes'!$X38*100</f>
        <v>22.675728159330582</v>
      </c>
      <c r="AB35" s="458"/>
      <c r="AC35" s="456">
        <f>'F-B5'!X64/'F-B5'!$AE64*100</f>
        <v>0.75154350248992785</v>
      </c>
      <c r="AD35" s="456">
        <f>'F-B6'!Q64/'F-B6'!$X64*100</f>
        <v>1.7906776253556207</v>
      </c>
      <c r="AE35" s="456">
        <f>('C1-Incomes'!JP38-'C1-Incomes'!JQ38)/('C1-Incomes'!$S38-'C1-Incomes'!$T38)*100</f>
        <v>2.357933667887905</v>
      </c>
      <c r="AF35" s="456">
        <f>('C1-Incomes'!JQ38-'C1-Incomes'!JR38)/('C1-Incomes'!$T38-'C1-Incomes'!$U38)*100</f>
        <v>2.92448857262842</v>
      </c>
      <c r="AG35" s="456">
        <f>('C1-Incomes'!JR38-'C1-Incomes'!JS38)/('C1-Incomes'!$U38-'C1-Incomes'!$V38)*100</f>
        <v>3.6124013878792063</v>
      </c>
      <c r="AH35" s="456">
        <f>('C1-Incomes'!JS38-'C1-Incomes'!JT38)/('C1-Incomes'!$V38-'C1-Incomes'!$W38)*100</f>
        <v>4.1238919571844059</v>
      </c>
      <c r="AI35" s="456">
        <f>('C1-Incomes'!JT38-'C1-Incomes'!JU38)/('C1-Incomes'!$W38-'C1-Incomes'!$X38)*100</f>
        <v>4.5219255184462703</v>
      </c>
      <c r="AJ35" s="456">
        <f>'C1-Incomes'!JU38/'C1-Incomes'!$X38*100</f>
        <v>4.8159237149329419</v>
      </c>
      <c r="AK35" s="458"/>
      <c r="AL35" s="456">
        <f>'F-B5'!Y64/'F-B5'!$AE64*100</f>
        <v>1.4094158340806322</v>
      </c>
      <c r="AM35" s="456">
        <f>'F-B6'!R64/'F-B6'!$X64*100</f>
        <v>2.2295900952572207</v>
      </c>
      <c r="AN35" s="456">
        <f>('C1-Incomes'!JX38-'C1-Incomes'!JY38)/('C1-Incomes'!$S38-'C1-Incomes'!$T38)*100</f>
        <v>2.4429898431362362</v>
      </c>
      <c r="AO35" s="456">
        <f>('C1-Incomes'!JY38-'C1-Incomes'!JZ38)/('C1-Incomes'!$T38-'C1-Incomes'!$U38)*100</f>
        <v>2.7692142838820435</v>
      </c>
      <c r="AP35" s="456">
        <f>('C1-Incomes'!JZ38-'C1-Incomes'!KA38)/('C1-Incomes'!$U38-'C1-Incomes'!$V38)*100</f>
        <v>2.6248597470810182</v>
      </c>
      <c r="AQ35" s="456">
        <f>('C1-Incomes'!KA38-'C1-Incomes'!KB38)/('C1-Incomes'!$V38-'C1-Incomes'!$W38)*100</f>
        <v>2.7015995258308139</v>
      </c>
      <c r="AR35" s="456">
        <f>('C1-Incomes'!KB38-'C1-Incomes'!KC38)/('C1-Incomes'!$W38-'C1-Incomes'!$X38)*100</f>
        <v>3.1103851139610126</v>
      </c>
      <c r="AS35" s="456">
        <f>'C1-Incomes'!KC38/'C1-Incomes'!$X38*100</f>
        <v>3.7192634153800039</v>
      </c>
      <c r="AT35" s="458"/>
      <c r="AU35" s="456">
        <f>'F-B5'!Z64/'F-B5'!$AE64*100</f>
        <v>1.8513258605934126</v>
      </c>
      <c r="AV35" s="456">
        <f>'F-B6'!S64/'F-B6'!$X64*100</f>
        <v>3.0126677916589943</v>
      </c>
      <c r="AW35" s="456">
        <f>('C1-Incomes'!KF38-'C1-Incomes'!KG38)/('C1-Incomes'!$S38-'C1-Incomes'!$T38)*100</f>
        <v>3.3617251226124174</v>
      </c>
      <c r="AX35" s="456">
        <f>('C1-Incomes'!KG38-'C1-Incomes'!KH38)/('C1-Incomes'!$T38-'C1-Incomes'!$U38)*100</f>
        <v>3.6622115023152406</v>
      </c>
      <c r="AY35" s="456">
        <f>('C1-Incomes'!KH38-'C1-Incomes'!KI38)/('C1-Incomes'!$U38-'C1-Incomes'!$V38)*100</f>
        <v>3.6635858149534801</v>
      </c>
      <c r="AZ35" s="456">
        <f>('C1-Incomes'!KI38-'C1-Incomes'!KJ38)/('C1-Incomes'!$V38-'C1-Incomes'!$W38)*100</f>
        <v>3.5502407463129484</v>
      </c>
      <c r="BA35" s="456">
        <f>('C1-Incomes'!KJ38-'C1-Incomes'!KK38)/('C1-Incomes'!$W38-'C1-Incomes'!$X38)*100</f>
        <v>3.5099423462305568</v>
      </c>
      <c r="BB35" s="456">
        <f>'C1-Incomes'!KK38/'C1-Incomes'!$X38*100</f>
        <v>3.7264326666612031</v>
      </c>
      <c r="BD35" s="456">
        <f>'F-B5'!AA64/'F-B5'!$AE64*100</f>
        <v>6.7624633366771949</v>
      </c>
      <c r="BE35" s="456">
        <f>'F-B6'!T64/'F-B6'!$X64*100</f>
        <v>9.0512707977391251</v>
      </c>
      <c r="BF35" s="456">
        <f>('C1-Incomes'!KN38-'C1-Incomes'!KO38)/('C1-Incomes'!$S38-'C1-Incomes'!$T38)*100</f>
        <v>7.56249319870658</v>
      </c>
      <c r="BG35" s="456">
        <f>('C1-Incomes'!KO38-'C1-Incomes'!KP38)/('C1-Incomes'!$T38-'C1-Incomes'!$U38)*100</f>
        <v>5.3966741750410323</v>
      </c>
      <c r="BH35" s="456">
        <f>('C1-Incomes'!KP38-'C1-Incomes'!KQ38)/('C1-Incomes'!$U38-'C1-Incomes'!$V38)*100</f>
        <v>2.8648570121784682</v>
      </c>
      <c r="BI35" s="456">
        <f>('C1-Incomes'!KQ38-'C1-Incomes'!KR38)/('C1-Incomes'!$V38-'C1-Incomes'!$W38)*100</f>
        <v>1.5534071856400455</v>
      </c>
      <c r="BJ35" s="456">
        <f>('C1-Incomes'!KR38-'C1-Incomes'!KS38)/('C1-Incomes'!$W38-'C1-Incomes'!$X38)*100</f>
        <v>0.54907450674901948</v>
      </c>
      <c r="BK35" s="456">
        <f>'C1-Incomes'!KS38/'C1-Incomes'!$X38*100</f>
        <v>9.8740870655030732E-2</v>
      </c>
      <c r="BL35" s="456"/>
      <c r="BM35" s="456">
        <f>'F-B5'!AC64/'F-B5'!$AE64*100</f>
        <v>0.23880644526532344</v>
      </c>
      <c r="BN35" s="456">
        <f>'F-B6'!V64/'F-B6'!$X64*100</f>
        <v>0.15705484532098352</v>
      </c>
      <c r="BO35" s="456">
        <f>('C1-Incomes'!LL38-'C1-Incomes'!LM38)/('C1-Incomes'!$S38-'C1-Incomes'!$T38)*100</f>
        <v>0.29730324343171222</v>
      </c>
      <c r="BP35" s="456">
        <f>('C1-Incomes'!LM38-'C1-Incomes'!LN38)/('C1-Incomes'!$T38-'C1-Incomes'!$U38)*100</f>
        <v>0.53371378079378695</v>
      </c>
      <c r="BQ35" s="456">
        <f>('C1-Incomes'!LN38-'C1-Incomes'!LO38)/('C1-Incomes'!$U38-'C1-Incomes'!$V38)*100</f>
        <v>0.82678677924246846</v>
      </c>
      <c r="BR35" s="456">
        <f>('C1-Incomes'!LO38-'C1-Incomes'!LP38)/('C1-Incomes'!$V38-'C1-Incomes'!$W38)*100</f>
        <v>0.88149905731627287</v>
      </c>
      <c r="BS35" s="456">
        <f>('C1-Incomes'!LP38-'C1-Incomes'!LQ38)/('C1-Incomes'!$W38-'C1-Incomes'!$X38)*100</f>
        <v>0.88028860377034357</v>
      </c>
      <c r="BT35" s="456">
        <f>'C1-Incomes'!LQ38/'C1-Incomes'!$X38*100</f>
        <v>1.0656538354471625</v>
      </c>
      <c r="BV35" s="456">
        <f>'F-B5'!AB64/'F-B5'!$AE64*100</f>
        <v>4.2710286481078592</v>
      </c>
      <c r="BW35" s="456">
        <f>'F-B6'!U64/'F-B6'!$X64*100</f>
        <v>5.8454653909548053</v>
      </c>
      <c r="BX35" s="456">
        <f>('C1-Incomes'!KV38-'C1-Incomes'!KW38)/('C1-Incomes'!$S38-'C1-Incomes'!$T38)*100</f>
        <v>5.1452429517259972</v>
      </c>
      <c r="BY35" s="456">
        <f>('C1-Incomes'!KW38-'C1-Incomes'!KX38)/('C1-Incomes'!$T38-'C1-Incomes'!$U38)*100</f>
        <v>4.3366600744579182</v>
      </c>
      <c r="BZ35" s="456">
        <f>('C1-Incomes'!KX38-'C1-Incomes'!KY38)/('C1-Incomes'!$U38-'C1-Incomes'!$V38)*100</f>
        <v>3.4424563430680162</v>
      </c>
      <c r="CA35" s="456">
        <f>('C1-Incomes'!KY38-'C1-Incomes'!KZ38)/('C1-Incomes'!$V38-'C1-Incomes'!$W38)*100</f>
        <v>3.0689867568746059</v>
      </c>
      <c r="CB35" s="456">
        <f>('C1-Incomes'!KZ38-'C1-Incomes'!LA38)/('C1-Incomes'!$W38-'C1-Incomes'!$X38)*100</f>
        <v>3.0073953189320681</v>
      </c>
      <c r="CC35" s="456">
        <f>'C1-Incomes'!LA38/'C1-Incomes'!$X38*100</f>
        <v>2.8431430536076938</v>
      </c>
    </row>
    <row r="36" spans="1:84" s="452" customFormat="1" ht="12" x14ac:dyDescent="0.25">
      <c r="A36" s="239">
        <v>1991</v>
      </c>
      <c r="B36" s="456">
        <f t="shared" si="6"/>
        <v>16.969472276531935</v>
      </c>
      <c r="C36" s="456">
        <f t="shared" si="7"/>
        <v>29.144801402396727</v>
      </c>
      <c r="D36" s="456">
        <f t="shared" si="8"/>
        <v>31.56695937583568</v>
      </c>
      <c r="E36" s="456">
        <f t="shared" si="9"/>
        <v>32.986631896621908</v>
      </c>
      <c r="F36" s="456">
        <f t="shared" si="10"/>
        <v>34.693589203216142</v>
      </c>
      <c r="G36" s="456">
        <f t="shared" si="11"/>
        <v>35.63000892909487</v>
      </c>
      <c r="H36" s="456">
        <f t="shared" si="12"/>
        <v>38.294243496308262</v>
      </c>
      <c r="I36" s="456">
        <f t="shared" si="13"/>
        <v>40.082693871520206</v>
      </c>
      <c r="J36" s="456"/>
      <c r="K36" s="456">
        <f t="shared" si="14"/>
        <v>10.178328682640823</v>
      </c>
      <c r="L36" s="456">
        <f t="shared" si="15"/>
        <v>20.152699184368785</v>
      </c>
      <c r="M36" s="456">
        <f t="shared" si="16"/>
        <v>24.041930445309006</v>
      </c>
      <c r="N36" s="456">
        <f t="shared" si="17"/>
        <v>27.329108456259071</v>
      </c>
      <c r="O36" s="456">
        <f t="shared" si="18"/>
        <v>31.376720102327084</v>
      </c>
      <c r="P36" s="456">
        <f t="shared" si="19"/>
        <v>33.747086029575478</v>
      </c>
      <c r="Q36" s="456">
        <f t="shared" si="20"/>
        <v>37.616721646770316</v>
      </c>
      <c r="R36" s="456">
        <f t="shared" si="21"/>
        <v>39.96056930681128</v>
      </c>
      <c r="S36" s="456"/>
      <c r="T36" s="456">
        <f>'F-B5'!W65/'F-B5'!$AE65*100</f>
        <v>1.9717211480134125</v>
      </c>
      <c r="U36" s="456">
        <f>'F-B6'!P65/'F-B6'!$X65*100</f>
        <v>7.1574004691355819</v>
      </c>
      <c r="V36" s="456">
        <f>('C1-Incomes'!JH39-'C1-Incomes'!JI39)/('C1-Incomes'!$S39-'C1-Incomes'!$T39)*100</f>
        <v>10.134061326337667</v>
      </c>
      <c r="W36" s="456">
        <f>('C1-Incomes'!JI39-'C1-Incomes'!JJ39)/('C1-Incomes'!$T39-'C1-Incomes'!$U39)*100</f>
        <v>12.770159797527251</v>
      </c>
      <c r="X36" s="456">
        <f>('C1-Incomes'!JJ39-'C1-Incomes'!JK39)/('C1-Incomes'!$U39-'C1-Incomes'!$V39)*100</f>
        <v>16.662650816276457</v>
      </c>
      <c r="Y36" s="456">
        <f>('C1-Incomes'!JK39-'C1-Incomes'!JL39)/('C1-Incomes'!$V39-'C1-Incomes'!$W39)*100</f>
        <v>18.90347646353159</v>
      </c>
      <c r="Z36" s="456">
        <f>('C1-Incomes'!JL39-'C1-Incomes'!JM39)/('C1-Incomes'!$W39-'C1-Incomes'!$X39)*100</f>
        <v>21.532696253800225</v>
      </c>
      <c r="AA36" s="456">
        <f>'C1-Incomes'!JM39/'C1-Incomes'!$X39*100</f>
        <v>22.450499320238507</v>
      </c>
      <c r="AB36" s="458"/>
      <c r="AC36" s="456">
        <f>'F-B5'!X65/'F-B5'!$AE65*100</f>
        <v>0.66666319403396512</v>
      </c>
      <c r="AD36" s="456">
        <f>'F-B6'!Q65/'F-B6'!$X65*100</f>
        <v>1.7668097698544609</v>
      </c>
      <c r="AE36" s="456">
        <f>('C1-Incomes'!JP39-'C1-Incomes'!JQ39)/('C1-Incomes'!$S39-'C1-Incomes'!$T39)*100</f>
        <v>2.3609867058747813</v>
      </c>
      <c r="AF36" s="456">
        <f>('C1-Incomes'!JQ39-'C1-Incomes'!JR39)/('C1-Incomes'!$T39-'C1-Incomes'!$U39)*100</f>
        <v>2.9310778560607464</v>
      </c>
      <c r="AG36" s="456">
        <f>('C1-Incomes'!JR39-'C1-Incomes'!JS39)/('C1-Incomes'!$U39-'C1-Incomes'!$V39)*100</f>
        <v>3.6682581113608679</v>
      </c>
      <c r="AH36" s="456">
        <f>('C1-Incomes'!JS39-'C1-Incomes'!JT39)/('C1-Incomes'!$V39-'C1-Incomes'!$W39)*100</f>
        <v>4.0236024603576652</v>
      </c>
      <c r="AI36" s="456">
        <f>('C1-Incomes'!JT39-'C1-Incomes'!JU39)/('C1-Incomes'!$W39-'C1-Incomes'!$X39)*100</f>
        <v>4.6658058492244532</v>
      </c>
      <c r="AJ36" s="456">
        <f>'C1-Incomes'!JU39/'C1-Incomes'!$X39*100</f>
        <v>4.9708804633143657</v>
      </c>
      <c r="AK36" s="458"/>
      <c r="AL36" s="456">
        <f>'F-B5'!Y65/'F-B5'!$AE65*100</f>
        <v>1.2058325992061185</v>
      </c>
      <c r="AM36" s="456">
        <f>'F-B6'!R65/'F-B6'!$X65*100</f>
        <v>1.9562451852334362</v>
      </c>
      <c r="AN36" s="456">
        <f>('C1-Incomes'!JX39-'C1-Incomes'!JY39)/('C1-Incomes'!$S39-'C1-Incomes'!$T39)*100</f>
        <v>2.4067266615652976</v>
      </c>
      <c r="AO36" s="456">
        <f>('C1-Incomes'!JY39-'C1-Incomes'!JZ39)/('C1-Incomes'!$T39-'C1-Incomes'!$U39)*100</f>
        <v>2.7933346766482661</v>
      </c>
      <c r="AP36" s="456">
        <f>('C1-Incomes'!JZ39-'C1-Incomes'!KA39)/('C1-Incomes'!$U39-'C1-Incomes'!$V39)*100</f>
        <v>2.7227390027535896</v>
      </c>
      <c r="AQ36" s="456">
        <f>('C1-Incomes'!KA39-'C1-Incomes'!KB39)/('C1-Incomes'!$V39-'C1-Incomes'!$W39)*100</f>
        <v>2.8765639369218547</v>
      </c>
      <c r="AR36" s="456">
        <f>('C1-Incomes'!KB39-'C1-Incomes'!KC39)/('C1-Incomes'!$W39-'C1-Incomes'!$X39)*100</f>
        <v>3.3927054886354884</v>
      </c>
      <c r="AS36" s="456">
        <f>'C1-Incomes'!KC39/'C1-Incomes'!$X39*100</f>
        <v>4.2444291553125284</v>
      </c>
      <c r="AT36" s="458"/>
      <c r="AU36" s="456">
        <f>'F-B5'!Z65/'F-B5'!$AE65*100</f>
        <v>1.8391538960527414</v>
      </c>
      <c r="AV36" s="456">
        <f>'F-B6'!S65/'F-B6'!$X65*100</f>
        <v>3.0932649419841822</v>
      </c>
      <c r="AW36" s="456">
        <f>('C1-Incomes'!KF39-'C1-Incomes'!KG39)/('C1-Incomes'!$S39-'C1-Incomes'!$T39)*100</f>
        <v>3.6191092903089555</v>
      </c>
      <c r="AX36" s="456">
        <f>('C1-Incomes'!KG39-'C1-Incomes'!KH39)/('C1-Incomes'!$T39-'C1-Incomes'!$U39)*100</f>
        <v>3.9526964477593922</v>
      </c>
      <c r="AY36" s="456">
        <f>('C1-Incomes'!KH39-'C1-Incomes'!KI39)/('C1-Incomes'!$U39-'C1-Incomes'!$V39)*100</f>
        <v>3.9849067831707154</v>
      </c>
      <c r="AZ36" s="456">
        <f>('C1-Incomes'!KI39-'C1-Incomes'!KJ39)/('C1-Incomes'!$V39-'C1-Incomes'!$W39)*100</f>
        <v>4.0039824522060554</v>
      </c>
      <c r="BA36" s="456">
        <f>('C1-Incomes'!KJ39-'C1-Incomes'!KK39)/('C1-Incomes'!$W39-'C1-Incomes'!$X39)*100</f>
        <v>4.2157717290748975</v>
      </c>
      <c r="BB36" s="456">
        <f>'C1-Incomes'!KK39/'C1-Incomes'!$X39*100</f>
        <v>4.4857092500753648</v>
      </c>
      <c r="BD36" s="456">
        <f>'F-B5'!AA65/'F-B5'!$AE65*100</f>
        <v>6.7911435938911104</v>
      </c>
      <c r="BE36" s="456">
        <f>'F-B6'!T65/'F-B6'!$X65*100</f>
        <v>8.9921022180279397</v>
      </c>
      <c r="BF36" s="456">
        <f>('C1-Incomes'!KN39-'C1-Incomes'!KO39)/('C1-Incomes'!$S39-'C1-Incomes'!$T39)*100</f>
        <v>7.5250289305266742</v>
      </c>
      <c r="BG36" s="456">
        <f>('C1-Incomes'!KO39-'C1-Incomes'!KP39)/('C1-Incomes'!$T39-'C1-Incomes'!$U39)*100</f>
        <v>5.6575234403628345</v>
      </c>
      <c r="BH36" s="456">
        <f>('C1-Incomes'!KP39-'C1-Incomes'!KQ39)/('C1-Incomes'!$U39-'C1-Incomes'!$V39)*100</f>
        <v>3.3168691008890527</v>
      </c>
      <c r="BI36" s="456">
        <f>('C1-Incomes'!KQ39-'C1-Incomes'!KR39)/('C1-Incomes'!$V39-'C1-Incomes'!$W39)*100</f>
        <v>1.8829228995193945</v>
      </c>
      <c r="BJ36" s="456">
        <f>('C1-Incomes'!KR39-'C1-Incomes'!KS39)/('C1-Incomes'!$W39-'C1-Incomes'!$X39)*100</f>
        <v>0.67752184953794814</v>
      </c>
      <c r="BK36" s="456">
        <f>'C1-Incomes'!KS39/'C1-Incomes'!$X39*100</f>
        <v>0.12212456470893063</v>
      </c>
      <c r="BL36" s="456"/>
      <c r="BM36" s="456">
        <f>'F-B5'!AC65/'F-B5'!$AE65*100</f>
        <v>0.22509175911500481</v>
      </c>
      <c r="BN36" s="456">
        <f>'F-B6'!V65/'F-B6'!$X65*100</f>
        <v>0.14805594170784331</v>
      </c>
      <c r="BO36" s="456">
        <f>('C1-Incomes'!LL39-'C1-Incomes'!LM39)/('C1-Incomes'!$S39-'C1-Incomes'!$T39)*100</f>
        <v>0.28547516989605159</v>
      </c>
      <c r="BP36" s="456">
        <f>('C1-Incomes'!LM39-'C1-Incomes'!LN39)/('C1-Incomes'!$T39-'C1-Incomes'!$U39)*100</f>
        <v>0.50776543731237722</v>
      </c>
      <c r="BQ36" s="456">
        <f>('C1-Incomes'!LN39-'C1-Incomes'!LO39)/('C1-Incomes'!$U39-'C1-Incomes'!$V39)*100</f>
        <v>0.80367562197822129</v>
      </c>
      <c r="BR36" s="456">
        <f>('C1-Incomes'!LO39-'C1-Incomes'!LP39)/('C1-Incomes'!$V39-'C1-Incomes'!$W39)*100</f>
        <v>0.86228947592000926</v>
      </c>
      <c r="BS36" s="456">
        <f>('C1-Incomes'!LP39-'C1-Incomes'!LQ39)/('C1-Incomes'!$W39-'C1-Incomes'!$X39)*100</f>
        <v>0.89357451083645778</v>
      </c>
      <c r="BT36" s="456">
        <f>'C1-Incomes'!LQ39/'C1-Incomes'!$X39*100</f>
        <v>1.0953375135765411</v>
      </c>
      <c r="BV36" s="456">
        <f>'F-B5'!AB65/'F-B5'!$AE65*100</f>
        <v>4.2698660862195812</v>
      </c>
      <c r="BW36" s="456">
        <f>'F-B6'!U65/'F-B6'!$X65*100</f>
        <v>6.030922876453281</v>
      </c>
      <c r="BX36" s="456">
        <f>('C1-Incomes'!KV39-'C1-Incomes'!KW39)/('C1-Incomes'!$S39-'C1-Incomes'!$T39)*100</f>
        <v>5.235571291326254</v>
      </c>
      <c r="BY36" s="456">
        <f>('C1-Incomes'!KW39-'C1-Incomes'!KX39)/('C1-Incomes'!$T39-'C1-Incomes'!$U39)*100</f>
        <v>4.3740742409510398</v>
      </c>
      <c r="BZ36" s="456">
        <f>('C1-Incomes'!KX39-'C1-Incomes'!KY39)/('C1-Incomes'!$U39-'C1-Incomes'!$V39)*100</f>
        <v>3.534489766787237</v>
      </c>
      <c r="CA36" s="456">
        <f>('C1-Incomes'!KY39-'C1-Incomes'!KZ39)/('C1-Incomes'!$V39-'C1-Incomes'!$W39)*100</f>
        <v>3.0771712406383007</v>
      </c>
      <c r="CB36" s="456">
        <f>('C1-Incomes'!KZ39-'C1-Incomes'!LA39)/('C1-Incomes'!$W39-'C1-Incomes'!$X39)*100</f>
        <v>2.9161678151987895</v>
      </c>
      <c r="CC36" s="456">
        <f>'C1-Incomes'!LA39/'C1-Incomes'!$X39*100</f>
        <v>2.7137136042939751</v>
      </c>
    </row>
    <row r="37" spans="1:84" s="452" customFormat="1" ht="12" x14ac:dyDescent="0.25">
      <c r="A37" s="239">
        <v>1992</v>
      </c>
      <c r="B37" s="456">
        <f t="shared" si="6"/>
        <v>15.828051494735233</v>
      </c>
      <c r="C37" s="456">
        <f t="shared" si="7"/>
        <v>28.605325530591308</v>
      </c>
      <c r="D37" s="456">
        <f t="shared" si="8"/>
        <v>31.358952667192369</v>
      </c>
      <c r="E37" s="456">
        <f t="shared" si="9"/>
        <v>32.998955158110114</v>
      </c>
      <c r="F37" s="456">
        <f t="shared" si="10"/>
        <v>34.85523232668109</v>
      </c>
      <c r="G37" s="456">
        <f t="shared" si="11"/>
        <v>36.346203520105583</v>
      </c>
      <c r="H37" s="456">
        <f t="shared" si="12"/>
        <v>39.603390791751487</v>
      </c>
      <c r="I37" s="456">
        <f t="shared" si="13"/>
        <v>41.9283767414491</v>
      </c>
      <c r="J37" s="456"/>
      <c r="K37" s="456">
        <f t="shared" si="14"/>
        <v>9.4818540984475437</v>
      </c>
      <c r="L37" s="456">
        <f t="shared" si="15"/>
        <v>19.605309603725807</v>
      </c>
      <c r="M37" s="456">
        <f t="shared" si="16"/>
        <v>23.58159266635457</v>
      </c>
      <c r="N37" s="456">
        <f t="shared" si="17"/>
        <v>27.060381431509491</v>
      </c>
      <c r="O37" s="456">
        <f t="shared" si="18"/>
        <v>31.355197090718004</v>
      </c>
      <c r="P37" s="456">
        <f t="shared" si="19"/>
        <v>34.38016269477216</v>
      </c>
      <c r="Q37" s="456">
        <f t="shared" si="20"/>
        <v>38.919973553238563</v>
      </c>
      <c r="R37" s="456">
        <f t="shared" si="21"/>
        <v>41.812561302077988</v>
      </c>
      <c r="S37" s="456"/>
      <c r="T37" s="456">
        <f>'F-B5'!W66/'F-B5'!$AE66*100</f>
        <v>1.6834501842531924</v>
      </c>
      <c r="U37" s="456">
        <f>'F-B6'!P66/'F-B6'!$X66*100</f>
        <v>6.6731114773961835</v>
      </c>
      <c r="V37" s="456">
        <f>('C1-Incomes'!JH40-'C1-Incomes'!JI40)/('C1-Incomes'!$S40-'C1-Incomes'!$T40)*100</f>
        <v>9.5246408962737661</v>
      </c>
      <c r="W37" s="456">
        <f>('C1-Incomes'!JI40-'C1-Incomes'!JJ40)/('C1-Incomes'!$T40-'C1-Incomes'!$U40)*100</f>
        <v>12.175152042204139</v>
      </c>
      <c r="X37" s="456">
        <f>('C1-Incomes'!JJ40-'C1-Incomes'!JK40)/('C1-Incomes'!$U40-'C1-Incomes'!$V40)*100</f>
        <v>16.316527415231057</v>
      </c>
      <c r="Y37" s="456">
        <f>('C1-Incomes'!JK40-'C1-Incomes'!JL40)/('C1-Incomes'!$V40-'C1-Incomes'!$W40)*100</f>
        <v>19.157664018636442</v>
      </c>
      <c r="Z37" s="456">
        <f>('C1-Incomes'!JL40-'C1-Incomes'!JM40)/('C1-Incomes'!$W40-'C1-Incomes'!$X40)*100</f>
        <v>22.298202653261249</v>
      </c>
      <c r="AA37" s="456">
        <f>'C1-Incomes'!JM40/'C1-Incomes'!$X40*100</f>
        <v>23.99471789975064</v>
      </c>
      <c r="AB37" s="458"/>
      <c r="AC37" s="456">
        <f>'F-B5'!X66/'F-B5'!$AE66*100</f>
        <v>0.6096101804154761</v>
      </c>
      <c r="AD37" s="456">
        <f>'F-B6'!Q66/'F-B6'!$X66*100</f>
        <v>1.7452080556689735</v>
      </c>
      <c r="AE37" s="456">
        <f>('C1-Incomes'!JP40-'C1-Incomes'!JQ40)/('C1-Incomes'!$S40-'C1-Incomes'!$T40)*100</f>
        <v>2.3212431245728795</v>
      </c>
      <c r="AF37" s="456">
        <f>('C1-Incomes'!JQ40-'C1-Incomes'!JR40)/('C1-Incomes'!$T40-'C1-Incomes'!$U40)*100</f>
        <v>3.0369536317136911</v>
      </c>
      <c r="AG37" s="456">
        <f>('C1-Incomes'!JR40-'C1-Incomes'!JS40)/('C1-Incomes'!$U40-'C1-Incomes'!$V40)*100</f>
        <v>3.7696737491073731</v>
      </c>
      <c r="AH37" s="456">
        <f>('C1-Incomes'!JS40-'C1-Incomes'!JT40)/('C1-Incomes'!$V40-'C1-Incomes'!$W40)*100</f>
        <v>4.1879282076582331</v>
      </c>
      <c r="AI37" s="456">
        <f>('C1-Incomes'!JT40-'C1-Incomes'!JU40)/('C1-Incomes'!$W40-'C1-Incomes'!$X40)*100</f>
        <v>4.8998088262266242</v>
      </c>
      <c r="AJ37" s="456">
        <f>'C1-Incomes'!JU40/'C1-Incomes'!$X40*100</f>
        <v>5.0395267463674429</v>
      </c>
      <c r="AK37" s="458"/>
      <c r="AL37" s="456">
        <f>'F-B5'!Y66/'F-B5'!$AE66*100</f>
        <v>1.1910390785461709</v>
      </c>
      <c r="AM37" s="456">
        <f>'F-B6'!R66/'F-B6'!$X66*100</f>
        <v>1.9779013739540952</v>
      </c>
      <c r="AN37" s="456">
        <f>('C1-Incomes'!JX40-'C1-Incomes'!JY40)/('C1-Incomes'!$S40-'C1-Incomes'!$T40)*100</f>
        <v>2.6111431155291283</v>
      </c>
      <c r="AO37" s="456">
        <f>('C1-Incomes'!JY40-'C1-Incomes'!JZ40)/('C1-Incomes'!$T40-'C1-Incomes'!$U40)*100</f>
        <v>3.111572839669158</v>
      </c>
      <c r="AP37" s="456">
        <f>('C1-Incomes'!JZ40-'C1-Incomes'!KA40)/('C1-Incomes'!$U40-'C1-Incomes'!$V40)*100</f>
        <v>2.9998468377987342</v>
      </c>
      <c r="AQ37" s="456">
        <f>('C1-Incomes'!KA40-'C1-Incomes'!KB40)/('C1-Incomes'!$V40-'C1-Incomes'!$W40)*100</f>
        <v>3.0448167820158636</v>
      </c>
      <c r="AR37" s="456">
        <f>('C1-Incomes'!KB40-'C1-Incomes'!KC40)/('C1-Incomes'!$W40-'C1-Incomes'!$X40)*100</f>
        <v>3.6875282711103576</v>
      </c>
      <c r="AS37" s="456">
        <f>'C1-Incomes'!KC40/'C1-Incomes'!$X40*100</f>
        <v>4.5432745811517909</v>
      </c>
      <c r="AT37" s="458"/>
      <c r="AU37" s="456">
        <f>'F-B5'!Z66/'F-B5'!$AE66*100</f>
        <v>1.723729598955466</v>
      </c>
      <c r="AV37" s="456">
        <f>'F-B6'!S66/'F-B6'!$X66*100</f>
        <v>3.0178838422264205</v>
      </c>
      <c r="AW37" s="456">
        <f>('C1-Incomes'!KF40-'C1-Incomes'!KG40)/('C1-Incomes'!$S40-'C1-Incomes'!$T40)*100</f>
        <v>3.6290523158562698</v>
      </c>
      <c r="AX37" s="456">
        <f>('C1-Incomes'!KG40-'C1-Incomes'!KH40)/('C1-Incomes'!$T40-'C1-Incomes'!$U40)*100</f>
        <v>3.939834010897044</v>
      </c>
      <c r="AY37" s="456">
        <f>('C1-Incomes'!KH40-'C1-Incomes'!KI40)/('C1-Incomes'!$U40-'C1-Incomes'!$V40)*100</f>
        <v>4.0361090431106224</v>
      </c>
      <c r="AZ37" s="456">
        <f>('C1-Incomes'!KI40-'C1-Incomes'!KJ40)/('C1-Incomes'!$V40-'C1-Incomes'!$W40)*100</f>
        <v>4.043649827362227</v>
      </c>
      <c r="BA37" s="456">
        <f>('C1-Incomes'!KJ40-'C1-Incomes'!KK40)/('C1-Incomes'!$W40-'C1-Incomes'!$X40)*100</f>
        <v>4.1817856074430111</v>
      </c>
      <c r="BB37" s="456">
        <f>'C1-Incomes'!KK40/'C1-Incomes'!$X40*100</f>
        <v>4.404663477020188</v>
      </c>
      <c r="BD37" s="456">
        <f>'F-B5'!AA66/'F-B5'!$AE66*100</f>
        <v>6.3461973962876863</v>
      </c>
      <c r="BE37" s="456">
        <f>'F-B6'!T66/'F-B6'!$X66*100</f>
        <v>9.0000159268655011</v>
      </c>
      <c r="BF37" s="456">
        <f>('C1-Incomes'!KN40-'C1-Incomes'!KO40)/('C1-Incomes'!$S40-'C1-Incomes'!$T40)*100</f>
        <v>7.7773600008377981</v>
      </c>
      <c r="BG37" s="456">
        <f>('C1-Incomes'!KO40-'C1-Incomes'!KP40)/('C1-Incomes'!$T40-'C1-Incomes'!$U40)*100</f>
        <v>5.9385737266006249</v>
      </c>
      <c r="BH37" s="456">
        <f>('C1-Incomes'!KP40-'C1-Incomes'!KQ40)/('C1-Incomes'!$U40-'C1-Incomes'!$V40)*100</f>
        <v>3.500035235963086</v>
      </c>
      <c r="BI37" s="456">
        <f>('C1-Incomes'!KQ40-'C1-Incomes'!KR40)/('C1-Incomes'!$V40-'C1-Incomes'!$W40)*100</f>
        <v>1.9660408253334209</v>
      </c>
      <c r="BJ37" s="456">
        <f>('C1-Incomes'!KR40-'C1-Incomes'!KS40)/('C1-Incomes'!$W40-'C1-Incomes'!$X40)*100</f>
        <v>0.68341723851292047</v>
      </c>
      <c r="BK37" s="456">
        <f>'C1-Incomes'!KS40/'C1-Incomes'!$X40*100</f>
        <v>0.11581543937111485</v>
      </c>
      <c r="BL37" s="456"/>
      <c r="BM37" s="456">
        <f>'F-B5'!AC66/'F-B5'!$AE66*100</f>
        <v>0.21021326112230779</v>
      </c>
      <c r="BN37" s="456">
        <f>'F-B6'!V66/'F-B6'!$X66*100</f>
        <v>0.14223836107320048</v>
      </c>
      <c r="BO37" s="456">
        <f>('C1-Incomes'!LL40-'C1-Incomes'!LM40)/('C1-Incomes'!$S40-'C1-Incomes'!$T40)*100</f>
        <v>0.2670845958330329</v>
      </c>
      <c r="BP37" s="456">
        <f>('C1-Incomes'!LM40-'C1-Incomes'!LN40)/('C1-Incomes'!$T40-'C1-Incomes'!$U40)*100</f>
        <v>0.48156811815053457</v>
      </c>
      <c r="BQ37" s="456">
        <f>('C1-Incomes'!LN40-'C1-Incomes'!LO40)/('C1-Incomes'!$U40-'C1-Incomes'!$V40)*100</f>
        <v>0.73698366360237122</v>
      </c>
      <c r="BR37" s="456">
        <f>('C1-Incomes'!LO40-'C1-Incomes'!LP40)/('C1-Incomes'!$V40-'C1-Incomes'!$W40)*100</f>
        <v>0.79929699691798028</v>
      </c>
      <c r="BS37" s="456">
        <f>('C1-Incomes'!LP40-'C1-Incomes'!LQ40)/('C1-Incomes'!$W40-'C1-Incomes'!$X40)*100</f>
        <v>0.7964271239472841</v>
      </c>
      <c r="BT37" s="456">
        <f>'C1-Incomes'!LQ40/'C1-Incomes'!$X40*100</f>
        <v>0.93523320546447886</v>
      </c>
      <c r="BV37" s="456">
        <f>'F-B5'!AB66/'F-B5'!$AE66*100</f>
        <v>4.0638117951549324</v>
      </c>
      <c r="BW37" s="456">
        <f>'F-B6'!U66/'F-B6'!$X66*100</f>
        <v>6.0489664934069323</v>
      </c>
      <c r="BX37" s="456">
        <f>('C1-Incomes'!KV40-'C1-Incomes'!KW40)/('C1-Incomes'!$S40-'C1-Incomes'!$T40)*100</f>
        <v>5.2284286182894961</v>
      </c>
      <c r="BY37" s="456">
        <f>('C1-Incomes'!KW40-'C1-Incomes'!KX40)/('C1-Incomes'!$T40-'C1-Incomes'!$U40)*100</f>
        <v>4.3153007888749224</v>
      </c>
      <c r="BZ37" s="456">
        <f>('C1-Incomes'!KX40-'C1-Incomes'!KY40)/('C1-Incomes'!$U40-'C1-Incomes'!$V40)*100</f>
        <v>3.4960563818678452</v>
      </c>
      <c r="CA37" s="456">
        <f>('C1-Incomes'!KY40-'C1-Incomes'!KZ40)/('C1-Incomes'!$V40-'C1-Incomes'!$W40)*100</f>
        <v>3.1468068621814131</v>
      </c>
      <c r="CB37" s="456">
        <f>('C1-Incomes'!KZ40-'C1-Incomes'!LA40)/('C1-Incomes'!$W40-'C1-Incomes'!$X40)*100</f>
        <v>3.0562210712500386</v>
      </c>
      <c r="CC37" s="456">
        <f>'C1-Incomes'!LA40/'C1-Incomes'!$X40*100</f>
        <v>2.8951453923234514</v>
      </c>
      <c r="CE37" s="519"/>
      <c r="CF37" s="519"/>
    </row>
    <row r="38" spans="1:84" s="452" customFormat="1" ht="12" x14ac:dyDescent="0.25">
      <c r="A38" s="239">
        <v>1993</v>
      </c>
      <c r="B38" s="456">
        <f t="shared" si="6"/>
        <v>15.803699138418077</v>
      </c>
      <c r="C38" s="456">
        <f t="shared" si="7"/>
        <v>28.528313121893824</v>
      </c>
      <c r="D38" s="456">
        <f t="shared" si="8"/>
        <v>31.310897943637546</v>
      </c>
      <c r="E38" s="456">
        <f t="shared" si="9"/>
        <v>33.377906480303878</v>
      </c>
      <c r="F38" s="456">
        <f t="shared" si="10"/>
        <v>36.29994789611731</v>
      </c>
      <c r="G38" s="456">
        <f t="shared" si="11"/>
        <v>38.418379431998716</v>
      </c>
      <c r="H38" s="456">
        <f t="shared" si="12"/>
        <v>44.505543388558287</v>
      </c>
      <c r="I38" s="456">
        <f t="shared" si="13"/>
        <v>48.284483417721702</v>
      </c>
      <c r="J38" s="456"/>
      <c r="K38" s="456">
        <f t="shared" si="14"/>
        <v>9.3042179478793354</v>
      </c>
      <c r="L38" s="456">
        <f t="shared" si="15"/>
        <v>19.667300576261731</v>
      </c>
      <c r="M38" s="456">
        <f t="shared" si="16"/>
        <v>23.632876757976149</v>
      </c>
      <c r="N38" s="456">
        <f t="shared" si="17"/>
        <v>27.452572132830976</v>
      </c>
      <c r="O38" s="456">
        <f t="shared" si="18"/>
        <v>32.709635002732199</v>
      </c>
      <c r="P38" s="456">
        <f t="shared" si="19"/>
        <v>36.375479770034005</v>
      </c>
      <c r="Q38" s="456">
        <f t="shared" si="20"/>
        <v>43.776140354223834</v>
      </c>
      <c r="R38" s="456">
        <f t="shared" si="21"/>
        <v>48.153499989277371</v>
      </c>
      <c r="S38" s="456"/>
      <c r="T38" s="456">
        <f>'F-B5'!W67/'F-B5'!$AE67*100</f>
        <v>1.6013533219012646</v>
      </c>
      <c r="U38" s="456">
        <f>'F-B6'!P67/'F-B6'!$X67*100</f>
        <v>6.6072981669324822</v>
      </c>
      <c r="V38" s="456">
        <f>('C1-Incomes'!JH41-'C1-Incomes'!JI41)/('C1-Incomes'!$S41-'C1-Incomes'!$T41)*100</f>
        <v>9.4748331284388758</v>
      </c>
      <c r="W38" s="456">
        <f>('C1-Incomes'!JI41-'C1-Incomes'!JJ41)/('C1-Incomes'!$T41-'C1-Incomes'!$U41)*100</f>
        <v>12.311258119794768</v>
      </c>
      <c r="X38" s="456">
        <f>('C1-Incomes'!JJ41-'C1-Incomes'!JK41)/('C1-Incomes'!$U41-'C1-Incomes'!$V41)*100</f>
        <v>17.300844041799106</v>
      </c>
      <c r="Y38" s="456">
        <f>('C1-Incomes'!JK41-'C1-Incomes'!JL41)/('C1-Incomes'!$V41-'C1-Incomes'!$W41)*100</f>
        <v>20.869792666982793</v>
      </c>
      <c r="Z38" s="456">
        <f>('C1-Incomes'!JL41-'C1-Incomes'!JM41)/('C1-Incomes'!$W41-'C1-Incomes'!$X41)*100</f>
        <v>26.312688177958538</v>
      </c>
      <c r="AA38" s="456">
        <f>'C1-Incomes'!JM41/'C1-Incomes'!$X41*100</f>
        <v>28.461976427716923</v>
      </c>
      <c r="AB38" s="458"/>
      <c r="AC38" s="456">
        <f>'F-B5'!X67/'F-B5'!$AE67*100</f>
        <v>0.59063498701028272</v>
      </c>
      <c r="AD38" s="456">
        <f>'F-B6'!Q67/'F-B6'!$X67*100</f>
        <v>1.7476311916640774</v>
      </c>
      <c r="AE38" s="456">
        <f>('C1-Incomes'!JP41-'C1-Incomes'!JQ41)/('C1-Incomes'!$S41-'C1-Incomes'!$T41)*100</f>
        <v>2.3162700083943601</v>
      </c>
      <c r="AF38" s="456">
        <f>('C1-Incomes'!JQ41-'C1-Incomes'!JR41)/('C1-Incomes'!$T41-'C1-Incomes'!$U41)*100</f>
        <v>3.0349209789696006</v>
      </c>
      <c r="AG38" s="456">
        <f>('C1-Incomes'!JR41-'C1-Incomes'!JS41)/('C1-Incomes'!$U41-'C1-Incomes'!$V41)*100</f>
        <v>3.8217508096880861</v>
      </c>
      <c r="AH38" s="456">
        <f>('C1-Incomes'!JS41-'C1-Incomes'!JT41)/('C1-Incomes'!$V41-'C1-Incomes'!$W41)*100</f>
        <v>4.2700433739831594</v>
      </c>
      <c r="AI38" s="456">
        <f>('C1-Incomes'!JT41-'C1-Incomes'!JU41)/('C1-Incomes'!$W41-'C1-Incomes'!$X41)*100</f>
        <v>5.2622432751765782</v>
      </c>
      <c r="AJ38" s="456">
        <f>'C1-Incomes'!JU41/'C1-Incomes'!$X41*100</f>
        <v>5.8083154742368759</v>
      </c>
      <c r="AK38" s="458"/>
      <c r="AL38" s="456">
        <f>'F-B5'!Y67/'F-B5'!$AE67*100</f>
        <v>1.3363577603183385</v>
      </c>
      <c r="AM38" s="456">
        <f>'F-B6'!R67/'F-B6'!$X67*100</f>
        <v>2.2431948824754486</v>
      </c>
      <c r="AN38" s="456">
        <f>('C1-Incomes'!JX41-'C1-Incomes'!JY41)/('C1-Incomes'!$S41-'C1-Incomes'!$T41)*100</f>
        <v>2.8647594110264221</v>
      </c>
      <c r="AO38" s="456">
        <f>('C1-Incomes'!JY41-'C1-Incomes'!JZ41)/('C1-Incomes'!$T41-'C1-Incomes'!$U41)*100</f>
        <v>3.436943153305144</v>
      </c>
      <c r="AP38" s="456">
        <f>('C1-Incomes'!JZ41-'C1-Incomes'!KA41)/('C1-Incomes'!$U41-'C1-Incomes'!$V41)*100</f>
        <v>3.3627084840187926</v>
      </c>
      <c r="AQ38" s="456">
        <f>('C1-Incomes'!KA41-'C1-Incomes'!KB41)/('C1-Incomes'!$V41-'C1-Incomes'!$W41)*100</f>
        <v>3.4641279316670346</v>
      </c>
      <c r="AR38" s="456">
        <f>('C1-Incomes'!KB41-'C1-Incomes'!KC41)/('C1-Incomes'!$W41-'C1-Incomes'!$X41)*100</f>
        <v>4.3129045935397761</v>
      </c>
      <c r="AS38" s="456">
        <f>'C1-Incomes'!KC41/'C1-Incomes'!$X41*100</f>
        <v>5.5989626804670465</v>
      </c>
      <c r="AT38" s="458"/>
      <c r="AU38" s="456">
        <f>'F-B5'!Z67/'F-B5'!$AE67*100</f>
        <v>1.6053838122958519</v>
      </c>
      <c r="AV38" s="456">
        <f>'F-B6'!S67/'F-B6'!$X67*100</f>
        <v>2.9248182814824206</v>
      </c>
      <c r="AW38" s="456">
        <f>('C1-Incomes'!KF41-'C1-Incomes'!KG41)/('C1-Incomes'!$S41-'C1-Incomes'!$T41)*100</f>
        <v>3.4983463696671575</v>
      </c>
      <c r="AX38" s="456">
        <f>('C1-Incomes'!KG41-'C1-Incomes'!KH41)/('C1-Incomes'!$T41-'C1-Incomes'!$U41)*100</f>
        <v>3.8666574748967739</v>
      </c>
      <c r="AY38" s="456">
        <f>('C1-Incomes'!KH41-'C1-Incomes'!KI41)/('C1-Incomes'!$U41-'C1-Incomes'!$V41)*100</f>
        <v>3.9889877077594562</v>
      </c>
      <c r="AZ38" s="456">
        <f>('C1-Incomes'!KI41-'C1-Incomes'!KJ41)/('C1-Incomes'!$V41-'C1-Incomes'!$W41)*100</f>
        <v>3.9854489250848828</v>
      </c>
      <c r="BA38" s="456">
        <f>('C1-Incomes'!KJ41-'C1-Incomes'!KK41)/('C1-Incomes'!$W41-'C1-Incomes'!$X41)*100</f>
        <v>4.2695514375614669</v>
      </c>
      <c r="BB38" s="456">
        <f>'C1-Incomes'!KK41/'C1-Incomes'!$X41*100</f>
        <v>4.7084306971794065</v>
      </c>
      <c r="BD38" s="456">
        <f>'F-B5'!AA67/'F-B5'!$AE67*100</f>
        <v>6.4994811905387406</v>
      </c>
      <c r="BE38" s="456">
        <f>'F-B6'!T67/'F-B6'!$X67*100</f>
        <v>8.861012545632093</v>
      </c>
      <c r="BF38" s="456">
        <f>('C1-Incomes'!KN41-'C1-Incomes'!KO41)/('C1-Incomes'!$S41-'C1-Incomes'!$T41)*100</f>
        <v>7.6780211856613958</v>
      </c>
      <c r="BG38" s="456">
        <f>('C1-Incomes'!KO41-'C1-Incomes'!KP41)/('C1-Incomes'!$T41-'C1-Incomes'!$U41)*100</f>
        <v>5.9253343474728988</v>
      </c>
      <c r="BH38" s="456">
        <f>('C1-Incomes'!KP41-'C1-Incomes'!KQ41)/('C1-Incomes'!$U41-'C1-Incomes'!$V41)*100</f>
        <v>3.5903128933851098</v>
      </c>
      <c r="BI38" s="456">
        <f>('C1-Incomes'!KQ41-'C1-Incomes'!KR41)/('C1-Incomes'!$V41-'C1-Incomes'!$W41)*100</f>
        <v>2.0428996619647077</v>
      </c>
      <c r="BJ38" s="456">
        <f>('C1-Incomes'!KR41-'C1-Incomes'!KS41)/('C1-Incomes'!$W41-'C1-Incomes'!$X41)*100</f>
        <v>0.72940303433445441</v>
      </c>
      <c r="BK38" s="456">
        <f>'C1-Incomes'!KS41/'C1-Incomes'!$X41*100</f>
        <v>0.13098342844433311</v>
      </c>
      <c r="BL38" s="456"/>
      <c r="BM38" s="456">
        <f>'F-B5'!AC67/'F-B5'!$AE67*100</f>
        <v>0.22050779585459263</v>
      </c>
      <c r="BN38" s="456">
        <f>'F-B6'!V67/'F-B6'!$X67*100</f>
        <v>0.15261400231219879</v>
      </c>
      <c r="BO38" s="456">
        <f>('C1-Incomes'!LL41-'C1-Incomes'!LM41)/('C1-Incomes'!$S41-'C1-Incomes'!$T41)*100</f>
        <v>0.28353065988738108</v>
      </c>
      <c r="BP38" s="456">
        <f>('C1-Incomes'!LM41-'C1-Incomes'!LN41)/('C1-Incomes'!$T41-'C1-Incomes'!$U41)*100</f>
        <v>0.51857490344466262</v>
      </c>
      <c r="BQ38" s="456">
        <f>('C1-Incomes'!LN41-'C1-Incomes'!LO41)/('C1-Incomes'!$U41-'C1-Incomes'!$V41)*100</f>
        <v>0.80656921637063139</v>
      </c>
      <c r="BR38" s="456">
        <f>('C1-Incomes'!LO41-'C1-Incomes'!LP41)/('C1-Incomes'!$V41-'C1-Incomes'!$W41)*100</f>
        <v>0.86317840003464419</v>
      </c>
      <c r="BS38" s="456">
        <f>('C1-Incomes'!LP41-'C1-Incomes'!LQ41)/('C1-Incomes'!$W41-'C1-Incomes'!$X41)*100</f>
        <v>0.90890203562703342</v>
      </c>
      <c r="BT38" s="456">
        <f>'C1-Incomes'!LQ41/'C1-Incomes'!$X41*100</f>
        <v>1.0918596016121984</v>
      </c>
      <c r="BV38" s="456">
        <f>'F-B5'!AB67/'F-B5'!$AE67*100</f>
        <v>3.9499802704990059</v>
      </c>
      <c r="BW38" s="456">
        <f>'F-B6'!U67/'F-B6'!$X67*100</f>
        <v>5.9917440513951048</v>
      </c>
      <c r="BX38" s="456">
        <f>('C1-Incomes'!KV41-'C1-Incomes'!KW41)/('C1-Incomes'!$S41-'C1-Incomes'!$T41)*100</f>
        <v>5.1951371805619493</v>
      </c>
      <c r="BY38" s="456">
        <f>('C1-Incomes'!KW41-'C1-Incomes'!KX41)/('C1-Incomes'!$T41-'C1-Incomes'!$U41)*100</f>
        <v>4.28421750242003</v>
      </c>
      <c r="BZ38" s="456">
        <f>('C1-Incomes'!KX41-'C1-Incomes'!KY41)/('C1-Incomes'!$U41-'C1-Incomes'!$V41)*100</f>
        <v>3.4287747430961288</v>
      </c>
      <c r="CA38" s="456">
        <f>('C1-Incomes'!KY41-'C1-Incomes'!KZ41)/('C1-Incomes'!$V41-'C1-Incomes'!$W41)*100</f>
        <v>2.9228884722814938</v>
      </c>
      <c r="CB38" s="456">
        <f>('C1-Incomes'!KZ41-'C1-Incomes'!LA41)/('C1-Incomes'!$W41-'C1-Incomes'!$X41)*100</f>
        <v>2.7098508343604348</v>
      </c>
      <c r="CC38" s="456">
        <f>'C1-Incomes'!LA41/'C1-Incomes'!$X41*100</f>
        <v>2.4839551080649183</v>
      </c>
      <c r="CE38" s="519"/>
      <c r="CF38" s="519"/>
    </row>
    <row r="39" spans="1:84" s="452" customFormat="1" ht="12" x14ac:dyDescent="0.25">
      <c r="A39" s="239">
        <v>1994</v>
      </c>
      <c r="B39" s="456">
        <f t="shared" si="6"/>
        <v>16.070827576596773</v>
      </c>
      <c r="C39" s="456">
        <f t="shared" si="7"/>
        <v>28.909105538915075</v>
      </c>
      <c r="D39" s="456">
        <f t="shared" si="8"/>
        <v>31.76347766030133</v>
      </c>
      <c r="E39" s="456">
        <f t="shared" si="9"/>
        <v>33.878792810525816</v>
      </c>
      <c r="F39" s="456">
        <f t="shared" si="10"/>
        <v>36.874312615873727</v>
      </c>
      <c r="G39" s="456">
        <f t="shared" si="11"/>
        <v>39.497165325561731</v>
      </c>
      <c r="H39" s="456">
        <f t="shared" si="12"/>
        <v>45.123910313163186</v>
      </c>
      <c r="I39" s="456">
        <f t="shared" si="13"/>
        <v>48.205937733651986</v>
      </c>
      <c r="J39" s="456"/>
      <c r="K39" s="456">
        <f t="shared" si="14"/>
        <v>9.6868825286288995</v>
      </c>
      <c r="L39" s="456">
        <f t="shared" si="15"/>
        <v>20.184142787139351</v>
      </c>
      <c r="M39" s="456">
        <f t="shared" si="16"/>
        <v>24.094706592277493</v>
      </c>
      <c r="N39" s="456">
        <f t="shared" si="17"/>
        <v>27.940476028886589</v>
      </c>
      <c r="O39" s="456">
        <f t="shared" si="18"/>
        <v>32.842353435751505</v>
      </c>
      <c r="P39" s="456">
        <f t="shared" si="19"/>
        <v>36.755830203480961</v>
      </c>
      <c r="Q39" s="456">
        <f t="shared" si="20"/>
        <v>43.614804366781804</v>
      </c>
      <c r="R39" s="456">
        <f t="shared" si="21"/>
        <v>47.521021874585401</v>
      </c>
      <c r="S39" s="456"/>
      <c r="T39" s="456">
        <f>'F-B5'!W68/'F-B5'!$AE68*100</f>
        <v>1.6607073347527213</v>
      </c>
      <c r="U39" s="456">
        <f>'F-B6'!P68/'F-B6'!$X68*100</f>
        <v>6.6626571716403804</v>
      </c>
      <c r="V39" s="456">
        <f>('C1-Incomes'!JH42-'C1-Incomes'!JI42)/('C1-Incomes'!$S42-'C1-Incomes'!$T42)*100</f>
        <v>9.6969634972133747</v>
      </c>
      <c r="W39" s="456">
        <f>('C1-Incomes'!JI42-'C1-Incomes'!JJ42)/('C1-Incomes'!$T42-'C1-Incomes'!$U42)*100</f>
        <v>12.566702966175145</v>
      </c>
      <c r="X39" s="456">
        <f>('C1-Incomes'!JJ42-'C1-Incomes'!JK42)/('C1-Incomes'!$U42-'C1-Incomes'!$V42)*100</f>
        <v>17.418795086840625</v>
      </c>
      <c r="Y39" s="456">
        <f>('C1-Incomes'!JK42-'C1-Incomes'!JL42)/('C1-Incomes'!$V42-'C1-Incomes'!$W42)*100</f>
        <v>21.103953457046888</v>
      </c>
      <c r="Z39" s="456">
        <f>('C1-Incomes'!JL42-'C1-Incomes'!JM42)/('C1-Incomes'!$W42-'C1-Incomes'!$X42)*100</f>
        <v>26.091093369030155</v>
      </c>
      <c r="AA39" s="456">
        <f>'C1-Incomes'!JM42/'C1-Incomes'!$X42*100</f>
        <v>27.854037333658514</v>
      </c>
      <c r="AB39" s="458"/>
      <c r="AC39" s="456">
        <f>'F-B5'!X68/'F-B5'!$AE68*100</f>
        <v>0.61420015698374297</v>
      </c>
      <c r="AD39" s="456">
        <f>'F-B6'!Q68/'F-B6'!$X68*100</f>
        <v>1.77528528883042</v>
      </c>
      <c r="AE39" s="456">
        <f>('C1-Incomes'!JP42-'C1-Incomes'!JQ42)/('C1-Incomes'!$S42-'C1-Incomes'!$T42)*100</f>
        <v>2.3264492746419165</v>
      </c>
      <c r="AF39" s="456">
        <f>('C1-Incomes'!JQ42-'C1-Incomes'!JR42)/('C1-Incomes'!$T42-'C1-Incomes'!$U42)*100</f>
        <v>2.9355816616233823</v>
      </c>
      <c r="AG39" s="456">
        <f>('C1-Incomes'!JR42-'C1-Incomes'!JS42)/('C1-Incomes'!$U42-'C1-Incomes'!$V42)*100</f>
        <v>3.726940087094182</v>
      </c>
      <c r="AH39" s="456">
        <f>('C1-Incomes'!JS42-'C1-Incomes'!JT42)/('C1-Incomes'!$V42-'C1-Incomes'!$W42)*100</f>
        <v>4.0151673012540741</v>
      </c>
      <c r="AI39" s="456">
        <f>('C1-Incomes'!JT42-'C1-Incomes'!JU42)/('C1-Incomes'!$W42-'C1-Incomes'!$X42)*100</f>
        <v>4.7584486687012237</v>
      </c>
      <c r="AJ39" s="456">
        <f>'C1-Incomes'!JU42/'C1-Incomes'!$X42*100</f>
        <v>5.0863182337414061</v>
      </c>
      <c r="AK39" s="458"/>
      <c r="AL39" s="456">
        <f>'F-B5'!Y68/'F-B5'!$AE68*100</f>
        <v>1.446847634998518</v>
      </c>
      <c r="AM39" s="456">
        <f>'F-B6'!R68/'F-B6'!$X68*100</f>
        <v>2.3764580888139046</v>
      </c>
      <c r="AN39" s="456">
        <f>('C1-Incomes'!JX42-'C1-Incomes'!JY42)/('C1-Incomes'!$S42-'C1-Incomes'!$T42)*100</f>
        <v>2.8879197152596032</v>
      </c>
      <c r="AO39" s="456">
        <f>('C1-Incomes'!JY42-'C1-Incomes'!JZ42)/('C1-Incomes'!$T42-'C1-Incomes'!$U42)*100</f>
        <v>3.5263712823697024</v>
      </c>
      <c r="AP39" s="456">
        <f>('C1-Incomes'!JZ42-'C1-Incomes'!KA42)/('C1-Incomes'!$U42-'C1-Incomes'!$V42)*100</f>
        <v>3.3513525966099875</v>
      </c>
      <c r="AQ39" s="456">
        <f>('C1-Incomes'!KA42-'C1-Incomes'!KB42)/('C1-Incomes'!$V42-'C1-Incomes'!$W42)*100</f>
        <v>3.6273389319274858</v>
      </c>
      <c r="AR39" s="456">
        <f>('C1-Incomes'!KB42-'C1-Incomes'!KC42)/('C1-Incomes'!$W42-'C1-Incomes'!$X42)*100</f>
        <v>4.5262072248691947</v>
      </c>
      <c r="AS39" s="456">
        <f>'C1-Incomes'!KC42/'C1-Incomes'!$X42*100</f>
        <v>5.9704336807606575</v>
      </c>
      <c r="AT39" s="458"/>
      <c r="AU39" s="456">
        <f>'F-B5'!Z68/'F-B5'!$AE68*100</f>
        <v>1.608652109176949</v>
      </c>
      <c r="AV39" s="456">
        <f>'F-B6'!S68/'F-B6'!$X68*100</f>
        <v>2.9347739491402338</v>
      </c>
      <c r="AW39" s="456">
        <f>('C1-Incomes'!KF42-'C1-Incomes'!KG42)/('C1-Incomes'!$S42-'C1-Incomes'!$T42)*100</f>
        <v>3.4529900554454129</v>
      </c>
      <c r="AX39" s="456">
        <f>('C1-Incomes'!KG42-'C1-Incomes'!KH42)/('C1-Incomes'!$T42-'C1-Incomes'!$U42)*100</f>
        <v>3.8723948261965608</v>
      </c>
      <c r="AY39" s="456">
        <f>('C1-Incomes'!KH42-'C1-Incomes'!KI42)/('C1-Incomes'!$U42-'C1-Incomes'!$V42)*100</f>
        <v>3.8666874439323742</v>
      </c>
      <c r="AZ39" s="456">
        <f>('C1-Incomes'!KI42-'C1-Incomes'!KJ42)/('C1-Incomes'!$V42-'C1-Incomes'!$W42)*100</f>
        <v>4.0341774712790368</v>
      </c>
      <c r="BA39" s="456">
        <f>('C1-Incomes'!KJ42-'C1-Incomes'!KK42)/('C1-Incomes'!$W42-'C1-Incomes'!$X42)*100</f>
        <v>4.4396382377031411</v>
      </c>
      <c r="BB39" s="456">
        <f>'C1-Incomes'!KK42/'C1-Incomes'!$X42*100</f>
        <v>4.8515954417784108</v>
      </c>
      <c r="BD39" s="456">
        <f>'F-B5'!AA68/'F-B5'!$AE68*100</f>
        <v>6.3839450479678748</v>
      </c>
      <c r="BE39" s="456">
        <f>'F-B6'!T68/'F-B6'!$X68*100</f>
        <v>8.724962751775724</v>
      </c>
      <c r="BF39" s="456">
        <f>('C1-Incomes'!KN42-'C1-Incomes'!KO42)/('C1-Incomes'!$S42-'C1-Incomes'!$T42)*100</f>
        <v>7.6687710680238341</v>
      </c>
      <c r="BG39" s="456">
        <f>('C1-Incomes'!KO42-'C1-Incomes'!KP42)/('C1-Incomes'!$T42-'C1-Incomes'!$U42)*100</f>
        <v>5.9383167816392222</v>
      </c>
      <c r="BH39" s="456">
        <f>('C1-Incomes'!KP42-'C1-Incomes'!KQ42)/('C1-Incomes'!$U42-'C1-Incomes'!$V42)*100</f>
        <v>4.0319591801222154</v>
      </c>
      <c r="BI39" s="456">
        <f>('C1-Incomes'!KQ42-'C1-Incomes'!KR42)/('C1-Incomes'!$V42-'C1-Incomes'!$W42)*100</f>
        <v>2.7413351220807733</v>
      </c>
      <c r="BJ39" s="456">
        <f>('C1-Incomes'!KR42-'C1-Incomes'!KS42)/('C1-Incomes'!$W42-'C1-Incomes'!$X42)*100</f>
        <v>1.5091059463813805</v>
      </c>
      <c r="BK39" s="456">
        <f>'C1-Incomes'!KS42/'C1-Incomes'!$X42*100</f>
        <v>0.68491585906658592</v>
      </c>
      <c r="BL39" s="456"/>
      <c r="BM39" s="456">
        <f>'F-B5'!AC68/'F-B5'!$AE68*100</f>
        <v>0.23823071246291821</v>
      </c>
      <c r="BN39" s="456">
        <f>'F-B6'!V68/'F-B6'!$X68*100</f>
        <v>0.16549535147443556</v>
      </c>
      <c r="BO39" s="456">
        <f>('C1-Incomes'!LL42-'C1-Incomes'!LM42)/('C1-Incomes'!$S42-'C1-Incomes'!$T42)*100</f>
        <v>0.31060888833863903</v>
      </c>
      <c r="BP39" s="456">
        <f>('C1-Incomes'!LM42-'C1-Incomes'!LN42)/('C1-Incomes'!$T42-'C1-Incomes'!$U42)*100</f>
        <v>0.55913344807165977</v>
      </c>
      <c r="BQ39" s="456">
        <f>('C1-Incomes'!LN42-'C1-Incomes'!LO42)/('C1-Incomes'!$U42-'C1-Incomes'!$V42)*100</f>
        <v>0.86666987641666748</v>
      </c>
      <c r="BR39" s="456">
        <f>('C1-Incomes'!LO42-'C1-Incomes'!LP42)/('C1-Incomes'!$V42-'C1-Incomes'!$W42)*100</f>
        <v>0.92337441219934135</v>
      </c>
      <c r="BS39" s="456">
        <f>('C1-Incomes'!LP42-'C1-Incomes'!LQ42)/('C1-Incomes'!$W42-'C1-Incomes'!$X42)*100</f>
        <v>0.96870307383538445</v>
      </c>
      <c r="BT39" s="456">
        <f>'C1-Incomes'!LQ42/'C1-Incomes'!$X42*100</f>
        <v>1.1541135205240263</v>
      </c>
      <c r="BV39" s="456">
        <f>'F-B5'!AB68/'F-B5'!$AE68*100</f>
        <v>4.1182445802540508</v>
      </c>
      <c r="BW39" s="456">
        <f>'F-B6'!U68/'F-B6'!$X68*100</f>
        <v>6.269472937239974</v>
      </c>
      <c r="BX39" s="456">
        <f>('C1-Incomes'!KV42-'C1-Incomes'!KW42)/('C1-Incomes'!$S42-'C1-Incomes'!$T42)*100</f>
        <v>5.419775161378551</v>
      </c>
      <c r="BY39" s="456">
        <f>('C1-Incomes'!KW42-'C1-Incomes'!KX42)/('C1-Incomes'!$T42-'C1-Incomes'!$U42)*100</f>
        <v>4.4802918444501412</v>
      </c>
      <c r="BZ39" s="456">
        <f>('C1-Incomes'!KX42-'C1-Incomes'!KY42)/('C1-Incomes'!$U42-'C1-Incomes'!$V42)*100</f>
        <v>3.6119083448576719</v>
      </c>
      <c r="CA39" s="456">
        <f>('C1-Incomes'!KY42-'C1-Incomes'!KZ42)/('C1-Incomes'!$V42-'C1-Incomes'!$W42)*100</f>
        <v>3.0518186297741332</v>
      </c>
      <c r="CB39" s="456">
        <f>('C1-Incomes'!KZ42-'C1-Incomes'!LA42)/('C1-Incomes'!$W42-'C1-Incomes'!$X42)*100</f>
        <v>2.830713792642702</v>
      </c>
      <c r="CC39" s="456">
        <f>'C1-Incomes'!LA42/'C1-Incomes'!$X42*100</f>
        <v>2.6045236641223912</v>
      </c>
      <c r="CE39" s="519"/>
      <c r="CF39" s="519"/>
    </row>
    <row r="40" spans="1:84" s="452" customFormat="1" ht="12" x14ac:dyDescent="0.25">
      <c r="A40" s="239">
        <v>1995</v>
      </c>
      <c r="B40" s="456">
        <f t="shared" si="6"/>
        <v>15.946494674207401</v>
      </c>
      <c r="C40" s="456">
        <f t="shared" si="7"/>
        <v>28.866051559792755</v>
      </c>
      <c r="D40" s="456">
        <f t="shared" si="8"/>
        <v>31.837644009626263</v>
      </c>
      <c r="E40" s="456">
        <f t="shared" si="9"/>
        <v>34.171808248267496</v>
      </c>
      <c r="F40" s="456">
        <f t="shared" si="10"/>
        <v>37.03486715106559</v>
      </c>
      <c r="G40" s="456">
        <f t="shared" si="11"/>
        <v>39.825187339216725</v>
      </c>
      <c r="H40" s="456">
        <f t="shared" si="12"/>
        <v>45.45788792694065</v>
      </c>
      <c r="I40" s="456">
        <f t="shared" si="13"/>
        <v>47.563771695418119</v>
      </c>
      <c r="J40" s="456"/>
      <c r="K40" s="456">
        <f t="shared" si="14"/>
        <v>9.5171794962378637</v>
      </c>
      <c r="L40" s="456">
        <f t="shared" si="15"/>
        <v>20.173670794564011</v>
      </c>
      <c r="M40" s="456">
        <f t="shared" si="16"/>
        <v>24.287880714334417</v>
      </c>
      <c r="N40" s="456">
        <f t="shared" si="17"/>
        <v>28.361376057176223</v>
      </c>
      <c r="O40" s="456">
        <f t="shared" si="18"/>
        <v>33.147060089157335</v>
      </c>
      <c r="P40" s="456">
        <f t="shared" si="19"/>
        <v>37.190230850157796</v>
      </c>
      <c r="Q40" s="456">
        <f t="shared" si="20"/>
        <v>43.977748690916059</v>
      </c>
      <c r="R40" s="456">
        <f t="shared" si="21"/>
        <v>46.829628373411396</v>
      </c>
      <c r="S40" s="456"/>
      <c r="T40" s="456">
        <f>'F-B5'!W69/'F-B5'!$AE69*100</f>
        <v>1.6552624324879268</v>
      </c>
      <c r="U40" s="456">
        <f>'F-B6'!P69/'F-B6'!$X69*100</f>
        <v>6.6978544665180424</v>
      </c>
      <c r="V40" s="456">
        <f>('C1-Incomes'!JH43-'C1-Incomes'!JI43)/('C1-Incomes'!$S43-'C1-Incomes'!$T43)*100</f>
        <v>9.8284821639166235</v>
      </c>
      <c r="W40" s="456">
        <f>('C1-Incomes'!JI43-'C1-Incomes'!JJ43)/('C1-Incomes'!$T43-'C1-Incomes'!$U43)*100</f>
        <v>12.928374665127773</v>
      </c>
      <c r="X40" s="456">
        <f>('C1-Incomes'!JJ43-'C1-Incomes'!JK43)/('C1-Incomes'!$U43-'C1-Incomes'!$V43)*100</f>
        <v>17.841871288897686</v>
      </c>
      <c r="Y40" s="456">
        <f>('C1-Incomes'!JK43-'C1-Incomes'!JL43)/('C1-Incomes'!$V43-'C1-Incomes'!$W43)*100</f>
        <v>21.647888940558936</v>
      </c>
      <c r="Z40" s="456">
        <f>('C1-Incomes'!JL43-'C1-Incomes'!JM43)/('C1-Incomes'!$W43-'C1-Incomes'!$X43)*100</f>
        <v>26.678080210737793</v>
      </c>
      <c r="AA40" s="456">
        <f>'C1-Incomes'!JM43/'C1-Incomes'!$X43*100</f>
        <v>27.636338321211195</v>
      </c>
      <c r="AB40" s="458"/>
      <c r="AC40" s="456">
        <f>'F-B5'!X69/'F-B5'!$AE69*100</f>
        <v>0.60403986625893313</v>
      </c>
      <c r="AD40" s="456">
        <f>'F-B6'!Q69/'F-B6'!$X69*100</f>
        <v>1.7927344701436123</v>
      </c>
      <c r="AE40" s="456">
        <f>('C1-Incomes'!JP43-'C1-Incomes'!JQ43)/('C1-Incomes'!$S43-'C1-Incomes'!$T43)*100</f>
        <v>2.3160953265659621</v>
      </c>
      <c r="AF40" s="456">
        <f>('C1-Incomes'!JQ43-'C1-Incomes'!JR43)/('C1-Incomes'!$T43-'C1-Incomes'!$U43)*100</f>
        <v>3.0007714226559923</v>
      </c>
      <c r="AG40" s="456">
        <f>('C1-Incomes'!JR43-'C1-Incomes'!JS43)/('C1-Incomes'!$U43-'C1-Incomes'!$V43)*100</f>
        <v>3.685164751272644</v>
      </c>
      <c r="AH40" s="456">
        <f>('C1-Incomes'!JS43-'C1-Incomes'!JT43)/('C1-Incomes'!$V43-'C1-Incomes'!$W43)*100</f>
        <v>4.087939817904175</v>
      </c>
      <c r="AI40" s="456">
        <f>('C1-Incomes'!JT43-'C1-Incomes'!JU43)/('C1-Incomes'!$W43-'C1-Incomes'!$X43)*100</f>
        <v>4.8649884448364302</v>
      </c>
      <c r="AJ40" s="456">
        <f>'C1-Incomes'!JU43/'C1-Incomes'!$X43*100</f>
        <v>5.0005133278741232</v>
      </c>
      <c r="AK40" s="458"/>
      <c r="AL40" s="456">
        <f>'F-B5'!Y69/'F-B5'!$AE69*100</f>
        <v>1.5172486992911678</v>
      </c>
      <c r="AM40" s="456">
        <f>'F-B6'!R69/'F-B6'!$X69*100</f>
        <v>2.540212451769003</v>
      </c>
      <c r="AN40" s="456">
        <f>('C1-Incomes'!JX43-'C1-Incomes'!JY43)/('C1-Incomes'!$S43-'C1-Incomes'!$T43)*100</f>
        <v>3.074313535157899</v>
      </c>
      <c r="AO40" s="456">
        <f>('C1-Incomes'!JY43-'C1-Incomes'!JZ43)/('C1-Incomes'!$T43-'C1-Incomes'!$U43)*100</f>
        <v>3.7541436566750082</v>
      </c>
      <c r="AP40" s="456">
        <f>('C1-Incomes'!JZ43-'C1-Incomes'!KA43)/('C1-Incomes'!$U43-'C1-Incomes'!$V43)*100</f>
        <v>3.6180834276041844</v>
      </c>
      <c r="AQ40" s="456">
        <f>('C1-Incomes'!KA43-'C1-Incomes'!KB43)/('C1-Incomes'!$V43-'C1-Incomes'!$W43)*100</f>
        <v>3.8153213633705252</v>
      </c>
      <c r="AR40" s="456">
        <f>('C1-Incomes'!KB43-'C1-Incomes'!KC43)/('C1-Incomes'!$W43-'C1-Incomes'!$X43)*100</f>
        <v>4.7459439731585142</v>
      </c>
      <c r="AS40" s="456">
        <f>'C1-Incomes'!KC43/'C1-Incomes'!$X43*100</f>
        <v>6.1701301167777594</v>
      </c>
      <c r="AT40" s="458"/>
      <c r="AU40" s="456">
        <f>'F-B5'!Z69/'F-B5'!$AE69*100</f>
        <v>1.5166892360709485</v>
      </c>
      <c r="AV40" s="456">
        <f>'F-B6'!S69/'F-B6'!$X69*100</f>
        <v>2.8149867563754021</v>
      </c>
      <c r="AW40" s="456">
        <f>('C1-Incomes'!KF43-'C1-Incomes'!KG43)/('C1-Incomes'!$S43-'C1-Incomes'!$T43)*100</f>
        <v>3.4214446763904642</v>
      </c>
      <c r="AX40" s="456">
        <f>('C1-Incomes'!KG43-'C1-Incomes'!KH43)/('C1-Incomes'!$T43-'C1-Incomes'!$U43)*100</f>
        <v>3.7390289070601987</v>
      </c>
      <c r="AY40" s="456">
        <f>('C1-Incomes'!KH43-'C1-Incomes'!KI43)/('C1-Incomes'!$U43-'C1-Incomes'!$V43)*100</f>
        <v>3.7156026539738791</v>
      </c>
      <c r="AZ40" s="456">
        <f>('C1-Incomes'!KI43-'C1-Incomes'!KJ43)/('C1-Incomes'!$V43-'C1-Incomes'!$W43)*100</f>
        <v>3.8578743726488085</v>
      </c>
      <c r="BA40" s="456">
        <f>('C1-Incomes'!KJ43-'C1-Incomes'!KK43)/('C1-Incomes'!$W43-'C1-Incomes'!$X43)*100</f>
        <v>4.1292393845603463</v>
      </c>
      <c r="BB40" s="456">
        <f>'C1-Incomes'!KK43/'C1-Incomes'!$X43*100</f>
        <v>4.530681737562352</v>
      </c>
      <c r="BD40" s="456">
        <f>'F-B5'!AA69/'F-B5'!$AE69*100</f>
        <v>6.4293151779695359</v>
      </c>
      <c r="BE40" s="456">
        <f>'F-B6'!T69/'F-B6'!$X69*100</f>
        <v>8.6923807652287426</v>
      </c>
      <c r="BF40" s="456">
        <f>('C1-Incomes'!KN43-'C1-Incomes'!KO43)/('C1-Incomes'!$S43-'C1-Incomes'!$T43)*100</f>
        <v>7.5497632952918465</v>
      </c>
      <c r="BG40" s="456">
        <f>('C1-Incomes'!KO43-'C1-Incomes'!KP43)/('C1-Incomes'!$T43-'C1-Incomes'!$U43)*100</f>
        <v>5.8104321910912651</v>
      </c>
      <c r="BH40" s="456">
        <f>('C1-Incomes'!KP43-'C1-Incomes'!KQ43)/('C1-Incomes'!$U43-'C1-Incomes'!$V43)*100</f>
        <v>3.887807061908255</v>
      </c>
      <c r="BI40" s="456">
        <f>('C1-Incomes'!KQ43-'C1-Incomes'!KR43)/('C1-Incomes'!$V43-'C1-Incomes'!$W43)*100</f>
        <v>2.6349564890589297</v>
      </c>
      <c r="BJ40" s="456">
        <f>('C1-Incomes'!KR43-'C1-Incomes'!KS43)/('C1-Incomes'!$W43-'C1-Incomes'!$X43)*100</f>
        <v>1.4801392360245893</v>
      </c>
      <c r="BK40" s="456">
        <f>'C1-Incomes'!KS43/'C1-Incomes'!$X43*100</f>
        <v>0.73414332200672405</v>
      </c>
      <c r="BL40" s="456"/>
      <c r="BM40" s="456">
        <f>'F-B5'!AC69/'F-B5'!$AE69*100</f>
        <v>0.22499001341698227</v>
      </c>
      <c r="BN40" s="456">
        <f>'F-B6'!V69/'F-B6'!$X69*100</f>
        <v>0.15586017728605733</v>
      </c>
      <c r="BO40" s="456">
        <f>('C1-Incomes'!LL43-'C1-Incomes'!LM43)/('C1-Incomes'!$S43-'C1-Incomes'!$T43)*100</f>
        <v>0.29280054902431102</v>
      </c>
      <c r="BP40" s="456">
        <f>('C1-Incomes'!LM43-'C1-Incomes'!LN43)/('C1-Incomes'!$T43-'C1-Incomes'!$U43)*100</f>
        <v>0.52253606186717627</v>
      </c>
      <c r="BQ40" s="456">
        <f>('C1-Incomes'!LN43-'C1-Incomes'!LO43)/('C1-Incomes'!$U43-'C1-Incomes'!$V43)*100</f>
        <v>0.79718107115860615</v>
      </c>
      <c r="BR40" s="456">
        <f>('C1-Incomes'!LO43-'C1-Incomes'!LP43)/('C1-Incomes'!$V43-'C1-Incomes'!$W43)*100</f>
        <v>0.831993404350303</v>
      </c>
      <c r="BS40" s="456">
        <f>('C1-Incomes'!LP43-'C1-Incomes'!LQ43)/('C1-Incomes'!$W43-'C1-Incomes'!$X43)*100</f>
        <v>0.85219874188016786</v>
      </c>
      <c r="BT40" s="456">
        <f>'C1-Incomes'!LQ43/'C1-Incomes'!$X43*100</f>
        <v>1.0020480799138733</v>
      </c>
      <c r="BV40" s="456">
        <f>'F-B5'!AB69/'F-B5'!$AE69*100</f>
        <v>3.9989492487119036</v>
      </c>
      <c r="BW40" s="456">
        <f>'F-B6'!U69/'F-B6'!$X69*100</f>
        <v>6.1720224724718902</v>
      </c>
      <c r="BX40" s="456">
        <f>('C1-Incomes'!KV43-'C1-Incomes'!KW43)/('C1-Incomes'!$S43-'C1-Incomes'!$T43)*100</f>
        <v>5.3547444632791574</v>
      </c>
      <c r="BY40" s="456">
        <f>('C1-Incomes'!KW43-'C1-Incomes'!KX43)/('C1-Incomes'!$T43-'C1-Incomes'!$U43)*100</f>
        <v>4.4165213437900777</v>
      </c>
      <c r="BZ40" s="456">
        <f>('C1-Incomes'!KX43-'C1-Incomes'!KY43)/('C1-Incomes'!$U43-'C1-Incomes'!$V43)*100</f>
        <v>3.4891568962503401</v>
      </c>
      <c r="CA40" s="456">
        <f>('C1-Incomes'!KY43-'C1-Incomes'!KZ43)/('C1-Incomes'!$V43-'C1-Incomes'!$W43)*100</f>
        <v>2.9492129513250522</v>
      </c>
      <c r="CB40" s="456">
        <f>('C1-Incomes'!KZ43-'C1-Incomes'!LA43)/('C1-Incomes'!$W43-'C1-Incomes'!$X43)*100</f>
        <v>2.7072979357428077</v>
      </c>
      <c r="CC40" s="456">
        <f>'C1-Incomes'!LA43/'C1-Incomes'!$X43*100</f>
        <v>2.4899167900720931</v>
      </c>
      <c r="CE40" s="519"/>
      <c r="CF40" s="519"/>
    </row>
    <row r="41" spans="1:84" s="452" customFormat="1" ht="12" x14ac:dyDescent="0.25">
      <c r="A41" s="239">
        <v>1996</v>
      </c>
      <c r="B41" s="456">
        <f t="shared" si="6"/>
        <v>16.049546896684191</v>
      </c>
      <c r="C41" s="456">
        <f t="shared" si="7"/>
        <v>29.049115020311014</v>
      </c>
      <c r="D41" s="456">
        <f t="shared" si="8"/>
        <v>32.045280202375338</v>
      </c>
      <c r="E41" s="456">
        <f t="shared" si="9"/>
        <v>34.601260993890406</v>
      </c>
      <c r="F41" s="456">
        <f t="shared" si="10"/>
        <v>37.769848261186418</v>
      </c>
      <c r="G41" s="456">
        <f t="shared" si="11"/>
        <v>41.038762126149003</v>
      </c>
      <c r="H41" s="456">
        <f t="shared" si="12"/>
        <v>47.458021867577713</v>
      </c>
      <c r="I41" s="456">
        <f t="shared" si="13"/>
        <v>50.683131559973887</v>
      </c>
      <c r="J41" s="456"/>
      <c r="K41" s="456">
        <f t="shared" si="14"/>
        <v>9.5692420837695575</v>
      </c>
      <c r="L41" s="456">
        <f t="shared" si="15"/>
        <v>20.467558561267868</v>
      </c>
      <c r="M41" s="456">
        <f t="shared" si="16"/>
        <v>24.771122070474959</v>
      </c>
      <c r="N41" s="456">
        <f t="shared" si="17"/>
        <v>29.018154882109133</v>
      </c>
      <c r="O41" s="456">
        <f t="shared" si="18"/>
        <v>34.078454329565041</v>
      </c>
      <c r="P41" s="456">
        <f t="shared" si="19"/>
        <v>38.492808988869967</v>
      </c>
      <c r="Q41" s="456">
        <f t="shared" si="20"/>
        <v>45.969491618403822</v>
      </c>
      <c r="R41" s="456">
        <f t="shared" si="21"/>
        <v>49.882227270965799</v>
      </c>
      <c r="S41" s="456"/>
      <c r="T41" s="456">
        <f>'F-B5'!W70/'F-B5'!$AE70*100</f>
        <v>1.7309061600138933</v>
      </c>
      <c r="U41" s="456">
        <f>'F-B6'!P70/'F-B6'!$X70*100</f>
        <v>6.9256765263503137</v>
      </c>
      <c r="V41" s="456">
        <f>('C1-Incomes'!JH44-'C1-Incomes'!JI44)/('C1-Incomes'!$S44-'C1-Incomes'!$T44)*100</f>
        <v>10.212255521900779</v>
      </c>
      <c r="W41" s="456">
        <f>('C1-Incomes'!JI44-'C1-Incomes'!JJ44)/('C1-Incomes'!$T44-'C1-Incomes'!$U44)*100</f>
        <v>13.64574078222053</v>
      </c>
      <c r="X41" s="456">
        <f>('C1-Incomes'!JJ44-'C1-Incomes'!JK44)/('C1-Incomes'!$U44-'C1-Incomes'!$V44)*100</f>
        <v>18.94653189845123</v>
      </c>
      <c r="Y41" s="456">
        <f>('C1-Incomes'!JK44-'C1-Incomes'!JL44)/('C1-Incomes'!$V44-'C1-Incomes'!$W44)*100</f>
        <v>23.119273658528002</v>
      </c>
      <c r="Z41" s="456">
        <f>('C1-Incomes'!JL44-'C1-Incomes'!JM44)/('C1-Incomes'!$W44-'C1-Incomes'!$X44)*100</f>
        <v>28.943532940034121</v>
      </c>
      <c r="AA41" s="456">
        <f>'C1-Incomes'!JM44/'C1-Incomes'!$X44*100</f>
        <v>31.065041992832963</v>
      </c>
      <c r="AB41" s="458"/>
      <c r="AC41" s="456">
        <f>'F-B5'!X70/'F-B5'!$AE70*100</f>
        <v>0.59884752313044465</v>
      </c>
      <c r="AD41" s="456">
        <f>'F-B6'!Q70/'F-B6'!$X70*100</f>
        <v>1.7981376931373103</v>
      </c>
      <c r="AE41" s="456">
        <f>('C1-Incomes'!JP44-'C1-Incomes'!JQ44)/('C1-Incomes'!$S44-'C1-Incomes'!$T44)*100</f>
        <v>2.2755785283594157</v>
      </c>
      <c r="AF41" s="456">
        <f>('C1-Incomes'!JQ44-'C1-Incomes'!JR44)/('C1-Incomes'!$T44-'C1-Incomes'!$U44)*100</f>
        <v>2.9644068039733047</v>
      </c>
      <c r="AG41" s="456">
        <f>('C1-Incomes'!JR44-'C1-Incomes'!JS44)/('C1-Incomes'!$U44-'C1-Incomes'!$V44)*100</f>
        <v>3.733380395029938</v>
      </c>
      <c r="AH41" s="456">
        <f>('C1-Incomes'!JS44-'C1-Incomes'!JT44)/('C1-Incomes'!$V44-'C1-Incomes'!$W44)*100</f>
        <v>4.1712413257070029</v>
      </c>
      <c r="AI41" s="456">
        <f>('C1-Incomes'!JT44-'C1-Incomes'!JU44)/('C1-Incomes'!$W44-'C1-Incomes'!$X44)*100</f>
        <v>4.9930599776534086</v>
      </c>
      <c r="AJ41" s="456">
        <f>'C1-Incomes'!JU44/'C1-Incomes'!$X44*100</f>
        <v>5.3088429003758648</v>
      </c>
      <c r="AK41" s="458"/>
      <c r="AL41" s="456">
        <f>'F-B5'!Y70/'F-B5'!$AE70*100</f>
        <v>1.5229987877849822</v>
      </c>
      <c r="AM41" s="456">
        <f>'F-B6'!R70/'F-B6'!$X70*100</f>
        <v>2.6310429812476666</v>
      </c>
      <c r="AN41" s="456">
        <f>('C1-Incomes'!JX44-'C1-Incomes'!JY44)/('C1-Incomes'!$S44-'C1-Incomes'!$T44)*100</f>
        <v>3.2568853280164496</v>
      </c>
      <c r="AO41" s="456">
        <f>('C1-Incomes'!JY44-'C1-Incomes'!JZ44)/('C1-Incomes'!$T44-'C1-Incomes'!$U44)*100</f>
        <v>3.7776268488416602</v>
      </c>
      <c r="AP41" s="456">
        <f>('C1-Incomes'!JZ44-'C1-Incomes'!KA44)/('C1-Incomes'!$U44-'C1-Incomes'!$V44)*100</f>
        <v>3.5370802227524907</v>
      </c>
      <c r="AQ41" s="456">
        <f>('C1-Incomes'!KA44-'C1-Incomes'!KB44)/('C1-Incomes'!$V44-'C1-Incomes'!$W44)*100</f>
        <v>3.7840655531425802</v>
      </c>
      <c r="AR41" s="456">
        <f>('C1-Incomes'!KB44-'C1-Incomes'!KC44)/('C1-Incomes'!$W44-'C1-Incomes'!$X44)*100</f>
        <v>4.5946494329000469</v>
      </c>
      <c r="AS41" s="456">
        <f>'C1-Incomes'!KC44/'C1-Incomes'!$X44*100</f>
        <v>5.8097821830014222</v>
      </c>
      <c r="AT41" s="458"/>
      <c r="AU41" s="456">
        <f>'F-B5'!Z70/'F-B5'!$AE70*100</f>
        <v>1.4753796492869582</v>
      </c>
      <c r="AV41" s="456">
        <f>'F-B6'!S70/'F-B6'!$X70*100</f>
        <v>2.7979423117583431</v>
      </c>
      <c r="AW41" s="456">
        <f>('C1-Incomes'!KF44-'C1-Incomes'!KG44)/('C1-Incomes'!$S44-'C1-Incomes'!$T44)*100</f>
        <v>3.4027817566012879</v>
      </c>
      <c r="AX41" s="456">
        <f>('C1-Incomes'!KG44-'C1-Incomes'!KH44)/('C1-Incomes'!$T44-'C1-Incomes'!$U44)*100</f>
        <v>3.6780830829411513</v>
      </c>
      <c r="AY41" s="456">
        <f>('C1-Incomes'!KH44-'C1-Incomes'!KI44)/('C1-Incomes'!$U44-'C1-Incomes'!$V44)*100</f>
        <v>3.5719401139580249</v>
      </c>
      <c r="AZ41" s="456">
        <f>('C1-Incomes'!KI44-'C1-Incomes'!KJ44)/('C1-Incomes'!$V44-'C1-Incomes'!$W44)*100</f>
        <v>3.657624423042348</v>
      </c>
      <c r="BA41" s="456">
        <f>('C1-Incomes'!KJ44-'C1-Incomes'!KK44)/('C1-Incomes'!$W44-'C1-Incomes'!$X44)*100</f>
        <v>3.9131350427091087</v>
      </c>
      <c r="BB41" s="456">
        <f>'C1-Incomes'!KK44/'C1-Incomes'!$X44*100</f>
        <v>4.2190217221092992</v>
      </c>
      <c r="BD41" s="456">
        <f>'F-B5'!AA70/'F-B5'!$AE70*100</f>
        <v>6.4803048129146346</v>
      </c>
      <c r="BE41" s="456">
        <f>'F-B6'!T70/'F-B6'!$X70*100</f>
        <v>8.5815564590431457</v>
      </c>
      <c r="BF41" s="456">
        <f>('C1-Incomes'!KN44-'C1-Incomes'!KO44)/('C1-Incomes'!$S44-'C1-Incomes'!$T44)*100</f>
        <v>7.274158131900375</v>
      </c>
      <c r="BG41" s="456">
        <f>('C1-Incomes'!KO44-'C1-Incomes'!KP44)/('C1-Incomes'!$T44-'C1-Incomes'!$U44)*100</f>
        <v>5.5831061117812695</v>
      </c>
      <c r="BH41" s="456">
        <f>('C1-Incomes'!KP44-'C1-Incomes'!KQ44)/('C1-Incomes'!$U44-'C1-Incomes'!$V44)*100</f>
        <v>3.6913939316213793</v>
      </c>
      <c r="BI41" s="456">
        <f>('C1-Incomes'!KQ44-'C1-Incomes'!KR44)/('C1-Incomes'!$V44-'C1-Incomes'!$W44)*100</f>
        <v>2.5459531372790352</v>
      </c>
      <c r="BJ41" s="456">
        <f>('C1-Incomes'!KR44-'C1-Incomes'!KS44)/('C1-Incomes'!$W44-'C1-Incomes'!$X44)*100</f>
        <v>1.4885302491738905</v>
      </c>
      <c r="BK41" s="456">
        <f>'C1-Incomes'!KS44/'C1-Incomes'!$X44*100</f>
        <v>0.80090428900808486</v>
      </c>
      <c r="BL41" s="456"/>
      <c r="BM41" s="456">
        <f>'F-B5'!AC70/'F-B5'!$AE70*100</f>
        <v>0.24857654558961734</v>
      </c>
      <c r="BN41" s="456">
        <f>'F-B6'!V70/'F-B6'!$X70*100</f>
        <v>0.17044743407550533</v>
      </c>
      <c r="BO41" s="456">
        <f>('C1-Incomes'!LL44-'C1-Incomes'!LM44)/('C1-Incomes'!$S44-'C1-Incomes'!$T44)*100</f>
        <v>0.32080682462085081</v>
      </c>
      <c r="BP41" s="456">
        <f>('C1-Incomes'!LM44-'C1-Incomes'!LN44)/('C1-Incomes'!$T44-'C1-Incomes'!$U44)*100</f>
        <v>0.56148981095475803</v>
      </c>
      <c r="BQ41" s="456">
        <f>('C1-Incomes'!LN44-'C1-Incomes'!LO44)/('C1-Incomes'!$U44-'C1-Incomes'!$V44)*100</f>
        <v>0.83901876826508637</v>
      </c>
      <c r="BR41" s="456">
        <f>('C1-Incomes'!LO44-'C1-Incomes'!LP44)/('C1-Incomes'!$V44-'C1-Incomes'!$W44)*100</f>
        <v>0.87033373511482492</v>
      </c>
      <c r="BS41" s="456">
        <f>('C1-Incomes'!LP44-'C1-Incomes'!LQ44)/('C1-Incomes'!$W44-'C1-Incomes'!$X44)*100</f>
        <v>0.87808542202504458</v>
      </c>
      <c r="BT41" s="456">
        <f>'C1-Incomes'!LQ44/'C1-Incomes'!$X44*100</f>
        <v>1.0096024138768871</v>
      </c>
      <c r="BV41" s="456">
        <f>'F-B5'!AB70/'F-B5'!$AE70*100</f>
        <v>3.9925334179636618</v>
      </c>
      <c r="BW41" s="456">
        <f>'F-B6'!U70/'F-B6'!$X70*100</f>
        <v>6.1443116146987302</v>
      </c>
      <c r="BX41" s="456">
        <f>('C1-Incomes'!KV44-'C1-Incomes'!KW44)/('C1-Incomes'!$S44-'C1-Incomes'!$T44)*100</f>
        <v>5.3028141109761746</v>
      </c>
      <c r="BY41" s="456">
        <f>('C1-Incomes'!KW44-'C1-Incomes'!KX44)/('C1-Incomes'!$T44-'C1-Incomes'!$U44)*100</f>
        <v>4.3908075531777317</v>
      </c>
      <c r="BZ41" s="456">
        <f>('C1-Incomes'!KX44-'C1-Incomes'!KY44)/('C1-Incomes'!$U44-'C1-Incomes'!$V44)*100</f>
        <v>3.4505029311082716</v>
      </c>
      <c r="CA41" s="456">
        <f>('C1-Incomes'!KY44-'C1-Incomes'!KZ44)/('C1-Incomes'!$V44-'C1-Incomes'!$W44)*100</f>
        <v>2.8902702933352105</v>
      </c>
      <c r="CB41" s="456">
        <f>('C1-Incomes'!KZ44-'C1-Incomes'!LA44)/('C1-Incomes'!$W44-'C1-Incomes'!$X44)*100</f>
        <v>2.647028803082097</v>
      </c>
      <c r="CC41" s="456">
        <f>'C1-Incomes'!LA44/'C1-Incomes'!$X44*100</f>
        <v>2.4699360587693708</v>
      </c>
      <c r="CE41" s="519"/>
      <c r="CF41" s="519"/>
    </row>
    <row r="42" spans="1:84" s="452" customFormat="1" ht="12" x14ac:dyDescent="0.25">
      <c r="A42" s="239">
        <v>1997</v>
      </c>
      <c r="B42" s="456">
        <f t="shared" si="6"/>
        <v>16.153096271751835</v>
      </c>
      <c r="C42" s="456">
        <f t="shared" si="7"/>
        <v>29.081369155041575</v>
      </c>
      <c r="D42" s="456">
        <f t="shared" si="8"/>
        <v>32.287625215396673</v>
      </c>
      <c r="E42" s="456">
        <f t="shared" si="9"/>
        <v>35.140705859770407</v>
      </c>
      <c r="F42" s="456">
        <f t="shared" si="10"/>
        <v>39.212858139816056</v>
      </c>
      <c r="G42" s="456">
        <f t="shared" si="11"/>
        <v>41.698199759806378</v>
      </c>
      <c r="H42" s="456">
        <f t="shared" si="12"/>
        <v>48.002958073298018</v>
      </c>
      <c r="I42" s="456">
        <f t="shared" si="13"/>
        <v>50.775060477259274</v>
      </c>
      <c r="J42" s="456"/>
      <c r="K42" s="456">
        <f t="shared" si="14"/>
        <v>9.565917390841765</v>
      </c>
      <c r="L42" s="456">
        <f t="shared" si="15"/>
        <v>20.542091026927039</v>
      </c>
      <c r="M42" s="456">
        <f t="shared" si="16"/>
        <v>25.08343372509842</v>
      </c>
      <c r="N42" s="456">
        <f t="shared" si="17"/>
        <v>29.629629513306224</v>
      </c>
      <c r="O42" s="456">
        <f t="shared" si="18"/>
        <v>35.630101682590805</v>
      </c>
      <c r="P42" s="456">
        <f t="shared" si="19"/>
        <v>39.230319903132539</v>
      </c>
      <c r="Q42" s="456">
        <f t="shared" si="20"/>
        <v>46.531224805271819</v>
      </c>
      <c r="R42" s="456">
        <f t="shared" si="21"/>
        <v>49.919127385887045</v>
      </c>
      <c r="S42" s="456"/>
      <c r="T42" s="456">
        <f>'F-B5'!W71/'F-B5'!$AE71*100</f>
        <v>1.8127478885197421</v>
      </c>
      <c r="U42" s="456">
        <f>'F-B6'!P71/'F-B6'!$X71*100</f>
        <v>7.1655119809744372</v>
      </c>
      <c r="V42" s="456">
        <f>('C1-Incomes'!JH45-'C1-Incomes'!JI45)/('C1-Incomes'!$S45-'C1-Incomes'!$T45)*100</f>
        <v>10.540910144146292</v>
      </c>
      <c r="W42" s="456">
        <f>('C1-Incomes'!JI45-'C1-Incomes'!JJ45)/('C1-Incomes'!$T45-'C1-Incomes'!$U45)*100</f>
        <v>14.290042664397717</v>
      </c>
      <c r="X42" s="456">
        <f>('C1-Incomes'!JJ45-'C1-Incomes'!JK45)/('C1-Incomes'!$U45-'C1-Incomes'!$V45)*100</f>
        <v>20.134056037446321</v>
      </c>
      <c r="Y42" s="456">
        <f>('C1-Incomes'!JK45-'C1-Incomes'!JL45)/('C1-Incomes'!$V45-'C1-Incomes'!$W45)*100</f>
        <v>23.941354247258953</v>
      </c>
      <c r="Z42" s="456">
        <f>('C1-Incomes'!JL45-'C1-Incomes'!JM45)/('C1-Incomes'!$W45-'C1-Incomes'!$X45)*100</f>
        <v>29.71334534811708</v>
      </c>
      <c r="AA42" s="456">
        <f>'C1-Incomes'!JM45/'C1-Incomes'!$X45*100</f>
        <v>31.394379634286601</v>
      </c>
      <c r="AB42" s="458"/>
      <c r="AC42" s="456">
        <f>'F-B5'!X71/'F-B5'!$AE71*100</f>
        <v>0.59970941769982955</v>
      </c>
      <c r="AD42" s="456">
        <f>'F-B6'!Q71/'F-B6'!$X71*100</f>
        <v>1.7724188228332154</v>
      </c>
      <c r="AE42" s="456">
        <f>('C1-Incomes'!JP45-'C1-Incomes'!JQ45)/('C1-Incomes'!$S45-'C1-Incomes'!$T45)*100</f>
        <v>2.3281239924599526</v>
      </c>
      <c r="AF42" s="456">
        <f>('C1-Incomes'!JQ45-'C1-Incomes'!JR45)/('C1-Incomes'!$T45-'C1-Incomes'!$U45)*100</f>
        <v>3.0110834021484512</v>
      </c>
      <c r="AG42" s="456">
        <f>('C1-Incomes'!JR45-'C1-Incomes'!JS45)/('C1-Incomes'!$U45-'C1-Incomes'!$V45)*100</f>
        <v>3.8110688459481299</v>
      </c>
      <c r="AH42" s="456">
        <f>('C1-Incomes'!JS45-'C1-Incomes'!JT45)/('C1-Incomes'!$V45-'C1-Incomes'!$W45)*100</f>
        <v>4.2248831797111173</v>
      </c>
      <c r="AI42" s="456">
        <f>('C1-Incomes'!JT45-'C1-Incomes'!JU45)/('C1-Incomes'!$W45-'C1-Incomes'!$X45)*100</f>
        <v>5.0132071727236083</v>
      </c>
      <c r="AJ42" s="456">
        <f>'C1-Incomes'!JU45/'C1-Incomes'!$X45*100</f>
        <v>5.4353219846201677</v>
      </c>
      <c r="AK42" s="458"/>
      <c r="AL42" s="456">
        <f>'F-B5'!Y71/'F-B5'!$AE71*100</f>
        <v>1.477850978970163</v>
      </c>
      <c r="AM42" s="456">
        <f>'F-B6'!R71/'F-B6'!$X71*100</f>
        <v>2.5964134844247804</v>
      </c>
      <c r="AN42" s="456">
        <f>('C1-Incomes'!JX45-'C1-Incomes'!JY45)/('C1-Incomes'!$S45-'C1-Incomes'!$T45)*100</f>
        <v>3.3168427529906044</v>
      </c>
      <c r="AO42" s="456">
        <f>('C1-Incomes'!JY45-'C1-Incomes'!JZ45)/('C1-Incomes'!$T45-'C1-Incomes'!$U45)*100</f>
        <v>3.782429676248642</v>
      </c>
      <c r="AP42" s="456">
        <f>('C1-Incomes'!JZ45-'C1-Incomes'!KA45)/('C1-Incomes'!$U45-'C1-Incomes'!$V45)*100</f>
        <v>3.7522439866613508</v>
      </c>
      <c r="AQ42" s="456">
        <f>('C1-Incomes'!KA45-'C1-Incomes'!KB45)/('C1-Incomes'!$V45-'C1-Incomes'!$W45)*100</f>
        <v>3.7319189255605933</v>
      </c>
      <c r="AR42" s="456">
        <f>('C1-Incomes'!KB45-'C1-Incomes'!KC45)/('C1-Incomes'!$W45-'C1-Incomes'!$X45)*100</f>
        <v>4.5194366589644712</v>
      </c>
      <c r="AS42" s="456">
        <f>'C1-Incomes'!KC45/'C1-Incomes'!$X45*100</f>
        <v>5.6179622720549469</v>
      </c>
      <c r="AT42" s="458"/>
      <c r="AU42" s="456">
        <f>'F-B5'!Z71/'F-B5'!$AE71*100</f>
        <v>1.4326752948985451</v>
      </c>
      <c r="AV42" s="456">
        <f>'F-B6'!S71/'F-B6'!$X71*100</f>
        <v>2.7570387751634269</v>
      </c>
      <c r="AW42" s="456">
        <f>('C1-Incomes'!KF45-'C1-Incomes'!KG45)/('C1-Incomes'!$S45-'C1-Incomes'!$T45)*100</f>
        <v>3.3597153342574875</v>
      </c>
      <c r="AX42" s="456">
        <f>('C1-Incomes'!KG45-'C1-Incomes'!KH45)/('C1-Incomes'!$T45-'C1-Incomes'!$U45)*100</f>
        <v>3.617058850245118</v>
      </c>
      <c r="AY42" s="456">
        <f>('C1-Incomes'!KH45-'C1-Incomes'!KI45)/('C1-Incomes'!$U45-'C1-Incomes'!$V45)*100</f>
        <v>3.6533237456020098</v>
      </c>
      <c r="AZ42" s="456">
        <f>('C1-Incomes'!KI45-'C1-Incomes'!KJ45)/('C1-Incomes'!$V45-'C1-Incomes'!$W45)*100</f>
        <v>3.6261423749967907</v>
      </c>
      <c r="BA42" s="456">
        <f>('C1-Incomes'!KJ45-'C1-Incomes'!KK45)/('C1-Incomes'!$W45-'C1-Incomes'!$X45)*100</f>
        <v>3.8060492073426251</v>
      </c>
      <c r="BB42" s="456">
        <f>'C1-Incomes'!KK45/'C1-Incomes'!$X45*100</f>
        <v>4.0534477389076677</v>
      </c>
      <c r="BD42" s="456">
        <f>'F-B5'!AA71/'F-B5'!$AE71*100</f>
        <v>6.5871788809100691</v>
      </c>
      <c r="BE42" s="456">
        <f>'F-B6'!T71/'F-B6'!$X71*100</f>
        <v>8.5392781281145336</v>
      </c>
      <c r="BF42" s="456">
        <f>('C1-Incomes'!KN45-'C1-Incomes'!KO45)/('C1-Incomes'!$S45-'C1-Incomes'!$T45)*100</f>
        <v>7.2041914902982578</v>
      </c>
      <c r="BG42" s="456">
        <f>('C1-Incomes'!KO45-'C1-Incomes'!KP45)/('C1-Incomes'!$T45-'C1-Incomes'!$U45)*100</f>
        <v>5.5110763464641863</v>
      </c>
      <c r="BH42" s="456">
        <f>('C1-Incomes'!KP45-'C1-Incomes'!KQ45)/('C1-Incomes'!$U45-'C1-Incomes'!$V45)*100</f>
        <v>3.5827564572252486</v>
      </c>
      <c r="BI42" s="456">
        <f>('C1-Incomes'!KQ45-'C1-Incomes'!KR45)/('C1-Incomes'!$V45-'C1-Incomes'!$W45)*100</f>
        <v>2.4678798566738389</v>
      </c>
      <c r="BJ42" s="456">
        <f>('C1-Incomes'!KR45-'C1-Incomes'!KS45)/('C1-Incomes'!$W45-'C1-Incomes'!$X45)*100</f>
        <v>1.4717332680261959</v>
      </c>
      <c r="BK42" s="456">
        <f>'C1-Incomes'!KS45/'C1-Incomes'!$X45*100</f>
        <v>0.85593309137222962</v>
      </c>
      <c r="BL42" s="456"/>
      <c r="BM42" s="456">
        <f>'F-B5'!AC71/'F-B5'!$AE71*100</f>
        <v>0.27640607986456134</v>
      </c>
      <c r="BN42" s="456">
        <f>'F-B6'!V71/'F-B6'!$X71*100</f>
        <v>0.18906124822930082</v>
      </c>
      <c r="BO42" s="456">
        <f>('C1-Incomes'!LL45-'C1-Incomes'!LM45)/('C1-Incomes'!$S45-'C1-Incomes'!$T45)*100</f>
        <v>0.35129062998799576</v>
      </c>
      <c r="BP42" s="456">
        <f>('C1-Incomes'!LM45-'C1-Incomes'!LN45)/('C1-Incomes'!$T45-'C1-Incomes'!$U45)*100</f>
        <v>0.60861382806215025</v>
      </c>
      <c r="BQ42" s="456">
        <f>('C1-Incomes'!LN45-'C1-Incomes'!LO45)/('C1-Incomes'!$U45-'C1-Incomes'!$V45)*100</f>
        <v>0.90685672489876112</v>
      </c>
      <c r="BR42" s="456">
        <f>('C1-Incomes'!LO45-'C1-Incomes'!LP45)/('C1-Incomes'!$V45-'C1-Incomes'!$W45)*100</f>
        <v>0.90939270530277638</v>
      </c>
      <c r="BS42" s="456">
        <f>('C1-Incomes'!LP45-'C1-Incomes'!LQ45)/('C1-Incomes'!$W45-'C1-Incomes'!$X45)*100</f>
        <v>0.90120556368341009</v>
      </c>
      <c r="BT42" s="456">
        <f>'C1-Incomes'!LQ45/'C1-Incomes'!$X45*100</f>
        <v>1.002042163374353</v>
      </c>
      <c r="BV42" s="456">
        <f>'F-B5'!AB71/'F-B5'!$AE71*100</f>
        <v>3.9665277308889237</v>
      </c>
      <c r="BW42" s="456">
        <f>'F-B6'!U71/'F-B6'!$X71*100</f>
        <v>6.0616467153018796</v>
      </c>
      <c r="BX42" s="456">
        <f>('C1-Incomes'!KV45-'C1-Incomes'!KW45)/('C1-Incomes'!$S45-'C1-Incomes'!$T45)*100</f>
        <v>5.1865508712560873</v>
      </c>
      <c r="BY42" s="456">
        <f>('C1-Incomes'!KW45-'C1-Incomes'!KX45)/('C1-Incomes'!$T45-'C1-Incomes'!$U45)*100</f>
        <v>4.3204010922041443</v>
      </c>
      <c r="BZ42" s="456">
        <f>('C1-Incomes'!KX45-'C1-Incomes'!KY45)/('C1-Incomes'!$U45-'C1-Incomes'!$V45)*100</f>
        <v>3.3725523420342367</v>
      </c>
      <c r="CA42" s="456">
        <f>('C1-Incomes'!KY45-'C1-Incomes'!KZ45)/('C1-Incomes'!$V45-'C1-Incomes'!$W45)*100</f>
        <v>2.7966284703023061</v>
      </c>
      <c r="CB42" s="456">
        <f>('C1-Incomes'!KZ45-'C1-Incomes'!LA45)/('C1-Incomes'!$W45-'C1-Incomes'!$X45)*100</f>
        <v>2.5779808544406184</v>
      </c>
      <c r="CC42" s="456">
        <f>'C1-Incomes'!LA45/'C1-Incomes'!$X45*100</f>
        <v>2.4159735926433048</v>
      </c>
      <c r="CE42" s="519"/>
      <c r="CF42" s="519"/>
    </row>
    <row r="43" spans="1:84" s="452" customFormat="1" ht="12" x14ac:dyDescent="0.25">
      <c r="A43" s="239">
        <v>1998</v>
      </c>
      <c r="B43" s="456">
        <f t="shared" si="6"/>
        <v>16.225191224563314</v>
      </c>
      <c r="C43" s="456">
        <f t="shared" si="7"/>
        <v>29.073247570766696</v>
      </c>
      <c r="D43" s="456">
        <f t="shared" si="8"/>
        <v>32.688200989611921</v>
      </c>
      <c r="E43" s="456">
        <f t="shared" si="9"/>
        <v>35.919102901969339</v>
      </c>
      <c r="F43" s="456">
        <f t="shared" si="10"/>
        <v>40.090572899019392</v>
      </c>
      <c r="G43" s="456">
        <f t="shared" si="11"/>
        <v>43.77612544352364</v>
      </c>
      <c r="H43" s="456">
        <f t="shared" si="12"/>
        <v>50.782905532238246</v>
      </c>
      <c r="I43" s="456">
        <f t="shared" si="13"/>
        <v>52.662606788410798</v>
      </c>
      <c r="J43" s="456"/>
      <c r="K43" s="456">
        <f t="shared" si="14"/>
        <v>9.5193545567284001</v>
      </c>
      <c r="L43" s="456">
        <f t="shared" si="15"/>
        <v>20.552288015429863</v>
      </c>
      <c r="M43" s="456">
        <f t="shared" si="16"/>
        <v>25.498311684826891</v>
      </c>
      <c r="N43" s="456">
        <f t="shared" si="17"/>
        <v>30.385153701344606</v>
      </c>
      <c r="O43" s="456">
        <f t="shared" si="18"/>
        <v>36.518048717460154</v>
      </c>
      <c r="P43" s="456">
        <f t="shared" si="19"/>
        <v>41.29199812222609</v>
      </c>
      <c r="Q43" s="456">
        <f t="shared" si="20"/>
        <v>49.255727533567892</v>
      </c>
      <c r="R43" s="456">
        <f t="shared" si="21"/>
        <v>51.639589752664222</v>
      </c>
      <c r="S43" s="456"/>
      <c r="T43" s="456">
        <f>'F-B5'!W72/'F-B5'!$AE72*100</f>
        <v>1.6980532645385977</v>
      </c>
      <c r="U43" s="456">
        <f>'F-B6'!P72/'F-B6'!$X72*100</f>
        <v>7.2951716129019895</v>
      </c>
      <c r="V43" s="456">
        <f>('C1-Incomes'!JH46-'C1-Incomes'!JI46)/('C1-Incomes'!$S46-'C1-Incomes'!$T46)*100</f>
        <v>11.067477375012604</v>
      </c>
      <c r="W43" s="456">
        <f>('C1-Incomes'!JI46-'C1-Incomes'!JJ46)/('C1-Incomes'!$T46-'C1-Incomes'!$U46)*100</f>
        <v>15.177288110592244</v>
      </c>
      <c r="X43" s="456">
        <f>('C1-Incomes'!JJ46-'C1-Incomes'!JK46)/('C1-Incomes'!$U46-'C1-Incomes'!$V46)*100</f>
        <v>21.131859378186839</v>
      </c>
      <c r="Y43" s="456">
        <f>('C1-Incomes'!JK46-'C1-Incomes'!JL46)/('C1-Incomes'!$V46-'C1-Incomes'!$W46)*100</f>
        <v>25.646063416497672</v>
      </c>
      <c r="Z43" s="456">
        <f>('C1-Incomes'!JL46-'C1-Incomes'!JM46)/('C1-Incomes'!$W46-'C1-Incomes'!$X46)*100</f>
        <v>31.886612119243324</v>
      </c>
      <c r="AA43" s="456">
        <f>'C1-Incomes'!JM46/'C1-Incomes'!$X46*100</f>
        <v>33.330452376017007</v>
      </c>
      <c r="AB43" s="458"/>
      <c r="AC43" s="456">
        <f>'F-B5'!X72/'F-B5'!$AE72*100</f>
        <v>0.63516651723016737</v>
      </c>
      <c r="AD43" s="456">
        <f>'F-B6'!Q72/'F-B6'!$X72*100</f>
        <v>1.823216618920134</v>
      </c>
      <c r="AE43" s="456">
        <f>('C1-Incomes'!JP46-'C1-Incomes'!JQ46)/('C1-Incomes'!$S46-'C1-Incomes'!$T46)*100</f>
        <v>2.4078018029616266</v>
      </c>
      <c r="AF43" s="456">
        <f>('C1-Incomes'!JQ46-'C1-Incomes'!JR46)/('C1-Incomes'!$T46-'C1-Incomes'!$U46)*100</f>
        <v>3.13596539856221</v>
      </c>
      <c r="AG43" s="456">
        <f>('C1-Incomes'!JR46-'C1-Incomes'!JS46)/('C1-Incomes'!$U46-'C1-Incomes'!$V46)*100</f>
        <v>4.0836311334320907</v>
      </c>
      <c r="AH43" s="456">
        <f>('C1-Incomes'!JS46-'C1-Incomes'!JT46)/('C1-Incomes'!$V46-'C1-Incomes'!$W46)*100</f>
        <v>4.5641630663785859</v>
      </c>
      <c r="AI43" s="456">
        <f>('C1-Incomes'!JT46-'C1-Incomes'!JU46)/('C1-Incomes'!$W46-'C1-Incomes'!$X46)*100</f>
        <v>5.4921273638734069</v>
      </c>
      <c r="AJ43" s="456">
        <f>'C1-Incomes'!JU46/'C1-Incomes'!$X46*100</f>
        <v>5.5795129457376822</v>
      </c>
      <c r="AK43" s="458"/>
      <c r="AL43" s="456">
        <f>'F-B5'!Y72/'F-B5'!$AE72*100</f>
        <v>1.3727815894627511</v>
      </c>
      <c r="AM43" s="456">
        <f>'F-B6'!R72/'F-B6'!$X72*100</f>
        <v>2.4095692328030016</v>
      </c>
      <c r="AN43" s="456">
        <f>('C1-Incomes'!JX46-'C1-Incomes'!JY46)/('C1-Incomes'!$S46-'C1-Incomes'!$T46)*100</f>
        <v>3.1161092347875332</v>
      </c>
      <c r="AO43" s="456">
        <f>('C1-Incomes'!JY46-'C1-Incomes'!JZ46)/('C1-Incomes'!$T46-'C1-Incomes'!$U46)*100</f>
        <v>3.4479058138290797</v>
      </c>
      <c r="AP43" s="456">
        <f>('C1-Incomes'!JZ46-'C1-Incomes'!KA46)/('C1-Incomes'!$U46-'C1-Incomes'!$V46)*100</f>
        <v>3.3996470904472531</v>
      </c>
      <c r="AQ43" s="456">
        <f>('C1-Incomes'!KA46-'C1-Incomes'!KB46)/('C1-Incomes'!$V46-'C1-Incomes'!$W46)*100</f>
        <v>3.5620806120569974</v>
      </c>
      <c r="AR43" s="456">
        <f>('C1-Incomes'!KB46-'C1-Incomes'!KC46)/('C1-Incomes'!$W46-'C1-Incomes'!$X46)*100</f>
        <v>4.4029548658211262</v>
      </c>
      <c r="AS43" s="456">
        <f>'C1-Incomes'!KC46/'C1-Incomes'!$X46*100</f>
        <v>5.2082877107818621</v>
      </c>
      <c r="AT43" s="458"/>
      <c r="AU43" s="456">
        <f>'F-B5'!Z72/'F-B5'!$AE72*100</f>
        <v>1.3816725207847036</v>
      </c>
      <c r="AV43" s="456">
        <f>'F-B6'!S72/'F-B6'!$X72*100</f>
        <v>2.6608625769096337</v>
      </c>
      <c r="AW43" s="456">
        <f>('C1-Incomes'!KF46-'C1-Incomes'!KG46)/('C1-Incomes'!$S46-'C1-Incomes'!$T46)*100</f>
        <v>3.2868279694639657</v>
      </c>
      <c r="AX43" s="456">
        <f>('C1-Incomes'!KG46-'C1-Incomes'!KH46)/('C1-Incomes'!$T46-'C1-Incomes'!$U46)*100</f>
        <v>3.5649899460612207</v>
      </c>
      <c r="AY43" s="456">
        <f>('C1-Incomes'!KH46-'C1-Incomes'!KI46)/('C1-Incomes'!$U46-'C1-Incomes'!$V46)*100</f>
        <v>3.5411297694745372</v>
      </c>
      <c r="AZ43" s="456">
        <f>('C1-Incomes'!KI46-'C1-Incomes'!KJ46)/('C1-Incomes'!$V46-'C1-Incomes'!$W46)*100</f>
        <v>3.6361557417187731</v>
      </c>
      <c r="BA43" s="456">
        <f>('C1-Incomes'!KJ46-'C1-Incomes'!KK46)/('C1-Incomes'!$W46-'C1-Incomes'!$X46)*100</f>
        <v>3.8323012789074253</v>
      </c>
      <c r="BB43" s="456">
        <f>'C1-Incomes'!KK46/'C1-Incomes'!$X46*100</f>
        <v>3.9247463471470767</v>
      </c>
      <c r="BD43" s="456">
        <f>'F-B5'!AA72/'F-B5'!$AE72*100</f>
        <v>6.7058366678349133</v>
      </c>
      <c r="BE43" s="456">
        <f>'F-B6'!T72/'F-B6'!$X72*100</f>
        <v>8.520959555336832</v>
      </c>
      <c r="BF43" s="456">
        <f>('C1-Incomes'!KN46-'C1-Incomes'!KO46)/('C1-Incomes'!$S46-'C1-Incomes'!$T46)*100</f>
        <v>7.1898893047850274</v>
      </c>
      <c r="BG43" s="456">
        <f>('C1-Incomes'!KO46-'C1-Incomes'!KP46)/('C1-Incomes'!$T46-'C1-Incomes'!$U46)*100</f>
        <v>5.5339492006247362</v>
      </c>
      <c r="BH43" s="456">
        <f>('C1-Incomes'!KP46-'C1-Incomes'!KQ46)/('C1-Incomes'!$U46-'C1-Incomes'!$V46)*100</f>
        <v>3.5725241815592375</v>
      </c>
      <c r="BI43" s="456">
        <f>('C1-Incomes'!KQ46-'C1-Incomes'!KR46)/('C1-Incomes'!$V46-'C1-Incomes'!$W46)*100</f>
        <v>2.4841273212975508</v>
      </c>
      <c r="BJ43" s="456">
        <f>('C1-Incomes'!KR46-'C1-Incomes'!KS46)/('C1-Incomes'!$W46-'C1-Incomes'!$X46)*100</f>
        <v>1.5271779986703564</v>
      </c>
      <c r="BK43" s="456">
        <f>'C1-Incomes'!KS46/'C1-Incomes'!$X46*100</f>
        <v>1.0230170357465764</v>
      </c>
      <c r="BL43" s="456"/>
      <c r="BM43" s="456">
        <f>'F-B5'!AC72/'F-B5'!$AE72*100</f>
        <v>0.31828282633684324</v>
      </c>
      <c r="BN43" s="456">
        <f>'F-B6'!V72/'F-B6'!$X72*100</f>
        <v>0.21689331085165217</v>
      </c>
      <c r="BO43" s="456">
        <f>('C1-Incomes'!LL46-'C1-Incomes'!LM46)/('C1-Incomes'!$S46-'C1-Incomes'!$T46)*100</f>
        <v>0.3995787050912733</v>
      </c>
      <c r="BP43" s="456">
        <f>('C1-Incomes'!LM46-'C1-Incomes'!LN46)/('C1-Incomes'!$T46-'C1-Incomes'!$U46)*100</f>
        <v>0.68381164515933401</v>
      </c>
      <c r="BQ43" s="456">
        <f>('C1-Incomes'!LN46-'C1-Incomes'!LO46)/('C1-Incomes'!$U46-'C1-Incomes'!$V46)*100</f>
        <v>0.99763334155042427</v>
      </c>
      <c r="BR43" s="456">
        <f>('C1-Incomes'!LO46-'C1-Incomes'!LP46)/('C1-Incomes'!$V46-'C1-Incomes'!$W46)*100</f>
        <v>1.036307442587004</v>
      </c>
      <c r="BS43" s="456">
        <f>('C1-Incomes'!LP46-'C1-Incomes'!LQ46)/('C1-Incomes'!$W46-'C1-Incomes'!$X46)*100</f>
        <v>0.98465576893810214</v>
      </c>
      <c r="BT43" s="456">
        <f>'C1-Incomes'!LQ46/'C1-Incomes'!$X46*100</f>
        <v>1.0485083315793584</v>
      </c>
      <c r="BV43" s="456">
        <f>'F-B5'!AB72/'F-B5'!$AE72*100</f>
        <v>4.1133978383753371</v>
      </c>
      <c r="BW43" s="456">
        <f>'F-B6'!U72/'F-B6'!$X72*100</f>
        <v>6.1465746630434515</v>
      </c>
      <c r="BX43" s="456">
        <f>('C1-Incomes'!KV46-'C1-Incomes'!KW46)/('C1-Incomes'!$S46-'C1-Incomes'!$T46)*100</f>
        <v>5.2205165975098895</v>
      </c>
      <c r="BY43" s="456">
        <f>('C1-Incomes'!KW46-'C1-Incomes'!KX46)/('C1-Incomes'!$T46-'C1-Incomes'!$U46)*100</f>
        <v>4.3751927871405156</v>
      </c>
      <c r="BZ43" s="456">
        <f>('C1-Incomes'!KX46-'C1-Incomes'!KY46)/('C1-Incomes'!$U46-'C1-Incomes'!$V46)*100</f>
        <v>3.3641480043690053</v>
      </c>
      <c r="CA43" s="456">
        <f>('C1-Incomes'!KY46-'C1-Incomes'!KZ46)/('C1-Incomes'!$V46-'C1-Incomes'!$W46)*100</f>
        <v>2.8472278429870617</v>
      </c>
      <c r="CB43" s="456">
        <f>('C1-Incomes'!KZ46-'C1-Incomes'!LA46)/('C1-Incomes'!$W46-'C1-Incomes'!$X46)*100</f>
        <v>2.6570761367845046</v>
      </c>
      <c r="CC43" s="456">
        <f>'C1-Incomes'!LA46/'C1-Incomes'!$X46*100</f>
        <v>2.5480820414012362</v>
      </c>
      <c r="CE43" s="519"/>
      <c r="CF43" s="519"/>
    </row>
    <row r="44" spans="1:84" s="452" customFormat="1" ht="12" x14ac:dyDescent="0.25">
      <c r="A44" s="239">
        <v>1999</v>
      </c>
      <c r="B44" s="456">
        <f t="shared" si="6"/>
        <v>16.443822074738982</v>
      </c>
      <c r="C44" s="456">
        <f t="shared" si="7"/>
        <v>28.885051738458866</v>
      </c>
      <c r="D44" s="456">
        <f t="shared" si="8"/>
        <v>33.158917712699441</v>
      </c>
      <c r="E44" s="456">
        <f t="shared" si="9"/>
        <v>36.431865011932672</v>
      </c>
      <c r="F44" s="456">
        <f t="shared" si="10"/>
        <v>40.709473126628666</v>
      </c>
      <c r="G44" s="456">
        <f t="shared" si="11"/>
        <v>44.192603760941743</v>
      </c>
      <c r="H44" s="456">
        <f t="shared" si="12"/>
        <v>50.817498134691817</v>
      </c>
      <c r="I44" s="456">
        <f t="shared" si="13"/>
        <v>52.378168467252443</v>
      </c>
      <c r="J44" s="456"/>
      <c r="K44" s="456">
        <f t="shared" si="14"/>
        <v>9.6623559726512642</v>
      </c>
      <c r="L44" s="456">
        <f t="shared" si="15"/>
        <v>20.312349336234902</v>
      </c>
      <c r="M44" s="456">
        <f t="shared" si="16"/>
        <v>25.781686864578933</v>
      </c>
      <c r="N44" s="456">
        <f t="shared" si="17"/>
        <v>30.799841685059338</v>
      </c>
      <c r="O44" s="456">
        <f t="shared" si="18"/>
        <v>37.142805380641754</v>
      </c>
      <c r="P44" s="456">
        <f t="shared" si="19"/>
        <v>41.737994601571351</v>
      </c>
      <c r="Q44" s="456">
        <f t="shared" si="20"/>
        <v>49.272723508802642</v>
      </c>
      <c r="R44" s="456">
        <f t="shared" si="21"/>
        <v>51.195737461487141</v>
      </c>
      <c r="S44" s="456"/>
      <c r="T44" s="456">
        <f>'F-B5'!W73/'F-B5'!$AE73*100</f>
        <v>1.7652021526887145</v>
      </c>
      <c r="U44" s="456">
        <f>'F-B6'!P73/'F-B6'!$X73*100</f>
        <v>7.242228469189441</v>
      </c>
      <c r="V44" s="456">
        <f>('C1-Incomes'!JH47-'C1-Incomes'!JI47)/('C1-Incomes'!$S47-'C1-Incomes'!$T47)*100</f>
        <v>11.428012196391574</v>
      </c>
      <c r="W44" s="456">
        <f>('C1-Incomes'!JI47-'C1-Incomes'!JJ47)/('C1-Incomes'!$T47-'C1-Incomes'!$U47)*100</f>
        <v>15.67775350681301</v>
      </c>
      <c r="X44" s="456">
        <f>('C1-Incomes'!JJ47-'C1-Incomes'!JK47)/('C1-Incomes'!$U47-'C1-Incomes'!$V47)*100</f>
        <v>21.679091712961267</v>
      </c>
      <c r="Y44" s="456">
        <f>('C1-Incomes'!JK47-'C1-Incomes'!JL47)/('C1-Incomes'!$V47-'C1-Incomes'!$W47)*100</f>
        <v>25.880804755268549</v>
      </c>
      <c r="Z44" s="456">
        <f>('C1-Incomes'!JL47-'C1-Incomes'!JM47)/('C1-Incomes'!$W47-'C1-Incomes'!$X47)*100</f>
        <v>31.934092841054184</v>
      </c>
      <c r="AA44" s="456">
        <f>'C1-Incomes'!JM47/'C1-Incomes'!$X47*100</f>
        <v>33.148851833326965</v>
      </c>
      <c r="AB44" s="458"/>
      <c r="AC44" s="456">
        <f>'F-B5'!X73/'F-B5'!$AE73*100</f>
        <v>0.57442727625973611</v>
      </c>
      <c r="AD44" s="456">
        <f>'F-B6'!Q73/'F-B6'!$X73*100</f>
        <v>1.7717479018601969</v>
      </c>
      <c r="AE44" s="456">
        <f>('C1-Incomes'!JP47-'C1-Incomes'!JQ47)/('C1-Incomes'!$S47-'C1-Incomes'!$T47)*100</f>
        <v>2.5064385101621598</v>
      </c>
      <c r="AF44" s="456">
        <f>('C1-Incomes'!JQ47-'C1-Incomes'!JR47)/('C1-Incomes'!$T47-'C1-Incomes'!$U47)*100</f>
        <v>3.2915025848063308</v>
      </c>
      <c r="AG44" s="456">
        <f>('C1-Incomes'!JR47-'C1-Incomes'!JS47)/('C1-Incomes'!$U47-'C1-Incomes'!$V47)*100</f>
        <v>4.1266594794030196</v>
      </c>
      <c r="AH44" s="456">
        <f>('C1-Incomes'!JS47-'C1-Incomes'!JT47)/('C1-Incomes'!$V47-'C1-Incomes'!$W47)*100</f>
        <v>4.700869679066602</v>
      </c>
      <c r="AI44" s="456">
        <f>('C1-Incomes'!JT47-'C1-Incomes'!JU47)/('C1-Incomes'!$W47-'C1-Incomes'!$X47)*100</f>
        <v>5.7137353382434215</v>
      </c>
      <c r="AJ44" s="456">
        <f>'C1-Incomes'!JU47/'C1-Incomes'!$X47*100</f>
        <v>5.7765626232024676</v>
      </c>
      <c r="AK44" s="458"/>
      <c r="AL44" s="456">
        <f>'F-B5'!Y73/'F-B5'!$AE73*100</f>
        <v>1.4021191939792095</v>
      </c>
      <c r="AM44" s="456">
        <f>'F-B6'!R73/'F-B6'!$X73*100</f>
        <v>2.4001837568566131</v>
      </c>
      <c r="AN44" s="456">
        <f>('C1-Incomes'!JX47-'C1-Incomes'!JY47)/('C1-Incomes'!$S47-'C1-Incomes'!$T47)*100</f>
        <v>2.9987782532322944</v>
      </c>
      <c r="AO44" s="456">
        <f>('C1-Incomes'!JY47-'C1-Incomes'!JZ47)/('C1-Incomes'!$T47-'C1-Incomes'!$U47)*100</f>
        <v>3.3094919463557075</v>
      </c>
      <c r="AP44" s="456">
        <f>('C1-Incomes'!JZ47-'C1-Incomes'!KA47)/('C1-Incomes'!$U47-'C1-Incomes'!$V47)*100</f>
        <v>3.4908622658363244</v>
      </c>
      <c r="AQ44" s="456">
        <f>('C1-Incomes'!KA47-'C1-Incomes'!KB47)/('C1-Incomes'!$V47-'C1-Incomes'!$W47)*100</f>
        <v>3.7625022669212824</v>
      </c>
      <c r="AR44" s="456">
        <f>('C1-Incomes'!KB47-'C1-Incomes'!KC47)/('C1-Incomes'!$W47-'C1-Incomes'!$X47)*100</f>
        <v>4.355356253269691</v>
      </c>
      <c r="AS44" s="456">
        <f>'C1-Incomes'!KC47/'C1-Incomes'!$X47*100</f>
        <v>5.0192798179824205</v>
      </c>
      <c r="AT44" s="458"/>
      <c r="AU44" s="456">
        <f>'F-B5'!Z73/'F-B5'!$AE73*100</f>
        <v>1.404399087599554</v>
      </c>
      <c r="AV44" s="456">
        <f>'F-B6'!S73/'F-B6'!$X73*100</f>
        <v>2.6479614132653961</v>
      </c>
      <c r="AW44" s="456">
        <f>('C1-Incomes'!KF47-'C1-Incomes'!KG47)/('C1-Incomes'!$S47-'C1-Incomes'!$T47)*100</f>
        <v>3.2544925840825458</v>
      </c>
      <c r="AX44" s="456">
        <f>('C1-Incomes'!KG47-'C1-Incomes'!KH47)/('C1-Incomes'!$T47-'C1-Incomes'!$U47)*100</f>
        <v>3.5054201484776062</v>
      </c>
      <c r="AY44" s="456">
        <f>('C1-Incomes'!KH47-'C1-Incomes'!KI47)/('C1-Incomes'!$U47-'C1-Incomes'!$V47)*100</f>
        <v>3.5651379924904845</v>
      </c>
      <c r="AZ44" s="456">
        <f>('C1-Incomes'!KI47-'C1-Incomes'!KJ47)/('C1-Incomes'!$V47-'C1-Incomes'!$W47)*100</f>
        <v>3.6161874780977743</v>
      </c>
      <c r="BA44" s="456">
        <f>('C1-Incomes'!KJ47-'C1-Incomes'!KK47)/('C1-Incomes'!$W47-'C1-Incomes'!$X47)*100</f>
        <v>3.703924190046501</v>
      </c>
      <c r="BB44" s="456">
        <f>'C1-Incomes'!KK47/'C1-Incomes'!$X47*100</f>
        <v>3.6953377645985741</v>
      </c>
      <c r="BD44" s="456">
        <f>'F-B5'!AA73/'F-B5'!$AE73*100</f>
        <v>6.7814661020877187</v>
      </c>
      <c r="BE44" s="456">
        <f>'F-B6'!T73/'F-B6'!$X73*100</f>
        <v>8.572702402223964</v>
      </c>
      <c r="BF44" s="456">
        <f>('C1-Incomes'!KN47-'C1-Incomes'!KO47)/('C1-Incomes'!$S47-'C1-Incomes'!$T47)*100</f>
        <v>7.377230848120508</v>
      </c>
      <c r="BG44" s="456">
        <f>('C1-Incomes'!KO47-'C1-Incomes'!KP47)/('C1-Incomes'!$T47-'C1-Incomes'!$U47)*100</f>
        <v>5.6320233268733322</v>
      </c>
      <c r="BH44" s="456">
        <f>('C1-Incomes'!KP47-'C1-Incomes'!KQ47)/('C1-Incomes'!$U47-'C1-Incomes'!$V47)*100</f>
        <v>3.5666677459869129</v>
      </c>
      <c r="BI44" s="456">
        <f>('C1-Incomes'!KQ47-'C1-Incomes'!KR47)/('C1-Incomes'!$V47-'C1-Incomes'!$W47)*100</f>
        <v>2.454609159370392</v>
      </c>
      <c r="BJ44" s="456">
        <f>('C1-Incomes'!KR47-'C1-Incomes'!KS47)/('C1-Incomes'!$W47-'C1-Incomes'!$X47)*100</f>
        <v>1.5447746258891724</v>
      </c>
      <c r="BK44" s="456">
        <f>'C1-Incomes'!KS47/'C1-Incomes'!$X47*100</f>
        <v>1.1824310057652987</v>
      </c>
      <c r="BL44" s="456"/>
      <c r="BM44" s="456">
        <f>'F-B5'!AC73/'F-B5'!$AE73*100</f>
        <v>0.3453738537044278</v>
      </c>
      <c r="BN44" s="456">
        <f>'F-B6'!V73/'F-B6'!$X73*100</f>
        <v>0.2327579551524793</v>
      </c>
      <c r="BO44" s="456">
        <f>('C1-Incomes'!LL47-'C1-Incomes'!LM47)/('C1-Incomes'!$S47-'C1-Incomes'!$T47)*100</f>
        <v>0.42848969545261983</v>
      </c>
      <c r="BP44" s="456">
        <f>('C1-Incomes'!LM47-'C1-Incomes'!LN47)/('C1-Incomes'!$T47-'C1-Incomes'!$U47)*100</f>
        <v>0.73481370462497686</v>
      </c>
      <c r="BQ44" s="456">
        <f>('C1-Incomes'!LN47-'C1-Incomes'!LO47)/('C1-Incomes'!$U47-'C1-Incomes'!$V47)*100</f>
        <v>1.0596527320362699</v>
      </c>
      <c r="BR44" s="456">
        <f>('C1-Incomes'!LO47-'C1-Incomes'!LP47)/('C1-Incomes'!$V47-'C1-Incomes'!$W47)*100</f>
        <v>1.061837256622203</v>
      </c>
      <c r="BS44" s="456">
        <f>('C1-Incomes'!LP47-'C1-Incomes'!LQ47)/('C1-Incomes'!$W47-'C1-Incomes'!$X47)*100</f>
        <v>0.99742926074039773</v>
      </c>
      <c r="BT44" s="456">
        <f>'C1-Incomes'!LQ47/'C1-Incomes'!$X47*100</f>
        <v>1.043982056802488</v>
      </c>
      <c r="BV44" s="456">
        <f>'F-B5'!AB73/'F-B5'!$AE73*100</f>
        <v>4.1708344084196218</v>
      </c>
      <c r="BW44" s="456">
        <f>'F-B6'!U73/'F-B6'!$X73*100</f>
        <v>6.0174698399107767</v>
      </c>
      <c r="BX44" s="456">
        <f>('C1-Incomes'!KV47-'C1-Incomes'!KW47)/('C1-Incomes'!$S47-'C1-Incomes'!$T47)*100</f>
        <v>5.1654756252577423</v>
      </c>
      <c r="BY44" s="456">
        <f>('C1-Incomes'!KW47-'C1-Incomes'!KX47)/('C1-Incomes'!$T47-'C1-Incomes'!$U47)*100</f>
        <v>4.2808597939817092</v>
      </c>
      <c r="BZ44" s="456">
        <f>('C1-Incomes'!KX47-'C1-Incomes'!KY47)/('C1-Incomes'!$U47-'C1-Incomes'!$V47)*100</f>
        <v>3.2214011979143917</v>
      </c>
      <c r="CA44" s="456">
        <f>('C1-Incomes'!KY47-'C1-Incomes'!KZ47)/('C1-Incomes'!$V47-'C1-Incomes'!$W47)*100</f>
        <v>2.7157931655949352</v>
      </c>
      <c r="CB44" s="456">
        <f>('C1-Incomes'!KZ47-'C1-Incomes'!LA47)/('C1-Incomes'!$W47-'C1-Incomes'!$X47)*100</f>
        <v>2.5681856254484483</v>
      </c>
      <c r="CC44" s="456">
        <f>'C1-Incomes'!LA47/'C1-Incomes'!$X47*100</f>
        <v>2.5117233655742184</v>
      </c>
      <c r="CE44" s="519"/>
      <c r="CF44" s="519"/>
    </row>
    <row r="45" spans="1:84" s="452" customFormat="1" ht="12" x14ac:dyDescent="0.25">
      <c r="A45" s="239">
        <v>2000</v>
      </c>
      <c r="B45" s="456">
        <f t="shared" si="6"/>
        <v>16.699054953300447</v>
      </c>
      <c r="C45" s="456">
        <f t="shared" si="7"/>
        <v>29.040462848722097</v>
      </c>
      <c r="D45" s="456">
        <f t="shared" si="8"/>
        <v>33.07276361086651</v>
      </c>
      <c r="E45" s="456">
        <f t="shared" si="9"/>
        <v>36.44180040970538</v>
      </c>
      <c r="F45" s="456">
        <f t="shared" si="10"/>
        <v>41.586640561052889</v>
      </c>
      <c r="G45" s="456">
        <f t="shared" si="11"/>
        <v>44.678698497953711</v>
      </c>
      <c r="H45" s="456">
        <f t="shared" si="12"/>
        <v>51.806704487616187</v>
      </c>
      <c r="I45" s="456">
        <f t="shared" si="13"/>
        <v>54.127500541467796</v>
      </c>
      <c r="J45" s="456"/>
      <c r="K45" s="456">
        <f t="shared" si="14"/>
        <v>9.7023643274486542</v>
      </c>
      <c r="L45" s="456">
        <f t="shared" si="15"/>
        <v>20.572290218459813</v>
      </c>
      <c r="M45" s="456">
        <f t="shared" si="16"/>
        <v>25.671564151650671</v>
      </c>
      <c r="N45" s="456">
        <f t="shared" si="17"/>
        <v>30.810648612687348</v>
      </c>
      <c r="O45" s="456">
        <f t="shared" si="18"/>
        <v>38.011976696617168</v>
      </c>
      <c r="P45" s="456">
        <f t="shared" si="19"/>
        <v>42.223743425461784</v>
      </c>
      <c r="Q45" s="456">
        <f t="shared" si="20"/>
        <v>50.148795571023427</v>
      </c>
      <c r="R45" s="456">
        <f t="shared" si="21"/>
        <v>52.794228461237189</v>
      </c>
      <c r="S45" s="456"/>
      <c r="T45" s="456">
        <f>'F-B5'!W74/'F-B5'!$AE74*100</f>
        <v>1.7879306615434549</v>
      </c>
      <c r="U45" s="456">
        <f>'F-B6'!P74/'F-B6'!$X74*100</f>
        <v>7.4285006633727644</v>
      </c>
      <c r="V45" s="456">
        <f>('C1-Incomes'!JH48-'C1-Incomes'!JI48)/('C1-Incomes'!$S48-'C1-Incomes'!$T48)*100</f>
        <v>11.599931190733519</v>
      </c>
      <c r="W45" s="456">
        <f>('C1-Incomes'!JI48-'C1-Incomes'!JJ48)/('C1-Incomes'!$T48-'C1-Incomes'!$U48)*100</f>
        <v>16.005795419705532</v>
      </c>
      <c r="X45" s="456">
        <f>('C1-Incomes'!JJ48-'C1-Incomes'!JK48)/('C1-Incomes'!$U48-'C1-Incomes'!$V48)*100</f>
        <v>22.458124594998839</v>
      </c>
      <c r="Y45" s="456">
        <f>('C1-Incomes'!JK48-'C1-Incomes'!JL48)/('C1-Incomes'!$V48-'C1-Incomes'!$W48)*100</f>
        <v>26.551539708636557</v>
      </c>
      <c r="Z45" s="456">
        <f>('C1-Incomes'!JL48-'C1-Incomes'!JM48)/('C1-Incomes'!$W48-'C1-Incomes'!$X48)*100</f>
        <v>33.207751253632217</v>
      </c>
      <c r="AA45" s="456">
        <f>'C1-Incomes'!JM48/'C1-Incomes'!$X48*100</f>
        <v>34.982829620331621</v>
      </c>
      <c r="AB45" s="458"/>
      <c r="AC45" s="456">
        <f>'F-B5'!X74/'F-B5'!$AE74*100</f>
        <v>0.5715925171826467</v>
      </c>
      <c r="AD45" s="456">
        <f>'F-B6'!Q74/'F-B6'!$X74*100</f>
        <v>1.7918712633609784</v>
      </c>
      <c r="AE45" s="456">
        <f>('C1-Incomes'!JP48-'C1-Incomes'!JQ48)/('C1-Incomes'!$S48-'C1-Incomes'!$T48)*100</f>
        <v>2.5340081128129435</v>
      </c>
      <c r="AF45" s="456">
        <f>('C1-Incomes'!JQ48-'C1-Incomes'!JR48)/('C1-Incomes'!$T48-'C1-Incomes'!$U48)*100</f>
        <v>3.3701852603036957</v>
      </c>
      <c r="AG45" s="456">
        <f>('C1-Incomes'!JR48-'C1-Incomes'!JS48)/('C1-Incomes'!$U48-'C1-Incomes'!$V48)*100</f>
        <v>4.3393990614692273</v>
      </c>
      <c r="AH45" s="456">
        <f>('C1-Incomes'!JS48-'C1-Incomes'!JT48)/('C1-Incomes'!$V48-'C1-Incomes'!$W48)*100</f>
        <v>4.840172970896873</v>
      </c>
      <c r="AI45" s="456">
        <f>('C1-Incomes'!JT48-'C1-Incomes'!JU48)/('C1-Incomes'!$W48-'C1-Incomes'!$X48)*100</f>
        <v>6.0391521457062423</v>
      </c>
      <c r="AJ45" s="456">
        <f>'C1-Incomes'!JU48/'C1-Incomes'!$X48*100</f>
        <v>6.6342098338587245</v>
      </c>
      <c r="AK45" s="458"/>
      <c r="AL45" s="456">
        <f>'F-B5'!Y74/'F-B5'!$AE74*100</f>
        <v>1.4028443434323312</v>
      </c>
      <c r="AM45" s="456">
        <f>'F-B6'!R74/'F-B6'!$X74*100</f>
        <v>2.3794054029573233</v>
      </c>
      <c r="AN45" s="456">
        <f>('C1-Incomes'!JX48-'C1-Incomes'!JY48)/('C1-Incomes'!$S48-'C1-Incomes'!$T48)*100</f>
        <v>2.7339219219682507</v>
      </c>
      <c r="AO45" s="456">
        <f>('C1-Incomes'!JY48-'C1-Incomes'!JZ48)/('C1-Incomes'!$T48-'C1-Incomes'!$U48)*100</f>
        <v>3.0111072432424821</v>
      </c>
      <c r="AP45" s="456">
        <f>('C1-Incomes'!JZ48-'C1-Incomes'!KA48)/('C1-Incomes'!$U48-'C1-Incomes'!$V48)*100</f>
        <v>3.3346344213849051</v>
      </c>
      <c r="AQ45" s="456">
        <f>('C1-Incomes'!KA48-'C1-Incomes'!KB48)/('C1-Incomes'!$V48-'C1-Incomes'!$W48)*100</f>
        <v>3.5640434951057252</v>
      </c>
      <c r="AR45" s="456">
        <f>('C1-Incomes'!KB48-'C1-Incomes'!KC48)/('C1-Incomes'!$W48-'C1-Incomes'!$X48)*100</f>
        <v>3.8889949533779777</v>
      </c>
      <c r="AS45" s="456">
        <f>'C1-Incomes'!KC48/'C1-Incomes'!$X48*100</f>
        <v>4.3446703477154998</v>
      </c>
      <c r="AT45" s="458"/>
      <c r="AU45" s="456">
        <f>'F-B5'!Z74/'F-B5'!$AE74*100</f>
        <v>1.4060852828070924</v>
      </c>
      <c r="AV45" s="456">
        <f>'F-B6'!S74/'F-B6'!$X74*100</f>
        <v>2.6114380312131273</v>
      </c>
      <c r="AW45" s="456">
        <f>('C1-Incomes'!KF48-'C1-Incomes'!KG48)/('C1-Incomes'!$S48-'C1-Incomes'!$T48)*100</f>
        <v>3.1241248571876574</v>
      </c>
      <c r="AX45" s="456">
        <f>('C1-Incomes'!KG48-'C1-Incomes'!KH48)/('C1-Incomes'!$T48-'C1-Incomes'!$U48)*100</f>
        <v>3.3830246156091883</v>
      </c>
      <c r="AY45" s="456">
        <f>('C1-Incomes'!KH48-'C1-Incomes'!KI48)/('C1-Incomes'!$U48-'C1-Incomes'!$V48)*100</f>
        <v>3.5747889151336261</v>
      </c>
      <c r="AZ45" s="456">
        <f>('C1-Incomes'!KI48-'C1-Incomes'!KJ48)/('C1-Incomes'!$V48-'C1-Incomes'!$W48)*100</f>
        <v>3.5631364820855613</v>
      </c>
      <c r="BA45" s="456">
        <f>('C1-Incomes'!KJ48-'C1-Incomes'!KK48)/('C1-Incomes'!$W48-'C1-Incomes'!$X48)*100</f>
        <v>3.4543081036019561</v>
      </c>
      <c r="BB45" s="456">
        <f>'C1-Incomes'!KK48/'C1-Incomes'!$X48*100</f>
        <v>3.3247538995305379</v>
      </c>
      <c r="BD45" s="456">
        <f>'F-B5'!AA74/'F-B5'!$AE74*100</f>
        <v>6.9966906258517927</v>
      </c>
      <c r="BE45" s="456">
        <f>'F-B6'!T74/'F-B6'!$X74*100</f>
        <v>8.4681726302622859</v>
      </c>
      <c r="BF45" s="456">
        <f>('C1-Incomes'!KN48-'C1-Incomes'!KO48)/('C1-Incomes'!$S48-'C1-Incomes'!$T48)*100</f>
        <v>7.4011994592158361</v>
      </c>
      <c r="BG45" s="456">
        <f>('C1-Incomes'!KO48-'C1-Incomes'!KP48)/('C1-Incomes'!$T48-'C1-Incomes'!$U48)*100</f>
        <v>5.631151797018032</v>
      </c>
      <c r="BH45" s="456">
        <f>('C1-Incomes'!KP48-'C1-Incomes'!KQ48)/('C1-Incomes'!$U48-'C1-Incomes'!$V48)*100</f>
        <v>3.5746638644357196</v>
      </c>
      <c r="BI45" s="456">
        <f>('C1-Incomes'!KQ48-'C1-Incomes'!KR48)/('C1-Incomes'!$V48-'C1-Incomes'!$W48)*100</f>
        <v>2.4549550724919245</v>
      </c>
      <c r="BJ45" s="456">
        <f>('C1-Incomes'!KR48-'C1-Incomes'!KS48)/('C1-Incomes'!$W48-'C1-Incomes'!$X48)*100</f>
        <v>1.657908916592761</v>
      </c>
      <c r="BK45" s="456">
        <f>'C1-Incomes'!KS48/'C1-Incomes'!$X48*100</f>
        <v>1.3332720802306055</v>
      </c>
      <c r="BL45" s="456"/>
      <c r="BM45" s="456">
        <f>'F-B5'!AC74/'F-B5'!$AE74*100</f>
        <v>0.31634089114746189</v>
      </c>
      <c r="BN45" s="456">
        <f>'F-B6'!V74/'F-B6'!$X74*100</f>
        <v>0.21479367121330861</v>
      </c>
      <c r="BO45" s="456">
        <f>('C1-Incomes'!LL48-'C1-Incomes'!LM48)/('C1-Incomes'!$S48-'C1-Incomes'!$T48)*100</f>
        <v>0.38716459719809904</v>
      </c>
      <c r="BP45" s="456">
        <f>('C1-Incomes'!LM48-'C1-Incomes'!LN48)/('C1-Incomes'!$T48-'C1-Incomes'!$U48)*100</f>
        <v>0.65656772562717558</v>
      </c>
      <c r="BQ45" s="456">
        <f>('C1-Incomes'!LN48-'C1-Incomes'!LO48)/('C1-Incomes'!$U48-'C1-Incomes'!$V48)*100</f>
        <v>0.96639443406786041</v>
      </c>
      <c r="BR45" s="456">
        <f>('C1-Incomes'!LO48-'C1-Incomes'!LP48)/('C1-Incomes'!$V48-'C1-Incomes'!$W48)*100</f>
        <v>0.94060574540619346</v>
      </c>
      <c r="BS45" s="456">
        <f>('C1-Incomes'!LP48-'C1-Incomes'!LQ48)/('C1-Incomes'!$W48-'C1-Incomes'!$X48)*100</f>
        <v>0.85848356965709438</v>
      </c>
      <c r="BT45" s="456">
        <f>'C1-Incomes'!LQ48/'C1-Incomes'!$X48*100</f>
        <v>0.87079534231256495</v>
      </c>
      <c r="BV45" s="456">
        <f>'F-B5'!AB74/'F-B5'!$AE74*100</f>
        <v>4.2175706313356667</v>
      </c>
      <c r="BW45" s="456">
        <f>'F-B6'!U74/'F-B6'!$X74*100</f>
        <v>6.1462811863423115</v>
      </c>
      <c r="BX45" s="456">
        <f>('C1-Incomes'!KV48-'C1-Incomes'!KW48)/('C1-Incomes'!$S48-'C1-Incomes'!$T48)*100</f>
        <v>5.292413471750204</v>
      </c>
      <c r="BY45" s="456">
        <f>('C1-Incomes'!KW48-'C1-Incomes'!KX48)/('C1-Incomes'!$T48-'C1-Incomes'!$U48)*100</f>
        <v>4.3839683481992759</v>
      </c>
      <c r="BZ45" s="456">
        <f>('C1-Incomes'!KX48-'C1-Incomes'!KY48)/('C1-Incomes'!$U48-'C1-Incomes'!$V48)*100</f>
        <v>3.3386352695627175</v>
      </c>
      <c r="CA45" s="456">
        <f>('C1-Incomes'!KY48-'C1-Incomes'!KZ48)/('C1-Incomes'!$V48-'C1-Incomes'!$W48)*100</f>
        <v>2.7642450233308731</v>
      </c>
      <c r="CB45" s="456">
        <f>('C1-Incomes'!KZ48-'C1-Incomes'!LA48)/('C1-Incomes'!$W48-'C1-Incomes'!$X48)*100</f>
        <v>2.7001055450479399</v>
      </c>
      <c r="CC45" s="456">
        <f>'C1-Incomes'!LA48/'C1-Incomes'!$X48*100</f>
        <v>2.636969417488245</v>
      </c>
      <c r="CE45" s="519"/>
      <c r="CF45" s="519"/>
    </row>
    <row r="46" spans="1:84" s="452" customFormat="1" ht="12" x14ac:dyDescent="0.25">
      <c r="A46" s="239">
        <v>2001</v>
      </c>
      <c r="B46" s="456">
        <f t="shared" si="6"/>
        <v>15.448702500921183</v>
      </c>
      <c r="C46" s="456">
        <f t="shared" si="7"/>
        <v>28.532059256533298</v>
      </c>
      <c r="D46" s="456">
        <f t="shared" si="8"/>
        <v>32.581966568296046</v>
      </c>
      <c r="E46" s="456">
        <f t="shared" si="9"/>
        <v>35.248890755541041</v>
      </c>
      <c r="F46" s="456">
        <f t="shared" si="10"/>
        <v>40.095940373048997</v>
      </c>
      <c r="G46" s="456">
        <f t="shared" si="11"/>
        <v>41.925633414807265</v>
      </c>
      <c r="H46" s="456">
        <f t="shared" si="12"/>
        <v>48.941238400232002</v>
      </c>
      <c r="I46" s="456">
        <f t="shared" si="13"/>
        <v>52.14187261918913</v>
      </c>
      <c r="J46" s="456"/>
      <c r="K46" s="456">
        <f t="shared" si="14"/>
        <v>8.9250928594546437</v>
      </c>
      <c r="L46" s="456">
        <f t="shared" si="15"/>
        <v>20.058846166826196</v>
      </c>
      <c r="M46" s="456">
        <f t="shared" si="16"/>
        <v>24.961711770556782</v>
      </c>
      <c r="N46" s="456">
        <f t="shared" si="17"/>
        <v>29.367620144511189</v>
      </c>
      <c r="O46" s="456">
        <f t="shared" si="18"/>
        <v>36.391130504928178</v>
      </c>
      <c r="P46" s="456">
        <f t="shared" si="19"/>
        <v>39.412703227304569</v>
      </c>
      <c r="Q46" s="456">
        <f t="shared" si="20"/>
        <v>47.348549327996245</v>
      </c>
      <c r="R46" s="456">
        <f t="shared" si="21"/>
        <v>51.017255575293987</v>
      </c>
      <c r="S46" s="456"/>
      <c r="T46" s="456">
        <f>'F-B5'!W75/'F-B5'!$AE75*100</f>
        <v>1.605944384923907</v>
      </c>
      <c r="U46" s="456">
        <f>'F-B6'!P75/'F-B6'!$X75*100</f>
        <v>7.6502343471209713</v>
      </c>
      <c r="V46" s="456">
        <f>('C1-Incomes'!JH49-'C1-Incomes'!JI49)/('C1-Incomes'!$S49-'C1-Incomes'!$T49)*100</f>
        <v>11.84823616398012</v>
      </c>
      <c r="W46" s="456">
        <f>('C1-Incomes'!JI49-'C1-Incomes'!JJ49)/('C1-Incomes'!$T49-'C1-Incomes'!$U49)*100</f>
        <v>15.618000556350326</v>
      </c>
      <c r="X46" s="456">
        <f>('C1-Incomes'!JJ49-'C1-Incomes'!JK49)/('C1-Incomes'!$U49-'C1-Incomes'!$V49)*100</f>
        <v>21.6375779588721</v>
      </c>
      <c r="Y46" s="456">
        <f>('C1-Incomes'!JK49-'C1-Incomes'!JL49)/('C1-Incomes'!$V49-'C1-Incomes'!$W49)*100</f>
        <v>24.795222086692384</v>
      </c>
      <c r="Z46" s="456">
        <f>('C1-Incomes'!JL49-'C1-Incomes'!JM49)/('C1-Incomes'!$W49-'C1-Incomes'!$X49)*100</f>
        <v>31.087167693285057</v>
      </c>
      <c r="AA46" s="456">
        <f>'C1-Incomes'!JM49/'C1-Incomes'!$X49*100</f>
        <v>33.525948560070027</v>
      </c>
      <c r="AB46" s="458"/>
      <c r="AC46" s="456">
        <f>'F-B5'!X75/'F-B5'!$AE75*100</f>
        <v>0.57786556030961689</v>
      </c>
      <c r="AD46" s="456">
        <f>'F-B6'!Q75/'F-B6'!$X75*100</f>
        <v>1.8371924867534795</v>
      </c>
      <c r="AE46" s="456">
        <f>('C1-Incomes'!JP49-'C1-Incomes'!JQ49)/('C1-Incomes'!$S49-'C1-Incomes'!$T49)*100</f>
        <v>2.5857154846464536</v>
      </c>
      <c r="AF46" s="456">
        <f>('C1-Incomes'!JQ49-'C1-Incomes'!JR49)/('C1-Incomes'!$T49-'C1-Incomes'!$U49)*100</f>
        <v>3.407884654405982</v>
      </c>
      <c r="AG46" s="456">
        <f>('C1-Incomes'!JR49-'C1-Incomes'!JS49)/('C1-Incomes'!$U49-'C1-Incomes'!$V49)*100</f>
        <v>4.2620631812458685</v>
      </c>
      <c r="AH46" s="456">
        <f>('C1-Incomes'!JS49-'C1-Incomes'!JT49)/('C1-Incomes'!$V49-'C1-Incomes'!$W49)*100</f>
        <v>4.7388267582465682</v>
      </c>
      <c r="AI46" s="456">
        <f>('C1-Incomes'!JT49-'C1-Incomes'!JU49)/('C1-Incomes'!$W49-'C1-Incomes'!$X49)*100</f>
        <v>6.0925229430128889</v>
      </c>
      <c r="AJ46" s="456">
        <f>'C1-Incomes'!JU49/'C1-Incomes'!$X49*100</f>
        <v>6.4000103820652106</v>
      </c>
      <c r="AK46" s="458"/>
      <c r="AL46" s="456">
        <f>'F-B5'!Y75/'F-B5'!$AE75*100</f>
        <v>1.0120311992336408</v>
      </c>
      <c r="AM46" s="456">
        <f>'F-B6'!R75/'F-B6'!$X75*100</f>
        <v>1.7453138990286918</v>
      </c>
      <c r="AN46" s="456">
        <f>('C1-Incomes'!JX49-'C1-Incomes'!JY49)/('C1-Incomes'!$S49-'C1-Incomes'!$T49)*100</f>
        <v>1.8625353902732722</v>
      </c>
      <c r="AO46" s="456">
        <f>('C1-Incomes'!JY49-'C1-Incomes'!JZ49)/('C1-Incomes'!$T49-'C1-Incomes'!$U49)*100</f>
        <v>1.9864821211087089</v>
      </c>
      <c r="AP46" s="456">
        <f>('C1-Incomes'!JZ49-'C1-Incomes'!KA49)/('C1-Incomes'!$U49-'C1-Incomes'!$V49)*100</f>
        <v>2.445322820358621</v>
      </c>
      <c r="AQ46" s="456">
        <f>('C1-Incomes'!KA49-'C1-Incomes'!KB49)/('C1-Incomes'!$V49-'C1-Incomes'!$W49)*100</f>
        <v>2.4919595143177347</v>
      </c>
      <c r="AR46" s="456">
        <f>('C1-Incomes'!KB49-'C1-Incomes'!KC49)/('C1-Incomes'!$W49-'C1-Incomes'!$X49)*100</f>
        <v>2.7412711057670531</v>
      </c>
      <c r="AS46" s="456">
        <f>'C1-Incomes'!KC49/'C1-Incomes'!$X49*100</f>
        <v>3.4608281368569269</v>
      </c>
      <c r="AT46" s="458"/>
      <c r="AU46" s="456">
        <f>'F-B5'!Z75/'F-B5'!$AE75*100</f>
        <v>1.4141734145835023</v>
      </c>
      <c r="AV46" s="456">
        <f>'F-B6'!S75/'F-B6'!$X75*100</f>
        <v>2.6552757106505993</v>
      </c>
      <c r="AW46" s="456">
        <f>('C1-Incomes'!KF49-'C1-Incomes'!KG49)/('C1-Incomes'!$S49-'C1-Incomes'!$T49)*100</f>
        <v>3.1019343651398357</v>
      </c>
      <c r="AX46" s="456">
        <f>('C1-Incomes'!KG49-'C1-Incomes'!KH49)/('C1-Incomes'!$T49-'C1-Incomes'!$U49)*100</f>
        <v>3.3736004340692336</v>
      </c>
      <c r="AY46" s="456">
        <f>('C1-Incomes'!KH49-'C1-Incomes'!KI49)/('C1-Incomes'!$U49-'C1-Incomes'!$V49)*100</f>
        <v>3.7294644101293324</v>
      </c>
      <c r="AZ46" s="456">
        <f>('C1-Incomes'!KI49-'C1-Incomes'!KJ49)/('C1-Incomes'!$V49-'C1-Incomes'!$W49)*100</f>
        <v>3.7092011249997037</v>
      </c>
      <c r="BA46" s="456">
        <f>('C1-Incomes'!KJ49-'C1-Incomes'!KK49)/('C1-Incomes'!$W49-'C1-Incomes'!$X49)*100</f>
        <v>3.7936440659460806</v>
      </c>
      <c r="BB46" s="456">
        <f>'C1-Incomes'!KK49/'C1-Incomes'!$X49*100</f>
        <v>3.9554804933849801</v>
      </c>
      <c r="BD46" s="456">
        <f>'F-B5'!AA75/'F-B5'!$AE75*100</f>
        <v>6.523609641466539</v>
      </c>
      <c r="BE46" s="456">
        <f>'F-B6'!T75/'F-B6'!$X75*100</f>
        <v>8.4732130897071016</v>
      </c>
      <c r="BF46" s="456">
        <f>('C1-Incomes'!KN49-'C1-Incomes'!KO49)/('C1-Incomes'!$S49-'C1-Incomes'!$T49)*100</f>
        <v>7.6202547977392632</v>
      </c>
      <c r="BG46" s="456">
        <f>('C1-Incomes'!KO49-'C1-Incomes'!KP49)/('C1-Incomes'!$T49-'C1-Incomes'!$U49)*100</f>
        <v>5.8812706110298523</v>
      </c>
      <c r="BH46" s="456">
        <f>('C1-Incomes'!KP49-'C1-Incomes'!KQ49)/('C1-Incomes'!$U49-'C1-Incomes'!$V49)*100</f>
        <v>3.7048098681208215</v>
      </c>
      <c r="BI46" s="456">
        <f>('C1-Incomes'!KQ49-'C1-Incomes'!KR49)/('C1-Incomes'!$V49-'C1-Incomes'!$W49)*100</f>
        <v>2.5129301875026995</v>
      </c>
      <c r="BJ46" s="456">
        <f>('C1-Incomes'!KR49-'C1-Incomes'!KS49)/('C1-Incomes'!$W49-'C1-Incomes'!$X49)*100</f>
        <v>1.5926890722357585</v>
      </c>
      <c r="BK46" s="456">
        <f>'C1-Incomes'!KS49/'C1-Incomes'!$X49*100</f>
        <v>1.1246170438951444</v>
      </c>
      <c r="BL46" s="456"/>
      <c r="BM46" s="456">
        <f>'F-B5'!AC75/'F-B5'!$AE75*100</f>
        <v>0.29965471453257886</v>
      </c>
      <c r="BN46" s="456">
        <f>'F-B6'!V75/'F-B6'!$X75*100</f>
        <v>0.20697679802883792</v>
      </c>
      <c r="BO46" s="456">
        <f>('C1-Incomes'!LL49-'C1-Incomes'!LM49)/('C1-Incomes'!$S49-'C1-Incomes'!$T49)*100</f>
        <v>0.37658714386759101</v>
      </c>
      <c r="BP46" s="456">
        <f>('C1-Incomes'!LM49-'C1-Incomes'!LN49)/('C1-Incomes'!$T49-'C1-Incomes'!$U49)*100</f>
        <v>0.62889232273515672</v>
      </c>
      <c r="BQ46" s="456">
        <f>('C1-Incomes'!LN49-'C1-Incomes'!LO49)/('C1-Incomes'!$U49-'C1-Incomes'!$V49)*100</f>
        <v>0.97639941563509247</v>
      </c>
      <c r="BR46" s="456">
        <f>('C1-Incomes'!LO49-'C1-Incomes'!LP49)/('C1-Incomes'!$V49-'C1-Incomes'!$W49)*100</f>
        <v>0.93444274300722263</v>
      </c>
      <c r="BS46" s="456">
        <f>('C1-Incomes'!LP49-'C1-Incomes'!LQ49)/('C1-Incomes'!$W49-'C1-Incomes'!$X49)*100</f>
        <v>0.92028684586342413</v>
      </c>
      <c r="BT46" s="456">
        <f>'C1-Incomes'!LQ49/'C1-Incomes'!$X49*100</f>
        <v>1.0439665451644173</v>
      </c>
      <c r="BV46" s="456">
        <f>'F-B5'!AB75/'F-B5'!$AE75*100</f>
        <v>4.0154235858713969</v>
      </c>
      <c r="BW46" s="456">
        <f>'F-B6'!U75/'F-B6'!$X75*100</f>
        <v>5.9638529252436188</v>
      </c>
      <c r="BX46" s="456">
        <f>('C1-Incomes'!KV49-'C1-Incomes'!KW49)/('C1-Incomes'!$S49-'C1-Incomes'!$T49)*100</f>
        <v>5.18670322264951</v>
      </c>
      <c r="BY46" s="456">
        <f>('C1-Incomes'!KW49-'C1-Incomes'!KX49)/('C1-Incomes'!$T49-'C1-Incomes'!$U49)*100</f>
        <v>4.3527600558417854</v>
      </c>
      <c r="BZ46" s="456">
        <f>('C1-Incomes'!KX49-'C1-Incomes'!KY49)/('C1-Incomes'!$U49-'C1-Incomes'!$V49)*100</f>
        <v>3.3403027186871639</v>
      </c>
      <c r="CA46" s="456">
        <f>('C1-Incomes'!KY49-'C1-Incomes'!KZ49)/('C1-Incomes'!$V49-'C1-Incomes'!$W49)*100</f>
        <v>2.74305100004096</v>
      </c>
      <c r="CB46" s="456">
        <f>('C1-Incomes'!KZ49-'C1-Incomes'!LA49)/('C1-Incomes'!$W49-'C1-Incomes'!$X49)*100</f>
        <v>2.7136566741217401</v>
      </c>
      <c r="CC46" s="456">
        <f>'C1-Incomes'!LA49/'C1-Incomes'!$X49*100</f>
        <v>2.6310214577524218</v>
      </c>
      <c r="CE46" s="519"/>
      <c r="CF46" s="519"/>
    </row>
    <row r="47" spans="1:84" s="452" customFormat="1" ht="12" x14ac:dyDescent="0.25">
      <c r="A47" s="239">
        <v>2002</v>
      </c>
      <c r="B47" s="456">
        <f t="shared" si="6"/>
        <v>14.145814304492145</v>
      </c>
      <c r="C47" s="456">
        <f t="shared" si="7"/>
        <v>26.518054721026335</v>
      </c>
      <c r="D47" s="456">
        <f t="shared" si="8"/>
        <v>30.352716337779228</v>
      </c>
      <c r="E47" s="456">
        <f t="shared" si="9"/>
        <v>32.848357110686791</v>
      </c>
      <c r="F47" s="456">
        <f t="shared" si="10"/>
        <v>36.760156346207673</v>
      </c>
      <c r="G47" s="456">
        <f t="shared" si="11"/>
        <v>37.516701494014939</v>
      </c>
      <c r="H47" s="456">
        <f t="shared" si="12"/>
        <v>43.23890662142405</v>
      </c>
      <c r="I47" s="456">
        <f t="shared" si="13"/>
        <v>46.243090250397039</v>
      </c>
      <c r="J47" s="456"/>
      <c r="K47" s="456">
        <f t="shared" si="14"/>
        <v>7.8264503876460587</v>
      </c>
      <c r="L47" s="456">
        <f t="shared" si="15"/>
        <v>18.244191565936326</v>
      </c>
      <c r="M47" s="456">
        <f t="shared" si="16"/>
        <v>22.793172040437366</v>
      </c>
      <c r="N47" s="456">
        <f t="shared" si="17"/>
        <v>26.796730744942089</v>
      </c>
      <c r="O47" s="456">
        <f t="shared" si="18"/>
        <v>32.927454401551067</v>
      </c>
      <c r="P47" s="456">
        <f t="shared" si="19"/>
        <v>34.907246226605984</v>
      </c>
      <c r="Q47" s="456">
        <f t="shared" si="20"/>
        <v>41.664968557119771</v>
      </c>
      <c r="R47" s="456">
        <f t="shared" si="21"/>
        <v>45.293816796110626</v>
      </c>
      <c r="S47" s="456"/>
      <c r="T47" s="456">
        <f>'F-B5'!W76/'F-B5'!$AE76*100</f>
        <v>0.97796747071616852</v>
      </c>
      <c r="U47" s="456">
        <f>'F-B6'!P76/'F-B6'!$X76*100</f>
        <v>6.0768241365782805</v>
      </c>
      <c r="V47" s="456">
        <f>('C1-Incomes'!JH50-'C1-Incomes'!JI50)/('C1-Incomes'!$S50-'C1-Incomes'!$T50)*100</f>
        <v>9.807680713122517</v>
      </c>
      <c r="W47" s="456">
        <f>('C1-Incomes'!JI50-'C1-Incomes'!JJ50)/('C1-Incomes'!$T50-'C1-Incomes'!$U50)*100</f>
        <v>13.337397106331162</v>
      </c>
      <c r="X47" s="456">
        <f>('C1-Incomes'!JJ50-'C1-Incomes'!JK50)/('C1-Incomes'!$U50-'C1-Incomes'!$V50)*100</f>
        <v>18.752541927015407</v>
      </c>
      <c r="Y47" s="456">
        <f>('C1-Incomes'!JK50-'C1-Incomes'!JL50)/('C1-Incomes'!$V50-'C1-Incomes'!$W50)*100</f>
        <v>21.149460345301989</v>
      </c>
      <c r="Z47" s="456">
        <f>('C1-Incomes'!JL50-'C1-Incomes'!JM50)/('C1-Incomes'!$W50-'C1-Incomes'!$X50)*100</f>
        <v>26.52154345715693</v>
      </c>
      <c r="AA47" s="456">
        <f>'C1-Incomes'!JM50/'C1-Incomes'!$X50*100</f>
        <v>28.647490723772506</v>
      </c>
      <c r="AB47" s="458"/>
      <c r="AC47" s="456">
        <f>'F-B5'!X76/'F-B5'!$AE76*100</f>
        <v>0.43153053234005245</v>
      </c>
      <c r="AD47" s="456">
        <f>'F-B6'!Q76/'F-B6'!$X76*100</f>
        <v>1.654325995275358</v>
      </c>
      <c r="AE47" s="456">
        <f>('C1-Incomes'!JP50-'C1-Incomes'!JQ50)/('C1-Incomes'!$S50-'C1-Incomes'!$T50)*100</f>
        <v>2.4259521022600827</v>
      </c>
      <c r="AF47" s="456">
        <f>('C1-Incomes'!JQ50-'C1-Incomes'!JR50)/('C1-Incomes'!$T50-'C1-Incomes'!$U50)*100</f>
        <v>3.0558557200282195</v>
      </c>
      <c r="AG47" s="456">
        <f>('C1-Incomes'!JR50-'C1-Incomes'!JS50)/('C1-Incomes'!$U50-'C1-Incomes'!$V50)*100</f>
        <v>3.8616695141111532</v>
      </c>
      <c r="AH47" s="456">
        <f>('C1-Incomes'!JS50-'C1-Incomes'!JT50)/('C1-Incomes'!$V50-'C1-Incomes'!$W50)*100</f>
        <v>4.0650740405584749</v>
      </c>
      <c r="AI47" s="456">
        <f>('C1-Incomes'!JT50-'C1-Incomes'!JU50)/('C1-Incomes'!$W50-'C1-Incomes'!$X50)*100</f>
        <v>5.0218274070256514</v>
      </c>
      <c r="AJ47" s="456">
        <f>'C1-Incomes'!JU50/'C1-Incomes'!$X50*100</f>
        <v>5.4121880018663919</v>
      </c>
      <c r="AK47" s="458"/>
      <c r="AL47" s="456">
        <f>'F-B5'!Y76/'F-B5'!$AE76*100</f>
        <v>0.88484554083005718</v>
      </c>
      <c r="AM47" s="456">
        <f>'F-B6'!R76/'F-B6'!$X76*100</f>
        <v>1.6356501214631523</v>
      </c>
      <c r="AN47" s="456">
        <f>('C1-Incomes'!JX50-'C1-Incomes'!JY50)/('C1-Incomes'!$S50-'C1-Incomes'!$T50)*100</f>
        <v>1.8417649792156792</v>
      </c>
      <c r="AO47" s="456">
        <f>('C1-Incomes'!JY50-'C1-Incomes'!JZ50)/('C1-Incomes'!$T50-'C1-Incomes'!$U50)*100</f>
        <v>1.9083507253916583</v>
      </c>
      <c r="AP47" s="456">
        <f>('C1-Incomes'!JZ50-'C1-Incomes'!KA50)/('C1-Incomes'!$U50-'C1-Incomes'!$V50)*100</f>
        <v>2.1452754902372826</v>
      </c>
      <c r="AQ47" s="456">
        <f>('C1-Incomes'!KA50-'C1-Incomes'!KB50)/('C1-Incomes'!$V50-'C1-Incomes'!$W50)*100</f>
        <v>2.1341849323915323</v>
      </c>
      <c r="AR47" s="456">
        <f>('C1-Incomes'!KB50-'C1-Incomes'!KC50)/('C1-Incomes'!$W50-'C1-Incomes'!$X50)*100</f>
        <v>2.3619244360925209</v>
      </c>
      <c r="AS47" s="456">
        <f>'C1-Incomes'!KC50/'C1-Incomes'!$X50*100</f>
        <v>3.1126211693179671</v>
      </c>
      <c r="AT47" s="458"/>
      <c r="AU47" s="456">
        <f>'F-B5'!Z76/'F-B5'!$AE76*100</f>
        <v>1.4200379279227215</v>
      </c>
      <c r="AV47" s="456">
        <f>'F-B6'!S76/'F-B6'!$X76*100</f>
        <v>2.7802606852463998</v>
      </c>
      <c r="AW47" s="456">
        <f>('C1-Incomes'!KF50-'C1-Incomes'!KG50)/('C1-Incomes'!$S50-'C1-Incomes'!$T50)*100</f>
        <v>3.3029733849372604</v>
      </c>
      <c r="AX47" s="456">
        <f>('C1-Incomes'!KG50-'C1-Incomes'!KH50)/('C1-Incomes'!$T50-'C1-Incomes'!$U50)*100</f>
        <v>3.5903035722161429</v>
      </c>
      <c r="AY47" s="456">
        <f>('C1-Incomes'!KH50-'C1-Incomes'!KI50)/('C1-Incomes'!$U50-'C1-Incomes'!$V50)*100</f>
        <v>3.9028620909107832</v>
      </c>
      <c r="AZ47" s="456">
        <f>('C1-Incomes'!KI50-'C1-Incomes'!KJ50)/('C1-Incomes'!$V50-'C1-Incomes'!$W50)*100</f>
        <v>3.8577711642058441</v>
      </c>
      <c r="BA47" s="456">
        <f>('C1-Incomes'!KJ50-'C1-Incomes'!KK50)/('C1-Incomes'!$W50-'C1-Incomes'!$X50)*100</f>
        <v>4.0256849452871935</v>
      </c>
      <c r="BB47" s="456">
        <f>'C1-Incomes'!KK50/'C1-Incomes'!$X50*100</f>
        <v>4.3282023858900782</v>
      </c>
      <c r="BD47" s="456">
        <f>'F-B5'!AA76/'F-B5'!$AE76*100</f>
        <v>6.3193639168460862</v>
      </c>
      <c r="BE47" s="456">
        <f>'F-B6'!T76/'F-B6'!$X76*100</f>
        <v>8.2738631550900106</v>
      </c>
      <c r="BF47" s="456">
        <f>('C1-Incomes'!KN50-'C1-Incomes'!KO50)/('C1-Incomes'!$S50-'C1-Incomes'!$T50)*100</f>
        <v>7.5595442973418621</v>
      </c>
      <c r="BG47" s="456">
        <f>('C1-Incomes'!KO50-'C1-Incomes'!KP50)/('C1-Incomes'!$T50-'C1-Incomes'!$U50)*100</f>
        <v>6.0516263657447054</v>
      </c>
      <c r="BH47" s="456">
        <f>('C1-Incomes'!KP50-'C1-Incomes'!KQ50)/('C1-Incomes'!$U50-'C1-Incomes'!$V50)*100</f>
        <v>3.8327019446566064</v>
      </c>
      <c r="BI47" s="456">
        <f>('C1-Incomes'!KQ50-'C1-Incomes'!KR50)/('C1-Incomes'!$V50-'C1-Incomes'!$W50)*100</f>
        <v>2.6094552674089524</v>
      </c>
      <c r="BJ47" s="456">
        <f>('C1-Incomes'!KR50-'C1-Incomes'!KS50)/('C1-Incomes'!$W50-'C1-Incomes'!$X50)*100</f>
        <v>1.573938064304278</v>
      </c>
      <c r="BK47" s="456">
        <f>'C1-Incomes'!KS50/'C1-Incomes'!$X50*100</f>
        <v>0.94927345428640963</v>
      </c>
      <c r="BL47" s="456"/>
      <c r="BM47" s="456">
        <f>'F-B5'!AC76/'F-B5'!$AE76*100</f>
        <v>0.24812223678868495</v>
      </c>
      <c r="BN47" s="456">
        <f>'F-B6'!V76/'F-B6'!$X76*100</f>
        <v>0.17553602303128268</v>
      </c>
      <c r="BO47" s="456">
        <f>('C1-Incomes'!LL50-'C1-Incomes'!LM50)/('C1-Incomes'!$S50-'C1-Incomes'!$T50)*100</f>
        <v>0.31687284976171315</v>
      </c>
      <c r="BP47" s="456">
        <f>('C1-Incomes'!LM50-'C1-Incomes'!LN50)/('C1-Incomes'!$T50-'C1-Incomes'!$U50)*100</f>
        <v>0.54369976489581429</v>
      </c>
      <c r="BQ47" s="456">
        <f>('C1-Incomes'!LN50-'C1-Incomes'!LO50)/('C1-Incomes'!$U50-'C1-Incomes'!$V50)*100</f>
        <v>0.89243520777634866</v>
      </c>
      <c r="BR47" s="456">
        <f>('C1-Incomes'!LO50-'C1-Incomes'!LP50)/('C1-Incomes'!$V50-'C1-Incomes'!$W50)*100</f>
        <v>0.92302112294913208</v>
      </c>
      <c r="BS47" s="456">
        <f>('C1-Incomes'!LP50-'C1-Incomes'!LQ50)/('C1-Incomes'!$W50-'C1-Incomes'!$X50)*100</f>
        <v>0.99482078689578246</v>
      </c>
      <c r="BT47" s="456">
        <f>'C1-Incomes'!LQ50/'C1-Incomes'!$X50*100</f>
        <v>1.1607573905078123</v>
      </c>
      <c r="BV47" s="456">
        <f>'F-B5'!AB76/'F-B5'!$AE76*100</f>
        <v>3.8639466790483739</v>
      </c>
      <c r="BW47" s="456">
        <f>'F-B6'!U76/'F-B6'!$X76*100</f>
        <v>5.9215946043418537</v>
      </c>
      <c r="BX47" s="456">
        <f>('C1-Incomes'!KV50-'C1-Incomes'!KW50)/('C1-Incomes'!$S50-'C1-Incomes'!$T50)*100</f>
        <v>5.0979280111401168</v>
      </c>
      <c r="BY47" s="456">
        <f>('C1-Incomes'!KW50-'C1-Incomes'!KX50)/('C1-Incomes'!$T50-'C1-Incomes'!$U50)*100</f>
        <v>4.3611238560790948</v>
      </c>
      <c r="BZ47" s="456">
        <f>('C1-Incomes'!KX50-'C1-Incomes'!KY50)/('C1-Incomes'!$U50-'C1-Incomes'!$V50)*100</f>
        <v>3.3726701715000891</v>
      </c>
      <c r="CA47" s="456">
        <f>('C1-Incomes'!KY50-'C1-Incomes'!KZ50)/('C1-Incomes'!$V50-'C1-Incomes'!$W50)*100</f>
        <v>2.7777346211990142</v>
      </c>
      <c r="CB47" s="456">
        <f>('C1-Incomes'!KZ50-'C1-Incomes'!LA50)/('C1-Incomes'!$W50-'C1-Incomes'!$X50)*100</f>
        <v>2.739167524661696</v>
      </c>
      <c r="CC47" s="456">
        <f>'C1-Incomes'!LA50/'C1-Incomes'!$X50*100</f>
        <v>2.6325571247558721</v>
      </c>
      <c r="CE47" s="519"/>
      <c r="CF47" s="519"/>
    </row>
    <row r="48" spans="1:84" s="452" customFormat="1" ht="12" x14ac:dyDescent="0.25">
      <c r="A48" s="239">
        <v>2003</v>
      </c>
      <c r="B48" s="456">
        <f t="shared" si="6"/>
        <v>13.951694384378628</v>
      </c>
      <c r="C48" s="456">
        <f t="shared" si="7"/>
        <v>25.95517290117245</v>
      </c>
      <c r="D48" s="456">
        <f t="shared" si="8"/>
        <v>29.531663636469435</v>
      </c>
      <c r="E48" s="456">
        <f t="shared" si="9"/>
        <v>31.636699381383501</v>
      </c>
      <c r="F48" s="456">
        <f t="shared" si="10"/>
        <v>35.418738284136985</v>
      </c>
      <c r="G48" s="456">
        <f t="shared" si="11"/>
        <v>35.705086055409978</v>
      </c>
      <c r="H48" s="456">
        <f t="shared" si="12"/>
        <v>40.81837328644653</v>
      </c>
      <c r="I48" s="456">
        <f t="shared" si="13"/>
        <v>43.122471627394795</v>
      </c>
      <c r="J48" s="456"/>
      <c r="K48" s="456">
        <f t="shared" si="14"/>
        <v>7.5282160157347988</v>
      </c>
      <c r="L48" s="456">
        <f t="shared" si="15"/>
        <v>17.823617400974868</v>
      </c>
      <c r="M48" s="456">
        <f t="shared" si="16"/>
        <v>22.091957526410241</v>
      </c>
      <c r="N48" s="456">
        <f t="shared" si="17"/>
        <v>25.665106889750064</v>
      </c>
      <c r="O48" s="456">
        <f t="shared" si="18"/>
        <v>31.620358789616269</v>
      </c>
      <c r="P48" s="456">
        <f t="shared" si="19"/>
        <v>33.161257889826892</v>
      </c>
      <c r="Q48" s="456">
        <f t="shared" si="20"/>
        <v>39.297603690565083</v>
      </c>
      <c r="R48" s="456">
        <f t="shared" si="21"/>
        <v>42.274092993232124</v>
      </c>
      <c r="S48" s="456"/>
      <c r="T48" s="456">
        <f>'F-B5'!W77/'F-B5'!$AE77*100</f>
        <v>0.78496288568311745</v>
      </c>
      <c r="U48" s="456">
        <f>'F-B6'!P77/'F-B6'!$X77*100</f>
        <v>5.4017805714393647</v>
      </c>
      <c r="V48" s="456">
        <f>('C1-Incomes'!JH51-'C1-Incomes'!JI51)/('C1-Incomes'!$S51-'C1-Incomes'!$T51)*100</f>
        <v>8.6499574684641374</v>
      </c>
      <c r="W48" s="456">
        <f>('C1-Incomes'!JI51-'C1-Incomes'!JJ51)/('C1-Incomes'!$T51-'C1-Incomes'!$U51)*100</f>
        <v>11.830130876692266</v>
      </c>
      <c r="X48" s="456">
        <f>('C1-Incomes'!JJ51-'C1-Incomes'!JK51)/('C1-Incomes'!$U51-'C1-Incomes'!$V51)*100</f>
        <v>17.140675891106621</v>
      </c>
      <c r="Y48" s="456">
        <f>('C1-Incomes'!JK51-'C1-Incomes'!JL51)/('C1-Incomes'!$V51-'C1-Incomes'!$W51)*100</f>
        <v>19.017026287881592</v>
      </c>
      <c r="Z48" s="456">
        <f>('C1-Incomes'!JL51-'C1-Incomes'!JM51)/('C1-Incomes'!$W51-'C1-Incomes'!$X51)*100</f>
        <v>23.404065060831325</v>
      </c>
      <c r="AA48" s="456">
        <f>'C1-Incomes'!JM51/'C1-Incomes'!$X51*100</f>
        <v>24.49578436951408</v>
      </c>
      <c r="AB48" s="458"/>
      <c r="AC48" s="456">
        <f>'F-B5'!X77/'F-B5'!$AE77*100</f>
        <v>0.40848618958449567</v>
      </c>
      <c r="AD48" s="456">
        <f>'F-B6'!Q77/'F-B6'!$X77*100</f>
        <v>1.6066793657466094</v>
      </c>
      <c r="AE48" s="456">
        <f>('C1-Incomes'!JP51-'C1-Incomes'!JQ51)/('C1-Incomes'!$S51-'C1-Incomes'!$T51)*100</f>
        <v>2.3351285990537285</v>
      </c>
      <c r="AF48" s="456">
        <f>('C1-Incomes'!JQ51-'C1-Incomes'!JR51)/('C1-Incomes'!$T51-'C1-Incomes'!$U51)*100</f>
        <v>2.9282067995653684</v>
      </c>
      <c r="AG48" s="456">
        <f>('C1-Incomes'!JR51-'C1-Incomes'!JS51)/('C1-Incomes'!$U51-'C1-Incomes'!$V51)*100</f>
        <v>3.7332269495377011</v>
      </c>
      <c r="AH48" s="456">
        <f>('C1-Incomes'!JS51-'C1-Incomes'!JT51)/('C1-Incomes'!$V51-'C1-Incomes'!$W51)*100</f>
        <v>3.9504134656776491</v>
      </c>
      <c r="AI48" s="456">
        <f>('C1-Incomes'!JT51-'C1-Incomes'!JU51)/('C1-Incomes'!$W51-'C1-Incomes'!$X51)*100</f>
        <v>4.839921245723203</v>
      </c>
      <c r="AJ48" s="456">
        <f>'C1-Incomes'!JU51/'C1-Incomes'!$X51*100</f>
        <v>5.1347422983854356</v>
      </c>
      <c r="AK48" s="458"/>
      <c r="AL48" s="456">
        <f>'F-B5'!Y77/'F-B5'!$AE77*100</f>
        <v>1.0473900891193233</v>
      </c>
      <c r="AM48" s="456">
        <f>'F-B6'!R77/'F-B6'!$X77*100</f>
        <v>2.0170796835660738</v>
      </c>
      <c r="AN48" s="456">
        <f>('C1-Incomes'!JX51-'C1-Incomes'!JY51)/('C1-Incomes'!$S51-'C1-Incomes'!$T51)*100</f>
        <v>2.3905007275032246</v>
      </c>
      <c r="AO48" s="456">
        <f>('C1-Incomes'!JY51-'C1-Incomes'!JZ51)/('C1-Incomes'!$T51-'C1-Incomes'!$U51)*100</f>
        <v>2.4598668520007885</v>
      </c>
      <c r="AP48" s="456">
        <f>('C1-Incomes'!JZ51-'C1-Incomes'!KA51)/('C1-Incomes'!$U51-'C1-Incomes'!$V51)*100</f>
        <v>2.7265974318702795</v>
      </c>
      <c r="AQ48" s="456">
        <f>('C1-Incomes'!KA51-'C1-Incomes'!KB51)/('C1-Incomes'!$V51-'C1-Incomes'!$W51)*100</f>
        <v>2.6858522171842898</v>
      </c>
      <c r="AR48" s="456">
        <f>('C1-Incomes'!KB51-'C1-Incomes'!KC51)/('C1-Incomes'!$W51-'C1-Incomes'!$X51)*100</f>
        <v>3.2746080141614411</v>
      </c>
      <c r="AS48" s="456">
        <f>'C1-Incomes'!KC51/'C1-Incomes'!$X51*100</f>
        <v>4.4696832661872872</v>
      </c>
      <c r="AT48" s="458"/>
      <c r="AU48" s="456">
        <f>'F-B5'!Z77/'F-B5'!$AE77*100</f>
        <v>1.3703269094601764</v>
      </c>
      <c r="AV48" s="456">
        <f>'F-B6'!S77/'F-B6'!$X77*100</f>
        <v>2.7893093149805468</v>
      </c>
      <c r="AW48" s="456">
        <f>('C1-Incomes'!KF51-'C1-Incomes'!KG51)/('C1-Incomes'!$S51-'C1-Incomes'!$T51)*100</f>
        <v>3.4165060801615201</v>
      </c>
      <c r="AX48" s="456">
        <f>('C1-Incomes'!KG51-'C1-Incomes'!KH51)/('C1-Incomes'!$T51-'C1-Incomes'!$U51)*100</f>
        <v>3.6925757397273542</v>
      </c>
      <c r="AY48" s="456">
        <f>('C1-Incomes'!KH51-'C1-Incomes'!KI51)/('C1-Incomes'!$U51-'C1-Incomes'!$V51)*100</f>
        <v>3.9238429861088631</v>
      </c>
      <c r="AZ48" s="456">
        <f>('C1-Incomes'!KI51-'C1-Incomes'!KJ51)/('C1-Incomes'!$V51-'C1-Incomes'!$W51)*100</f>
        <v>3.9254728607104141</v>
      </c>
      <c r="BA48" s="456">
        <f>('C1-Incomes'!KJ51-'C1-Incomes'!KK51)/('C1-Incomes'!$W51-'C1-Incomes'!$X51)*100</f>
        <v>4.221656208554438</v>
      </c>
      <c r="BB48" s="456">
        <f>'C1-Incomes'!KK51/'C1-Incomes'!$X51*100</f>
        <v>4.6701618096490076</v>
      </c>
      <c r="BD48" s="456">
        <f>'F-B5'!AA77/'F-B5'!$AE77*100</f>
        <v>6.4234783686438313</v>
      </c>
      <c r="BE48" s="456">
        <f>'F-B6'!T77/'F-B6'!$X77*100</f>
        <v>8.1315555001975799</v>
      </c>
      <c r="BF48" s="456">
        <f>('C1-Incomes'!KN51-'C1-Incomes'!KO51)/('C1-Incomes'!$S51-'C1-Incomes'!$T51)*100</f>
        <v>7.4397061100591939</v>
      </c>
      <c r="BG48" s="456">
        <f>('C1-Incomes'!KO51-'C1-Incomes'!KP51)/('C1-Incomes'!$T51-'C1-Incomes'!$U51)*100</f>
        <v>5.9715924916334364</v>
      </c>
      <c r="BH48" s="456">
        <f>('C1-Incomes'!KP51-'C1-Incomes'!KQ51)/('C1-Incomes'!$U51-'C1-Incomes'!$V51)*100</f>
        <v>3.7983794945207179</v>
      </c>
      <c r="BI48" s="456">
        <f>('C1-Incomes'!KQ51-'C1-Incomes'!KR51)/('C1-Incomes'!$V51-'C1-Incomes'!$W51)*100</f>
        <v>2.5438281655830863</v>
      </c>
      <c r="BJ48" s="456">
        <f>('C1-Incomes'!KR51-'C1-Incomes'!KS51)/('C1-Incomes'!$W51-'C1-Incomes'!$X51)*100</f>
        <v>1.52076959588145</v>
      </c>
      <c r="BK48" s="456">
        <f>'C1-Incomes'!KS51/'C1-Incomes'!$X51*100</f>
        <v>0.84837863416267045</v>
      </c>
      <c r="BL48" s="456"/>
      <c r="BM48" s="456">
        <f>'F-B5'!AC77/'F-B5'!$AE77*100</f>
        <v>0.20565127348137749</v>
      </c>
      <c r="BN48" s="456">
        <f>'F-B6'!V77/'F-B6'!$X77*100</f>
        <v>0.1449757832452746</v>
      </c>
      <c r="BO48" s="456">
        <f>('C1-Incomes'!LL51-'C1-Incomes'!LM51)/('C1-Incomes'!$S51-'C1-Incomes'!$T51)*100</f>
        <v>0.26287034579160046</v>
      </c>
      <c r="BP48" s="456">
        <f>('C1-Incomes'!LM51-'C1-Incomes'!LN51)/('C1-Incomes'!$T51-'C1-Incomes'!$U51)*100</f>
        <v>0.44024980708520267</v>
      </c>
      <c r="BQ48" s="456">
        <f>('C1-Incomes'!LN51-'C1-Incomes'!LO51)/('C1-Incomes'!$U51-'C1-Incomes'!$V51)*100</f>
        <v>0.72876442546661302</v>
      </c>
      <c r="BR48" s="456">
        <f>('C1-Incomes'!LO51-'C1-Incomes'!LP51)/('C1-Incomes'!$V51-'C1-Incomes'!$W51)*100</f>
        <v>0.75249415875058945</v>
      </c>
      <c r="BS48" s="456">
        <f>('C1-Incomes'!LP51-'C1-Incomes'!LQ51)/('C1-Incomes'!$W51-'C1-Incomes'!$X51)*100</f>
        <v>0.78751115466706212</v>
      </c>
      <c r="BT48" s="456">
        <f>'C1-Incomes'!LQ51/'C1-Incomes'!$X51*100</f>
        <v>0.87195293813222374</v>
      </c>
      <c r="BV48" s="456">
        <f>'F-B5'!AB77/'F-B5'!$AE77*100</f>
        <v>3.7113986684063081</v>
      </c>
      <c r="BW48" s="456">
        <f>'F-B6'!U77/'F-B6'!$X77*100</f>
        <v>5.8637926819969977</v>
      </c>
      <c r="BX48" s="456">
        <f>('C1-Incomes'!KV51-'C1-Incomes'!KW51)/('C1-Incomes'!$S51-'C1-Incomes'!$T51)*100</f>
        <v>5.0369943054360284</v>
      </c>
      <c r="BY48" s="456">
        <f>('C1-Incomes'!KW51-'C1-Incomes'!KX51)/('C1-Incomes'!$T51-'C1-Incomes'!$U51)*100</f>
        <v>4.3140768146790878</v>
      </c>
      <c r="BZ48" s="456">
        <f>('C1-Incomes'!KX51-'C1-Incomes'!KY51)/('C1-Incomes'!$U51-'C1-Incomes'!$V51)*100</f>
        <v>3.3672511055261931</v>
      </c>
      <c r="CA48" s="456">
        <f>('C1-Incomes'!KY51-'C1-Incomes'!KZ51)/('C1-Incomes'!$V51-'C1-Incomes'!$W51)*100</f>
        <v>2.8299988996223626</v>
      </c>
      <c r="CB48" s="456">
        <f>('C1-Incomes'!KZ51-'C1-Incomes'!LA51)/('C1-Incomes'!$W51-'C1-Incomes'!$X51)*100</f>
        <v>2.7698420066276102</v>
      </c>
      <c r="CC48" s="456">
        <f>'C1-Incomes'!LA51/'C1-Incomes'!$X51*100</f>
        <v>2.6317683113640848</v>
      </c>
      <c r="CE48" s="519"/>
      <c r="CF48" s="519"/>
    </row>
    <row r="49" spans="1:84" s="452" customFormat="1" ht="12" x14ac:dyDescent="0.25">
      <c r="A49" s="239">
        <v>2004</v>
      </c>
      <c r="B49" s="456">
        <f t="shared" si="6"/>
        <v>14.307125529105127</v>
      </c>
      <c r="C49" s="456">
        <f t="shared" si="7"/>
        <v>25.928466401445895</v>
      </c>
      <c r="D49" s="456">
        <f t="shared" si="8"/>
        <v>29.482466700700886</v>
      </c>
      <c r="E49" s="456">
        <f t="shared" si="9"/>
        <v>31.890371076905133</v>
      </c>
      <c r="F49" s="456">
        <f t="shared" si="10"/>
        <v>35.177062677781969</v>
      </c>
      <c r="G49" s="456">
        <f t="shared" si="11"/>
        <v>36.162153856356014</v>
      </c>
      <c r="H49" s="456">
        <f t="shared" si="12"/>
        <v>41.309121074879677</v>
      </c>
      <c r="I49" s="456">
        <f t="shared" si="13"/>
        <v>42.485496219783343</v>
      </c>
      <c r="J49" s="456"/>
      <c r="K49" s="456">
        <f t="shared" si="14"/>
        <v>7.6832409515029418</v>
      </c>
      <c r="L49" s="456">
        <f t="shared" si="15"/>
        <v>17.786530381740466</v>
      </c>
      <c r="M49" s="456">
        <f t="shared" si="16"/>
        <v>22.181184288968964</v>
      </c>
      <c r="N49" s="456">
        <f t="shared" si="17"/>
        <v>26.135950620008366</v>
      </c>
      <c r="O49" s="456">
        <f t="shared" si="18"/>
        <v>31.561633582283076</v>
      </c>
      <c r="P49" s="456">
        <f t="shared" si="19"/>
        <v>33.693182467215777</v>
      </c>
      <c r="Q49" s="456">
        <f t="shared" si="20"/>
        <v>39.861725138892425</v>
      </c>
      <c r="R49" s="456">
        <f t="shared" si="21"/>
        <v>41.628269963150046</v>
      </c>
      <c r="S49" s="456"/>
      <c r="T49" s="456">
        <f>'F-B5'!W78/'F-B5'!$AE78*100</f>
        <v>0.73240461284196667</v>
      </c>
      <c r="U49" s="456">
        <f>'F-B6'!P78/'F-B6'!$X78*100</f>
        <v>4.9593367686759979</v>
      </c>
      <c r="V49" s="456">
        <f>('C1-Incomes'!JH52-'C1-Incomes'!JI52)/('C1-Incomes'!$S52-'C1-Incomes'!$T52)*100</f>
        <v>8.0634534722663833</v>
      </c>
      <c r="W49" s="456">
        <f>('C1-Incomes'!JI52-'C1-Incomes'!JJ52)/('C1-Incomes'!$T52-'C1-Incomes'!$U52)*100</f>
        <v>11.51720655041783</v>
      </c>
      <c r="X49" s="456">
        <f>('C1-Incomes'!JJ52-'C1-Incomes'!JK52)/('C1-Incomes'!$U52-'C1-Incomes'!$V52)*100</f>
        <v>16.500214945886135</v>
      </c>
      <c r="Y49" s="456">
        <f>('C1-Incomes'!JK52-'C1-Incomes'!JL52)/('C1-Incomes'!$V52-'C1-Incomes'!$W52)*100</f>
        <v>18.719782904565189</v>
      </c>
      <c r="Z49" s="456">
        <f>('C1-Incomes'!JL52-'C1-Incomes'!JM52)/('C1-Incomes'!$W52-'C1-Incomes'!$X52)*100</f>
        <v>22.719120571114932</v>
      </c>
      <c r="AA49" s="456">
        <f>'C1-Incomes'!JM52/'C1-Incomes'!$X52*100</f>
        <v>22.76223000365702</v>
      </c>
      <c r="AB49" s="458"/>
      <c r="AC49" s="456">
        <f>'F-B5'!X78/'F-B5'!$AE78*100</f>
        <v>0.38589831441435696</v>
      </c>
      <c r="AD49" s="456">
        <f>'F-B6'!Q78/'F-B6'!$X78*100</f>
        <v>1.5759413921328598</v>
      </c>
      <c r="AE49" s="456">
        <f>('C1-Incomes'!JP52-'C1-Incomes'!JQ52)/('C1-Incomes'!$S52-'C1-Incomes'!$T52)*100</f>
        <v>2.2994677783824509</v>
      </c>
      <c r="AF49" s="456">
        <f>('C1-Incomes'!JQ52-'C1-Incomes'!JR52)/('C1-Incomes'!$T52-'C1-Incomes'!$U52)*100</f>
        <v>2.9955194452300491</v>
      </c>
      <c r="AG49" s="456">
        <f>('C1-Incomes'!JR52-'C1-Incomes'!JS52)/('C1-Incomes'!$U52-'C1-Incomes'!$V52)*100</f>
        <v>3.8500769891868782</v>
      </c>
      <c r="AH49" s="456">
        <f>('C1-Incomes'!JS52-'C1-Incomes'!JT52)/('C1-Incomes'!$V52-'C1-Incomes'!$W52)*100</f>
        <v>4.2111074841864387</v>
      </c>
      <c r="AI49" s="456">
        <f>('C1-Incomes'!JT52-'C1-Incomes'!JU52)/('C1-Incomes'!$W52-'C1-Incomes'!$X52)*100</f>
        <v>5.1936630697744972</v>
      </c>
      <c r="AJ49" s="456">
        <f>'C1-Incomes'!JU52/'C1-Incomes'!$X52*100</f>
        <v>5.3759204870363781</v>
      </c>
      <c r="AK49" s="458"/>
      <c r="AL49" s="456">
        <f>'F-B5'!Y78/'F-B5'!$AE78*100</f>
        <v>1.2393400462417792</v>
      </c>
      <c r="AM49" s="456">
        <f>'F-B6'!R78/'F-B6'!$X78*100</f>
        <v>2.3898750930292163</v>
      </c>
      <c r="AN49" s="456">
        <f>('C1-Incomes'!JX52-'C1-Incomes'!JY52)/('C1-Incomes'!$S52-'C1-Incomes'!$T52)*100</f>
        <v>2.9924055446165791</v>
      </c>
      <c r="AO49" s="456">
        <f>('C1-Incomes'!JY52-'C1-Incomes'!JZ52)/('C1-Incomes'!$T52-'C1-Incomes'!$U52)*100</f>
        <v>3.0732376299607131</v>
      </c>
      <c r="AP49" s="456">
        <f>('C1-Incomes'!JZ52-'C1-Incomes'!KA52)/('C1-Incomes'!$U52-'C1-Incomes'!$V52)*100</f>
        <v>3.2120316533769468</v>
      </c>
      <c r="AQ49" s="456">
        <f>('C1-Incomes'!KA52-'C1-Incomes'!KB52)/('C1-Incomes'!$V52-'C1-Incomes'!$W52)*100</f>
        <v>3.2063461583807977</v>
      </c>
      <c r="AR49" s="456">
        <f>('C1-Incomes'!KB52-'C1-Incomes'!KC52)/('C1-Incomes'!$W52-'C1-Incomes'!$X52)*100</f>
        <v>4.1130678284617836</v>
      </c>
      <c r="AS49" s="456">
        <f>'C1-Incomes'!KC52/'C1-Incomes'!$X52*100</f>
        <v>5.4604164022326236</v>
      </c>
      <c r="AT49" s="458"/>
      <c r="AU49" s="456">
        <f>'F-B5'!Z78/'F-B5'!$AE78*100</f>
        <v>1.3383092497994173</v>
      </c>
      <c r="AV49" s="456">
        <f>'F-B6'!S78/'F-B6'!$X78*100</f>
        <v>2.7336918119415383</v>
      </c>
      <c r="AW49" s="456">
        <f>('C1-Incomes'!KF52-'C1-Incomes'!KG52)/('C1-Incomes'!$S52-'C1-Incomes'!$T52)*100</f>
        <v>3.4700602018479709</v>
      </c>
      <c r="AX49" s="456">
        <f>('C1-Incomes'!KG52-'C1-Incomes'!KH52)/('C1-Incomes'!$T52-'C1-Incomes'!$U52)*100</f>
        <v>3.7455012006292705</v>
      </c>
      <c r="AY49" s="456">
        <f>('C1-Incomes'!KH52-'C1-Incomes'!KI52)/('C1-Incomes'!$U52-'C1-Incomes'!$V52)*100</f>
        <v>3.8710317724220964</v>
      </c>
      <c r="AZ49" s="456">
        <f>('C1-Incomes'!KI52-'C1-Incomes'!KJ52)/('C1-Incomes'!$V52-'C1-Incomes'!$W52)*100</f>
        <v>3.8562634363430068</v>
      </c>
      <c r="BA49" s="456">
        <f>('C1-Incomes'!KJ52-'C1-Incomes'!KK52)/('C1-Incomes'!$W52-'C1-Incomes'!$X52)*100</f>
        <v>4.1739054770955546</v>
      </c>
      <c r="BB49" s="456">
        <f>'C1-Incomes'!KK52/'C1-Incomes'!$X52*100</f>
        <v>4.4887418145195142</v>
      </c>
      <c r="BD49" s="456">
        <f>'F-B5'!AA78/'F-B5'!$AE78*100</f>
        <v>6.6238845776021851</v>
      </c>
      <c r="BE49" s="456">
        <f>'F-B6'!T78/'F-B6'!$X78*100</f>
        <v>8.1419360197054296</v>
      </c>
      <c r="BF49" s="456">
        <f>('C1-Incomes'!KN52-'C1-Incomes'!KO52)/('C1-Incomes'!$S52-'C1-Incomes'!$T52)*100</f>
        <v>7.3012824117319228</v>
      </c>
      <c r="BG49" s="456">
        <f>('C1-Incomes'!KO52-'C1-Incomes'!KP52)/('C1-Incomes'!$T52-'C1-Incomes'!$U52)*100</f>
        <v>5.7544204568967645</v>
      </c>
      <c r="BH49" s="456">
        <f>('C1-Incomes'!KP52-'C1-Incomes'!KQ52)/('C1-Incomes'!$U52-'C1-Incomes'!$V52)*100</f>
        <v>3.6154290954988912</v>
      </c>
      <c r="BI49" s="456">
        <f>('C1-Incomes'!KQ52-'C1-Incomes'!KR52)/('C1-Incomes'!$V52-'C1-Incomes'!$W52)*100</f>
        <v>2.4689713891402381</v>
      </c>
      <c r="BJ49" s="456">
        <f>('C1-Incomes'!KR52-'C1-Incomes'!KS52)/('C1-Incomes'!$W52-'C1-Incomes'!$X52)*100</f>
        <v>1.4473959359872528</v>
      </c>
      <c r="BK49" s="456">
        <f>'C1-Incomes'!KS52/'C1-Incomes'!$X52*100</f>
        <v>0.85722625663329877</v>
      </c>
      <c r="BL49" s="456"/>
      <c r="BM49" s="456">
        <f>'F-B5'!AC78/'F-B5'!$AE78*100</f>
        <v>0.19889726848831826</v>
      </c>
      <c r="BN49" s="456">
        <f>'F-B6'!V78/'F-B6'!$X78*100</f>
        <v>0.14188709115106252</v>
      </c>
      <c r="BO49" s="456">
        <f>('C1-Incomes'!LL52-'C1-Incomes'!LM52)/('C1-Incomes'!$S52-'C1-Incomes'!$T52)*100</f>
        <v>0.24724400302263685</v>
      </c>
      <c r="BP49" s="456">
        <f>('C1-Incomes'!LM52-'C1-Incomes'!LN52)/('C1-Incomes'!$T52-'C1-Incomes'!$U52)*100</f>
        <v>0.42914289453769183</v>
      </c>
      <c r="BQ49" s="456">
        <f>('C1-Incomes'!LN52-'C1-Incomes'!LO52)/('C1-Incomes'!$U52-'C1-Incomes'!$V52)*100</f>
        <v>0.72470696362153619</v>
      </c>
      <c r="BR49" s="456">
        <f>('C1-Incomes'!LO52-'C1-Incomes'!LP52)/('C1-Incomes'!$V52-'C1-Incomes'!$W52)*100</f>
        <v>0.80023239864290518</v>
      </c>
      <c r="BS49" s="456">
        <f>('C1-Incomes'!LP52-'C1-Incomes'!LQ52)/('C1-Incomes'!$W52-'C1-Incomes'!$X52)*100</f>
        <v>0.84600114836701301</v>
      </c>
      <c r="BT49" s="456">
        <f>'C1-Incomes'!LQ52/'C1-Incomes'!$X52*100</f>
        <v>0.81440564569882257</v>
      </c>
      <c r="BV49" s="456">
        <f>'F-B5'!AB78/'F-B5'!$AE78*100</f>
        <v>3.7883914597171038</v>
      </c>
      <c r="BW49" s="456">
        <f>'F-B6'!U78/'F-B6'!$X78*100</f>
        <v>5.9857982248097912</v>
      </c>
      <c r="BX49" s="456">
        <f>('C1-Incomes'!KV52-'C1-Incomes'!KW52)/('C1-Incomes'!$S52-'C1-Incomes'!$T52)*100</f>
        <v>5.108553288832943</v>
      </c>
      <c r="BY49" s="456">
        <f>('C1-Incomes'!KW52-'C1-Incomes'!KX52)/('C1-Incomes'!$T52-'C1-Incomes'!$U52)*100</f>
        <v>4.3753428992328143</v>
      </c>
      <c r="BZ49" s="456">
        <f>('C1-Incomes'!KX52-'C1-Incomes'!KY52)/('C1-Incomes'!$U52-'C1-Incomes'!$V52)*100</f>
        <v>3.4035712577894848</v>
      </c>
      <c r="CA49" s="456">
        <f>('C1-Incomes'!KY52-'C1-Incomes'!KZ52)/('C1-Incomes'!$V52-'C1-Incomes'!$W52)*100</f>
        <v>2.899450085097441</v>
      </c>
      <c r="CB49" s="456">
        <f>('C1-Incomes'!KZ52-'C1-Incomes'!LA52)/('C1-Incomes'!$W52-'C1-Incomes'!$X52)*100</f>
        <v>2.8159670440786453</v>
      </c>
      <c r="CC49" s="456">
        <f>'C1-Incomes'!LA52/'C1-Incomes'!$X52*100</f>
        <v>2.7265556100056907</v>
      </c>
      <c r="CE49" s="519"/>
      <c r="CF49" s="519"/>
    </row>
    <row r="50" spans="1:84" s="452" customFormat="1" ht="12" x14ac:dyDescent="0.25">
      <c r="A50" s="239">
        <v>2005</v>
      </c>
      <c r="B50" s="456">
        <f t="shared" si="6"/>
        <v>14.93498818783957</v>
      </c>
      <c r="C50" s="456">
        <f t="shared" si="7"/>
        <v>26.902763271093779</v>
      </c>
      <c r="D50" s="456">
        <f t="shared" si="8"/>
        <v>30.906058275745067</v>
      </c>
      <c r="E50" s="456">
        <f t="shared" si="9"/>
        <v>33.736886420257171</v>
      </c>
      <c r="F50" s="456">
        <f t="shared" si="10"/>
        <v>36.79367108971541</v>
      </c>
      <c r="G50" s="456">
        <f t="shared" si="11"/>
        <v>39.18397247466968</v>
      </c>
      <c r="H50" s="456">
        <f t="shared" si="12"/>
        <v>44.087361521704601</v>
      </c>
      <c r="I50" s="456">
        <f t="shared" si="13"/>
        <v>45.105108657575592</v>
      </c>
      <c r="J50" s="456"/>
      <c r="K50" s="456">
        <f t="shared" si="14"/>
        <v>8.2785795033807421</v>
      </c>
      <c r="L50" s="456">
        <f t="shared" si="15"/>
        <v>18.826927278767972</v>
      </c>
      <c r="M50" s="456">
        <f t="shared" si="16"/>
        <v>23.632031837026076</v>
      </c>
      <c r="N50" s="456">
        <f t="shared" si="17"/>
        <v>28.132406663535363</v>
      </c>
      <c r="O50" s="456">
        <f t="shared" si="18"/>
        <v>33.370634345466144</v>
      </c>
      <c r="P50" s="456">
        <f t="shared" si="19"/>
        <v>36.855527915554092</v>
      </c>
      <c r="Q50" s="456">
        <f t="shared" si="20"/>
        <v>42.728350252577869</v>
      </c>
      <c r="R50" s="456">
        <f t="shared" si="21"/>
        <v>44.321174807877988</v>
      </c>
      <c r="S50" s="456"/>
      <c r="T50" s="456">
        <f>'F-B5'!W79/'F-B5'!$AE79*100</f>
        <v>0.80917340404798366</v>
      </c>
      <c r="U50" s="456">
        <f>'F-B6'!P79/'F-B6'!$X79*100</f>
        <v>5.1693798132403295</v>
      </c>
      <c r="V50" s="456">
        <f>('C1-Incomes'!JH53-'C1-Incomes'!JI53)/('C1-Incomes'!$S53-'C1-Incomes'!$T53)*100</f>
        <v>8.5985337957166195</v>
      </c>
      <c r="W50" s="456">
        <f>('C1-Incomes'!JI53-'C1-Incomes'!JJ53)/('C1-Incomes'!$T53-'C1-Incomes'!$U53)*100</f>
        <v>12.596612268617758</v>
      </c>
      <c r="X50" s="456">
        <f>('C1-Incomes'!JJ53-'C1-Incomes'!JK53)/('C1-Incomes'!$U53-'C1-Incomes'!$V53)*100</f>
        <v>17.624010604271241</v>
      </c>
      <c r="Y50" s="456">
        <f>('C1-Incomes'!JK53-'C1-Incomes'!JL53)/('C1-Incomes'!$V53-'C1-Incomes'!$W53)*100</f>
        <v>20.601494227595136</v>
      </c>
      <c r="Z50" s="456">
        <f>('C1-Incomes'!JL53-'C1-Incomes'!JM53)/('C1-Incomes'!$W53-'C1-Incomes'!$X53)*100</f>
        <v>24.709510147469526</v>
      </c>
      <c r="AA50" s="456">
        <f>'C1-Incomes'!JM53/'C1-Incomes'!$X53*100</f>
        <v>24.581108172268188</v>
      </c>
      <c r="AB50" s="458"/>
      <c r="AC50" s="456">
        <f>'F-B5'!X79/'F-B5'!$AE79*100</f>
        <v>0.41943209708111578</v>
      </c>
      <c r="AD50" s="456">
        <f>'F-B6'!Q79/'F-B6'!$X79*100</f>
        <v>1.6020812603941472</v>
      </c>
      <c r="AE50" s="456">
        <f>('C1-Incomes'!JP53-'C1-Incomes'!JQ53)/('C1-Incomes'!$S53-'C1-Incomes'!$T53)*100</f>
        <v>2.4242206499510246</v>
      </c>
      <c r="AF50" s="456">
        <f>('C1-Incomes'!JQ53-'C1-Incomes'!JR53)/('C1-Incomes'!$T53-'C1-Incomes'!$U53)*100</f>
        <v>3.1121926634824186</v>
      </c>
      <c r="AG50" s="456">
        <f>('C1-Incomes'!JR53-'C1-Incomes'!JS53)/('C1-Incomes'!$U53-'C1-Incomes'!$V53)*100</f>
        <v>3.9524148242796988</v>
      </c>
      <c r="AH50" s="456">
        <f>('C1-Incomes'!JS53-'C1-Incomes'!JT53)/('C1-Incomes'!$V53-'C1-Incomes'!$W53)*100</f>
        <v>4.4790676566261993</v>
      </c>
      <c r="AI50" s="456">
        <f>('C1-Incomes'!JT53-'C1-Incomes'!JU53)/('C1-Incomes'!$W53-'C1-Incomes'!$X53)*100</f>
        <v>5.4438482310244796</v>
      </c>
      <c r="AJ50" s="456">
        <f>'C1-Incomes'!JU53/'C1-Incomes'!$X53*100</f>
        <v>5.70203406035656</v>
      </c>
      <c r="AK50" s="458"/>
      <c r="AL50" s="456">
        <f>'F-B5'!Y79/'F-B5'!$AE79*100</f>
        <v>1.6113417600396702</v>
      </c>
      <c r="AM50" s="456">
        <f>'F-B6'!R79/'F-B6'!$X79*100</f>
        <v>3.0720370590972785</v>
      </c>
      <c r="AN50" s="456">
        <f>('C1-Incomes'!JX53-'C1-Incomes'!JY53)/('C1-Incomes'!$S53-'C1-Incomes'!$T53)*100</f>
        <v>3.6805768537082786</v>
      </c>
      <c r="AO50" s="456">
        <f>('C1-Incomes'!JY53-'C1-Incomes'!JZ53)/('C1-Incomes'!$T53-'C1-Incomes'!$U53)*100</f>
        <v>3.8610897875185928</v>
      </c>
      <c r="AP50" s="456">
        <f>('C1-Incomes'!JZ53-'C1-Incomes'!KA53)/('C1-Incomes'!$U53-'C1-Incomes'!$V53)*100</f>
        <v>3.9996159140777228</v>
      </c>
      <c r="AQ50" s="456">
        <f>('C1-Incomes'!KA53-'C1-Incomes'!KB53)/('C1-Incomes'!$V53-'C1-Incomes'!$W53)*100</f>
        <v>4.1828089763350755</v>
      </c>
      <c r="AR50" s="456">
        <f>('C1-Incomes'!KB53-'C1-Incomes'!KC53)/('C1-Incomes'!$W53-'C1-Incomes'!$X53)*100</f>
        <v>4.9797451892721192</v>
      </c>
      <c r="AS50" s="456">
        <f>'C1-Incomes'!KC53/'C1-Incomes'!$X53*100</f>
        <v>6.3766416189018251</v>
      </c>
      <c r="AT50" s="458"/>
      <c r="AU50" s="456">
        <f>'F-B5'!Z79/'F-B5'!$AE79*100</f>
        <v>1.3690470840655666</v>
      </c>
      <c r="AV50" s="456">
        <f>'F-B6'!S79/'F-B6'!$X79*100</f>
        <v>2.786513884892472</v>
      </c>
      <c r="AW50" s="456">
        <f>('C1-Incomes'!KF53-'C1-Incomes'!KG53)/('C1-Incomes'!$S53-'C1-Incomes'!$T53)*100</f>
        <v>3.4651520962953124</v>
      </c>
      <c r="AX50" s="456">
        <f>('C1-Incomes'!KG53-'C1-Incomes'!KH53)/('C1-Incomes'!$T53-'C1-Incomes'!$U53)*100</f>
        <v>3.7450927013057562</v>
      </c>
      <c r="AY50" s="456">
        <f>('C1-Incomes'!KH53-'C1-Incomes'!KI53)/('C1-Incomes'!$U53-'C1-Incomes'!$V53)*100</f>
        <v>3.7775961460342149</v>
      </c>
      <c r="AZ50" s="456">
        <f>('C1-Incomes'!KI53-'C1-Incomes'!KJ53)/('C1-Incomes'!$V53-'C1-Incomes'!$W53)*100</f>
        <v>3.915029493703869</v>
      </c>
      <c r="BA50" s="456">
        <f>('C1-Incomes'!KJ53-'C1-Incomes'!KK53)/('C1-Incomes'!$W53-'C1-Incomes'!$X53)*100</f>
        <v>4.0167226693001528</v>
      </c>
      <c r="BB50" s="456">
        <f>'C1-Incomes'!KK53/'C1-Incomes'!$X53*100</f>
        <v>4.2441019492198269</v>
      </c>
      <c r="BD50" s="456">
        <f>'F-B5'!AA79/'F-B5'!$AE79*100</f>
        <v>6.6564086844588282</v>
      </c>
      <c r="BE50" s="456">
        <f>'F-B6'!T79/'F-B6'!$X79*100</f>
        <v>8.075835992325807</v>
      </c>
      <c r="BF50" s="456">
        <f>('C1-Incomes'!KN53-'C1-Incomes'!KO53)/('C1-Incomes'!$S53-'C1-Incomes'!$T53)*100</f>
        <v>7.2740264387189901</v>
      </c>
      <c r="BG50" s="456">
        <f>('C1-Incomes'!KO53-'C1-Incomes'!KP53)/('C1-Incomes'!$T53-'C1-Incomes'!$U53)*100</f>
        <v>5.6044797567218048</v>
      </c>
      <c r="BH50" s="456">
        <f>('C1-Incomes'!KP53-'C1-Incomes'!KQ53)/('C1-Incomes'!$U53-'C1-Incomes'!$V53)*100</f>
        <v>3.4230367442492677</v>
      </c>
      <c r="BI50" s="456">
        <f>('C1-Incomes'!KQ53-'C1-Incomes'!KR53)/('C1-Incomes'!$V53-'C1-Incomes'!$W53)*100</f>
        <v>2.3284445591155865</v>
      </c>
      <c r="BJ50" s="456">
        <f>('C1-Incomes'!KR53-'C1-Incomes'!KS53)/('C1-Incomes'!$W53-'C1-Incomes'!$X53)*100</f>
        <v>1.3590112691267322</v>
      </c>
      <c r="BK50" s="456">
        <f>'C1-Incomes'!KS53/'C1-Incomes'!$X53*100</f>
        <v>0.78393384969760449</v>
      </c>
      <c r="BL50" s="456"/>
      <c r="BM50" s="456">
        <f>'F-B5'!AC79/'F-B5'!$AE79*100</f>
        <v>0.18988538289283693</v>
      </c>
      <c r="BN50" s="456">
        <f>'F-B6'!V79/'F-B6'!$X79*100</f>
        <v>0.13525588705749467</v>
      </c>
      <c r="BO50" s="456">
        <f>('C1-Incomes'!LL53-'C1-Incomes'!LM53)/('C1-Incomes'!$S53-'C1-Incomes'!$T53)*100</f>
        <v>0.23497536417756959</v>
      </c>
      <c r="BP50" s="456">
        <f>('C1-Incomes'!LM53-'C1-Incomes'!LN53)/('C1-Incomes'!$T53-'C1-Incomes'!$U53)*100</f>
        <v>0.40575581569862984</v>
      </c>
      <c r="BQ50" s="456">
        <f>('C1-Incomes'!LN53-'C1-Incomes'!LO53)/('C1-Incomes'!$U53-'C1-Incomes'!$V53)*100</f>
        <v>0.64262487988979133</v>
      </c>
      <c r="BR50" s="456">
        <f>('C1-Incomes'!LO53-'C1-Incomes'!LP53)/('C1-Incomes'!$V53-'C1-Incomes'!$W53)*100</f>
        <v>0.71593057766643375</v>
      </c>
      <c r="BS50" s="456">
        <f>('C1-Incomes'!LP53-'C1-Incomes'!LQ53)/('C1-Incomes'!$W53-'C1-Incomes'!$X53)*100</f>
        <v>0.72061456316328087</v>
      </c>
      <c r="BT50" s="456">
        <f>'C1-Incomes'!LQ53/'C1-Incomes'!$X53*100</f>
        <v>0.66114509400332944</v>
      </c>
      <c r="BV50" s="456">
        <f>'F-B5'!AB79/'F-B5'!$AE79*100</f>
        <v>3.8796997752535685</v>
      </c>
      <c r="BW50" s="456">
        <f>'F-B6'!U79/'F-B6'!$X79*100</f>
        <v>6.0616593740862523</v>
      </c>
      <c r="BX50" s="456">
        <f>('C1-Incomes'!KV53-'C1-Incomes'!KW53)/('C1-Incomes'!$S53-'C1-Incomes'!$T53)*100</f>
        <v>5.2285730771772743</v>
      </c>
      <c r="BY50" s="456">
        <f>('C1-Incomes'!KW53-'C1-Incomes'!KX53)/('C1-Incomes'!$T53-'C1-Incomes'!$U53)*100</f>
        <v>4.4116634269122086</v>
      </c>
      <c r="BZ50" s="456">
        <f>('C1-Incomes'!KX53-'C1-Incomes'!KY53)/('C1-Incomes'!$U53-'C1-Incomes'!$V53)*100</f>
        <v>3.3743719769134741</v>
      </c>
      <c r="CA50" s="456">
        <f>('C1-Incomes'!KY53-'C1-Incomes'!KZ53)/('C1-Incomes'!$V53-'C1-Incomes'!$W53)*100</f>
        <v>2.9611969836273784</v>
      </c>
      <c r="CB50" s="456">
        <f>('C1-Incomes'!KZ53-'C1-Incomes'!LA53)/('C1-Incomes'!$W53-'C1-Incomes'!$X53)*100</f>
        <v>2.8579094523483106</v>
      </c>
      <c r="CC50" s="456">
        <f>'C1-Incomes'!LA53/'C1-Incomes'!$X53*100</f>
        <v>2.756143913128263</v>
      </c>
      <c r="CE50" s="519"/>
      <c r="CF50" s="519"/>
    </row>
    <row r="51" spans="1:84" s="452" customFormat="1" ht="12" x14ac:dyDescent="0.25">
      <c r="A51" s="239">
        <v>2006</v>
      </c>
      <c r="B51" s="456">
        <f t="shared" si="6"/>
        <v>15.186122146793727</v>
      </c>
      <c r="C51" s="456">
        <f t="shared" si="7"/>
        <v>27.117611829667116</v>
      </c>
      <c r="D51" s="456">
        <f t="shared" si="8"/>
        <v>31.133031144280462</v>
      </c>
      <c r="E51" s="456">
        <f t="shared" si="9"/>
        <v>34.200460741796093</v>
      </c>
      <c r="F51" s="456">
        <f t="shared" si="10"/>
        <v>37.895306065501302</v>
      </c>
      <c r="G51" s="456">
        <f t="shared" si="11"/>
        <v>39.889238121500085</v>
      </c>
      <c r="H51" s="456">
        <f t="shared" si="12"/>
        <v>45.317278851771071</v>
      </c>
      <c r="I51" s="456">
        <f t="shared" si="13"/>
        <v>46.888213910643152</v>
      </c>
      <c r="J51" s="456"/>
      <c r="K51" s="456">
        <f t="shared" si="14"/>
        <v>8.6503972713698829</v>
      </c>
      <c r="L51" s="456">
        <f t="shared" si="15"/>
        <v>19.130608475838248</v>
      </c>
      <c r="M51" s="456">
        <f t="shared" si="16"/>
        <v>23.938762532363008</v>
      </c>
      <c r="N51" s="456">
        <f t="shared" si="17"/>
        <v>28.727671626331578</v>
      </c>
      <c r="O51" s="456">
        <f t="shared" si="18"/>
        <v>34.589982381818146</v>
      </c>
      <c r="P51" s="456">
        <f t="shared" si="19"/>
        <v>37.673037588317044</v>
      </c>
      <c r="Q51" s="456">
        <f t="shared" si="20"/>
        <v>43.985500524147973</v>
      </c>
      <c r="R51" s="456">
        <f t="shared" si="21"/>
        <v>46.127722630452439</v>
      </c>
      <c r="S51" s="456"/>
      <c r="T51" s="456">
        <f>'F-B5'!W80/'F-B5'!$AE80*100</f>
        <v>0.86550460150198605</v>
      </c>
      <c r="U51" s="456">
        <f>'F-B6'!P80/'F-B6'!$X80*100</f>
        <v>5.3846188739939107</v>
      </c>
      <c r="V51" s="456">
        <f>('C1-Incomes'!JH54-'C1-Incomes'!JI54)/('C1-Incomes'!$S54-'C1-Incomes'!$T54)*100</f>
        <v>9.0339492898357108</v>
      </c>
      <c r="W51" s="456">
        <f>('C1-Incomes'!JI54-'C1-Incomes'!JJ54)/('C1-Incomes'!$T54-'C1-Incomes'!$U54)*100</f>
        <v>13.196544003429425</v>
      </c>
      <c r="X51" s="456">
        <f>('C1-Incomes'!JJ54-'C1-Incomes'!JK54)/('C1-Incomes'!$U54-'C1-Incomes'!$V54)*100</f>
        <v>18.519193703377439</v>
      </c>
      <c r="Y51" s="456">
        <f>('C1-Incomes'!JK54-'C1-Incomes'!JL54)/('C1-Incomes'!$V54-'C1-Incomes'!$W54)*100</f>
        <v>21.167106592067945</v>
      </c>
      <c r="Z51" s="456">
        <f>('C1-Incomes'!JL54-'C1-Incomes'!JM54)/('C1-Incomes'!$W54-'C1-Incomes'!$X54)*100</f>
        <v>25.614275687890174</v>
      </c>
      <c r="AA51" s="456">
        <f>'C1-Incomes'!JM54/'C1-Incomes'!$X54*100</f>
        <v>25.680391415148087</v>
      </c>
      <c r="AB51" s="458"/>
      <c r="AC51" s="456">
        <f>'F-B5'!X80/'F-B5'!$AE80*100</f>
        <v>0.47510227441725655</v>
      </c>
      <c r="AD51" s="456">
        <f>'F-B6'!Q80/'F-B6'!$X80*100</f>
        <v>1.6546912232799982</v>
      </c>
      <c r="AE51" s="456">
        <f>('C1-Incomes'!JP54-'C1-Incomes'!JQ54)/('C1-Incomes'!$S54-'C1-Incomes'!$T54)*100</f>
        <v>2.3944329984933255</v>
      </c>
      <c r="AF51" s="456">
        <f>('C1-Incomes'!JQ54-'C1-Incomes'!JR54)/('C1-Incomes'!$T54-'C1-Incomes'!$U54)*100</f>
        <v>3.1037548321539847</v>
      </c>
      <c r="AG51" s="456">
        <f>('C1-Incomes'!JR54-'C1-Incomes'!JS54)/('C1-Incomes'!$U54-'C1-Incomes'!$V54)*100</f>
        <v>3.8831223453084172</v>
      </c>
      <c r="AH51" s="456">
        <f>('C1-Incomes'!JS54-'C1-Incomes'!JT54)/('C1-Incomes'!$V54-'C1-Incomes'!$W54)*100</f>
        <v>4.5253947496242191</v>
      </c>
      <c r="AI51" s="456">
        <f>('C1-Incomes'!JT54-'C1-Incomes'!JU54)/('C1-Incomes'!$W54-'C1-Incomes'!$X54)*100</f>
        <v>5.5021155930232837</v>
      </c>
      <c r="AJ51" s="456">
        <f>'C1-Incomes'!JU54/'C1-Incomes'!$X54*100</f>
        <v>5.9400539781206847</v>
      </c>
      <c r="AK51" s="458"/>
      <c r="AL51" s="456">
        <f>'F-B5'!Y80/'F-B5'!$AE80*100</f>
        <v>1.7127729241127807</v>
      </c>
      <c r="AM51" s="456">
        <f>'F-B6'!R80/'F-B6'!$X80*100</f>
        <v>3.2894506415942866</v>
      </c>
      <c r="AN51" s="456">
        <f>('C1-Incomes'!JX54-'C1-Incomes'!JY54)/('C1-Incomes'!$S54-'C1-Incomes'!$T54)*100</f>
        <v>3.7417617294950065</v>
      </c>
      <c r="AO51" s="456">
        <f>('C1-Incomes'!JY54-'C1-Incomes'!JZ54)/('C1-Incomes'!$T54-'C1-Incomes'!$U54)*100</f>
        <v>4.0345814842424916</v>
      </c>
      <c r="AP51" s="456">
        <f>('C1-Incomes'!JZ54-'C1-Incomes'!KA54)/('C1-Incomes'!$U54-'C1-Incomes'!$V54)*100</f>
        <v>4.3823870487696679</v>
      </c>
      <c r="AQ51" s="456">
        <f>('C1-Incomes'!KA54-'C1-Incomes'!KB54)/('C1-Incomes'!$V54-'C1-Incomes'!$W54)*100</f>
        <v>4.5018680066768306</v>
      </c>
      <c r="AR51" s="456">
        <f>('C1-Incomes'!KB54-'C1-Incomes'!KC54)/('C1-Incomes'!$W54-'C1-Incomes'!$X54)*100</f>
        <v>5.2888042280672742</v>
      </c>
      <c r="AS51" s="456">
        <f>'C1-Incomes'!KC54/'C1-Incomes'!$X54*100</f>
        <v>6.8532598688264583</v>
      </c>
      <c r="AT51" s="458"/>
      <c r="AU51" s="456">
        <f>'F-B5'!Z80/'F-B5'!$AE80*100</f>
        <v>1.3858183681963725</v>
      </c>
      <c r="AV51" s="456">
        <f>'F-B6'!S80/'F-B6'!$X80*100</f>
        <v>2.7777946536061875</v>
      </c>
      <c r="AW51" s="456">
        <f>('C1-Incomes'!KF54-'C1-Incomes'!KG54)/('C1-Incomes'!$S54-'C1-Incomes'!$T54)*100</f>
        <v>3.4070244196668216</v>
      </c>
      <c r="AX51" s="456">
        <f>('C1-Incomes'!KG54-'C1-Incomes'!KH54)/('C1-Incomes'!$T54-'C1-Incomes'!$U54)*100</f>
        <v>3.7006096505256556</v>
      </c>
      <c r="AY51" s="456">
        <f>('C1-Incomes'!KH54-'C1-Incomes'!KI54)/('C1-Incomes'!$U54-'C1-Incomes'!$V54)*100</f>
        <v>3.8397161765481136</v>
      </c>
      <c r="AZ51" s="456">
        <f>('C1-Incomes'!KI54-'C1-Incomes'!KJ54)/('C1-Incomes'!$V54-'C1-Incomes'!$W54)*100</f>
        <v>3.8714912089593616</v>
      </c>
      <c r="BA51" s="456">
        <f>('C1-Incomes'!KJ54-'C1-Incomes'!KK54)/('C1-Incomes'!$W54-'C1-Incomes'!$X54)*100</f>
        <v>4.0008914501168755</v>
      </c>
      <c r="BB51" s="456">
        <f>'C1-Incomes'!KK54/'C1-Incomes'!$X54*100</f>
        <v>4.2689459450911311</v>
      </c>
      <c r="BD51" s="456">
        <f>'F-B5'!AA80/'F-B5'!$AE80*100</f>
        <v>6.5357248754238446</v>
      </c>
      <c r="BE51" s="456">
        <f>'F-B6'!T80/'F-B6'!$X80*100</f>
        <v>7.9870033538288654</v>
      </c>
      <c r="BF51" s="456">
        <f>('C1-Incomes'!KN54-'C1-Incomes'!KO54)/('C1-Incomes'!$S54-'C1-Incomes'!$T54)*100</f>
        <v>7.1942686119174555</v>
      </c>
      <c r="BG51" s="456">
        <f>('C1-Incomes'!KO54-'C1-Incomes'!KP54)/('C1-Incomes'!$T54-'C1-Incomes'!$U54)*100</f>
        <v>5.4727891154645167</v>
      </c>
      <c r="BH51" s="456">
        <f>('C1-Incomes'!KP54-'C1-Incomes'!KQ54)/('C1-Incomes'!$U54-'C1-Incomes'!$V54)*100</f>
        <v>3.3053236836831519</v>
      </c>
      <c r="BI51" s="456">
        <f>('C1-Incomes'!KQ54-'C1-Incomes'!KR54)/('C1-Incomes'!$V54-'C1-Incomes'!$W54)*100</f>
        <v>2.2162005331830392</v>
      </c>
      <c r="BJ51" s="456">
        <f>('C1-Incomes'!KR54-'C1-Incomes'!KS54)/('C1-Incomes'!$W54-'C1-Incomes'!$X54)*100</f>
        <v>1.3317783276231006</v>
      </c>
      <c r="BK51" s="456">
        <f>'C1-Incomes'!KS54/'C1-Incomes'!$X54*100</f>
        <v>0.76049128019071688</v>
      </c>
      <c r="BL51" s="456"/>
      <c r="BM51" s="456">
        <f>'F-B5'!AC80/'F-B5'!$AE80*100</f>
        <v>0.18683949878944281</v>
      </c>
      <c r="BN51" s="456">
        <f>'F-B6'!V80/'F-B6'!$X80*100</f>
        <v>0.1295270595790145</v>
      </c>
      <c r="BO51" s="456">
        <f>('C1-Incomes'!LL54-'C1-Incomes'!LM54)/('C1-Incomes'!$S54-'C1-Incomes'!$T54)*100</f>
        <v>0.22352380812170822</v>
      </c>
      <c r="BP51" s="456">
        <f>('C1-Incomes'!LM54-'C1-Incomes'!LN54)/('C1-Incomes'!$T54-'C1-Incomes'!$U54)*100</f>
        <v>0.39894757564847022</v>
      </c>
      <c r="BQ51" s="456">
        <f>('C1-Incomes'!LN54-'C1-Incomes'!LO54)/('C1-Incomes'!$U54-'C1-Incomes'!$V54)*100</f>
        <v>0.66262590131623544</v>
      </c>
      <c r="BR51" s="456">
        <f>('C1-Incomes'!LO54-'C1-Incomes'!LP54)/('C1-Incomes'!$V54-'C1-Incomes'!$W54)*100</f>
        <v>0.74928147575992554</v>
      </c>
      <c r="BS51" s="456">
        <f>('C1-Incomes'!LP54-'C1-Incomes'!LQ54)/('C1-Incomes'!$W54-'C1-Incomes'!$X54)*100</f>
        <v>0.79360375812461481</v>
      </c>
      <c r="BT51" s="456">
        <f>'C1-Incomes'!LQ54/'C1-Incomes'!$X54*100</f>
        <v>0.72869662019881443</v>
      </c>
      <c r="BV51" s="456">
        <f>'F-B5'!AB80/'F-B5'!$AE80*100</f>
        <v>4.0243596043520444</v>
      </c>
      <c r="BW51" s="456">
        <f>'F-B6'!U80/'F-B6'!$X80*100</f>
        <v>5.8945260237848514</v>
      </c>
      <c r="BX51" s="456">
        <f>('C1-Incomes'!KV54-'C1-Incomes'!KW54)/('C1-Incomes'!$S54-'C1-Incomes'!$T54)*100</f>
        <v>5.1380702867504331</v>
      </c>
      <c r="BY51" s="456">
        <f>('C1-Incomes'!KW54-'C1-Incomes'!KX54)/('C1-Incomes'!$T54-'C1-Incomes'!$U54)*100</f>
        <v>4.2932340803315521</v>
      </c>
      <c r="BZ51" s="456">
        <f>('C1-Incomes'!KX54-'C1-Incomes'!KY54)/('C1-Incomes'!$U54-'C1-Incomes'!$V54)*100</f>
        <v>3.3029372064982772</v>
      </c>
      <c r="CA51" s="456">
        <f>('C1-Incomes'!KY54-'C1-Incomes'!KZ54)/('C1-Incomes'!$V54-'C1-Incomes'!$W54)*100</f>
        <v>2.8578955552287604</v>
      </c>
      <c r="CB51" s="456">
        <f>('C1-Incomes'!KZ54-'C1-Incomes'!LA54)/('C1-Incomes'!$W54-'C1-Incomes'!$X54)*100</f>
        <v>2.7858098069257466</v>
      </c>
      <c r="CC51" s="456">
        <f>'C1-Incomes'!LA54/'C1-Incomes'!$X54*100</f>
        <v>2.6563748030672572</v>
      </c>
      <c r="CE51" s="519"/>
      <c r="CF51" s="519"/>
    </row>
    <row r="52" spans="1:84" s="452" customFormat="1" ht="12" x14ac:dyDescent="0.25">
      <c r="A52" s="239">
        <v>2007</v>
      </c>
      <c r="B52" s="456">
        <f t="shared" si="6"/>
        <v>15.3339597151222</v>
      </c>
      <c r="C52" s="456">
        <f t="shared" si="7"/>
        <v>27.471268511309187</v>
      </c>
      <c r="D52" s="456">
        <f t="shared" si="8"/>
        <v>31.680196223097479</v>
      </c>
      <c r="E52" s="456">
        <f t="shared" si="9"/>
        <v>35.20702357883718</v>
      </c>
      <c r="F52" s="456">
        <f t="shared" si="10"/>
        <v>39.247603496444817</v>
      </c>
      <c r="G52" s="456">
        <f t="shared" si="11"/>
        <v>41.953631986762723</v>
      </c>
      <c r="H52" s="456">
        <f t="shared" si="12"/>
        <v>47.494028016345446</v>
      </c>
      <c r="I52" s="456">
        <f t="shared" si="13"/>
        <v>50.554822435087118</v>
      </c>
      <c r="J52" s="456"/>
      <c r="K52" s="456">
        <f t="shared" si="14"/>
        <v>8.9550176440241618</v>
      </c>
      <c r="L52" s="456">
        <f t="shared" si="15"/>
        <v>19.360357450596165</v>
      </c>
      <c r="M52" s="456">
        <f t="shared" si="16"/>
        <v>24.295757283392952</v>
      </c>
      <c r="N52" s="456">
        <f t="shared" si="17"/>
        <v>29.687349183205846</v>
      </c>
      <c r="O52" s="456">
        <f t="shared" si="18"/>
        <v>35.865267758926407</v>
      </c>
      <c r="P52" s="456">
        <f t="shared" si="19"/>
        <v>39.648266120003932</v>
      </c>
      <c r="Q52" s="456">
        <f t="shared" si="20"/>
        <v>46.066391240271145</v>
      </c>
      <c r="R52" s="456">
        <f t="shared" si="21"/>
        <v>49.687984443982465</v>
      </c>
      <c r="S52" s="456"/>
      <c r="T52" s="456">
        <f>'F-B5'!W81/'F-B5'!$AE81*100</f>
        <v>1.0157005287391705</v>
      </c>
      <c r="U52" s="456">
        <f>'F-B6'!P81/'F-B6'!$X81*100</f>
        <v>5.73909985166285</v>
      </c>
      <c r="V52" s="456">
        <f>('C1-Incomes'!JH55-'C1-Incomes'!JI55)/('C1-Incomes'!$S55-'C1-Incomes'!$T55)*100</f>
        <v>9.7106113335603208</v>
      </c>
      <c r="W52" s="456">
        <f>('C1-Incomes'!JI55-'C1-Incomes'!JJ55)/('C1-Incomes'!$T55-'C1-Incomes'!$U55)*100</f>
        <v>14.300918699267465</v>
      </c>
      <c r="X52" s="456">
        <f>('C1-Incomes'!JJ55-'C1-Incomes'!JK55)/('C1-Incomes'!$U55-'C1-Incomes'!$V55)*100</f>
        <v>19.983396277621015</v>
      </c>
      <c r="Y52" s="456">
        <f>('C1-Incomes'!JK55-'C1-Incomes'!JL55)/('C1-Incomes'!$V55-'C1-Incomes'!$W55)*100</f>
        <v>23.016730399769781</v>
      </c>
      <c r="Z52" s="456">
        <f>('C1-Incomes'!JL55-'C1-Incomes'!JM55)/('C1-Incomes'!$W55-'C1-Incomes'!$X55)*100</f>
        <v>27.795154742392992</v>
      </c>
      <c r="AA52" s="456">
        <f>'C1-Incomes'!JM55/'C1-Incomes'!$X55*100</f>
        <v>29.380858604950035</v>
      </c>
      <c r="AB52" s="458"/>
      <c r="AC52" s="456">
        <f>'F-B5'!X81/'F-B5'!$AE81*100</f>
        <v>0.4640564495547318</v>
      </c>
      <c r="AD52" s="456">
        <f>'F-B6'!Q81/'F-B6'!$X81*100</f>
        <v>1.6546303916864464</v>
      </c>
      <c r="AE52" s="456">
        <f>('C1-Incomes'!JP55-'C1-Incomes'!JQ55)/('C1-Incomes'!$S55-'C1-Incomes'!$T55)*100</f>
        <v>2.4874060959053135</v>
      </c>
      <c r="AF52" s="456">
        <f>('C1-Incomes'!JQ55-'C1-Incomes'!JR55)/('C1-Incomes'!$T55-'C1-Incomes'!$U55)*100</f>
        <v>3.3077812483161493</v>
      </c>
      <c r="AG52" s="456">
        <f>('C1-Incomes'!JR55-'C1-Incomes'!JS55)/('C1-Incomes'!$U55-'C1-Incomes'!$V55)*100</f>
        <v>4.2182060595595487</v>
      </c>
      <c r="AH52" s="456">
        <f>('C1-Incomes'!JS55-'C1-Incomes'!JT55)/('C1-Incomes'!$V55-'C1-Incomes'!$W55)*100</f>
        <v>4.955617153527518</v>
      </c>
      <c r="AI52" s="456">
        <f>('C1-Incomes'!JT55-'C1-Incomes'!JU55)/('C1-Incomes'!$W55-'C1-Incomes'!$X55)*100</f>
        <v>6.0628958410525877</v>
      </c>
      <c r="AJ52" s="456">
        <f>'C1-Incomes'!JU55/'C1-Incomes'!$X55*100</f>
        <v>6.6854483024257876</v>
      </c>
      <c r="AK52" s="458"/>
      <c r="AL52" s="456">
        <f>'F-B5'!Y81/'F-B5'!$AE81*100</f>
        <v>1.6391734316247446</v>
      </c>
      <c r="AM52" s="456">
        <f>'F-B6'!R81/'F-B6'!$X81*100</f>
        <v>3.0150891913339142</v>
      </c>
      <c r="AN52" s="456">
        <f>('C1-Incomes'!JX55-'C1-Incomes'!JY55)/('C1-Incomes'!$S55-'C1-Incomes'!$T55)*100</f>
        <v>3.2039850661412435</v>
      </c>
      <c r="AO52" s="456">
        <f>('C1-Incomes'!JY55-'C1-Incomes'!JZ55)/('C1-Incomes'!$T55-'C1-Incomes'!$U55)*100</f>
        <v>3.5434035215237083</v>
      </c>
      <c r="AP52" s="456">
        <f>('C1-Incomes'!JZ55-'C1-Incomes'!KA55)/('C1-Incomes'!$U55-'C1-Incomes'!$V55)*100</f>
        <v>3.7729503299445395</v>
      </c>
      <c r="AQ52" s="456">
        <f>('C1-Incomes'!KA55-'C1-Incomes'!KB55)/('C1-Incomes'!$V55-'C1-Incomes'!$W55)*100</f>
        <v>4.0119846246433672</v>
      </c>
      <c r="AR52" s="456">
        <f>('C1-Incomes'!KB55-'C1-Incomes'!KC55)/('C1-Incomes'!$W55-'C1-Incomes'!$X55)*100</f>
        <v>4.5623248553388773</v>
      </c>
      <c r="AS52" s="456">
        <f>'C1-Incomes'!KC55/'C1-Incomes'!$X55*100</f>
        <v>5.8702779110534546</v>
      </c>
      <c r="AT52" s="458"/>
      <c r="AU52" s="456">
        <f>'F-B5'!Z81/'F-B5'!$AE81*100</f>
        <v>1.5264168645510512</v>
      </c>
      <c r="AV52" s="456">
        <f>'F-B6'!S81/'F-B6'!$X81*100</f>
        <v>2.9210047279309337</v>
      </c>
      <c r="AW52" s="456">
        <f>('C1-Incomes'!KF55-'C1-Incomes'!KG55)/('C1-Incomes'!$S55-'C1-Incomes'!$T55)*100</f>
        <v>3.4714117980810055</v>
      </c>
      <c r="AX52" s="456">
        <f>('C1-Incomes'!KG55-'C1-Incomes'!KH55)/('C1-Incomes'!$T55-'C1-Incomes'!$U55)*100</f>
        <v>3.8562538808685702</v>
      </c>
      <c r="AY52" s="456">
        <f>('C1-Incomes'!KH55-'C1-Incomes'!KI55)/('C1-Incomes'!$U55-'C1-Incomes'!$V55)*100</f>
        <v>3.9563060870340498</v>
      </c>
      <c r="AZ52" s="456">
        <f>('C1-Incomes'!KI55-'C1-Incomes'!KJ55)/('C1-Incomes'!$V55-'C1-Incomes'!$W55)*100</f>
        <v>4.0460748079655398</v>
      </c>
      <c r="BA52" s="456">
        <f>('C1-Incomes'!KJ55-'C1-Incomes'!KK55)/('C1-Incomes'!$W55-'C1-Incomes'!$X55)*100</f>
        <v>4.0768968110087895</v>
      </c>
      <c r="BB52" s="456">
        <f>'C1-Incomes'!KK55/'C1-Incomes'!$X55*100</f>
        <v>4.3161211021463268</v>
      </c>
      <c r="BD52" s="456">
        <f>'F-B5'!AA81/'F-B5'!$AE81*100</f>
        <v>6.3789420710980389</v>
      </c>
      <c r="BE52" s="456">
        <f>'F-B6'!T81/'F-B6'!$X81*100</f>
        <v>8.1109110607130237</v>
      </c>
      <c r="BF52" s="456">
        <f>('C1-Incomes'!KN55-'C1-Incomes'!KO55)/('C1-Incomes'!$S55-'C1-Incomes'!$T55)*100</f>
        <v>7.3844389397045269</v>
      </c>
      <c r="BG52" s="456">
        <f>('C1-Incomes'!KO55-'C1-Incomes'!KP55)/('C1-Incomes'!$T55-'C1-Incomes'!$U55)*100</f>
        <v>5.5196743956313359</v>
      </c>
      <c r="BH52" s="456">
        <f>('C1-Incomes'!KP55-'C1-Incomes'!KQ55)/('C1-Incomes'!$U55-'C1-Incomes'!$V55)*100</f>
        <v>3.3823357375184133</v>
      </c>
      <c r="BI52" s="456">
        <f>('C1-Incomes'!KQ55-'C1-Incomes'!KR55)/('C1-Incomes'!$V55-'C1-Incomes'!$W55)*100</f>
        <v>2.3053658667587915</v>
      </c>
      <c r="BJ52" s="456">
        <f>('C1-Incomes'!KR55-'C1-Incomes'!KS55)/('C1-Incomes'!$W55-'C1-Incomes'!$X55)*100</f>
        <v>1.4276367760743027</v>
      </c>
      <c r="BK52" s="456">
        <f>'C1-Incomes'!KS55/'C1-Incomes'!$X55*100</f>
        <v>0.86683799110465354</v>
      </c>
      <c r="BL52" s="456"/>
      <c r="BM52" s="456">
        <f>'F-B5'!AC81/'F-B5'!$AE81*100</f>
        <v>0.17556820291136249</v>
      </c>
      <c r="BN52" s="456">
        <f>'F-B6'!V81/'F-B6'!$X81*100</f>
        <v>0.12036633057453025</v>
      </c>
      <c r="BO52" s="456">
        <f>('C1-Incomes'!LL55-'C1-Incomes'!LM55)/('C1-Incomes'!$S55-'C1-Incomes'!$T55)*100</f>
        <v>0.20990717953140578</v>
      </c>
      <c r="BP52" s="456">
        <f>('C1-Incomes'!LM55-'C1-Incomes'!LN55)/('C1-Incomes'!$T55-'C1-Incomes'!$U55)*100</f>
        <v>0.37727133177291911</v>
      </c>
      <c r="BQ52" s="456">
        <f>('C1-Incomes'!LN55-'C1-Incomes'!LO55)/('C1-Incomes'!$U55-'C1-Incomes'!$V55)*100</f>
        <v>0.620154095414027</v>
      </c>
      <c r="BR52" s="456">
        <f>('C1-Incomes'!LO55-'C1-Incomes'!LP55)/('C1-Incomes'!$V55-'C1-Incomes'!$W55)*100</f>
        <v>0.70023770213985492</v>
      </c>
      <c r="BS52" s="456">
        <f>('C1-Incomes'!LP55-'C1-Incomes'!LQ55)/('C1-Incomes'!$W55-'C1-Incomes'!$X55)*100</f>
        <v>0.71977941023394754</v>
      </c>
      <c r="BT52" s="456">
        <f>'C1-Incomes'!LQ55/'C1-Incomes'!$X55*100</f>
        <v>0.65548985205548405</v>
      </c>
      <c r="BV52" s="456">
        <f>'F-B5'!AB81/'F-B5'!$AE81*100</f>
        <v>4.1341021666431006</v>
      </c>
      <c r="BW52" s="456">
        <f>'F-B6'!U81/'F-B6'!$X81*100</f>
        <v>5.9101669574074922</v>
      </c>
      <c r="BX52" s="456">
        <f>('C1-Incomes'!KV55-'C1-Incomes'!KW55)/('C1-Incomes'!$S55-'C1-Incomes'!$T55)*100</f>
        <v>5.2124358101736616</v>
      </c>
      <c r="BY52" s="456">
        <f>('C1-Incomes'!KW55-'C1-Incomes'!KX55)/('C1-Incomes'!$T55-'C1-Incomes'!$U55)*100</f>
        <v>4.3017205014570337</v>
      </c>
      <c r="BZ52" s="456">
        <f>('C1-Incomes'!KX55-'C1-Incomes'!KY55)/('C1-Incomes'!$U55-'C1-Incomes'!$V55)*100</f>
        <v>3.314254909353223</v>
      </c>
      <c r="CA52" s="456">
        <f>('C1-Incomes'!KY55-'C1-Incomes'!KZ55)/('C1-Incomes'!$V55-'C1-Incomes'!$W55)*100</f>
        <v>2.9176214319578788</v>
      </c>
      <c r="CB52" s="456">
        <f>('C1-Incomes'!KZ55-'C1-Incomes'!LA55)/('C1-Incomes'!$W55-'C1-Incomes'!$X55)*100</f>
        <v>2.8493395802439516</v>
      </c>
      <c r="CC52" s="456">
        <f>'C1-Incomes'!LA55/'C1-Incomes'!$X55*100</f>
        <v>2.7797886713513775</v>
      </c>
      <c r="CE52" s="519"/>
      <c r="CF52" s="519"/>
    </row>
    <row r="53" spans="1:84" s="452" customFormat="1" ht="12" x14ac:dyDescent="0.25">
      <c r="A53" s="239">
        <v>2008</v>
      </c>
      <c r="B53" s="456">
        <f t="shared" si="6"/>
        <v>14.171606330462962</v>
      </c>
      <c r="C53" s="456">
        <f t="shared" si="7"/>
        <v>26.554824963514857</v>
      </c>
      <c r="D53" s="456">
        <f t="shared" si="8"/>
        <v>31.004534041714482</v>
      </c>
      <c r="E53" s="456">
        <f t="shared" si="9"/>
        <v>34.31653976821314</v>
      </c>
      <c r="F53" s="456">
        <f t="shared" si="10"/>
        <v>38.073074899401746</v>
      </c>
      <c r="G53" s="456">
        <f t="shared" si="11"/>
        <v>39.772156613376609</v>
      </c>
      <c r="H53" s="456">
        <f t="shared" si="12"/>
        <v>45.866221490111293</v>
      </c>
      <c r="I53" s="456">
        <f t="shared" si="13"/>
        <v>48.169333755576709</v>
      </c>
      <c r="J53" s="456"/>
      <c r="K53" s="456">
        <f t="shared" si="14"/>
        <v>8.0810049862561826</v>
      </c>
      <c r="L53" s="456">
        <f t="shared" si="15"/>
        <v>18.514430588313846</v>
      </c>
      <c r="M53" s="456">
        <f t="shared" si="16"/>
        <v>23.595089779294199</v>
      </c>
      <c r="N53" s="456">
        <f t="shared" si="17"/>
        <v>28.678592475688198</v>
      </c>
      <c r="O53" s="456">
        <f t="shared" si="18"/>
        <v>34.558296643012817</v>
      </c>
      <c r="P53" s="456">
        <f t="shared" si="19"/>
        <v>37.366239185030302</v>
      </c>
      <c r="Q53" s="456">
        <f t="shared" si="20"/>
        <v>44.366035240689563</v>
      </c>
      <c r="R53" s="456">
        <f t="shared" si="21"/>
        <v>47.265084289748287</v>
      </c>
      <c r="S53" s="456"/>
      <c r="T53" s="456">
        <f>'F-B5'!W82/'F-B5'!$AE82*100</f>
        <v>0.9369018065354584</v>
      </c>
      <c r="U53" s="456">
        <f>'F-B6'!P82/'F-B6'!$X82*100</f>
        <v>5.9649174888897729</v>
      </c>
      <c r="V53" s="456">
        <f>('C1-Incomes'!JH56-'C1-Incomes'!JI56)/('C1-Incomes'!$S56-'C1-Incomes'!$T56)*100</f>
        <v>9.9522451896423547</v>
      </c>
      <c r="W53" s="456">
        <f>('C1-Incomes'!JI56-'C1-Incomes'!JJ56)/('C1-Incomes'!$T56-'C1-Incomes'!$U56)*100</f>
        <v>14.261667482895835</v>
      </c>
      <c r="X53" s="456">
        <f>('C1-Incomes'!JJ56-'C1-Incomes'!JK56)/('C1-Incomes'!$U56-'C1-Incomes'!$V56)*100</f>
        <v>19.609323207454615</v>
      </c>
      <c r="Y53" s="456">
        <f>('C1-Incomes'!JK56-'C1-Incomes'!JL56)/('C1-Incomes'!$V56-'C1-Incomes'!$W56)*100</f>
        <v>21.855338035834272</v>
      </c>
      <c r="Z53" s="456">
        <f>('C1-Incomes'!JL56-'C1-Incomes'!JM56)/('C1-Incomes'!$W56-'C1-Incomes'!$X56)*100</f>
        <v>27.013295278515699</v>
      </c>
      <c r="AA53" s="456">
        <f>'C1-Incomes'!JM56/'C1-Incomes'!$X56*100</f>
        <v>27.970364302375177</v>
      </c>
      <c r="AB53" s="458"/>
      <c r="AC53" s="456">
        <f>'F-B5'!X82/'F-B5'!$AE82*100</f>
        <v>0.49444983021827071</v>
      </c>
      <c r="AD53" s="456">
        <f>'F-B6'!Q82/'F-B6'!$X82*100</f>
        <v>1.6951787095642081</v>
      </c>
      <c r="AE53" s="456">
        <f>('C1-Incomes'!JP56-'C1-Incomes'!JQ56)/('C1-Incomes'!$S56-'C1-Incomes'!$T56)*100</f>
        <v>2.573841361668801</v>
      </c>
      <c r="AF53" s="456">
        <f>('C1-Incomes'!JQ56-'C1-Incomes'!JR56)/('C1-Incomes'!$T56-'C1-Incomes'!$U56)*100</f>
        <v>3.3557827710704551</v>
      </c>
      <c r="AG53" s="456">
        <f>('C1-Incomes'!JR56-'C1-Incomes'!JS56)/('C1-Incomes'!$U56-'C1-Incomes'!$V56)*100</f>
        <v>4.2315709348307351</v>
      </c>
      <c r="AH53" s="456">
        <f>('C1-Incomes'!JS56-'C1-Incomes'!JT56)/('C1-Incomes'!$V56-'C1-Incomes'!$W56)*100</f>
        <v>4.9571243108643737</v>
      </c>
      <c r="AI53" s="456">
        <f>('C1-Incomes'!JT56-'C1-Incomes'!JU56)/('C1-Incomes'!$W56-'C1-Incomes'!$X56)*100</f>
        <v>6.1921931522200451</v>
      </c>
      <c r="AJ53" s="456">
        <f>'C1-Incomes'!JU56/'C1-Incomes'!$X56*100</f>
        <v>7.1049909693442759</v>
      </c>
      <c r="AK53" s="458"/>
      <c r="AL53" s="456">
        <f>'F-B5'!Y82/'F-B5'!$AE82*100</f>
        <v>1.0636355322199083</v>
      </c>
      <c r="AM53" s="456">
        <f>'F-B6'!R82/'F-B6'!$X82*100</f>
        <v>1.9402022994809445</v>
      </c>
      <c r="AN53" s="456">
        <f>('C1-Incomes'!JX56-'C1-Incomes'!JY56)/('C1-Incomes'!$S56-'C1-Incomes'!$T56)*100</f>
        <v>2.1968296171530723</v>
      </c>
      <c r="AO53" s="456">
        <f>('C1-Incomes'!JY56-'C1-Incomes'!JZ56)/('C1-Incomes'!$T56-'C1-Incomes'!$U56)*100</f>
        <v>2.4395308138919929</v>
      </c>
      <c r="AP53" s="456">
        <f>('C1-Incomes'!JZ56-'C1-Incomes'!KA56)/('C1-Incomes'!$U56-'C1-Incomes'!$V56)*100</f>
        <v>2.6331358811042316</v>
      </c>
      <c r="AQ53" s="456">
        <f>('C1-Incomes'!KA56-'C1-Incomes'!KB56)/('C1-Incomes'!$V56-'C1-Incomes'!$W56)*100</f>
        <v>2.6755050639255464</v>
      </c>
      <c r="AR53" s="456">
        <f>('C1-Incomes'!KB56-'C1-Incomes'!KC56)/('C1-Incomes'!$W56-'C1-Incomes'!$X56)*100</f>
        <v>3.0448629868018036</v>
      </c>
      <c r="AS53" s="456">
        <f>'C1-Incomes'!KC56/'C1-Incomes'!$X56*100</f>
        <v>3.8701536875242768</v>
      </c>
      <c r="AT53" s="458"/>
      <c r="AU53" s="456">
        <f>'F-B5'!Z82/'F-B5'!$AE82*100</f>
        <v>1.4574231362370829</v>
      </c>
      <c r="AV53" s="456">
        <f>'F-B6'!S82/'F-B6'!$X82*100</f>
        <v>2.8774204499711011</v>
      </c>
      <c r="AW53" s="456">
        <f>('C1-Incomes'!KF56-'C1-Incomes'!KG56)/('C1-Incomes'!$S56-'C1-Incomes'!$T56)*100</f>
        <v>3.5120854750213857</v>
      </c>
      <c r="AX53" s="456">
        <f>('C1-Incomes'!KG56-'C1-Incomes'!KH56)/('C1-Incomes'!$T56-'C1-Incomes'!$U56)*100</f>
        <v>3.9486301581270808</v>
      </c>
      <c r="AY53" s="456">
        <f>('C1-Incomes'!KH56-'C1-Incomes'!KI56)/('C1-Incomes'!$U56-'C1-Incomes'!$V56)*100</f>
        <v>4.0718449733552591</v>
      </c>
      <c r="AZ53" s="456">
        <f>('C1-Incomes'!KI56-'C1-Incomes'!KJ56)/('C1-Incomes'!$V56-'C1-Incomes'!$W56)*100</f>
        <v>4.2027694510353468</v>
      </c>
      <c r="BA53" s="456">
        <f>('C1-Incomes'!KJ56-'C1-Incomes'!KK56)/('C1-Incomes'!$W56-'C1-Incomes'!$X56)*100</f>
        <v>4.3120378430649549</v>
      </c>
      <c r="BB53" s="456">
        <f>'C1-Incomes'!KK56/'C1-Incomes'!$X56*100</f>
        <v>4.6102078048779243</v>
      </c>
      <c r="BD53" s="456">
        <f>'F-B5'!AA82/'F-B5'!$AE82*100</f>
        <v>6.090601344206779</v>
      </c>
      <c r="BE53" s="456">
        <f>'F-B6'!T82/'F-B6'!$X82*100</f>
        <v>8.0403943752010107</v>
      </c>
      <c r="BF53" s="456">
        <f>('C1-Incomes'!KN56-'C1-Incomes'!KO56)/('C1-Incomes'!$S56-'C1-Incomes'!$T56)*100</f>
        <v>7.4094442624202852</v>
      </c>
      <c r="BG53" s="456">
        <f>('C1-Incomes'!KO56-'C1-Incomes'!KP56)/('C1-Incomes'!$T56-'C1-Incomes'!$U56)*100</f>
        <v>5.6379472925249434</v>
      </c>
      <c r="BH53" s="456">
        <f>('C1-Incomes'!KP56-'C1-Incomes'!KQ56)/('C1-Incomes'!$U56-'C1-Incomes'!$V56)*100</f>
        <v>3.5147782563889307</v>
      </c>
      <c r="BI53" s="456">
        <f>('C1-Incomes'!KQ56-'C1-Incomes'!KR56)/('C1-Incomes'!$V56-'C1-Incomes'!$W56)*100</f>
        <v>2.4059174283463078</v>
      </c>
      <c r="BJ53" s="456">
        <f>('C1-Incomes'!KR56-'C1-Incomes'!KS56)/('C1-Incomes'!$W56-'C1-Incomes'!$X56)*100</f>
        <v>1.500186249421732</v>
      </c>
      <c r="BK53" s="456">
        <f>'C1-Incomes'!KS56/'C1-Incomes'!$X56*100</f>
        <v>0.90424946582842425</v>
      </c>
      <c r="BL53" s="456"/>
      <c r="BM53" s="456">
        <f>'F-B5'!AC82/'F-B5'!$AE82*100</f>
        <v>0.18099937281527623</v>
      </c>
      <c r="BN53" s="456">
        <f>'F-B6'!V82/'F-B6'!$X82*100</f>
        <v>0.12577572393419256</v>
      </c>
      <c r="BO53" s="456">
        <f>('C1-Incomes'!LL56-'C1-Incomes'!LM56)/('C1-Incomes'!$S56-'C1-Incomes'!$T56)*100</f>
        <v>0.22150491795985619</v>
      </c>
      <c r="BP53" s="456">
        <f>('C1-Incomes'!LM56-'C1-Incomes'!LN56)/('C1-Incomes'!$T56-'C1-Incomes'!$U56)*100</f>
        <v>0.39787739808089539</v>
      </c>
      <c r="BQ53" s="456">
        <f>('C1-Incomes'!LN56-'C1-Incomes'!LO56)/('C1-Incomes'!$U56-'C1-Incomes'!$V56)*100</f>
        <v>0.67198372771206205</v>
      </c>
      <c r="BR53" s="456">
        <f>('C1-Incomes'!LO56-'C1-Incomes'!LP56)/('C1-Incomes'!$V56-'C1-Incomes'!$W56)*100</f>
        <v>0.75375728820908938</v>
      </c>
      <c r="BS53" s="456">
        <f>('C1-Incomes'!LP56-'C1-Incomes'!LQ56)/('C1-Incomes'!$W56-'C1-Incomes'!$X56)*100</f>
        <v>0.81909408344317869</v>
      </c>
      <c r="BT53" s="456">
        <f>'C1-Incomes'!LQ56/'C1-Incomes'!$X56*100</f>
        <v>0.74501758064432377</v>
      </c>
      <c r="BV53" s="456">
        <f>'F-B5'!AB82/'F-B5'!$AE82*100</f>
        <v>3.9475953082301873</v>
      </c>
      <c r="BW53" s="456">
        <f>'F-B6'!U82/'F-B6'!$X82*100</f>
        <v>5.9109359164736244</v>
      </c>
      <c r="BX53" s="456">
        <f>('C1-Incomes'!KV56-'C1-Incomes'!KW56)/('C1-Incomes'!$S56-'C1-Incomes'!$T56)*100</f>
        <v>5.1385832178487298</v>
      </c>
      <c r="BY53" s="456">
        <f>('C1-Incomes'!KW56-'C1-Incomes'!KX56)/('C1-Incomes'!$T56-'C1-Incomes'!$U56)*100</f>
        <v>4.2751038516219433</v>
      </c>
      <c r="BZ53" s="456">
        <f>('C1-Incomes'!KX56-'C1-Incomes'!KY56)/('C1-Incomes'!$U56-'C1-Incomes'!$V56)*100</f>
        <v>3.340437918555915</v>
      </c>
      <c r="CA53" s="456">
        <f>('C1-Incomes'!KY56-'C1-Incomes'!KZ56)/('C1-Incomes'!$V56-'C1-Incomes'!$W56)*100</f>
        <v>2.9217450351616749</v>
      </c>
      <c r="CB53" s="456">
        <f>('C1-Incomes'!KZ56-'C1-Incomes'!LA56)/('C1-Incomes'!$W56-'C1-Incomes'!$X56)*100</f>
        <v>2.9845518966438855</v>
      </c>
      <c r="CC53" s="456">
        <f>'C1-Incomes'!LA56/'C1-Incomes'!$X56*100</f>
        <v>2.9643499449823101</v>
      </c>
      <c r="CE53" s="519"/>
      <c r="CF53" s="519"/>
    </row>
    <row r="54" spans="1:84" s="452" customFormat="1" ht="12" x14ac:dyDescent="0.25">
      <c r="A54" s="239">
        <v>2009</v>
      </c>
      <c r="B54" s="456">
        <f t="shared" si="6"/>
        <v>12.500445357585082</v>
      </c>
      <c r="C54" s="456">
        <f t="shared" si="7"/>
        <v>24.345316510886228</v>
      </c>
      <c r="D54" s="456">
        <f t="shared" si="8"/>
        <v>28.285425663911159</v>
      </c>
      <c r="E54" s="456">
        <f t="shared" si="9"/>
        <v>30.745111862002176</v>
      </c>
      <c r="F54" s="456">
        <f t="shared" si="10"/>
        <v>33.187487718637144</v>
      </c>
      <c r="G54" s="456">
        <f t="shared" si="11"/>
        <v>33.803953158142022</v>
      </c>
      <c r="H54" s="456">
        <f t="shared" si="12"/>
        <v>38.567425001996504</v>
      </c>
      <c r="I54" s="456">
        <f t="shared" si="13"/>
        <v>40.474045769296126</v>
      </c>
      <c r="J54" s="456"/>
      <c r="K54" s="456">
        <f t="shared" si="14"/>
        <v>6.9043694263524715</v>
      </c>
      <c r="L54" s="456">
        <f t="shared" si="15"/>
        <v>16.498745774562675</v>
      </c>
      <c r="M54" s="456">
        <f t="shared" si="16"/>
        <v>20.870097456862581</v>
      </c>
      <c r="N54" s="456">
        <f t="shared" si="17"/>
        <v>24.880600687660312</v>
      </c>
      <c r="O54" s="456">
        <f t="shared" si="18"/>
        <v>29.496641206450889</v>
      </c>
      <c r="P54" s="456">
        <f t="shared" si="19"/>
        <v>31.282173254307462</v>
      </c>
      <c r="Q54" s="456">
        <f t="shared" si="20"/>
        <v>37.041028465059227</v>
      </c>
      <c r="R54" s="456">
        <f t="shared" si="21"/>
        <v>39.729003309082827</v>
      </c>
      <c r="S54" s="456"/>
      <c r="T54" s="456">
        <f>'F-B5'!W83/'F-B5'!$AE83*100</f>
        <v>0.56159720348965658</v>
      </c>
      <c r="U54" s="456">
        <f>'F-B6'!P83/'F-B6'!$X83*100</f>
        <v>4.6022610104049022</v>
      </c>
      <c r="V54" s="456">
        <f>('C1-Incomes'!JH57-'C1-Incomes'!JI57)/('C1-Incomes'!$S57-'C1-Incomes'!$T57)*100</f>
        <v>7.7692466691201139</v>
      </c>
      <c r="W54" s="456">
        <f>('C1-Incomes'!JI57-'C1-Incomes'!JJ57)/('C1-Incomes'!$T57-'C1-Incomes'!$U57)*100</f>
        <v>11.010880645063637</v>
      </c>
      <c r="X54" s="456">
        <f>('C1-Incomes'!JJ57-'C1-Incomes'!JK57)/('C1-Incomes'!$U57-'C1-Incomes'!$V57)*100</f>
        <v>15.055239860204875</v>
      </c>
      <c r="Y54" s="456">
        <f>('C1-Incomes'!JK57-'C1-Incomes'!JL57)/('C1-Incomes'!$V57-'C1-Incomes'!$W57)*100</f>
        <v>16.526269825124594</v>
      </c>
      <c r="Z54" s="456">
        <f>('C1-Incomes'!JL57-'C1-Incomes'!JM57)/('C1-Incomes'!$W57-'C1-Incomes'!$X57)*100</f>
        <v>20.330019847947746</v>
      </c>
      <c r="AA54" s="456">
        <f>'C1-Incomes'!JM57/'C1-Incomes'!$X57*100</f>
        <v>20.719416311442082</v>
      </c>
      <c r="AB54" s="458"/>
      <c r="AC54" s="456">
        <f>'F-B5'!X83/'F-B5'!$AE83*100</f>
        <v>0.31296515608286696</v>
      </c>
      <c r="AD54" s="456">
        <f>'F-B6'!Q83/'F-B6'!$X83*100</f>
        <v>1.4739416359519599</v>
      </c>
      <c r="AE54" s="456">
        <f>('C1-Incomes'!JP57-'C1-Incomes'!JQ57)/('C1-Incomes'!$S57-'C1-Incomes'!$T57)*100</f>
        <v>2.3597559134616222</v>
      </c>
      <c r="AF54" s="456">
        <f>('C1-Incomes'!JQ57-'C1-Incomes'!JR57)/('C1-Incomes'!$T57-'C1-Incomes'!$U57)*100</f>
        <v>3.0835751448944255</v>
      </c>
      <c r="AG54" s="456">
        <f>('C1-Incomes'!JR57-'C1-Incomes'!JS57)/('C1-Incomes'!$U57-'C1-Incomes'!$V57)*100</f>
        <v>3.7416438317923206</v>
      </c>
      <c r="AH54" s="456">
        <f>('C1-Incomes'!JS57-'C1-Incomes'!JT57)/('C1-Incomes'!$V57-'C1-Incomes'!$W57)*100</f>
        <v>4.249527351680932</v>
      </c>
      <c r="AI54" s="456">
        <f>('C1-Incomes'!JT57-'C1-Incomes'!JU57)/('C1-Incomes'!$W57-'C1-Incomes'!$X57)*100</f>
        <v>5.498036659578716</v>
      </c>
      <c r="AJ54" s="456">
        <f>'C1-Incomes'!JU57/'C1-Incomes'!$X57*100</f>
        <v>6.1923754871302839</v>
      </c>
      <c r="AK54" s="458"/>
      <c r="AL54" s="456">
        <f>'F-B5'!Y83/'F-B5'!$AE83*100</f>
        <v>0.77724069889058056</v>
      </c>
      <c r="AM54" s="456">
        <f>'F-B6'!R83/'F-B6'!$X83*100</f>
        <v>1.5380273068497923</v>
      </c>
      <c r="AN54" s="456">
        <f>('C1-Incomes'!JX57-'C1-Incomes'!JY57)/('C1-Incomes'!$S57-'C1-Incomes'!$T57)*100</f>
        <v>1.8426876104681438</v>
      </c>
      <c r="AO54" s="456">
        <f>('C1-Incomes'!JY57-'C1-Incomes'!JZ57)/('C1-Incomes'!$T57-'C1-Incomes'!$U57)*100</f>
        <v>2.1014878986145771</v>
      </c>
      <c r="AP54" s="456">
        <f>('C1-Incomes'!JZ57-'C1-Incomes'!KA57)/('C1-Incomes'!$U57-'C1-Incomes'!$V57)*100</f>
        <v>2.3218108650005904</v>
      </c>
      <c r="AQ54" s="456">
        <f>('C1-Incomes'!KA57-'C1-Incomes'!KB57)/('C1-Incomes'!$V57-'C1-Incomes'!$W57)*100</f>
        <v>2.3032065575169942</v>
      </c>
      <c r="AR54" s="456">
        <f>('C1-Incomes'!KB57-'C1-Incomes'!KC57)/('C1-Incomes'!$W57-'C1-Incomes'!$X57)*100</f>
        <v>2.5700036864322486</v>
      </c>
      <c r="AS54" s="456">
        <f>'C1-Incomes'!KC57/'C1-Incomes'!$X57*100</f>
        <v>3.7531975283337236</v>
      </c>
      <c r="AT54" s="458"/>
      <c r="AU54" s="456">
        <f>'F-B5'!Z83/'F-B5'!$AE83*100</f>
        <v>1.4446750545877183</v>
      </c>
      <c r="AV54" s="456">
        <f>'F-B6'!S83/'F-B6'!$X83*100</f>
        <v>3.0753653560279552</v>
      </c>
      <c r="AW54" s="456">
        <f>('C1-Incomes'!KF57-'C1-Incomes'!KG57)/('C1-Incomes'!$S57-'C1-Incomes'!$T57)*100</f>
        <v>3.7952073506737647</v>
      </c>
      <c r="AX54" s="456">
        <f>('C1-Incomes'!KG57-'C1-Incomes'!KH57)/('C1-Incomes'!$T57-'C1-Incomes'!$U57)*100</f>
        <v>4.2408372126542329</v>
      </c>
      <c r="AY54" s="456">
        <f>('C1-Incomes'!KH57-'C1-Incomes'!KI57)/('C1-Incomes'!$U57-'C1-Incomes'!$V57)*100</f>
        <v>4.5566136690681986</v>
      </c>
      <c r="AZ54" s="456">
        <f>('C1-Incomes'!KI57-'C1-Incomes'!KJ57)/('C1-Incomes'!$V57-'C1-Incomes'!$W57)*100</f>
        <v>4.649060249210927</v>
      </c>
      <c r="BA54" s="456">
        <f>('C1-Incomes'!KJ57-'C1-Incomes'!KK57)/('C1-Incomes'!$W57-'C1-Incomes'!$X57)*100</f>
        <v>4.8289326264992765</v>
      </c>
      <c r="BB54" s="456">
        <f>'C1-Incomes'!KK57/'C1-Incomes'!$X57*100</f>
        <v>5.5549900962071446</v>
      </c>
      <c r="BD54" s="456">
        <f>'F-B5'!AA83/'F-B5'!$AE83*100</f>
        <v>5.59607593123261</v>
      </c>
      <c r="BE54" s="456">
        <f>'F-B6'!T83/'F-B6'!$X83*100</f>
        <v>7.8465707363235531</v>
      </c>
      <c r="BF54" s="456">
        <f>('C1-Incomes'!KN57-'C1-Incomes'!KO57)/('C1-Incomes'!$S57-'C1-Incomes'!$T57)*100</f>
        <v>7.4153282070485789</v>
      </c>
      <c r="BG54" s="456">
        <f>('C1-Incomes'!KO57-'C1-Incomes'!KP57)/('C1-Incomes'!$T57-'C1-Incomes'!$U57)*100</f>
        <v>5.8645111743418648</v>
      </c>
      <c r="BH54" s="456">
        <f>('C1-Incomes'!KP57-'C1-Incomes'!KQ57)/('C1-Incomes'!$U57-'C1-Incomes'!$V57)*100</f>
        <v>3.6908465121862584</v>
      </c>
      <c r="BI54" s="456">
        <f>('C1-Incomes'!KQ57-'C1-Incomes'!KR57)/('C1-Incomes'!$V57-'C1-Incomes'!$W57)*100</f>
        <v>2.5217799038345636</v>
      </c>
      <c r="BJ54" s="456">
        <f>('C1-Incomes'!KR57-'C1-Incomes'!KS57)/('C1-Incomes'!$W57-'C1-Incomes'!$X57)*100</f>
        <v>1.5263965369372765</v>
      </c>
      <c r="BK54" s="456">
        <f>'C1-Incomes'!KS57/'C1-Incomes'!$X57*100</f>
        <v>0.74504246021330045</v>
      </c>
      <c r="BL54" s="456"/>
      <c r="BM54" s="456">
        <f>'F-B5'!AC83/'F-B5'!$AE83*100</f>
        <v>0.1048777853119903</v>
      </c>
      <c r="BN54" s="456">
        <f>'F-B6'!V83/'F-B6'!$X83*100</f>
        <v>7.606241085185754E-2</v>
      </c>
      <c r="BO54" s="456">
        <f>('C1-Incomes'!LL57-'C1-Incomes'!LM57)/('C1-Incomes'!$S57-'C1-Incomes'!$T57)*100</f>
        <v>0.12677849945561204</v>
      </c>
      <c r="BP54" s="456">
        <f>('C1-Incomes'!LM57-'C1-Incomes'!LN57)/('C1-Incomes'!$T57-'C1-Incomes'!$U57)*100</f>
        <v>0.25651944383135178</v>
      </c>
      <c r="BQ54" s="456">
        <f>('C1-Incomes'!LN57-'C1-Incomes'!LO57)/('C1-Incomes'!$U57-'C1-Incomes'!$V57)*100</f>
        <v>0.56237116873721349</v>
      </c>
      <c r="BR54" s="456">
        <f>('C1-Incomes'!LO57-'C1-Incomes'!LP57)/('C1-Incomes'!$V57-'C1-Incomes'!$W57)*100</f>
        <v>0.74062706086676033</v>
      </c>
      <c r="BS54" s="456">
        <f>('C1-Incomes'!LP57-'C1-Incomes'!LQ57)/('C1-Incomes'!$W57-'C1-Incomes'!$X57)*100</f>
        <v>0.97079476279867427</v>
      </c>
      <c r="BT54" s="456">
        <f>'C1-Incomes'!LQ57/'C1-Incomes'!$X57*100</f>
        <v>0.84840214373329192</v>
      </c>
      <c r="BV54" s="456">
        <f>'F-B5'!AB83/'F-B5'!$AE83*100</f>
        <v>3.703013527989659</v>
      </c>
      <c r="BW54" s="456">
        <f>'F-B6'!U83/'F-B6'!$X83*100</f>
        <v>5.7330880544762097</v>
      </c>
      <c r="BX54" s="456">
        <f>('C1-Incomes'!KV57-'C1-Incomes'!KW57)/('C1-Incomes'!$S57-'C1-Incomes'!$T57)*100</f>
        <v>4.9764214136833251</v>
      </c>
      <c r="BY54" s="456">
        <f>('C1-Incomes'!KW57-'C1-Incomes'!KX57)/('C1-Incomes'!$T57-'C1-Incomes'!$U57)*100</f>
        <v>4.1873003426020867</v>
      </c>
      <c r="BZ54" s="456">
        <f>('C1-Incomes'!KX57-'C1-Incomes'!KY57)/('C1-Incomes'!$U57-'C1-Incomes'!$V57)*100</f>
        <v>3.2589618116476893</v>
      </c>
      <c r="CA54" s="456">
        <f>('C1-Incomes'!KY57-'C1-Incomes'!KZ57)/('C1-Incomes'!$V57-'C1-Incomes'!$W57)*100</f>
        <v>2.8134822099072547</v>
      </c>
      <c r="CB54" s="456">
        <f>('C1-Incomes'!KZ57-'C1-Incomes'!LA57)/('C1-Incomes'!$W57-'C1-Incomes'!$X57)*100</f>
        <v>2.8432408818025623</v>
      </c>
      <c r="CC54" s="456">
        <f>'C1-Incomes'!LA57/'C1-Incomes'!$X57*100</f>
        <v>2.6606217422363074</v>
      </c>
      <c r="CE54" s="519"/>
      <c r="CF54" s="519"/>
    </row>
    <row r="55" spans="1:84" s="452" customFormat="1" ht="12" x14ac:dyDescent="0.25">
      <c r="A55" s="239">
        <v>2010</v>
      </c>
      <c r="B55" s="456">
        <f t="shared" si="6"/>
        <v>12.34433419788075</v>
      </c>
      <c r="C55" s="456">
        <f t="shared" si="7"/>
        <v>24.593314351610001</v>
      </c>
      <c r="D55" s="456">
        <f t="shared" si="8"/>
        <v>28.49761893760018</v>
      </c>
      <c r="E55" s="456">
        <f t="shared" si="9"/>
        <v>30.829547194557939</v>
      </c>
      <c r="F55" s="456">
        <f t="shared" si="10"/>
        <v>32.867154553191135</v>
      </c>
      <c r="G55" s="456">
        <f t="shared" si="11"/>
        <v>33.651072468805964</v>
      </c>
      <c r="H55" s="456">
        <f t="shared" si="12"/>
        <v>37.679478076431266</v>
      </c>
      <c r="I55" s="456">
        <f t="shared" si="13"/>
        <v>38.329167576198316</v>
      </c>
      <c r="J55" s="456"/>
      <c r="K55" s="456">
        <f t="shared" si="14"/>
        <v>6.8343848402268419</v>
      </c>
      <c r="L55" s="456">
        <f t="shared" si="15"/>
        <v>16.808387316468576</v>
      </c>
      <c r="M55" s="456">
        <f t="shared" si="16"/>
        <v>21.31827712159976</v>
      </c>
      <c r="N55" s="456">
        <f t="shared" si="17"/>
        <v>25.217035983525669</v>
      </c>
      <c r="O55" s="456">
        <f t="shared" si="18"/>
        <v>29.385827862189352</v>
      </c>
      <c r="P55" s="456">
        <f t="shared" si="19"/>
        <v>31.282282587660063</v>
      </c>
      <c r="Q55" s="456">
        <f t="shared" si="20"/>
        <v>36.274681798633196</v>
      </c>
      <c r="R55" s="456">
        <f t="shared" si="21"/>
        <v>37.705668104114721</v>
      </c>
      <c r="S55" s="456"/>
      <c r="T55" s="456">
        <f>'F-B5'!W84/'F-B5'!$AE84*100</f>
        <v>0.57772057361155715</v>
      </c>
      <c r="U55" s="456">
        <f>'F-B6'!P84/'F-B6'!$X84*100</f>
        <v>4.7404943585587089</v>
      </c>
      <c r="V55" s="456">
        <f>('C1-Incomes'!JH58-'C1-Incomes'!JI58)/('C1-Incomes'!$S58-'C1-Incomes'!$T58)*100</f>
        <v>7.8983953224341139</v>
      </c>
      <c r="W55" s="456">
        <f>('C1-Incomes'!JI58-'C1-Incomes'!JJ58)/('C1-Incomes'!$T58-'C1-Incomes'!$U58)*100</f>
        <v>11.178757659343491</v>
      </c>
      <c r="X55" s="456">
        <f>('C1-Incomes'!JJ58-'C1-Incomes'!JK58)/('C1-Incomes'!$U58-'C1-Incomes'!$V58)*100</f>
        <v>14.952396795834613</v>
      </c>
      <c r="Y55" s="456">
        <f>('C1-Incomes'!JK58-'C1-Incomes'!JL58)/('C1-Incomes'!$V58-'C1-Incomes'!$W58)*100</f>
        <v>16.57038153708562</v>
      </c>
      <c r="Z55" s="456">
        <f>('C1-Incomes'!JL58-'C1-Incomes'!JM58)/('C1-Incomes'!$W58-'C1-Incomes'!$X58)*100</f>
        <v>19.877232009875247</v>
      </c>
      <c r="AA55" s="456">
        <f>'C1-Incomes'!JM58/'C1-Incomes'!$X58*100</f>
        <v>19.54790561940332</v>
      </c>
      <c r="AB55" s="458"/>
      <c r="AC55" s="456">
        <f>'F-B5'!X84/'F-B5'!$AE84*100</f>
        <v>0.2726229497613924</v>
      </c>
      <c r="AD55" s="456">
        <f>'F-B6'!Q84/'F-B6'!$X84*100</f>
        <v>1.4462708693962221</v>
      </c>
      <c r="AE55" s="456">
        <f>('C1-Incomes'!JP58-'C1-Incomes'!JQ58)/('C1-Incomes'!$S58-'C1-Incomes'!$T58)*100</f>
        <v>2.3339969565104433</v>
      </c>
      <c r="AF55" s="456">
        <f>('C1-Incomes'!JQ58-'C1-Incomes'!JR58)/('C1-Incomes'!$T58-'C1-Incomes'!$U58)*100</f>
        <v>2.993113965286974</v>
      </c>
      <c r="AG55" s="456">
        <f>('C1-Incomes'!JR58-'C1-Incomes'!JS58)/('C1-Incomes'!$U58-'C1-Incomes'!$V58)*100</f>
        <v>3.6164637167961837</v>
      </c>
      <c r="AH55" s="456">
        <f>('C1-Incomes'!JS58-'C1-Incomes'!JT58)/('C1-Incomes'!$V58-'C1-Incomes'!$W58)*100</f>
        <v>4.0401778868065188</v>
      </c>
      <c r="AI55" s="456">
        <f>('C1-Incomes'!JT58-'C1-Incomes'!JU58)/('C1-Incomes'!$W58-'C1-Incomes'!$X58)*100</f>
        <v>5.0781324640942556</v>
      </c>
      <c r="AJ55" s="456">
        <f>'C1-Incomes'!JU58/'C1-Incomes'!$X58*100</f>
        <v>5.1143302158508197</v>
      </c>
      <c r="AK55" s="458"/>
      <c r="AL55" s="456">
        <f>'F-B5'!Y84/'F-B5'!$AE84*100</f>
        <v>0.90558419515565147</v>
      </c>
      <c r="AM55" s="456">
        <f>'F-B6'!R84/'F-B6'!$X84*100</f>
        <v>1.8512585146381402</v>
      </c>
      <c r="AN55" s="456">
        <f>('C1-Incomes'!JX58-'C1-Incomes'!JY58)/('C1-Incomes'!$S58-'C1-Incomes'!$T58)*100</f>
        <v>2.319628721893654</v>
      </c>
      <c r="AO55" s="456">
        <f>('C1-Incomes'!JY58-'C1-Incomes'!JZ58)/('C1-Incomes'!$T58-'C1-Incomes'!$U58)*100</f>
        <v>2.6587484417888323</v>
      </c>
      <c r="AP55" s="456">
        <f>('C1-Incomes'!JZ58-'C1-Incomes'!KA58)/('C1-Incomes'!$U58-'C1-Incomes'!$V58)*100</f>
        <v>2.9047085284713248</v>
      </c>
      <c r="AQ55" s="456">
        <f>('C1-Incomes'!KA58-'C1-Incomes'!KB58)/('C1-Incomes'!$V58-'C1-Incomes'!$W58)*100</f>
        <v>2.9582393671402381</v>
      </c>
      <c r="AR55" s="456">
        <f>('C1-Incomes'!KB58-'C1-Incomes'!KC58)/('C1-Incomes'!$W58-'C1-Incomes'!$X58)*100</f>
        <v>3.3048124955957761</v>
      </c>
      <c r="AS55" s="456">
        <f>'C1-Incomes'!KC58/'C1-Incomes'!$X58*100</f>
        <v>4.8712132256722516</v>
      </c>
      <c r="AT55" s="458"/>
      <c r="AU55" s="456">
        <f>'F-B5'!Z84/'F-B5'!$AE84*100</f>
        <v>1.3033516985172144</v>
      </c>
      <c r="AV55" s="456">
        <f>'F-B6'!S84/'F-B6'!$X84*100</f>
        <v>2.9051690621437101</v>
      </c>
      <c r="AW55" s="456">
        <f>('C1-Incomes'!KF58-'C1-Incomes'!KG58)/('C1-Incomes'!$S58-'C1-Incomes'!$T58)*100</f>
        <v>3.65647099223282</v>
      </c>
      <c r="AX55" s="456">
        <f>('C1-Incomes'!KG58-'C1-Incomes'!KH58)/('C1-Incomes'!$T58-'C1-Incomes'!$U58)*100</f>
        <v>4.0373605233003138</v>
      </c>
      <c r="AY55" s="456">
        <f>('C1-Incomes'!KH58-'C1-Incomes'!KI58)/('C1-Incomes'!$U58-'C1-Incomes'!$V58)*100</f>
        <v>4.2687023063967269</v>
      </c>
      <c r="AZ55" s="456">
        <f>('C1-Incomes'!KI58-'C1-Incomes'!KJ58)/('C1-Incomes'!$V58-'C1-Incomes'!$W58)*100</f>
        <v>4.317677950087095</v>
      </c>
      <c r="BA55" s="456">
        <f>('C1-Incomes'!KJ58-'C1-Incomes'!KK58)/('C1-Incomes'!$W58-'C1-Incomes'!$X58)*100</f>
        <v>4.4716110198045325</v>
      </c>
      <c r="BB55" s="456">
        <f>'C1-Incomes'!KK58/'C1-Incomes'!$X58*100</f>
        <v>5.1658350538414943</v>
      </c>
      <c r="BD55" s="456">
        <f>'F-B5'!AA84/'F-B5'!$AE84*100</f>
        <v>5.509949357653908</v>
      </c>
      <c r="BE55" s="456">
        <f>'F-B6'!T84/'F-B6'!$X84*100</f>
        <v>7.7849270351414228</v>
      </c>
      <c r="BF55" s="456">
        <f>('C1-Incomes'!KN58-'C1-Incomes'!KO58)/('C1-Incomes'!$S58-'C1-Incomes'!$T58)*100</f>
        <v>7.1793418160004192</v>
      </c>
      <c r="BG55" s="456">
        <f>('C1-Incomes'!KO58-'C1-Incomes'!KP58)/('C1-Incomes'!$T58-'C1-Incomes'!$U58)*100</f>
        <v>5.6125112110322704</v>
      </c>
      <c r="BH55" s="456">
        <f>('C1-Incomes'!KP58-'C1-Incomes'!KQ58)/('C1-Incomes'!$U58-'C1-Incomes'!$V58)*100</f>
        <v>3.481326691001787</v>
      </c>
      <c r="BI55" s="456">
        <f>('C1-Incomes'!KQ58-'C1-Incomes'!KR58)/('C1-Incomes'!$V58-'C1-Incomes'!$W58)*100</f>
        <v>2.3687898811458958</v>
      </c>
      <c r="BJ55" s="456">
        <f>('C1-Incomes'!KR58-'C1-Incomes'!KS58)/('C1-Incomes'!$W58-'C1-Incomes'!$X58)*100</f>
        <v>1.4047962777980685</v>
      </c>
      <c r="BK55" s="456">
        <f>'C1-Incomes'!KS58/'C1-Incomes'!$X58*100</f>
        <v>0.62349947208359402</v>
      </c>
      <c r="BL55" s="456"/>
      <c r="BM55" s="456">
        <f>'F-B5'!AC84/'F-B5'!$AE84*100</f>
        <v>6.2007548929472148E-2</v>
      </c>
      <c r="BN55" s="456">
        <f>'F-B6'!V84/'F-B6'!$X84*100</f>
        <v>4.5715081587563898E-2</v>
      </c>
      <c r="BO55" s="456">
        <f>('C1-Incomes'!LL58-'C1-Incomes'!LM58)/('C1-Incomes'!$S58-'C1-Incomes'!$T58)*100</f>
        <v>6.9801241521655719E-2</v>
      </c>
      <c r="BP55" s="456">
        <f>('C1-Incomes'!LM58-'C1-Incomes'!LN58)/('C1-Incomes'!$T58-'C1-Incomes'!$U58)*100</f>
        <v>0.16121524964454195</v>
      </c>
      <c r="BQ55" s="456">
        <f>('C1-Incomes'!LN58-'C1-Incomes'!LO58)/('C1-Incomes'!$U58-'C1-Incomes'!$V58)*100</f>
        <v>0.42851290440139472</v>
      </c>
      <c r="BR55" s="456">
        <f>('C1-Incomes'!LO58-'C1-Incomes'!LP58)/('C1-Incomes'!$V58-'C1-Incomes'!$W58)*100</f>
        <v>0.617278709832492</v>
      </c>
      <c r="BS55" s="456">
        <f>('C1-Incomes'!LP58-'C1-Incomes'!LQ58)/('C1-Incomes'!$W58-'C1-Incomes'!$X58)*100</f>
        <v>0.8203093313186921</v>
      </c>
      <c r="BT55" s="456">
        <f>'C1-Incomes'!LQ58/'C1-Incomes'!$X58*100</f>
        <v>0.6398140239533987</v>
      </c>
      <c r="BV55" s="456">
        <f>'F-B5'!AB84/'F-B5'!$AE84*100</f>
        <v>3.7130978742515546</v>
      </c>
      <c r="BW55" s="456">
        <f>'F-B6'!U84/'F-B6'!$X84*100</f>
        <v>5.8194794301442334</v>
      </c>
      <c r="BX55" s="456">
        <f>('C1-Incomes'!KV58-'C1-Incomes'!KW58)/('C1-Incomes'!$S58-'C1-Incomes'!$T58)*100</f>
        <v>5.0399838870070708</v>
      </c>
      <c r="BY55" s="456">
        <f>('C1-Incomes'!KW58-'C1-Incomes'!KX58)/('C1-Incomes'!$T58-'C1-Incomes'!$U58)*100</f>
        <v>4.1878401441615134</v>
      </c>
      <c r="BZ55" s="456">
        <f>('C1-Incomes'!KX58-'C1-Incomes'!KY58)/('C1-Incomes'!$U58-'C1-Incomes'!$V58)*100</f>
        <v>3.2150436102891109</v>
      </c>
      <c r="CA55" s="456">
        <f>('C1-Incomes'!KY58-'C1-Incomes'!KZ58)/('C1-Incomes'!$V58-'C1-Incomes'!$W58)*100</f>
        <v>2.7785271367081035</v>
      </c>
      <c r="CB55" s="456">
        <f>('C1-Incomes'!KZ58-'C1-Incomes'!LA58)/('C1-Incomes'!$W58-'C1-Incomes'!$X58)*100</f>
        <v>2.7225844779446917</v>
      </c>
      <c r="CC55" s="456">
        <f>'C1-Incomes'!LA58/'C1-Incomes'!$X58*100</f>
        <v>2.3665699653934333</v>
      </c>
      <c r="CE55" s="519"/>
      <c r="CF55" s="519"/>
    </row>
    <row r="56" spans="1:84" s="452" customFormat="1" ht="12" x14ac:dyDescent="0.25">
      <c r="A56" s="239">
        <v>2011</v>
      </c>
      <c r="B56" s="456">
        <f t="shared" si="6"/>
        <v>12.019793041244569</v>
      </c>
      <c r="C56" s="456">
        <f t="shared" si="7"/>
        <v>24.396643623794894</v>
      </c>
      <c r="D56" s="456">
        <f t="shared" si="8"/>
        <v>28.745147976908068</v>
      </c>
      <c r="E56" s="456">
        <f t="shared" si="9"/>
        <v>31.599958906940383</v>
      </c>
      <c r="F56" s="456">
        <f t="shared" si="10"/>
        <v>34.671166078958429</v>
      </c>
      <c r="G56" s="456">
        <f t="shared" si="11"/>
        <v>35.332194888754003</v>
      </c>
      <c r="H56" s="456">
        <f t="shared" si="12"/>
        <v>41.02548024711129</v>
      </c>
      <c r="I56" s="456">
        <f t="shared" si="13"/>
        <v>42.409783247983995</v>
      </c>
      <c r="J56" s="456"/>
      <c r="K56" s="456">
        <f t="shared" si="14"/>
        <v>6.9518270521160277</v>
      </c>
      <c r="L56" s="456">
        <f t="shared" si="15"/>
        <v>17.649321309151773</v>
      </c>
      <c r="M56" s="456">
        <f t="shared" si="16"/>
        <v>22.556400903422183</v>
      </c>
      <c r="N56" s="456">
        <f t="shared" si="17"/>
        <v>26.756520578202075</v>
      </c>
      <c r="O56" s="456">
        <f t="shared" si="18"/>
        <v>31.492540165533242</v>
      </c>
      <c r="P56" s="456">
        <f t="shared" si="19"/>
        <v>33.180711988327175</v>
      </c>
      <c r="Q56" s="456">
        <f t="shared" si="20"/>
        <v>39.645883018957186</v>
      </c>
      <c r="R56" s="456">
        <f t="shared" si="21"/>
        <v>41.719369448266903</v>
      </c>
      <c r="S56" s="456"/>
      <c r="T56" s="456">
        <f>'F-B5'!W85/'F-B5'!$AE85*100</f>
        <v>0.66813754160841066</v>
      </c>
      <c r="U56" s="456">
        <f>'F-B6'!P85/'F-B6'!$X85*100</f>
        <v>5.4962953355808617</v>
      </c>
      <c r="V56" s="456">
        <f>('C1-Incomes'!JH59-'C1-Incomes'!JI59)/('C1-Incomes'!$S59-'C1-Incomes'!$T59)*100</f>
        <v>9.0906923716660515</v>
      </c>
      <c r="W56" s="456">
        <f>('C1-Incomes'!JI59-'C1-Incomes'!JJ59)/('C1-Incomes'!$T59-'C1-Incomes'!$U59)*100</f>
        <v>12.817812738779685</v>
      </c>
      <c r="X56" s="456">
        <f>('C1-Incomes'!JJ59-'C1-Incomes'!JK59)/('C1-Incomes'!$U59-'C1-Incomes'!$V59)*100</f>
        <v>17.343063693652198</v>
      </c>
      <c r="Y56" s="456">
        <f>('C1-Incomes'!JK59-'C1-Incomes'!JL59)/('C1-Incomes'!$V59-'C1-Incomes'!$W59)*100</f>
        <v>18.776385841972303</v>
      </c>
      <c r="Z56" s="456">
        <f>('C1-Incomes'!JL59-'C1-Incomes'!JM59)/('C1-Incomes'!$W59-'C1-Incomes'!$X59)*100</f>
        <v>23.053808179530655</v>
      </c>
      <c r="AA56" s="456">
        <f>'C1-Incomes'!JM59/'C1-Incomes'!$X59*100</f>
        <v>22.964607774198349</v>
      </c>
      <c r="AB56" s="458"/>
      <c r="AC56" s="456">
        <f>'F-B5'!X85/'F-B5'!$AE85*100</f>
        <v>0.31872506129004319</v>
      </c>
      <c r="AD56" s="456">
        <f>'F-B6'!Q85/'F-B6'!$X85*100</f>
        <v>1.5155265886814548</v>
      </c>
      <c r="AE56" s="456">
        <f>('C1-Incomes'!JP59-'C1-Incomes'!JQ59)/('C1-Incomes'!$S59-'C1-Incomes'!$T59)*100</f>
        <v>2.3744495972867545</v>
      </c>
      <c r="AF56" s="456">
        <f>('C1-Incomes'!JQ59-'C1-Incomes'!JR59)/('C1-Incomes'!$T59-'C1-Incomes'!$U59)*100</f>
        <v>3.0265208782095145</v>
      </c>
      <c r="AG56" s="456">
        <f>('C1-Incomes'!JR59-'C1-Incomes'!JS59)/('C1-Incomes'!$U59-'C1-Incomes'!$V59)*100</f>
        <v>3.7290619389908146</v>
      </c>
      <c r="AH56" s="456">
        <f>('C1-Incomes'!JS59-'C1-Incomes'!JT59)/('C1-Incomes'!$V59-'C1-Incomes'!$W59)*100</f>
        <v>4.2237500089270785</v>
      </c>
      <c r="AI56" s="456">
        <f>('C1-Incomes'!JT59-'C1-Incomes'!JU59)/('C1-Incomes'!$W59-'C1-Incomes'!$X59)*100</f>
        <v>5.6238356389565825</v>
      </c>
      <c r="AJ56" s="456">
        <f>'C1-Incomes'!JU59/'C1-Incomes'!$X59*100</f>
        <v>6.2263295236547878</v>
      </c>
      <c r="AK56" s="458"/>
      <c r="AL56" s="456">
        <f>'F-B5'!Y85/'F-B5'!$AE85*100</f>
        <v>0.90193776479625054</v>
      </c>
      <c r="AM56" s="456">
        <f>'F-B6'!R85/'F-B6'!$X85*100</f>
        <v>1.888774481695412</v>
      </c>
      <c r="AN56" s="456">
        <f>('C1-Incomes'!JX59-'C1-Incomes'!JY59)/('C1-Incomes'!$S59-'C1-Incomes'!$T59)*100</f>
        <v>2.4077075729562858</v>
      </c>
      <c r="AO56" s="456">
        <f>('C1-Incomes'!JY59-'C1-Incomes'!JZ59)/('C1-Incomes'!$T59-'C1-Incomes'!$U59)*100</f>
        <v>2.6582720483554692</v>
      </c>
      <c r="AP56" s="456">
        <f>('C1-Incomes'!JZ59-'C1-Incomes'!KA59)/('C1-Incomes'!$U59-'C1-Incomes'!$V59)*100</f>
        <v>2.7425386884337417</v>
      </c>
      <c r="AQ56" s="456">
        <f>('C1-Incomes'!KA59-'C1-Incomes'!KB59)/('C1-Incomes'!$V59-'C1-Incomes'!$W59)*100</f>
        <v>2.8174704930979866</v>
      </c>
      <c r="AR56" s="456">
        <f>('C1-Incomes'!KB59-'C1-Incomes'!KC59)/('C1-Incomes'!$W59-'C1-Incomes'!$X59)*100</f>
        <v>3.2683526906915046</v>
      </c>
      <c r="AS56" s="456">
        <f>'C1-Incomes'!KC59/'C1-Incomes'!$X59*100</f>
        <v>4.5905615314989436</v>
      </c>
      <c r="AT56" s="458"/>
      <c r="AU56" s="456">
        <f>'F-B5'!Z85/'F-B5'!$AE85*100</f>
        <v>1.2461979360135642</v>
      </c>
      <c r="AV56" s="456">
        <f>'F-B6'!S85/'F-B6'!$X85*100</f>
        <v>2.8223165585633483</v>
      </c>
      <c r="AW56" s="456">
        <f>('C1-Incomes'!KF59-'C1-Incomes'!KG59)/('C1-Incomes'!$S59-'C1-Incomes'!$T59)*100</f>
        <v>3.5659272635976644</v>
      </c>
      <c r="AX56" s="456">
        <f>('C1-Incomes'!KG59-'C1-Incomes'!KH59)/('C1-Incomes'!$T59-'C1-Incomes'!$U59)*100</f>
        <v>3.9238212919981024</v>
      </c>
      <c r="AY56" s="456">
        <f>('C1-Incomes'!KH59-'C1-Incomes'!KI59)/('C1-Incomes'!$U59-'C1-Incomes'!$V59)*100</f>
        <v>4.0848451227997131</v>
      </c>
      <c r="AZ56" s="456">
        <f>('C1-Incomes'!KI59-'C1-Incomes'!KJ59)/('C1-Incomes'!$V59-'C1-Incomes'!$W59)*100</f>
        <v>4.139160723978363</v>
      </c>
      <c r="BA56" s="456">
        <f>('C1-Incomes'!KJ59-'C1-Incomes'!KK59)/('C1-Incomes'!$W59-'C1-Incomes'!$X59)*100</f>
        <v>4.3559347343949426</v>
      </c>
      <c r="BB56" s="456">
        <f>'C1-Incomes'!KK59/'C1-Incomes'!$X59*100</f>
        <v>4.9548973912950993</v>
      </c>
      <c r="BD56" s="456">
        <f>'F-B5'!AA85/'F-B5'!$AE85*100</f>
        <v>5.0679659891285418</v>
      </c>
      <c r="BE56" s="456">
        <f>'F-B6'!T85/'F-B6'!$X85*100</f>
        <v>6.74732231464312</v>
      </c>
      <c r="BF56" s="456">
        <f>('C1-Incomes'!KN59-'C1-Incomes'!KO59)/('C1-Incomes'!$S59-'C1-Incomes'!$T59)*100</f>
        <v>6.188747073485886</v>
      </c>
      <c r="BG56" s="456">
        <f>('C1-Incomes'!KO59-'C1-Incomes'!KP59)/('C1-Incomes'!$T59-'C1-Incomes'!$U59)*100</f>
        <v>4.8434383287383085</v>
      </c>
      <c r="BH56" s="456">
        <f>('C1-Incomes'!KP59-'C1-Incomes'!KQ59)/('C1-Incomes'!$U59-'C1-Incomes'!$V59)*100</f>
        <v>3.1786259134251864</v>
      </c>
      <c r="BI56" s="456">
        <f>('C1-Incomes'!KQ59-'C1-Incomes'!KR59)/('C1-Incomes'!$V59-'C1-Incomes'!$W59)*100</f>
        <v>2.1514829004268288</v>
      </c>
      <c r="BJ56" s="456">
        <f>('C1-Incomes'!KR59-'C1-Incomes'!KS59)/('C1-Incomes'!$W59-'C1-Incomes'!$X59)*100</f>
        <v>1.3795972281541036</v>
      </c>
      <c r="BK56" s="456">
        <f>'C1-Incomes'!KS59/'C1-Incomes'!$X59*100</f>
        <v>0.69041379971709549</v>
      </c>
      <c r="BL56" s="456"/>
      <c r="BM56" s="456">
        <f>'F-B5'!AC85/'F-B5'!$AE85*100</f>
        <v>4.5865149040582344E-2</v>
      </c>
      <c r="BN56" s="456">
        <f>'F-B6'!V85/'F-B6'!$X85*100</f>
        <v>3.3010320346426689E-2</v>
      </c>
      <c r="BO56" s="456">
        <f>('C1-Incomes'!LL59-'C1-Incomes'!LM59)/('C1-Incomes'!$S59-'C1-Incomes'!$T59)*100</f>
        <v>5.0653676229171558E-2</v>
      </c>
      <c r="BP56" s="456">
        <f>('C1-Incomes'!LM59-'C1-Incomes'!LN59)/('C1-Incomes'!$T59-'C1-Incomes'!$U59)*100</f>
        <v>0.1136774203786472</v>
      </c>
      <c r="BQ56" s="456">
        <f>('C1-Incomes'!LN59-'C1-Incomes'!LO59)/('C1-Incomes'!$U59-'C1-Incomes'!$V59)*100</f>
        <v>0.30282104979514285</v>
      </c>
      <c r="BR56" s="456">
        <f>('C1-Incomes'!LO59-'C1-Incomes'!LP59)/('C1-Incomes'!$V59-'C1-Incomes'!$W59)*100</f>
        <v>0.42307508467217469</v>
      </c>
      <c r="BS56" s="456">
        <f>('C1-Incomes'!LP59-'C1-Incomes'!LQ59)/('C1-Incomes'!$W59-'C1-Incomes'!$X59)*100</f>
        <v>0.58589524106758117</v>
      </c>
      <c r="BT56" s="456">
        <f>'C1-Incomes'!LQ59/'C1-Incomes'!$X59*100</f>
        <v>0.49960595362396454</v>
      </c>
      <c r="BV56" s="456">
        <f>'F-B5'!AB85/'F-B5'!$AE85*100</f>
        <v>3.7709635993671768</v>
      </c>
      <c r="BW56" s="456">
        <f>'F-B6'!U85/'F-B6'!$X85*100</f>
        <v>5.8933980242842718</v>
      </c>
      <c r="BX56" s="456">
        <f>('C1-Incomes'!KV59-'C1-Incomes'!KW59)/('C1-Incomes'!$S59-'C1-Incomes'!$T59)*100</f>
        <v>5.0669704216862552</v>
      </c>
      <c r="BY56" s="456">
        <f>('C1-Incomes'!KW59-'C1-Incomes'!KX59)/('C1-Incomes'!$T59-'C1-Incomes'!$U59)*100</f>
        <v>4.2164162004806585</v>
      </c>
      <c r="BZ56" s="456">
        <f>('C1-Incomes'!KX59-'C1-Incomes'!KY59)/('C1-Incomes'!$U59-'C1-Incomes'!$V59)*100</f>
        <v>3.2902096718616316</v>
      </c>
      <c r="CA56" s="456">
        <f>('C1-Incomes'!KY59-'C1-Incomes'!KZ59)/('C1-Incomes'!$V59-'C1-Incomes'!$W59)*100</f>
        <v>2.8008698356792672</v>
      </c>
      <c r="CB56" s="456">
        <f>('C1-Incomes'!KZ59-'C1-Incomes'!LA59)/('C1-Incomes'!$W59-'C1-Incomes'!$X59)*100</f>
        <v>2.7580565343159185</v>
      </c>
      <c r="CC56" s="456">
        <f>'C1-Incomes'!LA59/'C1-Incomes'!$X59*100</f>
        <v>2.483367273995762</v>
      </c>
      <c r="CE56" s="519"/>
      <c r="CF56" s="519"/>
    </row>
    <row r="57" spans="1:84" s="452" customFormat="1" ht="12" x14ac:dyDescent="0.25">
      <c r="A57" s="239">
        <v>2012</v>
      </c>
      <c r="B57" s="456">
        <f t="shared" si="6"/>
        <v>11.959978626477984</v>
      </c>
      <c r="C57" s="456">
        <f t="shared" si="7"/>
        <v>23.90399425837218</v>
      </c>
      <c r="D57" s="456">
        <f t="shared" si="8"/>
        <v>28.241698069489367</v>
      </c>
      <c r="E57" s="456">
        <f t="shared" si="9"/>
        <v>31.041927240559318</v>
      </c>
      <c r="F57" s="456">
        <f t="shared" si="10"/>
        <v>34.068051156483044</v>
      </c>
      <c r="G57" s="456">
        <f t="shared" si="11"/>
        <v>35.343791028746864</v>
      </c>
      <c r="H57" s="456">
        <f t="shared" si="12"/>
        <v>40.096605646011334</v>
      </c>
      <c r="I57" s="456">
        <f t="shared" si="13"/>
        <v>40.504504945880015</v>
      </c>
      <c r="J57" s="456"/>
      <c r="K57" s="456">
        <f t="shared" si="14"/>
        <v>6.7302097681314281</v>
      </c>
      <c r="L57" s="456">
        <f t="shared" si="15"/>
        <v>17.176338498459074</v>
      </c>
      <c r="M57" s="456">
        <f t="shared" si="16"/>
        <v>22.092433749547158</v>
      </c>
      <c r="N57" s="456">
        <f t="shared" si="17"/>
        <v>26.2248366373849</v>
      </c>
      <c r="O57" s="456">
        <f t="shared" si="18"/>
        <v>30.974283186891086</v>
      </c>
      <c r="P57" s="456">
        <f t="shared" si="19"/>
        <v>33.25777924629763</v>
      </c>
      <c r="Q57" s="456">
        <f t="shared" si="20"/>
        <v>38.818528261749286</v>
      </c>
      <c r="R57" s="456">
        <f t="shared" si="21"/>
        <v>39.83593567130373</v>
      </c>
      <c r="S57" s="456"/>
      <c r="T57" s="456">
        <f>'F-B5'!W86/'F-B5'!$AE86*100</f>
        <v>0.6135902809894862</v>
      </c>
      <c r="U57" s="456">
        <f>'F-B6'!P86/'F-B6'!$X86*100</f>
        <v>5.1107509486433766</v>
      </c>
      <c r="V57" s="456">
        <f>('C1-Incomes'!JH60-'C1-Incomes'!JI60)/('C1-Incomes'!$S60-'C1-Incomes'!$T60)*100</f>
        <v>8.5280470026536683</v>
      </c>
      <c r="W57" s="456">
        <f>('C1-Incomes'!JI60-'C1-Incomes'!JJ60)/('C1-Incomes'!$T60-'C1-Incomes'!$U60)*100</f>
        <v>12.295519086217354</v>
      </c>
      <c r="X57" s="456">
        <f>('C1-Incomes'!JJ60-'C1-Incomes'!JK60)/('C1-Incomes'!$U60-'C1-Incomes'!$V60)*100</f>
        <v>16.976615644264374</v>
      </c>
      <c r="Y57" s="456">
        <f>('C1-Incomes'!JK60-'C1-Incomes'!JL60)/('C1-Incomes'!$V60-'C1-Incomes'!$W60)*100</f>
        <v>18.738793608208614</v>
      </c>
      <c r="Z57" s="456">
        <f>('C1-Incomes'!JL60-'C1-Incomes'!JM60)/('C1-Incomes'!$W60-'C1-Incomes'!$X60)*100</f>
        <v>22.33934211316269</v>
      </c>
      <c r="AA57" s="456">
        <f>'C1-Incomes'!JM60/'C1-Incomes'!$X60*100</f>
        <v>21.899349107200926</v>
      </c>
      <c r="AB57" s="458"/>
      <c r="AC57" s="456">
        <f>'F-B5'!X86/'F-B5'!$AE86*100</f>
        <v>0.34459553136807042</v>
      </c>
      <c r="AD57" s="456">
        <f>'F-B6'!Q86/'F-B6'!$X86*100</f>
        <v>1.5193307254210182</v>
      </c>
      <c r="AE57" s="456">
        <f>('C1-Incomes'!JP60-'C1-Incomes'!JQ60)/('C1-Incomes'!$S60-'C1-Incomes'!$T60)*100</f>
        <v>2.4098919396781535</v>
      </c>
      <c r="AF57" s="456">
        <f>('C1-Incomes'!JQ60-'C1-Incomes'!JR60)/('C1-Incomes'!$T60-'C1-Incomes'!$U60)*100</f>
        <v>3.0274318711134316</v>
      </c>
      <c r="AG57" s="456">
        <f>('C1-Incomes'!JR60-'C1-Incomes'!JS60)/('C1-Incomes'!$U60-'C1-Incomes'!$V60)*100</f>
        <v>3.8251657979406257</v>
      </c>
      <c r="AH57" s="456">
        <f>('C1-Incomes'!JS60-'C1-Incomes'!JT60)/('C1-Incomes'!$V60-'C1-Incomes'!$W60)*100</f>
        <v>4.3102023146401507</v>
      </c>
      <c r="AI57" s="456">
        <f>('C1-Incomes'!JT60-'C1-Incomes'!JU60)/('C1-Incomes'!$W60-'C1-Incomes'!$X60)*100</f>
        <v>5.3402563537793188</v>
      </c>
      <c r="AJ57" s="456">
        <f>'C1-Incomes'!JU60/'C1-Incomes'!$X60*100</f>
        <v>5.3489024330777992</v>
      </c>
      <c r="AK57" s="458"/>
      <c r="AL57" s="456">
        <f>'F-B5'!Y86/'F-B5'!$AE86*100</f>
        <v>0.96192691554449483</v>
      </c>
      <c r="AM57" s="456">
        <f>'F-B6'!R86/'F-B6'!$X86*100</f>
        <v>2.1084687186392883</v>
      </c>
      <c r="AN57" s="456">
        <f>('C1-Incomes'!JX60-'C1-Incomes'!JY60)/('C1-Incomes'!$S60-'C1-Incomes'!$T60)*100</f>
        <v>2.763025068165192</v>
      </c>
      <c r="AO57" s="456">
        <f>('C1-Incomes'!JY60-'C1-Incomes'!JZ60)/('C1-Incomes'!$T60-'C1-Incomes'!$U60)*100</f>
        <v>2.9679928217511664</v>
      </c>
      <c r="AP57" s="456">
        <f>('C1-Incomes'!JZ60-'C1-Incomes'!KA60)/('C1-Incomes'!$U60-'C1-Incomes'!$V60)*100</f>
        <v>2.8715054511478919</v>
      </c>
      <c r="AQ57" s="456">
        <f>('C1-Incomes'!KA60-'C1-Incomes'!KB60)/('C1-Incomes'!$V60-'C1-Incomes'!$W60)*100</f>
        <v>3.0777286468679712</v>
      </c>
      <c r="AR57" s="456">
        <f>('C1-Incomes'!KB60-'C1-Incomes'!KC60)/('C1-Incomes'!$W60-'C1-Incomes'!$X60)*100</f>
        <v>3.7627868250191336</v>
      </c>
      <c r="AS57" s="456">
        <f>'C1-Incomes'!KC60/'C1-Incomes'!$X60*100</f>
        <v>5.088582172080117</v>
      </c>
      <c r="AT57" s="458"/>
      <c r="AU57" s="456">
        <f>'F-B5'!Z86/'F-B5'!$AE86*100</f>
        <v>1.1483918000023363</v>
      </c>
      <c r="AV57" s="456">
        <f>'F-B6'!S86/'F-B6'!$X86*100</f>
        <v>2.7045044509765819</v>
      </c>
      <c r="AW57" s="456">
        <f>('C1-Incomes'!KF60-'C1-Incomes'!KG60)/('C1-Incomes'!$S60-'C1-Incomes'!$T60)*100</f>
        <v>3.4736618436254014</v>
      </c>
      <c r="AX57" s="456">
        <f>('C1-Incomes'!KG60-'C1-Incomes'!KH60)/('C1-Incomes'!$T60-'C1-Incomes'!$U60)*100</f>
        <v>3.7494531824266137</v>
      </c>
      <c r="AY57" s="456">
        <f>('C1-Incomes'!KH60-'C1-Incomes'!KI60)/('C1-Incomes'!$U60-'C1-Incomes'!$V60)*100</f>
        <v>3.7601170153890648</v>
      </c>
      <c r="AZ57" s="456">
        <f>('C1-Incomes'!KI60-'C1-Incomes'!KJ60)/('C1-Incomes'!$V60-'C1-Incomes'!$W60)*100</f>
        <v>3.884645437596475</v>
      </c>
      <c r="BA57" s="456">
        <f>('C1-Incomes'!KJ60-'C1-Incomes'!KK60)/('C1-Incomes'!$W60-'C1-Incomes'!$X60)*100</f>
        <v>4.0854179543949956</v>
      </c>
      <c r="BB57" s="456">
        <f>'C1-Incomes'!KK60/'C1-Incomes'!$X60*100</f>
        <v>4.5149224848315246</v>
      </c>
      <c r="BD57" s="456">
        <f>'F-B5'!AA86/'F-B5'!$AE86*100</f>
        <v>5.2297688583465574</v>
      </c>
      <c r="BE57" s="456">
        <f>'F-B6'!T86/'F-B6'!$X86*100</f>
        <v>6.7276557599131053</v>
      </c>
      <c r="BF57" s="456">
        <f>('C1-Incomes'!KN60-'C1-Incomes'!KO60)/('C1-Incomes'!$S60-'C1-Incomes'!$T60)*100</f>
        <v>6.1492643199422092</v>
      </c>
      <c r="BG57" s="456">
        <f>('C1-Incomes'!KO60-'C1-Incomes'!KP60)/('C1-Incomes'!$T60-'C1-Incomes'!$U60)*100</f>
        <v>4.8170906031744165</v>
      </c>
      <c r="BH57" s="456">
        <f>('C1-Incomes'!KP60-'C1-Incomes'!KQ60)/('C1-Incomes'!$U60-'C1-Incomes'!$V60)*100</f>
        <v>3.0937679695919522</v>
      </c>
      <c r="BI57" s="456">
        <f>('C1-Incomes'!KQ60-'C1-Incomes'!KR60)/('C1-Incomes'!$V60-'C1-Incomes'!$W60)*100</f>
        <v>2.0860117824492304</v>
      </c>
      <c r="BJ57" s="456">
        <f>('C1-Incomes'!KR60-'C1-Incomes'!KS60)/('C1-Incomes'!$W60-'C1-Incomes'!$X60)*100</f>
        <v>1.2780773842620476</v>
      </c>
      <c r="BK57" s="456">
        <f>'C1-Incomes'!KS60/'C1-Incomes'!$X60*100</f>
        <v>0.66856927457628734</v>
      </c>
      <c r="BL57" s="456"/>
      <c r="BM57" s="456">
        <f>'F-B5'!AC86/'F-B5'!$AE86*100</f>
        <v>5.88185384997474E-2</v>
      </c>
      <c r="BN57" s="456">
        <f>'F-B6'!V86/'F-B6'!$X86*100</f>
        <v>4.2511353317578257E-2</v>
      </c>
      <c r="BO57" s="456">
        <f>('C1-Incomes'!LL60-'C1-Incomes'!LM60)/('C1-Incomes'!$S60-'C1-Incomes'!$T60)*100</f>
        <v>6.3125075749348517E-2</v>
      </c>
      <c r="BP57" s="456">
        <f>('C1-Incomes'!LM60-'C1-Incomes'!LN60)/('C1-Incomes'!$T60-'C1-Incomes'!$U60)*100</f>
        <v>0.14185237086770755</v>
      </c>
      <c r="BQ57" s="456">
        <f>('C1-Incomes'!LN60-'C1-Incomes'!LO60)/('C1-Incomes'!$U60-'C1-Incomes'!$V60)*100</f>
        <v>0.36237295646612955</v>
      </c>
      <c r="BR57" s="456">
        <f>('C1-Incomes'!LO60-'C1-Incomes'!LP60)/('C1-Incomes'!$V60-'C1-Incomes'!$W60)*100</f>
        <v>0.51563828741851003</v>
      </c>
      <c r="BS57" s="456">
        <f>('C1-Incomes'!LP60-'C1-Incomes'!LQ60)/('C1-Incomes'!$W60-'C1-Incomes'!$X60)*100</f>
        <v>0.6460772090749215</v>
      </c>
      <c r="BT57" s="456">
        <f>'C1-Incomes'!LQ60/'C1-Incomes'!$X60*100</f>
        <v>0.50232915631410113</v>
      </c>
      <c r="BV57" s="456">
        <f>'F-B5'!AB86/'F-B5'!$AE86*100</f>
        <v>3.6028867017272934</v>
      </c>
      <c r="BW57" s="456">
        <f>'F-B6'!U86/'F-B6'!$X86*100</f>
        <v>5.6907723014612284</v>
      </c>
      <c r="BX57" s="456">
        <f>('C1-Incomes'!KV60-'C1-Incomes'!KW60)/('C1-Incomes'!$S60-'C1-Incomes'!$T60)*100</f>
        <v>4.8546828196753955</v>
      </c>
      <c r="BY57" s="456">
        <f>('C1-Incomes'!KW60-'C1-Incomes'!KX60)/('C1-Incomes'!$T60-'C1-Incomes'!$U60)*100</f>
        <v>4.0425873050086274</v>
      </c>
      <c r="BZ57" s="456">
        <f>('C1-Incomes'!KX60-'C1-Incomes'!KY60)/('C1-Incomes'!$U60-'C1-Incomes'!$V60)*100</f>
        <v>3.178506321683003</v>
      </c>
      <c r="CA57" s="456">
        <f>('C1-Incomes'!KY60-'C1-Incomes'!KZ60)/('C1-Incomes'!$V60-'C1-Incomes'!$W60)*100</f>
        <v>2.7307709515659111</v>
      </c>
      <c r="CB57" s="456">
        <f>('C1-Incomes'!KZ60-'C1-Incomes'!LA60)/('C1-Incomes'!$W60-'C1-Incomes'!$X60)*100</f>
        <v>2.6446478063182148</v>
      </c>
      <c r="CC57" s="456">
        <f>'C1-Incomes'!LA60/'C1-Incomes'!$X60*100</f>
        <v>2.481850317799259</v>
      </c>
      <c r="CE57" s="519"/>
      <c r="CF57" s="519"/>
    </row>
    <row r="58" spans="1:84" s="452" customFormat="1" ht="12" x14ac:dyDescent="0.25">
      <c r="A58" s="239">
        <v>2013</v>
      </c>
      <c r="B58" s="456">
        <f t="shared" si="6"/>
        <v>12.888173862292199</v>
      </c>
      <c r="C58" s="456">
        <f t="shared" si="7"/>
        <v>25.357340955911315</v>
      </c>
      <c r="D58" s="456">
        <f t="shared" si="8"/>
        <v>29.903342058870606</v>
      </c>
      <c r="E58" s="456">
        <f t="shared" si="9"/>
        <v>32.956671917419555</v>
      </c>
      <c r="F58" s="456">
        <f t="shared" si="10"/>
        <v>37.154658054236265</v>
      </c>
      <c r="G58" s="456">
        <f t="shared" si="11"/>
        <v>39.670969793759504</v>
      </c>
      <c r="H58" s="456">
        <f t="shared" si="12"/>
        <v>47.496495389460975</v>
      </c>
      <c r="I58" s="456">
        <f t="shared" si="13"/>
        <v>51.41656041494322</v>
      </c>
      <c r="J58" s="456"/>
      <c r="K58" s="456">
        <f t="shared" si="14"/>
        <v>7.017349139849185</v>
      </c>
      <c r="L58" s="456">
        <f t="shared" si="15"/>
        <v>17.807477169656408</v>
      </c>
      <c r="M58" s="456">
        <f t="shared" si="16"/>
        <v>23.004978279839595</v>
      </c>
      <c r="N58" s="456">
        <f t="shared" si="17"/>
        <v>27.5441589774208</v>
      </c>
      <c r="O58" s="456">
        <f t="shared" si="18"/>
        <v>33.622039379070173</v>
      </c>
      <c r="P58" s="456">
        <f t="shared" si="19"/>
        <v>37.328776139992726</v>
      </c>
      <c r="Q58" s="456">
        <f t="shared" si="20"/>
        <v>46.084123065398018</v>
      </c>
      <c r="R58" s="456">
        <f t="shared" si="21"/>
        <v>50.702797852104865</v>
      </c>
      <c r="S58" s="456"/>
      <c r="T58" s="456">
        <f>'F-B5'!W87/'F-B5'!$AE87*100</f>
        <v>0.69097432108889567</v>
      </c>
      <c r="U58" s="456">
        <f>'F-B6'!P87/'F-B6'!$X87*100</f>
        <v>5.5055556065179054</v>
      </c>
      <c r="V58" s="456">
        <f>('C1-Incomes'!JH61-'C1-Incomes'!JI61)/('C1-Incomes'!$S61-'C1-Incomes'!$T61)*100</f>
        <v>9.1179792939757522</v>
      </c>
      <c r="W58" s="456">
        <f>('C1-Incomes'!JI61-'C1-Incomes'!JJ61)/('C1-Incomes'!$T61-'C1-Incomes'!$U61)*100</f>
        <v>13.129089640267679</v>
      </c>
      <c r="X58" s="456">
        <f>('C1-Incomes'!JJ61-'C1-Incomes'!JK61)/('C1-Incomes'!$U61-'C1-Incomes'!$V61)*100</f>
        <v>18.838905727339977</v>
      </c>
      <c r="Y58" s="456">
        <f>('C1-Incomes'!JK61-'C1-Incomes'!JL61)/('C1-Incomes'!$V61-'C1-Incomes'!$W61)*100</f>
        <v>21.701635552023919</v>
      </c>
      <c r="Z58" s="456">
        <f>('C1-Incomes'!JL61-'C1-Incomes'!JM61)/('C1-Incomes'!$W61-'C1-Incomes'!$X61)*100</f>
        <v>27.219904110686009</v>
      </c>
      <c r="AA58" s="456">
        <f>'C1-Incomes'!JM61/'C1-Incomes'!$X61*100</f>
        <v>28.711103878659561</v>
      </c>
      <c r="AB58" s="458"/>
      <c r="AC58" s="456">
        <f>'F-B5'!X87/'F-B5'!$AE87*100</f>
        <v>0.37060947708124914</v>
      </c>
      <c r="AD58" s="456">
        <f>'F-B6'!Q87/'F-B6'!$X87*100</f>
        <v>1.5162709673753665</v>
      </c>
      <c r="AE58" s="456">
        <f>('C1-Incomes'!JP61-'C1-Incomes'!JQ61)/('C1-Incomes'!$S61-'C1-Incomes'!$T61)*100</f>
        <v>2.3924121851860067</v>
      </c>
      <c r="AF58" s="456">
        <f>('C1-Incomes'!JQ61-'C1-Incomes'!JR61)/('C1-Incomes'!$T61-'C1-Incomes'!$U61)*100</f>
        <v>3.1661003233302871</v>
      </c>
      <c r="AG58" s="456">
        <f>('C1-Incomes'!JR61-'C1-Incomes'!JS61)/('C1-Incomes'!$U61-'C1-Incomes'!$V61)*100</f>
        <v>4.1201401537945417</v>
      </c>
      <c r="AH58" s="456">
        <f>('C1-Incomes'!JS61-'C1-Incomes'!JT61)/('C1-Incomes'!$V61-'C1-Incomes'!$W61)*100</f>
        <v>4.9816376046250266</v>
      </c>
      <c r="AI58" s="456">
        <f>('C1-Incomes'!JT61-'C1-Incomes'!JU61)/('C1-Incomes'!$W61-'C1-Incomes'!$X61)*100</f>
        <v>6.7551796131954234</v>
      </c>
      <c r="AJ58" s="456">
        <f>'C1-Incomes'!JU61/'C1-Incomes'!$X61*100</f>
        <v>8.1047145281044752</v>
      </c>
      <c r="AK58" s="458"/>
      <c r="AL58" s="456">
        <f>'F-B5'!Y87/'F-B5'!$AE87*100</f>
        <v>1.0093294690847232</v>
      </c>
      <c r="AM58" s="456">
        <f>'F-B6'!R87/'F-B6'!$X87*100</f>
        <v>2.2244081312709807</v>
      </c>
      <c r="AN58" s="456">
        <f>('C1-Incomes'!JX61-'C1-Incomes'!JY61)/('C1-Incomes'!$S61-'C1-Incomes'!$T61)*100</f>
        <v>2.9481012990828668</v>
      </c>
      <c r="AO58" s="456">
        <f>('C1-Incomes'!JY61-'C1-Incomes'!JZ61)/('C1-Incomes'!$T61-'C1-Incomes'!$U61)*100</f>
        <v>3.122499760566015</v>
      </c>
      <c r="AP58" s="456">
        <f>('C1-Incomes'!JZ61-'C1-Incomes'!KA61)/('C1-Incomes'!$U61-'C1-Incomes'!$V61)*100</f>
        <v>3.0109784690491725</v>
      </c>
      <c r="AQ58" s="456">
        <f>('C1-Incomes'!KA61-'C1-Incomes'!KB61)/('C1-Incomes'!$V61-'C1-Incomes'!$W61)*100</f>
        <v>3.2202604770847492</v>
      </c>
      <c r="AR58" s="456">
        <f>('C1-Incomes'!KB61-'C1-Incomes'!KC61)/('C1-Incomes'!$W61-'C1-Incomes'!$X61)*100</f>
        <v>4.2218447529688747</v>
      </c>
      <c r="AS58" s="456">
        <f>'C1-Incomes'!KC61/'C1-Incomes'!$X61*100</f>
        <v>5.8293079177405769</v>
      </c>
      <c r="AT58" s="458"/>
      <c r="AU58" s="456">
        <f>'F-B5'!Z87/'F-B5'!$AE87*100</f>
        <v>1.1063113219776166</v>
      </c>
      <c r="AV58" s="456">
        <f>'F-B6'!S87/'F-B6'!$X87*100</f>
        <v>2.6318229083274995</v>
      </c>
      <c r="AW58" s="456">
        <f>('C1-Incomes'!KF61-'C1-Incomes'!KG61)/('C1-Incomes'!$S61-'C1-Incomes'!$T61)*100</f>
        <v>3.462835227827918</v>
      </c>
      <c r="AX58" s="456">
        <f>('C1-Incomes'!KG61-'C1-Incomes'!KH61)/('C1-Incomes'!$T61-'C1-Incomes'!$U61)*100</f>
        <v>3.7346750837538476</v>
      </c>
      <c r="AY58" s="456">
        <f>('C1-Incomes'!KH61-'C1-Incomes'!KI61)/('C1-Incomes'!$U61-'C1-Incomes'!$V61)*100</f>
        <v>3.8489841589779235</v>
      </c>
      <c r="AZ58" s="456">
        <f>('C1-Incomes'!KI61-'C1-Incomes'!KJ61)/('C1-Incomes'!$V61-'C1-Incomes'!$W61)*100</f>
        <v>4.0057935758877887</v>
      </c>
      <c r="BA58" s="456">
        <f>('C1-Incomes'!KJ61-'C1-Incomes'!KK61)/('C1-Incomes'!$W61-'C1-Incomes'!$X61)*100</f>
        <v>4.4266573788358095</v>
      </c>
      <c r="BB58" s="456">
        <f>'C1-Incomes'!KK61/'C1-Incomes'!$X61*100</f>
        <v>4.9678184972663884</v>
      </c>
      <c r="BD58" s="456">
        <f>'F-B5'!AA87/'F-B5'!$AE87*100</f>
        <v>5.8708247224430128</v>
      </c>
      <c r="BE58" s="456">
        <f>'F-B6'!T87/'F-B6'!$X87*100</f>
        <v>7.5498637862549085</v>
      </c>
      <c r="BF58" s="456">
        <f>('C1-Incomes'!KN61-'C1-Incomes'!KO61)/('C1-Incomes'!$S61-'C1-Incomes'!$T61)*100</f>
        <v>6.8983637790310119</v>
      </c>
      <c r="BG58" s="456">
        <f>('C1-Incomes'!KO61-'C1-Incomes'!KP61)/('C1-Incomes'!$T61-'C1-Incomes'!$U61)*100</f>
        <v>5.4125129399987548</v>
      </c>
      <c r="BH58" s="456">
        <f>('C1-Incomes'!KP61-'C1-Incomes'!KQ61)/('C1-Incomes'!$U61-'C1-Incomes'!$V61)*100</f>
        <v>3.5326186751660891</v>
      </c>
      <c r="BI58" s="456">
        <f>('C1-Incomes'!KQ61-'C1-Incomes'!KR61)/('C1-Incomes'!$V61-'C1-Incomes'!$W61)*100</f>
        <v>2.3421936537667807</v>
      </c>
      <c r="BJ58" s="456">
        <f>('C1-Incomes'!KR61-'C1-Incomes'!KS61)/('C1-Incomes'!$W61-'C1-Incomes'!$X61)*100</f>
        <v>1.4123723240629544</v>
      </c>
      <c r="BK58" s="456">
        <f>'C1-Incomes'!KS61/'C1-Incomes'!$X61*100</f>
        <v>0.7137625628383526</v>
      </c>
      <c r="BL58" s="456"/>
      <c r="BM58" s="456">
        <f>'F-B5'!AC87/'F-B5'!$AE87*100</f>
        <v>7.8339043800768032E-2</v>
      </c>
      <c r="BN58" s="456">
        <f>'F-B6'!V87/'F-B6'!$X87*100</f>
        <v>5.5372879665183873E-2</v>
      </c>
      <c r="BO58" s="456">
        <f>('C1-Incomes'!LL61-'C1-Incomes'!LM61)/('C1-Incomes'!$S61-'C1-Incomes'!$T61)*100</f>
        <v>8.2607744905671868E-2</v>
      </c>
      <c r="BP58" s="456">
        <f>('C1-Incomes'!LM61-'C1-Incomes'!LN61)/('C1-Incomes'!$T61-'C1-Incomes'!$U61)*100</f>
        <v>0.18730874365959171</v>
      </c>
      <c r="BQ58" s="456">
        <f>('C1-Incomes'!LN61-'C1-Incomes'!LO61)/('C1-Incomes'!$U61-'C1-Incomes'!$V61)*100</f>
        <v>0.49468350639536846</v>
      </c>
      <c r="BR58" s="456">
        <f>('C1-Incomes'!LO61-'C1-Incomes'!LP61)/('C1-Incomes'!$V61-'C1-Incomes'!$W61)*100</f>
        <v>0.72776932248447668</v>
      </c>
      <c r="BS58" s="456">
        <f>('C1-Incomes'!LP61-'C1-Incomes'!LQ61)/('C1-Incomes'!$W61-'C1-Incomes'!$X61)*100</f>
        <v>0.98684755840562388</v>
      </c>
      <c r="BT58" s="456">
        <f>'C1-Incomes'!LQ61/'C1-Incomes'!$X61*100</f>
        <v>0.83059300211363218</v>
      </c>
      <c r="BV58" s="456">
        <f>'F-B5'!AB87/'F-B5'!$AE87*100</f>
        <v>3.7617855068159325</v>
      </c>
      <c r="BW58" s="456">
        <f>'F-B6'!U87/'F-B6'!$X87*100</f>
        <v>5.8740466764994714</v>
      </c>
      <c r="BX58" s="456">
        <f>('C1-Incomes'!KV61-'C1-Incomes'!KW61)/('C1-Incomes'!$S61-'C1-Incomes'!$T61)*100</f>
        <v>5.0010425288613787</v>
      </c>
      <c r="BY58" s="456">
        <f>('C1-Incomes'!KW61-'C1-Incomes'!KX61)/('C1-Incomes'!$T61-'C1-Incomes'!$U61)*100</f>
        <v>4.2044854258433784</v>
      </c>
      <c r="BZ58" s="456">
        <f>('C1-Incomes'!KX61-'C1-Incomes'!KY61)/('C1-Incomes'!$U61-'C1-Incomes'!$V61)*100</f>
        <v>3.3083473635131906</v>
      </c>
      <c r="CA58" s="456">
        <f>('C1-Incomes'!KY61-'C1-Incomes'!KZ61)/('C1-Incomes'!$V61-'C1-Incomes'!$W61)*100</f>
        <v>2.6916796078867722</v>
      </c>
      <c r="CB58" s="456">
        <f>('C1-Incomes'!KZ61-'C1-Incomes'!LA61)/('C1-Incomes'!$W61-'C1-Incomes'!$X61)*100</f>
        <v>2.4736896513062776</v>
      </c>
      <c r="CC58" s="456">
        <f>'C1-Incomes'!LA61/'C1-Incomes'!$X61*100</f>
        <v>2.2592600282202357</v>
      </c>
      <c r="CE58" s="519"/>
      <c r="CF58" s="519"/>
    </row>
    <row r="59" spans="1:84" s="452" customFormat="1" ht="12" x14ac:dyDescent="0.25">
      <c r="A59" s="239">
        <v>2014</v>
      </c>
      <c r="B59" s="456">
        <f t="shared" si="6"/>
        <v>12.944722959375744</v>
      </c>
      <c r="C59" s="456">
        <f t="shared" si="7"/>
        <v>25.520640196564866</v>
      </c>
      <c r="D59" s="456">
        <f t="shared" si="8"/>
        <v>30.011815611486508</v>
      </c>
      <c r="E59" s="456">
        <f t="shared" si="9"/>
        <v>33.03283174933825</v>
      </c>
      <c r="F59" s="456">
        <f t="shared" si="10"/>
        <v>36.978262000819704</v>
      </c>
      <c r="G59" s="456">
        <f t="shared" si="11"/>
        <v>39.901334684213552</v>
      </c>
      <c r="H59" s="456">
        <f t="shared" si="12"/>
        <v>47.555560877458817</v>
      </c>
      <c r="I59" s="456">
        <f t="shared" si="13"/>
        <v>51.748679219998927</v>
      </c>
      <c r="J59" s="456"/>
      <c r="K59" s="456">
        <f t="shared" si="14"/>
        <v>7.0225100974845898</v>
      </c>
      <c r="L59" s="456">
        <f t="shared" si="15"/>
        <v>17.967265817841344</v>
      </c>
      <c r="M59" s="456">
        <f t="shared" si="16"/>
        <v>23.126410751355312</v>
      </c>
      <c r="N59" s="456">
        <f t="shared" si="17"/>
        <v>27.705677040109467</v>
      </c>
      <c r="O59" s="456">
        <f t="shared" si="18"/>
        <v>33.53367510051438</v>
      </c>
      <c r="P59" s="456">
        <f t="shared" si="19"/>
        <v>37.550787811648377</v>
      </c>
      <c r="Q59" s="456">
        <f t="shared" si="20"/>
        <v>46.136811478053872</v>
      </c>
      <c r="R59" s="456">
        <f t="shared" si="21"/>
        <v>51.006895601932371</v>
      </c>
      <c r="S59" s="456"/>
      <c r="T59" s="456">
        <f>'F-B5'!W88/'F-B5'!$AE88*100</f>
        <v>0.7268228687439261</v>
      </c>
      <c r="U59" s="456">
        <f>'F-B6'!P88/'F-B6'!$X88*100</f>
        <v>5.5512829399619266</v>
      </c>
      <c r="V59" s="456">
        <f>('C1-Incomes'!JH62-'C1-Incomes'!JI62)/('C1-Incomes'!$S62-'C1-Incomes'!$T62)*100</f>
        <v>9.136935677554618</v>
      </c>
      <c r="W59" s="456">
        <f>('C1-Incomes'!JI62-'C1-Incomes'!JJ62)/('C1-Incomes'!$T62-'C1-Incomes'!$U62)*100</f>
        <v>13.30540810637979</v>
      </c>
      <c r="X59" s="456">
        <f>('C1-Incomes'!JJ62-'C1-Incomes'!JK62)/('C1-Incomes'!$U62-'C1-Incomes'!$V62)*100</f>
        <v>19.086983422732061</v>
      </c>
      <c r="Y59" s="456">
        <f>('C1-Incomes'!JK62-'C1-Incomes'!JL62)/('C1-Incomes'!$V62-'C1-Incomes'!$W62)*100</f>
        <v>22.487423136534257</v>
      </c>
      <c r="Z59" s="456">
        <f>('C1-Incomes'!JL62-'C1-Incomes'!JM62)/('C1-Incomes'!$W62-'C1-Incomes'!$X62)*100</f>
        <v>28.261572264224366</v>
      </c>
      <c r="AA59" s="456">
        <f>'C1-Incomes'!JM62/'C1-Incomes'!$X62*100</f>
        <v>30.126789516545326</v>
      </c>
      <c r="AB59" s="458"/>
      <c r="AC59" s="456">
        <f>'F-B5'!X88/'F-B5'!$AE88*100</f>
        <v>0.34465910926900628</v>
      </c>
      <c r="AD59" s="456">
        <f>'F-B6'!Q88/'F-B6'!$X88*100</f>
        <v>1.4929245642402209</v>
      </c>
      <c r="AE59" s="456">
        <f>('C1-Incomes'!JP62-'C1-Incomes'!JQ62)/('C1-Incomes'!$S62-'C1-Incomes'!$T62)*100</f>
        <v>2.4252388803593208</v>
      </c>
      <c r="AF59" s="456">
        <f>('C1-Incomes'!JQ62-'C1-Incomes'!JR62)/('C1-Incomes'!$T62-'C1-Incomes'!$U62)*100</f>
        <v>3.1271078127762801</v>
      </c>
      <c r="AG59" s="456">
        <f>('C1-Incomes'!JR62-'C1-Incomes'!JS62)/('C1-Incomes'!$U62-'C1-Incomes'!$V62)*100</f>
        <v>3.8385441711794588</v>
      </c>
      <c r="AH59" s="456">
        <f>('C1-Incomes'!JS62-'C1-Incomes'!JT62)/('C1-Incomes'!$V62-'C1-Incomes'!$W62)*100</f>
        <v>4.5417118478961873</v>
      </c>
      <c r="AI59" s="456">
        <f>('C1-Incomes'!JT62-'C1-Incomes'!JU62)/('C1-Incomes'!$W62-'C1-Incomes'!$X62)*100</f>
        <v>6.1811618373030806</v>
      </c>
      <c r="AJ59" s="456">
        <f>'C1-Incomes'!JU62/'C1-Incomes'!$X62*100</f>
        <v>7.3854674165197727</v>
      </c>
      <c r="AK59" s="458"/>
      <c r="AL59" s="456">
        <f>'F-B5'!Y88/'F-B5'!$AE88*100</f>
        <v>0.99245218231898946</v>
      </c>
      <c r="AM59" s="456">
        <f>'F-B6'!R88/'F-B6'!$X88*100</f>
        <v>2.2437178312866597</v>
      </c>
      <c r="AN59" s="456">
        <f>('C1-Incomes'!JX62-'C1-Incomes'!JY62)/('C1-Incomes'!$S62-'C1-Incomes'!$T62)*100</f>
        <v>2.945042239306578</v>
      </c>
      <c r="AO59" s="456">
        <f>('C1-Incomes'!JY62-'C1-Incomes'!JZ62)/('C1-Incomes'!$T62-'C1-Incomes'!$U62)*100</f>
        <v>3.1409205765129995</v>
      </c>
      <c r="AP59" s="456">
        <f>('C1-Incomes'!JZ62-'C1-Incomes'!KA62)/('C1-Incomes'!$U62-'C1-Incomes'!$V62)*100</f>
        <v>3.0428130244874856</v>
      </c>
      <c r="AQ59" s="456">
        <f>('C1-Incomes'!KA62-'C1-Incomes'!KB62)/('C1-Incomes'!$V62-'C1-Incomes'!$W62)*100</f>
        <v>3.2186371493698482</v>
      </c>
      <c r="AR59" s="456">
        <f>('C1-Incomes'!KB62-'C1-Incomes'!KC62)/('C1-Incomes'!$W62-'C1-Incomes'!$X62)*100</f>
        <v>4.1323689702843298</v>
      </c>
      <c r="AS59" s="456">
        <f>'C1-Incomes'!KC62/'C1-Incomes'!$X62*100</f>
        <v>5.7851433474419576</v>
      </c>
      <c r="AT59" s="458"/>
      <c r="AU59" s="456">
        <f>'F-B5'!Z88/'F-B5'!$AE88*100</f>
        <v>1.0446647437155883</v>
      </c>
      <c r="AV59" s="456">
        <f>'F-B6'!S88/'F-B6'!$X88*100</f>
        <v>2.5339079401432643</v>
      </c>
      <c r="AW59" s="456">
        <f>('C1-Incomes'!KF62-'C1-Incomes'!KG62)/('C1-Incomes'!$S62-'C1-Incomes'!$T62)*100</f>
        <v>3.3627073907724814</v>
      </c>
      <c r="AX59" s="456">
        <f>('C1-Incomes'!KG62-'C1-Incomes'!KH62)/('C1-Incomes'!$T62-'C1-Incomes'!$U62)*100</f>
        <v>3.635838309520214</v>
      </c>
      <c r="AY59" s="456">
        <f>('C1-Incomes'!KH62-'C1-Incomes'!KI62)/('C1-Incomes'!$U62-'C1-Incomes'!$V62)*100</f>
        <v>3.7510770731287426</v>
      </c>
      <c r="AZ59" s="456">
        <f>('C1-Incomes'!KI62-'C1-Incomes'!KJ62)/('C1-Incomes'!$V62-'C1-Incomes'!$W62)*100</f>
        <v>3.8583642984629365</v>
      </c>
      <c r="BA59" s="456">
        <f>('C1-Incomes'!KJ62-'C1-Incomes'!KK62)/('C1-Incomes'!$W62-'C1-Incomes'!$X62)*100</f>
        <v>4.1606935949092207</v>
      </c>
      <c r="BB59" s="456">
        <f>'C1-Incomes'!KK62/'C1-Incomes'!$X62*100</f>
        <v>4.652741494418815</v>
      </c>
      <c r="BD59" s="456">
        <f>'F-B5'!AA88/'F-B5'!$AE88*100</f>
        <v>5.922212861891154</v>
      </c>
      <c r="BE59" s="456">
        <f>'F-B6'!T88/'F-B6'!$X88*100</f>
        <v>7.5533743787235181</v>
      </c>
      <c r="BF59" s="456">
        <f>('C1-Incomes'!KN62-'C1-Incomes'!KO62)/('C1-Incomes'!$S62-'C1-Incomes'!$T62)*100</f>
        <v>6.8854048601311959</v>
      </c>
      <c r="BG59" s="456">
        <f>('C1-Incomes'!KO62-'C1-Incomes'!KP62)/('C1-Incomes'!$T62-'C1-Incomes'!$U62)*100</f>
        <v>5.3271547092287905</v>
      </c>
      <c r="BH59" s="456">
        <f>('C1-Incomes'!KP62-'C1-Incomes'!KQ62)/('C1-Incomes'!$U62-'C1-Incomes'!$V62)*100</f>
        <v>3.4445869003053269</v>
      </c>
      <c r="BI59" s="456">
        <f>('C1-Incomes'!KQ62-'C1-Incomes'!KR62)/('C1-Incomes'!$V62-'C1-Incomes'!$W62)*100</f>
        <v>2.3505468725651784</v>
      </c>
      <c r="BJ59" s="456">
        <f>('C1-Incomes'!KR62-'C1-Incomes'!KS62)/('C1-Incomes'!$W62-'C1-Incomes'!$X62)*100</f>
        <v>1.4187493994049476</v>
      </c>
      <c r="BK59" s="456">
        <f>'C1-Incomes'!KS62/'C1-Incomes'!$X62*100</f>
        <v>0.74178361806655502</v>
      </c>
      <c r="BL59" s="456"/>
      <c r="BM59" s="456">
        <f>'F-B5'!AC88/'F-B5'!$AE88*100</f>
        <v>6.9044576562017554E-2</v>
      </c>
      <c r="BN59" s="456">
        <f>'F-B6'!V88/'F-B6'!$X88*100</f>
        <v>4.920252777476683E-2</v>
      </c>
      <c r="BO59" s="456">
        <f>('C1-Incomes'!LL62-'C1-Incomes'!LM62)/('C1-Incomes'!$S62-'C1-Incomes'!$T62)*100</f>
        <v>7.3707104018070874E-2</v>
      </c>
      <c r="BP59" s="456">
        <f>('C1-Incomes'!LM62-'C1-Incomes'!LN62)/('C1-Incomes'!$T62-'C1-Incomes'!$U62)*100</f>
        <v>0.16289337687724589</v>
      </c>
      <c r="BQ59" s="456">
        <f>('C1-Incomes'!LN62-'C1-Incomes'!LO62)/('C1-Incomes'!$U62-'C1-Incomes'!$V62)*100</f>
        <v>0.42459757610846294</v>
      </c>
      <c r="BR59" s="456">
        <f>('C1-Incomes'!LO62-'C1-Incomes'!LP62)/('C1-Incomes'!$V62-'C1-Incomes'!$W62)*100</f>
        <v>0.63251147485805004</v>
      </c>
      <c r="BS59" s="456">
        <f>('C1-Incomes'!LP62-'C1-Incomes'!LQ62)/('C1-Incomes'!$W62-'C1-Incomes'!$X62)*100</f>
        <v>0.83200923077146416</v>
      </c>
      <c r="BT59" s="456">
        <f>'C1-Incomes'!LQ62/'C1-Incomes'!$X62*100</f>
        <v>0.69647804710153727</v>
      </c>
      <c r="BV59" s="456">
        <f>'F-B5'!AB88/'F-B5'!$AE88*100</f>
        <v>3.8448666168750623</v>
      </c>
      <c r="BW59" s="456">
        <f>'F-B6'!U88/'F-B6'!$X88*100</f>
        <v>6.0962300144345072</v>
      </c>
      <c r="BX59" s="456">
        <f>('C1-Incomes'!KV62-'C1-Incomes'!KW62)/('C1-Incomes'!$S62-'C1-Incomes'!$T62)*100</f>
        <v>5.1827794593442471</v>
      </c>
      <c r="BY59" s="456">
        <f>('C1-Incomes'!KW62-'C1-Incomes'!KX62)/('C1-Incomes'!$T62-'C1-Incomes'!$U62)*100</f>
        <v>4.3335088580429355</v>
      </c>
      <c r="BZ59" s="456">
        <f>('C1-Incomes'!KX62-'C1-Incomes'!KY62)/('C1-Incomes'!$U62-'C1-Incomes'!$V62)*100</f>
        <v>3.3896598328781766</v>
      </c>
      <c r="CA59" s="456">
        <f>('C1-Incomes'!KY62-'C1-Incomes'!KZ62)/('C1-Incomes'!$V62-'C1-Incomes'!$W62)*100</f>
        <v>2.8121399045270987</v>
      </c>
      <c r="CB59" s="456">
        <f>('C1-Incomes'!KZ62-'C1-Incomes'!LA62)/('C1-Incomes'!$W62-'C1-Incomes'!$X62)*100</f>
        <v>2.569005580561408</v>
      </c>
      <c r="CC59" s="456">
        <f>'C1-Incomes'!LA62/'C1-Incomes'!$X62*100</f>
        <v>2.3602757799049647</v>
      </c>
      <c r="CE59" s="519"/>
      <c r="CF59" s="519"/>
    </row>
    <row r="60" spans="1:84" s="452" customFormat="1" ht="12" x14ac:dyDescent="0.25">
      <c r="A60" s="239">
        <v>2015</v>
      </c>
      <c r="B60" s="456">
        <f t="shared" si="6"/>
        <v>12.943922969532737</v>
      </c>
      <c r="C60" s="456">
        <f t="shared" si="7"/>
        <v>25.743895961439641</v>
      </c>
      <c r="D60" s="456">
        <f t="shared" si="8"/>
        <v>30.466289551779656</v>
      </c>
      <c r="E60" s="456">
        <f t="shared" si="9"/>
        <v>33.717339815541521</v>
      </c>
      <c r="F60" s="456">
        <f t="shared" si="10"/>
        <v>37.937550457089507</v>
      </c>
      <c r="G60" s="456">
        <f t="shared" si="11"/>
        <v>41.338764279644316</v>
      </c>
      <c r="H60" s="456">
        <f t="shared" si="12"/>
        <v>49.045472738588295</v>
      </c>
      <c r="I60" s="456">
        <f t="shared" si="13"/>
        <v>52.422222326393445</v>
      </c>
      <c r="J60" s="456"/>
      <c r="K60" s="456">
        <f t="shared" si="14"/>
        <v>7.0752533393759363</v>
      </c>
      <c r="L60" s="456">
        <f t="shared" si="15"/>
        <v>18.212070605814638</v>
      </c>
      <c r="M60" s="456">
        <f t="shared" si="16"/>
        <v>23.536398758269105</v>
      </c>
      <c r="N60" s="456">
        <f t="shared" si="17"/>
        <v>28.381087603515038</v>
      </c>
      <c r="O60" s="456">
        <f t="shared" si="18"/>
        <v>34.496909230327539</v>
      </c>
      <c r="P60" s="456">
        <f t="shared" si="19"/>
        <v>38.956848070646309</v>
      </c>
      <c r="Q60" s="456">
        <f t="shared" si="20"/>
        <v>47.602179013971131</v>
      </c>
      <c r="R60" s="456">
        <f t="shared" si="21"/>
        <v>51.62778009713611</v>
      </c>
      <c r="S60" s="456"/>
      <c r="T60" s="456">
        <f>'F-B5'!W89/'F-B5'!$AE89*100</f>
        <v>0.82101767647046797</v>
      </c>
      <c r="U60" s="456">
        <f>'F-B6'!P89/'F-B6'!$X89*100</f>
        <v>5.8537130043546037</v>
      </c>
      <c r="V60" s="456">
        <f>('C1-Incomes'!JH63-'C1-Incomes'!JI63)/('C1-Incomes'!$S63-'C1-Incomes'!$T63)*100</f>
        <v>9.7409991761677759</v>
      </c>
      <c r="W60" s="456">
        <f>('C1-Incomes'!JI63-'C1-Incomes'!JJ63)/('C1-Incomes'!$T63-'C1-Incomes'!$U63)*100</f>
        <v>14.069971115227972</v>
      </c>
      <c r="X60" s="456">
        <f>('C1-Incomes'!JJ63-'C1-Incomes'!JK63)/('C1-Incomes'!$U63-'C1-Incomes'!$V63)*100</f>
        <v>19.939699426858475</v>
      </c>
      <c r="Y60" s="456">
        <f>('C1-Incomes'!JK63-'C1-Incomes'!JL63)/('C1-Incomes'!$V63-'C1-Incomes'!$W63)*100</f>
        <v>23.623300573425798</v>
      </c>
      <c r="Z60" s="456">
        <f>('C1-Incomes'!JL63-'C1-Incomes'!JM63)/('C1-Incomes'!$W63-'C1-Incomes'!$X63)*100</f>
        <v>29.355287872390917</v>
      </c>
      <c r="AA60" s="456">
        <f>'C1-Incomes'!JM63/'C1-Incomes'!$X63*100</f>
        <v>30.458950511348664</v>
      </c>
      <c r="AB60" s="458"/>
      <c r="AC60" s="456">
        <f>'F-B5'!X89/'F-B5'!$AE89*100</f>
        <v>0.36589377504371845</v>
      </c>
      <c r="AD60" s="456">
        <f>'F-B6'!Q89/'F-B6'!$X89*100</f>
        <v>1.4978572508438899</v>
      </c>
      <c r="AE60" s="456">
        <f>('C1-Incomes'!JP63-'C1-Incomes'!JQ63)/('C1-Incomes'!$S63-'C1-Incomes'!$T63)*100</f>
        <v>2.4395984352729547</v>
      </c>
      <c r="AF60" s="456">
        <f>('C1-Incomes'!JQ63-'C1-Incomes'!JR63)/('C1-Incomes'!$T63-'C1-Incomes'!$U63)*100</f>
        <v>3.2315934971271645</v>
      </c>
      <c r="AG60" s="456">
        <f>('C1-Incomes'!JR63-'C1-Incomes'!JS63)/('C1-Incomes'!$U63-'C1-Incomes'!$V63)*100</f>
        <v>4.1167504731915674</v>
      </c>
      <c r="AH60" s="456">
        <f>('C1-Incomes'!JS63-'C1-Incomes'!JT63)/('C1-Incomes'!$V63-'C1-Incomes'!$W63)*100</f>
        <v>4.9470226124585261</v>
      </c>
      <c r="AI60" s="456">
        <f>('C1-Incomes'!JT63-'C1-Incomes'!JU63)/('C1-Incomes'!$W63-'C1-Incomes'!$X63)*100</f>
        <v>6.6892913083918106</v>
      </c>
      <c r="AJ60" s="456">
        <f>'C1-Incomes'!JU63/'C1-Incomes'!$X63*100</f>
        <v>7.7831495928161756</v>
      </c>
      <c r="AK60" s="458"/>
      <c r="AL60" s="456">
        <f>'F-B5'!Y89/'F-B5'!$AE89*100</f>
        <v>0.92874468224066287</v>
      </c>
      <c r="AM60" s="456">
        <f>'F-B6'!R89/'F-B6'!$X89*100</f>
        <v>2.1203879038232967</v>
      </c>
      <c r="AN60" s="456">
        <f>('C1-Incomes'!JX63-'C1-Incomes'!JY63)/('C1-Incomes'!$S63-'C1-Incomes'!$T63)*100</f>
        <v>2.6709480468430065</v>
      </c>
      <c r="AO60" s="456">
        <f>('C1-Incomes'!JY63-'C1-Incomes'!JZ63)/('C1-Incomes'!$T63-'C1-Incomes'!$U63)*100</f>
        <v>2.8870407658960895</v>
      </c>
      <c r="AP60" s="456">
        <f>('C1-Incomes'!JZ63-'C1-Incomes'!KA63)/('C1-Incomes'!$U63-'C1-Incomes'!$V63)*100</f>
        <v>2.8790256345225509</v>
      </c>
      <c r="AQ60" s="456">
        <f>('C1-Incomes'!KA63-'C1-Incomes'!KB63)/('C1-Incomes'!$V63-'C1-Incomes'!$W63)*100</f>
        <v>3.0165325075754357</v>
      </c>
      <c r="AR60" s="456">
        <f>('C1-Incomes'!KB63-'C1-Incomes'!KC63)/('C1-Incomes'!$W63-'C1-Incomes'!$X63)*100</f>
        <v>3.9042898105349222</v>
      </c>
      <c r="AS60" s="456">
        <f>'C1-Incomes'!KC63/'C1-Incomes'!$X63*100</f>
        <v>5.5760799315327967</v>
      </c>
      <c r="AT60" s="458"/>
      <c r="AU60" s="456">
        <f>'F-B5'!Z89/'F-B5'!$AE89*100</f>
        <v>0.9980329924673168</v>
      </c>
      <c r="AV60" s="456">
        <f>'F-B6'!S89/'F-B6'!$X89*100</f>
        <v>2.4594847350803684</v>
      </c>
      <c r="AW60" s="456">
        <f>('C1-Incomes'!KF63-'C1-Incomes'!KG63)/('C1-Incomes'!$S63-'C1-Incomes'!$T63)*100</f>
        <v>3.2369051971228262</v>
      </c>
      <c r="AX60" s="456">
        <f>('C1-Incomes'!KG63-'C1-Incomes'!KH63)/('C1-Incomes'!$T63-'C1-Incomes'!$U63)*100</f>
        <v>3.5289049818995153</v>
      </c>
      <c r="AY60" s="456">
        <f>('C1-Incomes'!KH63-'C1-Incomes'!KI63)/('C1-Incomes'!$U63-'C1-Incomes'!$V63)*100</f>
        <v>3.6420246451874756</v>
      </c>
      <c r="AZ60" s="456">
        <f>('C1-Incomes'!KI63-'C1-Incomes'!KJ63)/('C1-Incomes'!$V63-'C1-Incomes'!$W63)*100</f>
        <v>3.7757155600019727</v>
      </c>
      <c r="BA60" s="456">
        <f>('C1-Incomes'!KJ63-'C1-Incomes'!KK63)/('C1-Incomes'!$W63-'C1-Incomes'!$X63)*100</f>
        <v>4.0598183244954944</v>
      </c>
      <c r="BB60" s="456">
        <f>'C1-Incomes'!KK63/'C1-Incomes'!$X63*100</f>
        <v>4.5142942097629009</v>
      </c>
      <c r="BD60" s="456">
        <f>'F-B5'!AA89/'F-B5'!$AE89*100</f>
        <v>5.8686696301568002</v>
      </c>
      <c r="BE60" s="456">
        <f>'F-B6'!T89/'F-B6'!$X89*100</f>
        <v>7.5318253556250019</v>
      </c>
      <c r="BF60" s="456">
        <f>('C1-Incomes'!KN63-'C1-Incomes'!KO63)/('C1-Incomes'!$S63-'C1-Incomes'!$T63)*100</f>
        <v>6.9298907935105518</v>
      </c>
      <c r="BG60" s="456">
        <f>('C1-Incomes'!KO63-'C1-Incomes'!KP63)/('C1-Incomes'!$T63-'C1-Incomes'!$U63)*100</f>
        <v>5.3362522120264888</v>
      </c>
      <c r="BH60" s="456">
        <f>('C1-Incomes'!KP63-'C1-Incomes'!KQ63)/('C1-Incomes'!$U63-'C1-Incomes'!$V63)*100</f>
        <v>3.4406412267619668</v>
      </c>
      <c r="BI60" s="456">
        <f>('C1-Incomes'!KQ63-'C1-Incomes'!KR63)/('C1-Incomes'!$V63-'C1-Incomes'!$W63)*100</f>
        <v>2.3819162089980064</v>
      </c>
      <c r="BJ60" s="456">
        <f>('C1-Incomes'!KR63-'C1-Incomes'!KS63)/('C1-Incomes'!$W63-'C1-Incomes'!$X63)*100</f>
        <v>1.4432937246171647</v>
      </c>
      <c r="BK60" s="456">
        <f>'C1-Incomes'!KS63/'C1-Incomes'!$X63*100</f>
        <v>0.79444222925733454</v>
      </c>
      <c r="BL60" s="456"/>
      <c r="BM60" s="456">
        <f>'F-B5'!AC89/'F-B5'!$AE89*100</f>
        <v>7.0766503655393664E-2</v>
      </c>
      <c r="BN60" s="456">
        <f>'F-B6'!V89/'F-B6'!$X89*100</f>
        <v>5.0025316368062081E-2</v>
      </c>
      <c r="BO60" s="456">
        <f>('C1-Incomes'!LL63-'C1-Incomes'!LM63)/('C1-Incomes'!$S63-'C1-Incomes'!$T63)*100</f>
        <v>7.5301606090957734E-2</v>
      </c>
      <c r="BP60" s="456">
        <f>('C1-Incomes'!LM63-'C1-Incomes'!LN63)/('C1-Incomes'!$T63-'C1-Incomes'!$U63)*100</f>
        <v>0.16944823191589581</v>
      </c>
      <c r="BQ60" s="456">
        <f>('C1-Incomes'!LN63-'C1-Incomes'!LO63)/('C1-Incomes'!$U63-'C1-Incomes'!$V63)*100</f>
        <v>0.43825922909906639</v>
      </c>
      <c r="BR60" s="456">
        <f>('C1-Incomes'!LO63-'C1-Incomes'!LP63)/('C1-Incomes'!$V63-'C1-Incomes'!$W63)*100</f>
        <v>0.65953576951171977</v>
      </c>
      <c r="BS60" s="456">
        <f>('C1-Incomes'!LP63-'C1-Incomes'!LQ63)/('C1-Incomes'!$W63-'C1-Incomes'!$X63)*100</f>
        <v>0.85823887761827899</v>
      </c>
      <c r="BT60" s="456">
        <f>'C1-Incomes'!LQ63/'C1-Incomes'!$X63*100</f>
        <v>0.70885119128025864</v>
      </c>
      <c r="BV60" s="456">
        <f>'F-B5'!AB89/'F-B5'!$AE89*100</f>
        <v>3.8907977094983766</v>
      </c>
      <c r="BW60" s="456">
        <f>'F-B6'!U89/'F-B6'!$X89*100</f>
        <v>6.2306023953444187</v>
      </c>
      <c r="BX60" s="456">
        <f>('C1-Incomes'!KV63-'C1-Incomes'!KW63)/('C1-Incomes'!$S63-'C1-Incomes'!$T63)*100</f>
        <v>5.3726462967715864</v>
      </c>
      <c r="BY60" s="456">
        <f>('C1-Incomes'!KW63-'C1-Incomes'!KX63)/('C1-Incomes'!$T63-'C1-Incomes'!$U63)*100</f>
        <v>4.4941290114484014</v>
      </c>
      <c r="BZ60" s="456">
        <f>('C1-Incomes'!KX63-'C1-Incomes'!KY63)/('C1-Incomes'!$U63-'C1-Incomes'!$V63)*100</f>
        <v>3.4811498214684065</v>
      </c>
      <c r="CA60" s="456">
        <f>('C1-Incomes'!KY63-'C1-Incomes'!KZ63)/('C1-Incomes'!$V63-'C1-Incomes'!$W63)*100</f>
        <v>2.9347410476728566</v>
      </c>
      <c r="CB60" s="456">
        <f>('C1-Incomes'!KZ63-'C1-Incomes'!LA63)/('C1-Incomes'!$W63-'C1-Incomes'!$X63)*100</f>
        <v>2.7352528205397144</v>
      </c>
      <c r="CC60" s="456">
        <f>'C1-Incomes'!LA63/'C1-Incomes'!$X63*100</f>
        <v>2.586454660395312</v>
      </c>
      <c r="CE60" s="519"/>
      <c r="CF60" s="519"/>
    </row>
    <row r="61" spans="1:84" s="452" customFormat="1" ht="9" customHeight="1" x14ac:dyDescent="0.3">
      <c r="A61" s="548"/>
      <c r="B61" s="548"/>
      <c r="C61" s="548"/>
      <c r="D61" s="548"/>
      <c r="E61" s="548"/>
      <c r="F61" s="1251"/>
      <c r="G61" s="548"/>
      <c r="H61" s="548"/>
      <c r="I61" s="548"/>
      <c r="J61" s="548"/>
      <c r="K61" s="548"/>
      <c r="L61" s="548"/>
      <c r="M61" s="548"/>
      <c r="N61" s="548"/>
      <c r="O61" s="548"/>
      <c r="P61" s="548"/>
      <c r="Q61" s="548"/>
      <c r="R61" s="548"/>
      <c r="S61" s="548"/>
      <c r="T61" s="548"/>
      <c r="U61" s="548"/>
      <c r="V61" s="548"/>
      <c r="W61" s="548"/>
      <c r="X61" s="548"/>
      <c r="Y61" s="548"/>
      <c r="Z61" s="548"/>
      <c r="AA61" s="548"/>
      <c r="AB61" s="548"/>
      <c r="AC61" s="548"/>
      <c r="AD61" s="548"/>
      <c r="AE61" s="989"/>
      <c r="AF61" s="989"/>
      <c r="AG61" s="989"/>
      <c r="AH61" s="989"/>
      <c r="AI61" s="989"/>
      <c r="AJ61" s="989"/>
      <c r="AK61" s="548"/>
      <c r="AL61" s="548"/>
      <c r="AM61" s="548"/>
      <c r="AN61" s="548"/>
      <c r="AO61" s="548"/>
      <c r="AP61" s="548"/>
      <c r="AQ61" s="548"/>
      <c r="AR61" s="548"/>
      <c r="AS61" s="548"/>
      <c r="AT61" s="548"/>
      <c r="AU61" s="548"/>
      <c r="AV61" s="548"/>
      <c r="AW61" s="548"/>
      <c r="AX61" s="548"/>
      <c r="AY61" s="548"/>
      <c r="AZ61" s="548"/>
      <c r="BA61" s="548"/>
      <c r="BB61" s="548"/>
      <c r="BC61" s="548"/>
      <c r="BD61" s="548"/>
      <c r="BE61" s="548"/>
      <c r="BF61" s="548"/>
      <c r="BG61" s="548"/>
      <c r="BH61" s="548"/>
      <c r="BI61" s="548"/>
      <c r="BJ61" s="548"/>
      <c r="BK61" s="548"/>
      <c r="BL61" s="548"/>
      <c r="BM61" s="548"/>
      <c r="BN61" s="548"/>
      <c r="BO61" s="548"/>
      <c r="BP61" s="548"/>
      <c r="BQ61" s="548"/>
      <c r="BR61" s="548"/>
      <c r="BS61" s="548"/>
      <c r="BT61" s="548"/>
      <c r="BU61" s="548"/>
      <c r="BV61" s="548"/>
      <c r="BW61" s="548"/>
      <c r="BX61" s="548"/>
      <c r="BY61" s="548"/>
      <c r="BZ61" s="548"/>
      <c r="CA61" s="548"/>
      <c r="CB61" s="548"/>
      <c r="CC61" s="548"/>
    </row>
    <row r="62" spans="1:84" s="452" customFormat="1" x14ac:dyDescent="0.3">
      <c r="F62" s="519"/>
      <c r="AE62" s="284"/>
      <c r="AF62" s="284"/>
      <c r="AG62" s="284"/>
      <c r="AH62" s="284"/>
      <c r="AI62" s="284"/>
      <c r="AJ62" s="284"/>
    </row>
    <row r="63" spans="1:84" x14ac:dyDescent="0.3">
      <c r="A63" s="24" t="str">
        <f>'C8-Tax Dist'!A64</f>
        <v>Notes: See Table B1 for definitions of each tax and the online appendix for other details. In 1960, corporate income tax and property tax totals are distributed using 1962 distributions.</v>
      </c>
      <c r="F63" s="32"/>
      <c r="AC63" s="495"/>
      <c r="AD63" s="495"/>
    </row>
    <row r="64" spans="1:84" x14ac:dyDescent="0.3">
      <c r="A64" s="1319"/>
      <c r="B64" s="32"/>
      <c r="C64" s="32"/>
      <c r="F64" s="32"/>
      <c r="AC64" s="469"/>
      <c r="AD64" s="469"/>
      <c r="AE64" s="494"/>
      <c r="AF64" s="494"/>
      <c r="AG64" s="494"/>
      <c r="AH64" s="494"/>
      <c r="AI64" s="494"/>
      <c r="AJ64" s="494"/>
    </row>
    <row r="65" spans="1:36" x14ac:dyDescent="0.3">
      <c r="A65" s="1319"/>
      <c r="B65" s="32"/>
      <c r="C65" s="32"/>
      <c r="D65" s="34"/>
      <c r="F65" s="32"/>
      <c r="K65" s="516"/>
      <c r="L65" s="516"/>
      <c r="M65" s="516"/>
      <c r="N65" s="516"/>
      <c r="O65" s="516"/>
      <c r="P65" s="516"/>
      <c r="Q65" s="516"/>
      <c r="R65" s="516"/>
      <c r="X65" s="516"/>
      <c r="AA65" s="496"/>
      <c r="AE65" s="516"/>
      <c r="AF65" s="494"/>
      <c r="AG65" s="494"/>
      <c r="AH65" s="494"/>
      <c r="AI65" s="494"/>
      <c r="AJ65" s="494"/>
    </row>
    <row r="66" spans="1:36" x14ac:dyDescent="0.3">
      <c r="A66" s="1319"/>
      <c r="B66" s="32"/>
      <c r="C66" s="32"/>
      <c r="D66" s="34"/>
      <c r="F66" s="248"/>
      <c r="K66" s="516"/>
      <c r="L66" s="516"/>
      <c r="M66" s="516"/>
      <c r="N66" s="516"/>
      <c r="O66" s="516"/>
      <c r="P66" s="516"/>
      <c r="Q66" s="516"/>
      <c r="R66" s="516"/>
      <c r="AC66" s="469"/>
      <c r="AD66" s="469"/>
      <c r="AE66" s="284"/>
      <c r="AF66" s="284"/>
      <c r="AG66" s="284"/>
      <c r="AH66" s="284"/>
      <c r="AI66" s="284"/>
      <c r="AJ66" s="284"/>
    </row>
    <row r="67" spans="1:36" x14ac:dyDescent="0.3">
      <c r="B67" s="248"/>
      <c r="C67" s="248"/>
      <c r="D67" s="34"/>
      <c r="F67" s="248"/>
      <c r="K67" s="248"/>
      <c r="L67" s="248"/>
      <c r="O67" s="248"/>
      <c r="AC67" s="469"/>
      <c r="AD67" s="469"/>
      <c r="AE67" s="284"/>
      <c r="AF67" s="284"/>
      <c r="AG67" s="284"/>
      <c r="AH67" s="284"/>
      <c r="AI67" s="284"/>
      <c r="AJ67" s="284"/>
    </row>
    <row r="68" spans="1:36" x14ac:dyDescent="0.3">
      <c r="AC68" s="469"/>
      <c r="AD68" s="469"/>
      <c r="AE68" s="284"/>
      <c r="AF68" s="284"/>
      <c r="AG68" s="284"/>
      <c r="AH68" s="284"/>
      <c r="AI68" s="284"/>
      <c r="AJ68" s="284"/>
    </row>
    <row r="69" spans="1:36" x14ac:dyDescent="0.3">
      <c r="AC69" s="469"/>
      <c r="AD69" s="469"/>
      <c r="AE69" s="494"/>
      <c r="AF69" s="494"/>
      <c r="AG69" s="494"/>
      <c r="AH69" s="494"/>
      <c r="AI69" s="494"/>
      <c r="AJ69" s="494"/>
    </row>
    <row r="70" spans="1:36" x14ac:dyDescent="0.3">
      <c r="AC70" s="1222"/>
      <c r="AD70" s="1222"/>
      <c r="AE70" s="494"/>
      <c r="AF70" s="494"/>
      <c r="AG70" s="494"/>
      <c r="AH70" s="494"/>
      <c r="AI70" s="494"/>
      <c r="AJ70" s="494"/>
    </row>
    <row r="71" spans="1:36" x14ac:dyDescent="0.3">
      <c r="AC71" s="1222"/>
      <c r="AD71" s="1222"/>
      <c r="AE71" s="494"/>
      <c r="AF71" s="494"/>
      <c r="AG71" s="494"/>
      <c r="AH71" s="494"/>
      <c r="AI71" s="494"/>
      <c r="AJ71" s="494"/>
    </row>
    <row r="72" spans="1:36" x14ac:dyDescent="0.3">
      <c r="AC72" s="1222"/>
      <c r="AD72" s="1222"/>
    </row>
    <row r="77" spans="1:36" x14ac:dyDescent="0.3">
      <c r="AC77" s="469"/>
      <c r="AD77" s="469"/>
      <c r="AE77" s="494"/>
      <c r="AF77" s="494"/>
      <c r="AG77" s="494"/>
      <c r="AH77" s="494"/>
      <c r="AI77" s="494"/>
      <c r="AJ77" s="494"/>
    </row>
    <row r="79" spans="1:36" x14ac:dyDescent="0.3">
      <c r="AC79" s="1222"/>
      <c r="AD79" s="1222"/>
    </row>
    <row r="80" spans="1:36" x14ac:dyDescent="0.3">
      <c r="AC80" s="1222"/>
      <c r="AD80" s="1222"/>
    </row>
  </sheetData>
  <mergeCells count="9">
    <mergeCell ref="BD3:BK3"/>
    <mergeCell ref="BM3:BT3"/>
    <mergeCell ref="BV3:CC3"/>
    <mergeCell ref="B3:I3"/>
    <mergeCell ref="K3:R3"/>
    <mergeCell ref="T3:AA3"/>
    <mergeCell ref="AC3:AJ3"/>
    <mergeCell ref="AL3:AS3"/>
    <mergeCell ref="AU3:BB3"/>
  </mergeCells>
  <hyperlinks>
    <hyperlink ref="A2" location="Index!A1" display="Index"/>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DF120"/>
  <sheetViews>
    <sheetView zoomScale="85" zoomScaleNormal="85" workbookViewId="0">
      <pane ySplit="4" topLeftCell="A5" activePane="bottomLeft" state="frozen"/>
      <selection activeCell="AX1" sqref="AX1"/>
      <selection pane="bottomLeft" activeCell="D28" sqref="D28"/>
    </sheetView>
  </sheetViews>
  <sheetFormatPr defaultRowHeight="14.4" x14ac:dyDescent="0.3"/>
  <cols>
    <col min="1" max="1" width="11.109375" bestFit="1" customWidth="1"/>
    <col min="2" max="2" width="13" customWidth="1"/>
    <col min="3" max="3" width="11.109375" style="278" customWidth="1"/>
    <col min="4" max="4" width="21.21875" customWidth="1"/>
    <col min="5" max="5" width="9.5546875" style="502" customWidth="1"/>
    <col min="6" max="6" width="10.44140625" customWidth="1"/>
    <col min="7" max="8" width="11" customWidth="1"/>
    <col min="9" max="9" width="11.21875" style="655" customWidth="1"/>
    <col min="10" max="10" width="11" customWidth="1"/>
    <col min="11" max="11" width="11.88671875" customWidth="1"/>
    <col min="12" max="12" width="11.21875" style="539" customWidth="1"/>
    <col min="13" max="13" width="11.21875" style="879" customWidth="1"/>
    <col min="14" max="14" width="9.21875" style="1011" customWidth="1"/>
    <col min="15" max="15" width="11.5546875" style="539" customWidth="1"/>
    <col min="16" max="16" width="9.88671875" style="539" customWidth="1"/>
    <col min="17" max="18" width="10.88671875" style="655" customWidth="1"/>
    <col min="19" max="19" width="13.88671875" style="278" customWidth="1"/>
    <col min="20" max="20" width="10.109375" style="278" customWidth="1"/>
    <col min="21" max="21" width="6" style="278" customWidth="1"/>
    <col min="22" max="22" width="10.44140625" style="278" customWidth="1"/>
    <col min="23" max="23" width="8.77734375" style="278" customWidth="1"/>
    <col min="24" max="24" width="10.21875" style="172" customWidth="1"/>
    <col min="25" max="25" width="6.109375" style="278" customWidth="1"/>
    <col min="26" max="26" width="11.88671875" style="655" customWidth="1"/>
    <col min="27" max="27" width="16.21875" style="278" customWidth="1"/>
    <col min="28" max="28" width="12.77734375" style="414" customWidth="1"/>
    <col min="29" max="29" width="17.109375" style="414" customWidth="1"/>
    <col min="30" max="30" width="10.21875" customWidth="1"/>
    <col min="31" max="32" width="10.21875" style="502" customWidth="1"/>
    <col min="33" max="35" width="9.88671875" style="655" customWidth="1"/>
    <col min="36" max="36" width="10.21875" style="655" customWidth="1"/>
    <col min="37" max="38" width="9.88671875" style="655" customWidth="1"/>
    <col min="39" max="39" width="11" style="655" customWidth="1"/>
    <col min="40" max="40" width="13.109375" style="655" customWidth="1"/>
    <col min="41" max="41" width="10.77734375" style="655" customWidth="1"/>
    <col min="42" max="42" width="9.88671875" style="655" customWidth="1"/>
    <col min="43" max="43" width="9.21875" style="655" customWidth="1"/>
    <col min="44" max="44" width="10.21875" style="655" customWidth="1"/>
    <col min="45" max="45" width="10" customWidth="1"/>
    <col min="46" max="46" width="11.77734375" style="502" customWidth="1"/>
    <col min="47" max="47" width="10.77734375" style="502" customWidth="1"/>
    <col min="48" max="48" width="12.88671875" style="502" customWidth="1"/>
    <col min="49" max="49" width="7.77734375" style="502" customWidth="1"/>
    <col min="50" max="50" width="14.77734375" style="879" customWidth="1"/>
    <col min="51" max="51" width="10.21875" style="413" customWidth="1"/>
    <col min="52" max="52" width="10.21875" style="502" customWidth="1"/>
    <col min="53" max="53" width="16.44140625" style="492" customWidth="1"/>
    <col min="54" max="54" width="10.88671875" customWidth="1"/>
    <col min="55" max="55" width="17" style="879" customWidth="1"/>
    <col min="56" max="56" width="15" style="879" customWidth="1"/>
    <col min="57" max="57" width="11.77734375" style="879" customWidth="1"/>
    <col min="58" max="58" width="17.21875" style="879" customWidth="1"/>
    <col min="59" max="59" width="17.109375" style="879" customWidth="1"/>
    <col min="60" max="60" width="16.21875" style="879" customWidth="1"/>
    <col min="61" max="61" width="14" style="879" customWidth="1"/>
    <col min="62" max="62" width="11.77734375" style="879" customWidth="1"/>
    <col min="63" max="63" width="12.5546875" style="879" customWidth="1"/>
    <col min="64" max="64" width="11.21875" customWidth="1"/>
    <col min="65" max="65" width="11.21875" style="879" customWidth="1"/>
    <col min="66" max="66" width="12.5546875" style="879" customWidth="1"/>
    <col min="67" max="67" width="11.21875" style="492" customWidth="1"/>
    <col min="68" max="68" width="9.44140625" customWidth="1"/>
    <col min="69" max="69" width="9.44140625" style="502" customWidth="1"/>
    <col min="70" max="70" width="10.44140625" style="492" customWidth="1"/>
    <col min="71" max="71" width="10.44140625" style="655" customWidth="1"/>
    <col min="72" max="72" width="17.88671875" customWidth="1"/>
    <col min="73" max="73" width="15.109375" style="459" customWidth="1"/>
    <col min="74" max="74" width="16.21875" style="539" customWidth="1"/>
    <col min="75" max="75" width="15.21875" customWidth="1"/>
    <col min="76" max="76" width="9.77734375" style="571" customWidth="1"/>
    <col min="77" max="77" width="15.88671875" style="655" customWidth="1"/>
    <col min="78" max="78" width="15.21875" style="24" customWidth="1"/>
    <col min="79" max="79" width="9.77734375" style="502" customWidth="1"/>
    <col min="80" max="80" width="9.77734375" style="879" customWidth="1"/>
    <col min="81" max="81" width="11.5546875" style="414" customWidth="1"/>
    <col min="82" max="82" width="10.44140625" customWidth="1"/>
    <col min="83" max="83" width="11.5546875" style="539" customWidth="1"/>
    <col min="84" max="84" width="11.5546875" style="879" customWidth="1"/>
    <col min="85" max="85" width="12.109375" style="502" customWidth="1"/>
    <col min="86" max="86" width="10.88671875" style="414" customWidth="1"/>
    <col min="87" max="87" width="13.109375" style="414" customWidth="1"/>
    <col min="88" max="88" width="11" style="502" customWidth="1"/>
    <col min="89" max="89" width="9.109375" style="414"/>
    <col min="90" max="90" width="9.109375" style="502"/>
    <col min="91" max="91" width="11" customWidth="1"/>
    <col min="92" max="92" width="14.109375" style="492" customWidth="1"/>
    <col min="93" max="93" width="11.77734375" bestFit="1" customWidth="1"/>
    <col min="94" max="94" width="9.77734375" customWidth="1"/>
    <col min="95" max="95" width="9.77734375" style="502" customWidth="1"/>
    <col min="96" max="96" width="21" customWidth="1"/>
    <col min="97" max="97" width="10.21875" style="502" customWidth="1"/>
    <col min="98" max="98" width="9.109375" style="502"/>
    <col min="99" max="99" width="16.21875" style="879" customWidth="1"/>
    <col min="100" max="100" width="10" style="502" customWidth="1"/>
    <col min="101" max="101" width="11.109375" style="655" customWidth="1"/>
    <col min="102" max="102" width="10.77734375" style="655" customWidth="1"/>
    <col min="103" max="103" width="18.21875" style="655" customWidth="1"/>
    <col min="104" max="104" width="15.44140625" style="655" customWidth="1"/>
    <col min="105" max="105" width="10.5546875" style="655" customWidth="1"/>
    <col min="106" max="106" width="7.109375" style="655" customWidth="1"/>
    <col min="107" max="107" width="11.21875" customWidth="1"/>
    <col min="108" max="108" width="11" customWidth="1"/>
    <col min="109" max="109" width="15.109375" customWidth="1"/>
    <col min="110" max="110" width="14.109375" customWidth="1"/>
  </cols>
  <sheetData>
    <row r="1" spans="1:110" x14ac:dyDescent="0.3">
      <c r="A1" s="178" t="s">
        <v>626</v>
      </c>
      <c r="F1" s="539"/>
      <c r="G1" s="539"/>
      <c r="J1" s="539"/>
      <c r="S1" s="879"/>
      <c r="V1" s="8"/>
      <c r="W1" s="8"/>
      <c r="X1" s="8"/>
      <c r="Z1" s="8"/>
      <c r="AK1" s="24"/>
      <c r="AL1" s="34"/>
      <c r="AQ1" s="1011"/>
      <c r="AZ1" s="8"/>
      <c r="BB1" s="654"/>
      <c r="BD1" s="8"/>
      <c r="BF1" s="1011"/>
      <c r="BJ1" s="909"/>
      <c r="BK1" s="909"/>
      <c r="BL1" s="469"/>
      <c r="BM1" s="469"/>
      <c r="BN1" s="469"/>
      <c r="BO1" s="469"/>
      <c r="BP1" s="469"/>
      <c r="BQ1" s="469"/>
      <c r="BR1" s="469"/>
      <c r="BS1" s="469"/>
      <c r="BT1" s="469"/>
      <c r="BU1" s="469"/>
      <c r="BV1" s="469"/>
      <c r="BW1" s="469"/>
      <c r="BX1" s="523"/>
      <c r="BY1" s="469"/>
      <c r="BZ1" s="469"/>
      <c r="CA1" s="523"/>
      <c r="CB1" s="523"/>
      <c r="CC1" s="469"/>
      <c r="CD1" s="991"/>
      <c r="CE1" s="469"/>
      <c r="CF1" s="469"/>
      <c r="CG1" s="523"/>
      <c r="CJ1" s="8"/>
      <c r="CL1" s="8"/>
      <c r="CN1" s="8"/>
      <c r="CQ1" s="8"/>
      <c r="CT1" s="8"/>
      <c r="CV1" s="8"/>
      <c r="CX1" s="8"/>
      <c r="CZ1" s="8"/>
      <c r="DA1" s="8"/>
    </row>
    <row r="2" spans="1:110" s="414" customFormat="1" ht="15.75" customHeight="1" x14ac:dyDescent="0.3">
      <c r="A2" s="463" t="s">
        <v>504</v>
      </c>
      <c r="E2" s="502"/>
      <c r="G2" s="466"/>
      <c r="I2" s="655"/>
      <c r="J2" s="8"/>
      <c r="K2" s="539"/>
      <c r="L2" s="539"/>
      <c r="M2" s="879"/>
      <c r="N2" s="1011"/>
      <c r="O2" s="539"/>
      <c r="P2" s="539"/>
      <c r="Q2" s="655"/>
      <c r="R2" s="655"/>
      <c r="T2" s="8"/>
      <c r="V2" s="879"/>
      <c r="W2" s="8"/>
      <c r="Z2" s="8"/>
      <c r="AA2" s="879"/>
      <c r="AB2" s="879"/>
      <c r="AE2" s="502"/>
      <c r="AF2" s="502"/>
      <c r="AG2" s="655"/>
      <c r="AH2" s="655"/>
      <c r="AI2" s="655"/>
      <c r="AJ2" s="8"/>
      <c r="AK2" s="24"/>
      <c r="AL2" s="24"/>
      <c r="AM2" s="655"/>
      <c r="AN2" s="655"/>
      <c r="AO2" s="655"/>
      <c r="AP2" s="655"/>
      <c r="AQ2" s="1011"/>
      <c r="AR2" s="655"/>
      <c r="AT2" s="502"/>
      <c r="AU2" s="502"/>
      <c r="AV2" s="502"/>
      <c r="AW2" s="502"/>
      <c r="AX2" s="879"/>
      <c r="AZ2" s="502"/>
      <c r="BA2" s="502"/>
      <c r="BC2" s="879"/>
      <c r="BD2" s="8"/>
      <c r="BE2" s="879"/>
      <c r="BF2" s="8"/>
      <c r="BG2" s="879"/>
      <c r="BH2" s="879"/>
      <c r="BI2" s="879"/>
      <c r="BJ2" s="909"/>
      <c r="BK2" s="879"/>
      <c r="BM2" s="879"/>
      <c r="BN2" s="879"/>
      <c r="BO2" s="492"/>
      <c r="BQ2" s="502"/>
      <c r="BR2" s="492"/>
      <c r="BS2" s="655"/>
      <c r="BU2" s="459"/>
      <c r="BV2" s="539"/>
      <c r="BX2" s="571"/>
      <c r="BY2" s="655"/>
      <c r="BZ2" s="34"/>
      <c r="CA2" s="502"/>
      <c r="CB2" s="879"/>
      <c r="CD2" s="8"/>
      <c r="CE2" s="8"/>
      <c r="CF2" s="8"/>
      <c r="CG2" s="502"/>
      <c r="CI2" s="8"/>
      <c r="CJ2" s="502"/>
      <c r="CL2" s="8"/>
      <c r="CN2" s="1120"/>
      <c r="CP2" s="8"/>
      <c r="CQ2" s="502"/>
      <c r="CS2" s="540"/>
      <c r="CT2" s="502"/>
      <c r="CU2" s="879"/>
      <c r="CV2" s="8"/>
      <c r="CW2" s="655"/>
      <c r="CX2" s="655"/>
      <c r="CY2" s="655"/>
      <c r="CZ2" s="655"/>
      <c r="DA2" s="655"/>
      <c r="DB2" s="655"/>
    </row>
    <row r="3" spans="1:110" x14ac:dyDescent="0.3">
      <c r="A3" s="12"/>
      <c r="B3" s="467"/>
      <c r="C3" s="11"/>
      <c r="D3" s="467"/>
      <c r="E3" s="467" t="s">
        <v>1460</v>
      </c>
      <c r="F3" s="467"/>
      <c r="G3" s="467"/>
      <c r="H3" s="467"/>
      <c r="I3" s="467"/>
      <c r="J3" s="467"/>
      <c r="K3" s="467"/>
      <c r="L3" s="467"/>
      <c r="M3" s="467"/>
      <c r="N3" s="467"/>
      <c r="O3" s="467"/>
      <c r="P3" s="467" t="s">
        <v>1460</v>
      </c>
      <c r="Q3" s="467"/>
      <c r="R3" s="467" t="s">
        <v>1460</v>
      </c>
      <c r="S3" s="467"/>
      <c r="T3" s="467"/>
      <c r="U3" s="11"/>
      <c r="V3" s="11"/>
      <c r="W3" s="11"/>
      <c r="X3" s="467"/>
      <c r="Y3" s="11"/>
      <c r="Z3" s="467" t="s">
        <v>1460</v>
      </c>
      <c r="AA3" s="11"/>
      <c r="AB3" s="11"/>
      <c r="AC3" s="467"/>
      <c r="AD3" s="467" t="s">
        <v>1460</v>
      </c>
      <c r="AE3" s="467"/>
      <c r="AF3" s="467" t="s">
        <v>1460</v>
      </c>
      <c r="AG3" s="467"/>
      <c r="AH3" s="467"/>
      <c r="AI3" s="467"/>
      <c r="AJ3" s="467"/>
      <c r="AK3" s="467" t="s">
        <v>1460</v>
      </c>
      <c r="AL3" s="467"/>
      <c r="AM3" s="467"/>
      <c r="AN3" s="467"/>
      <c r="AO3" s="467"/>
      <c r="AP3" s="467"/>
      <c r="AQ3" s="467"/>
      <c r="AR3" s="467" t="s">
        <v>1460</v>
      </c>
      <c r="AS3" s="467"/>
      <c r="AT3" s="11"/>
      <c r="AU3" s="11"/>
      <c r="AV3" s="551"/>
      <c r="AW3" s="467" t="s">
        <v>1460</v>
      </c>
      <c r="AX3" s="551"/>
      <c r="AY3" s="467"/>
      <c r="AZ3" s="467" t="s">
        <v>1460</v>
      </c>
      <c r="BA3" s="467"/>
      <c r="BB3" s="467" t="s">
        <v>1460</v>
      </c>
      <c r="BC3" s="467"/>
      <c r="BD3" s="467"/>
      <c r="BE3" s="467" t="s">
        <v>1460</v>
      </c>
      <c r="BF3" s="467"/>
      <c r="BG3" s="467"/>
      <c r="BH3" s="467"/>
      <c r="BI3" s="467"/>
      <c r="BJ3" s="467" t="s">
        <v>1460</v>
      </c>
      <c r="BK3" s="467" t="s">
        <v>1460</v>
      </c>
      <c r="BL3" s="467"/>
      <c r="BM3" s="467"/>
      <c r="BN3" s="467"/>
      <c r="BO3" s="467" t="s">
        <v>1461</v>
      </c>
      <c r="BP3" s="551"/>
      <c r="BQ3" s="467" t="s">
        <v>1461</v>
      </c>
      <c r="BR3" s="551"/>
      <c r="BS3" s="551"/>
      <c r="BT3" s="467"/>
      <c r="BU3" s="467"/>
      <c r="BV3" s="467" t="s">
        <v>1461</v>
      </c>
      <c r="BW3" s="467"/>
      <c r="BX3" s="467" t="s">
        <v>1461</v>
      </c>
      <c r="BY3" s="551"/>
      <c r="BZ3" s="551"/>
      <c r="CA3" s="467" t="s">
        <v>1461</v>
      </c>
      <c r="CB3" s="467" t="s">
        <v>1461</v>
      </c>
      <c r="CC3" s="467"/>
      <c r="CD3" s="965"/>
      <c r="CE3" s="483"/>
      <c r="CF3" s="483"/>
      <c r="CG3" s="467" t="s">
        <v>518</v>
      </c>
      <c r="CH3" s="467"/>
      <c r="CI3" s="551"/>
      <c r="CJ3" s="467" t="s">
        <v>518</v>
      </c>
      <c r="CK3" s="467"/>
      <c r="CL3" s="467" t="s">
        <v>518</v>
      </c>
      <c r="CM3" s="467"/>
      <c r="CN3" s="551"/>
      <c r="CO3" s="467"/>
      <c r="CP3" s="467"/>
      <c r="CQ3" s="467" t="s">
        <v>518</v>
      </c>
      <c r="CR3" s="467"/>
      <c r="CS3" s="551"/>
      <c r="CT3" s="467" t="s">
        <v>518</v>
      </c>
      <c r="CU3" s="467"/>
      <c r="CV3" s="467" t="s">
        <v>518</v>
      </c>
      <c r="CW3" s="11"/>
      <c r="CX3" s="467" t="s">
        <v>518</v>
      </c>
      <c r="CY3" s="11"/>
      <c r="CZ3" s="467" t="s">
        <v>518</v>
      </c>
      <c r="DA3" s="467"/>
      <c r="DB3" s="645"/>
      <c r="DC3" s="11"/>
      <c r="DD3" s="11"/>
      <c r="DE3" s="11"/>
      <c r="DF3" s="11"/>
    </row>
    <row r="4" spans="1:110" ht="51.75" customHeight="1" x14ac:dyDescent="0.3">
      <c r="A4" s="412" t="s">
        <v>697</v>
      </c>
      <c r="B4" s="397" t="s">
        <v>381</v>
      </c>
      <c r="C4" s="397" t="s">
        <v>475</v>
      </c>
      <c r="D4" s="397" t="s">
        <v>454</v>
      </c>
      <c r="E4" s="397" t="s">
        <v>623</v>
      </c>
      <c r="F4" s="397" t="s">
        <v>237</v>
      </c>
      <c r="G4" s="397" t="s">
        <v>238</v>
      </c>
      <c r="H4" s="397" t="s">
        <v>242</v>
      </c>
      <c r="I4" s="669" t="s">
        <v>1060</v>
      </c>
      <c r="J4" s="398" t="s">
        <v>239</v>
      </c>
      <c r="K4" s="398" t="s">
        <v>680</v>
      </c>
      <c r="L4" s="402" t="s">
        <v>679</v>
      </c>
      <c r="M4" s="402" t="s">
        <v>1366</v>
      </c>
      <c r="N4" s="1023" t="s">
        <v>1618</v>
      </c>
      <c r="O4" s="565" t="s">
        <v>682</v>
      </c>
      <c r="P4" s="567" t="s">
        <v>681</v>
      </c>
      <c r="Q4" s="784" t="s">
        <v>1237</v>
      </c>
      <c r="R4" s="783" t="s">
        <v>1238</v>
      </c>
      <c r="S4" s="398" t="s">
        <v>1402</v>
      </c>
      <c r="T4" s="1457" t="s">
        <v>1375</v>
      </c>
      <c r="U4" s="1457"/>
      <c r="V4" s="1457" t="s">
        <v>244</v>
      </c>
      <c r="W4" s="1457"/>
      <c r="X4" s="1457" t="s">
        <v>1403</v>
      </c>
      <c r="Y4" s="1457"/>
      <c r="Z4" s="667" t="s">
        <v>1061</v>
      </c>
      <c r="AA4" s="398" t="s">
        <v>516</v>
      </c>
      <c r="AB4" s="415" t="s">
        <v>498</v>
      </c>
      <c r="AC4" s="415" t="s">
        <v>1396</v>
      </c>
      <c r="AD4" s="398" t="s">
        <v>583</v>
      </c>
      <c r="AE4" s="402" t="s">
        <v>600</v>
      </c>
      <c r="AF4" s="402" t="s">
        <v>601</v>
      </c>
      <c r="AG4" s="639" t="s">
        <v>1025</v>
      </c>
      <c r="AH4" s="639" t="s">
        <v>1026</v>
      </c>
      <c r="AI4" s="639" t="s">
        <v>1027</v>
      </c>
      <c r="AJ4" s="639" t="s">
        <v>1028</v>
      </c>
      <c r="AK4" s="639" t="s">
        <v>1024</v>
      </c>
      <c r="AL4" s="668" t="s">
        <v>1064</v>
      </c>
      <c r="AM4" s="668" t="s">
        <v>1065</v>
      </c>
      <c r="AN4" s="668" t="s">
        <v>1066</v>
      </c>
      <c r="AO4" s="668" t="s">
        <v>1067</v>
      </c>
      <c r="AP4" s="668" t="s">
        <v>1479</v>
      </c>
      <c r="AQ4" s="668" t="s">
        <v>1107</v>
      </c>
      <c r="AR4" s="668" t="s">
        <v>1068</v>
      </c>
      <c r="AS4" s="402" t="s">
        <v>650</v>
      </c>
      <c r="AT4" s="402" t="s">
        <v>649</v>
      </c>
      <c r="AU4" s="402" t="s">
        <v>651</v>
      </c>
      <c r="AV4" s="402" t="s">
        <v>653</v>
      </c>
      <c r="AW4" s="402" t="s">
        <v>1069</v>
      </c>
      <c r="AX4" s="493" t="s">
        <v>590</v>
      </c>
      <c r="AY4" s="410" t="s">
        <v>240</v>
      </c>
      <c r="AZ4" s="499" t="s">
        <v>617</v>
      </c>
      <c r="BA4" s="402" t="s">
        <v>1083</v>
      </c>
      <c r="BB4" s="402" t="s">
        <v>582</v>
      </c>
      <c r="BC4" s="902" t="s">
        <v>1975</v>
      </c>
      <c r="BD4" s="902" t="s">
        <v>1390</v>
      </c>
      <c r="BE4" s="972" t="s">
        <v>1480</v>
      </c>
      <c r="BF4" s="1024" t="s">
        <v>1392</v>
      </c>
      <c r="BG4" s="902" t="s">
        <v>1391</v>
      </c>
      <c r="BH4" s="902" t="s">
        <v>1389</v>
      </c>
      <c r="BI4" s="902" t="s">
        <v>1400</v>
      </c>
      <c r="BJ4" s="904" t="s">
        <v>1388</v>
      </c>
      <c r="BK4" s="902" t="s">
        <v>1394</v>
      </c>
      <c r="BL4" s="398" t="s">
        <v>580</v>
      </c>
      <c r="BM4" s="398" t="s">
        <v>579</v>
      </c>
      <c r="BN4" s="398" t="s">
        <v>579</v>
      </c>
      <c r="BO4" s="493" t="s">
        <v>584</v>
      </c>
      <c r="BP4" s="398" t="s">
        <v>241</v>
      </c>
      <c r="BQ4" s="493" t="s">
        <v>585</v>
      </c>
      <c r="BR4" s="493" t="s">
        <v>581</v>
      </c>
      <c r="BS4" s="583" t="s">
        <v>1109</v>
      </c>
      <c r="BT4" s="398" t="s">
        <v>1098</v>
      </c>
      <c r="BU4" s="461" t="s">
        <v>1097</v>
      </c>
      <c r="BV4" s="537" t="s">
        <v>999</v>
      </c>
      <c r="BW4" s="402" t="s">
        <v>1783</v>
      </c>
      <c r="BX4" s="570" t="s">
        <v>690</v>
      </c>
      <c r="BY4" s="583" t="s">
        <v>1110</v>
      </c>
      <c r="BZ4" s="402" t="s">
        <v>1000</v>
      </c>
      <c r="CA4" s="493" t="s">
        <v>1001</v>
      </c>
      <c r="CB4" s="974" t="s">
        <v>1503</v>
      </c>
      <c r="CC4" s="402" t="s">
        <v>696</v>
      </c>
      <c r="CD4" s="402" t="s">
        <v>1504</v>
      </c>
      <c r="CE4" s="402" t="s">
        <v>683</v>
      </c>
      <c r="CF4" s="914" t="s">
        <v>1467</v>
      </c>
      <c r="CG4" s="402" t="s">
        <v>1657</v>
      </c>
      <c r="CH4" s="402" t="s">
        <v>526</v>
      </c>
      <c r="CI4" s="402" t="s">
        <v>523</v>
      </c>
      <c r="CJ4" s="402" t="s">
        <v>586</v>
      </c>
      <c r="CK4" s="415" t="s">
        <v>525</v>
      </c>
      <c r="CL4" s="537" t="s">
        <v>583</v>
      </c>
      <c r="CM4" s="402" t="s">
        <v>651</v>
      </c>
      <c r="CN4" s="402" t="s">
        <v>653</v>
      </c>
      <c r="CO4" s="402" t="s">
        <v>527</v>
      </c>
      <c r="CP4" s="402" t="s">
        <v>559</v>
      </c>
      <c r="CQ4" s="402" t="s">
        <v>587</v>
      </c>
      <c r="CR4" s="402" t="s">
        <v>528</v>
      </c>
      <c r="CS4" s="402" t="s">
        <v>589</v>
      </c>
      <c r="CT4" s="402" t="s">
        <v>588</v>
      </c>
      <c r="CU4" s="914" t="str">
        <f>BF4</f>
        <v>Remaining indirect taxes (added)</v>
      </c>
      <c r="CV4" s="402" t="s">
        <v>1367</v>
      </c>
      <c r="CW4" s="402" t="s">
        <v>1464</v>
      </c>
      <c r="CX4" s="402" t="s">
        <v>1101</v>
      </c>
      <c r="CY4" s="402" t="s">
        <v>1175</v>
      </c>
      <c r="CZ4" s="914" t="s">
        <v>1465</v>
      </c>
      <c r="DA4" s="402" t="s">
        <v>1468</v>
      </c>
      <c r="DB4" s="668"/>
      <c r="DC4" s="402" t="s">
        <v>1035</v>
      </c>
      <c r="DD4" s="402" t="s">
        <v>691</v>
      </c>
      <c r="DE4" s="402" t="s">
        <v>1125</v>
      </c>
      <c r="DF4" s="402" t="s">
        <v>1126</v>
      </c>
    </row>
    <row r="5" spans="1:110" s="401" customFormat="1" ht="27" customHeight="1" x14ac:dyDescent="0.3">
      <c r="A5" s="411" t="s">
        <v>473</v>
      </c>
      <c r="B5" s="399" t="s">
        <v>453</v>
      </c>
      <c r="C5" s="399" t="s">
        <v>455</v>
      </c>
      <c r="D5" s="399" t="s">
        <v>474</v>
      </c>
      <c r="E5" s="400" t="s">
        <v>457</v>
      </c>
      <c r="F5" s="399" t="s">
        <v>453</v>
      </c>
      <c r="G5" s="399" t="s">
        <v>456</v>
      </c>
      <c r="H5" s="399" t="s">
        <v>453</v>
      </c>
      <c r="I5" s="671" t="s">
        <v>453</v>
      </c>
      <c r="J5" s="399" t="s">
        <v>453</v>
      </c>
      <c r="K5" s="399" t="s">
        <v>453</v>
      </c>
      <c r="L5" s="566" t="s">
        <v>453</v>
      </c>
      <c r="M5" s="858" t="s">
        <v>453</v>
      </c>
      <c r="N5" s="1025" t="s">
        <v>456</v>
      </c>
      <c r="O5" s="400" t="s">
        <v>457</v>
      </c>
      <c r="P5" s="403" t="s">
        <v>457</v>
      </c>
      <c r="Q5" s="400" t="s">
        <v>457</v>
      </c>
      <c r="R5" s="403" t="s">
        <v>457</v>
      </c>
      <c r="S5" s="400" t="s">
        <v>670</v>
      </c>
      <c r="T5" s="400" t="s">
        <v>457</v>
      </c>
      <c r="U5" s="400" t="s">
        <v>436</v>
      </c>
      <c r="V5" s="400" t="s">
        <v>457</v>
      </c>
      <c r="W5" s="400" t="s">
        <v>436</v>
      </c>
      <c r="X5" s="400" t="s">
        <v>457</v>
      </c>
      <c r="Y5" s="400" t="s">
        <v>436</v>
      </c>
      <c r="Z5" s="400" t="s">
        <v>457</v>
      </c>
      <c r="AA5" s="400" t="s">
        <v>529</v>
      </c>
      <c r="AB5" s="400" t="s">
        <v>497</v>
      </c>
      <c r="AC5" s="400" t="s">
        <v>457</v>
      </c>
      <c r="AD5" s="400" t="s">
        <v>457</v>
      </c>
      <c r="AE5" s="400" t="s">
        <v>457</v>
      </c>
      <c r="AF5" s="400" t="s">
        <v>457</v>
      </c>
      <c r="AG5" s="403" t="s">
        <v>1062</v>
      </c>
      <c r="AH5" s="403" t="s">
        <v>1062</v>
      </c>
      <c r="AI5" s="403" t="s">
        <v>1062</v>
      </c>
      <c r="AJ5" s="403" t="s">
        <v>1062</v>
      </c>
      <c r="AK5" s="403" t="s">
        <v>457</v>
      </c>
      <c r="AL5" s="403" t="s">
        <v>1063</v>
      </c>
      <c r="AM5" s="403" t="s">
        <v>1063</v>
      </c>
      <c r="AN5" s="403" t="s">
        <v>1063</v>
      </c>
      <c r="AO5" s="403" t="s">
        <v>1063</v>
      </c>
      <c r="AP5" s="403" t="s">
        <v>1063</v>
      </c>
      <c r="AQ5" s="403" t="s">
        <v>457</v>
      </c>
      <c r="AR5" s="403" t="s">
        <v>457</v>
      </c>
      <c r="AS5" s="399" t="s">
        <v>457</v>
      </c>
      <c r="AT5" s="400" t="s">
        <v>1374</v>
      </c>
      <c r="AU5" s="400" t="s">
        <v>515</v>
      </c>
      <c r="AV5" s="399" t="s">
        <v>652</v>
      </c>
      <c r="AW5" s="400" t="s">
        <v>457</v>
      </c>
      <c r="AX5" s="399" t="s">
        <v>592</v>
      </c>
      <c r="AY5" s="403" t="s">
        <v>494</v>
      </c>
      <c r="AZ5" s="400" t="s">
        <v>457</v>
      </c>
      <c r="BA5" s="403" t="s">
        <v>734</v>
      </c>
      <c r="BB5" s="400" t="s">
        <v>457</v>
      </c>
      <c r="BC5" s="400" t="s">
        <v>457</v>
      </c>
      <c r="BD5" s="400" t="s">
        <v>457</v>
      </c>
      <c r="BE5" s="400" t="s">
        <v>457</v>
      </c>
      <c r="BF5" s="901" t="s">
        <v>1398</v>
      </c>
      <c r="BG5" s="400" t="s">
        <v>1399</v>
      </c>
      <c r="BH5" s="400" t="s">
        <v>457</v>
      </c>
      <c r="BI5" s="400"/>
      <c r="BJ5" s="400" t="s">
        <v>457</v>
      </c>
      <c r="BK5" s="403" t="s">
        <v>457</v>
      </c>
      <c r="BL5" s="400" t="s">
        <v>458</v>
      </c>
      <c r="BM5" s="399" t="s">
        <v>578</v>
      </c>
      <c r="BN5" s="400" t="s">
        <v>1108</v>
      </c>
      <c r="BO5" s="400" t="s">
        <v>457</v>
      </c>
      <c r="BP5" s="400" t="s">
        <v>459</v>
      </c>
      <c r="BQ5" s="400" t="s">
        <v>457</v>
      </c>
      <c r="BR5" s="399" t="s">
        <v>578</v>
      </c>
      <c r="BS5" s="400" t="s">
        <v>998</v>
      </c>
      <c r="BT5" s="468" t="s">
        <v>517</v>
      </c>
      <c r="BU5" s="400" t="s">
        <v>457</v>
      </c>
      <c r="BV5" s="400" t="s">
        <v>457</v>
      </c>
      <c r="BW5" s="400" t="s">
        <v>1784</v>
      </c>
      <c r="BX5" s="400" t="s">
        <v>457</v>
      </c>
      <c r="BY5" s="468" t="s">
        <v>1785</v>
      </c>
      <c r="BZ5" s="470" t="s">
        <v>1368</v>
      </c>
      <c r="CA5" s="400" t="s">
        <v>457</v>
      </c>
      <c r="CB5" s="400"/>
      <c r="CC5" s="400" t="s">
        <v>524</v>
      </c>
      <c r="CD5" s="399" t="s">
        <v>453</v>
      </c>
      <c r="CE5" s="399" t="s">
        <v>453</v>
      </c>
      <c r="CF5" s="912" t="str">
        <f>'T-T3'!Q9</f>
        <v>NIPA 5.11        line 18</v>
      </c>
      <c r="CG5" s="400" t="s">
        <v>457</v>
      </c>
      <c r="CH5" s="470" t="s">
        <v>530</v>
      </c>
      <c r="CI5" s="399" t="s">
        <v>652</v>
      </c>
      <c r="CJ5" s="400" t="s">
        <v>457</v>
      </c>
      <c r="CK5" s="400" t="s">
        <v>457</v>
      </c>
      <c r="CL5" s="400" t="s">
        <v>457</v>
      </c>
      <c r="CM5" s="400" t="s">
        <v>515</v>
      </c>
      <c r="CN5" s="399" t="s">
        <v>652</v>
      </c>
      <c r="CO5" s="400" t="s">
        <v>457</v>
      </c>
      <c r="CP5" s="400" t="s">
        <v>514</v>
      </c>
      <c r="CQ5" s="400" t="s">
        <v>457</v>
      </c>
      <c r="CR5" s="400" t="s">
        <v>1853</v>
      </c>
      <c r="CS5" s="399" t="s">
        <v>577</v>
      </c>
      <c r="CT5" s="400" t="s">
        <v>457</v>
      </c>
      <c r="CU5" s="400" t="s">
        <v>1525</v>
      </c>
      <c r="CV5" s="403" t="s">
        <v>457</v>
      </c>
      <c r="CW5" s="400" t="s">
        <v>457</v>
      </c>
      <c r="CX5" s="400" t="s">
        <v>457</v>
      </c>
      <c r="CY5" s="400" t="s">
        <v>457</v>
      </c>
      <c r="CZ5" s="400" t="s">
        <v>457</v>
      </c>
      <c r="DA5" s="400" t="s">
        <v>457</v>
      </c>
      <c r="DB5" s="604"/>
      <c r="DC5" s="399" t="s">
        <v>453</v>
      </c>
      <c r="DD5" s="640" t="s">
        <v>453</v>
      </c>
      <c r="DE5" s="640" t="s">
        <v>457</v>
      </c>
      <c r="DF5" s="640" t="s">
        <v>457</v>
      </c>
    </row>
    <row r="6" spans="1:110" ht="12" customHeight="1" x14ac:dyDescent="0.3">
      <c r="A6" s="268">
        <v>1960</v>
      </c>
      <c r="B6" s="272">
        <f>'C1-Incomes'!AP8-'C1-Incomes'!AH8</f>
        <v>313</v>
      </c>
      <c r="C6" s="272">
        <f>SUM('T-T1'!AN9:AP9)</f>
        <v>2052</v>
      </c>
      <c r="D6" s="272">
        <f>'T-T1'!AN9</f>
        <v>1333.8</v>
      </c>
      <c r="E6" s="277">
        <f>'C1-Incomes'!AX8-'C1-Incomes'!AP8-D6</f>
        <v>0.20000000000004547</v>
      </c>
      <c r="F6" s="272">
        <f>TOTALS!I66/1000000</f>
        <v>368.13352517000004</v>
      </c>
      <c r="G6" s="277">
        <v>0</v>
      </c>
      <c r="H6" s="272"/>
      <c r="I6" s="272"/>
      <c r="J6" s="24"/>
      <c r="K6" s="272">
        <f>TOTALS!W66/1000000</f>
        <v>676.08088527999996</v>
      </c>
      <c r="L6" s="272"/>
      <c r="M6" s="272">
        <f>TOTALS!BT66/1000000</f>
        <v>-189.7685127</v>
      </c>
      <c r="N6" s="272">
        <f>(TOTALS!CB66-TOTALS!CC66)/1000000</f>
        <v>-210.34684999999999</v>
      </c>
      <c r="O6" s="272">
        <f>F6+G6-H6-I6-J6+K6-L6-M6+N6</f>
        <v>1023.63607315</v>
      </c>
      <c r="P6" s="277">
        <f>'C1-Incomes'!BF8-'C1-Incomes'!AX8-O6</f>
        <v>-3.1499922670263913E-6</v>
      </c>
      <c r="Q6" s="277">
        <f>'C22-Fiduciary'!T5</f>
        <v>1452.3959255743302</v>
      </c>
      <c r="R6" s="277">
        <f>'C1-Incomes'!BV8-'C1-Incomes'!BN8-Q6</f>
        <v>1.0744256669568131E-3</v>
      </c>
      <c r="S6" s="270">
        <f>'T-T1'!CR9</f>
        <v>18532</v>
      </c>
      <c r="T6" s="270">
        <f t="shared" ref="T6:T12" si="0">S6*U6</f>
        <v>982.19600000000003</v>
      </c>
      <c r="U6" s="331">
        <f>ROUND('C12-CorpOwn'!T5,3)</f>
        <v>5.2999999999999999E-2</v>
      </c>
      <c r="V6" s="270">
        <f t="shared" ref="V6:V11" si="1">S6-T6-X6</f>
        <v>796.8760000000002</v>
      </c>
      <c r="W6" s="279">
        <f>ROUND('C12-CorpOwn'!S5,3)</f>
        <v>4.2999999999999997E-2</v>
      </c>
      <c r="X6" s="272">
        <f>S6*Y6</f>
        <v>16752.928</v>
      </c>
      <c r="Y6" s="279">
        <f>1-ROUND('C12-CorpOwn'!S5,3)-ROUND('C12-CorpOwn'!T5,3)</f>
        <v>0.90399999999999991</v>
      </c>
      <c r="Z6" s="685">
        <f>'C1-Incomes'!CD8-'C1-Incomes'!BV8-S6</f>
        <v>0</v>
      </c>
      <c r="AA6" s="277">
        <f>'T-T1'!CP9</f>
        <v>22782</v>
      </c>
      <c r="AB6" s="277">
        <f>'T-T1'!AA9</f>
        <v>897</v>
      </c>
      <c r="AC6" s="277">
        <f>AA6-AB6</f>
        <v>21885</v>
      </c>
      <c r="AD6" s="277">
        <f>'C1-Incomes'!CL8-'C1-Incomes'!CD8-AC6</f>
        <v>0</v>
      </c>
      <c r="AE6" s="277">
        <f t="shared" ref="AE6:AE37" si="2">CO6</f>
        <v>8799</v>
      </c>
      <c r="AF6" s="277">
        <f>'C1-Incomes'!CT8-'C1-Incomes'!CL8-AE6</f>
        <v>0</v>
      </c>
      <c r="AG6" s="277">
        <f>'T-T1a'!C11</f>
        <v>-2862.9895061691082</v>
      </c>
      <c r="AH6" s="277">
        <f>'T-T1a'!D11</f>
        <v>-1431.4947530845541</v>
      </c>
      <c r="AI6" s="277">
        <f>'T-T1a'!E11</f>
        <v>-398.34394345541716</v>
      </c>
      <c r="AJ6" s="277">
        <f>'T-T1a'!F11</f>
        <v>4692.82820270908</v>
      </c>
      <c r="AK6" s="277">
        <f>'C1-Incomes'!DB8-'C1-Incomes'!CT8</f>
        <v>0</v>
      </c>
      <c r="AL6" s="277">
        <f>'T-T1'!E9</f>
        <v>5379.6597133183031</v>
      </c>
      <c r="AM6" s="277">
        <f>'T-T1'!L9</f>
        <v>6043.0971708415582</v>
      </c>
      <c r="AN6" s="277">
        <f>'T-T1'!Q9</f>
        <v>9416.9695955653533</v>
      </c>
      <c r="AO6" s="277">
        <f>'T-T1'!T9</f>
        <v>2990.0498548</v>
      </c>
      <c r="AP6" s="277">
        <f>'T-T1'!AH9</f>
        <v>82.665004839000062</v>
      </c>
      <c r="AQ6" s="277">
        <f>SUM(AL6:AP6)</f>
        <v>23912.441339364213</v>
      </c>
      <c r="AR6" s="277">
        <f>'C1-Incomes'!DJ8-'C1-Incomes'!DB8-AQ6</f>
        <v>6.6063576741726138E-4</v>
      </c>
      <c r="AS6" s="277">
        <f>AT6+AU6</f>
        <v>18432</v>
      </c>
      <c r="AT6" s="277">
        <f>'T-T1'!U9</f>
        <v>10993</v>
      </c>
      <c r="AU6" s="277">
        <f>'T-T1'!EE9</f>
        <v>7439</v>
      </c>
      <c r="AV6" s="277">
        <f>TOTALS!AX66/1000000</f>
        <v>3582.2729896999999</v>
      </c>
      <c r="AW6" s="277">
        <f>'C1-Incomes'!DR8-'C1-Incomes'!DJ8-AS6</f>
        <v>-2.670305548235774E-5</v>
      </c>
      <c r="AX6" s="277">
        <f>(TOTALS!Z66+TOTALS!AA66)/1000000</f>
        <v>9170.3682031000008</v>
      </c>
      <c r="AY6" s="277">
        <f>'T-T1'!I9</f>
        <v>9250</v>
      </c>
      <c r="AZ6" s="277">
        <f>'C1-Incomes'!DZ8-'C1-Incomes'!DR8-AY6</f>
        <v>2.0310498075559735E-4</v>
      </c>
      <c r="BA6" s="272">
        <f>'T-T1'!G9</f>
        <v>6395</v>
      </c>
      <c r="BB6" s="277">
        <f>'C1-Incomes'!EH8-'C1-Incomes'!DZ8-BA6</f>
        <v>5.2968971431255341E-9</v>
      </c>
      <c r="BC6" s="272">
        <f>'T-T1'!AD9+'T-T1'!AO9+'T-T1'!AR9+'T-T1'!AV9</f>
        <v>3678.3346937877113</v>
      </c>
      <c r="BD6" s="272">
        <f>ROUND('T-T1'!BJ9,0)</f>
        <v>11420</v>
      </c>
      <c r="BE6" s="277">
        <f>'C1-Incomes'!EP8-'C1-Incomes'!EH8-BC6-BD6</f>
        <v>3.0980506198829971E-4</v>
      </c>
      <c r="BF6" s="272">
        <f>ROUND('T-T1'!BA9,0)</f>
        <v>28309</v>
      </c>
      <c r="BG6" s="272">
        <f>ROUND('T-T1'!BC9+'T-T1'!BE9,0)</f>
        <v>596</v>
      </c>
      <c r="BH6" s="272">
        <f>ROUND('T-T1'!V9+'T-T1'!AE9+'T-T1'!AP9+'T-T1'!AS9+'T-T1'!AW9+'T-T1'!BG9,0)</f>
        <v>1651</v>
      </c>
      <c r="BI6" s="272">
        <f>ROUND('T-T1'!AA9,0)</f>
        <v>897</v>
      </c>
      <c r="BJ6" s="277">
        <f>'C1-Incomes'!EX8-'C1-Incomes'!EP8-SUM(BF6:BI6)</f>
        <v>0</v>
      </c>
      <c r="BK6" s="277">
        <f>'C1-Incomes'!EX8-'T-T1'!BN9</f>
        <v>-5.0960000022314489E-2</v>
      </c>
      <c r="BL6" s="272">
        <f>'T-T2'!J9+'T-T2'!K9</f>
        <v>12079</v>
      </c>
      <c r="BM6" s="272">
        <v>0</v>
      </c>
      <c r="BN6" s="272">
        <f>BL6-BM6</f>
        <v>12079</v>
      </c>
      <c r="BO6" s="277">
        <f>'C1-Incomes'!FF8-'C1-Incomes'!EX8-BL6</f>
        <v>0</v>
      </c>
      <c r="BP6" s="272">
        <f>'T-T2'!L9</f>
        <v>3079</v>
      </c>
      <c r="BQ6" s="272">
        <f>'C1-Incomes'!FN8-'C1-Incomes'!FF8-BP6</f>
        <v>0</v>
      </c>
      <c r="BR6" s="272">
        <v>0</v>
      </c>
      <c r="BS6" s="272">
        <f>'T-T2'!M9+'T-T2'!N9</f>
        <v>4405</v>
      </c>
      <c r="BT6" s="272">
        <f>SUM('T-T2'!O9:T9)</f>
        <v>3430</v>
      </c>
      <c r="BU6" s="272">
        <f>BS6+BT6</f>
        <v>7835</v>
      </c>
      <c r="BV6" s="272">
        <f>'C1-Incomes'!FV8-'C1-Incomes'!FN8-BU6</f>
        <v>0</v>
      </c>
      <c r="BW6" s="272">
        <v>0</v>
      </c>
      <c r="BX6" s="277">
        <f>'C1-Incomes'!GE8-'C1-Incomes'!FV8-BW6</f>
        <v>0</v>
      </c>
      <c r="BY6" s="272">
        <f>'T-T2'!AC9-'T-T2'!AF9-'T-T2'!AG9</f>
        <v>24428</v>
      </c>
      <c r="BZ6" s="277">
        <f>BY6-BW6-BS6-BP6-BL6-BT6</f>
        <v>1435</v>
      </c>
      <c r="CA6" s="277">
        <f>'C1-Incomes'!GM8-'C1-Incomes'!GE8-BZ6</f>
        <v>0</v>
      </c>
      <c r="CB6" s="277">
        <f>'C1-Incomes'!GM8-'T-T2'!B9</f>
        <v>0</v>
      </c>
      <c r="CC6" s="272">
        <f>'T-T1'!EB9</f>
        <v>41838</v>
      </c>
      <c r="CD6" s="272">
        <f>TOTALS!AV66/1000000</f>
        <v>39280.298616</v>
      </c>
      <c r="CE6" s="272">
        <f>TOTALS!BA66/1000000</f>
        <v>31.424238892999998</v>
      </c>
      <c r="CF6" s="272">
        <f>'T-T3'!Q10</f>
        <v>2242</v>
      </c>
      <c r="CG6" s="277">
        <f>'C1-Incomes'!GM8-'C1-Incomes'!GU8-CC6-CE6-CF6</f>
        <v>-3.7889301938776043E-4</v>
      </c>
      <c r="CH6" s="277">
        <f>'T-T1'!ED9</f>
        <v>2536</v>
      </c>
      <c r="CI6" s="272"/>
      <c r="CJ6" s="277">
        <f>'C1-Incomes'!GU8-'C1-Incomes'!HC8-CH6</f>
        <v>0.29999999998835847</v>
      </c>
      <c r="CK6" s="277">
        <f t="shared" ref="CK6:CK37" si="3">AC6</f>
        <v>21885</v>
      </c>
      <c r="CL6" s="277">
        <f>'C1-Incomes'!HC8-'C1-Incomes'!HK8-CK6</f>
        <v>0</v>
      </c>
      <c r="CM6" s="272">
        <f t="shared" ref="CM6:CM37" si="4">AU6</f>
        <v>7439</v>
      </c>
      <c r="CN6" s="272">
        <f>TOTALS!AX66/1000000</f>
        <v>3582.2729896999999</v>
      </c>
      <c r="CO6" s="272">
        <f t="shared" ref="CO6:CO37" si="5">CP6-CM6</f>
        <v>8799</v>
      </c>
      <c r="CP6" s="272">
        <f>'T-T1'!DE9</f>
        <v>16238</v>
      </c>
      <c r="CQ6" s="277">
        <f>'C1-Incomes'!HK8-'C1-Incomes'!HS8-CP6</f>
        <v>-1.0000017937272787E-5</v>
      </c>
      <c r="CR6" s="272">
        <f>'T-T3'!AG10-'T-T2'!AF9-'T-T2'!AG9</f>
        <v>16400</v>
      </c>
      <c r="CS6" s="272">
        <f>TOTALS!AY66/1000000</f>
        <v>14506.555302000001</v>
      </c>
      <c r="CT6" s="277">
        <f>'C1-Incomes'!HS8-'C1-Incomes'!IA8-CR6</f>
        <v>3.0000001424923539E-4</v>
      </c>
      <c r="CU6" s="277">
        <f>'T-T3a'!O10+'T-T3a'!P10</f>
        <v>21902</v>
      </c>
      <c r="CV6" s="277">
        <f>'C1-Incomes'!IA8-'C1-Incomes'!II8-CU6</f>
        <v>0</v>
      </c>
      <c r="CW6" s="272">
        <f>'T-T3'!H10</f>
        <v>20026.475198892993</v>
      </c>
      <c r="CX6" s="277">
        <f>'C1-Incomes'!IQ8-'C1-Incomes'!II8-CW6</f>
        <v>-1.9889301620423794E-4</v>
      </c>
      <c r="CY6" s="277">
        <f>'T-T3'!G10</f>
        <v>78618</v>
      </c>
      <c r="CZ6" s="277">
        <f>'C1-Incomes'!IY8-'C1-Incomes'!IQ8-CY6</f>
        <v>0</v>
      </c>
      <c r="DA6" s="277">
        <f>'C1-Incomes'!IY8-'T-T3'!Z10</f>
        <v>-0.30011000001104549</v>
      </c>
      <c r="DB6" s="280"/>
      <c r="DC6" s="272">
        <f>TOTALS!BG5/1000000</f>
        <v>7748.3536113999999</v>
      </c>
      <c r="DD6" s="272">
        <f>TOTALS!BH5/1000000</f>
        <v>0</v>
      </c>
      <c r="DE6" s="272">
        <f>DC6+DD6</f>
        <v>7748.3536113999999</v>
      </c>
      <c r="DF6" s="272">
        <f>TOTALS!BI5/1000000</f>
        <v>6567.5394328000002</v>
      </c>
    </row>
    <row r="7" spans="1:110" ht="12" customHeight="1" x14ac:dyDescent="0.3">
      <c r="A7" s="268">
        <v>1961</v>
      </c>
      <c r="B7" s="272"/>
      <c r="C7" s="272"/>
      <c r="D7" s="272"/>
      <c r="E7" s="277"/>
      <c r="F7" s="272"/>
      <c r="G7" s="277">
        <v>0</v>
      </c>
      <c r="H7" s="272"/>
      <c r="I7" s="272"/>
      <c r="J7" s="24"/>
      <c r="K7" s="272"/>
      <c r="L7" s="272"/>
      <c r="M7" s="272"/>
      <c r="N7" s="272"/>
      <c r="O7" s="272"/>
      <c r="P7" s="277"/>
      <c r="Q7" s="272"/>
      <c r="R7" s="277"/>
      <c r="S7" s="270">
        <f>'T-T1'!CR10</f>
        <v>19154</v>
      </c>
      <c r="T7" s="270">
        <f t="shared" si="0"/>
        <v>1015.1619999999999</v>
      </c>
      <c r="U7" s="331">
        <f>ROUND('C12-CorpOwn'!T6,3)</f>
        <v>5.2999999999999999E-2</v>
      </c>
      <c r="V7" s="270">
        <f t="shared" si="1"/>
        <v>938.5460000000021</v>
      </c>
      <c r="W7" s="279">
        <f>ROUND('C12-CorpOwn'!S6,3)</f>
        <v>4.9000000000000002E-2</v>
      </c>
      <c r="X7" s="272">
        <f t="shared" ref="X7:X61" si="6">S7*Y7</f>
        <v>17200.291999999998</v>
      </c>
      <c r="Y7" s="279">
        <f>1-ROUND('C12-CorpOwn'!S6,3)-ROUND('C12-CorpOwn'!T6,3)</f>
        <v>0.89799999999999991</v>
      </c>
      <c r="Z7" s="685"/>
      <c r="AA7" s="277">
        <f>'T-T1'!CP10</f>
        <v>22890</v>
      </c>
      <c r="AB7" s="277">
        <f>'T-T1'!AA10</f>
        <v>687</v>
      </c>
      <c r="AC7" s="277">
        <f t="shared" ref="AC7:AC61" si="7">AA7-AB7</f>
        <v>22203</v>
      </c>
      <c r="AD7" s="277"/>
      <c r="AE7" s="277">
        <f t="shared" si="2"/>
        <v>9359</v>
      </c>
      <c r="AF7" s="277"/>
      <c r="AG7" s="277"/>
      <c r="AH7" s="277"/>
      <c r="AI7" s="277"/>
      <c r="AJ7" s="277"/>
      <c r="AK7" s="277"/>
      <c r="AL7" s="277"/>
      <c r="AM7" s="277"/>
      <c r="AN7" s="277"/>
      <c r="AO7" s="277"/>
      <c r="AP7" s="277"/>
      <c r="AQ7" s="277"/>
      <c r="AR7" s="277"/>
      <c r="AS7" s="277"/>
      <c r="AT7" s="277">
        <f>'T-T1'!U10</f>
        <v>11664</v>
      </c>
      <c r="AU7" s="277">
        <f>'T-T1'!EE10</f>
        <v>8221</v>
      </c>
      <c r="AV7" s="277"/>
      <c r="AW7" s="277"/>
      <c r="AX7" s="277"/>
      <c r="AY7" s="277">
        <f>'T-T1'!I10</f>
        <v>9610</v>
      </c>
      <c r="AZ7" s="277"/>
      <c r="BA7" s="272"/>
      <c r="BB7" s="272"/>
      <c r="BC7" s="272"/>
      <c r="BD7" s="272"/>
      <c r="BE7" s="272"/>
      <c r="BF7" s="272">
        <f>ROUND('T-T1'!BA10,0)</f>
        <v>29388</v>
      </c>
      <c r="BG7" s="272">
        <f>ROUND('T-T1'!BC10+'T-T1'!BE10,0)</f>
        <v>-113</v>
      </c>
      <c r="BH7" s="272">
        <f>ROUND('T-T1'!V10+'T-T1'!AE10+'T-T1'!AP10+'T-T1'!AS10+'T-T1'!AW10+'T-T1'!BG10,0)</f>
        <v>1583</v>
      </c>
      <c r="BI7" s="272">
        <f>ROUND('T-T1'!AA10,0)</f>
        <v>687</v>
      </c>
      <c r="BJ7" s="272"/>
      <c r="BK7" s="277"/>
      <c r="BL7" s="272"/>
      <c r="BM7" s="272"/>
      <c r="BN7" s="272"/>
      <c r="BO7" s="277"/>
      <c r="BP7" s="272">
        <f>'T-T2'!L10</f>
        <v>4401</v>
      </c>
      <c r="BQ7" s="277"/>
      <c r="BR7" s="272"/>
      <c r="BS7" s="272">
        <f>'T-T2'!M10+'T-T2'!N10</f>
        <v>4732</v>
      </c>
      <c r="BT7" s="272"/>
      <c r="BU7" s="272"/>
      <c r="BV7" s="272"/>
      <c r="BW7" s="272"/>
      <c r="BX7" s="272"/>
      <c r="BY7" s="272">
        <f>'T-T2'!AC10-'T-T2'!AF10-'T-T2'!AG10</f>
        <v>28089</v>
      </c>
      <c r="BZ7" s="277"/>
      <c r="CA7" s="277"/>
      <c r="CB7" s="277"/>
      <c r="CC7" s="272">
        <f>'T-T1'!EB10</f>
        <v>42694</v>
      </c>
      <c r="CD7" s="277"/>
      <c r="CE7" s="272"/>
      <c r="CF7" s="272">
        <f>'T-T3'!Q11</f>
        <v>2509</v>
      </c>
      <c r="CG7" s="277"/>
      <c r="CH7" s="277">
        <f>'T-T1'!ED10</f>
        <v>2800</v>
      </c>
      <c r="CI7" s="272"/>
      <c r="CJ7" s="643"/>
      <c r="CK7" s="277">
        <f t="shared" si="3"/>
        <v>22203</v>
      </c>
      <c r="CL7" s="277"/>
      <c r="CM7" s="272">
        <f t="shared" si="4"/>
        <v>8221</v>
      </c>
      <c r="CN7" s="277"/>
      <c r="CO7" s="272">
        <f t="shared" si="5"/>
        <v>9359</v>
      </c>
      <c r="CP7" s="272">
        <f>'T-T1'!DE10</f>
        <v>17580</v>
      </c>
      <c r="CQ7" s="277"/>
      <c r="CR7" s="272">
        <f>'T-T3'!AG11-'T-T2'!AF10-'T-T2'!AG10</f>
        <v>17000</v>
      </c>
      <c r="CS7" s="277"/>
      <c r="CT7" s="277"/>
      <c r="CU7" s="272"/>
      <c r="CV7" s="277"/>
      <c r="CX7" s="1213"/>
      <c r="CY7" s="277"/>
      <c r="CZ7" s="34"/>
      <c r="DA7" s="24"/>
      <c r="DB7" s="280"/>
      <c r="DC7" s="272">
        <f>TOTALS!BG6/1000000</f>
        <v>0</v>
      </c>
      <c r="DD7" s="272">
        <f>TOTALS!BH6/1000000</f>
        <v>0</v>
      </c>
      <c r="DE7" s="272">
        <f t="shared" ref="DE7:DE61" si="8">DC7+DD7</f>
        <v>0</v>
      </c>
      <c r="DF7" s="272">
        <f>TOTALS!BI6/1000000</f>
        <v>0</v>
      </c>
    </row>
    <row r="8" spans="1:110" ht="12" customHeight="1" x14ac:dyDescent="0.3">
      <c r="A8" s="268">
        <v>1962</v>
      </c>
      <c r="B8" s="272">
        <f>'C1-Incomes'!AP10-'C1-Incomes'!AH10</f>
        <v>353.19655999995302</v>
      </c>
      <c r="C8" s="272">
        <f>SUM('T-T1'!AN11:AP11)</f>
        <v>2467</v>
      </c>
      <c r="D8" s="272">
        <f>'T-T1'!AN11</f>
        <v>1603.55</v>
      </c>
      <c r="E8" s="277">
        <f>'C1-Incomes'!AX10-'C1-Incomes'!AP10-D8</f>
        <v>0.45000000000004547</v>
      </c>
      <c r="F8" s="272">
        <f>TOTALS!I68/1000000</f>
        <v>482.70535810000001</v>
      </c>
      <c r="G8" s="277">
        <v>0</v>
      </c>
      <c r="H8" s="272"/>
      <c r="I8" s="272"/>
      <c r="J8" s="276"/>
      <c r="K8" s="272">
        <f>TOTALS!W68/1000000</f>
        <v>486.80187117000003</v>
      </c>
      <c r="L8" s="272"/>
      <c r="M8" s="272">
        <f>TOTALS!BT68/1000000</f>
        <v>-193.84199769999998</v>
      </c>
      <c r="N8" s="272">
        <f>(TOTALS!CB68-TOTALS!CC68)/1000000</f>
        <v>-235.04974584000001</v>
      </c>
      <c r="O8" s="272">
        <f>F8+G8-H8-I8-J8+K8-L8-M8+N8</f>
        <v>928.29948113</v>
      </c>
      <c r="P8" s="277">
        <f>'C1-Incomes'!BF10-'C1-Incomes'!AX10-O8</f>
        <v>-1.1299548532406334E-6</v>
      </c>
      <c r="Q8" s="277">
        <f>'C22-Fiduciary'!T7</f>
        <v>1658.0167761495704</v>
      </c>
      <c r="R8" s="277">
        <f>'C1-Incomes'!BV10-'C1-Incomes'!BN10-Q8</f>
        <v>2.2385042211681139E-4</v>
      </c>
      <c r="S8" s="270">
        <f>'T-T1'!CR11</f>
        <v>24921</v>
      </c>
      <c r="T8" s="270">
        <f t="shared" si="0"/>
        <v>1320.8129999999999</v>
      </c>
      <c r="U8" s="331">
        <f>ROUND('C12-CorpOwn'!T7,3)</f>
        <v>5.2999999999999999E-2</v>
      </c>
      <c r="V8" s="270">
        <f t="shared" si="1"/>
        <v>1221.1290000000045</v>
      </c>
      <c r="W8" s="279">
        <f>ROUND('C12-CorpOwn'!S7,3)</f>
        <v>4.9000000000000002E-2</v>
      </c>
      <c r="X8" s="272">
        <f t="shared" si="6"/>
        <v>22379.057999999997</v>
      </c>
      <c r="Y8" s="279">
        <f>1-ROUND('C12-CorpOwn'!S7,3)-ROUND('C12-CorpOwn'!T7,3)</f>
        <v>0.89799999999999991</v>
      </c>
      <c r="Z8" s="685">
        <f>'C1-Incomes'!CD10-'C1-Incomes'!BV10-S8</f>
        <v>0</v>
      </c>
      <c r="AA8" s="277">
        <f>'T-T1'!CP11</f>
        <v>24095</v>
      </c>
      <c r="AB8" s="277">
        <f>'T-T1'!AA11</f>
        <v>799</v>
      </c>
      <c r="AC8" s="277">
        <f t="shared" si="7"/>
        <v>23296</v>
      </c>
      <c r="AD8" s="277">
        <f>'C1-Incomes'!CL10-'C1-Incomes'!CD10-AC8</f>
        <v>0</v>
      </c>
      <c r="AE8" s="277">
        <f t="shared" si="2"/>
        <v>10036</v>
      </c>
      <c r="AF8" s="277">
        <f>'C1-Incomes'!CT10-'C1-Incomes'!CL10-AE8</f>
        <v>0</v>
      </c>
      <c r="AG8" s="277">
        <f>'T-T1a'!C13</f>
        <v>-2508.9270666909306</v>
      </c>
      <c r="AH8" s="277">
        <f>'T-T1a'!D13</f>
        <v>-1254.4635333454653</v>
      </c>
      <c r="AI8" s="277">
        <f>'T-T1a'!E13</f>
        <v>-80.106199093666859</v>
      </c>
      <c r="AJ8" s="277">
        <f>'T-T1a'!F13</f>
        <v>3843.4967991300628</v>
      </c>
      <c r="AK8" s="277">
        <f>'C1-Incomes'!DB10-'C1-Incomes'!CT10</f>
        <v>0</v>
      </c>
      <c r="AL8" s="277">
        <f>'T-T1'!E11</f>
        <v>4958.2004878403304</v>
      </c>
      <c r="AM8" s="277">
        <f>'T-T1'!L11</f>
        <v>4831.4274962483396</v>
      </c>
      <c r="AN8" s="277">
        <f>'T-T1'!Q11</f>
        <v>10454.419544130251</v>
      </c>
      <c r="AO8" s="277">
        <f>'T-T1'!T11</f>
        <v>3068.244533</v>
      </c>
      <c r="AP8" s="277">
        <f>'T-T1'!AH11</f>
        <v>98.011013091000109</v>
      </c>
      <c r="AQ8" s="277">
        <f t="shared" ref="AQ8:AQ60" si="9">SUM(AL8:AP8)</f>
        <v>23410.303074309923</v>
      </c>
      <c r="AR8" s="277">
        <f>'C1-Incomes'!DJ10-'C1-Incomes'!DB10-AQ8</f>
        <v>-7.430996629409492E-5</v>
      </c>
      <c r="AS8" s="277">
        <f>AT8+AU8</f>
        <v>21383</v>
      </c>
      <c r="AT8" s="277">
        <f>'T-T1'!U11</f>
        <v>12461</v>
      </c>
      <c r="AU8" s="277">
        <f>'T-T1'!EE11</f>
        <v>8922</v>
      </c>
      <c r="AV8" s="277">
        <f>TOTALS!AX68/1000000</f>
        <v>5052.9655518</v>
      </c>
      <c r="AW8" s="277">
        <f>'C1-Incomes'!DR10-'C1-Incomes'!DJ10-AS8</f>
        <v>-1.0761324083432555E-3</v>
      </c>
      <c r="AX8" s="277">
        <f>(TOTALS!Z68+TOTALS!AA68)/1000000</f>
        <v>10598.505285900001</v>
      </c>
      <c r="AY8" s="277">
        <f>'T-T1'!I11</f>
        <v>11182</v>
      </c>
      <c r="AZ8" s="277">
        <f>'C1-Incomes'!DZ10-'C1-Incomes'!DR10-AY8</f>
        <v>2.8587348060682416E-4</v>
      </c>
      <c r="BA8" s="272">
        <f>'T-T1'!G11</f>
        <v>7631</v>
      </c>
      <c r="BB8" s="277">
        <f>'C1-Incomes'!EH10-'C1-Incomes'!DZ10-BA8</f>
        <v>-9.2550180852413177E-9</v>
      </c>
      <c r="BC8" s="272">
        <f>'T-T1'!AD11+'T-T1'!AO11+'T-T1'!AR11+'T-T1'!AV11</f>
        <v>4570.2298052537808</v>
      </c>
      <c r="BD8" s="272">
        <f>ROUND('T-T1'!BJ11,0)</f>
        <v>12311</v>
      </c>
      <c r="BE8" s="277">
        <f>'C1-Incomes'!EP10-'C1-Incomes'!EH10-BC8-BD8</f>
        <v>1.9501442147884518E-4</v>
      </c>
      <c r="BF8" s="272">
        <f>ROUND('T-T1'!BA11,0)</f>
        <v>31424</v>
      </c>
      <c r="BG8" s="272">
        <f>ROUND('T-T1'!BC11+'T-T1'!BE11,0)</f>
        <v>-156</v>
      </c>
      <c r="BH8" s="272">
        <f>ROUND('T-T1'!V11+'T-T1'!AE11+'T-T1'!AP11+'T-T1'!AS11+'T-T1'!AW11+'T-T1'!BG11,0)</f>
        <v>1721</v>
      </c>
      <c r="BI8" s="272">
        <f>ROUND('T-T1'!AA11,0)</f>
        <v>799</v>
      </c>
      <c r="BJ8" s="277">
        <f>'C1-Incomes'!EX10-'C1-Incomes'!EP10-SUM(BF8:BI8)</f>
        <v>5.8207660913467407E-11</v>
      </c>
      <c r="BK8" s="277">
        <f>'C1-Incomes'!EX10-'T-T1'!BN11</f>
        <v>-1.1070599999511614</v>
      </c>
      <c r="BL8" s="272">
        <f>'T-T2'!J11+'T-T2'!K11</f>
        <v>15338</v>
      </c>
      <c r="BM8" s="272">
        <v>0</v>
      </c>
      <c r="BN8" s="272">
        <f>BL8-BM8</f>
        <v>15338</v>
      </c>
      <c r="BO8" s="277">
        <f>'C1-Incomes'!FF10-'C1-Incomes'!EX10-BL8</f>
        <v>0</v>
      </c>
      <c r="BP8" s="272">
        <f>'T-T2'!L11</f>
        <v>3182</v>
      </c>
      <c r="BQ8" s="277">
        <f>'C1-Incomes'!FN10-'C1-Incomes'!FF10-BP8</f>
        <v>0</v>
      </c>
      <c r="BR8" s="272">
        <v>0</v>
      </c>
      <c r="BS8" s="272">
        <f>'T-T2'!M11+'T-T2'!N11</f>
        <v>4528</v>
      </c>
      <c r="BT8" s="272">
        <f>SUM('T-T2'!O11:T11)</f>
        <v>3818</v>
      </c>
      <c r="BU8" s="272">
        <f>BS8+BT8</f>
        <v>8346</v>
      </c>
      <c r="BV8" s="272">
        <f>'C1-Incomes'!FV10-'C1-Incomes'!FN10-BU8</f>
        <v>0</v>
      </c>
      <c r="BW8" s="272">
        <v>0</v>
      </c>
      <c r="BX8" s="277">
        <f>'C1-Incomes'!GE10-'C1-Incomes'!FV10-BW8</f>
        <v>0</v>
      </c>
      <c r="BY8" s="272">
        <f>'T-T2'!AC11-'T-T2'!AF11-'T-T2'!AG11</f>
        <v>28843</v>
      </c>
      <c r="BZ8" s="277">
        <f>BY8-BW8-BS8-BP8-BL8-BT8</f>
        <v>1977</v>
      </c>
      <c r="CA8" s="277">
        <f>'C1-Incomes'!GM10-'C1-Incomes'!GE10-BZ8</f>
        <v>0</v>
      </c>
      <c r="CB8" s="277">
        <f>'C1-Incomes'!GM10-'T-T2'!B11</f>
        <v>0</v>
      </c>
      <c r="CC8" s="272">
        <f>'T-T1'!EB11</f>
        <v>46529</v>
      </c>
      <c r="CD8" s="272">
        <f>TOTALS!AV68/1000000</f>
        <v>43395.887859000002</v>
      </c>
      <c r="CE8" s="272">
        <f>TOTALS!BA68/1000000</f>
        <v>41.169088234999997</v>
      </c>
      <c r="CF8" s="272">
        <f>'T-T3'!Q12</f>
        <v>2638</v>
      </c>
      <c r="CG8" s="277">
        <f>'C1-Incomes'!GM10-'C1-Incomes'!GU10-CC8-CE8-CF8</f>
        <v>-1.3823497874909663E-4</v>
      </c>
      <c r="CH8" s="277">
        <f>'T-T1'!ED11</f>
        <v>3180</v>
      </c>
      <c r="CI8" s="272">
        <f>TOTALS!AP68/1000000</f>
        <v>2234.7014690000001</v>
      </c>
      <c r="CJ8" s="277">
        <f>'C1-Incomes'!GU10-'C1-Incomes'!HC10-CH8</f>
        <v>4.700000281445682E-4</v>
      </c>
      <c r="CK8" s="277">
        <f t="shared" si="3"/>
        <v>23296</v>
      </c>
      <c r="CL8" s="277">
        <f>'C1-Incomes'!HC10-'C1-Incomes'!HK10-CK8</f>
        <v>0</v>
      </c>
      <c r="CM8" s="272">
        <f t="shared" si="4"/>
        <v>8922</v>
      </c>
      <c r="CN8" s="272">
        <f>TOTALS!AX68/1000000</f>
        <v>5052.9655518</v>
      </c>
      <c r="CO8" s="272">
        <f t="shared" si="5"/>
        <v>10036</v>
      </c>
      <c r="CP8" s="272">
        <f>'T-T1'!DE11</f>
        <v>18958</v>
      </c>
      <c r="CQ8" s="277">
        <f>'C1-Incomes'!HK10-'C1-Incomes'!HS10-CP8</f>
        <v>-4.4999999227002263E-4</v>
      </c>
      <c r="CR8" s="272">
        <f>'T-T3'!AG12-'T-T2'!AF11-'T-T2'!AG11</f>
        <v>19100</v>
      </c>
      <c r="CS8" s="272">
        <f>TOTALS!AY68/1000000</f>
        <v>17541.350289999998</v>
      </c>
      <c r="CT8" s="277">
        <f>'C1-Incomes'!HS10-'C1-Incomes'!IA10-CR8</f>
        <v>2.899999963119626E-4</v>
      </c>
      <c r="CU8" s="277">
        <f>'T-T3a'!O12+'T-T3a'!P12</f>
        <v>24422</v>
      </c>
      <c r="CV8" s="277">
        <f>'C1-Incomes'!IA10-'C1-Incomes'!II10-CU8</f>
        <v>0</v>
      </c>
      <c r="CW8" s="272">
        <f>'T-T3'!H12</f>
        <v>17992.276148234901</v>
      </c>
      <c r="CX8" s="277">
        <f>'C1-Incomes'!IQ10-'C1-Incomes'!II10-CW8</f>
        <v>-1.4823488891124725E-4</v>
      </c>
      <c r="CY8" s="277">
        <f>'T-T3'!G12</f>
        <v>91330</v>
      </c>
      <c r="CZ8" s="277">
        <f>'C1-Incomes'!IY10-'C1-Incomes'!IQ10-CY8</f>
        <v>0</v>
      </c>
      <c r="DA8" s="277">
        <f>'C1-Incomes'!IY10-'T-T3'!Z12</f>
        <v>-3.1999999191612005E-4</v>
      </c>
      <c r="DB8" s="280"/>
      <c r="DC8" s="272">
        <f>TOTALS!BG7/1000000</f>
        <v>9105.1954378999999</v>
      </c>
      <c r="DD8" s="272">
        <f>TOTALS!BH7/1000000</f>
        <v>0</v>
      </c>
      <c r="DE8" s="272">
        <f t="shared" si="8"/>
        <v>9105.1954378999999</v>
      </c>
      <c r="DF8" s="272">
        <f>TOTALS!BI7/1000000</f>
        <v>8253.8158368999993</v>
      </c>
    </row>
    <row r="9" spans="1:110" ht="12" customHeight="1" x14ac:dyDescent="0.3">
      <c r="A9" s="268">
        <v>1963</v>
      </c>
      <c r="B9" s="272"/>
      <c r="C9" s="272"/>
      <c r="D9" s="272"/>
      <c r="E9" s="277"/>
      <c r="F9" s="272"/>
      <c r="G9" s="277">
        <v>0</v>
      </c>
      <c r="H9" s="272"/>
      <c r="I9" s="272"/>
      <c r="J9" s="276"/>
      <c r="K9" s="272"/>
      <c r="L9" s="272"/>
      <c r="M9" s="272"/>
      <c r="N9" s="272"/>
      <c r="O9" s="272"/>
      <c r="P9" s="277"/>
      <c r="Q9" s="272"/>
      <c r="R9" s="277"/>
      <c r="S9" s="270">
        <f>'T-T1'!CR12</f>
        <v>27901</v>
      </c>
      <c r="T9" s="270">
        <f t="shared" si="0"/>
        <v>1478.7529999999999</v>
      </c>
      <c r="U9" s="331">
        <f>ROUND('C12-CorpOwn'!T8,3)</f>
        <v>5.2999999999999999E-2</v>
      </c>
      <c r="V9" s="270">
        <f t="shared" si="1"/>
        <v>1590.3570000000036</v>
      </c>
      <c r="W9" s="279">
        <f>ROUND('C12-CorpOwn'!S8,3)</f>
        <v>5.7000000000000002E-2</v>
      </c>
      <c r="X9" s="272">
        <f t="shared" si="6"/>
        <v>24831.889999999996</v>
      </c>
      <c r="Y9" s="279">
        <f>1-ROUND('C12-CorpOwn'!S8,3)-ROUND('C12-CorpOwn'!T8,3)</f>
        <v>0.8899999999999999</v>
      </c>
      <c r="Z9" s="685"/>
      <c r="AA9" s="277">
        <f>'T-T1'!CP12</f>
        <v>26371</v>
      </c>
      <c r="AB9" s="277">
        <f>'T-T1'!AA12</f>
        <v>880</v>
      </c>
      <c r="AC9" s="277">
        <f t="shared" si="7"/>
        <v>25491</v>
      </c>
      <c r="AD9" s="277"/>
      <c r="AE9" s="277">
        <f t="shared" si="2"/>
        <v>10426</v>
      </c>
      <c r="AF9" s="277"/>
      <c r="AG9" s="277"/>
      <c r="AH9" s="277"/>
      <c r="AI9" s="277"/>
      <c r="AJ9" s="277"/>
      <c r="AK9" s="277"/>
      <c r="AL9" s="277"/>
      <c r="AM9" s="277"/>
      <c r="AN9" s="277"/>
      <c r="AO9" s="277"/>
      <c r="AP9" s="277"/>
      <c r="AQ9" s="277"/>
      <c r="AR9" s="277"/>
      <c r="AS9" s="277"/>
      <c r="AT9" s="277">
        <f>'T-T1'!U12</f>
        <v>12911</v>
      </c>
      <c r="AU9" s="277">
        <f>'T-T1'!EE12</f>
        <v>9819</v>
      </c>
      <c r="AV9" s="277"/>
      <c r="AW9" s="277"/>
      <c r="AX9" s="277"/>
      <c r="AY9" s="277">
        <f>'T-T1'!I12</f>
        <v>12405</v>
      </c>
      <c r="AZ9" s="277"/>
      <c r="BA9" s="272"/>
      <c r="BB9" s="272"/>
      <c r="BC9" s="272"/>
      <c r="BD9" s="272"/>
      <c r="BE9" s="272"/>
      <c r="BF9" s="272">
        <f>ROUND('T-T1'!BA12,0)</f>
        <v>33141</v>
      </c>
      <c r="BG9" s="272">
        <f>ROUND('T-T1'!BC12+'T-T1'!BE12,0)</f>
        <v>295</v>
      </c>
      <c r="BH9" s="272">
        <f>ROUND('T-T1'!V12+'T-T1'!AE12+'T-T1'!AP12+'T-T1'!AS12+'T-T1'!AW12+'T-T1'!BG12,0)</f>
        <v>2266</v>
      </c>
      <c r="BI9" s="272">
        <f>ROUND('T-T1'!AA12,0)</f>
        <v>880</v>
      </c>
      <c r="BJ9" s="272"/>
      <c r="BK9" s="277"/>
      <c r="BL9" s="272"/>
      <c r="BM9" s="272"/>
      <c r="BN9" s="272"/>
      <c r="BO9" s="277"/>
      <c r="BP9" s="272">
        <f>'T-T2'!L12</f>
        <v>3061</v>
      </c>
      <c r="BQ9" s="277"/>
      <c r="BR9" s="272"/>
      <c r="BS9" s="272">
        <f>'T-T2'!M12+'T-T2'!N12</f>
        <v>4732</v>
      </c>
      <c r="BT9" s="272"/>
      <c r="BU9" s="272"/>
      <c r="BV9" s="272"/>
      <c r="BW9" s="272"/>
      <c r="BX9" s="272"/>
      <c r="BY9" s="272">
        <f>'T-T2'!AC12-'T-T2'!AF12-'T-T2'!AG12</f>
        <v>30341</v>
      </c>
      <c r="BZ9" s="277"/>
      <c r="CA9" s="277"/>
      <c r="CB9" s="277"/>
      <c r="CC9" s="272">
        <f>'T-T1'!EB12</f>
        <v>49138</v>
      </c>
      <c r="CD9" s="277"/>
      <c r="CE9" s="272"/>
      <c r="CF9" s="272">
        <f>'T-T3'!Q13</f>
        <v>2885</v>
      </c>
      <c r="CG9" s="277"/>
      <c r="CH9" s="277">
        <f>'T-T1'!ED12</f>
        <v>3432</v>
      </c>
      <c r="CI9" s="277"/>
      <c r="CJ9" s="277"/>
      <c r="CK9" s="277">
        <f t="shared" si="3"/>
        <v>25491</v>
      </c>
      <c r="CL9" s="277"/>
      <c r="CM9" s="272">
        <f t="shared" si="4"/>
        <v>9819</v>
      </c>
      <c r="CN9" s="277"/>
      <c r="CO9" s="272">
        <f t="shared" si="5"/>
        <v>10426</v>
      </c>
      <c r="CP9" s="272">
        <f>'T-T1'!DE12</f>
        <v>20245</v>
      </c>
      <c r="CQ9" s="277"/>
      <c r="CR9" s="272">
        <f>'T-T3'!AG13-'T-T2'!AF12-'T-T2'!AG12</f>
        <v>21700</v>
      </c>
      <c r="CS9" s="277"/>
      <c r="CT9" s="277"/>
      <c r="CU9" s="272"/>
      <c r="CV9" s="277"/>
      <c r="CX9" s="34"/>
      <c r="CY9" s="277"/>
      <c r="CZ9" s="34"/>
      <c r="DA9" s="34"/>
      <c r="DB9" s="280"/>
      <c r="DC9" s="272">
        <f>TOTALS!BG8/1000000</f>
        <v>0</v>
      </c>
      <c r="DD9" s="272">
        <f>TOTALS!BH8/1000000</f>
        <v>0</v>
      </c>
      <c r="DE9" s="272">
        <f t="shared" si="8"/>
        <v>0</v>
      </c>
      <c r="DF9" s="272">
        <f>TOTALS!BI8/1000000</f>
        <v>0</v>
      </c>
    </row>
    <row r="10" spans="1:110" ht="12" customHeight="1" x14ac:dyDescent="0.3">
      <c r="A10" s="268">
        <v>1964</v>
      </c>
      <c r="B10" s="272">
        <f>'C1-Incomes'!AP12-'C1-Incomes'!AH12</f>
        <v>525.2385999999824</v>
      </c>
      <c r="C10" s="272">
        <f>SUM('T-T1'!AN13:AP13)</f>
        <v>2920</v>
      </c>
      <c r="D10" s="272">
        <f>'T-T1'!AN13</f>
        <v>1898</v>
      </c>
      <c r="E10" s="277">
        <f>'C1-Incomes'!AX12-'C1-Incomes'!AP12-D10</f>
        <v>0</v>
      </c>
      <c r="F10" s="272">
        <f>TOTALS!I70/1000000</f>
        <v>800.11564899999996</v>
      </c>
      <c r="G10" s="277">
        <v>0</v>
      </c>
      <c r="H10" s="272"/>
      <c r="I10" s="272"/>
      <c r="J10" s="276"/>
      <c r="K10" s="272">
        <f>TOTALS!W70/1000000</f>
        <v>793.85781919999999</v>
      </c>
      <c r="L10" s="272"/>
      <c r="M10" s="272">
        <f>TOTALS!BT70/1000000</f>
        <v>-133.68424519999999</v>
      </c>
      <c r="N10" s="272">
        <f>(TOTALS!CB70-TOTALS!CC70)/1000000</f>
        <v>-262.25677084</v>
      </c>
      <c r="O10" s="272">
        <f>F10+G10-H10-I10-J10+K10-L10-M10+N10</f>
        <v>1465.40094256</v>
      </c>
      <c r="P10" s="277">
        <f>'C1-Incomes'!BF12-'C1-Incomes'!AX12-O10</f>
        <v>-2.5599786113161827E-6</v>
      </c>
      <c r="Q10" s="277">
        <f>'C22-Fiduciary'!T9</f>
        <v>2401.4771443757063</v>
      </c>
      <c r="R10" s="277">
        <f>'C1-Incomes'!BV12-'C1-Incomes'!BN12-Q10</f>
        <v>-1.4437575100600952E-4</v>
      </c>
      <c r="S10" s="270">
        <f>'T-T1'!CR13</f>
        <v>31359</v>
      </c>
      <c r="T10" s="270">
        <f t="shared" si="0"/>
        <v>1662.027</v>
      </c>
      <c r="U10" s="331">
        <f>ROUND('C12-CorpOwn'!T9,3)</f>
        <v>5.2999999999999999E-2</v>
      </c>
      <c r="V10" s="270">
        <f t="shared" si="1"/>
        <v>1881.5400000000009</v>
      </c>
      <c r="W10" s="279">
        <f>ROUND('C12-CorpOwn'!S9,3)</f>
        <v>0.06</v>
      </c>
      <c r="X10" s="272">
        <f t="shared" si="6"/>
        <v>27815.432999999997</v>
      </c>
      <c r="Y10" s="279">
        <f>1-ROUND('C12-CorpOwn'!S9,3)-ROUND('C12-CorpOwn'!T9,3)</f>
        <v>0.8869999999999999</v>
      </c>
      <c r="Z10" s="685">
        <f>'C1-Incomes'!CD12-'C1-Incomes'!BV12-S10</f>
        <v>0</v>
      </c>
      <c r="AA10" s="277">
        <f>'T-T1'!CP13</f>
        <v>28155</v>
      </c>
      <c r="AB10" s="277">
        <f>'T-T1'!AA13</f>
        <v>1582</v>
      </c>
      <c r="AC10" s="277">
        <f t="shared" si="7"/>
        <v>26573</v>
      </c>
      <c r="AD10" s="277">
        <f>'C1-Incomes'!CL12-'C1-Incomes'!CD12-AC10</f>
        <v>0</v>
      </c>
      <c r="AE10" s="277">
        <f t="shared" si="2"/>
        <v>10978</v>
      </c>
      <c r="AF10" s="277">
        <f>'C1-Incomes'!CT12-'C1-Incomes'!CL12-AE10</f>
        <v>0</v>
      </c>
      <c r="AG10" s="277">
        <f>'T-T1a'!C15</f>
        <v>-3837.6171162862088</v>
      </c>
      <c r="AH10" s="277">
        <f>'T-T1a'!D15</f>
        <v>-1918.8085581431044</v>
      </c>
      <c r="AI10" s="277">
        <f>'T-T1a'!E15</f>
        <v>34.682357891822477</v>
      </c>
      <c r="AJ10" s="277">
        <f>'T-T1a'!F15</f>
        <v>5721.7433165374905</v>
      </c>
      <c r="AK10" s="277">
        <f>'C1-Incomes'!DB12-'C1-Incomes'!CT12</f>
        <v>-9.9999998928979039E-4</v>
      </c>
      <c r="AL10" s="277">
        <f>'T-T1'!E13</f>
        <v>8322.5188109004957</v>
      </c>
      <c r="AM10" s="277">
        <f>'T-T1'!L13</f>
        <v>-2851.3999374230825</v>
      </c>
      <c r="AN10" s="277">
        <f>'T-T1'!Q13</f>
        <v>10681.389747379766</v>
      </c>
      <c r="AO10" s="277">
        <f>'T-T1'!T13</f>
        <v>2920.7149509999999</v>
      </c>
      <c r="AP10" s="277">
        <f>'T-T1'!AH13</f>
        <v>73.183299874000113</v>
      </c>
      <c r="AQ10" s="277">
        <f t="shared" si="9"/>
        <v>19146.406871731178</v>
      </c>
      <c r="AR10" s="277">
        <f>'C1-Incomes'!DJ12-'C1-Incomes'!DB12-AQ10</f>
        <v>1.2826882812078111E-4</v>
      </c>
      <c r="AS10" s="277">
        <f>AT10+AU10</f>
        <v>23766</v>
      </c>
      <c r="AT10" s="277">
        <f>'T-T1'!U13</f>
        <v>13057</v>
      </c>
      <c r="AU10" s="277">
        <f>'T-T1'!EE13</f>
        <v>10709</v>
      </c>
      <c r="AV10" s="277">
        <f>TOTALS!AX70/1000000</f>
        <v>5524.7634099999996</v>
      </c>
      <c r="AW10" s="277">
        <f>'C1-Incomes'!DR12-'C1-Incomes'!DJ12-AS10</f>
        <v>9.1386493295431137E-4</v>
      </c>
      <c r="AX10" s="277">
        <f>(TOTALS!Z70+TOTALS!AA70)/1000000</f>
        <v>12230.952130799998</v>
      </c>
      <c r="AY10" s="277">
        <f>'T-T1'!I13</f>
        <v>12632</v>
      </c>
      <c r="AZ10" s="277">
        <f>'C1-Incomes'!DZ12-'C1-Incomes'!DR12-AY10</f>
        <v>1.3082090299576521E-4</v>
      </c>
      <c r="BA10" s="277">
        <f>'T-T1'!G13</f>
        <v>9242</v>
      </c>
      <c r="BB10" s="277">
        <f>'C1-Incomes'!EH12-'C1-Incomes'!DZ12-BA10</f>
        <v>-4.5401975512504578E-9</v>
      </c>
      <c r="BC10" s="277">
        <f>'T-T1'!AD13+'T-T1'!AO13+'T-T1'!AR13+'T-T1'!AV13</f>
        <v>7156.5696488809044</v>
      </c>
      <c r="BD10" s="277">
        <f>ROUND('T-T1'!BJ13,0)</f>
        <v>14114</v>
      </c>
      <c r="BE10" s="277">
        <f>'C1-Incomes'!EP12-'C1-Incomes'!EH12-BC10-BD10</f>
        <v>3.4643775143194944E-4</v>
      </c>
      <c r="BF10" s="277">
        <f>ROUND('T-T1'!BA13,0)</f>
        <v>35582</v>
      </c>
      <c r="BG10" s="277">
        <f>ROUND('T-T1'!BC13+'T-T1'!BE13,0)</f>
        <v>275</v>
      </c>
      <c r="BH10" s="277">
        <f>ROUND('T-T1'!V13+'T-T1'!AE13+'T-T1'!AP13+'T-T1'!AS13+'T-T1'!AW13+'T-T1'!BG13,0)</f>
        <v>2412</v>
      </c>
      <c r="BI10" s="277">
        <f>ROUND('T-T1'!AA13,0)</f>
        <v>1582</v>
      </c>
      <c r="BJ10" s="277">
        <f>'C1-Incomes'!EX12-'C1-Incomes'!EP12-SUM(BF10:BI10)</f>
        <v>0</v>
      </c>
      <c r="BK10" s="277">
        <f>'C1-Incomes'!EX12-'T-T1'!BN13</f>
        <v>0.22254999994765967</v>
      </c>
      <c r="BL10" s="272">
        <f>'T-T2'!J13+'T-T2'!K13</f>
        <v>17115</v>
      </c>
      <c r="BM10" s="272">
        <v>0</v>
      </c>
      <c r="BN10" s="272">
        <f>BL10-BM10</f>
        <v>17115</v>
      </c>
      <c r="BO10" s="277">
        <f>'C1-Incomes'!FF12-'C1-Incomes'!EX12-BL10</f>
        <v>0</v>
      </c>
      <c r="BP10" s="272">
        <f>'T-T2'!L13</f>
        <v>2776</v>
      </c>
      <c r="BQ10" s="277">
        <f>'C1-Incomes'!FN12-'C1-Incomes'!FF12-BP10</f>
        <v>0</v>
      </c>
      <c r="BR10" s="272">
        <v>0</v>
      </c>
      <c r="BS10" s="272">
        <f>'T-T2'!M13+'T-T2'!N13</f>
        <v>4608</v>
      </c>
      <c r="BT10" s="272">
        <f>SUM('T-T2'!O13:T13)</f>
        <v>4256</v>
      </c>
      <c r="BU10" s="272">
        <f>BS10+BT10</f>
        <v>8864</v>
      </c>
      <c r="BV10" s="272">
        <f>'C1-Incomes'!FV12-'C1-Incomes'!FN12-BU10</f>
        <v>0</v>
      </c>
      <c r="BW10" s="272">
        <v>0</v>
      </c>
      <c r="BX10" s="277">
        <f>'C1-Incomes'!GE12-'C1-Incomes'!FV12-BW10</f>
        <v>0</v>
      </c>
      <c r="BY10" s="272">
        <f>'T-T2'!AC13-'T-T2'!AF13-'T-T2'!AG13</f>
        <v>31317</v>
      </c>
      <c r="BZ10" s="277">
        <f>BY10-BW10-BS10-BP10-BL10-BT10</f>
        <v>2562</v>
      </c>
      <c r="CA10" s="277">
        <f>'C1-Incomes'!GM12-'C1-Incomes'!GE12-BZ10</f>
        <v>0</v>
      </c>
      <c r="CB10" s="277">
        <f>'C1-Incomes'!GM12-'T-T2'!B13</f>
        <v>0</v>
      </c>
      <c r="CC10" s="272">
        <f>'T-T1'!EB13</f>
        <v>45985</v>
      </c>
      <c r="CD10" s="272">
        <f>TOTALS!AV70/1000000</f>
        <v>42809.976124000001</v>
      </c>
      <c r="CE10" s="272">
        <f>TOTALS!BA70/1000000</f>
        <v>50.392662000000001</v>
      </c>
      <c r="CF10" s="272">
        <f>'T-T3'!Q14</f>
        <v>3305</v>
      </c>
      <c r="CG10" s="277">
        <f>'C1-Incomes'!GM12-'C1-Incomes'!GU12-CC10-CE10-CF10</f>
        <v>1.179999944724841E-4</v>
      </c>
      <c r="CH10" s="277">
        <f>'T-T1'!ED13</f>
        <v>4018</v>
      </c>
      <c r="CI10" s="272">
        <f>TOTALS!AP70/1000000</f>
        <v>2629.2180920000001</v>
      </c>
      <c r="CJ10" s="277">
        <f>'C1-Incomes'!GU12-'C1-Incomes'!HC12-CH10</f>
        <v>8.9999986812472343E-5</v>
      </c>
      <c r="CK10" s="277">
        <f t="shared" si="3"/>
        <v>26573</v>
      </c>
      <c r="CL10" s="277">
        <f>'C1-Incomes'!HC12-'C1-Incomes'!HK12-CK10</f>
        <v>0</v>
      </c>
      <c r="CM10" s="272">
        <f t="shared" si="4"/>
        <v>10709</v>
      </c>
      <c r="CN10" s="272">
        <f>TOTALS!AX70/1000000</f>
        <v>5524.7634099999996</v>
      </c>
      <c r="CO10" s="272">
        <f t="shared" si="5"/>
        <v>10978</v>
      </c>
      <c r="CP10" s="272">
        <f>'T-T1'!DE13</f>
        <v>21687</v>
      </c>
      <c r="CQ10" s="277">
        <f>'C1-Incomes'!HK12-'C1-Incomes'!HS12-CP10</f>
        <v>4.099999787285924E-4</v>
      </c>
      <c r="CR10" s="272">
        <f>'T-T3'!AG14-'T-T2'!AF13-'T-T2'!AG13</f>
        <v>22400</v>
      </c>
      <c r="CS10" s="272">
        <f>TOTALS!AY70/1000000</f>
        <v>21068.454699999998</v>
      </c>
      <c r="CT10" s="277">
        <f>'C1-Incomes'!HS12-'C1-Incomes'!IA12-CR10</f>
        <v>-3.0000001424923539E-4</v>
      </c>
      <c r="CU10" s="277">
        <f>'T-T3a'!O14+'T-T3a'!P14</f>
        <v>27862</v>
      </c>
      <c r="CV10" s="277">
        <f>'C1-Incomes'!IA12-'C1-Incomes'!II12-CU10</f>
        <v>0</v>
      </c>
      <c r="CW10" s="272">
        <f>'T-T3'!H14</f>
        <v>19146.17011200008</v>
      </c>
      <c r="CX10" s="277">
        <f>'C1-Incomes'!IQ12-'C1-Incomes'!II12-CW10</f>
        <v>-1.1200009612366557E-4</v>
      </c>
      <c r="CY10" s="277">
        <f>'T-T3'!G14</f>
        <v>101417</v>
      </c>
      <c r="CZ10" s="277">
        <f>'C1-Incomes'!IY12-'C1-Incomes'!IQ12-CY10</f>
        <v>0</v>
      </c>
      <c r="DA10" s="277">
        <f>'C1-Incomes'!IY12-'T-T3'!Z14</f>
        <v>-4.3000001460313797E-4</v>
      </c>
      <c r="DB10" s="280"/>
      <c r="DC10" s="272">
        <f>TOTALS!BG9/1000000</f>
        <v>9760.0152020000005</v>
      </c>
      <c r="DD10" s="272">
        <f>TOTALS!BH9/1000000</f>
        <v>0</v>
      </c>
      <c r="DE10" s="272">
        <f t="shared" si="8"/>
        <v>9760.0152020000005</v>
      </c>
      <c r="DF10" s="272">
        <f>TOTALS!BI9/1000000</f>
        <v>8796.4549289999995</v>
      </c>
    </row>
    <row r="11" spans="1:110" ht="12" customHeight="1" x14ac:dyDescent="0.3">
      <c r="A11" s="268">
        <v>1965</v>
      </c>
      <c r="B11" s="272"/>
      <c r="C11" s="272"/>
      <c r="D11" s="272"/>
      <c r="E11" s="277"/>
      <c r="F11" s="272"/>
      <c r="G11" s="277">
        <v>0</v>
      </c>
      <c r="H11" s="272"/>
      <c r="I11" s="272"/>
      <c r="J11" s="276"/>
      <c r="K11" s="272"/>
      <c r="L11" s="272"/>
      <c r="M11" s="272"/>
      <c r="N11" s="272"/>
      <c r="O11" s="272"/>
      <c r="P11" s="277"/>
      <c r="Q11" s="272"/>
      <c r="R11" s="277"/>
      <c r="S11" s="270">
        <f>'T-T1'!CR14</f>
        <v>38019</v>
      </c>
      <c r="T11" s="270">
        <f t="shared" si="0"/>
        <v>2015.0069999999998</v>
      </c>
      <c r="U11" s="331">
        <f>ROUND('C12-CorpOwn'!T10,3)</f>
        <v>5.2999999999999999E-2</v>
      </c>
      <c r="V11" s="270">
        <f t="shared" si="1"/>
        <v>2433.2160000000076</v>
      </c>
      <c r="W11" s="279">
        <f>ROUND('C12-CorpOwn'!S10,3)</f>
        <v>6.4000000000000001E-2</v>
      </c>
      <c r="X11" s="272">
        <f t="shared" si="6"/>
        <v>33570.776999999995</v>
      </c>
      <c r="Y11" s="279">
        <f>1-ROUND('C12-CorpOwn'!S10,3)-ROUND('C12-CorpOwn'!T10,3)</f>
        <v>0.8829999999999999</v>
      </c>
      <c r="Z11" s="685"/>
      <c r="AA11" s="277">
        <f>'T-T1'!CP14</f>
        <v>31065</v>
      </c>
      <c r="AB11" s="277">
        <f>'T-T1'!AA14</f>
        <v>1297</v>
      </c>
      <c r="AC11" s="277">
        <f t="shared" si="7"/>
        <v>29768</v>
      </c>
      <c r="AD11" s="277"/>
      <c r="AE11" s="277">
        <f t="shared" si="2"/>
        <v>11527</v>
      </c>
      <c r="AF11" s="277"/>
      <c r="AG11" s="277"/>
      <c r="AH11" s="277"/>
      <c r="AI11" s="277"/>
      <c r="AJ11" s="277"/>
      <c r="AK11" s="277"/>
      <c r="AL11" s="277"/>
      <c r="AM11" s="277"/>
      <c r="AN11" s="277"/>
      <c r="AO11" s="277"/>
      <c r="AP11" s="277"/>
      <c r="AQ11" s="277"/>
      <c r="AR11" s="277"/>
      <c r="AS11" s="277"/>
      <c r="AT11" s="277">
        <f>'T-T1'!U14</f>
        <v>13388</v>
      </c>
      <c r="AU11" s="277">
        <f>'T-T1'!EE14</f>
        <v>11660</v>
      </c>
      <c r="AV11" s="277"/>
      <c r="AW11" s="277"/>
      <c r="AX11" s="277"/>
      <c r="AY11" s="277">
        <f>'T-T1'!I14</f>
        <v>13093</v>
      </c>
      <c r="AZ11" s="277"/>
      <c r="BA11" s="272"/>
      <c r="BB11" s="272"/>
      <c r="BC11" s="272"/>
      <c r="BD11" s="272"/>
      <c r="BE11" s="272"/>
      <c r="BF11" s="272">
        <f>ROUND('T-T1'!BA14,0)</f>
        <v>37522</v>
      </c>
      <c r="BG11" s="272">
        <f>ROUND('T-T1'!BC14+'T-T1'!BE14,0)</f>
        <v>478</v>
      </c>
      <c r="BH11" s="272">
        <f>ROUND('T-T1'!V14+'T-T1'!AE14+'T-T1'!AP14+'T-T1'!AS14+'T-T1'!AW14+'T-T1'!BG14,0)</f>
        <v>2443</v>
      </c>
      <c r="BI11" s="272">
        <f>ROUND('T-T1'!AA14,0)</f>
        <v>1297</v>
      </c>
      <c r="BJ11" s="272"/>
      <c r="BK11" s="277"/>
      <c r="BL11" s="272"/>
      <c r="BM11" s="272"/>
      <c r="BN11" s="272"/>
      <c r="BO11" s="277"/>
      <c r="BP11" s="272">
        <f>'T-T2'!L14</f>
        <v>2365</v>
      </c>
      <c r="BQ11" s="277"/>
      <c r="BR11" s="272"/>
      <c r="BS11" s="272">
        <f>'T-T2'!M14+'T-T2'!N14</f>
        <v>4825</v>
      </c>
      <c r="BT11" s="272"/>
      <c r="BU11" s="272"/>
      <c r="BV11" s="272"/>
      <c r="BW11" s="272"/>
      <c r="BX11" s="272"/>
      <c r="BY11" s="272">
        <f>'T-T2'!AC14-'T-T2'!AF14-'T-T2'!AG14</f>
        <v>33913</v>
      </c>
      <c r="BZ11" s="277"/>
      <c r="CA11" s="277"/>
      <c r="CB11" s="277"/>
      <c r="CC11" s="272">
        <f>'T-T1'!EB14</f>
        <v>51068</v>
      </c>
      <c r="CD11" s="277"/>
      <c r="CE11" s="272"/>
      <c r="CF11" s="272">
        <f>'T-T3'!Q15</f>
        <v>3608</v>
      </c>
      <c r="CG11" s="277"/>
      <c r="CH11" s="277">
        <f>'T-T1'!ED14</f>
        <v>4417</v>
      </c>
      <c r="CI11" s="272"/>
      <c r="CJ11" s="277"/>
      <c r="CK11" s="277">
        <f t="shared" si="3"/>
        <v>29768</v>
      </c>
      <c r="CL11" s="277"/>
      <c r="CM11" s="272">
        <f t="shared" si="4"/>
        <v>11660</v>
      </c>
      <c r="CN11" s="277"/>
      <c r="CO11" s="272">
        <f t="shared" si="5"/>
        <v>11527</v>
      </c>
      <c r="CP11" s="272">
        <f>'T-T1'!DE14</f>
        <v>23187</v>
      </c>
      <c r="CQ11" s="277"/>
      <c r="CR11" s="272">
        <f>'T-T3'!AG15-'T-T2'!AF14-'T-T2'!AG14</f>
        <v>23400</v>
      </c>
      <c r="CS11" s="277"/>
      <c r="CT11" s="277"/>
      <c r="CU11" s="272"/>
      <c r="CV11" s="277"/>
      <c r="CX11" s="34"/>
      <c r="CY11" s="277"/>
      <c r="CZ11" s="34"/>
      <c r="DA11" s="34"/>
      <c r="DB11" s="280"/>
      <c r="DC11" s="272">
        <f>TOTALS!BG10/1000000</f>
        <v>0</v>
      </c>
      <c r="DD11" s="272">
        <f>TOTALS!BH10/1000000</f>
        <v>0</v>
      </c>
      <c r="DE11" s="272">
        <f t="shared" si="8"/>
        <v>0</v>
      </c>
      <c r="DF11" s="272">
        <f>TOTALS!BI10/1000000</f>
        <v>0</v>
      </c>
    </row>
    <row r="12" spans="1:110" ht="12" customHeight="1" x14ac:dyDescent="0.3">
      <c r="A12" s="268">
        <v>1966</v>
      </c>
      <c r="B12" s="272">
        <f>'C1-Incomes'!AP14-'C1-Incomes'!AH14</f>
        <v>945.80612999998266</v>
      </c>
      <c r="C12" s="272">
        <f>SUM('T-T1'!AN15:AP15)</f>
        <v>3441</v>
      </c>
      <c r="D12" s="272">
        <f>'T-T1'!AN15</f>
        <v>2236.65</v>
      </c>
      <c r="E12" s="277">
        <f>'C1-Incomes'!AX14-'C1-Incomes'!AP14-D12</f>
        <v>0.34999999999990905</v>
      </c>
      <c r="F12" s="272">
        <f>TOTALS!I72/1000000</f>
        <v>1049.1230171</v>
      </c>
      <c r="G12" s="277">
        <v>0</v>
      </c>
      <c r="H12" s="272"/>
      <c r="I12" s="272"/>
      <c r="J12" s="276"/>
      <c r="K12" s="272">
        <f>TOTALS!W72/1000000</f>
        <v>571.17528260000006</v>
      </c>
      <c r="L12" s="272"/>
      <c r="M12" s="272">
        <f>TOTALS!BT72/1000000</f>
        <v>-84.940516189999997</v>
      </c>
      <c r="N12" s="272">
        <f>(TOTALS!CB72-TOTALS!CC72)/1000000</f>
        <v>-296.02867500000002</v>
      </c>
      <c r="O12" s="272">
        <f>F12+G12-H12-I12-J12+K12-L12-M12+N12</f>
        <v>1409.2101408899998</v>
      </c>
      <c r="P12" s="277">
        <f>'C1-Incomes'!BF14-'C1-Incomes'!AX14-O12</f>
        <v>-8.9001878222916275E-7</v>
      </c>
      <c r="Q12" s="277">
        <f>'C22-Fiduciary'!T11</f>
        <v>2586.6023401007906</v>
      </c>
      <c r="R12" s="277">
        <f>'C1-Incomes'!BV14-'C1-Incomes'!BN14-Q12</f>
        <v>-3.4010077706625452E-4</v>
      </c>
      <c r="S12" s="270">
        <f>'T-T1'!CR15</f>
        <v>41571</v>
      </c>
      <c r="T12" s="270">
        <f t="shared" si="0"/>
        <v>2244.8339999999998</v>
      </c>
      <c r="U12" s="331">
        <f>ROUND('C12-CorpOwn'!T11,3)</f>
        <v>5.3999999999999999E-2</v>
      </c>
      <c r="V12" s="270">
        <f t="shared" ref="V12:V61" si="10">S12-T12-X12</f>
        <v>2909.9700000000012</v>
      </c>
      <c r="W12" s="279">
        <f>ROUND('C12-CorpOwn'!S11,3)</f>
        <v>7.0000000000000007E-2</v>
      </c>
      <c r="X12" s="272">
        <f t="shared" si="6"/>
        <v>36416.195999999996</v>
      </c>
      <c r="Y12" s="279">
        <f>1-ROUND('C12-CorpOwn'!S11,3)-ROUND('C12-CorpOwn'!T11,3)</f>
        <v>0.87599999999999989</v>
      </c>
      <c r="Z12" s="685">
        <f>'C1-Incomes'!CD14-'C1-Incomes'!BV14-S12</f>
        <v>0</v>
      </c>
      <c r="AA12" s="277">
        <f>'T-T1'!CP15</f>
        <v>33881</v>
      </c>
      <c r="AB12" s="277">
        <f>'T-T1'!AA15</f>
        <v>1649</v>
      </c>
      <c r="AC12" s="277">
        <f t="shared" si="7"/>
        <v>32232</v>
      </c>
      <c r="AD12" s="277">
        <f>'C1-Incomes'!CL14-'C1-Incomes'!CD14-AC12</f>
        <v>9.9999597296118736E-6</v>
      </c>
      <c r="AE12" s="277">
        <f t="shared" si="2"/>
        <v>11968</v>
      </c>
      <c r="AF12" s="277">
        <f>'C1-Incomes'!CT14-'C1-Incomes'!CL14-AE12</f>
        <v>0</v>
      </c>
      <c r="AG12" s="277">
        <f>'T-T1a'!C17</f>
        <v>-6945.6814481170804</v>
      </c>
      <c r="AH12" s="277">
        <f>'T-T1a'!D17</f>
        <v>-3472.8407240585402</v>
      </c>
      <c r="AI12" s="277">
        <f>'T-T1a'!E17</f>
        <v>837.12349946829715</v>
      </c>
      <c r="AJ12" s="277">
        <f>'T-T1a'!F17</f>
        <v>9581.3986727073243</v>
      </c>
      <c r="AK12" s="277">
        <f>'C1-Incomes'!DB14-'C1-Incomes'!CT14</f>
        <v>0</v>
      </c>
      <c r="AL12" s="277">
        <f>'T-T1'!E15</f>
        <v>5723.5450089422993</v>
      </c>
      <c r="AM12" s="277">
        <f>'T-T1'!L15</f>
        <v>9803.8048805945218</v>
      </c>
      <c r="AN12" s="277">
        <f>'T-T1'!Q15</f>
        <v>10483.229743301101</v>
      </c>
      <c r="AO12" s="277">
        <f>'T-T1'!T15</f>
        <v>574.13828739999917</v>
      </c>
      <c r="AP12" s="277">
        <f>'T-T1'!AH15</f>
        <v>158.10475070000007</v>
      </c>
      <c r="AQ12" s="277">
        <f>SUM(AL12:AP12)</f>
        <v>26742.82267093792</v>
      </c>
      <c r="AR12" s="277">
        <f>'C1-Incomes'!DJ14-'C1-Incomes'!DB14-AQ12</f>
        <v>3.2906217165873386E-4</v>
      </c>
      <c r="AS12" s="277">
        <f t="shared" ref="AS12:AS43" si="11">AT12+AU12</f>
        <v>26487</v>
      </c>
      <c r="AT12" s="277">
        <f>'T-T1'!U15</f>
        <v>13920</v>
      </c>
      <c r="AU12" s="277">
        <f>'T-T1'!EE15</f>
        <v>12567</v>
      </c>
      <c r="AV12" s="277">
        <f>TOTALS!AX72/1000000</f>
        <v>7336.3992736999999</v>
      </c>
      <c r="AW12" s="277">
        <f>'C1-Incomes'!DR14-'C1-Incomes'!DJ14-AS12</f>
        <v>5.7178153656423092E-4</v>
      </c>
      <c r="AX12" s="277">
        <f>(TOTALS!Z72+TOTALS!AA72)/1000000</f>
        <v>16235.575364299999</v>
      </c>
      <c r="AY12" s="277">
        <f>'T-T1'!I15</f>
        <v>16846</v>
      </c>
      <c r="AZ12" s="277">
        <f>'C1-Incomes'!DZ14-'C1-Incomes'!DR14-AY12</f>
        <v>3.6472117062658072E-4</v>
      </c>
      <c r="BA12" s="272">
        <f>'T-T1'!G15</f>
        <v>11391</v>
      </c>
      <c r="BB12" s="277">
        <f>'C1-Incomes'!EH14-'C1-Incomes'!DZ14-BA12</f>
        <v>-1.9557774066925049E-8</v>
      </c>
      <c r="BC12" s="272">
        <f>'T-T1'!AD15+'T-T1'!AO15+'T-T1'!AR15+'T-T1'!AV15</f>
        <v>5959.8347908780024</v>
      </c>
      <c r="BD12" s="272">
        <f>ROUND('T-T1'!BJ15,0)</f>
        <v>17345</v>
      </c>
      <c r="BE12" s="277">
        <f>'C1-Incomes'!EP14-'C1-Incomes'!EH14-BC12-BD12</f>
        <v>2.1263875169097446E-4</v>
      </c>
      <c r="BF12" s="272">
        <f>ROUND('T-T1'!BA15,0)</f>
        <v>38676</v>
      </c>
      <c r="BG12" s="272">
        <f>ROUND('T-T1'!BC15+'T-T1'!BE15,0)</f>
        <v>-557</v>
      </c>
      <c r="BH12" s="272">
        <f>ROUND('T-T1'!V15+'T-T1'!AE15+'T-T1'!AP15+'T-T1'!AS15+'T-T1'!AW15+'T-T1'!BG15,0)</f>
        <v>2188</v>
      </c>
      <c r="BI12" s="272">
        <f>ROUND('T-T1'!AA15,0)</f>
        <v>1649</v>
      </c>
      <c r="BJ12" s="277">
        <f>'C1-Incomes'!EX14-'C1-Incomes'!EP14-SUM(BF12:BI12)</f>
        <v>0</v>
      </c>
      <c r="BK12" s="277">
        <f>'C1-Incomes'!EX14-'T-T1'!BN15</f>
        <v>1.7559099999489263</v>
      </c>
      <c r="BL12" s="272">
        <f>'T-T2'!J15+'T-T2'!K15</f>
        <v>20988</v>
      </c>
      <c r="BM12" s="272">
        <v>0</v>
      </c>
      <c r="BN12" s="272">
        <f t="shared" ref="BN12:BN43" si="12">BL12-BM12</f>
        <v>20988</v>
      </c>
      <c r="BO12" s="277">
        <f>'C1-Incomes'!FF14-'C1-Incomes'!EX14-BL12</f>
        <v>0</v>
      </c>
      <c r="BP12" s="272">
        <f>'T-T2'!L15</f>
        <v>1913</v>
      </c>
      <c r="BQ12" s="277">
        <f>'C1-Incomes'!FN14-'C1-Incomes'!FF14-BP12</f>
        <v>0</v>
      </c>
      <c r="BR12" s="272">
        <v>0</v>
      </c>
      <c r="BS12" s="272">
        <f>'T-T2'!M15+'T-T2'!N15</f>
        <v>4798</v>
      </c>
      <c r="BT12" s="272">
        <f>SUM('T-T2'!O15:T15)</f>
        <v>4837</v>
      </c>
      <c r="BU12" s="272">
        <f t="shared" ref="BU12:BU43" si="13">BS12+BT12</f>
        <v>9635</v>
      </c>
      <c r="BV12" s="272">
        <f>'C1-Incomes'!FV14-'C1-Incomes'!FN14-BU12</f>
        <v>0</v>
      </c>
      <c r="BW12" s="272">
        <f>'T-T2'!X15</f>
        <v>686</v>
      </c>
      <c r="BX12" s="277">
        <f>'C1-Incomes'!GE14-'C1-Incomes'!FV14-BW12</f>
        <v>0</v>
      </c>
      <c r="BY12" s="272">
        <f>'T-T2'!AC15-'T-T2'!AF15-'T-T2'!AG15</f>
        <v>37182</v>
      </c>
      <c r="BZ12" s="277">
        <f t="shared" ref="BZ12:BZ43" si="14">BY12-BW12-BS12-BP12-BL12-BT12</f>
        <v>3960</v>
      </c>
      <c r="CA12" s="277">
        <f>'C1-Incomes'!GM14-'C1-Incomes'!GE14-BZ12</f>
        <v>0</v>
      </c>
      <c r="CB12" s="277">
        <f>'C1-Incomes'!GM14-'T-T2'!B15</f>
        <v>0</v>
      </c>
      <c r="CC12" s="272">
        <f>'T-T1'!EB15</f>
        <v>58602</v>
      </c>
      <c r="CD12" s="272">
        <f>TOTALS!AV72/1000000</f>
        <v>54689.954383999997</v>
      </c>
      <c r="CE12" s="277">
        <f>TOTALS!BA72/1000000</f>
        <v>81.391983499999995</v>
      </c>
      <c r="CF12" s="272">
        <f>'T-T3'!Q16</f>
        <v>3886</v>
      </c>
      <c r="CG12" s="277">
        <f>'C1-Incomes'!GM14-'C1-Incomes'!GU14-CC12-CE12-CF12</f>
        <v>3.8649989937766804E-4</v>
      </c>
      <c r="CH12" s="277">
        <f>'T-T1'!ED15</f>
        <v>5422</v>
      </c>
      <c r="CI12" s="272">
        <f>TOTALS!AP72/1000000</f>
        <v>4374.8741030000001</v>
      </c>
      <c r="CJ12" s="277">
        <f>'C1-Incomes'!GU14-'C1-Incomes'!HC14-CH12</f>
        <v>1.0000006295740604E-4</v>
      </c>
      <c r="CK12" s="277">
        <f t="shared" si="3"/>
        <v>32232</v>
      </c>
      <c r="CL12" s="277">
        <f>'C1-Incomes'!HC14-'C1-Incomes'!HK14-CK12</f>
        <v>0</v>
      </c>
      <c r="CM12" s="272">
        <f t="shared" si="4"/>
        <v>12567</v>
      </c>
      <c r="CN12" s="272">
        <f>TOTALS!AX72/1000000</f>
        <v>7336.3992736999999</v>
      </c>
      <c r="CO12" s="272">
        <f t="shared" si="5"/>
        <v>11968</v>
      </c>
      <c r="CP12" s="272">
        <f>'T-T1'!DE15</f>
        <v>24535</v>
      </c>
      <c r="CQ12" s="277">
        <f>'C1-Incomes'!HK14-'C1-Incomes'!HS14-CP12</f>
        <v>2.8000003658235073E-4</v>
      </c>
      <c r="CR12" s="272">
        <f>'T-T3'!AG16-'T-T2'!AF15-'T-T2'!AG15</f>
        <v>30978</v>
      </c>
      <c r="CS12" s="272">
        <f>TOTALS!AY72/1000000</f>
        <v>29455.196798000001</v>
      </c>
      <c r="CT12" s="277">
        <f>'C1-Incomes'!HS14-'C1-Incomes'!IA14-CR12</f>
        <v>-2.0000000949949026E-4</v>
      </c>
      <c r="CU12" s="277">
        <f>'T-T3a'!O16+'T-T3a'!P16</f>
        <v>30066</v>
      </c>
      <c r="CV12" s="277">
        <f>'C1-Incomes'!IA14-'C1-Incomes'!II14-CU12</f>
        <v>0</v>
      </c>
      <c r="CW12" s="272">
        <f>'T-T3'!H16</f>
        <v>24403.636073500034</v>
      </c>
      <c r="CX12" s="277">
        <f>'C1-Incomes'!IQ14-'C1-Incomes'!II14-CW12</f>
        <v>-7.3499977588653564E-5</v>
      </c>
      <c r="CY12" s="277">
        <f>'T-T3'!G16</f>
        <v>124215</v>
      </c>
      <c r="CZ12" s="277">
        <f>'C1-Incomes'!IY14-'C1-Incomes'!IQ14-CY12</f>
        <v>0</v>
      </c>
      <c r="DA12" s="277">
        <f>'C1-Incomes'!IY14-'T-T3'!Z16</f>
        <v>-6.399999838322401E-4</v>
      </c>
      <c r="DB12" s="280"/>
      <c r="DC12" s="272">
        <f>TOTALS!BG11/1000000</f>
        <v>13837.84281</v>
      </c>
      <c r="DD12" s="272">
        <f>TOTALS!BH11/1000000</f>
        <v>0</v>
      </c>
      <c r="DE12" s="272">
        <f t="shared" si="8"/>
        <v>13837.84281</v>
      </c>
      <c r="DF12" s="272">
        <f>TOTALS!BI11/1000000</f>
        <v>12562.560364999999</v>
      </c>
    </row>
    <row r="13" spans="1:110" ht="12" customHeight="1" x14ac:dyDescent="0.3">
      <c r="A13" s="268">
        <v>1967</v>
      </c>
      <c r="B13" s="272">
        <f>'C1-Incomes'!AP15-'C1-Incomes'!AH15</f>
        <v>1103.0718899999629</v>
      </c>
      <c r="C13" s="272">
        <f>SUM('T-T1'!AN16:AP16)</f>
        <v>3751</v>
      </c>
      <c r="D13" s="272">
        <f>'T-T1'!AN16</f>
        <v>2438.15</v>
      </c>
      <c r="E13" s="277">
        <f>'C1-Incomes'!AX15-'C1-Incomes'!AP15-D13</f>
        <v>-0.15000000000009095</v>
      </c>
      <c r="F13" s="272">
        <f>TOTALS!I73/1000000</f>
        <v>1054.9428321</v>
      </c>
      <c r="G13" s="277">
        <v>0</v>
      </c>
      <c r="H13" s="272"/>
      <c r="I13" s="272"/>
      <c r="J13" s="276"/>
      <c r="K13" s="272">
        <f>TOTALS!W73/1000000</f>
        <v>719.88712999999996</v>
      </c>
      <c r="L13" s="272"/>
      <c r="M13" s="272">
        <f>TOTALS!BT73/1000000</f>
        <v>12.733280519999999</v>
      </c>
      <c r="N13" s="272">
        <f>(TOTALS!CB73-TOTALS!CC73)/1000000</f>
        <v>-316.46778333999998</v>
      </c>
      <c r="O13" s="272">
        <f t="shared" ref="O13:O61" si="15">F13+G13-H13-I13-J13+K13-L13-M13+N13</f>
        <v>1445.6288982400001</v>
      </c>
      <c r="P13" s="277">
        <f>'C1-Incomes'!BF15-'C1-Incomes'!AX15-O13</f>
        <v>1.7600104911252856E-6</v>
      </c>
      <c r="Q13" s="277">
        <f>'C22-Fiduciary'!T12</f>
        <v>2605.6182022880475</v>
      </c>
      <c r="R13" s="277">
        <f>'C1-Incomes'!BV15-'C1-Incomes'!BN15-Q13</f>
        <v>-2.0228803077770863E-4</v>
      </c>
      <c r="S13" s="270">
        <f>'T-T1'!CR16</f>
        <v>39457</v>
      </c>
      <c r="T13" s="270">
        <f t="shared" ref="T13:T58" si="16">S13*U13</f>
        <v>2130.6779999999999</v>
      </c>
      <c r="U13" s="331">
        <f>ROUND('C12-CorpOwn'!T12,3)</f>
        <v>5.3999999999999999E-2</v>
      </c>
      <c r="V13" s="270">
        <f t="shared" si="10"/>
        <v>2840.9040000000023</v>
      </c>
      <c r="W13" s="279">
        <f>ROUND('C12-CorpOwn'!S12,3)</f>
        <v>7.1999999999999995E-2</v>
      </c>
      <c r="X13" s="272">
        <f t="shared" si="6"/>
        <v>34485.417999999998</v>
      </c>
      <c r="Y13" s="279">
        <f>1-ROUND('C12-CorpOwn'!S12,3)-ROUND('C12-CorpOwn'!T12,3)</f>
        <v>0.874</v>
      </c>
      <c r="Z13" s="685">
        <f>'C1-Incomes'!CD15-'C1-Incomes'!BV15-S13</f>
        <v>-5.8207660913467407E-11</v>
      </c>
      <c r="AA13" s="277">
        <f>'T-T1'!CP16</f>
        <v>32899</v>
      </c>
      <c r="AB13" s="277">
        <f>'T-T1'!AA16</f>
        <v>1907</v>
      </c>
      <c r="AC13" s="277">
        <f t="shared" si="7"/>
        <v>30992</v>
      </c>
      <c r="AD13" s="277">
        <f>'C1-Incomes'!CL15-'C1-Incomes'!CD15-AC13</f>
        <v>0</v>
      </c>
      <c r="AE13" s="277">
        <f t="shared" si="2"/>
        <v>12911</v>
      </c>
      <c r="AF13" s="277">
        <f>'C1-Incomes'!CT15-'C1-Incomes'!CL15-AE13</f>
        <v>0</v>
      </c>
      <c r="AG13" s="277">
        <f>'T-T1a'!C18</f>
        <v>-6994.5862782831355</v>
      </c>
      <c r="AH13" s="277">
        <f>'T-T1a'!D18</f>
        <v>-3497.2931391415677</v>
      </c>
      <c r="AI13" s="277">
        <f>'T-T1a'!E18</f>
        <v>1334.537096122423</v>
      </c>
      <c r="AJ13" s="277">
        <f>'T-T1a'!F18</f>
        <v>9157.3423213022797</v>
      </c>
      <c r="AK13" s="277">
        <f>'C1-Incomes'!DB15-'C1-Incomes'!CT15</f>
        <v>0</v>
      </c>
      <c r="AL13" s="277">
        <f>'T-T1'!E16</f>
        <v>2582.4160478141812</v>
      </c>
      <c r="AM13" s="277">
        <f>'T-T1'!L16</f>
        <v>7506.0571393677601</v>
      </c>
      <c r="AN13" s="277">
        <f>'T-T1'!Q16</f>
        <v>14281.761422826456</v>
      </c>
      <c r="AO13" s="277">
        <f>'T-T1'!T16</f>
        <v>878.7999506999995</v>
      </c>
      <c r="AP13" s="277">
        <f>'T-T1'!AH16</f>
        <v>151.50096160000021</v>
      </c>
      <c r="AQ13" s="277">
        <f t="shared" si="9"/>
        <v>25400.535522308393</v>
      </c>
      <c r="AR13" s="277">
        <f>'C1-Incomes'!DJ15-'C1-Incomes'!DB15-AQ13</f>
        <v>-5.2230836081434973E-4</v>
      </c>
      <c r="AS13" s="277">
        <f t="shared" si="11"/>
        <v>28491</v>
      </c>
      <c r="AT13" s="277">
        <f>'T-T1'!U16</f>
        <v>14438</v>
      </c>
      <c r="AU13" s="277">
        <f>'T-T1'!EE16</f>
        <v>14053</v>
      </c>
      <c r="AV13" s="277">
        <f>TOTALS!AX73/1000000</f>
        <v>7389.3542761000008</v>
      </c>
      <c r="AW13" s="277">
        <f>'C1-Incomes'!DR15-'C1-Incomes'!DJ15-AS13</f>
        <v>5.5932963732630014E-4</v>
      </c>
      <c r="AX13" s="277">
        <f>(TOTALS!Z73+TOTALS!AA73)/1000000</f>
        <v>17528.010621000001</v>
      </c>
      <c r="AY13" s="277">
        <f>'T-T1'!I16</f>
        <v>18019</v>
      </c>
      <c r="AZ13" s="277">
        <f>'C1-Incomes'!DZ15-'C1-Incomes'!DR15-AY13</f>
        <v>-3.787593450397253E-4</v>
      </c>
      <c r="BA13" s="272">
        <f>'T-T1'!G16</f>
        <v>12466</v>
      </c>
      <c r="BB13" s="277">
        <f>'C1-Incomes'!EH15-'C1-Incomes'!DZ15-BA13</f>
        <v>1.4435499906539917E-8</v>
      </c>
      <c r="BC13" s="272">
        <f>'T-T1'!AD16+'T-T1'!AO16+'T-T1'!AR16+'T-T1'!AV16</f>
        <v>7326.1377164840014</v>
      </c>
      <c r="BD13" s="272">
        <f>ROUND('T-T1'!BJ16,0)</f>
        <v>18958</v>
      </c>
      <c r="BE13" s="277">
        <f>'C1-Incomes'!EP15-'C1-Incomes'!EH15-BC13-BD13</f>
        <v>2.8293127979850397E-4</v>
      </c>
      <c r="BF13" s="272">
        <f>ROUND('T-T1'!BA16,0)</f>
        <v>40973</v>
      </c>
      <c r="BG13" s="272">
        <f>ROUND('T-T1'!BC16+'T-T1'!BE16,0)</f>
        <v>-183</v>
      </c>
      <c r="BH13" s="272">
        <f>ROUND('T-T1'!V16+'T-T1'!AE16+'T-T1'!AP16+'T-T1'!AS16+'T-T1'!AW16+'T-T1'!BG16,0)</f>
        <v>2240</v>
      </c>
      <c r="BI13" s="272">
        <f>ROUND('T-T1'!AA16,0)</f>
        <v>1907</v>
      </c>
      <c r="BJ13" s="277">
        <f>'C1-Incomes'!EX15-'C1-Incomes'!EP15-SUM(BF13:BI13)</f>
        <v>0</v>
      </c>
      <c r="BK13" s="277">
        <f>'C1-Incomes'!EX15-'T-T1'!BN16</f>
        <v>0.31680999998934567</v>
      </c>
      <c r="BL13" s="272">
        <f>'T-T2'!J16+'T-T2'!K16</f>
        <v>22430</v>
      </c>
      <c r="BM13" s="272">
        <v>0</v>
      </c>
      <c r="BN13" s="272">
        <f t="shared" si="12"/>
        <v>22430</v>
      </c>
      <c r="BO13" s="277">
        <f>'C1-Incomes'!FF15-'C1-Incomes'!EX15-BL13</f>
        <v>0</v>
      </c>
      <c r="BP13" s="272">
        <f>'T-T2'!L16</f>
        <v>2237</v>
      </c>
      <c r="BQ13" s="277">
        <f>'C1-Incomes'!FN15-'C1-Incomes'!FF15-BP13</f>
        <v>0</v>
      </c>
      <c r="BR13" s="272">
        <v>0</v>
      </c>
      <c r="BS13" s="272">
        <f>'T-T2'!M16+'T-T2'!N16</f>
        <v>5512</v>
      </c>
      <c r="BT13" s="272">
        <f>SUM('T-T2'!O16:T16)</f>
        <v>5463</v>
      </c>
      <c r="BU13" s="272">
        <f t="shared" si="13"/>
        <v>10975</v>
      </c>
      <c r="BV13" s="272">
        <f>'C1-Incomes'!FV15-'C1-Incomes'!FN15-BU13</f>
        <v>0</v>
      </c>
      <c r="BW13" s="272">
        <f>'T-T2'!X16</f>
        <v>4059</v>
      </c>
      <c r="BX13" s="277">
        <f>'C1-Incomes'!GE15-'C1-Incomes'!FV15-BW13</f>
        <v>0</v>
      </c>
      <c r="BY13" s="272">
        <f>'T-T2'!AC16-'T-T2'!AF16-'T-T2'!AG16</f>
        <v>45112</v>
      </c>
      <c r="BZ13" s="277">
        <f t="shared" si="14"/>
        <v>5411</v>
      </c>
      <c r="CA13" s="277">
        <f>'C1-Incomes'!GM15-'C1-Incomes'!GE15-BZ13</f>
        <v>0</v>
      </c>
      <c r="CB13" s="277">
        <f>'C1-Incomes'!GM15-'T-T2'!B16</f>
        <v>0</v>
      </c>
      <c r="CC13" s="272">
        <f>'T-T1'!EB16</f>
        <v>64386</v>
      </c>
      <c r="CD13" s="272">
        <f>TOTALS!AV73/1000000</f>
        <v>61236.277103</v>
      </c>
      <c r="CE13" s="277">
        <f>TOTALS!BA73/1000000</f>
        <v>93.517059180000004</v>
      </c>
      <c r="CF13" s="272">
        <f>'T-T3'!Q17</f>
        <v>3978</v>
      </c>
      <c r="CG13" s="277">
        <f>'C1-Incomes'!GM15-'C1-Incomes'!GU15-CC13-CE13-CF13</f>
        <v>1.0082004655487253E-4</v>
      </c>
      <c r="CH13" s="277">
        <f>'T-T1'!ED16</f>
        <v>6112</v>
      </c>
      <c r="CI13" s="272"/>
      <c r="CJ13" s="277">
        <f>'C1-Incomes'!GU15-'C1-Incomes'!HC15-CH13</f>
        <v>0</v>
      </c>
      <c r="CK13" s="277">
        <f t="shared" si="3"/>
        <v>30992</v>
      </c>
      <c r="CL13" s="277">
        <f>'C1-Incomes'!HC15-'C1-Incomes'!HK15-CK13</f>
        <v>0</v>
      </c>
      <c r="CM13" s="272">
        <f t="shared" si="4"/>
        <v>14053</v>
      </c>
      <c r="CN13" s="272">
        <f>TOTALS!AX73/1000000</f>
        <v>7389.3542761000008</v>
      </c>
      <c r="CO13" s="272">
        <f t="shared" si="5"/>
        <v>12911</v>
      </c>
      <c r="CP13" s="272">
        <f>'T-T1'!DE16</f>
        <v>26964</v>
      </c>
      <c r="CQ13" s="277">
        <f>'C1-Incomes'!HK15-'C1-Incomes'!HS15-CP13</f>
        <v>2.799999201670289E-4</v>
      </c>
      <c r="CR13" s="272">
        <f>'T-T3'!AG17-'T-T2'!AF16-'T-T2'!AG16</f>
        <v>34260</v>
      </c>
      <c r="CS13" s="272">
        <f>TOTALS!AY73/1000000</f>
        <v>31924.561160000001</v>
      </c>
      <c r="CT13" s="277">
        <f>'C1-Incomes'!HS15-'C1-Incomes'!IA15-CR13</f>
        <v>1.6000005416572094E-4</v>
      </c>
      <c r="CU13" s="277">
        <f>'T-T3a'!O17+'T-T3a'!P17</f>
        <v>31961</v>
      </c>
      <c r="CV13" s="277">
        <f>'C1-Incomes'!IA15-'C1-Incomes'!II15-CU13</f>
        <v>0</v>
      </c>
      <c r="CW13" s="272">
        <f>'T-T3'!H17</f>
        <v>12241.200249179965</v>
      </c>
      <c r="CX13" s="277">
        <f>'C1-Incomes'!IQ15-'C1-Incomes'!II15-CW13</f>
        <v>-2.4917989503592253E-4</v>
      </c>
      <c r="CY13" s="277">
        <f>'T-T3'!G17</f>
        <v>141393</v>
      </c>
      <c r="CZ13" s="277">
        <f>'C1-Incomes'!IY15-'C1-Incomes'!IQ15-CY13</f>
        <v>0</v>
      </c>
      <c r="DA13" s="277">
        <f>'C1-Incomes'!IY15-'T-T3'!Z17</f>
        <v>-7.8999996185302734E-4</v>
      </c>
      <c r="DB13" s="280"/>
      <c r="DC13" s="272">
        <f>TOTALS!BG12/1000000</f>
        <v>13963.670082000001</v>
      </c>
      <c r="DD13" s="272">
        <f>TOTALS!BH12/1000000</f>
        <v>0</v>
      </c>
      <c r="DE13" s="272">
        <f t="shared" si="8"/>
        <v>13963.670082000001</v>
      </c>
      <c r="DF13" s="272">
        <f>TOTALS!BI12/1000000</f>
        <v>12773.312081</v>
      </c>
    </row>
    <row r="14" spans="1:110" ht="12" customHeight="1" x14ac:dyDescent="0.3">
      <c r="A14" s="268">
        <v>1968</v>
      </c>
      <c r="B14" s="272">
        <f>'C1-Incomes'!AP16-'C1-Incomes'!AH16</f>
        <v>1203.3203600000124</v>
      </c>
      <c r="C14" s="272">
        <f>SUM('T-T1'!AN17:AP17)</f>
        <v>4207</v>
      </c>
      <c r="D14" s="272">
        <f>'T-T1'!AN17</f>
        <v>2734.55</v>
      </c>
      <c r="E14" s="277">
        <f>'C1-Incomes'!AX16-'C1-Incomes'!AP16-D14</f>
        <v>0.4499999999998181</v>
      </c>
      <c r="F14" s="272">
        <f>TOTALS!I74/1000000</f>
        <v>1104.800888</v>
      </c>
      <c r="G14" s="277">
        <v>0</v>
      </c>
      <c r="H14" s="272"/>
      <c r="I14" s="272"/>
      <c r="J14" s="276"/>
      <c r="K14" s="272">
        <f>TOTALS!W74/1000000</f>
        <v>703.78518799999995</v>
      </c>
      <c r="L14" s="272"/>
      <c r="M14" s="272">
        <f>TOTALS!BT74/1000000</f>
        <v>-262.89550500000001</v>
      </c>
      <c r="N14" s="272">
        <f>(TOTALS!CB74-TOTALS!CC74)/1000000</f>
        <v>-341.509075</v>
      </c>
      <c r="O14" s="272">
        <f t="shared" si="15"/>
        <v>1729.9725060000001</v>
      </c>
      <c r="P14" s="277">
        <f>'C1-Incomes'!BF16-'C1-Incomes'!AX16-O14</f>
        <v>3.9999922591960058E-6</v>
      </c>
      <c r="Q14" s="277">
        <f>'C22-Fiduciary'!T13</f>
        <v>2624.6340644753041</v>
      </c>
      <c r="R14" s="277">
        <f>'C1-Incomes'!BV16-'C1-Incomes'!BN16-Q14</f>
        <v>-6.4475342242076294E-5</v>
      </c>
      <c r="S14" s="270">
        <f>'T-T1'!CR17</f>
        <v>38584</v>
      </c>
      <c r="T14" s="270">
        <f t="shared" si="16"/>
        <v>2083.5360000000001</v>
      </c>
      <c r="U14" s="331">
        <f>ROUND('C12-CorpOwn'!T13,3)</f>
        <v>5.3999999999999999E-2</v>
      </c>
      <c r="V14" s="270">
        <f t="shared" si="10"/>
        <v>2855.2160000000003</v>
      </c>
      <c r="W14" s="279">
        <f>ROUND('C12-CorpOwn'!S13,3)</f>
        <v>7.3999999999999996E-2</v>
      </c>
      <c r="X14" s="272">
        <f t="shared" si="6"/>
        <v>33645.248</v>
      </c>
      <c r="Y14" s="279">
        <f>1-ROUND('C12-CorpOwn'!S13,3)-ROUND('C12-CorpOwn'!T13,3)</f>
        <v>0.872</v>
      </c>
      <c r="Z14" s="685">
        <f>'C1-Incomes'!CD16-'C1-Incomes'!BV16-S14</f>
        <v>0</v>
      </c>
      <c r="AA14" s="277">
        <f>'T-T1'!CP17</f>
        <v>39628</v>
      </c>
      <c r="AB14" s="277">
        <f>'T-T1'!AA17</f>
        <v>2464</v>
      </c>
      <c r="AC14" s="277">
        <f t="shared" si="7"/>
        <v>37164</v>
      </c>
      <c r="AD14" s="277">
        <f>'C1-Incomes'!CL16-'C1-Incomes'!CD16-AC14</f>
        <v>0</v>
      </c>
      <c r="AE14" s="277">
        <f t="shared" si="2"/>
        <v>14058</v>
      </c>
      <c r="AF14" s="277">
        <f>'C1-Incomes'!CT16-'C1-Incomes'!CL16-AE14</f>
        <v>0</v>
      </c>
      <c r="AG14" s="277">
        <f>'T-T1a'!C19</f>
        <v>-10662.112441681073</v>
      </c>
      <c r="AH14" s="277">
        <f>'T-T1a'!D19</f>
        <v>-5331.0562208405363</v>
      </c>
      <c r="AI14" s="277">
        <f>'T-T1a'!E19</f>
        <v>1871.5783707297169</v>
      </c>
      <c r="AJ14" s="277">
        <f>'T-T1a'!F19</f>
        <v>14121.590291791894</v>
      </c>
      <c r="AK14" s="277">
        <f>'C1-Incomes'!DB16-'C1-Incomes'!CT16</f>
        <v>0</v>
      </c>
      <c r="AL14" s="277">
        <f>'T-T1'!E17</f>
        <v>4507.5177377003711</v>
      </c>
      <c r="AM14" s="277">
        <f>'T-T1'!L17</f>
        <v>9606.9989772698173</v>
      </c>
      <c r="AN14" s="277">
        <f>'T-T1'!Q17</f>
        <v>16778.498773406067</v>
      </c>
      <c r="AO14" s="277">
        <f>'T-T1'!T17</f>
        <v>-321.68750330000057</v>
      </c>
      <c r="AP14" s="277">
        <f>'T-T1'!AH17</f>
        <v>165.65996780000023</v>
      </c>
      <c r="AQ14" s="277">
        <f t="shared" si="9"/>
        <v>30736.987952876254</v>
      </c>
      <c r="AR14" s="277">
        <f>'C1-Incomes'!DJ16-'C1-Incomes'!DB16-AQ14</f>
        <v>4.7123758122324944E-5</v>
      </c>
      <c r="AS14" s="277">
        <f t="shared" si="11"/>
        <v>29939</v>
      </c>
      <c r="AT14" s="277">
        <f>'T-T1'!U17</f>
        <v>14101</v>
      </c>
      <c r="AU14" s="277">
        <f>'T-T1'!EE17</f>
        <v>15838</v>
      </c>
      <c r="AV14" s="277">
        <f>TOTALS!AX74/1000000</f>
        <v>8238.7773882000001</v>
      </c>
      <c r="AW14" s="277">
        <f>'C1-Incomes'!DR16-'C1-Incomes'!DJ16-AS14</f>
        <v>7.3013990186154842E-4</v>
      </c>
      <c r="AX14" s="277">
        <f>(TOTALS!Z74+TOTALS!AA74)/1000000</f>
        <v>19530.758477299998</v>
      </c>
      <c r="AY14" s="277">
        <f>'T-T1'!I17</f>
        <v>19950</v>
      </c>
      <c r="AZ14" s="277">
        <f>'C1-Incomes'!DZ16-'C1-Incomes'!DR16-AY14</f>
        <v>4.771742969751358E-4</v>
      </c>
      <c r="BA14" s="272">
        <f>'T-T1'!G17</f>
        <v>14815</v>
      </c>
      <c r="BB14" s="277">
        <f>'C1-Incomes'!EH16-'C1-Incomes'!DZ16-BA14</f>
        <v>-4.7730281949043274E-9</v>
      </c>
      <c r="BC14" s="272">
        <f>'T-T1'!AD17+'T-T1'!AO17+'T-T1'!AR17+'T-T1'!AV17</f>
        <v>7040.4270198720087</v>
      </c>
      <c r="BD14" s="272">
        <f>ROUND('T-T1'!BJ17,0)</f>
        <v>18660</v>
      </c>
      <c r="BE14" s="277">
        <f>'C1-Incomes'!EP16-'C1-Incomes'!EH16-BC14-BD14</f>
        <v>-1.7181391740450636E-5</v>
      </c>
      <c r="BF14" s="272">
        <f>ROUND('T-T1'!BA17,0)</f>
        <v>46511</v>
      </c>
      <c r="BG14" s="272">
        <f>ROUND('T-T1'!BC17+'T-T1'!BE17,0)</f>
        <v>9</v>
      </c>
      <c r="BH14" s="272">
        <f>ROUND('T-T1'!V17+'T-T1'!AE17+'T-T1'!AP17+'T-T1'!AS17+'T-T1'!AW17+'T-T1'!BG17,0)</f>
        <v>2555</v>
      </c>
      <c r="BI14" s="272">
        <f>ROUND('T-T1'!AA17,0)</f>
        <v>2464</v>
      </c>
      <c r="BJ14" s="277">
        <f>'C1-Incomes'!EX16-'C1-Incomes'!EP16-SUM(BF14:BI14)</f>
        <v>0</v>
      </c>
      <c r="BK14" s="277">
        <f>'C1-Incomes'!EX16-'T-T1'!BN17</f>
        <v>7.926000002771616E-2</v>
      </c>
      <c r="BL14" s="272">
        <f>'T-T2'!J17+'T-T2'!K17</f>
        <v>26069</v>
      </c>
      <c r="BM14" s="272">
        <v>0</v>
      </c>
      <c r="BN14" s="272">
        <f t="shared" si="12"/>
        <v>26069</v>
      </c>
      <c r="BO14" s="277">
        <f>'C1-Incomes'!FF16-'C1-Incomes'!EX16-BL14</f>
        <v>0</v>
      </c>
      <c r="BP14" s="272">
        <f>'T-T2'!L17</f>
        <v>2207</v>
      </c>
      <c r="BQ14" s="277">
        <f>'C1-Incomes'!FN16-'C1-Incomes'!FF16-BP14</f>
        <v>0</v>
      </c>
      <c r="BR14" s="272">
        <v>0</v>
      </c>
      <c r="BS14" s="272">
        <f>'T-T2'!M17+'T-T2'!N17</f>
        <v>5804</v>
      </c>
      <c r="BT14" s="272">
        <f>SUM('T-T2'!O17:T17)</f>
        <v>6158</v>
      </c>
      <c r="BU14" s="272">
        <f t="shared" si="13"/>
        <v>11962</v>
      </c>
      <c r="BV14" s="272">
        <f>'C1-Incomes'!FV16-'C1-Incomes'!FN16-BU14</f>
        <v>0</v>
      </c>
      <c r="BW14" s="272">
        <f>'T-T2'!X17</f>
        <v>5058</v>
      </c>
      <c r="BX14" s="277">
        <f>'C1-Incomes'!GE16-'C1-Incomes'!FV16-BW14</f>
        <v>0</v>
      </c>
      <c r="BY14" s="272">
        <f>'T-T2'!AC17-'T-T2'!AF17-'T-T2'!AG17</f>
        <v>52474</v>
      </c>
      <c r="BZ14" s="277">
        <f t="shared" si="14"/>
        <v>7178</v>
      </c>
      <c r="CA14" s="277">
        <f>'C1-Incomes'!GM16-'C1-Incomes'!GE16-BZ14</f>
        <v>0</v>
      </c>
      <c r="CB14" s="277">
        <f>'C1-Incomes'!GM16-'T-T2'!B17</f>
        <v>0</v>
      </c>
      <c r="CC14" s="272">
        <f>'T-T1'!EB17</f>
        <v>76435</v>
      </c>
      <c r="CD14" s="272">
        <f>TOTALS!AV74/1000000</f>
        <v>75053.462606000001</v>
      </c>
      <c r="CE14" s="277">
        <f>TOTALS!BA74/1000000</f>
        <v>111.92354</v>
      </c>
      <c r="CF14" s="272">
        <f>'T-T3'!Q18</f>
        <v>4088</v>
      </c>
      <c r="CG14" s="277">
        <f>'C1-Incomes'!GM16-'C1-Incomes'!GU16-CC14-CE14-CF14</f>
        <v>-3.8999995376798324E-4</v>
      </c>
      <c r="CH14" s="277">
        <f>'T-T1'!ED17</f>
        <v>7841</v>
      </c>
      <c r="CI14" s="272"/>
      <c r="CJ14" s="277">
        <f>'C1-Incomes'!GU16-'C1-Incomes'!HC16-CH14</f>
        <v>0</v>
      </c>
      <c r="CK14" s="277">
        <f t="shared" si="3"/>
        <v>37164</v>
      </c>
      <c r="CL14" s="277">
        <f>'C1-Incomes'!HC16-'C1-Incomes'!HK16-CK14</f>
        <v>0</v>
      </c>
      <c r="CM14" s="272">
        <f t="shared" si="4"/>
        <v>15838</v>
      </c>
      <c r="CN14" s="272">
        <f>TOTALS!AX74/1000000</f>
        <v>8238.7773882000001</v>
      </c>
      <c r="CO14" s="272">
        <f t="shared" si="5"/>
        <v>14058</v>
      </c>
      <c r="CP14" s="272">
        <f>'T-T1'!DE17</f>
        <v>29896</v>
      </c>
      <c r="CQ14" s="277">
        <f>'C1-Incomes'!HK16-'C1-Incomes'!HS16-CP14</f>
        <v>3.8999994285404682E-4</v>
      </c>
      <c r="CR14" s="272">
        <f>'T-T3'!AG18-'T-T2'!AF17-'T-T2'!AG17</f>
        <v>37868</v>
      </c>
      <c r="CS14" s="272">
        <f>TOTALS!AY74/1000000</f>
        <v>35937.220358999999</v>
      </c>
      <c r="CT14" s="277">
        <f>'C1-Incomes'!HS16-'C1-Incomes'!IA16-CR14</f>
        <v>3.600000636652112E-4</v>
      </c>
      <c r="CU14" s="277">
        <f>'T-T3a'!O18+'T-T3a'!P18</f>
        <v>36723</v>
      </c>
      <c r="CV14" s="277">
        <f>'C1-Incomes'!IA16-'C1-Incomes'!II16-CU14</f>
        <v>0</v>
      </c>
      <c r="CW14" s="272">
        <f>'T-T3'!H18</f>
        <v>19916.844279999961</v>
      </c>
      <c r="CX14" s="277">
        <f>'C1-Incomes'!IQ16-'C1-Incomes'!II16-CW14</f>
        <v>-2.799999201670289E-4</v>
      </c>
      <c r="CY14" s="277">
        <f>'T-T3'!G18</f>
        <v>157736</v>
      </c>
      <c r="CZ14" s="277">
        <f>'C1-Incomes'!IY16-'C1-Incomes'!IQ16-CY14</f>
        <v>0</v>
      </c>
      <c r="DA14" s="277">
        <f>'C1-Incomes'!IY16-'T-T3'!Z18</f>
        <v>-6.399999838322401E-4</v>
      </c>
      <c r="DB14" s="280"/>
      <c r="DC14" s="272">
        <f>TOTALS!BG13/1000000</f>
        <v>15579.655016999999</v>
      </c>
      <c r="DD14" s="272">
        <f>TOTALS!BH13/1000000</f>
        <v>0</v>
      </c>
      <c r="DE14" s="272">
        <f t="shared" si="8"/>
        <v>15579.655016999999</v>
      </c>
      <c r="DF14" s="272">
        <f>TOTALS!BI13/1000000</f>
        <v>14390.761377000001</v>
      </c>
    </row>
    <row r="15" spans="1:110" ht="12" customHeight="1" x14ac:dyDescent="0.3">
      <c r="A15" s="268">
        <v>1969</v>
      </c>
      <c r="B15" s="272">
        <f>'C1-Incomes'!AP17-'C1-Incomes'!AH17</f>
        <v>1515.69001999998</v>
      </c>
      <c r="C15" s="272">
        <f>SUM('T-T1'!AN18:AP18)</f>
        <v>4846</v>
      </c>
      <c r="D15" s="272">
        <f>'T-T1'!AN18</f>
        <v>3149.9</v>
      </c>
      <c r="E15" s="277">
        <f>'C1-Incomes'!AX17-'C1-Incomes'!AP17-D15</f>
        <v>9.9999999999909051E-2</v>
      </c>
      <c r="F15" s="272">
        <f>TOTALS!I75/1000000</f>
        <v>1154.9637310000001</v>
      </c>
      <c r="G15" s="277">
        <v>0</v>
      </c>
      <c r="H15" s="272"/>
      <c r="I15" s="272"/>
      <c r="J15" s="276"/>
      <c r="K15" s="272">
        <f>TOTALS!W75/1000000</f>
        <v>838.44599120000009</v>
      </c>
      <c r="L15" s="272"/>
      <c r="M15" s="272">
        <f>TOTALS!BT75/1000000</f>
        <v>-21.370566</v>
      </c>
      <c r="N15" s="272">
        <f>(TOTALS!CB75-TOTALS!CC75)/1000000</f>
        <v>-372.57381249999997</v>
      </c>
      <c r="O15" s="272">
        <f t="shared" si="15"/>
        <v>1642.2064757000001</v>
      </c>
      <c r="P15" s="277">
        <f>'C1-Incomes'!BF17-'C1-Incomes'!AX17-O15</f>
        <v>-5.7000245305971475E-6</v>
      </c>
      <c r="Q15" s="277">
        <f>'C22-Fiduciary'!T14</f>
        <v>2643.649926662561</v>
      </c>
      <c r="R15" s="277">
        <f>'C1-Incomes'!BV17-'C1-Incomes'!BN17-Q15</f>
        <v>7.3337462254130514E-5</v>
      </c>
      <c r="S15" s="270">
        <f>'T-T1'!CR18</f>
        <v>34200</v>
      </c>
      <c r="T15" s="270">
        <f t="shared" si="16"/>
        <v>1881</v>
      </c>
      <c r="U15" s="331">
        <f>ROUND('C12-CorpOwn'!T14,3)</f>
        <v>5.5E-2</v>
      </c>
      <c r="V15" s="270">
        <f t="shared" si="10"/>
        <v>3078</v>
      </c>
      <c r="W15" s="279">
        <f>ROUND('C12-CorpOwn'!S14,3)</f>
        <v>0.09</v>
      </c>
      <c r="X15" s="272">
        <f t="shared" si="6"/>
        <v>29241</v>
      </c>
      <c r="Y15" s="279">
        <f>1-ROUND('C12-CorpOwn'!S14,3)-ROUND('C12-CorpOwn'!T14,3)</f>
        <v>0.85499999999999998</v>
      </c>
      <c r="Z15" s="685">
        <f>'C1-Incomes'!CD17-'C1-Incomes'!BV17-S15</f>
        <v>0</v>
      </c>
      <c r="AA15" s="277">
        <f>'T-T1'!CP18</f>
        <v>39977</v>
      </c>
      <c r="AB15" s="277">
        <f>'T-T1'!AA18</f>
        <v>3019</v>
      </c>
      <c r="AC15" s="277">
        <f t="shared" si="7"/>
        <v>36958</v>
      </c>
      <c r="AD15" s="277">
        <f>'C1-Incomes'!CL17-'C1-Incomes'!CD17-AC15</f>
        <v>0</v>
      </c>
      <c r="AE15" s="277">
        <f t="shared" si="2"/>
        <v>15117</v>
      </c>
      <c r="AF15" s="277">
        <f>'C1-Incomes'!CT17-'C1-Incomes'!CL17-AE15</f>
        <v>0</v>
      </c>
      <c r="AG15" s="277">
        <f>'T-T1a'!C20</f>
        <v>-13171.151343275462</v>
      </c>
      <c r="AH15" s="277">
        <f>'T-T1a'!D20</f>
        <v>-6585.5756716377309</v>
      </c>
      <c r="AI15" s="277">
        <f>'T-T1a'!E20</f>
        <v>4238.9742491706211</v>
      </c>
      <c r="AJ15" s="277">
        <f>'T-T1a'!F20</f>
        <v>15517.752765742574</v>
      </c>
      <c r="AK15" s="277">
        <f>'C1-Incomes'!DB17-'C1-Incomes'!CT17</f>
        <v>0</v>
      </c>
      <c r="AL15" s="277">
        <f>'T-T1'!E18</f>
        <v>5157.9379387110084</v>
      </c>
      <c r="AM15" s="277">
        <f>'T-T1'!L18</f>
        <v>9740.4729442357639</v>
      </c>
      <c r="AN15" s="277">
        <f>'T-T1'!Q18</f>
        <v>16740.26878241287</v>
      </c>
      <c r="AO15" s="277">
        <f>'T-T1'!T18</f>
        <v>-310.82268930000009</v>
      </c>
      <c r="AP15" s="277">
        <f>'T-T1'!AH18</f>
        <v>179.81897400000025</v>
      </c>
      <c r="AQ15" s="277">
        <f t="shared" si="9"/>
        <v>31507.675950059645</v>
      </c>
      <c r="AR15" s="277">
        <f>'C1-Incomes'!DJ17-'C1-Incomes'!DB17-AQ15</f>
        <v>4.9940332246478647E-5</v>
      </c>
      <c r="AS15" s="277">
        <f t="shared" si="11"/>
        <v>32060</v>
      </c>
      <c r="AT15" s="277">
        <f>'T-T1'!U18</f>
        <v>14414</v>
      </c>
      <c r="AU15" s="277">
        <f>'T-T1'!EE18</f>
        <v>17646</v>
      </c>
      <c r="AV15" s="277">
        <f>TOTALS!AX75/1000000</f>
        <v>9163.0521996000007</v>
      </c>
      <c r="AW15" s="277">
        <f>'C1-Incomes'!DR17-'C1-Incomes'!DJ17-AS15</f>
        <v>3.6672886926680803E-4</v>
      </c>
      <c r="AX15" s="277">
        <f>(TOTALS!Z75+TOTALS!AA75)/1000000</f>
        <v>22277.788690400001</v>
      </c>
      <c r="AY15" s="277">
        <f>'T-T1'!I18</f>
        <v>22754</v>
      </c>
      <c r="AZ15" s="277">
        <f>'C1-Incomes'!DZ17-'C1-Incomes'!DR17-AY15</f>
        <v>-3.0988431535661221E-4</v>
      </c>
      <c r="BA15" s="272">
        <f>'T-T1'!G18</f>
        <v>16798</v>
      </c>
      <c r="BB15" s="277">
        <f>'C1-Incomes'!EH17-'C1-Incomes'!DZ17-BA15</f>
        <v>-7.7998265624046326E-9</v>
      </c>
      <c r="BC15" s="272">
        <f>'T-T1'!AD18+'T-T1'!AO18+'T-T1'!AR18+'T-T1'!AV18</f>
        <v>9680.4353893399966</v>
      </c>
      <c r="BD15" s="272">
        <f>ROUND('T-T1'!BJ18,0)</f>
        <v>21160</v>
      </c>
      <c r="BE15" s="277">
        <f>'C1-Incomes'!EP17-'C1-Incomes'!EH17-BC15-BD15</f>
        <v>-3.861768200295046E-4</v>
      </c>
      <c r="BF15" s="272">
        <f>ROUND('T-T1'!BA18,0)</f>
        <v>51093</v>
      </c>
      <c r="BG15" s="272">
        <f>ROUND('T-T1'!BC18+'T-T1'!BE18,0)</f>
        <v>264</v>
      </c>
      <c r="BH15" s="272">
        <f>ROUND('T-T1'!V18+'T-T1'!AE18+'T-T1'!AP18+'T-T1'!AS18+'T-T1'!AW18+'T-T1'!BG18,0)</f>
        <v>2555</v>
      </c>
      <c r="BI15" s="272">
        <f>ROUND('T-T1'!AA18,0)</f>
        <v>3019</v>
      </c>
      <c r="BJ15" s="277">
        <f>'C1-Incomes'!EX17-'C1-Incomes'!EP17-SUM(BF15:BI15)</f>
        <v>0</v>
      </c>
      <c r="BK15" s="277">
        <f>'C1-Incomes'!EX17-'T-T1'!BN18</f>
        <v>0.59916999994311482</v>
      </c>
      <c r="BL15" s="272">
        <f>'T-T2'!J18+'T-T2'!K18</f>
        <v>27923</v>
      </c>
      <c r="BM15" s="272">
        <v>0</v>
      </c>
      <c r="BN15" s="272">
        <f t="shared" si="12"/>
        <v>27923</v>
      </c>
      <c r="BO15" s="277">
        <f>'C1-Incomes'!FF17-'C1-Incomes'!EX17-BL15</f>
        <v>0</v>
      </c>
      <c r="BP15" s="272">
        <f>'T-T2'!L18</f>
        <v>2327</v>
      </c>
      <c r="BQ15" s="277">
        <f>'C1-Incomes'!FN17-'C1-Incomes'!FF17-BP15</f>
        <v>0</v>
      </c>
      <c r="BR15" s="272">
        <v>0</v>
      </c>
      <c r="BS15" s="272">
        <f>'T-T2'!M18+'T-T2'!N18</f>
        <v>6537</v>
      </c>
      <c r="BT15" s="272">
        <f>SUM('T-T2'!O18:T18)</f>
        <v>7179</v>
      </c>
      <c r="BU15" s="272">
        <f t="shared" si="13"/>
        <v>13716</v>
      </c>
      <c r="BV15" s="272">
        <f>'C1-Incomes'!FV17-'C1-Incomes'!FN17-BU15</f>
        <v>0</v>
      </c>
      <c r="BW15" s="272">
        <f>'T-T2'!X18</f>
        <v>5781</v>
      </c>
      <c r="BX15" s="277">
        <f>'C1-Incomes'!GE17-'C1-Incomes'!FV17-BW15</f>
        <v>0</v>
      </c>
      <c r="BY15" s="272">
        <f>'T-T2'!AC18-'T-T2'!AF18-'T-T2'!AG18</f>
        <v>58059</v>
      </c>
      <c r="BZ15" s="277">
        <f t="shared" si="14"/>
        <v>8312</v>
      </c>
      <c r="CA15" s="277">
        <f>'C1-Incomes'!GM17-'C1-Incomes'!GE17-BZ15</f>
        <v>0</v>
      </c>
      <c r="CB15" s="277">
        <f>'C1-Incomes'!GM17-'T-T2'!B18</f>
        <v>0</v>
      </c>
      <c r="CC15" s="272">
        <f>'T-T1'!EB18</f>
        <v>91700</v>
      </c>
      <c r="CD15" s="272">
        <f>TOTALS!AV75/1000000</f>
        <v>84332.451847999997</v>
      </c>
      <c r="CE15" s="277">
        <f>TOTALS!BA75/1000000</f>
        <v>152.97447</v>
      </c>
      <c r="CF15" s="272">
        <f>'T-T3'!Q19</f>
        <v>4625</v>
      </c>
      <c r="CG15" s="277">
        <f>'C1-Incomes'!GM17-'C1-Incomes'!GU17-CC15-CE15-CF15</f>
        <v>-1.5000007897469914E-4</v>
      </c>
      <c r="CH15" s="277">
        <f>'T-T1'!ED18</f>
        <v>9769</v>
      </c>
      <c r="CI15" s="272"/>
      <c r="CJ15" s="277">
        <f>'C1-Incomes'!GU17-'C1-Incomes'!HC17-CH15</f>
        <v>0</v>
      </c>
      <c r="CK15" s="277">
        <f t="shared" si="3"/>
        <v>36958</v>
      </c>
      <c r="CL15" s="277">
        <f>'C1-Incomes'!HC17-'C1-Incomes'!HK17-CK15</f>
        <v>0</v>
      </c>
      <c r="CM15" s="272">
        <f t="shared" si="4"/>
        <v>17646</v>
      </c>
      <c r="CN15" s="272">
        <f>TOTALS!AX75/1000000</f>
        <v>9163.0521996000007</v>
      </c>
      <c r="CO15" s="272">
        <f t="shared" si="5"/>
        <v>15117</v>
      </c>
      <c r="CP15" s="272">
        <f>'T-T1'!DE18</f>
        <v>32763</v>
      </c>
      <c r="CQ15" s="277">
        <f>'C1-Incomes'!HK17-'C1-Incomes'!HS17-CP15</f>
        <v>2.0000000949949026E-4</v>
      </c>
      <c r="CR15" s="272">
        <f>'T-T3'!AG19-'T-T2'!AF18-'T-T2'!AG18</f>
        <v>43186</v>
      </c>
      <c r="CS15" s="272">
        <f>TOTALS!AY75/1000000</f>
        <v>41463.659865000001</v>
      </c>
      <c r="CT15" s="277">
        <f>'C1-Incomes'!HS17-'C1-Incomes'!IA17-CR15</f>
        <v>-1.2999994214624166E-4</v>
      </c>
      <c r="CU15" s="277">
        <f>'T-T3a'!O19+'T-T3a'!P19</f>
        <v>40329</v>
      </c>
      <c r="CV15" s="277">
        <f>'C1-Incomes'!IA17-'C1-Incomes'!II17-CU15</f>
        <v>0</v>
      </c>
      <c r="CW15" s="272">
        <f>'T-T3'!H19</f>
        <v>31326.375300000072</v>
      </c>
      <c r="CX15" s="277">
        <f>'C1-Incomes'!IQ17-'C1-Incomes'!II17-CW15</f>
        <v>-3.0000007245689631E-4</v>
      </c>
      <c r="CY15" s="277">
        <f>'T-T3'!G19</f>
        <v>170097</v>
      </c>
      <c r="CZ15" s="277">
        <f>'C1-Incomes'!IY17-'C1-Incomes'!IQ17-CY15</f>
        <v>0</v>
      </c>
      <c r="DA15" s="277">
        <f>'C1-Incomes'!IY17-'T-T3'!Z19</f>
        <v>-2.2000004537403584E-4</v>
      </c>
      <c r="DB15" s="280"/>
      <c r="DC15" s="272">
        <f>TOTALS!BG14/1000000</f>
        <v>16532.910442</v>
      </c>
      <c r="DD15" s="272">
        <f>TOTALS!BH14/1000000</f>
        <v>0</v>
      </c>
      <c r="DE15" s="272">
        <f t="shared" si="8"/>
        <v>16532.910442</v>
      </c>
      <c r="DF15" s="272">
        <f>TOTALS!BI14/1000000</f>
        <v>15256.803266000001</v>
      </c>
    </row>
    <row r="16" spans="1:110" ht="12" customHeight="1" x14ac:dyDescent="0.3">
      <c r="A16" s="268">
        <v>1970</v>
      </c>
      <c r="B16" s="272">
        <f>'C1-Incomes'!AP18-'C1-Incomes'!AH18</f>
        <v>1952.5810399999609</v>
      </c>
      <c r="C16" s="272">
        <f>SUM('T-T1'!AN19:AP19)</f>
        <v>5616</v>
      </c>
      <c r="D16" s="272">
        <f>'T-T1'!AN19</f>
        <v>3650.4</v>
      </c>
      <c r="E16" s="277">
        <f>'C1-Incomes'!AX18-'C1-Incomes'!AP18-D16</f>
        <v>-0.40000000000009095</v>
      </c>
      <c r="F16" s="272">
        <f>TOTALS!I76/1000000</f>
        <v>1160.792555</v>
      </c>
      <c r="G16" s="277">
        <v>0</v>
      </c>
      <c r="H16" s="272"/>
      <c r="I16" s="272"/>
      <c r="J16" s="276"/>
      <c r="K16" s="272">
        <f>TOTALS!W76/1000000</f>
        <v>831.9007368</v>
      </c>
      <c r="L16" s="277"/>
      <c r="M16" s="272">
        <f>TOTALS!BT76/1000000</f>
        <v>406.47592100000003</v>
      </c>
      <c r="N16" s="272">
        <f>(TOTALS!CB76-TOTALS!CC76)/1000000</f>
        <v>-407.02250834</v>
      </c>
      <c r="O16" s="272">
        <f t="shared" si="15"/>
        <v>1179.19486246</v>
      </c>
      <c r="P16" s="277">
        <f>'C1-Incomes'!BF18-'C1-Incomes'!AX18-O16</f>
        <v>-2.4599530661362223E-6</v>
      </c>
      <c r="Q16" s="277">
        <f>'C22-Fiduciary'!T15</f>
        <v>2662.6657888498171</v>
      </c>
      <c r="R16" s="277">
        <f>'C1-Incomes'!BV18-'C1-Incomes'!BN18-Q16</f>
        <v>-7.8884989625294111E-4</v>
      </c>
      <c r="S16" s="270">
        <f>'T-T1'!CR19</f>
        <v>27180</v>
      </c>
      <c r="T16" s="270">
        <f t="shared" si="16"/>
        <v>1494.9</v>
      </c>
      <c r="U16" s="331">
        <f>ROUND('C12-CorpOwn'!T15,3)</f>
        <v>5.5E-2</v>
      </c>
      <c r="V16" s="270">
        <f t="shared" si="10"/>
        <v>2799.5400000000009</v>
      </c>
      <c r="W16" s="279">
        <f>ROUND('C12-CorpOwn'!S15,3)</f>
        <v>0.10299999999999999</v>
      </c>
      <c r="X16" s="272">
        <f t="shared" si="6"/>
        <v>22885.559999999998</v>
      </c>
      <c r="Y16" s="279">
        <f>1-ROUND('C12-CorpOwn'!S15,3)-ROUND('C12-CorpOwn'!T15,3)</f>
        <v>0.84199999999999997</v>
      </c>
      <c r="Z16" s="685">
        <f>'C1-Incomes'!CD18-'C1-Incomes'!BV18-S16</f>
        <v>0</v>
      </c>
      <c r="AA16" s="277">
        <f>'T-T1'!CP19</f>
        <v>34757</v>
      </c>
      <c r="AB16" s="277">
        <f>'T-T1'!AA19</f>
        <v>3494</v>
      </c>
      <c r="AC16" s="277">
        <f t="shared" si="7"/>
        <v>31263</v>
      </c>
      <c r="AD16" s="277">
        <f>'C1-Incomes'!CL18-'C1-Incomes'!CD18-AC16</f>
        <v>0</v>
      </c>
      <c r="AE16" s="277">
        <f t="shared" si="2"/>
        <v>16606</v>
      </c>
      <c r="AF16" s="277">
        <f>'C1-Incomes'!CT18-'C1-Incomes'!CL18-AE16</f>
        <v>0</v>
      </c>
      <c r="AG16" s="277">
        <f>'T-T1a'!C21</f>
        <v>-14512.401295863541</v>
      </c>
      <c r="AH16" s="277">
        <f>'T-T1a'!D21</f>
        <v>-7256.2006479317706</v>
      </c>
      <c r="AI16" s="277">
        <f>'T-T1a'!E21</f>
        <v>5371.4013628579442</v>
      </c>
      <c r="AJ16" s="277">
        <f>'T-T1a'!F21</f>
        <v>16397.200580937366</v>
      </c>
      <c r="AK16" s="277">
        <f>'C1-Incomes'!DB18-'C1-Incomes'!CT18</f>
        <v>0</v>
      </c>
      <c r="AL16" s="277">
        <f>'T-T1'!E19</f>
        <v>1105.7776040596664</v>
      </c>
      <c r="AM16" s="277">
        <f>'T-T1'!L19</f>
        <v>10757.050773899991</v>
      </c>
      <c r="AN16" s="277">
        <f>'T-T1'!Q19</f>
        <v>17568.348427320001</v>
      </c>
      <c r="AO16" s="277">
        <f>'T-T1'!T19</f>
        <v>616.72105850000025</v>
      </c>
      <c r="AP16" s="277">
        <f>'T-T1'!AH19</f>
        <v>162.7547175000002</v>
      </c>
      <c r="AQ16" s="277">
        <f t="shared" si="9"/>
        <v>30210.652581279657</v>
      </c>
      <c r="AR16" s="277">
        <f>'C1-Incomes'!DJ18-'C1-Incomes'!DB18-AQ16</f>
        <v>4.1872039219015278E-4</v>
      </c>
      <c r="AS16" s="277">
        <f t="shared" si="11"/>
        <v>34576</v>
      </c>
      <c r="AT16" s="277">
        <f>'T-T1'!U19</f>
        <v>14508</v>
      </c>
      <c r="AU16" s="277">
        <f>'T-T1'!EE19</f>
        <v>20068</v>
      </c>
      <c r="AV16" s="277">
        <f>TOTALS!AX76/1000000</f>
        <v>10401.27968</v>
      </c>
      <c r="AW16" s="277">
        <f>'C1-Incomes'!DR18-'C1-Incomes'!DJ18-AS16</f>
        <v>-5.4919673129916191E-4</v>
      </c>
      <c r="AX16" s="277">
        <f>(TOTALS!Z76+TOTALS!AA76)/1000000</f>
        <v>23307.436930200001</v>
      </c>
      <c r="AY16" s="277">
        <f>'T-T1'!I19</f>
        <v>23839</v>
      </c>
      <c r="AZ16" s="277">
        <f>'C1-Incomes'!DZ18-'C1-Incomes'!DR18-AY16</f>
        <v>-6.9622648879885674E-5</v>
      </c>
      <c r="BA16" s="272">
        <f>'T-T1'!G19</f>
        <v>19481</v>
      </c>
      <c r="BB16" s="277">
        <f>'C1-Incomes'!EH18-'C1-Incomes'!DZ18-BA16</f>
        <v>-5.8207660913467407E-10</v>
      </c>
      <c r="BC16" s="272">
        <f>'T-T1'!AD19+'T-T1'!AO19+'T-T1'!AR19+'T-T1'!AV19</f>
        <v>13446.856623905003</v>
      </c>
      <c r="BD16" s="272">
        <f>ROUND('T-T1'!BJ19,0)</f>
        <v>21902</v>
      </c>
      <c r="BE16" s="277">
        <f>'C1-Incomes'!EP18-'C1-Incomes'!EH18-BC16-BD16</f>
        <v>3.7491496914299205E-4</v>
      </c>
      <c r="BF16" s="272">
        <f>ROUND('T-T1'!BA19,0)</f>
        <v>54739</v>
      </c>
      <c r="BG16" s="272">
        <f>ROUND('T-T1'!BC19+'T-T1'!BE19,0)</f>
        <v>-420</v>
      </c>
      <c r="BH16" s="272">
        <f>ROUND('T-T1'!V19+'T-T1'!AE19+'T-T1'!AP19+'T-T1'!AS19+'T-T1'!AW19+'T-T1'!BG19,0)</f>
        <v>1659</v>
      </c>
      <c r="BI16" s="272">
        <f>ROUND('T-T1'!AA19,0)</f>
        <v>3494</v>
      </c>
      <c r="BJ16" s="277">
        <f>'C1-Incomes'!EX18-'C1-Incomes'!EP18-SUM(BF16:BI16)</f>
        <v>0</v>
      </c>
      <c r="BK16" s="277">
        <f>'C1-Incomes'!EX18-'T-T1'!BN19</f>
        <v>-0.29677999997511506</v>
      </c>
      <c r="BL16" s="272">
        <f>'T-T2'!J19+'T-T2'!K19</f>
        <v>33125</v>
      </c>
      <c r="BM16" s="272">
        <v>0</v>
      </c>
      <c r="BN16" s="272">
        <f t="shared" si="12"/>
        <v>33125</v>
      </c>
      <c r="BO16" s="277">
        <f>'C1-Incomes'!FF18-'C1-Incomes'!EX18-BL16</f>
        <v>0</v>
      </c>
      <c r="BP16" s="272">
        <f>'T-T2'!L19</f>
        <v>4186</v>
      </c>
      <c r="BQ16" s="277">
        <f>'C1-Incomes'!FN18-'C1-Incomes'!FF18-BP16</f>
        <v>0</v>
      </c>
      <c r="BR16" s="272">
        <v>0</v>
      </c>
      <c r="BS16" s="272">
        <f>'T-T2'!M19+'T-T2'!N19</f>
        <v>7375</v>
      </c>
      <c r="BT16" s="272">
        <f>SUM('T-T2'!O19:T19)</f>
        <v>8874</v>
      </c>
      <c r="BU16" s="272">
        <f t="shared" si="13"/>
        <v>16249</v>
      </c>
      <c r="BV16" s="272">
        <f>'C1-Incomes'!FV18-'C1-Incomes'!FN18-BU16</f>
        <v>0</v>
      </c>
      <c r="BW16" s="272">
        <f>'T-T2'!X19</f>
        <v>6158</v>
      </c>
      <c r="BX16" s="277">
        <f>'C1-Incomes'!GE18-'C1-Incomes'!FV18-BW16</f>
        <v>0</v>
      </c>
      <c r="BY16" s="272">
        <f>'T-T2'!AC19-'T-T2'!AF19-'T-T2'!AG19</f>
        <v>70641</v>
      </c>
      <c r="BZ16" s="277">
        <f t="shared" si="14"/>
        <v>10923</v>
      </c>
      <c r="CA16" s="277">
        <f>'C1-Incomes'!GM18-'C1-Incomes'!GE18-BZ16</f>
        <v>-2.0000035874545574E-5</v>
      </c>
      <c r="CB16" s="277">
        <f>'C1-Incomes'!GM18-'T-T2'!B19</f>
        <v>-2.0000035874545574E-5</v>
      </c>
      <c r="CC16" s="272">
        <f>'T-T1'!EB19</f>
        <v>88853</v>
      </c>
      <c r="CD16" s="272">
        <f>TOTALS!AV76/1000000</f>
        <v>83683.395403000002</v>
      </c>
      <c r="CE16" s="277">
        <f>TOTALS!BA76/1000000</f>
        <v>135.686114</v>
      </c>
      <c r="CF16" s="272">
        <f>'T-T3'!Q20</f>
        <v>4764</v>
      </c>
      <c r="CG16" s="277">
        <f>'C1-Incomes'!GM18-'C1-Incomes'!GU18-CC16-CE16-CF16</f>
        <v>3.8599995241384022E-4</v>
      </c>
      <c r="CH16" s="277">
        <f>'T-T1'!ED19</f>
        <v>10903</v>
      </c>
      <c r="CI16" s="272"/>
      <c r="CJ16" s="277">
        <f>'C1-Incomes'!GU18-'C1-Incomes'!HC18-CH16</f>
        <v>0</v>
      </c>
      <c r="CK16" s="277">
        <f t="shared" si="3"/>
        <v>31263</v>
      </c>
      <c r="CL16" s="277">
        <f>'C1-Incomes'!HC18-'C1-Incomes'!HK18-CK16</f>
        <v>0</v>
      </c>
      <c r="CM16" s="272">
        <f t="shared" si="4"/>
        <v>20068</v>
      </c>
      <c r="CN16" s="272">
        <f>TOTALS!AX76/1000000</f>
        <v>10401.27968</v>
      </c>
      <c r="CO16" s="272">
        <f t="shared" si="5"/>
        <v>16606</v>
      </c>
      <c r="CP16" s="272">
        <f>'T-T1'!DE19</f>
        <v>36674</v>
      </c>
      <c r="CQ16" s="277">
        <f>'C1-Incomes'!HK18-'C1-Incomes'!HS18-CP16</f>
        <v>-3.1999999191612005E-4</v>
      </c>
      <c r="CR16" s="272">
        <f>'T-T3'!AG20-'T-T2'!AF19-'T-T2'!AG19</f>
        <v>45304</v>
      </c>
      <c r="CS16" s="272">
        <f>TOTALS!AY76/1000000</f>
        <v>43015.068463000003</v>
      </c>
      <c r="CT16" s="277">
        <f>'C1-Incomes'!HS18-'C1-Incomes'!IA18-CR16</f>
        <v>4.6000001020729542E-4</v>
      </c>
      <c r="CU16" s="277">
        <f>'T-T3a'!O20+'T-T3a'!P20</f>
        <v>43114</v>
      </c>
      <c r="CV16" s="277">
        <f>'C1-Incomes'!IA18-'C1-Incomes'!II18-CU16</f>
        <v>0</v>
      </c>
      <c r="CW16" s="272">
        <f>'T-T3'!H20</f>
        <v>7591.9828939998988</v>
      </c>
      <c r="CX16" s="277">
        <f>'C1-Incomes'!IQ18-'C1-Incomes'!II18-CW16</f>
        <v>1.0600010864436626E-4</v>
      </c>
      <c r="CY16" s="277">
        <f>'T-T3'!G20</f>
        <v>182778</v>
      </c>
      <c r="CZ16" s="277">
        <f>'C1-Incomes'!IY18-'C1-Incomes'!IQ18-CY16</f>
        <v>0</v>
      </c>
      <c r="DA16" s="277">
        <f>'C1-Incomes'!IY18-'T-T3'!Z20</f>
        <v>-4.3999997433274984E-4</v>
      </c>
      <c r="DB16" s="280"/>
      <c r="DC16" s="272">
        <f>TOTALS!BG15/1000000</f>
        <v>16903.778894999999</v>
      </c>
      <c r="DD16" s="272">
        <f>TOTALS!BH15/1000000</f>
        <v>0</v>
      </c>
      <c r="DE16" s="272">
        <f t="shared" si="8"/>
        <v>16903.778894999999</v>
      </c>
      <c r="DF16" s="272">
        <f>TOTALS!BI15/1000000</f>
        <v>15683.934364999999</v>
      </c>
    </row>
    <row r="17" spans="1:110" ht="12" customHeight="1" x14ac:dyDescent="0.3">
      <c r="A17" s="268">
        <v>1971</v>
      </c>
      <c r="B17" s="272">
        <f>'C1-Incomes'!AP19-'C1-Incomes'!AH19</f>
        <v>2280.3373700000811</v>
      </c>
      <c r="C17" s="272">
        <f>SUM('T-T1'!AN20:AP20)</f>
        <v>6544</v>
      </c>
      <c r="D17" s="272">
        <f>'T-T1'!AN20</f>
        <v>4253.6000000000004</v>
      </c>
      <c r="E17" s="277">
        <f>'C1-Incomes'!AX19-'C1-Incomes'!AP19-D17</f>
        <v>0.3999999999996362</v>
      </c>
      <c r="F17" s="272">
        <f>TOTALS!I77/1000000</f>
        <v>1168.444094</v>
      </c>
      <c r="G17" s="277">
        <v>0</v>
      </c>
      <c r="H17" s="272"/>
      <c r="I17" s="272"/>
      <c r="J17" s="272">
        <f>TOTALS!Y77/1000000</f>
        <v>539.49337300000002</v>
      </c>
      <c r="K17" s="272">
        <f>TOTALS!W77/1000000</f>
        <v>963.0192816</v>
      </c>
      <c r="L17" s="277">
        <f>TOTALS!K77/1000000</f>
        <v>185.58838531999999</v>
      </c>
      <c r="M17" s="272">
        <f>TOTALS!BT77/1000000</f>
        <v>590.38828999999998</v>
      </c>
      <c r="N17" s="272">
        <f>(TOTALS!CB77-TOTALS!CC77)/1000000</f>
        <v>-438.05182300000001</v>
      </c>
      <c r="O17" s="272">
        <f t="shared" si="15"/>
        <v>377.94150428</v>
      </c>
      <c r="P17" s="277">
        <f>'C1-Incomes'!BF19-'C1-Incomes'!AX19-O17</f>
        <v>5.7199168850274873E-6</v>
      </c>
      <c r="Q17" s="277">
        <f>'C22-Fiduciary'!T16</f>
        <v>3131.8972417894965</v>
      </c>
      <c r="R17" s="277">
        <f>'C1-Incomes'!BV19-'C1-Incomes'!BN19-Q17</f>
        <v>7.5821054815605748E-4</v>
      </c>
      <c r="S17" s="270">
        <f>'T-T1'!CR20</f>
        <v>37455</v>
      </c>
      <c r="T17" s="270">
        <f t="shared" si="16"/>
        <v>2060.0250000000001</v>
      </c>
      <c r="U17" s="331">
        <f>ROUND('C12-CorpOwn'!T16,3)</f>
        <v>5.5E-2</v>
      </c>
      <c r="V17" s="270">
        <f t="shared" si="10"/>
        <v>4457.1450000000004</v>
      </c>
      <c r="W17" s="279">
        <f>ROUND('C12-CorpOwn'!S16,3)</f>
        <v>0.11899999999999999</v>
      </c>
      <c r="X17" s="272">
        <f t="shared" si="6"/>
        <v>30937.829999999998</v>
      </c>
      <c r="Y17" s="279">
        <f>1-ROUND('C12-CorpOwn'!S16,3)-ROUND('C12-CorpOwn'!T16,3)</f>
        <v>0.82599999999999996</v>
      </c>
      <c r="Z17" s="685">
        <f>'C1-Incomes'!CD19-'C1-Incomes'!BV19-S17</f>
        <v>0</v>
      </c>
      <c r="AA17" s="277">
        <f>'T-T1'!CP20</f>
        <v>38165</v>
      </c>
      <c r="AB17" s="277">
        <f>'T-T1'!AA20</f>
        <v>3357</v>
      </c>
      <c r="AC17" s="277">
        <f t="shared" si="7"/>
        <v>34808</v>
      </c>
      <c r="AD17" s="277">
        <f>'C1-Incomes'!CL19-'C1-Incomes'!CD19-AC17</f>
        <v>0</v>
      </c>
      <c r="AE17" s="277">
        <f t="shared" si="2"/>
        <v>18369</v>
      </c>
      <c r="AF17" s="277">
        <f>'C1-Incomes'!CT19-'C1-Incomes'!CL19-AE17</f>
        <v>0</v>
      </c>
      <c r="AG17" s="277">
        <f>'T-T1a'!C22</f>
        <v>-15347.965222760644</v>
      </c>
      <c r="AH17" s="277">
        <f>'T-T1a'!D22</f>
        <v>-7673.9826113803219</v>
      </c>
      <c r="AI17" s="277">
        <f>'T-T1a'!E22</f>
        <v>5572.5404476555841</v>
      </c>
      <c r="AJ17" s="277">
        <f>'T-T1a'!F22</f>
        <v>17449.407386485382</v>
      </c>
      <c r="AK17" s="277">
        <f>'C1-Incomes'!DB19-'C1-Incomes'!CT19</f>
        <v>-1.0000000474974513E-3</v>
      </c>
      <c r="AL17" s="277">
        <f>'T-T1'!E20</f>
        <v>-2070.8501917257217</v>
      </c>
      <c r="AM17" s="277">
        <f>'T-T1'!L20</f>
        <v>12524.140676558271</v>
      </c>
      <c r="AN17" s="277">
        <f>'T-T1'!Q20</f>
        <v>21293.91956896838</v>
      </c>
      <c r="AO17" s="277">
        <f>'T-T1'!T20</f>
        <v>-266.60402339999928</v>
      </c>
      <c r="AP17" s="277">
        <f>'T-T1'!AH20</f>
        <v>197.92219060000002</v>
      </c>
      <c r="AQ17" s="277">
        <f t="shared" si="9"/>
        <v>31678.528221000928</v>
      </c>
      <c r="AR17" s="277">
        <f>'C1-Incomes'!DJ19-'C1-Incomes'!DB19-AQ17</f>
        <v>7.7899916868773289E-4</v>
      </c>
      <c r="AS17" s="277">
        <f t="shared" si="11"/>
        <v>37558</v>
      </c>
      <c r="AT17" s="277">
        <f>'T-T1'!U20</f>
        <v>15482</v>
      </c>
      <c r="AU17" s="277">
        <f>'T-T1'!EE20</f>
        <v>22076</v>
      </c>
      <c r="AV17" s="277">
        <f>TOTALS!AX77/1000000</f>
        <v>11657.572032</v>
      </c>
      <c r="AW17" s="277">
        <f>'C1-Incomes'!DR19-'C1-Incomes'!DJ19-AS17</f>
        <v>5.2085029892623425E-5</v>
      </c>
      <c r="AX17" s="277">
        <f>(TOTALS!Z77+TOTALS!AA77)/1000000</f>
        <v>26021.431699500001</v>
      </c>
      <c r="AY17" s="277">
        <f>'T-T1'!I20</f>
        <v>26446</v>
      </c>
      <c r="AZ17" s="277">
        <f>'C1-Incomes'!DZ19-'C1-Incomes'!DR19-AY17</f>
        <v>-3.004011232405901E-4</v>
      </c>
      <c r="BA17" s="272">
        <f>'T-T1'!G20</f>
        <v>21385</v>
      </c>
      <c r="BB17" s="277">
        <f>'C1-Incomes'!EH19-'C1-Incomes'!DZ19-BA17</f>
        <v>2.5611370801925659E-9</v>
      </c>
      <c r="BC17" s="272">
        <f>'T-T1'!AD20+'T-T1'!AO20+'T-T1'!AR20+'T-T1'!AV20</f>
        <v>15717.842068090009</v>
      </c>
      <c r="BD17" s="272">
        <f>ROUND('T-T1'!BJ20,0)</f>
        <v>24320</v>
      </c>
      <c r="BE17" s="277">
        <f>'C1-Incomes'!EP19-'C1-Incomes'!EH19-BC17-BD17</f>
        <v>-6.9776571763213724E-5</v>
      </c>
      <c r="BF17" s="272">
        <f>ROUND('T-T1'!BA20,0)</f>
        <v>60048</v>
      </c>
      <c r="BG17" s="272">
        <f>ROUND('T-T1'!BC20+'T-T1'!BE20,0)</f>
        <v>-518</v>
      </c>
      <c r="BH17" s="272">
        <f>ROUND('T-T1'!V20+'T-T1'!AE20+'T-T1'!AP20+'T-T1'!AS20+'T-T1'!AW20+'T-T1'!BG20,0)</f>
        <v>1571</v>
      </c>
      <c r="BI17" s="272">
        <f>ROUND('T-T1'!AA20,0)</f>
        <v>3357</v>
      </c>
      <c r="BJ17" s="277">
        <f>'C1-Incomes'!EX19-'C1-Incomes'!EP19-SUM(BF17:BI17)</f>
        <v>1.0000076144933701E-5</v>
      </c>
      <c r="BK17" s="277">
        <f>'C1-Incomes'!EX19-'T-T1'!BN20</f>
        <v>0.3473000000230968</v>
      </c>
      <c r="BL17" s="272">
        <f>'T-T2'!J20+'T-T2'!K20</f>
        <v>38612</v>
      </c>
      <c r="BM17" s="272">
        <v>0</v>
      </c>
      <c r="BN17" s="272">
        <f t="shared" si="12"/>
        <v>38612</v>
      </c>
      <c r="BO17" s="277">
        <f>'C1-Incomes'!FF19-'C1-Incomes'!EX19-BL17</f>
        <v>0</v>
      </c>
      <c r="BP17" s="272">
        <f>'T-T2'!L20</f>
        <v>6160</v>
      </c>
      <c r="BQ17" s="277">
        <f>'C1-Incomes'!FN19-'C1-Incomes'!FF19-BP17</f>
        <v>0</v>
      </c>
      <c r="BR17" s="272">
        <v>0</v>
      </c>
      <c r="BS17" s="272">
        <f>'T-T2'!M20+'T-T2'!N20</f>
        <v>8337</v>
      </c>
      <c r="BT17" s="272">
        <f>SUM('T-T2'!O20:T20)</f>
        <v>10528</v>
      </c>
      <c r="BU17" s="272">
        <f t="shared" si="13"/>
        <v>18865</v>
      </c>
      <c r="BV17" s="272">
        <f>'C1-Incomes'!FV19-'C1-Incomes'!FN19-BU17</f>
        <v>0</v>
      </c>
      <c r="BW17" s="272">
        <f>'T-T2'!X20</f>
        <v>6747</v>
      </c>
      <c r="BX17" s="277">
        <f>'C1-Incomes'!GE19-'C1-Incomes'!FV19-BW17</f>
        <v>0</v>
      </c>
      <c r="BY17" s="272">
        <f>'T-T2'!AC20-'T-T2'!AF20-'T-T2'!AG20</f>
        <v>84110</v>
      </c>
      <c r="BZ17" s="277">
        <f t="shared" si="14"/>
        <v>13726</v>
      </c>
      <c r="CA17" s="277">
        <f>'C1-Incomes'!GM19-'C1-Incomes'!GE19-BZ17</f>
        <v>0</v>
      </c>
      <c r="CB17" s="277">
        <f>'C1-Incomes'!GM19-'T-T2'!B20</f>
        <v>0</v>
      </c>
      <c r="CC17" s="272">
        <f>'T-T1'!EB20</f>
        <v>85803</v>
      </c>
      <c r="CD17" s="272">
        <f>TOTALS!AV77/1000000</f>
        <v>85086.197209999998</v>
      </c>
      <c r="CE17" s="277">
        <f>TOTALS!BA77/1000000</f>
        <v>199.190293</v>
      </c>
      <c r="CF17" s="272">
        <f>'T-T3'!Q21</f>
        <v>5797</v>
      </c>
      <c r="CG17" s="277">
        <f>'C1-Incomes'!GM19-'C1-Incomes'!GU19-CC17-CE17-CF17</f>
        <v>2.0700002642115578E-4</v>
      </c>
      <c r="CH17" s="277">
        <f>'T-T1'!ED20</f>
        <v>12440</v>
      </c>
      <c r="CI17" s="272"/>
      <c r="CJ17" s="277">
        <f>'C1-Incomes'!GU19-'C1-Incomes'!HC19-CH17</f>
        <v>9.9999597296118736E-6</v>
      </c>
      <c r="CK17" s="277">
        <f t="shared" si="3"/>
        <v>34808</v>
      </c>
      <c r="CL17" s="277">
        <f>'C1-Incomes'!HC19-'C1-Incomes'!HK19-CK17</f>
        <v>0</v>
      </c>
      <c r="CM17" s="272">
        <f t="shared" si="4"/>
        <v>22076</v>
      </c>
      <c r="CN17" s="272">
        <f>TOTALS!AX77/1000000</f>
        <v>11657.572032</v>
      </c>
      <c r="CO17" s="272">
        <f t="shared" si="5"/>
        <v>18369</v>
      </c>
      <c r="CP17" s="272">
        <f>'T-T1'!DE20</f>
        <v>40445</v>
      </c>
      <c r="CQ17" s="277">
        <f>'C1-Incomes'!HK19-'C1-Incomes'!HS19-CP17</f>
        <v>2.9999995604157448E-5</v>
      </c>
      <c r="CR17" s="272">
        <f>'T-T3'!AG21-'T-T2'!AF20-'T-T2'!AG20</f>
        <v>49898</v>
      </c>
      <c r="CS17" s="272">
        <f>TOTALS!AY77/1000000</f>
        <v>48580.710422999997</v>
      </c>
      <c r="CT17" s="277">
        <f>'C1-Incomes'!HS19-'C1-Incomes'!IA19-CR17</f>
        <v>4.3000001460313797E-4</v>
      </c>
      <c r="CU17" s="277">
        <f>'T-T3a'!O21+'T-T3a'!P21</f>
        <v>47480</v>
      </c>
      <c r="CV17" s="277">
        <f>'C1-Incomes'!IA19-'C1-Incomes'!II19-CU17</f>
        <v>0</v>
      </c>
      <c r="CW17" s="272">
        <f>'T-T3'!H21</f>
        <v>-5494.1570069999434</v>
      </c>
      <c r="CX17" s="277">
        <f>'C1-Incomes'!IQ19-'C1-Incomes'!II19-CW17</f>
        <v>6.9999368861317635E-6</v>
      </c>
      <c r="CY17" s="277">
        <f>'T-T3'!G21</f>
        <v>198254</v>
      </c>
      <c r="CZ17" s="277">
        <f>'C1-Incomes'!IY19-'C1-Incomes'!IQ19-CY17</f>
        <v>-2.9999995604157448E-5</v>
      </c>
      <c r="DA17" s="277">
        <f>'C1-Incomes'!IY19-'T-T3'!Z21</f>
        <v>-6.99999975040555E-4</v>
      </c>
      <c r="DB17" s="280"/>
      <c r="DC17" s="272">
        <f>TOTALS!BG16/1000000</f>
        <v>17758.099978999999</v>
      </c>
      <c r="DD17" s="272">
        <f>TOTALS!BH16/1000000</f>
        <v>0</v>
      </c>
      <c r="DE17" s="272">
        <f t="shared" si="8"/>
        <v>17758.099978999999</v>
      </c>
      <c r="DF17" s="272">
        <f>TOTALS!BI16/1000000</f>
        <v>16270.776501</v>
      </c>
    </row>
    <row r="18" spans="1:110" ht="12" customHeight="1" x14ac:dyDescent="0.3">
      <c r="A18" s="268">
        <v>1972</v>
      </c>
      <c r="B18" s="272">
        <f>'C1-Incomes'!AP20-'C1-Incomes'!AH20</f>
        <v>2506.4024999999674</v>
      </c>
      <c r="C18" s="272">
        <f>SUM('T-T1'!AN21:AP21)</f>
        <v>7534</v>
      </c>
      <c r="D18" s="272">
        <f>'T-T1'!AN21</f>
        <v>4897.1000000000004</v>
      </c>
      <c r="E18" s="277">
        <f>'C1-Incomes'!AX20-'C1-Incomes'!AP20-D18</f>
        <v>-0.1000000000003638</v>
      </c>
      <c r="F18" s="272">
        <f>TOTALS!I78/1000000</f>
        <v>1224.6104849999999</v>
      </c>
      <c r="G18" s="277">
        <v>0</v>
      </c>
      <c r="H18" s="272">
        <f>TOTALS!AB78/1000000</f>
        <v>313.69835499999999</v>
      </c>
      <c r="I18" s="272"/>
      <c r="J18" s="272">
        <f>TOTALS!Y78/1000000</f>
        <v>656.34402599999999</v>
      </c>
      <c r="K18" s="272">
        <f>TOTALS!W78/1000000</f>
        <v>1093.99596</v>
      </c>
      <c r="L18" s="277">
        <f>TOTALS!K78/1000000</f>
        <v>288.38483200000002</v>
      </c>
      <c r="M18" s="272">
        <f>TOTALS!BT78/1000000</f>
        <v>268.05296299999998</v>
      </c>
      <c r="N18" s="272">
        <f>(TOTALS!CB78-TOTALS!CC78)/1000000</f>
        <v>-549.04284399999995</v>
      </c>
      <c r="O18" s="272">
        <f t="shared" si="15"/>
        <v>243.08342500000003</v>
      </c>
      <c r="P18" s="277">
        <f>'C1-Incomes'!BF20-'C1-Incomes'!AX20-O18</f>
        <v>-4.999960992790875E-6</v>
      </c>
      <c r="Q18" s="277">
        <f>'C22-Fiduciary'!T17</f>
        <v>3601.128694729176</v>
      </c>
      <c r="R18" s="277">
        <f>'C1-Incomes'!BV20-'C1-Incomes'!BN20-Q18</f>
        <v>-6.9472914992729784E-4</v>
      </c>
      <c r="S18" s="270">
        <f>'T-T1'!CR21</f>
        <v>48035</v>
      </c>
      <c r="T18" s="270">
        <f t="shared" si="16"/>
        <v>2641.9250000000002</v>
      </c>
      <c r="U18" s="331">
        <f>ROUND('C12-CorpOwn'!T17,3)</f>
        <v>5.5E-2</v>
      </c>
      <c r="V18" s="270">
        <f t="shared" si="10"/>
        <v>5812.2350000000006</v>
      </c>
      <c r="W18" s="279">
        <f>ROUND('C12-CorpOwn'!S17,3)</f>
        <v>0.121</v>
      </c>
      <c r="X18" s="272">
        <f t="shared" si="6"/>
        <v>39580.839999999997</v>
      </c>
      <c r="Y18" s="279">
        <f>1-ROUND('C12-CorpOwn'!S17,3)-ROUND('C12-CorpOwn'!T17,3)</f>
        <v>0.82399999999999995</v>
      </c>
      <c r="Z18" s="685">
        <f>'C1-Incomes'!CD20-'C1-Incomes'!BV20-S18</f>
        <v>0</v>
      </c>
      <c r="AA18" s="277">
        <f>'T-T1'!CP21</f>
        <v>42341</v>
      </c>
      <c r="AB18" s="277">
        <f>'T-T1'!AA21</f>
        <v>3231</v>
      </c>
      <c r="AC18" s="277">
        <f t="shared" si="7"/>
        <v>39110</v>
      </c>
      <c r="AD18" s="277">
        <f>'C1-Incomes'!CL20-'C1-Incomes'!CD20-AC18</f>
        <v>0</v>
      </c>
      <c r="AE18" s="277">
        <f t="shared" si="2"/>
        <v>19447</v>
      </c>
      <c r="AF18" s="277">
        <f>'C1-Incomes'!CT20-'C1-Incomes'!CL20-AE18</f>
        <v>0</v>
      </c>
      <c r="AG18" s="277">
        <f>'T-T1a'!C23</f>
        <v>-13936.382557663426</v>
      </c>
      <c r="AH18" s="277">
        <f>'T-T1a'!D23</f>
        <v>-6968.1912788317131</v>
      </c>
      <c r="AI18" s="277">
        <f>'T-T1a'!E23</f>
        <v>4891.4672304621135</v>
      </c>
      <c r="AJ18" s="277">
        <f>'T-T1a'!F23</f>
        <v>16013.106606033027</v>
      </c>
      <c r="AK18" s="277">
        <f>'C1-Incomes'!DB20-'C1-Incomes'!CT20</f>
        <v>0</v>
      </c>
      <c r="AL18" s="277">
        <f>'T-T1'!E21</f>
        <v>-4518.3277158843448</v>
      </c>
      <c r="AM18" s="277">
        <f>'T-T1'!L21</f>
        <v>15243.648972248642</v>
      </c>
      <c r="AN18" s="277">
        <f>'T-T1'!Q21</f>
        <v>25147.590501830269</v>
      </c>
      <c r="AO18" s="277">
        <f>'T-T1'!T21</f>
        <v>-135.96881839999969</v>
      </c>
      <c r="AP18" s="277">
        <f>'T-T1'!AH21</f>
        <v>329.0612556000001</v>
      </c>
      <c r="AQ18" s="277">
        <f t="shared" si="9"/>
        <v>36066.004195394569</v>
      </c>
      <c r="AR18" s="277">
        <f>'C1-Incomes'!DJ20-'C1-Incomes'!DB20-AQ18</f>
        <v>-1.9539461209205911E-4</v>
      </c>
      <c r="AS18" s="277">
        <f t="shared" si="11"/>
        <v>39091</v>
      </c>
      <c r="AT18" s="277">
        <f>'T-T1'!U21</f>
        <v>15311</v>
      </c>
      <c r="AU18" s="277">
        <f>'T-T1'!EE21</f>
        <v>23780</v>
      </c>
      <c r="AV18" s="277">
        <f>TOTALS!AX78/1000000</f>
        <v>13163.358129</v>
      </c>
      <c r="AW18" s="277">
        <f>'C1-Incomes'!DR20-'C1-Incomes'!DJ20-AS18</f>
        <v>2.1527567878365517E-4</v>
      </c>
      <c r="AX18" s="277">
        <f>(TOTALS!Z78+TOTALS!AA78)/1000000</f>
        <v>30543.8931925</v>
      </c>
      <c r="AY18" s="277">
        <f>'T-T1'!I21</f>
        <v>31157</v>
      </c>
      <c r="AZ18" s="277">
        <f>'C1-Incomes'!DZ20-'C1-Incomes'!DR20-AY18</f>
        <v>1.9289669580757618E-4</v>
      </c>
      <c r="BA18" s="272">
        <f>'T-T1'!G21</f>
        <v>24481</v>
      </c>
      <c r="BB18" s="277">
        <f>'C1-Incomes'!EH20-'C1-Incomes'!DZ20-BA18</f>
        <v>-1.0826624929904938E-8</v>
      </c>
      <c r="BC18" s="272">
        <f>'T-T1'!AD21+'T-T1'!AO21+'T-T1'!AR21+'T-T1'!AV21</f>
        <v>13543.434767520004</v>
      </c>
      <c r="BD18" s="272">
        <f>ROUND('T-T1'!BJ21,0)</f>
        <v>27428</v>
      </c>
      <c r="BE18" s="277">
        <f>'C1-Incomes'!EP20-'C1-Incomes'!EH20-BC18-BD18</f>
        <v>1.8431845091981813E-4</v>
      </c>
      <c r="BF18" s="272">
        <f>ROUND('T-T1'!BA21,0)</f>
        <v>64701</v>
      </c>
      <c r="BG18" s="272">
        <f>ROUND('T-T1'!BC21+'T-T1'!BE21,0)</f>
        <v>-1857</v>
      </c>
      <c r="BH18" s="272">
        <f>ROUND('T-T1'!V21+'T-T1'!AE21+'T-T1'!AP21+'T-T1'!AS21+'T-T1'!AW21+'T-T1'!BG21,0)</f>
        <v>2312</v>
      </c>
      <c r="BI18" s="272">
        <f>ROUND('T-T1'!AA21,0)</f>
        <v>3231</v>
      </c>
      <c r="BJ18" s="277">
        <f>'C1-Incomes'!EX20-'C1-Incomes'!EP20-SUM(BF18:BI18)</f>
        <v>0</v>
      </c>
      <c r="BK18" s="277">
        <f>'C1-Incomes'!EX20-'T-T1'!BN21</f>
        <v>-0.14309999998658895</v>
      </c>
      <c r="BL18" s="272">
        <f>'T-T2'!J21+'T-T2'!K21</f>
        <v>43102</v>
      </c>
      <c r="BM18" s="272">
        <v>0</v>
      </c>
      <c r="BN18" s="272">
        <f t="shared" si="12"/>
        <v>43102</v>
      </c>
      <c r="BO18" s="277">
        <f>'C1-Incomes'!FF20-'C1-Incomes'!EX20-BL18</f>
        <v>0</v>
      </c>
      <c r="BP18" s="272">
        <f>'T-T2'!L21</f>
        <v>6033</v>
      </c>
      <c r="BQ18" s="277">
        <f>'C1-Incomes'!FN20-'C1-Incomes'!FF20-BP18</f>
        <v>0</v>
      </c>
      <c r="BR18" s="272">
        <v>0</v>
      </c>
      <c r="BS18" s="272">
        <f>'T-T2'!M21+'T-T2'!N21</f>
        <v>9304</v>
      </c>
      <c r="BT18" s="272">
        <f>SUM('T-T2'!O21:T21)</f>
        <v>11598</v>
      </c>
      <c r="BU18" s="272">
        <f t="shared" si="13"/>
        <v>20902</v>
      </c>
      <c r="BV18" s="272">
        <f>'C1-Incomes'!FV20-'C1-Incomes'!FN20-BU18</f>
        <v>0</v>
      </c>
      <c r="BW18" s="272">
        <f>'T-T2'!X21</f>
        <v>7454</v>
      </c>
      <c r="BX18" s="277">
        <f>'C1-Incomes'!GE20-'C1-Incomes'!FV20-BW18</f>
        <v>0</v>
      </c>
      <c r="BY18" s="272">
        <f>'T-T2'!AC21-'T-T2'!AF21-'T-T2'!AG21</f>
        <v>93426</v>
      </c>
      <c r="BZ18" s="277">
        <f t="shared" si="14"/>
        <v>15935</v>
      </c>
      <c r="CA18" s="277">
        <f>'C1-Incomes'!GM20-'C1-Incomes'!GE20-BZ18</f>
        <v>0</v>
      </c>
      <c r="CB18" s="277">
        <f>'C1-Incomes'!GM20-'T-T2'!B21</f>
        <v>0</v>
      </c>
      <c r="CC18" s="272">
        <f>'T-T1'!EB21</f>
        <v>102757</v>
      </c>
      <c r="CD18" s="272">
        <f>TOTALS!AV78/1000000</f>
        <v>94226.637583999996</v>
      </c>
      <c r="CE18" s="277">
        <f>TOTALS!BA78/1000000</f>
        <v>222.624878</v>
      </c>
      <c r="CF18" s="272">
        <f>'T-T3'!Q22</f>
        <v>6804</v>
      </c>
      <c r="CG18" s="277">
        <f>'C1-Incomes'!GM20-'C1-Incomes'!GU20-CC18-CE18-CF18</f>
        <v>-4.7799991170904832E-4</v>
      </c>
      <c r="CH18" s="277">
        <f>'T-T1'!ED21</f>
        <v>17197</v>
      </c>
      <c r="CI18" s="272">
        <f>TOTALS!AP78/1000000</f>
        <v>12884.969472999999</v>
      </c>
      <c r="CJ18" s="277">
        <f>'C1-Incomes'!GU20-'C1-Incomes'!HC20-CH18</f>
        <v>4.9999984912574291E-4</v>
      </c>
      <c r="CK18" s="277">
        <f t="shared" si="3"/>
        <v>39110</v>
      </c>
      <c r="CL18" s="277">
        <f>'C1-Incomes'!HC20-'C1-Incomes'!HK20-CK18</f>
        <v>0</v>
      </c>
      <c r="CM18" s="272">
        <f t="shared" si="4"/>
        <v>23780</v>
      </c>
      <c r="CN18" s="272">
        <f>TOTALS!AX78/1000000</f>
        <v>13163.358129</v>
      </c>
      <c r="CO18" s="272">
        <f t="shared" si="5"/>
        <v>19447</v>
      </c>
      <c r="CP18" s="272">
        <f>'T-T1'!DE21</f>
        <v>43227</v>
      </c>
      <c r="CQ18" s="277">
        <f>'C1-Incomes'!HK20-'C1-Incomes'!HS20-CP18</f>
        <v>1.0000006295740604E-4</v>
      </c>
      <c r="CR18" s="272">
        <f>'T-T3'!AG22-'T-T2'!AF21-'T-T2'!AG21</f>
        <v>57818</v>
      </c>
      <c r="CS18" s="272">
        <f>TOTALS!AY78/1000000</f>
        <v>55470.684107000001</v>
      </c>
      <c r="CT18" s="277">
        <f>'C1-Incomes'!HS20-'C1-Incomes'!IA20-CR18</f>
        <v>1.1999998241662979E-4</v>
      </c>
      <c r="CU18" s="277">
        <f>'T-T3a'!O22+'T-T3a'!P22</f>
        <v>50874</v>
      </c>
      <c r="CV18" s="277">
        <f>'C1-Incomes'!IA20-'C1-Incomes'!II20-CU18</f>
        <v>0</v>
      </c>
      <c r="CW18" s="272">
        <f>'T-T3'!H22</f>
        <v>10856.767977999989</v>
      </c>
      <c r="CX18" s="277">
        <f>'C1-Incomes'!IQ20-'C1-Incomes'!II20-CW18</f>
        <v>2.1999934688210487E-5</v>
      </c>
      <c r="CY18" s="277">
        <f>'T-T3'!G22</f>
        <v>213727</v>
      </c>
      <c r="CZ18" s="277">
        <f>'C1-Incomes'!IY20-'C1-Incomes'!IQ20-CY18</f>
        <v>2.0000152289867401E-5</v>
      </c>
      <c r="DA18" s="277">
        <f>'C1-Incomes'!IY20-'T-T3'!Z22</f>
        <v>-1.9999989308416843E-4</v>
      </c>
      <c r="DB18" s="280"/>
      <c r="DC18" s="272">
        <f>TOTALS!BG17/1000000</f>
        <v>18279.266002</v>
      </c>
      <c r="DD18" s="272">
        <f>TOTALS!BH17/1000000</f>
        <v>0</v>
      </c>
      <c r="DE18" s="272">
        <f t="shared" si="8"/>
        <v>18279.266002</v>
      </c>
      <c r="DF18" s="272">
        <f>TOTALS!BI17/1000000</f>
        <v>16696.315433</v>
      </c>
    </row>
    <row r="19" spans="1:110" ht="12" customHeight="1" x14ac:dyDescent="0.3">
      <c r="A19" s="268">
        <v>1973</v>
      </c>
      <c r="B19" s="272">
        <f>'C1-Incomes'!AP21-'C1-Incomes'!AH21</f>
        <v>3923.7307499999879</v>
      </c>
      <c r="C19" s="272">
        <f>SUM('T-T1'!AN22:AP22)</f>
        <v>8456</v>
      </c>
      <c r="D19" s="272">
        <f>'T-T1'!AN22</f>
        <v>5496.4000000000005</v>
      </c>
      <c r="E19" s="277">
        <f>'C1-Incomes'!AX21-'C1-Incomes'!AP21-D19</f>
        <v>-0.4000000000005457</v>
      </c>
      <c r="F19" s="272">
        <f>TOTALS!I79/1000000</f>
        <v>1223.2677739999999</v>
      </c>
      <c r="G19" s="277">
        <v>0</v>
      </c>
      <c r="H19" s="272">
        <f>TOTALS!AB79/1000000</f>
        <v>314.67359099999999</v>
      </c>
      <c r="I19" s="272"/>
      <c r="J19" s="272">
        <f>TOTALS!Y79/1000000</f>
        <v>1000.748324</v>
      </c>
      <c r="K19" s="272">
        <f>TOTALS!W79/1000000</f>
        <v>1130.5580904000001</v>
      </c>
      <c r="L19" s="277">
        <f>TOTALS!K79/1000000</f>
        <v>385.56848200000002</v>
      </c>
      <c r="M19" s="272">
        <f>TOTALS!BT79/1000000</f>
        <v>339.74337600000001</v>
      </c>
      <c r="N19" s="272">
        <f>(TOTALS!CB79-TOTALS!CC79)/1000000</f>
        <v>-551.65732300000002</v>
      </c>
      <c r="O19" s="272">
        <f t="shared" si="15"/>
        <v>-238.56523160000017</v>
      </c>
      <c r="P19" s="277">
        <f>'C1-Incomes'!BF21-'C1-Incomes'!AX21-O19</f>
        <v>1.5999345350792282E-6</v>
      </c>
      <c r="Q19" s="277">
        <f>'C22-Fiduciary'!T18</f>
        <v>4070.3601476688555</v>
      </c>
      <c r="R19" s="277">
        <f>'C1-Incomes'!BV21-'C1-Incomes'!BN21-Q19</f>
        <v>-1.4766875301575055E-4</v>
      </c>
      <c r="S19" s="270">
        <f>'T-T1'!CR22</f>
        <v>53510</v>
      </c>
      <c r="T19" s="270">
        <f t="shared" si="16"/>
        <v>2996.56</v>
      </c>
      <c r="U19" s="331">
        <f>ROUND('C12-CorpOwn'!T18,3)</f>
        <v>5.6000000000000001E-2</v>
      </c>
      <c r="V19" s="270">
        <f t="shared" si="10"/>
        <v>7437.8900000000067</v>
      </c>
      <c r="W19" s="279">
        <f>ROUND('C12-CorpOwn'!S18,3)</f>
        <v>0.13900000000000001</v>
      </c>
      <c r="X19" s="272">
        <f t="shared" si="6"/>
        <v>43075.549999999996</v>
      </c>
      <c r="Y19" s="279">
        <f>1-ROUND('C12-CorpOwn'!S18,3)-ROUND('C12-CorpOwn'!T18,3)</f>
        <v>0.80499999999999994</v>
      </c>
      <c r="Z19" s="685">
        <f>'C1-Incomes'!CD21-'C1-Incomes'!BV21-S19</f>
        <v>0</v>
      </c>
      <c r="AA19" s="277">
        <f>'T-T1'!CP22</f>
        <v>49973</v>
      </c>
      <c r="AB19" s="277">
        <f>'T-T1'!AA22</f>
        <v>4341</v>
      </c>
      <c r="AC19" s="277">
        <f t="shared" si="7"/>
        <v>45632</v>
      </c>
      <c r="AD19" s="277">
        <f>'C1-Incomes'!CL21-'C1-Incomes'!CD21-AC19</f>
        <v>0</v>
      </c>
      <c r="AE19" s="277">
        <f t="shared" si="2"/>
        <v>20565</v>
      </c>
      <c r="AF19" s="277">
        <f>'C1-Incomes'!CT21-'C1-Incomes'!CL21-AE19</f>
        <v>0</v>
      </c>
      <c r="AG19" s="277">
        <f>'T-T1a'!C24</f>
        <v>-24865.209582891293</v>
      </c>
      <c r="AH19" s="277">
        <f>'T-T1a'!D24</f>
        <v>-12432.604791445647</v>
      </c>
      <c r="AI19" s="277">
        <f>'T-T1a'!E24</f>
        <v>9979.0371162067477</v>
      </c>
      <c r="AJ19" s="277">
        <f>'T-T1a'!F24</f>
        <v>27318.777258130198</v>
      </c>
      <c r="AK19" s="277">
        <f>'C1-Incomes'!DB21-'C1-Incomes'!CT21</f>
        <v>-1.0000000474974513E-3</v>
      </c>
      <c r="AL19" s="277">
        <f>'T-T1'!E22</f>
        <v>-2780.9226874002534</v>
      </c>
      <c r="AM19" s="277">
        <f>'T-T1'!L22</f>
        <v>22863.695767586021</v>
      </c>
      <c r="AN19" s="277">
        <f>'T-T1'!Q22</f>
        <v>25312.286005382783</v>
      </c>
      <c r="AO19" s="277">
        <f>'T-T1'!T22</f>
        <v>466.71349550000014</v>
      </c>
      <c r="AP19" s="277">
        <f>'T-T1'!AH22</f>
        <v>211.07644200000004</v>
      </c>
      <c r="AQ19" s="277">
        <f>SUM(AL19:AP19)</f>
        <v>46072.849023068549</v>
      </c>
      <c r="AR19" s="277">
        <f>'C1-Incomes'!DJ21-'C1-Incomes'!DB21-AQ19</f>
        <v>-1.0230685511487536E-3</v>
      </c>
      <c r="AS19" s="277">
        <f t="shared" si="11"/>
        <v>40334</v>
      </c>
      <c r="AT19" s="277">
        <f>'T-T1'!U22</f>
        <v>14544</v>
      </c>
      <c r="AU19" s="277">
        <f>'T-T1'!EE22</f>
        <v>25790</v>
      </c>
      <c r="AV19" s="277">
        <f>TOTALS!AX79/1000000</f>
        <v>13715.246252999999</v>
      </c>
      <c r="AW19" s="277">
        <f>'C1-Incomes'!DR21-'C1-Incomes'!DJ21-AS19</f>
        <v>3.9878871757537127E-4</v>
      </c>
      <c r="AX19" s="277">
        <f>(TOTALS!Z79+TOTALS!AA79)/1000000</f>
        <v>38695.549465800003</v>
      </c>
      <c r="AY19" s="277">
        <f>'T-T1'!I22</f>
        <v>39783</v>
      </c>
      <c r="AZ19" s="277">
        <f>'C1-Incomes'!DZ21-'C1-Incomes'!DR21-AY19</f>
        <v>4.6628899872303009E-4</v>
      </c>
      <c r="BA19" s="272">
        <f>'T-T1'!G22</f>
        <v>27573</v>
      </c>
      <c r="BB19" s="277">
        <f>'C1-Incomes'!EH21-'C1-Incomes'!DZ21-BA19</f>
        <v>5.3551048040390015E-9</v>
      </c>
      <c r="BC19" s="272">
        <f>'T-T1'!AD22+'T-T1'!AO22+'T-T1'!AR22+'T-T1'!AV22</f>
        <v>18093.676667099993</v>
      </c>
      <c r="BD19" s="272">
        <f>ROUND('T-T1'!BJ22,0)</f>
        <v>24637</v>
      </c>
      <c r="BE19" s="277">
        <f>'C1-Incomes'!EP21-'C1-Incomes'!EH21-BC19-BD19</f>
        <v>3.6781682865694165E-4</v>
      </c>
      <c r="BF19" s="272">
        <f>ROUND('T-T1'!BA22,0)</f>
        <v>70865</v>
      </c>
      <c r="BG19" s="272">
        <f>ROUND('T-T1'!BC22+'T-T1'!BE22,0)</f>
        <v>510</v>
      </c>
      <c r="BH19" s="272">
        <f>ROUND('T-T1'!V22+'T-T1'!AE22+'T-T1'!AP22+'T-T1'!AS22+'T-T1'!AW22+'T-T1'!BG22,0)</f>
        <v>1862</v>
      </c>
      <c r="BI19" s="272">
        <f>ROUND('T-T1'!AA22,0)</f>
        <v>4341</v>
      </c>
      <c r="BJ19" s="277">
        <f>'C1-Incomes'!EX21-'C1-Incomes'!EP21-SUM(BF19:BI19)</f>
        <v>0</v>
      </c>
      <c r="BK19" s="277">
        <f>'C1-Incomes'!EX21-'T-T1'!BN22</f>
        <v>0.14109999989159405</v>
      </c>
      <c r="BL19" s="277">
        <f>'T-T2'!J22+'T-T2'!K22</f>
        <v>53231</v>
      </c>
      <c r="BM19" s="277">
        <v>0</v>
      </c>
      <c r="BN19" s="277">
        <f t="shared" si="12"/>
        <v>53231</v>
      </c>
      <c r="BO19" s="277">
        <f>'C1-Incomes'!FF21-'C1-Incomes'!EX21-BL19</f>
        <v>0</v>
      </c>
      <c r="BP19" s="277">
        <f>'T-T2'!L22</f>
        <v>4570</v>
      </c>
      <c r="BQ19" s="277">
        <f>'C1-Incomes'!FN21-'C1-Incomes'!FF21-BP19</f>
        <v>0</v>
      </c>
      <c r="BR19" s="277">
        <v>0</v>
      </c>
      <c r="BS19" s="277">
        <f>'T-T2'!M22+'T-T2'!N22</f>
        <v>10101</v>
      </c>
      <c r="BT19" s="277">
        <f>SUM('T-T2'!O22:T22)</f>
        <v>12150</v>
      </c>
      <c r="BU19" s="277">
        <f t="shared" si="13"/>
        <v>22251</v>
      </c>
      <c r="BV19" s="277">
        <f>'C1-Incomes'!FV21-'C1-Incomes'!FN21-BU19</f>
        <v>0</v>
      </c>
      <c r="BW19" s="277">
        <f>'T-T2'!X22</f>
        <v>8694</v>
      </c>
      <c r="BX19" s="277">
        <f>'C1-Incomes'!GE21-'C1-Incomes'!FV21-BW19</f>
        <v>0</v>
      </c>
      <c r="BY19" s="272">
        <f>'T-T2'!AC22-'T-T2'!AF22-'T-T2'!AG22</f>
        <v>107078</v>
      </c>
      <c r="BZ19" s="277">
        <f>BY19-BW19-BS19-BP19-BL19-BT19</f>
        <v>18332</v>
      </c>
      <c r="CA19" s="277">
        <f>'C1-Incomes'!GM21-'C1-Incomes'!GE21-BZ19</f>
        <v>0</v>
      </c>
      <c r="CB19" s="277">
        <f>'C1-Incomes'!GM21-'T-T2'!B22</f>
        <v>0</v>
      </c>
      <c r="CC19" s="272">
        <f>'T-T1'!EB22</f>
        <v>109581</v>
      </c>
      <c r="CD19" s="272">
        <f>TOTALS!AV79/1000000</f>
        <v>108946.256934</v>
      </c>
      <c r="CE19" s="277">
        <f>TOTALS!BA79/1000000</f>
        <v>242.279946</v>
      </c>
      <c r="CF19" s="272">
        <f>'T-T3'!Q23</f>
        <v>6601</v>
      </c>
      <c r="CG19" s="277">
        <f>'C1-Incomes'!GM21-'C1-Incomes'!GU21-CC19-CE19-CF19</f>
        <v>-4.6000034672033507E-5</v>
      </c>
      <c r="CH19" s="277">
        <f>'T-T1'!ED22</f>
        <v>18864</v>
      </c>
      <c r="CI19" s="277">
        <f>TOTALS!AP79/1000000</f>
        <v>14727.174057</v>
      </c>
      <c r="CJ19" s="277">
        <f>'C1-Incomes'!GU21-'C1-Incomes'!HC21-CH19</f>
        <v>9.999983012676239E-5</v>
      </c>
      <c r="CK19" s="277">
        <f t="shared" si="3"/>
        <v>45632</v>
      </c>
      <c r="CL19" s="277">
        <f>'C1-Incomes'!HC21-'C1-Incomes'!HK21-CK19</f>
        <v>0</v>
      </c>
      <c r="CM19" s="272">
        <f t="shared" si="4"/>
        <v>25790</v>
      </c>
      <c r="CN19" s="272">
        <f>TOTALS!AX79/1000000</f>
        <v>13715.246252999999</v>
      </c>
      <c r="CO19" s="272">
        <f t="shared" si="5"/>
        <v>20565</v>
      </c>
      <c r="CP19" s="272">
        <f>'T-T1'!DE22</f>
        <v>46355</v>
      </c>
      <c r="CQ19" s="277">
        <f>'C1-Incomes'!HK21-'C1-Incomes'!HS21-CP19</f>
        <v>2.0000012591481209E-4</v>
      </c>
      <c r="CR19" s="272">
        <f>'T-T3'!AG23-'T-T2'!AF22-'T-T2'!AG22</f>
        <v>73950</v>
      </c>
      <c r="CS19" s="272">
        <f>TOTALS!AY79/1000000</f>
        <v>72013.616934999998</v>
      </c>
      <c r="CT19" s="277">
        <f>'C1-Incomes'!HS21-'C1-Incomes'!IA21-CR19</f>
        <v>0</v>
      </c>
      <c r="CU19" s="277">
        <f>'T-T3a'!O23+'T-T3a'!P23</f>
        <v>55962</v>
      </c>
      <c r="CV19" s="277">
        <f>'C1-Incomes'!IA21-'C1-Incomes'!II21-CU19</f>
        <v>0</v>
      </c>
      <c r="CW19" s="272">
        <f>'T-T3'!H23</f>
        <v>24288.138845999958</v>
      </c>
      <c r="CX19" s="277">
        <f>'C1-Incomes'!IQ21-'C1-Incomes'!II21-CW19</f>
        <v>1.5400012489408255E-4</v>
      </c>
      <c r="CY19" s="277">
        <f>'T-T3'!G23</f>
        <v>225821</v>
      </c>
      <c r="CZ19" s="277">
        <f>'C1-Incomes'!IY21-'C1-Incomes'!IQ21-CY19</f>
        <v>0</v>
      </c>
      <c r="DA19" s="277">
        <f>'C1-Incomes'!IY21-'T-T3'!Z23</f>
        <v>-1.0000006295740604E-4</v>
      </c>
      <c r="DB19" s="280"/>
      <c r="DC19" s="272">
        <f>TOTALS!BG18/1000000</f>
        <v>16680.514542000001</v>
      </c>
      <c r="DD19" s="272">
        <f>TOTALS!BH18/1000000</f>
        <v>0</v>
      </c>
      <c r="DE19" s="272">
        <f t="shared" si="8"/>
        <v>16680.514542000001</v>
      </c>
      <c r="DF19" s="272">
        <f>TOTALS!BI18/1000000</f>
        <v>14984.178121999999</v>
      </c>
    </row>
    <row r="20" spans="1:110" ht="12" customHeight="1" x14ac:dyDescent="0.3">
      <c r="A20" s="268">
        <v>1974</v>
      </c>
      <c r="B20" s="272">
        <f>'C1-Incomes'!AP22-'C1-Incomes'!AH22</f>
        <v>4854.0851900000125</v>
      </c>
      <c r="C20" s="272">
        <f>SUM('T-T1'!AN23:AP23)</f>
        <v>9620</v>
      </c>
      <c r="D20" s="272">
        <f>'T-T1'!AN23</f>
        <v>6253</v>
      </c>
      <c r="E20" s="277">
        <f>'C1-Incomes'!AX22-'C1-Incomes'!AP22-D20</f>
        <v>0</v>
      </c>
      <c r="F20" s="272">
        <f>TOTALS!I80/1000000</f>
        <v>1305.776098</v>
      </c>
      <c r="G20" s="277">
        <v>0</v>
      </c>
      <c r="H20" s="272">
        <f>TOTALS!AB80/1000000</f>
        <v>404.46881300000001</v>
      </c>
      <c r="I20" s="272"/>
      <c r="J20" s="272">
        <f>TOTALS!Y80/1000000</f>
        <v>1333.0184119999999</v>
      </c>
      <c r="K20" s="272">
        <f>TOTALS!W80/1000000</f>
        <v>1426.0454728</v>
      </c>
      <c r="L20" s="277">
        <f>TOTALS!K80/1000000</f>
        <v>338.47232000000002</v>
      </c>
      <c r="M20" s="272">
        <f>TOTALS!BT80/1000000</f>
        <v>418.640669</v>
      </c>
      <c r="N20" s="272">
        <f>(TOTALS!CB80-TOTALS!CC80)/1000000</f>
        <v>-638.47148996999999</v>
      </c>
      <c r="O20" s="272">
        <f t="shared" si="15"/>
        <v>-401.25013316999991</v>
      </c>
      <c r="P20" s="277">
        <f>'C1-Incomes'!BF22-'C1-Incomes'!AX22-O20</f>
        <v>3.1700577665105811E-6</v>
      </c>
      <c r="Q20" s="277">
        <f>'C22-Fiduciary'!T19</f>
        <v>4539.5916006085345</v>
      </c>
      <c r="R20" s="277">
        <f>'C1-Incomes'!BV22-'C1-Incomes'!BN22-Q20</f>
        <v>3.9939141151990043E-4</v>
      </c>
      <c r="S20" s="270">
        <f>'T-T1'!CR23</f>
        <v>39701</v>
      </c>
      <c r="T20" s="270">
        <f t="shared" si="16"/>
        <v>2302.6579999999999</v>
      </c>
      <c r="U20" s="331">
        <f>ROUND('C12-CorpOwn'!T19,3)</f>
        <v>5.8000000000000003E-2</v>
      </c>
      <c r="V20" s="270">
        <f t="shared" si="10"/>
        <v>6828.5719999999965</v>
      </c>
      <c r="W20" s="279">
        <f>ROUND('C12-CorpOwn'!S19,3)</f>
        <v>0.17199999999999999</v>
      </c>
      <c r="X20" s="272">
        <f t="shared" si="6"/>
        <v>30569.77</v>
      </c>
      <c r="Y20" s="279">
        <f>1-ROUND('C12-CorpOwn'!S19,3)-ROUND('C12-CorpOwn'!T19,3)</f>
        <v>0.77</v>
      </c>
      <c r="Z20" s="685">
        <f>'C1-Incomes'!CD22-'C1-Incomes'!BV22-S20</f>
        <v>0</v>
      </c>
      <c r="AA20" s="277">
        <f>'T-T1'!CP23</f>
        <v>52785</v>
      </c>
      <c r="AB20" s="277">
        <f>'T-T1'!AA23</f>
        <v>5550</v>
      </c>
      <c r="AC20" s="277">
        <f t="shared" si="7"/>
        <v>47235</v>
      </c>
      <c r="AD20" s="277">
        <f>'C1-Incomes'!CL22-'C1-Incomes'!CD22-AC20</f>
        <v>-9.9999597296118736E-6</v>
      </c>
      <c r="AE20" s="277">
        <f t="shared" si="2"/>
        <v>21408</v>
      </c>
      <c r="AF20" s="277">
        <f>'C1-Incomes'!CT22-'C1-Incomes'!CL22-AE20</f>
        <v>0</v>
      </c>
      <c r="AG20" s="277">
        <f>'T-T1a'!C25</f>
        <v>-46208</v>
      </c>
      <c r="AH20" s="277">
        <f>'T-T1a'!D25</f>
        <v>-23104</v>
      </c>
      <c r="AI20" s="277">
        <f>'T-T1a'!E25</f>
        <v>21583</v>
      </c>
      <c r="AJ20" s="277">
        <f>'T-T1a'!F25</f>
        <v>47729</v>
      </c>
      <c r="AK20" s="277">
        <f>'C1-Incomes'!DB22-'C1-Incomes'!CT22</f>
        <v>0</v>
      </c>
      <c r="AL20" s="277">
        <f>'T-T1'!E23</f>
        <v>-12126.260104678837</v>
      </c>
      <c r="AM20" s="277">
        <f>'T-T1'!L23</f>
        <v>32320.985672901388</v>
      </c>
      <c r="AN20" s="277">
        <f>'T-T1'!Q23</f>
        <v>27024.610031399723</v>
      </c>
      <c r="AO20" s="277">
        <f>'T-T1'!T23</f>
        <v>-1398.8635438999991</v>
      </c>
      <c r="AP20" s="277">
        <f>'T-T1'!AH23</f>
        <v>271.24848060000022</v>
      </c>
      <c r="AQ20" s="277">
        <f t="shared" si="9"/>
        <v>46091.720536322275</v>
      </c>
      <c r="AR20" s="277">
        <f>'C1-Incomes'!DJ22-'C1-Incomes'!DB22-AQ20</f>
        <v>-5.3632230265066028E-4</v>
      </c>
      <c r="AS20" s="277">
        <f t="shared" si="11"/>
        <v>42422</v>
      </c>
      <c r="AT20" s="277">
        <f>'T-T1'!U23</f>
        <v>14850</v>
      </c>
      <c r="AU20" s="277">
        <f>'T-T1'!EE23</f>
        <v>27572</v>
      </c>
      <c r="AV20" s="277">
        <f>TOTALS!AX80/1000000</f>
        <v>15965.689822</v>
      </c>
      <c r="AW20" s="277">
        <f>'C1-Incomes'!DR22-'C1-Incomes'!DJ22-AS20</f>
        <v>-2.6631611399352551E-4</v>
      </c>
      <c r="AX20" s="277">
        <f>(TOTALS!Z80+TOTALS!AA80)/1000000</f>
        <v>44123.8600572</v>
      </c>
      <c r="AY20" s="277">
        <f>'T-T1'!I23</f>
        <v>44694</v>
      </c>
      <c r="AZ20" s="277">
        <f>'C1-Incomes'!DZ22-'C1-Incomes'!DR22-AY20</f>
        <v>5.7058176025748253E-5</v>
      </c>
      <c r="BA20" s="272">
        <f>'T-T1'!G23</f>
        <v>31627</v>
      </c>
      <c r="BB20" s="277">
        <f>'C1-Incomes'!EH22-'C1-Incomes'!DZ22-BA20</f>
        <v>-1.7695128917694092E-8</v>
      </c>
      <c r="BC20" s="272">
        <f>'T-T1'!AD23+'T-T1'!AO23+'T-T1'!AR23+'T-T1'!AV23</f>
        <v>25198.872661327994</v>
      </c>
      <c r="BD20" s="272">
        <f>ROUND('T-T1'!BJ23,0)</f>
        <v>24285</v>
      </c>
      <c r="BE20" s="277">
        <f>'C1-Incomes'!EP22-'C1-Incomes'!EH22-BC20-BD20</f>
        <v>3.4794765088008717E-4</v>
      </c>
      <c r="BF20" s="272">
        <f>ROUND('T-T1'!BA23,0)</f>
        <v>75922</v>
      </c>
      <c r="BG20" s="272">
        <f>ROUND('T-T1'!BC23+'T-T1'!BE23,0)</f>
        <v>3481</v>
      </c>
      <c r="BH20" s="272">
        <f>ROUND('T-T1'!V23+'T-T1'!AE23+'T-T1'!AP23+'T-T1'!AS23+'T-T1'!AW23+'T-T1'!BG23,0)</f>
        <v>2251</v>
      </c>
      <c r="BI20" s="272">
        <f>ROUND('T-T1'!AA23,0)</f>
        <v>5550</v>
      </c>
      <c r="BJ20" s="277">
        <f>'C1-Incomes'!EX22-'C1-Incomes'!EP22-SUM(BF20:BI20)</f>
        <v>0</v>
      </c>
      <c r="BK20" s="277">
        <f>'C1-Incomes'!EX22-'T-T1'!BN23</f>
        <v>0.41200000001117587</v>
      </c>
      <c r="BL20" s="272">
        <f>'T-T2'!J23+'T-T2'!K23</f>
        <v>60404</v>
      </c>
      <c r="BM20" s="272">
        <v>0</v>
      </c>
      <c r="BN20" s="272">
        <f t="shared" si="12"/>
        <v>60404</v>
      </c>
      <c r="BO20" s="277">
        <f>'C1-Incomes'!FF22-'C1-Incomes'!EX22-BL20</f>
        <v>0</v>
      </c>
      <c r="BP20" s="272">
        <f>'T-T2'!L23</f>
        <v>7021</v>
      </c>
      <c r="BQ20" s="277">
        <f>'C1-Incomes'!FN22-'C1-Incomes'!FF22-BP20</f>
        <v>0</v>
      </c>
      <c r="BR20" s="272">
        <v>0</v>
      </c>
      <c r="BS20" s="272">
        <f>'T-T2'!M23+'T-T2'!N23</f>
        <v>11316</v>
      </c>
      <c r="BT20" s="272">
        <f>SUM('T-T2'!O23:T23)</f>
        <v>14916</v>
      </c>
      <c r="BU20" s="272">
        <f t="shared" si="13"/>
        <v>26232</v>
      </c>
      <c r="BV20" s="272">
        <f>'C1-Incomes'!FV22-'C1-Incomes'!FN22-BU20</f>
        <v>0</v>
      </c>
      <c r="BW20" s="272">
        <f>'T-T2'!X23</f>
        <v>10922</v>
      </c>
      <c r="BX20" s="277">
        <f>'C1-Incomes'!GE22-'C1-Incomes'!FV22-BW20</f>
        <v>0</v>
      </c>
      <c r="BY20" s="272">
        <f>'T-T2'!AC23-'T-T2'!AF23-'T-T2'!AG23</f>
        <v>126752</v>
      </c>
      <c r="BZ20" s="277">
        <f t="shared" si="14"/>
        <v>22173</v>
      </c>
      <c r="CA20" s="277">
        <f>'C1-Incomes'!GM22-'C1-Incomes'!GE22-BZ20</f>
        <v>0</v>
      </c>
      <c r="CB20" s="277">
        <f>'C1-Incomes'!GM22-'T-T2'!B23</f>
        <v>0</v>
      </c>
      <c r="CC20" s="272">
        <f>'T-T1'!EB23</f>
        <v>126525</v>
      </c>
      <c r="CD20" s="272">
        <f>TOTALS!AV80/1000000</f>
        <v>125169.89017100001</v>
      </c>
      <c r="CE20" s="277">
        <f>TOTALS!BA80/1000000</f>
        <v>139.904436</v>
      </c>
      <c r="CF20" s="272">
        <f>'T-T3'!Q24</f>
        <v>6298</v>
      </c>
      <c r="CG20" s="277">
        <f>'C1-Incomes'!GM22-'C1-Incomes'!GU22-CC20-CE20-CF20</f>
        <v>1.6400000913563417E-4</v>
      </c>
      <c r="CH20" s="277">
        <f>'T-T1'!ED23</f>
        <v>20351</v>
      </c>
      <c r="CI20" s="277"/>
      <c r="CJ20" s="277">
        <f>'C1-Incomes'!GU22-'C1-Incomes'!HC22-CH20</f>
        <v>0</v>
      </c>
      <c r="CK20" s="277">
        <f t="shared" si="3"/>
        <v>47235</v>
      </c>
      <c r="CL20" s="277">
        <f>'C1-Incomes'!HC22-'C1-Incomes'!HK22-CK20</f>
        <v>0</v>
      </c>
      <c r="CM20" s="272">
        <f t="shared" si="4"/>
        <v>27572</v>
      </c>
      <c r="CN20" s="272">
        <f>TOTALS!AX80/1000000</f>
        <v>15965.689822</v>
      </c>
      <c r="CO20" s="272">
        <f t="shared" si="5"/>
        <v>21408</v>
      </c>
      <c r="CP20" s="272">
        <f>'T-T1'!DE23</f>
        <v>48980</v>
      </c>
      <c r="CQ20" s="277">
        <f>'C1-Incomes'!HK22-'C1-Incomes'!HS22-CP20</f>
        <v>-1.9999989308416843E-4</v>
      </c>
      <c r="CR20" s="272">
        <f>'T-T3'!AG24-'T-T2'!AF23-'T-T2'!AG23</f>
        <v>83396</v>
      </c>
      <c r="CS20" s="272">
        <f>TOTALS!AY80/1000000</f>
        <v>82912.029595</v>
      </c>
      <c r="CT20" s="277">
        <f>'C1-Incomes'!HS22-'C1-Incomes'!IA22-CR20</f>
        <v>-4.0000001899898052E-4</v>
      </c>
      <c r="CU20" s="277">
        <f>'T-T3a'!O24+'T-T3a'!P24</f>
        <v>60982</v>
      </c>
      <c r="CV20" s="277">
        <f>'C1-Incomes'!IA22-'C1-Incomes'!II22-CU20</f>
        <v>0</v>
      </c>
      <c r="CW20" s="272">
        <f>'T-T3'!H24</f>
        <v>15143.492435999913</v>
      </c>
      <c r="CX20" s="277">
        <f>'C1-Incomes'!IQ22-'C1-Incomes'!II22-CW20</f>
        <v>-4.3599982745945454E-4</v>
      </c>
      <c r="CY20" s="277">
        <f>'T-T3'!G24</f>
        <v>252011</v>
      </c>
      <c r="CZ20" s="277">
        <f>'C1-Incomes'!IY22-'C1-Incomes'!IQ22-CY20</f>
        <v>0</v>
      </c>
      <c r="DA20" s="277">
        <f>'C1-Incomes'!IY22-'T-T3'!Z24</f>
        <v>0</v>
      </c>
      <c r="DB20" s="280"/>
      <c r="DC20" s="272">
        <f>TOTALS!BG19/1000000</f>
        <v>19962.087259</v>
      </c>
      <c r="DD20" s="272">
        <f>TOTALS!BH19/1000000</f>
        <v>0</v>
      </c>
      <c r="DE20" s="272">
        <f t="shared" si="8"/>
        <v>19962.087259</v>
      </c>
      <c r="DF20" s="272">
        <f>TOTALS!BI19/1000000</f>
        <v>17972.618782000001</v>
      </c>
    </row>
    <row r="21" spans="1:110" ht="12" customHeight="1" x14ac:dyDescent="0.3">
      <c r="A21" s="268">
        <v>1975</v>
      </c>
      <c r="B21" s="272">
        <f>'C1-Incomes'!AP23-'C1-Incomes'!AH23</f>
        <v>5046.3343800000148</v>
      </c>
      <c r="C21" s="272">
        <f>SUM('T-T1'!AN24:AP24)</f>
        <v>11064</v>
      </c>
      <c r="D21" s="272">
        <f>'T-T1'!AN24</f>
        <v>7191.6</v>
      </c>
      <c r="E21" s="277">
        <f>'C1-Incomes'!AX23-'C1-Incomes'!AP23-D21</f>
        <v>0.3999999999996362</v>
      </c>
      <c r="F21" s="272">
        <f>TOTALS!I81/1000000</f>
        <v>1334.9592689999999</v>
      </c>
      <c r="G21" s="277">
        <v>0</v>
      </c>
      <c r="H21" s="272">
        <f>TOTALS!AB81/1000000</f>
        <v>403.79862000000003</v>
      </c>
      <c r="I21" s="272">
        <f>TOTALS!BP81/1000000</f>
        <v>3093.8438169999999</v>
      </c>
      <c r="J21" s="272">
        <f>TOTALS!Y81/1000000</f>
        <v>1459.8479199999999</v>
      </c>
      <c r="K21" s="272">
        <f>TOTALS!W81/1000000</f>
        <v>2163.5569288000002</v>
      </c>
      <c r="L21" s="277">
        <f>TOTALS!K81/1000000</f>
        <v>0</v>
      </c>
      <c r="M21" s="272">
        <f>TOTALS!BT81/1000000</f>
        <v>-17.227070000000001</v>
      </c>
      <c r="N21" s="272">
        <f>(TOTALS!CB81-TOTALS!CC81)/1000000</f>
        <v>-707.60142699999994</v>
      </c>
      <c r="O21" s="272">
        <f t="shared" si="15"/>
        <v>-2149.3485161999997</v>
      </c>
      <c r="P21" s="277">
        <f>'C1-Incomes'!BF23-'C1-Incomes'!AX23-O21</f>
        <v>-3.7999998312443495E-6</v>
      </c>
      <c r="Q21" s="277">
        <f>'C22-Fiduciary'!T20</f>
        <v>5162.8527971166532</v>
      </c>
      <c r="R21" s="277">
        <f>'C1-Incomes'!BV23-'C1-Incomes'!BN23-Q21</f>
        <v>-7.9711658145242836E-4</v>
      </c>
      <c r="S21" s="270">
        <f>'T-T1'!CR24</f>
        <v>54253</v>
      </c>
      <c r="T21" s="270">
        <f t="shared" si="16"/>
        <v>3092.4210000000003</v>
      </c>
      <c r="U21" s="331">
        <f>ROUND('C12-CorpOwn'!T20,3)</f>
        <v>5.7000000000000002E-2</v>
      </c>
      <c r="V21" s="270">
        <f t="shared" si="10"/>
        <v>10091.057999999997</v>
      </c>
      <c r="W21" s="279">
        <f>ROUND('C12-CorpOwn'!S20,3)</f>
        <v>0.186</v>
      </c>
      <c r="X21" s="272">
        <f t="shared" si="6"/>
        <v>41069.521000000001</v>
      </c>
      <c r="Y21" s="279">
        <f>1-ROUND('C12-CorpOwn'!S20,3)-ROUND('C12-CorpOwn'!T20,3)</f>
        <v>0.75700000000000001</v>
      </c>
      <c r="Z21" s="685">
        <f>'C1-Incomes'!CD23-'C1-Incomes'!BV23-S21</f>
        <v>-9.9999597296118736E-6</v>
      </c>
      <c r="AA21" s="277">
        <f>'T-T1'!CP24</f>
        <v>51646</v>
      </c>
      <c r="AB21" s="277">
        <f>'T-T1'!AA24</f>
        <v>5382</v>
      </c>
      <c r="AC21" s="277">
        <f t="shared" si="7"/>
        <v>46264</v>
      </c>
      <c r="AD21" s="277">
        <f>'C1-Incomes'!CL23-'C1-Incomes'!CD23-AC21</f>
        <v>0</v>
      </c>
      <c r="AE21" s="277">
        <f t="shared" si="2"/>
        <v>23067</v>
      </c>
      <c r="AF21" s="277">
        <f>'C1-Incomes'!CT23-'C1-Incomes'!CL23-AE21</f>
        <v>0</v>
      </c>
      <c r="AG21" s="277">
        <f>'T-T1a'!C26</f>
        <v>-41411.664030569926</v>
      </c>
      <c r="AH21" s="277">
        <f>'T-T1a'!D26</f>
        <v>-20705.832015284963</v>
      </c>
      <c r="AI21" s="277">
        <f>'T-T1a'!E26</f>
        <v>24030.079900300596</v>
      </c>
      <c r="AJ21" s="277">
        <f>'T-T1a'!F26</f>
        <v>38087.416145554293</v>
      </c>
      <c r="AK21" s="277">
        <f>'C1-Incomes'!DB23-'C1-Incomes'!CT23</f>
        <v>0</v>
      </c>
      <c r="AL21" s="277">
        <f>'T-T1'!E24</f>
        <v>-6674.9925618087946</v>
      </c>
      <c r="AM21" s="277">
        <f>'T-T1'!L24</f>
        <v>20926.453413343788</v>
      </c>
      <c r="AN21" s="277">
        <f>'T-T1'!Q24</f>
        <v>34201.816534251207</v>
      </c>
      <c r="AO21" s="277">
        <f>'T-T1'!T24</f>
        <v>-1427.6810096000008</v>
      </c>
      <c r="AP21" s="277">
        <f>'T-T1'!AH24</f>
        <v>198.99235710000016</v>
      </c>
      <c r="AQ21" s="277">
        <f t="shared" si="9"/>
        <v>47224.588733286211</v>
      </c>
      <c r="AR21" s="277">
        <f>'C1-Incomes'!DJ23-'C1-Incomes'!DB23-AQ21</f>
        <v>-7.3328622238477692E-4</v>
      </c>
      <c r="AS21" s="277">
        <f t="shared" si="11"/>
        <v>44217</v>
      </c>
      <c r="AT21" s="277">
        <f>'T-T1'!U24</f>
        <v>13900</v>
      </c>
      <c r="AU21" s="277">
        <f>'T-T1'!EE24</f>
        <v>30317</v>
      </c>
      <c r="AV21" s="277">
        <f>TOTALS!AX81/1000000</f>
        <v>15419.041846</v>
      </c>
      <c r="AW21" s="277">
        <f>'C1-Incomes'!DR23-'C1-Incomes'!DJ23-AS21</f>
        <v>-2.1471059881150723E-4</v>
      </c>
      <c r="AX21" s="277">
        <f>(TOTALS!Z81+TOTALS!AA81)/1000000</f>
        <v>46243.030231800003</v>
      </c>
      <c r="AY21" s="277">
        <f>'T-T1'!I24</f>
        <v>46724</v>
      </c>
      <c r="AZ21" s="277">
        <f>'C1-Incomes'!DZ23-'C1-Incomes'!DR23-AY21</f>
        <v>2.3205974139273167E-4</v>
      </c>
      <c r="BA21" s="272">
        <f>'T-T1'!G24</f>
        <v>37444</v>
      </c>
      <c r="BB21" s="277">
        <f>'C1-Incomes'!EH23-'C1-Incomes'!DZ23-BA21</f>
        <v>-5.3085386753082275E-8</v>
      </c>
      <c r="BC21" s="272">
        <f>'T-T1'!AD24+'T-T1'!AO24+'T-T1'!AR24+'T-T1'!AV24</f>
        <v>31471.135684547004</v>
      </c>
      <c r="BD21" s="272">
        <f>ROUND('T-T1'!BJ24,0)</f>
        <v>28318</v>
      </c>
      <c r="BE21" s="277">
        <f>'C1-Incomes'!EP23-'C1-Incomes'!EH23-BC21-BD21</f>
        <v>2.9815687958034687E-4</v>
      </c>
      <c r="BF21" s="272">
        <f>ROUND('T-T1'!BA24,0)</f>
        <v>81908</v>
      </c>
      <c r="BG21" s="272">
        <f>ROUND('T-T1'!BC24+'T-T1'!BE24,0)</f>
        <v>4542</v>
      </c>
      <c r="BH21" s="272">
        <f>ROUND('T-T1'!V24+'T-T1'!AE24+'T-T1'!AP24+'T-T1'!AS24+'T-T1'!AW24+'T-T1'!BG24,0)</f>
        <v>1119</v>
      </c>
      <c r="BI21" s="272">
        <f>ROUND('T-T1'!AA24,0)</f>
        <v>5382</v>
      </c>
      <c r="BJ21" s="277">
        <f>'C1-Incomes'!EX23-'C1-Incomes'!EP23-SUM(BF21:BI21)</f>
        <v>0</v>
      </c>
      <c r="BK21" s="277">
        <f>'C1-Incomes'!EX23-'T-T1'!BN24</f>
        <v>-0.39199999999254942</v>
      </c>
      <c r="BL21" s="272">
        <f>'T-T2'!J24+'T-T2'!K24</f>
        <v>69160</v>
      </c>
      <c r="BM21" s="272">
        <v>0</v>
      </c>
      <c r="BN21" s="272">
        <f t="shared" si="12"/>
        <v>69160</v>
      </c>
      <c r="BO21" s="277">
        <f>'C1-Incomes'!FF23-'C1-Incomes'!EX23-BL21</f>
        <v>0</v>
      </c>
      <c r="BP21" s="272">
        <f>'T-T2'!L24</f>
        <v>18140</v>
      </c>
      <c r="BQ21" s="277">
        <f>'C1-Incomes'!FN23-'C1-Incomes'!FF23-BP21</f>
        <v>0</v>
      </c>
      <c r="BR21" s="272">
        <v>0</v>
      </c>
      <c r="BS21" s="272">
        <f>'T-T2'!M24+'T-T2'!N24</f>
        <v>13781</v>
      </c>
      <c r="BT21" s="272">
        <f>SUM('T-T2'!O24:T24)</f>
        <v>17116</v>
      </c>
      <c r="BU21" s="272">
        <f t="shared" si="13"/>
        <v>30897</v>
      </c>
      <c r="BV21" s="272">
        <f>'C1-Incomes'!FV23-'C1-Incomes'!FN23-BU21</f>
        <v>0</v>
      </c>
      <c r="BW21" s="272">
        <f>'T-T2'!X24</f>
        <v>13715</v>
      </c>
      <c r="BX21" s="277">
        <f>'C1-Incomes'!GE23-'C1-Incomes'!FV23-BW21</f>
        <v>0</v>
      </c>
      <c r="BY21" s="272">
        <f>'T-T2'!AC24-'T-T2'!AF24-'T-T2'!AG24</f>
        <v>161216</v>
      </c>
      <c r="BZ21" s="277">
        <f t="shared" si="14"/>
        <v>29304</v>
      </c>
      <c r="CA21" s="277">
        <f>'C1-Incomes'!GM23-'C1-Incomes'!GE23-BZ21</f>
        <v>0</v>
      </c>
      <c r="CB21" s="277">
        <f>'C1-Incomes'!GM23-'T-T2'!B24</f>
        <v>0</v>
      </c>
      <c r="CC21" s="272">
        <f>'T-T1'!EB24</f>
        <v>120730</v>
      </c>
      <c r="CD21" s="272">
        <f>TOTALS!AV81/1000000</f>
        <v>124932.321809</v>
      </c>
      <c r="CE21" s="277">
        <f>TOTALS!BA81/1000000</f>
        <v>370.84969899999999</v>
      </c>
      <c r="CF21" s="272">
        <f>'T-T3'!Q25</f>
        <v>6448</v>
      </c>
      <c r="CG21" s="277">
        <f>'C1-Incomes'!GM23-'C1-Incomes'!GU23-CC21-CE21-CF21</f>
        <v>-1.9899998915207107E-4</v>
      </c>
      <c r="CH21" s="277">
        <f>'T-T1'!ED24</f>
        <v>22453</v>
      </c>
      <c r="CI21" s="277">
        <f>TOTALS!AP81/1000000</f>
        <v>17264.572200999999</v>
      </c>
      <c r="CJ21" s="277">
        <f>'C1-Incomes'!GU23-'C1-Incomes'!HC23-CH21</f>
        <v>1.9999989308416843E-4</v>
      </c>
      <c r="CK21" s="277">
        <f t="shared" si="3"/>
        <v>46264</v>
      </c>
      <c r="CL21" s="277">
        <f>'C1-Incomes'!HC23-'C1-Incomes'!HK23-CK21</f>
        <v>0</v>
      </c>
      <c r="CM21" s="272">
        <f t="shared" si="4"/>
        <v>30317</v>
      </c>
      <c r="CN21" s="272">
        <f>TOTALS!AX81/1000000</f>
        <v>15419.041846</v>
      </c>
      <c r="CO21" s="272">
        <f t="shared" si="5"/>
        <v>23067</v>
      </c>
      <c r="CP21" s="272">
        <f>'T-T1'!DE24</f>
        <v>53384</v>
      </c>
      <c r="CQ21" s="277">
        <f>'C1-Incomes'!HK23-'C1-Incomes'!HS23-CP21</f>
        <v>-1.9999989308416843E-4</v>
      </c>
      <c r="CR21" s="272">
        <f>'T-T3'!AG25-'T-T2'!AF24-'T-T2'!AG24</f>
        <v>87382</v>
      </c>
      <c r="CS21" s="272">
        <f>TOTALS!AY81/1000000</f>
        <v>86132.25993</v>
      </c>
      <c r="CT21" s="277">
        <f>'C1-Incomes'!HS23-'C1-Incomes'!IA23-CR21</f>
        <v>0</v>
      </c>
      <c r="CU21" s="277">
        <f>'T-T3a'!O25+'T-T3a'!P25</f>
        <v>66047</v>
      </c>
      <c r="CV21" s="277">
        <f>'C1-Incomes'!IA23-'C1-Incomes'!II23-CU21</f>
        <v>0</v>
      </c>
      <c r="CW21" s="272">
        <f>'T-T3'!H25</f>
        <v>-40815.758301000111</v>
      </c>
      <c r="CX21" s="277">
        <f>'C1-Incomes'!IQ23-'C1-Incomes'!II23-CW21</f>
        <v>3.010001964867115E-4</v>
      </c>
      <c r="CY21" s="277">
        <f>'T-T3'!G25</f>
        <v>282679</v>
      </c>
      <c r="CZ21" s="277">
        <f>'C1-Incomes'!IY23-'C1-Incomes'!IQ23-CY21</f>
        <v>0</v>
      </c>
      <c r="DA21" s="277">
        <f>'C1-Incomes'!IY23-'T-T3'!Z25</f>
        <v>5.0000008195638657E-4</v>
      </c>
      <c r="DB21" s="280"/>
      <c r="DC21" s="272">
        <f>TOTALS!BG20/1000000</f>
        <v>21154.403109999999</v>
      </c>
      <c r="DD21" s="272">
        <f>TOTALS!BH20/1000000</f>
        <v>0</v>
      </c>
      <c r="DE21" s="272">
        <f t="shared" si="8"/>
        <v>21154.403109999999</v>
      </c>
      <c r="DF21" s="272">
        <f>TOTALS!BI20/1000000</f>
        <v>19104.875960000001</v>
      </c>
    </row>
    <row r="22" spans="1:110" ht="12" customHeight="1" x14ac:dyDescent="0.3">
      <c r="A22" s="268">
        <v>1976</v>
      </c>
      <c r="B22" s="272">
        <f>'C1-Incomes'!AP24-'C1-Incomes'!AH24</f>
        <v>5336.7623000000603</v>
      </c>
      <c r="C22" s="272">
        <f>SUM('T-T1'!AN25:AP25)</f>
        <v>12511</v>
      </c>
      <c r="D22" s="272">
        <f>'T-T1'!AN25</f>
        <v>8132.1500000000005</v>
      </c>
      <c r="E22" s="277">
        <f>'C1-Incomes'!AX24-'C1-Incomes'!AP24-D22</f>
        <v>-0.1500000000005457</v>
      </c>
      <c r="F22" s="272">
        <f>TOTALS!I82/1000000</f>
        <v>1389.2632795999998</v>
      </c>
      <c r="G22" s="277">
        <v>0</v>
      </c>
      <c r="H22" s="272">
        <f>TOTALS!AB82/1000000</f>
        <v>456.08488395000001</v>
      </c>
      <c r="I22" s="272">
        <f>TOTALS!BP82/1000000</f>
        <v>1960.2768325</v>
      </c>
      <c r="J22" s="272">
        <f>TOTALS!Y82/1000000</f>
        <v>1645.8587430999999</v>
      </c>
      <c r="K22" s="272">
        <f>TOTALS!W82/1000000</f>
        <v>2874.8898835</v>
      </c>
      <c r="L22" s="277">
        <f>TOTALS!K82/1000000</f>
        <v>293.34143660000001</v>
      </c>
      <c r="M22" s="272">
        <f>TOTALS!BT82/1000000</f>
        <v>154.29506456000001</v>
      </c>
      <c r="N22" s="272">
        <f>(TOTALS!CB82-TOTALS!CC82)/1000000</f>
        <v>-940.53922543999988</v>
      </c>
      <c r="O22" s="272">
        <f t="shared" si="15"/>
        <v>-1186.2430230499999</v>
      </c>
      <c r="P22" s="277">
        <f>'C1-Incomes'!BF24-'C1-Incomes'!AX24-O22</f>
        <v>-7.6950079801463289E-5</v>
      </c>
      <c r="Q22" s="277">
        <f>'C22-Fiduciary'!T21</f>
        <v>5786.113993624771</v>
      </c>
      <c r="R22" s="277">
        <f>'C1-Incomes'!BV24-'C1-Incomes'!BN24-Q22</f>
        <v>6.3752886489965022E-6</v>
      </c>
      <c r="S22" s="270">
        <f>'T-T1'!CR25</f>
        <v>70036</v>
      </c>
      <c r="T22" s="270">
        <f t="shared" si="16"/>
        <v>3992.0520000000001</v>
      </c>
      <c r="U22" s="331">
        <f>ROUND('C12-CorpOwn'!T21,3)</f>
        <v>5.7000000000000002E-2</v>
      </c>
      <c r="V22" s="270">
        <f t="shared" si="10"/>
        <v>12466.408000000003</v>
      </c>
      <c r="W22" s="279">
        <f>ROUND('C12-CorpOwn'!S21,3)</f>
        <v>0.17799999999999999</v>
      </c>
      <c r="X22" s="272">
        <f t="shared" si="6"/>
        <v>53577.54</v>
      </c>
      <c r="Y22" s="279">
        <f>1-ROUND('C12-CorpOwn'!S21,3)-ROUND('C12-CorpOwn'!T21,3)</f>
        <v>0.76500000000000001</v>
      </c>
      <c r="Z22" s="685">
        <f>'C1-Incomes'!CD24-'C1-Incomes'!BV24-S22</f>
        <v>0</v>
      </c>
      <c r="AA22" s="277">
        <f>'T-T1'!CP25</f>
        <v>65288</v>
      </c>
      <c r="AB22" s="277">
        <f>'T-T1'!AA25</f>
        <v>5870</v>
      </c>
      <c r="AC22" s="277">
        <f t="shared" si="7"/>
        <v>59418</v>
      </c>
      <c r="AD22" s="277">
        <f>'C1-Incomes'!CL24-'C1-Incomes'!CD24-AC22</f>
        <v>0</v>
      </c>
      <c r="AE22" s="277">
        <f t="shared" si="2"/>
        <v>24881</v>
      </c>
      <c r="AF22" s="277">
        <f>'C1-Incomes'!CT24-'C1-Incomes'!CL24-AE22</f>
        <v>0</v>
      </c>
      <c r="AG22" s="277">
        <f>'T-T1a'!C27</f>
        <v>-31576.383185813778</v>
      </c>
      <c r="AH22" s="277">
        <f>'T-T1a'!D27</f>
        <v>-15788.191592906889</v>
      </c>
      <c r="AI22" s="277">
        <f>'T-T1a'!E27</f>
        <v>14047.322412330132</v>
      </c>
      <c r="AJ22" s="277">
        <f>'T-T1a'!F27</f>
        <v>33317.25236639053</v>
      </c>
      <c r="AK22" s="277">
        <f>'C1-Incomes'!DB24-'C1-Incomes'!CT24</f>
        <v>-1.0000001639127731E-3</v>
      </c>
      <c r="AL22" s="277">
        <f>'T-T1'!E25</f>
        <v>-10562.696060309758</v>
      </c>
      <c r="AM22" s="277">
        <f>'T-T1'!L25</f>
        <v>17011.753510606679</v>
      </c>
      <c r="AN22" s="277">
        <f>'T-T1'!Q25</f>
        <v>44673.171418678648</v>
      </c>
      <c r="AO22" s="277">
        <f>'T-T1'!T25</f>
        <v>-2363.0199300000004</v>
      </c>
      <c r="AP22" s="277">
        <f>'T-T1'!AH25</f>
        <v>185.07423467000012</v>
      </c>
      <c r="AQ22" s="277">
        <f t="shared" si="9"/>
        <v>48944.283173645563</v>
      </c>
      <c r="AR22" s="277">
        <f>'C1-Incomes'!DJ24-'C1-Incomes'!DB24-AQ22</f>
        <v>-1.7364550876663998E-4</v>
      </c>
      <c r="AS22" s="277">
        <f t="shared" si="11"/>
        <v>45365</v>
      </c>
      <c r="AT22" s="277">
        <f>'T-T1'!U25</f>
        <v>11999</v>
      </c>
      <c r="AU22" s="277">
        <f>'T-T1'!EE25</f>
        <v>33366</v>
      </c>
      <c r="AV22" s="277">
        <f>TOTALS!AX82/1000000</f>
        <v>15870.098533</v>
      </c>
      <c r="AW22" s="277">
        <f>'C1-Incomes'!DR24-'C1-Incomes'!DJ24-AS22</f>
        <v>-5.9704692102968693E-4</v>
      </c>
      <c r="AX22" s="277">
        <f>(TOTALS!Z82+TOTALS!AA82)/1000000</f>
        <v>51808.168087099999</v>
      </c>
      <c r="AY22" s="277">
        <f>'T-T1'!I25</f>
        <v>54398</v>
      </c>
      <c r="AZ22" s="277">
        <f>'C1-Incomes'!DZ24-'C1-Incomes'!DR24-AY22</f>
        <v>8.66700429469347E-5</v>
      </c>
      <c r="BA22" s="272">
        <f>'T-T1'!G25</f>
        <v>45978</v>
      </c>
      <c r="BB22" s="277">
        <f>'C1-Incomes'!EH24-'C1-Incomes'!DZ24-BA22</f>
        <v>2.7474015951156616E-8</v>
      </c>
      <c r="BC22" s="272">
        <f>'T-T1'!AD25+'T-T1'!AO25+'T-T1'!AR25+'T-T1'!AV25</f>
        <v>31390.269276971903</v>
      </c>
      <c r="BD22" s="272">
        <f>ROUND('T-T1'!BJ25,0)</f>
        <v>25436</v>
      </c>
      <c r="BE22" s="277">
        <f>'C1-Incomes'!EP24-'C1-Incomes'!EH24-BC22-BD22</f>
        <v>-2.6662249365472235E-4</v>
      </c>
      <c r="BF22" s="272">
        <f>ROUND('T-T1'!BA25,0)</f>
        <v>88141</v>
      </c>
      <c r="BG22" s="272">
        <f>ROUND('T-T1'!BC25+'T-T1'!BE25,0)</f>
        <v>4011</v>
      </c>
      <c r="BH22" s="272">
        <f>ROUND('T-T1'!V25+'T-T1'!AE25+'T-T1'!AP25+'T-T1'!AS25+'T-T1'!AW25+'T-T1'!BG25,0)</f>
        <v>3199</v>
      </c>
      <c r="BI22" s="272">
        <f>ROUND('T-T1'!AA25,0)</f>
        <v>5870</v>
      </c>
      <c r="BJ22" s="277">
        <f>'C1-Incomes'!EX24-'C1-Incomes'!EP24-SUM(BF22:BI22)</f>
        <v>0</v>
      </c>
      <c r="BK22" s="277">
        <f>'C1-Incomes'!EX24-'T-T1'!BN25</f>
        <v>1.9052999999839813</v>
      </c>
      <c r="BL22" s="272">
        <f>'T-T2'!J25+'T-T2'!K25</f>
        <v>78051</v>
      </c>
      <c r="BM22" s="272">
        <v>0</v>
      </c>
      <c r="BN22" s="272">
        <f t="shared" si="12"/>
        <v>78051</v>
      </c>
      <c r="BO22" s="277">
        <f>'C1-Incomes'!FF24-'C1-Incomes'!EX24-BL22</f>
        <v>0</v>
      </c>
      <c r="BP22" s="272">
        <f>'T-T2'!L25</f>
        <v>16386</v>
      </c>
      <c r="BQ22" s="277">
        <f>'C1-Incomes'!FN24-'C1-Incomes'!FF24-BP22</f>
        <v>0</v>
      </c>
      <c r="BR22" s="272">
        <v>0</v>
      </c>
      <c r="BS22" s="272">
        <f>'T-T2'!M25+'T-T2'!N25</f>
        <v>13733</v>
      </c>
      <c r="BT22" s="272">
        <f>SUM('T-T2'!O25:T25)</f>
        <v>19741</v>
      </c>
      <c r="BU22" s="272">
        <f t="shared" si="13"/>
        <v>33474</v>
      </c>
      <c r="BV22" s="272">
        <f>'C1-Incomes'!FV24-'C1-Incomes'!FN24-BU22</f>
        <v>0</v>
      </c>
      <c r="BW22" s="272">
        <f>'T-T2'!X25</f>
        <v>16735</v>
      </c>
      <c r="BX22" s="277">
        <f>'C1-Incomes'!GE24-'C1-Incomes'!FV24-BW22</f>
        <v>0</v>
      </c>
      <c r="BY22" s="272">
        <f>'T-T2'!AC25-'T-T2'!AF25-'T-T2'!AG25</f>
        <v>175583</v>
      </c>
      <c r="BZ22" s="277">
        <f t="shared" si="14"/>
        <v>30937</v>
      </c>
      <c r="CA22" s="277">
        <f>'C1-Incomes'!GM24-'C1-Incomes'!GE24-BZ22</f>
        <v>0</v>
      </c>
      <c r="CB22" s="277">
        <f>'C1-Incomes'!GM24-'T-T2'!B25</f>
        <v>0</v>
      </c>
      <c r="CC22" s="272">
        <f>'T-T1'!EB25</f>
        <v>141597</v>
      </c>
      <c r="CD22" s="272">
        <f>TOTALS!AV82/1000000</f>
        <v>142282.717118</v>
      </c>
      <c r="CE22" s="277">
        <f>TOTALS!BA82/1000000</f>
        <v>185.51117296000001</v>
      </c>
      <c r="CF22" s="272">
        <f>'T-T3'!Q26</f>
        <v>7236</v>
      </c>
      <c r="CG22" s="277">
        <f>'C1-Incomes'!GM24-'C1-Incomes'!GU24-CC22-CE22-CF22</f>
        <v>1.2703989614237798E-4</v>
      </c>
      <c r="CH22" s="277">
        <f>'T-T1'!ED25</f>
        <v>26259</v>
      </c>
      <c r="CI22" s="277"/>
      <c r="CJ22" s="277">
        <f>'C1-Incomes'!GU24-'C1-Incomes'!HC24-CH22</f>
        <v>0</v>
      </c>
      <c r="CK22" s="277">
        <f t="shared" si="3"/>
        <v>59418</v>
      </c>
      <c r="CL22" s="277">
        <f>'C1-Incomes'!HC24-'C1-Incomes'!HK24-CK22</f>
        <v>0</v>
      </c>
      <c r="CM22" s="272">
        <f t="shared" si="4"/>
        <v>33366</v>
      </c>
      <c r="CN22" s="272">
        <f>TOTALS!AX82/1000000</f>
        <v>15870.098533</v>
      </c>
      <c r="CO22" s="272">
        <f t="shared" si="5"/>
        <v>24881</v>
      </c>
      <c r="CP22" s="272">
        <f>'T-T1'!DE25</f>
        <v>58247</v>
      </c>
      <c r="CQ22" s="277">
        <f>'C1-Incomes'!HK24-'C1-Incomes'!HS24-CP22</f>
        <v>-4.9999984912574291E-4</v>
      </c>
      <c r="CR22" s="272">
        <f>'T-T3'!AG26-'T-T2'!AF25-'T-T2'!AG25</f>
        <v>99240</v>
      </c>
      <c r="CS22" s="272">
        <f>TOTALS!AY82/1000000</f>
        <v>97404.272051000007</v>
      </c>
      <c r="CT22" s="277">
        <f>'C1-Incomes'!HS24-'C1-Incomes'!IA24-CR22</f>
        <v>9.999983012676239E-5</v>
      </c>
      <c r="CU22" s="277">
        <f>'T-T3a'!O26+'T-T3a'!P26</f>
        <v>71034</v>
      </c>
      <c r="CV22" s="277">
        <f>'C1-Incomes'!IA24-'C1-Incomes'!II24-CU22</f>
        <v>0</v>
      </c>
      <c r="CW22" s="272">
        <f>'T-T3'!H26</f>
        <v>-11445.394127039937</v>
      </c>
      <c r="CX22" s="277">
        <f>'C1-Incomes'!IQ24-'C1-Incomes'!II24-CW22</f>
        <v>1.2703984975814819E-4</v>
      </c>
      <c r="CY22" s="277">
        <f>'T-T3'!G26</f>
        <v>299077</v>
      </c>
      <c r="CZ22" s="277">
        <f>'C1-Incomes'!IY24-'C1-Incomes'!IQ24-CY22</f>
        <v>0</v>
      </c>
      <c r="DA22" s="277">
        <f>'C1-Incomes'!IY24-'T-T3'!Z26</f>
        <v>4.0000001899898052E-4</v>
      </c>
      <c r="DB22" s="280"/>
      <c r="DC22" s="272">
        <f>TOTALS!BG21/1000000</f>
        <v>23854.111431000001</v>
      </c>
      <c r="DD22" s="272">
        <f>TOTALS!BH21/1000000</f>
        <v>0</v>
      </c>
      <c r="DE22" s="272">
        <f t="shared" si="8"/>
        <v>23854.111431000001</v>
      </c>
      <c r="DF22" s="272">
        <f>TOTALS!BI21/1000000</f>
        <v>21595.067822000001</v>
      </c>
    </row>
    <row r="23" spans="1:110" ht="12" customHeight="1" x14ac:dyDescent="0.3">
      <c r="A23" s="268">
        <v>1977</v>
      </c>
      <c r="B23" s="272">
        <f>'C1-Incomes'!AP25-'C1-Incomes'!AH25</f>
        <v>5331.9840000001714</v>
      </c>
      <c r="C23" s="272">
        <f>SUM('T-T1'!AN26:AP26)</f>
        <v>13682</v>
      </c>
      <c r="D23" s="272">
        <f>'T-T1'!AN26</f>
        <v>8893.3000000000011</v>
      </c>
      <c r="E23" s="277">
        <f>'C1-Incomes'!AX25-'C1-Incomes'!AP25-D23</f>
        <v>-0.30000000000109139</v>
      </c>
      <c r="F23" s="272">
        <f>TOTALS!I83/1000000</f>
        <v>1420.9118845</v>
      </c>
      <c r="G23" s="277">
        <v>0</v>
      </c>
      <c r="H23" s="272">
        <f>TOTALS!AB83/1000000</f>
        <v>450.49120704000001</v>
      </c>
      <c r="I23" s="272">
        <f>TOTALS!BP83/1000000</f>
        <v>4285.3805179999999</v>
      </c>
      <c r="J23" s="272">
        <f>TOTALS!Y83/1000000</f>
        <v>1933.7028249</v>
      </c>
      <c r="K23" s="272">
        <f>TOTALS!W83/1000000</f>
        <v>3181.4835521999998</v>
      </c>
      <c r="L23" s="277">
        <f>TOTALS!K83/1000000</f>
        <v>225.89224711000003</v>
      </c>
      <c r="M23" s="272">
        <f>TOTALS!BT83/1000000</f>
        <v>564.39578847999996</v>
      </c>
      <c r="N23" s="272">
        <f>(TOTALS!CB83-TOTALS!CC83)/1000000</f>
        <v>-1041.9559273699999</v>
      </c>
      <c r="O23" s="272">
        <f t="shared" si="15"/>
        <v>-3899.4230762000007</v>
      </c>
      <c r="P23" s="277">
        <f>'C1-Incomes'!BF25-'C1-Incomes'!AX25-O23</f>
        <v>7.6199816248845309E-5</v>
      </c>
      <c r="Q23" s="277">
        <f>'C22-Fiduciary'!T22</f>
        <v>6409.3751901328887</v>
      </c>
      <c r="R23" s="277">
        <f>'C1-Incomes'!BV25-'C1-Incomes'!BN25-Q23</f>
        <v>-1.9013288874702994E-4</v>
      </c>
      <c r="S23" s="270">
        <f>'T-T1'!CR26</f>
        <v>86573</v>
      </c>
      <c r="T23" s="270">
        <f t="shared" si="16"/>
        <v>5021.2340000000004</v>
      </c>
      <c r="U23" s="331">
        <f>ROUND('C12-CorpOwn'!T22,3)</f>
        <v>5.8000000000000003E-2</v>
      </c>
      <c r="V23" s="270">
        <f t="shared" si="10"/>
        <v>17401.173000000017</v>
      </c>
      <c r="W23" s="279">
        <f>ROUND('C12-CorpOwn'!S22,3)</f>
        <v>0.20100000000000001</v>
      </c>
      <c r="X23" s="272">
        <f t="shared" si="6"/>
        <v>64150.592999999986</v>
      </c>
      <c r="Y23" s="279">
        <f>1-ROUND('C12-CorpOwn'!S22,3)-ROUND('C12-CorpOwn'!T22,3)</f>
        <v>0.74099999999999988</v>
      </c>
      <c r="Z23" s="685">
        <f>'C1-Incomes'!CD25-'C1-Incomes'!BV25-S23</f>
        <v>0</v>
      </c>
      <c r="AA23" s="277">
        <f>'T-T1'!CP26</f>
        <v>74441</v>
      </c>
      <c r="AB23" s="277">
        <f>'T-T1'!AA26</f>
        <v>5937</v>
      </c>
      <c r="AC23" s="277">
        <f t="shared" si="7"/>
        <v>68504</v>
      </c>
      <c r="AD23" s="277">
        <f>'C1-Incomes'!CL25-'C1-Incomes'!CD25-AC23</f>
        <v>0</v>
      </c>
      <c r="AE23" s="277">
        <f t="shared" si="2"/>
        <v>26646</v>
      </c>
      <c r="AF23" s="277">
        <f>'C1-Incomes'!CT25-'C1-Incomes'!CL25-AE23</f>
        <v>0</v>
      </c>
      <c r="AG23" s="277">
        <f>'T-T1a'!C28</f>
        <v>-46155.286831112891</v>
      </c>
      <c r="AH23" s="277">
        <f>'T-T1a'!D28</f>
        <v>-23077.643415556446</v>
      </c>
      <c r="AI23" s="277">
        <f>'T-T1a'!E28</f>
        <v>21129.503537878543</v>
      </c>
      <c r="AJ23" s="277">
        <f>'T-T1a'!F28</f>
        <v>48103.426708790794</v>
      </c>
      <c r="AK23" s="277">
        <f>'C1-Incomes'!DB25-'C1-Incomes'!CT25</f>
        <v>1.0000001639127731E-3</v>
      </c>
      <c r="AL23" s="277">
        <f>'T-T1'!E26</f>
        <v>-4802.2134959838277</v>
      </c>
      <c r="AM23" s="277">
        <f>'T-T1'!L26</f>
        <v>20138.200058092432</v>
      </c>
      <c r="AN23" s="277">
        <f>'T-T1'!Q26</f>
        <v>52369.752172381566</v>
      </c>
      <c r="AO23" s="277">
        <f>'T-T1'!T26</f>
        <v>-1276.1206199999997</v>
      </c>
      <c r="AP23" s="277">
        <f>'T-T1'!AH26</f>
        <v>195.02723360000027</v>
      </c>
      <c r="AQ23" s="277">
        <f t="shared" si="9"/>
        <v>66624.645348090169</v>
      </c>
      <c r="AR23" s="277">
        <f>'C1-Incomes'!DJ25-'C1-Incomes'!DB25-AQ23</f>
        <v>-3.4809015050996095E-4</v>
      </c>
      <c r="AS23" s="277">
        <f t="shared" si="11"/>
        <v>43602</v>
      </c>
      <c r="AT23" s="277">
        <f>'T-T1'!U26</f>
        <v>7048</v>
      </c>
      <c r="AU23" s="277">
        <f>'T-T1'!EE26</f>
        <v>36554</v>
      </c>
      <c r="AV23" s="277">
        <f>TOTALS!AX83/1000000</f>
        <v>17617.124003000001</v>
      </c>
      <c r="AW23" s="277">
        <f>'C1-Incomes'!DR25-'C1-Incomes'!DJ25-AS23</f>
        <v>-4.1039427742362022E-5</v>
      </c>
      <c r="AX23" s="277">
        <f>(TOTALS!Z83+TOTALS!AA83)/1000000</f>
        <v>56855.702218999999</v>
      </c>
      <c r="AY23" s="277">
        <f>'T-T1'!I26</f>
        <v>61104</v>
      </c>
      <c r="AZ23" s="277">
        <f>'C1-Incomes'!DZ25-'C1-Incomes'!DR25-AY23</f>
        <v>2.1851086057722569E-4</v>
      </c>
      <c r="BA23" s="272">
        <f>'T-T1'!G26</f>
        <v>55513</v>
      </c>
      <c r="BB23" s="277">
        <f>'C1-Incomes'!EH25-'C1-Incomes'!DZ25-BA23</f>
        <v>-1.4202669262886047E-8</v>
      </c>
      <c r="BC23" s="272">
        <f>'T-T1'!AD26+'T-T1'!AO26+'T-T1'!AR26+'T-T1'!AV26</f>
        <v>42019.120917607986</v>
      </c>
      <c r="BD23" s="272">
        <f>ROUND('T-T1'!BJ26,0)</f>
        <v>26294</v>
      </c>
      <c r="BE23" s="277">
        <f>'C1-Incomes'!EP25-'C1-Incomes'!EH25-BC23-BD23</f>
        <v>1.0493471927475184E-4</v>
      </c>
      <c r="BF23" s="272">
        <f>ROUND('T-T1'!BA26,0)</f>
        <v>96464</v>
      </c>
      <c r="BG23" s="272">
        <f>ROUND('T-T1'!BC26+'T-T1'!BE26,0)</f>
        <v>981</v>
      </c>
      <c r="BH23" s="272">
        <f>ROUND('T-T1'!V26+'T-T1'!AE26+'T-T1'!AP26+'T-T1'!AS26+'T-T1'!AW26+'T-T1'!BG26,0)</f>
        <v>3726</v>
      </c>
      <c r="BI23" s="272">
        <f>ROUND('T-T1'!AA26,0)</f>
        <v>5937</v>
      </c>
      <c r="BJ23" s="277">
        <f>'C1-Incomes'!EX25-'C1-Incomes'!EP25-SUM(BF23:BI23)</f>
        <v>0</v>
      </c>
      <c r="BK23" s="277">
        <f>'C1-Incomes'!EX25-'T-T1'!BN26</f>
        <v>0.48670000000856817</v>
      </c>
      <c r="BL23" s="272">
        <f>'T-T2'!J26+'T-T2'!K26</f>
        <v>87022</v>
      </c>
      <c r="BM23" s="272">
        <v>0</v>
      </c>
      <c r="BN23" s="272">
        <f t="shared" si="12"/>
        <v>87022</v>
      </c>
      <c r="BO23" s="277">
        <f>'C1-Incomes'!FF25-'C1-Incomes'!EX25-BL23</f>
        <v>0</v>
      </c>
      <c r="BP23" s="272">
        <f>'T-T2'!L26</f>
        <v>13129</v>
      </c>
      <c r="BQ23" s="277">
        <f>'C1-Incomes'!FN25-'C1-Incomes'!FF25-BP23</f>
        <v>0</v>
      </c>
      <c r="BR23" s="272">
        <v>0</v>
      </c>
      <c r="BS23" s="272">
        <f>'T-T2'!M26+'T-T2'!N26</f>
        <v>13314</v>
      </c>
      <c r="BT23" s="272">
        <f>SUM('T-T2'!O26:T26)</f>
        <v>20723</v>
      </c>
      <c r="BU23" s="272">
        <f t="shared" si="13"/>
        <v>34037</v>
      </c>
      <c r="BV23" s="272">
        <f>'C1-Incomes'!FV25-'C1-Incomes'!FN25-BU23</f>
        <v>0</v>
      </c>
      <c r="BW23" s="272">
        <f>'T-T2'!X26</f>
        <v>19854</v>
      </c>
      <c r="BX23" s="277">
        <f>'C1-Incomes'!GE25-'C1-Incomes'!FV25-BW23</f>
        <v>0</v>
      </c>
      <c r="BY23" s="272">
        <f>'T-T2'!AC26-'T-T2'!AF26-'T-T2'!AG26</f>
        <v>187235</v>
      </c>
      <c r="BZ23" s="277">
        <f t="shared" si="14"/>
        <v>33193</v>
      </c>
      <c r="CA23" s="277">
        <f>'C1-Incomes'!GM25-'C1-Incomes'!GE25-BZ23</f>
        <v>0</v>
      </c>
      <c r="CB23" s="277">
        <f>'C1-Incomes'!GM25-'T-T2'!B26</f>
        <v>0</v>
      </c>
      <c r="CC23" s="272">
        <f>'T-T1'!EB26</f>
        <v>162513</v>
      </c>
      <c r="CD23" s="272">
        <f>TOTALS!AV83/1000000</f>
        <v>160304.76089800001</v>
      </c>
      <c r="CE23" s="277">
        <f>TOTALS!BA83/1000000</f>
        <v>180.47095171000001</v>
      </c>
      <c r="CF23" s="272">
        <f>'T-T3'!Q27</f>
        <v>9276</v>
      </c>
      <c r="CG23" s="277">
        <f>'C1-Incomes'!GM25-'C1-Incomes'!GU25-CC23-CE23-CF23</f>
        <v>-5.1709926992771216E-5</v>
      </c>
      <c r="CH23" s="277">
        <f>'T-T1'!ED26</f>
        <v>30385</v>
      </c>
      <c r="CI23" s="277">
        <f>TOTALS!AP83/1000000</f>
        <v>22199.455348</v>
      </c>
      <c r="CJ23" s="277">
        <f>'C1-Incomes'!GU25-'C1-Incomes'!HC25-CH23</f>
        <v>2.9999995604157448E-4</v>
      </c>
      <c r="CK23" s="277">
        <f t="shared" si="3"/>
        <v>68504</v>
      </c>
      <c r="CL23" s="277">
        <f>'C1-Incomes'!HC25-'C1-Incomes'!HK25-CK23</f>
        <v>0</v>
      </c>
      <c r="CM23" s="272">
        <f t="shared" si="4"/>
        <v>36554</v>
      </c>
      <c r="CN23" s="272">
        <f>TOTALS!AX83/1000000</f>
        <v>17617.124003000001</v>
      </c>
      <c r="CO23" s="272">
        <f t="shared" si="5"/>
        <v>26646</v>
      </c>
      <c r="CP23" s="272">
        <f>'T-T1'!DE26</f>
        <v>63200</v>
      </c>
      <c r="CQ23" s="277">
        <f>'C1-Incomes'!HK25-'C1-Incomes'!HS25-CP23</f>
        <v>0</v>
      </c>
      <c r="CR23" s="272">
        <f>'T-T3'!AG27-'T-T2'!AF26-'T-T2'!AG26</f>
        <v>110853</v>
      </c>
      <c r="CS23" s="272">
        <f>TOTALS!AY83/1000000</f>
        <v>107545.612494</v>
      </c>
      <c r="CT23" s="277">
        <f>'C1-Incomes'!HS25-'C1-Incomes'!IA25-CR23</f>
        <v>5.0000008195638657E-4</v>
      </c>
      <c r="CU23" s="277">
        <f>'T-T3a'!O27+'T-T3a'!P27</f>
        <v>78329</v>
      </c>
      <c r="CV23" s="277">
        <f>'C1-Incomes'!IA25-'C1-Incomes'!II25-CU23</f>
        <v>0</v>
      </c>
      <c r="CW23" s="272">
        <f>'T-T3'!H27</f>
        <v>11537.984251710121</v>
      </c>
      <c r="CX23" s="277">
        <f>'C1-Incomes'!IQ25-'C1-Incomes'!II25-CW23</f>
        <v>-2.517099492251873E-4</v>
      </c>
      <c r="CY23" s="277">
        <f>'T-T3'!G27</f>
        <v>324467</v>
      </c>
      <c r="CZ23" s="277">
        <f>'C1-Incomes'!IY25-'C1-Incomes'!IQ25-CY23</f>
        <v>0</v>
      </c>
      <c r="DA23" s="277">
        <f>'C1-Incomes'!IY25-'T-T3'!Z27</f>
        <v>-9.9999993108212948E-4</v>
      </c>
      <c r="DB23" s="280"/>
      <c r="DC23" s="272">
        <f>TOTALS!BG22/1000000</f>
        <v>25930.134732999999</v>
      </c>
      <c r="DD23" s="272">
        <f>TOTALS!BH22/1000000</f>
        <v>0</v>
      </c>
      <c r="DE23" s="272">
        <f t="shared" si="8"/>
        <v>25930.134732999999</v>
      </c>
      <c r="DF23" s="272">
        <f>TOTALS!BI22/1000000</f>
        <v>23530.806132999998</v>
      </c>
    </row>
    <row r="24" spans="1:110" ht="12" customHeight="1" x14ac:dyDescent="0.3">
      <c r="A24" s="268">
        <v>1978</v>
      </c>
      <c r="B24" s="272">
        <f>'C1-Incomes'!AP26-'C1-Incomes'!AH26</f>
        <v>6213.9760000000242</v>
      </c>
      <c r="C24" s="272">
        <f>SUM('T-T1'!AN27:AP27)</f>
        <v>14898</v>
      </c>
      <c r="D24" s="272">
        <f>'T-T1'!AN27</f>
        <v>9683.7000000000007</v>
      </c>
      <c r="E24" s="277">
        <f>'C1-Incomes'!AX26-'C1-Incomes'!AP26-D24</f>
        <v>0.2999999999992724</v>
      </c>
      <c r="F24" s="272">
        <f>TOTALS!I84/1000000</f>
        <v>1412.2859719999999</v>
      </c>
      <c r="G24" s="277">
        <v>0</v>
      </c>
      <c r="H24" s="272">
        <f>TOTALS!AB84/1000000</f>
        <v>523.18094886999995</v>
      </c>
      <c r="I24" s="272">
        <f>TOTALS!BP84/1000000</f>
        <v>4952.4589993</v>
      </c>
      <c r="J24" s="272">
        <f>TOTALS!Y84/1000000</f>
        <v>2352.1471855</v>
      </c>
      <c r="K24" s="272">
        <f>TOTALS!W84/1000000</f>
        <v>3977.1609453999999</v>
      </c>
      <c r="L24" s="277">
        <f>TOTALS!K84/1000000</f>
        <v>172.69554777000002</v>
      </c>
      <c r="M24" s="272">
        <f>TOTALS!BT84/1000000</f>
        <v>1249.2524965</v>
      </c>
      <c r="N24" s="272">
        <f>(TOTALS!CB84-TOTALS!CC84)/1000000</f>
        <v>-1120.03103633</v>
      </c>
      <c r="O24" s="272">
        <f t="shared" si="15"/>
        <v>-4980.3192968699987</v>
      </c>
      <c r="P24" s="277">
        <f>'C1-Incomes'!BF26-'C1-Incomes'!AX26-O24</f>
        <v>-3.1300914997700602E-6</v>
      </c>
      <c r="Q24" s="277">
        <f>'C22-Fiduciary'!T23</f>
        <v>7032.6363866410074</v>
      </c>
      <c r="R24" s="277">
        <f>'C1-Incomes'!BV26-'C1-Incomes'!BN26-Q24</f>
        <v>6.1335909686022205E-4</v>
      </c>
      <c r="S24" s="270">
        <f>'T-T1'!CR27</f>
        <v>102918</v>
      </c>
      <c r="T24" s="270">
        <f t="shared" si="16"/>
        <v>5969.2440000000006</v>
      </c>
      <c r="U24" s="331">
        <f>ROUND('C12-CorpOwn'!T23,3)</f>
        <v>5.8000000000000003E-2</v>
      </c>
      <c r="V24" s="270">
        <f t="shared" si="10"/>
        <v>23568.221999999994</v>
      </c>
      <c r="W24" s="279">
        <f>ROUND('C12-CorpOwn'!S23,3)</f>
        <v>0.22900000000000001</v>
      </c>
      <c r="X24" s="272">
        <f t="shared" si="6"/>
        <v>73380.534</v>
      </c>
      <c r="Y24" s="279">
        <f>1-ROUND('C12-CorpOwn'!S23,3)-ROUND('C12-CorpOwn'!T23,3)</f>
        <v>0.71299999999999997</v>
      </c>
      <c r="Z24" s="685">
        <f>'C1-Incomes'!CD26-'C1-Incomes'!BV26-S24</f>
        <v>0</v>
      </c>
      <c r="AA24" s="277">
        <f>'T-T1'!CP27</f>
        <v>84858</v>
      </c>
      <c r="AB24" s="277">
        <f>'T-T1'!AA27</f>
        <v>7006</v>
      </c>
      <c r="AC24" s="277">
        <f t="shared" si="7"/>
        <v>77852</v>
      </c>
      <c r="AD24" s="277">
        <f>'C1-Incomes'!CL26-'C1-Incomes'!CD26-AC24</f>
        <v>0</v>
      </c>
      <c r="AE24" s="277">
        <f t="shared" si="2"/>
        <v>26498</v>
      </c>
      <c r="AF24" s="277">
        <f>'C1-Incomes'!CT26-'C1-Incomes'!CL26-AE24</f>
        <v>0</v>
      </c>
      <c r="AG24" s="277">
        <f>'T-T1a'!C29</f>
        <v>-52837.751954965592</v>
      </c>
      <c r="AH24" s="277">
        <f>'T-T1a'!D29</f>
        <v>-26418.875977482796</v>
      </c>
      <c r="AI24" s="277">
        <f>'T-T1a'!E29</f>
        <v>23381.36628657419</v>
      </c>
      <c r="AJ24" s="277">
        <f>'T-T1a'!F29</f>
        <v>55875.261645874198</v>
      </c>
      <c r="AK24" s="277">
        <f>'C1-Incomes'!DB26-'C1-Incomes'!CT26</f>
        <v>0</v>
      </c>
      <c r="AL24" s="277">
        <f>'T-T1'!E27</f>
        <v>-1934.185790389176</v>
      </c>
      <c r="AM24" s="277">
        <f>'T-T1'!L27</f>
        <v>21285.243198168719</v>
      </c>
      <c r="AN24" s="277">
        <f>'T-T1'!Q27</f>
        <v>62516.393937306304</v>
      </c>
      <c r="AO24" s="277">
        <f>'T-T1'!T27</f>
        <v>-1544.6478939999997</v>
      </c>
      <c r="AP24" s="277">
        <f>'T-T1'!AH27</f>
        <v>220.12822140000026</v>
      </c>
      <c r="AQ24" s="277">
        <f t="shared" si="9"/>
        <v>80542.931672485851</v>
      </c>
      <c r="AR24" s="277">
        <f>'C1-Incomes'!DJ26-'C1-Incomes'!DB26-AQ24</f>
        <v>-6.7248598497826606E-4</v>
      </c>
      <c r="AS24" s="277">
        <f t="shared" si="11"/>
        <v>44389</v>
      </c>
      <c r="AT24" s="277">
        <f>'T-T1'!U27</f>
        <v>7139</v>
      </c>
      <c r="AU24" s="277">
        <f>'T-T1'!EE27</f>
        <v>37250</v>
      </c>
      <c r="AV24" s="277">
        <f>TOTALS!AX84/1000000</f>
        <v>17664.302388</v>
      </c>
      <c r="AW24" s="277">
        <f>'C1-Incomes'!DR26-'C1-Incomes'!DJ26-AS24</f>
        <v>5.0493492744863033E-4</v>
      </c>
      <c r="AX24" s="277">
        <f>(TOTALS!Z84+TOTALS!AA84)/1000000</f>
        <v>68834.992102999997</v>
      </c>
      <c r="AY24" s="277">
        <f>'T-T1'!I27</f>
        <v>71528</v>
      </c>
      <c r="AZ24" s="277">
        <f>'C1-Incomes'!DZ26-'C1-Incomes'!DR26-AY24</f>
        <v>1.0277796536684036E-4</v>
      </c>
      <c r="BA24" s="272">
        <f>'T-T1'!G27</f>
        <v>65736</v>
      </c>
      <c r="BB24" s="277">
        <f>'C1-Incomes'!EH26-'C1-Incomes'!DZ26-BA24</f>
        <v>5.8207660913467407E-9</v>
      </c>
      <c r="BC24" s="272">
        <f>'T-T1'!AD27+'T-T1'!AO27+'T-T1'!AR27+'T-T1'!AV27</f>
        <v>47990.831910012013</v>
      </c>
      <c r="BD24" s="272">
        <f>ROUND('T-T1'!BJ27,0)</f>
        <v>27526</v>
      </c>
      <c r="BE24" s="277">
        <f>'C1-Incomes'!EP26-'C1-Incomes'!EH26-BC24-BD24</f>
        <v>8.2269354606978595E-5</v>
      </c>
      <c r="BF24" s="272">
        <f>ROUND('T-T1'!BA27,0)</f>
        <v>107150</v>
      </c>
      <c r="BG24" s="272">
        <f>ROUND('T-T1'!BC27+'T-T1'!BE27,0)</f>
        <v>1438</v>
      </c>
      <c r="BH24" s="272">
        <f>ROUND('T-T1'!V27+'T-T1'!AE27+'T-T1'!AP27+'T-T1'!AS27+'T-T1'!AW27+'T-T1'!BG27,0)</f>
        <v>5212</v>
      </c>
      <c r="BI24" s="272">
        <f>ROUND('T-T1'!AA27,0)</f>
        <v>7006</v>
      </c>
      <c r="BJ24" s="277">
        <f>'C1-Incomes'!EX26-'C1-Incomes'!EP26-SUM(BF24:BI24)</f>
        <v>0</v>
      </c>
      <c r="BK24" s="277">
        <f>'C1-Incomes'!EX26-'T-T1'!BN27</f>
        <v>-1.3299000000115484</v>
      </c>
      <c r="BL24" s="272">
        <f>'T-T2'!J27+'T-T2'!K27</f>
        <v>95365</v>
      </c>
      <c r="BM24" s="272">
        <v>0</v>
      </c>
      <c r="BN24" s="272">
        <f t="shared" si="12"/>
        <v>95365</v>
      </c>
      <c r="BO24" s="277">
        <f>'C1-Incomes'!FF26-'C1-Incomes'!EX26-BL24</f>
        <v>2.3283064365386963E-10</v>
      </c>
      <c r="BP24" s="272">
        <f>'T-T2'!L27</f>
        <v>9417</v>
      </c>
      <c r="BQ24" s="277">
        <f>'C1-Incomes'!FN26-'C1-Incomes'!FF26-BP24</f>
        <v>0</v>
      </c>
      <c r="BR24" s="277">
        <v>0</v>
      </c>
      <c r="BS24" s="272">
        <f>'T-T2'!M27+'T-T2'!N27</f>
        <v>13567</v>
      </c>
      <c r="BT24" s="272">
        <f>SUM('T-T2'!O27:T27)</f>
        <v>21284</v>
      </c>
      <c r="BU24" s="272">
        <f t="shared" si="13"/>
        <v>34851</v>
      </c>
      <c r="BV24" s="272">
        <f>'C1-Incomes'!FV26-'C1-Incomes'!FN26-BU24</f>
        <v>0</v>
      </c>
      <c r="BW24" s="272">
        <f>'T-T2'!X27</f>
        <v>23073</v>
      </c>
      <c r="BX24" s="277">
        <f>'C1-Incomes'!GE26-'C1-Incomes'!FV26-BW24</f>
        <v>0</v>
      </c>
      <c r="BY24" s="272">
        <f>'T-T2'!AC27-'T-T2'!AF27-'T-T2'!AG27</f>
        <v>200957</v>
      </c>
      <c r="BZ24" s="277">
        <f t="shared" si="14"/>
        <v>38251</v>
      </c>
      <c r="CA24" s="277">
        <f>'C1-Incomes'!GM26-'C1-Incomes'!GE26-BZ24</f>
        <v>0</v>
      </c>
      <c r="CB24" s="277">
        <f>'C1-Incomes'!GM26-'T-T2'!B27</f>
        <v>0</v>
      </c>
      <c r="CC24" s="272">
        <f>'T-T1'!EB27</f>
        <v>189199</v>
      </c>
      <c r="CD24" s="272">
        <f>TOTALS!AV84/1000000</f>
        <v>188585.83966</v>
      </c>
      <c r="CE24" s="277">
        <f>TOTALS!BA84/1000000</f>
        <v>598.20475722000003</v>
      </c>
      <c r="CF24" s="272">
        <f>'T-T3'!Q28</f>
        <v>7189</v>
      </c>
      <c r="CG24" s="277">
        <f>'C1-Incomes'!GM26-'C1-Incomes'!GU26-CC24-CE24-CF24</f>
        <v>-3.5721983749681385E-4</v>
      </c>
      <c r="CH24" s="277">
        <f>'T-T1'!ED27</f>
        <v>34981</v>
      </c>
      <c r="CI24" s="272"/>
      <c r="CJ24" s="277">
        <f>'C1-Incomes'!GU26-'C1-Incomes'!HC26-CH24</f>
        <v>0</v>
      </c>
      <c r="CK24" s="277">
        <f t="shared" si="3"/>
        <v>77852</v>
      </c>
      <c r="CL24" s="277">
        <f>'C1-Incomes'!HC26-'C1-Incomes'!HK26-CK24</f>
        <v>0</v>
      </c>
      <c r="CM24" s="272">
        <f t="shared" si="4"/>
        <v>37250</v>
      </c>
      <c r="CN24" s="272">
        <f>TOTALS!AX84/1000000</f>
        <v>17664.302388</v>
      </c>
      <c r="CO24" s="272">
        <f t="shared" si="5"/>
        <v>26498</v>
      </c>
      <c r="CP24" s="272">
        <f>'T-T1'!DE27</f>
        <v>63748</v>
      </c>
      <c r="CQ24" s="277">
        <f>'C1-Incomes'!HK26-'C1-Incomes'!HS26-CP24</f>
        <v>4.0000001899898052E-4</v>
      </c>
      <c r="CR24" s="272">
        <f>'T-T3'!AG28-'T-T2'!AF27-'T-T2'!AG27</f>
        <v>128830</v>
      </c>
      <c r="CS24" s="272">
        <f>TOTALS!AY84/1000000</f>
        <v>127078.35877399999</v>
      </c>
      <c r="CT24" s="277">
        <f>'C1-Incomes'!HS26-'C1-Incomes'!IA26-CR24</f>
        <v>-1.9999989308416843E-4</v>
      </c>
      <c r="CU24" s="277">
        <f>'T-T3a'!O28+'T-T3a'!P28</f>
        <v>87894</v>
      </c>
      <c r="CV24" s="277">
        <f>'C1-Incomes'!IA26-'C1-Incomes'!II26-CU24</f>
        <v>0</v>
      </c>
      <c r="CW24" s="272">
        <f>'T-T3'!H28</f>
        <v>36770.534657219891</v>
      </c>
      <c r="CX24" s="277">
        <f>'C1-Incomes'!IQ26-'C1-Incomes'!II26-CW24</f>
        <v>3.4278025850653648E-4</v>
      </c>
      <c r="CY24" s="277">
        <f>'T-T3'!G28</f>
        <v>352565</v>
      </c>
      <c r="CZ24" s="277">
        <f>'C1-Incomes'!IY26-'C1-Incomes'!IQ26-CY24</f>
        <v>0</v>
      </c>
      <c r="DA24" s="277">
        <f>'C1-Incomes'!IY26-'T-T3'!Z28</f>
        <v>5.0000008195638657E-4</v>
      </c>
      <c r="DB24" s="280"/>
      <c r="DC24" s="272">
        <f>TOTALS!BG23/1000000</f>
        <v>30302.123631999999</v>
      </c>
      <c r="DD24" s="272">
        <f>TOTALS!BH23/1000000</f>
        <v>0</v>
      </c>
      <c r="DE24" s="272">
        <f t="shared" si="8"/>
        <v>30302.123631999999</v>
      </c>
      <c r="DF24" s="272">
        <f>TOTALS!BI23/1000000</f>
        <v>27102.498381000001</v>
      </c>
    </row>
    <row r="25" spans="1:110" ht="12" customHeight="1" x14ac:dyDescent="0.3">
      <c r="A25" s="268">
        <v>1979</v>
      </c>
      <c r="B25" s="272">
        <f>'C1-Incomes'!AP27-'C1-Incomes'!AH27</f>
        <v>7841.9092999999411</v>
      </c>
      <c r="C25" s="272">
        <f>SUM('T-T1'!AN28:AP28)</f>
        <v>17240</v>
      </c>
      <c r="D25" s="272">
        <f>'T-T1'!AN28</f>
        <v>11206</v>
      </c>
      <c r="E25" s="277">
        <f>'C1-Incomes'!AX27-'C1-Incomes'!AP27-D25</f>
        <v>0</v>
      </c>
      <c r="F25" s="272">
        <f>TOTALS!I85/1000000</f>
        <v>1506.0241202</v>
      </c>
      <c r="G25" s="277">
        <v>0</v>
      </c>
      <c r="H25" s="272">
        <f>TOTALS!AB85/1000000</f>
        <v>731.10258651999993</v>
      </c>
      <c r="I25" s="272">
        <f>TOTALS!BP85/1000000</f>
        <v>5217.4797031999997</v>
      </c>
      <c r="J25" s="272">
        <f>TOTALS!Y85/1000000</f>
        <v>3232.7369588000001</v>
      </c>
      <c r="K25" s="272">
        <f>TOTALS!W85/1000000</f>
        <v>4614.6202291999998</v>
      </c>
      <c r="L25" s="277">
        <f>TOTALS!K85/1000000</f>
        <v>330.58355695</v>
      </c>
      <c r="M25" s="272">
        <f>TOTALS!BT85/1000000</f>
        <v>960.33790682000006</v>
      </c>
      <c r="N25" s="272">
        <f>(TOTALS!CB85-TOTALS!CC85)/1000000</f>
        <v>-1434.0709396899999</v>
      </c>
      <c r="O25" s="272">
        <f t="shared" si="15"/>
        <v>-5785.6673025800001</v>
      </c>
      <c r="P25" s="277">
        <f>'C1-Incomes'!BF27-'C1-Incomes'!AX27-O25</f>
        <v>2.5801446099649183E-6</v>
      </c>
      <c r="Q25" s="277">
        <f>'C22-Fiduciary'!T24</f>
        <v>7655.8975831491261</v>
      </c>
      <c r="R25" s="277">
        <f>'C1-Incomes'!BV27-'C1-Incomes'!BN27-Q25</f>
        <v>4.1685091855470091E-4</v>
      </c>
      <c r="S25" s="270">
        <f>'T-T1'!CR28</f>
        <v>101444</v>
      </c>
      <c r="T25" s="270">
        <f t="shared" si="16"/>
        <v>5883.7520000000004</v>
      </c>
      <c r="U25" s="331">
        <f>ROUND('C12-CorpOwn'!T24,3)</f>
        <v>5.8000000000000003E-2</v>
      </c>
      <c r="V25" s="270">
        <f t="shared" si="10"/>
        <v>23230.675999999992</v>
      </c>
      <c r="W25" s="279">
        <f>ROUND('C12-CorpOwn'!S24,3)</f>
        <v>0.22900000000000001</v>
      </c>
      <c r="X25" s="272">
        <f t="shared" si="6"/>
        <v>72329.572</v>
      </c>
      <c r="Y25" s="279">
        <f>1-ROUND('C12-CorpOwn'!S24,3)-ROUND('C12-CorpOwn'!T24,3)</f>
        <v>0.71299999999999997</v>
      </c>
      <c r="Z25" s="685">
        <f>'C1-Incomes'!CD27-'C1-Incomes'!BV27-S25</f>
        <v>0</v>
      </c>
      <c r="AA25" s="277">
        <f>'T-T1'!CP28</f>
        <v>90016</v>
      </c>
      <c r="AB25" s="277">
        <f>'T-T1'!AA28</f>
        <v>9279</v>
      </c>
      <c r="AC25" s="277">
        <f t="shared" si="7"/>
        <v>80737</v>
      </c>
      <c r="AD25" s="277">
        <f>'C1-Incomes'!CL27-'C1-Incomes'!CD27-AC25</f>
        <v>0</v>
      </c>
      <c r="AE25" s="277">
        <f t="shared" si="2"/>
        <v>26384</v>
      </c>
      <c r="AF25" s="277">
        <f>'C1-Incomes'!CT27-'C1-Incomes'!CL27-AE25</f>
        <v>0</v>
      </c>
      <c r="AG25" s="277">
        <f>'T-T1a'!C30</f>
        <v>-67275.733894183271</v>
      </c>
      <c r="AH25" s="277">
        <f>'T-T1a'!D30</f>
        <v>-33637.866947091636</v>
      </c>
      <c r="AI25" s="277">
        <f>'T-T1a'!E30</f>
        <v>33699.300870894658</v>
      </c>
      <c r="AJ25" s="277">
        <f>'T-T1a'!F30</f>
        <v>67214.299970380249</v>
      </c>
      <c r="AK25" s="277">
        <f>'C1-Incomes'!DB27-'C1-Incomes'!CT27</f>
        <v>0</v>
      </c>
      <c r="AL25" s="277">
        <f>'T-T1'!E28</f>
        <v>-7850.4837566701535</v>
      </c>
      <c r="AM25" s="277">
        <f>'T-T1'!L28</f>
        <v>20644.145868086965</v>
      </c>
      <c r="AN25" s="277">
        <f>'T-T1'!Q28</f>
        <v>70107.254185042533</v>
      </c>
      <c r="AO25" s="277">
        <f>'T-T1'!T28</f>
        <v>-536.93901100000039</v>
      </c>
      <c r="AP25" s="277">
        <f>'T-T1'!AH28</f>
        <v>211.16148887000008</v>
      </c>
      <c r="AQ25" s="277">
        <f t="shared" si="9"/>
        <v>82575.138774329345</v>
      </c>
      <c r="AR25" s="277">
        <f>'C1-Incomes'!DJ27-'C1-Incomes'!DB27-AQ25</f>
        <v>-7.7432954276446253E-4</v>
      </c>
      <c r="AS25" s="277">
        <f t="shared" si="11"/>
        <v>43746</v>
      </c>
      <c r="AT25" s="277">
        <f>'T-T1'!U28</f>
        <v>5727</v>
      </c>
      <c r="AU25" s="277">
        <f>'T-T1'!EE28</f>
        <v>38019</v>
      </c>
      <c r="AV25" s="277">
        <f>TOTALS!AX85/1000000</f>
        <v>18994.617125000001</v>
      </c>
      <c r="AW25" s="277">
        <f>'C1-Incomes'!DR27-'C1-Incomes'!DJ27-AS25</f>
        <v>1.1244462803006172E-4</v>
      </c>
      <c r="AX25" s="277">
        <f>(TOTALS!Z85+TOTALS!AA85)/1000000</f>
        <v>78491.571368999998</v>
      </c>
      <c r="AY25" s="277">
        <f>'T-T1'!I28</f>
        <v>82587</v>
      </c>
      <c r="AZ25" s="277">
        <f>'C1-Incomes'!DZ27-'C1-Incomes'!DR27-AY25</f>
        <v>3.6946497857570648E-4</v>
      </c>
      <c r="BA25" s="272">
        <f>'T-T1'!G28</f>
        <v>74981</v>
      </c>
      <c r="BB25" s="277">
        <f>'C1-Incomes'!EH27-'C1-Incomes'!DZ27-BA25</f>
        <v>1.1874362826347351E-8</v>
      </c>
      <c r="BC25" s="272">
        <f>'T-T1'!AD28+'T-T1'!AO28+'T-T1'!AR28+'T-T1'!AV28</f>
        <v>57749.685166774587</v>
      </c>
      <c r="BD25" s="272">
        <f>ROUND('T-T1'!BJ28,0)</f>
        <v>35045</v>
      </c>
      <c r="BE25" s="277">
        <f>'C1-Incomes'!EP27-'C1-Incomes'!EH27-BC25-BD25</f>
        <v>-1.4869592996546999E-4</v>
      </c>
      <c r="BF25" s="272">
        <f>ROUND('T-T1'!BA28,0)</f>
        <v>115698</v>
      </c>
      <c r="BG25" s="272">
        <f>ROUND('T-T1'!BC28+'T-T1'!BE28,0)</f>
        <v>4221</v>
      </c>
      <c r="BH25" s="272">
        <f>ROUND('T-T1'!V28+'T-T1'!AE28+'T-T1'!AP28+'T-T1'!AS28+'T-T1'!AW28+'T-T1'!BG28,0)</f>
        <v>6226</v>
      </c>
      <c r="BI25" s="272">
        <f>ROUND('T-T1'!AA28,0)</f>
        <v>9279</v>
      </c>
      <c r="BJ25" s="277">
        <f>'C1-Incomes'!EX27-'C1-Incomes'!EP27-SUM(BF25:BI25)</f>
        <v>0</v>
      </c>
      <c r="BK25" s="277">
        <f>'C1-Incomes'!EX27-'T-T1'!BN28</f>
        <v>-0.11569999996572733</v>
      </c>
      <c r="BL25" s="272">
        <f>'T-T2'!J28+'T-T2'!K28</f>
        <v>106894</v>
      </c>
      <c r="BM25" s="272">
        <v>0</v>
      </c>
      <c r="BN25" s="272">
        <f t="shared" si="12"/>
        <v>106894</v>
      </c>
      <c r="BO25" s="277">
        <f>'C1-Incomes'!FF27-'C1-Incomes'!EX27-BL25</f>
        <v>0</v>
      </c>
      <c r="BP25" s="272">
        <f>'T-T2'!L28</f>
        <v>9692</v>
      </c>
      <c r="BQ25" s="277">
        <f>'C1-Incomes'!FN27-'C1-Incomes'!FF27-BP25</f>
        <v>0</v>
      </c>
      <c r="BR25" s="277">
        <v>0</v>
      </c>
      <c r="BS25" s="272">
        <f>'T-T2'!M28+'T-T2'!N28</f>
        <v>14127</v>
      </c>
      <c r="BT25" s="272">
        <f>SUM('T-T2'!O28:T28)</f>
        <v>22479</v>
      </c>
      <c r="BU25" s="272">
        <f t="shared" si="13"/>
        <v>36606</v>
      </c>
      <c r="BV25" s="272">
        <f>'C1-Incomes'!FV27-'C1-Incomes'!FN27-BU25</f>
        <v>0</v>
      </c>
      <c r="BW25" s="272">
        <f>'T-T2'!X28</f>
        <v>27217</v>
      </c>
      <c r="BX25" s="277">
        <f>'C1-Incomes'!GE27-'C1-Incomes'!FV27-BW25</f>
        <v>0</v>
      </c>
      <c r="BY25" s="272">
        <f>'T-T2'!AC28-'T-T2'!AF28-'T-T2'!AG28</f>
        <v>224615</v>
      </c>
      <c r="BZ25" s="277">
        <f t="shared" si="14"/>
        <v>44206</v>
      </c>
      <c r="CA25" s="277">
        <f>'C1-Incomes'!GM27-'C1-Incomes'!GE27-BZ25</f>
        <v>0</v>
      </c>
      <c r="CB25" s="277">
        <f>'C1-Incomes'!GM27-'T-T2'!B28</f>
        <v>0</v>
      </c>
      <c r="CC25" s="272">
        <f>'T-T1'!EB28</f>
        <v>224881</v>
      </c>
      <c r="CD25" s="272">
        <f>TOTALS!AV85/1000000</f>
        <v>212802.633634</v>
      </c>
      <c r="CE25" s="277">
        <f>TOTALS!BA85/1000000</f>
        <v>359.39490487</v>
      </c>
      <c r="CF25" s="272">
        <f>'T-T3'!Q29</f>
        <v>7541</v>
      </c>
      <c r="CG25" s="277">
        <f>'C1-Incomes'!GM27-'C1-Incomes'!GU27-CC25-CE25-CF25</f>
        <v>-3.0486976720567327E-4</v>
      </c>
      <c r="CH25" s="277">
        <f>'T-T1'!ED28</f>
        <v>38214</v>
      </c>
      <c r="CI25" s="272">
        <f>TOTALS!AP85/1000000</f>
        <v>29838.614655000001</v>
      </c>
      <c r="CJ25" s="277">
        <f>'C1-Incomes'!GU27-'C1-Incomes'!HC27-CH25</f>
        <v>-4.0000025182962418E-4</v>
      </c>
      <c r="CK25" s="277">
        <f t="shared" si="3"/>
        <v>80737</v>
      </c>
      <c r="CL25" s="277">
        <f>'C1-Incomes'!HC27-'C1-Incomes'!HK27-CK25</f>
        <v>0</v>
      </c>
      <c r="CM25" s="272">
        <f t="shared" si="4"/>
        <v>38019</v>
      </c>
      <c r="CN25" s="272">
        <f>TOTALS!AX85/1000000</f>
        <v>18994.617125000001</v>
      </c>
      <c r="CO25" s="272">
        <f t="shared" si="5"/>
        <v>26384</v>
      </c>
      <c r="CP25" s="272">
        <f>'T-T1'!DE28</f>
        <v>64403</v>
      </c>
      <c r="CQ25" s="277">
        <f>'C1-Incomes'!HK27-'C1-Incomes'!HS27-CP25</f>
        <v>1.0000006295740604E-4</v>
      </c>
      <c r="CR25" s="272">
        <f>'T-T3'!AG29-'T-T2'!AF28-'T-T2'!AG28</f>
        <v>149981</v>
      </c>
      <c r="CS25" s="272">
        <f>TOTALS!AY85/1000000</f>
        <v>146603.748636</v>
      </c>
      <c r="CT25" s="277">
        <f>'C1-Incomes'!HS27-'C1-Incomes'!IA27-CR25</f>
        <v>-2.9999995604157448E-4</v>
      </c>
      <c r="CU25" s="277">
        <f>'T-T3a'!O29+'T-T3a'!P29</f>
        <v>96118</v>
      </c>
      <c r="CV25" s="277">
        <f>'C1-Incomes'!IA27-'C1-Incomes'!II27-CU25</f>
        <v>0</v>
      </c>
      <c r="CW25" s="272">
        <f>'T-T3'!H29</f>
        <v>51762.51060487004</v>
      </c>
      <c r="CX25" s="277">
        <f>'C1-Incomes'!IQ27-'C1-Incomes'!II27-CW25</f>
        <v>3.9512990042567253E-4</v>
      </c>
      <c r="CY25" s="277">
        <f>'T-T3'!G29</f>
        <v>385857</v>
      </c>
      <c r="CZ25" s="277">
        <f>'C1-Incomes'!IY27-'C1-Incomes'!IQ27-CY25</f>
        <v>0</v>
      </c>
      <c r="DA25" s="277">
        <f>'C1-Incomes'!IY27-'T-T3'!Z29</f>
        <v>1.3000001199543476E-3</v>
      </c>
      <c r="DB25" s="280"/>
      <c r="DC25" s="272">
        <f>TOTALS!BG24/1000000</f>
        <v>42001.581121000003</v>
      </c>
      <c r="DD25" s="272">
        <f>TOTALS!BH24/1000000</f>
        <v>0</v>
      </c>
      <c r="DE25" s="272">
        <f t="shared" si="8"/>
        <v>42001.581121000003</v>
      </c>
      <c r="DF25" s="272">
        <f>TOTALS!BI24/1000000</f>
        <v>39629.110013999998</v>
      </c>
    </row>
    <row r="26" spans="1:110" ht="12" customHeight="1" x14ac:dyDescent="0.3">
      <c r="A26" s="268">
        <v>1980</v>
      </c>
      <c r="B26" s="272">
        <f>'C1-Incomes'!AP28-'C1-Incomes'!AH28</f>
        <v>10695.984100000001</v>
      </c>
      <c r="C26" s="272">
        <f>SUM('T-T1'!AN29:AP29)</f>
        <v>19358</v>
      </c>
      <c r="D26" s="272">
        <f>'T-T1'!AN29</f>
        <v>12582.7</v>
      </c>
      <c r="E26" s="277">
        <f>'C1-Incomes'!AX28-'C1-Incomes'!AP28-D26</f>
        <v>0.2999999999992724</v>
      </c>
      <c r="F26" s="272">
        <f>TOTALS!I86/1000000</f>
        <v>1569.4135096</v>
      </c>
      <c r="G26" s="277">
        <v>0</v>
      </c>
      <c r="H26" s="272">
        <f>TOTALS!AB86/1000000</f>
        <v>958.92990373999999</v>
      </c>
      <c r="I26" s="272">
        <f>TOTALS!BP86/1000000</f>
        <v>5422.4502750000001</v>
      </c>
      <c r="J26" s="272">
        <f>TOTALS!Y86/1000000</f>
        <v>3620.2523415999999</v>
      </c>
      <c r="K26" s="272">
        <f>TOTALS!W86/1000000</f>
        <v>5679.0509616999998</v>
      </c>
      <c r="L26" s="277">
        <f>TOTALS!K86/1000000</f>
        <v>356.19873355999999</v>
      </c>
      <c r="M26" s="272">
        <f>TOTALS!BT86/1000000</f>
        <v>96.65559162000001</v>
      </c>
      <c r="N26" s="272">
        <f>(TOTALS!CB86-TOTALS!CC86)/1000000</f>
        <v>-1419.94201727</v>
      </c>
      <c r="O26" s="272">
        <f t="shared" si="15"/>
        <v>-4625.9643914900007</v>
      </c>
      <c r="P26" s="277">
        <f>'C1-Incomes'!BF28-'C1-Incomes'!AX28-O26</f>
        <v>-8.5099381976760924E-6</v>
      </c>
      <c r="Q26" s="277">
        <f>'C22-Fiduciary'!T25</f>
        <v>8279.1587796572439</v>
      </c>
      <c r="R26" s="277">
        <f>'C1-Incomes'!BV28-'C1-Incomes'!BN28-Q26</f>
        <v>2.2034274115867447E-4</v>
      </c>
      <c r="S26" s="270">
        <f>'T-T1'!CR29</f>
        <v>72300</v>
      </c>
      <c r="T26" s="270">
        <f t="shared" si="16"/>
        <v>4121.1000000000004</v>
      </c>
      <c r="U26" s="331">
        <f>ROUND('C12-CorpOwn'!T25,3)</f>
        <v>5.7000000000000002E-2</v>
      </c>
      <c r="V26" s="270">
        <f t="shared" si="10"/>
        <v>15905.999999999993</v>
      </c>
      <c r="W26" s="279">
        <f>ROUND('C12-CorpOwn'!S25,3)</f>
        <v>0.22</v>
      </c>
      <c r="X26" s="272">
        <f t="shared" si="6"/>
        <v>52272.9</v>
      </c>
      <c r="Y26" s="279">
        <f>1-ROUND('C12-CorpOwn'!S25,3)-ROUND('C12-CorpOwn'!T25,3)</f>
        <v>0.72299999999999998</v>
      </c>
      <c r="Z26" s="685">
        <f>'C1-Incomes'!CD28-'C1-Incomes'!BV28-S26</f>
        <v>0</v>
      </c>
      <c r="AA26" s="277">
        <f>'T-T1'!CP29</f>
        <v>87190</v>
      </c>
      <c r="AB26" s="277">
        <f>'T-T1'!AA29</f>
        <v>11706</v>
      </c>
      <c r="AC26" s="277">
        <f t="shared" si="7"/>
        <v>75484</v>
      </c>
      <c r="AD26" s="277">
        <f>'C1-Incomes'!CL28-'C1-Incomes'!CD28-AC26</f>
        <v>0</v>
      </c>
      <c r="AE26" s="277">
        <f t="shared" si="2"/>
        <v>27806</v>
      </c>
      <c r="AF26" s="277">
        <f>'C1-Incomes'!CT28-'C1-Incomes'!CL28-AE26</f>
        <v>0</v>
      </c>
      <c r="AG26" s="277">
        <f>'T-T1a'!C31</f>
        <v>-80236.32984618374</v>
      </c>
      <c r="AH26" s="277">
        <f>'T-T1a'!D31</f>
        <v>-40118.16492309187</v>
      </c>
      <c r="AI26" s="277">
        <f>'T-T1a'!E31</f>
        <v>50050.738407756195</v>
      </c>
      <c r="AJ26" s="277">
        <f>'T-T1a'!F31</f>
        <v>70303.756361519423</v>
      </c>
      <c r="AK26" s="277">
        <f>'C1-Incomes'!DB28-'C1-Incomes'!CT28</f>
        <v>-1.0000001639127731E-3</v>
      </c>
      <c r="AL26" s="277">
        <f>'T-T1'!E29</f>
        <v>-11554.71461506454</v>
      </c>
      <c r="AM26" s="277">
        <f>'T-T1'!L29</f>
        <v>13942.066555502479</v>
      </c>
      <c r="AN26" s="277">
        <f>'T-T1'!Q29</f>
        <v>73308.476226789484</v>
      </c>
      <c r="AO26" s="277">
        <f>'T-T1'!T29</f>
        <v>2412.560195</v>
      </c>
      <c r="AP26" s="277">
        <f>'T-T1'!AH29</f>
        <v>57.592294788999993</v>
      </c>
      <c r="AQ26" s="277">
        <f t="shared" si="9"/>
        <v>78165.980657016422</v>
      </c>
      <c r="AR26" s="277">
        <f>'C1-Incomes'!DJ28-'C1-Incomes'!DB28-AQ26</f>
        <v>-6.5701644052751362E-4</v>
      </c>
      <c r="AS26" s="277">
        <f t="shared" si="11"/>
        <v>46652</v>
      </c>
      <c r="AT26" s="277">
        <f>'T-T1'!U29</f>
        <v>5632</v>
      </c>
      <c r="AU26" s="277">
        <f>'T-T1'!EE29</f>
        <v>41020</v>
      </c>
      <c r="AV26" s="277">
        <f>TOTALS!AX86/1000000</f>
        <v>21585.230744</v>
      </c>
      <c r="AW26" s="277">
        <f>'C1-Incomes'!DR28-'C1-Incomes'!DJ28-AS26</f>
        <v>-2.9276893474161625E-4</v>
      </c>
      <c r="AX26" s="277">
        <f>(TOTALS!Z86+TOTALS!AA86)/1000000</f>
        <v>85673.988979000002</v>
      </c>
      <c r="AY26" s="277">
        <f>'T-T1'!I29</f>
        <v>88940</v>
      </c>
      <c r="AZ26" s="277">
        <f>'C1-Incomes'!DZ28-'C1-Incomes'!DR28-AY26</f>
        <v>-2.0578270778059959E-5</v>
      </c>
      <c r="BA26" s="272">
        <f>'T-T1'!G29</f>
        <v>85247</v>
      </c>
      <c r="BB26" s="277">
        <f>'C1-Incomes'!EH28-'C1-Incomes'!DZ28-BA26</f>
        <v>-2.3283064365386963E-8</v>
      </c>
      <c r="BC26" s="272">
        <f>'T-T1'!AD29+'T-T1'!AO29+'T-T1'!AR29+'T-T1'!AV29</f>
        <v>73382.501747270726</v>
      </c>
      <c r="BD26" s="272">
        <f>ROUND('T-T1'!BJ29,0)</f>
        <v>37968</v>
      </c>
      <c r="BE26" s="277">
        <f>'C1-Incomes'!EP28-'C1-Incomes'!EH28-BC26-BD26</f>
        <v>2.6609966880641878E-4</v>
      </c>
      <c r="BF26" s="272">
        <f>ROUND('T-T1'!BA29,0)</f>
        <v>131504</v>
      </c>
      <c r="BG26" s="272">
        <f>ROUND('T-T1'!BC29+'T-T1'!BE29,0)</f>
        <v>4197</v>
      </c>
      <c r="BH26" s="272">
        <f>ROUND('T-T1'!V29+'T-T1'!AE29+'T-T1'!AP29+'T-T1'!AS29+'T-T1'!AW29+'T-T1'!BG29,0)</f>
        <v>6710</v>
      </c>
      <c r="BI26" s="272">
        <f>ROUND('T-T1'!AA29,0)</f>
        <v>11706</v>
      </c>
      <c r="BJ26" s="277">
        <f>'C1-Incomes'!EX28-'C1-Incomes'!EP28-SUM(BF26:BI26)</f>
        <v>0</v>
      </c>
      <c r="BK26" s="277">
        <f>'C1-Incomes'!EX28-'T-T1'!BN29</f>
        <v>2.0954999998211861</v>
      </c>
      <c r="BL26" s="272">
        <f>'T-T2'!J29+'T-T2'!K29</f>
        <v>123398</v>
      </c>
      <c r="BM26" s="272">
        <v>0</v>
      </c>
      <c r="BN26" s="272">
        <f t="shared" si="12"/>
        <v>123398</v>
      </c>
      <c r="BO26" s="277">
        <f>'C1-Incomes'!FF28-'C1-Incomes'!EX28-BL26</f>
        <v>0</v>
      </c>
      <c r="BP26" s="272">
        <f>'T-T2'!L29</f>
        <v>16097</v>
      </c>
      <c r="BQ26" s="277">
        <f>'C1-Incomes'!FN28-'C1-Incomes'!FF28-BP26</f>
        <v>0</v>
      </c>
      <c r="BR26" s="277">
        <v>0</v>
      </c>
      <c r="BS26" s="272">
        <f>'T-T2'!M29+'T-T2'!N29</f>
        <v>14636</v>
      </c>
      <c r="BT26" s="272">
        <f>SUM('T-T2'!O29:T29)</f>
        <v>26068</v>
      </c>
      <c r="BU26" s="272">
        <f t="shared" si="13"/>
        <v>40704</v>
      </c>
      <c r="BV26" s="272">
        <f>'C1-Incomes'!FV28-'C1-Incomes'!FN28-BU26</f>
        <v>0</v>
      </c>
      <c r="BW26" s="272">
        <f>'T-T2'!X29</f>
        <v>33190</v>
      </c>
      <c r="BX26" s="277">
        <f>'C1-Incomes'!GE28-'C1-Incomes'!FV28-BW26</f>
        <v>0</v>
      </c>
      <c r="BY26" s="272">
        <f>'T-T2'!AC29-'T-T2'!AF29-'T-T2'!AG29</f>
        <v>268487</v>
      </c>
      <c r="BZ26" s="277">
        <f t="shared" si="14"/>
        <v>55098</v>
      </c>
      <c r="CA26" s="277">
        <f>'C1-Incomes'!GM28-'C1-Incomes'!GE28-BZ26</f>
        <v>0</v>
      </c>
      <c r="CB26" s="277">
        <f>'C1-Incomes'!GM28-'T-T2'!B29</f>
        <v>0</v>
      </c>
      <c r="CC26" s="272">
        <f>'T-T1'!EB29</f>
        <v>250621</v>
      </c>
      <c r="CD26" s="272">
        <f>TOTALS!AV86/1000000</f>
        <v>248190.43931799999</v>
      </c>
      <c r="CE26" s="272">
        <f>TOTALS!BA86/1000000</f>
        <v>462.09584991000003</v>
      </c>
      <c r="CF26" s="272">
        <f>'T-T3'!Q30</f>
        <v>8778</v>
      </c>
      <c r="CG26" s="277">
        <f>'C1-Incomes'!GM28-'C1-Incomes'!GU28-CC26-CE26-CF26</f>
        <v>3.5009002931474242E-4</v>
      </c>
      <c r="CH26" s="277">
        <f>'T-T1'!ED29</f>
        <v>42594</v>
      </c>
      <c r="CI26" s="272">
        <f>TOTALS!AP86/1000000</f>
        <v>34723.182982999999</v>
      </c>
      <c r="CJ26" s="277">
        <f>'C1-Incomes'!GU28-'C1-Incomes'!HC28-CH26</f>
        <v>0</v>
      </c>
      <c r="CK26" s="277">
        <f t="shared" si="3"/>
        <v>75484</v>
      </c>
      <c r="CL26" s="277">
        <f>'C1-Incomes'!HC28-'C1-Incomes'!HK28-CK26</f>
        <v>0</v>
      </c>
      <c r="CM26" s="272">
        <f t="shared" si="4"/>
        <v>41020</v>
      </c>
      <c r="CN26" s="272">
        <f>TOTALS!AX86/1000000</f>
        <v>21585.230744</v>
      </c>
      <c r="CO26" s="272">
        <f t="shared" si="5"/>
        <v>27806</v>
      </c>
      <c r="CP26" s="272">
        <f>'T-T1'!DE29</f>
        <v>68826</v>
      </c>
      <c r="CQ26" s="277">
        <f>'C1-Incomes'!HK28-'C1-Incomes'!HS28-CP26</f>
        <v>-3.0000042170286179E-4</v>
      </c>
      <c r="CR26" s="272">
        <f>'T-T3'!AG30-'T-T2'!AF29-'T-T2'!AG29</f>
        <v>163189</v>
      </c>
      <c r="CS26" s="272">
        <f>TOTALS!AY86/1000000</f>
        <v>160924.124625</v>
      </c>
      <c r="CT26" s="277">
        <f>'C1-Incomes'!HS28-'C1-Incomes'!IA28-CR26</f>
        <v>-3.9999978616833687E-4</v>
      </c>
      <c r="CU26" s="277">
        <f>'T-T3a'!O30+'T-T3a'!P30</f>
        <v>111531</v>
      </c>
      <c r="CV26" s="277">
        <f>'C1-Incomes'!IA28-'C1-Incomes'!II28-CU26</f>
        <v>0</v>
      </c>
      <c r="CW26" s="272">
        <f>'T-T3'!H30</f>
        <v>18074.000349909998</v>
      </c>
      <c r="CX26" s="277">
        <f>'C1-Incomes'!IQ28-'C1-Incomes'!II28-CW26</f>
        <v>-3.4990999847650528E-4</v>
      </c>
      <c r="CY26" s="277">
        <f>'T-T3'!G30</f>
        <v>434922</v>
      </c>
      <c r="CZ26" s="277">
        <f>'C1-Incomes'!IY28-'C1-Incomes'!IQ28-CY26</f>
        <v>0</v>
      </c>
      <c r="DA26" s="277">
        <f>'C1-Incomes'!IY28-'T-T3'!Z30</f>
        <v>0</v>
      </c>
      <c r="DB26" s="280"/>
      <c r="DC26" s="272">
        <f>TOTALS!BG25/1000000</f>
        <v>41259.405170999999</v>
      </c>
      <c r="DD26" s="272">
        <f>TOTALS!BH25/1000000</f>
        <v>0</v>
      </c>
      <c r="DE26" s="272">
        <f t="shared" si="8"/>
        <v>41259.405170999999</v>
      </c>
      <c r="DF26" s="272">
        <f>TOTALS!BI25/1000000</f>
        <v>38197.487097999998</v>
      </c>
    </row>
    <row r="27" spans="1:110" ht="12" customHeight="1" x14ac:dyDescent="0.3">
      <c r="A27" s="268">
        <v>1981</v>
      </c>
      <c r="B27" s="272">
        <f>'C1-Incomes'!AP29-'C1-Incomes'!AH29</f>
        <v>16118.288399999961</v>
      </c>
      <c r="C27" s="272">
        <f>SUM('T-T1'!AN30:AP30)</f>
        <v>22844</v>
      </c>
      <c r="D27" s="272">
        <f>'T-T1'!AN30</f>
        <v>14848.6</v>
      </c>
      <c r="E27" s="277">
        <f>'C1-Incomes'!AX29-'C1-Incomes'!AP29-D27</f>
        <v>0.3999999999996362</v>
      </c>
      <c r="F27" s="272">
        <f>TOTALS!I87/1000000</f>
        <v>6017.6063684000001</v>
      </c>
      <c r="G27" s="277">
        <v>0</v>
      </c>
      <c r="H27" s="272">
        <f>TOTALS!AB87/1000000</f>
        <v>1057.2655347</v>
      </c>
      <c r="I27" s="272">
        <f>TOTALS!BP87/1000000</f>
        <v>6738.2884841999994</v>
      </c>
      <c r="J27" s="272">
        <f>TOTALS!Y87/1000000</f>
        <v>4363.7062806000004</v>
      </c>
      <c r="K27" s="272">
        <f>TOTALS!W87/1000000</f>
        <v>6745.9317206999995</v>
      </c>
      <c r="L27" s="277">
        <f>TOTALS!K87/1000000</f>
        <v>479.70226157999997</v>
      </c>
      <c r="M27" s="272">
        <f>TOTALS!BT87/1000000</f>
        <v>230.31214903</v>
      </c>
      <c r="N27" s="272">
        <f>(TOTALS!CB87-TOTALS!CC87)/1000000</f>
        <v>-1800.2666203900001</v>
      </c>
      <c r="O27" s="272">
        <f t="shared" si="15"/>
        <v>-1906.0032414000002</v>
      </c>
      <c r="P27" s="277">
        <f>'C1-Incomes'!BF29-'C1-Incomes'!AX29-O27</f>
        <v>4.139984821449616E-5</v>
      </c>
      <c r="Q27" s="277">
        <f>'C22-Fiduciary'!T26</f>
        <v>8902.4199761653617</v>
      </c>
      <c r="R27" s="277">
        <f>'C1-Incomes'!BV29-'C1-Incomes'!BN29-Q27</f>
        <v>2.3834796593291685E-5</v>
      </c>
      <c r="S27" s="270">
        <f>'T-T1'!CR30</f>
        <v>89399</v>
      </c>
      <c r="T27" s="270">
        <f t="shared" si="16"/>
        <v>5185.1419999999998</v>
      </c>
      <c r="U27" s="331">
        <f>ROUND('C12-CorpOwn'!T26,3)</f>
        <v>5.8000000000000003E-2</v>
      </c>
      <c r="V27" s="270">
        <f t="shared" si="10"/>
        <v>23243.740000000013</v>
      </c>
      <c r="W27" s="279">
        <f>ROUND('C12-CorpOwn'!S26,3)</f>
        <v>0.26</v>
      </c>
      <c r="X27" s="272">
        <f t="shared" si="6"/>
        <v>60970.117999999995</v>
      </c>
      <c r="Y27" s="279">
        <f>1-ROUND('C12-CorpOwn'!S26,3)-ROUND('C12-CorpOwn'!T26,3)</f>
        <v>0.68199999999999994</v>
      </c>
      <c r="Z27" s="685">
        <f>'C1-Incomes'!CD29-'C1-Incomes'!BV29-S27</f>
        <v>0</v>
      </c>
      <c r="AA27" s="277">
        <f>'T-T1'!CP30</f>
        <v>84339</v>
      </c>
      <c r="AB27" s="277">
        <f>'T-T1'!AA30</f>
        <v>14024</v>
      </c>
      <c r="AC27" s="277">
        <f t="shared" si="7"/>
        <v>70315</v>
      </c>
      <c r="AD27" s="277">
        <f>'C1-Incomes'!CL29-'C1-Incomes'!CD29-AC27</f>
        <v>0</v>
      </c>
      <c r="AE27" s="277">
        <f t="shared" si="2"/>
        <v>31458</v>
      </c>
      <c r="AF27" s="277">
        <f>'C1-Incomes'!CT29-'C1-Incomes'!CL29-AE27</f>
        <v>0</v>
      </c>
      <c r="AG27" s="277">
        <f>'T-T1a'!C32</f>
        <v>-73269.190988602451</v>
      </c>
      <c r="AH27" s="277">
        <f>'T-T1a'!D32</f>
        <v>-36634.595494301226</v>
      </c>
      <c r="AI27" s="277">
        <f>'T-T1a'!E32</f>
        <v>46967.847014544677</v>
      </c>
      <c r="AJ27" s="277">
        <f>'T-T1a'!F32</f>
        <v>62935.939468358993</v>
      </c>
      <c r="AK27" s="277">
        <f>'C1-Incomes'!DB29-'C1-Incomes'!CT29</f>
        <v>0</v>
      </c>
      <c r="AL27" s="277">
        <f>'T-T1'!E30</f>
        <v>-7627.8528384336296</v>
      </c>
      <c r="AM27" s="277">
        <f>'T-T1'!L30</f>
        <v>34969.332866054501</v>
      </c>
      <c r="AN27" s="277">
        <f>'T-T1'!Q30</f>
        <v>79347.653909169108</v>
      </c>
      <c r="AO27" s="277">
        <f>'T-T1'!T30</f>
        <v>11194.7753039</v>
      </c>
      <c r="AP27" s="277">
        <f>'T-T1'!AH30</f>
        <v>909.9312324</v>
      </c>
      <c r="AQ27" s="277">
        <f t="shared" si="9"/>
        <v>118793.84047308998</v>
      </c>
      <c r="AR27" s="277">
        <f>'C1-Incomes'!DJ29-'C1-Incomes'!DB29-AQ27</f>
        <v>-4.7308989451266825E-4</v>
      </c>
      <c r="AS27" s="277">
        <f t="shared" si="11"/>
        <v>51392</v>
      </c>
      <c r="AT27" s="277">
        <f>'T-T1'!U30</f>
        <v>5770</v>
      </c>
      <c r="AU27" s="277">
        <f>'T-T1'!EE30</f>
        <v>45622</v>
      </c>
      <c r="AV27" s="277">
        <f>TOTALS!AX87/1000000</f>
        <v>25078.305656</v>
      </c>
      <c r="AW27" s="277">
        <f>'C1-Incomes'!DR29-'C1-Incomes'!DJ29-AS27</f>
        <v>-3.8329651579260826E-4</v>
      </c>
      <c r="AX27" s="277">
        <f>(TOTALS!Z87+TOTALS!AA87)/1000000</f>
        <v>100556.29597599999</v>
      </c>
      <c r="AY27" s="277">
        <f>'T-T1'!I30</f>
        <v>103610</v>
      </c>
      <c r="AZ27" s="277">
        <f>'C1-Incomes'!DZ29-'C1-Incomes'!DR29-AY27</f>
        <v>-2.4629291146993637E-5</v>
      </c>
      <c r="BA27" s="272">
        <f>'T-T1'!G30</f>
        <v>96941</v>
      </c>
      <c r="BB27" s="277">
        <f>'C1-Incomes'!EH29-'C1-Incomes'!DZ29-BA27</f>
        <v>1.2107193470001221E-8</v>
      </c>
      <c r="BC27" s="272">
        <f>'T-T1'!AD30+'T-T1'!AO30+'T-T1'!AR30+'T-T1'!AV30</f>
        <v>80225.543987740763</v>
      </c>
      <c r="BD27" s="272">
        <f>ROUND('T-T1'!BJ30,0)</f>
        <v>34535</v>
      </c>
      <c r="BE27" s="277">
        <f>'C1-Incomes'!EP29-'C1-Incomes'!EH29-BC27-BD27</f>
        <v>2.0172912627458572E-5</v>
      </c>
      <c r="BF27" s="272">
        <f>ROUND('T-T1'!BA30,0)</f>
        <v>158564</v>
      </c>
      <c r="BG27" s="272">
        <f>ROUND('T-T1'!BC30+'T-T1'!BE30,0)</f>
        <v>5440</v>
      </c>
      <c r="BH27" s="272">
        <f>ROUND('T-T1'!V30+'T-T1'!AE30+'T-T1'!AP30+'T-T1'!AS30+'T-T1'!AW30+'T-T1'!BG30,0)</f>
        <v>9560</v>
      </c>
      <c r="BI27" s="272">
        <f>ROUND('T-T1'!AA30,0)</f>
        <v>14024</v>
      </c>
      <c r="BJ27" s="277">
        <f>'C1-Incomes'!EX29-'C1-Incomes'!EP29-SUM(BF27:BI27)</f>
        <v>0</v>
      </c>
      <c r="BK27" s="277">
        <f>'C1-Incomes'!EX29-'T-T1'!BN30</f>
        <v>0.73760000010952353</v>
      </c>
      <c r="BL27" s="272">
        <f>'T-T2'!J30+'T-T2'!K30</f>
        <v>143958</v>
      </c>
      <c r="BM27" s="272">
        <v>0</v>
      </c>
      <c r="BN27" s="272">
        <f t="shared" si="12"/>
        <v>143958</v>
      </c>
      <c r="BO27" s="277">
        <f>'C1-Incomes'!FF29-'C1-Incomes'!EX29-BL27</f>
        <v>0</v>
      </c>
      <c r="BP27" s="272">
        <f>'T-T2'!L30</f>
        <v>15885</v>
      </c>
      <c r="BQ27" s="277">
        <f>'C1-Incomes'!FN29-'C1-Incomes'!FF29-BP27</f>
        <v>2.9999995604157448E-4</v>
      </c>
      <c r="BR27" s="272">
        <f>TOTALS!AU87/1000000</f>
        <v>12191.568303</v>
      </c>
      <c r="BS27" s="272">
        <f>'T-T2'!M30+'T-T2'!N30</f>
        <v>15760</v>
      </c>
      <c r="BT27" s="272">
        <f>SUM('T-T2'!O30:T30)</f>
        <v>27720</v>
      </c>
      <c r="BU27" s="272">
        <f t="shared" si="13"/>
        <v>43480</v>
      </c>
      <c r="BV27" s="272">
        <f>'C1-Incomes'!FV29-'C1-Incomes'!FN29-BU27</f>
        <v>0</v>
      </c>
      <c r="BW27" s="272">
        <f>'T-T2'!X30</f>
        <v>39777</v>
      </c>
      <c r="BX27" s="277">
        <f>'C1-Incomes'!GE29-'C1-Incomes'!FV29-BW27</f>
        <v>0</v>
      </c>
      <c r="BY27" s="272">
        <f>'T-T2'!AC30-'T-T2'!AF30-'T-T2'!AG30</f>
        <v>304087</v>
      </c>
      <c r="BZ27" s="277">
        <f t="shared" si="14"/>
        <v>60987</v>
      </c>
      <c r="CA27" s="277">
        <f>'C1-Incomes'!GM29-'C1-Incomes'!GE29-BZ27</f>
        <v>0</v>
      </c>
      <c r="CB27" s="277">
        <f>'C1-Incomes'!GM29-'T-T2'!B30</f>
        <v>2.9999995604157448E-4</v>
      </c>
      <c r="CC27" s="272">
        <f>'T-T1'!EB30</f>
        <v>291165</v>
      </c>
      <c r="CD27" s="272">
        <f>TOTALS!AV87/1000000</f>
        <v>281331.76259400003</v>
      </c>
      <c r="CE27" s="272">
        <f>TOTALS!BA87/1000000</f>
        <v>375.63979139999998</v>
      </c>
      <c r="CF27" s="272">
        <f>'T-T3'!Q31</f>
        <v>9262</v>
      </c>
      <c r="CG27" s="277">
        <f>'C1-Incomes'!GM29-'C1-Incomes'!GU29-CC27-CE27-CF27</f>
        <v>-3.9139978252933361E-4</v>
      </c>
      <c r="CH27" s="277">
        <f>'T-T1'!ED30</f>
        <v>47912</v>
      </c>
      <c r="CI27" s="272">
        <f>TOTALS!AP87/1000000</f>
        <v>40008.377883000001</v>
      </c>
      <c r="CJ27" s="277">
        <f>'C1-Incomes'!GU29-'C1-Incomes'!HC29-CH27</f>
        <v>-1.000002957880497E-4</v>
      </c>
      <c r="CK27" s="277">
        <f t="shared" si="3"/>
        <v>70315</v>
      </c>
      <c r="CL27" s="277">
        <f>'C1-Incomes'!HC29-'C1-Incomes'!HK29-CK27</f>
        <v>0</v>
      </c>
      <c r="CM27" s="272">
        <f t="shared" si="4"/>
        <v>45622</v>
      </c>
      <c r="CN27" s="272">
        <f>TOTALS!AX87/1000000</f>
        <v>25078.305656</v>
      </c>
      <c r="CO27" s="272">
        <f t="shared" si="5"/>
        <v>31458</v>
      </c>
      <c r="CP27" s="272">
        <f>'T-T1'!DE30</f>
        <v>77080</v>
      </c>
      <c r="CQ27" s="277">
        <f>'C1-Incomes'!HK29-'C1-Incomes'!HS29-CP27</f>
        <v>-3.9999978616833687E-4</v>
      </c>
      <c r="CR27" s="272">
        <f>'T-T3'!AG31-'T-T2'!AF30-'T-T2'!AG30</f>
        <v>191978</v>
      </c>
      <c r="CS27" s="272">
        <f>TOTALS!AY87/1000000</f>
        <v>190647.42715800001</v>
      </c>
      <c r="CT27" s="277">
        <f>'C1-Incomes'!HS29-'C1-Incomes'!IA29-CR27</f>
        <v>2.0000012591481209E-4</v>
      </c>
      <c r="CU27" s="277">
        <f>'T-T3a'!O31+'T-T3a'!P31</f>
        <v>137005</v>
      </c>
      <c r="CV27" s="277">
        <f>'C1-Incomes'!IA29-'C1-Incomes'!II29-CU27</f>
        <v>0</v>
      </c>
      <c r="CW27" s="272">
        <f>'T-T3'!H31</f>
        <v>35174.902191400062</v>
      </c>
      <c r="CX27" s="277">
        <f>'C1-Incomes'!IQ29-'C1-Incomes'!II29-CW27</f>
        <v>-1.9139982759952545E-4</v>
      </c>
      <c r="CY27" s="277">
        <f>'T-T3'!G31</f>
        <v>485830</v>
      </c>
      <c r="CZ27" s="277">
        <f>'C1-Incomes'!IY29-'C1-Incomes'!IQ29-CY27</f>
        <v>0</v>
      </c>
      <c r="DA27" s="277">
        <f>'C1-Incomes'!IY29-'T-T3'!Z31</f>
        <v>8.0000003799796104E-4</v>
      </c>
      <c r="DB27" s="280"/>
      <c r="DC27" s="272">
        <f>TOTALS!BG26/1000000</f>
        <v>41084.986150999997</v>
      </c>
      <c r="DD27" s="272">
        <f>TOTALS!BH26/1000000</f>
        <v>0</v>
      </c>
      <c r="DE27" s="272">
        <f t="shared" si="8"/>
        <v>41084.986150999997</v>
      </c>
      <c r="DF27" s="272">
        <f>TOTALS!BI26/1000000</f>
        <v>37564.243113999997</v>
      </c>
    </row>
    <row r="28" spans="1:110" ht="12" customHeight="1" x14ac:dyDescent="0.3">
      <c r="A28" s="268">
        <v>1982</v>
      </c>
      <c r="B28" s="272">
        <f>'C1-Incomes'!AP30-'C1-Incomes'!AH30</f>
        <v>16027.766199999955</v>
      </c>
      <c r="C28" s="272">
        <f>SUM('T-T1'!AN31:AP31)</f>
        <v>27125</v>
      </c>
      <c r="D28" s="272">
        <f>'T-T1'!AN31</f>
        <v>17631.25</v>
      </c>
      <c r="E28" s="277">
        <f>'C1-Incomes'!AX30-'C1-Incomes'!AP30-D28</f>
        <v>-0.25</v>
      </c>
      <c r="F28" s="272">
        <f>TOTALS!I88/1000000</f>
        <v>1850.2406968</v>
      </c>
      <c r="G28" s="277">
        <v>0</v>
      </c>
      <c r="H28" s="272">
        <f>TOTALS!AB88/1000000</f>
        <v>1074.6884458</v>
      </c>
      <c r="I28" s="272">
        <f>TOTALS!BP88/1000000</f>
        <v>30597.909475</v>
      </c>
      <c r="J28" s="272">
        <f>TOTALS!Y88/1000000</f>
        <v>4988.8998009999996</v>
      </c>
      <c r="K28" s="272">
        <f>TOTALS!W88/1000000</f>
        <v>11204.893405999999</v>
      </c>
      <c r="L28" s="277">
        <f>TOTALS!K88/1000000</f>
        <v>401.37022983999998</v>
      </c>
      <c r="M28" s="272">
        <f>TOTALS!BT88/1000000</f>
        <v>611.65744734999998</v>
      </c>
      <c r="N28" s="272">
        <f>(TOTALS!CB88-TOTALS!CC88)/1000000</f>
        <v>-1946.3397257999998</v>
      </c>
      <c r="O28" s="272">
        <f t="shared" si="15"/>
        <v>-26565.731021989999</v>
      </c>
      <c r="P28" s="277">
        <f>'C1-Incomes'!BF30-'C1-Incomes'!AX30-O28</f>
        <v>2.199008667957969E-5</v>
      </c>
      <c r="Q28" s="277">
        <f>'C22-Fiduciary'!T27</f>
        <v>9525.6811726734813</v>
      </c>
      <c r="R28" s="277">
        <f>'C1-Incomes'!BV30-'C1-Incomes'!BN30-Q28</f>
        <v>-1.7267361545236781E-4</v>
      </c>
      <c r="S28" s="270">
        <f>'T-T1'!CR31</f>
        <v>85642</v>
      </c>
      <c r="T28" s="270">
        <f t="shared" si="16"/>
        <v>5052.8779999999997</v>
      </c>
      <c r="U28" s="331">
        <f>ROUND('C12-CorpOwn'!T27,3)</f>
        <v>5.8999999999999997E-2</v>
      </c>
      <c r="V28" s="270">
        <f t="shared" si="10"/>
        <v>26463.37799999999</v>
      </c>
      <c r="W28" s="279">
        <f>ROUND('C12-CorpOwn'!S27,3)</f>
        <v>0.309</v>
      </c>
      <c r="X28" s="272">
        <f t="shared" si="6"/>
        <v>54125.744000000013</v>
      </c>
      <c r="Y28" s="279">
        <f>1-ROUND('C12-CorpOwn'!S27,3)-ROUND('C12-CorpOwn'!T27,3)</f>
        <v>0.63200000000000012</v>
      </c>
      <c r="Z28" s="685">
        <f>'C1-Incomes'!CD30-'C1-Incomes'!BV30-S28</f>
        <v>0</v>
      </c>
      <c r="AA28" s="277">
        <f>'T-T1'!CP31</f>
        <v>66499</v>
      </c>
      <c r="AB28" s="277">
        <f>'T-T1'!AA31</f>
        <v>15205</v>
      </c>
      <c r="AC28" s="277">
        <f t="shared" si="7"/>
        <v>51294</v>
      </c>
      <c r="AD28" s="277">
        <f>'C1-Incomes'!CL30-'C1-Incomes'!CD30-AC28</f>
        <v>0</v>
      </c>
      <c r="AE28" s="277">
        <f t="shared" si="2"/>
        <v>35262</v>
      </c>
      <c r="AF28" s="277">
        <f>'C1-Incomes'!CT30-'C1-Incomes'!CL30-AE28</f>
        <v>2.3283064365386963E-10</v>
      </c>
      <c r="AG28" s="277">
        <f>'T-T1a'!C33</f>
        <v>-51463.349121922882</v>
      </c>
      <c r="AH28" s="277">
        <f>'T-T1a'!D33</f>
        <v>-25731.674560961441</v>
      </c>
      <c r="AI28" s="277">
        <f>'T-T1a'!E33</f>
        <v>34307.160886320431</v>
      </c>
      <c r="AJ28" s="277">
        <f>'T-T1a'!F33</f>
        <v>42887.862796563888</v>
      </c>
      <c r="AK28" s="277">
        <f>'C1-Incomes'!DB30-'C1-Incomes'!CT30</f>
        <v>0</v>
      </c>
      <c r="AL28" s="277">
        <f>'T-T1'!E31</f>
        <v>-4253.1404586249519</v>
      </c>
      <c r="AM28" s="277">
        <f>'T-T1'!L31</f>
        <v>28650.860880977227</v>
      </c>
      <c r="AN28" s="277">
        <f>'T-T1'!Q31</f>
        <v>84471.805762984586</v>
      </c>
      <c r="AO28" s="277">
        <f>'T-T1'!T31</f>
        <v>16123.1669676</v>
      </c>
      <c r="AP28" s="277">
        <f>'T-T1'!AH31</f>
        <v>540.05089783000039</v>
      </c>
      <c r="AQ28" s="277">
        <f t="shared" si="9"/>
        <v>125532.74405076687</v>
      </c>
      <c r="AR28" s="277">
        <f>'C1-Incomes'!DJ30-'C1-Incomes'!DB30-AQ28</f>
        <v>9.4923278084024787E-4</v>
      </c>
      <c r="AS28" s="277">
        <f t="shared" si="11"/>
        <v>52185</v>
      </c>
      <c r="AT28" s="277">
        <f>'T-T1'!U31</f>
        <v>2147</v>
      </c>
      <c r="AU28" s="277">
        <f>'T-T1'!EE31</f>
        <v>50038</v>
      </c>
      <c r="AV28" s="277">
        <f>TOTALS!AX88/1000000</f>
        <v>27421.623491999999</v>
      </c>
      <c r="AW28" s="277">
        <f>'C1-Incomes'!DR30-'C1-Incomes'!DJ30-AS28</f>
        <v>4.7235516831278801E-4</v>
      </c>
      <c r="AX28" s="277">
        <f>(TOTALS!Z88+TOTALS!AA88)/1000000</f>
        <v>107010.151549</v>
      </c>
      <c r="AY28" s="277">
        <f>'T-T1'!I31</f>
        <v>109769</v>
      </c>
      <c r="AZ28" s="277">
        <f>'C1-Incomes'!DZ30-'C1-Incomes'!DR30-AY28</f>
        <v>-4.5094778761267662E-4</v>
      </c>
      <c r="BA28" s="272">
        <f>'T-T1'!G31</f>
        <v>107957</v>
      </c>
      <c r="BB28" s="277">
        <f>'C1-Incomes'!EH30-'C1-Incomes'!DZ30-BA28</f>
        <v>-1.5366822481155396E-8</v>
      </c>
      <c r="BC28" s="272">
        <f>'T-T1'!AD31+'T-T1'!AO31+'T-T1'!AR31+'T-T1'!AV31</f>
        <v>92691.66955766968</v>
      </c>
      <c r="BD28" s="272">
        <f>ROUND('T-T1'!BJ31,0)</f>
        <v>44431</v>
      </c>
      <c r="BE28" s="277">
        <f>'C1-Incomes'!EP30-'C1-Incomes'!EH30-BC28-BD28</f>
        <v>4.2093869706150144E-4</v>
      </c>
      <c r="BF28" s="272">
        <f>ROUND('T-T1'!BA31,0)</f>
        <v>155633</v>
      </c>
      <c r="BG28" s="272">
        <f>ROUND('T-T1'!BC31+'T-T1'!BE31,0)</f>
        <v>4299</v>
      </c>
      <c r="BH28" s="272">
        <f>ROUND('T-T1'!V31+'T-T1'!AE31+'T-T1'!AP31+'T-T1'!AS31+'T-T1'!AW31+'T-T1'!BG31,0)</f>
        <v>12798</v>
      </c>
      <c r="BI28" s="272">
        <f>ROUND('T-T1'!AA31,0)</f>
        <v>15205</v>
      </c>
      <c r="BJ28" s="277">
        <f>'C1-Incomes'!EX30-'C1-Incomes'!EP30-SUM(BF28:BI28)</f>
        <v>0</v>
      </c>
      <c r="BK28" s="277">
        <f>'C1-Incomes'!EX30-'T-T1'!BN31</f>
        <v>1.7584000001661479</v>
      </c>
      <c r="BL28" s="272">
        <f>'T-T2'!J31+'T-T2'!K31</f>
        <v>159479</v>
      </c>
      <c r="BM28" s="272">
        <v>0</v>
      </c>
      <c r="BN28" s="272">
        <f t="shared" si="12"/>
        <v>159479</v>
      </c>
      <c r="BO28" s="277">
        <f>'C1-Incomes'!FF30-'C1-Incomes'!EX30-BL28</f>
        <v>0</v>
      </c>
      <c r="BP28" s="272">
        <f>'T-T2'!L31</f>
        <v>25227</v>
      </c>
      <c r="BQ28" s="277">
        <f>'C1-Incomes'!FN30-'C1-Incomes'!FF30-BP28</f>
        <v>-5.0000008195638657E-4</v>
      </c>
      <c r="BR28" s="272">
        <f>TOTALS!AU88/1000000</f>
        <v>19495.493509</v>
      </c>
      <c r="BS28" s="272">
        <f>'T-T2'!M31+'T-T2'!N31</f>
        <v>16270</v>
      </c>
      <c r="BT28" s="272">
        <f>SUM('T-T2'!O31:T31)</f>
        <v>28277</v>
      </c>
      <c r="BU28" s="272">
        <f t="shared" si="13"/>
        <v>44547</v>
      </c>
      <c r="BV28" s="272">
        <f>'C1-Incomes'!FV30-'C1-Incomes'!FN30-BU28</f>
        <v>0</v>
      </c>
      <c r="BW28" s="272">
        <f>'T-T2'!X31</f>
        <v>47230</v>
      </c>
      <c r="BX28" s="277">
        <f>'C1-Incomes'!GE30-'C1-Incomes'!FV30-BW28</f>
        <v>0</v>
      </c>
      <c r="BY28" s="272">
        <f>'T-T2'!AC31-'T-T2'!AF31-'T-T2'!AG31</f>
        <v>339382</v>
      </c>
      <c r="BZ28" s="277">
        <f t="shared" si="14"/>
        <v>62899</v>
      </c>
      <c r="CA28" s="277">
        <f>'C1-Incomes'!GM30-'C1-Incomes'!GE30-BZ28</f>
        <v>0</v>
      </c>
      <c r="CB28" s="277">
        <f>'C1-Incomes'!GM30-'T-T2'!B31</f>
        <v>-5.0000008195638657E-4</v>
      </c>
      <c r="CC28" s="272">
        <f>'T-T1'!EB31</f>
        <v>295596</v>
      </c>
      <c r="CD28" s="272">
        <f>TOTALS!AV88/1000000</f>
        <v>275685.27844199998</v>
      </c>
      <c r="CE28" s="272">
        <f>TOTALS!BA88/1000000</f>
        <v>433.69883754</v>
      </c>
      <c r="CF28" s="272">
        <f>'T-T3'!Q32</f>
        <v>10103</v>
      </c>
      <c r="CG28" s="277">
        <f>'C1-Incomes'!GM30-'C1-Incomes'!GU30-CC28-CE28-CF28</f>
        <v>3.6246014860807918E-4</v>
      </c>
      <c r="CH28" s="277">
        <f>'T-T1'!ED31</f>
        <v>51887</v>
      </c>
      <c r="CI28" s="272">
        <f>TOTALS!AP88/1000000</f>
        <v>44595.614519000002</v>
      </c>
      <c r="CJ28" s="277">
        <f>'C1-Incomes'!GU30-'C1-Incomes'!HC30-CH28</f>
        <v>-4.0000025182962418E-4</v>
      </c>
      <c r="CK28" s="277">
        <f t="shared" si="3"/>
        <v>51294</v>
      </c>
      <c r="CL28" s="277">
        <f>'C1-Incomes'!HC30-'C1-Incomes'!HK30-CK28</f>
        <v>0</v>
      </c>
      <c r="CM28" s="272">
        <f t="shared" si="4"/>
        <v>50038</v>
      </c>
      <c r="CN28" s="272">
        <f>TOTALS!AX88/1000000</f>
        <v>27421.623491999999</v>
      </c>
      <c r="CO28" s="272">
        <f t="shared" si="5"/>
        <v>35262</v>
      </c>
      <c r="CP28" s="272">
        <f>'T-T1'!DE31</f>
        <v>85300</v>
      </c>
      <c r="CQ28" s="277">
        <f>'C1-Incomes'!HK30-'C1-Incomes'!HS30-CP28</f>
        <v>5.0000008195638657E-4</v>
      </c>
      <c r="CR28" s="272">
        <f>'T-T3'!AG32-'T-T2'!AF31-'T-T2'!AG31</f>
        <v>205203</v>
      </c>
      <c r="CS28" s="272">
        <f>TOTALS!AY88/1000000</f>
        <v>203625.68910799999</v>
      </c>
      <c r="CT28" s="277">
        <f>'C1-Incomes'!HS30-'C1-Incomes'!IA30-CR28</f>
        <v>1.000002957880497E-4</v>
      </c>
      <c r="CU28" s="277">
        <f>'T-T3a'!O32+'T-T3a'!P32</f>
        <v>132552</v>
      </c>
      <c r="CV28" s="277">
        <f>'C1-Incomes'!IA30-'C1-Incomes'!II30-CU28</f>
        <v>0</v>
      </c>
      <c r="CW28" s="272">
        <f>'T-T3'!H32</f>
        <v>-37006.059562460054</v>
      </c>
      <c r="CX28" s="277">
        <f>'C1-Incomes'!IQ30-'C1-Incomes'!II30-CW28</f>
        <v>-4.3753953650593758E-4</v>
      </c>
      <c r="CY28" s="277">
        <f>'T-T3'!G32</f>
        <v>529991</v>
      </c>
      <c r="CZ28" s="277">
        <f>'C1-Incomes'!IY30-'C1-Incomes'!IQ30-CY28</f>
        <v>0</v>
      </c>
      <c r="DA28" s="277">
        <f>'C1-Incomes'!IY30-'T-T3'!Z32</f>
        <v>-1.4999997802078724E-3</v>
      </c>
      <c r="DB28" s="280"/>
      <c r="DC28" s="272">
        <f>TOTALS!BG27/1000000</f>
        <v>36060.962900999999</v>
      </c>
      <c r="DD28" s="272">
        <f>TOTALS!BH27/1000000</f>
        <v>0</v>
      </c>
      <c r="DE28" s="272">
        <f t="shared" si="8"/>
        <v>36060.962900999999</v>
      </c>
      <c r="DF28" s="272">
        <f>TOTALS!BI27/1000000</f>
        <v>31867.967379999998</v>
      </c>
    </row>
    <row r="29" spans="1:110" ht="12" customHeight="1" x14ac:dyDescent="0.3">
      <c r="A29" s="268">
        <v>1983</v>
      </c>
      <c r="B29" s="272">
        <f>'C1-Incomes'!AP31-'C1-Incomes'!AH31</f>
        <v>20787.40280000004</v>
      </c>
      <c r="C29" s="272">
        <f>SUM('T-T1'!AN32:AP32)</f>
        <v>32295</v>
      </c>
      <c r="D29" s="272">
        <f>'T-T1'!AN32</f>
        <v>20991.75</v>
      </c>
      <c r="E29" s="277">
        <f>'C1-Incomes'!AX31-'C1-Incomes'!AP31-D29</f>
        <v>0.25</v>
      </c>
      <c r="F29" s="272">
        <f>TOTALS!I89/1000000</f>
        <v>1807.0428958</v>
      </c>
      <c r="G29" s="277">
        <v>0</v>
      </c>
      <c r="H29" s="272">
        <f>TOTALS!AB89/1000000</f>
        <v>1193.6162675</v>
      </c>
      <c r="I29" s="272">
        <f>TOTALS!BP89/1000000</f>
        <v>34811.844255999997</v>
      </c>
      <c r="J29" s="272">
        <f>TOTALS!Y89/1000000</f>
        <v>5711.1456054</v>
      </c>
      <c r="K29" s="272">
        <f>TOTALS!W89/1000000</f>
        <v>13674.391695</v>
      </c>
      <c r="L29" s="277">
        <f>TOTALS!K89/1000000</f>
        <v>495.04282485000004</v>
      </c>
      <c r="M29" s="272">
        <f>TOTALS!BT89/1000000</f>
        <v>1184.0708397000001</v>
      </c>
      <c r="N29" s="272">
        <f>(TOTALS!CB89-TOTALS!CC89)/1000000</f>
        <v>-2307.6373029499996</v>
      </c>
      <c r="O29" s="272">
        <f t="shared" si="15"/>
        <v>-30221.922505599996</v>
      </c>
      <c r="P29" s="277">
        <f>'C1-Incomes'!BF31-'C1-Incomes'!AX31-O29</f>
        <v>5.5998934840317816E-6</v>
      </c>
      <c r="Q29" s="277">
        <f>'C22-Fiduciary'!T28</f>
        <v>10433.989481643268</v>
      </c>
      <c r="R29" s="277">
        <f>'C1-Incomes'!BV31-'C1-Incomes'!BN31-Q29</f>
        <v>5.1835695558111183E-4</v>
      </c>
      <c r="S29" s="270">
        <f>'T-T1'!CR32</f>
        <v>115655</v>
      </c>
      <c r="T29" s="270">
        <f t="shared" si="16"/>
        <v>6939.3</v>
      </c>
      <c r="U29" s="331">
        <f>ROUND('C12-CorpOwn'!T28,3)</f>
        <v>0.06</v>
      </c>
      <c r="V29" s="270">
        <f t="shared" si="10"/>
        <v>39900.975000000006</v>
      </c>
      <c r="W29" s="279">
        <f>ROUND('C12-CorpOwn'!S28,3)</f>
        <v>0.34499999999999997</v>
      </c>
      <c r="X29" s="272">
        <f t="shared" si="6"/>
        <v>68814.724999999991</v>
      </c>
      <c r="Y29" s="279">
        <f>1-ROUND('C12-CorpOwn'!S28,3)-ROUND('C12-CorpOwn'!T28,3)</f>
        <v>0.59499999999999997</v>
      </c>
      <c r="Z29" s="685">
        <f>'C1-Incomes'!CD31-'C1-Incomes'!BV31-S29</f>
        <v>0</v>
      </c>
      <c r="AA29" s="277">
        <f>'T-T1'!CP32</f>
        <v>80648</v>
      </c>
      <c r="AB29" s="277">
        <f>'T-T1'!AA32</f>
        <v>14229</v>
      </c>
      <c r="AC29" s="277">
        <f t="shared" si="7"/>
        <v>66419</v>
      </c>
      <c r="AD29" s="277">
        <f>'C1-Incomes'!CL31-'C1-Incomes'!CD31-AC29</f>
        <v>0</v>
      </c>
      <c r="AE29" s="277">
        <f t="shared" si="2"/>
        <v>38337</v>
      </c>
      <c r="AF29" s="277">
        <f>'C1-Incomes'!CT31-'C1-Incomes'!CL31-AE29</f>
        <v>0</v>
      </c>
      <c r="AG29" s="277">
        <f>'T-T1a'!C34</f>
        <v>-49813.108934009091</v>
      </c>
      <c r="AH29" s="277">
        <f>'T-T1a'!D34</f>
        <v>-24906.554467004546</v>
      </c>
      <c r="AI29" s="277">
        <f>'T-T1a'!E34</f>
        <v>30001.157299930568</v>
      </c>
      <c r="AJ29" s="277">
        <f>'T-T1a'!F34</f>
        <v>44718.506101083069</v>
      </c>
      <c r="AK29" s="277">
        <f>'C1-Incomes'!DB31-'C1-Incomes'!CT31</f>
        <v>0</v>
      </c>
      <c r="AL29" s="277">
        <f>'T-T1'!E32</f>
        <v>8367.8872693015292</v>
      </c>
      <c r="AM29" s="277">
        <f>'T-T1'!L32</f>
        <v>19378.523577065273</v>
      </c>
      <c r="AN29" s="277">
        <f>'T-T1'!Q32</f>
        <v>87804.883501346907</v>
      </c>
      <c r="AO29" s="277">
        <f>'T-T1'!T32</f>
        <v>20456.888736199999</v>
      </c>
      <c r="AP29" s="277">
        <f>'T-T1'!AH32</f>
        <v>173.44555330000026</v>
      </c>
      <c r="AQ29" s="277">
        <f t="shared" si="9"/>
        <v>136181.6286372137</v>
      </c>
      <c r="AR29" s="277">
        <f>'C1-Incomes'!DJ31-'C1-Incomes'!DB31-AQ29</f>
        <v>1.3627861917484552E-3</v>
      </c>
      <c r="AS29" s="277">
        <f t="shared" si="11"/>
        <v>54801</v>
      </c>
      <c r="AT29" s="277">
        <f>'T-T1'!U32</f>
        <v>1261</v>
      </c>
      <c r="AU29" s="277">
        <f>'T-T1'!EE32</f>
        <v>53540</v>
      </c>
      <c r="AV29" s="277">
        <f>TOTALS!AX89/1000000</f>
        <v>29811.253702999998</v>
      </c>
      <c r="AW29" s="277">
        <f>'C1-Incomes'!DR31-'C1-Incomes'!DJ31-AS29</f>
        <v>-3.4228293225169182E-4</v>
      </c>
      <c r="AX29" s="277">
        <f>(TOTALS!Z89+TOTALS!AA89)/1000000</f>
        <v>112474.269497</v>
      </c>
      <c r="AY29" s="277">
        <f>'T-T1'!I32</f>
        <v>119882</v>
      </c>
      <c r="AZ29" s="277">
        <f>'C1-Incomes'!DZ31-'C1-Incomes'!DR31-AY29</f>
        <v>4.9766106531023979E-4</v>
      </c>
      <c r="BA29" s="272">
        <f>'T-T1'!G32</f>
        <v>117516</v>
      </c>
      <c r="BB29" s="277">
        <f>'C1-Incomes'!EH31-'C1-Incomes'!DZ31-BA29</f>
        <v>-8.2887709140777588E-8</v>
      </c>
      <c r="BC29" s="272">
        <f>'T-T1'!AD32+'T-T1'!AO32+'T-T1'!AR32+'T-T1'!AV32</f>
        <v>117802.27051006003</v>
      </c>
      <c r="BD29" s="272">
        <f>ROUND('T-T1'!BJ32,0)</f>
        <v>44718</v>
      </c>
      <c r="BE29" s="277">
        <f>'C1-Incomes'!EP31-'C1-Incomes'!EH31-BC29-BD29</f>
        <v>5.3464456868823618E-4</v>
      </c>
      <c r="BF29" s="272">
        <f>ROUND('T-T1'!BA32,0)</f>
        <v>171404</v>
      </c>
      <c r="BG29" s="272">
        <f>ROUND('T-T1'!BC32+'T-T1'!BE32,0)</f>
        <v>377</v>
      </c>
      <c r="BH29" s="272">
        <f>ROUND('T-T1'!V32+'T-T1'!AE32+'T-T1'!AP32+'T-T1'!AS32+'T-T1'!AW32+'T-T1'!BG32,0)</f>
        <v>15860</v>
      </c>
      <c r="BI29" s="272">
        <f>ROUND('T-T1'!AA32,0)</f>
        <v>14229</v>
      </c>
      <c r="BJ29" s="277">
        <f>'C1-Incomes'!EX31-'C1-Incomes'!EP31-SUM(BF29:BI29)</f>
        <v>0</v>
      </c>
      <c r="BK29" s="277">
        <f>'C1-Incomes'!EX31-'T-T1'!BN32</f>
        <v>0.78709999984130263</v>
      </c>
      <c r="BL29" s="272">
        <f>'T-T2'!J32+'T-T2'!K32</f>
        <v>170437</v>
      </c>
      <c r="BM29" s="272">
        <v>0</v>
      </c>
      <c r="BN29" s="272">
        <f t="shared" si="12"/>
        <v>170437</v>
      </c>
      <c r="BO29" s="277">
        <f>'C1-Incomes'!FF31-'C1-Incomes'!EX31-BL29</f>
        <v>0</v>
      </c>
      <c r="BP29" s="272">
        <f>'T-T2'!L32</f>
        <v>26411</v>
      </c>
      <c r="BQ29" s="277">
        <f>'C1-Incomes'!FN31-'C1-Incomes'!FF31-BP29</f>
        <v>2.9999995604157448E-4</v>
      </c>
      <c r="BR29" s="272">
        <f>TOTALS!AU89/1000000</f>
        <v>19054.278363000001</v>
      </c>
      <c r="BS29" s="272">
        <f>'T-T2'!M32+'T-T2'!N32</f>
        <v>16425</v>
      </c>
      <c r="BT29" s="272">
        <f>SUM('T-T2'!O32:T32)</f>
        <v>29931</v>
      </c>
      <c r="BU29" s="272">
        <f t="shared" si="13"/>
        <v>46356</v>
      </c>
      <c r="BV29" s="272">
        <f>'C1-Incomes'!FV31-'C1-Incomes'!FN31-BU29</f>
        <v>0</v>
      </c>
      <c r="BW29" s="272">
        <f>'T-T2'!X32</f>
        <v>53561</v>
      </c>
      <c r="BX29" s="277">
        <f>'C1-Incomes'!GE31-'C1-Incomes'!FV31-BW29</f>
        <v>0</v>
      </c>
      <c r="BY29" s="272">
        <f>'T-T2'!AC32-'T-T2'!AF32-'T-T2'!AG32</f>
        <v>366263</v>
      </c>
      <c r="BZ29" s="277">
        <f t="shared" si="14"/>
        <v>69498</v>
      </c>
      <c r="CA29" s="277">
        <f>'C1-Incomes'!GM31-'C1-Incomes'!GE31-BZ29</f>
        <v>0</v>
      </c>
      <c r="CB29" s="277">
        <f>'C1-Incomes'!GM31-'T-T2'!B32</f>
        <v>2.9999995604157448E-4</v>
      </c>
      <c r="CC29" s="272">
        <f>'T-T1'!EB32</f>
        <v>286774</v>
      </c>
      <c r="CD29" s="272">
        <f>TOTALS!AV89/1000000</f>
        <v>273085.36559900001</v>
      </c>
      <c r="CE29" s="272">
        <f>TOTALS!BA89/1000000</f>
        <v>344.66404796</v>
      </c>
      <c r="CF29" s="272">
        <f>'T-T3'!Q33</f>
        <v>8290</v>
      </c>
      <c r="CG29" s="277">
        <f>'C1-Incomes'!GM31-'C1-Incomes'!GU31-CC29-CE29-CF29</f>
        <v>-4.479603776417207E-4</v>
      </c>
      <c r="CH29" s="277">
        <f>'T-T1'!ED32</f>
        <v>58285</v>
      </c>
      <c r="CI29" s="272">
        <f>TOTALS!AP89/1000000</f>
        <v>51105.947935999997</v>
      </c>
      <c r="CJ29" s="277">
        <f>'C1-Incomes'!GU31-'C1-Incomes'!HC31-CH29</f>
        <v>0</v>
      </c>
      <c r="CK29" s="277">
        <f t="shared" si="3"/>
        <v>66419</v>
      </c>
      <c r="CL29" s="277">
        <f>'C1-Incomes'!HC31-'C1-Incomes'!HK31-CK29</f>
        <v>0</v>
      </c>
      <c r="CM29" s="272">
        <f t="shared" si="4"/>
        <v>53540</v>
      </c>
      <c r="CN29" s="272">
        <f>TOTALS!AX89/1000000</f>
        <v>29811.253702999998</v>
      </c>
      <c r="CO29" s="272">
        <f t="shared" si="5"/>
        <v>38337</v>
      </c>
      <c r="CP29" s="272">
        <f>'T-T1'!DE32</f>
        <v>91877</v>
      </c>
      <c r="CQ29" s="277">
        <f>'C1-Incomes'!HK31-'C1-Incomes'!HS31-CP29</f>
        <v>-2.9999995604157448E-4</v>
      </c>
      <c r="CR29" s="272">
        <f>'T-T3'!AG33-'T-T2'!AF32-'T-T2'!AG32</f>
        <v>221764</v>
      </c>
      <c r="CS29" s="272">
        <f>TOTALS!AY89/1000000</f>
        <v>215450.21653199999</v>
      </c>
      <c r="CT29" s="277">
        <f>'C1-Incomes'!HS31-'C1-Incomes'!IA31-CR29</f>
        <v>-5.0000008195638657E-4</v>
      </c>
      <c r="CU29" s="277">
        <f>'T-T3a'!O33+'T-T3a'!P33</f>
        <v>142499</v>
      </c>
      <c r="CV29" s="277">
        <f>'C1-Incomes'!IA31-'C1-Incomes'!II31-CU29</f>
        <v>0</v>
      </c>
      <c r="CW29" s="272">
        <f>'T-T3'!H33</f>
        <v>-55685.123052040115</v>
      </c>
      <c r="CX29" s="277">
        <f>'C1-Incomes'!IQ31-'C1-Incomes'!II31-CW29</f>
        <v>5.2039977163076401E-5</v>
      </c>
      <c r="CY29" s="277">
        <f>'T-T3'!G33</f>
        <v>565674</v>
      </c>
      <c r="CZ29" s="277">
        <f>'C1-Incomes'!IY31-'C1-Incomes'!IQ31-CY29</f>
        <v>0</v>
      </c>
      <c r="DA29" s="277">
        <f>'C1-Incomes'!IY31-'T-T3'!Z33</f>
        <v>1.6000000759959221E-3</v>
      </c>
      <c r="DB29" s="280"/>
      <c r="DC29" s="272">
        <f>TOTALS!BG28/1000000</f>
        <v>35778.218321</v>
      </c>
      <c r="DD29" s="272">
        <f>TOTALS!BH28/1000000</f>
        <v>0</v>
      </c>
      <c r="DE29" s="272">
        <f t="shared" si="8"/>
        <v>35778.218321</v>
      </c>
      <c r="DF29" s="272">
        <f>TOTALS!BI28/1000000</f>
        <v>30884.858773</v>
      </c>
    </row>
    <row r="30" spans="1:110" ht="12" customHeight="1" x14ac:dyDescent="0.3">
      <c r="A30" s="268">
        <v>1984</v>
      </c>
      <c r="B30" s="272">
        <f>'C1-Incomes'!AP32-'C1-Incomes'!AH32</f>
        <v>26883.314799999818</v>
      </c>
      <c r="C30" s="272">
        <f>SUM('T-T1'!AN33:AP33)</f>
        <v>36991</v>
      </c>
      <c r="D30" s="272">
        <f>'T-T1'!AN33</f>
        <v>24044.15</v>
      </c>
      <c r="E30" s="277">
        <f>'C1-Incomes'!AX32-'C1-Incomes'!AP32-D30</f>
        <v>-0.15000000000145519</v>
      </c>
      <c r="F30" s="272">
        <f>TOTALS!I90/1000000</f>
        <v>1855.3412802999999</v>
      </c>
      <c r="G30" s="277">
        <v>0</v>
      </c>
      <c r="H30" s="272">
        <f>TOTALS!AB90/1000000</f>
        <v>1413.6926579000001</v>
      </c>
      <c r="I30" s="272">
        <f>TOTALS!BP90/1000000</f>
        <v>39194.552775999997</v>
      </c>
      <c r="J30" s="272">
        <f>TOTALS!Y90/1000000</f>
        <v>7012.3234158999994</v>
      </c>
      <c r="K30" s="272">
        <f>TOTALS!W90/1000000</f>
        <v>15846.738998999999</v>
      </c>
      <c r="L30" s="277">
        <f>TOTALS!K90/1000000</f>
        <v>718.46101878999991</v>
      </c>
      <c r="M30" s="272">
        <f>TOTALS!BT90/1000000</f>
        <v>1715.1682102</v>
      </c>
      <c r="N30" s="272">
        <f>(TOTALS!CB90-TOTALS!CC90)/1000000</f>
        <v>-2710.8749760000001</v>
      </c>
      <c r="O30" s="272">
        <f t="shared" si="15"/>
        <v>-35062.992775489998</v>
      </c>
      <c r="P30" s="277">
        <f>'C1-Incomes'!BF32-'C1-Incomes'!AX32-O30</f>
        <v>7.5490170274861157E-5</v>
      </c>
      <c r="Q30" s="277">
        <f>'C22-Fiduciary'!T29</f>
        <v>11342.297790613055</v>
      </c>
      <c r="R30" s="277">
        <f>'C1-Incomes'!BV32-'C1-Incomes'!BN32-Q30</f>
        <v>2.0938689704053104E-4</v>
      </c>
      <c r="S30" s="270">
        <f>'T-T1'!CR33</f>
        <v>149543</v>
      </c>
      <c r="T30" s="270">
        <f t="shared" si="16"/>
        <v>9122.1229999999996</v>
      </c>
      <c r="U30" s="331">
        <f>ROUND('C12-CorpOwn'!T29,3)</f>
        <v>6.0999999999999999E-2</v>
      </c>
      <c r="V30" s="270">
        <f t="shared" si="10"/>
        <v>59667.657000000007</v>
      </c>
      <c r="W30" s="279">
        <f>ROUND('C12-CorpOwn'!S29,3)</f>
        <v>0.39900000000000002</v>
      </c>
      <c r="X30" s="272">
        <f t="shared" si="6"/>
        <v>80753.22</v>
      </c>
      <c r="Y30" s="279">
        <f>1-ROUND('C12-CorpOwn'!S29,3)-ROUND('C12-CorpOwn'!T29,3)</f>
        <v>0.54</v>
      </c>
      <c r="Z30" s="685">
        <f>'C1-Incomes'!CD32-'C1-Incomes'!BV32-S30</f>
        <v>0</v>
      </c>
      <c r="AA30" s="277">
        <f>'T-T1'!CP33</f>
        <v>97531</v>
      </c>
      <c r="AB30" s="277">
        <f>'T-T1'!AA33</f>
        <v>16054</v>
      </c>
      <c r="AC30" s="277">
        <f t="shared" si="7"/>
        <v>81477</v>
      </c>
      <c r="AD30" s="277">
        <f>'C1-Incomes'!CL32-'C1-Incomes'!CD32-AC30</f>
        <v>0</v>
      </c>
      <c r="AE30" s="277">
        <f t="shared" si="2"/>
        <v>42078</v>
      </c>
      <c r="AF30" s="277">
        <f>'C1-Incomes'!CT32-'C1-Incomes'!CL32-AE30</f>
        <v>0</v>
      </c>
      <c r="AG30" s="277">
        <f>'T-T1a'!C35</f>
        <v>-48607.801219984038</v>
      </c>
      <c r="AH30" s="277">
        <f>'T-T1a'!D35</f>
        <v>-24303.900609992019</v>
      </c>
      <c r="AI30" s="277">
        <f>'T-T1a'!E35</f>
        <v>30327.88182598789</v>
      </c>
      <c r="AJ30" s="277">
        <f>'T-T1a'!F35</f>
        <v>42583.820003988163</v>
      </c>
      <c r="AK30" s="277">
        <f>'C1-Incomes'!DB32-'C1-Incomes'!CT32</f>
        <v>0</v>
      </c>
      <c r="AL30" s="277">
        <f>'T-T1'!E33</f>
        <v>9126.6691779238172</v>
      </c>
      <c r="AM30" s="277">
        <f>'T-T1'!L33</f>
        <v>49372.072911693744</v>
      </c>
      <c r="AN30" s="277">
        <f>'T-T1'!Q33</f>
        <v>104081.11208594123</v>
      </c>
      <c r="AO30" s="277">
        <f>'T-T1'!T33</f>
        <v>26371.933975100001</v>
      </c>
      <c r="AP30" s="277">
        <f>'T-T1'!AH33</f>
        <v>580.05704103000062</v>
      </c>
      <c r="AQ30" s="277">
        <f t="shared" si="9"/>
        <v>189531.84519168877</v>
      </c>
      <c r="AR30" s="277">
        <f>'C1-Incomes'!DJ32-'C1-Incomes'!DB32-AQ30</f>
        <v>-1.9168856670148671E-4</v>
      </c>
      <c r="AS30" s="277">
        <f t="shared" si="11"/>
        <v>56441</v>
      </c>
      <c r="AT30" s="277">
        <f>'T-T1'!U33</f>
        <v>-1181</v>
      </c>
      <c r="AU30" s="277">
        <f>'T-T1'!EE33</f>
        <v>57622</v>
      </c>
      <c r="AV30" s="277">
        <f>TOTALS!AX90/1000000</f>
        <v>32666.251194</v>
      </c>
      <c r="AW30" s="277">
        <f>'C1-Incomes'!DR32-'C1-Incomes'!DJ32-AS30</f>
        <v>1.6406737267971039E-4</v>
      </c>
      <c r="AX30" s="277">
        <f>(TOTALS!Z90+TOTALS!AA90)/1000000</f>
        <v>138252.832754</v>
      </c>
      <c r="AY30" s="277">
        <f>'T-T1'!I33</f>
        <v>139038</v>
      </c>
      <c r="AZ30" s="277">
        <f>'C1-Incomes'!DZ32-'C1-Incomes'!DR32-AY30</f>
        <v>-2.4547288194298744E-4</v>
      </c>
      <c r="BA30" s="272">
        <f>'T-T1'!G33</f>
        <v>128190</v>
      </c>
      <c r="BB30" s="277">
        <f>'C1-Incomes'!EH32-'C1-Incomes'!DZ32-BA30</f>
        <v>3.2130628824234009E-8</v>
      </c>
      <c r="BC30" s="272">
        <f>'T-T1'!AD33+'T-T1'!AO33+'T-T1'!AR33+'T-T1'!AV33</f>
        <v>136572.6026606583</v>
      </c>
      <c r="BD30" s="272">
        <f>ROUND('T-T1'!BJ33,0)</f>
        <v>41603</v>
      </c>
      <c r="BE30" s="277">
        <f>'C1-Incomes'!EP32-'C1-Incomes'!EH32-BC30-BD30</f>
        <v>3.2071489840745926E-4</v>
      </c>
      <c r="BF30" s="272">
        <f>ROUND('T-T1'!BA33,0)</f>
        <v>190073</v>
      </c>
      <c r="BG30" s="272">
        <f>ROUND('T-T1'!BC33+'T-T1'!BE33,0)</f>
        <v>8093</v>
      </c>
      <c r="BH30" s="272">
        <f>ROUND('T-T1'!V33+'T-T1'!AE33+'T-T1'!AP33+'T-T1'!AS33+'T-T1'!AW33+'T-T1'!BG33,0)</f>
        <v>18979</v>
      </c>
      <c r="BI30" s="272">
        <f>ROUND('T-T1'!AA33,0)</f>
        <v>16054</v>
      </c>
      <c r="BJ30" s="277">
        <f>'C1-Incomes'!EX32-'C1-Incomes'!EP32-SUM(BF30:BI30)</f>
        <v>0</v>
      </c>
      <c r="BK30" s="277">
        <f>'C1-Incomes'!EX32-'T-T1'!BN33</f>
        <v>1.0337000000290573</v>
      </c>
      <c r="BL30" s="272">
        <f>'T-T2'!J33+'T-T2'!K33</f>
        <v>179092</v>
      </c>
      <c r="BM30" s="272">
        <v>0</v>
      </c>
      <c r="BN30" s="272">
        <f t="shared" si="12"/>
        <v>179092</v>
      </c>
      <c r="BO30" s="277">
        <f>'C1-Incomes'!FF32-'C1-Incomes'!EX32-BL30</f>
        <v>0</v>
      </c>
      <c r="BP30" s="272">
        <f>'T-T2'!L33</f>
        <v>15991</v>
      </c>
      <c r="BQ30" s="277">
        <f>'C1-Incomes'!FN32-'C1-Incomes'!FF32-BP30</f>
        <v>-2.0000012591481209E-4</v>
      </c>
      <c r="BR30" s="272">
        <f>TOTALS!AU90/1000000</f>
        <v>13062.279799</v>
      </c>
      <c r="BS30" s="272">
        <f>'T-T2'!M33+'T-T2'!N33</f>
        <v>16265</v>
      </c>
      <c r="BT30" s="272">
        <f>SUM('T-T2'!O33:T33)</f>
        <v>31959</v>
      </c>
      <c r="BU30" s="272">
        <f t="shared" si="13"/>
        <v>48224</v>
      </c>
      <c r="BV30" s="272">
        <f>'C1-Incomes'!FV32-'C1-Incomes'!FN32-BU30</f>
        <v>0</v>
      </c>
      <c r="BW30" s="272">
        <f>'T-T2'!X33</f>
        <v>59581</v>
      </c>
      <c r="BX30" s="277">
        <f>'C1-Incomes'!GE32-'C1-Incomes'!FV32-BW30</f>
        <v>0</v>
      </c>
      <c r="BY30" s="272">
        <f>'T-T2'!AC33-'T-T2'!AF33-'T-T2'!AG33</f>
        <v>375742</v>
      </c>
      <c r="BZ30" s="277">
        <f t="shared" si="14"/>
        <v>72854</v>
      </c>
      <c r="CA30" s="277">
        <f>'C1-Incomes'!GM32-'C1-Incomes'!GE32-BZ30</f>
        <v>0</v>
      </c>
      <c r="CB30" s="277">
        <f>'C1-Incomes'!GM32-'T-T2'!B33</f>
        <v>-2.0000012591481209E-4</v>
      </c>
      <c r="CC30" s="272">
        <f>'T-T1'!EB33</f>
        <v>301893</v>
      </c>
      <c r="CD30" s="272">
        <f>TOTALS!AV90/1000000</f>
        <v>301519.68378299999</v>
      </c>
      <c r="CE30" s="272">
        <f>TOTALS!BA90/1000000</f>
        <v>338.90397723000001</v>
      </c>
      <c r="CF30" s="272">
        <f>'T-T3'!Q34</f>
        <v>8360</v>
      </c>
      <c r="CG30" s="277">
        <f>'C1-Incomes'!GM32-'C1-Incomes'!GU32-CC30-CE30-CF30</f>
        <v>-2.7723032508220058E-4</v>
      </c>
      <c r="CH30" s="277">
        <f>'T-T1'!ED33</f>
        <v>67471</v>
      </c>
      <c r="CI30" s="272">
        <f>TOTALS!AP90/1000000</f>
        <v>60057.307358999999</v>
      </c>
      <c r="CJ30" s="277">
        <f>'C1-Incomes'!GU32-'C1-Incomes'!HC32-CH30</f>
        <v>4.0000025182962418E-4</v>
      </c>
      <c r="CK30" s="277">
        <f t="shared" si="3"/>
        <v>81477</v>
      </c>
      <c r="CL30" s="277">
        <f>'C1-Incomes'!HC32-'C1-Incomes'!HK32-CK30</f>
        <v>0</v>
      </c>
      <c r="CM30" s="272">
        <f t="shared" si="4"/>
        <v>57622</v>
      </c>
      <c r="CN30" s="272">
        <f>TOTALS!AX90/1000000</f>
        <v>32666.251194</v>
      </c>
      <c r="CO30" s="272">
        <f t="shared" si="5"/>
        <v>42078</v>
      </c>
      <c r="CP30" s="272">
        <f>'T-T1'!DE33</f>
        <v>99700</v>
      </c>
      <c r="CQ30" s="277">
        <f>'C1-Incomes'!HK32-'C1-Incomes'!HS32-CP30</f>
        <v>2.0000012591481209E-4</v>
      </c>
      <c r="CR30" s="272">
        <f>'T-T3'!AG34-'T-T2'!AF33-'T-T2'!AG33</f>
        <v>252333</v>
      </c>
      <c r="CS30" s="272">
        <f>TOTALS!AY90/1000000</f>
        <v>249728.75302400001</v>
      </c>
      <c r="CT30" s="277">
        <f>'C1-Incomes'!HS32-'C1-Incomes'!IA32-CR30</f>
        <v>0</v>
      </c>
      <c r="CU30" s="277">
        <f>'T-T3a'!O34+'T-T3a'!P34</f>
        <v>158595</v>
      </c>
      <c r="CV30" s="277">
        <f>'C1-Incomes'!IA32-'C1-Incomes'!II32-CU30</f>
        <v>0</v>
      </c>
      <c r="CW30" s="272">
        <f>'T-T3'!H34</f>
        <v>-6088.1297227703035</v>
      </c>
      <c r="CX30" s="277">
        <f>'C1-Incomes'!IQ32-'C1-Incomes'!II32-CW30</f>
        <v>-2.7722958475351334E-4</v>
      </c>
      <c r="CY30" s="277">
        <f>'T-T3'!G34</f>
        <v>600513</v>
      </c>
      <c r="CZ30" s="277">
        <f>'C1-Incomes'!IY32-'C1-Incomes'!IQ32-CY30</f>
        <v>0</v>
      </c>
      <c r="DA30" s="277">
        <f>'C1-Incomes'!IY32-'T-T3'!Z34</f>
        <v>-8.0000003799796104E-4</v>
      </c>
      <c r="DB30" s="280"/>
      <c r="DC30" s="272">
        <f>TOTALS!BG29/1000000</f>
        <v>37488.333966999999</v>
      </c>
      <c r="DD30" s="272">
        <f>TOTALS!BH29/1000000</f>
        <v>0</v>
      </c>
      <c r="DE30" s="272">
        <f t="shared" si="8"/>
        <v>37488.333966999999</v>
      </c>
      <c r="DF30" s="272">
        <f>TOTALS!BI29/1000000</f>
        <v>32337.693915</v>
      </c>
    </row>
    <row r="31" spans="1:110" ht="12" customHeight="1" x14ac:dyDescent="0.3">
      <c r="A31" s="268">
        <v>1985</v>
      </c>
      <c r="B31" s="272">
        <f>'C1-Incomes'!AP33-'C1-Incomes'!AH33</f>
        <v>30296.201700000092</v>
      </c>
      <c r="C31" s="272">
        <f>SUM('T-T1'!AN34:AP34)</f>
        <v>42095</v>
      </c>
      <c r="D31" s="272">
        <f>'T-T1'!AN34</f>
        <v>27361.75</v>
      </c>
      <c r="E31" s="277">
        <f>'C1-Incomes'!AX33-'C1-Incomes'!AP33-D31</f>
        <v>0.25</v>
      </c>
      <c r="F31" s="272">
        <f>TOTALS!I91/1000000</f>
        <v>1896.196342</v>
      </c>
      <c r="G31" s="277">
        <v>0</v>
      </c>
      <c r="H31" s="272">
        <f>TOTALS!AB91/1000000</f>
        <v>1518.1420762</v>
      </c>
      <c r="I31" s="272">
        <f>TOTALS!BP91/1000000</f>
        <v>43124.502827999997</v>
      </c>
      <c r="J31" s="272">
        <f>TOTALS!Y91/1000000</f>
        <v>8506.7560310000008</v>
      </c>
      <c r="K31" s="272">
        <f>TOTALS!W91/1000000</f>
        <v>19106.418341000001</v>
      </c>
      <c r="L31" s="277">
        <f>TOTALS!K91/1000000</f>
        <v>540.40838401999997</v>
      </c>
      <c r="M31" s="272">
        <f>TOTALS!BT91/1000000</f>
        <v>1505.5744927999999</v>
      </c>
      <c r="N31" s="272">
        <f>(TOTALS!CB91-TOTALS!CC91)/1000000</f>
        <v>-2875.6855809499998</v>
      </c>
      <c r="O31" s="272">
        <f t="shared" si="15"/>
        <v>-37068.454709969999</v>
      </c>
      <c r="P31" s="277">
        <f>'C1-Incomes'!BF33-'C1-Incomes'!AX33-O31</f>
        <v>9.9698809208348393E-6</v>
      </c>
      <c r="Q31" s="277">
        <f>'C22-Fiduciary'!T30</f>
        <v>12250.606099582845</v>
      </c>
      <c r="R31" s="277">
        <f>'C1-Incomes'!BV33-'C1-Incomes'!BN33-Q31</f>
        <v>-9.9582699476741254E-5</v>
      </c>
      <c r="S31" s="270">
        <f>'T-T1'!CR34</f>
        <v>157536</v>
      </c>
      <c r="T31" s="270">
        <f t="shared" si="16"/>
        <v>9609.6959999999999</v>
      </c>
      <c r="U31" s="331">
        <f>ROUND('C12-CorpOwn'!T30,3)</f>
        <v>6.0999999999999999E-2</v>
      </c>
      <c r="V31" s="270">
        <f t="shared" si="10"/>
        <v>68213.088000000003</v>
      </c>
      <c r="W31" s="279">
        <f>ROUND('C12-CorpOwn'!S30,3)</f>
        <v>0.433</v>
      </c>
      <c r="X31" s="272">
        <f t="shared" si="6"/>
        <v>79713.216</v>
      </c>
      <c r="Y31" s="279">
        <f>1-ROUND('C12-CorpOwn'!S30,3)-ROUND('C12-CorpOwn'!T30,3)</f>
        <v>0.50600000000000001</v>
      </c>
      <c r="Z31" s="685">
        <f>'C1-Incomes'!CD33-'C1-Incomes'!BV33-S31</f>
        <v>0</v>
      </c>
      <c r="AA31" s="277">
        <f>'T-T1'!CP34</f>
        <v>99406</v>
      </c>
      <c r="AB31" s="277">
        <f>'T-T1'!AA34</f>
        <v>17796</v>
      </c>
      <c r="AC31" s="277">
        <f t="shared" si="7"/>
        <v>81610</v>
      </c>
      <c r="AD31" s="277">
        <f>'C1-Incomes'!CL33-'C1-Incomes'!CD33-AC31</f>
        <v>0</v>
      </c>
      <c r="AE31" s="277">
        <f t="shared" si="2"/>
        <v>46144</v>
      </c>
      <c r="AF31" s="277">
        <f>'C1-Incomes'!CT33-'C1-Incomes'!CL33-AE31</f>
        <v>0</v>
      </c>
      <c r="AG31" s="277">
        <f>'T-T1a'!C36</f>
        <v>-52408.33029349352</v>
      </c>
      <c r="AH31" s="277">
        <f>'T-T1a'!D36</f>
        <v>-26204.16514674676</v>
      </c>
      <c r="AI31" s="277">
        <f>'T-T1a'!E36</f>
        <v>34151.658997574996</v>
      </c>
      <c r="AJ31" s="277">
        <f>'T-T1a'!F36</f>
        <v>44460.836442665284</v>
      </c>
      <c r="AK31" s="277">
        <f>'C1-Incomes'!DB33-'C1-Incomes'!CT33</f>
        <v>0</v>
      </c>
      <c r="AL31" s="277">
        <f>'T-T1'!E34</f>
        <v>24304.764888355508</v>
      </c>
      <c r="AM31" s="277">
        <f>'T-T1'!L34</f>
        <v>35941.125827974196</v>
      </c>
      <c r="AN31" s="277">
        <f>'T-T1'!Q34</f>
        <v>105957.89184038514</v>
      </c>
      <c r="AO31" s="277">
        <f>'T-T1'!T34</f>
        <v>30866.043825100001</v>
      </c>
      <c r="AP31" s="277">
        <f>'T-T1'!AH34</f>
        <v>602.07520196000041</v>
      </c>
      <c r="AQ31" s="277">
        <f t="shared" si="9"/>
        <v>197671.90158377483</v>
      </c>
      <c r="AR31" s="277">
        <f>'C1-Incomes'!DJ33-'C1-Incomes'!DB33-AQ31</f>
        <v>4.1622493881732225E-4</v>
      </c>
      <c r="AS31" s="277">
        <f t="shared" si="11"/>
        <v>57166</v>
      </c>
      <c r="AT31" s="277">
        <f>'T-T1'!U34</f>
        <v>-4181</v>
      </c>
      <c r="AU31" s="277">
        <f>'T-T1'!EE34</f>
        <v>61347</v>
      </c>
      <c r="AV31" s="277">
        <f>TOTALS!AX91/1000000</f>
        <v>35853.005217999998</v>
      </c>
      <c r="AW31" s="277">
        <f>'C1-Incomes'!DR33-'C1-Incomes'!DJ33-AS31</f>
        <v>2.0197080448269844E-4</v>
      </c>
      <c r="AX31" s="277">
        <f>(TOTALS!Z91+TOTALS!AA91)/1000000</f>
        <v>146541.558831</v>
      </c>
      <c r="AY31" s="277">
        <f>'T-T1'!I34</f>
        <v>147734</v>
      </c>
      <c r="AZ31" s="277">
        <f>'C1-Incomes'!DZ33-'C1-Incomes'!DR33-AY31</f>
        <v>-1.6927486285567284E-4</v>
      </c>
      <c r="BA31" s="272">
        <f>'T-T1'!G34</f>
        <v>141706</v>
      </c>
      <c r="BB31" s="277">
        <f>'C1-Incomes'!EH33-'C1-Incomes'!DZ33-BA31</f>
        <v>5.4482370615005493E-8</v>
      </c>
      <c r="BC31" s="272">
        <f>'T-T1'!AD34+'T-T1'!AO34+'T-T1'!AR34+'T-T1'!AV34</f>
        <v>135826.44018363566</v>
      </c>
      <c r="BD31" s="272">
        <f>ROUND('T-T1'!BJ34,0)</f>
        <v>59555</v>
      </c>
      <c r="BE31" s="277">
        <f>'C1-Incomes'!EP33-'C1-Incomes'!EH33-BC31-BD31</f>
        <v>-2.1638613543473184E-4</v>
      </c>
      <c r="BF31" s="272">
        <f>ROUND('T-T1'!BA34,0)</f>
        <v>200642</v>
      </c>
      <c r="BG31" s="272">
        <f>ROUND('T-T1'!BC34+'T-T1'!BE34,0)</f>
        <v>12700</v>
      </c>
      <c r="BH31" s="272">
        <f>ROUND('T-T1'!V34+'T-T1'!AE34+'T-T1'!AP34+'T-T1'!AS34+'T-T1'!AW34+'T-T1'!BG34,0)</f>
        <v>22786</v>
      </c>
      <c r="BI31" s="272">
        <f>ROUND('T-T1'!AA34,0)</f>
        <v>17796</v>
      </c>
      <c r="BJ31" s="277">
        <f>'C1-Incomes'!EX33-'C1-Incomes'!EP33-SUM(BF31:BI31)</f>
        <v>0</v>
      </c>
      <c r="BK31" s="277">
        <f>'C1-Incomes'!EX33-'T-T1'!BN34</f>
        <v>-1.3667000001296401</v>
      </c>
      <c r="BL31" s="277">
        <f>'T-T2'!J34+'T-T2'!K34</f>
        <v>189486</v>
      </c>
      <c r="BM31" s="272">
        <f>TOTALS!P91/1000000</f>
        <v>64574.862912999997</v>
      </c>
      <c r="BN31" s="272">
        <f t="shared" si="12"/>
        <v>124911.13708700001</v>
      </c>
      <c r="BO31" s="277">
        <f>'C1-Incomes'!FF33-'C1-Incomes'!EX33-BL31</f>
        <v>-9.999983012676239E-5</v>
      </c>
      <c r="BP31" s="272">
        <f>'T-T2'!L34</f>
        <v>15861</v>
      </c>
      <c r="BQ31" s="277">
        <f>'C1-Incomes'!FN33-'C1-Incomes'!FF33-BP31</f>
        <v>2.9999995604157448E-4</v>
      </c>
      <c r="BR31" s="272">
        <f>TOTALS!AU91/1000000</f>
        <v>12966.506208999999</v>
      </c>
      <c r="BS31" s="272">
        <f>'T-T2'!M34+'T-T2'!N34</f>
        <v>16539</v>
      </c>
      <c r="BT31" s="272">
        <f>SUM('T-T2'!O34:T34)</f>
        <v>33811</v>
      </c>
      <c r="BU31" s="272">
        <f t="shared" si="13"/>
        <v>50350</v>
      </c>
      <c r="BV31" s="272">
        <f>'C1-Incomes'!FV33-'C1-Incomes'!FN33-BU31</f>
        <v>0</v>
      </c>
      <c r="BW31" s="272">
        <f>'T-T2'!X34</f>
        <v>64107</v>
      </c>
      <c r="BX31" s="277">
        <f>'C1-Incomes'!GE33-'C1-Incomes'!FV33-BW31</f>
        <v>0</v>
      </c>
      <c r="BY31" s="272">
        <f>'T-T2'!AC34-'T-T2'!AF34-'T-T2'!AG34</f>
        <v>397499</v>
      </c>
      <c r="BZ31" s="277">
        <f t="shared" si="14"/>
        <v>77695</v>
      </c>
      <c r="CA31" s="277">
        <f>'C1-Incomes'!GM33-'C1-Incomes'!GE33-BZ31</f>
        <v>0</v>
      </c>
      <c r="CB31" s="277">
        <f>'C1-Incomes'!GM33-'T-T2'!B34</f>
        <v>2.0000012591481209E-4</v>
      </c>
      <c r="CC31" s="272">
        <f>'T-T1'!EB34</f>
        <v>336453</v>
      </c>
      <c r="CD31" s="272">
        <f>TOTALS!AV91/1000000</f>
        <v>326871.64287400001</v>
      </c>
      <c r="CE31" s="272">
        <f>TOTALS!BA91/1000000</f>
        <v>364.08684758999999</v>
      </c>
      <c r="CF31" s="272">
        <f>'T-T3'!Q35</f>
        <v>8934</v>
      </c>
      <c r="CG31" s="277">
        <f>'C1-Incomes'!GM33-'C1-Incomes'!GU33-CC31-CE31-CF31</f>
        <v>-4.7589835958206095E-5</v>
      </c>
      <c r="CH31" s="277">
        <f>'T-T1'!ED34</f>
        <v>72122</v>
      </c>
      <c r="CI31" s="272">
        <f>TOTALS!AP91/1000000</f>
        <v>66978.788337999998</v>
      </c>
      <c r="CJ31" s="277">
        <f>'C1-Incomes'!GU33-'C1-Incomes'!HC33-CH31</f>
        <v>2.9999995604157448E-4</v>
      </c>
      <c r="CK31" s="277">
        <f t="shared" si="3"/>
        <v>81610</v>
      </c>
      <c r="CL31" s="277">
        <f>'C1-Incomes'!HC33-'C1-Incomes'!HK33-CK31</f>
        <v>0</v>
      </c>
      <c r="CM31" s="272">
        <f t="shared" si="4"/>
        <v>61347</v>
      </c>
      <c r="CN31" s="272">
        <f>TOTALS!AX91/1000000</f>
        <v>35853.005217999998</v>
      </c>
      <c r="CO31" s="272">
        <f t="shared" si="5"/>
        <v>46144</v>
      </c>
      <c r="CP31" s="272">
        <f>'T-T1'!DE34</f>
        <v>107491</v>
      </c>
      <c r="CQ31" s="277">
        <f>'C1-Incomes'!HK33-'C1-Incomes'!HS33-CP31</f>
        <v>1.9999966025352478E-4</v>
      </c>
      <c r="CR31" s="272">
        <f>'T-T3'!AG35-'T-T2'!AF34-'T-T2'!AG34</f>
        <v>275787</v>
      </c>
      <c r="CS31" s="272">
        <f>TOTALS!AY91/1000000</f>
        <v>271557.26341999997</v>
      </c>
      <c r="CT31" s="277">
        <f>'C1-Incomes'!HS33-'C1-Incomes'!IA33-CR31</f>
        <v>4.0000025182962418E-4</v>
      </c>
      <c r="CU31" s="277">
        <f>'T-T3a'!O35+'T-T3a'!P35</f>
        <v>167617</v>
      </c>
      <c r="CV31" s="277">
        <f>'C1-Incomes'!IA33-'C1-Incomes'!II33-CU31</f>
        <v>0</v>
      </c>
      <c r="CW31" s="272">
        <f>'T-T3'!H35</f>
        <v>-2652.5464524095878</v>
      </c>
      <c r="CX31" s="277">
        <f>'C1-Incomes'!IQ33-'C1-Incomes'!II33-CW31</f>
        <v>4.5240949839353561E-4</v>
      </c>
      <c r="CY31" s="277">
        <f>'T-T3'!G35</f>
        <v>655533</v>
      </c>
      <c r="CZ31" s="277">
        <f>'C1-Incomes'!IY33-'C1-Incomes'!IQ33-CY31</f>
        <v>0</v>
      </c>
      <c r="DA31" s="277">
        <f>'C1-Incomes'!IY33-'T-T3'!Z35</f>
        <v>-2.0000012591481209E-4</v>
      </c>
      <c r="DB31" s="280"/>
      <c r="DC31" s="272">
        <f>TOTALS!BG30/1000000</f>
        <v>38010.419443999999</v>
      </c>
      <c r="DD31" s="272">
        <f>TOTALS!BH30/1000000</f>
        <v>0</v>
      </c>
      <c r="DE31" s="272">
        <f t="shared" si="8"/>
        <v>38010.419443999999</v>
      </c>
      <c r="DF31" s="272">
        <f>TOTALS!BI30/1000000</f>
        <v>32416.549620999998</v>
      </c>
    </row>
    <row r="32" spans="1:110" ht="12" customHeight="1" x14ac:dyDescent="0.3">
      <c r="A32" s="268">
        <v>1986</v>
      </c>
      <c r="B32" s="272">
        <f>'C1-Incomes'!AP34-'C1-Incomes'!AH34</f>
        <v>35306.330000000075</v>
      </c>
      <c r="C32" s="272">
        <f>SUM('T-T1'!AN35:AP35)</f>
        <v>47955</v>
      </c>
      <c r="D32" s="272">
        <f>'T-T1'!AN35</f>
        <v>31170.75</v>
      </c>
      <c r="E32" s="277">
        <f>'C1-Incomes'!AX34-'C1-Incomes'!AP34-D32</f>
        <v>0.25</v>
      </c>
      <c r="F32" s="272">
        <f>TOTALS!I92/1000000</f>
        <v>1937.0603275999999</v>
      </c>
      <c r="G32" s="277">
        <v>0</v>
      </c>
      <c r="H32" s="272">
        <f>TOTALS!AB92/1000000</f>
        <v>1699.6110520999998</v>
      </c>
      <c r="I32" s="272">
        <f>TOTALS!BP92/1000000</f>
        <v>43787.562862999999</v>
      </c>
      <c r="J32" s="272">
        <f>TOTALS!Y92/1000000</f>
        <v>9868.7926767000008</v>
      </c>
      <c r="K32" s="272">
        <f>TOTALS!W92/1000000</f>
        <v>23462.983528000001</v>
      </c>
      <c r="L32" s="277">
        <f>TOTALS!K92/1000000</f>
        <v>1209.3571820999998</v>
      </c>
      <c r="M32" s="272">
        <f>TOTALS!BT92/1000000</f>
        <v>803.29318177999994</v>
      </c>
      <c r="N32" s="272">
        <f>(TOTALS!CB92-TOTALS!CC92)/1000000</f>
        <v>-3136.8737461299997</v>
      </c>
      <c r="O32" s="272">
        <f t="shared" si="15"/>
        <v>-35105.446846209998</v>
      </c>
      <c r="P32" s="277">
        <f>'C1-Incomes'!BF34-'C1-Incomes'!AX34-O32</f>
        <v>-5.3789866797160357E-5</v>
      </c>
      <c r="Q32" s="277">
        <f>'C22-Fiduciary'!T31</f>
        <v>13158.914408552631</v>
      </c>
      <c r="R32" s="277">
        <f>'C1-Incomes'!BV34-'C1-Incomes'!BN34-Q32</f>
        <v>-4.0855275801732205E-4</v>
      </c>
      <c r="S32" s="270">
        <f>'T-T1'!CR35</f>
        <v>108519</v>
      </c>
      <c r="T32" s="270">
        <f t="shared" si="16"/>
        <v>6728.1779999999999</v>
      </c>
      <c r="U32" s="331">
        <f>ROUND('C12-CorpOwn'!T31,3)</f>
        <v>6.2E-2</v>
      </c>
      <c r="V32" s="270">
        <f t="shared" si="10"/>
        <v>44601.309000000008</v>
      </c>
      <c r="W32" s="279">
        <f>ROUND('C12-CorpOwn'!S31,3)</f>
        <v>0.41099999999999998</v>
      </c>
      <c r="X32" s="272">
        <f t="shared" si="6"/>
        <v>57189.512999999992</v>
      </c>
      <c r="Y32" s="279">
        <f>1-ROUND('C12-CorpOwn'!S31,3)-ROUND('C12-CorpOwn'!T31,3)</f>
        <v>0.52699999999999991</v>
      </c>
      <c r="Z32" s="685">
        <f>'C1-Incomes'!CD34-'C1-Incomes'!BV34-S32</f>
        <v>0</v>
      </c>
      <c r="AA32" s="277">
        <f>'T-T1'!CP35</f>
        <v>109675</v>
      </c>
      <c r="AB32" s="277">
        <f>'T-T1'!AA35</f>
        <v>17804</v>
      </c>
      <c r="AC32" s="277">
        <f t="shared" si="7"/>
        <v>91871</v>
      </c>
      <c r="AD32" s="277">
        <f>'C1-Incomes'!CL34-'C1-Incomes'!CD34-AC32</f>
        <v>0</v>
      </c>
      <c r="AE32" s="277">
        <f t="shared" si="2"/>
        <v>51010</v>
      </c>
      <c r="AF32" s="277">
        <f>'C1-Incomes'!CT34-'C1-Incomes'!CL34-AE32</f>
        <v>0</v>
      </c>
      <c r="AG32" s="277">
        <f>'T-T1a'!C37</f>
        <v>-40233.801220805966</v>
      </c>
      <c r="AH32" s="277">
        <f>'T-T1a'!D37</f>
        <v>-20116.900610402983</v>
      </c>
      <c r="AI32" s="277">
        <f>'T-T1a'!E37</f>
        <v>27805.932477948438</v>
      </c>
      <c r="AJ32" s="277">
        <f>'T-T1a'!F37</f>
        <v>32544.769353260512</v>
      </c>
      <c r="AK32" s="277">
        <f>'C1-Incomes'!DB34-'C1-Incomes'!CT34</f>
        <v>-1.0000001639127731E-3</v>
      </c>
      <c r="AL32" s="277">
        <f>'T-T1'!E35</f>
        <v>34995.245219595497</v>
      </c>
      <c r="AM32" s="277">
        <f>'T-T1'!L35</f>
        <v>29938.170826007703</v>
      </c>
      <c r="AN32" s="277">
        <f>'T-T1'!Q35</f>
        <v>106658.05560379848</v>
      </c>
      <c r="AO32" s="277">
        <f>'T-T1'!T35</f>
        <v>33990.421614999999</v>
      </c>
      <c r="AP32" s="277">
        <f>'T-T1'!AH35</f>
        <v>740.91409196000041</v>
      </c>
      <c r="AQ32" s="277">
        <f t="shared" si="9"/>
        <v>206322.80735636168</v>
      </c>
      <c r="AR32" s="277">
        <f>'C1-Incomes'!DJ34-'C1-Incomes'!DB34-AQ32</f>
        <v>6.436385156121105E-4</v>
      </c>
      <c r="AS32" s="277">
        <f t="shared" si="11"/>
        <v>55688</v>
      </c>
      <c r="AT32" s="277">
        <f>'T-T1'!U35</f>
        <v>-9460</v>
      </c>
      <c r="AU32" s="277">
        <f>'T-T1'!EE35</f>
        <v>65148</v>
      </c>
      <c r="AV32" s="277">
        <f>TOTALS!AX92/1000000</f>
        <v>39388.669127000001</v>
      </c>
      <c r="AW32" s="277">
        <f>'C1-Incomes'!DR34-'C1-Incomes'!DJ34-AS32</f>
        <v>1.3151858001947403E-4</v>
      </c>
      <c r="AX32" s="277">
        <f>(TOTALS!Z92+TOTALS!AA92)/1000000</f>
        <v>156250.32150699999</v>
      </c>
      <c r="AY32" s="277">
        <f>'T-T1'!I35</f>
        <v>157869</v>
      </c>
      <c r="AZ32" s="277">
        <f>'C1-Incomes'!DZ34-'C1-Incomes'!DR34-AY32</f>
        <v>-4.9304729327559471E-4</v>
      </c>
      <c r="BA32" s="272">
        <f>'T-T1'!G35</f>
        <v>153444</v>
      </c>
      <c r="BB32" s="277">
        <f>'C1-Incomes'!EH34-'C1-Incomes'!DZ34-BA32</f>
        <v>-5.4482370615005493E-8</v>
      </c>
      <c r="BC32" s="272">
        <f>'T-T1'!AD35+'T-T1'!AO35+'T-T1'!AR35+'T-T1'!AV35</f>
        <v>164021.60532669516</v>
      </c>
      <c r="BD32" s="272">
        <f>ROUND('T-T1'!BJ35,0)</f>
        <v>63372</v>
      </c>
      <c r="BE32" s="277">
        <f>'C1-Incomes'!EP34-'C1-Incomes'!EH34-BC32-BD32</f>
        <v>-3.6511177313514054E-4</v>
      </c>
      <c r="BF32" s="272">
        <f>ROUND('T-T1'!BA35,0)</f>
        <v>207215</v>
      </c>
      <c r="BG32" s="272">
        <f>ROUND('T-T1'!BC35+'T-T1'!BE35,0)</f>
        <v>11066</v>
      </c>
      <c r="BH32" s="272">
        <f>ROUND('T-T1'!V35+'T-T1'!AE35+'T-T1'!AP35+'T-T1'!AS35+'T-T1'!AW35+'T-T1'!BG35,0)</f>
        <v>25211</v>
      </c>
      <c r="BI32" s="272">
        <f>ROUND('T-T1'!AA35,0)</f>
        <v>17804</v>
      </c>
      <c r="BJ32" s="277">
        <f>'C1-Incomes'!EX34-'C1-Incomes'!EP34-SUM(BF32:BI32)</f>
        <v>0</v>
      </c>
      <c r="BK32" s="277">
        <f>'C1-Incomes'!EX34-'T-T1'!BN35</f>
        <v>0.71670000022277236</v>
      </c>
      <c r="BL32" s="277">
        <f>'T-T2'!J35+'T-T2'!K35</f>
        <v>199982</v>
      </c>
      <c r="BM32" s="272">
        <f>TOTALS!P92/1000000</f>
        <v>70412.205092999997</v>
      </c>
      <c r="BN32" s="272">
        <f t="shared" si="12"/>
        <v>129569.794907</v>
      </c>
      <c r="BO32" s="277">
        <f>'C1-Incomes'!FF34-'C1-Incomes'!EX34-BL32</f>
        <v>9.999983012676239E-5</v>
      </c>
      <c r="BP32" s="277">
        <f>'T-T2'!L35</f>
        <v>16467</v>
      </c>
      <c r="BQ32" s="277">
        <f>'C1-Incomes'!FN34-'C1-Incomes'!FF34-BP32</f>
        <v>2.0000012591481209E-4</v>
      </c>
      <c r="BR32" s="277">
        <f>TOTALS!AU92/1000000</f>
        <v>13973.362144000001</v>
      </c>
      <c r="BS32" s="277">
        <f>'T-T2'!M35+'T-T2'!N35</f>
        <v>16577</v>
      </c>
      <c r="BT32" s="277">
        <f>SUM('T-T2'!O35:T35)</f>
        <v>36802</v>
      </c>
      <c r="BU32" s="277">
        <f t="shared" si="13"/>
        <v>53379</v>
      </c>
      <c r="BV32" s="277">
        <f>'C1-Incomes'!FV34-'C1-Incomes'!FN34-BU32</f>
        <v>0</v>
      </c>
      <c r="BW32" s="277">
        <f>'T-T2'!X35</f>
        <v>69547</v>
      </c>
      <c r="BX32" s="277">
        <f>'C1-Incomes'!GE34-'C1-Incomes'!FV34-BW32</f>
        <v>0</v>
      </c>
      <c r="BY32" s="272">
        <f>'T-T2'!AC35-'T-T2'!AF35-'T-T2'!AG35</f>
        <v>422885</v>
      </c>
      <c r="BZ32" s="277">
        <f t="shared" si="14"/>
        <v>83510</v>
      </c>
      <c r="CA32" s="277">
        <f>'C1-Incomes'!GM34-'C1-Incomes'!GE34-BZ32</f>
        <v>0</v>
      </c>
      <c r="CB32" s="277">
        <f>'C1-Incomes'!GM34-'T-T2'!B35</f>
        <v>2.9999949038028717E-4</v>
      </c>
      <c r="CC32" s="272">
        <f>'T-T1'!EB35</f>
        <v>350601</v>
      </c>
      <c r="CD32" s="272">
        <f>TOTALS!AV92/1000000</f>
        <v>368297.20578100003</v>
      </c>
      <c r="CE32" s="272">
        <f>TOTALS!BA92/1000000</f>
        <v>839.8948613099999</v>
      </c>
      <c r="CF32" s="272">
        <f>'T-T3'!Q36</f>
        <v>10019</v>
      </c>
      <c r="CG32" s="277">
        <f>'C1-Incomes'!GM34-'C1-Incomes'!GU34-CC32-CE32-CF32</f>
        <v>-1.6130993753904477E-4</v>
      </c>
      <c r="CH32" s="277">
        <f>'T-T1'!ED35</f>
        <v>77449</v>
      </c>
      <c r="CI32" s="272">
        <f>TOTALS!AP92/1000000</f>
        <v>72285.178323</v>
      </c>
      <c r="CJ32" s="277">
        <f>'C1-Incomes'!GU34-'C1-Incomes'!HC34-CH32</f>
        <v>2.9999995604157448E-4</v>
      </c>
      <c r="CK32" s="277">
        <f t="shared" si="3"/>
        <v>91871</v>
      </c>
      <c r="CL32" s="277">
        <f>'C1-Incomes'!HC34-'C1-Incomes'!HK34-CK32</f>
        <v>0</v>
      </c>
      <c r="CM32" s="272">
        <f t="shared" si="4"/>
        <v>65148</v>
      </c>
      <c r="CN32" s="272">
        <f>TOTALS!AX92/1000000</f>
        <v>39388.669127000001</v>
      </c>
      <c r="CO32" s="272">
        <f t="shared" si="5"/>
        <v>51010</v>
      </c>
      <c r="CP32" s="272">
        <f>'T-T1'!DE35</f>
        <v>116158</v>
      </c>
      <c r="CQ32" s="277">
        <f>'C1-Incomes'!HK34-'C1-Incomes'!HS34-CP32</f>
        <v>1.000002957880497E-4</v>
      </c>
      <c r="CR32" s="272">
        <f>'T-T3'!AG36-'T-T2'!AF35-'T-T2'!AG35</f>
        <v>297678</v>
      </c>
      <c r="CS32" s="272">
        <f>TOTALS!AY92/1000000</f>
        <v>292659.88347499998</v>
      </c>
      <c r="CT32" s="277">
        <f>'C1-Incomes'!HS34-'C1-Incomes'!IA34-CR32</f>
        <v>5.0000008195638657E-4</v>
      </c>
      <c r="CU32" s="277">
        <f>'T-T3a'!O36+'T-T3a'!P36</f>
        <v>172933</v>
      </c>
      <c r="CV32" s="277">
        <f>'C1-Incomes'!IA34-'C1-Incomes'!II34-CU32</f>
        <v>0</v>
      </c>
      <c r="CW32" s="272">
        <f>'T-T3'!H36</f>
        <v>-7437.821838689968</v>
      </c>
      <c r="CX32" s="277">
        <f>'C1-Incomes'!IQ34-'C1-Incomes'!II34-CW32</f>
        <v>-1.6130972653627396E-4</v>
      </c>
      <c r="CY32" s="277">
        <f>'T-T3'!G36</f>
        <v>702101</v>
      </c>
      <c r="CZ32" s="277">
        <f>'C1-Incomes'!IY34-'C1-Incomes'!IQ34-CY32</f>
        <v>0</v>
      </c>
      <c r="DA32" s="277">
        <f>'C1-Incomes'!IY34-'T-T3'!Z36</f>
        <v>-5.9999991208314896E-4</v>
      </c>
      <c r="DB32" s="280"/>
      <c r="DC32" s="272">
        <f>TOTALS!BG31/1000000</f>
        <v>38576.517408</v>
      </c>
      <c r="DD32" s="272">
        <f>TOTALS!BH31/1000000</f>
        <v>0</v>
      </c>
      <c r="DE32" s="272">
        <f t="shared" si="8"/>
        <v>38576.517408</v>
      </c>
      <c r="DF32" s="272">
        <f>TOTALS!BI31/1000000</f>
        <v>34212.974993999997</v>
      </c>
    </row>
    <row r="33" spans="1:110" ht="12" customHeight="1" x14ac:dyDescent="0.3">
      <c r="A33" s="268">
        <v>1987</v>
      </c>
      <c r="B33" s="272"/>
      <c r="C33" s="272">
        <f>SUM('T-T1'!AN36:AP36)</f>
        <v>51926</v>
      </c>
      <c r="D33" s="272">
        <f>TOTALS!BF93/1000000</f>
        <v>30550.842477999999</v>
      </c>
      <c r="E33" s="277">
        <f>'C1-Incomes'!AX35-'C1-Incomes'!AH35-D33</f>
        <v>2.1999796445015818E-5</v>
      </c>
      <c r="F33" s="277">
        <v>0</v>
      </c>
      <c r="G33" s="277">
        <v>0</v>
      </c>
      <c r="H33" s="272">
        <f>TOTALS!AB93/1000000</f>
        <v>1740.4127790999999</v>
      </c>
      <c r="I33" s="272">
        <f>TOTALS!BP93/1000000</f>
        <v>20079.882369999999</v>
      </c>
      <c r="J33" s="272">
        <f>TOTALS!Y93/1000000</f>
        <v>11318.669035999999</v>
      </c>
      <c r="K33" s="272">
        <f>TOTALS!W93/1000000</f>
        <v>26061.418813</v>
      </c>
      <c r="L33" s="277">
        <f>TOTALS!K93/1000000</f>
        <v>2.4807122400000003</v>
      </c>
      <c r="M33" s="272">
        <f>TOTALS!BT93/1000000</f>
        <v>649.85963283000001</v>
      </c>
      <c r="N33" s="272">
        <f>(TOTALS!CB93-TOTALS!CC93)/1000000</f>
        <v>-3132.0442836999996</v>
      </c>
      <c r="O33" s="272">
        <f t="shared" si="15"/>
        <v>-10861.930000869997</v>
      </c>
      <c r="P33" s="277">
        <f>'C1-Incomes'!BF35-'C1-Incomes'!AX35-O33</f>
        <v>8.7029548012651503E-7</v>
      </c>
      <c r="Q33" s="277">
        <f>'C22-Fiduciary'!T32</f>
        <v>14067.222717522422</v>
      </c>
      <c r="R33" s="277">
        <f>'C1-Incomes'!BV35-'C1-Incomes'!BN35-Q33</f>
        <v>-7.1752235453459434E-4</v>
      </c>
      <c r="S33" s="270">
        <f>'T-T1'!CR36</f>
        <v>123230</v>
      </c>
      <c r="T33" s="270">
        <f t="shared" si="16"/>
        <v>8009.9500000000007</v>
      </c>
      <c r="U33" s="331">
        <f>ROUND('C12-CorpOwn'!T32,3)</f>
        <v>6.5000000000000002E-2</v>
      </c>
      <c r="V33" s="270">
        <f t="shared" si="10"/>
        <v>58164.56</v>
      </c>
      <c r="W33" s="279">
        <f>ROUND('C12-CorpOwn'!S32,3)</f>
        <v>0.47199999999999998</v>
      </c>
      <c r="X33" s="272">
        <f t="shared" si="6"/>
        <v>57055.490000000005</v>
      </c>
      <c r="Y33" s="279">
        <f>1-ROUND('C12-CorpOwn'!S32,3)-ROUND('C12-CorpOwn'!T32,3)</f>
        <v>0.46300000000000002</v>
      </c>
      <c r="Z33" s="685">
        <f>'C1-Incomes'!CD35-'C1-Incomes'!BV35-S33</f>
        <v>0</v>
      </c>
      <c r="AA33" s="277">
        <f>'T-T1'!CP36</f>
        <v>130441</v>
      </c>
      <c r="AB33" s="277">
        <f>'T-T1'!AA36</f>
        <v>17739</v>
      </c>
      <c r="AC33" s="277">
        <f t="shared" si="7"/>
        <v>112702</v>
      </c>
      <c r="AD33" s="277">
        <f>'C1-Incomes'!CL35-'C1-Incomes'!CD35-AC33</f>
        <v>0</v>
      </c>
      <c r="AE33" s="277">
        <f t="shared" si="2"/>
        <v>55112</v>
      </c>
      <c r="AF33" s="277">
        <f>'C1-Incomes'!CT35-'C1-Incomes'!CL35-AE33</f>
        <v>0</v>
      </c>
      <c r="AG33" s="277">
        <f>'T-T1a'!C38</f>
        <v>-56605.348344566562</v>
      </c>
      <c r="AH33" s="277">
        <f>'T-T1a'!D38</f>
        <v>-28302.674172283281</v>
      </c>
      <c r="AI33" s="277">
        <f>'T-T1a'!E38</f>
        <v>37811.407291825737</v>
      </c>
      <c r="AJ33" s="277">
        <f>'T-T1a'!F38</f>
        <v>47096.615225024107</v>
      </c>
      <c r="AK33" s="277">
        <f>'C1-Incomes'!DB35-'C1-Incomes'!CT35</f>
        <v>0</v>
      </c>
      <c r="AL33" s="277">
        <f>'T-T1'!E36</f>
        <v>21632.376272753347</v>
      </c>
      <c r="AM33" s="277">
        <f>'T-T1'!L36</f>
        <v>24163.437270411512</v>
      </c>
      <c r="AN33" s="277">
        <f>'T-T1'!Q36</f>
        <v>129984.78785991781</v>
      </c>
      <c r="AO33" s="277">
        <f>'T-T1'!T36</f>
        <v>31100.630485000001</v>
      </c>
      <c r="AP33" s="277">
        <f>'T-T1'!AH36</f>
        <v>1792.447701000001</v>
      </c>
      <c r="AQ33" s="277">
        <f t="shared" si="9"/>
        <v>208673.67958908266</v>
      </c>
      <c r="AR33" s="277">
        <f>'C1-Incomes'!DJ35-'C1-Incomes'!DB35-AQ33</f>
        <v>-5.8908265782520175E-4</v>
      </c>
      <c r="AS33" s="277">
        <f t="shared" si="11"/>
        <v>61461</v>
      </c>
      <c r="AT33" s="277">
        <f>'T-T1'!U36</f>
        <v>-9849</v>
      </c>
      <c r="AU33" s="277">
        <f>'T-T1'!EE36</f>
        <v>71310</v>
      </c>
      <c r="AV33" s="277">
        <f>TOTALS!AX93/1000000</f>
        <v>38980.668983000003</v>
      </c>
      <c r="AW33" s="277">
        <f>'C1-Incomes'!DR35-'C1-Incomes'!DJ35-AS33</f>
        <v>9.59029421210289E-6</v>
      </c>
      <c r="AX33" s="277">
        <f>(TOTALS!Z93+TOTALS!AA93)/1000000</f>
        <v>164578.93978799999</v>
      </c>
      <c r="AY33" s="277">
        <f>'T-T1'!I36</f>
        <v>166260</v>
      </c>
      <c r="AZ33" s="277">
        <f>'C1-Incomes'!DZ35-'C1-Incomes'!DR35-AY33</f>
        <v>-2.1171430125832558E-4</v>
      </c>
      <c r="BA33" s="272">
        <f>'T-T1'!G36</f>
        <v>166826</v>
      </c>
      <c r="BB33" s="277">
        <f>'C1-Incomes'!EH35-'C1-Incomes'!DZ35-BA33</f>
        <v>1.8160790205001831E-8</v>
      </c>
      <c r="BC33" s="272">
        <f>'T-T1'!AD36+'T-T1'!AO36+'T-T1'!AR36+'T-T1'!AV36</f>
        <v>158892.41846015002</v>
      </c>
      <c r="BD33" s="272">
        <f>ROUND('T-T1'!BJ36,0)</f>
        <v>53446</v>
      </c>
      <c r="BE33" s="277">
        <f>'C1-Incomes'!EP35-'C1-Incomes'!EH35-BC33-BD33</f>
        <v>-4.5804423280060291E-4</v>
      </c>
      <c r="BF33" s="272">
        <f>ROUND('T-T1'!BA36,0)</f>
        <v>221123</v>
      </c>
      <c r="BG33" s="272">
        <f>ROUND('T-T1'!BC36+'T-T1'!BE36,0)</f>
        <v>3012</v>
      </c>
      <c r="BH33" s="272">
        <f>ROUND('T-T1'!V36+'T-T1'!AE36+'T-T1'!AP36+'T-T1'!AS36+'T-T1'!AW36+'T-T1'!BG36,0)</f>
        <v>25686</v>
      </c>
      <c r="BI33" s="272">
        <f>ROUND('T-T1'!AA36,0)</f>
        <v>17739</v>
      </c>
      <c r="BJ33" s="277">
        <f>'C1-Incomes'!EX35-'C1-Incomes'!EP35-SUM(BF33:BI33)</f>
        <v>0</v>
      </c>
      <c r="BK33" s="277">
        <f>'C1-Incomes'!EX35-'T-T1'!BN36</f>
        <v>-0.40359999984502792</v>
      </c>
      <c r="BL33" s="277">
        <f>'T-T2'!J36+'T-T2'!K36</f>
        <v>207473</v>
      </c>
      <c r="BM33" s="272">
        <f>TOTALS!P93/1000000</f>
        <v>77137.081812999997</v>
      </c>
      <c r="BN33" s="272">
        <f t="shared" si="12"/>
        <v>130335.918187</v>
      </c>
      <c r="BO33" s="277">
        <f>'C1-Incomes'!FF35-'C1-Incomes'!EX35-BL33</f>
        <v>-2.000005915760994E-4</v>
      </c>
      <c r="BP33" s="272">
        <f>'T-T2'!L36</f>
        <v>14625</v>
      </c>
      <c r="BQ33" s="272">
        <f>'C1-Incomes'!FN35-'C1-Incomes'!FF35-BP33</f>
        <v>4.0000025182962418E-4</v>
      </c>
      <c r="BR33" s="272">
        <f>TOTALS!AU93/1000000</f>
        <v>12134.909423999999</v>
      </c>
      <c r="BS33" s="272">
        <f>'T-T2'!M36+'T-T2'!N36</f>
        <v>16451</v>
      </c>
      <c r="BT33" s="272">
        <f>SUM('T-T2'!O36:T36)</f>
        <v>38856</v>
      </c>
      <c r="BU33" s="272">
        <f t="shared" si="13"/>
        <v>55307</v>
      </c>
      <c r="BV33" s="272">
        <f>'C1-Incomes'!FV35-'C1-Incomes'!FN35-BU33</f>
        <v>0</v>
      </c>
      <c r="BW33" s="272">
        <f>'T-T2'!X36</f>
        <v>74176</v>
      </c>
      <c r="BX33" s="277">
        <f>'C1-Incomes'!GE35-'C1-Incomes'!FV35-BW33</f>
        <v>0</v>
      </c>
      <c r="BY33" s="272">
        <f>'T-T2'!AC36-'T-T2'!AF36-'T-T2'!AG36</f>
        <v>440504</v>
      </c>
      <c r="BZ33" s="277">
        <f t="shared" si="14"/>
        <v>88923</v>
      </c>
      <c r="CA33" s="277">
        <f>'C1-Incomes'!GM35-'C1-Incomes'!GE35-BZ33</f>
        <v>0</v>
      </c>
      <c r="CB33" s="277">
        <f>'C1-Incomes'!GM35-'T-T2'!B36</f>
        <v>1.9999966025352478E-4</v>
      </c>
      <c r="CC33" s="272">
        <f>'T-T1'!EB36</f>
        <v>392987</v>
      </c>
      <c r="CD33" s="272">
        <f>TOTALS!AV93/1000000</f>
        <v>370131.65942400001</v>
      </c>
      <c r="CE33" s="272">
        <f>TOTALS!BA93/1000000</f>
        <v>551.44640260000006</v>
      </c>
      <c r="CF33" s="272">
        <f>'T-T3'!Q37</f>
        <v>10576</v>
      </c>
      <c r="CG33" s="277">
        <f>'C1-Incomes'!GM35-'C1-Incomes'!GU35-CC33-CE33-CF33</f>
        <v>3.9740003376209643E-4</v>
      </c>
      <c r="CH33" s="277">
        <f>'T-T1'!ED36</f>
        <v>85959</v>
      </c>
      <c r="CI33" s="272">
        <f>TOTALS!AP93/1000000</f>
        <v>76265.893999000007</v>
      </c>
      <c r="CJ33" s="277">
        <f>'C1-Incomes'!GU35-'C1-Incomes'!HC35-CH33</f>
        <v>0</v>
      </c>
      <c r="CK33" s="277">
        <f t="shared" si="3"/>
        <v>112702</v>
      </c>
      <c r="CL33" s="277">
        <f>'C1-Incomes'!HC35-'C1-Incomes'!HK35-CK33</f>
        <v>0</v>
      </c>
      <c r="CM33" s="272">
        <f t="shared" si="4"/>
        <v>71310</v>
      </c>
      <c r="CN33" s="272">
        <f>TOTALS!AX93/1000000</f>
        <v>38980.668983000003</v>
      </c>
      <c r="CO33" s="272">
        <f t="shared" si="5"/>
        <v>55112</v>
      </c>
      <c r="CP33" s="272">
        <f>'T-T1'!DE36</f>
        <v>126422</v>
      </c>
      <c r="CQ33" s="277">
        <f>'C1-Incomes'!HK35-'C1-Incomes'!HS35-CP33</f>
        <v>0</v>
      </c>
      <c r="CR33" s="272">
        <f>'T-T3'!AG37-'T-T2'!AF36-'T-T2'!AG36</f>
        <v>315691</v>
      </c>
      <c r="CS33" s="272">
        <f>TOTALS!AY93/1000000</f>
        <v>310196.07279900002</v>
      </c>
      <c r="CT33" s="277">
        <f>'C1-Incomes'!HS35-'C1-Incomes'!IA35-CR33</f>
        <v>-2.0000012591481209E-4</v>
      </c>
      <c r="CU33" s="277">
        <f>'T-T3a'!O37+'T-T3a'!P37</f>
        <v>185268</v>
      </c>
      <c r="CV33" s="277">
        <f>'C1-Incomes'!IA35-'C1-Incomes'!II35-CU33</f>
        <v>0</v>
      </c>
      <c r="CW33" s="272">
        <f>'T-T3'!H37</f>
        <v>49388.85000259988</v>
      </c>
      <c r="CX33" s="277">
        <f>'C1-Incomes'!IQ35-'C1-Incomes'!II35-CW33</f>
        <v>-2.5997869670391083E-6</v>
      </c>
      <c r="CY33" s="277">
        <f>'T-T3'!G37</f>
        <v>740264</v>
      </c>
      <c r="CZ33" s="277">
        <f>'C1-Incomes'!IY35-'C1-Incomes'!IQ35-CY33</f>
        <v>0</v>
      </c>
      <c r="DA33" s="277">
        <f>'C1-Incomes'!IY35-'T-T3'!Z37</f>
        <v>0</v>
      </c>
      <c r="DB33" s="280"/>
      <c r="DC33" s="272">
        <f>TOTALS!BG32/1000000</f>
        <v>41903.516707000002</v>
      </c>
      <c r="DD33" s="272">
        <f>TOTALS!BH32/1000000</f>
        <v>10769.800090000001</v>
      </c>
      <c r="DE33" s="272">
        <f t="shared" si="8"/>
        <v>52673.316797000007</v>
      </c>
      <c r="DF33" s="272">
        <f>TOTALS!BI32/1000000</f>
        <v>45941.933091999999</v>
      </c>
    </row>
    <row r="34" spans="1:110" ht="12" customHeight="1" x14ac:dyDescent="0.3">
      <c r="A34" s="268">
        <v>1988</v>
      </c>
      <c r="B34" s="272"/>
      <c r="C34" s="272">
        <f>SUM('T-T1'!AN37:AP37)</f>
        <v>54388</v>
      </c>
      <c r="D34" s="272">
        <f>TOTALS!BF94/1000000</f>
        <v>32604.397671999999</v>
      </c>
      <c r="E34" s="277">
        <f>'C1-Incomes'!AX36-'C1-Incomes'!AH36-D34</f>
        <v>2.7999623853247613E-5</v>
      </c>
      <c r="F34" s="277">
        <v>0</v>
      </c>
      <c r="G34" s="277">
        <v>0</v>
      </c>
      <c r="H34" s="272">
        <f>TOTALS!AB94/1000000</f>
        <v>1666.772588</v>
      </c>
      <c r="I34" s="272">
        <f>TOTALS!BP94/1000000</f>
        <v>18379.495395999998</v>
      </c>
      <c r="J34" s="272">
        <f>TOTALS!Y94/1000000</f>
        <v>11157.186180999999</v>
      </c>
      <c r="K34" s="272">
        <f>TOTALS!W94/1000000</f>
        <v>28933.136439999998</v>
      </c>
      <c r="L34" s="277">
        <f>TOTALS!K94/1000000</f>
        <v>878.77967564999994</v>
      </c>
      <c r="M34" s="272">
        <f>TOTALS!BT94/1000000</f>
        <v>1857.3821709000001</v>
      </c>
      <c r="N34" s="272">
        <f>(TOTALS!CB94-TOTALS!CC94)/1000000</f>
        <v>-2995.3222989000001</v>
      </c>
      <c r="O34" s="272">
        <f t="shared" si="15"/>
        <v>-8001.8018704499973</v>
      </c>
      <c r="P34" s="277">
        <f>'C1-Incomes'!BF36-'C1-Incomes'!AX36-O34</f>
        <v>-2.9549848477472551E-5</v>
      </c>
      <c r="Q34" s="277">
        <f>'C22-Fiduciary'!T33</f>
        <v>14975.531026492206</v>
      </c>
      <c r="R34" s="277">
        <f>'C1-Incomes'!BV36-'C1-Incomes'!BN36-Q34</f>
        <v>-2.64922473434126E-5</v>
      </c>
      <c r="S34" s="270">
        <f>'T-T1'!CR37</f>
        <v>143330</v>
      </c>
      <c r="T34" s="270">
        <f t="shared" si="16"/>
        <v>9459.7800000000007</v>
      </c>
      <c r="U34" s="331">
        <f>ROUND('C12-CorpOwn'!T33,3)</f>
        <v>6.6000000000000003E-2</v>
      </c>
      <c r="V34" s="270">
        <f t="shared" si="10"/>
        <v>64641.830000000016</v>
      </c>
      <c r="W34" s="279">
        <f>ROUND('C12-CorpOwn'!S33,3)</f>
        <v>0.45100000000000001</v>
      </c>
      <c r="X34" s="272">
        <f t="shared" si="6"/>
        <v>69228.389999999985</v>
      </c>
      <c r="Y34" s="279">
        <f>1-ROUND('C12-CorpOwn'!S33,3)-ROUND('C12-CorpOwn'!T33,3)</f>
        <v>0.48299999999999993</v>
      </c>
      <c r="Z34" s="685">
        <f>'C1-Incomes'!CD36-'C1-Incomes'!BV36-S34</f>
        <v>0</v>
      </c>
      <c r="AA34" s="277">
        <f>'T-T1'!CP37</f>
        <v>141630</v>
      </c>
      <c r="AB34" s="277">
        <f>'T-T1'!AA37</f>
        <v>17364</v>
      </c>
      <c r="AC34" s="277">
        <f t="shared" si="7"/>
        <v>124266</v>
      </c>
      <c r="AD34" s="277">
        <f>'C1-Incomes'!CL36-'C1-Incomes'!CD36-AC34</f>
        <v>0</v>
      </c>
      <c r="AE34" s="277">
        <f t="shared" si="2"/>
        <v>60149</v>
      </c>
      <c r="AF34" s="277">
        <f>'C1-Incomes'!CT36-'C1-Incomes'!CL36-AE34</f>
        <v>0</v>
      </c>
      <c r="AG34" s="277">
        <f>'T-T1a'!C39</f>
        <v>-75299.91029543677</v>
      </c>
      <c r="AH34" s="277">
        <f>'T-T1a'!D39</f>
        <v>-37649.955147718385</v>
      </c>
      <c r="AI34" s="277">
        <f>'T-T1a'!E39</f>
        <v>51527.604987210798</v>
      </c>
      <c r="AJ34" s="277">
        <f>'T-T1a'!F39</f>
        <v>61422.260455944357</v>
      </c>
      <c r="AK34" s="277">
        <f>'C1-Incomes'!DB36-'C1-Incomes'!CT36</f>
        <v>0</v>
      </c>
      <c r="AL34" s="277">
        <f>'T-T1'!E37</f>
        <v>24432.227634455077</v>
      </c>
      <c r="AM34" s="277">
        <f>'T-T1'!L37</f>
        <v>20290.695733174278</v>
      </c>
      <c r="AN34" s="277">
        <f>'T-T1'!Q37</f>
        <v>132995.4184384851</v>
      </c>
      <c r="AO34" s="277">
        <f>'T-T1'!T37</f>
        <v>19796.205661399999</v>
      </c>
      <c r="AP34" s="277">
        <f>'T-T1'!AH37</f>
        <v>3393.4527239000017</v>
      </c>
      <c r="AQ34" s="277">
        <f t="shared" si="9"/>
        <v>200908.00019141444</v>
      </c>
      <c r="AR34" s="277">
        <f>'C1-Incomes'!DJ36-'C1-Incomes'!DB36-AQ34</f>
        <v>8.085857261903584E-4</v>
      </c>
      <c r="AS34" s="277">
        <f t="shared" si="11"/>
        <v>72761</v>
      </c>
      <c r="AT34" s="277">
        <f>'T-T1'!U37</f>
        <v>-3586</v>
      </c>
      <c r="AU34" s="277">
        <f>'T-T1'!EE37</f>
        <v>76347</v>
      </c>
      <c r="AV34" s="277">
        <f>TOTALS!AX94/1000000</f>
        <v>40886.897913000001</v>
      </c>
      <c r="AW34" s="277">
        <f>'C1-Incomes'!DR36-'C1-Incomes'!DJ36-AS34</f>
        <v>-4.4892076402902603E-5</v>
      </c>
      <c r="AX34" s="277">
        <f>(TOTALS!Z94+TOTALS!AA94)/1000000</f>
        <v>183239.247275</v>
      </c>
      <c r="AY34" s="277">
        <f>'T-T1'!I37</f>
        <v>184633</v>
      </c>
      <c r="AZ34" s="277">
        <f>'C1-Incomes'!DZ36-'C1-Incomes'!DR36-AY34</f>
        <v>2.7494970709085464E-4</v>
      </c>
      <c r="BA34" s="272">
        <f>'T-T1'!G37</f>
        <v>187905</v>
      </c>
      <c r="BB34" s="277">
        <f>'C1-Incomes'!EH36-'C1-Incomes'!DZ36-BA34</f>
        <v>-1.8160790205001831E-8</v>
      </c>
      <c r="BC34" s="272">
        <f>'T-T1'!AD37+'T-T1'!AO37+'T-T1'!AR37+'T-T1'!AV37</f>
        <v>151801.46590033403</v>
      </c>
      <c r="BD34" s="272">
        <f>ROUND('T-T1'!BJ37,0)</f>
        <v>32855</v>
      </c>
      <c r="BE34" s="277">
        <f>'C1-Incomes'!EP36-'C1-Incomes'!EH36-BC34-BD34</f>
        <v>6.9626636104658246E-5</v>
      </c>
      <c r="BF34" s="272">
        <f>ROUND('T-T1'!BA37,0)</f>
        <v>237968</v>
      </c>
      <c r="BG34" s="272">
        <f>ROUND('T-T1'!BC37+'T-T1'!BE37,0)</f>
        <v>3253</v>
      </c>
      <c r="BH34" s="272">
        <f>ROUND('T-T1'!V37+'T-T1'!AE37+'T-T1'!AP37+'T-T1'!AS37+'T-T1'!AW37+'T-T1'!BG37,0)</f>
        <v>29891</v>
      </c>
      <c r="BI34" s="272">
        <f>ROUND('T-T1'!AA37,0)</f>
        <v>17364</v>
      </c>
      <c r="BJ34" s="277">
        <f>'C1-Incomes'!EX36-'C1-Incomes'!EP36-SUM(BF34:BI34)</f>
        <v>0</v>
      </c>
      <c r="BK34" s="277">
        <f>'C1-Incomes'!EX36-'T-T1'!BN37</f>
        <v>0.54320000018924475</v>
      </c>
      <c r="BL34" s="277">
        <f>'T-T2'!J37+'T-T2'!K37</f>
        <v>220624</v>
      </c>
      <c r="BM34" s="272">
        <f>TOTALS!P94/1000000</f>
        <v>83636.188538999995</v>
      </c>
      <c r="BN34" s="272">
        <f t="shared" si="12"/>
        <v>136987.811461</v>
      </c>
      <c r="BO34" s="277">
        <f>'C1-Incomes'!FF36-'C1-Incomes'!EX36-BL34</f>
        <v>-4.0000025182962418E-4</v>
      </c>
      <c r="BP34" s="272">
        <f>'T-T2'!L37</f>
        <v>13328</v>
      </c>
      <c r="BQ34" s="272">
        <f>'C1-Incomes'!FN36-'C1-Incomes'!FF36-BP34</f>
        <v>3.0000042170286179E-4</v>
      </c>
      <c r="BR34" s="272">
        <f>TOTALS!AU94/1000000</f>
        <v>11524.012374</v>
      </c>
      <c r="BS34" s="272">
        <f>'T-T2'!M37+'T-T2'!N37</f>
        <v>16723</v>
      </c>
      <c r="BT34" s="272">
        <f>SUM('T-T2'!O37:T37)</f>
        <v>42849</v>
      </c>
      <c r="BU34" s="272">
        <f t="shared" si="13"/>
        <v>59572</v>
      </c>
      <c r="BV34" s="272">
        <f>'C1-Incomes'!FV36-'C1-Incomes'!FN36-BU34</f>
        <v>0</v>
      </c>
      <c r="BW34" s="272">
        <f>'T-T2'!X37</f>
        <v>77528</v>
      </c>
      <c r="BX34" s="277">
        <f>'C1-Incomes'!GE36-'C1-Incomes'!FV36-BW34</f>
        <v>0</v>
      </c>
      <c r="BY34" s="272">
        <f>'T-T2'!AC37-'T-T2'!AF37-'T-T2'!AG37</f>
        <v>468103</v>
      </c>
      <c r="BZ34" s="277">
        <f t="shared" si="14"/>
        <v>97051</v>
      </c>
      <c r="CA34" s="277">
        <f>'C1-Incomes'!GM36-'C1-Incomes'!GE36-BZ34</f>
        <v>0</v>
      </c>
      <c r="CB34" s="277">
        <f>'C1-Incomes'!GM36-'T-T2'!B37</f>
        <v>-9.999983012676239E-5</v>
      </c>
      <c r="CC34" s="272">
        <f>'T-T1'!EB37</f>
        <v>403845</v>
      </c>
      <c r="CD34" s="272">
        <f>TOTALS!AV94/1000000</f>
        <v>414938.87523000001</v>
      </c>
      <c r="CE34" s="272">
        <f>TOTALS!BA94/1000000</f>
        <v>683.38379954999994</v>
      </c>
      <c r="CF34" s="272">
        <f>'T-T3'!Q38</f>
        <v>11114</v>
      </c>
      <c r="CG34" s="277">
        <f>'C1-Incomes'!GM36-'C1-Incomes'!GU36-CC34-CE34-CF34</f>
        <v>2.0045054407091811E-4</v>
      </c>
      <c r="CH34" s="277">
        <f>'T-T1'!ED37</f>
        <v>90599</v>
      </c>
      <c r="CI34" s="272">
        <f>TOTALS!AP94/1000000</f>
        <v>75684.260024999996</v>
      </c>
      <c r="CJ34" s="277">
        <f>'C1-Incomes'!GU36-'C1-Incomes'!HC36-CH34</f>
        <v>0</v>
      </c>
      <c r="CK34" s="277">
        <f t="shared" si="3"/>
        <v>124266</v>
      </c>
      <c r="CL34" s="277">
        <f>'C1-Incomes'!HC36-'C1-Incomes'!HK36-CK34</f>
        <v>0</v>
      </c>
      <c r="CM34" s="272">
        <f t="shared" si="4"/>
        <v>76347</v>
      </c>
      <c r="CN34" s="272">
        <f>TOTALS!AX94/1000000</f>
        <v>40886.897913000001</v>
      </c>
      <c r="CO34" s="272">
        <f t="shared" si="5"/>
        <v>60149</v>
      </c>
      <c r="CP34" s="272">
        <f>'T-T1'!DE37</f>
        <v>136496</v>
      </c>
      <c r="CQ34" s="277">
        <f>'C1-Incomes'!HK36-'C1-Incomes'!HS36-CP34</f>
        <v>-9.999983012676239E-5</v>
      </c>
      <c r="CR34" s="272">
        <f>'T-T3'!AG38-'T-T2'!AF37-'T-T2'!AG37</f>
        <v>352739</v>
      </c>
      <c r="CS34" s="272">
        <f>TOTALS!AY94/1000000</f>
        <v>347175.92651999998</v>
      </c>
      <c r="CT34" s="277">
        <f>'C1-Incomes'!HS36-'C1-Incomes'!IA36-CR34</f>
        <v>-5.0000054761767387E-4</v>
      </c>
      <c r="CU34" s="277">
        <f>'T-T3a'!O38+'T-T3a'!P38</f>
        <v>200005</v>
      </c>
      <c r="CV34" s="277">
        <f>'C1-Incomes'!IA36-'C1-Incomes'!II36-CU34</f>
        <v>0</v>
      </c>
      <c r="CW34" s="272">
        <f>'T-T3'!H38</f>
        <v>69833.840599549934</v>
      </c>
      <c r="CX34" s="277">
        <f>'C1-Incomes'!IQ36-'C1-Incomes'!II36-CW34</f>
        <v>4.0045008063316345E-4</v>
      </c>
      <c r="CY34" s="277">
        <f>'T-T3'!G38</f>
        <v>781810</v>
      </c>
      <c r="CZ34" s="277">
        <f>'C1-Incomes'!IY36-'C1-Incomes'!IQ36-CY34</f>
        <v>0</v>
      </c>
      <c r="DA34" s="277">
        <f>'C1-Incomes'!IY36-'T-T3'!Z38</f>
        <v>6.9999974220991135E-4</v>
      </c>
      <c r="DB34" s="280"/>
      <c r="DC34" s="272">
        <f>TOTALS!BG33/1000000</f>
        <v>43909.635509</v>
      </c>
      <c r="DD34" s="272">
        <f>TOTALS!BH33/1000000</f>
        <v>10935.175810999999</v>
      </c>
      <c r="DE34" s="272">
        <f t="shared" si="8"/>
        <v>54844.811320000001</v>
      </c>
      <c r="DF34" s="272">
        <f>TOTALS!BI33/1000000</f>
        <v>47308.876148000003</v>
      </c>
    </row>
    <row r="35" spans="1:110" ht="12" customHeight="1" x14ac:dyDescent="0.3">
      <c r="A35" s="268">
        <v>1989</v>
      </c>
      <c r="B35" s="272"/>
      <c r="C35" s="272">
        <f>SUM('T-T1'!AN38:AP38)</f>
        <v>57576</v>
      </c>
      <c r="D35" s="272">
        <f>TOTALS!BF95/1000000</f>
        <v>37321.573773999997</v>
      </c>
      <c r="E35" s="277">
        <f>'C1-Incomes'!AX37-'C1-Incomes'!AH37-D35</f>
        <v>2.599989966256544E-5</v>
      </c>
      <c r="F35" s="277">
        <v>0</v>
      </c>
      <c r="G35" s="277">
        <v>0</v>
      </c>
      <c r="H35" s="272">
        <f>TOTALS!AB95/1000000</f>
        <v>1918.3846934000001</v>
      </c>
      <c r="I35" s="272">
        <f>TOTALS!BP95/1000000</f>
        <v>17001.161581</v>
      </c>
      <c r="J35" s="272">
        <f>TOTALS!Y95/1000000</f>
        <v>9172.8624903</v>
      </c>
      <c r="K35" s="272">
        <f>TOTALS!W95/1000000</f>
        <v>31917.567129999999</v>
      </c>
      <c r="L35" s="277">
        <f>TOTALS!K95/1000000</f>
        <v>1504.9493462999999</v>
      </c>
      <c r="M35" s="272">
        <f>TOTALS!BT95/1000000</f>
        <v>1079.4214260000001</v>
      </c>
      <c r="N35" s="272">
        <f>(TOTALS!CB95-TOTALS!CC95)/1000000</f>
        <v>-3531.9239715199997</v>
      </c>
      <c r="O35" s="272">
        <f t="shared" si="15"/>
        <v>-2291.1363785199983</v>
      </c>
      <c r="P35" s="277">
        <f>'C1-Incomes'!BF37-'C1-Incomes'!AX37-O35</f>
        <v>-2.147972827515332E-5</v>
      </c>
      <c r="Q35" s="277">
        <f>'C22-Fiduciary'!T34</f>
        <v>15883.839335461997</v>
      </c>
      <c r="R35" s="277">
        <f>'C1-Incomes'!BV37-'C1-Incomes'!BN37-Q35</f>
        <v>6.6453785439080093E-4</v>
      </c>
      <c r="S35" s="270">
        <f>'T-T1'!CR38</f>
        <v>110199</v>
      </c>
      <c r="T35" s="270">
        <f t="shared" si="16"/>
        <v>8154.7259999999997</v>
      </c>
      <c r="U35" s="331">
        <f>ROUND('C12-CorpOwn'!T34,3)</f>
        <v>7.3999999999999996E-2</v>
      </c>
      <c r="V35" s="270">
        <f t="shared" si="10"/>
        <v>48707.957999999999</v>
      </c>
      <c r="W35" s="279">
        <f>ROUND('C12-CorpOwn'!S34,3)</f>
        <v>0.442</v>
      </c>
      <c r="X35" s="272">
        <f t="shared" si="6"/>
        <v>53336.316000000006</v>
      </c>
      <c r="Y35" s="279">
        <f>1-ROUND('C12-CorpOwn'!S34,3)-ROUND('C12-CorpOwn'!T34,3)</f>
        <v>0.48400000000000004</v>
      </c>
      <c r="Z35" s="685">
        <f>'C1-Incomes'!CD37-'C1-Incomes'!BV37-S35</f>
        <v>0</v>
      </c>
      <c r="AA35" s="277">
        <f>'T-T1'!CP38</f>
        <v>146068</v>
      </c>
      <c r="AB35" s="277">
        <f>'T-T1'!AA38</f>
        <v>21646</v>
      </c>
      <c r="AC35" s="277">
        <f t="shared" si="7"/>
        <v>124422</v>
      </c>
      <c r="AD35" s="277">
        <f>'C1-Incomes'!CL37-'C1-Incomes'!CD37-AC35</f>
        <v>0</v>
      </c>
      <c r="AE35" s="277">
        <f t="shared" si="2"/>
        <v>66814</v>
      </c>
      <c r="AF35" s="277">
        <f>'C1-Incomes'!CT37-'C1-Incomes'!CL37-AE35</f>
        <v>0</v>
      </c>
      <c r="AG35" s="277">
        <f>'T-T1a'!C40</f>
        <v>-100677.98886192436</v>
      </c>
      <c r="AH35" s="277">
        <f>'T-T1a'!D40</f>
        <v>-50338.994430962179</v>
      </c>
      <c r="AI35" s="277">
        <f>'T-T1a'!E40</f>
        <v>71790.392522301612</v>
      </c>
      <c r="AJ35" s="277">
        <f>'T-T1a'!F40</f>
        <v>79226.590770584909</v>
      </c>
      <c r="AK35" s="277">
        <f>'C1-Incomes'!DB37-'C1-Incomes'!CT37</f>
        <v>1.0000001639127731E-3</v>
      </c>
      <c r="AL35" s="277">
        <f>'T-T1'!E38</f>
        <v>46446.470022392925</v>
      </c>
      <c r="AM35" s="277">
        <f>'T-T1'!L38</f>
        <v>21549.689723012831</v>
      </c>
      <c r="AN35" s="277">
        <f>'T-T1'!Q38</f>
        <v>129437.10063179761</v>
      </c>
      <c r="AO35" s="277">
        <f>'T-T1'!T38</f>
        <v>16472.149859999998</v>
      </c>
      <c r="AP35" s="277">
        <f>'T-T1'!AH38</f>
        <v>3413.9844292000053</v>
      </c>
      <c r="AQ35" s="277">
        <f t="shared" si="9"/>
        <v>217319.39466640336</v>
      </c>
      <c r="AR35" s="277">
        <f>'C1-Incomes'!DJ37-'C1-Incomes'!DB37-AQ35</f>
        <v>3.3359666122123599E-4</v>
      </c>
      <c r="AS35" s="277">
        <f t="shared" si="11"/>
        <v>79712</v>
      </c>
      <c r="AT35" s="277">
        <f>'T-T1'!U38</f>
        <v>-3338</v>
      </c>
      <c r="AU35" s="277">
        <f>'T-T1'!EE38</f>
        <v>83050</v>
      </c>
      <c r="AV35" s="277">
        <f>TOTALS!AX95/1000000</f>
        <v>45120.074199000002</v>
      </c>
      <c r="AW35" s="277">
        <f>'C1-Incomes'!DR37-'C1-Incomes'!DJ37-AS35</f>
        <v>1.9833724945783615E-4</v>
      </c>
      <c r="AX35" s="277">
        <f>(TOTALS!Z95+TOTALS!AA95)/1000000</f>
        <v>192251.30232700001</v>
      </c>
      <c r="AY35" s="277">
        <f>'T-T1'!I38</f>
        <v>193673</v>
      </c>
      <c r="AZ35" s="277">
        <f>'C1-Incomes'!DZ37-'C1-Incomes'!DR37-AY35</f>
        <v>3.2697152346372604E-4</v>
      </c>
      <c r="BA35" s="272">
        <f>'T-T1'!G38</f>
        <v>208068</v>
      </c>
      <c r="BB35" s="277">
        <f>'C1-Incomes'!EH37-'C1-Incomes'!DZ37-BA35</f>
        <v>3.771856427192688E-8</v>
      </c>
      <c r="BC35" s="272">
        <f>'T-T1'!AD38+'T-T1'!AO38+'T-T1'!AR38+'T-T1'!AV38</f>
        <v>180522.02943736798</v>
      </c>
      <c r="BD35" s="272">
        <f>ROUND('T-T1'!BJ38,0)</f>
        <v>46915</v>
      </c>
      <c r="BE35" s="277">
        <f>'C1-Incomes'!EP37-'C1-Incomes'!EH37-BC35-BD35</f>
        <v>-4.6271475730463862E-4</v>
      </c>
      <c r="BF35" s="272">
        <f>ROUND('T-T1'!BA38,0)</f>
        <v>249003</v>
      </c>
      <c r="BG35" s="272">
        <f>ROUND('T-T1'!BC38+'T-T1'!BE38,0)</f>
        <v>10838</v>
      </c>
      <c r="BH35" s="272">
        <f>ROUND('T-T1'!V38+'T-T1'!AE38+'T-T1'!AP38+'T-T1'!AS38+'T-T1'!AW38+'T-T1'!BG38,0)</f>
        <v>36354</v>
      </c>
      <c r="BI35" s="272">
        <f>ROUND('T-T1'!AA38,0)</f>
        <v>21646</v>
      </c>
      <c r="BJ35" s="277">
        <f>'C1-Incomes'!EX37-'C1-Incomes'!EP37-SUM(BF35:BI35)</f>
        <v>0</v>
      </c>
      <c r="BK35" s="277">
        <f>'C1-Incomes'!EX37-'T-T1'!BN38</f>
        <v>2.0384999997913837</v>
      </c>
      <c r="BL35" s="277">
        <f>'T-T2'!J38+'T-T2'!K38</f>
        <v>234338</v>
      </c>
      <c r="BM35" s="272">
        <f>TOTALS!P95/1000000</f>
        <v>91200.738412999999</v>
      </c>
      <c r="BN35" s="272">
        <f t="shared" si="12"/>
        <v>143137.26158699999</v>
      </c>
      <c r="BO35" s="277">
        <f>'C1-Incomes'!FF37-'C1-Incomes'!EX37-BL35</f>
        <v>4.0000025182962418E-4</v>
      </c>
      <c r="BP35" s="272">
        <f>'T-T2'!L38</f>
        <v>14410</v>
      </c>
      <c r="BQ35" s="272">
        <f>'C1-Incomes'!FN37-'C1-Incomes'!FF37-BP35</f>
        <v>4.0000025182962418E-4</v>
      </c>
      <c r="BR35" s="272">
        <f>TOTALS!AU95/1000000</f>
        <v>11961.533388</v>
      </c>
      <c r="BS35" s="272">
        <f>'T-T2'!M38+'T-T2'!N38</f>
        <v>17202</v>
      </c>
      <c r="BT35" s="272">
        <f>SUM('T-T2'!O38:T38)</f>
        <v>47402</v>
      </c>
      <c r="BU35" s="272">
        <f t="shared" si="13"/>
        <v>64604</v>
      </c>
      <c r="BV35" s="272">
        <f>'C1-Incomes'!FV37-'C1-Incomes'!FN37-BU35</f>
        <v>0</v>
      </c>
      <c r="BW35" s="272">
        <f>'T-T2'!X38</f>
        <v>85912</v>
      </c>
      <c r="BX35" s="277">
        <f>'C1-Incomes'!GE37-'C1-Incomes'!FV37-BW35</f>
        <v>0</v>
      </c>
      <c r="BY35" s="272">
        <f>'T-T2'!AC38-'T-T2'!AF38-'T-T2'!AG38</f>
        <v>508807</v>
      </c>
      <c r="BZ35" s="277">
        <f t="shared" si="14"/>
        <v>109543</v>
      </c>
      <c r="CA35" s="277">
        <f>'C1-Incomes'!GM37-'C1-Incomes'!GE37-BZ35</f>
        <v>0</v>
      </c>
      <c r="CB35" s="277">
        <f>'C1-Incomes'!GM37-'T-T2'!B38</f>
        <v>8.0000050365924835E-4</v>
      </c>
      <c r="CC35" s="272">
        <f>'T-T1'!EB38</f>
        <v>453095</v>
      </c>
      <c r="CD35" s="272">
        <f>TOTALS!AV95/1000000</f>
        <v>435694.89834000001</v>
      </c>
      <c r="CE35" s="272">
        <f>TOTALS!BA95/1000000</f>
        <v>724.2390866799999</v>
      </c>
      <c r="CF35" s="272">
        <f>'T-T3'!Q39</f>
        <v>12435</v>
      </c>
      <c r="CG35" s="277">
        <f>'C1-Incomes'!GM37-'C1-Incomes'!GU37-CC35-CE35-CF35</f>
        <v>3.1332031176134478E-4</v>
      </c>
      <c r="CH35" s="277">
        <f>'T-T1'!ED38</f>
        <v>102270</v>
      </c>
      <c r="CI35" s="272">
        <f>TOTALS!AP95/1000000</f>
        <v>81841.050422</v>
      </c>
      <c r="CJ35" s="277">
        <f>'C1-Incomes'!GU37-'C1-Incomes'!HC37-CH35</f>
        <v>4.0000025182962418E-4</v>
      </c>
      <c r="CK35" s="277">
        <f t="shared" si="3"/>
        <v>124422</v>
      </c>
      <c r="CL35" s="277">
        <f>'C1-Incomes'!HC37-'C1-Incomes'!HK37-CK35</f>
        <v>0</v>
      </c>
      <c r="CM35" s="272">
        <f t="shared" si="4"/>
        <v>83050</v>
      </c>
      <c r="CN35" s="272">
        <f>TOTALS!AX95/1000000</f>
        <v>45120.074199000002</v>
      </c>
      <c r="CO35" s="272">
        <f t="shared" si="5"/>
        <v>66814</v>
      </c>
      <c r="CP35" s="272">
        <f>'T-T1'!DE38</f>
        <v>149864</v>
      </c>
      <c r="CQ35" s="277">
        <f>'C1-Incomes'!HK37-'C1-Incomes'!HS37-CP35</f>
        <v>1.9999966025352478E-4</v>
      </c>
      <c r="CR35" s="272">
        <f>'T-T3'!AG39-'T-T2'!AF38-'T-T2'!AG38</f>
        <v>372937</v>
      </c>
      <c r="CS35" s="272">
        <f>TOTALS!AY95/1000000</f>
        <v>365654.46135</v>
      </c>
      <c r="CT35" s="277">
        <f>'C1-Incomes'!HS37-'C1-Incomes'!IA37-CR35</f>
        <v>4.0000025182962418E-4</v>
      </c>
      <c r="CU35" s="277">
        <f>'T-T3a'!O39+'T-T3a'!P39</f>
        <v>209857</v>
      </c>
      <c r="CV35" s="277">
        <f>'C1-Incomes'!IA37-'C1-Incomes'!II37-CU35</f>
        <v>0</v>
      </c>
      <c r="CW35" s="272">
        <f>'T-T3'!H39</f>
        <v>74453.200586680323</v>
      </c>
      <c r="CX35" s="277">
        <f>'C1-Incomes'!IQ37-'C1-Incomes'!II37-CW35</f>
        <v>4.1332002729177475E-4</v>
      </c>
      <c r="CY35" s="277">
        <f>'T-T3'!G39</f>
        <v>842342</v>
      </c>
      <c r="CZ35" s="277">
        <f>'C1-Incomes'!IY37-'C1-Incomes'!IQ37-CY35</f>
        <v>0</v>
      </c>
      <c r="DA35" s="277">
        <f>'C1-Incomes'!IY37-'T-T3'!Z39</f>
        <v>-9.999983012676239E-5</v>
      </c>
      <c r="DB35" s="280"/>
      <c r="DC35" s="272">
        <f>TOTALS!BG34/1000000</f>
        <v>47505.437646999999</v>
      </c>
      <c r="DD35" s="272">
        <f>TOTALS!BH34/1000000</f>
        <v>11308.965536</v>
      </c>
      <c r="DE35" s="272">
        <f t="shared" si="8"/>
        <v>58814.403183000002</v>
      </c>
      <c r="DF35" s="272">
        <f>TOTALS!BI34/1000000</f>
        <v>51176.306882999997</v>
      </c>
    </row>
    <row r="36" spans="1:110" ht="12" customHeight="1" x14ac:dyDescent="0.3">
      <c r="A36" s="268">
        <v>1990</v>
      </c>
      <c r="B36" s="272"/>
      <c r="C36" s="272">
        <f>SUM('T-T1'!AN39:AP39)</f>
        <v>60388</v>
      </c>
      <c r="D36" s="272">
        <f>TOTALS!BF96/1000000</f>
        <v>39998.900526999998</v>
      </c>
      <c r="E36" s="277">
        <f>'C1-Incomes'!AX38-'C1-Incomes'!AH38-D36</f>
        <v>-2.7000009140465409E-5</v>
      </c>
      <c r="F36" s="277">
        <v>0</v>
      </c>
      <c r="G36" s="277">
        <v>0</v>
      </c>
      <c r="H36" s="272">
        <f>TOTALS!AB96/1000000</f>
        <v>1910.9051020999998</v>
      </c>
      <c r="I36" s="272">
        <f>TOTALS!BP96/1000000</f>
        <v>16500.622074999999</v>
      </c>
      <c r="J36" s="272">
        <f>TOTALS!Y96/1000000</f>
        <v>10107.998613</v>
      </c>
      <c r="K36" s="272">
        <f>TOTALS!W96/1000000</f>
        <v>35313.842353</v>
      </c>
      <c r="L36" s="277">
        <f>TOTALS!K96/1000000</f>
        <v>984.64876400000003</v>
      </c>
      <c r="M36" s="272">
        <f>TOTALS!BT96/1000000</f>
        <v>1444.0515522000001</v>
      </c>
      <c r="N36" s="272">
        <f>(TOTALS!CB96-TOTALS!CC96)/1000000</f>
        <v>-3832.8742547899997</v>
      </c>
      <c r="O36" s="272">
        <f t="shared" si="15"/>
        <v>532.7419919099998</v>
      </c>
      <c r="P36" s="277">
        <f>'C1-Incomes'!BF38-'C1-Incomes'!AX38-O36</f>
        <v>8.0900858847599011E-6</v>
      </c>
      <c r="Q36" s="277">
        <f>'C22-Fiduciary'!T35</f>
        <v>16792.147644431781</v>
      </c>
      <c r="R36" s="277">
        <f>'C1-Incomes'!BV38-'C1-Incomes'!BN38-Q36</f>
        <v>3.5556779766920954E-4</v>
      </c>
      <c r="S36" s="270">
        <f>'T-T1'!CR39</f>
        <v>102666</v>
      </c>
      <c r="T36" s="270">
        <f t="shared" si="16"/>
        <v>8110.6140000000005</v>
      </c>
      <c r="U36" s="331">
        <f>ROUND('C12-CorpOwn'!T35,3)</f>
        <v>7.9000000000000001E-2</v>
      </c>
      <c r="V36" s="270">
        <f t="shared" si="10"/>
        <v>51435.665999999997</v>
      </c>
      <c r="W36" s="279">
        <f>ROUND('C12-CorpOwn'!S35,3)</f>
        <v>0.501</v>
      </c>
      <c r="X36" s="272">
        <f t="shared" si="6"/>
        <v>43119.72</v>
      </c>
      <c r="Y36" s="279">
        <f>1-ROUND('C12-CorpOwn'!S35,3)-ROUND('C12-CorpOwn'!T35,3)</f>
        <v>0.42</v>
      </c>
      <c r="Z36" s="685">
        <f>'C1-Incomes'!CD38-'C1-Incomes'!BV38-S36</f>
        <v>0</v>
      </c>
      <c r="AA36" s="277">
        <f>'T-T1'!CP39</f>
        <v>145424</v>
      </c>
      <c r="AB36" s="277">
        <f>'T-T1'!AA39</f>
        <v>23608</v>
      </c>
      <c r="AC36" s="277">
        <f t="shared" si="7"/>
        <v>121816</v>
      </c>
      <c r="AD36" s="277">
        <f>'C1-Incomes'!CL38-'C1-Incomes'!CD38-AC36</f>
        <v>0</v>
      </c>
      <c r="AE36" s="277">
        <f t="shared" si="2"/>
        <v>72798</v>
      </c>
      <c r="AF36" s="277">
        <f>'C1-Incomes'!CT38-'C1-Incomes'!CL38-AE36</f>
        <v>0</v>
      </c>
      <c r="AG36" s="277">
        <f>'T-T1a'!C41</f>
        <v>-101448.37929941397</v>
      </c>
      <c r="AH36" s="277">
        <f>'T-T1a'!D41</f>
        <v>-50724.189649706983</v>
      </c>
      <c r="AI36" s="277">
        <f>'T-T1a'!E41</f>
        <v>66590.958038431025</v>
      </c>
      <c r="AJ36" s="277">
        <f>'T-T1a'!F41</f>
        <v>85581.610910689909</v>
      </c>
      <c r="AK36" s="277">
        <f>'C1-Incomes'!DB38-'C1-Incomes'!CT38</f>
        <v>0</v>
      </c>
      <c r="AL36" s="277">
        <f>'T-T1'!E39</f>
        <v>48602.206746249925</v>
      </c>
      <c r="AM36" s="277">
        <f>'T-T1'!L39</f>
        <v>20515.199573917514</v>
      </c>
      <c r="AN36" s="277">
        <f>'T-T1'!Q39</f>
        <v>130825.56009541659</v>
      </c>
      <c r="AO36" s="277">
        <f>'T-T1'!T39</f>
        <v>16454.132562999999</v>
      </c>
      <c r="AP36" s="277">
        <f>'T-T1'!AH39</f>
        <v>3534.3502949000031</v>
      </c>
      <c r="AQ36" s="277">
        <f t="shared" si="9"/>
        <v>219931.44927348403</v>
      </c>
      <c r="AR36" s="277">
        <f>'C1-Incomes'!DJ38-'C1-Incomes'!DB38-AQ36</f>
        <v>7.2651615482755005E-4</v>
      </c>
      <c r="AS36" s="277">
        <f t="shared" si="11"/>
        <v>88667</v>
      </c>
      <c r="AT36" s="277">
        <f>'T-T1'!U39</f>
        <v>-68</v>
      </c>
      <c r="AU36" s="277">
        <f>'T-T1'!EE39</f>
        <v>88735</v>
      </c>
      <c r="AV36" s="277">
        <f>TOTALS!AX96/1000000</f>
        <v>49586.649357000002</v>
      </c>
      <c r="AW36" s="277">
        <f>'C1-Incomes'!DR38-'C1-Incomes'!DJ38-AS36</f>
        <v>3.9497343823313713E-4</v>
      </c>
      <c r="AX36" s="277">
        <f>(TOTALS!Z96+TOTALS!AA96)/1000000</f>
        <v>203696.63945700001</v>
      </c>
      <c r="AY36" s="277">
        <f>'T-T1'!I39</f>
        <v>206451</v>
      </c>
      <c r="AZ36" s="277">
        <f>'C1-Incomes'!DZ38-'C1-Incomes'!DR38-AY36</f>
        <v>4.5640673488378525E-4</v>
      </c>
      <c r="BA36" s="272">
        <f>'T-T1'!G39</f>
        <v>231916</v>
      </c>
      <c r="BB36" s="277">
        <f>'C1-Incomes'!EH38-'C1-Incomes'!DZ38-BA36</f>
        <v>6.4261257648468018E-8</v>
      </c>
      <c r="BC36" s="272">
        <f>'T-T1'!AD39+'T-T1'!AO39+'T-T1'!AR39+'T-T1'!AV39</f>
        <v>187164.29965727101</v>
      </c>
      <c r="BD36" s="272">
        <f>ROUND('T-T1'!BJ39,0)</f>
        <v>39214</v>
      </c>
      <c r="BE36" s="277">
        <f>'C1-Incomes'!EP38-'C1-Incomes'!EH38-BC36-BD36</f>
        <v>3.9128423668444157E-4</v>
      </c>
      <c r="BF36" s="272">
        <f>ROUND('T-T1'!BA39,0)</f>
        <v>263457</v>
      </c>
      <c r="BG36" s="272">
        <f>ROUND('T-T1'!BC39+'T-T1'!BE39,0)</f>
        <v>12186</v>
      </c>
      <c r="BH36" s="272">
        <f>ROUND('T-T1'!V39+'T-T1'!AE39+'T-T1'!AP39+'T-T1'!AS39+'T-T1'!AW39+'T-T1'!BG39,0)</f>
        <v>34696</v>
      </c>
      <c r="BI36" s="272">
        <f>ROUND('T-T1'!AA39,0)</f>
        <v>23608</v>
      </c>
      <c r="BJ36" s="277">
        <f>'C1-Incomes'!EX38-'C1-Incomes'!EP38-SUM(BF36:BI36)</f>
        <v>0</v>
      </c>
      <c r="BK36" s="277">
        <f>'C1-Incomes'!EX38-'T-T1'!BN39</f>
        <v>-0.65330000035464764</v>
      </c>
      <c r="BL36" s="277">
        <f>'T-T2'!J39+'T-T2'!K39</f>
        <v>251356</v>
      </c>
      <c r="BM36" s="272">
        <f>TOTALS!P96/1000000</f>
        <v>99480.068547999996</v>
      </c>
      <c r="BN36" s="272">
        <f t="shared" si="12"/>
        <v>151875.93145199999</v>
      </c>
      <c r="BO36" s="277">
        <f>'C1-Incomes'!FF38-'C1-Incomes'!EX38-BL36</f>
        <v>-5.0000008195638657E-4</v>
      </c>
      <c r="BP36" s="272">
        <f>'T-T2'!L39</f>
        <v>18162</v>
      </c>
      <c r="BQ36" s="272">
        <f>'C1-Incomes'!FN38-'C1-Incomes'!FF38-BP36</f>
        <v>-9.999983012676239E-5</v>
      </c>
      <c r="BR36" s="272">
        <f>TOTALS!AU96/1000000</f>
        <v>15266.902928</v>
      </c>
      <c r="BS36" s="272">
        <f>'T-T2'!M39+'T-T2'!N39</f>
        <v>17675</v>
      </c>
      <c r="BT36" s="272">
        <f>SUM('T-T2'!O39:T39)</f>
        <v>52910</v>
      </c>
      <c r="BU36" s="272">
        <f t="shared" si="13"/>
        <v>70585</v>
      </c>
      <c r="BV36" s="272">
        <f>'C1-Incomes'!FV38-'C1-Incomes'!FN38-BU36</f>
        <v>0</v>
      </c>
      <c r="BW36" s="272">
        <f>'T-T2'!X39</f>
        <v>96318</v>
      </c>
      <c r="BX36" s="277">
        <f>'C1-Incomes'!GE38-'C1-Incomes'!FV38-BW36</f>
        <v>0</v>
      </c>
      <c r="BY36" s="272">
        <f>'T-T2'!AC39-'T-T2'!AF39-'T-T2'!AG39</f>
        <v>563354</v>
      </c>
      <c r="BZ36" s="277">
        <f t="shared" si="14"/>
        <v>126933</v>
      </c>
      <c r="CA36" s="277">
        <f>'C1-Incomes'!GM38-'C1-Incomes'!GE38-BZ36</f>
        <v>0</v>
      </c>
      <c r="CB36" s="277">
        <f>'C1-Incomes'!GM38-'T-T2'!B39</f>
        <v>-5.9999991208314896E-4</v>
      </c>
      <c r="CC36" s="272">
        <f>'T-T1'!EB39</f>
        <v>472109</v>
      </c>
      <c r="CD36" s="272">
        <f>TOTALS!AV96/1000000</f>
        <v>451239.36886400002</v>
      </c>
      <c r="CE36" s="272">
        <f>TOTALS!BA96/1000000</f>
        <v>798.63974414999996</v>
      </c>
      <c r="CF36" s="272">
        <f>'T-T3'!Q40</f>
        <v>15755</v>
      </c>
      <c r="CG36" s="277">
        <f>'C1-Incomes'!GM38-'C1-Incomes'!GU38-CC36-CE36-CF36</f>
        <v>-1.441505864931969E-4</v>
      </c>
      <c r="CH36" s="277">
        <f>'T-T1'!ED39</f>
        <v>109594</v>
      </c>
      <c r="CI36" s="272">
        <f>TOTALS!AP96/1000000</f>
        <v>86131.740386999998</v>
      </c>
      <c r="CJ36" s="277">
        <f>'C1-Incomes'!GU38-'C1-Incomes'!HC38-CH36</f>
        <v>4.0000025182962418E-4</v>
      </c>
      <c r="CK36" s="277">
        <f t="shared" si="3"/>
        <v>121816</v>
      </c>
      <c r="CL36" s="277">
        <f>'C1-Incomes'!HC38-'C1-Incomes'!HK38-CK36</f>
        <v>0</v>
      </c>
      <c r="CM36" s="272">
        <f t="shared" si="4"/>
        <v>88735</v>
      </c>
      <c r="CN36" s="272">
        <f>TOTALS!AX96/1000000</f>
        <v>49586.649357000002</v>
      </c>
      <c r="CO36" s="272">
        <f t="shared" si="5"/>
        <v>72798</v>
      </c>
      <c r="CP36" s="272">
        <f>'T-T1'!DE39</f>
        <v>161533</v>
      </c>
      <c r="CQ36" s="277">
        <f>'C1-Incomes'!HK38-'C1-Incomes'!HS38-CP36</f>
        <v>3.0000042170286179E-4</v>
      </c>
      <c r="CR36" s="272">
        <f>'T-T3'!AG40-'T-T2'!AF39-'T-T2'!AG39</f>
        <v>398780</v>
      </c>
      <c r="CS36" s="272">
        <f>TOTALS!AY96/1000000</f>
        <v>388237.38805299997</v>
      </c>
      <c r="CT36" s="277">
        <f>'C1-Incomes'!HS38-'C1-Incomes'!IA38-CR36</f>
        <v>9.999983012676239E-5</v>
      </c>
      <c r="CU36" s="277">
        <f>'T-T3a'!O40+'T-T3a'!P40</f>
        <v>221474</v>
      </c>
      <c r="CV36" s="277">
        <f>'C1-Incomes'!IA38-'C1-Incomes'!II38-CU36</f>
        <v>0</v>
      </c>
      <c r="CW36" s="272">
        <f>'T-T3'!H40</f>
        <v>32495.293044149876</v>
      </c>
      <c r="CX36" s="277">
        <f>'C1-Incomes'!IQ38-'C1-Incomes'!II38-CW36</f>
        <v>-4.4149812310934067E-5</v>
      </c>
      <c r="CY36" s="277">
        <f>'T-T3'!G40</f>
        <v>906011</v>
      </c>
      <c r="CZ36" s="277">
        <f>'C1-Incomes'!IY38-'C1-Incomes'!IQ38-CY36</f>
        <v>0</v>
      </c>
      <c r="DA36" s="277">
        <f>'C1-Incomes'!IY38-'T-T3'!Z40</f>
        <v>-1.2999996542930603E-3</v>
      </c>
      <c r="DB36" s="280"/>
      <c r="DC36" s="272">
        <f>TOTALS!BG35/1000000</f>
        <v>46343.486400000002</v>
      </c>
      <c r="DD36" s="272">
        <f>TOTALS!BH35/1000000</f>
        <v>10933.879013</v>
      </c>
      <c r="DE36" s="272">
        <f t="shared" si="8"/>
        <v>57277.365413</v>
      </c>
      <c r="DF36" s="272">
        <f>TOTALS!BI35/1000000</f>
        <v>49554.573577000003</v>
      </c>
    </row>
    <row r="37" spans="1:110" ht="12" customHeight="1" x14ac:dyDescent="0.3">
      <c r="A37" s="268">
        <v>1991</v>
      </c>
      <c r="B37" s="272"/>
      <c r="C37" s="272"/>
      <c r="D37" s="272">
        <f>TOTALS!BF97/1000000</f>
        <v>42831.252594999998</v>
      </c>
      <c r="E37" s="277">
        <f>'C1-Incomes'!AX39-'C1-Incomes'!AH39-D37</f>
        <v>4.9997761379927397E-6</v>
      </c>
      <c r="F37" s="277">
        <v>0</v>
      </c>
      <c r="G37" s="277">
        <v>0</v>
      </c>
      <c r="H37" s="272">
        <f>TOTALS!AB97/1000000</f>
        <v>2015.7751799</v>
      </c>
      <c r="I37" s="272">
        <f>TOTALS!BP97/1000000</f>
        <v>15800.204904</v>
      </c>
      <c r="J37" s="272">
        <f>TOTALS!Y97/1000000</f>
        <v>10300.253728</v>
      </c>
      <c r="K37" s="272">
        <f>TOTALS!W97/1000000</f>
        <v>39845.761322999999</v>
      </c>
      <c r="L37" s="277">
        <f>TOTALS!K97/1000000</f>
        <v>1114.5240484999999</v>
      </c>
      <c r="M37" s="272">
        <f>TOTALS!BT97/1000000</f>
        <v>-2191.5945360000001</v>
      </c>
      <c r="N37" s="272">
        <f>(TOTALS!CB97-TOTALS!CC97)/1000000</f>
        <v>-4103.1266439999999</v>
      </c>
      <c r="O37" s="272">
        <f t="shared" si="15"/>
        <v>8703.4713545999984</v>
      </c>
      <c r="P37" s="277">
        <f>'C1-Incomes'!BF39-'C1-Incomes'!AX39-O37</f>
        <v>-5.4600139264948666E-5</v>
      </c>
      <c r="Q37" s="277">
        <f>'C22-Fiduciary'!T36</f>
        <v>17700.455953401572</v>
      </c>
      <c r="R37" s="277">
        <f>'C1-Incomes'!BV39-'C1-Incomes'!BN39-Q37</f>
        <v>-9.5340149709954858E-4</v>
      </c>
      <c r="S37" s="270">
        <f>'T-T1'!CR40</f>
        <v>132225</v>
      </c>
      <c r="T37" s="270">
        <f t="shared" si="16"/>
        <v>7933.5</v>
      </c>
      <c r="U37" s="331">
        <f>ROUND('C12-CorpOwn'!T36,3)</f>
        <v>0.06</v>
      </c>
      <c r="V37" s="270">
        <f t="shared" si="10"/>
        <v>60426.825000000012</v>
      </c>
      <c r="W37" s="279">
        <f>ROUND('C12-CorpOwn'!S36,3)</f>
        <v>0.45700000000000002</v>
      </c>
      <c r="X37" s="272">
        <f t="shared" si="6"/>
        <v>63864.674999999988</v>
      </c>
      <c r="Y37" s="279">
        <f>1-ROUND('C12-CorpOwn'!S36,3)-ROUND('C12-CorpOwn'!T36,3)</f>
        <v>0.48299999999999993</v>
      </c>
      <c r="Z37" s="685">
        <f>'C1-Incomes'!CD39-'C1-Incomes'!BV39-S37</f>
        <v>0</v>
      </c>
      <c r="AA37" s="277">
        <f>'T-T1'!CP40</f>
        <v>138591</v>
      </c>
      <c r="AB37" s="277">
        <f>'T-T1'!AA40</f>
        <v>20778</v>
      </c>
      <c r="AC37" s="277">
        <f t="shared" si="7"/>
        <v>117813</v>
      </c>
      <c r="AD37" s="277">
        <f>'C1-Incomes'!CL39-'C1-Incomes'!CD39-AC37</f>
        <v>0</v>
      </c>
      <c r="AE37" s="277">
        <f t="shared" si="2"/>
        <v>80678</v>
      </c>
      <c r="AF37" s="277">
        <f>'C1-Incomes'!CT39-'C1-Incomes'!CL39-AE37</f>
        <v>0</v>
      </c>
      <c r="AG37" s="277">
        <f>'T-T1a'!C42</f>
        <v>-77071.856465006043</v>
      </c>
      <c r="AH37" s="277">
        <f>'T-T1a'!D42</f>
        <v>-38535.928232503022</v>
      </c>
      <c r="AI37" s="277">
        <f>'T-T1a'!E42</f>
        <v>38993.100670759733</v>
      </c>
      <c r="AJ37" s="277">
        <f>'T-T1a'!F42</f>
        <v>76614.684026749339</v>
      </c>
      <c r="AK37" s="277">
        <f>'C1-Incomes'!DB39-'C1-Incomes'!CT39</f>
        <v>1.0000001639127731E-3</v>
      </c>
      <c r="AL37" s="277">
        <f>'T-T1'!E40</f>
        <v>44863.136477412656</v>
      </c>
      <c r="AM37" s="277">
        <f>'T-T1'!L40</f>
        <v>16279.186634978065</v>
      </c>
      <c r="AN37" s="277">
        <f>'T-T1'!Q40</f>
        <v>137422.58788980442</v>
      </c>
      <c r="AO37" s="277">
        <f>'T-T1'!T40</f>
        <v>19950.530661000001</v>
      </c>
      <c r="AP37" s="277">
        <f>'T-T1'!AH40</f>
        <v>5815.5598219999993</v>
      </c>
      <c r="AQ37" s="277">
        <f t="shared" si="9"/>
        <v>224331.00148519516</v>
      </c>
      <c r="AR37" s="277">
        <f>'C1-Incomes'!DJ39-'C1-Incomes'!DB39-AQ37</f>
        <v>5.1480470574460924E-4</v>
      </c>
      <c r="AS37" s="277">
        <f t="shared" si="11"/>
        <v>101195</v>
      </c>
      <c r="AT37" s="277">
        <f>'T-T1'!U40</f>
        <v>5802</v>
      </c>
      <c r="AU37" s="277">
        <f>'T-T1'!EE40</f>
        <v>95393</v>
      </c>
      <c r="AV37" s="277">
        <f>TOTALS!AX97/1000000</f>
        <v>53999.634896000003</v>
      </c>
      <c r="AW37" s="277">
        <f>'C1-Incomes'!DR39-'C1-Incomes'!DJ39-AS37</f>
        <v>-9.6054282039403915E-5</v>
      </c>
      <c r="AX37" s="277">
        <f>(TOTALS!Z97+TOTALS!AA97)/1000000</f>
        <v>211602.00934700001</v>
      </c>
      <c r="AY37" s="277">
        <f>'T-T1'!I40</f>
        <v>215132</v>
      </c>
      <c r="AZ37" s="277">
        <f>'C1-Incomes'!DZ39-'C1-Incomes'!DR39-AY37</f>
        <v>3.4714257344603539E-4</v>
      </c>
      <c r="BA37" s="272">
        <f>'T-T1'!G40</f>
        <v>252140</v>
      </c>
      <c r="BB37" s="277">
        <f>'C1-Incomes'!EH39-'C1-Incomes'!DZ39-BA37</f>
        <v>3.7252902984619141E-9</v>
      </c>
      <c r="BC37" s="272">
        <f>'T-T1'!AD40+'T-T1'!AO40+'T-T1'!AR40+'T-T1'!AV40</f>
        <v>179413.77272415994</v>
      </c>
      <c r="BD37" s="272">
        <f>ROUND('T-T1'!BJ40,0)</f>
        <v>32269</v>
      </c>
      <c r="BE37" s="277">
        <f>'C1-Incomes'!EP39-'C1-Incomes'!EH39-BC37-BD37</f>
        <v>3.2474851468577981E-4</v>
      </c>
      <c r="BF37" s="272">
        <f>ROUND('T-T1'!BA40,0)</f>
        <v>281020</v>
      </c>
      <c r="BG37" s="272">
        <f>ROUND('T-T1'!BC40+'T-T1'!BE40,0)</f>
        <v>11401</v>
      </c>
      <c r="BH37" s="272">
        <f>ROUND('T-T1'!V40+'T-T1'!AE40+'T-T1'!AP40+'T-T1'!AS40+'T-T1'!AW40+'T-T1'!BG40,0)</f>
        <v>36073</v>
      </c>
      <c r="BI37" s="272">
        <f>ROUND('T-T1'!AA40,0)</f>
        <v>20778</v>
      </c>
      <c r="BJ37" s="277">
        <f>'C1-Incomes'!EX39-'C1-Incomes'!EP39-SUM(BF37:BI37)</f>
        <v>0</v>
      </c>
      <c r="BK37" s="277">
        <f>'C1-Incomes'!EX39-'T-T1'!BN40</f>
        <v>-1.9020999995991588</v>
      </c>
      <c r="BL37" s="277">
        <f>'T-T2'!J40+'T-T2'!K40</f>
        <v>271717</v>
      </c>
      <c r="BM37" s="272">
        <f>TOTALS!P97/1000000</f>
        <v>107489.060635</v>
      </c>
      <c r="BN37" s="272">
        <f t="shared" si="12"/>
        <v>164227.939365</v>
      </c>
      <c r="BO37" s="277">
        <f>'C1-Incomes'!FF39-'C1-Incomes'!EX39-BL37</f>
        <v>-4.0000025182962418E-4</v>
      </c>
      <c r="BP37" s="272">
        <f>'T-T2'!L40</f>
        <v>26787</v>
      </c>
      <c r="BQ37" s="272">
        <f>'C1-Incomes'!FN39-'C1-Incomes'!FF39-BP37</f>
        <v>4.0000025182962418E-4</v>
      </c>
      <c r="BR37" s="272">
        <f>TOTALS!AU97/1000000</f>
        <v>23110.928437999999</v>
      </c>
      <c r="BS37" s="272">
        <f>'T-T2'!M40+'T-T2'!N40</f>
        <v>18118</v>
      </c>
      <c r="BT37" s="272">
        <f>SUM('T-T2'!O40:T40)</f>
        <v>59094</v>
      </c>
      <c r="BU37" s="272">
        <f t="shared" si="13"/>
        <v>77212</v>
      </c>
      <c r="BV37" s="272">
        <f>'C1-Incomes'!FV39-'C1-Incomes'!FN39-BU37</f>
        <v>0</v>
      </c>
      <c r="BW37" s="272">
        <f>'T-T2'!X40</f>
        <v>105553</v>
      </c>
      <c r="BX37" s="277">
        <f>'C1-Incomes'!GE39-'C1-Incomes'!FV39-BW37</f>
        <v>0</v>
      </c>
      <c r="BY37" s="272">
        <f>'T-T2'!AC40-'T-T2'!AF40-'T-T2'!AG40</f>
        <v>638573</v>
      </c>
      <c r="BZ37" s="277">
        <f t="shared" si="14"/>
        <v>157304</v>
      </c>
      <c r="CA37" s="277">
        <f>'C1-Incomes'!GM39-'C1-Incomes'!GE39-BZ37</f>
        <v>0</v>
      </c>
      <c r="CB37" s="277">
        <f>'C1-Incomes'!GM39-'T-T2'!B40</f>
        <v>0</v>
      </c>
      <c r="CC37" s="272">
        <f>'T-T1'!EB40</f>
        <v>463590</v>
      </c>
      <c r="CD37" s="272">
        <f>TOTALS!AV97/1000000</f>
        <v>454548.51774400001</v>
      </c>
      <c r="CE37" s="272">
        <f>TOTALS!BA97/1000000</f>
        <v>863.05553870000006</v>
      </c>
      <c r="CF37" s="272">
        <f>'T-T3'!Q41</f>
        <v>15597</v>
      </c>
      <c r="CG37" s="277">
        <f>'C1-Incomes'!GM39-'C1-Incomes'!GU39-CC37-CE37-CF37</f>
        <v>-2.3869987671787385E-4</v>
      </c>
      <c r="CH37" s="277">
        <f>'T-T1'!ED40</f>
        <v>111720</v>
      </c>
      <c r="CI37" s="272">
        <f>TOTALS!AP97/1000000</f>
        <v>89166.773885000002</v>
      </c>
      <c r="CJ37" s="277">
        <f>'C1-Incomes'!GU39-'C1-Incomes'!HC39-CH37</f>
        <v>-1.9999966025352478E-4</v>
      </c>
      <c r="CK37" s="277">
        <f t="shared" si="3"/>
        <v>117813</v>
      </c>
      <c r="CL37" s="277">
        <f>'C1-Incomes'!HC39-'C1-Incomes'!HK39-CK37</f>
        <v>0</v>
      </c>
      <c r="CM37" s="272">
        <f t="shared" si="4"/>
        <v>95393</v>
      </c>
      <c r="CN37" s="272">
        <f>TOTALS!AX97/1000000</f>
        <v>53999.634896000003</v>
      </c>
      <c r="CO37" s="272">
        <f t="shared" si="5"/>
        <v>80678</v>
      </c>
      <c r="CP37" s="272">
        <f>'T-T1'!DE40</f>
        <v>176071</v>
      </c>
      <c r="CQ37" s="277">
        <f>'C1-Incomes'!HK39-'C1-Incomes'!HS39-CP37</f>
        <v>-9.999983012676239E-5</v>
      </c>
      <c r="CR37" s="272">
        <f>'T-T3'!AG41-'T-T2'!AF40-'T-T2'!AG40</f>
        <v>418266</v>
      </c>
      <c r="CS37" s="272">
        <f>TOTALS!AY97/1000000</f>
        <v>404543.91171700001</v>
      </c>
      <c r="CT37" s="277">
        <f>'C1-Incomes'!HS39-'C1-Incomes'!IA39-CR37</f>
        <v>-2.000005915760994E-4</v>
      </c>
      <c r="CU37" s="277">
        <f>'T-T3a'!O41+'T-T3a'!P41</f>
        <v>231817</v>
      </c>
      <c r="CV37" s="277">
        <f>'C1-Incomes'!IA39-'C1-Incomes'!II39-CU37</f>
        <v>0</v>
      </c>
      <c r="CW37" s="272">
        <f>'T-T3'!H41</f>
        <v>-57702.042361300439</v>
      </c>
      <c r="CX37" s="277">
        <f>'C1-Incomes'!IQ39-'C1-Incomes'!II39-CW37</f>
        <v>3.6130007356405258E-4</v>
      </c>
      <c r="CY37" s="277">
        <f>'T-T3'!G41</f>
        <v>954868</v>
      </c>
      <c r="CZ37" s="277">
        <f>'C1-Incomes'!IY39-'C1-Incomes'!IQ39-CY37</f>
        <v>0</v>
      </c>
      <c r="DA37" s="277">
        <f>'C1-Incomes'!IY39-'T-T3'!Z41</f>
        <v>1.0999999940395355E-3</v>
      </c>
      <c r="DB37" s="280"/>
      <c r="DC37" s="272">
        <f>TOTALS!BG36/1000000</f>
        <v>40839.646674000003</v>
      </c>
      <c r="DD37" s="272">
        <f>TOTALS!BH36/1000000</f>
        <v>11869.747261</v>
      </c>
      <c r="DE37" s="272">
        <f t="shared" si="8"/>
        <v>52709.393935</v>
      </c>
      <c r="DF37" s="272">
        <f>TOTALS!BI36/1000000</f>
        <v>45394.982348999998</v>
      </c>
    </row>
    <row r="38" spans="1:110" ht="12" customHeight="1" x14ac:dyDescent="0.3">
      <c r="A38" s="268">
        <v>1992</v>
      </c>
      <c r="B38" s="272"/>
      <c r="C38" s="272"/>
      <c r="D38" s="272">
        <f>TOTALS!BF98/1000000</f>
        <v>45432.320639999998</v>
      </c>
      <c r="E38" s="277">
        <f>'C1-Incomes'!AX40-'C1-Incomes'!AH40-D38</f>
        <v>6.0000042140018195E-5</v>
      </c>
      <c r="F38" s="277">
        <v>0</v>
      </c>
      <c r="G38" s="277">
        <v>0</v>
      </c>
      <c r="H38" s="272">
        <f>TOTALS!AB98/1000000</f>
        <v>2148.1690905</v>
      </c>
      <c r="I38" s="272">
        <f>TOTALS!BP98/1000000</f>
        <v>16116.023297</v>
      </c>
      <c r="J38" s="272">
        <f>TOTALS!Y98/1000000</f>
        <v>10137.999666</v>
      </c>
      <c r="K38" s="272">
        <f>TOTALS!W98/1000000</f>
        <v>41896.49727</v>
      </c>
      <c r="L38" s="277">
        <f>TOTALS!K98/1000000</f>
        <v>1689.5623942</v>
      </c>
      <c r="M38" s="272">
        <f>TOTALS!BT98/1000000</f>
        <v>-2640.5415269999999</v>
      </c>
      <c r="N38" s="272">
        <f>(TOTALS!CB98-TOTALS!CC98)/1000000</f>
        <v>-4553.2138469000001</v>
      </c>
      <c r="O38" s="272">
        <f t="shared" si="15"/>
        <v>9892.0705023999999</v>
      </c>
      <c r="P38" s="277">
        <f>'C1-Incomes'!BF40-'C1-Incomes'!AX40-O38</f>
        <v>-2.4000855773920193E-6</v>
      </c>
      <c r="Q38" s="277">
        <f>'C22-Fiduciary'!T37</f>
        <v>18608.764262371358</v>
      </c>
      <c r="R38" s="277">
        <f>'C1-Incomes'!BV40-'C1-Incomes'!BN40-Q38</f>
        <v>-2.6237139172735624E-4</v>
      </c>
      <c r="S38" s="270">
        <f>'T-T1'!CR41</f>
        <v>137067</v>
      </c>
      <c r="T38" s="270">
        <f t="shared" si="16"/>
        <v>8224.02</v>
      </c>
      <c r="U38" s="331">
        <f>ROUND('C12-CorpOwn'!T37,3)</f>
        <v>0.06</v>
      </c>
      <c r="V38" s="270">
        <f t="shared" si="10"/>
        <v>61954.283999999985</v>
      </c>
      <c r="W38" s="279">
        <f>ROUND('C12-CorpOwn'!S37,3)</f>
        <v>0.45200000000000001</v>
      </c>
      <c r="X38" s="272">
        <f t="shared" si="6"/>
        <v>66888.696000000011</v>
      </c>
      <c r="Y38" s="279">
        <f>1-ROUND('C12-CorpOwn'!S37,3)-ROUND('C12-CorpOwn'!T37,3)</f>
        <v>0.48800000000000004</v>
      </c>
      <c r="Z38" s="685">
        <f>'C1-Incomes'!CD40-'C1-Incomes'!BV40-S38</f>
        <v>0</v>
      </c>
      <c r="AA38" s="277">
        <f>'T-T1'!CP41</f>
        <v>148688</v>
      </c>
      <c r="AB38" s="277">
        <f>'T-T1'!AA41</f>
        <v>16774</v>
      </c>
      <c r="AC38" s="277">
        <f t="shared" si="7"/>
        <v>131914</v>
      </c>
      <c r="AD38" s="277">
        <f>'C1-Incomes'!CL40-'C1-Incomes'!CD40-AC38</f>
        <v>0</v>
      </c>
      <c r="AE38" s="277">
        <f t="shared" ref="AE38:AE61" si="17">CO38</f>
        <v>85907</v>
      </c>
      <c r="AF38" s="277">
        <f>'C1-Incomes'!CT40-'C1-Incomes'!CL40-AE38</f>
        <v>0</v>
      </c>
      <c r="AG38" s="277">
        <f>'T-T1a'!C43</f>
        <v>-66176.830484149148</v>
      </c>
      <c r="AH38" s="277">
        <f>'T-T1a'!D43</f>
        <v>-33088.415242074574</v>
      </c>
      <c r="AI38" s="277">
        <f>'T-T1a'!E43</f>
        <v>24889.22782281191</v>
      </c>
      <c r="AJ38" s="277">
        <f>'T-T1a'!F43</f>
        <v>74376.017903411805</v>
      </c>
      <c r="AK38" s="277">
        <f>'C1-Incomes'!DB40-'C1-Incomes'!CT40</f>
        <v>1.0000001639127731E-3</v>
      </c>
      <c r="AL38" s="277">
        <f>'T-T1'!E41</f>
        <v>55778.857502624393</v>
      </c>
      <c r="AM38" s="277">
        <f>'T-T1'!L41</f>
        <v>13783.209908292687</v>
      </c>
      <c r="AN38" s="277">
        <f>'T-T1'!Q41</f>
        <v>152333.8167965413</v>
      </c>
      <c r="AO38" s="277">
        <f>'T-T1'!T41</f>
        <v>23021.351282</v>
      </c>
      <c r="AP38" s="277">
        <f>'T-T1'!AH41</f>
        <v>-4365.2029320000001</v>
      </c>
      <c r="AQ38" s="277">
        <f t="shared" si="9"/>
        <v>240552.03255745838</v>
      </c>
      <c r="AR38" s="277">
        <f>'C1-Incomes'!DJ40-'C1-Incomes'!DB40-AQ38</f>
        <v>4.4254097156226635E-4</v>
      </c>
      <c r="AS38" s="277">
        <f t="shared" si="11"/>
        <v>118586</v>
      </c>
      <c r="AT38" s="277">
        <f>'T-T1'!U41</f>
        <v>19815</v>
      </c>
      <c r="AU38" s="277">
        <f>'T-T1'!EE41</f>
        <v>98771</v>
      </c>
      <c r="AV38" s="277">
        <f>TOTALS!AX98/1000000</f>
        <v>57293.259815999998</v>
      </c>
      <c r="AW38" s="277">
        <f>'C1-Incomes'!DR40-'C1-Incomes'!DJ40-AS38</f>
        <v>-2.6309490203857422E-4</v>
      </c>
      <c r="AX38" s="277">
        <f>(TOTALS!Z98+TOTALS!AA98)/1000000</f>
        <v>222194.93257100001</v>
      </c>
      <c r="AY38" s="277">
        <f>'T-T1'!I41</f>
        <v>228398</v>
      </c>
      <c r="AZ38" s="277">
        <f>'C1-Incomes'!DZ40-'C1-Incomes'!DR40-AY38</f>
        <v>-4.2921304702758789E-4</v>
      </c>
      <c r="BA38" s="272">
        <f>'T-T1'!G41</f>
        <v>283743</v>
      </c>
      <c r="BB38" s="277">
        <f>'C1-Incomes'!EH40-'C1-Incomes'!DZ40-BA38</f>
        <v>-6.7986547946929932E-8</v>
      </c>
      <c r="BC38" s="272">
        <f>'T-T1'!AD41+'T-T1'!AO41+'T-T1'!AR41+'T-T1'!AV41</f>
        <v>201758.46955292003</v>
      </c>
      <c r="BD38" s="272">
        <f>ROUND('T-T1'!BJ41,0)</f>
        <v>46222</v>
      </c>
      <c r="BE38" s="277">
        <f>'C1-Incomes'!EP40-'C1-Incomes'!EH40-BC38-BD38</f>
        <v>4.3945590732619166E-4</v>
      </c>
      <c r="BF38" s="272">
        <f>ROUND('T-T1'!BA41,0)</f>
        <v>298698</v>
      </c>
      <c r="BG38" s="272">
        <f>ROUND('T-T1'!BC41+'T-T1'!BE41,0)</f>
        <v>9631</v>
      </c>
      <c r="BH38" s="272">
        <f>ROUND('T-T1'!V41+'T-T1'!AE41+'T-T1'!AP41+'T-T1'!AS41+'T-T1'!AW41+'T-T1'!BG41,0)</f>
        <v>37623</v>
      </c>
      <c r="BI38" s="272">
        <f>ROUND('T-T1'!AA41,0)</f>
        <v>16774</v>
      </c>
      <c r="BJ38" s="277">
        <f>'C1-Incomes'!EX40-'C1-Incomes'!EP40-SUM(BF38:BI38)</f>
        <v>0</v>
      </c>
      <c r="BK38" s="277">
        <f>'C1-Incomes'!EX40-'T-T1'!BN41</f>
        <v>-6.3900000415742397E-2</v>
      </c>
      <c r="BL38" s="277">
        <f>'T-T2'!J41+'T-T2'!K41</f>
        <v>289520</v>
      </c>
      <c r="BM38" s="272">
        <f>TOTALS!P98/1000000</f>
        <v>110285.92641499999</v>
      </c>
      <c r="BN38" s="272">
        <f t="shared" si="12"/>
        <v>179234.07358500001</v>
      </c>
      <c r="BO38" s="277">
        <f>'C1-Incomes'!FF40-'C1-Incomes'!EX40-BL38</f>
        <v>4.0000025182962418E-4</v>
      </c>
      <c r="BP38" s="272">
        <f>'T-T2'!L41</f>
        <v>39617</v>
      </c>
      <c r="BQ38" s="272">
        <f>'C1-Incomes'!FN40-'C1-Incomes'!FF40-BP38</f>
        <v>-4.0000025182962418E-4</v>
      </c>
      <c r="BR38" s="272">
        <f>TOTALS!AU98/1000000</f>
        <v>31130.218528000001</v>
      </c>
      <c r="BS38" s="272">
        <f>'T-T2'!M41+'T-T2'!N41</f>
        <v>18606</v>
      </c>
      <c r="BT38" s="272">
        <f>SUM('T-T2'!O41:T41)</f>
        <v>68387</v>
      </c>
      <c r="BU38" s="272">
        <f t="shared" si="13"/>
        <v>86993</v>
      </c>
      <c r="BV38" s="272">
        <f>'C1-Incomes'!FV40-'C1-Incomes'!FN40-BU38</f>
        <v>0</v>
      </c>
      <c r="BW38" s="272">
        <f>'T-T2'!X41</f>
        <v>118519</v>
      </c>
      <c r="BX38" s="277">
        <f>'C1-Incomes'!GE40-'C1-Incomes'!FV40-BW38</f>
        <v>0</v>
      </c>
      <c r="BY38" s="272">
        <f>'T-T2'!AC41-'T-T2'!AF41-'T-T2'!AG41</f>
        <v>717673</v>
      </c>
      <c r="BZ38" s="277">
        <f t="shared" si="14"/>
        <v>183024</v>
      </c>
      <c r="CA38" s="277">
        <f>'C1-Incomes'!GM40-'C1-Incomes'!GE40-BZ38</f>
        <v>0</v>
      </c>
      <c r="CB38" s="277">
        <f>'C1-Incomes'!GM40-'T-T2'!B41</f>
        <v>0</v>
      </c>
      <c r="CC38" s="272">
        <f>'T-T1'!EB41</f>
        <v>477497</v>
      </c>
      <c r="CD38" s="272">
        <f>TOTALS!AV98/1000000</f>
        <v>483148.43155099999</v>
      </c>
      <c r="CE38" s="272">
        <f>TOTALS!BA98/1000000</f>
        <v>1001.8962498999999</v>
      </c>
      <c r="CF38" s="272">
        <f>'T-T3'!Q42</f>
        <v>15795</v>
      </c>
      <c r="CG38" s="277">
        <f>'C1-Incomes'!GM40-'C1-Incomes'!GU40-CC38-CE38-CF38</f>
        <v>-4.4990087553742342E-4</v>
      </c>
      <c r="CH38" s="277">
        <f>'T-T1'!ED41</f>
        <v>120377</v>
      </c>
      <c r="CI38" s="272">
        <f>TOTALS!AP98/1000000</f>
        <v>98114.666968000005</v>
      </c>
      <c r="CJ38" s="277">
        <f>'C1-Incomes'!GU40-'C1-Incomes'!HC40-CH38</f>
        <v>0</v>
      </c>
      <c r="CK38" s="277">
        <f t="shared" ref="CK38:CK61" si="18">AC38</f>
        <v>131914</v>
      </c>
      <c r="CL38" s="277">
        <f>'C1-Incomes'!HC40-'C1-Incomes'!HK40-CK38</f>
        <v>0</v>
      </c>
      <c r="CM38" s="272">
        <f t="shared" ref="CM38:CM61" si="19">AU38</f>
        <v>98771</v>
      </c>
      <c r="CN38" s="272">
        <f>TOTALS!AX98/1000000</f>
        <v>57293.259815999998</v>
      </c>
      <c r="CO38" s="272">
        <f t="shared" ref="CO38:CO61" si="20">CP38-CM38</f>
        <v>85907</v>
      </c>
      <c r="CP38" s="272">
        <f>'T-T1'!DE41</f>
        <v>184678</v>
      </c>
      <c r="CQ38" s="277">
        <f>'C1-Incomes'!HK40-'C1-Incomes'!HS40-CP38</f>
        <v>-1.9999966025352478E-4</v>
      </c>
      <c r="CR38" s="272">
        <f>'T-T3'!AG42-'T-T2'!AF41-'T-T2'!AG41</f>
        <v>440923</v>
      </c>
      <c r="CS38" s="272">
        <f>TOTALS!AY98/1000000</f>
        <v>426560.849292</v>
      </c>
      <c r="CT38" s="277">
        <f>'C1-Incomes'!HS40-'C1-Incomes'!IA40-CR38</f>
        <v>3.0000042170286179E-4</v>
      </c>
      <c r="CU38" s="277">
        <f>'T-T3a'!O42+'T-T3a'!P42</f>
        <v>246340</v>
      </c>
      <c r="CV38" s="277">
        <f>'C1-Incomes'!IA40-'C1-Incomes'!II40-CU38</f>
        <v>0</v>
      </c>
      <c r="CW38" s="272">
        <f>'T-T3'!H42</f>
        <v>-96042.039850099012</v>
      </c>
      <c r="CX38" s="277">
        <f>'C1-Incomes'!IQ40-'C1-Incomes'!II40-CW38</f>
        <v>-1.4990102499723434E-4</v>
      </c>
      <c r="CY38" s="277">
        <f>'T-T3'!G42</f>
        <v>996895</v>
      </c>
      <c r="CZ38" s="277">
        <f>'C1-Incomes'!IY40-'C1-Incomes'!IQ40-CY38</f>
        <v>0</v>
      </c>
      <c r="DA38" s="277">
        <f>'C1-Incomes'!IY40-'T-T3'!Z42</f>
        <v>1.9999966025352478E-4</v>
      </c>
      <c r="DB38" s="280"/>
      <c r="DC38" s="272">
        <f>TOTALS!BG37/1000000</f>
        <v>41502.793408999998</v>
      </c>
      <c r="DD38" s="272">
        <f>TOTALS!BH37/1000000</f>
        <v>12087.936271</v>
      </c>
      <c r="DE38" s="272">
        <f t="shared" si="8"/>
        <v>53590.729679999997</v>
      </c>
      <c r="DF38" s="272">
        <f>TOTALS!BI37/1000000</f>
        <v>47549.663930000002</v>
      </c>
    </row>
    <row r="39" spans="1:110" ht="12" customHeight="1" x14ac:dyDescent="0.3">
      <c r="A39" s="268">
        <v>1993</v>
      </c>
      <c r="B39" s="272"/>
      <c r="C39" s="272"/>
      <c r="D39" s="272">
        <f>TOTALS!BF99/1000000</f>
        <v>46170.306726000003</v>
      </c>
      <c r="E39" s="277">
        <f>'C1-Incomes'!AX41-'C1-Incomes'!AH41-D39</f>
        <v>7.3999901360366493E-5</v>
      </c>
      <c r="F39" s="277">
        <v>0</v>
      </c>
      <c r="G39" s="277">
        <v>0</v>
      </c>
      <c r="H39" s="272">
        <f>TOTALS!AB99/1000000</f>
        <v>2165.7615965</v>
      </c>
      <c r="I39" s="272">
        <f>TOTALS!BP99/1000000</f>
        <v>16512.670816000002</v>
      </c>
      <c r="J39" s="272">
        <f>TOTALS!Y99/1000000</f>
        <v>11176.958588</v>
      </c>
      <c r="K39" s="272">
        <f>TOTALS!W99/1000000</f>
        <v>43849.075918000002</v>
      </c>
      <c r="L39" s="277">
        <f>TOTALS!K99/1000000</f>
        <v>2367.0080121999999</v>
      </c>
      <c r="M39" s="272">
        <f>TOTALS!BT99/1000000</f>
        <v>-3709.0592369999999</v>
      </c>
      <c r="N39" s="272">
        <f>(TOTALS!CB99-TOTALS!CC99)/1000000</f>
        <v>-4203.2013734000002</v>
      </c>
      <c r="O39" s="272">
        <f t="shared" si="15"/>
        <v>11132.534768900001</v>
      </c>
      <c r="P39" s="277">
        <f>'C1-Incomes'!BF41-'C1-Incomes'!AX41-O39</f>
        <v>-6.88998079567682E-5</v>
      </c>
      <c r="Q39" s="277">
        <f>'C22-Fiduciary'!T38</f>
        <v>19517.072571341145</v>
      </c>
      <c r="R39" s="277">
        <f>'C1-Incomes'!BV41-'C1-Incomes'!BN41-Q39</f>
        <v>4.286587136448361E-4</v>
      </c>
      <c r="S39" s="270">
        <f>'T-T1'!CR42</f>
        <v>145644</v>
      </c>
      <c r="T39" s="270">
        <f t="shared" si="16"/>
        <v>8301.7080000000005</v>
      </c>
      <c r="U39" s="331">
        <f>ROUND('C12-CorpOwn'!T38,3)</f>
        <v>5.7000000000000002E-2</v>
      </c>
      <c r="V39" s="270">
        <f t="shared" si="10"/>
        <v>66122.375999999975</v>
      </c>
      <c r="W39" s="279">
        <f>ROUND('C12-CorpOwn'!S38,3)</f>
        <v>0.45400000000000001</v>
      </c>
      <c r="X39" s="272">
        <f t="shared" si="6"/>
        <v>71219.916000000012</v>
      </c>
      <c r="Y39" s="279">
        <f>1-ROUND('C12-CorpOwn'!S38,3)-ROUND('C12-CorpOwn'!T38,3)</f>
        <v>0.48900000000000005</v>
      </c>
      <c r="Z39" s="685">
        <f>'C1-Incomes'!CD41-'C1-Incomes'!BV41-S39</f>
        <v>0</v>
      </c>
      <c r="AA39" s="277">
        <f>'T-T1'!CP42</f>
        <v>171034</v>
      </c>
      <c r="AB39" s="277">
        <f>'T-T1'!AA42</f>
        <v>15987</v>
      </c>
      <c r="AC39" s="277">
        <f t="shared" si="7"/>
        <v>155047</v>
      </c>
      <c r="AD39" s="277">
        <f>'C1-Incomes'!CL41-'C1-Incomes'!CD41-AC39</f>
        <v>0</v>
      </c>
      <c r="AE39" s="277">
        <f t="shared" si="17"/>
        <v>88424</v>
      </c>
      <c r="AF39" s="277">
        <f>'C1-Incomes'!CT41-'C1-Incomes'!CL41-AE39</f>
        <v>0</v>
      </c>
      <c r="AG39" s="277">
        <f>'T-T1a'!C44</f>
        <v>-69842.791594324444</v>
      </c>
      <c r="AH39" s="277">
        <f>'T-T1a'!D44</f>
        <v>-34921.395797162222</v>
      </c>
      <c r="AI39" s="277">
        <f>'T-T1a'!E44</f>
        <v>24040.19946814586</v>
      </c>
      <c r="AJ39" s="277">
        <f>'T-T1a'!F44</f>
        <v>80723.987923340799</v>
      </c>
      <c r="AK39" s="277">
        <f>'C1-Incomes'!DB41-'C1-Incomes'!CT41</f>
        <v>-1.0000001639127731E-3</v>
      </c>
      <c r="AL39" s="277">
        <f>'T-T1'!E42</f>
        <v>66407.981189695653</v>
      </c>
      <c r="AM39" s="277">
        <f>'T-T1'!L42</f>
        <v>22700.629340839951</v>
      </c>
      <c r="AN39" s="277">
        <f>'T-T1'!Q42</f>
        <v>180416.72090623187</v>
      </c>
      <c r="AO39" s="277">
        <f>'T-T1'!T42</f>
        <v>24541.549037000001</v>
      </c>
      <c r="AP39" s="277">
        <f>'T-T1'!AH42</f>
        <v>-215.91368099999818</v>
      </c>
      <c r="AQ39" s="277">
        <f t="shared" si="9"/>
        <v>293850.96679276746</v>
      </c>
      <c r="AR39" s="277">
        <f>'C1-Incomes'!DJ41-'C1-Incomes'!DB41-AQ39</f>
        <v>-7.9276697942987084E-4</v>
      </c>
      <c r="AS39" s="277">
        <f t="shared" si="11"/>
        <v>141435</v>
      </c>
      <c r="AT39" s="277">
        <f>'T-T1'!U42</f>
        <v>42601</v>
      </c>
      <c r="AU39" s="277">
        <f>'T-T1'!EE42</f>
        <v>98834</v>
      </c>
      <c r="AV39" s="277">
        <f>TOTALS!AX99/1000000</f>
        <v>61146.344904999998</v>
      </c>
      <c r="AW39" s="277">
        <f>'C1-Incomes'!DR41-'C1-Incomes'!DJ41-AS39</f>
        <v>-1.1126045137643814E-4</v>
      </c>
      <c r="AX39" s="277">
        <f>(TOTALS!Z99+TOTALS!AA99)/1000000</f>
        <v>230995.783666</v>
      </c>
      <c r="AY39" s="277">
        <f>'T-T1'!I42</f>
        <v>239679</v>
      </c>
      <c r="AZ39" s="277">
        <f>'C1-Incomes'!DZ41-'C1-Incomes'!DR41-AY39</f>
        <v>-3.3381301909685135E-4</v>
      </c>
      <c r="BA39" s="272">
        <f>'T-T1'!G42</f>
        <v>304432</v>
      </c>
      <c r="BB39" s="277">
        <f>'C1-Incomes'!EH41-'C1-Incomes'!DZ41-BA39</f>
        <v>7.0780515670776367E-8</v>
      </c>
      <c r="BC39" s="272">
        <f>'T-T1'!AD42+'T-T1'!AO42+'T-T1'!AR42+'T-T1'!AV42</f>
        <v>224637.32180183701</v>
      </c>
      <c r="BD39" s="272">
        <f>ROUND('T-T1'!BJ42,0)</f>
        <v>48161</v>
      </c>
      <c r="BE39" s="277">
        <f>'C1-Incomes'!EP41-'C1-Incomes'!EH41-BC39-BD39</f>
        <v>2.431651228107512E-4</v>
      </c>
      <c r="BF39" s="272">
        <f>ROUND('T-T1'!BA42,0)</f>
        <v>315867</v>
      </c>
      <c r="BG39" s="272">
        <f>ROUND('T-T1'!BC42+'T-T1'!BE42,0)</f>
        <v>2708</v>
      </c>
      <c r="BH39" s="272">
        <f>ROUND('T-T1'!V42+'T-T1'!AE42+'T-T1'!AP42+'T-T1'!AS42+'T-T1'!AW42+'T-T1'!BG42,0)</f>
        <v>38934</v>
      </c>
      <c r="BI39" s="272">
        <f>ROUND('T-T1'!AA42,0)</f>
        <v>15987</v>
      </c>
      <c r="BJ39" s="277">
        <f>'C1-Incomes'!EX41-'C1-Incomes'!EP41-SUM(BF39:BI39)</f>
        <v>0</v>
      </c>
      <c r="BK39" s="277">
        <f>'C1-Incomes'!EX41-'T-T1'!BN42</f>
        <v>0.18429999984800816</v>
      </c>
      <c r="BL39" s="277">
        <f>'T-T2'!J42+'T-T2'!K42</f>
        <v>305760</v>
      </c>
      <c r="BM39" s="272">
        <f>TOTALS!P99/1000000</f>
        <v>111233.31394199999</v>
      </c>
      <c r="BN39" s="272">
        <f t="shared" si="12"/>
        <v>194526.68605800002</v>
      </c>
      <c r="BO39" s="277">
        <f>'C1-Incomes'!FF41-'C1-Incomes'!EX41-BL39</f>
        <v>-9.999983012676239E-5</v>
      </c>
      <c r="BP39" s="272">
        <f>'T-T2'!L42</f>
        <v>34848</v>
      </c>
      <c r="BQ39" s="272">
        <f>'C1-Incomes'!FN41-'C1-Incomes'!FF41-BP39</f>
        <v>-1.9999966025352478E-4</v>
      </c>
      <c r="BR39" s="272">
        <f>TOTALS!AU99/1000000</f>
        <v>27413.533762999999</v>
      </c>
      <c r="BS39" s="272">
        <f>'T-T2'!M42+'T-T2'!N42</f>
        <v>19294</v>
      </c>
      <c r="BT39" s="272">
        <f>SUM('T-T2'!O42:T42)</f>
        <v>72334</v>
      </c>
      <c r="BU39" s="272">
        <f t="shared" si="13"/>
        <v>91628</v>
      </c>
      <c r="BV39" s="272">
        <f>'C1-Incomes'!FV41-'C1-Incomes'!FN41-BU39</f>
        <v>0</v>
      </c>
      <c r="BW39" s="272">
        <f>'T-T2'!X42</f>
        <v>132592</v>
      </c>
      <c r="BX39" s="277">
        <f>'C1-Incomes'!GE41-'C1-Incomes'!FV41-BW39</f>
        <v>0</v>
      </c>
      <c r="BY39" s="272">
        <f>'T-T2'!AC42-'T-T2'!AF42-'T-T2'!AG42</f>
        <v>764742</v>
      </c>
      <c r="BZ39" s="277">
        <f t="shared" si="14"/>
        <v>199914</v>
      </c>
      <c r="CA39" s="277">
        <f>'C1-Incomes'!GM41-'C1-Incomes'!GE41-BZ39</f>
        <v>0</v>
      </c>
      <c r="CB39" s="277">
        <f>'C1-Incomes'!GM41-'T-T2'!B42</f>
        <v>-2.9999949038028717E-4</v>
      </c>
      <c r="CC39" s="272">
        <f>'T-T1'!EB42</f>
        <v>507688</v>
      </c>
      <c r="CD39" s="272">
        <f>TOTALS!AV99/1000000</f>
        <v>510022.135733</v>
      </c>
      <c r="CE39" s="272">
        <f>TOTALS!BA99/1000000</f>
        <v>1017.6013359999999</v>
      </c>
      <c r="CF39" s="272">
        <f>'T-T3'!Q43</f>
        <v>17637</v>
      </c>
      <c r="CG39" s="277">
        <f>'C1-Incomes'!GM41-'C1-Incomes'!GU41-CC39-CE39-CF39</f>
        <v>-2.3599944688612595E-4</v>
      </c>
      <c r="CH39" s="277">
        <f>'T-T1'!ED42</f>
        <v>126225</v>
      </c>
      <c r="CI39" s="272">
        <f>TOTALS!AP99/1000000</f>
        <v>103211.14229600001</v>
      </c>
      <c r="CJ39" s="277">
        <f>'C1-Incomes'!GU41-'C1-Incomes'!HC41-CH39</f>
        <v>2.9999949038028717E-4</v>
      </c>
      <c r="CK39" s="277">
        <f t="shared" si="18"/>
        <v>155047</v>
      </c>
      <c r="CL39" s="277">
        <f>'C1-Incomes'!HC41-'C1-Incomes'!HK41-CK39</f>
        <v>0</v>
      </c>
      <c r="CM39" s="272">
        <f t="shared" si="19"/>
        <v>98834</v>
      </c>
      <c r="CN39" s="272">
        <f>TOTALS!AX99/1000000</f>
        <v>61146.344904999998</v>
      </c>
      <c r="CO39" s="272">
        <f t="shared" si="20"/>
        <v>88424</v>
      </c>
      <c r="CP39" s="272">
        <f>'T-T1'!DE42</f>
        <v>187258</v>
      </c>
      <c r="CQ39" s="277">
        <f>'C1-Incomes'!HK41-'C1-Incomes'!HS41-CP39</f>
        <v>-9.999983012676239E-5</v>
      </c>
      <c r="CR39" s="272">
        <f>'T-T3'!AG43-'T-T2'!AF42-'T-T2'!AG42</f>
        <v>463207</v>
      </c>
      <c r="CS39" s="272">
        <f>TOTALS!AY99/1000000</f>
        <v>443697.84613199998</v>
      </c>
      <c r="CT39" s="277">
        <f>'C1-Incomes'!HS41-'C1-Incomes'!IA41-CR39</f>
        <v>9.999983012676239E-5</v>
      </c>
      <c r="CU39" s="277">
        <f>'T-T3a'!O43+'T-T3a'!P43</f>
        <v>261411</v>
      </c>
      <c r="CV39" s="277">
        <f>'C1-Incomes'!IA41-'C1-Incomes'!II41-CU39</f>
        <v>0</v>
      </c>
      <c r="CW39" s="272">
        <f>'T-T3'!H43</f>
        <v>-64971.582964000292</v>
      </c>
      <c r="CX39" s="277">
        <f>'C1-Incomes'!IQ41-'C1-Incomes'!II41-CW39</f>
        <v>-3.6000274121761322E-5</v>
      </c>
      <c r="CY39" s="277">
        <f>'T-T3'!G43</f>
        <v>1019720</v>
      </c>
      <c r="CZ39" s="277">
        <f>'C1-Incomes'!IY41-'C1-Incomes'!IQ41-CY39</f>
        <v>0</v>
      </c>
      <c r="DA39" s="277">
        <f>'C1-Incomes'!IY41-'T-T3'!Z43</f>
        <v>-4.0000025182962418E-4</v>
      </c>
      <c r="DB39" s="280"/>
      <c r="DC39" s="272">
        <f>TOTALS!BG38/1000000</f>
        <v>39403.437144000003</v>
      </c>
      <c r="DD39" s="272">
        <f>TOTALS!BH38/1000000</f>
        <v>11795.524622000001</v>
      </c>
      <c r="DE39" s="272">
        <f t="shared" si="8"/>
        <v>51198.961766000008</v>
      </c>
      <c r="DF39" s="272">
        <f>TOTALS!BI38/1000000</f>
        <v>45313.515308000002</v>
      </c>
    </row>
    <row r="40" spans="1:110" ht="12" customHeight="1" x14ac:dyDescent="0.3">
      <c r="A40" s="268">
        <v>1994</v>
      </c>
      <c r="B40" s="272"/>
      <c r="C40" s="272"/>
      <c r="D40" s="272">
        <f>TOTALS!BF100/1000000</f>
        <v>47907.045584</v>
      </c>
      <c r="E40" s="277">
        <f>'C1-Incomes'!AX42-'C1-Incomes'!AH42-D40</f>
        <v>1.5999838069546968E-5</v>
      </c>
      <c r="F40" s="277">
        <v>0</v>
      </c>
      <c r="G40" s="277">
        <v>0</v>
      </c>
      <c r="H40" s="272">
        <f>TOTALS!AB100/1000000</f>
        <v>2771.6517863000004</v>
      </c>
      <c r="I40" s="272">
        <f>TOTALS!BP100/1000000</f>
        <v>16351.875545000001</v>
      </c>
      <c r="J40" s="272">
        <f>TOTALS!Y100/1000000</f>
        <v>11785.090980000001</v>
      </c>
      <c r="K40" s="272">
        <f>TOTALS!W100/1000000</f>
        <v>46830.592699000001</v>
      </c>
      <c r="L40" s="277">
        <f>TOTALS!K100/1000000</f>
        <v>2506.9683089999999</v>
      </c>
      <c r="M40" s="272">
        <f>TOTALS!BT100/1000000</f>
        <v>-3099.4890380000002</v>
      </c>
      <c r="N40" s="272">
        <f>(TOTALS!CB100-TOTALS!CC100)/1000000</f>
        <v>-4377.6380771000004</v>
      </c>
      <c r="O40" s="272">
        <f t="shared" si="15"/>
        <v>12136.8570396</v>
      </c>
      <c r="P40" s="277">
        <f>'C1-Incomes'!BF42-'C1-Incomes'!AX42-O40</f>
        <v>-3.9600156014785171E-5</v>
      </c>
      <c r="Q40" s="277">
        <f>'C22-Fiduciary'!T39</f>
        <v>20425.380880310931</v>
      </c>
      <c r="R40" s="277">
        <f>'C1-Incomes'!BV42-'C1-Incomes'!BN42-Q40</f>
        <v>1.1968912076554261E-4</v>
      </c>
      <c r="S40" s="270">
        <f>'T-T1'!CR43</f>
        <v>192800</v>
      </c>
      <c r="T40" s="270">
        <f t="shared" si="16"/>
        <v>12532</v>
      </c>
      <c r="U40" s="331">
        <f>ROUND('C12-CorpOwn'!T39,3)</f>
        <v>6.5000000000000002E-2</v>
      </c>
      <c r="V40" s="270">
        <f t="shared" si="10"/>
        <v>93893.599999999991</v>
      </c>
      <c r="W40" s="279">
        <f>ROUND('C12-CorpOwn'!S39,3)</f>
        <v>0.48699999999999999</v>
      </c>
      <c r="X40" s="272">
        <f t="shared" si="6"/>
        <v>86374.400000000009</v>
      </c>
      <c r="Y40" s="279">
        <f>1-ROUND('C12-CorpOwn'!S39,3)-ROUND('C12-CorpOwn'!T39,3)</f>
        <v>0.44800000000000001</v>
      </c>
      <c r="Z40" s="685">
        <f>'C1-Incomes'!CD42-'C1-Incomes'!BV42-S40</f>
        <v>0</v>
      </c>
      <c r="AA40" s="277">
        <f>'T-T1'!CP43</f>
        <v>193141</v>
      </c>
      <c r="AB40" s="277">
        <f>'T-T1'!AA43</f>
        <v>20470</v>
      </c>
      <c r="AC40" s="277">
        <f t="shared" si="7"/>
        <v>172671</v>
      </c>
      <c r="AD40" s="277">
        <f>'C1-Incomes'!CL42-'C1-Incomes'!CD42-AC40</f>
        <v>4.6566128730773926E-10</v>
      </c>
      <c r="AE40" s="277">
        <f t="shared" si="17"/>
        <v>95566</v>
      </c>
      <c r="AF40" s="277">
        <f>'C1-Incomes'!CT42-'C1-Incomes'!CL42-AE40</f>
        <v>0</v>
      </c>
      <c r="AG40" s="277">
        <f>'T-T1a'!C45</f>
        <v>-53794.368020845512</v>
      </c>
      <c r="AH40" s="277">
        <f>'T-T1a'!D45</f>
        <v>-26897.184010422756</v>
      </c>
      <c r="AI40" s="277">
        <f>'T-T1a'!E45</f>
        <v>18331.344765421571</v>
      </c>
      <c r="AJ40" s="277">
        <f>'T-T1a'!F45</f>
        <v>62360.207265846693</v>
      </c>
      <c r="AK40" s="277">
        <f>'C1-Incomes'!DB42-'C1-Incomes'!CT42</f>
        <v>0</v>
      </c>
      <c r="AL40" s="277">
        <f>'T-T1'!E43</f>
        <v>81806.417937375139</v>
      </c>
      <c r="AM40" s="277">
        <f>'T-T1'!L43</f>
        <v>29049.932232041196</v>
      </c>
      <c r="AN40" s="277">
        <f>'T-T1'!Q43</f>
        <v>192626.99921379166</v>
      </c>
      <c r="AO40" s="277">
        <f>'T-T1'!T43</f>
        <v>24381.406376999999</v>
      </c>
      <c r="AP40" s="277">
        <f>'T-T1'!AH43</f>
        <v>-2719.9093129999965</v>
      </c>
      <c r="AQ40" s="277">
        <f t="shared" si="9"/>
        <v>325144.84644720796</v>
      </c>
      <c r="AR40" s="277">
        <f>'C1-Incomes'!DJ42-'C1-Incomes'!DB42-AQ40</f>
        <v>-4.4720806181430817E-4</v>
      </c>
      <c r="AS40" s="277">
        <f t="shared" si="11"/>
        <v>165968</v>
      </c>
      <c r="AT40" s="277">
        <f>'T-T1'!U43</f>
        <v>62165</v>
      </c>
      <c r="AU40" s="277">
        <f>'T-T1'!EE43</f>
        <v>103803</v>
      </c>
      <c r="AV40" s="277">
        <f>TOTALS!AX100/1000000</f>
        <v>62993.684915999998</v>
      </c>
      <c r="AW40" s="277">
        <f>'C1-Incomes'!DR42-'C1-Incomes'!DJ42-AS40</f>
        <v>-1.123649999499321E-4</v>
      </c>
      <c r="AX40" s="277">
        <f>(TOTALS!Z100+TOTALS!AA100)/1000000</f>
        <v>243866.976994</v>
      </c>
      <c r="AY40" s="277">
        <f>'T-T1'!I43</f>
        <v>254139</v>
      </c>
      <c r="AZ40" s="277">
        <f>'C1-Incomes'!DZ42-'C1-Incomes'!DR42-AY40</f>
        <v>-6.6431239247322083E-6</v>
      </c>
      <c r="BA40" s="272">
        <f>'T-T1'!G43</f>
        <v>316785</v>
      </c>
      <c r="BB40" s="277">
        <f>'C1-Incomes'!EH42-'C1-Incomes'!DZ42-BA40</f>
        <v>2.0954757928848267E-7</v>
      </c>
      <c r="BC40" s="272">
        <f>'T-T1'!AD43+'T-T1'!AO43+'T-T1'!AR43+'T-T1'!AV43</f>
        <v>229528.04497988502</v>
      </c>
      <c r="BD40" s="272">
        <f>ROUND('T-T1'!BJ43,0)</f>
        <v>39247</v>
      </c>
      <c r="BE40" s="277">
        <f>'C1-Incomes'!EP42-'C1-Incomes'!EH42-BC40-BD40</f>
        <v>3.8913654861971736E-5</v>
      </c>
      <c r="BF40" s="272">
        <f>ROUND('T-T1'!BA43,0)</f>
        <v>345879</v>
      </c>
      <c r="BG40" s="272">
        <f>ROUND('T-T1'!BC43+'T-T1'!BE43,0)</f>
        <v>8191</v>
      </c>
      <c r="BH40" s="272">
        <f>ROUND('T-T1'!V43+'T-T1'!AE43+'T-T1'!AP43+'T-T1'!AS43+'T-T1'!AW43+'T-T1'!BG43,0)</f>
        <v>42198</v>
      </c>
      <c r="BI40" s="272">
        <f>ROUND('T-T1'!AA43,0)</f>
        <v>20470</v>
      </c>
      <c r="BJ40" s="277">
        <f>'C1-Incomes'!EX42-'C1-Incomes'!EP42-SUM(BF40:BI40)</f>
        <v>0</v>
      </c>
      <c r="BK40" s="277">
        <f>'C1-Incomes'!EX42-'T-T1'!BN43</f>
        <v>1.5700000338256359E-2</v>
      </c>
      <c r="BL40" s="277">
        <f>'T-T2'!J43+'T-T2'!K43</f>
        <v>320122</v>
      </c>
      <c r="BM40" s="272">
        <f>TOTALS!P100/1000000</f>
        <v>111559.249807</v>
      </c>
      <c r="BN40" s="272">
        <f t="shared" si="12"/>
        <v>208562.75019300001</v>
      </c>
      <c r="BO40" s="277">
        <f>'C1-Incomes'!FF42-'C1-Incomes'!EX42-BL40</f>
        <v>-2.000005915760994E-4</v>
      </c>
      <c r="BP40" s="272">
        <f>'T-T2'!L43</f>
        <v>23942</v>
      </c>
      <c r="BQ40" s="272">
        <f>'C1-Incomes'!FN42-'C1-Incomes'!FF42-BP40</f>
        <v>-2.9999949038028717E-4</v>
      </c>
      <c r="BR40" s="272">
        <f>TOTALS!AU100/1000000</f>
        <v>20141.862728</v>
      </c>
      <c r="BS40" s="272">
        <f>'T-T2'!M43+'T-T2'!N43</f>
        <v>19691</v>
      </c>
      <c r="BT40" s="272">
        <f>SUM('T-T2'!O43:T43)</f>
        <v>76262</v>
      </c>
      <c r="BU40" s="272">
        <f t="shared" si="13"/>
        <v>95953</v>
      </c>
      <c r="BV40" s="272">
        <f>'C1-Incomes'!FV42-'C1-Incomes'!FN42-BU40</f>
        <v>0</v>
      </c>
      <c r="BW40" s="272">
        <f>'T-T2'!X43</f>
        <v>147037</v>
      </c>
      <c r="BX40" s="277">
        <f>'C1-Incomes'!GE42-'C1-Incomes'!FV42-BW40</f>
        <v>0</v>
      </c>
      <c r="BY40" s="272">
        <f>'T-T2'!AC43-'T-T2'!AF43-'T-T2'!AG43</f>
        <v>798322</v>
      </c>
      <c r="BZ40" s="277">
        <f t="shared" si="14"/>
        <v>211268</v>
      </c>
      <c r="CA40" s="277">
        <f>'C1-Incomes'!GM42-'C1-Incomes'!GE42-BZ40</f>
        <v>0</v>
      </c>
      <c r="CB40" s="277">
        <f>'C1-Incomes'!GM42-'T-T2'!B43</f>
        <v>-5.0000008195638657E-4</v>
      </c>
      <c r="CC40" s="272">
        <f>'T-T1'!EB43</f>
        <v>545082</v>
      </c>
      <c r="CD40" s="272">
        <f>TOTALS!AV100/1000000</f>
        <v>543468.99221099995</v>
      </c>
      <c r="CE40" s="272">
        <f>TOTALS!BA100/1000000</f>
        <v>1182.2540915999998</v>
      </c>
      <c r="CF40" s="272">
        <f>'T-T3'!Q44</f>
        <v>20228</v>
      </c>
      <c r="CG40" s="277">
        <f>'C1-Incomes'!GM42-'C1-Incomes'!GU42-CC40-CE40-CF40</f>
        <v>2.0840014622081071E-4</v>
      </c>
      <c r="CH40" s="277">
        <f>'T-T1'!ED43</f>
        <v>132241</v>
      </c>
      <c r="CI40" s="272">
        <f>TOTALS!AP100/1000000</f>
        <v>106607.49589999999</v>
      </c>
      <c r="CJ40" s="277">
        <f>'C1-Incomes'!GU42-'C1-Incomes'!HC42-CH40</f>
        <v>-9.999983012676239E-5</v>
      </c>
      <c r="CK40" s="277">
        <f t="shared" si="18"/>
        <v>172671</v>
      </c>
      <c r="CL40" s="277">
        <f>'C1-Incomes'!HC42-'C1-Incomes'!HK42-CK40</f>
        <v>0</v>
      </c>
      <c r="CM40" s="272">
        <f t="shared" si="19"/>
        <v>103803</v>
      </c>
      <c r="CN40" s="272">
        <f>TOTALS!AX100/1000000</f>
        <v>62993.684915999998</v>
      </c>
      <c r="CO40" s="272">
        <f t="shared" si="20"/>
        <v>95566</v>
      </c>
      <c r="CP40" s="272">
        <f>'T-T1'!DE43</f>
        <v>199369</v>
      </c>
      <c r="CQ40" s="277">
        <f>'C1-Incomes'!HK42-'C1-Incomes'!HS42-CP40</f>
        <v>-9.999983012676239E-5</v>
      </c>
      <c r="CR40" s="272">
        <f>'T-T3'!AG44-'T-T2'!AF43-'T-T2'!AG43</f>
        <v>490814</v>
      </c>
      <c r="CS40" s="272">
        <f>TOTALS!AY100/1000000</f>
        <v>471261.267719</v>
      </c>
      <c r="CT40" s="277">
        <f>'C1-Incomes'!HS42-'C1-Incomes'!IA42-CR40</f>
        <v>-3.0000042170286179E-4</v>
      </c>
      <c r="CU40" s="277">
        <f>'T-T3a'!O44+'T-T3a'!P44</f>
        <v>284040</v>
      </c>
      <c r="CV40" s="277">
        <f>'C1-Incomes'!IA42-'C1-Incomes'!II42-CU40</f>
        <v>0</v>
      </c>
      <c r="CW40" s="272">
        <f>'T-T3'!H44</f>
        <v>-423.7616084003821</v>
      </c>
      <c r="CX40" s="277">
        <f>'C1-Incomes'!IQ42-'C1-Incomes'!II42-CW40</f>
        <v>-3.9159972220659256E-4</v>
      </c>
      <c r="CY40" s="277">
        <f>'T-T3'!G44</f>
        <v>1047729</v>
      </c>
      <c r="CZ40" s="277">
        <f>'C1-Incomes'!IY42-'C1-Incomes'!IQ42-CY40</f>
        <v>0</v>
      </c>
      <c r="DA40" s="277">
        <f>'C1-Incomes'!IY42-'T-T3'!Z44</f>
        <v>-5.9999991208314896E-4</v>
      </c>
      <c r="DB40" s="280"/>
      <c r="DC40" s="272">
        <f>TOTALS!BG39/1000000</f>
        <v>42631.590069999998</v>
      </c>
      <c r="DD40" s="272">
        <f>TOTALS!BH39/1000000</f>
        <v>12729.313606</v>
      </c>
      <c r="DE40" s="272">
        <f t="shared" si="8"/>
        <v>55360.903676000002</v>
      </c>
      <c r="DF40" s="272">
        <f>TOTALS!BI39/1000000</f>
        <v>49123.674199000001</v>
      </c>
    </row>
    <row r="41" spans="1:110" ht="12" customHeight="1" x14ac:dyDescent="0.3">
      <c r="A41" s="268">
        <v>1995</v>
      </c>
      <c r="B41" s="272"/>
      <c r="C41" s="272"/>
      <c r="D41" s="272">
        <f>TOTALS!BF101/1000000</f>
        <v>48054.642932000002</v>
      </c>
      <c r="E41" s="277">
        <f>'C1-Incomes'!AX43-'C1-Incomes'!AH43-D41</f>
        <v>6.8000153987668455E-5</v>
      </c>
      <c r="F41" s="277">
        <v>0</v>
      </c>
      <c r="G41" s="272">
        <v>11646</v>
      </c>
      <c r="H41" s="272">
        <f>TOTALS!AB101/1000000</f>
        <v>3676.7242974000001</v>
      </c>
      <c r="I41" s="272">
        <f>TOTALS!BP101/1000000</f>
        <v>16828.796913999999</v>
      </c>
      <c r="J41" s="272">
        <f>TOTALS!Y101/1000000</f>
        <v>12153.623877</v>
      </c>
      <c r="K41" s="272">
        <f>TOTALS!W101/1000000</f>
        <v>48988.680674000003</v>
      </c>
      <c r="L41" s="277">
        <f>TOTALS!K101/1000000</f>
        <v>3283.6876766</v>
      </c>
      <c r="M41" s="272">
        <f>TOTALS!BT101/1000000</f>
        <v>-2996.5180169999999</v>
      </c>
      <c r="N41" s="272">
        <f>(TOTALS!CB101-TOTALS!CC101)/1000000</f>
        <v>-4308.9392020300011</v>
      </c>
      <c r="O41" s="272">
        <f t="shared" si="15"/>
        <v>23379.426723970002</v>
      </c>
      <c r="P41" s="277">
        <f>'C1-Incomes'!BF43-'C1-Incomes'!AX43-O41</f>
        <v>-2.3970282200025395E-5</v>
      </c>
      <c r="Q41" s="277">
        <f>'C22-Fiduciary'!T40</f>
        <v>21333.689189280722</v>
      </c>
      <c r="R41" s="277">
        <f>'C1-Incomes'!BV43-'C1-Incomes'!BN43-Q41</f>
        <v>-1.8928047575172968E-4</v>
      </c>
      <c r="S41" s="270">
        <f>'T-T1'!CR44</f>
        <v>226228</v>
      </c>
      <c r="T41" s="270">
        <f t="shared" si="16"/>
        <v>14252.364</v>
      </c>
      <c r="U41" s="331">
        <f>ROUND('C12-CorpOwn'!T40,3)</f>
        <v>6.3E-2</v>
      </c>
      <c r="V41" s="270">
        <f t="shared" si="10"/>
        <v>104517.336</v>
      </c>
      <c r="W41" s="279">
        <f>ROUND('C12-CorpOwn'!S40,3)</f>
        <v>0.46200000000000002</v>
      </c>
      <c r="X41" s="272">
        <f t="shared" si="6"/>
        <v>107458.3</v>
      </c>
      <c r="Y41" s="279">
        <f>1-ROUND('C12-CorpOwn'!S40,3)-ROUND('C12-CorpOwn'!T40,3)</f>
        <v>0.47500000000000003</v>
      </c>
      <c r="Z41" s="685">
        <f>'C1-Incomes'!CD43-'C1-Incomes'!BV43-S41</f>
        <v>0</v>
      </c>
      <c r="AA41" s="277">
        <f>'T-T1'!CP44</f>
        <v>217838</v>
      </c>
      <c r="AB41" s="277">
        <f>'T-T1'!AA44</f>
        <v>23389</v>
      </c>
      <c r="AC41" s="277">
        <f t="shared" si="7"/>
        <v>194449</v>
      </c>
      <c r="AD41" s="277">
        <f>'C1-Incomes'!CL43-'C1-Incomes'!CD43-AC41</f>
        <v>0</v>
      </c>
      <c r="AE41" s="277">
        <f t="shared" si="17"/>
        <v>98424</v>
      </c>
      <c r="AF41" s="277">
        <f>'C1-Incomes'!CT43-'C1-Incomes'!CL43-AE41</f>
        <v>0</v>
      </c>
      <c r="AG41" s="277">
        <f>'T-T1a'!C46</f>
        <v>-59131.820313062861</v>
      </c>
      <c r="AH41" s="277">
        <f>'T-T1a'!D46</f>
        <v>-29565.91015653143</v>
      </c>
      <c r="AI41" s="277">
        <f>'T-T1a'!E46</f>
        <v>18040.702722761769</v>
      </c>
      <c r="AJ41" s="277">
        <f>'T-T1a'!F46</f>
        <v>70657.027746832522</v>
      </c>
      <c r="AK41" s="277">
        <f>'C1-Incomes'!DB43-'C1-Incomes'!CT43</f>
        <v>1.0000001639127731E-3</v>
      </c>
      <c r="AL41" s="277">
        <f>'T-T1'!E44</f>
        <v>80653.092472105753</v>
      </c>
      <c r="AM41" s="277">
        <f>'T-T1'!L44</f>
        <v>-1502.1927771765768</v>
      </c>
      <c r="AN41" s="277">
        <f>'T-T1'!Q44</f>
        <v>222253.45034203518</v>
      </c>
      <c r="AO41" s="277">
        <f>'T-T1'!T44</f>
        <v>32905.282936000003</v>
      </c>
      <c r="AP41" s="277">
        <f>'T-T1'!AH44</f>
        <v>3171.3317050000041</v>
      </c>
      <c r="AQ41" s="277">
        <f t="shared" si="9"/>
        <v>337480.96467796434</v>
      </c>
      <c r="AR41" s="277">
        <f>'C1-Incomes'!DJ43-'C1-Incomes'!DB43-AQ41</f>
        <v>-6.7796465009450912E-4</v>
      </c>
      <c r="AS41" s="277">
        <f t="shared" si="11"/>
        <v>172688</v>
      </c>
      <c r="AT41" s="277">
        <f>'T-T1'!U44</f>
        <v>68533</v>
      </c>
      <c r="AU41" s="277">
        <f>'T-T1'!EE44</f>
        <v>104155</v>
      </c>
      <c r="AV41" s="277">
        <f>TOTALS!AX101/1000000</f>
        <v>66833.652447</v>
      </c>
      <c r="AW41" s="277">
        <f>'C1-Incomes'!DR43-'C1-Incomes'!DJ43-AS41</f>
        <v>7.412126287817955E-4</v>
      </c>
      <c r="AX41" s="277">
        <f>(TOTALS!Z101+TOTALS!AA101)/1000000</f>
        <v>255640.923625</v>
      </c>
      <c r="AY41" s="277">
        <f>'T-T1'!I44</f>
        <v>264120</v>
      </c>
      <c r="AZ41" s="277">
        <f>'C1-Incomes'!DZ43-'C1-Incomes'!DR43-AY41</f>
        <v>-3.7487875670194626E-4</v>
      </c>
      <c r="BA41" s="272">
        <f>'T-T1'!G44</f>
        <v>311565</v>
      </c>
      <c r="BB41" s="277">
        <f>'C1-Incomes'!EH43-'C1-Incomes'!DZ43-BA41</f>
        <v>1.0896474123001099E-7</v>
      </c>
      <c r="BC41" s="272">
        <f>'T-T1'!AD44+'T-T1'!AO44+'T-T1'!AR44+'T-T1'!AV44</f>
        <v>207137.21301772495</v>
      </c>
      <c r="BD41" s="272">
        <f>ROUND('T-T1'!BJ44,0)</f>
        <v>34940</v>
      </c>
      <c r="BE41" s="277">
        <f>'C1-Incomes'!EP43-'C1-Incomes'!EH43-BC41-BD41</f>
        <v>1.583198900334537E-5</v>
      </c>
      <c r="BF41" s="272">
        <f>ROUND('T-T1'!BA44,0)</f>
        <v>355324</v>
      </c>
      <c r="BG41" s="272">
        <f>ROUND('T-T1'!BC44+'T-T1'!BE44,0)</f>
        <v>10153</v>
      </c>
      <c r="BH41" s="272">
        <f>ROUND('T-T1'!V44+'T-T1'!AE44+'T-T1'!AP44+'T-T1'!AS44+'T-T1'!AW44+'T-T1'!BG44,0)</f>
        <v>47641</v>
      </c>
      <c r="BI41" s="272">
        <f>ROUND('T-T1'!AA44,0)</f>
        <v>23389</v>
      </c>
      <c r="BJ41" s="277">
        <f>'C1-Incomes'!EX43-'C1-Incomes'!EP43-SUM(BF41:BI41)</f>
        <v>0</v>
      </c>
      <c r="BK41" s="277">
        <f>'C1-Incomes'!EX43-'T-T1'!BN44</f>
        <v>0.48749999981373549</v>
      </c>
      <c r="BL41" s="277">
        <f>'T-T2'!J44+'T-T2'!K44</f>
        <v>335700</v>
      </c>
      <c r="BM41" s="272">
        <f>TOTALS!P101/1000000</f>
        <v>118405.491931</v>
      </c>
      <c r="BN41" s="272">
        <f t="shared" si="12"/>
        <v>217294.508069</v>
      </c>
      <c r="BO41" s="277">
        <f>'C1-Incomes'!FF43-'C1-Incomes'!EX43-BL41</f>
        <v>-9.999983012676239E-5</v>
      </c>
      <c r="BP41" s="272">
        <f>'T-T2'!L44</f>
        <v>21734</v>
      </c>
      <c r="BQ41" s="272">
        <f>'C1-Incomes'!FN43-'C1-Incomes'!FF43-BP41</f>
        <v>0</v>
      </c>
      <c r="BR41" s="272">
        <f>TOTALS!AU101/1000000</f>
        <v>19241.630991000002</v>
      </c>
      <c r="BS41" s="272">
        <f>'T-T2'!M44+'T-T2'!N44</f>
        <v>20532</v>
      </c>
      <c r="BT41" s="272">
        <f>SUM('T-T2'!O44:T44)</f>
        <v>82921</v>
      </c>
      <c r="BU41" s="272">
        <f t="shared" si="13"/>
        <v>103453</v>
      </c>
      <c r="BV41" s="272">
        <f>'C1-Incomes'!FV43-'C1-Incomes'!FN43-BU41</f>
        <v>0</v>
      </c>
      <c r="BW41" s="272">
        <f>'T-T2'!X44</f>
        <v>161503</v>
      </c>
      <c r="BX41" s="277">
        <f>'C1-Incomes'!GE43-'C1-Incomes'!FV43-BW41</f>
        <v>0</v>
      </c>
      <c r="BY41" s="272">
        <f>'T-T2'!AC44-'T-T2'!AF44-'T-T2'!AG44</f>
        <v>845010</v>
      </c>
      <c r="BZ41" s="277">
        <f t="shared" si="14"/>
        <v>222620</v>
      </c>
      <c r="CA41" s="277">
        <f>'C1-Incomes'!GM43-'C1-Incomes'!GE43-BZ41</f>
        <v>0</v>
      </c>
      <c r="CB41" s="277">
        <f>'C1-Incomes'!GM43-'T-T2'!B44</f>
        <v>-9.999983012676239E-5</v>
      </c>
      <c r="CC41" s="272">
        <f>'T-T1'!EB44</f>
        <v>590297</v>
      </c>
      <c r="CD41" s="272">
        <f>TOTALS!AV101/1000000</f>
        <v>598476.43897500006</v>
      </c>
      <c r="CE41" s="272">
        <f>TOTALS!BA101/1000000</f>
        <v>1256.070608</v>
      </c>
      <c r="CF41" s="272">
        <f>'T-T3'!Q45</f>
        <v>20039</v>
      </c>
      <c r="CG41" s="277">
        <f>'C1-Incomes'!GM43-'C1-Incomes'!GU43-CC41-CE41-CF41</f>
        <v>-7.9997917055152357E-6</v>
      </c>
      <c r="CH41" s="277">
        <f>'T-T1'!ED44</f>
        <v>141737</v>
      </c>
      <c r="CI41" s="272">
        <f>TOTALS!AP101/1000000</f>
        <v>115338.00971499999</v>
      </c>
      <c r="CJ41" s="277">
        <f>'C1-Incomes'!GU43-'C1-Incomes'!HC43-CH41</f>
        <v>-3.0000042170286179E-4</v>
      </c>
      <c r="CK41" s="277">
        <f t="shared" si="18"/>
        <v>194449</v>
      </c>
      <c r="CL41" s="277">
        <f>'C1-Incomes'!HC43-'C1-Incomes'!HK43-CK41</f>
        <v>0</v>
      </c>
      <c r="CM41" s="272">
        <f t="shared" si="19"/>
        <v>104155</v>
      </c>
      <c r="CN41" s="272">
        <f>TOTALS!AX101/1000000</f>
        <v>66833.652447</v>
      </c>
      <c r="CO41" s="272">
        <f t="shared" si="20"/>
        <v>98424</v>
      </c>
      <c r="CP41" s="272">
        <f>'T-T1'!DE44</f>
        <v>202579</v>
      </c>
      <c r="CQ41" s="277">
        <f>'C1-Incomes'!HK43-'C1-Incomes'!HS43-CP41</f>
        <v>5.0000008195638657E-4</v>
      </c>
      <c r="CR41" s="272">
        <f>'T-T3'!AG45-'T-T2'!AF44-'T-T2'!AG44</f>
        <v>513083</v>
      </c>
      <c r="CS41" s="272">
        <f>TOTALS!AY101/1000000</f>
        <v>492474.64720399998</v>
      </c>
      <c r="CT41" s="277">
        <f>'C1-Incomes'!HS43-'C1-Incomes'!IA43-CR41</f>
        <v>1.9999966025352478E-4</v>
      </c>
      <c r="CU41" s="277">
        <f>'T-T3a'!O45+'T-T3a'!P45</f>
        <v>293301</v>
      </c>
      <c r="CV41" s="277">
        <f>'C1-Incomes'!IA43-'C1-Incomes'!II43-CU41</f>
        <v>0</v>
      </c>
      <c r="CW41" s="272">
        <f>'T-T3'!H45</f>
        <v>29271.583108000457</v>
      </c>
      <c r="CX41" s="277">
        <f>'C1-Incomes'!IQ43-'C1-Incomes'!II43-CW41</f>
        <v>-1.0800082236528397E-4</v>
      </c>
      <c r="CY41" s="277">
        <f>'T-T3'!G45</f>
        <v>1082459</v>
      </c>
      <c r="CZ41" s="277">
        <f>'C1-Incomes'!IY43-'C1-Incomes'!IQ43-CY41</f>
        <v>0</v>
      </c>
      <c r="DA41" s="277">
        <f>'C1-Incomes'!IY43-'T-T3'!Z45</f>
        <v>-5.9999991208314896E-4</v>
      </c>
      <c r="DB41" s="280"/>
      <c r="DC41" s="272">
        <f>TOTALS!BG40/1000000</f>
        <v>44919.949717000003</v>
      </c>
      <c r="DD41" s="272">
        <f>TOTALS!BH40/1000000</f>
        <v>13627.543333</v>
      </c>
      <c r="DE41" s="272">
        <f t="shared" si="8"/>
        <v>58547.493050000005</v>
      </c>
      <c r="DF41" s="272">
        <f>TOTALS!BI40/1000000</f>
        <v>51490.836257000003</v>
      </c>
    </row>
    <row r="42" spans="1:110" ht="12" customHeight="1" x14ac:dyDescent="0.3">
      <c r="A42" s="268">
        <v>1996</v>
      </c>
      <c r="B42" s="272"/>
      <c r="C42" s="272"/>
      <c r="D42" s="272">
        <f>TOTALS!BF102/1000000</f>
        <v>47808.969289000001</v>
      </c>
      <c r="E42" s="277">
        <f>'C1-Incomes'!AX44-'C1-Incomes'!AH44-D42</f>
        <v>1.09999964479357E-5</v>
      </c>
      <c r="F42" s="277">
        <v>0</v>
      </c>
      <c r="G42" s="272">
        <v>12146</v>
      </c>
      <c r="H42" s="272">
        <f>TOTALS!AB102/1000000</f>
        <v>3815.6062390000002</v>
      </c>
      <c r="I42" s="272">
        <f>TOTALS!BP102/1000000</f>
        <v>17323.828975</v>
      </c>
      <c r="J42" s="272">
        <f>TOTALS!Y102/1000000</f>
        <v>12691.896828999999</v>
      </c>
      <c r="K42" s="272">
        <f>TOTALS!W102/1000000</f>
        <v>49434.836934999999</v>
      </c>
      <c r="L42" s="277">
        <f>TOTALS!K102/1000000</f>
        <v>5202.8091494</v>
      </c>
      <c r="M42" s="272">
        <f>TOTALS!BT102/1000000</f>
        <v>-2246.0409439999999</v>
      </c>
      <c r="N42" s="272">
        <f>(TOTALS!CB102-TOTALS!CC102)/1000000</f>
        <v>-4570.0817825000004</v>
      </c>
      <c r="O42" s="272">
        <f t="shared" si="15"/>
        <v>20222.654904099996</v>
      </c>
      <c r="P42" s="277">
        <f>'C1-Incomes'!BF44-'C1-Incomes'!AX44-O42</f>
        <v>-4.100496880710125E-6</v>
      </c>
      <c r="Q42" s="277">
        <f>'C22-Fiduciary'!T41</f>
        <v>22241.997498250508</v>
      </c>
      <c r="R42" s="277">
        <f>'C1-Incomes'!BV44-'C1-Incomes'!BN44-Q42</f>
        <v>-4.9825006863102317E-4</v>
      </c>
      <c r="S42" s="270">
        <f>'T-T1'!CR45</f>
        <v>251056</v>
      </c>
      <c r="T42" s="270">
        <f t="shared" si="16"/>
        <v>17824.975999999999</v>
      </c>
      <c r="U42" s="331">
        <f>ROUND('C12-CorpOwn'!T41,3)</f>
        <v>7.0999999999999994E-2</v>
      </c>
      <c r="V42" s="270">
        <f t="shared" si="10"/>
        <v>121260.04800000001</v>
      </c>
      <c r="W42" s="279">
        <f>ROUND('C12-CorpOwn'!S41,3)</f>
        <v>0.48299999999999998</v>
      </c>
      <c r="X42" s="272">
        <f t="shared" si="6"/>
        <v>111970.976</v>
      </c>
      <c r="Y42" s="279">
        <f>1-ROUND('C12-CorpOwn'!S41,3)-ROUND('C12-CorpOwn'!T41,3)</f>
        <v>0.44600000000000001</v>
      </c>
      <c r="Z42" s="685">
        <f>'C1-Incomes'!CD44-'C1-Incomes'!BV44-S42</f>
        <v>0</v>
      </c>
      <c r="AA42" s="277">
        <f>'T-T1'!CP45</f>
        <v>231469</v>
      </c>
      <c r="AB42" s="277">
        <f>'T-T1'!AA45</f>
        <v>20083</v>
      </c>
      <c r="AC42" s="277">
        <f t="shared" si="7"/>
        <v>211386</v>
      </c>
      <c r="AD42" s="277">
        <f>'C1-Incomes'!CL44-'C1-Incomes'!CD44-AC42</f>
        <v>0</v>
      </c>
      <c r="AE42" s="277">
        <f t="shared" si="17"/>
        <v>104707</v>
      </c>
      <c r="AF42" s="277">
        <f>'C1-Incomes'!CT44-'C1-Incomes'!CL44-AE42</f>
        <v>0</v>
      </c>
      <c r="AG42" s="277">
        <f>'T-T1a'!C47</f>
        <v>-60928.465110634104</v>
      </c>
      <c r="AH42" s="277">
        <f>'T-T1a'!D47</f>
        <v>-30464.232555317052</v>
      </c>
      <c r="AI42" s="277">
        <f>'T-T1a'!E47</f>
        <v>20119.399333323527</v>
      </c>
      <c r="AJ42" s="277">
        <f>'T-T1a'!F47</f>
        <v>71273.29833262763</v>
      </c>
      <c r="AK42" s="277">
        <f>'C1-Incomes'!DB44-'C1-Incomes'!CT44</f>
        <v>-1.0000001639127731E-3</v>
      </c>
      <c r="AL42" s="277">
        <f>'T-T1'!E45</f>
        <v>89956.369000572246</v>
      </c>
      <c r="AM42" s="277">
        <f>'T-T1'!L45</f>
        <v>18479.210246380684</v>
      </c>
      <c r="AN42" s="277">
        <f>'T-T1'!Q45</f>
        <v>250803.74914752404</v>
      </c>
      <c r="AO42" s="277">
        <f>'T-T1'!T45</f>
        <v>24265.919556000001</v>
      </c>
      <c r="AP42" s="277">
        <f>'T-T1'!AH45</f>
        <v>14766.067674000005</v>
      </c>
      <c r="AQ42" s="277">
        <f t="shared" si="9"/>
        <v>398271.31562447693</v>
      </c>
      <c r="AR42" s="277">
        <f>'C1-Incomes'!DJ44-'C1-Incomes'!DB44-AQ42</f>
        <v>3.7552270805463195E-4</v>
      </c>
      <c r="AS42" s="277">
        <f t="shared" si="11"/>
        <v>190357</v>
      </c>
      <c r="AT42" s="277">
        <f>'T-T1'!U45</f>
        <v>82712</v>
      </c>
      <c r="AU42" s="277">
        <f>'T-T1'!EE45</f>
        <v>107645</v>
      </c>
      <c r="AV42" s="277">
        <f>TOTALS!AX102/1000000</f>
        <v>71050.759682999997</v>
      </c>
      <c r="AW42" s="277">
        <f>'C1-Incomes'!DR44-'C1-Incomes'!DJ44-AS42</f>
        <v>-5.5236741900444031E-4</v>
      </c>
      <c r="AX42" s="277">
        <f>(TOTALS!Z102+TOTALS!AA102)/1000000</f>
        <v>265684.249457</v>
      </c>
      <c r="AY42" s="277">
        <f>'T-T1'!I45</f>
        <v>274805</v>
      </c>
      <c r="AZ42" s="277">
        <f>'C1-Incomes'!DZ44-'C1-Incomes'!DR44-AY42</f>
        <v>4.5700278133153915E-4</v>
      </c>
      <c r="BA42" s="272">
        <f>'T-T1'!G45</f>
        <v>310906</v>
      </c>
      <c r="BB42" s="277">
        <f>'C1-Incomes'!EH44-'C1-Incomes'!DZ44-BA42</f>
        <v>9.3132257461547852E-9</v>
      </c>
      <c r="BC42" s="272">
        <f>'T-T1'!AD45+'T-T1'!AO45+'T-T1'!AR45+'T-T1'!AV45</f>
        <v>208545.75297436601</v>
      </c>
      <c r="BD42" s="272">
        <f>ROUND('T-T1'!BJ45,0)</f>
        <v>31370</v>
      </c>
      <c r="BE42" s="277">
        <f>'C1-Incomes'!EP44-'C1-Incomes'!EH44-BC42-BD42</f>
        <v>2.0989973563700914E-5</v>
      </c>
      <c r="BF42" s="272">
        <f>ROUND('T-T1'!BA45,0)</f>
        <v>368402</v>
      </c>
      <c r="BG42" s="272">
        <f>ROUND('T-T1'!BC45+'T-T1'!BE45,0)</f>
        <v>17415</v>
      </c>
      <c r="BH42" s="272">
        <f>ROUND('T-T1'!V45+'T-T1'!AE45+'T-T1'!AP45+'T-T1'!AS45+'T-T1'!AW45+'T-T1'!BG45,0)</f>
        <v>53597</v>
      </c>
      <c r="BI42" s="272">
        <f>ROUND('T-T1'!AA45,0)</f>
        <v>20083</v>
      </c>
      <c r="BJ42" s="277">
        <f>'C1-Incomes'!EX44-'C1-Incomes'!EP44-SUM(BF42:BI42)</f>
        <v>0</v>
      </c>
      <c r="BK42" s="277">
        <f>'C1-Incomes'!EX44-'T-T1'!BN45</f>
        <v>0.89940000046044588</v>
      </c>
      <c r="BL42" s="277">
        <f>'T-T2'!J45+'T-T2'!K45</f>
        <v>350092</v>
      </c>
      <c r="BM42" s="272">
        <f>TOTALS!P102/1000000</f>
        <v>129732.84871799999</v>
      </c>
      <c r="BN42" s="272">
        <f t="shared" si="12"/>
        <v>220359.15128200001</v>
      </c>
      <c r="BO42" s="277">
        <f>'C1-Incomes'!FF44-'C1-Incomes'!EX44-BL42</f>
        <v>-3.0000042170286179E-4</v>
      </c>
      <c r="BP42" s="272">
        <f>'T-T2'!L45</f>
        <v>22274</v>
      </c>
      <c r="BQ42" s="272">
        <f>'C1-Incomes'!FN44-'C1-Incomes'!FF44-BP42</f>
        <v>1.9999966025352478E-4</v>
      </c>
      <c r="BR42" s="272">
        <f>TOTALS!AU102/1000000</f>
        <v>19166.461160999999</v>
      </c>
      <c r="BS42" s="272">
        <f>'T-T2'!M45+'T-T2'!N45</f>
        <v>21415</v>
      </c>
      <c r="BT42" s="272">
        <f>SUM('T-T2'!O45:T45)</f>
        <v>86494</v>
      </c>
      <c r="BU42" s="272">
        <f t="shared" si="13"/>
        <v>107909</v>
      </c>
      <c r="BV42" s="272">
        <f>'C1-Incomes'!FV44-'C1-Incomes'!FN44-BU42</f>
        <v>0</v>
      </c>
      <c r="BW42" s="272">
        <f>'T-T2'!X45</f>
        <v>176105</v>
      </c>
      <c r="BX42" s="277">
        <f>'C1-Incomes'!GE44-'C1-Incomes'!FV44-BW42</f>
        <v>0</v>
      </c>
      <c r="BY42" s="272">
        <f>'T-T2'!AC45-'T-T2'!AF45-'T-T2'!AG45</f>
        <v>887562</v>
      </c>
      <c r="BZ42" s="277">
        <f t="shared" si="14"/>
        <v>231182</v>
      </c>
      <c r="CA42" s="277">
        <f>'C1-Incomes'!GM44-'C1-Incomes'!GE44-BZ42</f>
        <v>0</v>
      </c>
      <c r="CB42" s="277">
        <f>'C1-Incomes'!GM44-'T-T2'!B45</f>
        <v>-1.0000076144933701E-4</v>
      </c>
      <c r="CC42" s="272">
        <f>'T-T1'!EB45</f>
        <v>668410</v>
      </c>
      <c r="CD42" s="272">
        <f>TOTALS!AV102/1000000</f>
        <v>668826.13945100002</v>
      </c>
      <c r="CE42" s="272">
        <f>TOTALS!BA102/1000000</f>
        <v>1623.9917587</v>
      </c>
      <c r="CF42" s="272">
        <f>'T-T3'!Q46</f>
        <v>23110</v>
      </c>
      <c r="CG42" s="277">
        <f>'C1-Incomes'!GM44-'C1-Incomes'!GU44-CC42-CE42-CF42</f>
        <v>4.4129927846370265E-4</v>
      </c>
      <c r="CH42" s="277">
        <f>'T-T1'!ED45</f>
        <v>152326</v>
      </c>
      <c r="CI42" s="272">
        <f>TOTALS!AP102/1000000</f>
        <v>125650.30432</v>
      </c>
      <c r="CJ42" s="277">
        <f>'C1-Incomes'!GU44-'C1-Incomes'!HC44-CH42</f>
        <v>3.0000042170286179E-4</v>
      </c>
      <c r="CK42" s="277">
        <f t="shared" si="18"/>
        <v>211386</v>
      </c>
      <c r="CL42" s="277">
        <f>'C1-Incomes'!HC44-'C1-Incomes'!HK44-CK42</f>
        <v>0</v>
      </c>
      <c r="CM42" s="272">
        <f t="shared" si="19"/>
        <v>107645</v>
      </c>
      <c r="CN42" s="272">
        <f>TOTALS!AX102/1000000</f>
        <v>71050.759682999997</v>
      </c>
      <c r="CO42" s="272">
        <f t="shared" si="20"/>
        <v>104707</v>
      </c>
      <c r="CP42" s="272">
        <f>'T-T1'!DE45</f>
        <v>212352</v>
      </c>
      <c r="CQ42" s="277">
        <f>'C1-Incomes'!HK44-'C1-Incomes'!HS44-CP42</f>
        <v>-3.0000042170286179E-4</v>
      </c>
      <c r="CR42" s="272">
        <f>'T-T3'!AG46-'T-T2'!AF45-'T-T2'!AG45</f>
        <v>536337</v>
      </c>
      <c r="CS42" s="272">
        <f>TOTALS!AY102/1000000</f>
        <v>513403.35887699999</v>
      </c>
      <c r="CT42" s="277">
        <f>'C1-Incomes'!HS44-'C1-Incomes'!IA44-CR42</f>
        <v>-9.999983012676239E-5</v>
      </c>
      <c r="CU42" s="277">
        <f>'T-T3a'!O46+'T-T3a'!P46</f>
        <v>303104</v>
      </c>
      <c r="CV42" s="277">
        <f>'C1-Incomes'!IA44-'C1-Incomes'!II44-CU42</f>
        <v>0</v>
      </c>
      <c r="CW42" s="272">
        <f>'T-T3'!H46</f>
        <v>109886.09235869907</v>
      </c>
      <c r="CX42" s="277">
        <f>'C1-Incomes'!IQ44-'C1-Incomes'!II44-CW42</f>
        <v>-3.5869888961315155E-4</v>
      </c>
      <c r="CY42" s="277">
        <f>'T-T3'!G46</f>
        <v>1111200</v>
      </c>
      <c r="CZ42" s="277">
        <f>'C1-Incomes'!IY44-'C1-Incomes'!IQ44-CY42</f>
        <v>0</v>
      </c>
      <c r="DA42" s="277">
        <f>'C1-Incomes'!IY44-'T-T3'!Z46</f>
        <v>-7.9999957233667374E-4</v>
      </c>
      <c r="DB42" s="280"/>
      <c r="DC42" s="272">
        <f>TOTALS!BG41/1000000</f>
        <v>48132.759939000003</v>
      </c>
      <c r="DD42" s="272">
        <f>TOTALS!BH41/1000000</f>
        <v>14635.94874</v>
      </c>
      <c r="DE42" s="272">
        <f t="shared" si="8"/>
        <v>62768.708679000003</v>
      </c>
      <c r="DF42" s="272">
        <f>TOTALS!BI41/1000000</f>
        <v>55338.798643000002</v>
      </c>
    </row>
    <row r="43" spans="1:110" ht="12" customHeight="1" x14ac:dyDescent="0.3">
      <c r="A43" s="268">
        <v>1997</v>
      </c>
      <c r="B43" s="277"/>
      <c r="C43" s="277"/>
      <c r="D43" s="272">
        <f>TOTALS!BF103/1000000</f>
        <v>48519.344857999997</v>
      </c>
      <c r="E43" s="277">
        <f>'C1-Incomes'!AX45-'C1-Incomes'!AH45-D43</f>
        <v>-5.7999917771667242E-5</v>
      </c>
      <c r="F43" s="277">
        <v>0</v>
      </c>
      <c r="G43" s="277">
        <v>12646</v>
      </c>
      <c r="H43" s="272">
        <f>TOTALS!AB103/1000000</f>
        <v>5106.4034548999998</v>
      </c>
      <c r="I43" s="272">
        <f>TOTALS!BP103/1000000</f>
        <v>18534.709522000001</v>
      </c>
      <c r="J43" s="272">
        <f>TOTALS!Y103/1000000</f>
        <v>13997.127409999999</v>
      </c>
      <c r="K43" s="272">
        <f>TOTALS!W103/1000000</f>
        <v>50854.743119999999</v>
      </c>
      <c r="L43" s="277">
        <f>TOTALS!K103/1000000</f>
        <v>0</v>
      </c>
      <c r="M43" s="272">
        <f>TOTALS!BT103/1000000</f>
        <v>-1399.2408519999999</v>
      </c>
      <c r="N43" s="272">
        <f>(TOTALS!CB103-TOTALS!CC103)/1000000</f>
        <v>-4856.7841742999999</v>
      </c>
      <c r="O43" s="272">
        <f t="shared" si="15"/>
        <v>22404.959410800002</v>
      </c>
      <c r="P43" s="277">
        <f>'C1-Incomes'!BF45-'C1-Incomes'!AX45-O43</f>
        <v>8.9199878857471049E-5</v>
      </c>
      <c r="Q43" s="277">
        <f>'C22-Fiduciary'!T42</f>
        <v>23150.305807220291</v>
      </c>
      <c r="R43" s="277">
        <f>'C1-Incomes'!BV45-'C1-Incomes'!BN45-Q43</f>
        <v>1.9277957471786067E-4</v>
      </c>
      <c r="S43" s="270">
        <f>'T-T1'!CR46</f>
        <v>280896</v>
      </c>
      <c r="T43" s="270">
        <f t="shared" si="16"/>
        <v>19662.72</v>
      </c>
      <c r="U43" s="331">
        <f>ROUND('C12-CorpOwn'!T42,3)</f>
        <v>7.0000000000000007E-2</v>
      </c>
      <c r="V43" s="270">
        <f t="shared" si="10"/>
        <v>129212.16</v>
      </c>
      <c r="W43" s="279">
        <f>ROUND('C12-CorpOwn'!S42,3)</f>
        <v>0.46</v>
      </c>
      <c r="X43" s="272">
        <f t="shared" si="6"/>
        <v>132021.12</v>
      </c>
      <c r="Y43" s="279">
        <f>1-ROUND('C12-CorpOwn'!S42,3)-ROUND('C12-CorpOwn'!T42,3)</f>
        <v>0.47000000000000003</v>
      </c>
      <c r="Z43" s="685">
        <f>'C1-Incomes'!CD45-'C1-Incomes'!BV45-S43</f>
        <v>0</v>
      </c>
      <c r="AA43" s="277">
        <f>'T-T1'!CP46</f>
        <v>245421</v>
      </c>
      <c r="AB43" s="277">
        <f>'T-T1'!AA46</f>
        <v>20659</v>
      </c>
      <c r="AC43" s="277">
        <f t="shared" si="7"/>
        <v>224762</v>
      </c>
      <c r="AD43" s="277">
        <f>'C1-Incomes'!CL45-'C1-Incomes'!CD45-AC43</f>
        <v>0</v>
      </c>
      <c r="AE43" s="277">
        <f t="shared" si="17"/>
        <v>111873</v>
      </c>
      <c r="AF43" s="277">
        <f>'C1-Incomes'!CT45-'C1-Incomes'!CL45-AE43</f>
        <v>0</v>
      </c>
      <c r="AG43" s="277">
        <f>'T-T1a'!C48</f>
        <v>-52715.696258366464</v>
      </c>
      <c r="AH43" s="277">
        <f>'T-T1a'!D48</f>
        <v>-26357.848129183232</v>
      </c>
      <c r="AI43" s="277">
        <f>'T-T1a'!E48</f>
        <v>22838.87219048879</v>
      </c>
      <c r="AJ43" s="277">
        <f>'T-T1a'!F48</f>
        <v>56234.672197060907</v>
      </c>
      <c r="AK43" s="277">
        <f>'C1-Incomes'!DB45-'C1-Incomes'!CT45</f>
        <v>0</v>
      </c>
      <c r="AL43" s="277">
        <f>'T-T1'!E46</f>
        <v>102727.54349299474</v>
      </c>
      <c r="AM43" s="277">
        <f>'T-T1'!L46</f>
        <v>10229.089766010329</v>
      </c>
      <c r="AN43" s="277">
        <f>'T-T1'!Q46</f>
        <v>276767.94670499809</v>
      </c>
      <c r="AO43" s="277">
        <f>'T-T1'!T46</f>
        <v>24329.686069000003</v>
      </c>
      <c r="AP43" s="277">
        <f>'T-T1'!AH46</f>
        <v>16112.949987</v>
      </c>
      <c r="AQ43" s="277">
        <f t="shared" si="9"/>
        <v>430167.21602000319</v>
      </c>
      <c r="AR43" s="277">
        <f>'C1-Incomes'!DJ45-'C1-Incomes'!DB45-AQ43</f>
        <v>-2.0003179088234901E-5</v>
      </c>
      <c r="AS43" s="277">
        <f t="shared" si="11"/>
        <v>196610</v>
      </c>
      <c r="AT43" s="277">
        <f>'T-T1'!U46</f>
        <v>84953</v>
      </c>
      <c r="AU43" s="277">
        <f>'T-T1'!EE46</f>
        <v>111657</v>
      </c>
      <c r="AV43" s="277">
        <f>TOTALS!AX103/1000000</f>
        <v>74769.360681999999</v>
      </c>
      <c r="AW43" s="277">
        <f>'C1-Incomes'!DR45-'C1-Incomes'!DJ45-AS43</f>
        <v>-6.0382578521966934E-4</v>
      </c>
      <c r="AX43" s="277">
        <f>(TOTALS!Z103+TOTALS!AA103)/1000000</f>
        <v>279991.41093999997</v>
      </c>
      <c r="AY43" s="277">
        <f>'T-T1'!I46</f>
        <v>289593</v>
      </c>
      <c r="AZ43" s="277">
        <f>'C1-Incomes'!DZ45-'C1-Incomes'!DR45-AY43</f>
        <v>-6.0141086578369141E-5</v>
      </c>
      <c r="BA43" s="272">
        <f>'T-T1'!G46</f>
        <v>312928</v>
      </c>
      <c r="BB43" s="277">
        <f>'C1-Incomes'!EH45-'C1-Incomes'!DZ45-BA43</f>
        <v>-4.6566128730773926E-8</v>
      </c>
      <c r="BC43" s="272">
        <f>'T-T1'!AD46+'T-T1'!AO46+'T-T1'!AR46+'T-T1'!AV46</f>
        <v>235297.01263736997</v>
      </c>
      <c r="BD43" s="272">
        <f>ROUND('T-T1'!BJ46,0)</f>
        <v>26634</v>
      </c>
      <c r="BE43" s="277">
        <f>'C1-Incomes'!EP45-'C1-Incomes'!EH45-BC43-BD43</f>
        <v>3.2664398895576596E-4</v>
      </c>
      <c r="BF43" s="272">
        <f>ROUND('T-T1'!BA46,0)</f>
        <v>388085</v>
      </c>
      <c r="BG43" s="272">
        <f>ROUND('T-T1'!BC46+'T-T1'!BE46,0)</f>
        <v>16251</v>
      </c>
      <c r="BH43" s="272">
        <f>ROUND('T-T1'!V46+'T-T1'!AE46+'T-T1'!AP46+'T-T1'!AS46+'T-T1'!AW46+'T-T1'!BG46,0)</f>
        <v>57977</v>
      </c>
      <c r="BI43" s="272">
        <f>ROUND('T-T1'!AA46,0)</f>
        <v>20659</v>
      </c>
      <c r="BJ43" s="277">
        <f>'C1-Incomes'!EX45-'C1-Incomes'!EP45-SUM(BF43:BI43)</f>
        <v>0</v>
      </c>
      <c r="BK43" s="277">
        <f>'C1-Incomes'!EX45-'T-T1'!BN46</f>
        <v>0.93690000008791685</v>
      </c>
      <c r="BL43" s="277">
        <f>'T-T2'!J46+'T-T2'!K46</f>
        <v>364790</v>
      </c>
      <c r="BM43" s="272">
        <f>TOTALS!P103/1000000</f>
        <v>138872.07160600001</v>
      </c>
      <c r="BN43" s="272">
        <f t="shared" si="12"/>
        <v>225917.92839399999</v>
      </c>
      <c r="BO43" s="277">
        <f>'C1-Incomes'!FF45-'C1-Incomes'!EX45-BL43</f>
        <v>-4.0000025182962418E-4</v>
      </c>
      <c r="BP43" s="272">
        <f>'T-T2'!L46</f>
        <v>20103</v>
      </c>
      <c r="BQ43" s="272">
        <f>'C1-Incomes'!FN45-'C1-Incomes'!FF45-BP43</f>
        <v>4.0000025182962418E-4</v>
      </c>
      <c r="BR43" s="272">
        <f>TOTALS!AU103/1000000</f>
        <v>17050.162350999999</v>
      </c>
      <c r="BS43" s="272">
        <f>'T-T2'!M46+'T-T2'!N46</f>
        <v>22297</v>
      </c>
      <c r="BT43" s="272">
        <f>SUM('T-T2'!O46:T46)</f>
        <v>87091</v>
      </c>
      <c r="BU43" s="272">
        <f t="shared" si="13"/>
        <v>109388</v>
      </c>
      <c r="BV43" s="272">
        <f>'C1-Incomes'!FV45-'C1-Incomes'!FN45-BU43</f>
        <v>0</v>
      </c>
      <c r="BW43" s="272">
        <f>'T-T2'!X46</f>
        <v>187628</v>
      </c>
      <c r="BX43" s="277">
        <f>'C1-Incomes'!GE45-'C1-Incomes'!FV45-BW43</f>
        <v>0</v>
      </c>
      <c r="BY43" s="272">
        <f>'T-T2'!AC46-'T-T2'!AF46-'T-T2'!AG46</f>
        <v>916129</v>
      </c>
      <c r="BZ43" s="277">
        <f t="shared" si="14"/>
        <v>234220</v>
      </c>
      <c r="CA43" s="277">
        <f>'C1-Incomes'!GM45-'C1-Incomes'!GE45-BZ43</f>
        <v>0</v>
      </c>
      <c r="CB43" s="277">
        <f>'C1-Incomes'!GM45-'T-T2'!B46</f>
        <v>0</v>
      </c>
      <c r="CC43" s="272">
        <f>'T-T1'!EB46</f>
        <v>749822</v>
      </c>
      <c r="CD43" s="272">
        <f>TOTALS!AV103/1000000</f>
        <v>741151.64992899995</v>
      </c>
      <c r="CE43" s="272">
        <f>TOTALS!BA103/1000000</f>
        <v>1791.3045551</v>
      </c>
      <c r="CF43" s="272">
        <f>'T-T3'!Q47</f>
        <v>26974</v>
      </c>
      <c r="CG43" s="277">
        <f>'C1-Incomes'!GM45-'C1-Incomes'!GU45-CC43-CE43-CF43</f>
        <v>-5.5099448218243197E-5</v>
      </c>
      <c r="CH43" s="277">
        <f>'T-T1'!ED46</f>
        <v>164667</v>
      </c>
      <c r="CI43" s="272">
        <f>TOTALS!AP103/1000000</f>
        <v>138237.269837</v>
      </c>
      <c r="CJ43" s="277">
        <f>'C1-Incomes'!GU45-'C1-Incomes'!HC45-CH43</f>
        <v>-2.000005915760994E-4</v>
      </c>
      <c r="CK43" s="277">
        <f t="shared" si="18"/>
        <v>224762</v>
      </c>
      <c r="CL43" s="277">
        <f>'C1-Incomes'!HC45-'C1-Incomes'!HK45-CK43</f>
        <v>0</v>
      </c>
      <c r="CM43" s="272">
        <f t="shared" si="19"/>
        <v>111657</v>
      </c>
      <c r="CN43" s="272">
        <f>TOTALS!AX103/1000000</f>
        <v>74769.360681999999</v>
      </c>
      <c r="CO43" s="272">
        <f t="shared" si="20"/>
        <v>111873</v>
      </c>
      <c r="CP43" s="272">
        <f>'T-T1'!DE46</f>
        <v>223530</v>
      </c>
      <c r="CQ43" s="277">
        <f>'C1-Incomes'!HK45-'C1-Incomes'!HS45-CP43</f>
        <v>-2.9999949038028717E-4</v>
      </c>
      <c r="CR43" s="272">
        <f>'T-T3'!AG47-'T-T2'!AF46-'T-T2'!AG46</f>
        <v>567911</v>
      </c>
      <c r="CS43" s="272">
        <f>TOTALS!AY103/1000000</f>
        <v>542843.23699400004</v>
      </c>
      <c r="CT43" s="277">
        <f>'C1-Incomes'!HS45-'C1-Incomes'!IA45-CR43</f>
        <v>0</v>
      </c>
      <c r="CU43" s="277">
        <f>'T-T3a'!O47+'T-T3a'!P47</f>
        <v>321439</v>
      </c>
      <c r="CV43" s="277">
        <f>'C1-Incomes'!IA45-'C1-Incomes'!II45-CU43</f>
        <v>0</v>
      </c>
      <c r="CW43" s="272">
        <f>'T-T3'!H47</f>
        <v>206785.3676551003</v>
      </c>
      <c r="CX43" s="277">
        <f>'C1-Incomes'!IQ45-'C1-Incomes'!II45-CW43</f>
        <v>3.4490041434764862E-4</v>
      </c>
      <c r="CY43" s="277">
        <f>'T-T3'!G47</f>
        <v>1157981</v>
      </c>
      <c r="CZ43" s="277">
        <f>'C1-Incomes'!IY45-'C1-Incomes'!IQ45-CY43</f>
        <v>0</v>
      </c>
      <c r="DA43" s="277">
        <f>'C1-Incomes'!IY45-'T-T3'!Z47</f>
        <v>9.0000033378601074E-4</v>
      </c>
      <c r="DB43" s="280"/>
      <c r="DC43" s="272">
        <f>TOTALS!BG42/1000000</f>
        <v>53195.519930000002</v>
      </c>
      <c r="DD43" s="272">
        <f>TOTALS!BH42/1000000</f>
        <v>16279.407111</v>
      </c>
      <c r="DE43" s="272">
        <f t="shared" si="8"/>
        <v>69474.927041000003</v>
      </c>
      <c r="DF43" s="272">
        <f>TOTALS!BI42/1000000</f>
        <v>61679.603799999997</v>
      </c>
    </row>
    <row r="44" spans="1:110" ht="12" customHeight="1" x14ac:dyDescent="0.3">
      <c r="A44" s="268">
        <v>1998</v>
      </c>
      <c r="B44" s="277"/>
      <c r="C44" s="277"/>
      <c r="D44" s="272">
        <f>TOTALS!BF104/1000000</f>
        <v>49719.133322000001</v>
      </c>
      <c r="E44" s="277">
        <f>'C1-Incomes'!AX46-'C1-Incomes'!AH46-D44</f>
        <v>-2.1999199816491455E-5</v>
      </c>
      <c r="F44" s="277">
        <v>0</v>
      </c>
      <c r="G44" s="277">
        <v>13146</v>
      </c>
      <c r="H44" s="272">
        <f>TOTALS!AB104/1000000</f>
        <v>6149.9993931000008</v>
      </c>
      <c r="I44" s="272">
        <f>TOTALS!BP104/1000000</f>
        <v>19083.230531000001</v>
      </c>
      <c r="J44" s="272">
        <f>TOTALS!Y104/1000000</f>
        <v>14631.078541000001</v>
      </c>
      <c r="K44" s="272">
        <f>TOTALS!W104/1000000</f>
        <v>47979.115006</v>
      </c>
      <c r="L44" s="277">
        <f>TOTALS!K104/1000000</f>
        <v>0</v>
      </c>
      <c r="M44" s="272">
        <f>TOTALS!BT104/1000000</f>
        <v>-1551.8182959999999</v>
      </c>
      <c r="N44" s="272">
        <f>(TOTALS!CB104-TOTALS!CC104)/1000000</f>
        <v>-5092.4454846999997</v>
      </c>
      <c r="O44" s="272">
        <f t="shared" si="15"/>
        <v>17720.179352200001</v>
      </c>
      <c r="P44" s="277">
        <f>'C1-Incomes'!BF46-'C1-Incomes'!AX46-O44</f>
        <v>-5.2200040954630822E-5</v>
      </c>
      <c r="Q44" s="277">
        <f>'C22-Fiduciary'!T43</f>
        <v>24497.003082954881</v>
      </c>
      <c r="R44" s="277">
        <f>'C1-Incomes'!BV46-'C1-Incomes'!BN46-Q44</f>
        <v>9.1704484293586574E-4</v>
      </c>
      <c r="S44" s="270">
        <f>'T-T1'!CR47</f>
        <v>198672</v>
      </c>
      <c r="T44" s="270">
        <f t="shared" si="16"/>
        <v>13311.024000000001</v>
      </c>
      <c r="U44" s="331">
        <f>ROUND('C12-CorpOwn'!T43,3)</f>
        <v>6.7000000000000004E-2</v>
      </c>
      <c r="V44" s="270">
        <f t="shared" si="10"/>
        <v>90594.431999999986</v>
      </c>
      <c r="W44" s="279">
        <f>ROUND('C12-CorpOwn'!S43,3)</f>
        <v>0.45600000000000002</v>
      </c>
      <c r="X44" s="272">
        <f t="shared" si="6"/>
        <v>94766.544000000009</v>
      </c>
      <c r="Y44" s="279">
        <f>1-ROUND('C12-CorpOwn'!S43,3)-ROUND('C12-CorpOwn'!T43,3)</f>
        <v>0.47700000000000004</v>
      </c>
      <c r="Z44" s="685">
        <f>'C1-Incomes'!CD46-'C1-Incomes'!BV46-S44</f>
        <v>0</v>
      </c>
      <c r="AA44" s="277">
        <f>'T-T1'!CP47</f>
        <v>248366</v>
      </c>
      <c r="AB44" s="277">
        <f>'T-T1'!AA47</f>
        <v>26561</v>
      </c>
      <c r="AC44" s="277">
        <f t="shared" si="7"/>
        <v>221805</v>
      </c>
      <c r="AD44" s="277">
        <f>'C1-Incomes'!CL46-'C1-Incomes'!CD46-AC44</f>
        <v>0</v>
      </c>
      <c r="AE44" s="277">
        <f t="shared" si="17"/>
        <v>117221</v>
      </c>
      <c r="AF44" s="277">
        <f>'C1-Incomes'!CT46-'C1-Incomes'!CL46-AE44</f>
        <v>0</v>
      </c>
      <c r="AG44" s="277">
        <f>'T-T1a'!C49</f>
        <v>-27905.613574612344</v>
      </c>
      <c r="AH44" s="277">
        <f>'T-T1a'!D49</f>
        <v>-13952.806787306172</v>
      </c>
      <c r="AI44" s="277">
        <f>'T-T1a'!E49</f>
        <v>16331.172792418138</v>
      </c>
      <c r="AJ44" s="277">
        <f>'T-T1a'!F49</f>
        <v>25527.247569500374</v>
      </c>
      <c r="AK44" s="277">
        <f>'C1-Incomes'!DB46-'C1-Incomes'!CT46</f>
        <v>0</v>
      </c>
      <c r="AL44" s="277">
        <f>'T-T1'!E47</f>
        <v>131949.34793921653</v>
      </c>
      <c r="AM44" s="277">
        <f>'T-T1'!L47</f>
        <v>4132.6598283050771</v>
      </c>
      <c r="AN44" s="277">
        <f>'T-T1'!Q47</f>
        <v>313866.71602173883</v>
      </c>
      <c r="AO44" s="277">
        <f>'T-T1'!T47</f>
        <v>22230.723289000001</v>
      </c>
      <c r="AP44" s="277">
        <f>'T-T1'!AH47</f>
        <v>36487.541362999997</v>
      </c>
      <c r="AQ44" s="277">
        <f t="shared" si="9"/>
        <v>508666.98844126042</v>
      </c>
      <c r="AR44" s="277">
        <f>'C1-Incomes'!DJ46-'C1-Incomes'!DB46-AQ44</f>
        <v>-4.4126051943749189E-4</v>
      </c>
      <c r="AS44" s="277">
        <f t="shared" ref="AS44:AS61" si="21">AT44+AU44</f>
        <v>215077</v>
      </c>
      <c r="AT44" s="277">
        <f>'T-T1'!U47</f>
        <v>101290</v>
      </c>
      <c r="AU44" s="277">
        <f>'T-T1'!EE47</f>
        <v>113787</v>
      </c>
      <c r="AV44" s="277">
        <f>TOTALS!AX104/1000000</f>
        <v>79767.679762999993</v>
      </c>
      <c r="AW44" s="277">
        <f>'C1-Incomes'!DR46-'C1-Incomes'!DJ46-AS44</f>
        <v>-4.1116401553153992E-4</v>
      </c>
      <c r="AX44" s="277">
        <f>(TOTALS!Z104+TOTALS!AA104)/1000000</f>
        <v>297017.04072200001</v>
      </c>
      <c r="AY44" s="277">
        <f>'T-T1'!I47</f>
        <v>307237</v>
      </c>
      <c r="AZ44" s="277">
        <f>'C1-Incomes'!DZ46-'C1-Incomes'!DR46-AY44</f>
        <v>-2.7846824377775192E-4</v>
      </c>
      <c r="BA44" s="272">
        <f>'T-T1'!G47</f>
        <v>335118</v>
      </c>
      <c r="BB44" s="277">
        <f>'C1-Incomes'!EH46-'C1-Incomes'!DZ46-BA44</f>
        <v>-3.7252902984619141E-8</v>
      </c>
      <c r="BC44" s="272">
        <f>'T-T1'!AD47+'T-T1'!AO47+'T-T1'!AR47+'T-T1'!AV47</f>
        <v>273901.144212079</v>
      </c>
      <c r="BD44" s="272">
        <f>ROUND('T-T1'!BJ47,0)</f>
        <v>14340</v>
      </c>
      <c r="BE44" s="277">
        <f>'C1-Incomes'!EP46-'C1-Incomes'!EH46-BC44-BD44</f>
        <v>-2.2240984253585339E-4</v>
      </c>
      <c r="BF44" s="272">
        <f>ROUND('T-T1'!BA47,0)</f>
        <v>408465</v>
      </c>
      <c r="BG44" s="272">
        <f>ROUND('T-T1'!BC47+'T-T1'!BE47,0)</f>
        <v>27711</v>
      </c>
      <c r="BH44" s="272">
        <f>ROUND('T-T1'!V47+'T-T1'!AE47+'T-T1'!AP47+'T-T1'!AS47+'T-T1'!AW47+'T-T1'!BG47,0)</f>
        <v>60033</v>
      </c>
      <c r="BI44" s="272">
        <f>ROUND('T-T1'!AA47,0)</f>
        <v>26561</v>
      </c>
      <c r="BJ44" s="277">
        <f>'C1-Incomes'!EX46-'C1-Incomes'!EP46-SUM(BF44:BI44)</f>
        <v>0</v>
      </c>
      <c r="BK44" s="277">
        <f>'C1-Incomes'!EX46-'T-T1'!BN47</f>
        <v>-2.7355000004172325</v>
      </c>
      <c r="BL44" s="277">
        <f>'T-T2'!J47+'T-T2'!K47</f>
        <v>377411</v>
      </c>
      <c r="BM44" s="272">
        <f>TOTALS!P104/1000000</f>
        <v>154153.50118399999</v>
      </c>
      <c r="BN44" s="272">
        <f t="shared" ref="BN44:BN61" si="22">BL44-BM44</f>
        <v>223257.49881600001</v>
      </c>
      <c r="BO44" s="277">
        <f>'C1-Incomes'!FF46-'C1-Incomes'!EX46-BL44</f>
        <v>2.000005915760994E-4</v>
      </c>
      <c r="BP44" s="272">
        <f>'T-T2'!L47</f>
        <v>19693</v>
      </c>
      <c r="BQ44" s="272">
        <f>'C1-Incomes'!FN46-'C1-Incomes'!FF46-BP44</f>
        <v>4.0000025182962418E-4</v>
      </c>
      <c r="BR44" s="272">
        <f>TOTALS!AU104/1000000</f>
        <v>16669.66936</v>
      </c>
      <c r="BS44" s="272">
        <f>'T-T2'!M47+'T-T2'!N47</f>
        <v>23258</v>
      </c>
      <c r="BT44" s="272">
        <f>SUM('T-T2'!O47:T47)</f>
        <v>89300</v>
      </c>
      <c r="BU44" s="272">
        <f t="shared" ref="BU44:BU61" si="23">BS44+BT44</f>
        <v>112558</v>
      </c>
      <c r="BV44" s="272">
        <f>'C1-Incomes'!FV46-'C1-Incomes'!FN46-BU44</f>
        <v>0</v>
      </c>
      <c r="BW44" s="272">
        <f>'T-T2'!X47</f>
        <v>184625</v>
      </c>
      <c r="BX44" s="277">
        <f>'C1-Incomes'!GE46-'C1-Incomes'!FV46-BW44</f>
        <v>0</v>
      </c>
      <c r="BY44" s="272">
        <f>'T-T2'!AC47-'T-T2'!AF47-'T-T2'!AG47</f>
        <v>936982</v>
      </c>
      <c r="BZ44" s="277">
        <f t="shared" ref="BZ44:BZ62" si="24">BY44-BW44-BS44-BP44-BL44-BT44</f>
        <v>242695</v>
      </c>
      <c r="CA44" s="277">
        <f>'C1-Incomes'!GM46-'C1-Incomes'!GE46-BZ44</f>
        <v>0</v>
      </c>
      <c r="CB44" s="277">
        <f>'C1-Incomes'!GM46-'T-T2'!B47</f>
        <v>6.0000084340572357E-4</v>
      </c>
      <c r="CC44" s="272">
        <f>'T-T1'!EB47</f>
        <v>831199</v>
      </c>
      <c r="CD44" s="272">
        <f>TOTALS!AV104/1000000</f>
        <v>798285.14765599999</v>
      </c>
      <c r="CE44" s="272">
        <f>TOTALS!BA104/1000000</f>
        <v>2054.9999364</v>
      </c>
      <c r="CF44" s="272">
        <f>'T-T3'!Q48</f>
        <v>32393</v>
      </c>
      <c r="CG44" s="277">
        <f>'C1-Incomes'!GM46-'C1-Incomes'!GU46-CC44-CE44-CF44</f>
        <v>-3.3639932007645257E-4</v>
      </c>
      <c r="CH44" s="277">
        <f>'T-T1'!ED47</f>
        <v>183020</v>
      </c>
      <c r="CI44" s="272">
        <f>TOTALS!AP104/1000000</f>
        <v>154198.37925599999</v>
      </c>
      <c r="CJ44" s="277">
        <f>'C1-Incomes'!GU46-'C1-Incomes'!HC46-CH44</f>
        <v>2.9999949038028717E-4</v>
      </c>
      <c r="CK44" s="277">
        <f t="shared" si="18"/>
        <v>221805</v>
      </c>
      <c r="CL44" s="277">
        <f>'C1-Incomes'!HC46-'C1-Incomes'!HK46-CK44</f>
        <v>0</v>
      </c>
      <c r="CM44" s="272">
        <f t="shared" si="19"/>
        <v>113787</v>
      </c>
      <c r="CN44" s="272">
        <f>TOTALS!AX104/1000000</f>
        <v>79767.679762999993</v>
      </c>
      <c r="CO44" s="272">
        <f t="shared" si="20"/>
        <v>117221</v>
      </c>
      <c r="CP44" s="272">
        <f>'T-T1'!DE47</f>
        <v>231008</v>
      </c>
      <c r="CQ44" s="277">
        <f>'C1-Incomes'!HK46-'C1-Incomes'!HS46-CP44</f>
        <v>-1.9999966025352478E-4</v>
      </c>
      <c r="CR44" s="272">
        <f>'T-T3'!AG48-'T-T2'!AF47-'T-T2'!AG47</f>
        <v>603767</v>
      </c>
      <c r="CS44" s="272">
        <f>TOTALS!AY104/1000000</f>
        <v>577830.27415700001</v>
      </c>
      <c r="CT44" s="277">
        <f>'C1-Incomes'!HS46-'C1-Incomes'!IA46-CR44</f>
        <v>9.999983012676239E-5</v>
      </c>
      <c r="CU44" s="277">
        <f>'T-T3a'!O48+'T-T3a'!P48</f>
        <v>339352</v>
      </c>
      <c r="CV44" s="277">
        <f>'C1-Incomes'!IA46-'C1-Incomes'!II46-CU44</f>
        <v>0</v>
      </c>
      <c r="CW44" s="272">
        <f>'T-T3'!H48</f>
        <v>304619.7354364004</v>
      </c>
      <c r="CX44" s="277">
        <f>'C1-Incomes'!IQ46-'C1-Incomes'!II46-CW44</f>
        <v>-4.3640006333589554E-4</v>
      </c>
      <c r="CY44" s="277">
        <f>'T-T3'!G48</f>
        <v>1203000</v>
      </c>
      <c r="CZ44" s="277">
        <f>'C1-Incomes'!IY46-'C1-Incomes'!IQ46-CY44</f>
        <v>0</v>
      </c>
      <c r="DA44" s="277">
        <f>'C1-Incomes'!IY46-'T-T3'!Z48</f>
        <v>3.0000042170286179E-4</v>
      </c>
      <c r="DB44" s="280"/>
      <c r="DC44" s="272">
        <f>TOTALS!BG43/1000000</f>
        <v>55601.725234999998</v>
      </c>
      <c r="DD44" s="272">
        <f>TOTALS!BH43/1000000</f>
        <v>17290.729031999999</v>
      </c>
      <c r="DE44" s="272">
        <f t="shared" si="8"/>
        <v>72892.454266999994</v>
      </c>
      <c r="DF44" s="272">
        <f>TOTALS!BI43/1000000</f>
        <v>65759.960005999994</v>
      </c>
    </row>
    <row r="45" spans="1:110" ht="12" customHeight="1" x14ac:dyDescent="0.3">
      <c r="A45" s="268">
        <v>1999</v>
      </c>
      <c r="B45" s="272"/>
      <c r="C45" s="272"/>
      <c r="D45" s="272">
        <f>TOTALS!BF105/1000000</f>
        <v>52563.415097999998</v>
      </c>
      <c r="E45" s="277">
        <f>'C1-Incomes'!AX47-'C1-Incomes'!AH47-D45</f>
        <v>1.9998697098344564E-6</v>
      </c>
      <c r="F45" s="277">
        <v>0</v>
      </c>
      <c r="G45" s="272">
        <v>13646</v>
      </c>
      <c r="H45" s="272">
        <f>TOTALS!AB105/1000000</f>
        <v>8088.1893881000005</v>
      </c>
      <c r="I45" s="272">
        <f>TOTALS!BP105/1000000</f>
        <v>20637.606220000001</v>
      </c>
      <c r="J45" s="272">
        <f>TOTALS!Y105/1000000</f>
        <v>18151.684689999998</v>
      </c>
      <c r="K45" s="272">
        <f>TOTALS!W105/1000000</f>
        <v>50379.555026000002</v>
      </c>
      <c r="L45" s="277">
        <f>TOTALS!K105/1000000</f>
        <v>10177.762032000001</v>
      </c>
      <c r="M45" s="272">
        <f>TOTALS!BT105/1000000</f>
        <v>-1572.193532</v>
      </c>
      <c r="N45" s="272">
        <f>(TOTALS!CB105-TOTALS!CC105)/1000000</f>
        <v>-5477.5132729999996</v>
      </c>
      <c r="O45" s="272">
        <f t="shared" si="15"/>
        <v>3064.9929549000053</v>
      </c>
      <c r="P45" s="277">
        <f>'C1-Incomes'!BF47-'C1-Incomes'!AX47-O45</f>
        <v>-5.4900051509321202E-5</v>
      </c>
      <c r="Q45" s="277">
        <f>'C22-Fiduciary'!T44</f>
        <v>25843.700358689479</v>
      </c>
      <c r="R45" s="277">
        <f>'C1-Incomes'!BV47-'C1-Incomes'!BN47-Q45</f>
        <v>-3.5868929262505844E-4</v>
      </c>
      <c r="S45" s="270">
        <f>'T-T1'!CR48</f>
        <v>223549</v>
      </c>
      <c r="T45" s="270">
        <f t="shared" si="16"/>
        <v>13412.939999999999</v>
      </c>
      <c r="U45" s="331">
        <f>ROUND('C12-CorpOwn'!T44,3)</f>
        <v>0.06</v>
      </c>
      <c r="V45" s="270">
        <f t="shared" si="10"/>
        <v>98808.657999999981</v>
      </c>
      <c r="W45" s="279">
        <f>ROUND('C12-CorpOwn'!S44,3)</f>
        <v>0.442</v>
      </c>
      <c r="X45" s="272">
        <f t="shared" si="6"/>
        <v>111327.40200000002</v>
      </c>
      <c r="Y45" s="279">
        <f>1-ROUND('C12-CorpOwn'!S44,3)-ROUND('C12-CorpOwn'!T44,3)</f>
        <v>0.49800000000000005</v>
      </c>
      <c r="Z45" s="685">
        <f>'C1-Incomes'!CD47-'C1-Incomes'!BV47-S45</f>
        <v>0</v>
      </c>
      <c r="AA45" s="277">
        <f>'T-T1'!CP48</f>
        <v>258784</v>
      </c>
      <c r="AB45" s="277">
        <f>'T-T1'!AA48</f>
        <v>25410</v>
      </c>
      <c r="AC45" s="277">
        <f t="shared" si="7"/>
        <v>233374</v>
      </c>
      <c r="AD45" s="277">
        <f>'C1-Incomes'!CL47-'C1-Incomes'!CD47-AC45</f>
        <v>0</v>
      </c>
      <c r="AE45" s="277">
        <f t="shared" si="17"/>
        <v>125008</v>
      </c>
      <c r="AF45" s="277">
        <f>'C1-Incomes'!CT47-'C1-Incomes'!CL47-AE45</f>
        <v>0</v>
      </c>
      <c r="AG45" s="277">
        <f>'T-T1a'!C50</f>
        <v>-46455.102773450984</v>
      </c>
      <c r="AH45" s="277">
        <f>'T-T1a'!D50</f>
        <v>-23227.551386725492</v>
      </c>
      <c r="AI45" s="277">
        <f>'T-T1a'!E50</f>
        <v>30624.897467689854</v>
      </c>
      <c r="AJ45" s="277">
        <f>'T-T1a'!F50</f>
        <v>39057.756692486626</v>
      </c>
      <c r="AK45" s="277">
        <f>'C1-Incomes'!DB47-'C1-Incomes'!CT47</f>
        <v>0</v>
      </c>
      <c r="AL45" s="277">
        <f>'T-T1'!E48</f>
        <v>113609.71505337069</v>
      </c>
      <c r="AM45" s="277">
        <f>'T-T1'!L48</f>
        <v>822.36731804758529</v>
      </c>
      <c r="AN45" s="277">
        <f>'T-T1'!Q48</f>
        <v>330099.57509379036</v>
      </c>
      <c r="AO45" s="277">
        <f>'T-T1'!T48</f>
        <v>15748.093378999998</v>
      </c>
      <c r="AP45" s="277">
        <f>'T-T1'!AH48</f>
        <v>31645.577913000001</v>
      </c>
      <c r="AQ45" s="277">
        <f t="shared" si="9"/>
        <v>491925.32875720866</v>
      </c>
      <c r="AR45" s="277">
        <f>'C1-Incomes'!DJ47-'C1-Incomes'!DB47-AQ45</f>
        <v>-7.5720890890806913E-4</v>
      </c>
      <c r="AS45" s="277">
        <f t="shared" si="21"/>
        <v>232983</v>
      </c>
      <c r="AT45" s="277">
        <f>'T-T1'!U48</f>
        <v>115189</v>
      </c>
      <c r="AU45" s="277">
        <f>'T-T1'!EE48</f>
        <v>117794</v>
      </c>
      <c r="AV45" s="277">
        <f>TOTALS!AX105/1000000</f>
        <v>88055.150424000007</v>
      </c>
      <c r="AW45" s="277">
        <f>'C1-Incomes'!DR47-'C1-Incomes'!DJ47-AS45</f>
        <v>8.8387448340654373E-4</v>
      </c>
      <c r="AX45" s="277">
        <f>(TOTALS!Z105+TOTALS!AA105)/1000000</f>
        <v>314942.76638799999</v>
      </c>
      <c r="AY45" s="277">
        <f>'T-T1'!I48</f>
        <v>323339</v>
      </c>
      <c r="AZ45" s="277">
        <f>'C1-Incomes'!DZ47-'C1-Incomes'!DR47-AY45</f>
        <v>3.8782786577939987E-4</v>
      </c>
      <c r="BA45" s="272">
        <f>'T-T1'!G48</f>
        <v>361994</v>
      </c>
      <c r="BB45" s="277">
        <f>'C1-Incomes'!EH47-'C1-Incomes'!DZ47-BA45</f>
        <v>3.166496753692627E-7</v>
      </c>
      <c r="BC45" s="272">
        <f>'T-T1'!AD48+'T-T1'!AO48+'T-T1'!AR48+'T-T1'!AV48</f>
        <v>249606.17505898004</v>
      </c>
      <c r="BD45" s="272">
        <f>ROUND('T-T1'!BJ48,0)</f>
        <v>10636</v>
      </c>
      <c r="BE45" s="277">
        <f>'C1-Incomes'!EP47-'C1-Incomes'!EH47-BC45-BD45</f>
        <v>-3.0998635338619351E-5</v>
      </c>
      <c r="BF45" s="272">
        <f>ROUND('T-T1'!BA48,0)</f>
        <v>430783</v>
      </c>
      <c r="BG45" s="272">
        <f>ROUND('T-T1'!BC48+'T-T1'!BE48,0)</f>
        <v>22604</v>
      </c>
      <c r="BH45" s="272">
        <f>ROUND('T-T1'!V48+'T-T1'!AE48+'T-T1'!AP48+'T-T1'!AS48+'T-T1'!AW48+'T-T1'!BG48,0)</f>
        <v>57351</v>
      </c>
      <c r="BI45" s="272">
        <f>ROUND('T-T1'!AA48,0)</f>
        <v>25410</v>
      </c>
      <c r="BJ45" s="277">
        <f>'C1-Incomes'!EX47-'C1-Incomes'!EP47-SUM(BF45:BI45)</f>
        <v>0</v>
      </c>
      <c r="BK45" s="277">
        <f>'C1-Incomes'!EX47-'T-T1'!BN48</f>
        <v>-0.28589999955147505</v>
      </c>
      <c r="BL45" s="277">
        <f>'T-T2'!J48+'T-T2'!K48</f>
        <v>388070</v>
      </c>
      <c r="BM45" s="272">
        <f>TOTALS!P105/1000000</f>
        <v>163565.72844599999</v>
      </c>
      <c r="BN45" s="272">
        <f t="shared" si="22"/>
        <v>224504.27155400001</v>
      </c>
      <c r="BO45" s="277">
        <f>'C1-Incomes'!FF47-'C1-Incomes'!EX47-BL45</f>
        <v>4.0000025182962418E-4</v>
      </c>
      <c r="BP45" s="272">
        <f>'T-T2'!L48</f>
        <v>20509</v>
      </c>
      <c r="BQ45" s="272">
        <f>'C1-Incomes'!FN47-'C1-Incomes'!FF47-BP45</f>
        <v>2.9999949038028717E-4</v>
      </c>
      <c r="BR45" s="272">
        <f>TOTALS!AU105/1000000</f>
        <v>17450.715303000001</v>
      </c>
      <c r="BS45" s="272">
        <f>'T-T2'!M48+'T-T2'!N48</f>
        <v>24130</v>
      </c>
      <c r="BT45" s="272">
        <f>SUM('T-T2'!O48:T48)</f>
        <v>92345</v>
      </c>
      <c r="BU45" s="272">
        <f t="shared" si="23"/>
        <v>116475</v>
      </c>
      <c r="BV45" s="272">
        <f>'C1-Incomes'!FV47-'C1-Incomes'!FN47-BU45</f>
        <v>0</v>
      </c>
      <c r="BW45" s="272">
        <f>'T-T2'!X48</f>
        <v>189769</v>
      </c>
      <c r="BX45" s="277">
        <f>'C1-Incomes'!GE47-'C1-Incomes'!FV47-BW45</f>
        <v>0</v>
      </c>
      <c r="BY45" s="272">
        <f>'T-T2'!AC48-'T-T2'!AF48-'T-T2'!AG48</f>
        <v>973235</v>
      </c>
      <c r="BZ45" s="277">
        <f t="shared" si="24"/>
        <v>258412</v>
      </c>
      <c r="CA45" s="277">
        <f>'C1-Incomes'!GM47-'C1-Incomes'!GE47-BZ45</f>
        <v>0</v>
      </c>
      <c r="CB45" s="277">
        <f>'C1-Incomes'!GM47-'T-T2'!B48</f>
        <v>7.0000067353248596E-4</v>
      </c>
      <c r="CC45" s="272">
        <f>'T-T1'!EB48</f>
        <v>897630</v>
      </c>
      <c r="CD45" s="272">
        <f>TOTALS!AV105/1000000</f>
        <v>894258.77845099999</v>
      </c>
      <c r="CE45" s="272">
        <f>TOTALS!BA105/1000000</f>
        <v>2286.4883135</v>
      </c>
      <c r="CF45" s="272">
        <f>'T-T3'!Q49</f>
        <v>36705</v>
      </c>
      <c r="CG45" s="277">
        <f>'C1-Incomes'!GM47-'C1-Incomes'!GU47-CC45-CE45-CF45</f>
        <v>3.865005710395053E-4</v>
      </c>
      <c r="CH45" s="277">
        <f>'T-T1'!ED48</f>
        <v>195532</v>
      </c>
      <c r="CI45" s="272">
        <f>TOTALS!AP105/1000000</f>
        <v>172741.48926100001</v>
      </c>
      <c r="CJ45" s="277">
        <f>'C1-Incomes'!GU47-'C1-Incomes'!HC47-CH45</f>
        <v>2.9999949038028717E-4</v>
      </c>
      <c r="CK45" s="277">
        <f t="shared" si="18"/>
        <v>233374</v>
      </c>
      <c r="CL45" s="277">
        <f>'C1-Incomes'!HC47-'C1-Incomes'!HK47-CK45</f>
        <v>0</v>
      </c>
      <c r="CM45" s="272">
        <f t="shared" si="19"/>
        <v>117794</v>
      </c>
      <c r="CN45" s="272">
        <f>TOTALS!AX105/1000000</f>
        <v>88055.150424000007</v>
      </c>
      <c r="CO45" s="272">
        <f t="shared" si="20"/>
        <v>125008</v>
      </c>
      <c r="CP45" s="272">
        <f>'T-T1'!DE48</f>
        <v>242802</v>
      </c>
      <c r="CQ45" s="277">
        <f>'C1-Incomes'!HK47-'C1-Incomes'!HS47-CP45</f>
        <v>4.0000025182962418E-4</v>
      </c>
      <c r="CR45" s="272">
        <f>'T-T3'!AG49-'T-T2'!AF48-'T-T2'!AG48</f>
        <v>642333</v>
      </c>
      <c r="CS45" s="272">
        <f>TOTALS!AY105/1000000</f>
        <v>617638.18156399997</v>
      </c>
      <c r="CT45" s="277">
        <f>'C1-Incomes'!HS47-'C1-Incomes'!IA47-CR45</f>
        <v>-4.0000025182962418E-4</v>
      </c>
      <c r="CU45" s="277">
        <f>'T-T3a'!O49+'T-T3a'!P49</f>
        <v>359885</v>
      </c>
      <c r="CV45" s="277">
        <f>'C1-Incomes'!IA47-'C1-Incomes'!II47-CU45</f>
        <v>0</v>
      </c>
      <c r="CW45" s="272">
        <f>'T-T3'!H49</f>
        <v>350638.77421349939</v>
      </c>
      <c r="CX45" s="277">
        <f>'C1-Incomes'!IQ47-'C1-Incomes'!II47-CW45</f>
        <v>-2.1349918097257614E-4</v>
      </c>
      <c r="CY45" s="277">
        <f>'T-T3'!G49</f>
        <v>1286674</v>
      </c>
      <c r="CZ45" s="277">
        <f>'C1-Incomes'!IY47-'C1-Incomes'!IQ47-CY45</f>
        <v>0</v>
      </c>
      <c r="DA45" s="277">
        <f>'C1-Incomes'!IY47-'T-T3'!Z49</f>
        <v>-1.9999966025352478E-4</v>
      </c>
      <c r="DB45" s="280"/>
      <c r="DC45" s="272">
        <f>TOTALS!BG44/1000000</f>
        <v>60947.138920999998</v>
      </c>
      <c r="DD45" s="272">
        <f>TOTALS!BH44/1000000</f>
        <v>19918.129018</v>
      </c>
      <c r="DE45" s="272">
        <f t="shared" si="8"/>
        <v>80865.267938999998</v>
      </c>
      <c r="DF45" s="272">
        <f>TOTALS!BI44/1000000</f>
        <v>70991.103086000003</v>
      </c>
    </row>
    <row r="46" spans="1:110" ht="12" customHeight="1" x14ac:dyDescent="0.3">
      <c r="A46" s="268">
        <v>2000</v>
      </c>
      <c r="B46" s="272"/>
      <c r="C46" s="272"/>
      <c r="D46" s="272">
        <f>TOTALS!BF106/1000000</f>
        <v>54136.454947999999</v>
      </c>
      <c r="E46" s="277">
        <f>'C1-Incomes'!AX48-'C1-Incomes'!AH48-D46</f>
        <v>5.1999144488945603E-5</v>
      </c>
      <c r="F46" s="277">
        <v>0</v>
      </c>
      <c r="G46" s="272">
        <v>13418</v>
      </c>
      <c r="H46" s="272">
        <f>TOTALS!AB106/1000000</f>
        <v>9340.5903977999988</v>
      </c>
      <c r="I46" s="272">
        <f>TOTALS!BP106/1000000</f>
        <v>20312.781453</v>
      </c>
      <c r="J46" s="272">
        <f>TOTALS!Y106/1000000</f>
        <v>18268.544020000001</v>
      </c>
      <c r="K46" s="272">
        <f>TOTALS!W106/1000000</f>
        <v>47749.757119000002</v>
      </c>
      <c r="L46" s="277">
        <f>TOTALS!K106/1000000</f>
        <v>13314.181547</v>
      </c>
      <c r="M46" s="272">
        <f>TOTALS!BT106/1000000</f>
        <v>-889.87954979999995</v>
      </c>
      <c r="N46" s="272">
        <f>(TOTALS!CB106-TOTALS!CC106)/1000000</f>
        <v>-6157.8468561999998</v>
      </c>
      <c r="O46" s="272">
        <f t="shared" si="15"/>
        <v>-5336.3076052000015</v>
      </c>
      <c r="P46" s="277">
        <f>'C1-Incomes'!BF48-'C1-Incomes'!AX48-O46</f>
        <v>5.2000596042489633E-6</v>
      </c>
      <c r="Q46" s="277">
        <f>'C22-Fiduciary'!T45</f>
        <v>27190.397634424065</v>
      </c>
      <c r="R46" s="277">
        <f>'C1-Incomes'!BV48-'C1-Incomes'!BN48-Q46</f>
        <v>3.6557597923092544E-4</v>
      </c>
      <c r="S46" s="270">
        <f>'T-T1'!CR49</f>
        <v>131426</v>
      </c>
      <c r="T46" s="270">
        <f t="shared" si="16"/>
        <v>8148.4120000000003</v>
      </c>
      <c r="U46" s="331">
        <f>ROUND('C12-CorpOwn'!T45,3)</f>
        <v>6.2E-2</v>
      </c>
      <c r="V46" s="270">
        <f t="shared" si="10"/>
        <v>64661.592000000004</v>
      </c>
      <c r="W46" s="279">
        <f>ROUND('C12-CorpOwn'!S45,3)</f>
        <v>0.49199999999999999</v>
      </c>
      <c r="X46" s="272">
        <f t="shared" si="6"/>
        <v>58615.995999999999</v>
      </c>
      <c r="Y46" s="279">
        <f>1-ROUND('C12-CorpOwn'!S45,3)-ROUND('C12-CorpOwn'!T45,3)</f>
        <v>0.44600000000000001</v>
      </c>
      <c r="Z46" s="685">
        <f>'C1-Incomes'!CD48-'C1-Incomes'!BV48-S46</f>
        <v>0</v>
      </c>
      <c r="AA46" s="277">
        <f>'T-T1'!CP49</f>
        <v>265092</v>
      </c>
      <c r="AB46" s="277">
        <f>'T-T1'!AA49</f>
        <v>25344</v>
      </c>
      <c r="AC46" s="277">
        <f t="shared" si="7"/>
        <v>239748</v>
      </c>
      <c r="AD46" s="277">
        <f>'C1-Incomes'!CL48-'C1-Incomes'!CD48-AC46</f>
        <v>0</v>
      </c>
      <c r="AE46" s="277">
        <f t="shared" si="17"/>
        <v>132807</v>
      </c>
      <c r="AF46" s="277">
        <f>'C1-Incomes'!CT48-'C1-Incomes'!CL48-AE46</f>
        <v>0</v>
      </c>
      <c r="AG46" s="277">
        <f>'T-T1a'!C51</f>
        <v>-79073.966610999691</v>
      </c>
      <c r="AH46" s="277">
        <f>'T-T1a'!D51</f>
        <v>-39536.983305499845</v>
      </c>
      <c r="AI46" s="277">
        <f>'T-T1a'!E51</f>
        <v>65519.277108531227</v>
      </c>
      <c r="AJ46" s="277">
        <f>'T-T1a'!F51</f>
        <v>53091.672807968309</v>
      </c>
      <c r="AK46" s="277">
        <f>'C1-Incomes'!DB48-'C1-Incomes'!CT48</f>
        <v>0</v>
      </c>
      <c r="AL46" s="277">
        <f>'T-T1'!E49</f>
        <v>159364.06423156988</v>
      </c>
      <c r="AM46" s="277">
        <f>'T-T1'!L49</f>
        <v>5559.2152753824848</v>
      </c>
      <c r="AN46" s="277">
        <f>'T-T1'!Q49</f>
        <v>386279.06780652324</v>
      </c>
      <c r="AO46" s="277">
        <f>'T-T1'!T49</f>
        <v>10305.351414999997</v>
      </c>
      <c r="AP46" s="277">
        <f>'T-T1'!AH49</f>
        <v>51253.517802999995</v>
      </c>
      <c r="AQ46" s="277">
        <f t="shared" si="9"/>
        <v>612761.21653147554</v>
      </c>
      <c r="AR46" s="277">
        <f>'C1-Incomes'!DJ48-'C1-Incomes'!DB48-AQ46</f>
        <v>-5.3147552534937859E-4</v>
      </c>
      <c r="AS46" s="277">
        <f t="shared" si="21"/>
        <v>242714</v>
      </c>
      <c r="AT46" s="277">
        <f>'T-T1'!U49</f>
        <v>120852</v>
      </c>
      <c r="AU46" s="277">
        <f>'T-T1'!EE49</f>
        <v>121862</v>
      </c>
      <c r="AV46" s="277">
        <f>TOTALS!AX106/1000000</f>
        <v>93761.662649000005</v>
      </c>
      <c r="AW46" s="277">
        <f>'C1-Incomes'!DR48-'C1-Incomes'!DJ48-AS46</f>
        <v>-7.4614677578210831E-4</v>
      </c>
      <c r="AX46" s="277">
        <f>(TOTALS!Z106+TOTALS!AA106)/1000000</f>
        <v>332112.55116899998</v>
      </c>
      <c r="AY46" s="277">
        <f>'T-T1'!I49</f>
        <v>345220</v>
      </c>
      <c r="AZ46" s="277">
        <f>'C1-Incomes'!DZ48-'C1-Incomes'!DR48-AY46</f>
        <v>1.6958639025688171E-4</v>
      </c>
      <c r="BA46" s="272">
        <f>'T-T1'!G49</f>
        <v>402692</v>
      </c>
      <c r="BB46" s="277">
        <f>'C1-Incomes'!EH48-'C1-Incomes'!DZ48-BA46</f>
        <v>-2.3655593395233154E-7</v>
      </c>
      <c r="BC46" s="272">
        <f>'T-T1'!AD49+'T-T1'!AO49+'T-T1'!AR49+'T-T1'!AV49</f>
        <v>296871.55841591401</v>
      </c>
      <c r="BD46" s="272">
        <f>ROUND('T-T1'!BJ49,0)</f>
        <v>1793</v>
      </c>
      <c r="BE46" s="277">
        <f>'C1-Incomes'!EP48-'C1-Incomes'!EH48-BC46-BD46</f>
        <v>-4.391167894937098E-4</v>
      </c>
      <c r="BF46" s="272">
        <f>ROUND('T-T1'!BA49,0)</f>
        <v>453887</v>
      </c>
      <c r="BG46" s="272">
        <f>ROUND('T-T1'!BC49+'T-T1'!BE49,0)</f>
        <v>39475</v>
      </c>
      <c r="BH46" s="272">
        <f>ROUND('T-T1'!V49+'T-T1'!AE49+'T-T1'!AP49+'T-T1'!AS49+'T-T1'!AW49+'T-T1'!BG49,0)</f>
        <v>57745</v>
      </c>
      <c r="BI46" s="272">
        <f>ROUND('T-T1'!AA49,0)</f>
        <v>25344</v>
      </c>
      <c r="BJ46" s="277">
        <f>'C1-Incomes'!EX48-'C1-Incomes'!EP48-SUM(BF46:BI46)</f>
        <v>9.3132257461547852E-10</v>
      </c>
      <c r="BK46" s="277">
        <f>'C1-Incomes'!EX48-'T-T1'!BN49</f>
        <v>1.7000000923871994E-2</v>
      </c>
      <c r="BL46" s="277">
        <f>'T-T2'!J49+'T-T2'!K49</f>
        <v>409660</v>
      </c>
      <c r="BM46" s="272">
        <f>TOTALS!P106/1000000</f>
        <v>186082.32002000001</v>
      </c>
      <c r="BN46" s="272">
        <f t="shared" si="22"/>
        <v>223577.67997999999</v>
      </c>
      <c r="BO46" s="277">
        <f>'C1-Incomes'!FF48-'C1-Incomes'!EX48-BL46</f>
        <v>0</v>
      </c>
      <c r="BP46" s="272">
        <f>'T-T2'!L49</f>
        <v>20741</v>
      </c>
      <c r="BQ46" s="272">
        <f>'C1-Incomes'!FN48-'C1-Incomes'!FF48-BP46</f>
        <v>9.999983012676239E-5</v>
      </c>
      <c r="BR46" s="272">
        <f>TOTALS!AU106/1000000</f>
        <v>16761.518102000002</v>
      </c>
      <c r="BS46" s="272">
        <f>'T-T2'!M49+'T-T2'!N49</f>
        <v>24994</v>
      </c>
      <c r="BT46" s="272">
        <f>SUM('T-T2'!O49:T49)</f>
        <v>94938</v>
      </c>
      <c r="BU46" s="272">
        <f t="shared" si="23"/>
        <v>119932</v>
      </c>
      <c r="BV46" s="272">
        <f>'C1-Incomes'!FV48-'C1-Incomes'!FN48-BU46</f>
        <v>0</v>
      </c>
      <c r="BW46" s="272">
        <f>'T-T2'!X49</f>
        <v>198562</v>
      </c>
      <c r="BX46" s="277">
        <f>'C1-Incomes'!GE48-'C1-Incomes'!FV48-BW46</f>
        <v>0</v>
      </c>
      <c r="BY46" s="272">
        <f>'T-T2'!AC49-'T-T2'!AF49-'T-T2'!AG49</f>
        <v>1024321</v>
      </c>
      <c r="BZ46" s="277">
        <f t="shared" si="24"/>
        <v>275426</v>
      </c>
      <c r="CA46" s="277">
        <f>'C1-Incomes'!GM48-'C1-Incomes'!GE48-BZ46</f>
        <v>0</v>
      </c>
      <c r="CB46" s="277">
        <f>'C1-Incomes'!GM48-'T-T2'!B49</f>
        <v>9.999983012676239E-5</v>
      </c>
      <c r="CC46" s="272">
        <f>'T-T1'!EB49</f>
        <v>999848</v>
      </c>
      <c r="CD46" s="272">
        <f>TOTALS!AV106/1000000</f>
        <v>994877.70817500004</v>
      </c>
      <c r="CE46" s="272">
        <f>TOTALS!BA106/1000000</f>
        <v>2730.8300405</v>
      </c>
      <c r="CF46" s="272">
        <f>'T-T3'!Q50</f>
        <v>35640</v>
      </c>
      <c r="CG46" s="277">
        <f>'C1-Incomes'!GM48-'C1-Incomes'!GU48-CC46-CE46-CF46</f>
        <v>1.5950160013744608E-4</v>
      </c>
      <c r="CH46" s="277">
        <f>'T-T1'!ED49</f>
        <v>217354</v>
      </c>
      <c r="CI46" s="272">
        <f>TOTALS!AP106/1000000</f>
        <v>194662.04383400001</v>
      </c>
      <c r="CJ46" s="277">
        <f>'C1-Incomes'!GU48-'C1-Incomes'!HC48-CH46</f>
        <v>-2.0000152289867401E-4</v>
      </c>
      <c r="CK46" s="277">
        <f t="shared" si="18"/>
        <v>239748</v>
      </c>
      <c r="CL46" s="277">
        <f>'C1-Incomes'!HC48-'C1-Incomes'!HK48-CK46</f>
        <v>0</v>
      </c>
      <c r="CM46" s="272">
        <f t="shared" si="19"/>
        <v>121862</v>
      </c>
      <c r="CN46" s="272">
        <f>TOTALS!AX106/1000000</f>
        <v>93761.662649000005</v>
      </c>
      <c r="CO46" s="272">
        <f t="shared" si="20"/>
        <v>132807</v>
      </c>
      <c r="CP46" s="272">
        <f>'T-T1'!DE49</f>
        <v>254669</v>
      </c>
      <c r="CQ46" s="277">
        <f>'C1-Incomes'!HK48-'C1-Incomes'!HS48-CP46</f>
        <v>-2.9999949038028717E-4</v>
      </c>
      <c r="CR46" s="272">
        <f>'T-T3'!AG50-'T-T2'!AF49-'T-T2'!AG49</f>
        <v>685245</v>
      </c>
      <c r="CS46" s="272">
        <f>TOTALS!AY106/1000000</f>
        <v>650551.93200499995</v>
      </c>
      <c r="CT46" s="277">
        <f>'C1-Incomes'!HS48-'C1-Incomes'!IA48-CR46</f>
        <v>0</v>
      </c>
      <c r="CU46" s="277">
        <f>'T-T3a'!O50+'T-T3a'!P50</f>
        <v>382098</v>
      </c>
      <c r="CV46" s="277">
        <f>'C1-Incomes'!IA48-'C1-Incomes'!II48-CU46</f>
        <v>0</v>
      </c>
      <c r="CW46" s="272">
        <f>'T-T3'!H50</f>
        <v>420627.81304049864</v>
      </c>
      <c r="CX46" s="277">
        <f>'C1-Incomes'!IQ48-'C1-Incomes'!II48-CW46</f>
        <v>-4.0498562157154083E-5</v>
      </c>
      <c r="CY46" s="277">
        <f>'T-T3'!G50</f>
        <v>1372384</v>
      </c>
      <c r="CZ46" s="277">
        <f>'C1-Incomes'!IY48-'C1-Incomes'!IQ48-CY46</f>
        <v>0</v>
      </c>
      <c r="DA46" s="277">
        <f>'C1-Incomes'!IY48-'T-T3'!Z50</f>
        <v>3.9999932050704956E-4</v>
      </c>
      <c r="DB46" s="280"/>
      <c r="DC46" s="272">
        <f>TOTALS!BG45/1000000</f>
        <v>65382.188396999998</v>
      </c>
      <c r="DD46" s="272">
        <f>TOTALS!BH45/1000000</f>
        <v>20409.095290000001</v>
      </c>
      <c r="DE46" s="272">
        <f t="shared" si="8"/>
        <v>85791.283687000003</v>
      </c>
      <c r="DF46" s="272">
        <f>TOTALS!BI45/1000000</f>
        <v>74570.592061999996</v>
      </c>
    </row>
    <row r="47" spans="1:110" ht="12" customHeight="1" x14ac:dyDescent="0.3">
      <c r="A47" s="268">
        <v>2001</v>
      </c>
      <c r="B47" s="272"/>
      <c r="C47" s="272"/>
      <c r="D47" s="272">
        <f>TOTALS!BF107/1000000</f>
        <v>55163.395984000002</v>
      </c>
      <c r="E47" s="277">
        <f>'C1-Incomes'!AX49-'C1-Incomes'!AH49-D47</f>
        <v>1.5999714378267527E-5</v>
      </c>
      <c r="F47" s="277">
        <v>0</v>
      </c>
      <c r="G47" s="272">
        <v>14156</v>
      </c>
      <c r="H47" s="272">
        <f>TOTALS!AB107/1000000</f>
        <v>10032.52665</v>
      </c>
      <c r="I47" s="272">
        <f>TOTALS!BP107/1000000</f>
        <v>20358.152391</v>
      </c>
      <c r="J47" s="272">
        <f>TOTALS!Y107/1000000</f>
        <v>21094.419794000001</v>
      </c>
      <c r="K47" s="272">
        <f>TOTALS!W107/1000000</f>
        <v>54059.334766</v>
      </c>
      <c r="L47" s="277">
        <f>TOTALS!K107/1000000</f>
        <v>1212.7137499</v>
      </c>
      <c r="M47" s="272">
        <f>TOTALS!BT107/1000000</f>
        <v>-1867.080379</v>
      </c>
      <c r="N47" s="272">
        <f>(TOTALS!CB107-TOTALS!CC107)/1000000</f>
        <v>-6638.4311028099992</v>
      </c>
      <c r="O47" s="272">
        <f t="shared" si="15"/>
        <v>10746.171457290005</v>
      </c>
      <c r="P47" s="277">
        <f>'C1-Incomes'!BF49-'C1-Incomes'!AX49-O47</f>
        <v>4.2710165871540084E-5</v>
      </c>
      <c r="Q47" s="277">
        <f>'C22-Fiduciary'!T46</f>
        <v>23110.786962732545</v>
      </c>
      <c r="R47" s="277">
        <f>'C1-Incomes'!BV49-'C1-Incomes'!BN49-Q47</f>
        <v>3.7267931475071236E-5</v>
      </c>
      <c r="S47" s="270">
        <f>'T-T1'!CR50</f>
        <v>180170</v>
      </c>
      <c r="T47" s="270">
        <f t="shared" si="16"/>
        <v>11350.710000000001</v>
      </c>
      <c r="U47" s="331">
        <f>ROUND('C12-CorpOwn'!T46,3)</f>
        <v>6.3E-2</v>
      </c>
      <c r="V47" s="270">
        <f t="shared" si="10"/>
        <v>94048.74</v>
      </c>
      <c r="W47" s="279">
        <f>ROUND('C12-CorpOwn'!S46,3)</f>
        <v>0.52200000000000002</v>
      </c>
      <c r="X47" s="272">
        <f t="shared" si="6"/>
        <v>74770.55</v>
      </c>
      <c r="Y47" s="279">
        <f>1-ROUND('C12-CorpOwn'!S46,3)-ROUND('C12-CorpOwn'!T46,3)</f>
        <v>0.41499999999999998</v>
      </c>
      <c r="Z47" s="685">
        <f>'C1-Incomes'!CD49-'C1-Incomes'!BV49-S47</f>
        <v>0</v>
      </c>
      <c r="AA47" s="277">
        <f>'T-T1'!CP50</f>
        <v>203296</v>
      </c>
      <c r="AB47" s="277">
        <f>'T-T1'!AA50</f>
        <v>27089</v>
      </c>
      <c r="AC47" s="277">
        <f t="shared" si="7"/>
        <v>176207</v>
      </c>
      <c r="AD47" s="277">
        <f>'C1-Incomes'!CL49-'C1-Incomes'!CD49-AC47</f>
        <v>0</v>
      </c>
      <c r="AE47" s="277">
        <f t="shared" si="17"/>
        <v>139387</v>
      </c>
      <c r="AF47" s="277">
        <f>'C1-Incomes'!CT49-'C1-Incomes'!CL49-AE47</f>
        <v>0</v>
      </c>
      <c r="AG47" s="277">
        <f>'T-T1a'!C52</f>
        <v>-62568.367316599571</v>
      </c>
      <c r="AH47" s="277">
        <f>'T-T1a'!D52</f>
        <v>-30229.105324331325</v>
      </c>
      <c r="AI47" s="277">
        <f>'T-T1a'!E52</f>
        <v>53482.640172372543</v>
      </c>
      <c r="AJ47" s="277">
        <f>'T-T1a'!F52</f>
        <v>39314.83246855835</v>
      </c>
      <c r="AK47" s="277">
        <f>'C1-Incomes'!DB49-'C1-Incomes'!CT49</f>
        <v>0</v>
      </c>
      <c r="AL47" s="277">
        <f>'T-T1'!E50</f>
        <v>178651.76142751798</v>
      </c>
      <c r="AM47" s="277">
        <f>'T-T1'!L50</f>
        <v>10602.428909136652</v>
      </c>
      <c r="AN47" s="277">
        <f>'T-T1'!Q50</f>
        <v>463783.53770917299</v>
      </c>
      <c r="AO47" s="277">
        <f>'T-T1'!T50</f>
        <v>13577.799018999998</v>
      </c>
      <c r="AP47" s="277">
        <f>'T-T1'!AH50</f>
        <v>50512.557895999998</v>
      </c>
      <c r="AQ47" s="277">
        <f>SUM(AL47:AP47)</f>
        <v>717128.0849608276</v>
      </c>
      <c r="AR47" s="277">
        <f>'C1-Incomes'!DJ49-'C1-Incomes'!DB49-AQ47</f>
        <v>3.9172358810901642E-5</v>
      </c>
      <c r="AS47" s="277">
        <f t="shared" si="21"/>
        <v>263409</v>
      </c>
      <c r="AT47" s="277">
        <f>'T-T1'!U50</f>
        <v>134778</v>
      </c>
      <c r="AU47" s="277">
        <f>'T-T1'!EE50</f>
        <v>128631</v>
      </c>
      <c r="AV47" s="277">
        <f>TOTALS!AX107/1000000</f>
        <v>101607.28789000001</v>
      </c>
      <c r="AW47" s="277">
        <f>'C1-Incomes'!DR49-'C1-Incomes'!DJ49-AS47</f>
        <v>-2.3360922932624817E-4</v>
      </c>
      <c r="AX47" s="277">
        <f>(TOTALS!Z107+TOTALS!AA107)/1000000</f>
        <v>347367.82927500003</v>
      </c>
      <c r="AY47" s="277">
        <f>'T-T1'!I50</f>
        <v>357986</v>
      </c>
      <c r="AZ47" s="277">
        <f>'C1-Incomes'!DZ49-'C1-Incomes'!DR49-AY47</f>
        <v>2.7491152286529541E-4</v>
      </c>
      <c r="BA47" s="272">
        <f>'T-T1'!G50</f>
        <v>437949</v>
      </c>
      <c r="BB47" s="277">
        <f>'C1-Incomes'!EH49-'C1-Incomes'!DZ49-BA47</f>
        <v>5.5879354476928711E-8</v>
      </c>
      <c r="BC47" s="272">
        <f>'T-T1'!AD50+'T-T1'!AO50+'T-T1'!AR50+'T-T1'!AV50</f>
        <v>317323.08788177208</v>
      </c>
      <c r="BD47" s="272">
        <f>ROUND('T-T1'!BJ50,0)</f>
        <v>12978</v>
      </c>
      <c r="BE47" s="277">
        <f>'C1-Incomes'!EP49-'C1-Incomes'!EH49-BC47-BD47</f>
        <v>7.6869269832968712E-5</v>
      </c>
      <c r="BF47" s="272">
        <f>ROUND('T-T1'!BA50,0)</f>
        <v>459672</v>
      </c>
      <c r="BG47" s="272">
        <f>ROUND('T-T1'!BC50+'T-T1'!BE50,0)</f>
        <v>40423</v>
      </c>
      <c r="BH47" s="272">
        <f>ROUND('T-T1'!V50+'T-T1'!AE50+'T-T1'!AP50+'T-T1'!AS50+'T-T1'!AW50+'T-T1'!BG50,0)</f>
        <v>51687</v>
      </c>
      <c r="BI47" s="272">
        <f>ROUND('T-T1'!AA50,0)</f>
        <v>27089</v>
      </c>
      <c r="BJ47" s="277">
        <f>'C1-Incomes'!EX49-'C1-Incomes'!EP49-SUM(BF47:BI47)</f>
        <v>0</v>
      </c>
      <c r="BK47" s="277">
        <f>'C1-Incomes'!EX49-'T-T1'!BN50</f>
        <v>-0.63150000013411045</v>
      </c>
      <c r="BL47" s="277">
        <f>'T-T2'!J50+'T-T2'!K50</f>
        <v>433496</v>
      </c>
      <c r="BM47" s="272">
        <f>TOTALS!P107/1000000</f>
        <v>195458.58873399999</v>
      </c>
      <c r="BN47" s="272">
        <f t="shared" si="22"/>
        <v>238037.41126600001</v>
      </c>
      <c r="BO47" s="277">
        <f>'C1-Incomes'!FF49-'C1-Incomes'!EX49-BL47</f>
        <v>-1.9999966025352478E-4</v>
      </c>
      <c r="BP47" s="272">
        <f>'T-T2'!L50</f>
        <v>31899</v>
      </c>
      <c r="BQ47" s="272">
        <f>'C1-Incomes'!FN49-'C1-Incomes'!FF49-BP47</f>
        <v>1.9999966025352478E-4</v>
      </c>
      <c r="BR47" s="272">
        <f>TOTALS!AU107/1000000</f>
        <v>26687.153205999999</v>
      </c>
      <c r="BS47" s="272">
        <f>'T-T2'!M50+'T-T2'!N50</f>
        <v>26587</v>
      </c>
      <c r="BT47" s="272">
        <f>SUM('T-T2'!O50:T50)</f>
        <v>97489</v>
      </c>
      <c r="BU47" s="272">
        <f t="shared" si="23"/>
        <v>124076</v>
      </c>
      <c r="BV47" s="272">
        <f>'C1-Incomes'!FV49-'C1-Incomes'!FN49-BU47</f>
        <v>0</v>
      </c>
      <c r="BW47" s="272">
        <f>'T-T2'!X50</f>
        <v>219816</v>
      </c>
      <c r="BX47" s="277">
        <f>'C1-Incomes'!GE49-'C1-Incomes'!FV49-BW47</f>
        <v>0</v>
      </c>
      <c r="BY47" s="272">
        <f>'T-T2'!AC50-'T-T2'!AF50-'T-T2'!AG50</f>
        <v>1123066</v>
      </c>
      <c r="BZ47" s="277">
        <f t="shared" si="24"/>
        <v>313779</v>
      </c>
      <c r="CA47" s="277">
        <f>'C1-Incomes'!GM49-'C1-Incomes'!GE49-BZ47</f>
        <v>-4.9999915063381195E-4</v>
      </c>
      <c r="CB47" s="277">
        <f>'C1-Incomes'!GM49-'T-T2'!B50</f>
        <v>-4.9999915063381195E-4</v>
      </c>
      <c r="CC47" s="272">
        <f>'T-T1'!EB50</f>
        <v>996305</v>
      </c>
      <c r="CD47" s="272">
        <f>TOTALS!AV107/1000000</f>
        <v>895201.561965</v>
      </c>
      <c r="CE47" s="272">
        <f>TOTALS!BA107/1000000</f>
        <v>2798.1417334000002</v>
      </c>
      <c r="CF47" s="272">
        <f>'T-T3'!Q51</f>
        <v>35697</v>
      </c>
      <c r="CG47" s="277">
        <f>'C1-Incomes'!GM49-'C1-Incomes'!GU49-CC47-CE47-CF47</f>
        <v>-5.3339957958087325E-4</v>
      </c>
      <c r="CH47" s="277">
        <f>'T-T1'!ED50</f>
        <v>223336</v>
      </c>
      <c r="CI47" s="272">
        <f>TOTALS!AP107/1000000</f>
        <v>198419.73543900001</v>
      </c>
      <c r="CJ47" s="277">
        <f>'C1-Incomes'!GU49-'C1-Incomes'!HC49-CH47</f>
        <v>5.0000101327896118E-4</v>
      </c>
      <c r="CK47" s="277">
        <f t="shared" si="18"/>
        <v>176207</v>
      </c>
      <c r="CL47" s="277">
        <f>'C1-Incomes'!HC49-'C1-Incomes'!HK49-CK47</f>
        <v>0</v>
      </c>
      <c r="CM47" s="272">
        <f t="shared" si="19"/>
        <v>128631</v>
      </c>
      <c r="CN47" s="272">
        <f>TOTALS!AX107/1000000</f>
        <v>101607.28789000001</v>
      </c>
      <c r="CO47" s="272">
        <f t="shared" si="20"/>
        <v>139387</v>
      </c>
      <c r="CP47" s="272">
        <f>'T-T1'!DE50</f>
        <v>268018</v>
      </c>
      <c r="CQ47" s="277">
        <f>'C1-Incomes'!HK49-'C1-Incomes'!HS49-CP47</f>
        <v>-2.0000152289867401E-4</v>
      </c>
      <c r="CR47" s="272">
        <f>'T-T3'!AG51-'T-T2'!AF50-'T-T2'!AG50</f>
        <v>710436</v>
      </c>
      <c r="CS47" s="272">
        <f>TOTALS!AY107/1000000</f>
        <v>680426.63778200001</v>
      </c>
      <c r="CT47" s="277">
        <f>'C1-Incomes'!HS49-'C1-Incomes'!IA49-CR47</f>
        <v>-1.9999966025352478E-4</v>
      </c>
      <c r="CU47" s="277">
        <f>'T-T3a'!O51+'T-T3a'!P51</f>
        <v>385042</v>
      </c>
      <c r="CV47" s="277">
        <f>'C1-Incomes'!IA49-'C1-Incomes'!II49-CU47</f>
        <v>0</v>
      </c>
      <c r="CW47" s="272">
        <f>'T-T3'!H51</f>
        <v>204272.77323340066</v>
      </c>
      <c r="CX47" s="277">
        <f>'C1-Incomes'!IQ49-'C1-Incomes'!II49-CW47</f>
        <v>-2.3340154439210892E-4</v>
      </c>
      <c r="CY47" s="277">
        <f>'T-T3'!G51</f>
        <v>1470501</v>
      </c>
      <c r="CZ47" s="277">
        <f>'C1-Incomes'!IY49-'C1-Incomes'!IQ49-CY47</f>
        <v>0</v>
      </c>
      <c r="DA47" s="277">
        <f>'C1-Incomes'!IY49-'T-T3'!Z51</f>
        <v>-2.9999949038028717E-4</v>
      </c>
      <c r="DB47" s="280"/>
      <c r="DC47" s="272">
        <f>TOTALS!BG46/1000000</f>
        <v>60853.192625999996</v>
      </c>
      <c r="DD47" s="272">
        <f>TOTALS!BH46/1000000</f>
        <v>19122.923498</v>
      </c>
      <c r="DE47" s="272">
        <f t="shared" si="8"/>
        <v>79976.116123999993</v>
      </c>
      <c r="DF47" s="272">
        <f>TOTALS!BI46/1000000</f>
        <v>72730.766650000005</v>
      </c>
    </row>
    <row r="48" spans="1:110" ht="12" customHeight="1" x14ac:dyDescent="0.3">
      <c r="A48" s="268">
        <v>2002</v>
      </c>
      <c r="B48" s="272"/>
      <c r="C48" s="272"/>
      <c r="D48" s="272">
        <f>TOTALS!BF108/1000000</f>
        <v>54009.674636000003</v>
      </c>
      <c r="E48" s="277">
        <f>'C1-Incomes'!AX50-'C1-Incomes'!AH50-D48</f>
        <v>-3.6000441468786448E-5</v>
      </c>
      <c r="F48" s="277">
        <v>0</v>
      </c>
      <c r="G48" s="272">
        <v>13534</v>
      </c>
      <c r="H48" s="272">
        <f>TOTALS!AB108/1000000</f>
        <v>11722.536124</v>
      </c>
      <c r="I48" s="272">
        <f>TOTALS!BP108/1000000</f>
        <v>25671.705432999999</v>
      </c>
      <c r="J48" s="272">
        <f>TOTALS!Y108/1000000</f>
        <v>23723.873883</v>
      </c>
      <c r="K48" s="272">
        <f>TOTALS!W108/1000000</f>
        <v>57641.984522999999</v>
      </c>
      <c r="L48" s="277">
        <f>TOTALS!K108/1000000</f>
        <v>392.00256163</v>
      </c>
      <c r="M48" s="272">
        <f>TOTALS!BT108/1000000</f>
        <v>-2322.4650900000001</v>
      </c>
      <c r="N48" s="272">
        <f>(TOTALS!CB108-TOTALS!CC108)/1000000</f>
        <v>-6499.3255864400007</v>
      </c>
      <c r="O48" s="272">
        <f t="shared" si="15"/>
        <v>5489.0060249299959</v>
      </c>
      <c r="P48" s="277">
        <f>'C1-Incomes'!BF50-'C1-Incomes'!AX50-O48</f>
        <v>-2.4929943720053416E-5</v>
      </c>
      <c r="Q48" s="277">
        <f>'C22-Fiduciary'!T47</f>
        <v>16030.608228425506</v>
      </c>
      <c r="R48" s="277">
        <f>'C1-Incomes'!BV50-'C1-Incomes'!BN50-Q48</f>
        <v>-2.2842549878987484E-4</v>
      </c>
      <c r="S48" s="270">
        <f>'T-T1'!CR51</f>
        <v>314653</v>
      </c>
      <c r="T48" s="270">
        <f t="shared" si="16"/>
        <v>20137.792000000001</v>
      </c>
      <c r="U48" s="331">
        <f>ROUND('C12-CorpOwn'!T47,3)</f>
        <v>6.4000000000000001E-2</v>
      </c>
      <c r="V48" s="270">
        <f t="shared" si="10"/>
        <v>178722.90399999998</v>
      </c>
      <c r="W48" s="279">
        <f>ROUND('C12-CorpOwn'!S47,3)</f>
        <v>0.56799999999999995</v>
      </c>
      <c r="X48" s="272">
        <f t="shared" si="6"/>
        <v>115792.30400000002</v>
      </c>
      <c r="Y48" s="279">
        <f>1-ROUND('C12-CorpOwn'!S47,3)-ROUND('C12-CorpOwn'!T47,3)</f>
        <v>0.36800000000000005</v>
      </c>
      <c r="Z48" s="685">
        <f>'C1-Incomes'!CD50-'C1-Incomes'!BV50-S48</f>
        <v>0</v>
      </c>
      <c r="AA48" s="277">
        <f>'T-T1'!CP51</f>
        <v>192336</v>
      </c>
      <c r="AB48" s="277">
        <f>'T-T1'!AA51</f>
        <v>24495</v>
      </c>
      <c r="AC48" s="277">
        <f t="shared" si="7"/>
        <v>167841</v>
      </c>
      <c r="AD48" s="277">
        <f>'C1-Incomes'!CL50-'C1-Incomes'!CD50-AC48</f>
        <v>0</v>
      </c>
      <c r="AE48" s="277">
        <f t="shared" si="17"/>
        <v>150802</v>
      </c>
      <c r="AF48" s="277">
        <f>'C1-Incomes'!CT50-'C1-Incomes'!CL50-AE48</f>
        <v>0</v>
      </c>
      <c r="AG48" s="277">
        <f>'T-T1a'!C53</f>
        <v>-28129.594360039519</v>
      </c>
      <c r="AH48" s="277">
        <f>'T-T1a'!D53</f>
        <v>-23248.915863569029</v>
      </c>
      <c r="AI48" s="277">
        <f>'T-T1a'!E53</f>
        <v>20616.081608964996</v>
      </c>
      <c r="AJ48" s="277">
        <f>'T-T1a'!F53</f>
        <v>30762.428614643555</v>
      </c>
      <c r="AK48" s="277">
        <f>'C1-Incomes'!DB50-'C1-Incomes'!CT50</f>
        <v>1.0000001639127731E-3</v>
      </c>
      <c r="AL48" s="277">
        <f>'T-T1'!E51</f>
        <v>217825.62454666104</v>
      </c>
      <c r="AM48" s="277">
        <f>'T-T1'!L51</f>
        <v>4136.7708288973718</v>
      </c>
      <c r="AN48" s="277">
        <f>'T-T1'!Q51</f>
        <v>499798.60632222053</v>
      </c>
      <c r="AO48" s="277">
        <f>'T-T1'!T51</f>
        <v>16137.080666000002</v>
      </c>
      <c r="AP48" s="277">
        <f>'T-T1'!AH51</f>
        <v>41028.338984000002</v>
      </c>
      <c r="AQ48" s="277">
        <f t="shared" si="9"/>
        <v>778926.42134777899</v>
      </c>
      <c r="AR48" s="277">
        <f>'C1-Incomes'!DJ50-'C1-Incomes'!DB50-AQ48</f>
        <v>6.5222126431763172E-4</v>
      </c>
      <c r="AS48" s="277">
        <f t="shared" si="21"/>
        <v>284767</v>
      </c>
      <c r="AT48" s="277">
        <f>'T-T1'!U51</f>
        <v>146301</v>
      </c>
      <c r="AU48" s="277">
        <f>'T-T1'!EE51</f>
        <v>138466</v>
      </c>
      <c r="AV48" s="277">
        <f>TOTALS!AX108/1000000</f>
        <v>110755.58438</v>
      </c>
      <c r="AW48" s="277">
        <f>'C1-Incomes'!DR50-'C1-Incomes'!DJ50-AS48</f>
        <v>8.085053414106369E-4</v>
      </c>
      <c r="AX48" s="277">
        <f>(TOTALS!Z108+TOTALS!AA108)/1000000</f>
        <v>352427.49624900002</v>
      </c>
      <c r="AY48" s="277">
        <f>'T-T1'!I51</f>
        <v>366045</v>
      </c>
      <c r="AZ48" s="277">
        <f>'C1-Incomes'!DZ50-'C1-Incomes'!DR50-AY48</f>
        <v>2.4955160915851593E-4</v>
      </c>
      <c r="BA48" s="272">
        <f>'T-T1'!G51</f>
        <v>472444</v>
      </c>
      <c r="BB48" s="277">
        <f>'C1-Incomes'!EH50-'C1-Incomes'!DZ50-BA48</f>
        <v>-5.8673322200775146E-8</v>
      </c>
      <c r="BC48" s="272">
        <f>'T-T1'!AD51+'T-T1'!AO51+'T-T1'!AR51+'T-T1'!AV51</f>
        <v>345660.70591226395</v>
      </c>
      <c r="BD48" s="272">
        <f>ROUND('T-T1'!BJ51,0)</f>
        <v>16290</v>
      </c>
      <c r="BE48" s="277">
        <f>'C1-Incomes'!EP50-'C1-Incomes'!EH50-BC48-BD48</f>
        <v>1.2973707634955645E-4</v>
      </c>
      <c r="BF48" s="272">
        <f>ROUND('T-T1'!BA51,0)</f>
        <v>473334</v>
      </c>
      <c r="BG48" s="272">
        <f>ROUND('T-T1'!BC51+'T-T1'!BE51,0)</f>
        <v>39273</v>
      </c>
      <c r="BH48" s="272">
        <f>ROUND('T-T1'!V51+'T-T1'!AE51+'T-T1'!AP51+'T-T1'!AS51+'T-T1'!AW51+'T-T1'!BG51,0)</f>
        <v>52392</v>
      </c>
      <c r="BI48" s="272">
        <f>ROUND('T-T1'!AA51,0)</f>
        <v>24495</v>
      </c>
      <c r="BJ48" s="277">
        <f>'C1-Incomes'!EX50-'C1-Incomes'!EP50-SUM(BF48:BI48)</f>
        <v>0</v>
      </c>
      <c r="BK48" s="277">
        <f>'C1-Incomes'!EX50-'T-T1'!BN51</f>
        <v>-0.883500000461936</v>
      </c>
      <c r="BL48" s="277">
        <f>'T-T2'!J51+'T-T2'!K51</f>
        <v>455609</v>
      </c>
      <c r="BM48" s="272">
        <f>TOTALS!P108/1000000</f>
        <v>204773.33111</v>
      </c>
      <c r="BN48" s="272">
        <f t="shared" si="22"/>
        <v>250835.66889</v>
      </c>
      <c r="BO48" s="277">
        <f>'C1-Incomes'!FF50-'C1-Incomes'!EX50-BL48</f>
        <v>9.999983012676239E-5</v>
      </c>
      <c r="BP48" s="272">
        <f>'T-T2'!L51</f>
        <v>53481</v>
      </c>
      <c r="BQ48" s="272">
        <f>'C1-Incomes'!FN50-'C1-Incomes'!FF50-BP48</f>
        <v>3.000013530254364E-4</v>
      </c>
      <c r="BR48" s="272">
        <f>TOTALS!AU108/1000000</f>
        <v>42776.628301999997</v>
      </c>
      <c r="BS48" s="272">
        <f>'T-T2'!M51+'T-T2'!N51</f>
        <v>29530</v>
      </c>
      <c r="BT48" s="272">
        <f>SUM('T-T2'!O51:T51)</f>
        <v>106146</v>
      </c>
      <c r="BU48" s="272">
        <f t="shared" si="23"/>
        <v>135676</v>
      </c>
      <c r="BV48" s="272">
        <f>'C1-Incomes'!FV50-'C1-Incomes'!FN50-BU48</f>
        <v>9.999983012676239E-5</v>
      </c>
      <c r="BW48" s="272">
        <f>'T-T2'!X51</f>
        <v>234123</v>
      </c>
      <c r="BX48" s="277">
        <f>'C1-Incomes'!GE50-'C1-Incomes'!FV50-BW48</f>
        <v>0</v>
      </c>
      <c r="BY48" s="272">
        <f>'T-T2'!AC51-'T-T2'!AF51-'T-T2'!AG51</f>
        <v>1225419</v>
      </c>
      <c r="BZ48" s="277">
        <f t="shared" si="24"/>
        <v>346530</v>
      </c>
      <c r="CA48" s="277">
        <f>'C1-Incomes'!GM50-'C1-Incomes'!GE50-BZ48</f>
        <v>0</v>
      </c>
      <c r="CB48" s="277">
        <f>'C1-Incomes'!GM50-'T-T2'!B51</f>
        <v>5.0000101327896118E-4</v>
      </c>
      <c r="CC48" s="272">
        <f>'T-T1'!EB51</f>
        <v>832815</v>
      </c>
      <c r="CD48" s="272">
        <f>TOTALS!AV108/1000000</f>
        <v>802485.41928699997</v>
      </c>
      <c r="CE48" s="272">
        <f>TOTALS!BA108/1000000</f>
        <v>2672.5450599000001</v>
      </c>
      <c r="CF48" s="272">
        <f>'T-T3'!Q52</f>
        <v>32649</v>
      </c>
      <c r="CG48" s="277">
        <f>'C1-Incomes'!GM50-'C1-Incomes'!GU50-CC48-CE48-CF48</f>
        <v>4.4010093915858306E-4</v>
      </c>
      <c r="CH48" s="277">
        <f>'T-T1'!ED51</f>
        <v>201328</v>
      </c>
      <c r="CI48" s="272">
        <f>TOTALS!AP108/1000000</f>
        <v>183233.88424700001</v>
      </c>
      <c r="CJ48" s="277">
        <f>'C1-Incomes'!GU50-'C1-Incomes'!HC50-CH48</f>
        <v>1.9999966025352478E-4</v>
      </c>
      <c r="CK48" s="277">
        <f t="shared" si="18"/>
        <v>167841</v>
      </c>
      <c r="CL48" s="277">
        <f>'C1-Incomes'!HC50-'C1-Incomes'!HK50-CK48</f>
        <v>0</v>
      </c>
      <c r="CM48" s="272">
        <f t="shared" si="19"/>
        <v>138466</v>
      </c>
      <c r="CN48" s="272">
        <f>TOTALS!AX108/1000000</f>
        <v>110755.58438</v>
      </c>
      <c r="CO48" s="272">
        <f t="shared" si="20"/>
        <v>150802</v>
      </c>
      <c r="CP48" s="272">
        <f>'T-T1'!DE51</f>
        <v>289268</v>
      </c>
      <c r="CQ48" s="277">
        <f>'C1-Incomes'!HK50-'C1-Incomes'!HS50-CP48</f>
        <v>3.9999932050704956E-4</v>
      </c>
      <c r="CR48" s="272">
        <f>'T-T3'!AG52-'T-T2'!AF51-'T-T2'!AG51</f>
        <v>726434</v>
      </c>
      <c r="CS48" s="272">
        <f>TOTALS!AY108/1000000</f>
        <v>691463.36551499995</v>
      </c>
      <c r="CT48" s="277">
        <f>'C1-Incomes'!HS50-'C1-Incomes'!IA50-CR48</f>
        <v>-4.9999915063381195E-4</v>
      </c>
      <c r="CU48" s="277">
        <f>'T-T3a'!O52+'T-T3a'!P52</f>
        <v>396940</v>
      </c>
      <c r="CV48" s="277">
        <f>'C1-Incomes'!IA50-'C1-Incomes'!II50-CU48</f>
        <v>0</v>
      </c>
      <c r="CW48" s="272">
        <f>'T-T3'!H52</f>
        <v>-150440.57144010067</v>
      </c>
      <c r="CX48" s="277">
        <f>'C1-Incomes'!IQ50-'C1-Incomes'!II50-CW48</f>
        <v>4.4010113924741745E-4</v>
      </c>
      <c r="CY48" s="277">
        <f>'T-T3'!G52</f>
        <v>1574970</v>
      </c>
      <c r="CZ48" s="277">
        <f>'C1-Incomes'!IY50-'C1-Incomes'!IQ50-CY48</f>
        <v>0</v>
      </c>
      <c r="DA48" s="277">
        <f>'C1-Incomes'!IY50-'T-T3'!Z52</f>
        <v>3.9999932050704956E-4</v>
      </c>
      <c r="DB48" s="280"/>
      <c r="DC48" s="272">
        <f>TOTALS!BG47/1000000</f>
        <v>55805.317407000002</v>
      </c>
      <c r="DD48" s="272">
        <f>TOTALS!BH47/1000000</f>
        <v>20175.836442</v>
      </c>
      <c r="DE48" s="272">
        <f t="shared" si="8"/>
        <v>75981.153848999995</v>
      </c>
      <c r="DF48" s="272">
        <f>TOTALS!BI47/1000000</f>
        <v>69632.727629000001</v>
      </c>
    </row>
    <row r="49" spans="1:110" ht="12" customHeight="1" x14ac:dyDescent="0.3">
      <c r="A49" s="268">
        <v>2003</v>
      </c>
      <c r="B49" s="272"/>
      <c r="C49" s="272"/>
      <c r="D49" s="272">
        <f>TOTALS!BF109/1000000</f>
        <v>53247.164215999997</v>
      </c>
      <c r="E49" s="277">
        <f>'C1-Incomes'!AX51-'C1-Incomes'!AH51-D49</f>
        <v>-1.5999532479327172E-5</v>
      </c>
      <c r="F49" s="277">
        <v>0</v>
      </c>
      <c r="G49" s="272">
        <v>12912</v>
      </c>
      <c r="H49" s="272">
        <f>TOTALS!AB109/1000000</f>
        <v>11724.598362999999</v>
      </c>
      <c r="I49" s="272">
        <f>TOTALS!BP109/1000000</f>
        <v>27680.848285</v>
      </c>
      <c r="J49" s="272">
        <f>TOTALS!Y109/1000000</f>
        <v>23321.806132999998</v>
      </c>
      <c r="K49" s="272">
        <f>TOTALS!W109/1000000</f>
        <v>62533.431547</v>
      </c>
      <c r="L49" s="277">
        <f>TOTALS!K109/1000000</f>
        <v>293.88791523999998</v>
      </c>
      <c r="M49" s="272">
        <f>TOTALS!BT109/1000000</f>
        <v>-298.77758449999999</v>
      </c>
      <c r="N49" s="272">
        <f>(TOTALS!CB109-TOTALS!CC109)/1000000</f>
        <v>-6447.0322973399998</v>
      </c>
      <c r="O49" s="272">
        <f t="shared" si="15"/>
        <v>6276.036137920004</v>
      </c>
      <c r="P49" s="277">
        <f>'C1-Incomes'!BF51-'C1-Incomes'!AX51-O49</f>
        <v>-3.7919860915280879E-5</v>
      </c>
      <c r="Q49" s="277">
        <f>'C22-Fiduciary'!T48</f>
        <v>19939.980826144001</v>
      </c>
      <c r="R49" s="277">
        <f>'C1-Incomes'!BV51-'C1-Incomes'!BN51-Q49</f>
        <v>-8.2614448547246866E-4</v>
      </c>
      <c r="S49" s="270">
        <f>'T-T1'!CR52</f>
        <v>378625</v>
      </c>
      <c r="T49" s="270">
        <f t="shared" si="16"/>
        <v>23853.375</v>
      </c>
      <c r="U49" s="331">
        <f>ROUND('C12-CorpOwn'!T48,3)</f>
        <v>6.3E-2</v>
      </c>
      <c r="V49" s="270">
        <f t="shared" si="10"/>
        <v>209758.25000000003</v>
      </c>
      <c r="W49" s="279">
        <f>ROUND('C12-CorpOwn'!S48,3)</f>
        <v>0.55400000000000005</v>
      </c>
      <c r="X49" s="272">
        <f t="shared" si="6"/>
        <v>145013.37499999997</v>
      </c>
      <c r="Y49" s="279">
        <f>1-ROUND('C12-CorpOwn'!S48,3)-ROUND('C12-CorpOwn'!T48,3)</f>
        <v>0.38299999999999995</v>
      </c>
      <c r="Z49" s="685">
        <f>'C1-Incomes'!CD51-'C1-Incomes'!BV51-S49</f>
        <v>0</v>
      </c>
      <c r="AA49" s="277">
        <f>'T-T1'!CP52</f>
        <v>243767</v>
      </c>
      <c r="AB49" s="277">
        <f>'T-T1'!AA52</f>
        <v>22022</v>
      </c>
      <c r="AC49" s="277">
        <f t="shared" si="7"/>
        <v>221745</v>
      </c>
      <c r="AD49" s="277">
        <f>'C1-Incomes'!CL51-'C1-Incomes'!CD51-AC49</f>
        <v>0</v>
      </c>
      <c r="AE49" s="277">
        <f t="shared" si="17"/>
        <v>160297</v>
      </c>
      <c r="AF49" s="277">
        <f>'C1-Incomes'!CT51-'C1-Incomes'!CL51-AE49</f>
        <v>0</v>
      </c>
      <c r="AG49" s="277">
        <f>'T-T1a'!C54</f>
        <v>-47397.570604290187</v>
      </c>
      <c r="AH49" s="277">
        <f>'T-T1a'!D54</f>
        <v>-41039.32783772728</v>
      </c>
      <c r="AI49" s="277">
        <f>'T-T1a'!E54</f>
        <v>23382.801508424978</v>
      </c>
      <c r="AJ49" s="277">
        <f>'T-T1a'!F54</f>
        <v>65054.096933592489</v>
      </c>
      <c r="AK49" s="277">
        <f>'C1-Incomes'!DB51-'C1-Incomes'!CT51</f>
        <v>0</v>
      </c>
      <c r="AL49" s="277">
        <f>'T-T1'!E52</f>
        <v>258856.13609993085</v>
      </c>
      <c r="AM49" s="277">
        <f>'T-T1'!L52</f>
        <v>18884.099649115884</v>
      </c>
      <c r="AN49" s="277">
        <f>'T-T1'!Q52</f>
        <v>492725.49236897705</v>
      </c>
      <c r="AO49" s="277">
        <f>'T-T1'!T52</f>
        <v>14399.696896000001</v>
      </c>
      <c r="AP49" s="277">
        <f>'T-T1'!AH52</f>
        <v>42531.952572999988</v>
      </c>
      <c r="AQ49" s="277">
        <f t="shared" si="9"/>
        <v>827397.37758702377</v>
      </c>
      <c r="AR49" s="277">
        <f>'C1-Incomes'!DJ51-'C1-Incomes'!DB51-AQ49</f>
        <v>4.1297671850770712E-4</v>
      </c>
      <c r="AS49" s="277">
        <f t="shared" si="21"/>
        <v>312033</v>
      </c>
      <c r="AT49" s="277">
        <f>'T-T1'!U52</f>
        <v>165348</v>
      </c>
      <c r="AU49" s="277">
        <f>'T-T1'!EE52</f>
        <v>146685</v>
      </c>
      <c r="AV49" s="277">
        <f>TOTALS!AX109/1000000</f>
        <v>117692.08254800001</v>
      </c>
      <c r="AW49" s="277">
        <f>'C1-Incomes'!DR51-'C1-Incomes'!DJ51-AS49</f>
        <v>-9.2214997857809067E-4</v>
      </c>
      <c r="AX49" s="277">
        <f>(TOTALS!Z109+TOTALS!AA109)/1000000</f>
        <v>359083.29613999999</v>
      </c>
      <c r="AY49" s="277">
        <f>'T-T1'!I52</f>
        <v>382517</v>
      </c>
      <c r="AZ49" s="277">
        <f>'C1-Incomes'!DZ51-'C1-Incomes'!DR51-AY49</f>
        <v>1.4056544750928879E-4</v>
      </c>
      <c r="BA49" s="272">
        <f>'T-T1'!G52</f>
        <v>525466</v>
      </c>
      <c r="BB49" s="277">
        <f>'C1-Incomes'!EH51-'C1-Incomes'!DZ51-BA49</f>
        <v>-3.771856427192688E-7</v>
      </c>
      <c r="BC49" s="272">
        <f>'T-T1'!AD52+'T-T1'!AO52+'T-T1'!AR52+'T-T1'!AV52</f>
        <v>351667.15880562097</v>
      </c>
      <c r="BD49" s="272">
        <f>ROUND('T-T1'!BJ52,0)</f>
        <v>14971</v>
      </c>
      <c r="BE49" s="277">
        <f>'C1-Incomes'!EP51-'C1-Incomes'!EH51-BC49-BD49</f>
        <v>1.7634115647524595E-4</v>
      </c>
      <c r="BF49" s="272">
        <f>ROUND('T-T1'!BA52,0)</f>
        <v>501022</v>
      </c>
      <c r="BG49" s="272">
        <f>ROUND('T-T1'!BC52+'T-T1'!BE52,0)</f>
        <v>27202</v>
      </c>
      <c r="BH49" s="272">
        <f>ROUND('T-T1'!V52+'T-T1'!AE52+'T-T1'!AP52+'T-T1'!AS52+'T-T1'!AW52+'T-T1'!BG52,0)</f>
        <v>49669</v>
      </c>
      <c r="BI49" s="272">
        <f>ROUND('T-T1'!AA52,0)</f>
        <v>22022</v>
      </c>
      <c r="BJ49" s="277">
        <f>'C1-Incomes'!EX51-'C1-Incomes'!EP51-SUM(BF49:BI49)</f>
        <v>0</v>
      </c>
      <c r="BK49" s="277">
        <f>'C1-Incomes'!EX51-'T-T1'!BN52</f>
        <v>-1.8999999389052391E-2</v>
      </c>
      <c r="BL49" s="277">
        <f>'T-T2'!J52+'T-T2'!K52</f>
        <v>472385</v>
      </c>
      <c r="BM49" s="272">
        <f>TOTALS!P109/1000000</f>
        <v>213076.28791000001</v>
      </c>
      <c r="BN49" s="272">
        <f t="shared" si="22"/>
        <v>259308.71208999999</v>
      </c>
      <c r="BO49" s="277">
        <f>'C1-Incomes'!FF51-'C1-Incomes'!EX51-BL49</f>
        <v>0</v>
      </c>
      <c r="BP49" s="272">
        <f>'T-T2'!L52</f>
        <v>53174</v>
      </c>
      <c r="BQ49" s="272">
        <f>'C1-Incomes'!FN51-'C1-Incomes'!FF51-BP49</f>
        <v>-1.0000001639127731E-3</v>
      </c>
      <c r="BR49" s="272">
        <f>TOTALS!AU109/1000000</f>
        <v>43649.925529</v>
      </c>
      <c r="BS49" s="272">
        <f>'T-T2'!M52+'T-T2'!N52</f>
        <v>31818</v>
      </c>
      <c r="BT49" s="272">
        <f>SUM('T-T2'!O52:T52)</f>
        <v>115084</v>
      </c>
      <c r="BU49" s="272">
        <f t="shared" si="23"/>
        <v>146902</v>
      </c>
      <c r="BV49" s="272">
        <f>'C1-Incomes'!FV51-'C1-Incomes'!FN51-BU49</f>
        <v>0</v>
      </c>
      <c r="BW49" s="272">
        <f>'T-T2'!X52</f>
        <v>249333</v>
      </c>
      <c r="BX49" s="277">
        <f>'C1-Incomes'!GE51-'C1-Incomes'!FV51-BW49</f>
        <v>0</v>
      </c>
      <c r="BY49" s="272">
        <f>'T-T2'!AC52-'T-T2'!AF52-'T-T2'!AG52</f>
        <v>1293661</v>
      </c>
      <c r="BZ49" s="277">
        <f t="shared" si="24"/>
        <v>371867</v>
      </c>
      <c r="CA49" s="277">
        <f>'C1-Incomes'!GM51-'C1-Incomes'!GE51-BZ49</f>
        <v>0</v>
      </c>
      <c r="CB49" s="277">
        <f>'C1-Incomes'!GM51-'T-T2'!B52</f>
        <v>-1.0000001639127731E-3</v>
      </c>
      <c r="CC49" s="272">
        <f>'T-T1'!EB52</f>
        <v>778520</v>
      </c>
      <c r="CD49" s="272">
        <f>TOTALS!AV109/1000000</f>
        <v>755763.69730100001</v>
      </c>
      <c r="CE49" s="272">
        <f>TOTALS!BA109/1000000</f>
        <v>2745.0658964999998</v>
      </c>
      <c r="CF49" s="272">
        <f>'T-T3'!Q53</f>
        <v>27966</v>
      </c>
      <c r="CG49" s="277">
        <f>'C1-Incomes'!GM51-'C1-Incomes'!GU51-CC49-CE49-CF49</f>
        <v>1.0349964213673957E-4</v>
      </c>
      <c r="CH49" s="277">
        <f>'T-T1'!ED52</f>
        <v>204698</v>
      </c>
      <c r="CI49" s="272">
        <f>TOTALS!AP109/1000000</f>
        <v>184405.58557900001</v>
      </c>
      <c r="CJ49" s="277">
        <f>'C1-Incomes'!GU51-'C1-Incomes'!HC51-CH49</f>
        <v>-9.999983012676239E-4</v>
      </c>
      <c r="CK49" s="277">
        <f t="shared" si="18"/>
        <v>221745</v>
      </c>
      <c r="CL49" s="277">
        <f>'C1-Incomes'!HC51-'C1-Incomes'!HK51-CK49</f>
        <v>2.9999949038028717E-4</v>
      </c>
      <c r="CM49" s="272">
        <f t="shared" si="19"/>
        <v>146685</v>
      </c>
      <c r="CN49" s="272">
        <f>TOTALS!AX109/1000000</f>
        <v>117692.08254800001</v>
      </c>
      <c r="CO49" s="272">
        <f t="shared" si="20"/>
        <v>160297</v>
      </c>
      <c r="CP49" s="272">
        <f>'T-T1'!DE52</f>
        <v>306982</v>
      </c>
      <c r="CQ49" s="277">
        <f>'C1-Incomes'!HK51-'C1-Incomes'!HS51-CP49</f>
        <v>-4.0000118315219879E-4</v>
      </c>
      <c r="CR49" s="272">
        <f>'T-T3'!AG53-'T-T2'!AF52-'T-T2'!AG52</f>
        <v>751898</v>
      </c>
      <c r="CS49" s="272">
        <f>TOTALS!AY109/1000000</f>
        <v>706833.82047699997</v>
      </c>
      <c r="CT49" s="277">
        <f>'C1-Incomes'!HS51-'C1-Incomes'!IA51-CR49</f>
        <v>4.0000118315219879E-4</v>
      </c>
      <c r="CU49" s="277">
        <f>'T-T3a'!O53+'T-T3a'!P53</f>
        <v>423099</v>
      </c>
      <c r="CV49" s="277">
        <f>'C1-Incomes'!IA51-'C1-Incomes'!II51-CU49</f>
        <v>0</v>
      </c>
      <c r="CW49" s="272">
        <f>'T-T3'!H53</f>
        <v>-253676.91510350071</v>
      </c>
      <c r="CX49" s="277">
        <f>'C1-Incomes'!IQ51-'C1-Incomes'!II51-CW49</f>
        <v>1.0350067168474197E-4</v>
      </c>
      <c r="CY49" s="277">
        <f>'T-T3'!G53</f>
        <v>1677669</v>
      </c>
      <c r="CZ49" s="277">
        <f>'C1-Incomes'!IY51-'C1-Incomes'!IQ51-CY49</f>
        <v>0</v>
      </c>
      <c r="DA49" s="277">
        <f>'C1-Incomes'!IY51-'T-T3'!Z53</f>
        <v>-2.9999949038028717E-4</v>
      </c>
      <c r="DB49" s="280"/>
      <c r="DC49" s="272">
        <f>TOTALS!BG48/1000000</f>
        <v>54108.241544999997</v>
      </c>
      <c r="DD49" s="272">
        <f>TOTALS!BH48/1000000</f>
        <v>20555.043965000001</v>
      </c>
      <c r="DE49" s="272">
        <f t="shared" si="8"/>
        <v>74663.285510000002</v>
      </c>
      <c r="DF49" s="272">
        <f>TOTALS!BI48/1000000</f>
        <v>68901.861447999996</v>
      </c>
    </row>
    <row r="50" spans="1:110" ht="12" customHeight="1" x14ac:dyDescent="0.3">
      <c r="A50" s="268">
        <v>2004</v>
      </c>
      <c r="B50" s="272"/>
      <c r="C50" s="272"/>
      <c r="D50" s="272">
        <f>TOTALS!BF110/1000000</f>
        <v>51527.714362999999</v>
      </c>
      <c r="E50" s="277">
        <f>'C1-Incomes'!AX52-'C1-Incomes'!AH52-D50</f>
        <v>3.6999939766246825E-5</v>
      </c>
      <c r="F50" s="277">
        <v>0</v>
      </c>
      <c r="G50" s="272">
        <v>12290</v>
      </c>
      <c r="H50" s="272">
        <f>TOTALS!AB110/1000000</f>
        <v>14497.704296</v>
      </c>
      <c r="I50" s="272">
        <f>TOTALS!BP110/1000000</f>
        <v>29146.088786</v>
      </c>
      <c r="J50" s="272">
        <f>TOTALS!Y110/1000000</f>
        <v>22648.776005</v>
      </c>
      <c r="K50" s="272">
        <f>TOTALS!W110/1000000</f>
        <v>74691.139035999993</v>
      </c>
      <c r="L50" s="277">
        <f>TOTALS!K110/1000000</f>
        <v>1736.2354547</v>
      </c>
      <c r="M50" s="272">
        <f>TOTALS!BT110/1000000</f>
        <v>2513.2865235999998</v>
      </c>
      <c r="N50" s="272">
        <f>(TOTALS!CB110-TOTALS!CC110)/1000000</f>
        <v>-7238.1775040999992</v>
      </c>
      <c r="O50" s="272">
        <f t="shared" si="15"/>
        <v>9200.8704665999976</v>
      </c>
      <c r="P50" s="277">
        <f>'C1-Incomes'!BF52-'C1-Incomes'!AX52-O50</f>
        <v>3.3400196116417646E-5</v>
      </c>
      <c r="Q50" s="277">
        <f>'C22-Fiduciary'!T49</f>
        <v>26830.41423590514</v>
      </c>
      <c r="R50" s="277">
        <f>'C1-Incomes'!BV52-'C1-Incomes'!BN52-Q50</f>
        <v>-2.3590526689076796E-4</v>
      </c>
      <c r="S50" s="270">
        <f>'T-T1'!CR53</f>
        <v>413162</v>
      </c>
      <c r="T50" s="270">
        <f t="shared" si="16"/>
        <v>26442.368000000002</v>
      </c>
      <c r="U50" s="331">
        <f>ROUND('C12-CorpOwn'!T49,3)</f>
        <v>6.4000000000000001E-2</v>
      </c>
      <c r="V50" s="270">
        <f t="shared" si="10"/>
        <v>228891.74799999999</v>
      </c>
      <c r="W50" s="279">
        <f>ROUND('C12-CorpOwn'!S49,3)</f>
        <v>0.55400000000000005</v>
      </c>
      <c r="X50" s="272">
        <f t="shared" si="6"/>
        <v>157827.88399999999</v>
      </c>
      <c r="Y50" s="279">
        <f>1-ROUND('C12-CorpOwn'!S49,3)-ROUND('C12-CorpOwn'!T49,3)</f>
        <v>0.38199999999999995</v>
      </c>
      <c r="Z50" s="685">
        <f>'C1-Incomes'!CD52-'C1-Incomes'!BV52-S50</f>
        <v>0</v>
      </c>
      <c r="AA50" s="277">
        <f>'T-T1'!CP53</f>
        <v>306093</v>
      </c>
      <c r="AB50" s="277">
        <f>'T-T1'!AA53</f>
        <v>18078</v>
      </c>
      <c r="AC50" s="277">
        <f t="shared" si="7"/>
        <v>288015</v>
      </c>
      <c r="AD50" s="277">
        <f>'C1-Incomes'!CL52-'C1-Incomes'!CD52-AC50</f>
        <v>0</v>
      </c>
      <c r="AE50" s="277">
        <f t="shared" si="17"/>
        <v>170545</v>
      </c>
      <c r="AF50" s="277">
        <f>'C1-Incomes'!CT52-'C1-Incomes'!CL52-AE50</f>
        <v>0</v>
      </c>
      <c r="AG50" s="277">
        <f>'T-T1a'!C55</f>
        <v>-39478.246453604523</v>
      </c>
      <c r="AH50" s="277">
        <f>'T-T1a'!D55</f>
        <v>-53274.516361301132</v>
      </c>
      <c r="AI50" s="277">
        <f>'T-T1a'!E55</f>
        <v>7205.6213739048453</v>
      </c>
      <c r="AJ50" s="277">
        <f>'T-T1a'!F55</f>
        <v>85547.141441000815</v>
      </c>
      <c r="AK50" s="277">
        <f>'C1-Incomes'!DB52-'C1-Incomes'!CT52</f>
        <v>0</v>
      </c>
      <c r="AL50" s="277">
        <f>'T-T1'!E53</f>
        <v>253565.02231538855</v>
      </c>
      <c r="AM50" s="277">
        <f>'T-T1'!L53</f>
        <v>29758.991598019042</v>
      </c>
      <c r="AN50" s="277">
        <f>'T-T1'!Q53</f>
        <v>507905.99418179604</v>
      </c>
      <c r="AO50" s="277">
        <f>'T-T1'!T53</f>
        <v>14131.177807</v>
      </c>
      <c r="AP50" s="277">
        <f>'T-T1'!AH53</f>
        <v>32639.202441000001</v>
      </c>
      <c r="AQ50" s="277">
        <f t="shared" si="9"/>
        <v>838000.3883432037</v>
      </c>
      <c r="AR50" s="277">
        <f>'C1-Incomes'!DJ52-'C1-Incomes'!DB52-AQ50</f>
        <v>-3.4320342820137739E-4</v>
      </c>
      <c r="AS50" s="277">
        <f t="shared" si="21"/>
        <v>335830</v>
      </c>
      <c r="AT50" s="277">
        <f>'T-T1'!U53</f>
        <v>180194</v>
      </c>
      <c r="AU50" s="277">
        <f>'T-T1'!EE53</f>
        <v>155636</v>
      </c>
      <c r="AV50" s="277">
        <f>TOTALS!AX110/1000000</f>
        <v>131955.42460299999</v>
      </c>
      <c r="AW50" s="277">
        <f>'C1-Incomes'!DR52-'C1-Incomes'!DJ52-AS50</f>
        <v>-8.9413579553365707E-4</v>
      </c>
      <c r="AX50" s="277">
        <f>(TOTALS!Z110+TOTALS!AA110)/1000000</f>
        <v>380653.958376</v>
      </c>
      <c r="AY50" s="277">
        <f>'T-T1'!I53</f>
        <v>408689</v>
      </c>
      <c r="AZ50" s="277">
        <f>'C1-Incomes'!DZ52-'C1-Incomes'!DR52-AY50</f>
        <v>3.7651322782039642E-4</v>
      </c>
      <c r="BA50" s="272">
        <f>'T-T1'!G53</f>
        <v>564446</v>
      </c>
      <c r="BB50" s="277">
        <f>'C1-Incomes'!EH52-'C1-Incomes'!DZ52-BA50</f>
        <v>-1.1362135410308838E-7</v>
      </c>
      <c r="BC50" s="272">
        <f>'T-T1'!AD53+'T-T1'!AO53+'T-T1'!AR53+'T-T1'!AV53</f>
        <v>344635.64352087601</v>
      </c>
      <c r="BD50" s="272">
        <f>ROUND('T-T1'!BJ53,0)</f>
        <v>18851</v>
      </c>
      <c r="BE50" s="277">
        <f>'C1-Incomes'!EP52-'C1-Incomes'!EH52-BC50-BD50</f>
        <v>4.9685948761180043E-4</v>
      </c>
      <c r="BF50" s="272">
        <f>ROUND('T-T1'!BA53,0)</f>
        <v>537760</v>
      </c>
      <c r="BG50" s="272">
        <f>ROUND('T-T1'!BC53+'T-T1'!BE53,0)</f>
        <v>34963</v>
      </c>
      <c r="BH50" s="272">
        <f>ROUND('T-T1'!V53+'T-T1'!AE53+'T-T1'!AP53+'T-T1'!AS53+'T-T1'!AW53+'T-T1'!BG53,0)</f>
        <v>46983</v>
      </c>
      <c r="BI50" s="272">
        <f>ROUND('T-T1'!AA53,0)</f>
        <v>18078</v>
      </c>
      <c r="BJ50" s="277">
        <f>'C1-Incomes'!EX52-'C1-Incomes'!EP52-SUM(BF50:BI50)</f>
        <v>-1.9999966025352478E-4</v>
      </c>
      <c r="BK50" s="277">
        <f>'C1-Incomes'!EX52-'T-T1'!BN53</f>
        <v>-0.21600000001490116</v>
      </c>
      <c r="BL50" s="277">
        <f>'T-T2'!J53+'T-T2'!K53</f>
        <v>494521</v>
      </c>
      <c r="BM50" s="272">
        <f>TOTALS!P110/1000000</f>
        <v>230941.373096</v>
      </c>
      <c r="BN50" s="272">
        <f t="shared" si="22"/>
        <v>263579.626904</v>
      </c>
      <c r="BO50" s="277">
        <f>'C1-Incomes'!FF52-'C1-Incomes'!EX52-BL50</f>
        <v>0</v>
      </c>
      <c r="BP50" s="272">
        <f>'T-T2'!L53</f>
        <v>36424</v>
      </c>
      <c r="BQ50" s="272">
        <f>'C1-Incomes'!FN52-'C1-Incomes'!FF52-BP50</f>
        <v>1.0000001639127731E-3</v>
      </c>
      <c r="BR50" s="272">
        <f>TOTALS!AU110/1000000</f>
        <v>32504.069475</v>
      </c>
      <c r="BS50" s="272">
        <f>'T-T2'!M53+'T-T2'!N53</f>
        <v>34036</v>
      </c>
      <c r="BT50" s="272">
        <f>SUM('T-T2'!O53:T53)</f>
        <v>121469</v>
      </c>
      <c r="BU50" s="272">
        <f t="shared" si="23"/>
        <v>155505</v>
      </c>
      <c r="BV50" s="272">
        <f>'C1-Incomes'!FV52-'C1-Incomes'!FN52-BU50</f>
        <v>0</v>
      </c>
      <c r="BW50" s="272">
        <f>'T-T2'!X53</f>
        <v>272962</v>
      </c>
      <c r="BX50" s="277">
        <f>'C1-Incomes'!GE52-'C1-Incomes'!FV52-BW50</f>
        <v>0</v>
      </c>
      <c r="BY50" s="272">
        <f>'T-T2'!AC53-'T-T2'!AF53-'T-T2'!AG53</f>
        <v>1373123</v>
      </c>
      <c r="BZ50" s="277">
        <f t="shared" si="24"/>
        <v>413711</v>
      </c>
      <c r="CA50" s="277">
        <f>'C1-Incomes'!GM52-'C1-Incomes'!GE52-BZ50</f>
        <v>0</v>
      </c>
      <c r="CB50" s="277">
        <f>'C1-Incomes'!GM52-'T-T2'!B53</f>
        <v>1.0000001639127731E-3</v>
      </c>
      <c r="CC50" s="272">
        <f>'T-T1'!EB53</f>
        <v>803166</v>
      </c>
      <c r="CD50" s="272">
        <f>TOTALS!AV110/1000000</f>
        <v>841015.99783600005</v>
      </c>
      <c r="CE50" s="272">
        <f>TOTALS!BA110/1000000</f>
        <v>3322.0759266999999</v>
      </c>
      <c r="CF50" s="272">
        <f>'T-T3'!Q54</f>
        <v>30258</v>
      </c>
      <c r="CG50" s="277">
        <f>'C1-Incomes'!GM52-'C1-Incomes'!GU52-CC50-CE50-CF50</f>
        <v>7.3299419454997405E-5</v>
      </c>
      <c r="CH50" s="277">
        <f>'T-T1'!ED53</f>
        <v>223644</v>
      </c>
      <c r="CI50" s="272">
        <f>TOTALS!AP110/1000000</f>
        <v>203798.91938400001</v>
      </c>
      <c r="CJ50" s="277">
        <f>'C1-Incomes'!GU52-'C1-Incomes'!HC52-CH50</f>
        <v>0</v>
      </c>
      <c r="CK50" s="277">
        <f t="shared" si="18"/>
        <v>288015</v>
      </c>
      <c r="CL50" s="277">
        <f>'C1-Incomes'!HC52-'C1-Incomes'!HK52-CK50</f>
        <v>0</v>
      </c>
      <c r="CM50" s="272">
        <f t="shared" si="19"/>
        <v>155636</v>
      </c>
      <c r="CN50" s="272">
        <f>TOTALS!AX110/1000000</f>
        <v>131955.42460299999</v>
      </c>
      <c r="CO50" s="272">
        <f t="shared" si="20"/>
        <v>170545</v>
      </c>
      <c r="CP50" s="272">
        <f>'T-T1'!DE53</f>
        <v>326181</v>
      </c>
      <c r="CQ50" s="277">
        <f>'C1-Incomes'!HK52-'C1-Incomes'!HS52-CP50</f>
        <v>0</v>
      </c>
      <c r="CR50" s="272">
        <f>'T-T3'!AG54-'T-T2'!AF53-'T-T2'!AG53</f>
        <v>797765</v>
      </c>
      <c r="CS50" s="272">
        <f>TOTALS!AY110/1000000</f>
        <v>745328.40322800004</v>
      </c>
      <c r="CT50" s="277">
        <f>'C1-Incomes'!HS52-'C1-Incomes'!IA52-CR50</f>
        <v>2.0000152289867401E-4</v>
      </c>
      <c r="CU50" s="277">
        <f>'T-T3a'!O54+'T-T3a'!P54</f>
        <v>457713</v>
      </c>
      <c r="CV50" s="277">
        <f>'C1-Incomes'!IA52-'C1-Incomes'!II52-CU50</f>
        <v>0</v>
      </c>
      <c r="CW50" s="272">
        <f>'T-T3'!H54</f>
        <v>-231953.70807329938</v>
      </c>
      <c r="CX50" s="277">
        <f>'C1-Incomes'!IQ52-'C1-Incomes'!II52-CW50</f>
        <v>7.3300674557685852E-5</v>
      </c>
      <c r="CY50" s="277">
        <f>'T-T3'!G54</f>
        <v>1788895</v>
      </c>
      <c r="CZ50" s="277">
        <f>'C1-Incomes'!IY52-'C1-Incomes'!IQ52-CY50</f>
        <v>1.9999966025352478E-4</v>
      </c>
      <c r="DA50" s="277">
        <f>'C1-Incomes'!IY52-'T-T3'!Z54</f>
        <v>1.0000001639127731E-3</v>
      </c>
      <c r="DB50" s="280"/>
      <c r="DC50" s="272">
        <f>TOTALS!BG49/1000000</f>
        <v>56179.600053000002</v>
      </c>
      <c r="DD50" s="272">
        <f>TOTALS!BH49/1000000</f>
        <v>22792.216922</v>
      </c>
      <c r="DE50" s="272">
        <f t="shared" si="8"/>
        <v>78971.816974999994</v>
      </c>
      <c r="DF50" s="272">
        <f>TOTALS!BI49/1000000</f>
        <v>71952.620559000003</v>
      </c>
    </row>
    <row r="51" spans="1:110" ht="12" customHeight="1" x14ac:dyDescent="0.3">
      <c r="A51" s="268">
        <v>2005</v>
      </c>
      <c r="B51" s="272"/>
      <c r="C51" s="272"/>
      <c r="D51" s="272">
        <f>TOTALS!BF111/1000000</f>
        <v>57010.428738000002</v>
      </c>
      <c r="E51" s="277">
        <f>'C1-Incomes'!AX53-'C1-Incomes'!AH53-D51</f>
        <v>-3.799995465669781E-5</v>
      </c>
      <c r="F51" s="277">
        <v>0</v>
      </c>
      <c r="G51" s="272">
        <v>11668</v>
      </c>
      <c r="H51" s="272">
        <f>TOTALS!AB111/1000000</f>
        <v>16179.084851</v>
      </c>
      <c r="I51" s="272">
        <f>TOTALS!BP111/1000000</f>
        <v>33061.498957000003</v>
      </c>
      <c r="J51" s="272">
        <f>TOTALS!Y111/1000000</f>
        <v>22104.667073000001</v>
      </c>
      <c r="K51" s="272">
        <f>TOTALS!W111/1000000</f>
        <v>79134.768211999995</v>
      </c>
      <c r="L51" s="277">
        <f>TOTALS!K111/1000000</f>
        <v>4489.0554496000004</v>
      </c>
      <c r="M51" s="272">
        <f>TOTALS!BT111/1000000</f>
        <v>3690.3535425</v>
      </c>
      <c r="N51" s="272">
        <f>(TOTALS!CB111-TOTALS!CC111)/1000000</f>
        <v>-7928.7314557499994</v>
      </c>
      <c r="O51" s="272">
        <f t="shared" si="15"/>
        <v>3349.3768831499947</v>
      </c>
      <c r="P51" s="277">
        <f>'C1-Incomes'!BF53-'C1-Incomes'!AX53-O51</f>
        <v>1.68495716934558E-5</v>
      </c>
      <c r="Q51" s="277">
        <f>'C22-Fiduciary'!T50</f>
        <v>32801.979893224583</v>
      </c>
      <c r="R51" s="277">
        <f>'C1-Incomes'!BV53-'C1-Incomes'!BN53-Q51</f>
        <v>1.0677586396923289E-4</v>
      </c>
      <c r="S51" s="270">
        <f>'T-T1'!CR54</f>
        <v>484817</v>
      </c>
      <c r="T51" s="270">
        <f t="shared" si="16"/>
        <v>31028.288</v>
      </c>
      <c r="U51" s="331">
        <f>ROUND('C12-CorpOwn'!T50,3)</f>
        <v>6.4000000000000001E-2</v>
      </c>
      <c r="V51" s="270">
        <f t="shared" si="10"/>
        <v>265679.71600000001</v>
      </c>
      <c r="W51" s="279">
        <f>ROUND('C12-CorpOwn'!S50,3)</f>
        <v>0.54800000000000004</v>
      </c>
      <c r="X51" s="272">
        <f t="shared" si="6"/>
        <v>188108.99599999998</v>
      </c>
      <c r="Y51" s="279">
        <f>1-ROUND('C12-CorpOwn'!S50,3)-ROUND('C12-CorpOwn'!T50,3)</f>
        <v>0.38799999999999996</v>
      </c>
      <c r="Z51" s="685">
        <f>'C1-Incomes'!CD53-'C1-Incomes'!BV53-S51</f>
        <v>0</v>
      </c>
      <c r="AA51" s="277">
        <f>'T-T1'!CP54</f>
        <v>412384</v>
      </c>
      <c r="AB51" s="277">
        <f>'T-T1'!AA54</f>
        <v>21468</v>
      </c>
      <c r="AC51" s="277">
        <f t="shared" si="7"/>
        <v>390916</v>
      </c>
      <c r="AD51" s="277">
        <f>'C1-Incomes'!CL53-'C1-Incomes'!CD53-AC51</f>
        <v>0</v>
      </c>
      <c r="AE51" s="277">
        <f t="shared" si="17"/>
        <v>183903</v>
      </c>
      <c r="AF51" s="277">
        <f>'C1-Incomes'!CT53-'C1-Incomes'!CL53-AE51</f>
        <v>0</v>
      </c>
      <c r="AG51" s="277">
        <f>'T-T1a'!C56</f>
        <v>-85251.580306687669</v>
      </c>
      <c r="AH51" s="277">
        <f>'T-T1a'!D56</f>
        <v>-65638.135918203523</v>
      </c>
      <c r="AI51" s="277">
        <f>'T-T1a'!E56</f>
        <v>51160.411418750424</v>
      </c>
      <c r="AJ51" s="277">
        <f>'T-T1a'!F56</f>
        <v>99729.304806140775</v>
      </c>
      <c r="AK51" s="277">
        <f>'C1-Incomes'!DB53-'C1-Incomes'!CT53</f>
        <v>0</v>
      </c>
      <c r="AL51" s="277">
        <f>'T-T1'!E54</f>
        <v>277390.71320805047</v>
      </c>
      <c r="AM51" s="277">
        <f>'T-T1'!L54</f>
        <v>25437.129445247861</v>
      </c>
      <c r="AN51" s="277">
        <f>'T-T1'!Q54</f>
        <v>474942.04477235005</v>
      </c>
      <c r="AO51" s="277">
        <f>'T-T1'!T54</f>
        <v>12699.376538999997</v>
      </c>
      <c r="AP51" s="277">
        <f>'T-T1'!AH54</f>
        <v>18675.594148000004</v>
      </c>
      <c r="AQ51" s="277">
        <f t="shared" si="9"/>
        <v>809144.85811264836</v>
      </c>
      <c r="AR51" s="277">
        <f>'C1-Incomes'!DJ53-'C1-Incomes'!DB53-AQ51</f>
        <v>-1.1264928616583347E-4</v>
      </c>
      <c r="AS51" s="277">
        <f t="shared" si="21"/>
        <v>325469</v>
      </c>
      <c r="AT51" s="277">
        <f>'T-T1'!U54</f>
        <v>158054</v>
      </c>
      <c r="AU51" s="277">
        <f>'T-T1'!EE54</f>
        <v>167415</v>
      </c>
      <c r="AV51" s="277">
        <f>TOTALS!AX111/1000000</f>
        <v>144367.976838</v>
      </c>
      <c r="AW51" s="277">
        <f>'C1-Incomes'!DR53-'C1-Incomes'!DJ53-AS51</f>
        <v>-3.2704509794712067E-4</v>
      </c>
      <c r="AX51" s="277">
        <f>(TOTALS!Z111+TOTALS!AA111)/1000000</f>
        <v>399729.10712900001</v>
      </c>
      <c r="AY51" s="277">
        <f>'T-T1'!I54</f>
        <v>428053</v>
      </c>
      <c r="AZ51" s="277">
        <f>'C1-Incomes'!DZ53-'C1-Incomes'!DR53-AY51</f>
        <v>1.2866035103797913E-4</v>
      </c>
      <c r="BA51" s="272">
        <f>'T-T1'!G54</f>
        <v>607514</v>
      </c>
      <c r="BB51" s="277">
        <f>'C1-Incomes'!EH53-'C1-Incomes'!DZ53-BA51</f>
        <v>4.0978193283081055E-8</v>
      </c>
      <c r="BC51" s="272">
        <f>'T-T1'!AD54+'T-T1'!AO54+'T-T1'!AR54+'T-T1'!AV54</f>
        <v>344032.97618368804</v>
      </c>
      <c r="BD51" s="272">
        <f>ROUND('T-T1'!BJ54,0)</f>
        <v>10842</v>
      </c>
      <c r="BE51" s="277">
        <f>'C1-Incomes'!EP53-'C1-Incomes'!EH53-BC51-BD51</f>
        <v>-8.5344305261969566E-5</v>
      </c>
      <c r="BF51" s="272">
        <f>ROUND('T-T1'!BA54,0)</f>
        <v>583212</v>
      </c>
      <c r="BG51" s="272">
        <f>ROUND('T-T1'!BC54+'T-T1'!BE54,0)</f>
        <v>32998</v>
      </c>
      <c r="BH51" s="272">
        <f>ROUND('T-T1'!V54+'T-T1'!AE54+'T-T1'!AP54+'T-T1'!AS54+'T-T1'!AW54+'T-T1'!BG54,0)</f>
        <v>44496</v>
      </c>
      <c r="BI51" s="272">
        <f>ROUND('T-T1'!AA54,0)</f>
        <v>21468</v>
      </c>
      <c r="BJ51" s="277">
        <f>'C1-Incomes'!EX53-'C1-Incomes'!EP53-SUM(BF51:BI51)</f>
        <v>0</v>
      </c>
      <c r="BK51" s="277">
        <f>'C1-Incomes'!EX53-'T-T1'!BN54</f>
        <v>-0.20800000056624413</v>
      </c>
      <c r="BL51" s="277">
        <f>'T-T2'!J54+'T-T2'!K54</f>
        <v>521922</v>
      </c>
      <c r="BM51" s="272">
        <f>TOTALS!P111/1000000</f>
        <v>251084.78122</v>
      </c>
      <c r="BN51" s="272">
        <f t="shared" si="22"/>
        <v>270837.21878</v>
      </c>
      <c r="BO51" s="277">
        <f>'C1-Incomes'!FF53-'C1-Incomes'!EX53-BL51</f>
        <v>0</v>
      </c>
      <c r="BP51" s="272">
        <f>'T-T2'!L54</f>
        <v>31774</v>
      </c>
      <c r="BQ51" s="272">
        <f>'C1-Incomes'!FN53-'C1-Incomes'!FF53-BP51</f>
        <v>0</v>
      </c>
      <c r="BR51" s="272">
        <f>TOTALS!AU111/1000000</f>
        <v>27692.493691</v>
      </c>
      <c r="BS51" s="272">
        <f>'T-T2'!M54+'T-T2'!N54</f>
        <v>36356</v>
      </c>
      <c r="BT51" s="272">
        <f>SUM('T-T2'!O54:T54)</f>
        <v>130117</v>
      </c>
      <c r="BU51" s="272">
        <f t="shared" si="23"/>
        <v>166473</v>
      </c>
      <c r="BV51" s="272">
        <f>'C1-Incomes'!FV53-'C1-Incomes'!FN53-BU51</f>
        <v>0</v>
      </c>
      <c r="BW51" s="272">
        <f>'T-T2'!X54</f>
        <v>294626</v>
      </c>
      <c r="BX51" s="277">
        <f>'C1-Incomes'!GE53-'C1-Incomes'!FV53-BW51</f>
        <v>0</v>
      </c>
      <c r="BY51" s="272">
        <f>'T-T2'!AC54-'T-T2'!AF54-'T-T2'!AG54</f>
        <v>1453484</v>
      </c>
      <c r="BZ51" s="277">
        <f t="shared" si="24"/>
        <v>438689</v>
      </c>
      <c r="CA51" s="277">
        <f>'C1-Incomes'!GM53-'C1-Incomes'!GE53-BZ51</f>
        <v>0</v>
      </c>
      <c r="CB51" s="277">
        <f>'C1-Incomes'!GM53-'T-T2'!B54</f>
        <v>0</v>
      </c>
      <c r="CC51" s="272">
        <f>'T-T1'!EB54</f>
        <v>936792</v>
      </c>
      <c r="CD51" s="272">
        <f>TOTALS!AV111/1000000</f>
        <v>946197.26781500003</v>
      </c>
      <c r="CE51" s="272">
        <f>TOTALS!BA111/1000000</f>
        <v>4713.6663498999997</v>
      </c>
      <c r="CF51" s="272">
        <f>'T-T3'!Q55</f>
        <v>30305</v>
      </c>
      <c r="CG51" s="277">
        <f>'C1-Incomes'!GM53-'C1-Incomes'!GU53-CC51-CE51-CF51</f>
        <v>-3.4990072890650481E-4</v>
      </c>
      <c r="CH51" s="277">
        <f>'T-T1'!ED54</f>
        <v>251511</v>
      </c>
      <c r="CI51" s="272">
        <f>TOTALS!AP111/1000000</f>
        <v>229941.188092</v>
      </c>
      <c r="CJ51" s="277">
        <f>'C1-Incomes'!GU53-'C1-Incomes'!HC53-CH51</f>
        <v>0</v>
      </c>
      <c r="CK51" s="277">
        <f t="shared" si="18"/>
        <v>390916</v>
      </c>
      <c r="CL51" s="277">
        <f>'C1-Incomes'!HC53-'C1-Incomes'!HK53-CK51</f>
        <v>0</v>
      </c>
      <c r="CM51" s="272">
        <f t="shared" si="19"/>
        <v>167415</v>
      </c>
      <c r="CN51" s="272">
        <f>TOTALS!AX111/1000000</f>
        <v>144367.976838</v>
      </c>
      <c r="CO51" s="272">
        <f t="shared" si="20"/>
        <v>183903</v>
      </c>
      <c r="CP51" s="272">
        <f>'T-T1'!DE54</f>
        <v>351318</v>
      </c>
      <c r="CQ51" s="277">
        <f>'C1-Incomes'!HK53-'C1-Incomes'!HS53-CP51</f>
        <v>0</v>
      </c>
      <c r="CR51" s="272">
        <f>'T-T3'!AG55-'T-T2'!AF54-'T-T2'!AG54</f>
        <v>835765</v>
      </c>
      <c r="CS51" s="272">
        <f>TOTALS!AY111/1000000</f>
        <v>780566.89005499997</v>
      </c>
      <c r="CT51" s="277">
        <f>'C1-Incomes'!HS53-'C1-Incomes'!IA53-CR51</f>
        <v>2.9999949038028717E-4</v>
      </c>
      <c r="CU51" s="277">
        <f>'T-T3a'!O55+'T-T3a'!P55</f>
        <v>498570</v>
      </c>
      <c r="CV51" s="277">
        <f>'C1-Incomes'!IA53-'C1-Incomes'!II53-CU51</f>
        <v>0</v>
      </c>
      <c r="CW51" s="272">
        <f>'T-T3'!H55</f>
        <v>-48999.12565010041</v>
      </c>
      <c r="CX51" s="277">
        <f>'C1-Incomes'!IQ53-'C1-Incomes'!II53-CW51</f>
        <v>-3.4989975392818451E-4</v>
      </c>
      <c r="CY51" s="277">
        <f>'T-T3'!G55</f>
        <v>1895406</v>
      </c>
      <c r="CZ51" s="277">
        <f>'C1-Incomes'!IY53-'C1-Incomes'!IQ53-CY51</f>
        <v>2.9999949038028717E-4</v>
      </c>
      <c r="DA51" s="277">
        <f>'C1-Incomes'!IY53-'T-T3'!Z55</f>
        <v>0</v>
      </c>
      <c r="DB51" s="280"/>
      <c r="DC51" s="272">
        <f>TOTALS!BG50/1000000</f>
        <v>58309.460803000002</v>
      </c>
      <c r="DD51" s="272">
        <f>TOTALS!BH50/1000000</f>
        <v>23197.965342</v>
      </c>
      <c r="DE51" s="272">
        <f t="shared" si="8"/>
        <v>81507.426145000005</v>
      </c>
      <c r="DF51" s="272">
        <f>TOTALS!BI50/1000000</f>
        <v>73695.685530999996</v>
      </c>
    </row>
    <row r="52" spans="1:110" ht="12" customHeight="1" x14ac:dyDescent="0.3">
      <c r="A52" s="268">
        <v>2006</v>
      </c>
      <c r="B52" s="272"/>
      <c r="C52" s="272"/>
      <c r="D52" s="272">
        <f>TOTALS!BF112/1000000</f>
        <v>72110.473721999995</v>
      </c>
      <c r="E52" s="277">
        <f>'C1-Incomes'!AX54-'C1-Incomes'!AH54-D52</f>
        <v>7.7999808127060533E-5</v>
      </c>
      <c r="F52" s="277">
        <v>0</v>
      </c>
      <c r="G52" s="272">
        <v>11393</v>
      </c>
      <c r="H52" s="272">
        <f>TOTALS!AB112/1000000</f>
        <v>19072.731617000001</v>
      </c>
      <c r="I52" s="272">
        <f>TOTALS!BP112/1000000</f>
        <v>34316.986541999999</v>
      </c>
      <c r="J52" s="272">
        <f>TOTALS!Y112/1000000</f>
        <v>24086.103246999999</v>
      </c>
      <c r="K52" s="272">
        <f>TOTALS!W112/1000000</f>
        <v>80270.811723000006</v>
      </c>
      <c r="L52" s="277">
        <f>TOTALS!K112/1000000</f>
        <v>7590.7587210000002</v>
      </c>
      <c r="M52" s="272">
        <f>TOTALS!BT112/1000000</f>
        <v>4267.2395753000001</v>
      </c>
      <c r="N52" s="272">
        <f>(TOTALS!CB112-TOTALS!CC112)/1000000</f>
        <v>-8105.4290477299992</v>
      </c>
      <c r="O52" s="272">
        <f t="shared" si="15"/>
        <v>-5775.437027029996</v>
      </c>
      <c r="P52" s="277">
        <f>'C1-Incomes'!BF54-'C1-Incomes'!AX54-O52</f>
        <v>-7.2969752181961667E-5</v>
      </c>
      <c r="Q52" s="277">
        <f>'C22-Fiduciary'!T51</f>
        <v>43874.606248473705</v>
      </c>
      <c r="R52" s="277">
        <f>'C1-Incomes'!BV54-'C1-Incomes'!BN54-Q52</f>
        <v>-1.2484741891967133E-3</v>
      </c>
      <c r="S52" s="270">
        <f>'T-T1'!CR55</f>
        <v>447140</v>
      </c>
      <c r="T52" s="270">
        <f t="shared" si="16"/>
        <v>28616.959999999999</v>
      </c>
      <c r="U52" s="331">
        <f>ROUND('C12-CorpOwn'!T51,3)</f>
        <v>6.4000000000000001E-2</v>
      </c>
      <c r="V52" s="270">
        <f t="shared" si="10"/>
        <v>230277.09999999998</v>
      </c>
      <c r="W52" s="279">
        <f>ROUND('C12-CorpOwn'!S51,3)</f>
        <v>0.51500000000000001</v>
      </c>
      <c r="X52" s="272">
        <f t="shared" si="6"/>
        <v>188245.94</v>
      </c>
      <c r="Y52" s="279">
        <f>1-ROUND('C12-CorpOwn'!S51,3)-ROUND('C12-CorpOwn'!T51,3)</f>
        <v>0.42099999999999999</v>
      </c>
      <c r="Z52" s="685">
        <f>'C1-Incomes'!CD54-'C1-Incomes'!BV54-S52</f>
        <v>0</v>
      </c>
      <c r="AA52" s="277">
        <f>'T-T1'!CP55</f>
        <v>473360</v>
      </c>
      <c r="AB52" s="277">
        <f>'T-T1'!AA55</f>
        <v>29052</v>
      </c>
      <c r="AC52" s="277">
        <f t="shared" si="7"/>
        <v>444308</v>
      </c>
      <c r="AD52" s="277">
        <f>'C1-Incomes'!CL54-'C1-Incomes'!CD54-AC52</f>
        <v>0</v>
      </c>
      <c r="AE52" s="277">
        <f t="shared" si="17"/>
        <v>196762</v>
      </c>
      <c r="AF52" s="277">
        <f>'C1-Incomes'!CT54-'C1-Incomes'!CL54-AE52</f>
        <v>0</v>
      </c>
      <c r="AG52" s="277">
        <f>'T-T1a'!C57</f>
        <v>-92146.588027711623</v>
      </c>
      <c r="AH52" s="277">
        <f>'T-T1a'!D57</f>
        <v>-58813.901343491387</v>
      </c>
      <c r="AI52" s="277">
        <f>'T-T1a'!E57</f>
        <v>78445.792512216431</v>
      </c>
      <c r="AJ52" s="277">
        <f>'T-T1a'!F57</f>
        <v>72514.696858986572</v>
      </c>
      <c r="AK52" s="277">
        <f>'C1-Incomes'!DB54-'C1-Incomes'!CT54</f>
        <v>1.0000001639127731E-3</v>
      </c>
      <c r="AL52" s="277">
        <f>'T-T1'!E55</f>
        <v>308952.91368423123</v>
      </c>
      <c r="AM52" s="277">
        <f>'T-T1'!L55</f>
        <v>17178.107761282103</v>
      </c>
      <c r="AN52" s="277">
        <f>'T-T1'!Q55</f>
        <v>540488.3362537435</v>
      </c>
      <c r="AO52" s="277">
        <f>'T-T1'!T55</f>
        <v>18333.368653999998</v>
      </c>
      <c r="AP52" s="277">
        <f>'T-T1'!AH55</f>
        <v>51466.126725999988</v>
      </c>
      <c r="AQ52" s="277">
        <f t="shared" si="9"/>
        <v>936418.85307925683</v>
      </c>
      <c r="AR52" s="277">
        <f>'C1-Incomes'!DJ54-'C1-Incomes'!DB54-AQ52</f>
        <v>9.2074344865977764E-4</v>
      </c>
      <c r="AS52" s="277">
        <f t="shared" si="21"/>
        <v>302598</v>
      </c>
      <c r="AT52" s="277">
        <f>'T-T1'!U55</f>
        <v>124340</v>
      </c>
      <c r="AU52" s="277">
        <f>'T-T1'!EE55</f>
        <v>178258</v>
      </c>
      <c r="AV52" s="277">
        <f>TOTALS!AX112/1000000</f>
        <v>156009.401698</v>
      </c>
      <c r="AW52" s="277">
        <f>'C1-Incomes'!DR54-'C1-Incomes'!DJ54-AS52</f>
        <v>-4.7071464359760284E-4</v>
      </c>
      <c r="AX52" s="277">
        <f>(TOTALS!Z112+TOTALS!AA112)/1000000</f>
        <v>420746.22490700003</v>
      </c>
      <c r="AY52" s="277">
        <f>'T-T1'!I55</f>
        <v>447360</v>
      </c>
      <c r="AZ52" s="277">
        <f>'C1-Incomes'!DZ54-'C1-Incomes'!DR54-AY52</f>
        <v>-9.3419104814529419E-5</v>
      </c>
      <c r="BA52" s="272">
        <f>'T-T1'!G55</f>
        <v>615106</v>
      </c>
      <c r="BB52" s="277">
        <f>'C1-Incomes'!EH54-'C1-Incomes'!DZ54-BA52</f>
        <v>-5.029141902923584E-8</v>
      </c>
      <c r="BC52" s="272">
        <f>'T-T1'!AD55+'T-T1'!AO55+'T-T1'!AR55+'T-T1'!AV55</f>
        <v>395778.21645451605</v>
      </c>
      <c r="BD52" s="272">
        <f>ROUND('T-T1'!BJ55,0)</f>
        <v>16420</v>
      </c>
      <c r="BE52" s="277">
        <f>'C1-Incomes'!EP54-'C1-Incomes'!EH54-BC52-BD52</f>
        <v>-9.0331654064357281E-5</v>
      </c>
      <c r="BF52" s="272">
        <f>ROUND('T-T1'!BA55,0)</f>
        <v>616925</v>
      </c>
      <c r="BG52" s="272">
        <f>ROUND('T-T1'!BC55+'T-T1'!BE55,0)</f>
        <v>31124</v>
      </c>
      <c r="BH52" s="272">
        <f>ROUND('T-T1'!V55+'T-T1'!AE55+'T-T1'!AP55+'T-T1'!AS55+'T-T1'!AW55+'T-T1'!BG55,0)</f>
        <v>53941</v>
      </c>
      <c r="BI52" s="272">
        <f>ROUND('T-T1'!AA55,0)</f>
        <v>29052</v>
      </c>
      <c r="BJ52" s="277">
        <f>'C1-Incomes'!EX54-'C1-Incomes'!EP54-SUM(BF52:BI52)</f>
        <v>0</v>
      </c>
      <c r="BK52" s="277">
        <f>'C1-Incomes'!EX54-'T-T1'!BN55</f>
        <v>-0.34999999962747097</v>
      </c>
      <c r="BL52" s="277">
        <f>'T-T2'!J55+'T-T2'!K55</f>
        <v>553615</v>
      </c>
      <c r="BM52" s="272">
        <f>TOTALS!P112/1000000</f>
        <v>337621.55529500003</v>
      </c>
      <c r="BN52" s="272">
        <f t="shared" si="22"/>
        <v>215993.44470499997</v>
      </c>
      <c r="BO52" s="277">
        <f>'C1-Incomes'!FF54-'C1-Incomes'!EX54-BL52</f>
        <v>0</v>
      </c>
      <c r="BP52" s="272">
        <f>'T-T2'!L55</f>
        <v>30367</v>
      </c>
      <c r="BQ52" s="272">
        <f>'C1-Incomes'!FN54-'C1-Incomes'!FF54-BP52</f>
        <v>0</v>
      </c>
      <c r="BR52" s="272">
        <f>TOTALS!AU112/1000000</f>
        <v>26340.253622</v>
      </c>
      <c r="BS52" s="272">
        <f>'T-T2'!M55+'T-T2'!N55</f>
        <v>38835</v>
      </c>
      <c r="BT52" s="272">
        <f>SUM('T-T2'!O55:T55)</f>
        <v>134139</v>
      </c>
      <c r="BU52" s="272">
        <f t="shared" si="23"/>
        <v>172974</v>
      </c>
      <c r="BV52" s="272">
        <f>'C1-Incomes'!FV54-'C1-Incomes'!FN54-BU52</f>
        <v>0</v>
      </c>
      <c r="BW52" s="272">
        <f>'T-T2'!X55</f>
        <v>352846</v>
      </c>
      <c r="BX52" s="277">
        <f>'C1-Incomes'!GE54-'C1-Incomes'!FV54-BW52</f>
        <v>0</v>
      </c>
      <c r="BY52" s="272">
        <f>'T-T2'!AC55-'T-T2'!AF55-'T-T2'!AG55</f>
        <v>1546777</v>
      </c>
      <c r="BZ52" s="277">
        <f t="shared" si="24"/>
        <v>436975</v>
      </c>
      <c r="CA52" s="277">
        <f>'C1-Incomes'!GM54-'C1-Incomes'!GE54-BZ52</f>
        <v>0</v>
      </c>
      <c r="CB52" s="277">
        <f>'C1-Incomes'!GM54-'T-T2'!B55</f>
        <v>0</v>
      </c>
      <c r="CC52" s="272">
        <f>'T-T1'!EB55</f>
        <v>1054559</v>
      </c>
      <c r="CD52" s="272">
        <f>TOTALS!AV112/1000000</f>
        <v>1038304.4</v>
      </c>
      <c r="CE52" s="272">
        <f>TOTALS!BA112/1000000</f>
        <v>5802.8633631000002</v>
      </c>
      <c r="CF52" s="272">
        <f>'T-T3'!Q56</f>
        <v>32928</v>
      </c>
      <c r="CG52" s="277">
        <f>'C1-Incomes'!GM54-'C1-Incomes'!GU54-CC52-CE52-CF52</f>
        <v>-4.4363099863403477E-2</v>
      </c>
      <c r="CH52" s="277">
        <f>'T-T1'!ED55</f>
        <v>276152</v>
      </c>
      <c r="CI52" s="272">
        <f>TOTALS!AP112/1000000</f>
        <v>249238.83268699999</v>
      </c>
      <c r="CJ52" s="277">
        <f>'C1-Incomes'!GU54-'C1-Incomes'!HC54-CH52</f>
        <v>-1.0000001639127731E-3</v>
      </c>
      <c r="CK52" s="277">
        <f t="shared" si="18"/>
        <v>444308</v>
      </c>
      <c r="CL52" s="277">
        <f>'C1-Incomes'!HC54-'C1-Incomes'!HK54-CK52</f>
        <v>0</v>
      </c>
      <c r="CM52" s="272">
        <f t="shared" si="19"/>
        <v>178258</v>
      </c>
      <c r="CN52" s="272">
        <f>TOTALS!AX112/1000000</f>
        <v>156009.401698</v>
      </c>
      <c r="CO52" s="272">
        <f t="shared" si="20"/>
        <v>196762</v>
      </c>
      <c r="CP52" s="272">
        <f>'T-T1'!DE55</f>
        <v>375020</v>
      </c>
      <c r="CQ52" s="277">
        <f>'C1-Incomes'!HK54-'C1-Incomes'!HS54-CP52</f>
        <v>0</v>
      </c>
      <c r="CR52" s="272">
        <f>'T-T3'!AG56-'T-T2'!AF55-'T-T2'!AG55</f>
        <v>876263</v>
      </c>
      <c r="CS52" s="272">
        <f>TOTALS!AY112/1000000</f>
        <v>823681.95686100004</v>
      </c>
      <c r="CT52" s="277">
        <f>'C1-Incomes'!HS54-'C1-Incomes'!IA54-CR52</f>
        <v>0</v>
      </c>
      <c r="CU52" s="277">
        <f>'T-T3a'!O56+'T-T3a'!P56</f>
        <v>528035</v>
      </c>
      <c r="CV52" s="277">
        <f>'C1-Incomes'!IA54-'C1-Incomes'!II54-CU52</f>
        <v>0</v>
      </c>
      <c r="CW52" s="272">
        <f>'T-T3'!H56</f>
        <v>45335.213363099843</v>
      </c>
      <c r="CX52" s="277">
        <f>'C1-Incomes'!IQ54-'C1-Incomes'!II54-CW52</f>
        <v>-3.631003201007843E-4</v>
      </c>
      <c r="CY52" s="277">
        <f>'T-T3'!G56</f>
        <v>2000956</v>
      </c>
      <c r="CZ52" s="277">
        <f>'C1-Incomes'!IY54-'C1-Incomes'!IQ54-CY52</f>
        <v>0</v>
      </c>
      <c r="DA52" s="277">
        <f>'C1-Incomes'!IY54-'T-T3'!Z56</f>
        <v>4.4999999925494194E-2</v>
      </c>
      <c r="DB52" s="280"/>
      <c r="DC52" s="272">
        <f>TOTALS!BG51/1000000</f>
        <v>61220.102398000003</v>
      </c>
      <c r="DD52" s="272">
        <f>TOTALS!BH51/1000000</f>
        <v>23816.751755000001</v>
      </c>
      <c r="DE52" s="272">
        <f t="shared" si="8"/>
        <v>85036.854153000007</v>
      </c>
      <c r="DF52" s="272">
        <f>TOTALS!BI51/1000000</f>
        <v>76620.796772000002</v>
      </c>
    </row>
    <row r="53" spans="1:110" ht="12" customHeight="1" x14ac:dyDescent="0.3">
      <c r="A53" s="268">
        <v>2007</v>
      </c>
      <c r="B53" s="272"/>
      <c r="C53" s="272"/>
      <c r="D53" s="272">
        <f>TOTALS!BF113/1000000</f>
        <v>78511.321370000005</v>
      </c>
      <c r="E53" s="277">
        <f>'C1-Incomes'!AX55-'C1-Incomes'!AH55-D53</f>
        <v>-7.0000052801333368E-5</v>
      </c>
      <c r="F53" s="277">
        <v>0</v>
      </c>
      <c r="G53" s="272">
        <v>12287</v>
      </c>
      <c r="H53" s="272">
        <f>TOTALS!AB113/1000000</f>
        <v>21004.374980000001</v>
      </c>
      <c r="I53" s="272">
        <f>TOTALS!BP113/1000000</f>
        <v>34873.994011000003</v>
      </c>
      <c r="J53" s="272">
        <f>TOTALS!Y113/1000000</f>
        <v>26911.966323000001</v>
      </c>
      <c r="K53" s="272">
        <f>TOTALS!W113/1000000</f>
        <v>85834.419941</v>
      </c>
      <c r="L53" s="277">
        <f>TOTALS!K113/1000000</f>
        <v>10989.873691999999</v>
      </c>
      <c r="M53" s="272">
        <f>TOTALS!BT113/1000000</f>
        <v>4232.1583536999997</v>
      </c>
      <c r="N53" s="272">
        <f>(TOTALS!CB113-TOTALS!CC113)/1000000</f>
        <v>-8694.7959245700004</v>
      </c>
      <c r="O53" s="272">
        <f t="shared" si="15"/>
        <v>-8585.7433432699945</v>
      </c>
      <c r="P53" s="277">
        <f>'C1-Incomes'!BF55-'C1-Incomes'!AX55-O53</f>
        <v>4.3269788875477389E-5</v>
      </c>
      <c r="Q53" s="277">
        <f>'C22-Fiduciary'!T52</f>
        <v>48487.313215804505</v>
      </c>
      <c r="R53" s="277">
        <f>'C1-Incomes'!BV55-'C1-Incomes'!BN55-Q53</f>
        <v>-2.1580442262347788E-4</v>
      </c>
      <c r="S53" s="270">
        <f>'T-T1'!CR56</f>
        <v>264552</v>
      </c>
      <c r="T53" s="270">
        <f t="shared" si="16"/>
        <v>17195.88</v>
      </c>
      <c r="U53" s="331">
        <f>ROUND('C12-CorpOwn'!T52,3)</f>
        <v>6.5000000000000002E-2</v>
      </c>
      <c r="V53" s="270">
        <f t="shared" si="10"/>
        <v>148413.67200000002</v>
      </c>
      <c r="W53" s="279">
        <f>ROUND('C12-CorpOwn'!S52,3)</f>
        <v>0.56100000000000005</v>
      </c>
      <c r="X53" s="272">
        <f t="shared" si="6"/>
        <v>98942.447999999989</v>
      </c>
      <c r="Y53" s="279">
        <f>1-ROUND('C12-CorpOwn'!S52,3)-ROUND('C12-CorpOwn'!T52,3)</f>
        <v>0.37399999999999994</v>
      </c>
      <c r="Z53" s="685">
        <f>'C1-Incomes'!CD55-'C1-Incomes'!BV55-S53</f>
        <v>0</v>
      </c>
      <c r="AA53" s="277">
        <f>'T-T1'!CP56</f>
        <v>445530</v>
      </c>
      <c r="AB53" s="277">
        <f>'T-T1'!AA56</f>
        <v>34598</v>
      </c>
      <c r="AC53" s="277">
        <f t="shared" si="7"/>
        <v>410932</v>
      </c>
      <c r="AD53" s="277">
        <f>'C1-Incomes'!CL55-'C1-Incomes'!CD55-AC53</f>
        <v>0</v>
      </c>
      <c r="AE53" s="277">
        <f t="shared" si="17"/>
        <v>212266</v>
      </c>
      <c r="AF53" s="277">
        <f>'C1-Incomes'!CT55-'C1-Incomes'!CL55-AE53</f>
        <v>0</v>
      </c>
      <c r="AG53" s="277">
        <f>'T-T1a'!C58</f>
        <v>-106362.56134947136</v>
      </c>
      <c r="AH53" s="277">
        <f>'T-T1a'!D58</f>
        <v>-57198.283237862801</v>
      </c>
      <c r="AI53" s="277">
        <f>'T-T1a'!E58</f>
        <v>106790.45890165592</v>
      </c>
      <c r="AJ53" s="277">
        <f>'T-T1a'!F58</f>
        <v>56770.385685678251</v>
      </c>
      <c r="AK53" s="277">
        <f>'C1-Incomes'!DB55-'C1-Incomes'!CT55</f>
        <v>1.0000001639127731E-3</v>
      </c>
      <c r="AL53" s="277">
        <f>'T-T1'!E56</f>
        <v>270405.12001270242</v>
      </c>
      <c r="AM53" s="277">
        <f>'T-T1'!L56</f>
        <v>14014.998984497382</v>
      </c>
      <c r="AN53" s="277">
        <f>'T-T1'!Q56</f>
        <v>470102.07925890066</v>
      </c>
      <c r="AO53" s="277">
        <f>'T-T1'!T56</f>
        <v>28015.936406000001</v>
      </c>
      <c r="AP53" s="277">
        <f>'T-T1'!AH56</f>
        <v>93047.906587000005</v>
      </c>
      <c r="AQ53" s="277">
        <f t="shared" si="9"/>
        <v>875586.04124910058</v>
      </c>
      <c r="AR53" s="277">
        <f>'C1-Incomes'!DJ55-'C1-Incomes'!DB55-AQ53</f>
        <v>-2.4910131469368935E-4</v>
      </c>
      <c r="AS53" s="277">
        <f t="shared" si="21"/>
        <v>287960</v>
      </c>
      <c r="AT53" s="277">
        <f>'T-T1'!U56</f>
        <v>96398</v>
      </c>
      <c r="AU53" s="277">
        <f>'T-T1'!EE56</f>
        <v>191562</v>
      </c>
      <c r="AV53" s="277">
        <f>TOTALS!AX113/1000000</f>
        <v>166446.24202899999</v>
      </c>
      <c r="AW53" s="277">
        <f>'C1-Incomes'!DR55-'C1-Incomes'!DJ55-AS53</f>
        <v>2.2267922759056091E-5</v>
      </c>
      <c r="AX53" s="277">
        <f>(TOTALS!Z113+TOTALS!AA113)/1000000</f>
        <v>443984.27055900003</v>
      </c>
      <c r="AY53" s="277">
        <f>'T-T1'!I56</f>
        <v>461670</v>
      </c>
      <c r="AZ53" s="277">
        <f>'C1-Incomes'!DZ55-'C1-Incomes'!DR55-AY53</f>
        <v>-4.4034048914909363E-4</v>
      </c>
      <c r="BA53" s="272">
        <f>'T-T1'!G56</f>
        <v>633793</v>
      </c>
      <c r="BB53" s="277">
        <f>'C1-Incomes'!EH55-'C1-Incomes'!DZ55-BA53</f>
        <v>-5.9790909290313721E-7</v>
      </c>
      <c r="BC53" s="272">
        <f>'T-T1'!AD56+'T-T1'!AO56+'T-T1'!AR56+'T-T1'!AV56</f>
        <v>437347.15696546494</v>
      </c>
      <c r="BD53" s="272">
        <f>ROUND('T-T1'!BJ56,0)</f>
        <v>1325</v>
      </c>
      <c r="BE53" s="277">
        <f>'C1-Incomes'!EP55-'C1-Incomes'!EH55-BC53-BD53</f>
        <v>-2.4679361376911402E-4</v>
      </c>
      <c r="BF53" s="272">
        <f>ROUND('T-T1'!BA56,0)</f>
        <v>630734</v>
      </c>
      <c r="BG53" s="272">
        <f>ROUND('T-T1'!BC56+'T-T1'!BE56,0)</f>
        <v>43976</v>
      </c>
      <c r="BH53" s="272">
        <f>ROUND('T-T1'!V56+'T-T1'!AE56+'T-T1'!AP56+'T-T1'!AS56+'T-T1'!AW56+'T-T1'!BG56,0)</f>
        <v>58502</v>
      </c>
      <c r="BI53" s="272">
        <f>ROUND('T-T1'!AA56,0)</f>
        <v>34598</v>
      </c>
      <c r="BJ53" s="277">
        <f>'C1-Incomes'!EX55-'C1-Incomes'!EP55-SUM(BF53:BI53)</f>
        <v>0</v>
      </c>
      <c r="BK53" s="277">
        <f>'C1-Incomes'!EX55-'T-T1'!BN56</f>
        <v>1.7070000004023314</v>
      </c>
      <c r="BL53" s="277">
        <f>'T-T2'!J56+'T-T2'!K56</f>
        <v>585466</v>
      </c>
      <c r="BM53" s="272">
        <f>TOTALS!P113/1000000</f>
        <v>378769.85449599999</v>
      </c>
      <c r="BN53" s="272">
        <f t="shared" si="22"/>
        <v>206696.14550400001</v>
      </c>
      <c r="BO53" s="277">
        <f>'C1-Incomes'!FF55-'C1-Incomes'!EX55-BL53</f>
        <v>1.0000001639127731E-3</v>
      </c>
      <c r="BP53" s="272">
        <f>'T-T2'!L56</f>
        <v>32739</v>
      </c>
      <c r="BQ53" s="272">
        <f>'C1-Incomes'!FN55-'C1-Incomes'!FF55-BP53</f>
        <v>0</v>
      </c>
      <c r="BR53" s="272">
        <f>TOTALS!AU113/1000000</f>
        <v>29167.145379000001</v>
      </c>
      <c r="BS53" s="272">
        <f>'T-T2'!M56+'T-T2'!N56</f>
        <v>41654</v>
      </c>
      <c r="BT53" s="272">
        <f>SUM('T-T2'!O56:T56)</f>
        <v>139925</v>
      </c>
      <c r="BU53" s="272">
        <f t="shared" si="23"/>
        <v>181579</v>
      </c>
      <c r="BV53" s="272">
        <f>'C1-Incomes'!FV55-'C1-Incomes'!FN55-BU53</f>
        <v>0</v>
      </c>
      <c r="BW53" s="272">
        <f>'T-T2'!X56</f>
        <v>378200</v>
      </c>
      <c r="BX53" s="277">
        <f>'C1-Incomes'!GE55-'C1-Incomes'!FV55-BW53</f>
        <v>0</v>
      </c>
      <c r="BY53" s="272">
        <f>'T-T2'!AC56-'T-T2'!AF56-'T-T2'!AG56</f>
        <v>1646637</v>
      </c>
      <c r="BZ53" s="277">
        <f t="shared" si="24"/>
        <v>468653</v>
      </c>
      <c r="CA53" s="277">
        <f>'C1-Incomes'!GM55-'C1-Incomes'!GE55-BZ53</f>
        <v>0</v>
      </c>
      <c r="CB53" s="277">
        <f>'C1-Incomes'!GM55-'T-T2'!B56</f>
        <v>1.0000001639127731E-3</v>
      </c>
      <c r="CC53" s="272">
        <f>'T-T1'!EB56</f>
        <v>1169712</v>
      </c>
      <c r="CD53" s="272">
        <f>TOTALS!AV113/1000000</f>
        <v>1132815.5</v>
      </c>
      <c r="CE53" s="272">
        <f>TOTALS!BA113/1000000</f>
        <v>8370.623650399999</v>
      </c>
      <c r="CF53" s="272">
        <f>'T-T3'!Q57</f>
        <v>31509</v>
      </c>
      <c r="CG53" s="277">
        <f>'C1-Incomes'!GM55-'C1-Incomes'!GU55-CC53-CE53-CF53</f>
        <v>-1.9650399714009836E-2</v>
      </c>
      <c r="CH53" s="277">
        <f>'T-T1'!ED56</f>
        <v>296376</v>
      </c>
      <c r="CI53" s="272">
        <f>TOTALS!AP113/1000000</f>
        <v>272405.68886699999</v>
      </c>
      <c r="CJ53" s="277">
        <f>'C1-Incomes'!GU55-'C1-Incomes'!HC55-CH53</f>
        <v>0</v>
      </c>
      <c r="CK53" s="277">
        <f t="shared" si="18"/>
        <v>410932</v>
      </c>
      <c r="CL53" s="277">
        <f>'C1-Incomes'!HC55-'C1-Incomes'!HK55-CK53</f>
        <v>0</v>
      </c>
      <c r="CM53" s="272">
        <f t="shared" si="19"/>
        <v>191562</v>
      </c>
      <c r="CN53" s="272">
        <f>TOTALS!AX113/1000000</f>
        <v>166446.24202899999</v>
      </c>
      <c r="CO53" s="272">
        <f t="shared" si="20"/>
        <v>212266</v>
      </c>
      <c r="CP53" s="272">
        <f>'T-T1'!DE56</f>
        <v>403828</v>
      </c>
      <c r="CQ53" s="277">
        <f>'C1-Incomes'!HK55-'C1-Incomes'!HS55-CP53</f>
        <v>0</v>
      </c>
      <c r="CR53" s="272">
        <f>'T-T3'!AG57-'T-T2'!AF56-'T-T2'!AG56</f>
        <v>910556</v>
      </c>
      <c r="CS53" s="272">
        <f>TOTALS!AY113/1000000</f>
        <v>869434.92261799995</v>
      </c>
      <c r="CT53" s="277">
        <f>'C1-Incomes'!HS55-'C1-Incomes'!IA55-CR53</f>
        <v>0</v>
      </c>
      <c r="CU53" s="277">
        <f>'T-T3a'!O57+'T-T3a'!P57</f>
        <v>543028</v>
      </c>
      <c r="CV53" s="277">
        <f>'C1-Incomes'!IA55-'C1-Incomes'!II55-CU53</f>
        <v>0</v>
      </c>
      <c r="CW53" s="272">
        <f>'T-T3'!H57</f>
        <v>5657.9166503995657</v>
      </c>
      <c r="CX53" s="277">
        <f>'C1-Incomes'!IQ55-'C1-Incomes'!II55-CW53</f>
        <v>3.4959986805915833E-4</v>
      </c>
      <c r="CY53" s="277">
        <f>'T-T3'!G57</f>
        <v>2122015</v>
      </c>
      <c r="CZ53" s="277">
        <f>'C1-Incomes'!IY55-'C1-Incomes'!IQ55-CY53</f>
        <v>0</v>
      </c>
      <c r="DA53" s="277">
        <f>'C1-Incomes'!IY55-'T-T3'!Z57</f>
        <v>2.0999999716877937E-2</v>
      </c>
      <c r="DB53" s="280"/>
      <c r="DC53" s="272">
        <f>TOTALS!BG52/1000000</f>
        <v>64858.731518000001</v>
      </c>
      <c r="DD53" s="272">
        <f>TOTALS!BH52/1000000</f>
        <v>26245.294258000002</v>
      </c>
      <c r="DE53" s="272">
        <f t="shared" si="8"/>
        <v>91104.025775999995</v>
      </c>
      <c r="DF53" s="272">
        <f>TOTALS!BI52/1000000</f>
        <v>81374.180202000003</v>
      </c>
    </row>
    <row r="54" spans="1:110" ht="12" customHeight="1" x14ac:dyDescent="0.3">
      <c r="A54" s="268">
        <v>2008</v>
      </c>
      <c r="B54" s="272"/>
      <c r="C54" s="272"/>
      <c r="D54" s="272">
        <f>TOTALS!BF114/1000000</f>
        <v>79055.145929000006</v>
      </c>
      <c r="E54" s="277">
        <f>'C1-Incomes'!AX56-'C1-Incomes'!AH56-D54</f>
        <v>-2.8999187634326518E-5</v>
      </c>
      <c r="F54" s="277">
        <v>0</v>
      </c>
      <c r="G54" s="272">
        <v>13187</v>
      </c>
      <c r="H54" s="272">
        <f>TOTALS!AB114/1000000</f>
        <v>18365.571583000001</v>
      </c>
      <c r="I54" s="272">
        <f>TOTALS!BP114/1000000</f>
        <v>31649.091272000001</v>
      </c>
      <c r="J54" s="272">
        <f>TOTALS!Y114/1000000</f>
        <v>27397.416664</v>
      </c>
      <c r="K54" s="272">
        <f>TOTALS!W114/1000000</f>
        <v>96204.385576999994</v>
      </c>
      <c r="L54" s="277">
        <f>TOTALS!K114/1000000</f>
        <v>2475.2576300000001</v>
      </c>
      <c r="M54" s="272">
        <f>TOTALS!BT114/1000000</f>
        <v>-7837.950237</v>
      </c>
      <c r="N54" s="272">
        <f>(TOTALS!CB114-TOTALS!CC114)/1000000</f>
        <v>-8692.5277049100005</v>
      </c>
      <c r="O54" s="272">
        <f t="shared" si="15"/>
        <v>28649.470960089984</v>
      </c>
      <c r="P54" s="277">
        <f>'C1-Incomes'!BF56-'C1-Incomes'!AX56-O54</f>
        <v>3.9909918996272609E-5</v>
      </c>
      <c r="Q54" s="277">
        <f>'C22-Fiduciary'!T53</f>
        <v>37185.860639995481</v>
      </c>
      <c r="R54" s="277">
        <f>'C1-Incomes'!BV56-'C1-Incomes'!BN56-Q54</f>
        <v>3.6000408726977184E-4</v>
      </c>
      <c r="S54" s="270">
        <f>'T-T1'!CR57</f>
        <v>167349</v>
      </c>
      <c r="T54" s="270">
        <f t="shared" si="16"/>
        <v>13889.967000000001</v>
      </c>
      <c r="U54" s="331">
        <f>ROUND('C12-CorpOwn'!T53,3)</f>
        <v>8.3000000000000004E-2</v>
      </c>
      <c r="V54" s="270">
        <f t="shared" si="10"/>
        <v>96058.326000000001</v>
      </c>
      <c r="W54" s="279">
        <f>ROUND('C12-CorpOwn'!S53,3)</f>
        <v>0.57399999999999995</v>
      </c>
      <c r="X54" s="272">
        <f t="shared" si="6"/>
        <v>57400.707000000002</v>
      </c>
      <c r="Y54" s="279">
        <f>1-ROUND('C12-CorpOwn'!S53,3)-ROUND('C12-CorpOwn'!T53,3)</f>
        <v>0.34300000000000003</v>
      </c>
      <c r="Z54" s="685">
        <f>'C1-Incomes'!CD56-'C1-Incomes'!BV56-S54</f>
        <v>0</v>
      </c>
      <c r="AA54" s="277">
        <f>'T-T1'!CP57</f>
        <v>309100</v>
      </c>
      <c r="AB54" s="277">
        <f>'T-T1'!AA57</f>
        <v>31689</v>
      </c>
      <c r="AC54" s="277">
        <f t="shared" si="7"/>
        <v>277411</v>
      </c>
      <c r="AD54" s="277">
        <f>'C1-Incomes'!CL56-'C1-Incomes'!CD56-AC54</f>
        <v>0</v>
      </c>
      <c r="AE54" s="277">
        <f t="shared" si="17"/>
        <v>217607</v>
      </c>
      <c r="AF54" s="277">
        <f>'C1-Incomes'!CT56-'C1-Incomes'!CL56-AE54</f>
        <v>0</v>
      </c>
      <c r="AG54" s="277">
        <f>'T-T1a'!C59</f>
        <v>-104115.78119482449</v>
      </c>
      <c r="AH54" s="277">
        <f>'T-T1a'!D59</f>
        <v>-68712.408424936875</v>
      </c>
      <c r="AI54" s="277">
        <f>'T-T1a'!E59</f>
        <v>130309.67938146765</v>
      </c>
      <c r="AJ54" s="277">
        <f>'T-T1a'!F59</f>
        <v>42518.510238293718</v>
      </c>
      <c r="AK54" s="277">
        <f>'C1-Incomes'!DB56-'C1-Incomes'!CT56</f>
        <v>0</v>
      </c>
      <c r="AL54" s="277">
        <f>'T-T1'!E57</f>
        <v>285613.98584952205</v>
      </c>
      <c r="AM54" s="277">
        <f>'T-T1'!L57</f>
        <v>22582.487269461686</v>
      </c>
      <c r="AN54" s="277">
        <f>'T-T1'!Q57</f>
        <v>539299.77733050729</v>
      </c>
      <c r="AO54" s="277">
        <f>'T-T1'!T57</f>
        <v>38828.161263999995</v>
      </c>
      <c r="AP54" s="277">
        <f>'T-T1'!AH57</f>
        <v>107783.33979699999</v>
      </c>
      <c r="AQ54" s="277">
        <f t="shared" si="9"/>
        <v>994107.7515104909</v>
      </c>
      <c r="AR54" s="277">
        <f>'C1-Incomes'!DJ56-'C1-Incomes'!DB56-AQ54</f>
        <v>-5.1049073226749897E-4</v>
      </c>
      <c r="AS54" s="277">
        <f t="shared" si="21"/>
        <v>343399</v>
      </c>
      <c r="AT54" s="277">
        <f>'T-T1'!U57</f>
        <v>147234</v>
      </c>
      <c r="AU54" s="277">
        <f>'T-T1'!EE57</f>
        <v>196165</v>
      </c>
      <c r="AV54" s="277">
        <f>TOTALS!AX114/1000000</f>
        <v>167448.58352700001</v>
      </c>
      <c r="AW54" s="277">
        <f>'C1-Incomes'!DR56-'C1-Incomes'!DJ56-AS54</f>
        <v>-8.6493045091629028E-4</v>
      </c>
      <c r="AX54" s="277">
        <f>(TOTALS!Z114+TOTALS!AA114)/1000000</f>
        <v>452635.73088599998</v>
      </c>
      <c r="AY54" s="277">
        <f>'T-T1'!I57</f>
        <v>471313</v>
      </c>
      <c r="AZ54" s="277">
        <f>'C1-Incomes'!DZ56-'C1-Incomes'!DR56-AY54</f>
        <v>-1.1385791003704071E-4</v>
      </c>
      <c r="BA54" s="272">
        <f>'T-T1'!G57</f>
        <v>647744</v>
      </c>
      <c r="BB54" s="277">
        <f>'C1-Incomes'!EH56-'C1-Incomes'!DZ56-BA54</f>
        <v>-2.5331974029541016E-7</v>
      </c>
      <c r="BC54" s="272">
        <f>'T-T1'!AD57+'T-T1'!AO57+'T-T1'!AR57+'T-T1'!AV57</f>
        <v>527231.61639270897</v>
      </c>
      <c r="BD54" s="272">
        <f>ROUND('T-T1'!BJ57,0)</f>
        <v>-7250</v>
      </c>
      <c r="BE54" s="277">
        <f>'C1-Incomes'!EP56-'C1-Incomes'!EH56-BC54-BD54</f>
        <v>-8.1366824451833963E-4</v>
      </c>
      <c r="BF54" s="272">
        <f>ROUND('T-T1'!BA57,0)</f>
        <v>628145</v>
      </c>
      <c r="BG54" s="272">
        <f>ROUND('T-T1'!BC57+'T-T1'!BE57,0)</f>
        <v>61812</v>
      </c>
      <c r="BH54" s="272">
        <f>ROUND('T-T1'!V57+'T-T1'!AE57+'T-T1'!AP57+'T-T1'!AS57+'T-T1'!AW57+'T-T1'!BG57,0)</f>
        <v>68356</v>
      </c>
      <c r="BI54" s="272">
        <f>ROUND('T-T1'!AA57,0)</f>
        <v>31689</v>
      </c>
      <c r="BJ54" s="277">
        <f>'C1-Incomes'!EX56-'C1-Incomes'!EP56-SUM(BF54:BI54)</f>
        <v>0</v>
      </c>
      <c r="BK54" s="277">
        <f>'C1-Incomes'!EX56-'T-T1'!BN57</f>
        <v>0.88099999912083149</v>
      </c>
      <c r="BL54" s="277">
        <f>'T-T2'!J57+'T-T2'!K57</f>
        <v>615610</v>
      </c>
      <c r="BM54" s="272">
        <f>TOTALS!P114/1000000</f>
        <v>412174.26272200001</v>
      </c>
      <c r="BN54" s="272">
        <f t="shared" si="22"/>
        <v>203435.73727799999</v>
      </c>
      <c r="BO54" s="277">
        <f>'C1-Incomes'!FF56-'C1-Incomes'!EX56-BL54</f>
        <v>0</v>
      </c>
      <c r="BP54" s="272">
        <f>'T-T2'!L57</f>
        <v>51147</v>
      </c>
      <c r="BQ54" s="272">
        <f>'C1-Incomes'!FN56-'C1-Incomes'!FF56-BP54</f>
        <v>0</v>
      </c>
      <c r="BR54" s="277">
        <f>TOTALS!AU114/1000000</f>
        <v>43405.397018999996</v>
      </c>
      <c r="BS54" s="272">
        <f>'T-T2'!M57+'T-T2'!N57</f>
        <v>44986</v>
      </c>
      <c r="BT54" s="646">
        <f>SUM('T-T2'!O57:T57)</f>
        <v>159611.59474500001</v>
      </c>
      <c r="BU54" s="272">
        <f t="shared" si="23"/>
        <v>204597.59474500001</v>
      </c>
      <c r="BV54" s="272">
        <f>'C1-Incomes'!FV56-'C1-Incomes'!FN56-BU54-'T-T2'!U57</f>
        <v>0.40500000117754098</v>
      </c>
      <c r="BW54" s="272">
        <f>'T-T2'!X57</f>
        <v>407667</v>
      </c>
      <c r="BX54" s="277">
        <f>'C1-Incomes'!GE56-'C1-Incomes'!FV56-BW54</f>
        <v>0</v>
      </c>
      <c r="BY54" s="272">
        <f>'T-T2'!AC57-'T-T2'!AF57-'T-T2'!AG57</f>
        <v>1864691</v>
      </c>
      <c r="BZ54" s="277">
        <f>BY54-BW54-BS54-BP54-BL54-BT54</f>
        <v>585669.40525499999</v>
      </c>
      <c r="CA54" s="277">
        <f>'C1-Incomes'!GM56-'C1-Incomes'!GE56-BZ54</f>
        <v>-0.40525499999057502</v>
      </c>
      <c r="CB54" s="277">
        <f>'C1-Incomes'!GM56-'T-T2'!B57</f>
        <v>-2.5499798357486725E-4</v>
      </c>
      <c r="CC54" s="272">
        <f>'T-T1'!EB57</f>
        <v>1174269</v>
      </c>
      <c r="CD54" s="272">
        <f>TOTALS!AV114/1000000</f>
        <v>1054744.8</v>
      </c>
      <c r="CE54" s="272">
        <f>TOTALS!BA114/1000000</f>
        <v>8319.6370571999996</v>
      </c>
      <c r="CF54" s="272">
        <f>'T-T3'!Q58</f>
        <v>33863</v>
      </c>
      <c r="CG54" s="277">
        <f>'C1-Incomes'!GM56-'C1-Incomes'!GU56-CC54-CE54-CF54</f>
        <v>-2.905719906266313E-2</v>
      </c>
      <c r="CH54" s="277">
        <f>'T-T1'!ED57</f>
        <v>307019</v>
      </c>
      <c r="CI54" s="272">
        <f>TOTALS!AP114/1000000</f>
        <v>274635.08447499998</v>
      </c>
      <c r="CJ54" s="277">
        <f>'C1-Incomes'!GU56-'C1-Incomes'!HC56-CH54</f>
        <v>1.0000001639127731E-3</v>
      </c>
      <c r="CK54" s="277">
        <f t="shared" si="18"/>
        <v>277411</v>
      </c>
      <c r="CL54" s="277">
        <f>'C1-Incomes'!HC56-'C1-Incomes'!HK56-CK54</f>
        <v>0</v>
      </c>
      <c r="CM54" s="272">
        <f t="shared" si="19"/>
        <v>196165</v>
      </c>
      <c r="CN54" s="272">
        <f>TOTALS!AX114/1000000</f>
        <v>167448.58352700001</v>
      </c>
      <c r="CO54" s="272">
        <f t="shared" si="20"/>
        <v>217607</v>
      </c>
      <c r="CP54" s="272">
        <f>'T-T1'!DE57</f>
        <v>413772</v>
      </c>
      <c r="CQ54" s="277">
        <f>'C1-Incomes'!HK56-'C1-Incomes'!HS56-CP54</f>
        <v>-1.0000001639127731E-3</v>
      </c>
      <c r="CR54" s="272">
        <f>'T-T3'!AG58-'T-T2'!AF57-'T-T2'!AG57</f>
        <v>932938</v>
      </c>
      <c r="CS54" s="272">
        <f>TOTALS!AY114/1000000</f>
        <v>886146.10288999998</v>
      </c>
      <c r="CT54" s="277">
        <f>'C1-Incomes'!HS56-'C1-Incomes'!IA56-CR54</f>
        <v>0</v>
      </c>
      <c r="CU54" s="277">
        <f>'T-T3a'!O58+'T-T3a'!P58</f>
        <v>543054</v>
      </c>
      <c r="CV54" s="277">
        <f>'C1-Incomes'!IA56-'C1-Incomes'!II56-CU54</f>
        <v>0</v>
      </c>
      <c r="CW54" s="272">
        <f>'T-T3'!H58</f>
        <v>-540529.64919779822</v>
      </c>
      <c r="CX54" s="277">
        <f>'C1-Incomes'!IQ56-'C1-Incomes'!II56-CW54</f>
        <v>1.9779801368713379E-4</v>
      </c>
      <c r="CY54" s="277">
        <f>'T-T3'!G58</f>
        <v>2283474</v>
      </c>
      <c r="CZ54" s="277">
        <f>'C1-Incomes'!IY56-'C1-Incomes'!IQ56-CY54</f>
        <v>0</v>
      </c>
      <c r="DA54" s="277">
        <f>'C1-Incomes'!IY56-'T-T3'!Z58</f>
        <v>2.8999999165534973E-2</v>
      </c>
      <c r="DB54" s="280"/>
      <c r="DC54" s="272">
        <f>TOTALS!BG53/1000000</f>
        <v>62922.285865999998</v>
      </c>
      <c r="DD54" s="272">
        <f>TOTALS!BH53/1000000</f>
        <v>23891.084623999999</v>
      </c>
      <c r="DE54" s="272">
        <f t="shared" si="8"/>
        <v>86813.370490000001</v>
      </c>
      <c r="DF54" s="272">
        <f>TOTALS!BI53/1000000</f>
        <v>78656.803885000001</v>
      </c>
    </row>
    <row r="55" spans="1:110" ht="12" customHeight="1" x14ac:dyDescent="0.3">
      <c r="A55" s="268">
        <v>2009</v>
      </c>
      <c r="B55" s="272"/>
      <c r="C55" s="272"/>
      <c r="D55" s="272">
        <f>TOTALS!BF115/1000000</f>
        <v>73016.993377000006</v>
      </c>
      <c r="E55" s="277">
        <f>'C1-Incomes'!AX57-'C1-Incomes'!AH57-D55</f>
        <v>2.3000029614195228E-5</v>
      </c>
      <c r="F55" s="277">
        <v>0</v>
      </c>
      <c r="G55" s="272">
        <v>12066</v>
      </c>
      <c r="H55" s="272">
        <f>TOTALS!AB115/1000000</f>
        <v>15213.250561999999</v>
      </c>
      <c r="I55" s="272">
        <f>TOTALS!BP115/1000000</f>
        <v>29838.623882</v>
      </c>
      <c r="J55" s="272">
        <f>TOTALS!Y115/1000000</f>
        <v>30124.531805999999</v>
      </c>
      <c r="K55" s="272">
        <f>TOTALS!W115/1000000</f>
        <v>123167.96599300001</v>
      </c>
      <c r="L55" s="277">
        <f>TOTALS!K115/1000000</f>
        <v>305.15901220000001</v>
      </c>
      <c r="M55" s="272">
        <f>TOTALS!BT115/1000000</f>
        <v>-16491.016015000001</v>
      </c>
      <c r="N55" s="272">
        <f>(TOTALS!CB115-TOTALS!CC115)/1000000</f>
        <v>-8817.9661197900004</v>
      </c>
      <c r="O55" s="272">
        <f t="shared" si="15"/>
        <v>67425.450626010002</v>
      </c>
      <c r="P55" s="277">
        <f>'C1-Incomes'!BF57-'C1-Incomes'!AX57-O55</f>
        <v>-2.6009904104284942E-5</v>
      </c>
      <c r="Q55" s="277">
        <f>'C22-Fiduciary'!T54</f>
        <v>17743.818272707369</v>
      </c>
      <c r="R55" s="277">
        <f>'C1-Incomes'!BV57-'C1-Incomes'!BN57-Q55</f>
        <v>-2.7270739883533679E-4</v>
      </c>
      <c r="S55" s="270">
        <f>'T-T1'!CR58</f>
        <v>552898</v>
      </c>
      <c r="T55" s="270">
        <f t="shared" si="16"/>
        <v>39255.757999999994</v>
      </c>
      <c r="U55" s="331">
        <f>ROUND('C12-CorpOwn'!T54,3)</f>
        <v>7.0999999999999994E-2</v>
      </c>
      <c r="V55" s="270">
        <f t="shared" si="10"/>
        <v>311834.47200000001</v>
      </c>
      <c r="W55" s="279">
        <f>ROUND('C12-CorpOwn'!S54,3)</f>
        <v>0.56399999999999995</v>
      </c>
      <c r="X55" s="272">
        <f t="shared" si="6"/>
        <v>201807.77000000002</v>
      </c>
      <c r="Y55" s="279">
        <f>1-ROUND('C12-CorpOwn'!S54,3)-ROUND('C12-CorpOwn'!T54,3)</f>
        <v>0.36500000000000005</v>
      </c>
      <c r="Z55" s="685">
        <f>'C1-Incomes'!CD57-'C1-Incomes'!BV57-S55</f>
        <v>0</v>
      </c>
      <c r="AA55" s="277">
        <f>'T-T1'!CP58</f>
        <v>269444</v>
      </c>
      <c r="AB55" s="277">
        <f>'T-T1'!AA58</f>
        <v>47430</v>
      </c>
      <c r="AC55" s="277">
        <f t="shared" si="7"/>
        <v>222014</v>
      </c>
      <c r="AD55" s="277">
        <f>'C1-Incomes'!CL57-'C1-Incomes'!CD57-AC55</f>
        <v>0</v>
      </c>
      <c r="AE55" s="277">
        <f t="shared" si="17"/>
        <v>229033</v>
      </c>
      <c r="AF55" s="277">
        <f>'C1-Incomes'!CT57-'C1-Incomes'!CL57-AE55</f>
        <v>-9.3132257461547852E-10</v>
      </c>
      <c r="AG55" s="277">
        <f>'T-T1a'!C60</f>
        <v>1578.3850086484331</v>
      </c>
      <c r="AH55" s="277">
        <f>'T-T1a'!D60</f>
        <v>1652.0542469312179</v>
      </c>
      <c r="AI55" s="277">
        <f>'T-T1a'!E60</f>
        <v>-1410.7581484463985</v>
      </c>
      <c r="AJ55" s="277">
        <f>'T-T1a'!F60</f>
        <v>-1819.6811071332527</v>
      </c>
      <c r="AK55" s="277">
        <f>'C1-Incomes'!DB57-'C1-Incomes'!CT57</f>
        <v>0</v>
      </c>
      <c r="AL55" s="277">
        <f>'T-T1'!E58</f>
        <v>246159.43158659898</v>
      </c>
      <c r="AM55" s="277">
        <f>'T-T1'!L58</f>
        <v>9234.9022353327528</v>
      </c>
      <c r="AN55" s="277">
        <f>'T-T1'!Q58</f>
        <v>518418.79228553287</v>
      </c>
      <c r="AO55" s="277">
        <f>'T-T1'!T58</f>
        <v>56931.990252000003</v>
      </c>
      <c r="AP55" s="277">
        <f>'T-T1'!AH58</f>
        <v>69608.969513999997</v>
      </c>
      <c r="AQ55" s="277">
        <f t="shared" si="9"/>
        <v>900354.08587346459</v>
      </c>
      <c r="AR55" s="277">
        <f>'C1-Incomes'!DJ57-'C1-Incomes'!DB57-AQ55</f>
        <v>1.2653646990656853E-4</v>
      </c>
      <c r="AS55" s="277">
        <f t="shared" si="21"/>
        <v>422823</v>
      </c>
      <c r="AT55" s="277">
        <f>'T-T1'!U58</f>
        <v>216752</v>
      </c>
      <c r="AU55" s="277">
        <f>'T-T1'!EE58</f>
        <v>206071</v>
      </c>
      <c r="AV55" s="277">
        <f>TOTALS!AX115/1000000</f>
        <v>167291.40496000001</v>
      </c>
      <c r="AW55" s="277">
        <f>'C1-Incomes'!DR57-'C1-Incomes'!DJ57-AS55</f>
        <v>-8.2762911915779114E-5</v>
      </c>
      <c r="AX55" s="277">
        <f>(TOTALS!Z115+TOTALS!AA115)/1000000</f>
        <v>439504.28808099998</v>
      </c>
      <c r="AY55" s="277">
        <f>'T-T1'!I58</f>
        <v>458104</v>
      </c>
      <c r="AZ55" s="277">
        <f>'C1-Incomes'!DZ57-'C1-Incomes'!DR57-AY55</f>
        <v>8.0637633800506592E-5</v>
      </c>
      <c r="BA55" s="272">
        <f>'T-T1'!G58</f>
        <v>652551</v>
      </c>
      <c r="BB55" s="277">
        <f>'C1-Incomes'!EH57-'C1-Incomes'!DZ57-BA55</f>
        <v>1.1175870895385742E-7</v>
      </c>
      <c r="BC55" s="272">
        <f>'T-T1'!AD58+'T-T1'!AO58+'T-T1'!AR58+'T-T1'!AV58</f>
        <v>379225.39165230608</v>
      </c>
      <c r="BD55" s="272">
        <f>ROUND('T-T1'!BJ58,0)</f>
        <v>-512</v>
      </c>
      <c r="BE55" s="277">
        <f>'C1-Incomes'!EP57-'C1-Incomes'!EH57-BC55-BD55</f>
        <v>2.4970667436718941E-4</v>
      </c>
      <c r="BF55" s="272">
        <f>ROUND('T-T1'!BA58,0)</f>
        <v>591042</v>
      </c>
      <c r="BG55" s="272">
        <f>ROUND('T-T1'!BC58+'T-T1'!BE58,0)</f>
        <v>66528</v>
      </c>
      <c r="BH55" s="272">
        <f>ROUND('T-T1'!V58+'T-T1'!AE58+'T-T1'!AP58+'T-T1'!AS58+'T-T1'!AW58+'T-T1'!BG58,0)</f>
        <v>42232</v>
      </c>
      <c r="BI55" s="272">
        <f>ROUND('T-T1'!AA58,0)</f>
        <v>47430</v>
      </c>
      <c r="BJ55" s="277">
        <f>'C1-Incomes'!EX57-'C1-Incomes'!EP57-SUM(BF55:BI55)</f>
        <v>0</v>
      </c>
      <c r="BK55" s="277">
        <f>'C1-Incomes'!EX57-'T-T1'!BN58</f>
        <v>0.89499999955296516</v>
      </c>
      <c r="BL55" s="277">
        <f>'T-T2'!J58+'T-T2'!K58</f>
        <v>675100</v>
      </c>
      <c r="BM55" s="272">
        <f>TOTALS!P115/1000000</f>
        <v>453756.654446</v>
      </c>
      <c r="BN55" s="272">
        <f t="shared" si="22"/>
        <v>221343.345554</v>
      </c>
      <c r="BO55" s="277">
        <f>'C1-Incomes'!FF57-'C1-Incomes'!EX57-BL55</f>
        <v>1.0000001639127731E-3</v>
      </c>
      <c r="BP55" s="272">
        <f>'T-T2'!L58</f>
        <v>131210</v>
      </c>
      <c r="BQ55" s="272">
        <f>'C1-Incomes'!FN57-'C1-Incomes'!FF57-BP55</f>
        <v>-1.0000001639127731E-3</v>
      </c>
      <c r="BR55" s="277">
        <f>TOTALS!AU115/1000000</f>
        <v>83173.629761000004</v>
      </c>
      <c r="BS55" s="272">
        <f>'T-T2'!M58+'T-T2'!N58</f>
        <v>51473</v>
      </c>
      <c r="BT55" s="272">
        <f>SUM('T-T2'!O58:T58)</f>
        <v>165531</v>
      </c>
      <c r="BU55" s="272">
        <f t="shared" si="23"/>
        <v>217004</v>
      </c>
      <c r="BV55" s="272">
        <f>'C1-Incomes'!FV57-'C1-Incomes'!FN57-BU55</f>
        <v>0</v>
      </c>
      <c r="BW55" s="272">
        <f>'T-T2'!X58</f>
        <v>432244</v>
      </c>
      <c r="BX55" s="277">
        <f>'C1-Incomes'!GE57-'C1-Incomes'!FV57-BW55</f>
        <v>0</v>
      </c>
      <c r="BY55" s="272">
        <f>'T-T2'!AC58-'T-T2'!AF58-'T-T2'!AG58</f>
        <v>2046470</v>
      </c>
      <c r="BZ55" s="277">
        <f t="shared" si="24"/>
        <v>590912</v>
      </c>
      <c r="CA55" s="277">
        <f>'C1-Incomes'!GM57-'C1-Incomes'!GE57-BZ55</f>
        <v>0</v>
      </c>
      <c r="CB55" s="277">
        <f>'C1-Incomes'!GM57-'T-T2'!B58</f>
        <v>0</v>
      </c>
      <c r="CC55" s="272">
        <f>'T-T1'!EB58</f>
        <v>864492</v>
      </c>
      <c r="CD55" s="272">
        <f>TOTALS!AV115/1000000</f>
        <v>918039.94576799998</v>
      </c>
      <c r="CE55" s="272">
        <f>TOTALS!BA115/1000000</f>
        <v>6361.4697866999995</v>
      </c>
      <c r="CF55" s="272">
        <f>'T-T3'!Q59</f>
        <v>24917</v>
      </c>
      <c r="CG55" s="277">
        <f>'C1-Incomes'!GM57-'C1-Incomes'!GU57-CC55-CE55-CF55</f>
        <v>-7.8670135553693399E-4</v>
      </c>
      <c r="CH55" s="277">
        <f>'T-T1'!ED58</f>
        <v>259505</v>
      </c>
      <c r="CI55" s="272">
        <f>TOTALS!AP115/1000000</f>
        <v>238314.701547</v>
      </c>
      <c r="CJ55" s="277">
        <f>'C1-Incomes'!GU57-'C1-Incomes'!HC57-CH55</f>
        <v>0</v>
      </c>
      <c r="CK55" s="277">
        <f t="shared" si="18"/>
        <v>222014</v>
      </c>
      <c r="CL55" s="277">
        <f>'C1-Incomes'!HC57-'C1-Incomes'!HK57-CK55</f>
        <v>0</v>
      </c>
      <c r="CM55" s="272">
        <f t="shared" si="19"/>
        <v>206071</v>
      </c>
      <c r="CN55" s="272">
        <f>TOTALS!AX115/1000000</f>
        <v>167291.40496000001</v>
      </c>
      <c r="CO55" s="272">
        <f t="shared" si="20"/>
        <v>229033</v>
      </c>
      <c r="CP55" s="272">
        <f>'T-T1'!DE58</f>
        <v>435104</v>
      </c>
      <c r="CQ55" s="277">
        <f>'C1-Incomes'!HK57-'C1-Incomes'!HS57-CP55</f>
        <v>0</v>
      </c>
      <c r="CR55" s="272">
        <f>'T-T3'!AG59-'T-T2'!AF58-'T-T2'!AG58</f>
        <v>902030</v>
      </c>
      <c r="CS55" s="272">
        <f>TOTALS!AY115/1000000</f>
        <v>864272.27303599997</v>
      </c>
      <c r="CT55" s="277">
        <f>'C1-Incomes'!HS57-'C1-Incomes'!IA57-CR55</f>
        <v>0</v>
      </c>
      <c r="CU55" s="277">
        <f>'T-T3a'!O59+'T-T3a'!P59</f>
        <v>505733</v>
      </c>
      <c r="CV55" s="277">
        <f>'C1-Incomes'!IA57-'C1-Incomes'!II57-CU55</f>
        <v>0</v>
      </c>
      <c r="CW55" s="272">
        <f>'T-T3'!H59</f>
        <v>-1183067.4252132997</v>
      </c>
      <c r="CX55" s="277">
        <f>'C1-Incomes'!IQ57-'C1-Incomes'!II57-CW55</f>
        <v>4.1329860687255859E-4</v>
      </c>
      <c r="CY55" s="277">
        <f>'T-T3'!G59</f>
        <v>2356753</v>
      </c>
      <c r="CZ55" s="277">
        <f>'C1-Incomes'!IY57-'C1-Incomes'!IQ57-CY55</f>
        <v>-1.9999966025352478E-4</v>
      </c>
      <c r="DA55" s="277">
        <f>'C1-Incomes'!IY57-'T-T3'!Z59</f>
        <v>1.0000001639127731E-3</v>
      </c>
      <c r="DB55" s="280"/>
      <c r="DC55" s="272">
        <f>TOTALS!BG54/1000000</f>
        <v>50083.572543000002</v>
      </c>
      <c r="DD55" s="272">
        <f>TOTALS!BH54/1000000</f>
        <v>24481.571438999999</v>
      </c>
      <c r="DE55" s="272">
        <f t="shared" si="8"/>
        <v>74565.143982000009</v>
      </c>
      <c r="DF55" s="272">
        <f>TOTALS!BI54/1000000</f>
        <v>67791.194933000006</v>
      </c>
    </row>
    <row r="56" spans="1:110" ht="12" customHeight="1" x14ac:dyDescent="0.3">
      <c r="A56" s="268">
        <v>2010</v>
      </c>
      <c r="B56" s="272"/>
      <c r="C56" s="272"/>
      <c r="D56" s="272">
        <f>TOTALS!BF116/1000000</f>
        <v>74526.420377999995</v>
      </c>
      <c r="E56" s="277">
        <f>'C1-Incomes'!AX58-'C1-Incomes'!AH58-D56</f>
        <v>2.200018207076937E-5</v>
      </c>
      <c r="F56" s="277">
        <v>0</v>
      </c>
      <c r="G56" s="272">
        <v>12900</v>
      </c>
      <c r="H56" s="272">
        <f>TOTALS!AB116/1000000</f>
        <v>16006.700419000001</v>
      </c>
      <c r="I56" s="272">
        <f>TOTALS!BP116/1000000</f>
        <v>30127.24827</v>
      </c>
      <c r="J56" s="272">
        <f>TOTALS!Y116/1000000</f>
        <v>27304.709171999999</v>
      </c>
      <c r="K56" s="272">
        <f>TOTALS!W116/1000000</f>
        <v>143674.04965299999</v>
      </c>
      <c r="L56" s="277">
        <f>TOTALS!K116/1000000</f>
        <v>566.89452998000002</v>
      </c>
      <c r="M56" s="272">
        <f>TOTALS!BT116/1000000</f>
        <v>-18005.891957</v>
      </c>
      <c r="N56" s="272">
        <f>(TOTALS!CB116-TOTALS!CC116)/1000000</f>
        <v>-8792.6819558999996</v>
      </c>
      <c r="O56" s="272">
        <f t="shared" si="15"/>
        <v>91781.707263119999</v>
      </c>
      <c r="P56" s="277">
        <f>'C1-Incomes'!BF58-'C1-Incomes'!AX58-O56</f>
        <v>-6.3119936385191977E-5</v>
      </c>
      <c r="Q56" s="277">
        <f>'C22-Fiduciary'!T55</f>
        <v>25059.98844818116</v>
      </c>
      <c r="R56" s="277">
        <f>'C1-Incomes'!BV58-'C1-Incomes'!BN58-Q56</f>
        <v>5.5181889911182225E-4</v>
      </c>
      <c r="S56" s="270">
        <f>'T-T1'!CR59</f>
        <v>811899</v>
      </c>
      <c r="T56" s="270">
        <f t="shared" si="16"/>
        <v>55209.132000000005</v>
      </c>
      <c r="U56" s="331">
        <f>ROUND('C12-CorpOwn'!T55,3)</f>
        <v>6.8000000000000005E-2</v>
      </c>
      <c r="V56" s="270">
        <f t="shared" si="10"/>
        <v>444920.65200000006</v>
      </c>
      <c r="W56" s="279">
        <f>ROUND('C12-CorpOwn'!S55,3)</f>
        <v>0.54800000000000004</v>
      </c>
      <c r="X56" s="272">
        <f t="shared" si="6"/>
        <v>311769.21599999996</v>
      </c>
      <c r="Y56" s="279">
        <f>1-ROUND('C12-CorpOwn'!S55,3)-ROUND('C12-CorpOwn'!T55,3)</f>
        <v>0.38399999999999995</v>
      </c>
      <c r="Z56" s="685">
        <f>'C1-Incomes'!CD58-'C1-Incomes'!BV58-S56</f>
        <v>0</v>
      </c>
      <c r="AA56" s="277">
        <f>'T-T1'!CP59</f>
        <v>370571</v>
      </c>
      <c r="AB56" s="277">
        <f>'T-T1'!AA59</f>
        <v>79268</v>
      </c>
      <c r="AC56" s="277">
        <f t="shared" si="7"/>
        <v>291303</v>
      </c>
      <c r="AD56" s="277">
        <f>'C1-Incomes'!CL58-'C1-Incomes'!CD58-AC56</f>
        <v>0</v>
      </c>
      <c r="AE56" s="277">
        <f t="shared" si="17"/>
        <v>228945</v>
      </c>
      <c r="AF56" s="277">
        <f>'C1-Incomes'!CT58-'C1-Incomes'!CL58-AE56</f>
        <v>0</v>
      </c>
      <c r="AG56" s="277">
        <f>'T-T1a'!C61</f>
        <v>-50392.690231788256</v>
      </c>
      <c r="AH56" s="277">
        <f>'T-T1a'!D61</f>
        <v>-49382.006622516732</v>
      </c>
      <c r="AI56" s="277">
        <f>'T-T1a'!E61</f>
        <v>23988.91153846162</v>
      </c>
      <c r="AJ56" s="277">
        <f>'T-T1a'!F61</f>
        <v>75785.785315843372</v>
      </c>
      <c r="AK56" s="277">
        <f>'C1-Incomes'!DB58-'C1-Incomes'!CT58</f>
        <v>0</v>
      </c>
      <c r="AL56" s="277">
        <f>'T-T1'!E59</f>
        <v>234327.32614484709</v>
      </c>
      <c r="AM56" s="277">
        <f>'T-T1'!L59</f>
        <v>12672.394819920934</v>
      </c>
      <c r="AN56" s="277">
        <f>'T-T1'!Q59</f>
        <v>524765.41477661568</v>
      </c>
      <c r="AO56" s="277">
        <f>'T-T1'!T59</f>
        <v>57783.568228000004</v>
      </c>
      <c r="AP56" s="277">
        <f>'T-T1'!AH59</f>
        <v>59745.624666999996</v>
      </c>
      <c r="AQ56" s="277">
        <f t="shared" si="9"/>
        <v>889294.32863638375</v>
      </c>
      <c r="AR56" s="277">
        <f>'C1-Incomes'!DJ58-'C1-Incomes'!DB58-AQ56</f>
        <v>8.636153070256114E-4</v>
      </c>
      <c r="AS56" s="277">
        <f t="shared" si="21"/>
        <v>474167</v>
      </c>
      <c r="AT56" s="277">
        <f>'T-T1'!U59</f>
        <v>268070</v>
      </c>
      <c r="AU56" s="277">
        <f>'T-T1'!EE59</f>
        <v>206097</v>
      </c>
      <c r="AV56" s="277">
        <f>TOTALS!AX116/1000000</f>
        <v>171693.02116599999</v>
      </c>
      <c r="AW56" s="277">
        <f>'C1-Incomes'!DR58-'C1-Incomes'!DJ58-AS56</f>
        <v>-7.8933313488960266E-5</v>
      </c>
      <c r="AX56" s="277">
        <f>(TOTALS!Z116+TOTALS!AA116)/1000000</f>
        <v>453639.042265</v>
      </c>
      <c r="AY56" s="277">
        <f>'T-T1'!I59</f>
        <v>469361</v>
      </c>
      <c r="AZ56" s="277">
        <f>'C1-Incomes'!DZ58-'C1-Incomes'!DR58-AY56</f>
        <v>2.6403367519378662E-4</v>
      </c>
      <c r="BA56" s="272">
        <f>'T-T1'!G59</f>
        <v>660039</v>
      </c>
      <c r="BB56" s="277">
        <f>'C1-Incomes'!EH58-'C1-Incomes'!DZ58-BA56</f>
        <v>-1.4901161193847656E-8</v>
      </c>
      <c r="BC56" s="272">
        <f>'T-T1'!AD59+'T-T1'!AO59+'T-T1'!AR59+'T-T1'!AV59</f>
        <v>284980.87370952393</v>
      </c>
      <c r="BD56" s="272">
        <f>ROUND('T-T1'!BJ59,0)</f>
        <v>-56993</v>
      </c>
      <c r="BE56" s="277">
        <f>'C1-Incomes'!EP58-'C1-Incomes'!EH58-BC56-BD56</f>
        <v>1.0539044160395861E-4</v>
      </c>
      <c r="BF56" s="272">
        <f>ROUND('T-T1'!BA59,0)</f>
        <v>622068</v>
      </c>
      <c r="BG56" s="272">
        <f>ROUND('T-T1'!BC59+'T-T1'!BE59,0)</f>
        <v>72603</v>
      </c>
      <c r="BH56" s="272">
        <f>ROUND('T-T1'!V59+'T-T1'!AE59+'T-T1'!AP59+'T-T1'!AS59+'T-T1'!AW59+'T-T1'!BG59,0)</f>
        <v>33876</v>
      </c>
      <c r="BI56" s="272">
        <f>ROUND('T-T1'!AA59,0)</f>
        <v>79268</v>
      </c>
      <c r="BJ56" s="277">
        <f>'C1-Incomes'!EX58-'C1-Incomes'!EP58-SUM(BF56:BI56)</f>
        <v>0</v>
      </c>
      <c r="BK56" s="277">
        <f>'C1-Incomes'!EX58-'T-T1'!BN59</f>
        <v>0.26799999922513962</v>
      </c>
      <c r="BL56" s="277">
        <f>'T-T2'!J59+'T-T2'!K59</f>
        <v>700953</v>
      </c>
      <c r="BM56" s="272">
        <f>TOTALS!P116/1000000</f>
        <v>474674.89808100002</v>
      </c>
      <c r="BN56" s="272">
        <f t="shared" si="22"/>
        <v>226278.10191899998</v>
      </c>
      <c r="BO56" s="277">
        <f>'C1-Incomes'!FF58-'C1-Incomes'!EX58-BL56</f>
        <v>0</v>
      </c>
      <c r="BP56" s="272">
        <f>'T-T2'!L59</f>
        <v>138854</v>
      </c>
      <c r="BQ56" s="272">
        <f>'C1-Incomes'!FN58-'C1-Incomes'!FF58-BP56</f>
        <v>0</v>
      </c>
      <c r="BR56" s="277">
        <f>TOTALS!AU116/1000000</f>
        <v>119428.699131</v>
      </c>
      <c r="BS56" s="272">
        <f>'T-T2'!M59+'T-T2'!N59</f>
        <v>57873</v>
      </c>
      <c r="BT56" s="272">
        <f>SUM('T-T2'!O59:T59)</f>
        <v>235874</v>
      </c>
      <c r="BU56" s="272">
        <f t="shared" si="23"/>
        <v>293747</v>
      </c>
      <c r="BV56" s="272">
        <f>'C1-Incomes'!FV58-'C1-Incomes'!FN58-BU56</f>
        <v>0</v>
      </c>
      <c r="BW56" s="272">
        <f>'T-T2'!X59</f>
        <v>455307</v>
      </c>
      <c r="BX56" s="277">
        <f>'C1-Incomes'!GE58-'C1-Incomes'!FV58-BW56</f>
        <v>0</v>
      </c>
      <c r="BY56" s="272">
        <f>'T-T2'!AC59-'T-T2'!AF59-'T-T2'!AG59</f>
        <v>2223227</v>
      </c>
      <c r="BZ56" s="277">
        <f t="shared" si="24"/>
        <v>634366</v>
      </c>
      <c r="CA56" s="277">
        <f>'C1-Incomes'!GM58-'C1-Incomes'!GE58-BZ56</f>
        <v>0</v>
      </c>
      <c r="CB56" s="277">
        <f>'C1-Incomes'!GM58-'T-T2'!B59</f>
        <v>0</v>
      </c>
      <c r="CC56" s="272">
        <f>'T-T1'!EB59</f>
        <v>941622</v>
      </c>
      <c r="CD56" s="272">
        <f>TOTALS!AV116/1000000</f>
        <v>1005525.4</v>
      </c>
      <c r="CE56" s="272">
        <f>TOTALS!BA116/1000000</f>
        <v>8056.4145474999996</v>
      </c>
      <c r="CF56" s="272">
        <f>'T-T3'!Q60</f>
        <v>19525</v>
      </c>
      <c r="CG56" s="277">
        <f>'C1-Incomes'!GM58-'C1-Incomes'!GU58-CC56-CE56-CF56</f>
        <v>4.8452499522682047E-2</v>
      </c>
      <c r="CH56" s="277">
        <f>'T-T1'!ED59</f>
        <v>267149</v>
      </c>
      <c r="CI56" s="272">
        <f>TOTALS!AP116/1000000</f>
        <v>247962.825083</v>
      </c>
      <c r="CJ56" s="277">
        <f>'C1-Incomes'!GU58-'C1-Incomes'!HC58-CH56</f>
        <v>0</v>
      </c>
      <c r="CK56" s="277">
        <f t="shared" si="18"/>
        <v>291303</v>
      </c>
      <c r="CL56" s="277">
        <f>'C1-Incomes'!HC58-'C1-Incomes'!HK58-CK56</f>
        <v>0</v>
      </c>
      <c r="CM56" s="272">
        <f t="shared" si="19"/>
        <v>206097</v>
      </c>
      <c r="CN56" s="272">
        <f>TOTALS!AX116/1000000</f>
        <v>171693.02116599999</v>
      </c>
      <c r="CO56" s="272">
        <f t="shared" si="20"/>
        <v>228945</v>
      </c>
      <c r="CP56" s="272">
        <f>'T-T1'!DE59</f>
        <v>435042</v>
      </c>
      <c r="CQ56" s="277">
        <f>'C1-Incomes'!HK58-'C1-Incomes'!HS58-CP56</f>
        <v>0</v>
      </c>
      <c r="CR56" s="272">
        <f>'T-T3'!AG60-'T-T2'!AF59-'T-T2'!AG59</f>
        <v>925587</v>
      </c>
      <c r="CS56" s="272">
        <f>TOTALS!AY116/1000000</f>
        <v>885320.28311099997</v>
      </c>
      <c r="CT56" s="277">
        <f>'C1-Incomes'!HS58-'C1-Incomes'!IA58-CR56</f>
        <v>0</v>
      </c>
      <c r="CU56" s="277">
        <f>'T-T3a'!O60+'T-T3a'!P60</f>
        <v>535657</v>
      </c>
      <c r="CV56" s="277">
        <f>'C1-Incomes'!IA58-'C1-Incomes'!II58-CU56</f>
        <v>0</v>
      </c>
      <c r="CW56" s="272">
        <f>'T-T3'!H60</f>
        <v>-1235083.8534525</v>
      </c>
      <c r="CX56" s="277">
        <f>'C1-Incomes'!IQ58-'C1-Incomes'!II58-CW56</f>
        <v>4.5249983668327332E-4</v>
      </c>
      <c r="CY56" s="277">
        <f>'T-T3'!G60</f>
        <v>2435798</v>
      </c>
      <c r="CZ56" s="277">
        <f>'C1-Incomes'!IY58-'C1-Incomes'!IQ58-CY56</f>
        <v>0</v>
      </c>
      <c r="DA56" s="277">
        <f>'C1-Incomes'!IY58-'T-T3'!Z60</f>
        <v>-4.8000000417232513E-2</v>
      </c>
      <c r="DB56" s="280"/>
      <c r="DC56" s="272">
        <f>TOTALS!BG55/1000000</f>
        <v>49744.317995999998</v>
      </c>
      <c r="DD56" s="272">
        <f>TOTALS!BH55/1000000</f>
        <v>25578.750542000002</v>
      </c>
      <c r="DE56" s="272">
        <f t="shared" si="8"/>
        <v>75323.068537999992</v>
      </c>
      <c r="DF56" s="272">
        <f>TOTALS!BI55/1000000</f>
        <v>68995.767114000002</v>
      </c>
    </row>
    <row r="57" spans="1:110" ht="12" customHeight="1" x14ac:dyDescent="0.3">
      <c r="A57" s="268">
        <v>2011</v>
      </c>
      <c r="B57" s="272"/>
      <c r="C57" s="272"/>
      <c r="D57" s="272">
        <f>TOTALS!BF117/1000000</f>
        <v>72456.551363999999</v>
      </c>
      <c r="E57" s="277">
        <f>'C1-Incomes'!AX59-'C1-Incomes'!AH59-D57</f>
        <v>-6.3999599660746753E-5</v>
      </c>
      <c r="F57" s="277">
        <v>0</v>
      </c>
      <c r="G57" s="272">
        <v>12452</v>
      </c>
      <c r="H57" s="272">
        <f>TOTALS!AB117/1000000</f>
        <v>17496.170109999999</v>
      </c>
      <c r="I57" s="272">
        <f>TOTALS!BP117/1000000</f>
        <v>30275.802702000001</v>
      </c>
      <c r="J57" s="272">
        <f>TOTALS!Y117/1000000</f>
        <v>27355.912957</v>
      </c>
      <c r="K57" s="272">
        <f>TOTALS!W117/1000000</f>
        <v>167792.529767</v>
      </c>
      <c r="L57" s="277">
        <f>TOTALS!K117/1000000</f>
        <v>1635.5768822999999</v>
      </c>
      <c r="M57" s="272">
        <f>TOTALS!BT117/1000000</f>
        <v>-14323.984780999999</v>
      </c>
      <c r="N57" s="272">
        <f>(TOTALS!CB117-TOTALS!CC117)/1000000</f>
        <v>-8768.2227019999991</v>
      </c>
      <c r="O57" s="272">
        <f t="shared" si="15"/>
        <v>109036.8291947</v>
      </c>
      <c r="P57" s="277">
        <f>'C1-Incomes'!BF59-'C1-Incomes'!AX59-O57</f>
        <v>5.2995746955275536E-6</v>
      </c>
      <c r="Q57" s="277">
        <f>'C22-Fiduciary'!T56</f>
        <v>28148.242901260055</v>
      </c>
      <c r="R57" s="277">
        <f>'C1-Incomes'!BV59-'C1-Incomes'!BN59-Q57</f>
        <v>9.8739728855434805E-5</v>
      </c>
      <c r="S57" s="270">
        <f>'T-T1'!CR60</f>
        <v>733860</v>
      </c>
      <c r="T57" s="270">
        <f t="shared" si="16"/>
        <v>51370.200000000004</v>
      </c>
      <c r="U57" s="331">
        <f>ROUND('C12-CorpOwn'!T56,3)</f>
        <v>7.0000000000000007E-2</v>
      </c>
      <c r="V57" s="270">
        <f t="shared" si="10"/>
        <v>409493.88000000006</v>
      </c>
      <c r="W57" s="279">
        <f>ROUND('C12-CorpOwn'!S56,3)</f>
        <v>0.55800000000000005</v>
      </c>
      <c r="X57" s="272">
        <f t="shared" si="6"/>
        <v>272995.92</v>
      </c>
      <c r="Y57" s="279">
        <f>1-ROUND('C12-CorpOwn'!S56,3)-ROUND('C12-CorpOwn'!T56,3)</f>
        <v>0.37199999999999994</v>
      </c>
      <c r="Z57" s="685">
        <f>'C1-Incomes'!CD59-'C1-Incomes'!BV59-S57</f>
        <v>0</v>
      </c>
      <c r="AA57" s="277">
        <f>'T-T1'!CP60</f>
        <v>379095</v>
      </c>
      <c r="AB57" s="277">
        <f>'T-T1'!AA60</f>
        <v>75424</v>
      </c>
      <c r="AC57" s="277">
        <f t="shared" si="7"/>
        <v>303671</v>
      </c>
      <c r="AD57" s="277">
        <f>'C1-Incomes'!CL59-'C1-Incomes'!CD59-AC57</f>
        <v>0</v>
      </c>
      <c r="AE57" s="277">
        <f t="shared" si="17"/>
        <v>231098</v>
      </c>
      <c r="AF57" s="277">
        <f>'C1-Incomes'!CT59-'C1-Incomes'!CL59-AE57</f>
        <v>0</v>
      </c>
      <c r="AG57" s="277">
        <f>'T-T1a'!C62</f>
        <v>-112160.70579469751</v>
      </c>
      <c r="AH57" s="277">
        <f>'T-T1a'!D62</f>
        <v>-79436.266917743516</v>
      </c>
      <c r="AI57" s="277">
        <f>'T-T1a'!E62</f>
        <v>44973.464493983331</v>
      </c>
      <c r="AJ57" s="277">
        <f>'T-T1a'!F62</f>
        <v>146623.50821845769</v>
      </c>
      <c r="AK57" s="277">
        <f>'C1-Incomes'!DB59-'C1-Incomes'!CT59</f>
        <v>-1.0000001639127731E-3</v>
      </c>
      <c r="AL57" s="277">
        <f>'T-T1'!E60</f>
        <v>258023.46361442283</v>
      </c>
      <c r="AM57" s="277">
        <f>'T-T1'!L60</f>
        <v>37881.652602629227</v>
      </c>
      <c r="AN57" s="277">
        <f>'T-T1'!Q60</f>
        <v>576663.03209347394</v>
      </c>
      <c r="AO57" s="277">
        <f>'T-T1'!T60</f>
        <v>69074.024267999994</v>
      </c>
      <c r="AP57" s="277">
        <f>'T-T1'!AH60</f>
        <v>71787.263314999989</v>
      </c>
      <c r="AQ57" s="277">
        <f t="shared" si="9"/>
        <v>1013429.4358935261</v>
      </c>
      <c r="AR57" s="277">
        <f>'C1-Incomes'!DJ59-'C1-Incomes'!DB59-AQ57</f>
        <v>-9.352504275739193E-5</v>
      </c>
      <c r="AS57" s="277">
        <f t="shared" si="21"/>
        <v>535039</v>
      </c>
      <c r="AT57" s="277">
        <f>'T-T1'!U60</f>
        <v>326959</v>
      </c>
      <c r="AU57" s="277">
        <f>'T-T1'!EE60</f>
        <v>208080</v>
      </c>
      <c r="AV57" s="277">
        <f>TOTALS!AX117/1000000</f>
        <v>172379.336404</v>
      </c>
      <c r="AW57" s="277">
        <f>'C1-Incomes'!DR59-'C1-Incomes'!DJ59-AS57</f>
        <v>1.2732502073049545E-3</v>
      </c>
      <c r="AX57" s="277">
        <f>(TOTALS!Z117+TOTALS!AA117)/1000000</f>
        <v>468235.579677</v>
      </c>
      <c r="AY57" s="277">
        <f>'T-T1'!I60</f>
        <v>493886</v>
      </c>
      <c r="AZ57" s="277">
        <f>'C1-Incomes'!DZ59-'C1-Incomes'!DR59-AY57</f>
        <v>-3.2404251396656036E-4</v>
      </c>
      <c r="BA57" s="272">
        <f>'T-T1'!G60</f>
        <v>687210</v>
      </c>
      <c r="BB57" s="277">
        <f>'C1-Incomes'!EH59-'C1-Incomes'!DZ59-BA57</f>
        <v>-2.9802322387695313E-8</v>
      </c>
      <c r="BC57" s="272">
        <f>'T-T1'!AD60+'T-T1'!AO60+'T-T1'!AR60+'T-T1'!AV60</f>
        <v>390895.14251004992</v>
      </c>
      <c r="BD57" s="272">
        <f>ROUND('T-T1'!BJ60,0)</f>
        <v>-87793</v>
      </c>
      <c r="BE57" s="277">
        <f>'C1-Incomes'!EP59-'C1-Incomes'!EH59-BC57-BD57</f>
        <v>5.407715798355639E-4</v>
      </c>
      <c r="BF57" s="272">
        <f>ROUND('T-T1'!BA60,0)</f>
        <v>663448</v>
      </c>
      <c r="BG57" s="272">
        <f>ROUND('T-T1'!BC60+'T-T1'!BE60,0)</f>
        <v>71459</v>
      </c>
      <c r="BH57" s="272">
        <f>ROUND('T-T1'!V60+'T-T1'!AE60+'T-T1'!AP60+'T-T1'!AS60+'T-T1'!AW60+'T-T1'!BG60,0)</f>
        <v>43134</v>
      </c>
      <c r="BI57" s="272">
        <f>ROUND('T-T1'!AA60,0)</f>
        <v>75424</v>
      </c>
      <c r="BJ57" s="277">
        <f>'C1-Incomes'!EX59-'C1-Incomes'!EP59-SUM(BF57:BI57)</f>
        <v>0</v>
      </c>
      <c r="BK57" s="277">
        <f>'C1-Incomes'!EX59-'T-T1'!BN60</f>
        <v>0.15899999998509884</v>
      </c>
      <c r="BL57" s="277">
        <f>'T-T2'!J60+'T-T2'!K60</f>
        <v>724222</v>
      </c>
      <c r="BM57" s="272">
        <f>TOTALS!P117/1000000</f>
        <v>486806.45789700001</v>
      </c>
      <c r="BN57" s="272">
        <f t="shared" si="22"/>
        <v>237415.54210299999</v>
      </c>
      <c r="BO57" s="277">
        <f>'C1-Incomes'!FF59-'C1-Incomes'!EX59-BL57</f>
        <v>0</v>
      </c>
      <c r="BP57" s="272">
        <f>'T-T2'!L60</f>
        <v>107161</v>
      </c>
      <c r="BQ57" s="272">
        <f>'C1-Incomes'!FN59-'C1-Incomes'!FF59-BP57</f>
        <v>0</v>
      </c>
      <c r="BR57" s="277">
        <f>TOTALS!AU117/1000000</f>
        <v>91326.369967000006</v>
      </c>
      <c r="BS57" s="272">
        <f>'T-T2'!M60+'T-T2'!N60</f>
        <v>63164</v>
      </c>
      <c r="BT57" s="272">
        <f>SUM('T-T2'!O60:T60)</f>
        <v>242257</v>
      </c>
      <c r="BU57" s="272">
        <f t="shared" si="23"/>
        <v>305421</v>
      </c>
      <c r="BV57" s="272">
        <f>'C1-Incomes'!FV59-'C1-Incomes'!FN59-BU57</f>
        <v>0</v>
      </c>
      <c r="BW57" s="272">
        <f>'T-T2'!X60</f>
        <v>470779</v>
      </c>
      <c r="BX57" s="277">
        <f>'C1-Incomes'!GE59-'C1-Incomes'!FV59-BW57</f>
        <v>0</v>
      </c>
      <c r="BY57" s="272">
        <f>'T-T2'!AC60-'T-T2'!AF60-'T-T2'!AG60</f>
        <v>2244991</v>
      </c>
      <c r="BZ57" s="277">
        <f t="shared" si="24"/>
        <v>637408</v>
      </c>
      <c r="CA57" s="277">
        <f>'C1-Incomes'!GM59-'C1-Incomes'!GE59-BZ57</f>
        <v>0</v>
      </c>
      <c r="CB57" s="277">
        <f>'C1-Incomes'!GM59-'T-T2'!B60</f>
        <v>0</v>
      </c>
      <c r="CC57" s="272">
        <f>'T-T1'!EB60</f>
        <v>1129098</v>
      </c>
      <c r="CD57" s="272">
        <f>TOTALS!AV117/1000000</f>
        <v>1064077.3</v>
      </c>
      <c r="CE57" s="272">
        <f>TOTALS!BA117/1000000</f>
        <v>8853.4531547000006</v>
      </c>
      <c r="CF57" s="272">
        <f>'T-T3'!Q61</f>
        <v>14379</v>
      </c>
      <c r="CG57" s="277">
        <f>'C1-Incomes'!GM59-'C1-Incomes'!GU59-CC57-CE57-CF57</f>
        <v>4.3845299507665914E-2</v>
      </c>
      <c r="CH57" s="277">
        <f>'T-T1'!ED60</f>
        <v>292874</v>
      </c>
      <c r="CI57" s="272">
        <f>TOTALS!AP117/1000000</f>
        <v>268086.72920499998</v>
      </c>
      <c r="CJ57" s="277">
        <f>'C1-Incomes'!GU59-'C1-Incomes'!HC59-CH57</f>
        <v>0</v>
      </c>
      <c r="CK57" s="277">
        <f t="shared" si="18"/>
        <v>303671</v>
      </c>
      <c r="CL57" s="277">
        <f>'C1-Incomes'!HC59-'C1-Incomes'!HK59-CK57</f>
        <v>0</v>
      </c>
      <c r="CM57" s="272">
        <f t="shared" si="19"/>
        <v>208080</v>
      </c>
      <c r="CN57" s="272">
        <f>TOTALS!AX117/1000000</f>
        <v>172379.336404</v>
      </c>
      <c r="CO57" s="272">
        <f t="shared" si="20"/>
        <v>231098</v>
      </c>
      <c r="CP57" s="272">
        <f>'T-T1'!DE60</f>
        <v>439178</v>
      </c>
      <c r="CQ57" s="277">
        <f>'C1-Incomes'!HK59-'C1-Incomes'!HS59-CP57</f>
        <v>1.0000001639127731E-3</v>
      </c>
      <c r="CR57" s="272">
        <f>'T-T3'!AG61-'T-T2'!AF60-'T-T2'!AG60</f>
        <v>852572</v>
      </c>
      <c r="CS57" s="272">
        <f>TOTALS!AY117/1000000</f>
        <v>809516.26468499994</v>
      </c>
      <c r="CT57" s="277">
        <f>'C1-Incomes'!HS59-'C1-Incomes'!IA59-CR57</f>
        <v>0</v>
      </c>
      <c r="CU57" s="277">
        <f>'T-T3a'!O61+'T-T3a'!P61</f>
        <v>576583</v>
      </c>
      <c r="CV57" s="277">
        <f>'C1-Incomes'!IA59-'C1-Incomes'!II59-CU57</f>
        <v>0</v>
      </c>
      <c r="CW57" s="272">
        <f>'T-T3'!H61</f>
        <v>-1071778.7058453001</v>
      </c>
      <c r="CX57" s="277">
        <f>'C1-Incomes'!IQ59-'C1-Incomes'!II59-CW57</f>
        <v>-1.5470013022422791E-4</v>
      </c>
      <c r="CY57" s="277">
        <f>'T-T3'!G61</f>
        <v>2443996</v>
      </c>
      <c r="CZ57" s="277">
        <f>'C1-Incomes'!IY59-'C1-Incomes'!IQ59-CY57</f>
        <v>0</v>
      </c>
      <c r="DA57" s="277">
        <f>'C1-Incomes'!IY59-'T-T3'!Z61</f>
        <v>-4.4999999925494194E-2</v>
      </c>
      <c r="DB57" s="280"/>
      <c r="DC57" s="272">
        <f>TOTALS!BG56/1000000</f>
        <v>50124.442335</v>
      </c>
      <c r="DD57" s="272">
        <f>TOTALS!BH56/1000000</f>
        <v>29736.506804000001</v>
      </c>
      <c r="DE57" s="272">
        <f t="shared" si="8"/>
        <v>79860.949139000004</v>
      </c>
      <c r="DF57" s="272">
        <f>TOTALS!BI56/1000000</f>
        <v>72834.359177000006</v>
      </c>
    </row>
    <row r="58" spans="1:110" ht="12" customHeight="1" x14ac:dyDescent="0.3">
      <c r="A58" s="268">
        <v>2012</v>
      </c>
      <c r="B58" s="272"/>
      <c r="C58" s="272"/>
      <c r="D58" s="272">
        <f>TOTALS!BF118/1000000</f>
        <v>70495.430407000007</v>
      </c>
      <c r="E58" s="277">
        <f>'C1-Incomes'!AX60-'C1-Incomes'!AH60-D58</f>
        <v>-6.9991219788789749E-6</v>
      </c>
      <c r="F58" s="277">
        <v>0</v>
      </c>
      <c r="G58" s="272">
        <v>9716</v>
      </c>
      <c r="H58" s="272">
        <f>TOTALS!AB118/1000000</f>
        <v>17757.609306999999</v>
      </c>
      <c r="I58" s="272">
        <f>TOTALS!BP118/1000000</f>
        <v>32396.743688999999</v>
      </c>
      <c r="J58" s="272">
        <f>TOTALS!Y118/1000000</f>
        <v>27251.741204000002</v>
      </c>
      <c r="K58" s="272">
        <f>TOTALS!W118/1000000</f>
        <v>187641.87291100001</v>
      </c>
      <c r="L58" s="277">
        <f>TOTALS!K118/1000000</f>
        <v>2090.5421475999997</v>
      </c>
      <c r="M58" s="272">
        <f>TOTALS!BT118/1000000</f>
        <v>-9414.4631050000007</v>
      </c>
      <c r="N58" s="272">
        <f>(TOTALS!CB118-TOTALS!CC118)/1000000</f>
        <v>-8723.2932264999999</v>
      </c>
      <c r="O58" s="272">
        <f t="shared" si="15"/>
        <v>118552.40644190001</v>
      </c>
      <c r="P58" s="277">
        <f>'C1-Incomes'!BF60-'C1-Incomes'!AX60-O58</f>
        <v>-4.1899329517036676E-5</v>
      </c>
      <c r="Q58" s="277">
        <f>'C22-Fiduciary'!T57</f>
        <v>42853.901063482008</v>
      </c>
      <c r="R58" s="277">
        <f>'C1-Incomes'!BV60-'C1-Incomes'!BN60-Q58</f>
        <v>-6.3483334088232368E-5</v>
      </c>
      <c r="S58" s="270">
        <f>'T-T1'!CR61</f>
        <v>691162</v>
      </c>
      <c r="T58" s="270">
        <f t="shared" si="16"/>
        <v>47690.178000000007</v>
      </c>
      <c r="U58" s="331">
        <f>ROUND('C12-CorpOwn'!T57,3)</f>
        <v>6.9000000000000006E-2</v>
      </c>
      <c r="V58" s="270">
        <f t="shared" si="10"/>
        <v>373227.4800000001</v>
      </c>
      <c r="W58" s="279">
        <f>ROUND('C12-CorpOwn'!S57,3)</f>
        <v>0.54</v>
      </c>
      <c r="X58" s="272">
        <f t="shared" si="6"/>
        <v>270244.34199999995</v>
      </c>
      <c r="Y58" s="279">
        <f>1-ROUND('C12-CorpOwn'!S57,3)-ROUND('C12-CorpOwn'!T57,3)</f>
        <v>0.39099999999999996</v>
      </c>
      <c r="Z58" s="685">
        <f>'C1-Incomes'!CD60-'C1-Incomes'!BV60-S58</f>
        <v>0</v>
      </c>
      <c r="AA58" s="277">
        <f>'T-T1'!CP61</f>
        <v>447623</v>
      </c>
      <c r="AB58" s="277">
        <f>'T-T1'!AA61</f>
        <v>88418</v>
      </c>
      <c r="AC58" s="277">
        <f t="shared" si="7"/>
        <v>359205</v>
      </c>
      <c r="AD58" s="277">
        <f>'C1-Incomes'!CL60-'C1-Incomes'!CD60-AC58</f>
        <v>0</v>
      </c>
      <c r="AE58" s="277">
        <f t="shared" si="17"/>
        <v>232625</v>
      </c>
      <c r="AF58" s="277">
        <f>'C1-Incomes'!CT60-'C1-Incomes'!CL60-AE58</f>
        <v>-9.999983012676239E-5</v>
      </c>
      <c r="AG58" s="277">
        <f>'T-T1a'!C63</f>
        <v>-129310.91367346875</v>
      </c>
      <c r="AH58" s="277">
        <f>'T-T1a'!D63</f>
        <v>-71947.888191796621</v>
      </c>
      <c r="AI58" s="277">
        <f>'T-T1a'!E63</f>
        <v>75446.921923298578</v>
      </c>
      <c r="AJ58" s="277">
        <f>'T-T1a'!F63</f>
        <v>125811.87994196678</v>
      </c>
      <c r="AK58" s="277">
        <f>'C1-Incomes'!DB60-'C1-Incomes'!CT60</f>
        <v>0</v>
      </c>
      <c r="AL58" s="277">
        <f>'T-T1'!E61</f>
        <v>277695.12834646553</v>
      </c>
      <c r="AM58" s="277">
        <f>'T-T1'!L61</f>
        <v>24194.067103223038</v>
      </c>
      <c r="AN58" s="277">
        <f>'T-T1'!Q61</f>
        <v>617442.89322215528</v>
      </c>
      <c r="AO58" s="277">
        <f>'T-T1'!T61</f>
        <v>55413.500730999993</v>
      </c>
      <c r="AP58" s="277">
        <f>'T-T1'!AH61</f>
        <v>57588.14930400002</v>
      </c>
      <c r="AQ58" s="277">
        <f t="shared" si="9"/>
        <v>1032333.7387068439</v>
      </c>
      <c r="AR58" s="277">
        <f>'C1-Incomes'!DJ60-'C1-Incomes'!DB60-AQ58</f>
        <v>-7.068440318107605E-4</v>
      </c>
      <c r="AS58" s="277">
        <f t="shared" si="21"/>
        <v>564958</v>
      </c>
      <c r="AT58" s="277">
        <f>'T-T1'!U61</f>
        <v>355385</v>
      </c>
      <c r="AU58" s="277">
        <f>'T-T1'!EE61</f>
        <v>209573</v>
      </c>
      <c r="AV58" s="277">
        <f>TOTALS!AX118/1000000</f>
        <v>172730.11929100001</v>
      </c>
      <c r="AW58" s="277">
        <f>'C1-Incomes'!DR60-'C1-Incomes'!DJ60-AS58</f>
        <v>9.2290900647640228E-4</v>
      </c>
      <c r="AX58" s="277">
        <f>(TOTALS!Z118+TOTALS!AA118)/1000000</f>
        <v>481444.27712799999</v>
      </c>
      <c r="AY58" s="277">
        <f>'T-T1'!I61</f>
        <v>514333</v>
      </c>
      <c r="AZ58" s="277">
        <f>'C1-Incomes'!DZ60-'C1-Incomes'!DR60-AY58</f>
        <v>1.2822449207305908E-4</v>
      </c>
      <c r="BA58" s="272">
        <f>'T-T1'!G61</f>
        <v>705564</v>
      </c>
      <c r="BB58" s="277">
        <f>'C1-Incomes'!EH60-'C1-Incomes'!DZ60-BA58</f>
        <v>-3.6880373954772949E-7</v>
      </c>
      <c r="BC58" s="272">
        <f>'T-T1'!AD61+'T-T1'!AO61+'T-T1'!AR61+'T-T1'!AV61</f>
        <v>459498.79970386409</v>
      </c>
      <c r="BD58" s="272">
        <f>ROUND('T-T1'!BJ61,0)</f>
        <v>-118550</v>
      </c>
      <c r="BE58" s="277">
        <f>'C1-Incomes'!EP60-'C1-Incomes'!EH60-BC58-BD58</f>
        <v>2.4537212448194623E-4</v>
      </c>
      <c r="BF58" s="272">
        <f>ROUND('T-T1'!BA61,0)</f>
        <v>689856</v>
      </c>
      <c r="BG58" s="272">
        <f>ROUND('T-T1'!BC61+'T-T1'!BE61,0)</f>
        <v>46624</v>
      </c>
      <c r="BH58" s="272">
        <f>ROUND('T-T1'!V61+'T-T1'!AE61+'T-T1'!AP61+'T-T1'!AS61+'T-T1'!AW61+'T-T1'!BG61,0)</f>
        <v>56509</v>
      </c>
      <c r="BI58" s="272">
        <f>ROUND('T-T1'!AA61,0)</f>
        <v>88418</v>
      </c>
      <c r="BJ58" s="277">
        <f>'C1-Incomes'!EX60-'C1-Incomes'!EP60-SUM(BF58:BI58)</f>
        <v>0</v>
      </c>
      <c r="BK58" s="277">
        <f>'C1-Incomes'!EX60-'T-T1'!BN61</f>
        <v>-0.56499999947845936</v>
      </c>
      <c r="BL58" s="277">
        <f>'T-T2'!J61+'T-T2'!K61</f>
        <v>773549</v>
      </c>
      <c r="BM58" s="272">
        <f>TOTALS!P118/1000000</f>
        <v>522965.23233199999</v>
      </c>
      <c r="BN58" s="272">
        <f t="shared" si="22"/>
        <v>250583.76766800001</v>
      </c>
      <c r="BO58" s="277">
        <f>'C1-Incomes'!FF60-'C1-Incomes'!EX60-BL58</f>
        <v>0</v>
      </c>
      <c r="BP58" s="272">
        <f>'T-T2'!L61</f>
        <v>83795</v>
      </c>
      <c r="BQ58" s="272">
        <f>'C1-Incomes'!FN60-'C1-Incomes'!FF60-BP58</f>
        <v>0</v>
      </c>
      <c r="BR58" s="272">
        <f>TOTALS!AU118/1000000</f>
        <v>70809.875979000004</v>
      </c>
      <c r="BS58" s="272">
        <f>'T-T2'!M61+'T-T2'!N61</f>
        <v>70019</v>
      </c>
      <c r="BT58" s="272">
        <f>SUM('T-T2'!O61:T61)</f>
        <v>190781</v>
      </c>
      <c r="BU58" s="272">
        <f t="shared" si="23"/>
        <v>260800</v>
      </c>
      <c r="BV58" s="272">
        <f>'C1-Incomes'!FV60-'C1-Incomes'!FN60-BU58</f>
        <v>0</v>
      </c>
      <c r="BW58" s="272">
        <f>'T-T2'!X61</f>
        <v>489970</v>
      </c>
      <c r="BX58" s="277">
        <f>'C1-Incomes'!GE60-'C1-Incomes'!FV60-BW58</f>
        <v>0</v>
      </c>
      <c r="BY58" s="272">
        <f>'T-T2'!AC61-'T-T2'!AF61-'T-T2'!AG61</f>
        <v>2257240</v>
      </c>
      <c r="BZ58" s="277">
        <f t="shared" si="24"/>
        <v>649126</v>
      </c>
      <c r="CA58" s="277">
        <f>'C1-Incomes'!GM60-'C1-Incomes'!GE60-BZ58</f>
        <v>0</v>
      </c>
      <c r="CB58" s="277">
        <f>'C1-Incomes'!GM60-'T-T2'!B61</f>
        <v>0</v>
      </c>
      <c r="CC58" s="272">
        <f>'T-T1'!EB61</f>
        <v>1164736</v>
      </c>
      <c r="CD58" s="272">
        <f>TOTALS!AV118/1000000</f>
        <v>1209640.7</v>
      </c>
      <c r="CE58" s="272">
        <f>TOTALS!BA118/1000000</f>
        <v>10412.869924000001</v>
      </c>
      <c r="CF58" s="272">
        <f>'T-T3'!Q62</f>
        <v>18995</v>
      </c>
      <c r="CG58" s="277">
        <f>'C1-Incomes'!GM60-'C1-Incomes'!GU60-CC58-CE58-CF58</f>
        <v>-2.4923999328166246E-2</v>
      </c>
      <c r="CH58" s="277">
        <f>'T-T1'!ED61</f>
        <v>314281</v>
      </c>
      <c r="CI58" s="272">
        <f>TOTALS!AP118/1000000</f>
        <v>285074.32986100001</v>
      </c>
      <c r="CJ58" s="277">
        <f>'C1-Incomes'!GU60-'C1-Incomes'!HC60-CH58</f>
        <v>0</v>
      </c>
      <c r="CK58" s="277">
        <f t="shared" si="18"/>
        <v>359205</v>
      </c>
      <c r="CL58" s="277">
        <f>'C1-Incomes'!HC60-'C1-Incomes'!HK60-CK58</f>
        <v>0</v>
      </c>
      <c r="CM58" s="272">
        <f t="shared" si="19"/>
        <v>209573</v>
      </c>
      <c r="CN58" s="272">
        <f>TOTALS!AX118/1000000</f>
        <v>172730.11929100001</v>
      </c>
      <c r="CO58" s="272">
        <f t="shared" si="20"/>
        <v>232625</v>
      </c>
      <c r="CP58" s="272">
        <f>'T-T1'!DE61</f>
        <v>442198</v>
      </c>
      <c r="CQ58" s="277">
        <f>'C1-Incomes'!HK60-'C1-Incomes'!HS60-CP58</f>
        <v>0</v>
      </c>
      <c r="CR58" s="272">
        <f>'T-T3'!AG62-'T-T2'!AF61-'T-T2'!AG61</f>
        <v>885242</v>
      </c>
      <c r="CS58" s="272">
        <f>TOTALS!AY118/1000000</f>
        <v>835083.434335</v>
      </c>
      <c r="CT58" s="277">
        <f>'C1-Incomes'!HS60-'C1-Incomes'!IA60-CR58</f>
        <v>1.0000001639127731E-3</v>
      </c>
      <c r="CU58" s="277">
        <f>'T-T3a'!O62+'T-T3a'!P62</f>
        <v>596214</v>
      </c>
      <c r="CV58" s="277">
        <f>'C1-Incomes'!IA60-'C1-Incomes'!II60-CU58</f>
        <v>0</v>
      </c>
      <c r="CW58" s="272">
        <f>'T-T3'!H62</f>
        <v>-916463.56507600099</v>
      </c>
      <c r="CX58" s="277">
        <f>'C1-Incomes'!IQ60-'C1-Incomes'!II60-CW58</f>
        <v>7.600151002407074E-5</v>
      </c>
      <c r="CY58" s="277">
        <f>'T-T3'!G62</f>
        <v>2450508</v>
      </c>
      <c r="CZ58" s="277">
        <f>'C1-Incomes'!IY60-'C1-Incomes'!IQ60-CY58</f>
        <v>0</v>
      </c>
      <c r="DA58" s="277">
        <f>'C1-Incomes'!IY60-'T-T3'!Z62</f>
        <v>2.4000000208616257E-2</v>
      </c>
      <c r="DB58" s="280"/>
      <c r="DC58" s="272">
        <f>TOTALS!BG57/1000000</f>
        <v>51122.972518000002</v>
      </c>
      <c r="DD58" s="272">
        <f>TOTALS!BH57/1000000</f>
        <v>29342.628991000001</v>
      </c>
      <c r="DE58" s="272">
        <f t="shared" si="8"/>
        <v>80465.601509</v>
      </c>
      <c r="DF58" s="272">
        <f>TOTALS!BI57/1000000</f>
        <v>72977.601372000005</v>
      </c>
    </row>
    <row r="59" spans="1:110" ht="12" customHeight="1" x14ac:dyDescent="0.3">
      <c r="A59" s="268">
        <v>2013</v>
      </c>
      <c r="B59" s="272"/>
      <c r="C59" s="272"/>
      <c r="D59" s="272">
        <f>TOTALS!BF119/1000000</f>
        <v>67643.673890999999</v>
      </c>
      <c r="E59" s="277">
        <f>'C1-Incomes'!AX61-'C1-Incomes'!AH61-D59</f>
        <v>9.0007524704560637E-6</v>
      </c>
      <c r="F59" s="277">
        <v>0</v>
      </c>
      <c r="G59" s="272">
        <v>7695</v>
      </c>
      <c r="H59" s="272">
        <f>TOTALS!AB119/1000000</f>
        <v>18642.693261</v>
      </c>
      <c r="I59" s="272">
        <f>TOTALS!BP119/1000000</f>
        <v>35180.905779000001</v>
      </c>
      <c r="J59" s="272">
        <f>TOTALS!Y119/1000000</f>
        <v>27641.424374999999</v>
      </c>
      <c r="K59" s="272">
        <f>TOTALS!W119/1000000</f>
        <v>187579.494259</v>
      </c>
      <c r="L59" s="277">
        <f>TOTALS!K119/1000000</f>
        <v>5810.1667683999995</v>
      </c>
      <c r="M59" s="272">
        <f>TOTALS!BT119/1000000</f>
        <v>904.81886945000008</v>
      </c>
      <c r="N59" s="272">
        <f>(TOTALS!CB119-TOTALS!CC119)/1000000</f>
        <v>-9226.7738707000008</v>
      </c>
      <c r="O59" s="272">
        <f t="shared" si="15"/>
        <v>97867.711335450003</v>
      </c>
      <c r="P59" s="277">
        <f>'C1-Incomes'!BF61-'C1-Incomes'!AX61-O59</f>
        <v>6.455037510022521E-5</v>
      </c>
      <c r="Q59" s="277">
        <f>'C22-Fiduciary'!T58</f>
        <v>38254.832472912254</v>
      </c>
      <c r="R59" s="277">
        <f>'C1-Incomes'!BV61-'C1-Incomes'!BN61-Q59</f>
        <v>-4.7291371447499841E-4</v>
      </c>
      <c r="S59" s="270">
        <f>'T-T1'!CR62</f>
        <v>635808</v>
      </c>
      <c r="T59" s="270">
        <f>S59*U59</f>
        <v>43234.944000000003</v>
      </c>
      <c r="U59" s="331">
        <f>ROUND('C12-CorpOwn'!T58,3)</f>
        <v>6.8000000000000005E-2</v>
      </c>
      <c r="V59" s="270">
        <f t="shared" si="10"/>
        <v>329348.54399999999</v>
      </c>
      <c r="W59" s="279">
        <f>ROUND('C12-CorpOwn'!S58,3)</f>
        <v>0.51800000000000002</v>
      </c>
      <c r="X59" s="272">
        <f t="shared" si="6"/>
        <v>263224.51199999999</v>
      </c>
      <c r="Y59" s="279">
        <f>1-ROUND('C12-CorpOwn'!S58,3)-ROUND('C12-CorpOwn'!T58,3)</f>
        <v>0.41399999999999998</v>
      </c>
      <c r="Z59" s="685">
        <f>'C1-Incomes'!CD61-'C1-Incomes'!BV61-S59</f>
        <v>0</v>
      </c>
      <c r="AA59" s="277">
        <f>'T-T1'!CP62</f>
        <v>467691</v>
      </c>
      <c r="AB59" s="277">
        <f>'T-T1'!AA62</f>
        <v>79633</v>
      </c>
      <c r="AC59" s="277">
        <f t="shared" si="7"/>
        <v>388058</v>
      </c>
      <c r="AD59" s="277">
        <f>'C1-Incomes'!CL61-'C1-Incomes'!CD61-AC59</f>
        <v>0</v>
      </c>
      <c r="AE59" s="277">
        <f t="shared" si="17"/>
        <v>236330</v>
      </c>
      <c r="AF59" s="277">
        <f>'C1-Incomes'!CT61-'C1-Incomes'!CL61-AE59</f>
        <v>-4.9999915063381195E-4</v>
      </c>
      <c r="AG59" s="277">
        <f>'T-T1a'!C64</f>
        <v>-87407.541077323782</v>
      </c>
      <c r="AH59" s="277">
        <f>'T-T1a'!D64</f>
        <v>-49317.610714813018</v>
      </c>
      <c r="AI59" s="277">
        <f>'T-T1a'!E64</f>
        <v>46212.407299215098</v>
      </c>
      <c r="AJ59" s="277">
        <f>'T-T1a'!F64</f>
        <v>90512.744492921716</v>
      </c>
      <c r="AK59" s="277">
        <f>'C1-Incomes'!DB61-'C1-Incomes'!CT61</f>
        <v>-1.0000001639127731E-3</v>
      </c>
      <c r="AL59" s="277">
        <f>'T-T1'!E62</f>
        <v>272389.84248062503</v>
      </c>
      <c r="AM59" s="277">
        <f>'T-T1'!L62</f>
        <v>58801.11357962597</v>
      </c>
      <c r="AN59" s="277">
        <f>'T-T1'!Q62</f>
        <v>643708.64852887508</v>
      </c>
      <c r="AO59" s="277">
        <f>'T-T1'!T62</f>
        <v>53964.881353999997</v>
      </c>
      <c r="AP59" s="277">
        <f>'T-T1'!AH62</f>
        <v>44052.958920000005</v>
      </c>
      <c r="AQ59" s="277">
        <f t="shared" si="9"/>
        <v>1072917.4448631261</v>
      </c>
      <c r="AR59" s="277">
        <f>'C1-Incomes'!DJ61-'C1-Incomes'!DB61-AQ59</f>
        <v>1.3687415048480034E-4</v>
      </c>
      <c r="AS59" s="277">
        <f t="shared" si="21"/>
        <v>604820</v>
      </c>
      <c r="AT59" s="277">
        <f>'T-T1'!U62</f>
        <v>392384</v>
      </c>
      <c r="AU59" s="277">
        <f>'T-T1'!EE62</f>
        <v>212436</v>
      </c>
      <c r="AV59" s="277">
        <f>TOTALS!AX119/1000000</f>
        <v>173722.80052799999</v>
      </c>
      <c r="AW59" s="277">
        <f>'C1-Incomes'!DR61-'C1-Incomes'!DJ61-AS59</f>
        <v>-8.9249387383460999E-4</v>
      </c>
      <c r="AX59" s="277">
        <f>(TOTALS!Z119+TOTALS!AA119)/1000000</f>
        <v>497658.21732499998</v>
      </c>
      <c r="AY59" s="277">
        <f>'T-T1'!I62</f>
        <v>526761</v>
      </c>
      <c r="AZ59" s="277">
        <f>'C1-Incomes'!DZ61-'C1-Incomes'!DR61-AY59</f>
        <v>3.2560154795646667E-4</v>
      </c>
      <c r="BA59" s="272">
        <f>'T-T1'!G62</f>
        <v>731499</v>
      </c>
      <c r="BB59" s="277">
        <f>'C1-Incomes'!EH61-'C1-Incomes'!DZ61-BA59</f>
        <v>-8.3819031715393066E-8</v>
      </c>
      <c r="BC59" s="272">
        <f>'T-T1'!AD62+'T-T1'!AO62+'T-T1'!AR62+'T-T1'!AV62</f>
        <v>576994.08298629988</v>
      </c>
      <c r="BD59" s="272">
        <f>ROUND('T-T1'!BJ62,0)</f>
        <v>-102098</v>
      </c>
      <c r="BE59" s="277">
        <f>'C1-Incomes'!EP61-'C1-Incomes'!EH61-BC59-BD59</f>
        <v>-4.1932333260774612E-4</v>
      </c>
      <c r="BF59" s="272">
        <f>ROUND('T-T1'!BA62,0)</f>
        <v>726145</v>
      </c>
      <c r="BG59" s="272">
        <f>ROUND('T-T1'!BC62+'T-T1'!BE62,0)</f>
        <v>59121</v>
      </c>
      <c r="BH59" s="272">
        <f>ROUND('T-T1'!V62+'T-T1'!AE62+'T-T1'!AP62+'T-T1'!AS62+'T-T1'!AW62+'T-T1'!BG62,0)</f>
        <v>57806</v>
      </c>
      <c r="BI59" s="272">
        <f>ROUND('T-T1'!AA62,0)</f>
        <v>79633</v>
      </c>
      <c r="BJ59" s="277">
        <f>'C1-Incomes'!EX61-'C1-Incomes'!EP61-SUM(BF59:BI59)</f>
        <v>0</v>
      </c>
      <c r="BK59" s="277">
        <f>'C1-Incomes'!EX61-'T-T1'!BN62</f>
        <v>-0.48499999940395355</v>
      </c>
      <c r="BL59" s="277">
        <f>'T-T2'!J62+'T-T2'!K62</f>
        <v>810720</v>
      </c>
      <c r="BM59" s="272">
        <f>TOTALS!P119/1000000</f>
        <v>549565.06873499998</v>
      </c>
      <c r="BN59" s="272">
        <f t="shared" si="22"/>
        <v>261154.93126500002</v>
      </c>
      <c r="BO59" s="277">
        <f>'C1-Incomes'!FF61-'C1-Incomes'!EX61-BL59</f>
        <v>0</v>
      </c>
      <c r="BP59" s="272">
        <f>'T-T2'!L62</f>
        <v>62330</v>
      </c>
      <c r="BQ59" s="272">
        <f>'C1-Incomes'!FN61-'C1-Incomes'!FF61-BP59</f>
        <v>0</v>
      </c>
      <c r="BR59" s="272">
        <f>TOTALS!AU119/1000000</f>
        <v>51594.104295999998</v>
      </c>
      <c r="BS59" s="272">
        <f>'T-T2'!M62+'T-T2'!N62</f>
        <v>78963</v>
      </c>
      <c r="BT59" s="272">
        <f>SUM('T-T2'!O62:T62)</f>
        <v>191450</v>
      </c>
      <c r="BU59" s="272">
        <f t="shared" si="23"/>
        <v>270413</v>
      </c>
      <c r="BV59" s="272">
        <f>'C1-Incomes'!FV61-'C1-Incomes'!FN61-BU59</f>
        <v>0</v>
      </c>
      <c r="BW59" s="272">
        <f>'T-T2'!X62</f>
        <v>502003</v>
      </c>
      <c r="BX59" s="277">
        <f>'C1-Incomes'!GE61-'C1-Incomes'!FV61-BW59</f>
        <v>0</v>
      </c>
      <c r="BY59" s="272">
        <f>'T-T2'!AC62-'T-T2'!AF62-'T-T2'!AG62</f>
        <v>2313875</v>
      </c>
      <c r="BZ59" s="277">
        <f t="shared" si="24"/>
        <v>668409</v>
      </c>
      <c r="CA59" s="277">
        <f>'C1-Incomes'!GM61-'C1-Incomes'!GE61-BZ59</f>
        <v>0</v>
      </c>
      <c r="CB59" s="277">
        <f>'C1-Incomes'!GM61-'T-T2'!B62</f>
        <v>0</v>
      </c>
      <c r="CC59" s="272">
        <f>'T-T1'!EB62</f>
        <v>1301977</v>
      </c>
      <c r="CD59" s="272">
        <f>TOTALS!AV119/1000000</f>
        <v>1265568</v>
      </c>
      <c r="CE59" s="272">
        <f>TOTALS!BA119/1000000</f>
        <v>11289.712248</v>
      </c>
      <c r="CF59" s="272">
        <f>'T-T3'!Q63</f>
        <v>26129</v>
      </c>
      <c r="CG59" s="277">
        <f>'C1-Incomes'!GM61-'C1-Incomes'!GU61-CC59-CE59-CF59</f>
        <v>1.6752000283304369E-2</v>
      </c>
      <c r="CH59" s="277">
        <f>'T-T1'!ED62</f>
        <v>342832</v>
      </c>
      <c r="CI59" s="272">
        <f>TOTALS!AP119/1000000</f>
        <v>308146.02017799998</v>
      </c>
      <c r="CJ59" s="277">
        <f>'C1-Incomes'!GU61-'C1-Incomes'!HC61-CH59</f>
        <v>0</v>
      </c>
      <c r="CK59" s="277">
        <f t="shared" si="18"/>
        <v>388058</v>
      </c>
      <c r="CL59" s="277">
        <f>'C1-Incomes'!HC61-'C1-Incomes'!HK61-CK59</f>
        <v>0</v>
      </c>
      <c r="CM59" s="272">
        <f t="shared" si="19"/>
        <v>212436</v>
      </c>
      <c r="CN59" s="272">
        <f>TOTALS!AX119/1000000</f>
        <v>173722.80052799999</v>
      </c>
      <c r="CO59" s="272">
        <f t="shared" si="20"/>
        <v>236330</v>
      </c>
      <c r="CP59" s="272">
        <f>'T-T1'!DE62</f>
        <v>448766</v>
      </c>
      <c r="CQ59" s="277">
        <f>'C1-Incomes'!HK61-'C1-Incomes'!HS61-CP59</f>
        <v>0</v>
      </c>
      <c r="CR59" s="272">
        <f>'T-T3'!AG63-'T-T2'!AF62-'T-T2'!AG62</f>
        <v>1031590</v>
      </c>
      <c r="CS59" s="272">
        <f>TOTALS!AY119/1000000</f>
        <v>975831.82527799997</v>
      </c>
      <c r="CT59" s="277">
        <f>'C1-Incomes'!HS61-'C1-Incomes'!IA61-CR59</f>
        <v>0</v>
      </c>
      <c r="CU59" s="277">
        <f>'T-T3a'!O63+'T-T3a'!P63</f>
        <v>632758</v>
      </c>
      <c r="CV59" s="277">
        <f>'C1-Incomes'!IA61-'C1-Incomes'!II61-CU59</f>
        <v>0</v>
      </c>
      <c r="CW59" s="272">
        <f>'T-T3'!H63</f>
        <v>-560813.80275199935</v>
      </c>
      <c r="CX59" s="277">
        <f>'C1-Incomes'!IQ61-'C1-Incomes'!II61-CW59</f>
        <v>-2.4800188839435577E-4</v>
      </c>
      <c r="CY59" s="277">
        <f>'T-T3'!G63</f>
        <v>2430339</v>
      </c>
      <c r="CZ59" s="277">
        <f>'C1-Incomes'!IY61-'C1-Incomes'!IQ61-CY59</f>
        <v>0</v>
      </c>
      <c r="DA59" s="277">
        <f>'C1-Incomes'!IY61-'T-T3'!Z63</f>
        <v>-1.7000000923871994E-2</v>
      </c>
      <c r="DB59" s="280"/>
      <c r="DC59" s="272">
        <f>TOTALS!BG58/1000000</f>
        <v>52380.073729000003</v>
      </c>
      <c r="DD59" s="272">
        <f>TOTALS!BH58/1000000</f>
        <v>30308.185495000002</v>
      </c>
      <c r="DE59" s="272">
        <f t="shared" si="8"/>
        <v>82688.259224000009</v>
      </c>
      <c r="DF59" s="272">
        <f>TOTALS!BI58/1000000</f>
        <v>75961.269140999997</v>
      </c>
    </row>
    <row r="60" spans="1:110" ht="12" customHeight="1" x14ac:dyDescent="0.3">
      <c r="A60" s="268">
        <v>2014</v>
      </c>
      <c r="B60" s="272"/>
      <c r="C60" s="272"/>
      <c r="D60" s="272">
        <f>TOTALS!BF120/1000000</f>
        <v>62103.246835999998</v>
      </c>
      <c r="E60" s="277">
        <f>'C1-Incomes'!AX62-'C1-Incomes'!AH62-D60</f>
        <v>-3.599828778533265E-5</v>
      </c>
      <c r="F60" s="277">
        <v>0</v>
      </c>
      <c r="G60" s="272">
        <v>5128</v>
      </c>
      <c r="H60" s="272">
        <f>TOTALS!AB120/1000000</f>
        <v>18733.528627</v>
      </c>
      <c r="I60" s="272">
        <f>TOTALS!BP120/1000000</f>
        <v>36191.201014999999</v>
      </c>
      <c r="J60" s="272">
        <f>TOTALS!Y120/1000000</f>
        <v>29915.846555</v>
      </c>
      <c r="K60" s="272">
        <f>TOTALS!W120/1000000</f>
        <v>194382.463877</v>
      </c>
      <c r="L60" s="277">
        <f>TOTALS!K120/1000000</f>
        <v>10635.572486999999</v>
      </c>
      <c r="M60" s="272">
        <f>TOTALS!BT120/1000000</f>
        <v>8984.6002656000001</v>
      </c>
      <c r="N60" s="272">
        <f>(TOTALS!CB120-TOTALS!CC120)/1000000</f>
        <v>-10040.510322200002</v>
      </c>
      <c r="O60" s="272">
        <f t="shared" si="15"/>
        <v>85009.204605199993</v>
      </c>
      <c r="P60" s="277">
        <f>'C1-Incomes'!BF62-'C1-Incomes'!AX62-O60</f>
        <v>-5.2011018851771951E-6</v>
      </c>
      <c r="Q60" s="277">
        <f>'C22-Fiduciary'!T59</f>
        <v>33579.241221458869</v>
      </c>
      <c r="R60" s="277">
        <f>'C1-Incomes'!BV62-'C1-Incomes'!BN62-Q60</f>
        <v>-2.2145848197396845E-4</v>
      </c>
      <c r="S60" s="270">
        <f>'T-T1'!CR63</f>
        <v>648893</v>
      </c>
      <c r="T60" s="270">
        <f>S60*U60</f>
        <v>44124.724000000002</v>
      </c>
      <c r="U60" s="331">
        <f>ROUND('C12-CorpOwn'!T59,3)</f>
        <v>6.8000000000000005E-2</v>
      </c>
      <c r="V60" s="270">
        <f t="shared" si="10"/>
        <v>328339.85799999995</v>
      </c>
      <c r="W60" s="279">
        <f>ROUND('C12-CorpOwn'!S59,3)</f>
        <v>0.50600000000000001</v>
      </c>
      <c r="X60" s="272">
        <f t="shared" si="6"/>
        <v>276428.41800000001</v>
      </c>
      <c r="Y60" s="279">
        <f>1-ROUND('C12-CorpOwn'!S59,3)-ROUND('C12-CorpOwn'!T59,3)</f>
        <v>0.42599999999999999</v>
      </c>
      <c r="Z60" s="685">
        <f>'C1-Incomes'!CD62-'C1-Incomes'!BV62-S60</f>
        <v>0</v>
      </c>
      <c r="AA60" s="277">
        <f>'T-T1'!CP63</f>
        <v>505318</v>
      </c>
      <c r="AB60" s="277">
        <f>'T-T1'!AA63</f>
        <v>96902</v>
      </c>
      <c r="AC60" s="277">
        <f t="shared" si="7"/>
        <v>408416</v>
      </c>
      <c r="AD60" s="277">
        <f>'C1-Incomes'!CL62-'C1-Incomes'!CD62-AC60</f>
        <v>9.999983012676239E-5</v>
      </c>
      <c r="AE60" s="277">
        <f t="shared" si="17"/>
        <v>233451</v>
      </c>
      <c r="AF60" s="277">
        <f>'C1-Incomes'!CT62-'C1-Incomes'!CL62-AE60</f>
        <v>0</v>
      </c>
      <c r="AG60" s="277">
        <f>'T-T1a'!C65</f>
        <v>-118383.82034252284</v>
      </c>
      <c r="AH60" s="277">
        <f>'T-T1a'!D65</f>
        <v>-58051.048625755524</v>
      </c>
      <c r="AI60" s="277">
        <f>'T-T1a'!E65</f>
        <v>64971.575321764692</v>
      </c>
      <c r="AJ60" s="277">
        <f>'T-T1a'!F65</f>
        <v>111463.29364651369</v>
      </c>
      <c r="AK60" s="277">
        <f>'C1-Incomes'!DB62-'C1-Incomes'!CT62</f>
        <v>0</v>
      </c>
      <c r="AL60" s="277">
        <f>'T-T1'!E63</f>
        <v>292716.26712601911</v>
      </c>
      <c r="AM60" s="277">
        <f>'T-T1'!L63</f>
        <v>46045.594246636727</v>
      </c>
      <c r="AN60" s="277">
        <f>'T-T1'!Q63</f>
        <v>653273.40316867293</v>
      </c>
      <c r="AO60" s="277">
        <f>'T-T1'!T63</f>
        <v>60209.304216999997</v>
      </c>
      <c r="AP60" s="277">
        <f>'T-T1'!AH63</f>
        <v>35363.023204700032</v>
      </c>
      <c r="AQ60" s="277">
        <f t="shared" si="9"/>
        <v>1087607.5919630288</v>
      </c>
      <c r="AR60" s="277">
        <f>'C1-Incomes'!DJ62-'C1-Incomes'!DB62-AQ60</f>
        <v>-9.6302875317633152E-4</v>
      </c>
      <c r="AS60" s="277">
        <f t="shared" si="21"/>
        <v>639813</v>
      </c>
      <c r="AT60" s="277">
        <f>'T-T1'!U63</f>
        <v>419711</v>
      </c>
      <c r="AU60" s="277">
        <f>'T-T1'!EE63</f>
        <v>220102</v>
      </c>
      <c r="AV60" s="277">
        <f>TOTALS!AX120/1000000</f>
        <v>180293.23871899999</v>
      </c>
      <c r="AW60" s="277">
        <f>'C1-Incomes'!DR62-'C1-Incomes'!DJ62-AS60</f>
        <v>-8.791070431470871E-4</v>
      </c>
      <c r="AX60" s="277">
        <f>(TOTALS!Z120+TOTALS!AA120)/1000000</f>
        <v>516011.76268400002</v>
      </c>
      <c r="AY60" s="277">
        <f>'T-T1'!I63</f>
        <v>547972</v>
      </c>
      <c r="AZ60" s="277">
        <f>'C1-Incomes'!DZ62-'C1-Incomes'!DR62-AY60</f>
        <v>-3.162045031785965E-4</v>
      </c>
      <c r="BA60" s="272">
        <f>'T-T1'!G63</f>
        <v>754366</v>
      </c>
      <c r="BB60" s="277">
        <f>'C1-Incomes'!EH62-'C1-Incomes'!DZ62-BA60</f>
        <v>-1.9371509552001953E-7</v>
      </c>
      <c r="BC60" s="272">
        <f>'T-T1'!AD63+'T-T1'!AO63+'T-T1'!AR63+'T-T1'!AV63</f>
        <v>610914.77924211591</v>
      </c>
      <c r="BD60" s="272">
        <f>ROUND('T-T1'!BJ63,0)</f>
        <v>-118829</v>
      </c>
      <c r="BE60" s="277">
        <f>'C1-Incomes'!EP62-'C1-Incomes'!EH62-BC60-BD60</f>
        <v>-4.6609784476459026E-5</v>
      </c>
      <c r="BF60" s="272">
        <f>ROUND('T-T1'!BA63,0)</f>
        <v>768089</v>
      </c>
      <c r="BG60" s="272">
        <f>ROUND('T-T1'!BC63+'T-T1'!BE63,0)</f>
        <v>80801</v>
      </c>
      <c r="BH60" s="272">
        <f>ROUND('T-T1'!V63+'T-T1'!AE63+'T-T1'!AP63+'T-T1'!AS63+'T-T1'!AW63+'T-T1'!BG63,0)</f>
        <v>64800</v>
      </c>
      <c r="BI60" s="272">
        <f>ROUND('T-T1'!AA63,0)</f>
        <v>96902</v>
      </c>
      <c r="BJ60" s="277">
        <f>'C1-Incomes'!EX62-'C1-Incomes'!EP62-SUM(BF60:BI60)</f>
        <v>0</v>
      </c>
      <c r="BK60" s="277">
        <f>'C1-Incomes'!EX62-'T-T1'!BN63</f>
        <v>2.8570000007748604</v>
      </c>
      <c r="BL60" s="277">
        <f>'T-T2'!J63+'T-T2'!K63</f>
        <v>846595</v>
      </c>
      <c r="BM60" s="272">
        <f>TOTALS!P120/1000000</f>
        <v>571547.90945899999</v>
      </c>
      <c r="BN60" s="272">
        <f t="shared" si="22"/>
        <v>275047.09054100001</v>
      </c>
      <c r="BO60" s="277">
        <f>'C1-Incomes'!FF62-'C1-Incomes'!EX62-BL60</f>
        <v>0</v>
      </c>
      <c r="BP60" s="272">
        <f>'T-T2'!L63</f>
        <v>35449</v>
      </c>
      <c r="BQ60" s="272">
        <f>'C1-Incomes'!FN62-'C1-Incomes'!FF62-BP60</f>
        <v>9.999983012676239E-4</v>
      </c>
      <c r="BR60" s="272">
        <f>TOTALS!AU120/1000000</f>
        <v>33070.640332000003</v>
      </c>
      <c r="BS60" s="272">
        <f>'T-T2'!M63+'T-T2'!N63</f>
        <v>83615</v>
      </c>
      <c r="BT60" s="272">
        <f>SUM('T-T2'!O63:T63)</f>
        <v>210582</v>
      </c>
      <c r="BU60" s="272">
        <f t="shared" si="23"/>
        <v>294197</v>
      </c>
      <c r="BV60" s="272">
        <f>'C1-Incomes'!FV62-'C1-Incomes'!FN62-BU60</f>
        <v>0</v>
      </c>
      <c r="BW60" s="272">
        <f>'T-T2'!X63</f>
        <v>523886</v>
      </c>
      <c r="BX60" s="277">
        <f>'C1-Incomes'!GE62-'C1-Incomes'!FV62-BW60</f>
        <v>0</v>
      </c>
      <c r="BY60" s="272">
        <f>'T-T2'!AC63-'T-T2'!AF63-'T-T2'!AG63</f>
        <v>2421759</v>
      </c>
      <c r="BZ60" s="277">
        <f t="shared" si="24"/>
        <v>721632</v>
      </c>
      <c r="CA60" s="277">
        <f>'C1-Incomes'!GM62-'C1-Incomes'!GE62-BZ60</f>
        <v>0</v>
      </c>
      <c r="CB60" s="277">
        <f>'C1-Incomes'!GM62-'T-T2'!B63</f>
        <v>9.999983012676239E-4</v>
      </c>
      <c r="CC60" s="272">
        <f>'T-T1'!EB63</f>
        <v>1402994</v>
      </c>
      <c r="CD60" s="272">
        <f>TOTALS!AV120/1000000</f>
        <v>1404613.2</v>
      </c>
      <c r="CE60" s="272">
        <f>TOTALS!BA120/1000000</f>
        <v>12427.195915</v>
      </c>
      <c r="CF60" s="272">
        <f>'T-T3'!Q64</f>
        <v>24062</v>
      </c>
      <c r="CG60" s="277">
        <f>'C1-Incomes'!GM62-'C1-Incomes'!GU62-CC60-CE60-CF60</f>
        <v>-3.991500050688046E-2</v>
      </c>
      <c r="CH60" s="277">
        <f>'T-T1'!ED63</f>
        <v>348493</v>
      </c>
      <c r="CI60" s="272">
        <f>TOTALS!AP120/1000000</f>
        <v>313382.55783599999</v>
      </c>
      <c r="CJ60" s="277">
        <f>'C1-Incomes'!GU62-'C1-Incomes'!HC62-CH60</f>
        <v>0</v>
      </c>
      <c r="CK60" s="277">
        <f t="shared" si="18"/>
        <v>408416</v>
      </c>
      <c r="CL60" s="277">
        <f>'C1-Incomes'!HC62-'C1-Incomes'!HK62-CK60</f>
        <v>0</v>
      </c>
      <c r="CM60" s="272">
        <f t="shared" si="19"/>
        <v>220102</v>
      </c>
      <c r="CN60" s="272">
        <f>TOTALS!AX120/1000000</f>
        <v>180293.23871899999</v>
      </c>
      <c r="CO60" s="272">
        <f t="shared" si="20"/>
        <v>233451</v>
      </c>
      <c r="CP60" s="272">
        <f>'T-T1'!DE63</f>
        <v>453553</v>
      </c>
      <c r="CQ60" s="277">
        <f>'C1-Incomes'!HK62-'C1-Incomes'!HS62-CP60</f>
        <v>0</v>
      </c>
      <c r="CR60" s="272">
        <f>'T-T3'!AG64-'T-T2'!AF63-'T-T2'!AG63</f>
        <v>1077879</v>
      </c>
      <c r="CS60" s="272">
        <f>TOTALS!AY120/1000000</f>
        <v>1014752.2</v>
      </c>
      <c r="CT60" s="277">
        <f>'C1-Incomes'!HS62-'C1-Incomes'!IA62-CR60</f>
        <v>4.6000000089406967E-2</v>
      </c>
      <c r="CU60" s="277">
        <f>'T-T3a'!O64+'T-T3a'!P64</f>
        <v>673246</v>
      </c>
      <c r="CV60" s="277">
        <f>'C1-Incomes'!IA62-'C1-Incomes'!II62-CU60</f>
        <v>0</v>
      </c>
      <c r="CW60" s="272">
        <f>'T-T3'!H64</f>
        <v>-483402.66108500026</v>
      </c>
      <c r="CX60" s="277">
        <f>'C1-Incomes'!IQ62-'C1-Incomes'!II62-CW60</f>
        <v>8.4999948740005493E-5</v>
      </c>
      <c r="CY60" s="277">
        <f>'T-T3'!G64</f>
        <v>2462711</v>
      </c>
      <c r="CZ60" s="277">
        <f>'C1-Incomes'!IY62-'C1-Incomes'!IQ62-CY60</f>
        <v>0</v>
      </c>
      <c r="DA60" s="277">
        <f>'C1-Incomes'!IY62-'T-T3'!Z64</f>
        <v>-5.0000008195638657E-3</v>
      </c>
      <c r="DB60" s="280"/>
      <c r="DC60" s="272">
        <f>TOTALS!BG59/1000000</f>
        <v>54077.831449999998</v>
      </c>
      <c r="DD60" s="272">
        <f>TOTALS!BH59/1000000</f>
        <v>32123.732465000001</v>
      </c>
      <c r="DE60" s="272">
        <f t="shared" si="8"/>
        <v>86201.563915000006</v>
      </c>
      <c r="DF60" s="272">
        <f>TOTALS!BI59/1000000</f>
        <v>79352.295794000005</v>
      </c>
    </row>
    <row r="61" spans="1:110" ht="12" customHeight="1" x14ac:dyDescent="0.3">
      <c r="A61" s="268">
        <v>2015</v>
      </c>
      <c r="B61" s="272"/>
      <c r="C61" s="272"/>
      <c r="D61" s="272">
        <f>TOTALS!BF121/1000000</f>
        <v>61330.374374999999</v>
      </c>
      <c r="E61" s="277">
        <f>'C1-Incomes'!AX63-'C1-Incomes'!AH63-D61</f>
        <v>2.4999157176353037E-5</v>
      </c>
      <c r="F61" s="277">
        <v>0</v>
      </c>
      <c r="G61" s="277">
        <v>4573</v>
      </c>
      <c r="H61" s="272">
        <f>TOTALS!AB121/1000000</f>
        <v>21415.062823</v>
      </c>
      <c r="I61" s="272">
        <f>TOTALS!BP121/1000000</f>
        <v>37159.640513999999</v>
      </c>
      <c r="J61" s="272">
        <f>TOTALS!Y121/1000000</f>
        <v>30904.096380999999</v>
      </c>
      <c r="K61" s="272">
        <f>TOTALS!W121/1000000</f>
        <v>195861.08688399999</v>
      </c>
      <c r="L61" s="277">
        <f>TOTALS!K121/1000000</f>
        <v>11037.22507</v>
      </c>
      <c r="M61" s="272">
        <f>TOTALS!BT121/1000000</f>
        <v>11942.715265999999</v>
      </c>
      <c r="N61" s="272">
        <f>(TOTALS!CB121-TOTALS!CC121)/1000000</f>
        <v>-10055.6540236</v>
      </c>
      <c r="O61" s="272">
        <f t="shared" si="15"/>
        <v>77919.692806399995</v>
      </c>
      <c r="P61" s="277">
        <f>'C1-Incomes'!BF63-'C1-Incomes'!AX63-O61</f>
        <v>-6.3996849348768592E-6</v>
      </c>
      <c r="Q61" s="277">
        <f>'C22-Fiduciary'!T60</f>
        <v>33678.911184500656</v>
      </c>
      <c r="R61" s="277">
        <f>'C1-Incomes'!BV63-'C1-Incomes'!BN63-Q61</f>
        <v>8.1549982132855803E-4</v>
      </c>
      <c r="S61" s="270">
        <f>'T-T1'!CR64</f>
        <v>570109</v>
      </c>
      <c r="T61" s="270">
        <f>S61*U61</f>
        <v>38767.412000000004</v>
      </c>
      <c r="U61" s="331">
        <f>ROUND('C12-CorpOwn'!T60,3)</f>
        <v>6.8000000000000005E-2</v>
      </c>
      <c r="V61" s="270">
        <f t="shared" si="10"/>
        <v>287905.04499999998</v>
      </c>
      <c r="W61" s="279">
        <f>ROUND('C12-CorpOwn'!S60,3)</f>
        <v>0.505</v>
      </c>
      <c r="X61" s="272">
        <f t="shared" si="6"/>
        <v>243436.54300000001</v>
      </c>
      <c r="Y61" s="279">
        <f>1-ROUND('C12-CorpOwn'!S60,3)-ROUND('C12-CorpOwn'!T60,3)</f>
        <v>0.42699999999999999</v>
      </c>
      <c r="Z61" s="685">
        <f>'C1-Incomes'!CD63-'C1-Incomes'!BV63-S61</f>
        <v>9.999983012676239E-5</v>
      </c>
      <c r="AA61" s="277">
        <f>'T-T1'!CP64</f>
        <v>507415</v>
      </c>
      <c r="AB61" s="277">
        <f>'T-T1'!AA64</f>
        <v>110443</v>
      </c>
      <c r="AC61" s="277">
        <f t="shared" si="7"/>
        <v>396972</v>
      </c>
      <c r="AD61" s="277">
        <f>'C1-Incomes'!CL63-'C1-Incomes'!CD63-AC61</f>
        <v>0</v>
      </c>
      <c r="AE61" s="277">
        <f t="shared" si="17"/>
        <v>229739</v>
      </c>
      <c r="AF61" s="277">
        <f>'C1-Incomes'!CT63-'C1-Incomes'!CL63-AE61</f>
        <v>0</v>
      </c>
      <c r="AG61" s="277">
        <f>'T-T1a'!C66</f>
        <v>-20698.458184083353</v>
      </c>
      <c r="AH61" s="277">
        <f>'T-T1a'!D66</f>
        <v>-11705.934754527812</v>
      </c>
      <c r="AI61" s="277">
        <f>'T-T1a'!E66</f>
        <v>13672.727659810591</v>
      </c>
      <c r="AJ61" s="277">
        <f>'T-T1a'!F66</f>
        <v>18731.665278800574</v>
      </c>
      <c r="AK61" s="277">
        <f>'C1-Incomes'!DB63-'C1-Incomes'!CT63</f>
        <v>0</v>
      </c>
      <c r="AL61" s="277">
        <f>'T-T1'!E64</f>
        <v>323943.37846430857</v>
      </c>
      <c r="AM61" s="277">
        <f>'T-T1'!L64</f>
        <v>37686.678797487439</v>
      </c>
      <c r="AN61" s="277">
        <f>'T-T1'!Q64</f>
        <v>647211.33068310271</v>
      </c>
      <c r="AO61" s="277">
        <f>'T-T1'!T64</f>
        <v>86668.075740999993</v>
      </c>
      <c r="AP61" s="277">
        <f>'T-T1'!AH64</f>
        <v>39274.763285700057</v>
      </c>
      <c r="AQ61" s="277">
        <f>SUM(AL61:AP61)</f>
        <v>1134784.2269715988</v>
      </c>
      <c r="AR61" s="277">
        <f>'C1-Incomes'!DJ63-'C1-Incomes'!DB63-AQ61</f>
        <v>2.8401147574186325E-5</v>
      </c>
      <c r="AS61" s="277">
        <f t="shared" si="21"/>
        <v>681272</v>
      </c>
      <c r="AT61" s="277">
        <f>'T-T1'!U64</f>
        <v>454457</v>
      </c>
      <c r="AU61" s="277">
        <f>'T-T1'!EE64</f>
        <v>226815</v>
      </c>
      <c r="AV61" s="277">
        <f>TOTALS!AX121/1000000</f>
        <v>187947.53166899999</v>
      </c>
      <c r="AW61" s="277">
        <f>'C1-Incomes'!DR63-'C1-Incomes'!DJ63-AS61</f>
        <v>-1.1073146015405655E-3</v>
      </c>
      <c r="AX61" s="277">
        <f>(TOTALS!Z121+TOTALS!AA121)/1000000</f>
        <v>535557.66478899994</v>
      </c>
      <c r="AY61" s="277">
        <f>'T-T1'!I64</f>
        <v>571399</v>
      </c>
      <c r="AZ61" s="277">
        <f>'C1-Incomes'!DZ63-'C1-Incomes'!DR63-AY61</f>
        <v>-2.1162629127502441E-4</v>
      </c>
      <c r="BA61" s="272">
        <f>'T-T1'!G64</f>
        <v>788790</v>
      </c>
      <c r="BB61" s="277">
        <f>'C1-Incomes'!EH63-'C1-Incomes'!DZ63-BA61</f>
        <v>1.5273690223693848E-7</v>
      </c>
      <c r="BC61" s="272">
        <f>'T-T1'!AD64+'T-T1'!AO64+'T-T1'!AR64+'T-T1'!AV64</f>
        <v>660843.43936205597</v>
      </c>
      <c r="BD61" s="272">
        <f>ROUND('T-T1'!BJ64,0)</f>
        <v>-140775</v>
      </c>
      <c r="BE61" s="277">
        <f>'C1-Incomes'!EP63-'C1-Incomes'!EH63-BC61-BD61</f>
        <v>-4.3266802094876766E-5</v>
      </c>
      <c r="BF61" s="272">
        <f>ROUND('T-T1'!BA64,0)</f>
        <v>799220</v>
      </c>
      <c r="BG61" s="272">
        <f>ROUND('T-T1'!BC64+'T-T1'!BE64,0)</f>
        <v>107720</v>
      </c>
      <c r="BH61" s="272">
        <f>ROUND('T-T1'!V64+'T-T1'!AE64+'T-T1'!AP64+'T-T1'!AS64+'T-T1'!AW64+'T-T1'!BG64,0)</f>
        <v>72859</v>
      </c>
      <c r="BI61" s="272">
        <f>ROUND('T-T1'!AA64,0)</f>
        <v>110443</v>
      </c>
      <c r="BJ61" s="277">
        <f>'C1-Incomes'!EX63-'C1-Incomes'!EP63-SUM(BF61:BI61)</f>
        <v>0</v>
      </c>
      <c r="BK61" s="277">
        <f>'C1-Incomes'!EX63-'T-T1'!BN64</f>
        <v>0.80100000090897083</v>
      </c>
      <c r="BL61" s="277">
        <f>'T-T2'!J64+'T-T2'!K64</f>
        <v>884021</v>
      </c>
      <c r="BM61" s="272">
        <f>TOTALS!P121/1000000</f>
        <v>601387.70196500001</v>
      </c>
      <c r="BN61" s="272">
        <f t="shared" si="22"/>
        <v>282633.29803499999</v>
      </c>
      <c r="BO61" s="277">
        <f>'C1-Incomes'!FF63-'C1-Incomes'!EX63-BL61</f>
        <v>0</v>
      </c>
      <c r="BP61" s="272">
        <f>'T-T2'!L64</f>
        <v>32150</v>
      </c>
      <c r="BQ61" s="272">
        <f>'C1-Incomes'!FN63-'C1-Incomes'!FF63-BP61</f>
        <v>0</v>
      </c>
      <c r="BR61" s="272">
        <f>TOTALS!AU121/1000000</f>
        <v>27074.534393999998</v>
      </c>
      <c r="BS61" s="272">
        <f>'T-T2'!M64+'T-T2'!N64</f>
        <v>89732</v>
      </c>
      <c r="BT61" s="272">
        <f>SUM('T-T2'!O64:T64)</f>
        <v>222634</v>
      </c>
      <c r="BU61" s="272">
        <f t="shared" si="23"/>
        <v>312366</v>
      </c>
      <c r="BV61" s="272">
        <f>'C1-Incomes'!FV63-'C1-Incomes'!FN63-BU61</f>
        <v>-1.862645149230957E-9</v>
      </c>
      <c r="BW61" s="272">
        <f>'T-T2'!X64</f>
        <v>551452</v>
      </c>
      <c r="BX61" s="277">
        <f>'C1-Incomes'!GE63-'C1-Incomes'!FV63-BW61</f>
        <v>0</v>
      </c>
      <c r="BY61" s="272">
        <f>'T-T2'!AC64-'T-T2'!AF64-'T-T2'!AG64</f>
        <v>2549042</v>
      </c>
      <c r="BZ61" s="277">
        <f t="shared" si="24"/>
        <v>769053</v>
      </c>
      <c r="CA61" s="277">
        <f>'C1-Incomes'!GM63-'C1-Incomes'!GE63-BZ61</f>
        <v>0</v>
      </c>
      <c r="CB61" s="277">
        <f>'C1-Incomes'!GM63-'T-T2'!B64</f>
        <v>0</v>
      </c>
      <c r="CC61" s="272">
        <f>'T-T1'!EB64</f>
        <v>1528512</v>
      </c>
      <c r="CD61" s="272">
        <f>TOTALS!AV121/1000000</f>
        <v>1487853.5</v>
      </c>
      <c r="CE61" s="272">
        <f>TOTALS!BA121/1000000</f>
        <v>12918.442064000001</v>
      </c>
      <c r="CF61" s="272">
        <f>'T-T3'!Q65</f>
        <v>25622</v>
      </c>
      <c r="CG61" s="277">
        <f>'C1-Incomes'!GM63-'C1-Incomes'!GU63-CC61-CE61-CF61</f>
        <v>2.6935998641420156E-2</v>
      </c>
      <c r="CH61" s="277">
        <f>'T-T1'!ED64</f>
        <v>374064</v>
      </c>
      <c r="CI61" s="272">
        <f>TOTALS!AP121/1000000</f>
        <v>336894.84359100001</v>
      </c>
      <c r="CJ61" s="277">
        <f>'C1-Incomes'!GU63-'C1-Incomes'!HC63-CH61</f>
        <v>-1.0000001639127731E-3</v>
      </c>
      <c r="CK61" s="277">
        <f t="shared" si="18"/>
        <v>396972</v>
      </c>
      <c r="CL61" s="277">
        <f>'C1-Incomes'!HC63-'C1-Incomes'!HK63-CK61</f>
        <v>0</v>
      </c>
      <c r="CM61" s="272">
        <f t="shared" si="19"/>
        <v>226815</v>
      </c>
      <c r="CN61" s="272">
        <f>TOTALS!AX121/1000000</f>
        <v>187947.53166899999</v>
      </c>
      <c r="CO61" s="272">
        <f t="shared" si="20"/>
        <v>229739</v>
      </c>
      <c r="CP61" s="272">
        <f>'T-T1'!DE64</f>
        <v>456554</v>
      </c>
      <c r="CQ61" s="277">
        <f>'C1-Incomes'!HK63-'C1-Incomes'!HS63-CP61</f>
        <v>0</v>
      </c>
      <c r="CR61" s="272">
        <f>'T-T3'!AG65-'T-T2'!AF64-'T-T2'!AG64</f>
        <v>1121296</v>
      </c>
      <c r="CS61" s="272">
        <f>TOTALS!AY121/1000000</f>
        <v>1054723.8</v>
      </c>
      <c r="CT61" s="277">
        <f>'C1-Incomes'!HS63-'C1-Incomes'!IA63-CR61</f>
        <v>9.9999997764825821E-3</v>
      </c>
      <c r="CU61" s="277">
        <f>'T-T3a'!O65+'T-T3a'!P65</f>
        <v>702436</v>
      </c>
      <c r="CV61" s="277">
        <f>'C1-Incomes'!IA63-'C1-Incomes'!II63-CU61</f>
        <v>0</v>
      </c>
      <c r="CW61" s="272">
        <f>'T-T3'!H65</f>
        <v>-438793.35893600062</v>
      </c>
      <c r="CX61" s="277">
        <f>'C1-Incomes'!IQ63-'C1-Incomes'!II63-CW61</f>
        <v>-6.4000487327575684E-5</v>
      </c>
      <c r="CY61" s="277">
        <f>'T-T3'!G65</f>
        <v>2508125</v>
      </c>
      <c r="CZ61" s="277">
        <f>'C1-Incomes'!IY63-'C1-Incomes'!IQ63-CY61</f>
        <v>0</v>
      </c>
      <c r="DA61" s="277">
        <f>'C1-Incomes'!IY63-'T-T3'!Z65</f>
        <v>-3.6000000312924385E-2</v>
      </c>
      <c r="DB61" s="280"/>
      <c r="DC61" s="272">
        <f>TOTALS!BG60/1000000</f>
        <v>57323.834857000002</v>
      </c>
      <c r="DD61" s="272">
        <f>TOTALS!BH60/1000000</f>
        <v>34672.516233000002</v>
      </c>
      <c r="DE61" s="272">
        <f t="shared" si="8"/>
        <v>91996.351090000011</v>
      </c>
      <c r="DF61" s="272">
        <f>TOTALS!BI60/1000000</f>
        <v>85386.213375000007</v>
      </c>
    </row>
    <row r="62" spans="1:110" s="655" customFormat="1" ht="12" customHeight="1" x14ac:dyDescent="0.3">
      <c r="A62" s="268">
        <v>2016</v>
      </c>
      <c r="B62" s="272"/>
      <c r="C62" s="272"/>
      <c r="D62" s="272"/>
      <c r="E62" s="272"/>
      <c r="F62" s="272"/>
      <c r="G62" s="277">
        <v>4103</v>
      </c>
      <c r="H62" s="272"/>
      <c r="I62" s="272"/>
      <c r="J62" s="277"/>
      <c r="K62" s="272"/>
      <c r="L62" s="272"/>
      <c r="M62" s="272"/>
      <c r="N62" s="272"/>
      <c r="O62" s="272"/>
      <c r="P62" s="272"/>
      <c r="Q62" s="272"/>
      <c r="R62" s="272"/>
      <c r="S62" s="270"/>
      <c r="T62" s="272"/>
      <c r="U62" s="331"/>
      <c r="V62" s="272"/>
      <c r="W62" s="272"/>
      <c r="X62" s="272"/>
      <c r="Y62" s="272"/>
      <c r="Z62" s="272"/>
      <c r="AA62" s="277"/>
      <c r="AB62" s="277"/>
      <c r="AC62" s="277"/>
      <c r="AD62" s="272"/>
      <c r="AE62" s="277"/>
      <c r="AF62" s="272"/>
      <c r="AG62" s="272"/>
      <c r="AH62" s="272"/>
      <c r="AI62" s="272"/>
      <c r="AJ62" s="272"/>
      <c r="AK62" s="272"/>
      <c r="AL62" s="272"/>
      <c r="AM62" s="272"/>
      <c r="AN62" s="272"/>
      <c r="AO62" s="272"/>
      <c r="AP62" s="272"/>
      <c r="AQ62" s="272"/>
      <c r="AR62" s="272"/>
      <c r="AS62" s="272"/>
      <c r="AT62" s="272"/>
      <c r="AU62" s="272"/>
      <c r="AV62" s="272"/>
      <c r="AW62" s="272"/>
      <c r="AX62" s="272"/>
      <c r="AY62" s="272"/>
      <c r="AZ62" s="272"/>
      <c r="BA62" s="272"/>
      <c r="BB62" s="272"/>
      <c r="BC62" s="272"/>
      <c r="BD62" s="272"/>
      <c r="BE62" s="272"/>
      <c r="BF62" s="272"/>
      <c r="BG62" s="272"/>
      <c r="BH62" s="272"/>
      <c r="BI62" s="272"/>
      <c r="BJ62" s="272"/>
      <c r="BK62" s="277"/>
      <c r="BL62" s="272">
        <f>'T-T2'!J65+'T-T2'!K65</f>
        <v>908822</v>
      </c>
      <c r="BM62" s="272"/>
      <c r="BN62" s="272"/>
      <c r="BO62" s="272"/>
      <c r="BP62" s="272">
        <f>'T-T2'!L65</f>
        <v>31679</v>
      </c>
      <c r="BQ62" s="272"/>
      <c r="BR62" s="272"/>
      <c r="BS62" s="272">
        <f>'T-T2'!M65+'T-T2'!N65</f>
        <v>92707</v>
      </c>
      <c r="BT62" s="272">
        <f>SUM('T-T2'!O65:T65)</f>
        <v>227973</v>
      </c>
      <c r="BU62" s="273"/>
      <c r="BV62" s="273"/>
      <c r="BW62" s="272">
        <f>'T-T2'!X65</f>
        <v>570001</v>
      </c>
      <c r="BX62" s="272"/>
      <c r="BY62" s="272">
        <f>'T-T2'!AC65-'T-T2'!AF65-'T-T2'!AG65</f>
        <v>2625125</v>
      </c>
      <c r="BZ62" s="277">
        <f t="shared" si="24"/>
        <v>793943</v>
      </c>
      <c r="CA62" s="274"/>
      <c r="CB62" s="274"/>
      <c r="CC62" s="992"/>
      <c r="CD62" s="272"/>
      <c r="CE62" s="272"/>
      <c r="CF62" s="272"/>
      <c r="CG62" s="277"/>
      <c r="CH62" s="277"/>
      <c r="CI62" s="272"/>
      <c r="CJ62" s="277"/>
      <c r="CK62" s="277"/>
      <c r="CL62" s="277"/>
      <c r="CM62" s="272"/>
      <c r="CN62" s="272"/>
      <c r="CO62" s="272"/>
      <c r="CP62" s="272"/>
      <c r="CQ62" s="277"/>
      <c r="CR62" s="272"/>
      <c r="CS62" s="272"/>
      <c r="CT62" s="277"/>
      <c r="CU62" s="272"/>
      <c r="CV62" s="277"/>
      <c r="DC62" s="272"/>
      <c r="DD62" s="272"/>
      <c r="DE62" s="272"/>
      <c r="DF62" s="272"/>
    </row>
    <row r="63" spans="1:110" ht="4.5" customHeight="1" x14ac:dyDescent="0.3">
      <c r="A63" s="269"/>
      <c r="B63" s="271"/>
      <c r="C63" s="271"/>
      <c r="D63" s="271"/>
      <c r="E63" s="271"/>
      <c r="F63" s="271"/>
      <c r="G63" s="271"/>
      <c r="H63" s="271"/>
      <c r="I63" s="271"/>
      <c r="J63" s="271"/>
      <c r="K63" s="271"/>
      <c r="L63" s="271"/>
      <c r="M63" s="271"/>
      <c r="N63" s="271"/>
      <c r="O63" s="271"/>
      <c r="P63" s="271"/>
      <c r="Q63" s="271"/>
      <c r="R63" s="271"/>
      <c r="S63" s="271"/>
      <c r="T63" s="271"/>
      <c r="U63" s="271"/>
      <c r="V63" s="271"/>
      <c r="W63" s="271"/>
      <c r="X63" s="271"/>
      <c r="Y63" s="271"/>
      <c r="Z63" s="271"/>
      <c r="AA63" s="271"/>
      <c r="AB63" s="271"/>
      <c r="AC63" s="271"/>
      <c r="AD63" s="271"/>
      <c r="AE63" s="512"/>
      <c r="AF63" s="271"/>
      <c r="AG63" s="271"/>
      <c r="AH63" s="271"/>
      <c r="AI63" s="271"/>
      <c r="AJ63" s="271"/>
      <c r="AK63" s="271"/>
      <c r="AL63" s="271"/>
      <c r="AM63" s="271"/>
      <c r="AN63" s="271"/>
      <c r="AO63" s="271"/>
      <c r="AP63" s="271"/>
      <c r="AQ63" s="271"/>
      <c r="AR63" s="271"/>
      <c r="AS63" s="11"/>
      <c r="AT63" s="11"/>
      <c r="AU63" s="11"/>
      <c r="AV63" s="11"/>
      <c r="AW63" s="11"/>
      <c r="AX63" s="271"/>
      <c r="AY63" s="271"/>
      <c r="AZ63" s="271"/>
      <c r="BA63" s="271"/>
      <c r="BB63" s="271"/>
      <c r="BC63" s="271"/>
      <c r="BD63" s="271"/>
      <c r="BE63" s="271"/>
      <c r="BF63" s="271"/>
      <c r="BG63" s="271"/>
      <c r="BH63" s="271"/>
      <c r="BI63" s="271"/>
      <c r="BJ63" s="271"/>
      <c r="BK63" s="512"/>
      <c r="BL63" s="271"/>
      <c r="BM63" s="271"/>
      <c r="BN63" s="271"/>
      <c r="BO63" s="271"/>
      <c r="BP63" s="271"/>
      <c r="BQ63" s="271"/>
      <c r="BR63" s="271"/>
      <c r="BS63" s="271"/>
      <c r="BT63" s="271"/>
      <c r="BU63" s="271"/>
      <c r="BV63" s="271"/>
      <c r="BW63" s="271"/>
      <c r="BX63" s="271"/>
      <c r="BY63" s="275"/>
      <c r="BZ63" s="698"/>
      <c r="CA63" s="275"/>
      <c r="CB63" s="275"/>
      <c r="CC63" s="275"/>
      <c r="CD63" s="11"/>
      <c r="CE63" s="275"/>
      <c r="CF63" s="275"/>
      <c r="CG63" s="275"/>
      <c r="CH63" s="148"/>
      <c r="CI63" s="148"/>
      <c r="CJ63" s="148"/>
      <c r="CK63" s="11"/>
      <c r="CL63" s="11"/>
      <c r="CM63" s="11"/>
      <c r="CN63" s="11"/>
      <c r="CO63" s="11"/>
      <c r="CP63" s="11"/>
      <c r="CQ63" s="11"/>
      <c r="CR63" s="11"/>
      <c r="CS63" s="11"/>
      <c r="CT63" s="11"/>
      <c r="CU63" s="11"/>
      <c r="CV63" s="11"/>
      <c r="CW63" s="11"/>
      <c r="CX63" s="11"/>
      <c r="CY63" s="11"/>
      <c r="CZ63" s="11"/>
      <c r="DA63" s="11"/>
      <c r="DB63" s="12"/>
      <c r="DC63" s="11"/>
      <c r="DD63" s="11"/>
      <c r="DE63" s="11"/>
      <c r="DF63" s="11"/>
    </row>
    <row r="64" spans="1:110" x14ac:dyDescent="0.3">
      <c r="A64" s="137"/>
      <c r="B64" s="137"/>
      <c r="C64" s="137"/>
      <c r="D64" s="137"/>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c r="AC64" s="137"/>
      <c r="AD64" s="137"/>
      <c r="AE64" s="513"/>
      <c r="AF64" s="137"/>
      <c r="AG64" s="137"/>
      <c r="AH64" s="137"/>
      <c r="AI64" s="137"/>
      <c r="AJ64" s="137"/>
      <c r="AK64" s="137"/>
      <c r="AL64" s="137"/>
      <c r="AM64" s="137"/>
      <c r="AN64" s="737"/>
      <c r="AO64" s="137"/>
      <c r="AP64" s="137"/>
      <c r="AQ64" s="137"/>
      <c r="AR64" s="137"/>
      <c r="AS64" s="502"/>
      <c r="AT64"/>
      <c r="AU64"/>
      <c r="AY64" s="137"/>
      <c r="AZ64" s="137"/>
      <c r="BA64" s="137"/>
      <c r="BB64" s="137"/>
      <c r="BC64" s="137"/>
      <c r="BD64" s="137"/>
      <c r="BE64" s="137"/>
      <c r="BF64" s="137"/>
      <c r="BG64" s="137"/>
      <c r="BH64" s="137"/>
      <c r="BI64" s="137"/>
      <c r="BJ64" s="137"/>
      <c r="BK64" s="513"/>
      <c r="BL64" s="137"/>
      <c r="BM64" s="137"/>
      <c r="BN64" s="137"/>
      <c r="BO64" s="137"/>
      <c r="BP64" s="137"/>
      <c r="BQ64" s="137"/>
      <c r="BR64" s="137"/>
      <c r="BS64" s="137"/>
      <c r="BT64" s="137"/>
      <c r="BU64" s="137"/>
      <c r="BV64" s="137"/>
      <c r="BW64" s="513"/>
      <c r="BX64" s="513"/>
      <c r="BY64" s="24"/>
      <c r="CA64" s="24"/>
      <c r="CB64" s="24"/>
      <c r="CC64" s="24"/>
      <c r="CD64" s="24"/>
      <c r="CE64" s="24"/>
      <c r="CF64" s="24"/>
      <c r="CG64" s="24"/>
      <c r="CH64" s="24"/>
      <c r="CN64" s="502"/>
    </row>
    <row r="65" spans="1:98" x14ac:dyDescent="0.3">
      <c r="A65" s="252" t="s">
        <v>668</v>
      </c>
      <c r="X65" s="8"/>
      <c r="Z65" s="8"/>
      <c r="AL65" s="72"/>
      <c r="AM65" s="72"/>
      <c r="AN65" s="72"/>
      <c r="AO65" s="72"/>
      <c r="AP65" s="587"/>
      <c r="AS65" s="12"/>
      <c r="AT65" s="12"/>
      <c r="AU65" s="12"/>
      <c r="AV65" s="550"/>
      <c r="AW65" s="12"/>
      <c r="AX65" s="1006"/>
      <c r="AY65" s="1011"/>
      <c r="AZ65" s="1006"/>
      <c r="BA65" s="502"/>
      <c r="BD65" s="8"/>
      <c r="BJ65" s="8"/>
      <c r="BK65" s="8"/>
      <c r="BL65" s="8"/>
      <c r="BM65" s="278"/>
      <c r="BN65" s="278"/>
      <c r="BP65" s="8"/>
      <c r="BT65" s="612" t="s">
        <v>1099</v>
      </c>
      <c r="BU65" s="8"/>
      <c r="BV65" s="88"/>
      <c r="BW65" s="8"/>
      <c r="BX65" s="24"/>
      <c r="BY65" s="268"/>
      <c r="BZ65" s="8"/>
      <c r="CA65" s="268"/>
      <c r="CB65" s="268"/>
      <c r="CC65" s="277"/>
      <c r="CD65" s="24"/>
      <c r="CE65" s="24"/>
      <c r="CF65" s="24"/>
      <c r="CG65" s="24"/>
      <c r="CH65" s="1011"/>
      <c r="CI65" s="8"/>
      <c r="CN65" s="502"/>
      <c r="CO65" s="8"/>
      <c r="CS65" s="8"/>
    </row>
    <row r="66" spans="1:98" x14ac:dyDescent="0.3">
      <c r="A66" s="252" t="s">
        <v>669</v>
      </c>
      <c r="AN66" s="72"/>
      <c r="AR66" s="988"/>
      <c r="AS66" s="616"/>
      <c r="AT66" s="12"/>
      <c r="AU66" s="12"/>
      <c r="AV66" s="550"/>
      <c r="AW66" s="61"/>
      <c r="AX66" s="276"/>
      <c r="AY66" s="24"/>
      <c r="AZ66" s="276"/>
      <c r="BA66" s="24"/>
      <c r="BB66" s="502"/>
      <c r="BJ66" s="173"/>
      <c r="BK66" s="8"/>
      <c r="BL66" s="988"/>
      <c r="BN66" s="8"/>
      <c r="BO66" s="8"/>
      <c r="BP66" s="1011"/>
      <c r="BT66" s="612" t="s">
        <v>1281</v>
      </c>
      <c r="BU66" s="1011"/>
      <c r="BW66" s="642"/>
      <c r="BX66" s="24"/>
      <c r="BY66" s="268"/>
      <c r="BZ66" s="268"/>
      <c r="CA66" s="268"/>
      <c r="CB66" s="268"/>
      <c r="CC66" s="277"/>
      <c r="CD66" s="24"/>
      <c r="CE66" s="24"/>
      <c r="CF66" s="24"/>
      <c r="CG66" s="24"/>
      <c r="CH66" s="1011"/>
      <c r="CI66" s="1011"/>
      <c r="CO66" s="24"/>
      <c r="CR66" s="24"/>
      <c r="CS66" s="24"/>
      <c r="CT66" s="24"/>
    </row>
    <row r="67" spans="1:98" x14ac:dyDescent="0.3">
      <c r="A67" s="252" t="s">
        <v>654</v>
      </c>
      <c r="AR67" s="988"/>
      <c r="AS67" s="616"/>
      <c r="AT67" s="12"/>
      <c r="AU67" s="12"/>
      <c r="AV67" s="550"/>
      <c r="AW67" s="61"/>
      <c r="AX67" s="276"/>
      <c r="AY67" s="1197"/>
      <c r="AZ67" s="24"/>
      <c r="BA67" s="24"/>
      <c r="BJ67" s="8"/>
      <c r="BK67" s="8"/>
      <c r="BL67" s="8"/>
      <c r="BO67" s="8"/>
      <c r="BP67" s="8"/>
      <c r="BU67" s="8"/>
      <c r="BW67" s="1033"/>
      <c r="BX67" s="24"/>
      <c r="BY67" s="268"/>
      <c r="BZ67" s="8"/>
      <c r="CA67" s="268"/>
      <c r="CB67" s="268"/>
      <c r="CC67" s="24"/>
      <c r="CD67" s="24"/>
      <c r="CE67" s="24"/>
      <c r="CF67" s="24"/>
      <c r="CG67" s="24"/>
      <c r="CH67" s="1011"/>
      <c r="CI67" s="1011"/>
      <c r="CM67" s="502"/>
      <c r="CO67" s="24"/>
      <c r="CR67" s="24"/>
      <c r="CS67" s="24"/>
      <c r="CT67" s="24"/>
    </row>
    <row r="68" spans="1:98" x14ac:dyDescent="0.3">
      <c r="AR68" s="988"/>
      <c r="AS68" s="988"/>
      <c r="AT68" s="1141"/>
      <c r="AU68" s="49"/>
      <c r="AV68" s="550"/>
      <c r="AW68" s="61"/>
      <c r="AX68" s="516"/>
      <c r="AY68" s="516"/>
      <c r="AZ68" s="516"/>
      <c r="BA68" s="516"/>
      <c r="BB68" s="502"/>
      <c r="BL68" s="8"/>
      <c r="BO68" s="8"/>
      <c r="BP68" s="8"/>
      <c r="BU68" s="8"/>
      <c r="BW68" s="8"/>
      <c r="BX68" s="24"/>
      <c r="BY68" s="268"/>
      <c r="BZ68" s="8"/>
      <c r="CA68" s="268"/>
      <c r="CB68" s="268"/>
      <c r="CC68" s="24"/>
      <c r="CD68" s="24"/>
      <c r="CE68" s="24"/>
      <c r="CF68" s="24"/>
      <c r="CG68" s="24"/>
      <c r="CH68" s="1011"/>
      <c r="CI68" s="1011"/>
      <c r="CM68" s="502"/>
      <c r="CO68" s="24"/>
      <c r="CR68" s="24"/>
      <c r="CS68" s="24"/>
      <c r="CT68" s="24"/>
    </row>
    <row r="69" spans="1:98" x14ac:dyDescent="0.3">
      <c r="AW69" s="24"/>
      <c r="AX69" s="1198"/>
      <c r="AY69" s="286"/>
      <c r="AZ69" s="1199"/>
      <c r="BA69" s="286"/>
      <c r="BK69" s="8"/>
      <c r="CH69" s="1011"/>
      <c r="CI69" s="1011"/>
    </row>
    <row r="70" spans="1:98" x14ac:dyDescent="0.3">
      <c r="D70" s="1011"/>
      <c r="E70" s="1011"/>
      <c r="AW70" s="61"/>
      <c r="AX70" s="276"/>
      <c r="AY70" s="1197"/>
      <c r="AZ70" s="24"/>
      <c r="BA70" s="24"/>
      <c r="CH70" s="1011"/>
      <c r="CI70" s="1011"/>
    </row>
    <row r="71" spans="1:98" x14ac:dyDescent="0.3">
      <c r="D71" s="1011"/>
      <c r="E71" s="1011"/>
      <c r="AW71" s="61"/>
      <c r="AX71" s="516"/>
      <c r="AY71" s="516"/>
      <c r="AZ71" s="516"/>
      <c r="BA71" s="516"/>
      <c r="CH71" s="1011"/>
      <c r="CI71" s="1011"/>
    </row>
    <row r="72" spans="1:98" x14ac:dyDescent="0.3">
      <c r="D72" s="1011"/>
      <c r="E72" s="1011"/>
      <c r="AW72" s="61"/>
      <c r="AX72" s="1198"/>
      <c r="AY72" s="286"/>
      <c r="AZ72" s="1199"/>
      <c r="BA72" s="286"/>
      <c r="CH72" s="1011"/>
      <c r="CI72" s="1011"/>
    </row>
    <row r="73" spans="1:98" x14ac:dyDescent="0.3">
      <c r="D73" s="1011"/>
      <c r="E73" s="1011"/>
      <c r="AX73" s="1011"/>
      <c r="AY73" s="1011"/>
      <c r="CH73" s="1011"/>
      <c r="CI73" s="1011"/>
    </row>
    <row r="74" spans="1:98" x14ac:dyDescent="0.3">
      <c r="D74" s="1011"/>
      <c r="E74" s="1011"/>
      <c r="CH74" s="1011"/>
      <c r="CI74" s="1011"/>
    </row>
    <row r="75" spans="1:98" x14ac:dyDescent="0.3">
      <c r="D75" s="1011"/>
      <c r="E75" s="1011"/>
      <c r="AX75" s="1011"/>
      <c r="AY75" s="1011"/>
      <c r="CH75" s="1011"/>
      <c r="CI75" s="1011"/>
    </row>
    <row r="76" spans="1:98" x14ac:dyDescent="0.3">
      <c r="D76" s="1011"/>
      <c r="E76" s="1011"/>
      <c r="AY76" s="1011"/>
      <c r="CH76" s="1011"/>
      <c r="CI76" s="1011"/>
    </row>
    <row r="77" spans="1:98" x14ac:dyDescent="0.3">
      <c r="D77" s="1011"/>
      <c r="E77" s="1011"/>
      <c r="CH77" s="1011"/>
      <c r="CI77" s="1011"/>
    </row>
    <row r="78" spans="1:98" x14ac:dyDescent="0.3">
      <c r="D78" s="1011"/>
      <c r="E78" s="1011"/>
      <c r="CH78" s="1011"/>
      <c r="CI78" s="1011"/>
    </row>
    <row r="79" spans="1:98" x14ac:dyDescent="0.3">
      <c r="D79" s="1011"/>
      <c r="E79" s="1011"/>
      <c r="CH79" s="1011"/>
      <c r="CI79" s="1011"/>
    </row>
    <row r="80" spans="1:98" x14ac:dyDescent="0.3">
      <c r="D80" s="1011"/>
      <c r="E80" s="1011"/>
      <c r="CH80" s="1011"/>
      <c r="CI80" s="1011"/>
    </row>
    <row r="81" spans="4:87" x14ac:dyDescent="0.3">
      <c r="D81" s="1011"/>
      <c r="E81" s="1011"/>
      <c r="CH81" s="1011"/>
      <c r="CI81" s="1011"/>
    </row>
    <row r="82" spans="4:87" x14ac:dyDescent="0.3">
      <c r="D82" s="1011"/>
      <c r="E82" s="1011"/>
      <c r="CH82" s="1011"/>
      <c r="CI82" s="1011"/>
    </row>
    <row r="83" spans="4:87" x14ac:dyDescent="0.3">
      <c r="D83" s="1011"/>
      <c r="E83" s="1011"/>
      <c r="CH83" s="1011"/>
      <c r="CI83" s="1011"/>
    </row>
    <row r="84" spans="4:87" x14ac:dyDescent="0.3">
      <c r="D84" s="1011"/>
      <c r="E84" s="1011"/>
      <c r="CH84" s="1011"/>
      <c r="CI84" s="1011"/>
    </row>
    <row r="85" spans="4:87" x14ac:dyDescent="0.3">
      <c r="D85" s="1011"/>
      <c r="E85" s="1011"/>
      <c r="CH85" s="1011"/>
      <c r="CI85" s="1011"/>
    </row>
    <row r="86" spans="4:87" x14ac:dyDescent="0.3">
      <c r="D86" s="1011"/>
      <c r="E86" s="1011"/>
      <c r="CH86" s="1011"/>
      <c r="CI86" s="1011"/>
    </row>
    <row r="87" spans="4:87" x14ac:dyDescent="0.3">
      <c r="D87" s="1011"/>
      <c r="E87" s="1011"/>
      <c r="CH87" s="1011"/>
      <c r="CI87" s="1011"/>
    </row>
    <row r="88" spans="4:87" x14ac:dyDescent="0.3">
      <c r="D88" s="1011"/>
      <c r="E88" s="1011"/>
      <c r="CH88" s="1011"/>
      <c r="CI88" s="1011"/>
    </row>
    <row r="89" spans="4:87" x14ac:dyDescent="0.3">
      <c r="D89" s="1011"/>
      <c r="E89" s="1011"/>
      <c r="CH89" s="1011"/>
      <c r="CI89" s="1011"/>
    </row>
    <row r="90" spans="4:87" x14ac:dyDescent="0.3">
      <c r="D90" s="1011"/>
      <c r="E90" s="1011"/>
      <c r="CH90" s="1011"/>
      <c r="CI90" s="1011"/>
    </row>
    <row r="91" spans="4:87" x14ac:dyDescent="0.3">
      <c r="D91" s="1011"/>
      <c r="E91" s="1011"/>
      <c r="CH91" s="1011"/>
      <c r="CI91" s="1011"/>
    </row>
    <row r="92" spans="4:87" x14ac:dyDescent="0.3">
      <c r="D92" s="1011"/>
      <c r="E92" s="1011"/>
      <c r="CH92" s="1011"/>
      <c r="CI92" s="1011"/>
    </row>
    <row r="93" spans="4:87" x14ac:dyDescent="0.3">
      <c r="D93" s="1011"/>
      <c r="E93" s="1011"/>
      <c r="CH93" s="1011"/>
      <c r="CI93" s="1011"/>
    </row>
    <row r="94" spans="4:87" x14ac:dyDescent="0.3">
      <c r="D94" s="1011"/>
      <c r="E94" s="1011"/>
      <c r="CH94" s="1011"/>
      <c r="CI94" s="1011"/>
    </row>
    <row r="95" spans="4:87" x14ac:dyDescent="0.3">
      <c r="D95" s="1011"/>
      <c r="E95" s="1011"/>
      <c r="CH95" s="1011"/>
      <c r="CI95" s="1011"/>
    </row>
    <row r="96" spans="4:87" x14ac:dyDescent="0.3">
      <c r="E96" s="1011"/>
      <c r="CH96" s="1011"/>
      <c r="CI96" s="1011"/>
    </row>
    <row r="97" spans="5:87" x14ac:dyDescent="0.3">
      <c r="E97" s="1011"/>
      <c r="CH97" s="1011"/>
      <c r="CI97" s="1011"/>
    </row>
    <row r="98" spans="5:87" x14ac:dyDescent="0.3">
      <c r="CH98" s="1011"/>
      <c r="CI98" s="1011"/>
    </row>
    <row r="99" spans="5:87" x14ac:dyDescent="0.3">
      <c r="CH99" s="1011"/>
      <c r="CI99" s="1011"/>
    </row>
    <row r="100" spans="5:87" x14ac:dyDescent="0.3">
      <c r="CH100" s="1011"/>
      <c r="CI100" s="1011"/>
    </row>
    <row r="101" spans="5:87" x14ac:dyDescent="0.3">
      <c r="CH101" s="1011"/>
      <c r="CI101" s="1011"/>
    </row>
    <row r="102" spans="5:87" x14ac:dyDescent="0.3">
      <c r="CH102" s="1011"/>
      <c r="CI102" s="1011"/>
    </row>
    <row r="103" spans="5:87" x14ac:dyDescent="0.3">
      <c r="CH103" s="1011"/>
      <c r="CI103" s="1011"/>
    </row>
    <row r="104" spans="5:87" x14ac:dyDescent="0.3">
      <c r="CH104" s="1011"/>
      <c r="CI104" s="1011"/>
    </row>
    <row r="105" spans="5:87" x14ac:dyDescent="0.3">
      <c r="CH105" s="1011"/>
      <c r="CI105" s="1011"/>
    </row>
    <row r="106" spans="5:87" x14ac:dyDescent="0.3">
      <c r="CH106" s="1011"/>
      <c r="CI106" s="1011"/>
    </row>
    <row r="107" spans="5:87" x14ac:dyDescent="0.3">
      <c r="CH107" s="1011"/>
      <c r="CI107" s="1011"/>
    </row>
    <row r="108" spans="5:87" x14ac:dyDescent="0.3">
      <c r="CH108" s="1011"/>
      <c r="CI108" s="1011"/>
    </row>
    <row r="109" spans="5:87" x14ac:dyDescent="0.3">
      <c r="CH109" s="1011"/>
      <c r="CI109" s="1011"/>
    </row>
    <row r="110" spans="5:87" x14ac:dyDescent="0.3">
      <c r="CH110" s="1011"/>
      <c r="CI110" s="1011"/>
    </row>
    <row r="111" spans="5:87" x14ac:dyDescent="0.3">
      <c r="CH111" s="1011"/>
      <c r="CI111" s="1011"/>
    </row>
    <row r="112" spans="5:87" x14ac:dyDescent="0.3">
      <c r="CH112" s="1011"/>
      <c r="CI112" s="1011"/>
    </row>
    <row r="113" spans="86:87" x14ac:dyDescent="0.3">
      <c r="CH113" s="1011"/>
      <c r="CI113" s="1011"/>
    </row>
    <row r="114" spans="86:87" x14ac:dyDescent="0.3">
      <c r="CH114" s="1011"/>
      <c r="CI114" s="1011"/>
    </row>
    <row r="115" spans="86:87" x14ac:dyDescent="0.3">
      <c r="CH115" s="1011"/>
      <c r="CI115" s="1011"/>
    </row>
    <row r="116" spans="86:87" x14ac:dyDescent="0.3">
      <c r="CH116" s="1011"/>
      <c r="CI116" s="1011"/>
    </row>
    <row r="117" spans="86:87" x14ac:dyDescent="0.3">
      <c r="CI117" s="1011"/>
    </row>
    <row r="118" spans="86:87" x14ac:dyDescent="0.3">
      <c r="CI118" s="1011"/>
    </row>
    <row r="119" spans="86:87" x14ac:dyDescent="0.3">
      <c r="CI119" s="1011"/>
    </row>
    <row r="120" spans="86:87" x14ac:dyDescent="0.3">
      <c r="CI120" s="1011"/>
    </row>
  </sheetData>
  <mergeCells count="3">
    <mergeCell ref="V4:W4"/>
    <mergeCell ref="T4:U4"/>
    <mergeCell ref="X4:Y4"/>
  </mergeCells>
  <hyperlinks>
    <hyperlink ref="A2" location="Index!A1" display="Index"/>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S130"/>
  <sheetViews>
    <sheetView workbookViewId="0">
      <selection activeCell="I1" sqref="I1"/>
    </sheetView>
  </sheetViews>
  <sheetFormatPr defaultColWidth="9.109375" defaultRowHeight="14.4" x14ac:dyDescent="0.3"/>
  <cols>
    <col min="1" max="1" width="11.21875" style="1011" customWidth="1"/>
    <col min="2" max="2" width="10.5546875" style="1011" customWidth="1"/>
    <col min="3" max="4" width="11.21875" style="1011" customWidth="1"/>
    <col min="5" max="5" width="13.88671875" style="1011" customWidth="1"/>
    <col min="6" max="6" width="10.88671875" style="1011" customWidth="1"/>
    <col min="7" max="7" width="11.21875" style="1011" customWidth="1"/>
    <col min="8" max="8" width="11" style="1011" customWidth="1"/>
    <col min="9" max="9" width="12" style="1011" customWidth="1"/>
    <col min="10" max="10" width="16.5546875" style="1011" customWidth="1"/>
    <col min="11" max="11" width="10.109375" style="1011" customWidth="1"/>
    <col min="12" max="16" width="9.109375" style="1011"/>
    <col min="17" max="17" width="11.109375" style="1011" bestFit="1" customWidth="1"/>
    <col min="18" max="16384" width="9.109375" style="1011"/>
  </cols>
  <sheetData>
    <row r="1" spans="1:16" ht="15.6" x14ac:dyDescent="0.3">
      <c r="A1" s="75" t="s">
        <v>1862</v>
      </c>
      <c r="I1" s="463" t="s">
        <v>504</v>
      </c>
      <c r="J1" s="12"/>
      <c r="K1" s="12"/>
      <c r="L1" s="12"/>
      <c r="M1" s="12"/>
      <c r="N1" s="12"/>
      <c r="O1" s="12"/>
      <c r="P1" s="12"/>
    </row>
    <row r="2" spans="1:16" ht="15.6" x14ac:dyDescent="0.3">
      <c r="A2" s="404"/>
      <c r="B2" s="11"/>
      <c r="C2" s="11"/>
      <c r="D2" s="11"/>
      <c r="E2" s="11"/>
      <c r="F2" s="11"/>
      <c r="G2" s="501"/>
      <c r="I2" s="12"/>
      <c r="J2" s="12"/>
      <c r="K2" s="12"/>
      <c r="L2" s="12"/>
      <c r="M2" s="12"/>
      <c r="N2" s="12"/>
      <c r="O2" s="12"/>
      <c r="P2" s="12"/>
    </row>
    <row r="3" spans="1:16" x14ac:dyDescent="0.3">
      <c r="A3" s="835"/>
      <c r="B3" s="12"/>
      <c r="C3" s="1374" t="s">
        <v>1856</v>
      </c>
      <c r="D3" s="1374"/>
      <c r="E3" s="1374"/>
      <c r="F3" s="12"/>
      <c r="G3" s="1374" t="s">
        <v>1857</v>
      </c>
      <c r="H3" s="1445"/>
      <c r="I3" s="1445"/>
    </row>
    <row r="4" spans="1:16" x14ac:dyDescent="0.3">
      <c r="A4" s="75" t="s">
        <v>1612</v>
      </c>
      <c r="B4" s="75"/>
      <c r="C4" s="1189">
        <v>2013</v>
      </c>
      <c r="D4" s="1189">
        <v>2014</v>
      </c>
      <c r="E4" s="1189">
        <v>2015</v>
      </c>
      <c r="F4" s="75"/>
      <c r="G4" s="1189">
        <v>2013</v>
      </c>
      <c r="H4" s="1189">
        <v>2014</v>
      </c>
      <c r="I4" s="1189">
        <v>2015</v>
      </c>
    </row>
    <row r="5" spans="1:16" x14ac:dyDescent="0.3">
      <c r="A5" s="170" t="s">
        <v>1603</v>
      </c>
      <c r="B5" s="170">
        <v>1</v>
      </c>
      <c r="C5" s="8">
        <f>E47+E48</f>
        <v>1860</v>
      </c>
      <c r="D5" s="8">
        <v>1847</v>
      </c>
      <c r="E5" s="8">
        <f>E26+E27</f>
        <v>1927.42</v>
      </c>
      <c r="F5" s="170"/>
      <c r="G5" s="73">
        <f t="shared" ref="G5:G19" si="0">C5/C$20</f>
        <v>3.7187802400812531E-3</v>
      </c>
      <c r="H5" s="73">
        <f t="shared" ref="H5:H19" si="1">D5/D$20</f>
        <v>3.4637896146323074E-3</v>
      </c>
      <c r="I5" s="73">
        <f t="shared" ref="I5:I19" si="2">E5/E$20</f>
        <v>3.4054956149707533E-3</v>
      </c>
      <c r="K5" s="1037"/>
      <c r="L5" s="1037"/>
      <c r="N5" s="1037"/>
      <c r="O5" s="1037"/>
    </row>
    <row r="6" spans="1:16" x14ac:dyDescent="0.3">
      <c r="A6" s="170" t="s">
        <v>1604</v>
      </c>
      <c r="B6" s="170">
        <f>B5+1</f>
        <v>2</v>
      </c>
      <c r="C6" s="8">
        <f>E49</f>
        <v>2474</v>
      </c>
      <c r="D6" s="8">
        <v>2579</v>
      </c>
      <c r="E6" s="8">
        <f>E28</f>
        <v>2723</v>
      </c>
      <c r="F6" s="170"/>
      <c r="G6" s="73">
        <f t="shared" si="0"/>
        <v>4.9463775881510861E-3</v>
      </c>
      <c r="H6" s="73">
        <f t="shared" si="1"/>
        <v>4.8365530136094863E-3</v>
      </c>
      <c r="I6" s="73">
        <f t="shared" si="2"/>
        <v>4.8111800020573412E-3</v>
      </c>
      <c r="K6" s="1037"/>
      <c r="L6" s="1037"/>
      <c r="N6" s="1037"/>
      <c r="O6" s="1037"/>
    </row>
    <row r="7" spans="1:16" x14ac:dyDescent="0.3">
      <c r="A7" s="170" t="s">
        <v>1605</v>
      </c>
      <c r="B7" s="170">
        <f t="shared" ref="B7:B19" si="3">B6+1</f>
        <v>3</v>
      </c>
      <c r="C7" s="8">
        <f t="shared" ref="C7:C19" si="4">E50</f>
        <v>7044</v>
      </c>
      <c r="D7" s="8">
        <v>7715</v>
      </c>
      <c r="E7" s="8">
        <f t="shared" ref="E7:E19" si="5">E29</f>
        <v>8309</v>
      </c>
      <c r="F7" s="170"/>
      <c r="G7" s="73">
        <f t="shared" si="0"/>
        <v>1.4083380651146424E-2</v>
      </c>
      <c r="H7" s="73">
        <f t="shared" si="1"/>
        <v>1.4468401124465758E-2</v>
      </c>
      <c r="I7" s="73">
        <f t="shared" si="2"/>
        <v>1.4680901445866488E-2</v>
      </c>
      <c r="K7" s="1037"/>
      <c r="L7" s="1037"/>
    </row>
    <row r="8" spans="1:16" x14ac:dyDescent="0.3">
      <c r="A8" s="170" t="s">
        <v>1606</v>
      </c>
      <c r="B8" s="170">
        <f t="shared" si="3"/>
        <v>4</v>
      </c>
      <c r="C8" s="8">
        <f t="shared" si="4"/>
        <v>18203</v>
      </c>
      <c r="D8" s="8">
        <v>20090</v>
      </c>
      <c r="E8" s="8">
        <f t="shared" si="5"/>
        <v>21367</v>
      </c>
      <c r="F8" s="170"/>
      <c r="G8" s="73">
        <f t="shared" si="0"/>
        <v>3.6394062747418847E-2</v>
      </c>
      <c r="H8" s="73">
        <f t="shared" si="1"/>
        <v>3.7675979078485682E-2</v>
      </c>
      <c r="I8" s="73">
        <f t="shared" si="2"/>
        <v>3.7752656299654498E-2</v>
      </c>
      <c r="K8" s="1037"/>
      <c r="L8" s="1037"/>
    </row>
    <row r="9" spans="1:16" x14ac:dyDescent="0.3">
      <c r="A9" s="170" t="s">
        <v>1607</v>
      </c>
      <c r="B9" s="170">
        <f t="shared" si="3"/>
        <v>5</v>
      </c>
      <c r="C9" s="8">
        <f t="shared" si="4"/>
        <v>32788</v>
      </c>
      <c r="D9" s="8">
        <v>35600</v>
      </c>
      <c r="E9" s="8">
        <f t="shared" si="5"/>
        <v>38000</v>
      </c>
      <c r="F9" s="170"/>
      <c r="G9" s="73">
        <f t="shared" si="0"/>
        <v>6.5554498124615126E-2</v>
      </c>
      <c r="H9" s="73">
        <f t="shared" si="1"/>
        <v>6.6762810114190663E-2</v>
      </c>
      <c r="I9" s="73">
        <f t="shared" si="2"/>
        <v>6.7140962202783316E-2</v>
      </c>
      <c r="K9" s="1037"/>
      <c r="L9" s="1037"/>
    </row>
    <row r="10" spans="1:16" x14ac:dyDescent="0.3">
      <c r="A10" s="170" t="s">
        <v>1608</v>
      </c>
      <c r="B10" s="170">
        <f t="shared" si="3"/>
        <v>6</v>
      </c>
      <c r="C10" s="8">
        <f t="shared" si="4"/>
        <v>48583</v>
      </c>
      <c r="D10" s="8">
        <v>52036</v>
      </c>
      <c r="E10" s="8">
        <f t="shared" si="5"/>
        <v>55222</v>
      </c>
      <c r="F10" s="170"/>
      <c r="G10" s="73">
        <f t="shared" si="0"/>
        <v>9.7134140002079317E-2</v>
      </c>
      <c r="H10" s="73">
        <f t="shared" si="1"/>
        <v>9.7586224356798465E-2</v>
      </c>
      <c r="I10" s="73">
        <f t="shared" si="2"/>
        <v>9.7569953020055264E-2</v>
      </c>
      <c r="K10" s="1037"/>
      <c r="L10" s="1037"/>
      <c r="N10" s="1037"/>
      <c r="O10" s="1037"/>
    </row>
    <row r="11" spans="1:16" x14ac:dyDescent="0.3">
      <c r="A11" s="170" t="s">
        <v>1609</v>
      </c>
      <c r="B11" s="170">
        <f t="shared" si="3"/>
        <v>7</v>
      </c>
      <c r="C11" s="8">
        <f t="shared" si="4"/>
        <v>66193</v>
      </c>
      <c r="D11" s="8">
        <v>70416</v>
      </c>
      <c r="E11" s="8">
        <f t="shared" si="5"/>
        <v>74260</v>
      </c>
      <c r="F11" s="170"/>
      <c r="G11" s="73">
        <f t="shared" si="0"/>
        <v>0.13234259162994538</v>
      </c>
      <c r="H11" s="73">
        <f t="shared" si="1"/>
        <v>0.13205533811800138</v>
      </c>
      <c r="I11" s="73">
        <f t="shared" si="2"/>
        <v>0.13120757508364972</v>
      </c>
      <c r="K11" s="1037"/>
      <c r="L11" s="1037"/>
    </row>
    <row r="12" spans="1:16" x14ac:dyDescent="0.3">
      <c r="A12" s="170" t="s">
        <v>1610</v>
      </c>
      <c r="B12" s="170">
        <f t="shared" si="3"/>
        <v>8</v>
      </c>
      <c r="C12" s="8">
        <f t="shared" si="4"/>
        <v>87457</v>
      </c>
      <c r="D12" s="8">
        <v>92946</v>
      </c>
      <c r="E12" s="8">
        <f t="shared" si="5"/>
        <v>98179</v>
      </c>
      <c r="F12" s="170"/>
      <c r="G12" s="73">
        <f t="shared" si="0"/>
        <v>0.17485664701977752</v>
      </c>
      <c r="H12" s="73">
        <f t="shared" si="1"/>
        <v>0.17430719519307766</v>
      </c>
      <c r="I12" s="73">
        <f t="shared" si="2"/>
        <v>0.17346927705544901</v>
      </c>
      <c r="K12" s="1037"/>
      <c r="L12" s="1037"/>
    </row>
    <row r="13" spans="1:16" x14ac:dyDescent="0.3">
      <c r="A13" s="170" t="s">
        <v>1611</v>
      </c>
      <c r="B13" s="170">
        <f t="shared" si="3"/>
        <v>9</v>
      </c>
      <c r="C13" s="8">
        <f t="shared" si="4"/>
        <v>111013</v>
      </c>
      <c r="D13" s="8">
        <v>118263</v>
      </c>
      <c r="E13" s="8">
        <f t="shared" si="5"/>
        <v>124957</v>
      </c>
      <c r="F13" s="170"/>
      <c r="G13" s="73">
        <f t="shared" si="0"/>
        <v>0.221953199350613</v>
      </c>
      <c r="H13" s="73">
        <f t="shared" si="1"/>
        <v>0.22178568012737443</v>
      </c>
      <c r="I13" s="73">
        <f t="shared" si="2"/>
        <v>0.22078245299929458</v>
      </c>
      <c r="K13" s="1037"/>
      <c r="L13" s="1037"/>
    </row>
    <row r="14" spans="1:16" x14ac:dyDescent="0.3">
      <c r="A14" s="663" t="s">
        <v>19</v>
      </c>
      <c r="B14" s="170">
        <f t="shared" si="3"/>
        <v>10</v>
      </c>
      <c r="C14" s="8">
        <f t="shared" si="4"/>
        <v>63889</v>
      </c>
      <c r="D14" s="8">
        <v>67995</v>
      </c>
      <c r="E14" s="8">
        <f t="shared" si="5"/>
        <v>72002</v>
      </c>
      <c r="F14" s="170"/>
      <c r="G14" s="73">
        <f t="shared" si="0"/>
        <v>0.12773610255836085</v>
      </c>
      <c r="H14" s="73">
        <f t="shared" si="1"/>
        <v>0.12751509195826949</v>
      </c>
      <c r="I14" s="73">
        <f t="shared" si="2"/>
        <v>0.12721798843486326</v>
      </c>
      <c r="J14" s="74"/>
      <c r="K14" s="1037"/>
      <c r="L14" s="1037"/>
      <c r="N14" s="1037"/>
      <c r="O14" s="1037"/>
    </row>
    <row r="15" spans="1:16" x14ac:dyDescent="0.3">
      <c r="A15" s="663" t="s">
        <v>20</v>
      </c>
      <c r="B15" s="170">
        <f t="shared" si="3"/>
        <v>11</v>
      </c>
      <c r="C15" s="8">
        <f t="shared" si="4"/>
        <v>50555</v>
      </c>
      <c r="D15" s="8">
        <v>53216</v>
      </c>
      <c r="E15" s="8">
        <f t="shared" si="5"/>
        <v>57422</v>
      </c>
      <c r="F15" s="170"/>
      <c r="G15" s="73">
        <f t="shared" si="0"/>
        <v>0.10107684679425148</v>
      </c>
      <c r="H15" s="73">
        <f t="shared" si="1"/>
        <v>9.9799148961707024E-2</v>
      </c>
      <c r="I15" s="73">
        <f t="shared" si="2"/>
        <v>0.10145706135811114</v>
      </c>
      <c r="K15" s="1037"/>
      <c r="L15" s="1037"/>
      <c r="N15" s="1037"/>
      <c r="O15" s="1037"/>
    </row>
    <row r="16" spans="1:16" x14ac:dyDescent="0.3">
      <c r="A16" s="663" t="s">
        <v>21</v>
      </c>
      <c r="B16" s="170">
        <f t="shared" si="3"/>
        <v>12</v>
      </c>
      <c r="C16" s="8">
        <f t="shared" si="4"/>
        <v>5428</v>
      </c>
      <c r="D16" s="8">
        <v>5676</v>
      </c>
      <c r="E16" s="8">
        <f t="shared" si="5"/>
        <v>6258</v>
      </c>
      <c r="F16" s="170"/>
      <c r="G16" s="73">
        <f t="shared" si="0"/>
        <v>1.0852440399548947E-2</v>
      </c>
      <c r="H16" s="73">
        <f t="shared" si="1"/>
        <v>1.0644542421577139E-2</v>
      </c>
      <c r="I16" s="73">
        <f t="shared" si="2"/>
        <v>1.1057056354342579E-2</v>
      </c>
      <c r="J16" s="74"/>
      <c r="K16" s="1037"/>
      <c r="L16" s="1037"/>
      <c r="N16" s="1037"/>
      <c r="O16" s="1037"/>
    </row>
    <row r="17" spans="1:19" x14ac:dyDescent="0.3">
      <c r="A17" s="663" t="s">
        <v>225</v>
      </c>
      <c r="B17" s="170">
        <f t="shared" si="3"/>
        <v>13</v>
      </c>
      <c r="C17" s="8">
        <f t="shared" si="4"/>
        <v>3815</v>
      </c>
      <c r="D17" s="8">
        <v>3958</v>
      </c>
      <c r="E17" s="8">
        <f t="shared" si="5"/>
        <v>4350</v>
      </c>
      <c r="F17" s="170"/>
      <c r="G17" s="1159">
        <f t="shared" si="0"/>
        <v>7.627498180596764E-3</v>
      </c>
      <c r="H17" s="1159">
        <f t="shared" si="1"/>
        <v>7.4226742256170404E-3</v>
      </c>
      <c r="I17" s="1159">
        <f t="shared" si="2"/>
        <v>7.6858733047923001E-3</v>
      </c>
      <c r="K17" s="1037"/>
      <c r="L17" s="1037"/>
      <c r="N17" s="1037"/>
      <c r="O17" s="1037"/>
    </row>
    <row r="18" spans="1:19" x14ac:dyDescent="0.3">
      <c r="A18" s="663" t="s">
        <v>22</v>
      </c>
      <c r="B18" s="170">
        <f t="shared" si="3"/>
        <v>14</v>
      </c>
      <c r="C18" s="8">
        <f t="shared" si="4"/>
        <v>771</v>
      </c>
      <c r="D18" s="8">
        <v>798</v>
      </c>
      <c r="E18" s="8">
        <f t="shared" si="5"/>
        <v>888</v>
      </c>
      <c r="F18" s="170"/>
      <c r="G18" s="1159">
        <f t="shared" si="0"/>
        <v>1.5414943898401324E-3</v>
      </c>
      <c r="H18" s="1159">
        <f t="shared" si="1"/>
        <v>1.4965371480652851E-3</v>
      </c>
      <c r="I18" s="1159">
        <f t="shared" si="2"/>
        <v>1.5689782746334626E-3</v>
      </c>
      <c r="K18" s="1037"/>
      <c r="L18" s="1037"/>
      <c r="N18" s="1037"/>
      <c r="O18" s="1037"/>
    </row>
    <row r="19" spans="1:19" x14ac:dyDescent="0.3">
      <c r="A19" s="663" t="s">
        <v>23</v>
      </c>
      <c r="B19" s="170">
        <f t="shared" si="3"/>
        <v>15</v>
      </c>
      <c r="C19" s="8">
        <f t="shared" si="4"/>
        <v>91</v>
      </c>
      <c r="D19" s="8">
        <v>96</v>
      </c>
      <c r="E19" s="8">
        <f t="shared" si="5"/>
        <v>109</v>
      </c>
      <c r="F19" s="170"/>
      <c r="G19" s="1159">
        <f t="shared" si="0"/>
        <v>1.8194032357386777E-4</v>
      </c>
      <c r="H19" s="1159">
        <f t="shared" si="1"/>
        <v>1.8003454412815459E-4</v>
      </c>
      <c r="I19" s="1159">
        <f t="shared" si="2"/>
        <v>1.9258854947640477E-4</v>
      </c>
      <c r="K19" s="1037"/>
      <c r="L19" s="1037"/>
      <c r="N19" s="1037"/>
      <c r="O19" s="1037"/>
    </row>
    <row r="20" spans="1:19" x14ac:dyDescent="0.3">
      <c r="A20" s="1035" t="s">
        <v>246</v>
      </c>
      <c r="B20" s="11"/>
      <c r="C20" s="886">
        <f>SUM(C5:C19)</f>
        <v>500164</v>
      </c>
      <c r="D20" s="886">
        <f>SUM(D5:D19)</f>
        <v>533231</v>
      </c>
      <c r="E20" s="886">
        <f>SUM(E5:E19)</f>
        <v>565973.41999999993</v>
      </c>
      <c r="F20" s="11"/>
      <c r="G20" s="1196">
        <f>SUM(G5:G19)</f>
        <v>0.99999999999999989</v>
      </c>
      <c r="H20" s="1196">
        <f>SUM(H5:H19)</f>
        <v>1</v>
      </c>
      <c r="I20" s="1196">
        <f>SUM(I5:I19)</f>
        <v>1.0000000000000002</v>
      </c>
      <c r="K20" s="1037"/>
      <c r="N20" s="1037"/>
    </row>
    <row r="21" spans="1:19" x14ac:dyDescent="0.3">
      <c r="A21" s="252" t="s">
        <v>1867</v>
      </c>
    </row>
    <row r="22" spans="1:19" ht="15.6" x14ac:dyDescent="0.3">
      <c r="A22" s="252"/>
      <c r="G22" s="466"/>
      <c r="I22" s="12"/>
      <c r="J22" s="12"/>
      <c r="K22" s="12"/>
      <c r="L22" s="12"/>
      <c r="M22" s="12"/>
      <c r="N22" s="12"/>
      <c r="O22" s="12"/>
      <c r="P22" s="12"/>
    </row>
    <row r="24" spans="1:19" x14ac:dyDescent="0.3">
      <c r="A24" s="404" t="s">
        <v>1860</v>
      </c>
      <c r="B24" s="11"/>
      <c r="C24" s="11"/>
      <c r="D24" s="11"/>
      <c r="E24" s="11"/>
      <c r="K24" s="75"/>
    </row>
    <row r="25" spans="1:19" x14ac:dyDescent="0.3">
      <c r="A25" s="75" t="s">
        <v>1612</v>
      </c>
      <c r="B25" s="75"/>
      <c r="C25" s="1105" t="s">
        <v>1613</v>
      </c>
      <c r="D25" s="1105" t="s">
        <v>1614</v>
      </c>
      <c r="E25" s="1105" t="s">
        <v>1615</v>
      </c>
      <c r="I25" s="1036" t="s">
        <v>1616</v>
      </c>
      <c r="J25" s="1036" t="s">
        <v>1617</v>
      </c>
      <c r="M25" s="1105"/>
      <c r="N25" s="1105"/>
    </row>
    <row r="26" spans="1:19" x14ac:dyDescent="0.3">
      <c r="A26" s="170" t="s">
        <v>1858</v>
      </c>
      <c r="B26" s="170">
        <v>0</v>
      </c>
      <c r="C26" s="8">
        <v>137</v>
      </c>
      <c r="D26" s="8">
        <v>763.42</v>
      </c>
      <c r="E26" s="8">
        <f>C26+D26</f>
        <v>900.42</v>
      </c>
      <c r="I26" s="1037">
        <f>C26/$E$42</f>
        <v>2.4206083741529772E-4</v>
      </c>
      <c r="J26" s="1037">
        <f>D26/$E$42</f>
        <v>1.3488619306539166E-3</v>
      </c>
      <c r="L26" s="1252" t="str">
        <f>CONCATENATE("%let esi_sin0=",ROUND(I26,5),"; %let esi_mar0=",ROUND(J26,5),";")</f>
        <v>%let esi_sin0=0.00024; %let esi_mar0=0.00135;</v>
      </c>
      <c r="M26" s="1189"/>
      <c r="N26" s="1189"/>
    </row>
    <row r="27" spans="1:19" x14ac:dyDescent="0.3">
      <c r="A27" s="170" t="s">
        <v>1603</v>
      </c>
      <c r="B27" s="170">
        <v>1</v>
      </c>
      <c r="C27" s="8">
        <v>449</v>
      </c>
      <c r="D27" s="8">
        <v>578</v>
      </c>
      <c r="E27" s="8">
        <f t="shared" ref="E27:E41" si="6">C27+D27</f>
        <v>1027</v>
      </c>
      <c r="I27" s="1037">
        <f t="shared" ref="I27:I41" si="7">C27/$E$42</f>
        <v>7.9332347444867649E-4</v>
      </c>
      <c r="J27" s="1037">
        <f t="shared" ref="J27:J41" si="8">D27/$E$42</f>
        <v>1.0212493724528621E-3</v>
      </c>
      <c r="L27" s="1252"/>
      <c r="M27" s="8"/>
      <c r="N27" s="8"/>
      <c r="Q27" s="8"/>
      <c r="R27" s="8"/>
      <c r="S27" s="8"/>
    </row>
    <row r="28" spans="1:19" x14ac:dyDescent="0.3">
      <c r="A28" s="170" t="s">
        <v>1604</v>
      </c>
      <c r="B28" s="170">
        <f>B27+1</f>
        <v>2</v>
      </c>
      <c r="C28" s="8">
        <v>1715</v>
      </c>
      <c r="D28" s="8">
        <v>1008</v>
      </c>
      <c r="E28" s="8">
        <f t="shared" si="6"/>
        <v>2723</v>
      </c>
      <c r="I28" s="1037">
        <f t="shared" si="7"/>
        <v>3.0301776362571943E-3</v>
      </c>
      <c r="J28" s="1037">
        <f t="shared" si="8"/>
        <v>1.7810023658001467E-3</v>
      </c>
      <c r="L28" s="1252" t="str">
        <f>CONCATENATE("%let esi_sin",$B27,"=",ROUND(I27+I28+I29+I30+I31,5),"; %let esi_mar",$B27,"=",ROUND(J27+J28+J29+J30+J31,5),";")</f>
        <v>%let esi_sin1=0.092; %let esi_mar1=0.0342;</v>
      </c>
      <c r="M28" s="8"/>
      <c r="N28" s="8"/>
    </row>
    <row r="29" spans="1:19" x14ac:dyDescent="0.3">
      <c r="A29" s="170" t="s">
        <v>1605</v>
      </c>
      <c r="B29" s="170">
        <f t="shared" ref="B29:B41" si="9">B28+1</f>
        <v>3</v>
      </c>
      <c r="C29" s="8">
        <v>6151</v>
      </c>
      <c r="D29" s="8">
        <v>2158</v>
      </c>
      <c r="E29" s="8">
        <f t="shared" si="6"/>
        <v>8309</v>
      </c>
      <c r="I29" s="1037">
        <f t="shared" si="7"/>
        <v>1.0868001539718952E-2</v>
      </c>
      <c r="J29" s="1037">
        <f t="shared" si="8"/>
        <v>3.8128999061475366E-3</v>
      </c>
      <c r="L29" s="1252"/>
      <c r="M29" s="8"/>
      <c r="N29" s="8"/>
    </row>
    <row r="30" spans="1:19" x14ac:dyDescent="0.3">
      <c r="A30" s="170" t="s">
        <v>1606</v>
      </c>
      <c r="B30" s="170">
        <f t="shared" si="9"/>
        <v>4</v>
      </c>
      <c r="C30" s="8">
        <v>16151</v>
      </c>
      <c r="D30" s="8">
        <v>5216</v>
      </c>
      <c r="E30" s="8">
        <f t="shared" si="6"/>
        <v>21367</v>
      </c>
      <c r="I30" s="1037">
        <f t="shared" si="7"/>
        <v>2.8536675803609298E-2</v>
      </c>
      <c r="J30" s="1037">
        <f t="shared" si="8"/>
        <v>9.2159804960452035E-3</v>
      </c>
      <c r="L30" s="1252"/>
      <c r="M30" s="8"/>
      <c r="N30" s="8"/>
    </row>
    <row r="31" spans="1:19" x14ac:dyDescent="0.3">
      <c r="A31" s="170" t="s">
        <v>1607</v>
      </c>
      <c r="B31" s="170">
        <f t="shared" si="9"/>
        <v>5</v>
      </c>
      <c r="C31" s="8">
        <v>27604</v>
      </c>
      <c r="D31" s="8">
        <v>10396</v>
      </c>
      <c r="E31" s="8">
        <f t="shared" si="6"/>
        <v>38000</v>
      </c>
      <c r="I31" s="1037">
        <f t="shared" si="7"/>
        <v>4.877260843804291E-2</v>
      </c>
      <c r="J31" s="1037">
        <f t="shared" si="8"/>
        <v>1.8368353764740403E-2</v>
      </c>
      <c r="L31" s="1252"/>
      <c r="M31" s="8"/>
      <c r="N31" s="8"/>
    </row>
    <row r="32" spans="1:19" x14ac:dyDescent="0.3">
      <c r="A32" s="170" t="s">
        <v>1608</v>
      </c>
      <c r="B32" s="170">
        <f t="shared" si="9"/>
        <v>6</v>
      </c>
      <c r="C32" s="8">
        <v>34808</v>
      </c>
      <c r="D32" s="8">
        <v>20414</v>
      </c>
      <c r="E32" s="8">
        <f t="shared" si="6"/>
        <v>55222</v>
      </c>
      <c r="I32" s="1037">
        <f t="shared" si="7"/>
        <v>6.1501121377749511E-2</v>
      </c>
      <c r="J32" s="1037">
        <f t="shared" si="8"/>
        <v>3.6068831642305753E-2</v>
      </c>
      <c r="L32" s="1252" t="str">
        <f>CONCATENATE("%let esi_sin",2,"=",ROUND(I32+I33+I34+I35,5),"; %let esi_mar",2,"=",ROUND(J32+J33+J34+J35,5),";")</f>
        <v>%let esi_sin2=0.20471; %let esi_mar2=0.41831;</v>
      </c>
      <c r="M32" s="8"/>
      <c r="N32" s="8"/>
    </row>
    <row r="33" spans="1:19" x14ac:dyDescent="0.3">
      <c r="A33" s="170" t="s">
        <v>1609</v>
      </c>
      <c r="B33" s="170">
        <f t="shared" si="9"/>
        <v>7</v>
      </c>
      <c r="C33" s="8">
        <v>35348</v>
      </c>
      <c r="D33" s="8">
        <v>38912</v>
      </c>
      <c r="E33" s="8">
        <f t="shared" si="6"/>
        <v>74260</v>
      </c>
      <c r="I33" s="1037">
        <f t="shared" si="7"/>
        <v>6.245522978799959E-2</v>
      </c>
      <c r="J33" s="1037">
        <f t="shared" si="8"/>
        <v>6.8752345295650108E-2</v>
      </c>
      <c r="L33" s="1252"/>
      <c r="M33" s="8"/>
      <c r="N33" s="8"/>
    </row>
    <row r="34" spans="1:19" x14ac:dyDescent="0.3">
      <c r="A34" s="170" t="s">
        <v>1610</v>
      </c>
      <c r="B34" s="170">
        <f t="shared" si="9"/>
        <v>8</v>
      </c>
      <c r="C34" s="8">
        <v>28057</v>
      </c>
      <c r="D34" s="8">
        <v>70122</v>
      </c>
      <c r="E34" s="8">
        <f t="shared" si="6"/>
        <v>98179</v>
      </c>
      <c r="I34" s="1037">
        <f t="shared" si="7"/>
        <v>4.9572999382197142E-2</v>
      </c>
      <c r="J34" s="1037">
        <f t="shared" si="8"/>
        <v>0.12389627767325188</v>
      </c>
      <c r="L34" s="1252"/>
      <c r="M34" s="8"/>
      <c r="N34" s="8"/>
    </row>
    <row r="35" spans="1:19" x14ac:dyDescent="0.3">
      <c r="A35" s="170" t="s">
        <v>1611</v>
      </c>
      <c r="B35" s="170">
        <f t="shared" si="9"/>
        <v>9</v>
      </c>
      <c r="C35" s="8">
        <v>17650</v>
      </c>
      <c r="D35" s="8">
        <v>107307</v>
      </c>
      <c r="E35" s="8">
        <f t="shared" si="6"/>
        <v>124957</v>
      </c>
      <c r="I35" s="1037">
        <f t="shared" si="7"/>
        <v>3.118521007576646E-2</v>
      </c>
      <c r="J35" s="1037">
        <f t="shared" si="8"/>
        <v>0.18959724292352814</v>
      </c>
      <c r="L35" s="1252"/>
      <c r="M35" s="8"/>
      <c r="N35" s="8"/>
    </row>
    <row r="36" spans="1:19" x14ac:dyDescent="0.3">
      <c r="A36" s="663" t="s">
        <v>19</v>
      </c>
      <c r="B36" s="170">
        <f t="shared" si="9"/>
        <v>10</v>
      </c>
      <c r="C36" s="8">
        <v>5588</v>
      </c>
      <c r="D36" s="8">
        <v>66414</v>
      </c>
      <c r="E36" s="8">
        <f t="shared" si="6"/>
        <v>72002</v>
      </c>
      <c r="I36" s="1037">
        <f t="shared" si="7"/>
        <v>9.8732551786619247E-3</v>
      </c>
      <c r="J36" s="1037">
        <f t="shared" si="8"/>
        <v>0.11734473325620134</v>
      </c>
      <c r="L36" s="1252" t="str">
        <f>CONCATENATE("%let esi_sin",3,"=",ROUND(I36,5),"; %let esi_mar",3,"=",ROUND(J36,5),";")</f>
        <v>%let esi_sin3=0.00987; %let esi_mar3=0.11734;</v>
      </c>
      <c r="M36" s="8"/>
      <c r="N36" s="8"/>
    </row>
    <row r="37" spans="1:19" x14ac:dyDescent="0.3">
      <c r="A37" s="663" t="s">
        <v>20</v>
      </c>
      <c r="B37" s="170">
        <f t="shared" si="9"/>
        <v>11</v>
      </c>
      <c r="C37" s="8">
        <v>3268</v>
      </c>
      <c r="D37" s="8">
        <v>54154</v>
      </c>
      <c r="E37" s="8">
        <f t="shared" si="6"/>
        <v>57422</v>
      </c>
      <c r="I37" s="1037">
        <f t="shared" si="7"/>
        <v>5.7741227494393652E-3</v>
      </c>
      <c r="J37" s="1037">
        <f t="shared" si="8"/>
        <v>9.5682938608671775E-2</v>
      </c>
      <c r="L37" s="1252" t="str">
        <f>CONCATENATE("%let esi_sin",4,"=",ROUND(I37,5),"; %let esi_mar",4,"=",ROUND(J37,5),";")</f>
        <v>%let esi_sin4=0.00577; %let esi_mar4=0.09568;</v>
      </c>
      <c r="M37" s="8"/>
      <c r="N37" s="8"/>
    </row>
    <row r="38" spans="1:19" x14ac:dyDescent="0.3">
      <c r="A38" s="663" t="s">
        <v>21</v>
      </c>
      <c r="B38" s="170">
        <f t="shared" si="9"/>
        <v>12</v>
      </c>
      <c r="C38" s="8">
        <v>325</v>
      </c>
      <c r="D38" s="8">
        <v>5933</v>
      </c>
      <c r="E38" s="8">
        <f t="shared" si="6"/>
        <v>6258</v>
      </c>
      <c r="I38" s="1037">
        <f t="shared" si="7"/>
        <v>5.7423191357643621E-4</v>
      </c>
      <c r="J38" s="1037">
        <f t="shared" si="8"/>
        <v>1.0482824440766142E-2</v>
      </c>
      <c r="L38" s="1252" t="str">
        <f>CONCATENATE("%let esi_sin",5,"=",ROUND(I38,5),"; %let esi_mar",5,"=",ROUND(J38,5),";")</f>
        <v>%let esi_sin5=0.00057; %let esi_mar5=0.01048;</v>
      </c>
      <c r="M38" s="8"/>
      <c r="N38" s="8"/>
    </row>
    <row r="39" spans="1:19" x14ac:dyDescent="0.3">
      <c r="A39" s="663" t="s">
        <v>225</v>
      </c>
      <c r="B39" s="170">
        <f t="shared" si="9"/>
        <v>13</v>
      </c>
      <c r="C39" s="8">
        <v>226</v>
      </c>
      <c r="D39" s="8">
        <v>4124</v>
      </c>
      <c r="E39" s="8">
        <f t="shared" si="6"/>
        <v>4350</v>
      </c>
      <c r="I39" s="1037">
        <f t="shared" si="7"/>
        <v>3.9931203836392182E-4</v>
      </c>
      <c r="J39" s="1037">
        <f t="shared" si="8"/>
        <v>7.2865612664283781E-3</v>
      </c>
      <c r="L39" s="1252" t="str">
        <f>CONCATENATE("%let esi_sin",6,"=",ROUND(I39,5),"; %let esi_mar",6,"=",ROUND(J39,5),";")</f>
        <v>%let esi_sin6=0.0004; %let esi_mar6=0.00729;</v>
      </c>
      <c r="M39" s="8"/>
      <c r="N39" s="8"/>
    </row>
    <row r="40" spans="1:19" x14ac:dyDescent="0.3">
      <c r="A40" s="663" t="s">
        <v>22</v>
      </c>
      <c r="B40" s="170">
        <f t="shared" si="9"/>
        <v>14</v>
      </c>
      <c r="C40" s="8">
        <v>54</v>
      </c>
      <c r="D40" s="8">
        <v>834</v>
      </c>
      <c r="E40" s="8">
        <f t="shared" si="6"/>
        <v>888</v>
      </c>
      <c r="I40" s="1037">
        <f t="shared" si="7"/>
        <v>9.5410841025007865E-5</v>
      </c>
      <c r="J40" s="1037">
        <f t="shared" si="8"/>
        <v>1.4735674336084548E-3</v>
      </c>
      <c r="L40" s="1252" t="str">
        <f>CONCATENATE("%let esi_sin",7,"=",ROUND(I40,5),"; %let esi_mar",7,"=",ROUND(J40,5),";")</f>
        <v>%let esi_sin7=0.0001; %let esi_mar7=0.00147;</v>
      </c>
      <c r="M40" s="8"/>
      <c r="N40" s="8"/>
    </row>
    <row r="41" spans="1:19" x14ac:dyDescent="0.3">
      <c r="A41" s="663" t="s">
        <v>23</v>
      </c>
      <c r="B41" s="170">
        <f t="shared" si="9"/>
        <v>15</v>
      </c>
      <c r="C41" s="8">
        <v>8</v>
      </c>
      <c r="D41" s="8">
        <v>101</v>
      </c>
      <c r="E41" s="8">
        <f t="shared" si="6"/>
        <v>109</v>
      </c>
      <c r="I41" s="1037">
        <f t="shared" si="7"/>
        <v>1.4134939411112277E-5</v>
      </c>
      <c r="J41" s="1037">
        <f t="shared" si="8"/>
        <v>1.7845361006529249E-4</v>
      </c>
      <c r="L41" s="1252" t="str">
        <f>CONCATENATE("%let esi_sin",8,"=",ROUND(I41,5),"; %let esi_mar",8,"=",ROUND(J41,5),";")</f>
        <v>%let esi_sin8=0.00001; %let esi_mar8=0.00018;</v>
      </c>
      <c r="M41" s="8"/>
      <c r="N41" s="8"/>
    </row>
    <row r="42" spans="1:19" x14ac:dyDescent="0.3">
      <c r="A42" s="1035" t="s">
        <v>246</v>
      </c>
      <c r="B42" s="11"/>
      <c r="C42" s="886">
        <f>SUM(C26:C41)</f>
        <v>177539</v>
      </c>
      <c r="D42" s="886">
        <f>SUM(D26:D41)</f>
        <v>388434.42</v>
      </c>
      <c r="E42" s="886">
        <f>SUM(E26:E41)</f>
        <v>565973.41999999993</v>
      </c>
      <c r="H42" s="1037"/>
      <c r="I42" s="1037">
        <f>SUM(I27:I41)</f>
        <v>0.31344581517626752</v>
      </c>
      <c r="J42" s="1037">
        <f>SUM(J27:J41)</f>
        <v>0.68496326205566338</v>
      </c>
      <c r="K42" s="1037"/>
      <c r="L42" s="1252"/>
      <c r="M42" s="1112"/>
      <c r="N42" s="1112"/>
    </row>
    <row r="43" spans="1:19" x14ac:dyDescent="0.3">
      <c r="A43" s="252" t="s">
        <v>1866</v>
      </c>
      <c r="L43" s="1252"/>
    </row>
    <row r="44" spans="1:19" x14ac:dyDescent="0.3">
      <c r="L44" s="1252"/>
    </row>
    <row r="45" spans="1:19" x14ac:dyDescent="0.3">
      <c r="A45" s="404" t="s">
        <v>1861</v>
      </c>
      <c r="B45" s="11"/>
      <c r="C45" s="11"/>
      <c r="D45" s="11"/>
      <c r="E45" s="11"/>
      <c r="K45" s="75"/>
      <c r="L45" s="1252"/>
    </row>
    <row r="46" spans="1:19" x14ac:dyDescent="0.3">
      <c r="A46" s="75" t="s">
        <v>1612</v>
      </c>
      <c r="B46" s="75"/>
      <c r="C46" s="1189" t="s">
        <v>1613</v>
      </c>
      <c r="D46" s="1189" t="s">
        <v>1614</v>
      </c>
      <c r="E46" s="1189" t="s">
        <v>1615</v>
      </c>
      <c r="I46" s="1036" t="s">
        <v>1616</v>
      </c>
      <c r="J46" s="1036" t="s">
        <v>1617</v>
      </c>
      <c r="L46" s="1252"/>
    </row>
    <row r="47" spans="1:19" x14ac:dyDescent="0.3">
      <c r="A47" s="170" t="s">
        <v>1858</v>
      </c>
      <c r="B47" s="170">
        <v>0</v>
      </c>
      <c r="C47" s="8">
        <v>139</v>
      </c>
      <c r="D47" s="8">
        <v>775</v>
      </c>
      <c r="E47" s="8">
        <v>914</v>
      </c>
      <c r="I47" s="1037">
        <f>ROUND(C47/$E$63,5)</f>
        <v>2.7999999999999998E-4</v>
      </c>
      <c r="J47" s="1037">
        <f>ROUND(D47/$E$63,5)</f>
        <v>1.5499999999999999E-3</v>
      </c>
      <c r="L47" s="1252" t="str">
        <f>CONCATENATE("%let esi_sinp0=",ROUND(I47,5),"; %let esi_marp0=",ROUND(J47,5),";")</f>
        <v>%let esi_sinp0=0.00028; %let esi_marp0=0.00155;</v>
      </c>
    </row>
    <row r="48" spans="1:19" x14ac:dyDescent="0.3">
      <c r="A48" s="170" t="s">
        <v>1603</v>
      </c>
      <c r="B48" s="170">
        <v>1</v>
      </c>
      <c r="C48" s="8">
        <v>414</v>
      </c>
      <c r="D48" s="8">
        <v>532</v>
      </c>
      <c r="E48" s="8">
        <v>946</v>
      </c>
      <c r="I48" s="1037">
        <f>ROUND(C48/$E$63,5)</f>
        <v>8.3000000000000001E-4</v>
      </c>
      <c r="J48" s="1037">
        <f>ROUND(D48/$E$63,5)</f>
        <v>1.06E-3</v>
      </c>
      <c r="L48" s="1252"/>
      <c r="Q48" s="8"/>
      <c r="R48" s="8"/>
      <c r="S48" s="8"/>
    </row>
    <row r="49" spans="1:12" x14ac:dyDescent="0.3">
      <c r="A49" s="170" t="s">
        <v>1604</v>
      </c>
      <c r="B49" s="170">
        <f>B48+1</f>
        <v>2</v>
      </c>
      <c r="C49" s="8">
        <v>1533</v>
      </c>
      <c r="D49" s="8">
        <v>941</v>
      </c>
      <c r="E49" s="8">
        <v>2474</v>
      </c>
      <c r="I49" s="1037">
        <f t="shared" ref="I49:I62" si="10">ROUND(C49/$E$63,5)</f>
        <v>3.0599999999999998E-3</v>
      </c>
      <c r="J49" s="1037">
        <f t="shared" ref="J49:J62" si="11">ROUND(D49/$E$63,5)</f>
        <v>1.8799999999999999E-3</v>
      </c>
      <c r="L49" s="1252" t="str">
        <f>CONCATENATE("%let esi_sinp",$B48,"=",ROUND(I48+I49+I50+I51+I52,5),"; %let esi_marp",$B48,"=",ROUND(J48+J49+J50+J51+J52,5),";")</f>
        <v>%let esi_sinp1=0.08782; %let esi_marp1=0.03504;</v>
      </c>
    </row>
    <row r="50" spans="1:12" x14ac:dyDescent="0.3">
      <c r="A50" s="170" t="s">
        <v>1605</v>
      </c>
      <c r="B50" s="170">
        <f t="shared" ref="B50:B62" si="12">B49+1</f>
        <v>3</v>
      </c>
      <c r="C50" s="8">
        <v>5104</v>
      </c>
      <c r="D50" s="8">
        <v>1940</v>
      </c>
      <c r="E50" s="8">
        <v>7044</v>
      </c>
      <c r="I50" s="1037">
        <f t="shared" si="10"/>
        <v>1.0200000000000001E-2</v>
      </c>
      <c r="J50" s="1037">
        <f t="shared" si="11"/>
        <v>3.8800000000000002E-3</v>
      </c>
      <c r="L50" s="1252"/>
    </row>
    <row r="51" spans="1:12" x14ac:dyDescent="0.3">
      <c r="A51" s="170" t="s">
        <v>1606</v>
      </c>
      <c r="B51" s="170">
        <f t="shared" si="12"/>
        <v>4</v>
      </c>
      <c r="C51" s="8">
        <v>13458</v>
      </c>
      <c r="D51" s="8">
        <v>4745</v>
      </c>
      <c r="E51" s="8">
        <v>18203</v>
      </c>
      <c r="I51" s="1037">
        <f t="shared" si="10"/>
        <v>2.691E-2</v>
      </c>
      <c r="J51" s="1037">
        <f t="shared" si="11"/>
        <v>9.4900000000000002E-3</v>
      </c>
      <c r="L51" s="1252"/>
    </row>
    <row r="52" spans="1:12" x14ac:dyDescent="0.3">
      <c r="A52" s="170" t="s">
        <v>1607</v>
      </c>
      <c r="B52" s="170">
        <f t="shared" si="12"/>
        <v>5</v>
      </c>
      <c r="C52" s="8">
        <v>23419</v>
      </c>
      <c r="D52" s="8">
        <v>9369</v>
      </c>
      <c r="E52" s="8">
        <v>32788</v>
      </c>
      <c r="I52" s="1037">
        <f t="shared" si="10"/>
        <v>4.6820000000000001E-2</v>
      </c>
      <c r="J52" s="1037">
        <f t="shared" si="11"/>
        <v>1.873E-2</v>
      </c>
      <c r="L52" s="1252"/>
    </row>
    <row r="53" spans="1:12" x14ac:dyDescent="0.3">
      <c r="A53" s="170" t="s">
        <v>1608</v>
      </c>
      <c r="B53" s="170">
        <f t="shared" si="12"/>
        <v>6</v>
      </c>
      <c r="C53" s="8">
        <v>30244</v>
      </c>
      <c r="D53" s="8">
        <v>18339</v>
      </c>
      <c r="E53" s="8">
        <v>48583</v>
      </c>
      <c r="I53" s="1037">
        <f t="shared" si="10"/>
        <v>6.0470000000000003E-2</v>
      </c>
      <c r="J53" s="1037">
        <f t="shared" si="11"/>
        <v>3.6670000000000001E-2</v>
      </c>
      <c r="L53" s="1252" t="str">
        <f>CONCATENATE("%let esi_sinp",2,"=",ROUND(I53+I54+I55+I56,5),"; %let esi_marp",2,"=",ROUND(J53+J54+J55+J56,5),";")</f>
        <v>%let esi_sinp2=0.20471; %let esi_marp2=0.42159;</v>
      </c>
    </row>
    <row r="54" spans="1:12" x14ac:dyDescent="0.3">
      <c r="A54" s="170" t="s">
        <v>1609</v>
      </c>
      <c r="B54" s="170">
        <f t="shared" si="12"/>
        <v>7</v>
      </c>
      <c r="C54" s="8">
        <v>31448</v>
      </c>
      <c r="D54" s="8">
        <v>34745</v>
      </c>
      <c r="E54" s="8">
        <v>66193</v>
      </c>
      <c r="I54" s="1037">
        <f t="shared" si="10"/>
        <v>6.2880000000000005E-2</v>
      </c>
      <c r="J54" s="1037">
        <f t="shared" si="11"/>
        <v>6.9470000000000004E-2</v>
      </c>
      <c r="L54" s="1252"/>
    </row>
    <row r="55" spans="1:12" x14ac:dyDescent="0.3">
      <c r="A55" s="170" t="s">
        <v>1610</v>
      </c>
      <c r="B55" s="170">
        <f t="shared" si="12"/>
        <v>8</v>
      </c>
      <c r="C55" s="8">
        <v>25063</v>
      </c>
      <c r="D55" s="8">
        <v>62394</v>
      </c>
      <c r="E55" s="8">
        <v>87457</v>
      </c>
      <c r="I55" s="1037">
        <f t="shared" si="10"/>
        <v>5.0110000000000002E-2</v>
      </c>
      <c r="J55" s="1037">
        <f t="shared" si="11"/>
        <v>0.12475</v>
      </c>
      <c r="L55" s="1252"/>
    </row>
    <row r="56" spans="1:12" x14ac:dyDescent="0.3">
      <c r="A56" s="170" t="s">
        <v>1611</v>
      </c>
      <c r="B56" s="170">
        <f t="shared" si="12"/>
        <v>9</v>
      </c>
      <c r="C56" s="8">
        <v>15630</v>
      </c>
      <c r="D56" s="8">
        <v>95383</v>
      </c>
      <c r="E56" s="8">
        <v>111013</v>
      </c>
      <c r="I56" s="1037">
        <f t="shared" si="10"/>
        <v>3.125E-2</v>
      </c>
      <c r="J56" s="1037">
        <f t="shared" si="11"/>
        <v>0.19070000000000001</v>
      </c>
      <c r="L56" s="1252"/>
    </row>
    <row r="57" spans="1:12" x14ac:dyDescent="0.3">
      <c r="A57" s="663" t="s">
        <v>19</v>
      </c>
      <c r="B57" s="170">
        <f t="shared" si="12"/>
        <v>10</v>
      </c>
      <c r="C57" s="8">
        <v>4920</v>
      </c>
      <c r="D57" s="8">
        <v>58969</v>
      </c>
      <c r="E57" s="8">
        <v>63889</v>
      </c>
      <c r="I57" s="1037">
        <f t="shared" si="10"/>
        <v>9.8399999999999998E-3</v>
      </c>
      <c r="J57" s="1037">
        <f t="shared" si="11"/>
        <v>0.1179</v>
      </c>
      <c r="L57" s="1252" t="str">
        <f>CONCATENATE("%let esi_sinp",3,"=",ROUND(I57,5),"; %let esi_marp",3,"=",ROUND(J57,5),";")</f>
        <v>%let esi_sinp3=0.00984; %let esi_marp3=0.1179;</v>
      </c>
    </row>
    <row r="58" spans="1:12" x14ac:dyDescent="0.3">
      <c r="A58" s="663" t="s">
        <v>20</v>
      </c>
      <c r="B58" s="170">
        <f t="shared" si="12"/>
        <v>11</v>
      </c>
      <c r="C58" s="8">
        <v>2818</v>
      </c>
      <c r="D58" s="8">
        <v>47737</v>
      </c>
      <c r="E58" s="8">
        <v>50555</v>
      </c>
      <c r="I58" s="1037">
        <f t="shared" si="10"/>
        <v>5.6299999999999996E-3</v>
      </c>
      <c r="J58" s="1037">
        <f t="shared" si="11"/>
        <v>9.5439999999999997E-2</v>
      </c>
      <c r="L58" s="1252" t="str">
        <f>CONCATENATE("%let esi_sinp",4,"=",ROUND(I58,5),"; %let esi_marp",4,"=",ROUND(J58,5),";")</f>
        <v>%let esi_sinp4=0.00563; %let esi_marp4=0.09544;</v>
      </c>
    </row>
    <row r="59" spans="1:12" x14ac:dyDescent="0.3">
      <c r="A59" s="663" t="s">
        <v>21</v>
      </c>
      <c r="B59" s="170">
        <f t="shared" si="12"/>
        <v>12</v>
      </c>
      <c r="C59" s="8">
        <v>289</v>
      </c>
      <c r="D59" s="8">
        <v>5139</v>
      </c>
      <c r="E59" s="8">
        <v>5428</v>
      </c>
      <c r="I59" s="1037">
        <f t="shared" si="10"/>
        <v>5.8E-4</v>
      </c>
      <c r="J59" s="1037">
        <f t="shared" si="11"/>
        <v>1.027E-2</v>
      </c>
      <c r="L59" s="1252" t="str">
        <f>CONCATENATE("%let esi_sinp",5,"=",ROUND(I59,5),"; %let esi_marp",5,"=",ROUND(J59,5),";")</f>
        <v>%let esi_sinp5=0.00058; %let esi_marp5=0.01027;</v>
      </c>
    </row>
    <row r="60" spans="1:12" x14ac:dyDescent="0.3">
      <c r="A60" s="663" t="s">
        <v>225</v>
      </c>
      <c r="B60" s="170">
        <f t="shared" si="12"/>
        <v>13</v>
      </c>
      <c r="C60" s="8">
        <v>197</v>
      </c>
      <c r="D60" s="8">
        <v>3618</v>
      </c>
      <c r="E60" s="8">
        <v>3815</v>
      </c>
      <c r="I60" s="1037">
        <f t="shared" si="10"/>
        <v>3.8999999999999999E-4</v>
      </c>
      <c r="J60" s="1037">
        <f t="shared" si="11"/>
        <v>7.2300000000000003E-3</v>
      </c>
      <c r="L60" s="1252" t="str">
        <f>CONCATENATE("%let esi_sinp",6,"=",ROUND(I60,5),"; %let esi_marp",6,"=",ROUND(J60,5),";")</f>
        <v>%let esi_sinp6=0.00039; %let esi_marp6=0.00723;</v>
      </c>
    </row>
    <row r="61" spans="1:12" x14ac:dyDescent="0.3">
      <c r="A61" s="663" t="s">
        <v>22</v>
      </c>
      <c r="B61" s="170">
        <f t="shared" si="12"/>
        <v>14</v>
      </c>
      <c r="C61" s="8">
        <v>46</v>
      </c>
      <c r="D61" s="8">
        <v>725</v>
      </c>
      <c r="E61" s="8">
        <v>771</v>
      </c>
      <c r="I61" s="1037">
        <f t="shared" si="10"/>
        <v>9.0000000000000006E-5</v>
      </c>
      <c r="J61" s="1037">
        <f t="shared" si="11"/>
        <v>1.4499999999999999E-3</v>
      </c>
      <c r="L61" s="1252" t="str">
        <f>CONCATENATE("%let esi_sinp",7,"=",ROUND(I61,5),"; %let esi_marp",7,"=",ROUND(J61,5),";")</f>
        <v>%let esi_sinp7=0.00009; %let esi_marp7=0.00145;</v>
      </c>
    </row>
    <row r="62" spans="1:12" x14ac:dyDescent="0.3">
      <c r="A62" s="663" t="s">
        <v>23</v>
      </c>
      <c r="B62" s="170">
        <f t="shared" si="12"/>
        <v>15</v>
      </c>
      <c r="C62" s="8">
        <v>6</v>
      </c>
      <c r="D62" s="8">
        <v>85</v>
      </c>
      <c r="E62" s="8">
        <v>91</v>
      </c>
      <c r="I62" s="1037">
        <f t="shared" si="10"/>
        <v>1.0000000000000001E-5</v>
      </c>
      <c r="J62" s="1037">
        <f t="shared" si="11"/>
        <v>1.7000000000000001E-4</v>
      </c>
      <c r="L62" s="1252" t="str">
        <f>CONCATENATE("%let esi_sinp",8,"=",ROUND(I62,5),"; %let esi_marp",8,"=",ROUND(J62,5),";")</f>
        <v>%let esi_sinp8=0.00001; %let esi_marp8=0.00017;</v>
      </c>
    </row>
    <row r="63" spans="1:12" x14ac:dyDescent="0.3">
      <c r="A63" s="1035" t="s">
        <v>246</v>
      </c>
      <c r="B63" s="11"/>
      <c r="C63" s="886">
        <f>SUM(C47:C62)</f>
        <v>154728</v>
      </c>
      <c r="D63" s="886">
        <f>SUM(D47:D62)</f>
        <v>345436</v>
      </c>
      <c r="E63" s="886">
        <f>SUM(E47:E62)</f>
        <v>500164</v>
      </c>
      <c r="H63" s="1037"/>
      <c r="I63" s="1037">
        <f>SUM(I48:I62)</f>
        <v>0.30907000000000007</v>
      </c>
      <c r="J63" s="1037">
        <f>SUM(J48:J62)</f>
        <v>0.68908999999999987</v>
      </c>
      <c r="K63" s="1037"/>
    </row>
    <row r="64" spans="1:12" x14ac:dyDescent="0.3">
      <c r="A64" s="252" t="s">
        <v>1868</v>
      </c>
    </row>
    <row r="67" spans="1:11" x14ac:dyDescent="0.3">
      <c r="A67" s="75" t="s">
        <v>1859</v>
      </c>
    </row>
    <row r="68" spans="1:11" ht="9.75" customHeight="1" x14ac:dyDescent="0.3"/>
    <row r="69" spans="1:11" x14ac:dyDescent="0.3">
      <c r="A69" s="404" t="s">
        <v>1863</v>
      </c>
      <c r="B69" s="11"/>
      <c r="C69" s="11"/>
      <c r="D69" s="11"/>
    </row>
    <row r="70" spans="1:11" x14ac:dyDescent="0.3">
      <c r="A70" s="295"/>
      <c r="B70" s="296" t="s">
        <v>24</v>
      </c>
      <c r="C70" s="296" t="s">
        <v>25</v>
      </c>
      <c r="D70" s="296" t="s">
        <v>26</v>
      </c>
    </row>
    <row r="71" spans="1:11" x14ac:dyDescent="0.3">
      <c r="A71" s="1011">
        <v>1992</v>
      </c>
      <c r="B71" s="1095">
        <f>G113+G118+G123</f>
        <v>0.21269095182138659</v>
      </c>
      <c r="C71" s="1095">
        <f>G118+G123</f>
        <v>0.11329808068938503</v>
      </c>
      <c r="D71" s="1095">
        <f>G123</f>
        <v>2.1249510379945161E-2</v>
      </c>
    </row>
    <row r="72" spans="1:11" x14ac:dyDescent="0.3">
      <c r="A72" s="11">
        <v>2010</v>
      </c>
      <c r="B72" s="1111">
        <f>I113+I118+I123</f>
        <v>0.19510933806146574</v>
      </c>
      <c r="C72" s="479">
        <f>I118+I123</f>
        <v>0.10387115839243499</v>
      </c>
      <c r="D72" s="479">
        <f>I123</f>
        <v>2.1424349881796693E-2</v>
      </c>
      <c r="E72" s="330"/>
      <c r="F72" s="1153"/>
      <c r="G72" s="330"/>
      <c r="H72" s="330"/>
      <c r="I72" s="12"/>
    </row>
    <row r="73" spans="1:11" x14ac:dyDescent="0.3">
      <c r="A73" s="1114" t="s">
        <v>1864</v>
      </c>
      <c r="B73" s="1095"/>
      <c r="C73" s="1113"/>
      <c r="D73" s="1113"/>
      <c r="E73" s="330"/>
      <c r="F73" s="1153"/>
      <c r="G73" s="330"/>
      <c r="H73" s="330"/>
      <c r="I73" s="12"/>
    </row>
    <row r="74" spans="1:11" ht="15" customHeight="1" x14ac:dyDescent="0.3"/>
    <row r="75" spans="1:11" x14ac:dyDescent="0.3">
      <c r="A75" s="404" t="s">
        <v>1865</v>
      </c>
      <c r="B75" s="11"/>
      <c r="C75" s="11"/>
      <c r="D75" s="11"/>
      <c r="E75" s="11"/>
      <c r="F75" s="11"/>
      <c r="G75" s="11"/>
      <c r="H75" s="11"/>
      <c r="I75" s="11"/>
      <c r="J75" s="11"/>
    </row>
    <row r="76" spans="1:11" x14ac:dyDescent="0.3">
      <c r="B76" s="1026">
        <v>1992</v>
      </c>
      <c r="C76" s="1026">
        <v>2010</v>
      </c>
      <c r="D76" s="1458" t="s">
        <v>1758</v>
      </c>
      <c r="E76" s="1458"/>
      <c r="F76" s="1458">
        <v>1992</v>
      </c>
      <c r="G76" s="1458"/>
      <c r="H76" s="1458">
        <v>2010</v>
      </c>
      <c r="I76" s="1458"/>
      <c r="J76" s="435" t="s">
        <v>1757</v>
      </c>
      <c r="K76" s="435"/>
    </row>
    <row r="77" spans="1:11" ht="13.5" customHeight="1" x14ac:dyDescent="0.3">
      <c r="A77" s="20"/>
      <c r="D77" s="1027" t="s">
        <v>1759</v>
      </c>
      <c r="E77" s="433" t="s">
        <v>1755</v>
      </c>
      <c r="F77" s="434" t="s">
        <v>492</v>
      </c>
      <c r="G77" s="433" t="s">
        <v>483</v>
      </c>
      <c r="H77" s="434" t="s">
        <v>492</v>
      </c>
      <c r="I77" s="433" t="s">
        <v>483</v>
      </c>
      <c r="J77" s="433" t="s">
        <v>483</v>
      </c>
    </row>
    <row r="78" spans="1:11" ht="13.5" customHeight="1" x14ac:dyDescent="0.3">
      <c r="A78" s="21"/>
      <c r="B78" s="11"/>
      <c r="C78" s="11"/>
      <c r="D78" s="1104"/>
      <c r="E78" s="1115" t="s">
        <v>1756</v>
      </c>
      <c r="F78" s="1104" t="s">
        <v>484</v>
      </c>
      <c r="G78" s="1104" t="s">
        <v>484</v>
      </c>
      <c r="H78" s="1104" t="s">
        <v>484</v>
      </c>
      <c r="I78" s="1104" t="s">
        <v>484</v>
      </c>
      <c r="J78" s="1104" t="s">
        <v>484</v>
      </c>
    </row>
    <row r="79" spans="1:11" ht="6" customHeight="1" x14ac:dyDescent="0.3">
      <c r="A79" s="20"/>
      <c r="D79" s="1105"/>
      <c r="E79" s="433"/>
      <c r="F79" s="1105"/>
      <c r="G79" s="1105"/>
      <c r="H79" s="1105"/>
      <c r="I79" s="1105"/>
      <c r="J79" s="1105"/>
    </row>
    <row r="80" spans="1:11" ht="13.5" customHeight="1" x14ac:dyDescent="0.3">
      <c r="A80" s="20"/>
      <c r="B80" s="1458" t="s">
        <v>1746</v>
      </c>
      <c r="C80" s="1458"/>
      <c r="D80" s="1458"/>
      <c r="E80" s="1458"/>
      <c r="F80" s="1458" t="s">
        <v>486</v>
      </c>
      <c r="G80" s="1458"/>
      <c r="H80" s="1458" t="s">
        <v>486</v>
      </c>
      <c r="I80" s="1458"/>
    </row>
    <row r="81" spans="1:10" ht="13.5" customHeight="1" x14ac:dyDescent="0.3">
      <c r="A81" s="20" t="s">
        <v>480</v>
      </c>
      <c r="B81" s="428">
        <v>7.82</v>
      </c>
      <c r="C81" s="428">
        <v>12.55</v>
      </c>
      <c r="D81" s="429"/>
      <c r="E81" s="20"/>
    </row>
    <row r="82" spans="1:10" ht="13.5" customHeight="1" x14ac:dyDescent="0.3">
      <c r="A82" s="20" t="s">
        <v>479</v>
      </c>
      <c r="B82" s="428">
        <v>8.69</v>
      </c>
      <c r="C82" s="428">
        <v>14.71</v>
      </c>
      <c r="D82" s="429"/>
      <c r="E82" s="20"/>
    </row>
    <row r="83" spans="1:10" ht="13.5" customHeight="1" x14ac:dyDescent="0.3">
      <c r="A83" s="20" t="s">
        <v>1761</v>
      </c>
      <c r="B83" s="428">
        <v>0.66</v>
      </c>
      <c r="C83" s="428">
        <v>1.71</v>
      </c>
      <c r="D83" s="429">
        <f>C83-B83</f>
        <v>1.0499999999999998</v>
      </c>
      <c r="E83" s="430">
        <f>2000*D83</f>
        <v>2099.9999999999995</v>
      </c>
      <c r="F83" s="426">
        <f>B83*2000*0.25</f>
        <v>330</v>
      </c>
      <c r="G83" s="72">
        <f>F83/F$126</f>
        <v>0.16157461809635723</v>
      </c>
      <c r="H83" s="426">
        <f>D83*2000*0.25</f>
        <v>524.99999999999989</v>
      </c>
      <c r="I83" s="72">
        <f>H83/H$126</f>
        <v>0.19392730496453897</v>
      </c>
      <c r="J83" s="72">
        <f>I83-G83</f>
        <v>3.235268686818174E-2</v>
      </c>
    </row>
    <row r="84" spans="1:10" ht="13.5" customHeight="1" x14ac:dyDescent="0.3">
      <c r="A84" s="20" t="s">
        <v>1760</v>
      </c>
      <c r="B84" s="431">
        <v>7.5899999999999995E-2</v>
      </c>
      <c r="C84" s="431">
        <v>0.1162</v>
      </c>
      <c r="D84" s="432"/>
      <c r="E84" s="20"/>
    </row>
    <row r="85" spans="1:10" ht="13.5" customHeight="1" x14ac:dyDescent="0.3">
      <c r="A85" s="20"/>
      <c r="B85" s="1458" t="s">
        <v>1747</v>
      </c>
      <c r="C85" s="1458"/>
      <c r="D85" s="1458"/>
      <c r="E85" s="1458"/>
      <c r="F85" s="1458" t="s">
        <v>485</v>
      </c>
      <c r="G85" s="1458"/>
      <c r="H85" s="1458" t="s">
        <v>485</v>
      </c>
      <c r="I85" s="1458"/>
    </row>
    <row r="86" spans="1:10" ht="13.5" customHeight="1" x14ac:dyDescent="0.3">
      <c r="A86" s="20" t="s">
        <v>480</v>
      </c>
      <c r="B86" s="428">
        <v>9.51</v>
      </c>
      <c r="C86" s="428">
        <v>15.02</v>
      </c>
      <c r="D86" s="429"/>
      <c r="E86" s="20"/>
    </row>
    <row r="87" spans="1:10" ht="13.5" customHeight="1" x14ac:dyDescent="0.3">
      <c r="A87" s="20" t="s">
        <v>479</v>
      </c>
      <c r="B87" s="428">
        <v>10.83</v>
      </c>
      <c r="C87" s="428">
        <v>17.670000000000002</v>
      </c>
      <c r="D87" s="429"/>
      <c r="E87" s="20"/>
    </row>
    <row r="88" spans="1:10" ht="13.5" customHeight="1" x14ac:dyDescent="0.3">
      <c r="A88" s="20" t="s">
        <v>1761</v>
      </c>
      <c r="B88" s="428">
        <v>0.97</v>
      </c>
      <c r="C88" s="428">
        <v>1.99</v>
      </c>
      <c r="D88" s="429">
        <f>C88-B88</f>
        <v>1.02</v>
      </c>
      <c r="E88" s="430">
        <f>2000*D88</f>
        <v>2040</v>
      </c>
      <c r="F88" s="426">
        <f>B88*2000*0.1</f>
        <v>194</v>
      </c>
      <c r="G88" s="72">
        <f>F88/F$126</f>
        <v>9.4986290638464546E-2</v>
      </c>
      <c r="H88" s="426">
        <f>D88*2000*0.1</f>
        <v>204</v>
      </c>
      <c r="I88" s="72">
        <f>H88/H$126</f>
        <v>7.5354609929078026E-2</v>
      </c>
      <c r="J88" s="72">
        <f>I88-G88</f>
        <v>-1.963168070938652E-2</v>
      </c>
    </row>
    <row r="89" spans="1:10" ht="13.5" customHeight="1" x14ac:dyDescent="0.3">
      <c r="A89" s="20" t="s">
        <v>481</v>
      </c>
      <c r="B89" s="431">
        <v>8.9599999999999999E-2</v>
      </c>
      <c r="C89" s="431">
        <v>0.11260000000000001</v>
      </c>
      <c r="D89" s="432"/>
      <c r="E89" s="20"/>
    </row>
    <row r="90" spans="1:10" ht="13.5" customHeight="1" x14ac:dyDescent="0.3">
      <c r="A90" s="20"/>
      <c r="B90" s="1458" t="s">
        <v>1748</v>
      </c>
      <c r="C90" s="1458"/>
      <c r="D90" s="1458"/>
      <c r="E90" s="1458"/>
      <c r="F90" s="1458" t="s">
        <v>490</v>
      </c>
      <c r="G90" s="1458"/>
      <c r="H90" s="1458" t="s">
        <v>490</v>
      </c>
      <c r="I90" s="1458"/>
    </row>
    <row r="91" spans="1:10" ht="13.5" customHeight="1" x14ac:dyDescent="0.3">
      <c r="A91" s="20" t="s">
        <v>480</v>
      </c>
      <c r="B91" s="428">
        <v>11.08</v>
      </c>
      <c r="C91" s="428">
        <v>17.690000000000001</v>
      </c>
      <c r="D91" s="429"/>
      <c r="E91" s="20"/>
    </row>
    <row r="92" spans="1:10" ht="13.5" customHeight="1" x14ac:dyDescent="0.3">
      <c r="A92" s="20" t="s">
        <v>479</v>
      </c>
      <c r="B92" s="428">
        <v>12.63</v>
      </c>
      <c r="C92" s="428">
        <v>20.9</v>
      </c>
      <c r="D92" s="429"/>
      <c r="E92" s="20"/>
    </row>
    <row r="93" spans="1:10" ht="13.5" customHeight="1" x14ac:dyDescent="0.3">
      <c r="A93" s="20" t="s">
        <v>1761</v>
      </c>
      <c r="B93" s="428">
        <v>1.1100000000000001</v>
      </c>
      <c r="C93" s="428">
        <v>2.38</v>
      </c>
      <c r="D93" s="429">
        <f>C93-B93</f>
        <v>1.2699999999999998</v>
      </c>
      <c r="E93" s="430">
        <f>2000*D93</f>
        <v>2539.9999999999995</v>
      </c>
      <c r="F93" s="426">
        <f>B93*2000*0.1</f>
        <v>222</v>
      </c>
      <c r="G93" s="72">
        <f>F93/F$126</f>
        <v>0.10869565217391304</v>
      </c>
      <c r="H93" s="426">
        <f>D93*2000*0.1</f>
        <v>253.99999999999997</v>
      </c>
      <c r="I93" s="72">
        <f>H93/H$126</f>
        <v>9.3823877068557909E-2</v>
      </c>
      <c r="J93" s="72">
        <f>I93-G93</f>
        <v>-1.4871775105355131E-2</v>
      </c>
    </row>
    <row r="94" spans="1:10" ht="13.5" customHeight="1" x14ac:dyDescent="0.3">
      <c r="A94" s="20" t="s">
        <v>481</v>
      </c>
      <c r="B94" s="431">
        <v>8.7900000000000006E-2</v>
      </c>
      <c r="C94" s="431">
        <v>0.1139</v>
      </c>
      <c r="D94" s="432"/>
      <c r="E94" s="20"/>
    </row>
    <row r="95" spans="1:10" ht="13.5" customHeight="1" x14ac:dyDescent="0.3">
      <c r="A95" s="20"/>
      <c r="B95" s="1458" t="s">
        <v>1749</v>
      </c>
      <c r="C95" s="1458"/>
      <c r="D95" s="1458"/>
      <c r="E95" s="1458"/>
      <c r="F95" s="1458" t="s">
        <v>489</v>
      </c>
      <c r="G95" s="1458"/>
      <c r="H95" s="1458" t="s">
        <v>489</v>
      </c>
      <c r="I95" s="1458"/>
    </row>
    <row r="96" spans="1:10" ht="13.5" customHeight="1" x14ac:dyDescent="0.3">
      <c r="A96" s="20" t="s">
        <v>480</v>
      </c>
      <c r="B96" s="428">
        <v>13.12</v>
      </c>
      <c r="C96" s="428">
        <v>21.38</v>
      </c>
      <c r="D96" s="429"/>
      <c r="E96" s="20"/>
    </row>
    <row r="97" spans="1:10" ht="13.5" customHeight="1" x14ac:dyDescent="0.3">
      <c r="A97" s="20" t="s">
        <v>479</v>
      </c>
      <c r="B97" s="428">
        <v>14.96</v>
      </c>
      <c r="C97" s="428">
        <v>25.52</v>
      </c>
      <c r="D97" s="429"/>
      <c r="E97" s="20"/>
    </row>
    <row r="98" spans="1:10" ht="13.5" customHeight="1" x14ac:dyDescent="0.3">
      <c r="A98" s="20" t="s">
        <v>1761</v>
      </c>
      <c r="B98" s="428">
        <v>1.22</v>
      </c>
      <c r="C98" s="428">
        <v>2.95</v>
      </c>
      <c r="D98" s="429">
        <f>C98-B98</f>
        <v>1.7300000000000002</v>
      </c>
      <c r="E98" s="430">
        <f>2000*D98</f>
        <v>3460.0000000000005</v>
      </c>
      <c r="F98" s="426">
        <f>B98*2000*0.1</f>
        <v>244</v>
      </c>
      <c r="G98" s="72">
        <f>F98/F$126</f>
        <v>0.11946729338033685</v>
      </c>
      <c r="H98" s="426">
        <f>D98*2000*0.1</f>
        <v>346.00000000000006</v>
      </c>
      <c r="I98" s="72">
        <f>H98/H$126</f>
        <v>0.12780732860520097</v>
      </c>
      <c r="J98" s="72">
        <f>I98-G98</f>
        <v>8.340035224864123E-3</v>
      </c>
    </row>
    <row r="99" spans="1:10" ht="13.5" customHeight="1" x14ac:dyDescent="0.3">
      <c r="A99" s="20" t="s">
        <v>481</v>
      </c>
      <c r="B99" s="431">
        <v>8.1600000000000006E-2</v>
      </c>
      <c r="C99" s="431">
        <v>0.11559999999999999</v>
      </c>
      <c r="D99" s="432"/>
      <c r="E99" s="20"/>
    </row>
    <row r="100" spans="1:10" ht="13.5" customHeight="1" x14ac:dyDescent="0.3">
      <c r="A100" s="20"/>
      <c r="B100" s="1458" t="s">
        <v>1750</v>
      </c>
      <c r="C100" s="1458"/>
      <c r="D100" s="1458"/>
      <c r="E100" s="1458"/>
      <c r="F100" s="1458" t="s">
        <v>488</v>
      </c>
      <c r="G100" s="1458"/>
      <c r="H100" s="1458" t="s">
        <v>488</v>
      </c>
      <c r="I100" s="1458"/>
    </row>
    <row r="101" spans="1:10" ht="13.5" customHeight="1" x14ac:dyDescent="0.3">
      <c r="A101" s="20" t="s">
        <v>480</v>
      </c>
      <c r="B101" s="428">
        <v>15.8</v>
      </c>
      <c r="C101" s="428">
        <v>26.19</v>
      </c>
      <c r="D101" s="429"/>
      <c r="E101" s="20"/>
    </row>
    <row r="102" spans="1:10" ht="13.5" customHeight="1" x14ac:dyDescent="0.3">
      <c r="A102" s="20" t="s">
        <v>479</v>
      </c>
      <c r="B102" s="428">
        <v>17.79</v>
      </c>
      <c r="C102" s="428">
        <v>31.14</v>
      </c>
      <c r="D102" s="429"/>
      <c r="E102" s="20"/>
    </row>
    <row r="103" spans="1:10" ht="13.5" customHeight="1" x14ac:dyDescent="0.3">
      <c r="A103" s="20" t="s">
        <v>1761</v>
      </c>
      <c r="B103" s="428">
        <v>1.34</v>
      </c>
      <c r="C103" s="428">
        <v>3.32</v>
      </c>
      <c r="D103" s="429">
        <f>C103-B103</f>
        <v>1.9799999999999998</v>
      </c>
      <c r="E103" s="430">
        <f>2000*D103</f>
        <v>3959.9999999999995</v>
      </c>
      <c r="F103" s="426">
        <f>B103*2000*0.1</f>
        <v>268</v>
      </c>
      <c r="G103" s="72">
        <f>F103/F$126</f>
        <v>0.13121817469643557</v>
      </c>
      <c r="H103" s="426">
        <f>D103*2000*0.1</f>
        <v>396</v>
      </c>
      <c r="I103" s="72">
        <f>H103/H$126</f>
        <v>0.14627659574468085</v>
      </c>
      <c r="J103" s="72">
        <f>I103-G103</f>
        <v>1.5058421048245285E-2</v>
      </c>
    </row>
    <row r="104" spans="1:10" ht="13.5" customHeight="1" x14ac:dyDescent="0.3">
      <c r="A104" s="20" t="s">
        <v>481</v>
      </c>
      <c r="B104" s="431">
        <v>7.5300000000000006E-2</v>
      </c>
      <c r="C104" s="431">
        <v>0.1066</v>
      </c>
      <c r="D104" s="432"/>
      <c r="E104" s="20"/>
    </row>
    <row r="105" spans="1:10" ht="13.5" customHeight="1" x14ac:dyDescent="0.3">
      <c r="A105" s="20"/>
      <c r="B105" s="1458" t="s">
        <v>1751</v>
      </c>
      <c r="C105" s="1458"/>
      <c r="D105" s="1458"/>
      <c r="E105" s="1458"/>
      <c r="F105" s="1458" t="s">
        <v>487</v>
      </c>
      <c r="G105" s="1458"/>
      <c r="H105" s="1458" t="s">
        <v>487</v>
      </c>
      <c r="I105" s="1458"/>
    </row>
    <row r="106" spans="1:10" ht="13.5" customHeight="1" x14ac:dyDescent="0.3">
      <c r="A106" s="20" t="s">
        <v>480</v>
      </c>
      <c r="B106" s="428">
        <v>19.39</v>
      </c>
      <c r="C106" s="428">
        <v>33.24</v>
      </c>
      <c r="D106" s="429"/>
      <c r="E106" s="20"/>
    </row>
    <row r="107" spans="1:10" ht="13.5" customHeight="1" x14ac:dyDescent="0.3">
      <c r="A107" s="20" t="s">
        <v>479</v>
      </c>
      <c r="B107" s="428">
        <v>22.37</v>
      </c>
      <c r="C107" s="428">
        <v>39.93</v>
      </c>
      <c r="D107" s="429"/>
      <c r="E107" s="20"/>
    </row>
    <row r="108" spans="1:10" ht="13.5" customHeight="1" x14ac:dyDescent="0.3">
      <c r="A108" s="20" t="s">
        <v>1761</v>
      </c>
      <c r="B108" s="428">
        <v>1.75</v>
      </c>
      <c r="C108" s="428">
        <v>4.0199999999999996</v>
      </c>
      <c r="D108" s="429">
        <f>C108-B108</f>
        <v>2.2699999999999996</v>
      </c>
      <c r="E108" s="430">
        <f>2000*D108</f>
        <v>4539.9999999999991</v>
      </c>
      <c r="F108" s="426">
        <f>B108*2000*0.1</f>
        <v>350</v>
      </c>
      <c r="G108" s="72">
        <f>F108/F$126</f>
        <v>0.17136701919310615</v>
      </c>
      <c r="H108" s="426">
        <f>D108*2000*0.1</f>
        <v>453.99999999999994</v>
      </c>
      <c r="I108" s="72">
        <f>H108/H$126</f>
        <v>0.16770094562647753</v>
      </c>
      <c r="J108" s="72">
        <f>I108-G108</f>
        <v>-3.6660735666286248E-3</v>
      </c>
    </row>
    <row r="109" spans="1:10" ht="13.5" customHeight="1" x14ac:dyDescent="0.3">
      <c r="A109" s="20" t="s">
        <v>481</v>
      </c>
      <c r="B109" s="431">
        <v>7.8200000000000006E-2</v>
      </c>
      <c r="C109" s="431">
        <v>0.1007</v>
      </c>
      <c r="D109" s="432"/>
      <c r="E109" s="20"/>
    </row>
    <row r="110" spans="1:10" ht="13.5" customHeight="1" x14ac:dyDescent="0.3">
      <c r="A110" s="20"/>
      <c r="B110" s="1458" t="s">
        <v>1752</v>
      </c>
      <c r="C110" s="1458"/>
      <c r="D110" s="1458"/>
      <c r="E110" s="1458"/>
      <c r="F110" s="1458" t="s">
        <v>19</v>
      </c>
      <c r="G110" s="1458"/>
      <c r="H110" s="1458" t="s">
        <v>19</v>
      </c>
      <c r="I110" s="1458"/>
    </row>
    <row r="111" spans="1:10" ht="13.5" customHeight="1" x14ac:dyDescent="0.3">
      <c r="A111" s="20" t="s">
        <v>480</v>
      </c>
      <c r="B111" s="428">
        <v>24.75</v>
      </c>
      <c r="C111" s="428">
        <v>43.57</v>
      </c>
      <c r="D111" s="429"/>
      <c r="E111" s="20"/>
    </row>
    <row r="112" spans="1:10" ht="13.5" customHeight="1" x14ac:dyDescent="0.3">
      <c r="A112" s="20" t="s">
        <v>479</v>
      </c>
      <c r="B112" s="428">
        <v>28.57</v>
      </c>
      <c r="C112" s="428">
        <v>52.03</v>
      </c>
      <c r="D112" s="429"/>
      <c r="E112" s="20"/>
    </row>
    <row r="113" spans="1:10" ht="13.5" customHeight="1" x14ac:dyDescent="0.3">
      <c r="A113" s="20" t="s">
        <v>1761</v>
      </c>
      <c r="B113" s="428">
        <v>2.0299999999999998</v>
      </c>
      <c r="C113" s="428">
        <v>4.5</v>
      </c>
      <c r="D113" s="429">
        <f>C113-B113</f>
        <v>2.4700000000000002</v>
      </c>
      <c r="E113" s="430">
        <f>2000*D113</f>
        <v>4940</v>
      </c>
      <c r="F113" s="426">
        <f>B113*2000*0.05</f>
        <v>203</v>
      </c>
      <c r="G113" s="72">
        <f>F113/F$126</f>
        <v>9.9392871132001556E-2</v>
      </c>
      <c r="H113" s="426">
        <f>D113*2000*0.05</f>
        <v>247</v>
      </c>
      <c r="I113" s="72">
        <f>H113/H$126</f>
        <v>9.1238179669030736E-2</v>
      </c>
      <c r="J113" s="72">
        <f>I113-G113</f>
        <v>-8.15469146297082E-3</v>
      </c>
    </row>
    <row r="114" spans="1:10" ht="13.5" customHeight="1" x14ac:dyDescent="0.3">
      <c r="A114" s="20" t="s">
        <v>481</v>
      </c>
      <c r="B114" s="431">
        <v>7.1099999999999997E-2</v>
      </c>
      <c r="C114" s="431">
        <v>8.6499999999999994E-2</v>
      </c>
      <c r="D114" s="432"/>
      <c r="E114" s="20"/>
    </row>
    <row r="115" spans="1:10" ht="13.5" customHeight="1" x14ac:dyDescent="0.3">
      <c r="A115" s="20"/>
      <c r="B115" s="1458" t="s">
        <v>1754</v>
      </c>
      <c r="C115" s="1458"/>
      <c r="D115" s="1458"/>
      <c r="E115" s="1458"/>
      <c r="F115" s="1458" t="s">
        <v>20</v>
      </c>
      <c r="G115" s="1458"/>
      <c r="H115" s="1458" t="s">
        <v>20</v>
      </c>
      <c r="I115" s="1458"/>
    </row>
    <row r="116" spans="1:10" ht="13.5" customHeight="1" x14ac:dyDescent="0.3">
      <c r="A116" s="20" t="s">
        <v>480</v>
      </c>
      <c r="B116" s="428">
        <v>30.42</v>
      </c>
      <c r="C116" s="428">
        <v>55.21</v>
      </c>
      <c r="D116" s="429"/>
      <c r="E116" s="20"/>
    </row>
    <row r="117" spans="1:10" ht="13.5" customHeight="1" x14ac:dyDescent="0.3">
      <c r="A117" s="20" t="s">
        <v>479</v>
      </c>
      <c r="B117" s="428">
        <v>35.25</v>
      </c>
      <c r="C117" s="428">
        <v>65.010000000000005</v>
      </c>
      <c r="D117" s="429"/>
      <c r="E117" s="20"/>
    </row>
    <row r="118" spans="1:10" ht="13.5" customHeight="1" x14ac:dyDescent="0.3">
      <c r="A118" s="20" t="s">
        <v>1761</v>
      </c>
      <c r="B118" s="428">
        <v>2.35</v>
      </c>
      <c r="C118" s="428">
        <v>5.14</v>
      </c>
      <c r="D118" s="429">
        <f>C118-B118</f>
        <v>2.7899999999999996</v>
      </c>
      <c r="E118" s="430">
        <f>2000*D118</f>
        <v>5579.9999999999991</v>
      </c>
      <c r="F118" s="426">
        <f>B118*2000*0.04</f>
        <v>188</v>
      </c>
      <c r="G118" s="72">
        <f>F118/F$126</f>
        <v>9.2048570309439873E-2</v>
      </c>
      <c r="H118" s="426">
        <f>D118*2000*0.04</f>
        <v>223.19999999999996</v>
      </c>
      <c r="I118" s="72">
        <f>H118/H$126</f>
        <v>8.2446808510638292E-2</v>
      </c>
      <c r="J118" s="72">
        <f>I118-G118</f>
        <v>-9.6017617988015808E-3</v>
      </c>
    </row>
    <row r="119" spans="1:10" ht="13.5" customHeight="1" x14ac:dyDescent="0.3">
      <c r="A119" s="20" t="s">
        <v>481</v>
      </c>
      <c r="B119" s="431">
        <v>6.6699999999999995E-2</v>
      </c>
      <c r="C119" s="431">
        <v>7.9100000000000004E-2</v>
      </c>
      <c r="D119" s="432"/>
      <c r="E119" s="20"/>
    </row>
    <row r="120" spans="1:10" ht="13.5" customHeight="1" x14ac:dyDescent="0.3">
      <c r="A120" s="20"/>
      <c r="B120" s="1458" t="s">
        <v>1753</v>
      </c>
      <c r="C120" s="1458"/>
      <c r="D120" s="1458"/>
      <c r="E120" s="1458"/>
      <c r="F120" s="1458" t="s">
        <v>26</v>
      </c>
      <c r="G120" s="1458"/>
      <c r="H120" s="1458" t="s">
        <v>26</v>
      </c>
      <c r="I120" s="1458"/>
    </row>
    <row r="121" spans="1:10" ht="13.5" customHeight="1" x14ac:dyDescent="0.3">
      <c r="A121" s="20" t="s">
        <v>480</v>
      </c>
      <c r="B121" s="428">
        <v>43.51</v>
      </c>
      <c r="C121" s="428">
        <v>77.62</v>
      </c>
      <c r="D121" s="429"/>
      <c r="E121" s="20"/>
    </row>
    <row r="122" spans="1:10" ht="13.5" customHeight="1" x14ac:dyDescent="0.3">
      <c r="A122" s="20" t="s">
        <v>479</v>
      </c>
      <c r="B122" s="428">
        <v>48.62</v>
      </c>
      <c r="C122" s="428">
        <v>88.46</v>
      </c>
      <c r="D122" s="429"/>
      <c r="E122" s="20"/>
    </row>
    <row r="123" spans="1:10" ht="13.5" customHeight="1" x14ac:dyDescent="0.3">
      <c r="A123" s="20" t="s">
        <v>1761</v>
      </c>
      <c r="B123" s="428">
        <v>2.17</v>
      </c>
      <c r="C123" s="428">
        <v>5.07</v>
      </c>
      <c r="D123" s="429">
        <f>C123-B123</f>
        <v>2.9000000000000004</v>
      </c>
      <c r="E123" s="430">
        <f>2000*D123</f>
        <v>5800.0000000000009</v>
      </c>
      <c r="F123" s="426">
        <f>B123*2000*0.01</f>
        <v>43.4</v>
      </c>
      <c r="G123" s="72">
        <f>F123/F$126</f>
        <v>2.1249510379945161E-2</v>
      </c>
      <c r="H123" s="426">
        <f>D123*2000*0.01</f>
        <v>58.000000000000007</v>
      </c>
      <c r="I123" s="72">
        <f>H123/H$126</f>
        <v>2.1424349881796693E-2</v>
      </c>
      <c r="J123" s="72">
        <f>I123-G123</f>
        <v>1.748395018515321E-4</v>
      </c>
    </row>
    <row r="124" spans="1:10" ht="13.5" customHeight="1" x14ac:dyDescent="0.3">
      <c r="A124" s="20" t="s">
        <v>481</v>
      </c>
      <c r="B124" s="431">
        <v>4.4600000000000001E-2</v>
      </c>
      <c r="C124" s="431">
        <v>5.7299999999999997E-2</v>
      </c>
      <c r="D124" s="432"/>
      <c r="E124" s="20"/>
    </row>
    <row r="125" spans="1:10" ht="7.5" customHeight="1" x14ac:dyDescent="0.3">
      <c r="A125" s="20"/>
      <c r="B125" s="431"/>
      <c r="C125" s="431"/>
      <c r="D125" s="432"/>
      <c r="E125" s="20"/>
    </row>
    <row r="126" spans="1:10" ht="13.5" customHeight="1" x14ac:dyDescent="0.3">
      <c r="A126" s="436" t="s">
        <v>491</v>
      </c>
      <c r="B126" s="437"/>
      <c r="C126" s="437"/>
      <c r="D126" s="438"/>
      <c r="E126" s="21"/>
      <c r="F126" s="439">
        <f>SUM(F83,F88,F93,F98,F103,F108,F113,F118,F123)</f>
        <v>2042.4</v>
      </c>
      <c r="G126" s="11"/>
      <c r="H126" s="439">
        <f>SUM(H83,H88,H93,H98,H103,H108,H113,H118,H123)</f>
        <v>2707.2</v>
      </c>
      <c r="I126" s="11"/>
      <c r="J126" s="11"/>
    </row>
    <row r="127" spans="1:10" ht="4.5" customHeight="1" x14ac:dyDescent="0.3"/>
    <row r="128" spans="1:10" ht="12.75" customHeight="1" x14ac:dyDescent="0.3">
      <c r="A128" s="252" t="s">
        <v>1855</v>
      </c>
    </row>
    <row r="129" spans="1:1" x14ac:dyDescent="0.3">
      <c r="A129" s="252" t="s">
        <v>493</v>
      </c>
    </row>
    <row r="130" spans="1:1" x14ac:dyDescent="0.3">
      <c r="A130" s="252" t="s">
        <v>482</v>
      </c>
    </row>
  </sheetData>
  <mergeCells count="32">
    <mergeCell ref="F110:G110"/>
    <mergeCell ref="H76:I76"/>
    <mergeCell ref="F80:G80"/>
    <mergeCell ref="H80:I80"/>
    <mergeCell ref="B105:E105"/>
    <mergeCell ref="B110:E110"/>
    <mergeCell ref="H105:I105"/>
    <mergeCell ref="H100:I100"/>
    <mergeCell ref="H95:I95"/>
    <mergeCell ref="H90:I90"/>
    <mergeCell ref="H85:I85"/>
    <mergeCell ref="F85:G85"/>
    <mergeCell ref="F90:G90"/>
    <mergeCell ref="F95:G95"/>
    <mergeCell ref="F100:G100"/>
    <mergeCell ref="F105:G105"/>
    <mergeCell ref="C3:E3"/>
    <mergeCell ref="G3:I3"/>
    <mergeCell ref="F115:G115"/>
    <mergeCell ref="F120:G120"/>
    <mergeCell ref="H120:I120"/>
    <mergeCell ref="H115:I115"/>
    <mergeCell ref="H110:I110"/>
    <mergeCell ref="B115:E115"/>
    <mergeCell ref="B120:E120"/>
    <mergeCell ref="D76:E76"/>
    <mergeCell ref="F76:G76"/>
    <mergeCell ref="B80:E80"/>
    <mergeCell ref="B85:E85"/>
    <mergeCell ref="B90:E90"/>
    <mergeCell ref="B95:E95"/>
    <mergeCell ref="B100:E100"/>
  </mergeCells>
  <hyperlinks>
    <hyperlink ref="I1" location="Index!A1" display="Index"/>
  </hyperlink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AQ164"/>
  <sheetViews>
    <sheetView workbookViewId="0">
      <selection activeCell="L51" sqref="L51"/>
    </sheetView>
  </sheetViews>
  <sheetFormatPr defaultColWidth="9.109375" defaultRowHeight="14.4" x14ac:dyDescent="0.3"/>
  <cols>
    <col min="1" max="1" width="12.109375" style="278" customWidth="1"/>
    <col min="2" max="2" width="11.109375" style="278" customWidth="1"/>
    <col min="3" max="3" width="12.5546875" style="278" customWidth="1"/>
    <col min="4" max="4" width="14.21875" style="278" customWidth="1"/>
    <col min="5" max="5" width="13" style="278" customWidth="1"/>
    <col min="6" max="6" width="11.109375" style="278" customWidth="1"/>
    <col min="7" max="7" width="12.109375" style="278" customWidth="1"/>
    <col min="8" max="9" width="11.44140625" style="278" customWidth="1"/>
    <col min="10" max="10" width="14.5546875" style="278" customWidth="1"/>
    <col min="11" max="11" width="11.88671875" style="278" customWidth="1"/>
    <col min="12" max="12" width="10.44140625" style="278" customWidth="1"/>
    <col min="13" max="13" width="13.5546875" style="278" customWidth="1"/>
    <col min="14" max="14" width="10.88671875" style="278" customWidth="1"/>
    <col min="15" max="15" width="14.44140625" style="278" customWidth="1"/>
    <col min="16" max="16" width="14" style="278" customWidth="1"/>
    <col min="17" max="17" width="9.109375" style="278"/>
    <col min="18" max="18" width="11.21875" style="278" customWidth="1"/>
    <col min="19" max="19" width="15" style="278" customWidth="1"/>
    <col min="20" max="20" width="13.77734375" style="278" customWidth="1"/>
    <col min="21" max="21" width="13.88671875" style="278" customWidth="1"/>
    <col min="22" max="23" width="14.44140625" style="278" customWidth="1"/>
    <col min="24" max="25" width="13.77734375" style="278" customWidth="1"/>
    <col min="26" max="29" width="11.44140625" style="278" customWidth="1"/>
    <col min="30" max="30" width="9.109375" style="278"/>
    <col min="31" max="31" width="10.88671875" style="278" customWidth="1"/>
    <col min="32" max="32" width="9.88671875" style="278" bestFit="1" customWidth="1"/>
    <col min="33" max="33" width="14.77734375" style="278" customWidth="1"/>
    <col min="34" max="16384" width="9.109375" style="278"/>
  </cols>
  <sheetData>
    <row r="1" spans="1:25" ht="15.6" x14ac:dyDescent="0.3">
      <c r="A1" s="75" t="s">
        <v>510</v>
      </c>
      <c r="G1" s="463" t="s">
        <v>504</v>
      </c>
    </row>
    <row r="2" spans="1:25" x14ac:dyDescent="0.3">
      <c r="A2" s="11"/>
      <c r="B2" s="11"/>
      <c r="C2" s="11"/>
      <c r="D2" s="11"/>
      <c r="E2" s="11"/>
      <c r="F2" s="11"/>
      <c r="G2" s="11"/>
      <c r="H2" s="11"/>
      <c r="I2" s="11"/>
      <c r="J2" s="11"/>
      <c r="K2" s="11"/>
      <c r="L2" s="11"/>
      <c r="M2" s="11"/>
      <c r="N2" s="11"/>
      <c r="O2" s="11"/>
      <c r="P2" s="11"/>
      <c r="Q2" s="11"/>
      <c r="R2" s="11"/>
      <c r="S2" s="11"/>
      <c r="T2" s="11"/>
      <c r="U2" s="11"/>
      <c r="V2" s="11"/>
      <c r="W2" s="11"/>
    </row>
    <row r="3" spans="1:25" ht="15" customHeight="1" x14ac:dyDescent="0.3">
      <c r="B3" s="1464" t="s">
        <v>335</v>
      </c>
      <c r="C3" s="1464"/>
      <c r="D3" s="1464"/>
      <c r="E3" s="1464"/>
      <c r="F3" s="1464"/>
      <c r="G3" s="315"/>
      <c r="H3" s="1464" t="s">
        <v>348</v>
      </c>
      <c r="I3" s="1464"/>
      <c r="J3" s="1464"/>
      <c r="K3" s="1464"/>
      <c r="L3" s="1464"/>
      <c r="M3" s="170"/>
      <c r="N3" s="1463" t="s">
        <v>349</v>
      </c>
      <c r="O3" s="1463"/>
      <c r="P3" s="1463"/>
      <c r="Q3" s="170"/>
      <c r="R3" s="1463" t="s">
        <v>338</v>
      </c>
      <c r="S3" s="1463"/>
      <c r="T3" s="1463"/>
      <c r="V3" s="1371" t="s">
        <v>1386</v>
      </c>
      <c r="W3" s="1371"/>
    </row>
    <row r="4" spans="1:25" ht="27" customHeight="1" x14ac:dyDescent="0.3">
      <c r="A4" s="11"/>
      <c r="B4" s="314" t="s">
        <v>246</v>
      </c>
      <c r="C4" s="307" t="s">
        <v>347</v>
      </c>
      <c r="D4" s="307" t="s">
        <v>351</v>
      </c>
      <c r="E4" s="307" t="s">
        <v>352</v>
      </c>
      <c r="F4" s="307" t="s">
        <v>215</v>
      </c>
      <c r="G4" s="307"/>
      <c r="H4" s="314" t="s">
        <v>246</v>
      </c>
      <c r="I4" s="307" t="s">
        <v>347</v>
      </c>
      <c r="J4" s="307" t="s">
        <v>351</v>
      </c>
      <c r="K4" s="307" t="s">
        <v>352</v>
      </c>
      <c r="L4" s="307" t="s">
        <v>215</v>
      </c>
      <c r="M4" s="305"/>
      <c r="N4" s="307" t="s">
        <v>347</v>
      </c>
      <c r="O4" s="307" t="s">
        <v>351</v>
      </c>
      <c r="P4" s="307" t="s">
        <v>352</v>
      </c>
      <c r="Q4" s="305"/>
      <c r="R4" s="307" t="s">
        <v>347</v>
      </c>
      <c r="S4" s="307" t="s">
        <v>351</v>
      </c>
      <c r="T4" s="307" t="s">
        <v>352</v>
      </c>
      <c r="U4" s="465"/>
      <c r="V4" s="307" t="s">
        <v>1384</v>
      </c>
      <c r="W4" s="465" t="s">
        <v>1385</v>
      </c>
      <c r="X4" s="471"/>
      <c r="Y4" s="471"/>
    </row>
    <row r="5" spans="1:25" ht="11.25" customHeight="1" x14ac:dyDescent="0.3">
      <c r="A5" s="170">
        <v>1960</v>
      </c>
      <c r="B5" s="303">
        <f t="shared" ref="B5:B36" si="0">B72-F72</f>
        <v>415756</v>
      </c>
      <c r="C5" s="302">
        <f t="shared" ref="C5:C40" si="1">T72+I72+(K72+L72)-Q72*AG$109</f>
        <v>364110.67109176103</v>
      </c>
      <c r="D5" s="303">
        <f>R72+S72*1+Q72*AG$109</f>
        <v>17145</v>
      </c>
      <c r="E5" s="313">
        <f>D72+E72+G72+M72</f>
        <v>21000.172077204319</v>
      </c>
      <c r="F5" s="303">
        <f t="shared" ref="F5:F59" si="2">B5-SUM(C5:E5)</f>
        <v>13500.156831034634</v>
      </c>
      <c r="G5" s="316"/>
      <c r="H5" s="303">
        <f t="shared" ref="H5:H36" si="3">B5-N72-P72</f>
        <v>409257.19808408018</v>
      </c>
      <c r="I5" s="303">
        <f>C5-N72-P72*(C5/B5)</f>
        <v>357611.86917584122</v>
      </c>
      <c r="J5" s="303">
        <f>D5-P72*(D5/B5)</f>
        <v>17145</v>
      </c>
      <c r="K5" s="303">
        <f t="shared" ref="K5:K36" si="4">E5-P72*(E5/B5)</f>
        <v>21000.172077204319</v>
      </c>
      <c r="L5" s="303">
        <f t="shared" ref="L5:L36" si="5">F5-P72*(F5/B5)</f>
        <v>13500.156831034634</v>
      </c>
      <c r="N5" s="303">
        <f>I5+$L5*(I5/($H5-$L5))</f>
        <v>369810.80896785978</v>
      </c>
      <c r="O5" s="303">
        <f t="shared" ref="N5:P36" si="6">J5+$L5*(J5/($H5-$L5))</f>
        <v>17729.854253345031</v>
      </c>
      <c r="P5" s="303">
        <f t="shared" si="6"/>
        <v>21716.534862875389</v>
      </c>
      <c r="R5" s="72">
        <f t="shared" ref="R5:T36" si="7">N5/$H5</f>
        <v>0.90361467238478155</v>
      </c>
      <c r="S5" s="72">
        <f t="shared" si="7"/>
        <v>4.3322034007823376E-2</v>
      </c>
      <c r="T5" s="72">
        <f t="shared" si="7"/>
        <v>5.3063293607395069E-2</v>
      </c>
      <c r="U5" s="74"/>
      <c r="V5" s="871">
        <f>R72+S72-P72*(D5/B5)*(R72+S72)/D72</f>
        <v>17145</v>
      </c>
      <c r="W5" s="871">
        <f t="shared" ref="W5:W37" si="8">Q72*AG$109-P72*(D5/B5)*(1-(R72+S72)/D72)</f>
        <v>0</v>
      </c>
      <c r="X5" s="8"/>
    </row>
    <row r="6" spans="1:25" ht="11.25" customHeight="1" x14ac:dyDescent="0.3">
      <c r="A6" s="170">
        <v>1961</v>
      </c>
      <c r="B6" s="303">
        <f t="shared" si="0"/>
        <v>509286</v>
      </c>
      <c r="C6" s="302">
        <f t="shared" si="1"/>
        <v>443373.97379625874</v>
      </c>
      <c r="D6" s="303">
        <f t="shared" ref="D6:D41" si="9">R73+S73*1+Q73*AG$109</f>
        <v>23756</v>
      </c>
      <c r="E6" s="313">
        <f t="shared" ref="E6:E60" si="10">D73+E73+G73+M73</f>
        <v>25856.656884403637</v>
      </c>
      <c r="F6" s="303">
        <f t="shared" si="2"/>
        <v>16299.369319337653</v>
      </c>
      <c r="G6" s="316"/>
      <c r="H6" s="303">
        <f t="shared" si="3"/>
        <v>502065.10898231133</v>
      </c>
      <c r="I6" s="303">
        <f t="shared" ref="I6:I36" si="11">C6-N73-P73*(C6/B6)</f>
        <v>436153.08277857007</v>
      </c>
      <c r="J6" s="303">
        <f t="shared" ref="J6:J36" si="12">D6-P73*(D6/B6)</f>
        <v>23756</v>
      </c>
      <c r="K6" s="303">
        <f t="shared" si="4"/>
        <v>25856.656884403637</v>
      </c>
      <c r="L6" s="303">
        <f t="shared" si="5"/>
        <v>16299.369319337653</v>
      </c>
      <c r="N6" s="303">
        <f t="shared" si="6"/>
        <v>450787.75047025993</v>
      </c>
      <c r="O6" s="303">
        <f t="shared" si="6"/>
        <v>24553.108124214014</v>
      </c>
      <c r="P6" s="303">
        <f t="shared" si="6"/>
        <v>26724.250387837394</v>
      </c>
      <c r="R6" s="72">
        <f t="shared" si="7"/>
        <v>0.89786711405620101</v>
      </c>
      <c r="S6" s="72">
        <f t="shared" si="7"/>
        <v>4.8904231114532723E-2</v>
      </c>
      <c r="T6" s="72">
        <f t="shared" si="7"/>
        <v>5.3228654829266253E-2</v>
      </c>
      <c r="U6" s="74"/>
      <c r="V6" s="871">
        <f t="shared" ref="V6:V37" si="13">R73+S73-P73*(D6/B6)*(R73+S73)/D73</f>
        <v>23756</v>
      </c>
      <c r="W6" s="871">
        <f t="shared" si="8"/>
        <v>0</v>
      </c>
      <c r="X6" s="8"/>
    </row>
    <row r="7" spans="1:25" ht="11.25" customHeight="1" x14ac:dyDescent="0.3">
      <c r="A7" s="170">
        <v>1962</v>
      </c>
      <c r="B7" s="303">
        <f t="shared" si="0"/>
        <v>493487</v>
      </c>
      <c r="C7" s="302">
        <f t="shared" si="1"/>
        <v>429661.2432055492</v>
      </c>
      <c r="D7" s="303">
        <f t="shared" si="9"/>
        <v>23057</v>
      </c>
      <c r="E7" s="313">
        <f t="shared" si="10"/>
        <v>24933.594689605201</v>
      </c>
      <c r="F7" s="303">
        <f t="shared" si="2"/>
        <v>15835.162104845629</v>
      </c>
      <c r="G7" s="316"/>
      <c r="H7" s="303">
        <f t="shared" si="3"/>
        <v>485319.48775812367</v>
      </c>
      <c r="I7" s="303">
        <f t="shared" si="11"/>
        <v>421512.39418419421</v>
      </c>
      <c r="J7" s="303">
        <f t="shared" si="12"/>
        <v>23050.257927564453</v>
      </c>
      <c r="K7" s="303">
        <f t="shared" si="4"/>
        <v>24926.303884145869</v>
      </c>
      <c r="L7" s="303">
        <f t="shared" si="5"/>
        <v>15830.531762219118</v>
      </c>
      <c r="N7" s="303">
        <f t="shared" si="6"/>
        <v>435725.2212572982</v>
      </c>
      <c r="O7" s="303">
        <f t="shared" si="6"/>
        <v>23827.481407668711</v>
      </c>
      <c r="P7" s="303">
        <f t="shared" si="6"/>
        <v>25766.785093156755</v>
      </c>
      <c r="R7" s="72">
        <f t="shared" si="7"/>
        <v>0.89781109608863974</v>
      </c>
      <c r="S7" s="72">
        <f t="shared" si="7"/>
        <v>4.9096485941120892E-2</v>
      </c>
      <c r="T7" s="72">
        <f t="shared" si="7"/>
        <v>5.3092417970239336E-2</v>
      </c>
      <c r="U7" s="74"/>
      <c r="V7" s="871">
        <f t="shared" si="13"/>
        <v>23050.511414049317</v>
      </c>
      <c r="W7" s="871">
        <f t="shared" si="8"/>
        <v>-0.25348648486170622</v>
      </c>
      <c r="X7" s="8"/>
    </row>
    <row r="8" spans="1:25" ht="11.25" customHeight="1" x14ac:dyDescent="0.3">
      <c r="A8" s="170">
        <v>1963</v>
      </c>
      <c r="B8" s="303">
        <f t="shared" si="0"/>
        <v>545990</v>
      </c>
      <c r="C8" s="302">
        <f t="shared" si="1"/>
        <v>470543.43504409108</v>
      </c>
      <c r="D8" s="303">
        <f t="shared" si="9"/>
        <v>29346</v>
      </c>
      <c r="E8" s="313">
        <f t="shared" si="10"/>
        <v>27731.731536119689</v>
      </c>
      <c r="F8" s="303">
        <f t="shared" si="2"/>
        <v>18368.833419789211</v>
      </c>
      <c r="G8" s="316"/>
      <c r="H8" s="303">
        <f t="shared" si="3"/>
        <v>536781.0197312485</v>
      </c>
      <c r="I8" s="303">
        <f t="shared" si="11"/>
        <v>461375.12204775581</v>
      </c>
      <c r="J8" s="303">
        <f t="shared" si="12"/>
        <v>29330.181893807578</v>
      </c>
      <c r="K8" s="303">
        <f t="shared" si="4"/>
        <v>27716.783554304857</v>
      </c>
      <c r="L8" s="303">
        <f t="shared" si="5"/>
        <v>18358.93223538026</v>
      </c>
      <c r="N8" s="303">
        <f t="shared" si="6"/>
        <v>477713.84450010996</v>
      </c>
      <c r="O8" s="303">
        <f t="shared" si="6"/>
        <v>30368.854502146398</v>
      </c>
      <c r="P8" s="303">
        <f t="shared" si="6"/>
        <v>28698.320728992152</v>
      </c>
      <c r="R8" s="72">
        <f t="shared" si="7"/>
        <v>0.88996038783056852</v>
      </c>
      <c r="S8" s="72">
        <f t="shared" si="7"/>
        <v>5.6575872443014562E-2</v>
      </c>
      <c r="T8" s="72">
        <f t="shared" si="7"/>
        <v>5.3463739726416951E-2</v>
      </c>
      <c r="U8" s="74"/>
      <c r="V8" s="871">
        <f t="shared" si="13"/>
        <v>29328.520399566227</v>
      </c>
      <c r="W8" s="871">
        <f t="shared" si="8"/>
        <v>1.6614942413505016</v>
      </c>
      <c r="X8" s="8"/>
    </row>
    <row r="9" spans="1:25" ht="11.25" customHeight="1" x14ac:dyDescent="0.3">
      <c r="A9" s="170">
        <v>1964</v>
      </c>
      <c r="B9" s="303">
        <f t="shared" si="0"/>
        <v>633411</v>
      </c>
      <c r="C9" s="302">
        <f t="shared" si="1"/>
        <v>544237.20253108512</v>
      </c>
      <c r="D9" s="303">
        <f t="shared" si="9"/>
        <v>36017</v>
      </c>
      <c r="E9" s="313">
        <f t="shared" si="10"/>
        <v>32142.022996804546</v>
      </c>
      <c r="F9" s="303">
        <f t="shared" si="2"/>
        <v>21014.774472110323</v>
      </c>
      <c r="G9" s="316"/>
      <c r="H9" s="303">
        <f t="shared" si="3"/>
        <v>623061.49970138725</v>
      </c>
      <c r="I9" s="303">
        <f t="shared" si="11"/>
        <v>533950.25232745882</v>
      </c>
      <c r="J9" s="303">
        <f t="shared" si="12"/>
        <v>35991.736224820852</v>
      </c>
      <c r="K9" s="303">
        <f t="shared" si="4"/>
        <v>32119.477286645611</v>
      </c>
      <c r="L9" s="303">
        <f t="shared" si="5"/>
        <v>21000.033862461991</v>
      </c>
      <c r="N9" s="303">
        <f t="shared" si="6"/>
        <v>552574.55236320745</v>
      </c>
      <c r="O9" s="303">
        <f t="shared" si="6"/>
        <v>37247.135751905436</v>
      </c>
      <c r="P9" s="303">
        <f t="shared" si="6"/>
        <v>33239.811586274402</v>
      </c>
      <c r="R9" s="72">
        <f t="shared" si="7"/>
        <v>0.88687000019747353</v>
      </c>
      <c r="S9" s="72">
        <f t="shared" si="7"/>
        <v>5.9780833464684872E-2</v>
      </c>
      <c r="T9" s="72">
        <f t="shared" si="7"/>
        <v>5.3349166337841682E-2</v>
      </c>
      <c r="U9" s="74"/>
      <c r="V9" s="871">
        <f t="shared" si="13"/>
        <v>35987.435656042428</v>
      </c>
      <c r="W9" s="871">
        <f t="shared" si="8"/>
        <v>4.3005687784204456</v>
      </c>
      <c r="X9" s="8"/>
    </row>
    <row r="10" spans="1:25" ht="11.25" customHeight="1" x14ac:dyDescent="0.3">
      <c r="A10" s="170">
        <v>1965</v>
      </c>
      <c r="B10" s="303">
        <f t="shared" si="0"/>
        <v>720324</v>
      </c>
      <c r="C10" s="302">
        <f t="shared" si="1"/>
        <v>616873.9918311626</v>
      </c>
      <c r="D10" s="303">
        <f t="shared" si="9"/>
        <v>43614</v>
      </c>
      <c r="E10" s="313">
        <f t="shared" si="10"/>
        <v>36589.261560960753</v>
      </c>
      <c r="F10" s="303">
        <f t="shared" si="2"/>
        <v>23246.746607876616</v>
      </c>
      <c r="G10" s="316"/>
      <c r="H10" s="303">
        <f t="shared" si="3"/>
        <v>708723.92189043027</v>
      </c>
      <c r="I10" s="303">
        <f t="shared" si="11"/>
        <v>605359.26467457344</v>
      </c>
      <c r="J10" s="303">
        <f t="shared" si="12"/>
        <v>43578.016470088463</v>
      </c>
      <c r="K10" s="303">
        <f t="shared" si="4"/>
        <v>36559.07375915812</v>
      </c>
      <c r="L10" s="303">
        <f t="shared" si="5"/>
        <v>23227.566986610269</v>
      </c>
      <c r="N10" s="303">
        <f t="shared" si="6"/>
        <v>625871.44212177035</v>
      </c>
      <c r="O10" s="303">
        <f t="shared" si="6"/>
        <v>45054.627234626525</v>
      </c>
      <c r="P10" s="303">
        <f t="shared" si="6"/>
        <v>37797.852534033467</v>
      </c>
      <c r="R10" s="72">
        <f t="shared" si="7"/>
        <v>0.88309625622956034</v>
      </c>
      <c r="S10" s="72">
        <f t="shared" si="7"/>
        <v>6.3571478036820145E-2</v>
      </c>
      <c r="T10" s="72">
        <f t="shared" si="7"/>
        <v>5.3332265733619572E-2</v>
      </c>
      <c r="U10" s="74"/>
      <c r="V10" s="871">
        <f t="shared" si="13"/>
        <v>43569.09241689647</v>
      </c>
      <c r="W10" s="871">
        <f t="shared" si="8"/>
        <v>8.924053191992769</v>
      </c>
      <c r="X10" s="8"/>
    </row>
    <row r="11" spans="1:25" ht="11.25" customHeight="1" x14ac:dyDescent="0.3">
      <c r="A11" s="170">
        <v>1966</v>
      </c>
      <c r="B11" s="303">
        <f t="shared" si="0"/>
        <v>647781</v>
      </c>
      <c r="C11" s="302">
        <f t="shared" si="1"/>
        <v>550244.56317750807</v>
      </c>
      <c r="D11" s="303">
        <f t="shared" si="9"/>
        <v>42682</v>
      </c>
      <c r="E11" s="313">
        <f t="shared" si="10"/>
        <v>32944.524951585918</v>
      </c>
      <c r="F11" s="303">
        <f t="shared" si="2"/>
        <v>21909.911870906013</v>
      </c>
      <c r="G11" s="316"/>
      <c r="H11" s="303">
        <f t="shared" si="3"/>
        <v>634808.05765603355</v>
      </c>
      <c r="I11" s="303">
        <f t="shared" si="11"/>
        <v>537383.69014389033</v>
      </c>
      <c r="J11" s="303">
        <f t="shared" si="12"/>
        <v>42632.958406313242</v>
      </c>
      <c r="K11" s="303">
        <f t="shared" si="4"/>
        <v>32906.671711182964</v>
      </c>
      <c r="L11" s="303">
        <f t="shared" si="5"/>
        <v>21884.737394647036</v>
      </c>
      <c r="N11" s="303">
        <f t="shared" si="6"/>
        <v>556571.24680913519</v>
      </c>
      <c r="O11" s="303">
        <f t="shared" si="6"/>
        <v>44155.189765826835</v>
      </c>
      <c r="P11" s="303">
        <f t="shared" si="6"/>
        <v>34081.621081071491</v>
      </c>
      <c r="R11" s="72">
        <f t="shared" si="7"/>
        <v>0.87675517047502505</v>
      </c>
      <c r="S11" s="72">
        <f t="shared" si="7"/>
        <v>6.9556756933529709E-2</v>
      </c>
      <c r="T11" s="72">
        <f t="shared" si="7"/>
        <v>5.368807259144525E-2</v>
      </c>
      <c r="U11" s="74"/>
      <c r="V11" s="871">
        <f t="shared" si="13"/>
        <v>42615.347210982654</v>
      </c>
      <c r="W11" s="871">
        <f t="shared" si="8"/>
        <v>17.611195330589407</v>
      </c>
      <c r="X11" s="8"/>
    </row>
    <row r="12" spans="1:25" ht="11.25" customHeight="1" x14ac:dyDescent="0.3">
      <c r="A12" s="170">
        <v>1967</v>
      </c>
      <c r="B12" s="303">
        <f t="shared" si="0"/>
        <v>809596</v>
      </c>
      <c r="C12" s="302">
        <f t="shared" si="1"/>
        <v>685773.04912371328</v>
      </c>
      <c r="D12" s="303">
        <f t="shared" si="9"/>
        <v>55514</v>
      </c>
      <c r="E12" s="313">
        <f t="shared" si="10"/>
        <v>41795.547930682791</v>
      </c>
      <c r="F12" s="303">
        <f t="shared" si="2"/>
        <v>26513.402945603942</v>
      </c>
      <c r="G12" s="316"/>
      <c r="H12" s="303">
        <f t="shared" si="3"/>
        <v>795114.31961781508</v>
      </c>
      <c r="I12" s="303">
        <f t="shared" si="11"/>
        <v>671428.14667146956</v>
      </c>
      <c r="J12" s="303">
        <f t="shared" si="12"/>
        <v>55452.677846481456</v>
      </c>
      <c r="K12" s="303">
        <f t="shared" si="4"/>
        <v>41749.379522594798</v>
      </c>
      <c r="L12" s="303">
        <f t="shared" si="5"/>
        <v>26484.115577269298</v>
      </c>
      <c r="N12" s="303">
        <f t="shared" si="6"/>
        <v>694563.04371923232</v>
      </c>
      <c r="O12" s="303">
        <f t="shared" si="6"/>
        <v>57363.369257559316</v>
      </c>
      <c r="P12" s="303">
        <f t="shared" si="6"/>
        <v>43187.906641023459</v>
      </c>
      <c r="R12" s="72">
        <f t="shared" si="7"/>
        <v>0.87353859260525657</v>
      </c>
      <c r="S12" s="72">
        <f t="shared" si="7"/>
        <v>7.214480715821088E-2</v>
      </c>
      <c r="T12" s="72">
        <f t="shared" si="7"/>
        <v>5.4316600236532585E-2</v>
      </c>
      <c r="U12" s="74"/>
      <c r="V12" s="871">
        <f t="shared" si="13"/>
        <v>55428.274577785007</v>
      </c>
      <c r="W12" s="871">
        <f t="shared" si="8"/>
        <v>24.403268696447473</v>
      </c>
      <c r="X12" s="8"/>
    </row>
    <row r="13" spans="1:25" ht="11.25" customHeight="1" x14ac:dyDescent="0.3">
      <c r="A13" s="170">
        <v>1968</v>
      </c>
      <c r="B13" s="303">
        <f t="shared" si="0"/>
        <v>966568</v>
      </c>
      <c r="C13" s="302">
        <f t="shared" si="1"/>
        <v>818855.23429140681</v>
      </c>
      <c r="D13" s="303">
        <f t="shared" si="9"/>
        <v>67870</v>
      </c>
      <c r="E13" s="313">
        <f t="shared" si="10"/>
        <v>49817.838443448105</v>
      </c>
      <c r="F13" s="303">
        <f t="shared" si="2"/>
        <v>30024.927265145117</v>
      </c>
      <c r="G13" s="316"/>
      <c r="H13" s="303">
        <f t="shared" si="3"/>
        <v>950426.61068646121</v>
      </c>
      <c r="I13" s="303">
        <f t="shared" si="11"/>
        <v>802873.43689610821</v>
      </c>
      <c r="J13" s="303">
        <f t="shared" si="12"/>
        <v>67796.671852368381</v>
      </c>
      <c r="K13" s="303">
        <f t="shared" si="4"/>
        <v>49764.014223438244</v>
      </c>
      <c r="L13" s="303">
        <f t="shared" si="5"/>
        <v>29992.487714546514</v>
      </c>
      <c r="N13" s="303">
        <f t="shared" si="6"/>
        <v>829035.19154150505</v>
      </c>
      <c r="O13" s="303">
        <f t="shared" si="6"/>
        <v>70005.836850569278</v>
      </c>
      <c r="P13" s="303">
        <f t="shared" si="6"/>
        <v>51385.582294387015</v>
      </c>
      <c r="R13" s="72">
        <f t="shared" si="7"/>
        <v>0.8722769146191317</v>
      </c>
      <c r="S13" s="72">
        <f t="shared" si="7"/>
        <v>7.3657277756571243E-2</v>
      </c>
      <c r="T13" s="72">
        <f t="shared" si="7"/>
        <v>5.4065807624297191E-2</v>
      </c>
      <c r="U13" s="74"/>
      <c r="V13" s="871">
        <f t="shared" si="13"/>
        <v>67764.928725308142</v>
      </c>
      <c r="W13" s="871">
        <f t="shared" si="8"/>
        <v>31.743127060243854</v>
      </c>
      <c r="X13" s="8"/>
    </row>
    <row r="14" spans="1:25" ht="11.25" customHeight="1" x14ac:dyDescent="0.3">
      <c r="A14" s="170">
        <v>1969</v>
      </c>
      <c r="B14" s="303">
        <f t="shared" si="0"/>
        <v>813848</v>
      </c>
      <c r="C14" s="302">
        <f t="shared" si="1"/>
        <v>672525.41839648748</v>
      </c>
      <c r="D14" s="303">
        <f t="shared" si="9"/>
        <v>69440</v>
      </c>
      <c r="E14" s="313">
        <f t="shared" si="10"/>
        <v>42146.626474133787</v>
      </c>
      <c r="F14" s="303">
        <f t="shared" si="2"/>
        <v>29735.955129378708</v>
      </c>
      <c r="G14" s="316"/>
      <c r="H14" s="303">
        <f t="shared" si="3"/>
        <v>795879.15631829028</v>
      </c>
      <c r="I14" s="303">
        <f t="shared" si="11"/>
        <v>654763.96179345716</v>
      </c>
      <c r="J14" s="303">
        <f t="shared" si="12"/>
        <v>69338.098671987886</v>
      </c>
      <c r="K14" s="303">
        <f t="shared" si="4"/>
        <v>42084.777435986543</v>
      </c>
      <c r="L14" s="303">
        <f t="shared" si="5"/>
        <v>29692.318416858659</v>
      </c>
      <c r="N14" s="303">
        <f t="shared" si="6"/>
        <v>680138.26878978324</v>
      </c>
      <c r="O14" s="303">
        <f t="shared" si="6"/>
        <v>72025.183338995819</v>
      </c>
      <c r="P14" s="303">
        <f t="shared" si="6"/>
        <v>43715.704189511249</v>
      </c>
      <c r="R14" s="72">
        <f t="shared" si="7"/>
        <v>0.85457479743040332</v>
      </c>
      <c r="S14" s="72">
        <f t="shared" si="7"/>
        <v>9.0497637445591431E-2</v>
      </c>
      <c r="T14" s="72">
        <f t="shared" si="7"/>
        <v>5.4927565124005255E-2</v>
      </c>
      <c r="U14" s="74"/>
      <c r="V14" s="871">
        <f t="shared" si="13"/>
        <v>69262.977953054215</v>
      </c>
      <c r="W14" s="871">
        <f t="shared" si="8"/>
        <v>75.120718933667817</v>
      </c>
      <c r="X14" s="8"/>
    </row>
    <row r="15" spans="1:25" ht="11.25" customHeight="1" x14ac:dyDescent="0.3">
      <c r="A15" s="170">
        <v>1970</v>
      </c>
      <c r="B15" s="303">
        <f t="shared" si="0"/>
        <v>804024</v>
      </c>
      <c r="C15" s="302">
        <f t="shared" si="1"/>
        <v>652709.26530642365</v>
      </c>
      <c r="D15" s="303">
        <f t="shared" si="9"/>
        <v>78004</v>
      </c>
      <c r="E15" s="313">
        <f t="shared" si="10"/>
        <v>41638.30976274109</v>
      </c>
      <c r="F15" s="303">
        <f t="shared" si="2"/>
        <v>31672.424930835259</v>
      </c>
      <c r="G15" s="316"/>
      <c r="H15" s="303">
        <f t="shared" si="3"/>
        <v>784041.31813143368</v>
      </c>
      <c r="I15" s="303">
        <f t="shared" si="11"/>
        <v>632979.57638066576</v>
      </c>
      <c r="J15" s="303">
        <f t="shared" si="12"/>
        <v>77873.580040894303</v>
      </c>
      <c r="K15" s="303">
        <f t="shared" si="4"/>
        <v>41568.691965493679</v>
      </c>
      <c r="L15" s="303">
        <f t="shared" si="5"/>
        <v>31619.469744379978</v>
      </c>
      <c r="N15" s="303">
        <f t="shared" si="6"/>
        <v>659579.65266378201</v>
      </c>
      <c r="O15" s="303">
        <f t="shared" si="6"/>
        <v>81146.107697112719</v>
      </c>
      <c r="P15" s="303">
        <f t="shared" si="6"/>
        <v>43315.557770539053</v>
      </c>
      <c r="R15" s="72">
        <f t="shared" si="7"/>
        <v>0.84125624174466351</v>
      </c>
      <c r="S15" s="72">
        <f t="shared" si="7"/>
        <v>0.10349723390918245</v>
      </c>
      <c r="T15" s="72">
        <f t="shared" si="7"/>
        <v>5.5246524346154166E-2</v>
      </c>
      <c r="U15" s="74"/>
      <c r="V15" s="871">
        <f t="shared" si="13"/>
        <v>77746.622845804304</v>
      </c>
      <c r="W15" s="871">
        <f t="shared" si="8"/>
        <v>126.95719508999578</v>
      </c>
      <c r="X15" s="8"/>
    </row>
    <row r="16" spans="1:25" ht="11.25" customHeight="1" x14ac:dyDescent="0.3">
      <c r="A16" s="170">
        <v>1971</v>
      </c>
      <c r="B16" s="303">
        <f t="shared" si="0"/>
        <v>944060</v>
      </c>
      <c r="C16" s="302">
        <f t="shared" si="1"/>
        <v>749213.00096668268</v>
      </c>
      <c r="D16" s="303">
        <f t="shared" si="9"/>
        <v>105201</v>
      </c>
      <c r="E16" s="313">
        <f t="shared" si="10"/>
        <v>48944.174686313811</v>
      </c>
      <c r="F16" s="303">
        <f t="shared" si="2"/>
        <v>40701.824347003479</v>
      </c>
      <c r="G16" s="316"/>
      <c r="H16" s="303">
        <f t="shared" si="3"/>
        <v>921856.38681270403</v>
      </c>
      <c r="I16" s="303">
        <f t="shared" si="11"/>
        <v>727317.80024327198</v>
      </c>
      <c r="J16" s="303">
        <f t="shared" si="12"/>
        <v>105034.48319566553</v>
      </c>
      <c r="K16" s="303">
        <f t="shared" si="4"/>
        <v>48866.703677867568</v>
      </c>
      <c r="L16" s="303">
        <f t="shared" si="5"/>
        <v>40637.399695898966</v>
      </c>
      <c r="N16" s="303">
        <f t="shared" si="6"/>
        <v>760858.04913319997</v>
      </c>
      <c r="O16" s="303">
        <f t="shared" si="6"/>
        <v>109878.14673205807</v>
      </c>
      <c r="P16" s="303">
        <f t="shared" si="6"/>
        <v>51120.190947446048</v>
      </c>
      <c r="R16" s="72">
        <f t="shared" si="7"/>
        <v>0.82535420919938307</v>
      </c>
      <c r="S16" s="72">
        <f t="shared" si="7"/>
        <v>0.11919226064263555</v>
      </c>
      <c r="T16" s="72">
        <f t="shared" si="7"/>
        <v>5.54535301579814E-2</v>
      </c>
      <c r="U16" s="74"/>
      <c r="V16" s="871">
        <f t="shared" si="13"/>
        <v>104823.1124167205</v>
      </c>
      <c r="W16" s="871">
        <f t="shared" si="8"/>
        <v>211.37077894503395</v>
      </c>
      <c r="X16" s="8"/>
    </row>
    <row r="17" spans="1:24" ht="11.25" customHeight="1" x14ac:dyDescent="0.3">
      <c r="A17" s="170">
        <v>1972</v>
      </c>
      <c r="B17" s="303">
        <f t="shared" si="0"/>
        <v>1164222</v>
      </c>
      <c r="C17" s="302">
        <f t="shared" si="1"/>
        <v>919407.66428808623</v>
      </c>
      <c r="D17" s="303">
        <f t="shared" si="9"/>
        <v>131511</v>
      </c>
      <c r="E17" s="313">
        <f t="shared" si="10"/>
        <v>59970.838173364646</v>
      </c>
      <c r="F17" s="303">
        <f t="shared" si="2"/>
        <v>53332.497538548894</v>
      </c>
      <c r="G17" s="316"/>
      <c r="H17" s="303">
        <f t="shared" si="3"/>
        <v>1139330.7520141157</v>
      </c>
      <c r="I17" s="303">
        <f t="shared" si="11"/>
        <v>894911.93475490296</v>
      </c>
      <c r="J17" s="303">
        <f t="shared" si="12"/>
        <v>131298.53275586615</v>
      </c>
      <c r="K17" s="303">
        <f t="shared" si="4"/>
        <v>59873.950166163027</v>
      </c>
      <c r="L17" s="303">
        <f t="shared" si="5"/>
        <v>53246.334337183296</v>
      </c>
      <c r="N17" s="303">
        <f t="shared" si="6"/>
        <v>938785.85404215066</v>
      </c>
      <c r="O17" s="303">
        <f t="shared" si="6"/>
        <v>137735.56974793912</v>
      </c>
      <c r="P17" s="303">
        <f t="shared" si="6"/>
        <v>62809.328224025645</v>
      </c>
      <c r="R17" s="72">
        <f t="shared" si="7"/>
        <v>0.82398008864639127</v>
      </c>
      <c r="S17" s="72">
        <f t="shared" si="7"/>
        <v>0.12089164582317238</v>
      </c>
      <c r="T17" s="72">
        <f t="shared" si="7"/>
        <v>5.5128265530436128E-2</v>
      </c>
      <c r="U17" s="74"/>
      <c r="V17" s="871">
        <f t="shared" si="13"/>
        <v>131022.66388543753</v>
      </c>
      <c r="W17" s="871">
        <f t="shared" si="8"/>
        <v>275.86887042861633</v>
      </c>
      <c r="X17" s="8"/>
    </row>
    <row r="18" spans="1:24" ht="11.25" customHeight="1" x14ac:dyDescent="0.3">
      <c r="A18" s="170">
        <v>1973</v>
      </c>
      <c r="B18" s="303">
        <f t="shared" si="0"/>
        <v>904822</v>
      </c>
      <c r="C18" s="302">
        <f t="shared" si="1"/>
        <v>691758.21568092098</v>
      </c>
      <c r="D18" s="303">
        <f t="shared" si="9"/>
        <v>115452</v>
      </c>
      <c r="E18" s="313">
        <f t="shared" si="10"/>
        <v>46658.885904782313</v>
      </c>
      <c r="F18" s="303">
        <f t="shared" si="2"/>
        <v>50952.89841429668</v>
      </c>
      <c r="G18" s="316"/>
      <c r="H18" s="303">
        <f t="shared" si="3"/>
        <v>877861.44668235071</v>
      </c>
      <c r="I18" s="303">
        <f t="shared" si="11"/>
        <v>665125.79804459761</v>
      </c>
      <c r="J18" s="303">
        <f t="shared" si="12"/>
        <v>115274.19446255728</v>
      </c>
      <c r="K18" s="303">
        <f t="shared" si="4"/>
        <v>46587.027398348655</v>
      </c>
      <c r="L18" s="303">
        <f t="shared" si="5"/>
        <v>50874.426776847191</v>
      </c>
      <c r="N18" s="303">
        <f t="shared" si="6"/>
        <v>706042.87763053656</v>
      </c>
      <c r="O18" s="303">
        <f t="shared" si="6"/>
        <v>122365.60995553022</v>
      </c>
      <c r="P18" s="303">
        <f t="shared" si="6"/>
        <v>49452.959096283987</v>
      </c>
      <c r="R18" s="72">
        <f t="shared" si="7"/>
        <v>0.8042759826153002</v>
      </c>
      <c r="S18" s="72">
        <f t="shared" si="7"/>
        <v>0.13939057287226733</v>
      </c>
      <c r="T18" s="72">
        <f t="shared" si="7"/>
        <v>5.6333444512432572E-2</v>
      </c>
      <c r="U18" s="74"/>
      <c r="V18" s="871">
        <f t="shared" si="13"/>
        <v>114991.93491402737</v>
      </c>
      <c r="W18" s="871">
        <f t="shared" si="8"/>
        <v>282.25954852990634</v>
      </c>
      <c r="X18" s="8"/>
    </row>
    <row r="19" spans="1:24" ht="11.25" customHeight="1" x14ac:dyDescent="0.3">
      <c r="A19" s="170">
        <v>1974</v>
      </c>
      <c r="B19" s="303">
        <f t="shared" si="0"/>
        <v>608571</v>
      </c>
      <c r="C19" s="302">
        <f t="shared" si="1"/>
        <v>444711.78372873849</v>
      </c>
      <c r="D19" s="303">
        <f t="shared" si="9"/>
        <v>93050</v>
      </c>
      <c r="E19" s="313">
        <f t="shared" si="10"/>
        <v>31478.168450967736</v>
      </c>
      <c r="F19" s="303">
        <f t="shared" si="2"/>
        <v>39331.047820293694</v>
      </c>
      <c r="G19" s="316"/>
      <c r="H19" s="303">
        <f t="shared" si="3"/>
        <v>579450.76298038964</v>
      </c>
      <c r="I19" s="303">
        <f t="shared" si="11"/>
        <v>415783.36213521927</v>
      </c>
      <c r="J19" s="303">
        <f t="shared" si="12"/>
        <v>92941.074632212185</v>
      </c>
      <c r="K19" s="303">
        <f t="shared" si="4"/>
        <v>31441.319755902627</v>
      </c>
      <c r="L19" s="303">
        <f t="shared" si="5"/>
        <v>39285.006457055591</v>
      </c>
      <c r="N19" s="303">
        <f t="shared" si="6"/>
        <v>446022.32465544483</v>
      </c>
      <c r="O19" s="303">
        <f t="shared" si="6"/>
        <v>99700.464084354215</v>
      </c>
      <c r="P19" s="303">
        <f t="shared" si="6"/>
        <v>33727.974240590658</v>
      </c>
      <c r="R19" s="72">
        <f t="shared" si="7"/>
        <v>0.76973291459888815</v>
      </c>
      <c r="S19" s="72">
        <f t="shared" si="7"/>
        <v>0.17206028614329114</v>
      </c>
      <c r="T19" s="72">
        <f t="shared" si="7"/>
        <v>5.8206799257820831E-2</v>
      </c>
      <c r="U19" s="74"/>
      <c r="V19" s="871">
        <f t="shared" si="13"/>
        <v>92713.005965203774</v>
      </c>
      <c r="W19" s="871">
        <f t="shared" si="8"/>
        <v>228.06866700841246</v>
      </c>
      <c r="X19" s="8"/>
    </row>
    <row r="20" spans="1:24" ht="11.25" customHeight="1" x14ac:dyDescent="0.3">
      <c r="A20" s="170">
        <v>1975</v>
      </c>
      <c r="B20" s="303">
        <f t="shared" si="0"/>
        <v>805979</v>
      </c>
      <c r="C20" s="302">
        <f t="shared" si="1"/>
        <v>580815.95482418919</v>
      </c>
      <c r="D20" s="303">
        <f>R87+S87*1+Q87*AG$109</f>
        <v>135094</v>
      </c>
      <c r="E20" s="313">
        <f t="shared" si="10"/>
        <v>41705.34278759321</v>
      </c>
      <c r="F20" s="303">
        <f t="shared" si="2"/>
        <v>48363.702388217556</v>
      </c>
      <c r="G20" s="316"/>
      <c r="H20" s="303">
        <f t="shared" si="3"/>
        <v>773515.03664487752</v>
      </c>
      <c r="I20" s="303">
        <f t="shared" si="11"/>
        <v>548603.33696534473</v>
      </c>
      <c r="J20" s="303">
        <f t="shared" si="12"/>
        <v>134943.19697436286</v>
      </c>
      <c r="K20" s="303">
        <f t="shared" si="4"/>
        <v>41658.787856377887</v>
      </c>
      <c r="L20" s="303">
        <f t="shared" si="5"/>
        <v>48309.714848791991</v>
      </c>
      <c r="N20" s="303">
        <f t="shared" si="6"/>
        <v>585148.67106224992</v>
      </c>
      <c r="O20" s="303">
        <f t="shared" si="6"/>
        <v>143932.46824786969</v>
      </c>
      <c r="P20" s="303">
        <f t="shared" si="6"/>
        <v>44433.897334757887</v>
      </c>
      <c r="R20" s="588">
        <f t="shared" si="7"/>
        <v>0.75648002086725175</v>
      </c>
      <c r="S20" s="588">
        <f t="shared" si="7"/>
        <v>0.18607585040903271</v>
      </c>
      <c r="T20" s="588">
        <f t="shared" si="7"/>
        <v>5.7444128723715543E-2</v>
      </c>
      <c r="U20" s="74"/>
      <c r="V20" s="871">
        <f t="shared" si="13"/>
        <v>134583.58859329621</v>
      </c>
      <c r="W20" s="871">
        <f t="shared" si="8"/>
        <v>359.60838106665</v>
      </c>
      <c r="X20" s="8"/>
    </row>
    <row r="21" spans="1:24" ht="11.25" customHeight="1" x14ac:dyDescent="0.3">
      <c r="A21" s="170">
        <v>1976</v>
      </c>
      <c r="B21" s="303">
        <f t="shared" si="0"/>
        <v>986753</v>
      </c>
      <c r="C21" s="302">
        <f t="shared" si="1"/>
        <v>721163.4609674206</v>
      </c>
      <c r="D21" s="303">
        <f t="shared" si="9"/>
        <v>159135</v>
      </c>
      <c r="E21" s="313">
        <f t="shared" si="10"/>
        <v>51163.354311882889</v>
      </c>
      <c r="F21" s="303">
        <f t="shared" si="2"/>
        <v>55291.184720696532</v>
      </c>
      <c r="G21" s="316"/>
      <c r="H21" s="303">
        <f t="shared" si="3"/>
        <v>950373.59627208603</v>
      </c>
      <c r="I21" s="303">
        <f t="shared" si="11"/>
        <v>685136.11202632217</v>
      </c>
      <c r="J21" s="303">
        <f t="shared" si="12"/>
        <v>158924.05705885871</v>
      </c>
      <c r="K21" s="303">
        <f t="shared" si="4"/>
        <v>51095.534231842656</v>
      </c>
      <c r="L21" s="303">
        <f t="shared" si="5"/>
        <v>55217.892955062511</v>
      </c>
      <c r="N21" s="303">
        <f t="shared" si="6"/>
        <v>727398.89642609819</v>
      </c>
      <c r="O21" s="303">
        <f t="shared" si="6"/>
        <v>168727.32540440198</v>
      </c>
      <c r="P21" s="303">
        <f t="shared" si="6"/>
        <v>54247.374441585933</v>
      </c>
      <c r="R21" s="72">
        <f t="shared" si="7"/>
        <v>0.76538205530896131</v>
      </c>
      <c r="S21" s="72">
        <f t="shared" si="7"/>
        <v>0.17753789253641722</v>
      </c>
      <c r="T21" s="72">
        <f t="shared" si="7"/>
        <v>5.7080052154621572E-2</v>
      </c>
      <c r="U21" s="74"/>
      <c r="V21" s="871">
        <f t="shared" si="13"/>
        <v>158452.43148474241</v>
      </c>
      <c r="W21" s="871">
        <f t="shared" si="8"/>
        <v>471.62557411629427</v>
      </c>
      <c r="X21" s="8"/>
    </row>
    <row r="22" spans="1:24" ht="11.25" customHeight="1" x14ac:dyDescent="0.3">
      <c r="A22" s="170">
        <v>1977</v>
      </c>
      <c r="B22" s="303">
        <f t="shared" si="0"/>
        <v>877450</v>
      </c>
      <c r="C22" s="302">
        <f t="shared" si="1"/>
        <v>620086.58656975243</v>
      </c>
      <c r="D22" s="303">
        <f t="shared" si="9"/>
        <v>157356</v>
      </c>
      <c r="E22" s="313">
        <f t="shared" si="10"/>
        <v>45566.037530088906</v>
      </c>
      <c r="F22" s="303">
        <f t="shared" si="2"/>
        <v>54441.375900158659</v>
      </c>
      <c r="G22" s="316"/>
      <c r="H22" s="303">
        <f t="shared" si="3"/>
        <v>836953.67363565124</v>
      </c>
      <c r="I22" s="303">
        <f t="shared" si="11"/>
        <v>580038.46469803888</v>
      </c>
      <c r="J22" s="303">
        <f t="shared" si="12"/>
        <v>157081.96079138413</v>
      </c>
      <c r="K22" s="303">
        <f t="shared" si="4"/>
        <v>45486.683194286605</v>
      </c>
      <c r="L22" s="303">
        <f t="shared" si="5"/>
        <v>54346.564951941626</v>
      </c>
      <c r="N22" s="303">
        <f t="shared" si="6"/>
        <v>620318.06061093078</v>
      </c>
      <c r="O22" s="303">
        <f t="shared" si="6"/>
        <v>167990.19928066354</v>
      </c>
      <c r="P22" s="303">
        <f t="shared" si="6"/>
        <v>48645.413744056968</v>
      </c>
      <c r="R22" s="72">
        <f t="shared" si="7"/>
        <v>0.74116176337015771</v>
      </c>
      <c r="S22" s="72">
        <f t="shared" si="7"/>
        <v>0.20071624579999664</v>
      </c>
      <c r="T22" s="72">
        <f t="shared" si="7"/>
        <v>5.812199082984567E-2</v>
      </c>
      <c r="U22" s="74"/>
      <c r="V22" s="871">
        <f t="shared" si="13"/>
        <v>156373.06616511554</v>
      </c>
      <c r="W22" s="871">
        <f t="shared" si="8"/>
        <v>708.89462626857846</v>
      </c>
      <c r="X22" s="8"/>
    </row>
    <row r="23" spans="1:24" ht="11.25" customHeight="1" x14ac:dyDescent="0.3">
      <c r="A23" s="170">
        <v>1978</v>
      </c>
      <c r="B23" s="303">
        <f t="shared" si="0"/>
        <v>921760</v>
      </c>
      <c r="C23" s="302">
        <f t="shared" si="1"/>
        <v>627328.74371102825</v>
      </c>
      <c r="D23" s="303">
        <f t="shared" si="9"/>
        <v>187323</v>
      </c>
      <c r="E23" s="313">
        <f t="shared" si="10"/>
        <v>47791.86569639267</v>
      </c>
      <c r="F23" s="303">
        <f t="shared" si="2"/>
        <v>59316.390592579031</v>
      </c>
      <c r="G23" s="316"/>
      <c r="H23" s="303">
        <f t="shared" si="3"/>
        <v>877049.57070627902</v>
      </c>
      <c r="I23" s="303">
        <f t="shared" si="11"/>
        <v>583069.46732737345</v>
      </c>
      <c r="J23" s="303">
        <f t="shared" si="12"/>
        <v>187035.96757811145</v>
      </c>
      <c r="K23" s="303">
        <f t="shared" si="4"/>
        <v>47718.634886735512</v>
      </c>
      <c r="L23" s="303">
        <f t="shared" si="5"/>
        <v>59225.500914058633</v>
      </c>
      <c r="N23" s="303">
        <f t="shared" si="6"/>
        <v>625294.41832316713</v>
      </c>
      <c r="O23" s="303">
        <f t="shared" si="6"/>
        <v>200580.81087377726</v>
      </c>
      <c r="P23" s="303">
        <f t="shared" si="6"/>
        <v>51174.341509334685</v>
      </c>
      <c r="R23" s="72">
        <f t="shared" si="7"/>
        <v>0.71295219701165113</v>
      </c>
      <c r="S23" s="72">
        <f t="shared" si="7"/>
        <v>0.22869951434130636</v>
      </c>
      <c r="T23" s="72">
        <f t="shared" si="7"/>
        <v>5.8348288647042508E-2</v>
      </c>
      <c r="U23" s="74"/>
      <c r="V23" s="871">
        <f t="shared" si="13"/>
        <v>186156.85439314696</v>
      </c>
      <c r="W23" s="871">
        <f t="shared" si="8"/>
        <v>879.1131849644654</v>
      </c>
      <c r="X23" s="8"/>
    </row>
    <row r="24" spans="1:24" ht="11.25" customHeight="1" x14ac:dyDescent="0.3">
      <c r="A24" s="170">
        <v>1979</v>
      </c>
      <c r="B24" s="303">
        <f t="shared" si="0"/>
        <v>1091819</v>
      </c>
      <c r="C24" s="302">
        <f t="shared" si="1"/>
        <v>744471.9039073165</v>
      </c>
      <c r="D24" s="303">
        <f t="shared" si="9"/>
        <v>224013</v>
      </c>
      <c r="E24" s="313">
        <f t="shared" si="10"/>
        <v>56439.683728470111</v>
      </c>
      <c r="F24" s="303">
        <f t="shared" si="2"/>
        <v>66894.412364213378</v>
      </c>
      <c r="G24" s="316"/>
      <c r="H24" s="303">
        <f t="shared" si="3"/>
        <v>1041956.0785625323</v>
      </c>
      <c r="I24" s="303">
        <f t="shared" si="11"/>
        <v>695166.99328166526</v>
      </c>
      <c r="J24" s="303">
        <f t="shared" si="12"/>
        <v>223653.12459757525</v>
      </c>
      <c r="K24" s="303">
        <f t="shared" si="4"/>
        <v>56349.013749966587</v>
      </c>
      <c r="L24" s="303">
        <f t="shared" si="5"/>
        <v>66786.946933325264</v>
      </c>
      <c r="N24" s="303">
        <f t="shared" si="6"/>
        <v>742777.279112324</v>
      </c>
      <c r="O24" s="303">
        <f t="shared" si="6"/>
        <v>238970.57967228146</v>
      </c>
      <c r="P24" s="303">
        <f t="shared" si="6"/>
        <v>60208.219777926875</v>
      </c>
      <c r="R24" s="72">
        <f t="shared" si="7"/>
        <v>0.71286812793208032</v>
      </c>
      <c r="S24" s="72">
        <f t="shared" si="7"/>
        <v>0.22934803547761998</v>
      </c>
      <c r="T24" s="72">
        <f t="shared" si="7"/>
        <v>5.7783836590299731E-2</v>
      </c>
      <c r="U24" s="74"/>
      <c r="V24" s="871">
        <f t="shared" si="13"/>
        <v>222535.26002633394</v>
      </c>
      <c r="W24" s="871">
        <f t="shared" si="8"/>
        <v>1117.8645712413024</v>
      </c>
      <c r="X24" s="8"/>
    </row>
    <row r="25" spans="1:24" ht="11.25" customHeight="1" x14ac:dyDescent="0.3">
      <c r="A25" s="170">
        <v>1980</v>
      </c>
      <c r="B25" s="303">
        <f t="shared" si="0"/>
        <v>1420338</v>
      </c>
      <c r="C25" s="302">
        <f t="shared" si="1"/>
        <v>982033.47632365418</v>
      </c>
      <c r="D25" s="303">
        <f>R92+S92*1+Q92*AG$109</f>
        <v>283503</v>
      </c>
      <c r="E25" s="313">
        <f t="shared" si="10"/>
        <v>73801.991229948457</v>
      </c>
      <c r="F25" s="303">
        <f t="shared" si="2"/>
        <v>80999.532446397468</v>
      </c>
      <c r="G25" s="316"/>
      <c r="H25" s="303">
        <f t="shared" si="3"/>
        <v>1364585.042847258</v>
      </c>
      <c r="I25" s="303">
        <f t="shared" si="11"/>
        <v>926989.84806172736</v>
      </c>
      <c r="J25" s="303">
        <f t="shared" si="12"/>
        <v>283044.19371881906</v>
      </c>
      <c r="K25" s="303">
        <f t="shared" si="4"/>
        <v>73682.553985404447</v>
      </c>
      <c r="L25" s="303">
        <f t="shared" si="5"/>
        <v>80868.4470813074</v>
      </c>
      <c r="N25" s="303">
        <f t="shared" si="6"/>
        <v>985386.09355714405</v>
      </c>
      <c r="O25" s="303">
        <f t="shared" si="6"/>
        <v>300874.72148243681</v>
      </c>
      <c r="P25" s="303">
        <f t="shared" si="6"/>
        <v>78324.227807677467</v>
      </c>
      <c r="R25" s="72">
        <f t="shared" si="7"/>
        <v>0.72211409521322234</v>
      </c>
      <c r="S25" s="72">
        <f t="shared" si="7"/>
        <v>0.22048806929222262</v>
      </c>
      <c r="T25" s="72">
        <f t="shared" si="7"/>
        <v>5.7397835494555197E-2</v>
      </c>
      <c r="U25" s="74"/>
      <c r="V25" s="871">
        <f t="shared" si="13"/>
        <v>281673.21637285483</v>
      </c>
      <c r="W25" s="871">
        <f t="shared" si="8"/>
        <v>1370.9773459642147</v>
      </c>
      <c r="X25" s="8"/>
    </row>
    <row r="26" spans="1:24" ht="11.25" customHeight="1" x14ac:dyDescent="0.3">
      <c r="A26" s="170">
        <v>1981</v>
      </c>
      <c r="B26" s="303">
        <f t="shared" si="0"/>
        <v>1307345</v>
      </c>
      <c r="C26" s="302">
        <f t="shared" si="1"/>
        <v>853041.92968014476</v>
      </c>
      <c r="D26" s="303">
        <f t="shared" si="9"/>
        <v>305393.96950444725</v>
      </c>
      <c r="E26" s="313">
        <f t="shared" si="10"/>
        <v>68187.999260218494</v>
      </c>
      <c r="F26" s="303">
        <f t="shared" si="2"/>
        <v>80721.101555189351</v>
      </c>
      <c r="G26" s="316"/>
      <c r="H26" s="303">
        <f t="shared" si="3"/>
        <v>1250894.7366677264</v>
      </c>
      <c r="I26" s="303">
        <f t="shared" si="11"/>
        <v>797439.18537169672</v>
      </c>
      <c r="J26" s="303">
        <f t="shared" si="12"/>
        <v>304824.24586437945</v>
      </c>
      <c r="K26" s="303">
        <f t="shared" si="4"/>
        <v>68060.792049118332</v>
      </c>
      <c r="L26" s="303">
        <f t="shared" si="5"/>
        <v>80570.513382531819</v>
      </c>
      <c r="N26" s="303">
        <f t="shared" si="6"/>
        <v>852338.57417216979</v>
      </c>
      <c r="O26" s="303">
        <f t="shared" si="6"/>
        <v>325809.75183963362</v>
      </c>
      <c r="P26" s="303">
        <f t="shared" si="6"/>
        <v>72746.410655922897</v>
      </c>
      <c r="R26" s="72">
        <f t="shared" si="7"/>
        <v>0.68138313255895921</v>
      </c>
      <c r="S26" s="72">
        <f t="shared" si="7"/>
        <v>0.26046136600395503</v>
      </c>
      <c r="T26" s="72">
        <f t="shared" si="7"/>
        <v>5.8155501437085692E-2</v>
      </c>
      <c r="U26" s="74"/>
      <c r="V26" s="871">
        <f t="shared" si="13"/>
        <v>276920.32714139391</v>
      </c>
      <c r="W26" s="871">
        <f t="shared" si="8"/>
        <v>27903.918722985567</v>
      </c>
      <c r="X26" s="8"/>
    </row>
    <row r="27" spans="1:24" ht="11.25" customHeight="1" x14ac:dyDescent="0.3">
      <c r="A27" s="170">
        <v>1982</v>
      </c>
      <c r="B27" s="303">
        <f t="shared" si="0"/>
        <v>1474161</v>
      </c>
      <c r="C27" s="302">
        <f t="shared" si="1"/>
        <v>894410.50642813451</v>
      </c>
      <c r="D27" s="303">
        <f t="shared" si="9"/>
        <v>407071.31385006354</v>
      </c>
      <c r="E27" s="313">
        <f t="shared" si="10"/>
        <v>77540.74516893168</v>
      </c>
      <c r="F27" s="303">
        <f t="shared" si="2"/>
        <v>95138.434552870225</v>
      </c>
      <c r="G27" s="316"/>
      <c r="H27" s="303">
        <f t="shared" si="3"/>
        <v>1409088.517783589</v>
      </c>
      <c r="I27" s="303">
        <f t="shared" si="11"/>
        <v>830635.28073804337</v>
      </c>
      <c r="J27" s="303">
        <f t="shared" si="12"/>
        <v>406160.44628819899</v>
      </c>
      <c r="K27" s="303">
        <f t="shared" si="4"/>
        <v>77367.239085122492</v>
      </c>
      <c r="L27" s="303">
        <f t="shared" si="5"/>
        <v>94925.551672224145</v>
      </c>
      <c r="N27" s="303">
        <f t="shared" si="6"/>
        <v>890634.31761227967</v>
      </c>
      <c r="O27" s="303">
        <f t="shared" si="6"/>
        <v>435498.51578610082</v>
      </c>
      <c r="P27" s="303">
        <f t="shared" si="6"/>
        <v>82955.684385208471</v>
      </c>
      <c r="R27" s="72">
        <f t="shared" si="7"/>
        <v>0.63206413676068673</v>
      </c>
      <c r="S27" s="72">
        <f t="shared" si="7"/>
        <v>0.30906398731508622</v>
      </c>
      <c r="T27" s="72">
        <f t="shared" si="7"/>
        <v>5.8871875924227067E-2</v>
      </c>
      <c r="U27" s="74"/>
      <c r="V27" s="871">
        <f t="shared" si="13"/>
        <v>356033.05438527657</v>
      </c>
      <c r="W27" s="871">
        <f t="shared" si="8"/>
        <v>50127.391902922391</v>
      </c>
      <c r="X27" s="8"/>
    </row>
    <row r="28" spans="1:24" ht="11.25" customHeight="1" x14ac:dyDescent="0.3">
      <c r="A28" s="170">
        <v>1983</v>
      </c>
      <c r="B28" s="303">
        <f t="shared" si="0"/>
        <v>1746411</v>
      </c>
      <c r="C28" s="302">
        <f t="shared" si="1"/>
        <v>999920.37036426668</v>
      </c>
      <c r="D28" s="303">
        <f t="shared" si="9"/>
        <v>535024.86149936472</v>
      </c>
      <c r="E28" s="313">
        <f t="shared" si="10"/>
        <v>92986.882202237903</v>
      </c>
      <c r="F28" s="303">
        <f t="shared" si="2"/>
        <v>118478.88593413075</v>
      </c>
      <c r="G28" s="316"/>
      <c r="H28" s="303">
        <f t="shared" si="3"/>
        <v>1665844.3600510997</v>
      </c>
      <c r="I28" s="303">
        <f t="shared" si="11"/>
        <v>921173.43946924037</v>
      </c>
      <c r="J28" s="303">
        <f t="shared" si="12"/>
        <v>533720.63938877615</v>
      </c>
      <c r="K28" s="303">
        <f t="shared" si="4"/>
        <v>92760.209468894274</v>
      </c>
      <c r="L28" s="303">
        <f t="shared" si="5"/>
        <v>118190.07172418889</v>
      </c>
      <c r="N28" s="303">
        <f t="shared" si="6"/>
        <v>991520.90382381855</v>
      </c>
      <c r="O28" s="303">
        <f t="shared" si="6"/>
        <v>574479.4064634518</v>
      </c>
      <c r="P28" s="303">
        <f t="shared" si="6"/>
        <v>99844.049763829447</v>
      </c>
      <c r="R28" s="72">
        <f t="shared" si="7"/>
        <v>0.59520620749552122</v>
      </c>
      <c r="S28" s="72">
        <f t="shared" si="7"/>
        <v>0.34485779118394333</v>
      </c>
      <c r="T28" s="72">
        <f t="shared" si="7"/>
        <v>5.9936001320535573E-2</v>
      </c>
      <c r="U28" s="74"/>
      <c r="V28" s="871">
        <f t="shared" si="13"/>
        <v>454845.50614424789</v>
      </c>
      <c r="W28" s="871">
        <f t="shared" si="8"/>
        <v>78875.133244528231</v>
      </c>
      <c r="X28" s="8"/>
    </row>
    <row r="29" spans="1:24" ht="11.25" customHeight="1" x14ac:dyDescent="0.3">
      <c r="A29" s="170">
        <v>1984</v>
      </c>
      <c r="B29" s="303">
        <f t="shared" si="0"/>
        <v>1684313</v>
      </c>
      <c r="C29" s="302">
        <f t="shared" si="1"/>
        <v>894966.82340936584</v>
      </c>
      <c r="D29" s="303">
        <f t="shared" si="9"/>
        <v>588605.92503176618</v>
      </c>
      <c r="E29" s="313">
        <f t="shared" si="10"/>
        <v>90245.632214102166</v>
      </c>
      <c r="F29" s="303">
        <f t="shared" si="2"/>
        <v>110494.61934476579</v>
      </c>
      <c r="G29" s="316"/>
      <c r="H29" s="303">
        <f t="shared" si="3"/>
        <v>1581371.4562971664</v>
      </c>
      <c r="I29" s="303">
        <f t="shared" si="11"/>
        <v>794408.48408233211</v>
      </c>
      <c r="J29" s="303">
        <f t="shared" si="12"/>
        <v>586828.79826817533</v>
      </c>
      <c r="K29" s="303">
        <f t="shared" si="4"/>
        <v>89973.161412357847</v>
      </c>
      <c r="L29" s="303">
        <f t="shared" si="5"/>
        <v>110161.01253430126</v>
      </c>
      <c r="N29" s="303">
        <f t="shared" si="6"/>
        <v>853892.04970229906</v>
      </c>
      <c r="O29" s="303">
        <f t="shared" si="6"/>
        <v>630769.25211389945</v>
      </c>
      <c r="P29" s="303">
        <f t="shared" si="6"/>
        <v>96710.154480968122</v>
      </c>
      <c r="R29" s="72">
        <f t="shared" si="7"/>
        <v>0.53996930721243419</v>
      </c>
      <c r="S29" s="72">
        <f t="shared" si="7"/>
        <v>0.39887481818526466</v>
      </c>
      <c r="T29" s="72">
        <f t="shared" si="7"/>
        <v>6.1155874602301312E-2</v>
      </c>
      <c r="U29" s="74"/>
      <c r="V29" s="871">
        <f t="shared" si="13"/>
        <v>469581.06706091407</v>
      </c>
      <c r="W29" s="871">
        <f t="shared" si="8"/>
        <v>117247.73120726123</v>
      </c>
      <c r="X29" s="8"/>
    </row>
    <row r="30" spans="1:24" ht="11.25" customHeight="1" x14ac:dyDescent="0.3">
      <c r="A30" s="170">
        <v>1985</v>
      </c>
      <c r="B30" s="303">
        <f t="shared" si="0"/>
        <v>2133614</v>
      </c>
      <c r="C30" s="302">
        <f t="shared" si="1"/>
        <v>1068157.5240064245</v>
      </c>
      <c r="D30" s="303">
        <f t="shared" si="9"/>
        <v>819451.33290978405</v>
      </c>
      <c r="E30" s="313">
        <f t="shared" si="10"/>
        <v>115260.36121715735</v>
      </c>
      <c r="F30" s="303">
        <f t="shared" si="2"/>
        <v>130744.78186663403</v>
      </c>
      <c r="G30" s="316"/>
      <c r="H30" s="303">
        <f t="shared" si="3"/>
        <v>2016490.5217719113</v>
      </c>
      <c r="I30" s="303">
        <f t="shared" si="11"/>
        <v>954866.18832931959</v>
      </c>
      <c r="J30" s="303">
        <f t="shared" si="12"/>
        <v>816504.00057659275</v>
      </c>
      <c r="K30" s="303">
        <f t="shared" si="4"/>
        <v>114845.80262690604</v>
      </c>
      <c r="L30" s="303">
        <f t="shared" si="5"/>
        <v>130274.5302390929</v>
      </c>
      <c r="N30" s="303">
        <f t="shared" si="6"/>
        <v>1020815.5518614922</v>
      </c>
      <c r="O30" s="303">
        <f t="shared" si="6"/>
        <v>872897.15787721297</v>
      </c>
      <c r="P30" s="303">
        <f t="shared" si="6"/>
        <v>122777.81203320602</v>
      </c>
      <c r="R30" s="72">
        <f t="shared" si="7"/>
        <v>0.50623374662058462</v>
      </c>
      <c r="S30" s="72">
        <f t="shared" si="7"/>
        <v>0.43287937555500589</v>
      </c>
      <c r="T30" s="72">
        <f t="shared" si="7"/>
        <v>6.0886877824409449E-2</v>
      </c>
      <c r="U30" s="74"/>
      <c r="V30" s="871">
        <f t="shared" si="13"/>
        <v>636366.80998089083</v>
      </c>
      <c r="W30" s="871">
        <f t="shared" si="8"/>
        <v>180137.19059570177</v>
      </c>
      <c r="X30" s="8"/>
    </row>
    <row r="31" spans="1:24" ht="11.25" customHeight="1" x14ac:dyDescent="0.3">
      <c r="A31" s="170">
        <v>1986</v>
      </c>
      <c r="B31" s="303">
        <f t="shared" si="0"/>
        <v>2499027</v>
      </c>
      <c r="C31" s="302">
        <f t="shared" si="1"/>
        <v>1303410.0471707324</v>
      </c>
      <c r="D31" s="303">
        <f t="shared" si="9"/>
        <v>919430.20965692506</v>
      </c>
      <c r="E31" s="313">
        <f t="shared" si="10"/>
        <v>137575.39741987095</v>
      </c>
      <c r="F31" s="303">
        <f t="shared" si="2"/>
        <v>138611.34575247159</v>
      </c>
      <c r="G31" s="316"/>
      <c r="H31" s="303">
        <f t="shared" si="3"/>
        <v>2366096.180424172</v>
      </c>
      <c r="I31" s="303">
        <f t="shared" si="11"/>
        <v>1175227.0051871818</v>
      </c>
      <c r="J31" s="303">
        <f t="shared" si="12"/>
        <v>915779.16561916494</v>
      </c>
      <c r="K31" s="303">
        <f t="shared" si="4"/>
        <v>137029.08751051989</v>
      </c>
      <c r="L31" s="303">
        <f t="shared" si="5"/>
        <v>138060.9221073052</v>
      </c>
      <c r="N31" s="303">
        <f t="shared" si="6"/>
        <v>1248050.3249330821</v>
      </c>
      <c r="O31" s="303">
        <f t="shared" si="6"/>
        <v>972525.716455866</v>
      </c>
      <c r="P31" s="303">
        <f t="shared" si="6"/>
        <v>145520.13903522358</v>
      </c>
      <c r="R31" s="72">
        <f t="shared" si="7"/>
        <v>0.52747235520634805</v>
      </c>
      <c r="S31" s="72">
        <f t="shared" si="7"/>
        <v>0.4110254369632263</v>
      </c>
      <c r="T31" s="72">
        <f t="shared" si="7"/>
        <v>6.1502207830425586E-2</v>
      </c>
      <c r="U31" s="74"/>
      <c r="V31" s="871">
        <f t="shared" si="13"/>
        <v>674012.26021606894</v>
      </c>
      <c r="W31" s="871">
        <f t="shared" si="8"/>
        <v>241766.90540309603</v>
      </c>
      <c r="X31" s="8"/>
    </row>
    <row r="32" spans="1:24" ht="11.25" customHeight="1" x14ac:dyDescent="0.3">
      <c r="A32" s="170">
        <v>1987</v>
      </c>
      <c r="B32" s="303">
        <f t="shared" si="0"/>
        <v>2521294</v>
      </c>
      <c r="C32" s="302">
        <f t="shared" si="1"/>
        <v>1239691.4294790344</v>
      </c>
      <c r="D32" s="303">
        <f t="shared" si="9"/>
        <v>1011840.5705209656</v>
      </c>
      <c r="E32" s="313">
        <f t="shared" si="10"/>
        <v>140030</v>
      </c>
      <c r="F32" s="303">
        <f t="shared" si="2"/>
        <v>129732</v>
      </c>
      <c r="G32" s="316"/>
      <c r="H32" s="303">
        <f t="shared" si="3"/>
        <v>2264490.9905890715</v>
      </c>
      <c r="I32" s="303">
        <f t="shared" si="11"/>
        <v>987820.26093244902</v>
      </c>
      <c r="J32" s="303">
        <f t="shared" si="12"/>
        <v>1007946.8231232315</v>
      </c>
      <c r="K32" s="303">
        <f t="shared" si="4"/>
        <v>139491.13897387611</v>
      </c>
      <c r="L32" s="303">
        <f t="shared" si="5"/>
        <v>129232.76755951508</v>
      </c>
      <c r="N32" s="303">
        <f t="shared" si="6"/>
        <v>1047606.3536845178</v>
      </c>
      <c r="O32" s="303">
        <f t="shared" si="6"/>
        <v>1068951.0408333596</v>
      </c>
      <c r="P32" s="303">
        <f t="shared" si="6"/>
        <v>147933.5960711943</v>
      </c>
      <c r="R32" s="72">
        <f t="shared" si="7"/>
        <v>0.46262332596518724</v>
      </c>
      <c r="S32" s="72">
        <f t="shared" si="7"/>
        <v>0.47204914714864415</v>
      </c>
      <c r="T32" s="72">
        <f t="shared" si="7"/>
        <v>6.5327526886168677E-2</v>
      </c>
      <c r="U32" s="74"/>
      <c r="V32" s="871">
        <f t="shared" si="13"/>
        <v>712665.05657254288</v>
      </c>
      <c r="W32" s="871">
        <f t="shared" si="8"/>
        <v>295281.76655068866</v>
      </c>
      <c r="X32" s="8"/>
    </row>
    <row r="33" spans="1:25" ht="11.25" customHeight="1" x14ac:dyDescent="0.3">
      <c r="A33" s="170">
        <v>1988</v>
      </c>
      <c r="B33" s="303">
        <f t="shared" si="0"/>
        <v>2861806</v>
      </c>
      <c r="C33" s="302">
        <f t="shared" si="1"/>
        <v>1482816.4282083863</v>
      </c>
      <c r="D33" s="303">
        <f t="shared" si="9"/>
        <v>1082468.5717916137</v>
      </c>
      <c r="E33" s="313">
        <f t="shared" si="10"/>
        <v>157693</v>
      </c>
      <c r="F33" s="303">
        <f t="shared" si="2"/>
        <v>138828</v>
      </c>
      <c r="G33" s="316"/>
      <c r="H33" s="303">
        <f t="shared" si="3"/>
        <v>2529122.666510094</v>
      </c>
      <c r="I33" s="303">
        <f t="shared" si="11"/>
        <v>1155643.2591221305</v>
      </c>
      <c r="J33" s="303">
        <f t="shared" si="12"/>
        <v>1078143.2455423321</v>
      </c>
      <c r="K33" s="303">
        <f t="shared" si="4"/>
        <v>157062.89055386704</v>
      </c>
      <c r="L33" s="303">
        <f t="shared" si="5"/>
        <v>138273.27129176471</v>
      </c>
      <c r="N33" s="303">
        <f t="shared" si="6"/>
        <v>1222479.1602895902</v>
      </c>
      <c r="O33" s="303">
        <f t="shared" si="6"/>
        <v>1140496.9821601273</v>
      </c>
      <c r="P33" s="303">
        <f t="shared" si="6"/>
        <v>166146.52406037672</v>
      </c>
      <c r="R33" s="72">
        <f t="shared" si="7"/>
        <v>0.4833609600978645</v>
      </c>
      <c r="S33" s="72">
        <f t="shared" si="7"/>
        <v>0.45094569641174637</v>
      </c>
      <c r="T33" s="72">
        <f t="shared" si="7"/>
        <v>6.569334349038923E-2</v>
      </c>
      <c r="U33" s="74"/>
      <c r="V33" s="871">
        <f t="shared" si="13"/>
        <v>739017.36245909124</v>
      </c>
      <c r="W33" s="871">
        <f t="shared" si="8"/>
        <v>339125.88308324094</v>
      </c>
      <c r="X33" s="8"/>
    </row>
    <row r="34" spans="1:25" ht="11.25" customHeight="1" x14ac:dyDescent="0.3">
      <c r="A34" s="170">
        <v>1989</v>
      </c>
      <c r="B34" s="303">
        <f t="shared" si="0"/>
        <v>3537246</v>
      </c>
      <c r="C34" s="302">
        <f t="shared" si="1"/>
        <v>1835332.332909784</v>
      </c>
      <c r="D34" s="303">
        <f t="shared" si="9"/>
        <v>1331363.667090216</v>
      </c>
      <c r="E34" s="313">
        <f t="shared" si="10"/>
        <v>222053</v>
      </c>
      <c r="F34" s="303">
        <f t="shared" si="2"/>
        <v>148497</v>
      </c>
      <c r="G34" s="316"/>
      <c r="H34" s="303">
        <f t="shared" si="3"/>
        <v>3153510.4053837727</v>
      </c>
      <c r="I34" s="303">
        <f t="shared" si="11"/>
        <v>1457207.8995100344</v>
      </c>
      <c r="J34" s="303">
        <f t="shared" si="12"/>
        <v>1326974.1987415799</v>
      </c>
      <c r="K34" s="303">
        <f t="shared" si="4"/>
        <v>221320.89754045944</v>
      </c>
      <c r="L34" s="303">
        <f t="shared" si="5"/>
        <v>148007.40959169931</v>
      </c>
      <c r="N34" s="303">
        <f t="shared" si="6"/>
        <v>1528968.788367908</v>
      </c>
      <c r="O34" s="303">
        <f t="shared" si="6"/>
        <v>1392321.6677095827</v>
      </c>
      <c r="P34" s="303">
        <f t="shared" si="6"/>
        <v>232219.94930628224</v>
      </c>
      <c r="R34" s="72">
        <f t="shared" si="7"/>
        <v>0.48484659690914739</v>
      </c>
      <c r="S34" s="72">
        <f t="shared" si="7"/>
        <v>0.44151484813006076</v>
      </c>
      <c r="T34" s="72">
        <f t="shared" si="7"/>
        <v>7.3638554960791955E-2</v>
      </c>
      <c r="U34" s="74"/>
      <c r="V34" s="871">
        <f t="shared" si="13"/>
        <v>936343.97039683769</v>
      </c>
      <c r="W34" s="871">
        <f t="shared" si="8"/>
        <v>390630.22834474233</v>
      </c>
      <c r="X34" s="8"/>
    </row>
    <row r="35" spans="1:25" ht="11.25" customHeight="1" x14ac:dyDescent="0.3">
      <c r="A35" s="170">
        <v>1990</v>
      </c>
      <c r="B35" s="303">
        <f t="shared" si="0"/>
        <v>3288691</v>
      </c>
      <c r="C35" s="302">
        <f t="shared" si="1"/>
        <v>1566731.7217280813</v>
      </c>
      <c r="D35" s="303">
        <f t="shared" si="9"/>
        <v>1378921.2782719187</v>
      </c>
      <c r="E35" s="313">
        <f t="shared" si="10"/>
        <v>217549</v>
      </c>
      <c r="F35" s="303">
        <f t="shared" si="2"/>
        <v>125489</v>
      </c>
      <c r="G35" s="316"/>
      <c r="H35" s="303">
        <f t="shared" si="3"/>
        <v>2868045.2818307066</v>
      </c>
      <c r="I35" s="303">
        <f t="shared" si="11"/>
        <v>1150660.7509005691</v>
      </c>
      <c r="J35" s="303">
        <f t="shared" si="12"/>
        <v>1375257.8835959246</v>
      </c>
      <c r="K35" s="303">
        <f t="shared" si="4"/>
        <v>216971.03528154516</v>
      </c>
      <c r="L35" s="303">
        <f t="shared" si="5"/>
        <v>125155.61205266777</v>
      </c>
      <c r="N35" s="303">
        <f t="shared" si="6"/>
        <v>1203164.3758661321</v>
      </c>
      <c r="O35" s="303">
        <f t="shared" si="6"/>
        <v>1438009.6756377944</v>
      </c>
      <c r="P35" s="303">
        <f t="shared" si="6"/>
        <v>226871.23032678015</v>
      </c>
      <c r="R35" s="72">
        <f t="shared" si="7"/>
        <v>0.41950675726365738</v>
      </c>
      <c r="S35" s="72">
        <f t="shared" si="7"/>
        <v>0.50139015752216298</v>
      </c>
      <c r="T35" s="72">
        <f t="shared" si="7"/>
        <v>7.9103085214179608E-2</v>
      </c>
      <c r="U35" s="74"/>
      <c r="V35" s="871">
        <f t="shared" si="13"/>
        <v>924728.04268665833</v>
      </c>
      <c r="W35" s="871">
        <f t="shared" si="8"/>
        <v>450529.84090926626</v>
      </c>
      <c r="X35" s="8"/>
    </row>
    <row r="36" spans="1:25" ht="11.25" customHeight="1" x14ac:dyDescent="0.3">
      <c r="A36" s="170">
        <v>1991</v>
      </c>
      <c r="B36" s="303">
        <f t="shared" si="0"/>
        <v>4556573</v>
      </c>
      <c r="C36" s="302">
        <f t="shared" si="1"/>
        <v>2351758.3595933923</v>
      </c>
      <c r="D36" s="303">
        <f t="shared" si="9"/>
        <v>1817065.6404066074</v>
      </c>
      <c r="E36" s="313">
        <f t="shared" si="10"/>
        <v>236665</v>
      </c>
      <c r="F36" s="303">
        <f t="shared" si="2"/>
        <v>151084</v>
      </c>
      <c r="G36" s="316"/>
      <c r="H36" s="303">
        <f t="shared" si="3"/>
        <v>4115866.9635054003</v>
      </c>
      <c r="I36" s="303">
        <f t="shared" si="11"/>
        <v>1917327.319070485</v>
      </c>
      <c r="J36" s="303">
        <f t="shared" si="12"/>
        <v>1811894.1945331581</v>
      </c>
      <c r="K36" s="303">
        <f t="shared" si="4"/>
        <v>235991.44137315478</v>
      </c>
      <c r="L36" s="303">
        <f t="shared" si="5"/>
        <v>150654.00852860251</v>
      </c>
      <c r="N36" s="303">
        <f t="shared" si="6"/>
        <v>1990174.1118049896</v>
      </c>
      <c r="O36" s="303">
        <f t="shared" si="6"/>
        <v>1880735.1689109695</v>
      </c>
      <c r="P36" s="303">
        <f t="shared" si="6"/>
        <v>244957.6827894412</v>
      </c>
      <c r="R36" s="72">
        <f t="shared" si="7"/>
        <v>0.48353703592741948</v>
      </c>
      <c r="S36" s="72">
        <f t="shared" si="7"/>
        <v>0.45694751205203815</v>
      </c>
      <c r="T36" s="72">
        <f t="shared" si="7"/>
        <v>5.9515452020542405E-2</v>
      </c>
      <c r="U36" s="74"/>
      <c r="V36" s="871">
        <f t="shared" si="13"/>
        <v>1254083.2555239785</v>
      </c>
      <c r="W36" s="871">
        <f t="shared" si="8"/>
        <v>557810.93900917948</v>
      </c>
      <c r="X36" s="8"/>
    </row>
    <row r="37" spans="1:25" ht="11.25" customHeight="1" x14ac:dyDescent="0.3">
      <c r="A37" s="170">
        <v>1992</v>
      </c>
      <c r="B37" s="303">
        <f t="shared" ref="B37:B60" si="14">B104-F104</f>
        <v>5113122</v>
      </c>
      <c r="C37" s="302">
        <f t="shared" si="1"/>
        <v>2652683.2795425667</v>
      </c>
      <c r="D37" s="303">
        <f t="shared" si="9"/>
        <v>2023949.7204574333</v>
      </c>
      <c r="E37" s="313">
        <f t="shared" si="10"/>
        <v>266498</v>
      </c>
      <c r="F37" s="303">
        <f t="shared" si="2"/>
        <v>169991</v>
      </c>
      <c r="G37" s="316"/>
      <c r="H37" s="303">
        <f t="shared" ref="H37:H60" si="15">B37-N104-P104</f>
        <v>4634170.5359446174</v>
      </c>
      <c r="I37" s="303">
        <f t="shared" ref="I37:I60" si="16">C37-N104-P104*(C37/B37)</f>
        <v>2181388.6836237004</v>
      </c>
      <c r="J37" s="303">
        <f t="shared" ref="J37:J59" si="17">D37-P104*(D37/B37)</f>
        <v>2017651.2030444087</v>
      </c>
      <c r="K37" s="303">
        <f t="shared" ref="K37:K60" si="18">E37-P104*(E37/B37)</f>
        <v>265668.6600828222</v>
      </c>
      <c r="L37" s="303">
        <f t="shared" ref="L37:L60" si="19">F37-P104*(F37/B37)</f>
        <v>169461.98919368637</v>
      </c>
      <c r="N37" s="303">
        <f t="shared" ref="N37:P60" si="20">I37+$L37*(I37/($H37-$L37))</f>
        <v>2264185.2338711922</v>
      </c>
      <c r="O37" s="303">
        <f t="shared" si="20"/>
        <v>2094232.9513907279</v>
      </c>
      <c r="P37" s="303">
        <f t="shared" si="20"/>
        <v>275752.35068269772</v>
      </c>
      <c r="R37" s="72">
        <f t="shared" ref="R37:T60" si="21">N37/$H37</f>
        <v>0.48858478908128194</v>
      </c>
      <c r="S37" s="72">
        <f t="shared" si="21"/>
        <v>0.45191106696375488</v>
      </c>
      <c r="T37" s="72">
        <f t="shared" si="21"/>
        <v>5.9504143954963257E-2</v>
      </c>
      <c r="U37" s="74"/>
      <c r="V37" s="871">
        <f t="shared" si="13"/>
        <v>1388196.4291056322</v>
      </c>
      <c r="W37" s="871">
        <f t="shared" si="8"/>
        <v>629454.77393877646</v>
      </c>
      <c r="X37" s="8"/>
    </row>
    <row r="38" spans="1:25" ht="11.25" customHeight="1" x14ac:dyDescent="0.3">
      <c r="A38" s="170">
        <v>1993</v>
      </c>
      <c r="B38" s="303">
        <f t="shared" si="14"/>
        <v>5955869</v>
      </c>
      <c r="C38" s="302">
        <f t="shared" si="1"/>
        <v>3068657.9021601016</v>
      </c>
      <c r="D38" s="303">
        <f t="shared" si="9"/>
        <v>2375138.0978398984</v>
      </c>
      <c r="E38" s="313">
        <f t="shared" si="10"/>
        <v>297946</v>
      </c>
      <c r="F38" s="303">
        <f t="shared" si="2"/>
        <v>214127</v>
      </c>
      <c r="G38" s="316"/>
      <c r="H38" s="303">
        <f t="shared" si="15"/>
        <v>5416012.4001567699</v>
      </c>
      <c r="I38" s="303">
        <f t="shared" si="16"/>
        <v>2544390.7915303018</v>
      </c>
      <c r="J38" s="303">
        <f t="shared" si="17"/>
        <v>2362313.5455290596</v>
      </c>
      <c r="K38" s="303">
        <f t="shared" si="18"/>
        <v>296337.24130665063</v>
      </c>
      <c r="L38" s="303">
        <f t="shared" si="19"/>
        <v>212970.821790758</v>
      </c>
      <c r="N38" s="303">
        <f t="shared" si="20"/>
        <v>2648537.7581972913</v>
      </c>
      <c r="O38" s="303">
        <f t="shared" si="20"/>
        <v>2459007.7290256214</v>
      </c>
      <c r="P38" s="303">
        <f t="shared" si="20"/>
        <v>308466.91293385741</v>
      </c>
      <c r="R38" s="72">
        <f t="shared" si="21"/>
        <v>0.48901988446714556</v>
      </c>
      <c r="S38" s="72">
        <f t="shared" si="21"/>
        <v>0.45402549834532208</v>
      </c>
      <c r="T38" s="72">
        <f t="shared" si="21"/>
        <v>5.6954617187532405E-2</v>
      </c>
      <c r="U38" s="74"/>
      <c r="V38" s="871">
        <f t="shared" ref="V38:V43" si="22">R105+S105-P105*(D38/B38)*(R105+S105)/D105</f>
        <v>1613932.1832996241</v>
      </c>
      <c r="W38" s="871">
        <f>Q105*AG$109-P105*(D38/B38)*(1-(R105+S105)/D105)</f>
        <v>748381.36222943524</v>
      </c>
      <c r="X38" s="8"/>
    </row>
    <row r="39" spans="1:25" ht="11.25" customHeight="1" x14ac:dyDescent="0.3">
      <c r="A39" s="170">
        <v>1994</v>
      </c>
      <c r="B39" s="303">
        <f t="shared" si="14"/>
        <v>5964681</v>
      </c>
      <c r="C39" s="302">
        <f t="shared" si="1"/>
        <v>2883792.4790343074</v>
      </c>
      <c r="D39" s="303">
        <f t="shared" si="9"/>
        <v>2517857.5209656926</v>
      </c>
      <c r="E39" s="313">
        <f t="shared" si="10"/>
        <v>337749</v>
      </c>
      <c r="F39" s="303">
        <f t="shared" si="2"/>
        <v>225282</v>
      </c>
      <c r="G39" s="316"/>
      <c r="H39" s="303">
        <f t="shared" si="15"/>
        <v>5358453.6422309028</v>
      </c>
      <c r="I39" s="303">
        <f t="shared" si="16"/>
        <v>2300450.1417398853</v>
      </c>
      <c r="J39" s="303">
        <f t="shared" si="17"/>
        <v>2499154.727752794</v>
      </c>
      <c r="K39" s="303">
        <f t="shared" si="18"/>
        <v>335240.18063581269</v>
      </c>
      <c r="L39" s="303">
        <f t="shared" si="19"/>
        <v>223608.59210241085</v>
      </c>
      <c r="N39" s="303">
        <f t="shared" si="20"/>
        <v>2400628.5137013481</v>
      </c>
      <c r="O39" s="303">
        <f t="shared" si="20"/>
        <v>2607986.1461623725</v>
      </c>
      <c r="P39" s="303">
        <f t="shared" si="20"/>
        <v>349838.98236718262</v>
      </c>
      <c r="R39" s="72">
        <f t="shared" si="21"/>
        <v>0.44800770408492074</v>
      </c>
      <c r="S39" s="72">
        <f t="shared" si="21"/>
        <v>0.48670499369601355</v>
      </c>
      <c r="T39" s="72">
        <f t="shared" si="21"/>
        <v>6.5287302219065757E-2</v>
      </c>
      <c r="U39" s="74"/>
      <c r="V39" s="871">
        <f t="shared" si="22"/>
        <v>1685013.0749792892</v>
      </c>
      <c r="W39" s="871">
        <f>Q106*AG$109-P106*(D39/B39)*(1-(R106+S106)/D106)</f>
        <v>814141.65277350449</v>
      </c>
      <c r="X39" s="8"/>
    </row>
    <row r="40" spans="1:25" ht="11.25" customHeight="1" x14ac:dyDescent="0.3">
      <c r="A40" s="170">
        <v>1995</v>
      </c>
      <c r="B40" s="303">
        <f t="shared" si="14"/>
        <v>7997146</v>
      </c>
      <c r="C40" s="302">
        <f t="shared" si="1"/>
        <v>3976122.3494282085</v>
      </c>
      <c r="D40" s="303">
        <f t="shared" si="9"/>
        <v>3276711.6505717915</v>
      </c>
      <c r="E40" s="313">
        <f t="shared" si="10"/>
        <v>448078</v>
      </c>
      <c r="F40" s="303">
        <f t="shared" si="2"/>
        <v>296234</v>
      </c>
      <c r="G40" s="316"/>
      <c r="H40" s="303">
        <f t="shared" si="15"/>
        <v>7328344.8385081273</v>
      </c>
      <c r="I40" s="303">
        <f t="shared" si="16"/>
        <v>3336253.3755173362</v>
      </c>
      <c r="J40" s="303">
        <f t="shared" si="17"/>
        <v>3253134.9585745404</v>
      </c>
      <c r="K40" s="303">
        <f t="shared" si="18"/>
        <v>444853.9760017636</v>
      </c>
      <c r="L40" s="303">
        <f t="shared" si="19"/>
        <v>294102.52841448685</v>
      </c>
      <c r="N40" s="303">
        <f t="shared" si="20"/>
        <v>3475742.5358158182</v>
      </c>
      <c r="O40" s="303">
        <f t="shared" si="20"/>
        <v>3389148.9277290367</v>
      </c>
      <c r="P40" s="303">
        <f t="shared" si="20"/>
        <v>463453.3749632723</v>
      </c>
      <c r="R40" s="72">
        <f t="shared" si="21"/>
        <v>0.47428752500181132</v>
      </c>
      <c r="S40" s="72">
        <f t="shared" si="21"/>
        <v>0.4624712677165701</v>
      </c>
      <c r="T40" s="72">
        <f t="shared" si="21"/>
        <v>6.3241207281618611E-2</v>
      </c>
      <c r="U40" s="74"/>
      <c r="V40" s="871">
        <f t="shared" si="22"/>
        <v>2251560.3567121155</v>
      </c>
      <c r="W40" s="871">
        <f>Q107*AG$109-P107*(D40/B40)*(1-(R107+S107)/D107)</f>
        <v>1001574.6018624255</v>
      </c>
      <c r="X40" s="8"/>
    </row>
    <row r="41" spans="1:25" ht="11.25" customHeight="1" x14ac:dyDescent="0.3">
      <c r="A41" s="170">
        <v>1996</v>
      </c>
      <c r="B41" s="303">
        <f t="shared" si="14"/>
        <v>9120398</v>
      </c>
      <c r="C41" s="302">
        <f>T108+I108+(K108+L108)-Q108*AG$109</f>
        <v>4259826.8614993645</v>
      </c>
      <c r="D41" s="303">
        <f t="shared" si="9"/>
        <v>3884696.1385006355</v>
      </c>
      <c r="E41" s="313">
        <f t="shared" si="10"/>
        <v>572024</v>
      </c>
      <c r="F41" s="303">
        <f t="shared" si="2"/>
        <v>403851</v>
      </c>
      <c r="G41" s="316"/>
      <c r="H41" s="303">
        <f t="shared" si="15"/>
        <v>8366221.7000000002</v>
      </c>
      <c r="I41" s="303">
        <f t="shared" si="16"/>
        <v>3552962.4794181739</v>
      </c>
      <c r="J41" s="303">
        <f t="shared" si="17"/>
        <v>3846883.2108410778</v>
      </c>
      <c r="K41" s="303">
        <f t="shared" si="18"/>
        <v>566456.02212982369</v>
      </c>
      <c r="L41" s="303">
        <f t="shared" si="19"/>
        <v>399919.98761092441</v>
      </c>
      <c r="N41" s="303">
        <f t="shared" si="20"/>
        <v>3731326.3880486027</v>
      </c>
      <c r="O41" s="303">
        <f t="shared" si="20"/>
        <v>4040002.3697134652</v>
      </c>
      <c r="P41" s="303">
        <f t="shared" si="20"/>
        <v>594892.94223793177</v>
      </c>
      <c r="R41" s="72">
        <f t="shared" si="21"/>
        <v>0.44599898518689779</v>
      </c>
      <c r="S41" s="72">
        <f t="shared" si="21"/>
        <v>0.4828944910357163</v>
      </c>
      <c r="T41" s="72">
        <f t="shared" si="21"/>
        <v>7.1106523777385883E-2</v>
      </c>
      <c r="U41" s="74"/>
      <c r="V41" s="871">
        <f t="shared" si="22"/>
        <v>2658898.9039662778</v>
      </c>
      <c r="W41" s="871">
        <f>Q108*AG$109-P108*(D41/B41)*(1-(R108+S108)/D108)</f>
        <v>1187984.3068747995</v>
      </c>
      <c r="X41" s="8"/>
    </row>
    <row r="42" spans="1:25" ht="11.25" customHeight="1" x14ac:dyDescent="0.3">
      <c r="A42" s="170">
        <v>1997</v>
      </c>
      <c r="B42" s="303">
        <f t="shared" si="14"/>
        <v>11712916</v>
      </c>
      <c r="C42" s="302">
        <f t="shared" ref="C42:C59" si="23">T109+I109+(K109+L109)-Q109*AG109</f>
        <v>5729784.9656925034</v>
      </c>
      <c r="D42" s="303">
        <f>R109+S109*1+Q109*AG$109</f>
        <v>4709805.0343074966</v>
      </c>
      <c r="E42" s="313">
        <f t="shared" si="10"/>
        <v>717854</v>
      </c>
      <c r="F42" s="303">
        <f t="shared" si="2"/>
        <v>555472</v>
      </c>
      <c r="G42" s="316"/>
      <c r="H42" s="303">
        <f t="shared" si="15"/>
        <v>10672582.199999999</v>
      </c>
      <c r="I42" s="303">
        <f t="shared" si="16"/>
        <v>4761237.9129166072</v>
      </c>
      <c r="J42" s="303">
        <f t="shared" si="17"/>
        <v>4653295.8952741111</v>
      </c>
      <c r="K42" s="303">
        <f t="shared" si="18"/>
        <v>709241.0508022767</v>
      </c>
      <c r="L42" s="303">
        <f t="shared" si="19"/>
        <v>548807.34100700461</v>
      </c>
      <c r="N42" s="303">
        <f t="shared" si="20"/>
        <v>5019343.4471945018</v>
      </c>
      <c r="O42" s="303">
        <f t="shared" si="20"/>
        <v>4905549.9193682633</v>
      </c>
      <c r="P42" s="303">
        <f t="shared" si="20"/>
        <v>747688.83343723428</v>
      </c>
      <c r="R42" s="72">
        <f t="shared" si="21"/>
        <v>0.47030262715563831</v>
      </c>
      <c r="S42" s="72">
        <f t="shared" si="21"/>
        <v>0.45964039699485881</v>
      </c>
      <c r="T42" s="72">
        <f t="shared" si="21"/>
        <v>7.0056975849502878E-2</v>
      </c>
      <c r="U42" s="74"/>
      <c r="V42" s="871">
        <f t="shared" si="22"/>
        <v>3195806.8919899464</v>
      </c>
      <c r="W42" s="871">
        <f>Q109*AG$109-P109*(D42/B42)*(1-(R109+S109)/D109)</f>
        <v>1457489.0032841652</v>
      </c>
      <c r="X42" s="8"/>
    </row>
    <row r="43" spans="1:25" ht="11.25" customHeight="1" x14ac:dyDescent="0.3">
      <c r="A43" s="170">
        <v>1998</v>
      </c>
      <c r="B43" s="303">
        <f t="shared" si="14"/>
        <v>14166295</v>
      </c>
      <c r="C43" s="302">
        <f t="shared" si="23"/>
        <v>6996291.2002002001</v>
      </c>
      <c r="D43" s="302">
        <f t="shared" ref="D43:D56" si="24">R110+S110*1+Q110*AG110</f>
        <v>5620550.7997997999</v>
      </c>
      <c r="E43" s="313">
        <f t="shared" si="10"/>
        <v>829310</v>
      </c>
      <c r="F43" s="303">
        <f t="shared" si="2"/>
        <v>720143</v>
      </c>
      <c r="G43" s="316"/>
      <c r="H43" s="303">
        <f t="shared" si="15"/>
        <v>12925293.6</v>
      </c>
      <c r="I43" s="303">
        <f t="shared" si="16"/>
        <v>5825288.4528837446</v>
      </c>
      <c r="J43" s="303">
        <f t="shared" si="17"/>
        <v>5565679.0041479776</v>
      </c>
      <c r="K43" s="303">
        <f t="shared" si="18"/>
        <v>821213.68871790404</v>
      </c>
      <c r="L43" s="303">
        <f t="shared" si="19"/>
        <v>713112.45425037388</v>
      </c>
      <c r="N43" s="303">
        <f t="shared" si="20"/>
        <v>6165447.6509642685</v>
      </c>
      <c r="O43" s="303">
        <f t="shared" si="20"/>
        <v>5890678.6882215394</v>
      </c>
      <c r="P43" s="303">
        <f t="shared" si="20"/>
        <v>869167.26081419154</v>
      </c>
      <c r="R43" s="72">
        <f t="shared" si="21"/>
        <v>0.47700639086173396</v>
      </c>
      <c r="S43" s="72">
        <f t="shared" si="21"/>
        <v>0.45574815323510637</v>
      </c>
      <c r="T43" s="72">
        <f t="shared" si="21"/>
        <v>6.724545590315964E-2</v>
      </c>
      <c r="U43" s="74"/>
      <c r="V43" s="871">
        <f t="shared" si="22"/>
        <v>3794752.1377418204</v>
      </c>
      <c r="W43" s="871">
        <f>Q110*AG110-P110*(D43/B43)*(1-(R110+S110)/D110)</f>
        <v>1770926.8664061571</v>
      </c>
      <c r="X43" s="8"/>
      <c r="Y43" s="879"/>
    </row>
    <row r="44" spans="1:25" ht="11.25" customHeight="1" x14ac:dyDescent="0.3">
      <c r="A44" s="170">
        <v>1999</v>
      </c>
      <c r="B44" s="303">
        <f t="shared" si="14"/>
        <v>17712163</v>
      </c>
      <c r="C44" s="302">
        <f t="shared" si="23"/>
        <v>9038913.5019577127</v>
      </c>
      <c r="D44" s="303">
        <f t="shared" si="24"/>
        <v>6742554.4980422864</v>
      </c>
      <c r="E44" s="313">
        <f t="shared" si="10"/>
        <v>910329</v>
      </c>
      <c r="F44" s="303">
        <f t="shared" si="2"/>
        <v>1020366</v>
      </c>
      <c r="G44" s="316"/>
      <c r="H44" s="303">
        <f t="shared" si="15"/>
        <v>16175301.1</v>
      </c>
      <c r="I44" s="303">
        <f t="shared" si="16"/>
        <v>7562899.8711273661</v>
      </c>
      <c r="J44" s="303">
        <f t="shared" si="17"/>
        <v>6695251.2616854236</v>
      </c>
      <c r="K44" s="303">
        <f t="shared" si="18"/>
        <v>903942.47277771216</v>
      </c>
      <c r="L44" s="303">
        <f t="shared" si="19"/>
        <v>1013207.494409497</v>
      </c>
      <c r="N44" s="303">
        <f t="shared" si="20"/>
        <v>8068290.9489181982</v>
      </c>
      <c r="O44" s="303">
        <f t="shared" si="20"/>
        <v>7142661.6874325024</v>
      </c>
      <c r="P44" s="303">
        <f t="shared" si="20"/>
        <v>964348.46364929806</v>
      </c>
      <c r="R44" s="72">
        <f t="shared" si="21"/>
        <v>0.49880313813250737</v>
      </c>
      <c r="S44" s="72">
        <f t="shared" si="21"/>
        <v>0.44157828304244073</v>
      </c>
      <c r="T44" s="72">
        <f t="shared" si="21"/>
        <v>5.9618578825051859E-2</v>
      </c>
      <c r="U44" s="74"/>
      <c r="V44" s="871">
        <f t="shared" ref="V44:V60" si="25">R111+S111-P111*(D44/B44)*(R111+S111)/D111</f>
        <v>4498443.8770672418</v>
      </c>
      <c r="W44" s="871">
        <f t="shared" ref="W44:W60" si="26">Q111*AG111-P111*(D44/B44)*(1-(R111+S111)/D111)</f>
        <v>2196807.3846181822</v>
      </c>
      <c r="X44" s="8"/>
    </row>
    <row r="45" spans="1:25" ht="11.25" customHeight="1" x14ac:dyDescent="0.3">
      <c r="A45" s="170">
        <v>2000</v>
      </c>
      <c r="B45" s="303">
        <f t="shared" si="14"/>
        <v>15816582</v>
      </c>
      <c r="C45" s="302">
        <f t="shared" si="23"/>
        <v>7340651.1217391305</v>
      </c>
      <c r="D45" s="303">
        <f t="shared" si="24"/>
        <v>6707593.8782608695</v>
      </c>
      <c r="E45" s="313">
        <f t="shared" si="10"/>
        <v>840661</v>
      </c>
      <c r="F45" s="303">
        <f t="shared" si="2"/>
        <v>927676</v>
      </c>
      <c r="G45" s="316"/>
      <c r="H45" s="303">
        <f t="shared" si="15"/>
        <v>14421766.6</v>
      </c>
      <c r="I45" s="303">
        <f t="shared" si="16"/>
        <v>6020171.7661607573</v>
      </c>
      <c r="J45" s="303">
        <f t="shared" si="17"/>
        <v>6648766.5938412324</v>
      </c>
      <c r="K45" s="303">
        <f t="shared" si="18"/>
        <v>833288.19171061111</v>
      </c>
      <c r="L45" s="303">
        <f t="shared" si="19"/>
        <v>919540.04828739865</v>
      </c>
      <c r="N45" s="303">
        <f t="shared" si="20"/>
        <v>6430162.5936255613</v>
      </c>
      <c r="O45" s="303">
        <f t="shared" si="20"/>
        <v>7101566.5177157838</v>
      </c>
      <c r="P45" s="303">
        <f t="shared" si="20"/>
        <v>890037.4886586545</v>
      </c>
      <c r="R45" s="72">
        <f t="shared" si="21"/>
        <v>0.44586511292074033</v>
      </c>
      <c r="S45" s="72">
        <f t="shared" si="21"/>
        <v>0.49242001446034939</v>
      </c>
      <c r="T45" s="72">
        <f t="shared" si="21"/>
        <v>6.171487261891026E-2</v>
      </c>
      <c r="U45" s="74"/>
      <c r="V45" s="871">
        <f t="shared" si="25"/>
        <v>4389559.8043602239</v>
      </c>
      <c r="W45" s="871">
        <f t="shared" si="26"/>
        <v>2259206.7894810089</v>
      </c>
      <c r="X45" s="8"/>
    </row>
    <row r="46" spans="1:25" ht="11.25" customHeight="1" x14ac:dyDescent="0.3">
      <c r="A46" s="170">
        <v>2001</v>
      </c>
      <c r="B46" s="303">
        <f t="shared" si="14"/>
        <v>14102121</v>
      </c>
      <c r="C46" s="302">
        <f t="shared" si="23"/>
        <v>6262911.036818889</v>
      </c>
      <c r="D46" s="303">
        <f t="shared" si="24"/>
        <v>6308500.8896265561</v>
      </c>
      <c r="E46" s="313">
        <f t="shared" si="10"/>
        <v>758691.11140965193</v>
      </c>
      <c r="F46" s="303">
        <f t="shared" si="2"/>
        <v>772017.96214490384</v>
      </c>
      <c r="G46" s="316"/>
      <c r="H46" s="303">
        <f t="shared" si="15"/>
        <v>12706522.4</v>
      </c>
      <c r="I46" s="303">
        <f t="shared" si="16"/>
        <v>4953418.8209864059</v>
      </c>
      <c r="J46" s="303">
        <f t="shared" si="17"/>
        <v>6239207.9119317885</v>
      </c>
      <c r="K46" s="303">
        <f t="shared" si="18"/>
        <v>750357.59966416354</v>
      </c>
      <c r="L46" s="303">
        <f t="shared" si="19"/>
        <v>763538.06741764268</v>
      </c>
      <c r="N46" s="303">
        <f t="shared" si="20"/>
        <v>5270100.4583697775</v>
      </c>
      <c r="O46" s="303">
        <f t="shared" si="20"/>
        <v>6638092.5306025725</v>
      </c>
      <c r="P46" s="303">
        <f t="shared" si="20"/>
        <v>798329.41102765012</v>
      </c>
      <c r="R46" s="72">
        <f t="shared" si="21"/>
        <v>0.41475553203839449</v>
      </c>
      <c r="S46" s="72">
        <f t="shared" si="21"/>
        <v>0.52241615145640263</v>
      </c>
      <c r="T46" s="72">
        <f t="shared" si="21"/>
        <v>6.2828316505202875E-2</v>
      </c>
      <c r="U46" s="74"/>
      <c r="V46" s="871">
        <f t="shared" si="25"/>
        <v>4020224.11669015</v>
      </c>
      <c r="W46" s="871">
        <f t="shared" si="26"/>
        <v>2218983.795241639</v>
      </c>
      <c r="X46" s="8"/>
    </row>
    <row r="47" spans="1:25" ht="11.25" customHeight="1" x14ac:dyDescent="0.3">
      <c r="A47" s="170">
        <v>2002</v>
      </c>
      <c r="B47" s="303">
        <f t="shared" si="14"/>
        <v>11155804</v>
      </c>
      <c r="C47" s="302">
        <f t="shared" si="23"/>
        <v>4598771.7346018907</v>
      </c>
      <c r="D47" s="303">
        <f t="shared" si="24"/>
        <v>5475049.9761467893</v>
      </c>
      <c r="E47" s="313">
        <f t="shared" si="10"/>
        <v>613285.44703250309</v>
      </c>
      <c r="F47" s="303">
        <f t="shared" si="2"/>
        <v>468696.84221881628</v>
      </c>
      <c r="G47" s="316"/>
      <c r="H47" s="303">
        <f t="shared" si="15"/>
        <v>9960966.6999999993</v>
      </c>
      <c r="I47" s="303">
        <f t="shared" si="16"/>
        <v>3499116.1087395372</v>
      </c>
      <c r="J47" s="303">
        <f t="shared" si="17"/>
        <v>5395574.3228902174</v>
      </c>
      <c r="K47" s="303">
        <f t="shared" si="18"/>
        <v>604383.0147719743</v>
      </c>
      <c r="L47" s="303">
        <f t="shared" si="19"/>
        <v>461893.2535982703</v>
      </c>
      <c r="N47" s="303">
        <f t="shared" si="20"/>
        <v>3669260.9268950438</v>
      </c>
      <c r="O47" s="303">
        <f t="shared" si="20"/>
        <v>5657934.5828769524</v>
      </c>
      <c r="P47" s="303">
        <f t="shared" si="20"/>
        <v>633771.19022800319</v>
      </c>
      <c r="R47" s="72">
        <f t="shared" si="21"/>
        <v>0.36836393870235951</v>
      </c>
      <c r="S47" s="588">
        <f t="shared" si="21"/>
        <v>0.56801059106812923</v>
      </c>
      <c r="T47" s="72">
        <f t="shared" si="21"/>
        <v>6.3625470229511288E-2</v>
      </c>
      <c r="U47" s="74"/>
      <c r="V47" s="871">
        <f t="shared" si="25"/>
        <v>3308725.4832880031</v>
      </c>
      <c r="W47" s="871">
        <f t="shared" si="26"/>
        <v>2086848.8396022138</v>
      </c>
      <c r="X47" s="8"/>
    </row>
    <row r="48" spans="1:25" ht="11.25" customHeight="1" x14ac:dyDescent="0.3">
      <c r="A48" s="170">
        <v>2003</v>
      </c>
      <c r="B48" s="303">
        <f t="shared" si="14"/>
        <v>14891226</v>
      </c>
      <c r="C48" s="302">
        <f t="shared" si="23"/>
        <v>6192583.370883109</v>
      </c>
      <c r="D48" s="303">
        <f t="shared" si="24"/>
        <v>7121336.3527717777</v>
      </c>
      <c r="E48" s="313">
        <f t="shared" si="10"/>
        <v>810185.1212809619</v>
      </c>
      <c r="F48" s="303">
        <f t="shared" si="2"/>
        <v>767121.15506415069</v>
      </c>
      <c r="G48" s="316"/>
      <c r="H48" s="303">
        <f t="shared" si="15"/>
        <v>13417014.1</v>
      </c>
      <c r="I48" s="303">
        <f t="shared" si="16"/>
        <v>4849343.8428889662</v>
      </c>
      <c r="J48" s="303">
        <f t="shared" si="17"/>
        <v>7014112.9210547367</v>
      </c>
      <c r="K48" s="303">
        <f t="shared" si="18"/>
        <v>797986.45171580091</v>
      </c>
      <c r="L48" s="303">
        <f t="shared" si="19"/>
        <v>755570.8843404958</v>
      </c>
      <c r="N48" s="303">
        <f t="shared" si="20"/>
        <v>5138728.1534635415</v>
      </c>
      <c r="O48" s="303">
        <f t="shared" si="20"/>
        <v>7432679.699924848</v>
      </c>
      <c r="P48" s="303">
        <f t="shared" si="20"/>
        <v>845606.24661161029</v>
      </c>
      <c r="R48" s="72">
        <f t="shared" si="21"/>
        <v>0.38300087598950511</v>
      </c>
      <c r="S48" s="588">
        <f t="shared" si="21"/>
        <v>0.55397420353943339</v>
      </c>
      <c r="T48" s="72">
        <f t="shared" si="21"/>
        <v>6.3024920471061466E-2</v>
      </c>
      <c r="U48" s="74"/>
      <c r="V48" s="871">
        <f t="shared" si="25"/>
        <v>4295589.0734020229</v>
      </c>
      <c r="W48" s="871">
        <f t="shared" si="26"/>
        <v>2718523.8476527133</v>
      </c>
      <c r="X48" s="8"/>
      <c r="Y48" s="879"/>
    </row>
    <row r="49" spans="1:25" ht="11.25" customHeight="1" x14ac:dyDescent="0.3">
      <c r="A49" s="170">
        <v>2004</v>
      </c>
      <c r="B49" s="303">
        <f t="shared" si="14"/>
        <v>16928109</v>
      </c>
      <c r="C49" s="302">
        <f t="shared" si="23"/>
        <v>6997697.5941592995</v>
      </c>
      <c r="D49" s="303">
        <f t="shared" si="24"/>
        <v>8042149.0150187742</v>
      </c>
      <c r="E49" s="313">
        <f t="shared" si="10"/>
        <v>925219.77248859534</v>
      </c>
      <c r="F49" s="303">
        <f t="shared" si="2"/>
        <v>963042.61833333038</v>
      </c>
      <c r="G49" s="316"/>
      <c r="H49" s="303">
        <f t="shared" si="15"/>
        <v>15194214.300000001</v>
      </c>
      <c r="I49" s="303">
        <f t="shared" si="16"/>
        <v>5444420.8852578858</v>
      </c>
      <c r="J49" s="303">
        <f t="shared" si="17"/>
        <v>7895875.4378380924</v>
      </c>
      <c r="K49" s="303">
        <f t="shared" si="18"/>
        <v>908391.53347593045</v>
      </c>
      <c r="L49" s="303">
        <f t="shared" si="19"/>
        <v>945526.44342809112</v>
      </c>
      <c r="N49" s="303">
        <f t="shared" si="20"/>
        <v>5805706.3571541049</v>
      </c>
      <c r="O49" s="303">
        <f t="shared" si="20"/>
        <v>8419836.5980263874</v>
      </c>
      <c r="P49" s="303">
        <f t="shared" si="20"/>
        <v>968671.34481950849</v>
      </c>
      <c r="R49" s="72">
        <f t="shared" si="21"/>
        <v>0.38209980736905264</v>
      </c>
      <c r="S49" s="588">
        <f t="shared" si="21"/>
        <v>0.55414754799307964</v>
      </c>
      <c r="T49" s="72">
        <f t="shared" si="21"/>
        <v>6.3752644637867742E-2</v>
      </c>
      <c r="U49" s="74"/>
      <c r="V49" s="871">
        <f t="shared" si="25"/>
        <v>4635659.0248374734</v>
      </c>
      <c r="W49" s="871">
        <f t="shared" si="26"/>
        <v>3260216.4130006176</v>
      </c>
      <c r="X49" s="8"/>
    </row>
    <row r="50" spans="1:25" ht="11.25" customHeight="1" x14ac:dyDescent="0.3">
      <c r="A50" s="170">
        <v>2005</v>
      </c>
      <c r="B50" s="303">
        <f t="shared" si="14"/>
        <v>18482788</v>
      </c>
      <c r="C50" s="302">
        <f t="shared" si="23"/>
        <v>7741811.2282450516</v>
      </c>
      <c r="D50" s="303">
        <f t="shared" si="24"/>
        <v>8694893.0061728396</v>
      </c>
      <c r="E50" s="313">
        <f t="shared" si="10"/>
        <v>1010274.0667837143</v>
      </c>
      <c r="F50" s="303">
        <f t="shared" si="2"/>
        <v>1035809.6987983957</v>
      </c>
      <c r="G50" s="316"/>
      <c r="H50" s="303">
        <f t="shared" si="15"/>
        <v>16593996.699999999</v>
      </c>
      <c r="I50" s="303">
        <f t="shared" si="16"/>
        <v>6045195.8906551301</v>
      </c>
      <c r="J50" s="303">
        <f t="shared" si="17"/>
        <v>8539325.2708521616</v>
      </c>
      <c r="K50" s="303">
        <f t="shared" si="18"/>
        <v>992198.39310823893</v>
      </c>
      <c r="L50" s="303">
        <f t="shared" si="19"/>
        <v>1017277.1453844708</v>
      </c>
      <c r="N50" s="303">
        <f t="shared" si="20"/>
        <v>6439992.7281646933</v>
      </c>
      <c r="O50" s="303">
        <f t="shared" si="20"/>
        <v>9097007.5482138265</v>
      </c>
      <c r="P50" s="303">
        <f t="shared" si="20"/>
        <v>1056996.423621482</v>
      </c>
      <c r="R50" s="72">
        <f t="shared" si="21"/>
        <v>0.38809172043313073</v>
      </c>
      <c r="S50" s="588">
        <f t="shared" si="21"/>
        <v>0.54821076035370231</v>
      </c>
      <c r="T50" s="72">
        <f t="shared" si="21"/>
        <v>6.3697519213167131E-2</v>
      </c>
      <c r="U50" s="74"/>
      <c r="V50" s="871">
        <f t="shared" si="25"/>
        <v>5089121.4487068169</v>
      </c>
      <c r="W50" s="871">
        <f t="shared" si="26"/>
        <v>3450203.8221453452</v>
      </c>
      <c r="X50" s="8"/>
    </row>
    <row r="51" spans="1:25" ht="11.25" customHeight="1" x14ac:dyDescent="0.3">
      <c r="A51" s="170">
        <v>2006</v>
      </c>
      <c r="B51" s="303">
        <f t="shared" si="14"/>
        <v>21534805</v>
      </c>
      <c r="C51" s="302">
        <f t="shared" si="23"/>
        <v>9571033.3544051368</v>
      </c>
      <c r="D51" s="303">
        <f t="shared" si="24"/>
        <v>9473586.5503731351</v>
      </c>
      <c r="E51" s="313">
        <f t="shared" si="10"/>
        <v>1179928.4548925846</v>
      </c>
      <c r="F51" s="303">
        <f t="shared" si="2"/>
        <v>1310256.6403291449</v>
      </c>
      <c r="G51" s="316"/>
      <c r="H51" s="303">
        <f t="shared" si="15"/>
        <v>19306333.899999999</v>
      </c>
      <c r="I51" s="303">
        <f t="shared" si="16"/>
        <v>7585934.9064878719</v>
      </c>
      <c r="J51" s="303">
        <f t="shared" si="17"/>
        <v>9280870.4110318609</v>
      </c>
      <c r="K51" s="303">
        <f t="shared" si="18"/>
        <v>1155925.7970484064</v>
      </c>
      <c r="L51" s="303">
        <f t="shared" si="19"/>
        <v>1283602.7854318614</v>
      </c>
      <c r="N51" s="303">
        <f t="shared" si="20"/>
        <v>8126215.2399275545</v>
      </c>
      <c r="O51" s="303">
        <f t="shared" si="20"/>
        <v>9941866.2964558601</v>
      </c>
      <c r="P51" s="303">
        <f t="shared" si="20"/>
        <v>1238252.363616585</v>
      </c>
      <c r="R51" s="72">
        <f t="shared" si="21"/>
        <v>0.42090928718100928</v>
      </c>
      <c r="S51" s="588">
        <f t="shared" si="21"/>
        <v>0.51495360786523336</v>
      </c>
      <c r="T51" s="72">
        <f t="shared" si="21"/>
        <v>6.4137104953757434E-2</v>
      </c>
      <c r="U51" s="74"/>
      <c r="V51" s="871">
        <f t="shared" si="25"/>
        <v>5192383.3188215755</v>
      </c>
      <c r="W51" s="871">
        <f t="shared" si="26"/>
        <v>4088487.0922102854</v>
      </c>
      <c r="X51" s="8"/>
    </row>
    <row r="52" spans="1:25" ht="11.25" customHeight="1" x14ac:dyDescent="0.3">
      <c r="A52" s="170">
        <v>2007</v>
      </c>
      <c r="B52" s="303">
        <f t="shared" si="14"/>
        <v>22374961</v>
      </c>
      <c r="C52" s="302">
        <f t="shared" si="23"/>
        <v>9048718.6161063462</v>
      </c>
      <c r="D52" s="303">
        <f t="shared" si="24"/>
        <v>10668617.779327318</v>
      </c>
      <c r="E52" s="313">
        <f t="shared" si="10"/>
        <v>1245048.3492098199</v>
      </c>
      <c r="F52" s="303">
        <f t="shared" si="2"/>
        <v>1412576.2553565167</v>
      </c>
      <c r="G52" s="316"/>
      <c r="H52" s="303">
        <f t="shared" si="15"/>
        <v>20156152</v>
      </c>
      <c r="I52" s="303">
        <f t="shared" si="16"/>
        <v>7015738.2108447356</v>
      </c>
      <c r="J52" s="303">
        <f t="shared" si="17"/>
        <v>10519848.591988394</v>
      </c>
      <c r="K52" s="303">
        <f t="shared" si="18"/>
        <v>1227686.6970313599</v>
      </c>
      <c r="L52" s="303">
        <f t="shared" si="19"/>
        <v>1392878.5001355119</v>
      </c>
      <c r="N52" s="303">
        <f t="shared" si="20"/>
        <v>7536546.6356931711</v>
      </c>
      <c r="O52" s="303">
        <f t="shared" si="20"/>
        <v>11300782.202990083</v>
      </c>
      <c r="P52" s="303">
        <f t="shared" si="20"/>
        <v>1318823.1613167475</v>
      </c>
      <c r="R52" s="72">
        <f t="shared" si="21"/>
        <v>0.37390800762433085</v>
      </c>
      <c r="S52" s="588">
        <f t="shared" si="21"/>
        <v>0.56066168795462956</v>
      </c>
      <c r="T52" s="72">
        <f t="shared" si="21"/>
        <v>6.543030442103967E-2</v>
      </c>
      <c r="U52" s="74"/>
      <c r="V52" s="871">
        <f t="shared" si="25"/>
        <v>5837844.5247983895</v>
      </c>
      <c r="W52" s="871">
        <f t="shared" si="26"/>
        <v>4682004.0671900036</v>
      </c>
      <c r="X52" s="8"/>
    </row>
    <row r="53" spans="1:25" ht="11.25" customHeight="1" x14ac:dyDescent="0.3">
      <c r="A53" s="170">
        <v>2008</v>
      </c>
      <c r="B53" s="303">
        <f t="shared" si="14"/>
        <v>13307678</v>
      </c>
      <c r="C53" s="302">
        <f t="shared" si="23"/>
        <v>5217613.9510357715</v>
      </c>
      <c r="D53" s="303">
        <f t="shared" si="24"/>
        <v>6546315.5150265172</v>
      </c>
      <c r="E53" s="313">
        <f t="shared" si="10"/>
        <v>940816.42079435929</v>
      </c>
      <c r="F53" s="303">
        <f t="shared" si="2"/>
        <v>602932.11314335279</v>
      </c>
      <c r="G53" s="316"/>
      <c r="H53" s="303">
        <f t="shared" si="15"/>
        <v>11829727</v>
      </c>
      <c r="I53" s="303">
        <f t="shared" si="16"/>
        <v>3856172.29737313</v>
      </c>
      <c r="J53" s="303">
        <f t="shared" si="17"/>
        <v>6452038.5183355585</v>
      </c>
      <c r="K53" s="303">
        <f t="shared" si="18"/>
        <v>927267.2195090818</v>
      </c>
      <c r="L53" s="303">
        <f t="shared" si="19"/>
        <v>594248.96478223102</v>
      </c>
      <c r="N53" s="303">
        <f t="shared" si="20"/>
        <v>4060126.8054548581</v>
      </c>
      <c r="O53" s="303">
        <f t="shared" si="20"/>
        <v>6793289.4378102701</v>
      </c>
      <c r="P53" s="303">
        <f t="shared" si="20"/>
        <v>976310.75673487363</v>
      </c>
      <c r="R53" s="72">
        <f t="shared" si="21"/>
        <v>0.34321390556644782</v>
      </c>
      <c r="S53" s="588">
        <f t="shared" si="21"/>
        <v>0.57425580808502763</v>
      </c>
      <c r="T53" s="72">
        <f t="shared" si="21"/>
        <v>8.2530286348524662E-2</v>
      </c>
      <c r="U53" s="74"/>
      <c r="V53" s="871">
        <f t="shared" si="25"/>
        <v>3754297.8673414243</v>
      </c>
      <c r="W53" s="871">
        <f t="shared" si="26"/>
        <v>2697740.6509941341</v>
      </c>
      <c r="X53" s="8"/>
    </row>
    <row r="54" spans="1:25" ht="11.25" customHeight="1" x14ac:dyDescent="0.3">
      <c r="A54" s="170">
        <v>2009</v>
      </c>
      <c r="B54" s="303">
        <f t="shared" si="14"/>
        <v>17144330</v>
      </c>
      <c r="C54" s="302">
        <f t="shared" si="23"/>
        <v>6982915.6757535897</v>
      </c>
      <c r="D54" s="303">
        <f t="shared" si="24"/>
        <v>8327499.3055162653</v>
      </c>
      <c r="E54" s="313">
        <f t="shared" si="10"/>
        <v>1041414.6371468399</v>
      </c>
      <c r="F54" s="303">
        <f t="shared" si="2"/>
        <v>792500.38158330508</v>
      </c>
      <c r="G54" s="316"/>
      <c r="H54" s="303">
        <f t="shared" si="15"/>
        <v>15317930.800000001</v>
      </c>
      <c r="I54" s="303">
        <f t="shared" si="16"/>
        <v>5317255.7659798143</v>
      </c>
      <c r="J54" s="303">
        <f t="shared" si="17"/>
        <v>8195769.9728647955</v>
      </c>
      <c r="K54" s="303">
        <f t="shared" si="18"/>
        <v>1024940.921553258</v>
      </c>
      <c r="L54" s="303">
        <f t="shared" si="19"/>
        <v>779964.13960213191</v>
      </c>
      <c r="N54" s="303">
        <f t="shared" si="20"/>
        <v>5602527.3528141882</v>
      </c>
      <c r="O54" s="303">
        <f t="shared" si="20"/>
        <v>8635474.2880958728</v>
      </c>
      <c r="P54" s="303">
        <f t="shared" si="20"/>
        <v>1079929.1590899387</v>
      </c>
      <c r="R54" s="72">
        <f t="shared" si="21"/>
        <v>0.36574961892465191</v>
      </c>
      <c r="S54" s="72">
        <f t="shared" si="21"/>
        <v>0.56374939937030344</v>
      </c>
      <c r="T54" s="72">
        <f t="shared" si="21"/>
        <v>7.0500981705044569E-2</v>
      </c>
      <c r="U54" s="74"/>
      <c r="V54" s="871">
        <f t="shared" si="25"/>
        <v>4663841.6886493182</v>
      </c>
      <c r="W54" s="871">
        <f t="shared" si="26"/>
        <v>3531928.2842154782</v>
      </c>
      <c r="X54" s="8"/>
      <c r="Y54" s="879"/>
    </row>
    <row r="55" spans="1:25" ht="11.25" customHeight="1" x14ac:dyDescent="0.3">
      <c r="A55" s="170">
        <v>2010</v>
      </c>
      <c r="B55" s="303">
        <f t="shared" si="14"/>
        <v>20022904</v>
      </c>
      <c r="C55" s="302">
        <f t="shared" si="23"/>
        <v>8441424.0768012702</v>
      </c>
      <c r="D55" s="303">
        <f t="shared" si="24"/>
        <v>9500048.0906842537</v>
      </c>
      <c r="E55" s="313">
        <f t="shared" si="10"/>
        <v>1187018.0948979415</v>
      </c>
      <c r="F55" s="303">
        <f t="shared" si="2"/>
        <v>894413.73761653528</v>
      </c>
      <c r="G55" s="316"/>
      <c r="H55" s="303">
        <f t="shared" si="15"/>
        <v>17879508.600000001</v>
      </c>
      <c r="I55" s="303">
        <f t="shared" si="16"/>
        <v>6523201.6516751256</v>
      </c>
      <c r="J55" s="303">
        <f t="shared" si="17"/>
        <v>9315343.3634637594</v>
      </c>
      <c r="K55" s="303">
        <f t="shared" si="18"/>
        <v>1163939.4903128857</v>
      </c>
      <c r="L55" s="303">
        <f t="shared" si="19"/>
        <v>877024.09454823087</v>
      </c>
      <c r="N55" s="303">
        <f t="shared" si="20"/>
        <v>6859682.1831104867</v>
      </c>
      <c r="O55" s="303">
        <f t="shared" si="20"/>
        <v>9795848.4670636524</v>
      </c>
      <c r="P55" s="303">
        <f t="shared" si="20"/>
        <v>1223977.9498258629</v>
      </c>
      <c r="R55" s="72">
        <f t="shared" si="21"/>
        <v>0.38366167306804427</v>
      </c>
      <c r="S55" s="72">
        <f t="shared" si="21"/>
        <v>0.54788130290469228</v>
      </c>
      <c r="T55" s="72">
        <f t="shared" si="21"/>
        <v>6.8457024027263405E-2</v>
      </c>
      <c r="U55" s="74"/>
      <c r="V55" s="871">
        <f t="shared" si="25"/>
        <v>5107703.8994905213</v>
      </c>
      <c r="W55" s="871">
        <f t="shared" si="26"/>
        <v>4207639.4639732372</v>
      </c>
      <c r="X55" s="8"/>
    </row>
    <row r="56" spans="1:25" ht="11.25" customHeight="1" x14ac:dyDescent="0.3">
      <c r="A56" s="170">
        <v>2011</v>
      </c>
      <c r="B56" s="303">
        <f t="shared" si="14"/>
        <v>19044019</v>
      </c>
      <c r="C56" s="302">
        <f t="shared" si="23"/>
        <v>7952297.0316191297</v>
      </c>
      <c r="D56" s="303">
        <f t="shared" si="24"/>
        <v>9175233.0012406949</v>
      </c>
      <c r="E56" s="313">
        <f t="shared" si="10"/>
        <v>1156746.8053464801</v>
      </c>
      <c r="F56" s="303">
        <f t="shared" si="2"/>
        <v>759742.1617936939</v>
      </c>
      <c r="G56" s="316"/>
      <c r="H56" s="303">
        <f t="shared" si="15"/>
        <v>16791118.399999999</v>
      </c>
      <c r="I56" s="303">
        <f t="shared" si="16"/>
        <v>5961779.4612615993</v>
      </c>
      <c r="J56" s="303">
        <f t="shared" si="17"/>
        <v>8958185.9602668993</v>
      </c>
      <c r="K56" s="303">
        <f t="shared" si="18"/>
        <v>1129383.0892182472</v>
      </c>
      <c r="L56" s="303">
        <f t="shared" si="19"/>
        <v>741769.88925325184</v>
      </c>
      <c r="N56" s="303">
        <f t="shared" si="20"/>
        <v>6237321.3929338511</v>
      </c>
      <c r="O56" s="303">
        <f t="shared" si="20"/>
        <v>9372216.0128392968</v>
      </c>
      <c r="P56" s="303">
        <f t="shared" si="20"/>
        <v>1181580.9942268496</v>
      </c>
      <c r="R56" s="72">
        <f t="shared" si="21"/>
        <v>0.37146551196576943</v>
      </c>
      <c r="S56" s="72">
        <f t="shared" si="21"/>
        <v>0.55816508403867238</v>
      </c>
      <c r="T56" s="72">
        <f t="shared" si="21"/>
        <v>7.0369403995558133E-2</v>
      </c>
      <c r="U56" s="74"/>
      <c r="V56" s="871">
        <f t="shared" si="25"/>
        <v>4628602.1618321566</v>
      </c>
      <c r="W56" s="871">
        <f t="shared" si="26"/>
        <v>4329583.7984347427</v>
      </c>
      <c r="X56" s="8"/>
    </row>
    <row r="57" spans="1:25" ht="11.25" customHeight="1" x14ac:dyDescent="0.3">
      <c r="A57" s="170">
        <v>2012</v>
      </c>
      <c r="B57" s="303">
        <f t="shared" si="14"/>
        <v>21895328</v>
      </c>
      <c r="C57" s="302">
        <f t="shared" si="23"/>
        <v>9523417.6593344565</v>
      </c>
      <c r="D57" s="303">
        <f>R124+S124*1+Q124*AG124</f>
        <v>10216473.425262395</v>
      </c>
      <c r="E57" s="313">
        <f t="shared" si="10"/>
        <v>1299879.0156221222</v>
      </c>
      <c r="F57" s="303">
        <f t="shared" si="2"/>
        <v>855557.89978102595</v>
      </c>
      <c r="G57" s="316"/>
      <c r="H57" s="303">
        <f t="shared" si="15"/>
        <v>19231712.699999999</v>
      </c>
      <c r="I57" s="303">
        <f t="shared" si="16"/>
        <v>7200760.9414477637</v>
      </c>
      <c r="J57" s="303">
        <f t="shared" si="17"/>
        <v>9934916.7216201052</v>
      </c>
      <c r="K57" s="303">
        <f t="shared" si="18"/>
        <v>1264055.5337279332</v>
      </c>
      <c r="L57" s="303">
        <f t="shared" si="19"/>
        <v>831979.50320419739</v>
      </c>
      <c r="N57" s="303">
        <f t="shared" si="20"/>
        <v>7526357.2664967142</v>
      </c>
      <c r="O57" s="303">
        <f t="shared" si="20"/>
        <v>10384143.185396655</v>
      </c>
      <c r="P57" s="303">
        <f t="shared" si="20"/>
        <v>1321212.2481066301</v>
      </c>
      <c r="R57" s="72">
        <f t="shared" si="21"/>
        <v>0.39135137800268377</v>
      </c>
      <c r="S57" s="72">
        <f t="shared" si="21"/>
        <v>0.53994895552888822</v>
      </c>
      <c r="T57" s="72">
        <f t="shared" si="21"/>
        <v>6.8699666468427956E-2</v>
      </c>
      <c r="U57" s="74"/>
      <c r="V57" s="871">
        <f t="shared" si="25"/>
        <v>4950153.4176316895</v>
      </c>
      <c r="W57" s="871">
        <f t="shared" si="26"/>
        <v>4984763.3039884157</v>
      </c>
      <c r="X57" s="8"/>
    </row>
    <row r="58" spans="1:25" ht="11.25" customHeight="1" x14ac:dyDescent="0.3">
      <c r="A58" s="170">
        <v>2013</v>
      </c>
      <c r="B58" s="303">
        <f t="shared" si="14"/>
        <v>28257477</v>
      </c>
      <c r="C58" s="302">
        <f t="shared" si="23"/>
        <v>12698290.974981599</v>
      </c>
      <c r="D58" s="303">
        <f>R125+S125*1+Q125*AG125</f>
        <v>12564078.065967016</v>
      </c>
      <c r="E58" s="313">
        <f t="shared" si="10"/>
        <v>1649851.6322723406</v>
      </c>
      <c r="F58" s="303">
        <f t="shared" si="2"/>
        <v>1345256.3267790452</v>
      </c>
      <c r="G58" s="316"/>
      <c r="H58" s="303">
        <f t="shared" si="15"/>
        <v>24984642.899999999</v>
      </c>
      <c r="I58" s="303">
        <f t="shared" si="16"/>
        <v>9794557.5190629251</v>
      </c>
      <c r="J58" s="303">
        <f t="shared" si="17"/>
        <v>12266028.457267707</v>
      </c>
      <c r="K58" s="303">
        <f t="shared" si="18"/>
        <v>1610713.2545235837</v>
      </c>
      <c r="L58" s="303">
        <f t="shared" si="19"/>
        <v>1313343.6691457846</v>
      </c>
      <c r="N58" s="303">
        <f t="shared" si="20"/>
        <v>10337984.391592951</v>
      </c>
      <c r="O58" s="303">
        <f t="shared" si="20"/>
        <v>12946578.800652185</v>
      </c>
      <c r="P58" s="303">
        <f t="shared" si="20"/>
        <v>1700079.707754863</v>
      </c>
      <c r="R58" s="588">
        <f t="shared" si="21"/>
        <v>0.41377355013518935</v>
      </c>
      <c r="S58" s="588">
        <f t="shared" si="21"/>
        <v>0.51818146260766396</v>
      </c>
      <c r="T58" s="588">
        <f t="shared" si="21"/>
        <v>6.8044987257146791E-2</v>
      </c>
      <c r="U58" s="74"/>
      <c r="V58" s="871">
        <f t="shared" si="25"/>
        <v>6366509.2496539289</v>
      </c>
      <c r="W58" s="871">
        <f t="shared" si="26"/>
        <v>5899519.2076137783</v>
      </c>
      <c r="X58" s="8"/>
    </row>
    <row r="59" spans="1:25" ht="11.25" customHeight="1" x14ac:dyDescent="0.3">
      <c r="A59" s="170">
        <v>2014</v>
      </c>
      <c r="B59" s="303">
        <f t="shared" si="14"/>
        <v>30809531</v>
      </c>
      <c r="C59" s="302">
        <f t="shared" si="23"/>
        <v>14274898.740279045</v>
      </c>
      <c r="D59" s="303">
        <f>R126+S126*1+Q126*AG126</f>
        <v>13302226.268251274</v>
      </c>
      <c r="E59" s="313">
        <f>D126+E126+G126+M126</f>
        <v>1799219.2058492634</v>
      </c>
      <c r="F59" s="303">
        <f t="shared" si="2"/>
        <v>1433186.7856204174</v>
      </c>
      <c r="G59" s="316"/>
      <c r="H59" s="303">
        <f t="shared" si="15"/>
        <v>26903605.5</v>
      </c>
      <c r="I59" s="303">
        <f t="shared" si="16"/>
        <v>10855963.676634386</v>
      </c>
      <c r="J59" s="303">
        <f t="shared" si="17"/>
        <v>12910439.086467136</v>
      </c>
      <c r="K59" s="303">
        <f t="shared" si="18"/>
        <v>1746227.247371305</v>
      </c>
      <c r="L59" s="303">
        <f t="shared" si="19"/>
        <v>1390975.4895271729</v>
      </c>
      <c r="N59" s="303">
        <f t="shared" si="20"/>
        <v>11447842.263169646</v>
      </c>
      <c r="O59" s="303">
        <f t="shared" si="20"/>
        <v>13614329.838652922</v>
      </c>
      <c r="P59" s="303">
        <f t="shared" si="20"/>
        <v>1841433.3981774317</v>
      </c>
      <c r="R59" s="72">
        <f t="shared" si="21"/>
        <v>0.42551331133552511</v>
      </c>
      <c r="S59" s="72">
        <f t="shared" si="21"/>
        <v>0.50604108949831728</v>
      </c>
      <c r="T59" s="72">
        <f t="shared" si="21"/>
        <v>6.8445599166157556E-2</v>
      </c>
      <c r="U59" s="74"/>
      <c r="V59" s="871">
        <f t="shared" si="25"/>
        <v>6269504.2158201784</v>
      </c>
      <c r="W59" s="871">
        <f t="shared" si="26"/>
        <v>6640934.8706469573</v>
      </c>
      <c r="X59" s="8"/>
    </row>
    <row r="60" spans="1:25" ht="11.25" customHeight="1" x14ac:dyDescent="0.3">
      <c r="A60" s="170">
        <v>2015</v>
      </c>
      <c r="B60" s="303">
        <f t="shared" si="14"/>
        <v>30233989</v>
      </c>
      <c r="C60" s="302">
        <f>T127+I127+(K127+L127)-Q127*AG127</f>
        <v>14033247.900114577</v>
      </c>
      <c r="D60" s="303">
        <f>R127+S127*1+Q127*AG127</f>
        <v>13134134.579759862</v>
      </c>
      <c r="E60" s="313">
        <f t="shared" si="10"/>
        <v>1761717.4986565344</v>
      </c>
      <c r="F60" s="303">
        <f>B60-SUM(C60:E60)</f>
        <v>1304889.0214690268</v>
      </c>
      <c r="G60" s="316"/>
      <c r="H60" s="303">
        <f t="shared" si="15"/>
        <v>26467937</v>
      </c>
      <c r="I60" s="303">
        <f t="shared" si="16"/>
        <v>10770275.337733928</v>
      </c>
      <c r="J60" s="303">
        <f>D60-P127*(D60/B60)</f>
        <v>12726282.062565498</v>
      </c>
      <c r="K60" s="303">
        <f t="shared" si="18"/>
        <v>1707011.1217689631</v>
      </c>
      <c r="L60" s="303">
        <f t="shared" si="19"/>
        <v>1264368.4779316115</v>
      </c>
      <c r="N60" s="303">
        <f t="shared" si="20"/>
        <v>11310579.645187508</v>
      </c>
      <c r="O60" s="303">
        <f t="shared" si="20"/>
        <v>13364711.88916268</v>
      </c>
      <c r="P60" s="303">
        <f t="shared" si="20"/>
        <v>1792645.4656498125</v>
      </c>
      <c r="R60" s="72">
        <f t="shared" si="21"/>
        <v>0.42733136493363683</v>
      </c>
      <c r="S60" s="72">
        <f t="shared" si="21"/>
        <v>0.50493968945001944</v>
      </c>
      <c r="T60" s="72">
        <f t="shared" si="21"/>
        <v>6.7728945616343753E-2</v>
      </c>
      <c r="U60" s="74"/>
      <c r="V60" s="871">
        <f t="shared" si="25"/>
        <v>5992302.7008193061</v>
      </c>
      <c r="W60" s="871">
        <f t="shared" si="26"/>
        <v>6733979.3617461929</v>
      </c>
      <c r="X60" s="8"/>
    </row>
    <row r="61" spans="1:25" ht="5.25" customHeight="1" x14ac:dyDescent="0.3">
      <c r="A61" s="306"/>
      <c r="B61" s="11"/>
      <c r="C61" s="11"/>
      <c r="D61" s="11"/>
      <c r="E61" s="11"/>
      <c r="F61" s="11"/>
      <c r="G61" s="11"/>
      <c r="H61" s="11"/>
      <c r="I61" s="11"/>
      <c r="J61" s="11"/>
      <c r="K61" s="11"/>
      <c r="L61" s="11"/>
      <c r="M61" s="11"/>
      <c r="N61" s="11"/>
      <c r="O61" s="11"/>
      <c r="P61" s="11"/>
      <c r="Q61" s="11"/>
      <c r="R61" s="11"/>
      <c r="S61" s="11"/>
      <c r="T61" s="11"/>
      <c r="U61" s="11"/>
      <c r="V61" s="11"/>
      <c r="W61" s="11"/>
      <c r="X61" s="11"/>
    </row>
    <row r="62" spans="1:25" ht="6.75" customHeight="1" x14ac:dyDescent="0.3">
      <c r="A62" s="301"/>
    </row>
    <row r="63" spans="1:25" x14ac:dyDescent="0.3">
      <c r="A63" s="278" t="s">
        <v>1270</v>
      </c>
    </row>
    <row r="64" spans="1:25" x14ac:dyDescent="0.3">
      <c r="A64" s="278" t="s">
        <v>353</v>
      </c>
    </row>
    <row r="65" spans="1:41" x14ac:dyDescent="0.3">
      <c r="A65" s="278" t="s">
        <v>346</v>
      </c>
    </row>
    <row r="66" spans="1:41" x14ac:dyDescent="0.3">
      <c r="A66" s="301"/>
      <c r="D66" s="8"/>
    </row>
    <row r="67" spans="1:41" x14ac:dyDescent="0.3">
      <c r="A67" s="301"/>
      <c r="J67" s="8"/>
      <c r="AE67" s="12"/>
      <c r="AF67" s="12"/>
      <c r="AG67" s="12"/>
      <c r="AH67" s="12"/>
      <c r="AI67" s="12"/>
      <c r="AJ67" s="12"/>
      <c r="AK67" s="12"/>
      <c r="AL67" s="12"/>
      <c r="AM67" s="12"/>
      <c r="AN67" s="12"/>
      <c r="AO67" s="12"/>
    </row>
    <row r="68" spans="1:41" x14ac:dyDescent="0.3">
      <c r="A68" s="309" t="s">
        <v>342</v>
      </c>
      <c r="E68" s="8"/>
      <c r="I68" s="8"/>
      <c r="J68" s="8"/>
      <c r="S68" s="8"/>
      <c r="AE68" s="12"/>
      <c r="AF68" s="12"/>
      <c r="AG68" s="12"/>
      <c r="AH68" s="12"/>
      <c r="AI68" s="12"/>
      <c r="AJ68" s="12"/>
      <c r="AK68" s="12"/>
      <c r="AL68" s="12"/>
      <c r="AM68" s="12"/>
      <c r="AN68" s="12"/>
      <c r="AO68" s="12"/>
    </row>
    <row r="69" spans="1:41" ht="9" customHeight="1" x14ac:dyDescent="0.3">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E69" s="12"/>
      <c r="AF69" s="12"/>
      <c r="AG69" s="12"/>
      <c r="AH69" s="12"/>
      <c r="AI69" s="12"/>
      <c r="AJ69" s="12"/>
      <c r="AK69" s="12"/>
      <c r="AL69" s="12"/>
      <c r="AM69" s="12"/>
      <c r="AN69" s="12"/>
      <c r="AO69" s="12"/>
    </row>
    <row r="70" spans="1:41" ht="94.5" customHeight="1" x14ac:dyDescent="0.3">
      <c r="A70" s="317" t="s">
        <v>255</v>
      </c>
      <c r="B70" s="318" t="s">
        <v>256</v>
      </c>
      <c r="C70" s="318" t="s">
        <v>257</v>
      </c>
      <c r="D70" s="318" t="s">
        <v>258</v>
      </c>
      <c r="E70" s="319" t="s">
        <v>354</v>
      </c>
      <c r="F70" s="318" t="s">
        <v>259</v>
      </c>
      <c r="G70" s="318" t="s">
        <v>260</v>
      </c>
      <c r="H70" s="318" t="s">
        <v>261</v>
      </c>
      <c r="I70" s="318" t="s">
        <v>355</v>
      </c>
      <c r="J70" s="318" t="s">
        <v>327</v>
      </c>
      <c r="K70" s="318" t="s">
        <v>329</v>
      </c>
      <c r="L70" s="318" t="s">
        <v>330</v>
      </c>
      <c r="M70" s="318" t="s">
        <v>356</v>
      </c>
      <c r="N70" s="320" t="s">
        <v>345</v>
      </c>
      <c r="O70" s="321" t="s">
        <v>339</v>
      </c>
      <c r="P70" s="320" t="s">
        <v>334</v>
      </c>
      <c r="Q70" s="318" t="s">
        <v>254</v>
      </c>
      <c r="R70" s="318" t="s">
        <v>262</v>
      </c>
      <c r="S70" s="318" t="s">
        <v>336</v>
      </c>
      <c r="T70" s="318" t="s">
        <v>357</v>
      </c>
      <c r="U70" s="318" t="s">
        <v>541</v>
      </c>
      <c r="V70" s="318" t="s">
        <v>532</v>
      </c>
      <c r="W70" s="318" t="s">
        <v>533</v>
      </c>
      <c r="X70" s="318" t="s">
        <v>534</v>
      </c>
      <c r="Y70" s="318" t="s">
        <v>535</v>
      </c>
      <c r="Z70" s="318" t="s">
        <v>545</v>
      </c>
      <c r="AA70" s="318" t="s">
        <v>547</v>
      </c>
      <c r="AB70" s="318" t="s">
        <v>550</v>
      </c>
      <c r="AC70" s="318" t="s">
        <v>551</v>
      </c>
      <c r="AE70" s="795"/>
      <c r="AF70" s="795"/>
      <c r="AG70" s="774"/>
      <c r="AH70" s="774"/>
      <c r="AI70" s="12"/>
      <c r="AJ70" s="774"/>
      <c r="AK70" s="774"/>
      <c r="AL70" s="774"/>
      <c r="AM70" s="774"/>
      <c r="AN70" s="774"/>
      <c r="AO70" s="12"/>
    </row>
    <row r="71" spans="1:41" x14ac:dyDescent="0.3">
      <c r="A71" s="312" t="s">
        <v>358</v>
      </c>
      <c r="B71" s="310" t="s">
        <v>263</v>
      </c>
      <c r="C71" s="310" t="s">
        <v>264</v>
      </c>
      <c r="D71" s="310" t="s">
        <v>265</v>
      </c>
      <c r="E71" s="322" t="s">
        <v>359</v>
      </c>
      <c r="F71" s="310" t="s">
        <v>266</v>
      </c>
      <c r="G71" s="310" t="s">
        <v>267</v>
      </c>
      <c r="H71" s="310" t="s">
        <v>268</v>
      </c>
      <c r="I71" s="310" t="s">
        <v>270</v>
      </c>
      <c r="J71" s="310" t="s">
        <v>328</v>
      </c>
      <c r="K71" s="310" t="s">
        <v>331</v>
      </c>
      <c r="L71" s="310" t="s">
        <v>332</v>
      </c>
      <c r="M71" s="310" t="s">
        <v>333</v>
      </c>
      <c r="N71" s="310"/>
      <c r="O71" s="308"/>
      <c r="P71" s="310"/>
      <c r="Q71" s="311"/>
      <c r="R71" s="310" t="s">
        <v>269</v>
      </c>
      <c r="S71" s="310" t="s">
        <v>337</v>
      </c>
      <c r="T71" s="11"/>
      <c r="U71" s="310" t="s">
        <v>542</v>
      </c>
      <c r="V71" s="310" t="s">
        <v>536</v>
      </c>
      <c r="W71" s="310" t="s">
        <v>537</v>
      </c>
      <c r="X71" s="310" t="s">
        <v>538</v>
      </c>
      <c r="Y71" s="310" t="s">
        <v>539</v>
      </c>
      <c r="Z71" s="310" t="s">
        <v>546</v>
      </c>
      <c r="AA71" s="310" t="s">
        <v>548</v>
      </c>
      <c r="AB71" s="310" t="s">
        <v>552</v>
      </c>
      <c r="AC71" s="310" t="s">
        <v>553</v>
      </c>
      <c r="AE71" s="488"/>
      <c r="AF71" s="796"/>
      <c r="AG71" s="796"/>
      <c r="AH71" s="796"/>
      <c r="AI71" s="12"/>
      <c r="AJ71" s="766"/>
      <c r="AK71" s="796"/>
      <c r="AL71" s="796"/>
      <c r="AM71" s="796"/>
      <c r="AN71" s="796"/>
      <c r="AO71" s="12"/>
    </row>
    <row r="72" spans="1:41" x14ac:dyDescent="0.3">
      <c r="A72" s="766" t="s">
        <v>271</v>
      </c>
      <c r="B72" s="323">
        <v>425058</v>
      </c>
      <c r="C72" s="323">
        <v>364553</v>
      </c>
      <c r="D72" s="324">
        <f t="shared" ref="D72:D98" si="27">B72*(D$99/B$99)</f>
        <v>20212.328908238942</v>
      </c>
      <c r="E72" s="324">
        <f>J72*(E$99/J$99)</f>
        <v>787.84316896537689</v>
      </c>
      <c r="F72" s="324">
        <v>9302</v>
      </c>
      <c r="G72" s="324">
        <v>0</v>
      </c>
      <c r="H72" s="324">
        <v>4981</v>
      </c>
      <c r="I72" s="324">
        <v>14806</v>
      </c>
      <c r="J72" s="324">
        <v>14806</v>
      </c>
      <c r="K72" s="324">
        <v>4964</v>
      </c>
      <c r="L72" s="324">
        <v>0</v>
      </c>
      <c r="M72" s="324">
        <v>0</v>
      </c>
      <c r="N72" s="324">
        <f t="shared" ref="N72:N90" si="28">N73*0.9</f>
        <v>6498.8019159198284</v>
      </c>
      <c r="O72" s="324"/>
      <c r="P72" s="324">
        <v>0</v>
      </c>
      <c r="Q72" s="324">
        <v>0</v>
      </c>
      <c r="R72" s="323">
        <v>17145</v>
      </c>
      <c r="S72" s="323">
        <v>0</v>
      </c>
      <c r="T72" s="323">
        <f>C72-D72</f>
        <v>344340.67109176103</v>
      </c>
      <c r="U72" s="323">
        <f t="shared" ref="U72:U97" si="29">B72*U$99/B$99</f>
        <v>6345.0527853005206</v>
      </c>
      <c r="V72" s="323">
        <v>117396</v>
      </c>
      <c r="W72" s="323">
        <f t="shared" ref="W72:W98" si="30">V72*(W$99/V$99)</f>
        <v>18996.427801394817</v>
      </c>
      <c r="X72" s="323">
        <v>398556</v>
      </c>
      <c r="Y72" s="323">
        <f t="shared" ref="Y72:Y98" si="31">X72*(Y$99/X$99)</f>
        <v>3073.098201935366</v>
      </c>
      <c r="Z72" s="323">
        <v>93865</v>
      </c>
      <c r="AA72" s="323">
        <v>85184</v>
      </c>
      <c r="AB72" s="323">
        <v>38742</v>
      </c>
      <c r="AC72" s="323">
        <v>163600</v>
      </c>
      <c r="AE72" s="766"/>
      <c r="AF72" s="36"/>
      <c r="AG72" s="35"/>
      <c r="AH72" s="35"/>
      <c r="AI72" s="12"/>
      <c r="AJ72" s="766"/>
      <c r="AK72" s="36"/>
      <c r="AL72" s="36"/>
      <c r="AM72" s="36"/>
      <c r="AN72" s="36"/>
      <c r="AO72" s="12"/>
    </row>
    <row r="73" spans="1:41" x14ac:dyDescent="0.3">
      <c r="A73" s="766" t="s">
        <v>272</v>
      </c>
      <c r="B73" s="323">
        <v>521094</v>
      </c>
      <c r="C73" s="323">
        <v>443217</v>
      </c>
      <c r="D73" s="324">
        <f t="shared" si="27"/>
        <v>24779.026203741283</v>
      </c>
      <c r="E73" s="324">
        <f t="shared" ref="E73:E98" si="32">J73*(E$99/J$99)</f>
        <v>1077.6306806623541</v>
      </c>
      <c r="F73" s="324">
        <v>11808</v>
      </c>
      <c r="G73" s="324">
        <v>0</v>
      </c>
      <c r="H73" s="324">
        <v>6258</v>
      </c>
      <c r="I73" s="324">
        <v>20252</v>
      </c>
      <c r="J73" s="324">
        <v>20252</v>
      </c>
      <c r="K73" s="324">
        <v>4684</v>
      </c>
      <c r="L73" s="324">
        <v>0</v>
      </c>
      <c r="M73" s="324">
        <v>0</v>
      </c>
      <c r="N73" s="324">
        <f t="shared" si="28"/>
        <v>7220.8910176886984</v>
      </c>
      <c r="O73" s="324"/>
      <c r="P73" s="324">
        <v>0</v>
      </c>
      <c r="Q73" s="324">
        <v>0</v>
      </c>
      <c r="R73" s="323">
        <v>23756</v>
      </c>
      <c r="S73" s="323">
        <v>0</v>
      </c>
      <c r="T73" s="323">
        <f t="shared" ref="T73:T127" si="33">C73-D73</f>
        <v>418437.97379625874</v>
      </c>
      <c r="U73" s="323">
        <f t="shared" si="29"/>
        <v>7778.6300601409439</v>
      </c>
      <c r="V73" s="323">
        <v>118070</v>
      </c>
      <c r="W73" s="323">
        <f t="shared" si="30"/>
        <v>19105.49107729979</v>
      </c>
      <c r="X73" s="323">
        <v>415782</v>
      </c>
      <c r="Y73" s="323">
        <f t="shared" si="31"/>
        <v>3205.9206650937144</v>
      </c>
      <c r="Z73" s="323">
        <v>107215</v>
      </c>
      <c r="AA73" s="323">
        <v>88631</v>
      </c>
      <c r="AB73" s="323">
        <v>44478</v>
      </c>
      <c r="AC73" s="323">
        <v>176327</v>
      </c>
      <c r="AE73" s="766"/>
      <c r="AF73" s="36"/>
      <c r="AG73" s="35"/>
      <c r="AH73" s="35"/>
      <c r="AI73" s="12"/>
      <c r="AJ73" s="766"/>
      <c r="AK73" s="36"/>
      <c r="AL73" s="36"/>
      <c r="AM73" s="36"/>
      <c r="AN73" s="36"/>
      <c r="AO73" s="12"/>
    </row>
    <row r="74" spans="1:41" x14ac:dyDescent="0.3">
      <c r="A74" s="766" t="s">
        <v>273</v>
      </c>
      <c r="B74" s="323">
        <v>503823</v>
      </c>
      <c r="C74" s="323">
        <v>431230</v>
      </c>
      <c r="D74" s="324">
        <f t="shared" si="27"/>
        <v>23957.756794450801</v>
      </c>
      <c r="E74" s="324">
        <f t="shared" si="32"/>
        <v>975.83789515440014</v>
      </c>
      <c r="F74" s="324">
        <v>10336</v>
      </c>
      <c r="G74" s="324">
        <v>0</v>
      </c>
      <c r="H74" s="324">
        <v>6280</v>
      </c>
      <c r="I74" s="324">
        <v>18027</v>
      </c>
      <c r="J74" s="324">
        <v>18339</v>
      </c>
      <c r="K74" s="324">
        <v>4362</v>
      </c>
      <c r="L74" s="324">
        <v>0</v>
      </c>
      <c r="M74" s="324">
        <v>0</v>
      </c>
      <c r="N74" s="324">
        <f t="shared" si="28"/>
        <v>8023.2122418763311</v>
      </c>
      <c r="O74" s="324"/>
      <c r="P74" s="324">
        <f t="shared" ref="P74:P81" si="34">P75-150</f>
        <v>144.29999999999995</v>
      </c>
      <c r="Q74" s="324">
        <v>0</v>
      </c>
      <c r="R74" s="323">
        <v>22885</v>
      </c>
      <c r="S74" s="323">
        <v>172</v>
      </c>
      <c r="T74" s="323">
        <f t="shared" si="33"/>
        <v>407272.2432055492</v>
      </c>
      <c r="U74" s="323">
        <f t="shared" si="29"/>
        <v>7520.8172283511049</v>
      </c>
      <c r="V74" s="323">
        <v>119244</v>
      </c>
      <c r="W74" s="323">
        <f t="shared" si="30"/>
        <v>19295.461827911717</v>
      </c>
      <c r="X74" s="323">
        <v>432851</v>
      </c>
      <c r="Y74" s="323">
        <f t="shared" si="31"/>
        <v>3337.5325670819789</v>
      </c>
      <c r="Z74" s="323">
        <v>113731</v>
      </c>
      <c r="AA74" s="323">
        <v>92398</v>
      </c>
      <c r="AB74" s="323">
        <v>50491</v>
      </c>
      <c r="AC74" s="323">
        <v>189298</v>
      </c>
      <c r="AE74" s="766"/>
      <c r="AF74" s="36"/>
      <c r="AG74" s="35"/>
      <c r="AH74" s="35"/>
      <c r="AI74" s="12"/>
      <c r="AJ74" s="766"/>
      <c r="AK74" s="36"/>
      <c r="AL74" s="36"/>
      <c r="AM74" s="36"/>
      <c r="AN74" s="36"/>
      <c r="AO74" s="12"/>
    </row>
    <row r="75" spans="1:41" x14ac:dyDescent="0.3">
      <c r="A75" s="766" t="s">
        <v>274</v>
      </c>
      <c r="B75" s="323">
        <v>558475</v>
      </c>
      <c r="C75" s="323">
        <v>469895</v>
      </c>
      <c r="D75" s="324">
        <f t="shared" si="27"/>
        <v>26556.56495590894</v>
      </c>
      <c r="E75" s="324">
        <f t="shared" si="32"/>
        <v>1175.1665802107491</v>
      </c>
      <c r="F75" s="324">
        <v>12485</v>
      </c>
      <c r="G75" s="324">
        <v>0</v>
      </c>
      <c r="H75" s="324">
        <v>7118</v>
      </c>
      <c r="I75" s="324">
        <v>21738</v>
      </c>
      <c r="J75" s="324">
        <v>22085</v>
      </c>
      <c r="K75" s="324">
        <v>5467</v>
      </c>
      <c r="L75" s="324">
        <v>0</v>
      </c>
      <c r="M75" s="324">
        <v>0</v>
      </c>
      <c r="N75" s="324">
        <f t="shared" si="28"/>
        <v>8914.6802687514792</v>
      </c>
      <c r="O75" s="324"/>
      <c r="P75" s="324">
        <f t="shared" si="34"/>
        <v>294.29999999999995</v>
      </c>
      <c r="Q75" s="324">
        <v>0</v>
      </c>
      <c r="R75" s="323">
        <v>29170</v>
      </c>
      <c r="S75" s="323">
        <v>176</v>
      </c>
      <c r="T75" s="323">
        <f t="shared" si="33"/>
        <v>443338.43504409108</v>
      </c>
      <c r="U75" s="323">
        <f t="shared" si="29"/>
        <v>8336.6348928162934</v>
      </c>
      <c r="V75" s="323">
        <v>119325</v>
      </c>
      <c r="W75" s="323">
        <f t="shared" si="30"/>
        <v>19308.568838814241</v>
      </c>
      <c r="X75" s="323">
        <v>438467</v>
      </c>
      <c r="Y75" s="323">
        <f t="shared" si="31"/>
        <v>3380.8351882997476</v>
      </c>
      <c r="Z75" s="323">
        <v>127964</v>
      </c>
      <c r="AA75" s="323">
        <v>96635</v>
      </c>
      <c r="AB75" s="323">
        <v>57179</v>
      </c>
      <c r="AC75" s="323">
        <v>192067</v>
      </c>
      <c r="AE75" s="766"/>
      <c r="AF75" s="36"/>
      <c r="AG75" s="35"/>
      <c r="AH75" s="35"/>
      <c r="AI75" s="12"/>
      <c r="AJ75" s="766"/>
      <c r="AK75" s="36"/>
      <c r="AL75" s="36"/>
      <c r="AM75" s="36"/>
      <c r="AN75" s="36"/>
      <c r="AO75" s="12"/>
    </row>
    <row r="76" spans="1:41" x14ac:dyDescent="0.3">
      <c r="A76" s="766" t="s">
        <v>275</v>
      </c>
      <c r="B76" s="323">
        <v>647246</v>
      </c>
      <c r="C76" s="323">
        <v>544127</v>
      </c>
      <c r="D76" s="324">
        <f t="shared" si="27"/>
        <v>30777.797468914883</v>
      </c>
      <c r="E76" s="324">
        <f t="shared" si="32"/>
        <v>1364.2255278896619</v>
      </c>
      <c r="F76" s="324">
        <v>13835</v>
      </c>
      <c r="G76" s="324">
        <v>0</v>
      </c>
      <c r="H76" s="324">
        <v>7834</v>
      </c>
      <c r="I76" s="324">
        <v>25049</v>
      </c>
      <c r="J76" s="324">
        <v>25638</v>
      </c>
      <c r="K76" s="324">
        <v>5839</v>
      </c>
      <c r="L76" s="324">
        <v>0</v>
      </c>
      <c r="M76" s="324">
        <v>0</v>
      </c>
      <c r="N76" s="324">
        <f t="shared" si="28"/>
        <v>9905.2002986127536</v>
      </c>
      <c r="O76" s="324"/>
      <c r="P76" s="324">
        <f t="shared" si="34"/>
        <v>444.29999999999995</v>
      </c>
      <c r="Q76" s="324">
        <v>0</v>
      </c>
      <c r="R76" s="323">
        <v>35705</v>
      </c>
      <c r="S76" s="323">
        <v>312</v>
      </c>
      <c r="T76" s="323">
        <f t="shared" si="33"/>
        <v>513349.20253108512</v>
      </c>
      <c r="U76" s="323">
        <f t="shared" si="29"/>
        <v>9661.7638888683905</v>
      </c>
      <c r="V76" s="323">
        <v>124133</v>
      </c>
      <c r="W76" s="323">
        <f t="shared" si="30"/>
        <v>20086.575115596297</v>
      </c>
      <c r="X76" s="323">
        <v>458152</v>
      </c>
      <c r="Y76" s="323">
        <f t="shared" si="31"/>
        <v>3532.6179694022721</v>
      </c>
      <c r="Z76" s="323">
        <v>144772</v>
      </c>
      <c r="AA76" s="323">
        <v>101051</v>
      </c>
      <c r="AB76" s="323">
        <v>63886</v>
      </c>
      <c r="AC76" s="323">
        <v>204221</v>
      </c>
      <c r="AE76" s="766"/>
      <c r="AF76" s="36"/>
      <c r="AG76" s="35"/>
      <c r="AH76" s="35"/>
      <c r="AI76" s="12"/>
      <c r="AJ76" s="766"/>
      <c r="AK76" s="36"/>
      <c r="AL76" s="36"/>
      <c r="AM76" s="36"/>
      <c r="AN76" s="36"/>
      <c r="AO76" s="12"/>
    </row>
    <row r="77" spans="1:41" x14ac:dyDescent="0.3">
      <c r="A77" s="766" t="s">
        <v>276</v>
      </c>
      <c r="B77" s="323">
        <v>734923</v>
      </c>
      <c r="C77" s="323">
        <v>616096</v>
      </c>
      <c r="D77" s="324">
        <f t="shared" si="27"/>
        <v>34947.008168837398</v>
      </c>
      <c r="E77" s="324">
        <f t="shared" si="32"/>
        <v>1642.2533921233573</v>
      </c>
      <c r="F77" s="324">
        <v>14599</v>
      </c>
      <c r="G77" s="324">
        <v>0</v>
      </c>
      <c r="H77" s="324">
        <v>9006</v>
      </c>
      <c r="I77" s="324">
        <v>30153</v>
      </c>
      <c r="J77" s="324">
        <v>30863</v>
      </c>
      <c r="K77" s="324">
        <v>5572</v>
      </c>
      <c r="L77" s="324">
        <v>0</v>
      </c>
      <c r="M77" s="324">
        <v>0</v>
      </c>
      <c r="N77" s="324">
        <f t="shared" si="28"/>
        <v>11005.778109569726</v>
      </c>
      <c r="O77" s="324"/>
      <c r="P77" s="324">
        <f t="shared" si="34"/>
        <v>594.29999999999995</v>
      </c>
      <c r="Q77" s="324">
        <v>0</v>
      </c>
      <c r="R77" s="323">
        <v>43254</v>
      </c>
      <c r="S77" s="323">
        <v>360</v>
      </c>
      <c r="T77" s="323">
        <f t="shared" si="33"/>
        <v>581148.9918311626</v>
      </c>
      <c r="U77" s="323">
        <f t="shared" si="29"/>
        <v>10970.562201232337</v>
      </c>
      <c r="V77" s="323">
        <v>127470</v>
      </c>
      <c r="W77" s="323">
        <f t="shared" si="30"/>
        <v>20626.551601790499</v>
      </c>
      <c r="X77" s="323">
        <v>485043</v>
      </c>
      <c r="Y77" s="323">
        <f t="shared" si="31"/>
        <v>3739.9631950374246</v>
      </c>
      <c r="Z77" s="323">
        <v>161999</v>
      </c>
      <c r="AA77" s="323">
        <v>105876</v>
      </c>
      <c r="AB77" s="323">
        <v>70853</v>
      </c>
      <c r="AC77" s="323">
        <v>215228</v>
      </c>
      <c r="AE77" s="766"/>
      <c r="AF77" s="36"/>
      <c r="AG77" s="35"/>
      <c r="AH77" s="35"/>
      <c r="AI77" s="12"/>
      <c r="AJ77" s="766"/>
      <c r="AK77" s="36"/>
      <c r="AL77" s="36"/>
      <c r="AM77" s="36"/>
      <c r="AN77" s="36"/>
      <c r="AO77" s="12"/>
    </row>
    <row r="78" spans="1:41" x14ac:dyDescent="0.3">
      <c r="A78" s="766" t="s">
        <v>277</v>
      </c>
      <c r="B78" s="323">
        <v>660424</v>
      </c>
      <c r="C78" s="323">
        <v>548264</v>
      </c>
      <c r="D78" s="324">
        <f t="shared" si="27"/>
        <v>31404.436822491978</v>
      </c>
      <c r="E78" s="324">
        <f t="shared" si="32"/>
        <v>1540.0881290939419</v>
      </c>
      <c r="F78" s="324">
        <v>12643</v>
      </c>
      <c r="G78" s="324">
        <v>0</v>
      </c>
      <c r="H78" s="324">
        <v>8692</v>
      </c>
      <c r="I78" s="324">
        <v>28129</v>
      </c>
      <c r="J78" s="324">
        <v>28943</v>
      </c>
      <c r="K78" s="324">
        <v>5256</v>
      </c>
      <c r="L78" s="324">
        <v>0</v>
      </c>
      <c r="M78" s="324">
        <v>0</v>
      </c>
      <c r="N78" s="324">
        <f t="shared" si="28"/>
        <v>12228.642343966363</v>
      </c>
      <c r="O78" s="324"/>
      <c r="P78" s="324">
        <f t="shared" si="34"/>
        <v>744.3</v>
      </c>
      <c r="Q78" s="324">
        <v>0</v>
      </c>
      <c r="R78" s="323">
        <v>42268</v>
      </c>
      <c r="S78" s="323">
        <v>414</v>
      </c>
      <c r="T78" s="323">
        <f t="shared" si="33"/>
        <v>516859.56317750801</v>
      </c>
      <c r="U78" s="323">
        <f t="shared" si="29"/>
        <v>9858.4784680662651</v>
      </c>
      <c r="V78" s="323">
        <v>145474</v>
      </c>
      <c r="W78" s="323">
        <f t="shared" si="30"/>
        <v>23539.86795103845</v>
      </c>
      <c r="X78" s="323">
        <v>518538</v>
      </c>
      <c r="Y78" s="323">
        <f t="shared" si="31"/>
        <v>3998.2290956231018</v>
      </c>
      <c r="Z78" s="323">
        <v>172487</v>
      </c>
      <c r="AA78" s="323">
        <v>110570</v>
      </c>
      <c r="AB78" s="323">
        <v>77361</v>
      </c>
      <c r="AC78" s="323">
        <v>234063</v>
      </c>
      <c r="AE78" s="766"/>
      <c r="AF78" s="36"/>
      <c r="AG78" s="35"/>
      <c r="AH78" s="35"/>
      <c r="AI78" s="12"/>
      <c r="AJ78" s="766"/>
      <c r="AK78" s="36"/>
      <c r="AL78" s="36"/>
      <c r="AM78" s="36"/>
      <c r="AN78" s="36"/>
      <c r="AO78" s="12"/>
    </row>
    <row r="79" spans="1:41" x14ac:dyDescent="0.3">
      <c r="A79" s="766" t="s">
        <v>278</v>
      </c>
      <c r="B79" s="323">
        <v>835107</v>
      </c>
      <c r="C79" s="323">
        <v>682128</v>
      </c>
      <c r="D79" s="324">
        <f t="shared" si="27"/>
        <v>39710.950876286763</v>
      </c>
      <c r="E79" s="324">
        <f t="shared" si="32"/>
        <v>2084.5970543960293</v>
      </c>
      <c r="F79" s="324">
        <v>25511</v>
      </c>
      <c r="G79" s="324">
        <v>0</v>
      </c>
      <c r="H79" s="324">
        <v>10687</v>
      </c>
      <c r="I79" s="324">
        <v>37996</v>
      </c>
      <c r="J79" s="324">
        <v>39176</v>
      </c>
      <c r="K79" s="324">
        <v>5360</v>
      </c>
      <c r="L79" s="324">
        <v>0</v>
      </c>
      <c r="M79" s="324">
        <v>0</v>
      </c>
      <c r="N79" s="324">
        <f t="shared" si="28"/>
        <v>13587.380382184847</v>
      </c>
      <c r="O79" s="324"/>
      <c r="P79" s="324">
        <f t="shared" si="34"/>
        <v>894.3</v>
      </c>
      <c r="Q79" s="324">
        <v>0</v>
      </c>
      <c r="R79" s="323">
        <v>55004</v>
      </c>
      <c r="S79" s="323">
        <v>510</v>
      </c>
      <c r="T79" s="323">
        <f t="shared" si="33"/>
        <v>642417.04912371328</v>
      </c>
      <c r="U79" s="323">
        <f t="shared" si="29"/>
        <v>12466.058741098772</v>
      </c>
      <c r="V79" s="323">
        <v>148675</v>
      </c>
      <c r="W79" s="323">
        <f t="shared" si="30"/>
        <v>24057.837604112359</v>
      </c>
      <c r="X79" s="323">
        <v>543205</v>
      </c>
      <c r="Y79" s="323">
        <f t="shared" si="31"/>
        <v>4188.4259897788534</v>
      </c>
      <c r="Z79" s="323">
        <v>195629</v>
      </c>
      <c r="AA79" s="323">
        <v>115535</v>
      </c>
      <c r="AB79" s="323">
        <v>85176</v>
      </c>
      <c r="AC79" s="323">
        <v>247419</v>
      </c>
      <c r="AE79" s="766"/>
      <c r="AF79" s="36"/>
      <c r="AG79" s="35"/>
      <c r="AH79" s="35"/>
      <c r="AI79" s="12"/>
      <c r="AJ79" s="766"/>
      <c r="AK79" s="36"/>
      <c r="AL79" s="36"/>
      <c r="AM79" s="36"/>
      <c r="AN79" s="36"/>
      <c r="AO79" s="12"/>
    </row>
    <row r="80" spans="1:41" x14ac:dyDescent="0.3">
      <c r="A80" s="766" t="s">
        <v>279</v>
      </c>
      <c r="B80" s="323">
        <v>996085</v>
      </c>
      <c r="C80" s="323">
        <v>815334</v>
      </c>
      <c r="D80" s="324">
        <f t="shared" si="27"/>
        <v>47365.76570859315</v>
      </c>
      <c r="E80" s="324">
        <f t="shared" si="32"/>
        <v>2452.0727348549576</v>
      </c>
      <c r="F80" s="324">
        <v>29517</v>
      </c>
      <c r="G80" s="324">
        <v>0</v>
      </c>
      <c r="H80" s="324">
        <v>12986</v>
      </c>
      <c r="I80" s="324">
        <v>44550</v>
      </c>
      <c r="J80" s="324">
        <v>46082</v>
      </c>
      <c r="K80" s="324">
        <v>6337</v>
      </c>
      <c r="L80" s="324">
        <v>0</v>
      </c>
      <c r="M80" s="324">
        <v>0</v>
      </c>
      <c r="N80" s="324">
        <f t="shared" si="28"/>
        <v>15097.089313538718</v>
      </c>
      <c r="O80" s="324"/>
      <c r="P80" s="324">
        <f t="shared" si="34"/>
        <v>1044.3</v>
      </c>
      <c r="Q80" s="324">
        <v>0</v>
      </c>
      <c r="R80" s="323">
        <v>67256</v>
      </c>
      <c r="S80" s="323">
        <v>614</v>
      </c>
      <c r="T80" s="323">
        <f t="shared" si="33"/>
        <v>767968.23429140681</v>
      </c>
      <c r="U80" s="323">
        <f t="shared" si="29"/>
        <v>14869.057643065344</v>
      </c>
      <c r="V80" s="323">
        <v>154515</v>
      </c>
      <c r="W80" s="323">
        <f t="shared" si="30"/>
        <v>25002.836908689565</v>
      </c>
      <c r="X80" s="323">
        <v>588302</v>
      </c>
      <c r="Y80" s="323">
        <f t="shared" si="31"/>
        <v>4536.1500476595002</v>
      </c>
      <c r="Z80" s="323">
        <v>218721</v>
      </c>
      <c r="AA80" s="323">
        <v>120324</v>
      </c>
      <c r="AB80" s="323">
        <v>93888</v>
      </c>
      <c r="AC80" s="323">
        <v>275581</v>
      </c>
      <c r="AE80" s="766"/>
      <c r="AF80" s="36"/>
      <c r="AG80" s="35"/>
      <c r="AH80" s="35"/>
      <c r="AI80" s="12"/>
      <c r="AJ80" s="766"/>
      <c r="AK80" s="36"/>
      <c r="AL80" s="36"/>
      <c r="AM80" s="36"/>
      <c r="AN80" s="36"/>
      <c r="AO80" s="12"/>
    </row>
    <row r="81" spans="1:41" x14ac:dyDescent="0.3">
      <c r="A81" s="766" t="s">
        <v>280</v>
      </c>
      <c r="B81" s="323">
        <v>840609</v>
      </c>
      <c r="C81" s="323">
        <v>667356</v>
      </c>
      <c r="D81" s="324">
        <f t="shared" si="27"/>
        <v>39972.581603512524</v>
      </c>
      <c r="E81" s="324">
        <f t="shared" si="32"/>
        <v>2174.0448706212619</v>
      </c>
      <c r="F81" s="324">
        <v>26761</v>
      </c>
      <c r="G81" s="324">
        <v>0</v>
      </c>
      <c r="H81" s="324">
        <v>13157</v>
      </c>
      <c r="I81" s="324">
        <v>39131</v>
      </c>
      <c r="J81" s="324">
        <v>40857</v>
      </c>
      <c r="K81" s="324">
        <v>6011</v>
      </c>
      <c r="L81" s="324">
        <v>0</v>
      </c>
      <c r="M81" s="324">
        <v>0</v>
      </c>
      <c r="N81" s="324">
        <f t="shared" si="28"/>
        <v>16774.543681709685</v>
      </c>
      <c r="O81" s="324"/>
      <c r="P81" s="324">
        <f t="shared" si="34"/>
        <v>1194.3</v>
      </c>
      <c r="Q81" s="324">
        <v>0</v>
      </c>
      <c r="R81" s="323">
        <v>68725</v>
      </c>
      <c r="S81" s="323">
        <v>715</v>
      </c>
      <c r="T81" s="323">
        <f t="shared" si="33"/>
        <v>627383.41839648748</v>
      </c>
      <c r="U81" s="323">
        <f t="shared" si="29"/>
        <v>12548.189839501163</v>
      </c>
      <c r="V81" s="323">
        <v>192255</v>
      </c>
      <c r="W81" s="323">
        <f t="shared" si="30"/>
        <v>31109.733099570349</v>
      </c>
      <c r="X81" s="323">
        <v>623262</v>
      </c>
      <c r="Y81" s="323">
        <f t="shared" si="31"/>
        <v>4805.7119489723909</v>
      </c>
      <c r="Z81" s="323">
        <v>230936</v>
      </c>
      <c r="AA81" s="323">
        <v>125362</v>
      </c>
      <c r="AB81" s="323">
        <v>104907</v>
      </c>
      <c r="AC81" s="323">
        <v>297781</v>
      </c>
      <c r="AE81" s="766"/>
      <c r="AF81" s="36"/>
      <c r="AG81" s="35"/>
      <c r="AH81" s="35"/>
      <c r="AI81" s="12"/>
      <c r="AJ81" s="766"/>
      <c r="AK81" s="36"/>
      <c r="AL81" s="36"/>
      <c r="AM81" s="36"/>
      <c r="AN81" s="36"/>
      <c r="AO81" s="12"/>
    </row>
    <row r="82" spans="1:41" x14ac:dyDescent="0.3">
      <c r="A82" s="766" t="s">
        <v>281</v>
      </c>
      <c r="B82" s="323">
        <v>831233</v>
      </c>
      <c r="C82" s="323">
        <v>650213</v>
      </c>
      <c r="D82" s="324">
        <f t="shared" si="27"/>
        <v>39526.734693576356</v>
      </c>
      <c r="E82" s="324">
        <f t="shared" si="32"/>
        <v>2111.575069164734</v>
      </c>
      <c r="F82" s="324">
        <v>27209</v>
      </c>
      <c r="G82" s="324">
        <v>0</v>
      </c>
      <c r="H82" s="324">
        <v>14571</v>
      </c>
      <c r="I82" s="324">
        <v>37724</v>
      </c>
      <c r="J82" s="324">
        <v>39683</v>
      </c>
      <c r="K82" s="324">
        <v>4299</v>
      </c>
      <c r="L82" s="324">
        <v>0</v>
      </c>
      <c r="M82" s="324">
        <v>0</v>
      </c>
      <c r="N82" s="324">
        <f t="shared" si="28"/>
        <v>18638.381868566317</v>
      </c>
      <c r="O82" s="324"/>
      <c r="P82" s="324">
        <f>P83-150</f>
        <v>1344.3</v>
      </c>
      <c r="Q82" s="324">
        <v>0</v>
      </c>
      <c r="R82" s="323">
        <v>77187</v>
      </c>
      <c r="S82" s="323">
        <v>817</v>
      </c>
      <c r="T82" s="323">
        <f t="shared" si="33"/>
        <v>610686.26530642365</v>
      </c>
      <c r="U82" s="323">
        <f t="shared" si="29"/>
        <v>12408.229610744198</v>
      </c>
      <c r="V82" s="323">
        <v>192435</v>
      </c>
      <c r="W82" s="323">
        <f t="shared" si="30"/>
        <v>31138.859790464852</v>
      </c>
      <c r="X82" s="323">
        <v>654582</v>
      </c>
      <c r="Y82" s="323">
        <f t="shared" si="31"/>
        <v>5047.2073365330243</v>
      </c>
      <c r="Z82" s="323">
        <v>253749</v>
      </c>
      <c r="AA82" s="323">
        <v>130703</v>
      </c>
      <c r="AB82" s="323">
        <v>109636</v>
      </c>
      <c r="AC82" s="323">
        <v>316586</v>
      </c>
      <c r="AE82" s="766"/>
      <c r="AF82" s="36"/>
      <c r="AG82" s="35"/>
      <c r="AH82" s="35"/>
      <c r="AI82" s="12"/>
      <c r="AJ82" s="766"/>
      <c r="AK82" s="36"/>
      <c r="AL82" s="36"/>
      <c r="AM82" s="36"/>
      <c r="AN82" s="36"/>
      <c r="AO82" s="12"/>
    </row>
    <row r="83" spans="1:41" x14ac:dyDescent="0.3">
      <c r="A83" s="766" t="s">
        <v>282</v>
      </c>
      <c r="B83" s="323">
        <v>974871</v>
      </c>
      <c r="C83" s="323">
        <v>743724</v>
      </c>
      <c r="D83" s="324">
        <f t="shared" si="27"/>
        <v>46356.999033317348</v>
      </c>
      <c r="E83" s="324">
        <f t="shared" si="32"/>
        <v>2587.1756529964605</v>
      </c>
      <c r="F83" s="324">
        <v>30811</v>
      </c>
      <c r="G83" s="324">
        <v>0</v>
      </c>
      <c r="H83" s="324">
        <v>20007</v>
      </c>
      <c r="I83" s="324">
        <v>46481</v>
      </c>
      <c r="J83" s="324">
        <v>48621</v>
      </c>
      <c r="K83" s="324">
        <v>5365</v>
      </c>
      <c r="L83" s="324">
        <v>0</v>
      </c>
      <c r="M83" s="324">
        <v>0</v>
      </c>
      <c r="N83" s="324">
        <f t="shared" si="28"/>
        <v>20709.313187295909</v>
      </c>
      <c r="O83" s="324"/>
      <c r="P83" s="324">
        <v>1494.3</v>
      </c>
      <c r="Q83" s="324">
        <v>0</v>
      </c>
      <c r="R83" s="323">
        <v>104051</v>
      </c>
      <c r="S83" s="323">
        <v>1150</v>
      </c>
      <c r="T83" s="323">
        <f t="shared" si="33"/>
        <v>697367.00096668268</v>
      </c>
      <c r="U83" s="323">
        <f t="shared" si="29"/>
        <v>14552.385683503671</v>
      </c>
      <c r="V83" s="323">
        <v>185910</v>
      </c>
      <c r="W83" s="323">
        <f t="shared" si="30"/>
        <v>30083.017245539122</v>
      </c>
      <c r="X83" s="323">
        <v>720893</v>
      </c>
      <c r="Y83" s="323">
        <f t="shared" si="31"/>
        <v>5558.5036534082838</v>
      </c>
      <c r="Z83" s="323">
        <v>293492</v>
      </c>
      <c r="AA83" s="323">
        <v>137055</v>
      </c>
      <c r="AB83" s="323">
        <v>128891</v>
      </c>
      <c r="AC83" s="323">
        <v>355950</v>
      </c>
      <c r="AE83" s="766"/>
      <c r="AF83" s="36"/>
      <c r="AG83" s="35"/>
      <c r="AH83" s="35"/>
      <c r="AI83" s="12"/>
      <c r="AJ83" s="766"/>
      <c r="AK83" s="36"/>
      <c r="AL83" s="36"/>
      <c r="AM83" s="36"/>
      <c r="AN83" s="36"/>
      <c r="AO83" s="12"/>
    </row>
    <row r="84" spans="1:41" x14ac:dyDescent="0.3">
      <c r="A84" s="766" t="s">
        <v>283</v>
      </c>
      <c r="B84" s="323">
        <v>1203281</v>
      </c>
      <c r="C84" s="323">
        <v>921384</v>
      </c>
      <c r="D84" s="324">
        <f t="shared" si="27"/>
        <v>57218.335711913816</v>
      </c>
      <c r="E84" s="324">
        <f t="shared" si="32"/>
        <v>2752.502461450832</v>
      </c>
      <c r="F84" s="324">
        <v>39059</v>
      </c>
      <c r="G84" s="324">
        <v>0</v>
      </c>
      <c r="H84" s="324">
        <v>26528</v>
      </c>
      <c r="I84" s="324">
        <v>49496</v>
      </c>
      <c r="J84" s="324">
        <v>51728</v>
      </c>
      <c r="K84" s="324">
        <v>5746</v>
      </c>
      <c r="L84" s="324">
        <v>0</v>
      </c>
      <c r="M84" s="324">
        <v>0</v>
      </c>
      <c r="N84" s="324">
        <f t="shared" si="28"/>
        <v>23010.347985884342</v>
      </c>
      <c r="O84" s="324"/>
      <c r="P84" s="324">
        <v>1880.9</v>
      </c>
      <c r="Q84" s="324">
        <v>0</v>
      </c>
      <c r="R84" s="323">
        <v>130017</v>
      </c>
      <c r="S84" s="323">
        <v>1494</v>
      </c>
      <c r="T84" s="323">
        <f t="shared" si="33"/>
        <v>864165.66428808623</v>
      </c>
      <c r="U84" s="323">
        <f t="shared" si="29"/>
        <v>17961.975684610559</v>
      </c>
      <c r="V84" s="323">
        <v>181778</v>
      </c>
      <c r="W84" s="323">
        <f t="shared" si="30"/>
        <v>29414.397874560866</v>
      </c>
      <c r="X84" s="323">
        <v>802068</v>
      </c>
      <c r="Y84" s="323">
        <f t="shared" si="31"/>
        <v>6184.4100418257294</v>
      </c>
      <c r="Z84" s="323">
        <v>349329</v>
      </c>
      <c r="AA84" s="323">
        <v>143930</v>
      </c>
      <c r="AB84" s="323">
        <v>156321</v>
      </c>
      <c r="AC84" s="323">
        <v>406666</v>
      </c>
      <c r="AE84" s="766"/>
      <c r="AF84" s="36"/>
      <c r="AG84" s="768"/>
      <c r="AH84" s="769"/>
      <c r="AI84" s="12"/>
      <c r="AJ84" s="766"/>
      <c r="AK84" s="768"/>
      <c r="AL84" s="36"/>
      <c r="AM84" s="36"/>
      <c r="AN84" s="36"/>
      <c r="AO84" s="12"/>
    </row>
    <row r="85" spans="1:41" x14ac:dyDescent="0.3">
      <c r="A85" s="766" t="s">
        <v>284</v>
      </c>
      <c r="B85" s="323">
        <v>938338</v>
      </c>
      <c r="C85" s="323">
        <v>693870</v>
      </c>
      <c r="D85" s="324">
        <f t="shared" si="27"/>
        <v>44619.784319079074</v>
      </c>
      <c r="E85" s="324">
        <f t="shared" si="32"/>
        <v>2039.1015857032426</v>
      </c>
      <c r="F85" s="324">
        <v>33516</v>
      </c>
      <c r="G85" s="324">
        <v>0</v>
      </c>
      <c r="H85" s="324">
        <v>25449</v>
      </c>
      <c r="I85" s="324">
        <v>35905</v>
      </c>
      <c r="J85" s="324">
        <v>38321</v>
      </c>
      <c r="K85" s="324">
        <v>6603</v>
      </c>
      <c r="L85" s="324">
        <v>0</v>
      </c>
      <c r="M85" s="324">
        <v>0</v>
      </c>
      <c r="N85" s="324">
        <f t="shared" si="28"/>
        <v>25567.053317649268</v>
      </c>
      <c r="O85" s="324"/>
      <c r="P85" s="324">
        <v>1393.5</v>
      </c>
      <c r="Q85" s="324">
        <v>0</v>
      </c>
      <c r="R85" s="323">
        <v>113757</v>
      </c>
      <c r="S85" s="323">
        <v>1695</v>
      </c>
      <c r="T85" s="323">
        <f t="shared" si="33"/>
        <v>649250.21568092098</v>
      </c>
      <c r="U85" s="323">
        <f t="shared" si="29"/>
        <v>14007.03936981146</v>
      </c>
      <c r="V85" s="323">
        <v>207528</v>
      </c>
      <c r="W85" s="323">
        <f t="shared" si="30"/>
        <v>33581.132821968924</v>
      </c>
      <c r="X85" s="323">
        <v>938109</v>
      </c>
      <c r="Y85" s="323">
        <f t="shared" si="31"/>
        <v>7233.365150993548</v>
      </c>
      <c r="Z85" s="323">
        <v>358451</v>
      </c>
      <c r="AA85" s="323">
        <v>151278</v>
      </c>
      <c r="AB85" s="323">
        <v>162906</v>
      </c>
      <c r="AC85" s="323">
        <v>469182</v>
      </c>
      <c r="AE85" s="766"/>
      <c r="AF85" s="36"/>
      <c r="AG85" s="35"/>
      <c r="AH85" s="35"/>
      <c r="AI85" s="12"/>
      <c r="AJ85" s="766"/>
      <c r="AK85" s="35"/>
      <c r="AL85" s="36"/>
      <c r="AM85" s="36"/>
      <c r="AN85" s="36"/>
      <c r="AO85" s="12"/>
    </row>
    <row r="86" spans="1:41" x14ac:dyDescent="0.3">
      <c r="A86" s="766" t="s">
        <v>285</v>
      </c>
      <c r="B86" s="323">
        <v>632492</v>
      </c>
      <c r="C86" s="323">
        <v>445034</v>
      </c>
      <c r="D86" s="324">
        <f t="shared" si="27"/>
        <v>30076.216271261485</v>
      </c>
      <c r="E86" s="324">
        <f t="shared" si="32"/>
        <v>1401.9521797062532</v>
      </c>
      <c r="F86" s="324">
        <v>23921</v>
      </c>
      <c r="G86" s="324">
        <v>0</v>
      </c>
      <c r="H86" s="324">
        <v>21292</v>
      </c>
      <c r="I86" s="324">
        <v>23844</v>
      </c>
      <c r="J86" s="324">
        <v>26347</v>
      </c>
      <c r="K86" s="324">
        <v>5910</v>
      </c>
      <c r="L86" s="324">
        <v>0</v>
      </c>
      <c r="M86" s="324">
        <v>0</v>
      </c>
      <c r="N86" s="324">
        <f t="shared" si="28"/>
        <v>28407.837019610299</v>
      </c>
      <c r="O86" s="324"/>
      <c r="P86" s="324">
        <v>712.4</v>
      </c>
      <c r="Q86" s="324">
        <v>0</v>
      </c>
      <c r="R86" s="323">
        <v>91155</v>
      </c>
      <c r="S86" s="323">
        <v>1895</v>
      </c>
      <c r="T86" s="323">
        <f t="shared" si="33"/>
        <v>414957.78372873849</v>
      </c>
      <c r="U86" s="323">
        <f t="shared" si="29"/>
        <v>9441.523571560343</v>
      </c>
      <c r="V86" s="323">
        <v>248991</v>
      </c>
      <c r="W86" s="323">
        <f t="shared" si="30"/>
        <v>40290.466069517679</v>
      </c>
      <c r="X86" s="323">
        <v>1051048</v>
      </c>
      <c r="Y86" s="323">
        <f t="shared" si="31"/>
        <v>8104.1904248029459</v>
      </c>
      <c r="Z86" s="323">
        <v>367498</v>
      </c>
      <c r="AA86" s="323">
        <v>158399</v>
      </c>
      <c r="AB86" s="323">
        <v>188132</v>
      </c>
      <c r="AC86" s="323">
        <v>536603</v>
      </c>
      <c r="AE86" s="766"/>
      <c r="AF86" s="36"/>
      <c r="AG86" s="35"/>
      <c r="AH86" s="35"/>
      <c r="AI86" s="12"/>
      <c r="AJ86" s="766"/>
      <c r="AK86" s="35"/>
      <c r="AL86" s="36"/>
      <c r="AM86" s="36"/>
      <c r="AN86" s="36"/>
      <c r="AO86" s="12"/>
    </row>
    <row r="87" spans="1:41" x14ac:dyDescent="0.3">
      <c r="A87" s="766" t="s">
        <v>286</v>
      </c>
      <c r="B87" s="323">
        <v>839378</v>
      </c>
      <c r="C87" s="323">
        <v>584599</v>
      </c>
      <c r="D87" s="324">
        <f t="shared" si="27"/>
        <v>39914.045175810796</v>
      </c>
      <c r="E87" s="324">
        <f t="shared" si="32"/>
        <v>1791.297611782416</v>
      </c>
      <c r="F87" s="324">
        <v>33399</v>
      </c>
      <c r="G87" s="324">
        <v>0</v>
      </c>
      <c r="H87" s="324">
        <v>27451</v>
      </c>
      <c r="I87" s="324">
        <v>30312</v>
      </c>
      <c r="J87" s="324">
        <v>33664</v>
      </c>
      <c r="K87" s="324">
        <v>5819</v>
      </c>
      <c r="L87" s="324">
        <v>0</v>
      </c>
      <c r="M87" s="324">
        <v>0</v>
      </c>
      <c r="N87" s="324">
        <f t="shared" si="28"/>
        <v>31564.263355122552</v>
      </c>
      <c r="O87" s="324"/>
      <c r="P87" s="324">
        <v>899.7</v>
      </c>
      <c r="Q87" s="324">
        <v>0</v>
      </c>
      <c r="R87" s="323">
        <v>132299</v>
      </c>
      <c r="S87" s="323">
        <v>2795</v>
      </c>
      <c r="T87" s="323">
        <f t="shared" si="33"/>
        <v>544684.95482418919</v>
      </c>
      <c r="U87" s="323">
        <f t="shared" si="29"/>
        <v>12529.814088477291</v>
      </c>
      <c r="V87" s="323">
        <v>270268</v>
      </c>
      <c r="W87" s="323">
        <f t="shared" si="30"/>
        <v>43733.402748197339</v>
      </c>
      <c r="X87" s="323">
        <v>1149603</v>
      </c>
      <c r="Y87" s="323">
        <f t="shared" si="31"/>
        <v>8864.1067058067183</v>
      </c>
      <c r="Z87" s="323">
        <v>466998</v>
      </c>
      <c r="AA87" s="323">
        <v>168626</v>
      </c>
      <c r="AB87" s="323">
        <v>200956</v>
      </c>
      <c r="AC87" s="323">
        <v>578653</v>
      </c>
      <c r="AE87" s="766"/>
      <c r="AF87" s="36"/>
      <c r="AG87" s="35"/>
      <c r="AH87" s="35"/>
      <c r="AI87" s="12"/>
      <c r="AJ87" s="766"/>
      <c r="AK87" s="35"/>
      <c r="AL87" s="36"/>
      <c r="AM87" s="36"/>
      <c r="AN87" s="36"/>
      <c r="AO87" s="12"/>
    </row>
    <row r="88" spans="1:41" x14ac:dyDescent="0.3">
      <c r="A88" s="766" t="s">
        <v>287</v>
      </c>
      <c r="B88" s="323">
        <v>1034228</v>
      </c>
      <c r="C88" s="323">
        <v>731164</v>
      </c>
      <c r="D88" s="324">
        <f t="shared" si="27"/>
        <v>49179.539032579421</v>
      </c>
      <c r="E88" s="324">
        <f t="shared" si="32"/>
        <v>1983.8152793034703</v>
      </c>
      <c r="F88" s="324">
        <v>47475</v>
      </c>
      <c r="G88" s="324">
        <v>0</v>
      </c>
      <c r="H88" s="324">
        <v>33686</v>
      </c>
      <c r="I88" s="324">
        <v>33215</v>
      </c>
      <c r="J88" s="324">
        <v>37282</v>
      </c>
      <c r="K88" s="324">
        <v>5964</v>
      </c>
      <c r="L88" s="324">
        <v>0</v>
      </c>
      <c r="M88" s="324">
        <v>0</v>
      </c>
      <c r="N88" s="324">
        <f t="shared" si="28"/>
        <v>35071.403727913945</v>
      </c>
      <c r="O88" s="324"/>
      <c r="P88" s="324">
        <v>1308</v>
      </c>
      <c r="Q88" s="324">
        <v>0</v>
      </c>
      <c r="R88" s="323">
        <v>155601</v>
      </c>
      <c r="S88" s="323">
        <v>3534</v>
      </c>
      <c r="T88" s="323">
        <f t="shared" si="33"/>
        <v>681984.4609674206</v>
      </c>
      <c r="U88" s="323">
        <f t="shared" si="29"/>
        <v>15438.437229826957</v>
      </c>
      <c r="V88" s="323">
        <v>278960</v>
      </c>
      <c r="W88" s="323">
        <f t="shared" si="30"/>
        <v>45139.898288503005</v>
      </c>
      <c r="X88" s="323">
        <v>1279526</v>
      </c>
      <c r="Y88" s="323">
        <f t="shared" si="31"/>
        <v>9865.8884822447817</v>
      </c>
      <c r="Z88" s="323">
        <v>534520</v>
      </c>
      <c r="AA88" s="323">
        <v>177824</v>
      </c>
      <c r="AB88" s="323">
        <v>220013</v>
      </c>
      <c r="AC88" s="323">
        <v>633688</v>
      </c>
      <c r="AE88" s="766"/>
      <c r="AF88" s="36"/>
      <c r="AG88" s="35"/>
      <c r="AH88" s="35"/>
      <c r="AI88" s="12"/>
      <c r="AJ88" s="766"/>
      <c r="AK88" s="35"/>
      <c r="AL88" s="36"/>
      <c r="AM88" s="36"/>
      <c r="AN88" s="36"/>
      <c r="AO88" s="12"/>
    </row>
    <row r="89" spans="1:41" x14ac:dyDescent="0.3">
      <c r="A89" s="766" t="s">
        <v>288</v>
      </c>
      <c r="B89" s="323">
        <v>922579</v>
      </c>
      <c r="C89" s="323">
        <v>630970</v>
      </c>
      <c r="D89" s="324">
        <f t="shared" si="27"/>
        <v>43870.41343024758</v>
      </c>
      <c r="E89" s="324">
        <f t="shared" si="32"/>
        <v>1695.624099841328</v>
      </c>
      <c r="F89" s="324">
        <v>45129</v>
      </c>
      <c r="G89" s="324">
        <v>0</v>
      </c>
      <c r="H89" s="324">
        <v>32300</v>
      </c>
      <c r="I89" s="324">
        <v>28268</v>
      </c>
      <c r="J89" s="324">
        <v>31866</v>
      </c>
      <c r="K89" s="324">
        <v>4719</v>
      </c>
      <c r="L89" s="324">
        <v>0</v>
      </c>
      <c r="M89" s="324">
        <v>0</v>
      </c>
      <c r="N89" s="324">
        <f t="shared" si="28"/>
        <v>38968.226364348826</v>
      </c>
      <c r="O89" s="324"/>
      <c r="P89" s="324">
        <v>1528.1</v>
      </c>
      <c r="Q89" s="324">
        <v>0</v>
      </c>
      <c r="R89" s="323">
        <v>153610</v>
      </c>
      <c r="S89" s="323">
        <v>3746</v>
      </c>
      <c r="T89" s="323">
        <f t="shared" si="33"/>
        <v>587099.58656975243</v>
      </c>
      <c r="U89" s="323">
        <f t="shared" si="29"/>
        <v>13771.796916208537</v>
      </c>
      <c r="V89" s="323">
        <v>303381</v>
      </c>
      <c r="W89" s="323">
        <f t="shared" si="30"/>
        <v>49091.581168139979</v>
      </c>
      <c r="X89" s="323">
        <v>1443293</v>
      </c>
      <c r="Y89" s="323">
        <f t="shared" si="31"/>
        <v>11128.627151933229</v>
      </c>
      <c r="Z89" s="323">
        <v>589857</v>
      </c>
      <c r="AA89" s="323">
        <v>187808</v>
      </c>
      <c r="AB89" s="323">
        <v>247987</v>
      </c>
      <c r="AC89" s="323">
        <v>723900</v>
      </c>
      <c r="AE89" s="766"/>
      <c r="AF89" s="36"/>
      <c r="AG89" s="35"/>
      <c r="AH89" s="35"/>
      <c r="AI89" s="12"/>
      <c r="AJ89" s="766"/>
      <c r="AK89" s="35"/>
      <c r="AL89" s="36"/>
      <c r="AM89" s="36"/>
      <c r="AN89" s="36"/>
      <c r="AO89" s="12"/>
    </row>
    <row r="90" spans="1:41" x14ac:dyDescent="0.3">
      <c r="A90" s="766" t="s">
        <v>289</v>
      </c>
      <c r="B90" s="323">
        <v>969619</v>
      </c>
      <c r="C90" s="323">
        <v>640129</v>
      </c>
      <c r="D90" s="324">
        <f t="shared" si="27"/>
        <v>46107.256288971701</v>
      </c>
      <c r="E90" s="324">
        <f t="shared" si="32"/>
        <v>1684.6094074209691</v>
      </c>
      <c r="F90" s="324">
        <v>47859</v>
      </c>
      <c r="G90" s="324">
        <v>0</v>
      </c>
      <c r="H90" s="324">
        <v>35063</v>
      </c>
      <c r="I90" s="324">
        <v>28242</v>
      </c>
      <c r="J90" s="324">
        <v>31659</v>
      </c>
      <c r="K90" s="324">
        <v>5065</v>
      </c>
      <c r="L90" s="324">
        <v>0</v>
      </c>
      <c r="M90" s="324">
        <v>0</v>
      </c>
      <c r="N90" s="324">
        <f t="shared" si="28"/>
        <v>43298.029293720916</v>
      </c>
      <c r="O90" s="324"/>
      <c r="P90" s="324">
        <v>1412.4</v>
      </c>
      <c r="Q90" s="324">
        <v>0</v>
      </c>
      <c r="R90" s="323">
        <v>183608</v>
      </c>
      <c r="S90" s="323">
        <v>3715</v>
      </c>
      <c r="T90" s="323">
        <f t="shared" si="33"/>
        <v>594021.74371102825</v>
      </c>
      <c r="U90" s="323">
        <f t="shared" si="29"/>
        <v>14473.986459801497</v>
      </c>
      <c r="V90" s="323">
        <v>346599</v>
      </c>
      <c r="W90" s="323">
        <f t="shared" si="30"/>
        <v>56084.899651910142</v>
      </c>
      <c r="X90" s="323">
        <v>1675027</v>
      </c>
      <c r="Y90" s="323">
        <f t="shared" si="31"/>
        <v>12915.430860138074</v>
      </c>
      <c r="Z90" s="323">
        <v>691400</v>
      </c>
      <c r="AA90" s="323">
        <v>199369</v>
      </c>
      <c r="AB90" s="323">
        <v>280351</v>
      </c>
      <c r="AC90" s="323">
        <v>823173</v>
      </c>
      <c r="AE90" s="766"/>
      <c r="AF90" s="36"/>
      <c r="AG90" s="35"/>
      <c r="AH90" s="35"/>
      <c r="AI90" s="12"/>
      <c r="AJ90" s="766"/>
      <c r="AK90" s="35"/>
      <c r="AL90" s="36"/>
      <c r="AM90" s="36"/>
      <c r="AN90" s="36"/>
      <c r="AO90" s="12"/>
    </row>
    <row r="91" spans="1:41" x14ac:dyDescent="0.3">
      <c r="A91" s="766" t="s">
        <v>290</v>
      </c>
      <c r="B91" s="323">
        <v>1147253</v>
      </c>
      <c r="C91" s="323">
        <v>767889</v>
      </c>
      <c r="D91" s="324">
        <f t="shared" si="27"/>
        <v>54554.096092683467</v>
      </c>
      <c r="E91" s="324">
        <f t="shared" si="32"/>
        <v>1885.5876357866471</v>
      </c>
      <c r="F91" s="324">
        <v>55434</v>
      </c>
      <c r="G91" s="324">
        <v>0</v>
      </c>
      <c r="H91" s="324">
        <v>38892</v>
      </c>
      <c r="I91" s="324">
        <v>26267</v>
      </c>
      <c r="J91" s="324">
        <v>35436</v>
      </c>
      <c r="K91" s="324">
        <v>4870</v>
      </c>
      <c r="L91" s="324">
        <v>0</v>
      </c>
      <c r="M91" s="324">
        <v>0</v>
      </c>
      <c r="N91" s="324">
        <f>N92*0.9</f>
        <v>48108.921437467681</v>
      </c>
      <c r="O91" s="324"/>
      <c r="P91" s="324">
        <v>1754</v>
      </c>
      <c r="Q91" s="324">
        <v>0</v>
      </c>
      <c r="R91" s="323">
        <v>212537</v>
      </c>
      <c r="S91" s="323">
        <v>11476</v>
      </c>
      <c r="T91" s="323">
        <f t="shared" si="33"/>
        <v>713334.9039073165</v>
      </c>
      <c r="U91" s="323">
        <f t="shared" si="29"/>
        <v>17125.617781795372</v>
      </c>
      <c r="V91" s="323">
        <v>423281</v>
      </c>
      <c r="W91" s="323">
        <f t="shared" si="30"/>
        <v>68493.193602867221</v>
      </c>
      <c r="X91" s="323">
        <v>1944232</v>
      </c>
      <c r="Y91" s="323">
        <f t="shared" si="31"/>
        <v>14991.157737796448</v>
      </c>
      <c r="Z91" s="323">
        <v>807538</v>
      </c>
      <c r="AA91" s="323">
        <v>210305</v>
      </c>
      <c r="AB91" s="323">
        <v>326101</v>
      </c>
      <c r="AC91" s="323">
        <v>956249</v>
      </c>
      <c r="AE91" s="766"/>
      <c r="AF91" s="36"/>
      <c r="AG91" s="35"/>
      <c r="AH91" s="35"/>
      <c r="AI91" s="12"/>
      <c r="AJ91" s="766"/>
      <c r="AK91" s="35"/>
      <c r="AL91" s="36"/>
      <c r="AM91" s="36"/>
      <c r="AN91" s="36"/>
      <c r="AO91" s="12"/>
    </row>
    <row r="92" spans="1:41" x14ac:dyDescent="0.3">
      <c r="A92" s="766" t="s">
        <v>291</v>
      </c>
      <c r="B92" s="323">
        <v>1494924</v>
      </c>
      <c r="C92" s="323">
        <v>1010470</v>
      </c>
      <c r="D92" s="324">
        <f t="shared" si="27"/>
        <v>71086.523676345794</v>
      </c>
      <c r="E92" s="324">
        <f t="shared" si="32"/>
        <v>2715.4675536026689</v>
      </c>
      <c r="F92" s="324">
        <v>74586</v>
      </c>
      <c r="G92" s="324">
        <v>0</v>
      </c>
      <c r="H92" s="324">
        <v>46273</v>
      </c>
      <c r="I92" s="324">
        <v>37740</v>
      </c>
      <c r="J92" s="324">
        <v>51032</v>
      </c>
      <c r="K92" s="324">
        <v>4910</v>
      </c>
      <c r="L92" s="324">
        <v>0</v>
      </c>
      <c r="M92" s="324">
        <v>0</v>
      </c>
      <c r="N92" s="324">
        <f t="shared" ref="N92:N107" si="35">N$108*O92/O$108</f>
        <v>53454.357152741868</v>
      </c>
      <c r="O92" s="324">
        <v>210.32242400000001</v>
      </c>
      <c r="P92" s="324">
        <v>2298.6</v>
      </c>
      <c r="Q92" s="324">
        <v>0</v>
      </c>
      <c r="R92" s="323">
        <v>267768</v>
      </c>
      <c r="S92" s="323">
        <v>15735</v>
      </c>
      <c r="T92" s="323">
        <f t="shared" si="33"/>
        <v>939383.47632365418</v>
      </c>
      <c r="U92" s="323">
        <f t="shared" si="29"/>
        <v>22315.476217392908</v>
      </c>
      <c r="V92" s="323">
        <v>442330</v>
      </c>
      <c r="W92" s="323">
        <f t="shared" si="30"/>
        <v>71575.606574252699</v>
      </c>
      <c r="X92" s="323">
        <v>2187417</v>
      </c>
      <c r="Y92" s="323">
        <f t="shared" si="31"/>
        <v>16866.255305610386</v>
      </c>
      <c r="Z92" s="323">
        <v>969655</v>
      </c>
      <c r="AA92" s="323">
        <v>220559</v>
      </c>
      <c r="AB92" s="323">
        <v>376266</v>
      </c>
      <c r="AC92" s="323">
        <v>1097635</v>
      </c>
      <c r="AE92" s="766"/>
      <c r="AF92" s="36"/>
      <c r="AG92" s="35"/>
      <c r="AH92" s="35"/>
      <c r="AI92" s="12"/>
      <c r="AJ92" s="766"/>
      <c r="AK92" s="35"/>
      <c r="AL92" s="36"/>
      <c r="AM92" s="36"/>
      <c r="AN92" s="36"/>
      <c r="AO92" s="12"/>
    </row>
    <row r="93" spans="1:41" x14ac:dyDescent="0.3">
      <c r="A93" s="766" t="s">
        <v>292</v>
      </c>
      <c r="B93" s="323">
        <v>1382028</v>
      </c>
      <c r="C93" s="323">
        <v>905145</v>
      </c>
      <c r="D93" s="324">
        <f t="shared" si="27"/>
        <v>65718.100815407888</v>
      </c>
      <c r="E93" s="324">
        <f t="shared" si="32"/>
        <v>2469.8984448106107</v>
      </c>
      <c r="F93" s="324">
        <v>74683</v>
      </c>
      <c r="G93" s="324">
        <v>0</v>
      </c>
      <c r="H93" s="324">
        <v>46163</v>
      </c>
      <c r="I93" s="324">
        <v>35497</v>
      </c>
      <c r="J93" s="324">
        <v>46417</v>
      </c>
      <c r="K93" s="324">
        <v>4170</v>
      </c>
      <c r="L93" s="324">
        <v>0</v>
      </c>
      <c r="M93" s="324">
        <v>0</v>
      </c>
      <c r="N93" s="324">
        <f t="shared" si="35"/>
        <v>54011.363332273599</v>
      </c>
      <c r="O93" s="324">
        <v>212.51402999999999</v>
      </c>
      <c r="P93" s="324">
        <v>2438.9</v>
      </c>
      <c r="Q93" s="325">
        <v>38000</v>
      </c>
      <c r="R93" s="323">
        <v>266279</v>
      </c>
      <c r="S93" s="323">
        <v>13063</v>
      </c>
      <c r="T93" s="323">
        <f t="shared" si="33"/>
        <v>839426.89918459207</v>
      </c>
      <c r="U93" s="323">
        <f t="shared" si="29"/>
        <v>20630.221312769805</v>
      </c>
      <c r="V93" s="323">
        <v>460750</v>
      </c>
      <c r="W93" s="323">
        <f t="shared" si="30"/>
        <v>74556.237942456835</v>
      </c>
      <c r="X93" s="323">
        <v>2345103</v>
      </c>
      <c r="Y93" s="323">
        <f t="shared" si="31"/>
        <v>18082.10593405502</v>
      </c>
      <c r="Z93" s="323">
        <v>1063520</v>
      </c>
      <c r="AA93" s="323">
        <v>230141</v>
      </c>
      <c r="AB93" s="323">
        <v>418465</v>
      </c>
      <c r="AC93" s="323">
        <v>1194394</v>
      </c>
      <c r="AE93" s="766"/>
      <c r="AF93" s="36"/>
      <c r="AG93" s="35"/>
      <c r="AH93" s="35"/>
      <c r="AI93" s="12"/>
      <c r="AJ93" s="766"/>
      <c r="AK93" s="35"/>
      <c r="AL93" s="36"/>
      <c r="AM93" s="36"/>
      <c r="AN93" s="36"/>
      <c r="AO93" s="12"/>
    </row>
    <row r="94" spans="1:41" x14ac:dyDescent="0.3">
      <c r="A94" s="766" t="s">
        <v>293</v>
      </c>
      <c r="B94" s="323">
        <v>1562485</v>
      </c>
      <c r="C94" s="323">
        <v>966318</v>
      </c>
      <c r="D94" s="324">
        <f t="shared" si="27"/>
        <v>74299.179721802022</v>
      </c>
      <c r="E94" s="324">
        <f t="shared" si="32"/>
        <v>3241.5654471296634</v>
      </c>
      <c r="F94" s="324">
        <v>88324</v>
      </c>
      <c r="G94" s="324">
        <v>0</v>
      </c>
      <c r="H94" s="324">
        <v>52893</v>
      </c>
      <c r="I94" s="324">
        <v>44893</v>
      </c>
      <c r="J94" s="324">
        <v>60919</v>
      </c>
      <c r="K94" s="324">
        <v>4118</v>
      </c>
      <c r="L94" s="324">
        <v>0</v>
      </c>
      <c r="M94" s="324">
        <v>0</v>
      </c>
      <c r="N94" s="324">
        <f t="shared" si="35"/>
        <v>61773.882216410966</v>
      </c>
      <c r="O94" s="324">
        <v>243.056569</v>
      </c>
      <c r="P94" s="324">
        <v>3298.6</v>
      </c>
      <c r="Q94" s="325">
        <v>68000</v>
      </c>
      <c r="R94" s="323">
        <v>343116</v>
      </c>
      <c r="S94" s="323">
        <v>17336</v>
      </c>
      <c r="T94" s="323">
        <f t="shared" si="33"/>
        <v>892018.82027819799</v>
      </c>
      <c r="U94" s="323">
        <f t="shared" si="29"/>
        <v>23323.992963878536</v>
      </c>
      <c r="V94" s="323">
        <v>517054</v>
      </c>
      <c r="W94" s="323">
        <f t="shared" si="30"/>
        <v>83667.066854257355</v>
      </c>
      <c r="X94" s="323">
        <v>2386377</v>
      </c>
      <c r="Y94" s="323">
        <f t="shared" si="31"/>
        <v>18400.352441915096</v>
      </c>
      <c r="Z94" s="323">
        <v>1289101</v>
      </c>
      <c r="AA94" s="323">
        <v>237958</v>
      </c>
      <c r="AB94" s="323">
        <v>479636</v>
      </c>
      <c r="AC94" s="323">
        <v>1281919</v>
      </c>
      <c r="AE94" s="766"/>
      <c r="AF94" s="36"/>
      <c r="AG94" s="768"/>
      <c r="AH94" s="769"/>
      <c r="AI94" s="12"/>
      <c r="AJ94" s="766"/>
      <c r="AK94" s="768"/>
      <c r="AL94" s="36"/>
      <c r="AM94" s="36"/>
      <c r="AN94" s="36"/>
      <c r="AO94" s="12"/>
    </row>
    <row r="95" spans="1:41" x14ac:dyDescent="0.3">
      <c r="A95" s="766" t="s">
        <v>294</v>
      </c>
      <c r="B95" s="323">
        <v>1855966</v>
      </c>
      <c r="C95" s="323">
        <v>1088573</v>
      </c>
      <c r="D95" s="324">
        <f t="shared" si="27"/>
        <v>88254.768136368672</v>
      </c>
      <c r="E95" s="324">
        <f t="shared" si="32"/>
        <v>4732.1140658692375</v>
      </c>
      <c r="F95" s="324">
        <v>109555</v>
      </c>
      <c r="G95" s="324">
        <v>0</v>
      </c>
      <c r="H95" s="324">
        <v>62197</v>
      </c>
      <c r="I95" s="324">
        <v>68667</v>
      </c>
      <c r="J95" s="324">
        <v>88931</v>
      </c>
      <c r="K95" s="324">
        <v>4292</v>
      </c>
      <c r="L95" s="324">
        <v>0</v>
      </c>
      <c r="M95" s="324">
        <v>0</v>
      </c>
      <c r="N95" s="324">
        <f t="shared" si="35"/>
        <v>76309.439948900355</v>
      </c>
      <c r="O95" s="324">
        <v>300.24842200000001</v>
      </c>
      <c r="P95" s="324">
        <v>4257.2</v>
      </c>
      <c r="Q95" s="325">
        <v>107000</v>
      </c>
      <c r="R95" s="323">
        <v>439907</v>
      </c>
      <c r="S95" s="323">
        <v>21761</v>
      </c>
      <c r="T95" s="323">
        <f t="shared" si="33"/>
        <v>1000318.2318636313</v>
      </c>
      <c r="U95" s="323">
        <f t="shared" si="29"/>
        <v>27704.930239456888</v>
      </c>
      <c r="V95" s="323">
        <v>597186</v>
      </c>
      <c r="W95" s="323">
        <f t="shared" si="30"/>
        <v>96633.62238069241</v>
      </c>
      <c r="X95" s="323">
        <v>2445038</v>
      </c>
      <c r="Y95" s="323">
        <f t="shared" si="31"/>
        <v>18852.662816426408</v>
      </c>
      <c r="Z95" s="323">
        <v>1535809</v>
      </c>
      <c r="AA95" s="323">
        <v>246737</v>
      </c>
      <c r="AB95" s="323">
        <v>545258</v>
      </c>
      <c r="AC95" s="323">
        <v>1361201</v>
      </c>
      <c r="AE95" s="766"/>
      <c r="AF95" s="36"/>
      <c r="AG95" s="35"/>
      <c r="AH95" s="35"/>
      <c r="AI95" s="12"/>
      <c r="AJ95" s="766"/>
      <c r="AK95" s="35"/>
      <c r="AL95" s="36"/>
      <c r="AM95" s="36"/>
      <c r="AN95" s="36"/>
      <c r="AO95" s="12"/>
    </row>
    <row r="96" spans="1:41" x14ac:dyDescent="0.3">
      <c r="A96" s="766" t="s">
        <v>295</v>
      </c>
      <c r="B96" s="323">
        <v>1789165</v>
      </c>
      <c r="C96" s="323">
        <v>1009964</v>
      </c>
      <c r="D96" s="324">
        <f t="shared" si="27"/>
        <v>85078.251558868025</v>
      </c>
      <c r="E96" s="324">
        <f t="shared" si="32"/>
        <v>5167.380655234143</v>
      </c>
      <c r="F96" s="324">
        <v>104852</v>
      </c>
      <c r="G96" s="324">
        <v>0</v>
      </c>
      <c r="H96" s="324">
        <v>60316</v>
      </c>
      <c r="I96" s="324">
        <v>75376</v>
      </c>
      <c r="J96" s="324">
        <v>97111</v>
      </c>
      <c r="K96" s="324">
        <v>3712</v>
      </c>
      <c r="L96" s="324">
        <v>0</v>
      </c>
      <c r="M96" s="324">
        <v>0</v>
      </c>
      <c r="N96" s="324">
        <f t="shared" si="35"/>
        <v>97856.243702833468</v>
      </c>
      <c r="O96" s="324">
        <v>385.02684299999999</v>
      </c>
      <c r="P96" s="324">
        <v>5085.3</v>
      </c>
      <c r="Q96" s="325">
        <v>159000</v>
      </c>
      <c r="R96" s="323">
        <v>455492</v>
      </c>
      <c r="S96" s="323">
        <v>24107</v>
      </c>
      <c r="T96" s="323">
        <f t="shared" si="33"/>
        <v>924885.74844113202</v>
      </c>
      <c r="U96" s="323">
        <f t="shared" si="29"/>
        <v>26707.758392059921</v>
      </c>
      <c r="V96" s="323">
        <v>699266</v>
      </c>
      <c r="W96" s="323">
        <f t="shared" si="30"/>
        <v>113151.69241686385</v>
      </c>
      <c r="X96" s="323">
        <v>2442558</v>
      </c>
      <c r="Y96" s="323">
        <f t="shared" si="31"/>
        <v>18833.540576287509</v>
      </c>
      <c r="Z96" s="323">
        <v>1707455</v>
      </c>
      <c r="AA96" s="323">
        <v>252787</v>
      </c>
      <c r="AB96" s="323">
        <v>637510</v>
      </c>
      <c r="AC96" s="323">
        <v>1473981</v>
      </c>
      <c r="AE96" s="766"/>
      <c r="AF96" s="36"/>
      <c r="AG96" s="35"/>
      <c r="AH96" s="35"/>
      <c r="AI96" s="12"/>
      <c r="AJ96" s="766"/>
      <c r="AK96" s="35"/>
      <c r="AL96" s="36"/>
      <c r="AM96" s="36"/>
      <c r="AN96" s="36"/>
      <c r="AO96" s="12"/>
    </row>
    <row r="97" spans="1:43" x14ac:dyDescent="0.3">
      <c r="A97" s="766" t="s">
        <v>296</v>
      </c>
      <c r="B97" s="323">
        <v>2270405</v>
      </c>
      <c r="C97" s="323">
        <v>1226872</v>
      </c>
      <c r="D97" s="324">
        <f t="shared" si="27"/>
        <v>107962.14308379147</v>
      </c>
      <c r="E97" s="324">
        <f t="shared" si="32"/>
        <v>7298.2181333658818</v>
      </c>
      <c r="F97" s="324">
        <v>136791</v>
      </c>
      <c r="G97" s="324">
        <v>0</v>
      </c>
      <c r="H97" s="324">
        <v>73989</v>
      </c>
      <c r="I97" s="324">
        <v>110262</v>
      </c>
      <c r="J97" s="324">
        <v>137156</v>
      </c>
      <c r="K97" s="324">
        <v>4210</v>
      </c>
      <c r="L97" s="324">
        <v>0</v>
      </c>
      <c r="M97" s="324">
        <v>0</v>
      </c>
      <c r="N97" s="324">
        <f t="shared" si="35"/>
        <v>109449.47822808872</v>
      </c>
      <c r="O97" s="324">
        <v>430.64178099999998</v>
      </c>
      <c r="P97" s="324">
        <v>7674</v>
      </c>
      <c r="Q97" s="325">
        <v>241000</v>
      </c>
      <c r="R97" s="323">
        <v>615017</v>
      </c>
      <c r="S97" s="323">
        <v>39210</v>
      </c>
      <c r="T97" s="323">
        <f t="shared" si="33"/>
        <v>1118909.8569162085</v>
      </c>
      <c r="U97" s="323">
        <f t="shared" si="29"/>
        <v>33891.467914990957</v>
      </c>
      <c r="V97" s="323">
        <v>834169</v>
      </c>
      <c r="W97" s="323">
        <f t="shared" si="30"/>
        <v>134981.01453764792</v>
      </c>
      <c r="X97" s="323">
        <v>2506899</v>
      </c>
      <c r="Y97" s="323">
        <f t="shared" si="31"/>
        <v>19329.647049181465</v>
      </c>
      <c r="Z97" s="323">
        <v>2088568</v>
      </c>
      <c r="AA97" s="323">
        <v>264336</v>
      </c>
      <c r="AB97" s="323">
        <v>707816</v>
      </c>
      <c r="AC97" s="323">
        <v>1603320</v>
      </c>
      <c r="AE97" s="766"/>
      <c r="AF97" s="36"/>
      <c r="AG97" s="35"/>
      <c r="AH97" s="35"/>
      <c r="AI97" s="12"/>
      <c r="AJ97" s="766"/>
      <c r="AK97" s="35"/>
      <c r="AL97" s="36"/>
      <c r="AM97" s="36"/>
      <c r="AN97" s="36"/>
      <c r="AO97" s="12"/>
    </row>
    <row r="98" spans="1:43" x14ac:dyDescent="0.3">
      <c r="A98" s="766" t="s">
        <v>297</v>
      </c>
      <c r="B98" s="323">
        <v>2682199</v>
      </c>
      <c r="C98" s="323">
        <v>1495169</v>
      </c>
      <c r="D98" s="324">
        <f t="shared" si="27"/>
        <v>127543.74317234255</v>
      </c>
      <c r="E98" s="324">
        <f t="shared" si="32"/>
        <v>9812.6542475283786</v>
      </c>
      <c r="F98" s="324">
        <v>183172</v>
      </c>
      <c r="G98" s="324">
        <v>0</v>
      </c>
      <c r="H98" s="324">
        <v>76393</v>
      </c>
      <c r="I98" s="324">
        <v>153854</v>
      </c>
      <c r="J98" s="324">
        <v>184410</v>
      </c>
      <c r="K98" s="324">
        <v>7486</v>
      </c>
      <c r="L98" s="324">
        <v>0</v>
      </c>
      <c r="M98" s="324">
        <v>219</v>
      </c>
      <c r="N98" s="324">
        <f t="shared" si="35"/>
        <v>123007.21957582816</v>
      </c>
      <c r="O98" s="324">
        <v>483.98630100000003</v>
      </c>
      <c r="P98" s="324">
        <v>9923.6</v>
      </c>
      <c r="Q98" s="325">
        <v>329000</v>
      </c>
      <c r="R98" s="323">
        <v>649387</v>
      </c>
      <c r="S98" s="323">
        <v>44488</v>
      </c>
      <c r="T98" s="323">
        <f t="shared" si="33"/>
        <v>1367625.2568276573</v>
      </c>
      <c r="U98" s="323">
        <f>B98*U$99/B$99</f>
        <v>40038.522356196729</v>
      </c>
      <c r="V98" s="323">
        <v>877029</v>
      </c>
      <c r="W98" s="323">
        <f t="shared" si="30"/>
        <v>141916.40326952789</v>
      </c>
      <c r="X98" s="323">
        <v>2625715</v>
      </c>
      <c r="Y98" s="323">
        <f t="shared" si="31"/>
        <v>20245.787405771636</v>
      </c>
      <c r="Z98" s="323">
        <v>2326777</v>
      </c>
      <c r="AA98" s="323">
        <v>282599</v>
      </c>
      <c r="AB98" s="323">
        <v>775197</v>
      </c>
      <c r="AC98" s="323">
        <v>1735568</v>
      </c>
      <c r="AE98" s="766"/>
      <c r="AF98" s="36"/>
      <c r="AG98" s="35"/>
      <c r="AH98" s="35"/>
      <c r="AI98" s="12"/>
      <c r="AJ98" s="766"/>
      <c r="AK98" s="35"/>
      <c r="AL98" s="36"/>
      <c r="AM98" s="36"/>
      <c r="AN98" s="36"/>
      <c r="AO98" s="12"/>
    </row>
    <row r="99" spans="1:43" x14ac:dyDescent="0.3">
      <c r="A99" s="766" t="s">
        <v>298</v>
      </c>
      <c r="B99" s="323">
        <v>2710300</v>
      </c>
      <c r="C99" s="323">
        <v>1472855</v>
      </c>
      <c r="D99" s="324">
        <v>128880</v>
      </c>
      <c r="E99" s="22">
        <v>10463</v>
      </c>
      <c r="F99" s="324">
        <v>189006</v>
      </c>
      <c r="G99" s="324">
        <v>0</v>
      </c>
      <c r="H99" s="324">
        <v>80469</v>
      </c>
      <c r="I99" s="324">
        <v>162311</v>
      </c>
      <c r="J99" s="324">
        <v>196632</v>
      </c>
      <c r="K99" s="324">
        <v>10379</v>
      </c>
      <c r="L99" s="324">
        <v>0</v>
      </c>
      <c r="M99" s="324">
        <v>687</v>
      </c>
      <c r="N99" s="324">
        <f t="shared" si="35"/>
        <v>247100.60941092839</v>
      </c>
      <c r="O99" s="324">
        <v>972.24626599999999</v>
      </c>
      <c r="P99" s="324">
        <v>9702.4</v>
      </c>
      <c r="Q99" s="325">
        <v>404000</v>
      </c>
      <c r="R99" s="323">
        <v>677498</v>
      </c>
      <c r="S99" s="323">
        <v>57369</v>
      </c>
      <c r="T99" s="323">
        <f t="shared" si="33"/>
        <v>1343975</v>
      </c>
      <c r="U99" s="323">
        <v>40458</v>
      </c>
      <c r="V99" s="323">
        <v>1056911</v>
      </c>
      <c r="W99" s="323">
        <v>171024</v>
      </c>
      <c r="X99" s="323">
        <v>2739223</v>
      </c>
      <c r="Y99" s="323">
        <v>21121</v>
      </c>
      <c r="Z99" s="323">
        <v>2506830</v>
      </c>
      <c r="AA99" s="323">
        <v>307540</v>
      </c>
      <c r="AB99" s="323">
        <v>822733</v>
      </c>
      <c r="AC99" s="323">
        <v>1819652</v>
      </c>
      <c r="AE99" s="766"/>
      <c r="AF99" s="36"/>
      <c r="AG99" s="35"/>
      <c r="AH99" s="35"/>
      <c r="AI99" s="12"/>
      <c r="AJ99" s="766"/>
      <c r="AK99" s="35"/>
      <c r="AL99" s="36"/>
      <c r="AM99" s="36"/>
      <c r="AN99" s="36"/>
      <c r="AO99" s="12"/>
    </row>
    <row r="100" spans="1:43" x14ac:dyDescent="0.3">
      <c r="A100" s="766" t="s">
        <v>299</v>
      </c>
      <c r="B100" s="323">
        <v>3075619</v>
      </c>
      <c r="C100" s="323">
        <v>1767619</v>
      </c>
      <c r="D100" s="324">
        <v>145759</v>
      </c>
      <c r="E100" s="22">
        <v>10246</v>
      </c>
      <c r="F100" s="324">
        <v>213813</v>
      </c>
      <c r="G100" s="324">
        <v>0</v>
      </c>
      <c r="H100" s="324">
        <v>81426</v>
      </c>
      <c r="I100" s="324">
        <v>167465</v>
      </c>
      <c r="J100" s="324">
        <v>205473</v>
      </c>
      <c r="K100" s="324">
        <v>14342</v>
      </c>
      <c r="L100" s="324">
        <v>0</v>
      </c>
      <c r="M100" s="324">
        <v>1688</v>
      </c>
      <c r="N100" s="324">
        <f t="shared" si="35"/>
        <v>321248.13348990562</v>
      </c>
      <c r="O100" s="324">
        <v>1263.9883769999999</v>
      </c>
      <c r="P100" s="324">
        <v>11435.2</v>
      </c>
      <c r="Q100" s="325">
        <v>468000</v>
      </c>
      <c r="R100" s="323">
        <v>699118</v>
      </c>
      <c r="S100" s="323">
        <v>62500</v>
      </c>
      <c r="T100" s="323">
        <f t="shared" si="33"/>
        <v>1621860</v>
      </c>
      <c r="U100" s="323">
        <v>42612</v>
      </c>
      <c r="V100" s="323">
        <v>1298116</v>
      </c>
      <c r="W100" s="323">
        <v>226732</v>
      </c>
      <c r="X100" s="323">
        <v>2881666</v>
      </c>
      <c r="Y100" s="323">
        <v>26073</v>
      </c>
      <c r="Z100" s="323">
        <v>2738348</v>
      </c>
      <c r="AA100" s="323">
        <v>335651</v>
      </c>
      <c r="AB100" s="323">
        <v>898139</v>
      </c>
      <c r="AC100" s="323">
        <v>1914597</v>
      </c>
      <c r="AE100" s="766"/>
      <c r="AF100" s="36"/>
      <c r="AG100" s="35"/>
      <c r="AH100" s="35"/>
      <c r="AI100" s="12"/>
      <c r="AJ100" s="766"/>
      <c r="AK100" s="35"/>
      <c r="AL100" s="36"/>
      <c r="AM100" s="36"/>
      <c r="AN100" s="36"/>
      <c r="AO100" s="12"/>
    </row>
    <row r="101" spans="1:43" x14ac:dyDescent="0.3">
      <c r="A101" s="766" t="s">
        <v>300</v>
      </c>
      <c r="B101" s="323">
        <v>3812955</v>
      </c>
      <c r="C101" s="323">
        <v>2186242</v>
      </c>
      <c r="D101" s="324">
        <v>203000</v>
      </c>
      <c r="E101" s="22">
        <v>15803</v>
      </c>
      <c r="F101" s="324">
        <v>275709</v>
      </c>
      <c r="G101" s="324">
        <v>0</v>
      </c>
      <c r="H101" s="324">
        <v>68703</v>
      </c>
      <c r="I101" s="324">
        <v>209317</v>
      </c>
      <c r="J101" s="324">
        <v>270649</v>
      </c>
      <c r="K101" s="324">
        <v>17099</v>
      </c>
      <c r="L101" s="324">
        <v>0</v>
      </c>
      <c r="M101" s="324">
        <v>3250</v>
      </c>
      <c r="N101" s="324">
        <f t="shared" si="35"/>
        <v>372073.39461622696</v>
      </c>
      <c r="O101" s="324">
        <v>1463.9663149999999</v>
      </c>
      <c r="P101" s="324">
        <v>11662.2</v>
      </c>
      <c r="Q101" s="325">
        <v>546000</v>
      </c>
      <c r="R101" s="323">
        <v>877516</v>
      </c>
      <c r="S101" s="323">
        <v>79522</v>
      </c>
      <c r="T101" s="323">
        <f t="shared" si="33"/>
        <v>1983242</v>
      </c>
      <c r="U101" s="323">
        <v>39155</v>
      </c>
      <c r="V101" s="323">
        <v>1385395</v>
      </c>
      <c r="W101" s="323">
        <v>247706</v>
      </c>
      <c r="X101" s="323">
        <v>3000525</v>
      </c>
      <c r="Y101" s="323">
        <v>22217</v>
      </c>
      <c r="Z101" s="323">
        <v>3168961</v>
      </c>
      <c r="AA101" s="323">
        <v>365250</v>
      </c>
      <c r="AB101" s="323">
        <v>929594</v>
      </c>
      <c r="AC101" s="323">
        <v>1997856</v>
      </c>
      <c r="AE101" s="766"/>
      <c r="AF101" s="36"/>
      <c r="AG101" s="35"/>
      <c r="AH101" s="35"/>
      <c r="AI101" s="12"/>
      <c r="AJ101" s="766"/>
      <c r="AK101" s="35"/>
      <c r="AL101" s="36"/>
      <c r="AM101" s="36"/>
      <c r="AN101" s="36"/>
      <c r="AO101" s="12"/>
    </row>
    <row r="102" spans="1:43" x14ac:dyDescent="0.3">
      <c r="A102" s="766" t="s">
        <v>301</v>
      </c>
      <c r="B102" s="323">
        <v>3531306</v>
      </c>
      <c r="C102" s="323">
        <v>1994466</v>
      </c>
      <c r="D102" s="324">
        <v>197465</v>
      </c>
      <c r="E102" s="22">
        <v>15334</v>
      </c>
      <c r="F102" s="324">
        <v>242615</v>
      </c>
      <c r="G102" s="324">
        <v>0</v>
      </c>
      <c r="H102" s="324">
        <v>64744</v>
      </c>
      <c r="I102" s="324">
        <v>190256</v>
      </c>
      <c r="J102" s="324">
        <v>250395</v>
      </c>
      <c r="K102" s="324">
        <v>16188</v>
      </c>
      <c r="L102" s="324">
        <v>0</v>
      </c>
      <c r="M102" s="324">
        <v>4750</v>
      </c>
      <c r="N102" s="324">
        <f t="shared" si="35"/>
        <v>411908.61816929322</v>
      </c>
      <c r="O102" s="324">
        <v>1620.7026639999999</v>
      </c>
      <c r="P102" s="324">
        <v>8737.1</v>
      </c>
      <c r="Q102" s="325">
        <v>637000</v>
      </c>
      <c r="R102" s="323">
        <v>857745</v>
      </c>
      <c r="S102" s="323">
        <v>84463</v>
      </c>
      <c r="T102" s="323">
        <f t="shared" si="33"/>
        <v>1797001</v>
      </c>
      <c r="U102" s="323">
        <v>41027</v>
      </c>
      <c r="V102" s="323">
        <v>1629228</v>
      </c>
      <c r="W102" s="323">
        <v>270582</v>
      </c>
      <c r="X102" s="323">
        <v>3056631</v>
      </c>
      <c r="Y102" s="323">
        <v>16176</v>
      </c>
      <c r="Z102" s="323">
        <v>3310525</v>
      </c>
      <c r="AA102" s="323">
        <v>391738</v>
      </c>
      <c r="AB102" s="323">
        <v>924888</v>
      </c>
      <c r="AC102" s="323">
        <v>2026607</v>
      </c>
      <c r="AE102" s="766"/>
      <c r="AF102" s="36"/>
      <c r="AG102" s="35"/>
      <c r="AH102" s="35"/>
      <c r="AI102" s="12"/>
      <c r="AJ102" s="766"/>
      <c r="AK102" s="35"/>
      <c r="AL102" s="36"/>
      <c r="AM102" s="36"/>
      <c r="AN102" s="36"/>
      <c r="AO102" s="12"/>
    </row>
    <row r="103" spans="1:43" x14ac:dyDescent="0.3">
      <c r="A103" s="766" t="s">
        <v>302</v>
      </c>
      <c r="B103" s="323">
        <v>4847773</v>
      </c>
      <c r="C103" s="323">
        <v>2822437</v>
      </c>
      <c r="D103" s="324">
        <v>214556</v>
      </c>
      <c r="E103" s="22">
        <v>15859</v>
      </c>
      <c r="F103" s="324">
        <v>291200</v>
      </c>
      <c r="G103" s="324">
        <v>0</v>
      </c>
      <c r="H103" s="324">
        <v>83459</v>
      </c>
      <c r="I103" s="324">
        <v>254134</v>
      </c>
      <c r="J103" s="324">
        <v>341543</v>
      </c>
      <c r="K103" s="324">
        <v>21752</v>
      </c>
      <c r="L103" s="324">
        <v>0</v>
      </c>
      <c r="M103" s="324">
        <v>6250</v>
      </c>
      <c r="N103" s="324">
        <f t="shared" si="35"/>
        <v>427737.83649459953</v>
      </c>
      <c r="O103" s="324">
        <v>1682.9845760000001</v>
      </c>
      <c r="P103" s="324">
        <v>12968.2</v>
      </c>
      <c r="Q103" s="325">
        <v>776000</v>
      </c>
      <c r="R103" s="323">
        <v>1158716</v>
      </c>
      <c r="S103" s="323">
        <v>126341</v>
      </c>
      <c r="T103" s="323">
        <f t="shared" si="33"/>
        <v>2607881</v>
      </c>
      <c r="U103" s="323">
        <v>41156</v>
      </c>
      <c r="V103" s="323">
        <v>1622243</v>
      </c>
      <c r="W103" s="323">
        <v>253076</v>
      </c>
      <c r="X103" s="323">
        <v>3015600</v>
      </c>
      <c r="Y103" s="323">
        <v>31422</v>
      </c>
      <c r="Z103" s="323">
        <v>3830293</v>
      </c>
      <c r="AA103" s="323">
        <v>418577</v>
      </c>
      <c r="AB103" s="323">
        <v>897631</v>
      </c>
      <c r="AC103" s="323">
        <v>2031698</v>
      </c>
      <c r="AE103" s="766"/>
      <c r="AF103" s="36"/>
      <c r="AG103" s="35"/>
      <c r="AH103" s="35"/>
      <c r="AI103" s="12"/>
      <c r="AJ103" s="766"/>
      <c r="AK103" s="35"/>
      <c r="AL103" s="36"/>
      <c r="AM103" s="36"/>
      <c r="AN103" s="36"/>
      <c r="AO103" s="12"/>
    </row>
    <row r="104" spans="1:43" x14ac:dyDescent="0.3">
      <c r="A104" s="766" t="s">
        <v>303</v>
      </c>
      <c r="B104" s="323">
        <v>5421969</v>
      </c>
      <c r="C104" s="323">
        <v>3112850</v>
      </c>
      <c r="D104" s="324">
        <v>241066</v>
      </c>
      <c r="E104" s="22">
        <v>17682</v>
      </c>
      <c r="F104" s="324">
        <v>308847</v>
      </c>
      <c r="G104" s="324">
        <v>0</v>
      </c>
      <c r="H104" s="324">
        <v>94496</v>
      </c>
      <c r="I104" s="324">
        <v>355609</v>
      </c>
      <c r="J104" s="324">
        <v>486710</v>
      </c>
      <c r="K104" s="324">
        <v>23800</v>
      </c>
      <c r="L104" s="324">
        <v>0</v>
      </c>
      <c r="M104" s="324">
        <v>7750</v>
      </c>
      <c r="N104" s="324">
        <f t="shared" si="35"/>
        <v>463039.4640553823</v>
      </c>
      <c r="O104" s="324">
        <v>1821.882961</v>
      </c>
      <c r="P104" s="324">
        <v>15912</v>
      </c>
      <c r="Q104" s="325">
        <v>873000</v>
      </c>
      <c r="R104" s="323">
        <v>1260762</v>
      </c>
      <c r="S104" s="323">
        <v>164678</v>
      </c>
      <c r="T104" s="323">
        <f t="shared" si="33"/>
        <v>2871784</v>
      </c>
      <c r="U104" s="323">
        <v>49629</v>
      </c>
      <c r="V104" s="323">
        <v>1722504</v>
      </c>
      <c r="W104" s="323">
        <v>263105</v>
      </c>
      <c r="X104" s="323">
        <v>2997542</v>
      </c>
      <c r="Y104" s="323">
        <v>42014</v>
      </c>
      <c r="Z104" s="323">
        <v>4140445</v>
      </c>
      <c r="AA104" s="323">
        <v>447710</v>
      </c>
      <c r="AB104" s="323">
        <v>867627</v>
      </c>
      <c r="AC104" s="323">
        <v>2037398</v>
      </c>
      <c r="AE104" s="766"/>
      <c r="AF104" s="36"/>
      <c r="AG104" s="35"/>
      <c r="AH104" s="35"/>
      <c r="AI104" s="12"/>
      <c r="AJ104" s="766"/>
      <c r="AK104" s="35"/>
      <c r="AL104" s="36"/>
      <c r="AM104" s="36"/>
      <c r="AN104" s="36"/>
      <c r="AO104" s="12"/>
    </row>
    <row r="105" spans="1:43" x14ac:dyDescent="0.3">
      <c r="A105" s="766" t="s">
        <v>304</v>
      </c>
      <c r="B105" s="323">
        <v>6296866</v>
      </c>
      <c r="C105" s="323">
        <v>3478889</v>
      </c>
      <c r="D105" s="324">
        <v>270176</v>
      </c>
      <c r="E105" s="22">
        <v>18503</v>
      </c>
      <c r="F105" s="324">
        <v>340997</v>
      </c>
      <c r="G105" s="324">
        <v>0</v>
      </c>
      <c r="H105" s="324">
        <v>111711</v>
      </c>
      <c r="I105" s="324">
        <v>513769</v>
      </c>
      <c r="J105" s="324">
        <v>714292</v>
      </c>
      <c r="K105" s="324">
        <v>26491</v>
      </c>
      <c r="L105" s="324">
        <v>464</v>
      </c>
      <c r="M105" s="324">
        <v>9267</v>
      </c>
      <c r="N105" s="324">
        <f t="shared" si="35"/>
        <v>507697.89984322985</v>
      </c>
      <c r="O105" s="324">
        <v>1997.5968029999999</v>
      </c>
      <c r="P105" s="324">
        <v>32158.7</v>
      </c>
      <c r="Q105" s="325">
        <v>993000</v>
      </c>
      <c r="R105" s="323">
        <v>1470292</v>
      </c>
      <c r="S105" s="323">
        <v>224067</v>
      </c>
      <c r="T105" s="323">
        <f t="shared" si="33"/>
        <v>3208713</v>
      </c>
      <c r="U105" s="323">
        <v>62674</v>
      </c>
      <c r="V105" s="323">
        <v>1802195</v>
      </c>
      <c r="W105" s="323">
        <v>287707</v>
      </c>
      <c r="X105" s="323">
        <v>3137129</v>
      </c>
      <c r="Y105" s="323">
        <v>49030</v>
      </c>
      <c r="Z105" s="323">
        <v>4616201</v>
      </c>
      <c r="AA105" s="323">
        <v>484813</v>
      </c>
      <c r="AB105" s="323">
        <v>845522</v>
      </c>
      <c r="AC105" s="323">
        <v>2105357</v>
      </c>
      <c r="AE105" s="766"/>
      <c r="AF105" s="427"/>
      <c r="AG105" s="427"/>
      <c r="AH105" s="816" t="s">
        <v>1257</v>
      </c>
      <c r="AI105" s="817"/>
      <c r="AJ105" s="817"/>
      <c r="AK105" s="817"/>
      <c r="AL105" s="817"/>
      <c r="AM105" s="817"/>
      <c r="AN105" s="817"/>
      <c r="AO105" s="817"/>
      <c r="AP105" s="427"/>
      <c r="AQ105" s="427"/>
    </row>
    <row r="106" spans="1:43" x14ac:dyDescent="0.3">
      <c r="A106" s="766" t="s">
        <v>305</v>
      </c>
      <c r="B106" s="323">
        <v>6317493</v>
      </c>
      <c r="C106" s="323">
        <v>3350509</v>
      </c>
      <c r="D106" s="324">
        <v>308161</v>
      </c>
      <c r="E106" s="22">
        <v>18990</v>
      </c>
      <c r="F106" s="324">
        <v>352812</v>
      </c>
      <c r="G106" s="324">
        <v>0</v>
      </c>
      <c r="H106" s="324">
        <v>115810</v>
      </c>
      <c r="I106" s="324">
        <v>533111</v>
      </c>
      <c r="J106" s="324">
        <v>824545</v>
      </c>
      <c r="K106" s="324">
        <v>31880</v>
      </c>
      <c r="L106" s="324">
        <v>424</v>
      </c>
      <c r="M106" s="324">
        <v>10598</v>
      </c>
      <c r="N106" s="324">
        <f t="shared" si="35"/>
        <v>561921.35776909709</v>
      </c>
      <c r="O106" s="324">
        <v>2210.9453440000002</v>
      </c>
      <c r="P106" s="324">
        <v>44306</v>
      </c>
      <c r="Q106" s="325">
        <v>1056000</v>
      </c>
      <c r="R106" s="323">
        <v>1485785</v>
      </c>
      <c r="S106" s="323">
        <v>308102</v>
      </c>
      <c r="T106" s="323">
        <f t="shared" si="33"/>
        <v>3042348</v>
      </c>
      <c r="U106" s="323">
        <v>66984</v>
      </c>
      <c r="V106" s="323">
        <v>2306290</v>
      </c>
      <c r="W106" s="323">
        <v>304450</v>
      </c>
      <c r="X106" s="323">
        <v>3342078</v>
      </c>
      <c r="Y106" s="323">
        <v>49190</v>
      </c>
      <c r="Z106" s="323">
        <v>4896316</v>
      </c>
      <c r="AA106" s="323">
        <v>520348</v>
      </c>
      <c r="AB106" s="323">
        <v>840947</v>
      </c>
      <c r="AC106" s="323">
        <v>2198233</v>
      </c>
      <c r="AE106" s="766"/>
      <c r="AF106" s="427"/>
      <c r="AG106" s="427"/>
      <c r="AH106" s="817"/>
      <c r="AI106" s="817"/>
      <c r="AJ106" s="816" t="s">
        <v>1258</v>
      </c>
      <c r="AK106" s="817"/>
      <c r="AL106" s="817"/>
      <c r="AM106" s="817"/>
      <c r="AN106" s="817"/>
      <c r="AO106" s="817"/>
      <c r="AP106" s="427"/>
      <c r="AQ106" s="427"/>
    </row>
    <row r="107" spans="1:43" ht="27" customHeight="1" x14ac:dyDescent="0.3">
      <c r="A107" s="766" t="s">
        <v>306</v>
      </c>
      <c r="B107" s="323">
        <v>8481326</v>
      </c>
      <c r="C107" s="323">
        <v>4498259</v>
      </c>
      <c r="D107" s="324">
        <v>397077</v>
      </c>
      <c r="E107" s="22">
        <v>24586</v>
      </c>
      <c r="F107" s="324">
        <v>484180</v>
      </c>
      <c r="G107" s="324">
        <v>0</v>
      </c>
      <c r="H107" s="324">
        <v>128763</v>
      </c>
      <c r="I107" s="324">
        <v>714987</v>
      </c>
      <c r="J107" s="324">
        <v>1216013</v>
      </c>
      <c r="K107" s="324">
        <v>41926</v>
      </c>
      <c r="L107" s="324">
        <v>1052</v>
      </c>
      <c r="M107" s="324">
        <v>26415</v>
      </c>
      <c r="N107" s="324">
        <f t="shared" si="35"/>
        <v>611259.86149187305</v>
      </c>
      <c r="O107" s="324">
        <v>2405.073461</v>
      </c>
      <c r="P107" s="324">
        <v>57541.3</v>
      </c>
      <c r="Q107" s="325">
        <v>1288000</v>
      </c>
      <c r="R107" s="323">
        <v>1897774</v>
      </c>
      <c r="S107" s="323">
        <v>495913</v>
      </c>
      <c r="T107" s="323">
        <f t="shared" si="33"/>
        <v>4101182</v>
      </c>
      <c r="U107" s="323">
        <v>73931</v>
      </c>
      <c r="V107" s="323">
        <v>2236946</v>
      </c>
      <c r="W107" s="323">
        <v>342381</v>
      </c>
      <c r="X107" s="323">
        <v>3517127</v>
      </c>
      <c r="Y107" s="323">
        <v>59404</v>
      </c>
      <c r="Z107" s="323">
        <v>5714135</v>
      </c>
      <c r="AA107" s="323">
        <v>566188</v>
      </c>
      <c r="AB107" s="323">
        <v>869926</v>
      </c>
      <c r="AC107" s="323">
        <v>2299836</v>
      </c>
      <c r="AE107" s="766"/>
      <c r="AF107" s="1465" t="s">
        <v>6</v>
      </c>
      <c r="AG107" s="1459" t="s">
        <v>1259</v>
      </c>
      <c r="AH107" s="1459"/>
      <c r="AI107" s="1459"/>
      <c r="AJ107" s="1459"/>
      <c r="AK107" s="1459"/>
      <c r="AL107" s="1459"/>
      <c r="AM107" s="1459"/>
      <c r="AN107" s="1459"/>
      <c r="AO107" s="1460" t="s">
        <v>1260</v>
      </c>
      <c r="AP107" s="1461"/>
      <c r="AQ107" s="1462"/>
    </row>
    <row r="108" spans="1:43" ht="40.200000000000003" x14ac:dyDescent="0.3">
      <c r="A108" s="766" t="s">
        <v>307</v>
      </c>
      <c r="B108" s="323">
        <v>9705678</v>
      </c>
      <c r="C108" s="323">
        <v>4760668</v>
      </c>
      <c r="D108" s="324">
        <v>494704</v>
      </c>
      <c r="E108" s="22">
        <v>30422</v>
      </c>
      <c r="F108" s="324">
        <v>585280</v>
      </c>
      <c r="G108" s="324">
        <v>0</v>
      </c>
      <c r="H108" s="324">
        <v>152700</v>
      </c>
      <c r="I108" s="324">
        <v>950218</v>
      </c>
      <c r="J108" s="324">
        <v>1719141</v>
      </c>
      <c r="K108" s="324">
        <v>46987</v>
      </c>
      <c r="L108" s="324">
        <v>2401</v>
      </c>
      <c r="M108" s="324">
        <v>46898</v>
      </c>
      <c r="N108" s="324">
        <v>665400</v>
      </c>
      <c r="O108" s="324">
        <v>2618.0941720000001</v>
      </c>
      <c r="P108" s="324">
        <v>88776.3</v>
      </c>
      <c r="Q108" s="325">
        <v>1467000</v>
      </c>
      <c r="R108" s="323">
        <v>2181637</v>
      </c>
      <c r="S108" s="323">
        <v>697316</v>
      </c>
      <c r="T108" s="323">
        <f t="shared" si="33"/>
        <v>4265964</v>
      </c>
      <c r="U108" s="323">
        <v>90060</v>
      </c>
      <c r="V108" s="323">
        <v>2357760</v>
      </c>
      <c r="W108" s="323">
        <v>378479</v>
      </c>
      <c r="X108" s="323">
        <v>3636144</v>
      </c>
      <c r="Y108" s="323">
        <v>67795</v>
      </c>
      <c r="Z108" s="323">
        <v>6457994</v>
      </c>
      <c r="AA108" s="323">
        <v>610646</v>
      </c>
      <c r="AB108" s="323">
        <v>910112</v>
      </c>
      <c r="AC108" s="323">
        <v>2383643</v>
      </c>
      <c r="AE108" s="766"/>
      <c r="AF108" s="1465"/>
      <c r="AG108" s="818" t="s">
        <v>1261</v>
      </c>
      <c r="AH108" s="818" t="s">
        <v>1262</v>
      </c>
      <c r="AI108" s="818" t="s">
        <v>246</v>
      </c>
      <c r="AJ108" s="818" t="s">
        <v>1263</v>
      </c>
      <c r="AK108" s="818" t="s">
        <v>1264</v>
      </c>
      <c r="AL108" s="818" t="s">
        <v>1265</v>
      </c>
      <c r="AM108" s="818" t="s">
        <v>1266</v>
      </c>
      <c r="AN108" s="818" t="s">
        <v>1267</v>
      </c>
      <c r="AO108" s="819" t="s">
        <v>1268</v>
      </c>
      <c r="AP108" s="819" t="s">
        <v>1269</v>
      </c>
      <c r="AQ108" s="820" t="s">
        <v>1266</v>
      </c>
    </row>
    <row r="109" spans="1:43" x14ac:dyDescent="0.3">
      <c r="A109" s="766" t="s">
        <v>308</v>
      </c>
      <c r="B109" s="323">
        <v>12551132</v>
      </c>
      <c r="C109" s="323">
        <v>6194996</v>
      </c>
      <c r="D109" s="324">
        <v>604890</v>
      </c>
      <c r="E109" s="22">
        <v>34538</v>
      </c>
      <c r="F109" s="324">
        <v>838216</v>
      </c>
      <c r="G109" s="324">
        <v>0</v>
      </c>
      <c r="H109" s="324">
        <v>186089</v>
      </c>
      <c r="I109" s="324">
        <v>1268031</v>
      </c>
      <c r="J109" s="324">
        <v>2360738</v>
      </c>
      <c r="K109" s="324">
        <v>49625</v>
      </c>
      <c r="L109" s="324">
        <v>6702</v>
      </c>
      <c r="M109" s="324">
        <v>78426</v>
      </c>
      <c r="N109" s="324">
        <v>899800</v>
      </c>
      <c r="O109" s="324">
        <v>2895.2375189999998</v>
      </c>
      <c r="P109" s="324">
        <v>140533.79999999999</v>
      </c>
      <c r="Q109" s="325">
        <v>1728000</v>
      </c>
      <c r="R109" s="323">
        <v>2574168</v>
      </c>
      <c r="S109" s="323">
        <v>950958</v>
      </c>
      <c r="T109" s="323">
        <f t="shared" si="33"/>
        <v>5590106</v>
      </c>
      <c r="U109" s="323">
        <v>113498</v>
      </c>
      <c r="V109" s="323">
        <v>2238011</v>
      </c>
      <c r="W109" s="323">
        <v>400980</v>
      </c>
      <c r="X109" s="323">
        <v>4018320</v>
      </c>
      <c r="Y109" s="323">
        <v>77493</v>
      </c>
      <c r="Z109" s="323">
        <v>7457698</v>
      </c>
      <c r="AA109" s="323">
        <v>664963</v>
      </c>
      <c r="AB109" s="323">
        <v>961057</v>
      </c>
      <c r="AC109" s="323">
        <v>2567283</v>
      </c>
      <c r="AE109" s="766"/>
      <c r="AF109" s="427">
        <v>1997</v>
      </c>
      <c r="AG109" s="821">
        <f>+AH109/AI109</f>
        <v>0.68557814485387547</v>
      </c>
      <c r="AH109" s="822">
        <f>+(AJ109+AK109)*AO109+AL109*AP109+AM109*AQ109</f>
        <v>539.54999999999995</v>
      </c>
      <c r="AI109" s="822">
        <v>787</v>
      </c>
      <c r="AJ109" s="822">
        <v>442</v>
      </c>
      <c r="AK109" s="427">
        <v>79</v>
      </c>
      <c r="AL109" s="427">
        <v>84</v>
      </c>
      <c r="AM109" s="427">
        <v>92</v>
      </c>
      <c r="AN109" s="427">
        <v>90</v>
      </c>
      <c r="AO109" s="823">
        <v>0.94199999999999995</v>
      </c>
      <c r="AP109" s="823">
        <v>0.57399999999999995</v>
      </c>
      <c r="AQ109" s="823">
        <v>6.0000000000000001E-3</v>
      </c>
    </row>
    <row r="110" spans="1:43" x14ac:dyDescent="0.3">
      <c r="A110" s="766" t="s">
        <v>309</v>
      </c>
      <c r="B110" s="323">
        <v>15274956</v>
      </c>
      <c r="C110" s="323">
        <v>7530531</v>
      </c>
      <c r="D110" s="324">
        <v>692037</v>
      </c>
      <c r="E110" s="22">
        <v>38724</v>
      </c>
      <c r="F110" s="324">
        <v>1108661</v>
      </c>
      <c r="G110" s="324">
        <v>0</v>
      </c>
      <c r="H110" s="324">
        <v>214078</v>
      </c>
      <c r="I110" s="324">
        <v>1593627</v>
      </c>
      <c r="J110" s="324">
        <v>3005393</v>
      </c>
      <c r="K110" s="324">
        <v>47606</v>
      </c>
      <c r="L110" s="324">
        <v>15564</v>
      </c>
      <c r="M110" s="324">
        <v>98549</v>
      </c>
      <c r="N110" s="324">
        <v>1102700</v>
      </c>
      <c r="O110" s="324">
        <v>3061.1331690000002</v>
      </c>
      <c r="P110" s="324">
        <v>138301.4</v>
      </c>
      <c r="Q110" s="325">
        <v>2150000</v>
      </c>
      <c r="R110" s="323">
        <v>2966657</v>
      </c>
      <c r="S110" s="323">
        <v>1154894</v>
      </c>
      <c r="T110" s="323">
        <f t="shared" si="33"/>
        <v>6838494</v>
      </c>
      <c r="U110" s="323">
        <v>132749</v>
      </c>
      <c r="V110" s="323">
        <v>2259758</v>
      </c>
      <c r="W110" s="323">
        <v>436493</v>
      </c>
      <c r="X110" s="323">
        <v>4257969</v>
      </c>
      <c r="Y110" s="323">
        <v>89986</v>
      </c>
      <c r="Z110" s="323">
        <v>8388880</v>
      </c>
      <c r="AA110" s="323">
        <v>718262</v>
      </c>
      <c r="AB110" s="323">
        <v>1108787</v>
      </c>
      <c r="AC110" s="323">
        <v>2724685</v>
      </c>
      <c r="AE110" s="766"/>
      <c r="AF110" s="427">
        <v>1998</v>
      </c>
      <c r="AG110" s="821">
        <f t="shared" ref="AG110:AG128" si="36">+AH110/AI110</f>
        <v>0.69720920920920915</v>
      </c>
      <c r="AH110" s="822">
        <f t="shared" ref="AH110:AH128" si="37">+(AJ110+AK110)*AO110+AL110*AP110+AM110*AQ110</f>
        <v>696.51199999999994</v>
      </c>
      <c r="AI110" s="822">
        <v>999</v>
      </c>
      <c r="AJ110" s="822">
        <v>586</v>
      </c>
      <c r="AK110" s="427">
        <v>93</v>
      </c>
      <c r="AL110" s="427">
        <v>98</v>
      </c>
      <c r="AM110" s="427">
        <v>107</v>
      </c>
      <c r="AN110" s="427">
        <v>114</v>
      </c>
      <c r="AO110" s="823">
        <v>0.94199999999999995</v>
      </c>
      <c r="AP110" s="823">
        <v>0.57399999999999995</v>
      </c>
      <c r="AQ110" s="823">
        <v>6.0000000000000001E-3</v>
      </c>
    </row>
    <row r="111" spans="1:43" x14ac:dyDescent="0.3">
      <c r="A111" s="766" t="s">
        <v>310</v>
      </c>
      <c r="B111" s="323">
        <v>19147244</v>
      </c>
      <c r="C111" s="323">
        <v>9625699</v>
      </c>
      <c r="D111" s="324">
        <v>769338</v>
      </c>
      <c r="E111" s="22">
        <v>42702</v>
      </c>
      <c r="F111" s="324">
        <v>1435081</v>
      </c>
      <c r="G111" s="324">
        <v>0</v>
      </c>
      <c r="H111" s="324">
        <v>267506</v>
      </c>
      <c r="I111" s="324">
        <v>2056900</v>
      </c>
      <c r="J111" s="324">
        <v>4060203</v>
      </c>
      <c r="K111" s="324">
        <v>41191</v>
      </c>
      <c r="L111" s="324">
        <v>33862</v>
      </c>
      <c r="M111" s="324">
        <v>98289</v>
      </c>
      <c r="N111" s="324">
        <v>1412600</v>
      </c>
      <c r="O111" s="324">
        <v>3300.8687620000001</v>
      </c>
      <c r="P111" s="324">
        <v>124261.9</v>
      </c>
      <c r="Q111" s="325">
        <v>2651000</v>
      </c>
      <c r="R111" s="323">
        <v>3271384</v>
      </c>
      <c r="S111" s="323">
        <v>1521770</v>
      </c>
      <c r="T111" s="323">
        <f t="shared" si="33"/>
        <v>8856361</v>
      </c>
      <c r="U111" s="323">
        <v>177800</v>
      </c>
      <c r="V111" s="323">
        <v>2481967</v>
      </c>
      <c r="W111" s="323">
        <v>482352</v>
      </c>
      <c r="X111" s="323">
        <v>4491679</v>
      </c>
      <c r="Y111" s="323">
        <v>102008</v>
      </c>
      <c r="Z111" s="323">
        <v>9421091</v>
      </c>
      <c r="AA111" s="323">
        <v>783859</v>
      </c>
      <c r="AB111" s="323">
        <v>1246912</v>
      </c>
      <c r="AC111" s="323">
        <v>2973374</v>
      </c>
      <c r="AE111" s="766"/>
      <c r="AF111" s="427">
        <v>1999</v>
      </c>
      <c r="AG111" s="821">
        <f t="shared" si="36"/>
        <v>0.73534534064212997</v>
      </c>
      <c r="AH111" s="822">
        <f t="shared" si="37"/>
        <v>939.03599999999994</v>
      </c>
      <c r="AI111" s="822">
        <v>1277</v>
      </c>
      <c r="AJ111" s="822">
        <v>797</v>
      </c>
      <c r="AK111" s="427">
        <v>137</v>
      </c>
      <c r="AL111" s="427">
        <v>102</v>
      </c>
      <c r="AM111" s="427">
        <v>110</v>
      </c>
      <c r="AN111" s="427">
        <v>132</v>
      </c>
      <c r="AO111" s="823">
        <v>0.94199999999999995</v>
      </c>
      <c r="AP111" s="823">
        <v>0.57399999999999995</v>
      </c>
      <c r="AQ111" s="823">
        <v>6.0000000000000001E-3</v>
      </c>
    </row>
    <row r="112" spans="1:43" x14ac:dyDescent="0.3">
      <c r="A112" s="766" t="s">
        <v>311</v>
      </c>
      <c r="B112" s="323">
        <v>17299119</v>
      </c>
      <c r="C112" s="323">
        <v>7983983</v>
      </c>
      <c r="D112" s="324">
        <v>708648</v>
      </c>
      <c r="E112" s="22">
        <v>38799</v>
      </c>
      <c r="F112" s="324">
        <v>1482537</v>
      </c>
      <c r="G112" s="324">
        <v>0</v>
      </c>
      <c r="H112" s="324">
        <v>236509</v>
      </c>
      <c r="I112" s="324">
        <v>1883842</v>
      </c>
      <c r="J112" s="324">
        <v>3910517</v>
      </c>
      <c r="K112" s="324">
        <v>36543</v>
      </c>
      <c r="L112" s="324">
        <v>65585</v>
      </c>
      <c r="M112" s="324">
        <v>93214</v>
      </c>
      <c r="N112" s="324">
        <v>1256100</v>
      </c>
      <c r="O112" s="324">
        <v>3617.4771049999999</v>
      </c>
      <c r="P112" s="324">
        <v>138715.4</v>
      </c>
      <c r="Q112" s="325">
        <v>2629000</v>
      </c>
      <c r="R112" s="323">
        <v>3178325</v>
      </c>
      <c r="S112" s="323">
        <v>1608615</v>
      </c>
      <c r="T112" s="323">
        <f t="shared" si="33"/>
        <v>7275335</v>
      </c>
      <c r="U112" s="323">
        <v>148658</v>
      </c>
      <c r="V112" s="323">
        <v>2355175</v>
      </c>
      <c r="W112" s="323">
        <v>513214</v>
      </c>
      <c r="X112" s="323">
        <v>4958906</v>
      </c>
      <c r="Y112" s="323">
        <v>118286</v>
      </c>
      <c r="Z112" s="323">
        <v>9291818</v>
      </c>
      <c r="AA112" s="323">
        <v>819098</v>
      </c>
      <c r="AB112" s="323">
        <v>1381473</v>
      </c>
      <c r="AC112" s="323">
        <v>3275280</v>
      </c>
      <c r="AE112" s="766"/>
      <c r="AF112" s="427">
        <v>2000</v>
      </c>
      <c r="AG112" s="821">
        <f t="shared" si="36"/>
        <v>0.73056442687747036</v>
      </c>
      <c r="AH112" s="822">
        <f t="shared" si="37"/>
        <v>924.16399999999999</v>
      </c>
      <c r="AI112" s="822">
        <v>1265</v>
      </c>
      <c r="AJ112" s="822">
        <v>781</v>
      </c>
      <c r="AK112" s="427">
        <v>136</v>
      </c>
      <c r="AL112" s="427">
        <v>104</v>
      </c>
      <c r="AM112" s="427">
        <v>109</v>
      </c>
      <c r="AN112" s="427">
        <v>136</v>
      </c>
      <c r="AO112" s="823">
        <v>0.94199999999999995</v>
      </c>
      <c r="AP112" s="823">
        <v>0.57399999999999995</v>
      </c>
      <c r="AQ112" s="823">
        <v>6.0000000000000001E-3</v>
      </c>
    </row>
    <row r="113" spans="1:43" x14ac:dyDescent="0.3">
      <c r="A113" s="766" t="s">
        <v>312</v>
      </c>
      <c r="B113" s="323">
        <v>15543572</v>
      </c>
      <c r="C113" s="323">
        <v>6874982</v>
      </c>
      <c r="D113" s="324">
        <f t="shared" ref="D113:D127" si="38">B113*(D$112/B$112)</f>
        <v>636733.07355455507</v>
      </c>
      <c r="E113" s="324">
        <f>J113*(E$112/J$112)</f>
        <v>33985.037855096904</v>
      </c>
      <c r="F113" s="324">
        <v>1441451</v>
      </c>
      <c r="G113" s="324">
        <v>0</v>
      </c>
      <c r="H113" s="324">
        <v>208718</v>
      </c>
      <c r="I113" s="324">
        <v>1708008</v>
      </c>
      <c r="J113" s="324">
        <v>3425322</v>
      </c>
      <c r="K113" s="324">
        <v>31009</v>
      </c>
      <c r="L113" s="324">
        <v>82992</v>
      </c>
      <c r="M113" s="324">
        <v>87973</v>
      </c>
      <c r="N113" s="324">
        <v>1240700</v>
      </c>
      <c r="O113" s="324">
        <v>3761.51235</v>
      </c>
      <c r="P113" s="324">
        <v>154898.6</v>
      </c>
      <c r="Q113" s="325">
        <v>2619000</v>
      </c>
      <c r="R113" s="323">
        <v>3094782</v>
      </c>
      <c r="S113" s="323">
        <v>1416372</v>
      </c>
      <c r="T113" s="323">
        <f t="shared" si="33"/>
        <v>6238248.926445445</v>
      </c>
      <c r="U113" s="323">
        <v>129830</v>
      </c>
      <c r="V113" s="323">
        <v>2147517</v>
      </c>
      <c r="W113" s="323">
        <f t="shared" ref="W113:W127" si="39">V113*(W$112/V$112)</f>
        <v>467963.43780738162</v>
      </c>
      <c r="X113" s="323">
        <v>5141340</v>
      </c>
      <c r="Y113" s="323">
        <f t="shared" ref="Y113:Y127" si="40">X113*(Y$112/X$112)</f>
        <v>122637.6429075284</v>
      </c>
      <c r="Z113" s="323">
        <v>8846984</v>
      </c>
      <c r="AA113" s="323">
        <v>880004</v>
      </c>
      <c r="AB113" s="323">
        <v>1505035</v>
      </c>
      <c r="AC113" s="323">
        <v>3521653</v>
      </c>
      <c r="AE113" s="766"/>
      <c r="AF113" s="427">
        <v>2001</v>
      </c>
      <c r="AG113" s="821">
        <f t="shared" si="36"/>
        <v>0.6862721991701245</v>
      </c>
      <c r="AH113" s="822">
        <f t="shared" si="37"/>
        <v>826.95799999999997</v>
      </c>
      <c r="AI113" s="822">
        <v>1205</v>
      </c>
      <c r="AJ113" s="822">
        <v>699</v>
      </c>
      <c r="AK113" s="427">
        <v>111</v>
      </c>
      <c r="AL113" s="427">
        <v>110</v>
      </c>
      <c r="AM113" s="427">
        <v>133</v>
      </c>
      <c r="AN113" s="427">
        <v>153</v>
      </c>
      <c r="AO113" s="823">
        <v>0.94199999999999995</v>
      </c>
      <c r="AP113" s="823">
        <v>0.57399999999999995</v>
      </c>
      <c r="AQ113" s="823">
        <v>6.0000000000000001E-3</v>
      </c>
    </row>
    <row r="114" spans="1:43" x14ac:dyDescent="0.3">
      <c r="A114" s="766" t="s">
        <v>313</v>
      </c>
      <c r="B114" s="323">
        <v>12385225</v>
      </c>
      <c r="C114" s="323">
        <v>5221382</v>
      </c>
      <c r="D114" s="324">
        <f t="shared" si="38"/>
        <v>507353.28925131971</v>
      </c>
      <c r="E114" s="324">
        <f t="shared" ref="E114:E127" si="41">J114*(E$112/J$112)</f>
        <v>26678.157781183407</v>
      </c>
      <c r="F114" s="324">
        <v>1229421</v>
      </c>
      <c r="G114" s="324">
        <v>0</v>
      </c>
      <c r="H114" s="324">
        <v>183722</v>
      </c>
      <c r="I114" s="324">
        <v>1304680</v>
      </c>
      <c r="J114" s="324">
        <v>2688868</v>
      </c>
      <c r="K114" s="324">
        <v>33584</v>
      </c>
      <c r="L114" s="324">
        <v>98228</v>
      </c>
      <c r="M114" s="324">
        <v>79254</v>
      </c>
      <c r="N114" s="324">
        <v>1032900.0000000001</v>
      </c>
      <c r="O114" s="324">
        <v>3910.9267009999999</v>
      </c>
      <c r="P114" s="324">
        <v>161937.29999999999</v>
      </c>
      <c r="Q114" s="325">
        <v>2532000</v>
      </c>
      <c r="R114" s="323">
        <v>2595770</v>
      </c>
      <c r="S114" s="323">
        <v>1327531</v>
      </c>
      <c r="T114" s="323">
        <f t="shared" si="33"/>
        <v>4714028.7107486799</v>
      </c>
      <c r="U114" s="323">
        <v>107546</v>
      </c>
      <c r="V114" s="323">
        <v>2078999</v>
      </c>
      <c r="W114" s="323">
        <f t="shared" si="39"/>
        <v>453032.74397274089</v>
      </c>
      <c r="X114" s="323">
        <v>5460679</v>
      </c>
      <c r="Y114" s="323">
        <f t="shared" si="40"/>
        <v>130254.91432868459</v>
      </c>
      <c r="Z114" s="323">
        <v>8232081</v>
      </c>
      <c r="AA114" s="323">
        <v>920915</v>
      </c>
      <c r="AB114" s="323">
        <v>1630586</v>
      </c>
      <c r="AC114" s="323">
        <v>3861135</v>
      </c>
      <c r="AE114" s="766"/>
      <c r="AF114" s="427">
        <v>2002</v>
      </c>
      <c r="AG114" s="821">
        <f t="shared" si="36"/>
        <v>0.61285504587155959</v>
      </c>
      <c r="AH114" s="822">
        <f t="shared" si="37"/>
        <v>668.01199999999994</v>
      </c>
      <c r="AI114" s="822">
        <v>1090</v>
      </c>
      <c r="AJ114" s="822">
        <v>548</v>
      </c>
      <c r="AK114" s="427">
        <v>93</v>
      </c>
      <c r="AL114" s="427">
        <v>110</v>
      </c>
      <c r="AM114" s="427">
        <v>175</v>
      </c>
      <c r="AN114" s="427">
        <v>164</v>
      </c>
      <c r="AO114" s="823">
        <v>0.94199999999999995</v>
      </c>
      <c r="AP114" s="823">
        <v>0.57399999999999995</v>
      </c>
      <c r="AQ114" s="823">
        <v>6.0000000000000001E-3</v>
      </c>
    </row>
    <row r="115" spans="1:43" x14ac:dyDescent="0.3">
      <c r="A115" s="766" t="s">
        <v>314</v>
      </c>
      <c r="B115" s="323">
        <v>16587459</v>
      </c>
      <c r="C115" s="323">
        <v>6812855</v>
      </c>
      <c r="D115" s="324">
        <f t="shared" si="38"/>
        <v>679495.27634511329</v>
      </c>
      <c r="E115" s="324">
        <f t="shared" si="41"/>
        <v>37325.844935848632</v>
      </c>
      <c r="F115" s="324">
        <v>1696233</v>
      </c>
      <c r="G115" s="324">
        <v>0</v>
      </c>
      <c r="H115" s="324">
        <v>228863</v>
      </c>
      <c r="I115" s="324">
        <v>1881085</v>
      </c>
      <c r="J115" s="324">
        <v>3762039</v>
      </c>
      <c r="K115" s="324">
        <v>52730</v>
      </c>
      <c r="L115" s="324">
        <v>146315</v>
      </c>
      <c r="M115" s="324">
        <v>93364</v>
      </c>
      <c r="N115" s="324">
        <v>1250000</v>
      </c>
      <c r="O115" s="324">
        <v>4232.5659640000003</v>
      </c>
      <c r="P115" s="324">
        <v>224211.9</v>
      </c>
      <c r="Q115" s="325">
        <v>2993000</v>
      </c>
      <c r="R115" s="323">
        <v>3467564</v>
      </c>
      <c r="S115" s="323">
        <v>1632866</v>
      </c>
      <c r="T115" s="323">
        <f t="shared" si="33"/>
        <v>6133359.7236548867</v>
      </c>
      <c r="U115" s="323">
        <v>140705</v>
      </c>
      <c r="V115" s="323">
        <v>2220361</v>
      </c>
      <c r="W115" s="323">
        <f t="shared" si="39"/>
        <v>483836.80628997844</v>
      </c>
      <c r="X115" s="323">
        <v>6033200</v>
      </c>
      <c r="Y115" s="323">
        <f t="shared" si="40"/>
        <v>143911.39803819632</v>
      </c>
      <c r="Z115" s="323">
        <v>9773010</v>
      </c>
      <c r="AA115" s="323">
        <v>1013152</v>
      </c>
      <c r="AB115" s="323">
        <v>1694721</v>
      </c>
      <c r="AC115" s="323">
        <v>4253540</v>
      </c>
      <c r="AE115" s="766"/>
      <c r="AF115" s="427">
        <v>2003</v>
      </c>
      <c r="AG115" s="821">
        <f t="shared" si="36"/>
        <v>0.67521094312454999</v>
      </c>
      <c r="AH115" s="822">
        <f t="shared" si="37"/>
        <v>937.86799999999994</v>
      </c>
      <c r="AI115" s="822">
        <v>1389</v>
      </c>
      <c r="AJ115" s="822">
        <v>748</v>
      </c>
      <c r="AK115" s="427">
        <v>131</v>
      </c>
      <c r="AL115" s="427">
        <v>162</v>
      </c>
      <c r="AM115" s="427">
        <v>196</v>
      </c>
      <c r="AN115" s="427">
        <v>152</v>
      </c>
      <c r="AO115" s="824">
        <v>0.95</v>
      </c>
      <c r="AP115" s="824">
        <v>0.625</v>
      </c>
      <c r="AQ115" s="824">
        <v>8.0000000000000002E-3</v>
      </c>
    </row>
    <row r="116" spans="1:43" x14ac:dyDescent="0.3">
      <c r="A116" s="766" t="s">
        <v>315</v>
      </c>
      <c r="B116" s="323">
        <v>18880282</v>
      </c>
      <c r="C116" s="323">
        <v>7555825</v>
      </c>
      <c r="D116" s="324">
        <f t="shared" si="38"/>
        <v>773419.39082192571</v>
      </c>
      <c r="E116" s="324">
        <f t="shared" si="41"/>
        <v>44558.381666669644</v>
      </c>
      <c r="F116" s="324">
        <v>1952173</v>
      </c>
      <c r="G116" s="324">
        <v>0</v>
      </c>
      <c r="H116" s="324">
        <v>244350</v>
      </c>
      <c r="I116" s="324">
        <v>2241082</v>
      </c>
      <c r="J116" s="324">
        <v>4491000</v>
      </c>
      <c r="K116" s="324">
        <v>81804</v>
      </c>
      <c r="L116" s="324">
        <v>217689</v>
      </c>
      <c r="M116" s="324">
        <v>107242</v>
      </c>
      <c r="N116" s="324">
        <v>1426000</v>
      </c>
      <c r="O116" s="324">
        <v>4737.1621660000001</v>
      </c>
      <c r="P116" s="324">
        <v>307894.7</v>
      </c>
      <c r="Q116" s="325">
        <v>3299000</v>
      </c>
      <c r="R116" s="323">
        <v>3848132</v>
      </c>
      <c r="S116" s="323">
        <v>1868734</v>
      </c>
      <c r="T116" s="323">
        <f t="shared" si="33"/>
        <v>6782405.6091780746</v>
      </c>
      <c r="U116" s="323">
        <v>146721</v>
      </c>
      <c r="V116" s="323">
        <v>3179979</v>
      </c>
      <c r="W116" s="323">
        <f t="shared" si="39"/>
        <v>692946.27469551098</v>
      </c>
      <c r="X116" s="323">
        <v>7232743</v>
      </c>
      <c r="Y116" s="323">
        <f t="shared" si="40"/>
        <v>172524.39116571276</v>
      </c>
      <c r="Z116" s="323">
        <v>10688850</v>
      </c>
      <c r="AA116" s="323">
        <v>1060352</v>
      </c>
      <c r="AB116" s="323">
        <v>1915330</v>
      </c>
      <c r="AC116" s="323">
        <v>4925061</v>
      </c>
      <c r="AE116" s="766"/>
      <c r="AF116" s="427">
        <v>2004</v>
      </c>
      <c r="AG116" s="821">
        <f t="shared" si="36"/>
        <v>0.70484480600750943</v>
      </c>
      <c r="AH116" s="822">
        <f t="shared" si="37"/>
        <v>1126.3420000000001</v>
      </c>
      <c r="AI116" s="822">
        <v>1598</v>
      </c>
      <c r="AJ116" s="822">
        <v>860</v>
      </c>
      <c r="AK116" s="427">
        <v>176</v>
      </c>
      <c r="AL116" s="427">
        <v>218</v>
      </c>
      <c r="AM116" s="427">
        <v>205</v>
      </c>
      <c r="AN116" s="427">
        <v>138</v>
      </c>
      <c r="AO116" s="824">
        <v>0.95199999999999996</v>
      </c>
      <c r="AP116" s="824">
        <v>0.63500000000000001</v>
      </c>
      <c r="AQ116" s="824">
        <v>8.0000000000000002E-3</v>
      </c>
    </row>
    <row r="117" spans="1:43" x14ac:dyDescent="0.3">
      <c r="A117" s="766" t="s">
        <v>316</v>
      </c>
      <c r="B117" s="323">
        <v>20600541</v>
      </c>
      <c r="C117" s="323">
        <v>8236466</v>
      </c>
      <c r="D117" s="324">
        <f t="shared" si="38"/>
        <v>843888.76558210852</v>
      </c>
      <c r="E117" s="324">
        <f t="shared" si="41"/>
        <v>50172.30120160582</v>
      </c>
      <c r="F117" s="324">
        <v>2117753</v>
      </c>
      <c r="G117" s="324">
        <v>0</v>
      </c>
      <c r="H117" s="324">
        <v>263873</v>
      </c>
      <c r="I117" s="324">
        <v>2418919</v>
      </c>
      <c r="J117" s="324">
        <v>5056822</v>
      </c>
      <c r="K117" s="324">
        <v>104874</v>
      </c>
      <c r="L117" s="324">
        <v>281018</v>
      </c>
      <c r="M117" s="324">
        <v>116213</v>
      </c>
      <c r="N117" s="324">
        <v>1558100</v>
      </c>
      <c r="O117" s="324">
        <v>5252.513618</v>
      </c>
      <c r="P117" s="324">
        <v>330691.3</v>
      </c>
      <c r="Q117" s="325">
        <v>3425000</v>
      </c>
      <c r="R117" s="323">
        <v>4004214</v>
      </c>
      <c r="S117" s="323">
        <v>2235102</v>
      </c>
      <c r="T117" s="323">
        <f t="shared" si="33"/>
        <v>7392577.2344178911</v>
      </c>
      <c r="U117" s="323">
        <v>173350</v>
      </c>
      <c r="V117" s="323">
        <v>3476869</v>
      </c>
      <c r="W117" s="323">
        <f t="shared" si="39"/>
        <v>757641.29925207258</v>
      </c>
      <c r="X117" s="323">
        <v>8336276</v>
      </c>
      <c r="Y117" s="323">
        <f t="shared" si="40"/>
        <v>198847.23423593835</v>
      </c>
      <c r="Z117" s="323">
        <v>11556831</v>
      </c>
      <c r="AA117" s="323">
        <v>1082599</v>
      </c>
      <c r="AB117" s="323">
        <v>2092862</v>
      </c>
      <c r="AC117" s="323">
        <v>5729208</v>
      </c>
      <c r="AE117" s="766"/>
      <c r="AF117" s="427">
        <v>2005</v>
      </c>
      <c r="AG117" s="821">
        <f t="shared" si="36"/>
        <v>0.71695679012345692</v>
      </c>
      <c r="AH117" s="822">
        <f t="shared" si="37"/>
        <v>1277.6170000000002</v>
      </c>
      <c r="AI117" s="822">
        <v>1782</v>
      </c>
      <c r="AJ117" s="822">
        <v>932</v>
      </c>
      <c r="AK117" s="427">
        <v>231</v>
      </c>
      <c r="AL117" s="427">
        <v>264</v>
      </c>
      <c r="AM117" s="427">
        <v>211</v>
      </c>
      <c r="AN117" s="427">
        <v>144</v>
      </c>
      <c r="AO117" s="824">
        <v>0.95499999999999996</v>
      </c>
      <c r="AP117" s="824">
        <v>0.626</v>
      </c>
      <c r="AQ117" s="824">
        <v>8.0000000000000002E-3</v>
      </c>
    </row>
    <row r="118" spans="1:43" x14ac:dyDescent="0.3">
      <c r="A118" s="766" t="s">
        <v>317</v>
      </c>
      <c r="B118" s="323">
        <v>24093216</v>
      </c>
      <c r="C118" s="323">
        <v>10205504</v>
      </c>
      <c r="D118" s="324">
        <f t="shared" si="38"/>
        <v>986964.09522172774</v>
      </c>
      <c r="E118" s="324">
        <f t="shared" si="41"/>
        <v>59793.359670856815</v>
      </c>
      <c r="F118" s="324">
        <v>2558411</v>
      </c>
      <c r="G118" s="324">
        <v>0</v>
      </c>
      <c r="H118" s="324">
        <v>296405</v>
      </c>
      <c r="I118" s="324">
        <v>2864811</v>
      </c>
      <c r="J118" s="324">
        <v>6026520</v>
      </c>
      <c r="K118" s="324">
        <v>121670</v>
      </c>
      <c r="L118" s="324">
        <v>387337</v>
      </c>
      <c r="M118" s="324">
        <v>133171</v>
      </c>
      <c r="N118" s="324">
        <v>1790400</v>
      </c>
      <c r="O118" s="324">
        <v>5815.3890920000003</v>
      </c>
      <c r="P118" s="324">
        <v>438071.1</v>
      </c>
      <c r="Q118" s="325">
        <v>4207000</v>
      </c>
      <c r="R118" s="323">
        <v>3877033</v>
      </c>
      <c r="S118" s="323">
        <v>2575229</v>
      </c>
      <c r="T118" s="323">
        <f t="shared" si="33"/>
        <v>9218539.9047782719</v>
      </c>
      <c r="U118" s="323">
        <v>160739</v>
      </c>
      <c r="V118" s="323">
        <v>3461972</v>
      </c>
      <c r="W118" s="323">
        <f t="shared" si="39"/>
        <v>754395.10779793432</v>
      </c>
      <c r="X118" s="323">
        <v>8754021</v>
      </c>
      <c r="Y118" s="323">
        <f t="shared" si="40"/>
        <v>208811.8080895262</v>
      </c>
      <c r="Z118" s="323">
        <v>12592327</v>
      </c>
      <c r="AA118" s="323">
        <v>1055178</v>
      </c>
      <c r="AB118" s="323">
        <v>2376127</v>
      </c>
      <c r="AC118" s="323">
        <v>5809641</v>
      </c>
      <c r="AE118" s="766"/>
      <c r="AF118" s="427">
        <v>2006</v>
      </c>
      <c r="AG118" s="821">
        <f t="shared" si="36"/>
        <v>0.71816604477611945</v>
      </c>
      <c r="AH118" s="822">
        <f t="shared" si="37"/>
        <v>1539.748</v>
      </c>
      <c r="AI118" s="822">
        <v>2144</v>
      </c>
      <c r="AJ118" s="822">
        <v>1067</v>
      </c>
      <c r="AK118" s="427">
        <v>324</v>
      </c>
      <c r="AL118" s="427">
        <v>340</v>
      </c>
      <c r="AM118" s="427">
        <v>234</v>
      </c>
      <c r="AN118" s="427">
        <v>179</v>
      </c>
      <c r="AO118" s="824">
        <v>0.95599999999999996</v>
      </c>
      <c r="AP118" s="824">
        <v>0.61199999999999999</v>
      </c>
      <c r="AQ118" s="824">
        <v>8.0000000000000002E-3</v>
      </c>
    </row>
    <row r="119" spans="1:43" x14ac:dyDescent="0.3">
      <c r="A119" s="766" t="s">
        <v>318</v>
      </c>
      <c r="B119" s="323">
        <v>25328960</v>
      </c>
      <c r="C119" s="323">
        <v>10046395</v>
      </c>
      <c r="D119" s="324">
        <f t="shared" si="38"/>
        <v>1037585.6045663366</v>
      </c>
      <c r="E119" s="324">
        <f t="shared" si="41"/>
        <v>65601.744643483195</v>
      </c>
      <c r="F119" s="324">
        <v>2953999</v>
      </c>
      <c r="G119" s="324">
        <v>0</v>
      </c>
      <c r="H119" s="324">
        <v>277294</v>
      </c>
      <c r="I119" s="324">
        <v>3203528</v>
      </c>
      <c r="J119" s="324">
        <v>6611942</v>
      </c>
      <c r="K119" s="324">
        <v>145198</v>
      </c>
      <c r="L119" s="324">
        <v>544824</v>
      </c>
      <c r="M119" s="324">
        <v>141861</v>
      </c>
      <c r="N119" s="324">
        <v>1906800</v>
      </c>
      <c r="O119" s="324">
        <v>6092.4675649999999</v>
      </c>
      <c r="P119" s="324">
        <v>312009</v>
      </c>
      <c r="Q119" s="325">
        <v>4748000</v>
      </c>
      <c r="R119" s="323">
        <v>4062651</v>
      </c>
      <c r="S119" s="323">
        <v>2752326</v>
      </c>
      <c r="T119" s="323">
        <f t="shared" si="33"/>
        <v>9008809.3954336643</v>
      </c>
      <c r="U119" s="323">
        <v>132633</v>
      </c>
      <c r="V119" s="323">
        <v>4064863</v>
      </c>
      <c r="W119" s="323">
        <f t="shared" si="39"/>
        <v>885770.52647128131</v>
      </c>
      <c r="X119" s="323">
        <v>8815531</v>
      </c>
      <c r="Y119" s="323">
        <f t="shared" si="40"/>
        <v>210279.02119257755</v>
      </c>
      <c r="Z119" s="323">
        <v>13285365</v>
      </c>
      <c r="AA119" s="323">
        <v>1077158</v>
      </c>
      <c r="AB119" s="323">
        <v>2683276</v>
      </c>
      <c r="AC119" s="323">
        <v>5434793</v>
      </c>
      <c r="AE119" s="766"/>
      <c r="AF119" s="427">
        <v>2007</v>
      </c>
      <c r="AG119" s="821">
        <f t="shared" si="36"/>
        <v>0.81163453650533224</v>
      </c>
      <c r="AH119" s="822">
        <f t="shared" si="37"/>
        <v>1978.7649999999999</v>
      </c>
      <c r="AI119" s="822">
        <v>2438</v>
      </c>
      <c r="AJ119" s="822">
        <v>1125</v>
      </c>
      <c r="AK119" s="427">
        <v>410</v>
      </c>
      <c r="AL119" s="427">
        <v>409</v>
      </c>
      <c r="AM119" s="427">
        <v>270</v>
      </c>
      <c r="AN119" s="427">
        <v>224</v>
      </c>
      <c r="AO119" s="824">
        <v>0.95199999999999996</v>
      </c>
      <c r="AP119" s="824">
        <v>0.60499999999999998</v>
      </c>
      <c r="AQ119" s="824">
        <v>1</v>
      </c>
    </row>
    <row r="120" spans="1:43" x14ac:dyDescent="0.3">
      <c r="A120" s="766" t="s">
        <v>319</v>
      </c>
      <c r="B120" s="323">
        <v>15237537</v>
      </c>
      <c r="C120" s="323">
        <v>5650101</v>
      </c>
      <c r="D120" s="324">
        <f t="shared" si="38"/>
        <v>624196.53393771092</v>
      </c>
      <c r="E120" s="324">
        <f t="shared" si="41"/>
        <v>37070.886856648365</v>
      </c>
      <c r="F120" s="324">
        <v>1929859</v>
      </c>
      <c r="G120" s="324">
        <v>188676</v>
      </c>
      <c r="H120" s="324">
        <v>211312</v>
      </c>
      <c r="I120" s="324">
        <v>1805232</v>
      </c>
      <c r="J120" s="324">
        <v>3736342</v>
      </c>
      <c r="K120" s="324">
        <v>72277</v>
      </c>
      <c r="L120" s="324">
        <v>438298</v>
      </c>
      <c r="M120" s="324">
        <v>90873</v>
      </c>
      <c r="N120" s="324">
        <v>1286300</v>
      </c>
      <c r="O120" s="324">
        <v>6126.3868990000001</v>
      </c>
      <c r="P120" s="324">
        <v>191651</v>
      </c>
      <c r="Q120" s="325">
        <v>3681000</v>
      </c>
      <c r="R120" s="323">
        <v>2586714</v>
      </c>
      <c r="S120" s="323">
        <v>1835504</v>
      </c>
      <c r="T120" s="323">
        <f t="shared" si="33"/>
        <v>5025904.4660622887</v>
      </c>
      <c r="U120" s="323">
        <v>101223</v>
      </c>
      <c r="V120" s="323">
        <v>5104679</v>
      </c>
      <c r="W120" s="323">
        <f t="shared" si="39"/>
        <v>1112355.8666791215</v>
      </c>
      <c r="X120" s="323">
        <v>7334028</v>
      </c>
      <c r="Y120" s="323">
        <f t="shared" si="40"/>
        <v>174940.36709064461</v>
      </c>
      <c r="Z120" s="323">
        <v>10536292</v>
      </c>
      <c r="AA120" s="323">
        <v>1050163</v>
      </c>
      <c r="AB120" s="323">
        <v>2870309</v>
      </c>
      <c r="AC120" s="323">
        <v>4594997</v>
      </c>
      <c r="AE120" s="766"/>
      <c r="AF120" s="427">
        <v>2008</v>
      </c>
      <c r="AG120" s="821">
        <f t="shared" si="36"/>
        <v>0.57704360636417207</v>
      </c>
      <c r="AH120" s="822">
        <f t="shared" si="37"/>
        <v>979.24300000000005</v>
      </c>
      <c r="AI120" s="822">
        <v>1697</v>
      </c>
      <c r="AJ120" s="822">
        <v>654</v>
      </c>
      <c r="AK120" s="427">
        <v>221</v>
      </c>
      <c r="AL120" s="427">
        <v>288</v>
      </c>
      <c r="AM120" s="427">
        <v>261</v>
      </c>
      <c r="AN120" s="427">
        <v>273</v>
      </c>
      <c r="AO120" s="824">
        <v>0.93500000000000005</v>
      </c>
      <c r="AP120" s="824">
        <v>0.55400000000000005</v>
      </c>
      <c r="AQ120" s="824">
        <v>6.0000000000000001E-3</v>
      </c>
    </row>
    <row r="121" spans="1:43" x14ac:dyDescent="0.3">
      <c r="A121" s="766" t="s">
        <v>320</v>
      </c>
      <c r="B121" s="323">
        <v>19801756</v>
      </c>
      <c r="C121" s="323">
        <v>7352531</v>
      </c>
      <c r="D121" s="324">
        <f t="shared" si="38"/>
        <v>811167.0187301446</v>
      </c>
      <c r="E121" s="324">
        <f t="shared" si="41"/>
        <v>50537.618416695281</v>
      </c>
      <c r="F121" s="324">
        <v>2657426</v>
      </c>
      <c r="G121" s="324">
        <v>67351</v>
      </c>
      <c r="H121" s="324">
        <v>194458</v>
      </c>
      <c r="I121" s="324">
        <v>2518016</v>
      </c>
      <c r="J121" s="324">
        <v>5093642</v>
      </c>
      <c r="K121" s="324">
        <v>87430</v>
      </c>
      <c r="L121" s="324">
        <v>595538</v>
      </c>
      <c r="M121" s="324">
        <v>112359</v>
      </c>
      <c r="N121" s="324">
        <v>1555200</v>
      </c>
      <c r="O121" s="324">
        <v>5392.8668530000004</v>
      </c>
      <c r="P121" s="324">
        <v>271199.2</v>
      </c>
      <c r="Q121" s="325">
        <v>4488000</v>
      </c>
      <c r="R121" s="323">
        <v>3187491</v>
      </c>
      <c r="S121" s="323">
        <v>2380576</v>
      </c>
      <c r="T121" s="323">
        <f t="shared" si="33"/>
        <v>6541363.9812698551</v>
      </c>
      <c r="U121" s="323">
        <v>124144</v>
      </c>
      <c r="V121" s="323">
        <v>4947918</v>
      </c>
      <c r="W121" s="323">
        <f t="shared" si="39"/>
        <v>1078196.2225533135</v>
      </c>
      <c r="X121" s="323">
        <v>6128936</v>
      </c>
      <c r="Y121" s="323">
        <f t="shared" si="40"/>
        <v>146195.01230634339</v>
      </c>
      <c r="Z121" s="323">
        <v>11962379</v>
      </c>
      <c r="AA121" s="323">
        <v>1109537</v>
      </c>
      <c r="AB121" s="323">
        <v>2869007</v>
      </c>
      <c r="AC121" s="323">
        <v>4143771</v>
      </c>
      <c r="AE121" s="766"/>
      <c r="AF121" s="427">
        <v>2009</v>
      </c>
      <c r="AG121" s="821">
        <f t="shared" si="36"/>
        <v>0.61484677039132485</v>
      </c>
      <c r="AH121" s="822">
        <f t="shared" si="37"/>
        <v>1304.0899999999999</v>
      </c>
      <c r="AI121" s="822">
        <v>2121</v>
      </c>
      <c r="AJ121" s="822">
        <v>834</v>
      </c>
      <c r="AK121" s="427">
        <v>309</v>
      </c>
      <c r="AL121" s="427">
        <v>372</v>
      </c>
      <c r="AM121" s="427">
        <v>376</v>
      </c>
      <c r="AN121" s="427">
        <v>229</v>
      </c>
      <c r="AO121" s="824">
        <v>0.95799999999999996</v>
      </c>
      <c r="AP121" s="824">
        <v>0.55400000000000005</v>
      </c>
      <c r="AQ121" s="824">
        <v>8.0000000000000002E-3</v>
      </c>
    </row>
    <row r="122" spans="1:43" x14ac:dyDescent="0.3">
      <c r="A122" s="766" t="s">
        <v>321</v>
      </c>
      <c r="B122" s="323">
        <v>23236368</v>
      </c>
      <c r="C122" s="323">
        <v>8795180</v>
      </c>
      <c r="D122" s="324">
        <f t="shared" si="38"/>
        <v>951863.83251447661</v>
      </c>
      <c r="E122" s="324">
        <f t="shared" si="41"/>
        <v>58267.262383464891</v>
      </c>
      <c r="F122" s="324">
        <v>3213464</v>
      </c>
      <c r="G122" s="324">
        <v>49928</v>
      </c>
      <c r="H122" s="324">
        <v>222242</v>
      </c>
      <c r="I122" s="324">
        <v>2910984</v>
      </c>
      <c r="J122" s="324">
        <v>5872706</v>
      </c>
      <c r="K122" s="324">
        <v>96701</v>
      </c>
      <c r="L122" s="324">
        <v>753013</v>
      </c>
      <c r="M122" s="324">
        <v>126959</v>
      </c>
      <c r="N122" s="324">
        <v>1754100</v>
      </c>
      <c r="O122" s="324">
        <v>5684.4312380000001</v>
      </c>
      <c r="P122" s="324">
        <v>389295.4</v>
      </c>
      <c r="Q122" s="325">
        <v>5029000</v>
      </c>
      <c r="R122" s="323">
        <v>3647776</v>
      </c>
      <c r="S122" s="323">
        <v>2689682</v>
      </c>
      <c r="T122" s="323">
        <f t="shared" si="33"/>
        <v>7843316.167485523</v>
      </c>
      <c r="U122" s="323">
        <v>147908</v>
      </c>
      <c r="V122" s="323">
        <v>4859354</v>
      </c>
      <c r="W122" s="323">
        <f t="shared" si="39"/>
        <v>1058897.3234498498</v>
      </c>
      <c r="X122" s="323">
        <v>6761115</v>
      </c>
      <c r="Y122" s="323">
        <f t="shared" si="40"/>
        <v>161274.53290907308</v>
      </c>
      <c r="Z122" s="323">
        <v>13239475</v>
      </c>
      <c r="AA122" s="323">
        <v>1137483</v>
      </c>
      <c r="AB122" s="323">
        <v>2852672</v>
      </c>
      <c r="AC122" s="323">
        <v>4277967</v>
      </c>
      <c r="AE122" s="766"/>
      <c r="AF122" s="427">
        <v>2010</v>
      </c>
      <c r="AG122" s="821">
        <f t="shared" si="36"/>
        <v>0.62887056883759274</v>
      </c>
      <c r="AH122" s="822">
        <f t="shared" si="37"/>
        <v>1525.64</v>
      </c>
      <c r="AI122" s="822">
        <v>2426</v>
      </c>
      <c r="AJ122" s="822">
        <v>949</v>
      </c>
      <c r="AK122" s="427">
        <v>371</v>
      </c>
      <c r="AL122" s="427">
        <v>443</v>
      </c>
      <c r="AM122" s="427">
        <v>459</v>
      </c>
      <c r="AN122" s="427">
        <v>204</v>
      </c>
      <c r="AO122" s="824">
        <v>0.95699999999999996</v>
      </c>
      <c r="AP122" s="824">
        <v>0.58299999999999996</v>
      </c>
      <c r="AQ122" s="824">
        <v>8.9999999999999993E-3</v>
      </c>
    </row>
    <row r="123" spans="1:43" x14ac:dyDescent="0.3">
      <c r="A123" s="766" t="s">
        <v>322</v>
      </c>
      <c r="B123" s="323">
        <v>22441193</v>
      </c>
      <c r="C123" s="323">
        <v>8403204</v>
      </c>
      <c r="D123" s="324">
        <f t="shared" si="38"/>
        <v>919289.96714017633</v>
      </c>
      <c r="E123" s="324">
        <f t="shared" si="41"/>
        <v>54668.838206303662</v>
      </c>
      <c r="F123" s="324">
        <v>3397174</v>
      </c>
      <c r="G123" s="324">
        <v>57824</v>
      </c>
      <c r="H123" s="324">
        <v>236139</v>
      </c>
      <c r="I123" s="324">
        <v>2733966</v>
      </c>
      <c r="J123" s="324">
        <v>5510024</v>
      </c>
      <c r="K123" s="324">
        <v>95855</v>
      </c>
      <c r="L123" s="324">
        <v>754599</v>
      </c>
      <c r="M123" s="324">
        <v>124964</v>
      </c>
      <c r="N123" s="324">
        <v>1802400</v>
      </c>
      <c r="O123" s="324">
        <v>6230.4056460000002</v>
      </c>
      <c r="P123" s="324">
        <v>450500.6</v>
      </c>
      <c r="Q123" s="325">
        <v>5153000</v>
      </c>
      <c r="R123" s="323">
        <v>3470054</v>
      </c>
      <c r="S123" s="323">
        <v>2589142</v>
      </c>
      <c r="T123" s="323">
        <f t="shared" si="33"/>
        <v>7483914.0328598237</v>
      </c>
      <c r="U123" s="323">
        <v>160812</v>
      </c>
      <c r="V123" s="323">
        <v>4322652</v>
      </c>
      <c r="W123" s="323">
        <f t="shared" si="39"/>
        <v>941945.08838111814</v>
      </c>
      <c r="X123" s="323">
        <v>7415515</v>
      </c>
      <c r="Y123" s="323">
        <f t="shared" si="40"/>
        <v>176884.09647006821</v>
      </c>
      <c r="Z123" s="323">
        <v>13269012</v>
      </c>
      <c r="AA123" s="323">
        <v>1199263</v>
      </c>
      <c r="AB123" s="323">
        <v>2814331</v>
      </c>
      <c r="AC123" s="323">
        <v>4494266</v>
      </c>
      <c r="AE123" s="766"/>
      <c r="AF123" s="427">
        <v>2011</v>
      </c>
      <c r="AG123" s="821">
        <f t="shared" si="36"/>
        <v>0.60470347394540935</v>
      </c>
      <c r="AH123" s="822">
        <f t="shared" si="37"/>
        <v>1462.1729999999998</v>
      </c>
      <c r="AI123" s="822">
        <v>2418</v>
      </c>
      <c r="AJ123" s="822">
        <v>895</v>
      </c>
      <c r="AK123" s="427">
        <v>316</v>
      </c>
      <c r="AL123" s="427">
        <v>495</v>
      </c>
      <c r="AM123" s="427">
        <v>499</v>
      </c>
      <c r="AN123" s="427">
        <v>213</v>
      </c>
      <c r="AO123" s="824">
        <v>0.95599999999999996</v>
      </c>
      <c r="AP123" s="824">
        <v>0.60699999999999998</v>
      </c>
      <c r="AQ123" s="824">
        <v>8.0000000000000002E-3</v>
      </c>
    </row>
    <row r="124" spans="1:43" x14ac:dyDescent="0.3">
      <c r="A124" s="766" t="s">
        <v>323</v>
      </c>
      <c r="B124" s="323">
        <v>25848321</v>
      </c>
      <c r="C124" s="323">
        <v>9790302</v>
      </c>
      <c r="D124" s="324">
        <f t="shared" si="38"/>
        <v>1058860.9154031486</v>
      </c>
      <c r="E124" s="324">
        <f t="shared" si="41"/>
        <v>62481.100218973595</v>
      </c>
      <c r="F124" s="324">
        <v>3952993</v>
      </c>
      <c r="G124" s="324">
        <v>39908</v>
      </c>
      <c r="H124" s="324">
        <v>255057</v>
      </c>
      <c r="I124" s="324">
        <v>3190950</v>
      </c>
      <c r="J124" s="324">
        <v>6297415</v>
      </c>
      <c r="K124" s="324">
        <v>100640</v>
      </c>
      <c r="L124" s="324">
        <v>973652</v>
      </c>
      <c r="M124" s="324">
        <v>138629</v>
      </c>
      <c r="N124" s="324">
        <v>2060199.9999999998</v>
      </c>
      <c r="O124" s="324">
        <v>6572.8661279999997</v>
      </c>
      <c r="P124" s="324">
        <v>603415.30000000005</v>
      </c>
      <c r="Q124" s="325">
        <v>5785000</v>
      </c>
      <c r="R124" s="323">
        <v>3849501</v>
      </c>
      <c r="S124" s="323">
        <v>2893707</v>
      </c>
      <c r="T124" s="323">
        <f t="shared" si="33"/>
        <v>8731441.0845968518</v>
      </c>
      <c r="U124" s="323">
        <v>181019</v>
      </c>
      <c r="V124" s="323">
        <v>4137534</v>
      </c>
      <c r="W124" s="323">
        <f t="shared" si="39"/>
        <v>901606.19668432279</v>
      </c>
      <c r="X124" s="323">
        <v>8174703</v>
      </c>
      <c r="Y124" s="323">
        <f t="shared" si="40"/>
        <v>194993.19387340677</v>
      </c>
      <c r="Z124" s="323">
        <v>14359085</v>
      </c>
      <c r="AA124" s="323">
        <v>1186353</v>
      </c>
      <c r="AB124" s="323">
        <v>2908790</v>
      </c>
      <c r="AC124" s="323">
        <v>4841383</v>
      </c>
      <c r="AE124" s="766"/>
      <c r="AF124" s="427">
        <v>2012</v>
      </c>
      <c r="AG124" s="821">
        <f t="shared" si="36"/>
        <v>0.60039160332971409</v>
      </c>
      <c r="AH124" s="822">
        <f t="shared" si="37"/>
        <v>1658.8820000000001</v>
      </c>
      <c r="AI124" s="822">
        <v>2763</v>
      </c>
      <c r="AJ124" s="822">
        <v>1010</v>
      </c>
      <c r="AK124" s="427">
        <v>358</v>
      </c>
      <c r="AL124" s="427">
        <v>583</v>
      </c>
      <c r="AM124" s="427">
        <v>595</v>
      </c>
      <c r="AN124" s="427">
        <v>217</v>
      </c>
      <c r="AO124" s="824">
        <v>0.95599999999999996</v>
      </c>
      <c r="AP124" s="824">
        <v>0.59299999999999997</v>
      </c>
      <c r="AQ124" s="824">
        <v>8.9999999999999993E-3</v>
      </c>
    </row>
    <row r="125" spans="1:43" ht="15.75" customHeight="1" x14ac:dyDescent="0.3">
      <c r="A125" s="766" t="s">
        <v>324</v>
      </c>
      <c r="B125" s="323">
        <v>33461860</v>
      </c>
      <c r="C125" s="323">
        <v>12849730</v>
      </c>
      <c r="D125" s="324">
        <f t="shared" si="38"/>
        <v>1370744.959051383</v>
      </c>
      <c r="E125" s="324">
        <f t="shared" si="41"/>
        <v>81628.673220957731</v>
      </c>
      <c r="F125" s="324">
        <v>5204383</v>
      </c>
      <c r="G125" s="324">
        <v>35068</v>
      </c>
      <c r="H125" s="324">
        <v>298516</v>
      </c>
      <c r="I125" s="324">
        <v>4169522</v>
      </c>
      <c r="J125" s="324">
        <v>8227282</v>
      </c>
      <c r="K125" s="324">
        <v>114186</v>
      </c>
      <c r="L125" s="324">
        <v>1364225</v>
      </c>
      <c r="M125" s="324">
        <v>162410</v>
      </c>
      <c r="N125" s="324">
        <v>2602500</v>
      </c>
      <c r="O125" s="324"/>
      <c r="P125" s="324">
        <v>670334.1</v>
      </c>
      <c r="Q125" s="325">
        <v>6835000</v>
      </c>
      <c r="R125" s="323">
        <v>4622025</v>
      </c>
      <c r="S125" s="323">
        <v>3513426</v>
      </c>
      <c r="T125" s="323">
        <f t="shared" si="33"/>
        <v>11478985.040948616</v>
      </c>
      <c r="U125" s="323">
        <v>222002</v>
      </c>
      <c r="V125" s="323">
        <v>4335286</v>
      </c>
      <c r="W125" s="323">
        <f t="shared" si="39"/>
        <v>944698.15160402097</v>
      </c>
      <c r="X125" s="323">
        <v>9327491</v>
      </c>
      <c r="Y125" s="323">
        <f t="shared" si="40"/>
        <v>222490.9285285908</v>
      </c>
      <c r="Z125" s="323">
        <v>16418278</v>
      </c>
      <c r="AA125" s="323">
        <v>1233043</v>
      </c>
      <c r="AB125" s="323">
        <v>2985141</v>
      </c>
      <c r="AC125" s="323">
        <v>5363754</v>
      </c>
      <c r="AE125" s="766"/>
      <c r="AF125" s="427">
        <v>2013</v>
      </c>
      <c r="AG125" s="821">
        <f t="shared" si="36"/>
        <v>0.64793373313343328</v>
      </c>
      <c r="AH125" s="822">
        <f t="shared" si="37"/>
        <v>2160.8589999999999</v>
      </c>
      <c r="AI125" s="822">
        <v>3335</v>
      </c>
      <c r="AJ125" s="822">
        <v>1359</v>
      </c>
      <c r="AK125" s="427">
        <v>449</v>
      </c>
      <c r="AL125" s="427">
        <v>716</v>
      </c>
      <c r="AM125" s="427">
        <v>581</v>
      </c>
      <c r="AN125" s="427">
        <v>230</v>
      </c>
      <c r="AO125" s="824">
        <v>0.95599999999999996</v>
      </c>
      <c r="AP125" s="824">
        <v>0.59499999999999997</v>
      </c>
      <c r="AQ125" s="824">
        <v>1.0999999999999999E-2</v>
      </c>
    </row>
    <row r="126" spans="1:43" ht="17.25" customHeight="1" x14ac:dyDescent="0.3">
      <c r="A126" s="766" t="s">
        <v>325</v>
      </c>
      <c r="B126" s="323">
        <v>36731041</v>
      </c>
      <c r="C126" s="323">
        <v>14364902</v>
      </c>
      <c r="D126" s="324">
        <f t="shared" si="38"/>
        <v>1504664.9914696813</v>
      </c>
      <c r="E126" s="324">
        <f t="shared" si="41"/>
        <v>87303.21437958203</v>
      </c>
      <c r="F126" s="324">
        <v>5921510</v>
      </c>
      <c r="G126" s="324">
        <v>33431</v>
      </c>
      <c r="H126" s="324">
        <v>316464</v>
      </c>
      <c r="I126" s="324">
        <v>4500896</v>
      </c>
      <c r="J126" s="324">
        <v>8799214</v>
      </c>
      <c r="K126" s="324">
        <v>119333</v>
      </c>
      <c r="L126" s="324">
        <v>1619984</v>
      </c>
      <c r="M126" s="324">
        <v>173820</v>
      </c>
      <c r="N126" s="324">
        <v>2998500</v>
      </c>
      <c r="O126" s="324"/>
      <c r="P126" s="324">
        <v>907425.5</v>
      </c>
      <c r="Q126" s="325">
        <v>7266000</v>
      </c>
      <c r="R126" s="323">
        <v>4760721</v>
      </c>
      <c r="S126" s="323">
        <v>3715954</v>
      </c>
      <c r="T126" s="323">
        <f t="shared" si="33"/>
        <v>12860237.008530319</v>
      </c>
      <c r="U126" s="323">
        <v>234410</v>
      </c>
      <c r="V126" s="323">
        <v>3993128</v>
      </c>
      <c r="W126" s="323">
        <f t="shared" si="39"/>
        <v>870138.81915016926</v>
      </c>
      <c r="X126" s="323">
        <v>10097465</v>
      </c>
      <c r="Y126" s="323">
        <f t="shared" si="40"/>
        <v>240857.30703304318</v>
      </c>
      <c r="Z126" s="323">
        <v>17065199</v>
      </c>
      <c r="AA126" s="323">
        <v>1282760</v>
      </c>
      <c r="AB126" s="323">
        <v>3170529</v>
      </c>
      <c r="AC126" s="323">
        <v>5648545</v>
      </c>
      <c r="AE126" s="766"/>
      <c r="AF126" s="427">
        <v>2014</v>
      </c>
      <c r="AG126" s="821">
        <f t="shared" si="36"/>
        <v>0.6641276174306735</v>
      </c>
      <c r="AH126" s="822">
        <f t="shared" si="37"/>
        <v>2347.027</v>
      </c>
      <c r="AI126" s="822">
        <v>3534</v>
      </c>
      <c r="AJ126" s="822">
        <v>1481</v>
      </c>
      <c r="AK126" s="427">
        <v>460</v>
      </c>
      <c r="AL126" s="427">
        <v>788</v>
      </c>
      <c r="AM126" s="427">
        <v>586</v>
      </c>
      <c r="AN126" s="427">
        <v>219</v>
      </c>
      <c r="AO126" s="824">
        <v>0.95699999999999996</v>
      </c>
      <c r="AP126" s="824">
        <v>0.61299999999999999</v>
      </c>
      <c r="AQ126" s="824">
        <v>1.0999999999999999E-2</v>
      </c>
    </row>
    <row r="127" spans="1:43" x14ac:dyDescent="0.3">
      <c r="A127" s="767" t="s">
        <v>326</v>
      </c>
      <c r="B127" s="326">
        <v>35756183</v>
      </c>
      <c r="C127" s="326">
        <v>14158205</v>
      </c>
      <c r="D127" s="327">
        <f t="shared" si="38"/>
        <v>1464730.5201255626</v>
      </c>
      <c r="E127" s="327">
        <f t="shared" si="41"/>
        <v>85577.978530971726</v>
      </c>
      <c r="F127" s="327">
        <v>5522194</v>
      </c>
      <c r="G127" s="327">
        <v>33407</v>
      </c>
      <c r="H127" s="327">
        <v>306201</v>
      </c>
      <c r="I127" s="327">
        <v>4359997</v>
      </c>
      <c r="J127" s="327">
        <v>8625329</v>
      </c>
      <c r="K127" s="327">
        <v>99675</v>
      </c>
      <c r="L127" s="327">
        <v>1709485</v>
      </c>
      <c r="M127" s="327">
        <v>178002</v>
      </c>
      <c r="N127" s="327">
        <v>2827200</v>
      </c>
      <c r="O127" s="327"/>
      <c r="P127" s="327">
        <v>938852</v>
      </c>
      <c r="Q127" s="328">
        <v>7329000</v>
      </c>
      <c r="R127" s="326">
        <v>4540066</v>
      </c>
      <c r="S127" s="326">
        <v>3764685</v>
      </c>
      <c r="T127" s="326">
        <f t="shared" si="33"/>
        <v>12693474.479874438</v>
      </c>
      <c r="U127" s="326">
        <v>224999</v>
      </c>
      <c r="V127" s="326">
        <v>4440017</v>
      </c>
      <c r="W127" s="326">
        <f t="shared" si="39"/>
        <v>967519.98668379209</v>
      </c>
      <c r="X127" s="326">
        <v>10829426</v>
      </c>
      <c r="Y127" s="326">
        <f t="shared" si="40"/>
        <v>258316.95213339393</v>
      </c>
      <c r="Z127" s="326">
        <v>17097243</v>
      </c>
      <c r="AA127" s="326">
        <v>1310567</v>
      </c>
      <c r="AB127" s="326">
        <v>3376593</v>
      </c>
      <c r="AC127" s="326">
        <v>6159507</v>
      </c>
      <c r="AE127" s="766"/>
      <c r="AF127" s="427">
        <v>2015</v>
      </c>
      <c r="AG127" s="821">
        <f t="shared" si="36"/>
        <v>0.65894168096054895</v>
      </c>
      <c r="AH127" s="822">
        <f t="shared" si="37"/>
        <v>2304.9780000000001</v>
      </c>
      <c r="AI127" s="822">
        <v>3498</v>
      </c>
      <c r="AJ127" s="822">
        <v>1459</v>
      </c>
      <c r="AK127" s="427">
        <v>464</v>
      </c>
      <c r="AL127" s="427">
        <v>783</v>
      </c>
      <c r="AM127" s="427">
        <v>576</v>
      </c>
      <c r="AN127" s="427">
        <v>216</v>
      </c>
      <c r="AO127" s="824">
        <v>0.96099999999999997</v>
      </c>
      <c r="AP127" s="824">
        <v>0.57699999999999996</v>
      </c>
      <c r="AQ127" s="824">
        <v>8.9999999999999993E-3</v>
      </c>
    </row>
    <row r="128" spans="1:43" ht="11.25" customHeight="1" x14ac:dyDescent="0.3">
      <c r="A128" s="24"/>
      <c r="N128" s="24"/>
      <c r="AE128" s="12"/>
      <c r="AF128" s="427">
        <v>2016</v>
      </c>
      <c r="AG128" s="821">
        <f t="shared" si="36"/>
        <v>0.65207385444743937</v>
      </c>
      <c r="AH128" s="822">
        <f t="shared" si="37"/>
        <v>2419.194</v>
      </c>
      <c r="AI128" s="822">
        <v>3710</v>
      </c>
      <c r="AJ128" s="822">
        <v>1547</v>
      </c>
      <c r="AK128" s="427">
        <v>466</v>
      </c>
      <c r="AL128" s="427">
        <v>831</v>
      </c>
      <c r="AM128" s="427">
        <v>576</v>
      </c>
      <c r="AN128" s="427">
        <v>243</v>
      </c>
      <c r="AO128" s="824">
        <v>0.96199999999999997</v>
      </c>
      <c r="AP128" s="824">
        <v>0.57599999999999996</v>
      </c>
      <c r="AQ128" s="824">
        <v>7.0000000000000001E-3</v>
      </c>
    </row>
    <row r="129" spans="1:41" x14ac:dyDescent="0.3">
      <c r="A129" s="414" t="s">
        <v>543</v>
      </c>
      <c r="Q129" s="24"/>
      <c r="AE129" s="12"/>
      <c r="AF129" s="12"/>
      <c r="AG129" s="12"/>
      <c r="AH129" s="12"/>
      <c r="AI129" s="12"/>
      <c r="AJ129" s="12"/>
      <c r="AK129" s="12"/>
      <c r="AL129" s="12"/>
      <c r="AM129" s="12"/>
      <c r="AN129" s="12"/>
      <c r="AO129" s="12"/>
    </row>
    <row r="130" spans="1:41" x14ac:dyDescent="0.3">
      <c r="A130" s="278" t="s">
        <v>344</v>
      </c>
      <c r="Q130" s="24"/>
    </row>
    <row r="131" spans="1:41" x14ac:dyDescent="0.3">
      <c r="A131" s="278" t="s">
        <v>343</v>
      </c>
      <c r="Q131" s="24"/>
    </row>
    <row r="132" spans="1:41" s="655" customFormat="1" x14ac:dyDescent="0.3">
      <c r="A132" s="655" t="s">
        <v>1256</v>
      </c>
      <c r="Q132" s="24"/>
    </row>
    <row r="133" spans="1:41" ht="8.25" customHeight="1" x14ac:dyDescent="0.3">
      <c r="R133" s="24"/>
    </row>
    <row r="134" spans="1:41" x14ac:dyDescent="0.3">
      <c r="A134" s="278" t="s">
        <v>1251</v>
      </c>
      <c r="Q134" s="300"/>
      <c r="R134" s="304"/>
    </row>
    <row r="135" spans="1:41" x14ac:dyDescent="0.3">
      <c r="A135" s="24" t="s">
        <v>341</v>
      </c>
      <c r="Q135" s="300"/>
      <c r="R135" s="304"/>
    </row>
    <row r="136" spans="1:41" x14ac:dyDescent="0.3">
      <c r="A136" s="278" t="s">
        <v>340</v>
      </c>
      <c r="Q136" s="300"/>
      <c r="R136" s="304"/>
    </row>
    <row r="137" spans="1:41" x14ac:dyDescent="0.3">
      <c r="Q137" s="300"/>
      <c r="R137" s="304"/>
    </row>
    <row r="138" spans="1:41" x14ac:dyDescent="0.3">
      <c r="A138" s="655"/>
    </row>
    <row r="139" spans="1:41" x14ac:dyDescent="0.3">
      <c r="Q139" s="300"/>
      <c r="R139" s="304"/>
    </row>
    <row r="140" spans="1:41" x14ac:dyDescent="0.3">
      <c r="Q140" s="300"/>
      <c r="R140" s="304"/>
    </row>
    <row r="141" spans="1:41" x14ac:dyDescent="0.3">
      <c r="R141" s="24"/>
    </row>
    <row r="142" spans="1:41" x14ac:dyDescent="0.3">
      <c r="R142" s="24"/>
    </row>
    <row r="143" spans="1:41" x14ac:dyDescent="0.3">
      <c r="R143" s="24"/>
    </row>
    <row r="144" spans="1:41" x14ac:dyDescent="0.3">
      <c r="R144" s="24"/>
    </row>
    <row r="145" spans="18:18" x14ac:dyDescent="0.3">
      <c r="R145" s="24"/>
    </row>
    <row r="146" spans="18:18" x14ac:dyDescent="0.3">
      <c r="R146" s="24"/>
    </row>
    <row r="147" spans="18:18" x14ac:dyDescent="0.3">
      <c r="R147" s="24"/>
    </row>
    <row r="148" spans="18:18" x14ac:dyDescent="0.3">
      <c r="R148" s="24"/>
    </row>
    <row r="149" spans="18:18" x14ac:dyDescent="0.3">
      <c r="R149" s="24"/>
    </row>
    <row r="150" spans="18:18" x14ac:dyDescent="0.3">
      <c r="R150" s="24"/>
    </row>
    <row r="151" spans="18:18" x14ac:dyDescent="0.3">
      <c r="R151" s="24"/>
    </row>
    <row r="152" spans="18:18" x14ac:dyDescent="0.3">
      <c r="R152" s="24"/>
    </row>
    <row r="153" spans="18:18" x14ac:dyDescent="0.3">
      <c r="R153" s="24"/>
    </row>
    <row r="154" spans="18:18" x14ac:dyDescent="0.3">
      <c r="R154" s="24"/>
    </row>
    <row r="155" spans="18:18" x14ac:dyDescent="0.3">
      <c r="R155" s="24"/>
    </row>
    <row r="156" spans="18:18" x14ac:dyDescent="0.3">
      <c r="R156" s="24"/>
    </row>
    <row r="157" spans="18:18" x14ac:dyDescent="0.3">
      <c r="R157" s="24"/>
    </row>
    <row r="158" spans="18:18" x14ac:dyDescent="0.3">
      <c r="R158" s="24"/>
    </row>
    <row r="159" spans="18:18" x14ac:dyDescent="0.3">
      <c r="R159" s="24"/>
    </row>
    <row r="160" spans="18:18" x14ac:dyDescent="0.3">
      <c r="R160" s="24"/>
    </row>
    <row r="161" spans="18:18" x14ac:dyDescent="0.3">
      <c r="R161" s="24"/>
    </row>
    <row r="162" spans="18:18" x14ac:dyDescent="0.3">
      <c r="R162" s="24"/>
    </row>
    <row r="163" spans="18:18" x14ac:dyDescent="0.3">
      <c r="R163" s="24"/>
    </row>
    <row r="164" spans="18:18" x14ac:dyDescent="0.3">
      <c r="R164" s="24"/>
    </row>
  </sheetData>
  <mergeCells count="8">
    <mergeCell ref="AG107:AN107"/>
    <mergeCell ref="AO107:AQ107"/>
    <mergeCell ref="R3:T3"/>
    <mergeCell ref="B3:F3"/>
    <mergeCell ref="H3:L3"/>
    <mergeCell ref="N3:P3"/>
    <mergeCell ref="AF107:AF108"/>
    <mergeCell ref="V3:W3"/>
  </mergeCells>
  <hyperlinks>
    <hyperlink ref="G1" location="Index!A1" display="Index"/>
  </hyperlink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AE66"/>
  <sheetViews>
    <sheetView workbookViewId="0">
      <selection activeCell="J15" sqref="J15"/>
    </sheetView>
  </sheetViews>
  <sheetFormatPr defaultColWidth="9.109375" defaultRowHeight="14.4" x14ac:dyDescent="0.3"/>
  <cols>
    <col min="1" max="1" width="12.109375" style="414" customWidth="1"/>
    <col min="2" max="2" width="10.77734375" style="414" customWidth="1"/>
    <col min="3" max="3" width="12.77734375" style="414" customWidth="1"/>
    <col min="4" max="4" width="10" style="414" customWidth="1"/>
    <col min="5" max="5" width="10.44140625" style="414" customWidth="1"/>
    <col min="6" max="6" width="15" style="414" customWidth="1"/>
    <col min="7" max="7" width="4.21875" style="414" customWidth="1"/>
    <col min="8" max="8" width="13.109375" style="879" customWidth="1"/>
    <col min="9" max="9" width="10" style="879" customWidth="1"/>
    <col min="10" max="10" width="14.44140625" style="879" customWidth="1"/>
    <col min="11" max="11" width="4.21875" style="879" customWidth="1"/>
    <col min="12" max="12" width="17.88671875" style="414" customWidth="1"/>
    <col min="13" max="13" width="13" style="414" customWidth="1"/>
    <col min="14" max="14" width="13.21875" style="414" customWidth="1"/>
    <col min="15" max="15" width="9.88671875" style="879" customWidth="1"/>
    <col min="16" max="16" width="3.77734375" style="414" customWidth="1"/>
    <col min="17" max="17" width="11.44140625" style="414" customWidth="1"/>
    <col min="18" max="18" width="11.5546875" style="414" customWidth="1"/>
    <col min="19" max="19" width="12.109375" style="414" customWidth="1"/>
    <col min="20" max="20" width="19.21875" style="414" customWidth="1"/>
    <col min="21" max="21" width="11.88671875" style="414" customWidth="1"/>
    <col min="22" max="22" width="11.77734375" style="414" customWidth="1"/>
    <col min="23" max="23" width="13.5546875" style="414" customWidth="1"/>
    <col min="24" max="24" width="12.109375" style="414" customWidth="1"/>
    <col min="25" max="25" width="12.77734375" style="414" customWidth="1"/>
    <col min="26" max="27" width="14.44140625" style="414" customWidth="1"/>
    <col min="28" max="28" width="12.88671875" style="414" customWidth="1"/>
    <col min="29" max="29" width="12.109375" style="414" customWidth="1"/>
    <col min="30" max="31" width="11.88671875" style="414" customWidth="1"/>
    <col min="32" max="33" width="13.88671875" style="414" customWidth="1"/>
    <col min="34" max="35" width="12.88671875" style="414" customWidth="1"/>
    <col min="36" max="16384" width="9.109375" style="414"/>
  </cols>
  <sheetData>
    <row r="1" spans="1:29" ht="15.6" x14ac:dyDescent="0.3">
      <c r="A1" s="75" t="s">
        <v>512</v>
      </c>
      <c r="H1" s="463" t="s">
        <v>504</v>
      </c>
      <c r="AC1" s="12"/>
    </row>
    <row r="2" spans="1:29" x14ac:dyDescent="0.3">
      <c r="A2" s="464"/>
      <c r="B2" s="11"/>
      <c r="C2" s="11"/>
      <c r="D2" s="11"/>
      <c r="E2" s="11"/>
      <c r="F2" s="11"/>
      <c r="G2" s="125"/>
      <c r="H2" s="125"/>
      <c r="I2" s="125"/>
      <c r="J2" s="125"/>
      <c r="K2" s="125"/>
      <c r="L2" s="11"/>
      <c r="M2" s="11"/>
      <c r="N2" s="11"/>
      <c r="O2" s="11"/>
      <c r="P2" s="11"/>
      <c r="Q2" s="11"/>
      <c r="R2" s="11"/>
      <c r="S2" s="11"/>
      <c r="T2" s="11"/>
      <c r="U2" s="11"/>
      <c r="V2" s="12"/>
      <c r="W2" s="12"/>
      <c r="X2" s="12"/>
      <c r="Y2" s="12"/>
      <c r="Z2" s="12"/>
      <c r="AA2" s="12"/>
      <c r="AB2" s="12"/>
      <c r="AC2" s="12"/>
    </row>
    <row r="3" spans="1:29" ht="15" customHeight="1" x14ac:dyDescent="0.3">
      <c r="B3" s="1464" t="s">
        <v>549</v>
      </c>
      <c r="C3" s="1464"/>
      <c r="D3" s="1464"/>
      <c r="E3" s="1464"/>
      <c r="F3" s="1464"/>
      <c r="G3" s="477"/>
      <c r="H3" s="1464" t="s">
        <v>1381</v>
      </c>
      <c r="I3" s="1464"/>
      <c r="J3" s="1464"/>
      <c r="K3" s="477"/>
      <c r="L3" s="1463" t="s">
        <v>1379</v>
      </c>
      <c r="M3" s="1463"/>
      <c r="N3" s="1463"/>
      <c r="O3" s="1463"/>
      <c r="Q3" s="1466" t="s">
        <v>1380</v>
      </c>
      <c r="R3" s="1466"/>
      <c r="S3" s="1466"/>
      <c r="T3" s="1466"/>
      <c r="U3" s="1466"/>
      <c r="Z3" s="12"/>
      <c r="AA3" s="12"/>
      <c r="AB3" s="473"/>
      <c r="AC3" s="19"/>
    </row>
    <row r="4" spans="1:29" ht="41.25" customHeight="1" x14ac:dyDescent="0.3">
      <c r="A4" s="11"/>
      <c r="B4" s="307" t="s">
        <v>513</v>
      </c>
      <c r="C4" s="307" t="s">
        <v>1376</v>
      </c>
      <c r="D4" s="465" t="s">
        <v>1377</v>
      </c>
      <c r="E4" s="307" t="s">
        <v>544</v>
      </c>
      <c r="F4" s="465" t="s">
        <v>1378</v>
      </c>
      <c r="G4" s="11"/>
      <c r="H4" s="307" t="s">
        <v>1376</v>
      </c>
      <c r="I4" s="465" t="s">
        <v>1377</v>
      </c>
      <c r="J4" s="465" t="s">
        <v>1378</v>
      </c>
      <c r="K4" s="11"/>
      <c r="L4" s="307" t="s">
        <v>554</v>
      </c>
      <c r="M4" s="465" t="s">
        <v>540</v>
      </c>
      <c r="N4" s="307" t="s">
        <v>544</v>
      </c>
      <c r="O4" s="307" t="s">
        <v>1382</v>
      </c>
      <c r="Q4" s="307" t="s">
        <v>554</v>
      </c>
      <c r="R4" s="465" t="s">
        <v>540</v>
      </c>
      <c r="S4" s="307" t="s">
        <v>544</v>
      </c>
      <c r="T4" s="465" t="s">
        <v>555</v>
      </c>
      <c r="U4" s="307" t="s">
        <v>1382</v>
      </c>
      <c r="Z4" s="12"/>
      <c r="AA4" s="12"/>
      <c r="AB4" s="12"/>
      <c r="AC4" s="19"/>
    </row>
    <row r="5" spans="1:29" x14ac:dyDescent="0.3">
      <c r="A5" s="170">
        <v>1960</v>
      </c>
      <c r="B5" s="302">
        <f>SUM(C5:J5)</f>
        <v>954466</v>
      </c>
      <c r="C5" s="302">
        <f>'C12-CorpOwn'!I5</f>
        <v>357611.86917584122</v>
      </c>
      <c r="D5" s="302">
        <f>'C12-CorpOwn'!V72-'C12-CorpOwn'!W72</f>
        <v>98399.572198605179</v>
      </c>
      <c r="E5" s="303">
        <f>'C12-CorpOwn'!Q72+'C12-CorpOwn'!Z72+'C12-CorpOwn'!AA72</f>
        <v>179049</v>
      </c>
      <c r="F5" s="303">
        <f>'C12-CorpOwn'!N72+'C12-CorpOwn'!X72-'C12-CorpOwn'!Y72-'C12-CorpOwn'!AC72+'C12-CorpOwn'!AB72</f>
        <v>277123.70371398446</v>
      </c>
      <c r="H5" s="302">
        <f>'C12-CorpOwn'!D72</f>
        <v>20212.328908238942</v>
      </c>
      <c r="I5" s="302">
        <f>'C12-CorpOwn'!W72</f>
        <v>18996.427801394817</v>
      </c>
      <c r="J5" s="302">
        <f>'C12-CorpOwn'!Y72</f>
        <v>3073.098201935366</v>
      </c>
      <c r="L5" s="475">
        <f>C5/($B5-$F5-$J5)</f>
        <v>0.53036957670910501</v>
      </c>
      <c r="M5" s="475">
        <f>D5/($B5-$F5-$J5)</f>
        <v>0.14593514352754838</v>
      </c>
      <c r="N5" s="475">
        <f>E5/($B5-$F5-$J5)</f>
        <v>0.26554527554983004</v>
      </c>
      <c r="O5" s="475">
        <f>SUM(H5:I5)/($B5-$F5-$J5)</f>
        <v>5.8150004213516661E-2</v>
      </c>
      <c r="Q5" s="475">
        <f t="shared" ref="Q5:Q36" si="0">C5/$B5</f>
        <v>0.37467219280292985</v>
      </c>
      <c r="R5" s="475">
        <f t="shared" ref="R5:R36" si="1">D5/$B5</f>
        <v>0.10309384744831684</v>
      </c>
      <c r="S5" s="475">
        <f t="shared" ref="S5:S36" si="2">E5/$B5</f>
        <v>0.18759075755448595</v>
      </c>
      <c r="T5" s="475">
        <f t="shared" ref="T5:T36" si="3">F5/$B5</f>
        <v>0.29034423825886357</v>
      </c>
      <c r="U5" s="491">
        <f>SUM(H5:J5)/$B5</f>
        <v>4.4298963935403807E-2</v>
      </c>
      <c r="V5" s="587">
        <f>SUM(Q5:U5)</f>
        <v>1</v>
      </c>
      <c r="Z5" s="12"/>
      <c r="AA5" s="12"/>
      <c r="AB5" s="472"/>
      <c r="AC5" s="12"/>
    </row>
    <row r="6" spans="1:29" x14ac:dyDescent="0.3">
      <c r="A6" s="170">
        <v>1961</v>
      </c>
      <c r="B6" s="302">
        <f t="shared" ref="B6:B60" si="4">SUM(C6:J6)</f>
        <v>1066002</v>
      </c>
      <c r="C6" s="302">
        <f>'C12-CorpOwn'!I6</f>
        <v>436153.08277857007</v>
      </c>
      <c r="D6" s="302">
        <f>'C12-CorpOwn'!V73-'C12-CorpOwn'!W73</f>
        <v>98964.508922700217</v>
      </c>
      <c r="E6" s="303">
        <f>'C12-CorpOwn'!Q73+'C12-CorpOwn'!Z73+'C12-CorpOwn'!AA73</f>
        <v>195846</v>
      </c>
      <c r="F6" s="303">
        <f>'C12-CorpOwn'!N73+'C12-CorpOwn'!X73-'C12-CorpOwn'!Y73-'C12-CorpOwn'!AC73+'C12-CorpOwn'!AB73</f>
        <v>287947.97035259497</v>
      </c>
      <c r="H6" s="302">
        <f>'C12-CorpOwn'!D73</f>
        <v>24779.026203741283</v>
      </c>
      <c r="I6" s="302">
        <f>'C12-CorpOwn'!W73</f>
        <v>19105.49107729979</v>
      </c>
      <c r="J6" s="302">
        <f>'C12-CorpOwn'!Y73</f>
        <v>3205.9206650937144</v>
      </c>
      <c r="L6" s="475">
        <f t="shared" ref="L6:L60" si="5">C6/($B6-$F6)</f>
        <v>0.56056914579084427</v>
      </c>
      <c r="M6" s="475">
        <f t="shared" ref="M6:M60" si="6">D6/($B6-$F6)</f>
        <v>0.12719490568996666</v>
      </c>
      <c r="N6" s="475">
        <f t="shared" ref="N6:N60" si="7">E6/($B6-$F6)</f>
        <v>0.25171259647450522</v>
      </c>
      <c r="O6" s="475">
        <f t="shared" ref="O6:O60" si="8">SUM(H6:I6)/($B6-$F6-$J6)</f>
        <v>5.6636283643615233E-2</v>
      </c>
      <c r="Q6" s="475">
        <f t="shared" si="0"/>
        <v>0.40914846574262531</v>
      </c>
      <c r="R6" s="475">
        <f t="shared" si="1"/>
        <v>9.2837076218149892E-2</v>
      </c>
      <c r="S6" s="475">
        <f t="shared" si="2"/>
        <v>0.18372010559079627</v>
      </c>
      <c r="T6" s="475">
        <f t="shared" si="3"/>
        <v>0.27011954044419706</v>
      </c>
      <c r="U6" s="491">
        <f t="shared" ref="U6:U60" si="9">SUM(H6:J6)/$B6</f>
        <v>4.4174812004231498E-2</v>
      </c>
      <c r="V6" s="587">
        <f t="shared" ref="V6:V60" si="10">SUM(Q6:U6)</f>
        <v>1</v>
      </c>
      <c r="Z6" s="12"/>
      <c r="AA6" s="12"/>
      <c r="AB6" s="472"/>
      <c r="AC6" s="12"/>
    </row>
    <row r="7" spans="1:29" x14ac:dyDescent="0.3">
      <c r="A7" s="170">
        <v>1962</v>
      </c>
      <c r="B7" s="302">
        <f t="shared" si="4"/>
        <v>1072910.3632205212</v>
      </c>
      <c r="C7" s="302">
        <f>'C12-CorpOwn'!I7</f>
        <v>421512.39418419421</v>
      </c>
      <c r="D7" s="302">
        <f>'C12-CorpOwn'!V74-'C12-CorpOwn'!W74</f>
        <v>99948.538172088287</v>
      </c>
      <c r="E7" s="303">
        <f>'C12-CorpOwn'!Q74+'C12-CorpOwn'!Z74+'C12-CorpOwn'!AA74</f>
        <v>206129</v>
      </c>
      <c r="F7" s="303">
        <f>'C12-CorpOwn'!N74+'C12-CorpOwn'!X74-'C12-CorpOwn'!Y74-'C12-CorpOwn'!AC74+'C12-CorpOwn'!AB74</f>
        <v>298729.67967479437</v>
      </c>
      <c r="H7" s="302">
        <f>'C12-CorpOwn'!D74</f>
        <v>23957.756794450801</v>
      </c>
      <c r="I7" s="302">
        <f>'C12-CorpOwn'!W74</f>
        <v>19295.461827911717</v>
      </c>
      <c r="J7" s="302">
        <f>'C12-CorpOwn'!Y74</f>
        <v>3337.5325670819789</v>
      </c>
      <c r="L7" s="475">
        <f t="shared" si="5"/>
        <v>0.54446255653612896</v>
      </c>
      <c r="M7" s="475">
        <f t="shared" si="6"/>
        <v>0.12910234044374067</v>
      </c>
      <c r="N7" s="475">
        <f t="shared" si="7"/>
        <v>0.26625438270551349</v>
      </c>
      <c r="O7" s="475">
        <f t="shared" si="8"/>
        <v>5.6111568958547818E-2</v>
      </c>
      <c r="Q7" s="475">
        <f t="shared" si="0"/>
        <v>0.39286822891611722</v>
      </c>
      <c r="R7" s="475">
        <f t="shared" si="1"/>
        <v>9.3156466372527072E-2</v>
      </c>
      <c r="S7" s="475">
        <f t="shared" si="2"/>
        <v>0.1921213617335833</v>
      </c>
      <c r="T7" s="475">
        <f t="shared" si="3"/>
        <v>0.27842929839740471</v>
      </c>
      <c r="U7" s="491">
        <f t="shared" si="9"/>
        <v>4.3424644580367842E-2</v>
      </c>
      <c r="V7" s="587">
        <f t="shared" si="10"/>
        <v>1</v>
      </c>
      <c r="Z7" s="12"/>
      <c r="AA7" s="12"/>
      <c r="AB7" s="472"/>
      <c r="AC7" s="12"/>
    </row>
    <row r="8" spans="1:29" x14ac:dyDescent="0.3">
      <c r="A8" s="170">
        <v>1963</v>
      </c>
      <c r="B8" s="302">
        <f t="shared" si="4"/>
        <v>1144349.3672724161</v>
      </c>
      <c r="C8" s="302">
        <f>'C12-CorpOwn'!I8</f>
        <v>461375.12204775581</v>
      </c>
      <c r="D8" s="302">
        <f>'C12-CorpOwn'!V75-'C12-CorpOwn'!W75</f>
        <v>100016.43116118576</v>
      </c>
      <c r="E8" s="303">
        <f>'C12-CorpOwn'!Q75+'C12-CorpOwn'!Z75+'C12-CorpOwn'!AA75</f>
        <v>224599</v>
      </c>
      <c r="F8" s="303">
        <f>'C12-CorpOwn'!N75+'C12-CorpOwn'!X75-'C12-CorpOwn'!Y75-'C12-CorpOwn'!AC75+'C12-CorpOwn'!AB75</f>
        <v>309112.84508045169</v>
      </c>
      <c r="H8" s="302">
        <f>'C12-CorpOwn'!D75</f>
        <v>26556.56495590894</v>
      </c>
      <c r="I8" s="302">
        <f>'C12-CorpOwn'!W75</f>
        <v>19308.568838814241</v>
      </c>
      <c r="J8" s="302">
        <f>'C12-CorpOwn'!Y75</f>
        <v>3380.8351882997476</v>
      </c>
      <c r="L8" s="475">
        <f t="shared" si="5"/>
        <v>0.55238858669271274</v>
      </c>
      <c r="M8" s="475">
        <f t="shared" si="6"/>
        <v>0.11974623774677173</v>
      </c>
      <c r="N8" s="475">
        <f t="shared" si="7"/>
        <v>0.26890466835737803</v>
      </c>
      <c r="O8" s="475">
        <f t="shared" si="8"/>
        <v>5.5135926232504226E-2</v>
      </c>
      <c r="Q8" s="475">
        <f t="shared" si="0"/>
        <v>0.40317680530330902</v>
      </c>
      <c r="R8" s="475">
        <f t="shared" si="1"/>
        <v>8.7400259065618477E-2</v>
      </c>
      <c r="S8" s="475">
        <f t="shared" si="2"/>
        <v>0.19626785877055802</v>
      </c>
      <c r="T8" s="475">
        <f t="shared" si="3"/>
        <v>0.27012104338138404</v>
      </c>
      <c r="U8" s="491">
        <f t="shared" si="9"/>
        <v>4.3034033479130471E-2</v>
      </c>
      <c r="V8" s="587">
        <f t="shared" si="10"/>
        <v>1</v>
      </c>
      <c r="Z8" s="12"/>
      <c r="AA8" s="12"/>
      <c r="AB8" s="472"/>
      <c r="AC8" s="12"/>
    </row>
    <row r="9" spans="1:29" x14ac:dyDescent="0.3">
      <c r="A9" s="170">
        <v>1964</v>
      </c>
      <c r="B9" s="302">
        <f t="shared" si="4"/>
        <v>1262406.2500949865</v>
      </c>
      <c r="C9" s="302">
        <f>'C12-CorpOwn'!I9</f>
        <v>533950.25232745882</v>
      </c>
      <c r="D9" s="302">
        <f>'C12-CorpOwn'!V76-'C12-CorpOwn'!W76</f>
        <v>104046.42488440371</v>
      </c>
      <c r="E9" s="303">
        <f>'C12-CorpOwn'!Q76+'C12-CorpOwn'!Z76+'C12-CorpOwn'!AA76</f>
        <v>245823</v>
      </c>
      <c r="F9" s="303">
        <f>'C12-CorpOwn'!N76+'C12-CorpOwn'!X76-'C12-CorpOwn'!Y76-'C12-CorpOwn'!AC76+'C12-CorpOwn'!AB76</f>
        <v>324189.58232921048</v>
      </c>
      <c r="H9" s="302">
        <f>'C12-CorpOwn'!D76</f>
        <v>30777.797468914883</v>
      </c>
      <c r="I9" s="302">
        <f>'C12-CorpOwn'!W76</f>
        <v>20086.575115596297</v>
      </c>
      <c r="J9" s="302">
        <f>'C12-CorpOwn'!Y76</f>
        <v>3532.6179694022721</v>
      </c>
      <c r="L9" s="475">
        <f t="shared" si="5"/>
        <v>0.56911188073324492</v>
      </c>
      <c r="M9" s="475">
        <f t="shared" si="6"/>
        <v>0.11089807766064831</v>
      </c>
      <c r="N9" s="475">
        <f t="shared" si="7"/>
        <v>0.2620109069106511</v>
      </c>
      <c r="O9" s="475">
        <f t="shared" si="8"/>
        <v>5.4418787391945188E-2</v>
      </c>
      <c r="Q9" s="475">
        <f t="shared" si="0"/>
        <v>0.42296230099247617</v>
      </c>
      <c r="R9" s="475">
        <f t="shared" si="1"/>
        <v>8.241913003565611E-2</v>
      </c>
      <c r="S9" s="475">
        <f t="shared" si="2"/>
        <v>0.19472574694675637</v>
      </c>
      <c r="T9" s="475">
        <f>F9/$B9</f>
        <v>0.25680289709023357</v>
      </c>
      <c r="U9" s="491">
        <f t="shared" si="9"/>
        <v>4.3089924934877726E-2</v>
      </c>
      <c r="V9" s="587">
        <f t="shared" si="10"/>
        <v>1</v>
      </c>
      <c r="Z9" s="12"/>
      <c r="AA9" s="12"/>
      <c r="AB9" s="472"/>
      <c r="AC9" s="12"/>
    </row>
    <row r="10" spans="1:29" x14ac:dyDescent="0.3">
      <c r="A10" s="170">
        <v>1965</v>
      </c>
      <c r="B10" s="302">
        <f t="shared" si="4"/>
        <v>1387325.0509529805</v>
      </c>
      <c r="C10" s="302">
        <f>'C12-CorpOwn'!I10</f>
        <v>605359.26467457344</v>
      </c>
      <c r="D10" s="302">
        <f>'C12-CorpOwn'!V77-'C12-CorpOwn'!W77</f>
        <v>106843.4483982095</v>
      </c>
      <c r="E10" s="303">
        <f>'C12-CorpOwn'!Q77+'C12-CorpOwn'!Z77+'C12-CorpOwn'!AA77</f>
        <v>267875</v>
      </c>
      <c r="F10" s="303">
        <f>'C12-CorpOwn'!N77+'C12-CorpOwn'!X77-'C12-CorpOwn'!Y77-'C12-CorpOwn'!AC77+'C12-CorpOwn'!AB77</f>
        <v>347933.8149145323</v>
      </c>
      <c r="H10" s="302">
        <f>'C12-CorpOwn'!D77</f>
        <v>34947.008168837398</v>
      </c>
      <c r="I10" s="302">
        <f>'C12-CorpOwn'!W77</f>
        <v>20626.551601790499</v>
      </c>
      <c r="J10" s="302">
        <f>'C12-CorpOwn'!Y77</f>
        <v>3739.9631950374246</v>
      </c>
      <c r="L10" s="475">
        <f t="shared" si="5"/>
        <v>0.58241713388102923</v>
      </c>
      <c r="M10" s="475">
        <f t="shared" si="6"/>
        <v>0.10279425561200059</v>
      </c>
      <c r="N10" s="475">
        <f t="shared" si="7"/>
        <v>0.25772297351763607</v>
      </c>
      <c r="O10" s="475">
        <f t="shared" si="8"/>
        <v>5.3660494828581692E-2</v>
      </c>
      <c r="Q10" s="475">
        <f t="shared" si="0"/>
        <v>0.4363499846403987</v>
      </c>
      <c r="R10" s="475">
        <f t="shared" si="1"/>
        <v>7.7013997782867577E-2</v>
      </c>
      <c r="S10" s="475">
        <f t="shared" si="2"/>
        <v>0.19308740933928314</v>
      </c>
      <c r="T10" s="475">
        <f t="shared" si="3"/>
        <v>0.25079473240646077</v>
      </c>
      <c r="U10" s="491">
        <f t="shared" si="9"/>
        <v>4.2753875830989795E-2</v>
      </c>
      <c r="V10" s="587">
        <f t="shared" si="10"/>
        <v>1</v>
      </c>
      <c r="Z10" s="12"/>
      <c r="AA10" s="12"/>
      <c r="AB10" s="472"/>
      <c r="AC10" s="12"/>
    </row>
    <row r="11" spans="1:29" x14ac:dyDescent="0.3">
      <c r="A11" s="170">
        <v>1966</v>
      </c>
      <c r="B11" s="302">
        <f t="shared" si="4"/>
        <v>1371383.7693103489</v>
      </c>
      <c r="C11" s="302">
        <f>'C12-CorpOwn'!I11</f>
        <v>537383.69014389033</v>
      </c>
      <c r="D11" s="302">
        <f>'C12-CorpOwn'!V78-'C12-CorpOwn'!W78</f>
        <v>121934.13204896155</v>
      </c>
      <c r="E11" s="303">
        <f>'C12-CorpOwn'!Q78+'C12-CorpOwn'!Z78+'C12-CorpOwn'!AA78</f>
        <v>283057</v>
      </c>
      <c r="F11" s="303">
        <f>'C12-CorpOwn'!N78+'C12-CorpOwn'!X78-'C12-CorpOwn'!Y78-'C12-CorpOwn'!AC78+'C12-CorpOwn'!AB78</f>
        <v>370066.41324834328</v>
      </c>
      <c r="H11" s="302">
        <f>'C12-CorpOwn'!D78</f>
        <v>31404.436822491978</v>
      </c>
      <c r="I11" s="302">
        <f>'C12-CorpOwn'!W78</f>
        <v>23539.86795103845</v>
      </c>
      <c r="J11" s="302">
        <f>'C12-CorpOwn'!Y78</f>
        <v>3998.2290956231018</v>
      </c>
      <c r="L11" s="475">
        <f t="shared" si="5"/>
        <v>0.53667669584528144</v>
      </c>
      <c r="M11" s="475">
        <f t="shared" si="6"/>
        <v>0.12177371271032966</v>
      </c>
      <c r="N11" s="475">
        <f t="shared" si="7"/>
        <v>0.28268460372364901</v>
      </c>
      <c r="O11" s="475">
        <f t="shared" si="8"/>
        <v>5.5091999429168155E-2</v>
      </c>
      <c r="Q11" s="475">
        <f t="shared" si="0"/>
        <v>0.39185507526761354</v>
      </c>
      <c r="R11" s="475">
        <f t="shared" si="1"/>
        <v>8.8913209254533207E-2</v>
      </c>
      <c r="S11" s="475">
        <f t="shared" si="2"/>
        <v>0.20640247196621386</v>
      </c>
      <c r="T11" s="475">
        <f t="shared" si="3"/>
        <v>0.26984890847471882</v>
      </c>
      <c r="U11" s="491">
        <f t="shared" si="9"/>
        <v>4.2980335036920385E-2</v>
      </c>
      <c r="V11" s="587">
        <f t="shared" si="10"/>
        <v>0.99999999999999989</v>
      </c>
      <c r="Z11" s="12"/>
      <c r="AA11" s="12"/>
      <c r="AB11" s="472"/>
      <c r="AC11" s="12"/>
    </row>
    <row r="12" spans="1:29" x14ac:dyDescent="0.3">
      <c r="A12" s="170">
        <v>1967</v>
      </c>
      <c r="B12" s="302">
        <f t="shared" si="4"/>
        <v>1565527.4779299416</v>
      </c>
      <c r="C12" s="302">
        <f>'C12-CorpOwn'!I12</f>
        <v>671428.14667146956</v>
      </c>
      <c r="D12" s="302">
        <f>'C12-CorpOwn'!V79-'C12-CorpOwn'!W79</f>
        <v>124617.16239588764</v>
      </c>
      <c r="E12" s="303">
        <f>'C12-CorpOwn'!Q79+'C12-CorpOwn'!Z79+'C12-CorpOwn'!AA79</f>
        <v>311164</v>
      </c>
      <c r="F12" s="303">
        <f>'C12-CorpOwn'!N79+'C12-CorpOwn'!X79-'C12-CorpOwn'!Y79-'C12-CorpOwn'!AC79+'C12-CorpOwn'!AB79</f>
        <v>390360.95439240604</v>
      </c>
      <c r="H12" s="302">
        <f>'C12-CorpOwn'!D79</f>
        <v>39710.950876286763</v>
      </c>
      <c r="I12" s="302">
        <f>'C12-CorpOwn'!W79</f>
        <v>24057.837604112359</v>
      </c>
      <c r="J12" s="302">
        <f>'C12-CorpOwn'!Y79</f>
        <v>4188.4259897788534</v>
      </c>
      <c r="L12" s="475">
        <f t="shared" si="5"/>
        <v>0.57134723736880144</v>
      </c>
      <c r="M12" s="475">
        <f t="shared" si="6"/>
        <v>0.10604213096605222</v>
      </c>
      <c r="N12" s="475">
        <f t="shared" si="7"/>
        <v>0.26478289992751075</v>
      </c>
      <c r="O12" s="475">
        <f t="shared" si="8"/>
        <v>5.445771241489715E-2</v>
      </c>
      <c r="Q12" s="475">
        <f t="shared" si="0"/>
        <v>0.42888301619546304</v>
      </c>
      <c r="R12" s="475">
        <f t="shared" si="1"/>
        <v>7.9600750643269352E-2</v>
      </c>
      <c r="S12" s="475">
        <f t="shared" si="2"/>
        <v>0.19875984573036334</v>
      </c>
      <c r="T12" s="475">
        <f t="shared" si="3"/>
        <v>0.24934787788494822</v>
      </c>
      <c r="U12" s="491">
        <f t="shared" si="9"/>
        <v>4.3408509545955799E-2</v>
      </c>
      <c r="V12" s="587">
        <f t="shared" si="10"/>
        <v>0.99999999999999978</v>
      </c>
      <c r="Z12" s="12"/>
      <c r="AA12" s="12"/>
      <c r="AB12" s="472"/>
      <c r="AC12" s="12"/>
    </row>
    <row r="13" spans="1:29" x14ac:dyDescent="0.3">
      <c r="A13" s="170">
        <v>1968</v>
      </c>
      <c r="B13" s="302">
        <f t="shared" si="4"/>
        <v>1765505.2919182398</v>
      </c>
      <c r="C13" s="302">
        <f>'C12-CorpOwn'!I13</f>
        <v>802873.43689610821</v>
      </c>
      <c r="D13" s="302">
        <f>'C12-CorpOwn'!V80-'C12-CorpOwn'!W80</f>
        <v>129512.16309131043</v>
      </c>
      <c r="E13" s="303">
        <f>'C12-CorpOwn'!Q80+'C12-CorpOwn'!Z80+'C12-CorpOwn'!AA80</f>
        <v>339045</v>
      </c>
      <c r="F13" s="303">
        <f>'C12-CorpOwn'!N80+'C12-CorpOwn'!X80-'C12-CorpOwn'!Y80-'C12-CorpOwn'!AC80+'C12-CorpOwn'!AB80</f>
        <v>417169.93926587922</v>
      </c>
      <c r="H13" s="302">
        <f>'C12-CorpOwn'!D80</f>
        <v>47365.76570859315</v>
      </c>
      <c r="I13" s="302">
        <f>'C12-CorpOwn'!W80</f>
        <v>25002.836908689565</v>
      </c>
      <c r="J13" s="302">
        <f>'C12-CorpOwn'!Y80</f>
        <v>4536.1500476595002</v>
      </c>
      <c r="L13" s="475">
        <f t="shared" si="5"/>
        <v>0.59545530369484567</v>
      </c>
      <c r="M13" s="475">
        <f t="shared" si="6"/>
        <v>9.6053376362595727E-2</v>
      </c>
      <c r="N13" s="475">
        <f t="shared" si="7"/>
        <v>0.25145450598254504</v>
      </c>
      <c r="O13" s="475">
        <f t="shared" si="8"/>
        <v>5.3853732370885345E-2</v>
      </c>
      <c r="Q13" s="475">
        <f t="shared" si="0"/>
        <v>0.45475561051634</v>
      </c>
      <c r="R13" s="475">
        <f t="shared" si="1"/>
        <v>7.3356995124378321E-2</v>
      </c>
      <c r="S13" s="475">
        <f t="shared" si="2"/>
        <v>0.19203850679576503</v>
      </c>
      <c r="T13" s="475">
        <f t="shared" si="3"/>
        <v>0.23628926017696597</v>
      </c>
      <c r="U13" s="491">
        <f t="shared" si="9"/>
        <v>4.355962738655085E-2</v>
      </c>
      <c r="V13" s="587">
        <f t="shared" si="10"/>
        <v>1.0000000000000002</v>
      </c>
      <c r="Z13" s="12"/>
      <c r="AA13" s="12"/>
      <c r="AB13" s="472"/>
      <c r="AC13" s="12"/>
    </row>
    <row r="14" spans="1:29" x14ac:dyDescent="0.3">
      <c r="A14" s="170">
        <v>1969</v>
      </c>
      <c r="B14" s="302">
        <f t="shared" si="4"/>
        <v>1690452.0870786794</v>
      </c>
      <c r="C14" s="302">
        <f>'C12-CorpOwn'!I14</f>
        <v>654763.96179345716</v>
      </c>
      <c r="D14" s="302">
        <f>'C12-CorpOwn'!V81-'C12-CorpOwn'!W81</f>
        <v>161145.26690042965</v>
      </c>
      <c r="E14" s="303">
        <f>'C12-CorpOwn'!Q81+'C12-CorpOwn'!Z81+'C12-CorpOwn'!AA81</f>
        <v>356298</v>
      </c>
      <c r="F14" s="303">
        <f>'C12-CorpOwn'!N81+'C12-CorpOwn'!X81-'C12-CorpOwn'!Y81-'C12-CorpOwn'!AC81+'C12-CorpOwn'!AB81</f>
        <v>442356.83173273725</v>
      </c>
      <c r="H14" s="302">
        <f>'C12-CorpOwn'!D81</f>
        <v>39972.581603512524</v>
      </c>
      <c r="I14" s="302">
        <f>'C12-CorpOwn'!W81</f>
        <v>31109.733099570349</v>
      </c>
      <c r="J14" s="302">
        <f>'C12-CorpOwn'!Y81</f>
        <v>4805.7119489723909</v>
      </c>
      <c r="L14" s="475">
        <f t="shared" si="5"/>
        <v>0.52461056877583623</v>
      </c>
      <c r="M14" s="475">
        <f t="shared" si="6"/>
        <v>0.12911295528942945</v>
      </c>
      <c r="N14" s="475">
        <f t="shared" si="7"/>
        <v>0.28547340315082181</v>
      </c>
      <c r="O14" s="475">
        <f t="shared" si="8"/>
        <v>5.7172776108828753E-2</v>
      </c>
      <c r="Q14" s="475">
        <f t="shared" si="0"/>
        <v>0.38733068319314173</v>
      </c>
      <c r="R14" s="475">
        <f t="shared" si="1"/>
        <v>9.5326728354016579E-2</v>
      </c>
      <c r="S14" s="475">
        <f t="shared" si="2"/>
        <v>0.21077083622980949</v>
      </c>
      <c r="T14" s="475">
        <f t="shared" si="3"/>
        <v>0.26167960341140889</v>
      </c>
      <c r="U14" s="491">
        <f t="shared" si="9"/>
        <v>4.4892148811623296E-2</v>
      </c>
      <c r="V14" s="587">
        <f t="shared" si="10"/>
        <v>0.99999999999999989</v>
      </c>
      <c r="Z14" s="12"/>
      <c r="AA14" s="12"/>
      <c r="AB14" s="472"/>
      <c r="AC14" s="12"/>
    </row>
    <row r="15" spans="1:29" x14ac:dyDescent="0.3">
      <c r="A15" s="170">
        <v>1970</v>
      </c>
      <c r="B15" s="302">
        <f t="shared" si="4"/>
        <v>1715663.6929428086</v>
      </c>
      <c r="C15" s="302">
        <f>'C12-CorpOwn'!I15</f>
        <v>632979.57638066576</v>
      </c>
      <c r="D15" s="302">
        <f>'C12-CorpOwn'!V82-'C12-CorpOwn'!W82</f>
        <v>161296.14020953514</v>
      </c>
      <c r="E15" s="303">
        <f>'C12-CorpOwn'!Q82+'C12-CorpOwn'!Z82+'C12-CorpOwn'!AA82</f>
        <v>384452</v>
      </c>
      <c r="F15" s="303">
        <f>'C12-CorpOwn'!N82+'C12-CorpOwn'!X82-'C12-CorpOwn'!Y82-'C12-CorpOwn'!AC82+'C12-CorpOwn'!AB82</f>
        <v>461223.17453203327</v>
      </c>
      <c r="H15" s="302">
        <f>'C12-CorpOwn'!D82</f>
        <v>39526.734693576356</v>
      </c>
      <c r="I15" s="302">
        <f>'C12-CorpOwn'!W82</f>
        <v>31138.859790464852</v>
      </c>
      <c r="J15" s="302">
        <f>'C12-CorpOwn'!Y82</f>
        <v>5047.2073365330243</v>
      </c>
      <c r="L15" s="475">
        <f t="shared" si="5"/>
        <v>0.50459114409232764</v>
      </c>
      <c r="M15" s="475">
        <f t="shared" si="6"/>
        <v>0.12858014217675132</v>
      </c>
      <c r="N15" s="475">
        <f t="shared" si="7"/>
        <v>0.30647288122282135</v>
      </c>
      <c r="O15" s="475">
        <f t="shared" si="8"/>
        <v>5.6559927012321001E-2</v>
      </c>
      <c r="Q15" s="475">
        <f t="shared" si="0"/>
        <v>0.36894152332089131</v>
      </c>
      <c r="R15" s="475">
        <f t="shared" si="1"/>
        <v>9.4013844830434332E-2</v>
      </c>
      <c r="S15" s="475">
        <f t="shared" si="2"/>
        <v>0.2240835436346881</v>
      </c>
      <c r="T15" s="475">
        <f t="shared" si="3"/>
        <v>0.26883076003136475</v>
      </c>
      <c r="U15" s="491">
        <f t="shared" si="9"/>
        <v>4.4130328182621345E-2</v>
      </c>
      <c r="V15" s="587">
        <f t="shared" si="10"/>
        <v>0.99999999999999978</v>
      </c>
      <c r="Z15" s="12"/>
      <c r="AA15" s="12"/>
      <c r="AB15" s="472"/>
      <c r="AC15" s="12"/>
    </row>
    <row r="16" spans="1:29" x14ac:dyDescent="0.3">
      <c r="A16" s="170">
        <v>1971</v>
      </c>
      <c r="B16" s="302">
        <f t="shared" si="4"/>
        <v>1904675.1124638855</v>
      </c>
      <c r="C16" s="302">
        <f>'C12-CorpOwn'!I16</f>
        <v>727317.80024327198</v>
      </c>
      <c r="D16" s="302">
        <f>'C12-CorpOwn'!V83-'C12-CorpOwn'!W83</f>
        <v>155826.98275446089</v>
      </c>
      <c r="E16" s="303">
        <f>'C12-CorpOwn'!Q83+'C12-CorpOwn'!Z83+'C12-CorpOwn'!AA83</f>
        <v>430547</v>
      </c>
      <c r="F16" s="303">
        <f>'C12-CorpOwn'!N83+'C12-CorpOwn'!X83-'C12-CorpOwn'!Y83-'C12-CorpOwn'!AC83+'C12-CorpOwn'!AB83</f>
        <v>508984.80953388766</v>
      </c>
      <c r="H16" s="302">
        <f>'C12-CorpOwn'!D83</f>
        <v>46356.999033317348</v>
      </c>
      <c r="I16" s="302">
        <f>'C12-CorpOwn'!W83</f>
        <v>30083.017245539122</v>
      </c>
      <c r="J16" s="302">
        <f>'C12-CorpOwn'!Y83</f>
        <v>5558.5036534082838</v>
      </c>
      <c r="L16" s="475">
        <f t="shared" si="5"/>
        <v>0.52111689729189958</v>
      </c>
      <c r="M16" s="475">
        <f t="shared" si="6"/>
        <v>0.11164868196571294</v>
      </c>
      <c r="N16" s="475">
        <f t="shared" si="7"/>
        <v>0.30848319222118609</v>
      </c>
      <c r="O16" s="475">
        <f t="shared" si="8"/>
        <v>5.4987603562939184E-2</v>
      </c>
      <c r="Q16" s="475">
        <f t="shared" si="0"/>
        <v>0.38185924490944523</v>
      </c>
      <c r="R16" s="475">
        <f t="shared" si="1"/>
        <v>8.1812893828850042E-2</v>
      </c>
      <c r="S16" s="475">
        <f t="shared" si="2"/>
        <v>0.22604747506940695</v>
      </c>
      <c r="T16" s="475">
        <f t="shared" si="3"/>
        <v>0.26722920155945418</v>
      </c>
      <c r="U16" s="491">
        <f t="shared" si="9"/>
        <v>4.3051184632843534E-2</v>
      </c>
      <c r="V16" s="587">
        <f t="shared" si="10"/>
        <v>0.99999999999999989</v>
      </c>
      <c r="Z16" s="12"/>
      <c r="AA16" s="12"/>
      <c r="AB16" s="472"/>
      <c r="AC16" s="12"/>
    </row>
    <row r="17" spans="1:29" x14ac:dyDescent="0.3">
      <c r="A17" s="170">
        <v>1972</v>
      </c>
      <c r="B17" s="302">
        <f t="shared" si="4"/>
        <v>2201900.6184527008</v>
      </c>
      <c r="C17" s="302">
        <f>'C12-CorpOwn'!I17</f>
        <v>894911.93475490296</v>
      </c>
      <c r="D17" s="302">
        <f>'C12-CorpOwn'!V84-'C12-CorpOwn'!W84</f>
        <v>152363.60212543912</v>
      </c>
      <c r="E17" s="303">
        <f>'C12-CorpOwn'!Q84+'C12-CorpOwn'!Z84+'C12-CorpOwn'!AA84</f>
        <v>493259</v>
      </c>
      <c r="F17" s="303">
        <f>'C12-CorpOwn'!N84+'C12-CorpOwn'!X84-'C12-CorpOwn'!Y84-'C12-CorpOwn'!AC84+'C12-CorpOwn'!AB84</f>
        <v>568548.93794405856</v>
      </c>
      <c r="H17" s="302">
        <f>'C12-CorpOwn'!D84</f>
        <v>57218.335711913816</v>
      </c>
      <c r="I17" s="302">
        <f>'C12-CorpOwn'!W84</f>
        <v>29414.397874560866</v>
      </c>
      <c r="J17" s="302">
        <f>'C12-CorpOwn'!Y84</f>
        <v>6184.4100418257294</v>
      </c>
      <c r="L17" s="475">
        <f t="shared" si="5"/>
        <v>0.54789911164521432</v>
      </c>
      <c r="M17" s="475">
        <f t="shared" si="6"/>
        <v>9.3282790193714771E-2</v>
      </c>
      <c r="N17" s="475">
        <f t="shared" si="7"/>
        <v>0.30199191385800894</v>
      </c>
      <c r="O17" s="475">
        <f t="shared" si="8"/>
        <v>5.324144306419136E-2</v>
      </c>
      <c r="Q17" s="475">
        <f t="shared" si="0"/>
        <v>0.40642703274399694</v>
      </c>
      <c r="R17" s="475">
        <f t="shared" si="1"/>
        <v>6.9196402802460116E-2</v>
      </c>
      <c r="S17" s="475">
        <f t="shared" si="2"/>
        <v>0.22401510579828912</v>
      </c>
      <c r="T17" s="475">
        <f t="shared" si="3"/>
        <v>0.25820826479606696</v>
      </c>
      <c r="U17" s="491">
        <f t="shared" si="9"/>
        <v>4.2153193859186984E-2</v>
      </c>
      <c r="V17" s="587">
        <f t="shared" si="10"/>
        <v>1</v>
      </c>
      <c r="Z17" s="12"/>
      <c r="AA17" s="12"/>
      <c r="AB17" s="472"/>
      <c r="AC17" s="12"/>
    </row>
    <row r="18" spans="1:29" x14ac:dyDescent="0.3">
      <c r="A18" s="170">
        <v>1973</v>
      </c>
      <c r="B18" s="302">
        <f t="shared" si="4"/>
        <v>2084402.635681326</v>
      </c>
      <c r="C18" s="302">
        <f>'C12-CorpOwn'!I18</f>
        <v>665125.79804459761</v>
      </c>
      <c r="D18" s="302">
        <f>'C12-CorpOwn'!V85-'C12-CorpOwn'!W85</f>
        <v>173946.86717803107</v>
      </c>
      <c r="E18" s="303">
        <f>'C12-CorpOwn'!Q85+'C12-CorpOwn'!Z85+'C12-CorpOwn'!AA85</f>
        <v>509729</v>
      </c>
      <c r="F18" s="303">
        <f>'C12-CorpOwn'!N85+'C12-CorpOwn'!X85-'C12-CorpOwn'!Y85-'C12-CorpOwn'!AC85+'C12-CorpOwn'!AB85</f>
        <v>650166.68816665572</v>
      </c>
      <c r="H18" s="302">
        <f>'C12-CorpOwn'!D85</f>
        <v>44619.784319079074</v>
      </c>
      <c r="I18" s="302">
        <f>'C12-CorpOwn'!W85</f>
        <v>33581.132821968924</v>
      </c>
      <c r="J18" s="302">
        <f>'C12-CorpOwn'!Y85</f>
        <v>7233.365150993548</v>
      </c>
      <c r="L18" s="475">
        <f t="shared" si="5"/>
        <v>0.46374921727290913</v>
      </c>
      <c r="M18" s="475">
        <f t="shared" si="6"/>
        <v>0.12128190447287043</v>
      </c>
      <c r="N18" s="475">
        <f t="shared" si="7"/>
        <v>0.35540107670797738</v>
      </c>
      <c r="O18" s="475">
        <f t="shared" si="8"/>
        <v>5.4800823844002131E-2</v>
      </c>
      <c r="Q18" s="475">
        <f t="shared" si="0"/>
        <v>0.31909660190349393</v>
      </c>
      <c r="R18" s="475">
        <f t="shared" si="1"/>
        <v>8.3451663416829872E-2</v>
      </c>
      <c r="S18" s="475">
        <f t="shared" si="2"/>
        <v>0.24454440388547366</v>
      </c>
      <c r="T18" s="475">
        <f t="shared" si="3"/>
        <v>0.31191991270637431</v>
      </c>
      <c r="U18" s="491">
        <f t="shared" si="9"/>
        <v>4.0987418087828194E-2</v>
      </c>
      <c r="V18" s="587">
        <f t="shared" si="10"/>
        <v>1</v>
      </c>
      <c r="Z18" s="12"/>
      <c r="AA18" s="12"/>
      <c r="AB18" s="472"/>
      <c r="AC18" s="12"/>
    </row>
    <row r="19" spans="1:29" x14ac:dyDescent="0.3">
      <c r="A19" s="170">
        <v>1974</v>
      </c>
      <c r="B19" s="302">
        <f t="shared" si="4"/>
        <v>1951732.4154260911</v>
      </c>
      <c r="C19" s="302">
        <f>'C12-CorpOwn'!I19</f>
        <v>415783.36213521927</v>
      </c>
      <c r="D19" s="302">
        <f>'C12-CorpOwn'!V86-'C12-CorpOwn'!W86</f>
        <v>208700.53393048231</v>
      </c>
      <c r="E19" s="303">
        <f>'C12-CorpOwn'!Q86+'C12-CorpOwn'!Z86+'C12-CorpOwn'!AA86</f>
        <v>525897</v>
      </c>
      <c r="F19" s="303">
        <f>'C12-CorpOwn'!N86+'C12-CorpOwn'!X86-'C12-CorpOwn'!Y86-'C12-CorpOwn'!AC86+'C12-CorpOwn'!AB86</f>
        <v>722880.64659480727</v>
      </c>
      <c r="H19" s="302">
        <f>'C12-CorpOwn'!D86</f>
        <v>30076.216271261485</v>
      </c>
      <c r="I19" s="302">
        <f>'C12-CorpOwn'!W86</f>
        <v>40290.466069517679</v>
      </c>
      <c r="J19" s="302">
        <f>'C12-CorpOwn'!Y86</f>
        <v>8104.1904248029459</v>
      </c>
      <c r="L19" s="475">
        <f t="shared" si="5"/>
        <v>0.33835111172981891</v>
      </c>
      <c r="M19" s="475">
        <f t="shared" si="6"/>
        <v>0.1698337742793582</v>
      </c>
      <c r="N19" s="475">
        <f t="shared" si="7"/>
        <v>0.42795804452489944</v>
      </c>
      <c r="O19" s="475">
        <f t="shared" si="8"/>
        <v>5.7642287058749082E-2</v>
      </c>
      <c r="Q19" s="475">
        <f t="shared" si="0"/>
        <v>0.21303297462754281</v>
      </c>
      <c r="R19" s="475">
        <f t="shared" si="1"/>
        <v>0.1069309154682047</v>
      </c>
      <c r="S19" s="475">
        <f t="shared" si="2"/>
        <v>0.26945138372628258</v>
      </c>
      <c r="T19" s="475">
        <f t="shared" si="3"/>
        <v>0.37037897248685708</v>
      </c>
      <c r="U19" s="491">
        <f t="shared" si="9"/>
        <v>4.0205753691112824E-2</v>
      </c>
      <c r="V19" s="587">
        <f t="shared" si="10"/>
        <v>0.99999999999999989</v>
      </c>
      <c r="Z19" s="12"/>
      <c r="AA19" s="12"/>
      <c r="AB19" s="472"/>
      <c r="AC19" s="12"/>
    </row>
    <row r="20" spans="1:29" x14ac:dyDescent="0.3">
      <c r="A20" s="170">
        <v>1975</v>
      </c>
      <c r="B20" s="302">
        <f t="shared" si="4"/>
        <v>2297879.6454962781</v>
      </c>
      <c r="C20" s="302">
        <f>'C12-CorpOwn'!I20</f>
        <v>548603.33696534473</v>
      </c>
      <c r="D20" s="302">
        <f>'C12-CorpOwn'!V87-'C12-CorpOwn'!W87</f>
        <v>226534.59725180265</v>
      </c>
      <c r="E20" s="303">
        <f>'C12-CorpOwn'!Q87+'C12-CorpOwn'!Z87+'C12-CorpOwn'!AA87</f>
        <v>635624</v>
      </c>
      <c r="F20" s="303">
        <f>'C12-CorpOwn'!N87+'C12-CorpOwn'!X87-'C12-CorpOwn'!Y87-'C12-CorpOwn'!AC87+'C12-CorpOwn'!AB87</f>
        <v>794606.15664931596</v>
      </c>
      <c r="H20" s="302">
        <f>'C12-CorpOwn'!D87</f>
        <v>39914.045175810796</v>
      </c>
      <c r="I20" s="302">
        <f>'C12-CorpOwn'!W87</f>
        <v>43733.402748197339</v>
      </c>
      <c r="J20" s="302">
        <f>'C12-CorpOwn'!Y87</f>
        <v>8864.1067058067183</v>
      </c>
      <c r="L20" s="897">
        <f t="shared" si="5"/>
        <v>0.36493914183648207</v>
      </c>
      <c r="M20" s="897">
        <f t="shared" si="6"/>
        <v>0.15069420097706823</v>
      </c>
      <c r="N20" s="897">
        <f t="shared" si="7"/>
        <v>0.42282658792016287</v>
      </c>
      <c r="O20" s="475">
        <f t="shared" si="8"/>
        <v>5.597358322534083E-2</v>
      </c>
      <c r="P20" s="587"/>
      <c r="Q20" s="897">
        <f t="shared" si="0"/>
        <v>0.23874328581158638</v>
      </c>
      <c r="R20" s="897">
        <f t="shared" si="1"/>
        <v>9.8584187250972177E-2</v>
      </c>
      <c r="S20" s="897">
        <f t="shared" si="2"/>
        <v>0.27661326877836673</v>
      </c>
      <c r="T20" s="897">
        <f t="shared" si="3"/>
        <v>0.34579972811313325</v>
      </c>
      <c r="U20" s="491">
        <f t="shared" si="9"/>
        <v>4.0259530045941516E-2</v>
      </c>
      <c r="V20" s="587">
        <f t="shared" si="10"/>
        <v>1</v>
      </c>
      <c r="Z20" s="12"/>
      <c r="AA20" s="12"/>
      <c r="AB20" s="472"/>
      <c r="AC20" s="12"/>
    </row>
    <row r="21" spans="1:29" x14ac:dyDescent="0.3">
      <c r="A21" s="170">
        <v>1976</v>
      </c>
      <c r="B21" s="302">
        <f t="shared" si="4"/>
        <v>2626542.0547868153</v>
      </c>
      <c r="C21" s="302">
        <f>'C12-CorpOwn'!I21</f>
        <v>685136.11202632217</v>
      </c>
      <c r="D21" s="302">
        <f>'C12-CorpOwn'!V88-'C12-CorpOwn'!W88</f>
        <v>233820.101711497</v>
      </c>
      <c r="E21" s="303">
        <f>'C12-CorpOwn'!Q88+'C12-CorpOwn'!Z88+'C12-CorpOwn'!AA88</f>
        <v>712344</v>
      </c>
      <c r="F21" s="303">
        <f>'C12-CorpOwn'!N88+'C12-CorpOwn'!X88-'C12-CorpOwn'!Y88-'C12-CorpOwn'!AC88+'C12-CorpOwn'!AB88</f>
        <v>891056.51524566929</v>
      </c>
      <c r="H21" s="302">
        <f>'C12-CorpOwn'!D88</f>
        <v>49179.539032579421</v>
      </c>
      <c r="I21" s="302">
        <f>'C12-CorpOwn'!W88</f>
        <v>45139.898288503005</v>
      </c>
      <c r="J21" s="302">
        <f>'C12-CorpOwn'!Y88</f>
        <v>9865.8884822447817</v>
      </c>
      <c r="L21" s="897">
        <f t="shared" si="5"/>
        <v>0.3947806515330971</v>
      </c>
      <c r="M21" s="897">
        <f t="shared" si="6"/>
        <v>0.13472892535498621</v>
      </c>
      <c r="N21" s="897">
        <f t="shared" si="7"/>
        <v>0.41045804402861247</v>
      </c>
      <c r="O21" s="475">
        <f t="shared" si="8"/>
        <v>5.465830043324129E-2</v>
      </c>
      <c r="P21" s="587"/>
      <c r="Q21" s="897">
        <f t="shared" si="0"/>
        <v>0.26085099638046022</v>
      </c>
      <c r="R21" s="897">
        <f t="shared" si="1"/>
        <v>8.9022028520489516E-2</v>
      </c>
      <c r="S21" s="897">
        <f t="shared" si="2"/>
        <v>0.27120982079908779</v>
      </c>
      <c r="T21" s="897">
        <f t="shared" si="3"/>
        <v>0.33925080834770505</v>
      </c>
      <c r="U21" s="491">
        <f t="shared" si="9"/>
        <v>3.9666345952257549E-2</v>
      </c>
      <c r="V21" s="587">
        <f t="shared" si="10"/>
        <v>1</v>
      </c>
      <c r="Z21" s="12"/>
      <c r="AA21" s="12"/>
      <c r="AB21" s="472"/>
      <c r="AC21" s="12"/>
    </row>
    <row r="22" spans="1:29" x14ac:dyDescent="0.3">
      <c r="A22" s="170">
        <v>1977</v>
      </c>
      <c r="B22" s="302">
        <f t="shared" si="4"/>
        <v>2711303.1044926345</v>
      </c>
      <c r="C22" s="302">
        <f>'C12-CorpOwn'!I22</f>
        <v>580038.46469803888</v>
      </c>
      <c r="D22" s="302">
        <f>'C12-CorpOwn'!V89-'C12-CorpOwn'!W89</f>
        <v>254289.41883186001</v>
      </c>
      <c r="E22" s="303">
        <f>'C12-CorpOwn'!Q89+'C12-CorpOwn'!Z89+'C12-CorpOwn'!AA89</f>
        <v>777665</v>
      </c>
      <c r="F22" s="303">
        <f>'C12-CorpOwn'!N89+'C12-CorpOwn'!X89-'C12-CorpOwn'!Y89-'C12-CorpOwn'!AC89+'C12-CorpOwn'!AB89</f>
        <v>995219.59921241552</v>
      </c>
      <c r="H22" s="302">
        <f>'C12-CorpOwn'!D89</f>
        <v>43870.41343024758</v>
      </c>
      <c r="I22" s="302">
        <f>'C12-CorpOwn'!W89</f>
        <v>49091.581168139979</v>
      </c>
      <c r="J22" s="302">
        <f>'C12-CorpOwn'!Y89</f>
        <v>11128.627151933229</v>
      </c>
      <c r="L22" s="475">
        <f t="shared" si="5"/>
        <v>0.33800130524727845</v>
      </c>
      <c r="M22" s="475">
        <f t="shared" si="6"/>
        <v>0.14818009616049374</v>
      </c>
      <c r="N22" s="475">
        <f t="shared" si="7"/>
        <v>0.45316267979221397</v>
      </c>
      <c r="O22" s="475">
        <f t="shared" si="8"/>
        <v>5.4524606950561674E-2</v>
      </c>
      <c r="Q22" s="475">
        <f t="shared" si="0"/>
        <v>0.21393346385246048</v>
      </c>
      <c r="R22" s="475">
        <f t="shared" si="1"/>
        <v>9.3788635586519981E-2</v>
      </c>
      <c r="S22" s="475">
        <f t="shared" si="2"/>
        <v>0.28682333550660843</v>
      </c>
      <c r="T22" s="475">
        <f t="shared" si="3"/>
        <v>0.36706320203127962</v>
      </c>
      <c r="U22" s="491">
        <f t="shared" si="9"/>
        <v>3.839136302313173E-2</v>
      </c>
      <c r="V22" s="587">
        <f t="shared" si="10"/>
        <v>1.0000000000000002</v>
      </c>
      <c r="Z22" s="12"/>
      <c r="AA22" s="12"/>
      <c r="AB22" s="472"/>
      <c r="AC22" s="12"/>
    </row>
    <row r="23" spans="1:29" x14ac:dyDescent="0.3">
      <c r="A23" s="170">
        <v>1978</v>
      </c>
      <c r="B23" s="302">
        <f t="shared" si="4"/>
        <v>3042047.7529100659</v>
      </c>
      <c r="C23" s="302">
        <f>'C12-CorpOwn'!I23</f>
        <v>583069.46732737345</v>
      </c>
      <c r="D23" s="302">
        <f>'C12-CorpOwn'!V90-'C12-CorpOwn'!W90</f>
        <v>290514.10034808988</v>
      </c>
      <c r="E23" s="303">
        <f>'C12-CorpOwn'!Q90+'C12-CorpOwn'!Z90+'C12-CorpOwn'!AA90</f>
        <v>890769</v>
      </c>
      <c r="F23" s="303">
        <f>'C12-CorpOwn'!N90+'C12-CorpOwn'!X90-'C12-CorpOwn'!Y90-'C12-CorpOwn'!AC90+'C12-CorpOwn'!AB90</f>
        <v>1162587.5984335828</v>
      </c>
      <c r="H23" s="302">
        <f>'C12-CorpOwn'!D90</f>
        <v>46107.256288971701</v>
      </c>
      <c r="I23" s="302">
        <f>'C12-CorpOwn'!W90</f>
        <v>56084.899651910142</v>
      </c>
      <c r="J23" s="302">
        <f>'C12-CorpOwn'!Y90</f>
        <v>12915.430860138074</v>
      </c>
      <c r="L23" s="475">
        <f t="shared" si="5"/>
        <v>0.31023241750490071</v>
      </c>
      <c r="M23" s="475">
        <f t="shared" si="6"/>
        <v>0.15457316275428651</v>
      </c>
      <c r="N23" s="475">
        <f t="shared" si="7"/>
        <v>0.47394939332891606</v>
      </c>
      <c r="O23" s="475">
        <f t="shared" si="8"/>
        <v>5.4749374417822259E-2</v>
      </c>
      <c r="Q23" s="475">
        <f t="shared" si="0"/>
        <v>0.19167005737158496</v>
      </c>
      <c r="R23" s="475">
        <f t="shared" si="1"/>
        <v>9.5499520042109792E-2</v>
      </c>
      <c r="S23" s="475">
        <f t="shared" si="2"/>
        <v>0.29281887476877305</v>
      </c>
      <c r="T23" s="475">
        <f t="shared" si="3"/>
        <v>0.38217269841390067</v>
      </c>
      <c r="U23" s="491">
        <f t="shared" si="9"/>
        <v>3.7838849403631608E-2</v>
      </c>
      <c r="V23" s="587">
        <f t="shared" si="10"/>
        <v>1.0000000000000002</v>
      </c>
      <c r="Z23" s="12"/>
      <c r="AA23" s="12"/>
      <c r="AB23" s="472"/>
      <c r="AC23" s="12"/>
    </row>
    <row r="24" spans="1:29" x14ac:dyDescent="0.3">
      <c r="A24" s="170">
        <v>1979</v>
      </c>
      <c r="B24" s="302">
        <f t="shared" si="4"/>
        <v>3553038.0108118164</v>
      </c>
      <c r="C24" s="302">
        <f>'C12-CorpOwn'!I24</f>
        <v>695166.99328166526</v>
      </c>
      <c r="D24" s="302">
        <f>'C12-CorpOwn'!V91-'C12-CorpOwn'!W91</f>
        <v>354787.80639713281</v>
      </c>
      <c r="E24" s="303">
        <f>'C12-CorpOwn'!Q91+'C12-CorpOwn'!Z91+'C12-CorpOwn'!AA91</f>
        <v>1017843</v>
      </c>
      <c r="F24" s="303">
        <f>'C12-CorpOwn'!N91+'C12-CorpOwn'!X91-'C12-CorpOwn'!Y91-'C12-CorpOwn'!AC91+'C12-CorpOwn'!AB91</f>
        <v>1347201.7636996713</v>
      </c>
      <c r="H24" s="302">
        <f>'C12-CorpOwn'!D91</f>
        <v>54554.096092683467</v>
      </c>
      <c r="I24" s="302">
        <f>'C12-CorpOwn'!W91</f>
        <v>68493.193602867221</v>
      </c>
      <c r="J24" s="302">
        <f>'C12-CorpOwn'!Y91</f>
        <v>14991.157737796448</v>
      </c>
      <c r="L24" s="475">
        <f t="shared" si="5"/>
        <v>0.31514895731347675</v>
      </c>
      <c r="M24" s="475">
        <f t="shared" si="6"/>
        <v>0.16084050067706376</v>
      </c>
      <c r="N24" s="475">
        <f t="shared" si="7"/>
        <v>0.46143180452880311</v>
      </c>
      <c r="O24" s="475">
        <f t="shared" si="8"/>
        <v>5.6164304036069465E-2</v>
      </c>
      <c r="Q24" s="475">
        <f t="shared" si="0"/>
        <v>0.19565425170411557</v>
      </c>
      <c r="R24" s="475">
        <f t="shared" si="1"/>
        <v>9.9854773666231925E-2</v>
      </c>
      <c r="S24" s="475">
        <f t="shared" si="2"/>
        <v>0.28647118238046598</v>
      </c>
      <c r="T24" s="475">
        <f t="shared" si="3"/>
        <v>0.37916897021652063</v>
      </c>
      <c r="U24" s="491">
        <f t="shared" si="9"/>
        <v>3.8850822032665898E-2</v>
      </c>
      <c r="V24" s="587">
        <f t="shared" si="10"/>
        <v>1</v>
      </c>
      <c r="Z24" s="12"/>
      <c r="AA24" s="12"/>
      <c r="AB24" s="472"/>
      <c r="AC24" s="12"/>
    </row>
    <row r="25" spans="1:29" x14ac:dyDescent="0.3">
      <c r="A25" s="170">
        <v>1980</v>
      </c>
      <c r="B25" s="302">
        <f t="shared" si="4"/>
        <v>4150122.7288908148</v>
      </c>
      <c r="C25" s="302">
        <f>'C12-CorpOwn'!I25</f>
        <v>926989.84806172736</v>
      </c>
      <c r="D25" s="302">
        <f>'C12-CorpOwn'!V92-'C12-CorpOwn'!W92</f>
        <v>370754.39342574729</v>
      </c>
      <c r="E25" s="303">
        <f>'C12-CorpOwn'!Q92+'C12-CorpOwn'!Z92+'C12-CorpOwn'!AA92</f>
        <v>1190214</v>
      </c>
      <c r="F25" s="303">
        <f>'C12-CorpOwn'!N92+'C12-CorpOwn'!X92-'C12-CorpOwn'!Y92-'C12-CorpOwn'!AC92+'C12-CorpOwn'!AB92</f>
        <v>1502636.1018471313</v>
      </c>
      <c r="H25" s="302">
        <f>'C12-CorpOwn'!D92</f>
        <v>71086.523676345794</v>
      </c>
      <c r="I25" s="302">
        <f>'C12-CorpOwn'!W92</f>
        <v>71575.606574252699</v>
      </c>
      <c r="J25" s="302">
        <f>'C12-CorpOwn'!Y92</f>
        <v>16866.255305610386</v>
      </c>
      <c r="L25" s="475">
        <f t="shared" si="5"/>
        <v>0.35013957713427651</v>
      </c>
      <c r="M25" s="475">
        <f t="shared" si="6"/>
        <v>0.14004013831025475</v>
      </c>
      <c r="N25" s="475">
        <f t="shared" si="7"/>
        <v>0.44956374390795417</v>
      </c>
      <c r="O25" s="475">
        <f t="shared" si="8"/>
        <v>5.423136374342772E-2</v>
      </c>
      <c r="Q25" s="475">
        <f t="shared" si="0"/>
        <v>0.22336444211843343</v>
      </c>
      <c r="R25" s="475">
        <f t="shared" si="1"/>
        <v>8.9335766107533215E-2</v>
      </c>
      <c r="S25" s="475">
        <f t="shared" si="2"/>
        <v>0.28679007290902536</v>
      </c>
      <c r="T25" s="475">
        <f t="shared" si="3"/>
        <v>0.36207028081040249</v>
      </c>
      <c r="U25" s="491">
        <f t="shared" si="9"/>
        <v>3.8439438054605514E-2</v>
      </c>
      <c r="V25" s="587">
        <f t="shared" si="10"/>
        <v>1</v>
      </c>
      <c r="Z25" s="12"/>
      <c r="AA25" s="12"/>
      <c r="AB25" s="472"/>
      <c r="AC25" s="12"/>
    </row>
    <row r="26" spans="1:29" x14ac:dyDescent="0.3">
      <c r="A26" s="170">
        <v>1981</v>
      </c>
      <c r="B26" s="302">
        <f t="shared" si="4"/>
        <v>4278753.6495193774</v>
      </c>
      <c r="C26" s="302">
        <f>'C12-CorpOwn'!I26</f>
        <v>797439.18537169672</v>
      </c>
      <c r="D26" s="302">
        <f>'C12-CorpOwn'!V93-'C12-CorpOwn'!W93</f>
        <v>386193.76205754315</v>
      </c>
      <c r="E26" s="303">
        <f>'C12-CorpOwn'!Q93+'C12-CorpOwn'!Z93+'C12-CorpOwn'!AA93</f>
        <v>1331661</v>
      </c>
      <c r="F26" s="303">
        <f>'C12-CorpOwn'!N93+'C12-CorpOwn'!X93-'C12-CorpOwn'!Y93-'C12-CorpOwn'!AC93+'C12-CorpOwn'!AB93</f>
        <v>1605103.2573982184</v>
      </c>
      <c r="H26" s="302">
        <f>'C12-CorpOwn'!D93</f>
        <v>65718.100815407888</v>
      </c>
      <c r="I26" s="302">
        <f>'C12-CorpOwn'!W93</f>
        <v>74556.237942456835</v>
      </c>
      <c r="J26" s="302">
        <f>'C12-CorpOwn'!Y93</f>
        <v>18082.10593405502</v>
      </c>
      <c r="L26" s="475">
        <f t="shared" si="5"/>
        <v>0.29825858598477523</v>
      </c>
      <c r="M26" s="475">
        <f t="shared" si="6"/>
        <v>0.14444437582250746</v>
      </c>
      <c r="N26" s="475">
        <f t="shared" si="7"/>
        <v>0.49806848491642824</v>
      </c>
      <c r="O26" s="475">
        <f t="shared" si="8"/>
        <v>5.2822719523914881E-2</v>
      </c>
      <c r="Q26" s="475">
        <f t="shared" si="0"/>
        <v>0.18637183878564059</v>
      </c>
      <c r="R26" s="475">
        <f t="shared" si="1"/>
        <v>9.02584709687419E-2</v>
      </c>
      <c r="S26" s="475">
        <f t="shared" si="2"/>
        <v>0.31122637783775714</v>
      </c>
      <c r="T26" s="475">
        <f t="shared" si="3"/>
        <v>0.37513336566561056</v>
      </c>
      <c r="U26" s="491">
        <f t="shared" si="9"/>
        <v>3.7009946742249944E-2</v>
      </c>
      <c r="V26" s="587">
        <f t="shared" si="10"/>
        <v>1.0000000000000002</v>
      </c>
      <c r="Z26" s="12"/>
      <c r="AA26" s="12"/>
      <c r="AB26" s="472"/>
      <c r="AC26" s="12"/>
    </row>
    <row r="27" spans="1:29" x14ac:dyDescent="0.3">
      <c r="A27" s="170">
        <v>1982</v>
      </c>
      <c r="B27" s="302">
        <f t="shared" si="4"/>
        <v>4662915.3426762568</v>
      </c>
      <c r="C27" s="302">
        <f>'C12-CorpOwn'!I27</f>
        <v>830635.28073804337</v>
      </c>
      <c r="D27" s="302">
        <f>'C12-CorpOwn'!V94-'C12-CorpOwn'!W94</f>
        <v>433386.93314574263</v>
      </c>
      <c r="E27" s="303">
        <f>'C12-CorpOwn'!Q94+'C12-CorpOwn'!Z94+'C12-CorpOwn'!AA94</f>
        <v>1595059</v>
      </c>
      <c r="F27" s="303">
        <f>'C12-CorpOwn'!N94+'C12-CorpOwn'!X94-'C12-CorpOwn'!Y94-'C12-CorpOwn'!AC94+'C12-CorpOwn'!AB94</f>
        <v>1627467.5297744959</v>
      </c>
      <c r="H27" s="302">
        <f>'C12-CorpOwn'!D94</f>
        <v>74299.179721802022</v>
      </c>
      <c r="I27" s="302">
        <f>'C12-CorpOwn'!W94</f>
        <v>83667.066854257355</v>
      </c>
      <c r="J27" s="302">
        <f>'C12-CorpOwn'!Y94</f>
        <v>18400.352441915096</v>
      </c>
      <c r="L27" s="475">
        <f t="shared" si="5"/>
        <v>0.27364505402054362</v>
      </c>
      <c r="M27" s="475">
        <f t="shared" si="6"/>
        <v>0.1427752871598352</v>
      </c>
      <c r="N27" s="475">
        <f t="shared" si="7"/>
        <v>0.52547732602102959</v>
      </c>
      <c r="O27" s="475">
        <f t="shared" si="8"/>
        <v>5.2357892491350741E-2</v>
      </c>
      <c r="Q27" s="475">
        <f t="shared" si="0"/>
        <v>0.17813647036133073</v>
      </c>
      <c r="R27" s="475">
        <f t="shared" si="1"/>
        <v>9.2943341514110003E-2</v>
      </c>
      <c r="S27" s="475">
        <f t="shared" si="2"/>
        <v>0.34207333455136757</v>
      </c>
      <c r="T27" s="475">
        <f t="shared" si="3"/>
        <v>0.34902360651489311</v>
      </c>
      <c r="U27" s="491">
        <f t="shared" si="9"/>
        <v>3.7823247058298461E-2</v>
      </c>
      <c r="V27" s="587">
        <f t="shared" si="10"/>
        <v>0.99999999999999978</v>
      </c>
      <c r="Z27" s="12"/>
      <c r="AA27" s="12"/>
      <c r="AB27" s="472"/>
      <c r="AC27" s="12"/>
    </row>
    <row r="28" spans="1:29" x14ac:dyDescent="0.3">
      <c r="A28" s="170">
        <v>1983</v>
      </c>
      <c r="B28" s="302">
        <f t="shared" si="4"/>
        <v>5201564.6475545103</v>
      </c>
      <c r="C28" s="302">
        <f>'C12-CorpOwn'!I28</f>
        <v>921173.43946924037</v>
      </c>
      <c r="D28" s="302">
        <f>'C12-CorpOwn'!V95-'C12-CorpOwn'!W95</f>
        <v>500552.3776193076</v>
      </c>
      <c r="E28" s="303">
        <f>'C12-CorpOwn'!Q95+'C12-CorpOwn'!Z95+'C12-CorpOwn'!AA95</f>
        <v>1889546</v>
      </c>
      <c r="F28" s="303">
        <f>'C12-CorpOwn'!N95+'C12-CorpOwn'!X95-'C12-CorpOwn'!Y95-'C12-CorpOwn'!AC95+'C12-CorpOwn'!AB95</f>
        <v>1686551.7771324739</v>
      </c>
      <c r="H28" s="302">
        <f>'C12-CorpOwn'!D95</f>
        <v>88254.768136368672</v>
      </c>
      <c r="I28" s="302">
        <f>'C12-CorpOwn'!W95</f>
        <v>96633.62238069241</v>
      </c>
      <c r="J28" s="302">
        <f>'C12-CorpOwn'!Y95</f>
        <v>18852.662816426408</v>
      </c>
      <c r="L28" s="475">
        <f t="shared" si="5"/>
        <v>0.26206829773531898</v>
      </c>
      <c r="M28" s="475">
        <f t="shared" si="6"/>
        <v>0.14240413792829382</v>
      </c>
      <c r="N28" s="475">
        <f t="shared" si="7"/>
        <v>0.5375644612570446</v>
      </c>
      <c r="O28" s="475">
        <f t="shared" si="8"/>
        <v>5.2883271800546076E-2</v>
      </c>
      <c r="Q28" s="475">
        <f t="shared" si="0"/>
        <v>0.17709545144312019</v>
      </c>
      <c r="R28" s="475">
        <f t="shared" si="1"/>
        <v>9.6231117276344882E-2</v>
      </c>
      <c r="S28" s="475">
        <f t="shared" si="2"/>
        <v>0.36326492661940879</v>
      </c>
      <c r="T28" s="475">
        <f t="shared" si="3"/>
        <v>0.32423931862990452</v>
      </c>
      <c r="U28" s="491">
        <f t="shared" si="9"/>
        <v>3.9169186031221458E-2</v>
      </c>
      <c r="V28" s="587">
        <f t="shared" si="10"/>
        <v>0.99999999999999978</v>
      </c>
      <c r="Z28" s="12"/>
      <c r="AA28" s="12"/>
      <c r="AB28" s="472"/>
      <c r="AC28" s="12"/>
    </row>
    <row r="29" spans="1:29" x14ac:dyDescent="0.3">
      <c r="A29" s="170">
        <v>1984</v>
      </c>
      <c r="B29" s="302">
        <f t="shared" si="4"/>
        <v>5401937.9793440336</v>
      </c>
      <c r="C29" s="302">
        <f>'C12-CorpOwn'!I29</f>
        <v>794408.48408233211</v>
      </c>
      <c r="D29" s="302">
        <f>'C12-CorpOwn'!V96-'C12-CorpOwn'!W96</f>
        <v>586114.30758313613</v>
      </c>
      <c r="E29" s="303">
        <f>'C12-CorpOwn'!Q96+'C12-CorpOwn'!Z96+'C12-CorpOwn'!AA96</f>
        <v>2119242</v>
      </c>
      <c r="F29" s="303">
        <f>'C12-CorpOwn'!N96+'C12-CorpOwn'!X96-'C12-CorpOwn'!Y96-'C12-CorpOwn'!AC96+'C12-CorpOwn'!AB96</f>
        <v>1685109.703126546</v>
      </c>
      <c r="H29" s="302">
        <f>'C12-CorpOwn'!D96</f>
        <v>85078.251558868025</v>
      </c>
      <c r="I29" s="302">
        <f>'C12-CorpOwn'!W96</f>
        <v>113151.69241686385</v>
      </c>
      <c r="J29" s="302">
        <f>'C12-CorpOwn'!Y96</f>
        <v>18833.540576287509</v>
      </c>
      <c r="L29" s="475">
        <f t="shared" si="5"/>
        <v>0.21373289940927254</v>
      </c>
      <c r="M29" s="475">
        <f t="shared" si="6"/>
        <v>0.15769206001080263</v>
      </c>
      <c r="N29" s="475">
        <f t="shared" si="7"/>
        <v>0.5701748486902638</v>
      </c>
      <c r="O29" s="475">
        <f t="shared" si="8"/>
        <v>5.3604712322923451E-2</v>
      </c>
      <c r="Q29" s="475">
        <f t="shared" si="0"/>
        <v>0.14705990463422508</v>
      </c>
      <c r="R29" s="475">
        <f t="shared" si="1"/>
        <v>0.10850074729186523</v>
      </c>
      <c r="S29" s="475">
        <f t="shared" si="2"/>
        <v>0.39231142751056597</v>
      </c>
      <c r="T29" s="475">
        <f t="shared" si="3"/>
        <v>0.31194539988612968</v>
      </c>
      <c r="U29" s="491">
        <f t="shared" si="9"/>
        <v>4.0182520677214027E-2</v>
      </c>
      <c r="V29" s="587">
        <f t="shared" si="10"/>
        <v>1</v>
      </c>
      <c r="Z29" s="12"/>
      <c r="AA29" s="12"/>
      <c r="AB29" s="472"/>
      <c r="AC29" s="12"/>
    </row>
    <row r="30" spans="1:29" x14ac:dyDescent="0.3">
      <c r="A30" s="170">
        <v>1985</v>
      </c>
      <c r="B30" s="302">
        <f t="shared" si="4"/>
        <v>6211745.8096411992</v>
      </c>
      <c r="C30" s="302">
        <f>'C12-CorpOwn'!I30</f>
        <v>954866.18832931959</v>
      </c>
      <c r="D30" s="302">
        <f>'C12-CorpOwn'!V97-'C12-CorpOwn'!W97</f>
        <v>699187.98546235205</v>
      </c>
      <c r="E30" s="303">
        <f>'C12-CorpOwn'!Q97+'C12-CorpOwn'!Z97+'C12-CorpOwn'!AA97</f>
        <v>2593904</v>
      </c>
      <c r="F30" s="303">
        <f>'C12-CorpOwn'!N97+'C12-CorpOwn'!X97-'C12-CorpOwn'!Y97-'C12-CorpOwn'!AC97+'C12-CorpOwn'!AB97</f>
        <v>1701514.8311789073</v>
      </c>
      <c r="H30" s="302">
        <f>'C12-CorpOwn'!D97</f>
        <v>107962.14308379147</v>
      </c>
      <c r="I30" s="302">
        <f>'C12-CorpOwn'!W97</f>
        <v>134981.01453764792</v>
      </c>
      <c r="J30" s="302">
        <f>'C12-CorpOwn'!Y97</f>
        <v>19329.647049181465</v>
      </c>
      <c r="L30" s="475">
        <f t="shared" si="5"/>
        <v>0.2117111502468704</v>
      </c>
      <c r="M30" s="475">
        <f t="shared" si="6"/>
        <v>0.15502265600169587</v>
      </c>
      <c r="N30" s="475">
        <f t="shared" si="7"/>
        <v>0.57511555669469505</v>
      </c>
      <c r="O30" s="475">
        <f t="shared" si="8"/>
        <v>5.4096748000694701E-2</v>
      </c>
      <c r="Q30" s="475">
        <f t="shared" si="0"/>
        <v>0.15371945626739583</v>
      </c>
      <c r="R30" s="475">
        <f t="shared" si="1"/>
        <v>0.11255901430756361</v>
      </c>
      <c r="S30" s="475">
        <f t="shared" si="2"/>
        <v>0.41758051270771945</v>
      </c>
      <c r="T30" s="475">
        <f t="shared" si="3"/>
        <v>0.27391894055580962</v>
      </c>
      <c r="U30" s="491">
        <f t="shared" si="9"/>
        <v>4.2222076161511531E-2</v>
      </c>
      <c r="V30" s="587">
        <f t="shared" si="10"/>
        <v>1</v>
      </c>
      <c r="Z30" s="12"/>
      <c r="AA30" s="12"/>
      <c r="AB30" s="472"/>
      <c r="AC30" s="12"/>
    </row>
    <row r="31" spans="1:29" x14ac:dyDescent="0.3">
      <c r="A31" s="170">
        <v>1986</v>
      </c>
      <c r="B31" s="302">
        <f t="shared" si="4"/>
        <v>6906526.9679353517</v>
      </c>
      <c r="C31" s="302">
        <f>'C12-CorpOwn'!I31</f>
        <v>1175227.0051871818</v>
      </c>
      <c r="D31" s="302">
        <f>'C12-CorpOwn'!V98-'C12-CorpOwn'!W98</f>
        <v>735112.59673047205</v>
      </c>
      <c r="E31" s="303">
        <f>'C12-CorpOwn'!Q98+'C12-CorpOwn'!Z98+'C12-CorpOwn'!AA98</f>
        <v>2938376</v>
      </c>
      <c r="F31" s="303">
        <f>'C12-CorpOwn'!N98+'C12-CorpOwn'!X98-'C12-CorpOwn'!Y98-'C12-CorpOwn'!AC98+'C12-CorpOwn'!AB98</f>
        <v>1768105.4321700563</v>
      </c>
      <c r="H31" s="302">
        <f>'C12-CorpOwn'!D98</f>
        <v>127543.74317234255</v>
      </c>
      <c r="I31" s="302">
        <f>'C12-CorpOwn'!W98</f>
        <v>141916.40326952789</v>
      </c>
      <c r="J31" s="302">
        <f>'C12-CorpOwn'!Y98</f>
        <v>20245.787405771636</v>
      </c>
      <c r="L31" s="475">
        <f t="shared" si="5"/>
        <v>0.22871362285230423</v>
      </c>
      <c r="M31" s="475">
        <f t="shared" si="6"/>
        <v>0.14306194842400904</v>
      </c>
      <c r="N31" s="475">
        <f t="shared" si="7"/>
        <v>0.57184409249957924</v>
      </c>
      <c r="O31" s="475">
        <f t="shared" si="8"/>
        <v>5.2647693180180005E-2</v>
      </c>
      <c r="Q31" s="475">
        <f t="shared" si="0"/>
        <v>0.17016179197494771</v>
      </c>
      <c r="R31" s="475">
        <f t="shared" si="1"/>
        <v>0.10643737440588433</v>
      </c>
      <c r="S31" s="475">
        <f t="shared" si="2"/>
        <v>0.42544914595163058</v>
      </c>
      <c r="T31" s="475">
        <f t="shared" si="3"/>
        <v>0.2560049993837375</v>
      </c>
      <c r="U31" s="491">
        <f t="shared" si="9"/>
        <v>4.1946688283799924E-2</v>
      </c>
      <c r="V31" s="587">
        <f t="shared" si="10"/>
        <v>0.99999999999999989</v>
      </c>
      <c r="Z31" s="12"/>
      <c r="AA31" s="12"/>
      <c r="AB31" s="472"/>
      <c r="AC31" s="12"/>
    </row>
    <row r="32" spans="1:29" x14ac:dyDescent="0.3">
      <c r="A32" s="170">
        <v>1987</v>
      </c>
      <c r="B32" s="302">
        <f t="shared" si="4"/>
        <v>7381385.8703433778</v>
      </c>
      <c r="C32" s="302">
        <f>'C12-CorpOwn'!I32</f>
        <v>987820.26093244902</v>
      </c>
      <c r="D32" s="302">
        <f>'C12-CorpOwn'!V99-'C12-CorpOwn'!W99</f>
        <v>885887</v>
      </c>
      <c r="E32" s="303">
        <f>'C12-CorpOwn'!Q99+'C12-CorpOwn'!Z99+'C12-CorpOwn'!AA99</f>
        <v>3218370</v>
      </c>
      <c r="F32" s="303">
        <f>'C12-CorpOwn'!N99+'C12-CorpOwn'!X99-'C12-CorpOwn'!Y99-'C12-CorpOwn'!AC99+'C12-CorpOwn'!AB99</f>
        <v>1968283.6094109286</v>
      </c>
      <c r="H32" s="302">
        <f>'C12-CorpOwn'!D99</f>
        <v>128880</v>
      </c>
      <c r="I32" s="302">
        <f>'C12-CorpOwn'!W99</f>
        <v>171024</v>
      </c>
      <c r="J32" s="302">
        <f>'C12-CorpOwn'!Y99</f>
        <v>21121</v>
      </c>
      <c r="L32" s="475">
        <f t="shared" si="5"/>
        <v>0.18248690183848276</v>
      </c>
      <c r="M32" s="475">
        <f t="shared" si="6"/>
        <v>0.16365606214270909</v>
      </c>
      <c r="N32" s="475">
        <f t="shared" si="7"/>
        <v>0.59455185674722699</v>
      </c>
      <c r="O32" s="475">
        <f t="shared" si="8"/>
        <v>5.5620371341597877E-2</v>
      </c>
      <c r="Q32" s="475">
        <f t="shared" si="0"/>
        <v>0.13382585306930936</v>
      </c>
      <c r="R32" s="475">
        <f t="shared" si="1"/>
        <v>0.12001635134118643</v>
      </c>
      <c r="S32" s="475">
        <f t="shared" si="2"/>
        <v>0.43601161848625636</v>
      </c>
      <c r="T32" s="475">
        <f t="shared" si="3"/>
        <v>0.26665502169707939</v>
      </c>
      <c r="U32" s="491">
        <f t="shared" si="9"/>
        <v>4.3491155406168477E-2</v>
      </c>
      <c r="V32" s="587">
        <f t="shared" si="10"/>
        <v>0.99999999999999989</v>
      </c>
      <c r="Z32" s="12"/>
      <c r="AA32" s="12"/>
      <c r="AB32" s="472"/>
      <c r="AC32" s="12"/>
    </row>
    <row r="33" spans="1:29" x14ac:dyDescent="0.3">
      <c r="A33" s="170">
        <v>1988</v>
      </c>
      <c r="B33" s="302">
        <f t="shared" si="4"/>
        <v>8327973.3926120363</v>
      </c>
      <c r="C33" s="302">
        <f>'C12-CorpOwn'!I33</f>
        <v>1155643.2591221305</v>
      </c>
      <c r="D33" s="302">
        <f>'C12-CorpOwn'!V100-'C12-CorpOwn'!W100</f>
        <v>1071384</v>
      </c>
      <c r="E33" s="303">
        <f>'C12-CorpOwn'!Q100+'C12-CorpOwn'!Z100+'C12-CorpOwn'!AA100</f>
        <v>3541999</v>
      </c>
      <c r="F33" s="303">
        <f>'C12-CorpOwn'!N100+'C12-CorpOwn'!X100-'C12-CorpOwn'!Y100-'C12-CorpOwn'!AC100+'C12-CorpOwn'!AB100</f>
        <v>2160383.1334899059</v>
      </c>
      <c r="H33" s="302">
        <f>'C12-CorpOwn'!D100</f>
        <v>145759</v>
      </c>
      <c r="I33" s="302">
        <f>'C12-CorpOwn'!W100</f>
        <v>226732</v>
      </c>
      <c r="J33" s="302">
        <f>'C12-CorpOwn'!Y100</f>
        <v>26073</v>
      </c>
      <c r="L33" s="475">
        <f t="shared" si="5"/>
        <v>0.18737354632352313</v>
      </c>
      <c r="M33" s="475">
        <f t="shared" si="6"/>
        <v>0.17371192880645356</v>
      </c>
      <c r="N33" s="475">
        <f t="shared" si="7"/>
        <v>0.57429220346815868</v>
      </c>
      <c r="O33" s="475">
        <f t="shared" si="8"/>
        <v>6.0651299065671585E-2</v>
      </c>
      <c r="Q33" s="475">
        <f t="shared" si="0"/>
        <v>0.13876644468476951</v>
      </c>
      <c r="R33" s="475">
        <f t="shared" si="1"/>
        <v>0.12864882600975322</v>
      </c>
      <c r="S33" s="475">
        <f t="shared" si="2"/>
        <v>0.42531343857825005</v>
      </c>
      <c r="T33" s="475">
        <f t="shared" si="3"/>
        <v>0.25941282850476427</v>
      </c>
      <c r="U33" s="491">
        <f t="shared" si="9"/>
        <v>4.7858462222462983E-2</v>
      </c>
      <c r="V33" s="587">
        <f t="shared" si="10"/>
        <v>1</v>
      </c>
      <c r="Z33" s="12"/>
      <c r="AA33" s="12"/>
      <c r="AB33" s="472"/>
      <c r="AC33" s="12"/>
    </row>
    <row r="34" spans="1:29" x14ac:dyDescent="0.3">
      <c r="A34" s="170">
        <v>1989</v>
      </c>
      <c r="B34" s="302">
        <f t="shared" si="4"/>
        <v>9430150.294126261</v>
      </c>
      <c r="C34" s="302">
        <f>'C12-CorpOwn'!I34</f>
        <v>1457207.8995100344</v>
      </c>
      <c r="D34" s="302">
        <f>'C12-CorpOwn'!V101-'C12-CorpOwn'!W101</f>
        <v>1137689</v>
      </c>
      <c r="E34" s="303">
        <f>'C12-CorpOwn'!Q101+'C12-CorpOwn'!Z101+'C12-CorpOwn'!AA101</f>
        <v>4080211</v>
      </c>
      <c r="F34" s="303">
        <f>'C12-CorpOwn'!N101+'C12-CorpOwn'!X101-'C12-CorpOwn'!Y101-'C12-CorpOwn'!AC101+'C12-CorpOwn'!AB101</f>
        <v>2282119.3946162271</v>
      </c>
      <c r="H34" s="302">
        <f>'C12-CorpOwn'!D101</f>
        <v>203000</v>
      </c>
      <c r="I34" s="302">
        <f>'C12-CorpOwn'!W101</f>
        <v>247706</v>
      </c>
      <c r="J34" s="302">
        <f>'C12-CorpOwn'!Y101</f>
        <v>22217</v>
      </c>
      <c r="L34" s="475">
        <f t="shared" si="5"/>
        <v>0.20386144380124596</v>
      </c>
      <c r="M34" s="475">
        <f t="shared" si="6"/>
        <v>0.15916117543336078</v>
      </c>
      <c r="N34" s="475">
        <f t="shared" si="7"/>
        <v>0.57081608310894139</v>
      </c>
      <c r="O34" s="475">
        <f t="shared" si="8"/>
        <v>6.3249757340840776E-2</v>
      </c>
      <c r="Q34" s="475">
        <f t="shared" si="0"/>
        <v>0.1545264766795586</v>
      </c>
      <c r="R34" s="475">
        <f t="shared" si="1"/>
        <v>0.12064378239110675</v>
      </c>
      <c r="S34" s="475">
        <f t="shared" si="2"/>
        <v>0.43267719736571247</v>
      </c>
      <c r="T34" s="475">
        <f t="shared" si="3"/>
        <v>0.24200244147091551</v>
      </c>
      <c r="U34" s="491">
        <f t="shared" si="9"/>
        <v>5.0150102092706692E-2</v>
      </c>
      <c r="V34" s="587">
        <f t="shared" si="10"/>
        <v>1</v>
      </c>
      <c r="Z34" s="12"/>
      <c r="AA34" s="12"/>
      <c r="AB34" s="472"/>
      <c r="AC34" s="12"/>
    </row>
    <row r="35" spans="1:29" x14ac:dyDescent="0.3">
      <c r="A35" s="170">
        <v>1990</v>
      </c>
      <c r="B35" s="302">
        <f t="shared" si="4"/>
        <v>9683437.3690698631</v>
      </c>
      <c r="C35" s="302">
        <f>'C12-CorpOwn'!I35</f>
        <v>1150660.7509005691</v>
      </c>
      <c r="D35" s="302">
        <f>'C12-CorpOwn'!V102-'C12-CorpOwn'!W102</f>
        <v>1358646</v>
      </c>
      <c r="E35" s="303">
        <f>'C12-CorpOwn'!Q102+'C12-CorpOwn'!Z102+'C12-CorpOwn'!AA102</f>
        <v>4339263</v>
      </c>
      <c r="F35" s="303">
        <f>'C12-CorpOwn'!N102+'C12-CorpOwn'!X102-'C12-CorpOwn'!Y102-'C12-CorpOwn'!AC102+'C12-CorpOwn'!AB102</f>
        <v>2350644.6181692933</v>
      </c>
      <c r="H35" s="302">
        <f>'C12-CorpOwn'!D102</f>
        <v>197465</v>
      </c>
      <c r="I35" s="302">
        <f>'C12-CorpOwn'!W102</f>
        <v>270582</v>
      </c>
      <c r="J35" s="302">
        <f>'C12-CorpOwn'!Y102</f>
        <v>16176</v>
      </c>
      <c r="L35" s="475">
        <f t="shared" si="5"/>
        <v>0.15691985168396472</v>
      </c>
      <c r="M35" s="475">
        <f t="shared" si="6"/>
        <v>0.18528356741476693</v>
      </c>
      <c r="N35" s="475">
        <f t="shared" si="7"/>
        <v>0.59176130396799742</v>
      </c>
      <c r="O35" s="475">
        <f t="shared" si="8"/>
        <v>6.3970413639936816E-2</v>
      </c>
      <c r="Q35" s="475">
        <f t="shared" si="0"/>
        <v>0.1188277165478373</v>
      </c>
      <c r="R35" s="475">
        <f t="shared" si="1"/>
        <v>0.14030616899941842</v>
      </c>
      <c r="S35" s="475">
        <f t="shared" si="2"/>
        <v>0.44811184650815844</v>
      </c>
      <c r="T35" s="475">
        <f t="shared" si="3"/>
        <v>0.24274898763506775</v>
      </c>
      <c r="U35" s="491">
        <f t="shared" si="9"/>
        <v>5.0005280309518001E-2</v>
      </c>
      <c r="V35" s="587">
        <f t="shared" si="10"/>
        <v>0.99999999999999989</v>
      </c>
      <c r="Z35" s="12"/>
      <c r="AA35" s="12"/>
      <c r="AB35" s="472"/>
      <c r="AC35" s="12"/>
    </row>
    <row r="36" spans="1:29" x14ac:dyDescent="0.3">
      <c r="A36" s="170">
        <v>1991</v>
      </c>
      <c r="B36" s="302">
        <f t="shared" si="4"/>
        <v>11088267.155565083</v>
      </c>
      <c r="C36" s="302">
        <f>'C12-CorpOwn'!I36</f>
        <v>1917327.319070485</v>
      </c>
      <c r="D36" s="302">
        <f>'C12-CorpOwn'!V103-'C12-CorpOwn'!W103</f>
        <v>1369167</v>
      </c>
      <c r="E36" s="303">
        <f>'C12-CorpOwn'!Q103+'C12-CorpOwn'!Z103+'C12-CorpOwn'!AA103</f>
        <v>5024870</v>
      </c>
      <c r="F36" s="303">
        <f>'C12-CorpOwn'!N103+'C12-CorpOwn'!X103-'C12-CorpOwn'!Y103-'C12-CorpOwn'!AC103+'C12-CorpOwn'!AB103</f>
        <v>2277848.8364945995</v>
      </c>
      <c r="H36" s="302">
        <f>'C12-CorpOwn'!D103</f>
        <v>214556</v>
      </c>
      <c r="I36" s="302">
        <f>'C12-CorpOwn'!W103</f>
        <v>253076</v>
      </c>
      <c r="J36" s="302">
        <f>'C12-CorpOwn'!Y103</f>
        <v>31422</v>
      </c>
      <c r="L36" s="475">
        <f t="shared" si="5"/>
        <v>0.21762046359596313</v>
      </c>
      <c r="M36" s="475">
        <f t="shared" si="6"/>
        <v>0.15540317728573524</v>
      </c>
      <c r="N36" s="475">
        <f t="shared" si="7"/>
        <v>0.57033273767756043</v>
      </c>
      <c r="O36" s="475">
        <f t="shared" si="8"/>
        <v>5.3267137039819674E-2</v>
      </c>
      <c r="Q36" s="475">
        <f t="shared" si="0"/>
        <v>0.1729149642744853</v>
      </c>
      <c r="R36" s="475">
        <f t="shared" si="1"/>
        <v>0.12347889717942354</v>
      </c>
      <c r="S36" s="475">
        <f t="shared" si="2"/>
        <v>0.45316999757514603</v>
      </c>
      <c r="T36" s="475">
        <f t="shared" si="3"/>
        <v>0.20542874775084866</v>
      </c>
      <c r="U36" s="491">
        <f t="shared" si="9"/>
        <v>4.5007393220096621E-2</v>
      </c>
      <c r="V36" s="587">
        <f t="shared" si="10"/>
        <v>1.0000000000000002</v>
      </c>
      <c r="Z36" s="12"/>
      <c r="AA36" s="12"/>
      <c r="AB36" s="472"/>
      <c r="AC36" s="12"/>
    </row>
    <row r="37" spans="1:29" x14ac:dyDescent="0.3">
      <c r="A37" s="170">
        <v>1992</v>
      </c>
      <c r="B37" s="302">
        <f t="shared" si="4"/>
        <v>11896924.147679083</v>
      </c>
      <c r="C37" s="302">
        <f>'C12-CorpOwn'!I37</f>
        <v>2181388.6836237004</v>
      </c>
      <c r="D37" s="302">
        <f>'C12-CorpOwn'!V104-'C12-CorpOwn'!W104</f>
        <v>1459399</v>
      </c>
      <c r="E37" s="303">
        <f>'C12-CorpOwn'!Q104+'C12-CorpOwn'!Z104+'C12-CorpOwn'!AA104</f>
        <v>5461155</v>
      </c>
      <c r="F37" s="303">
        <f>'C12-CorpOwn'!N104+'C12-CorpOwn'!X104-'C12-CorpOwn'!Y104-'C12-CorpOwn'!AC104+'C12-CorpOwn'!AB104</f>
        <v>2248796.4640553822</v>
      </c>
      <c r="H37" s="302">
        <f>'C12-CorpOwn'!D104</f>
        <v>241066</v>
      </c>
      <c r="I37" s="302">
        <f>'C12-CorpOwn'!W104</f>
        <v>263105</v>
      </c>
      <c r="J37" s="302">
        <f>'C12-CorpOwn'!Y104</f>
        <v>42014</v>
      </c>
      <c r="L37" s="475">
        <f t="shared" si="5"/>
        <v>0.22609450819419519</v>
      </c>
      <c r="M37" s="475">
        <f t="shared" si="6"/>
        <v>0.15126240529311386</v>
      </c>
      <c r="N37" s="475">
        <f t="shared" si="7"/>
        <v>0.56603262094774298</v>
      </c>
      <c r="O37" s="475">
        <f t="shared" si="8"/>
        <v>5.2484388234911278E-2</v>
      </c>
      <c r="Q37" s="475">
        <f t="shared" ref="Q37:Q60" si="11">C37/$B37</f>
        <v>0.18335736670635641</v>
      </c>
      <c r="R37" s="475">
        <f t="shared" ref="R37:R60" si="12">D37/$B37</f>
        <v>0.12267027862699348</v>
      </c>
      <c r="S37" s="475">
        <f t="shared" ref="S37:S60" si="13">E37/$B37</f>
        <v>0.45903923839553035</v>
      </c>
      <c r="T37" s="475">
        <f t="shared" ref="T37:T60" si="14">F37/$B37</f>
        <v>0.18902335058546119</v>
      </c>
      <c r="U37" s="491">
        <f t="shared" si="9"/>
        <v>4.590976568565857E-2</v>
      </c>
      <c r="V37" s="587">
        <f t="shared" si="10"/>
        <v>1</v>
      </c>
      <c r="Z37" s="12"/>
      <c r="AA37" s="12"/>
      <c r="AB37" s="472"/>
      <c r="AC37" s="12"/>
    </row>
    <row r="38" spans="1:29" x14ac:dyDescent="0.3">
      <c r="A38" s="170">
        <v>1993</v>
      </c>
      <c r="B38" s="302">
        <f t="shared" si="4"/>
        <v>13095767.691373531</v>
      </c>
      <c r="C38" s="302">
        <f>'C12-CorpOwn'!I38</f>
        <v>2544390.7915303018</v>
      </c>
      <c r="D38" s="302">
        <f>'C12-CorpOwn'!V105-'C12-CorpOwn'!W105</f>
        <v>1514488</v>
      </c>
      <c r="E38" s="303">
        <f>'C12-CorpOwn'!Q105+'C12-CorpOwn'!Z105+'C12-CorpOwn'!AA105</f>
        <v>6094014</v>
      </c>
      <c r="F38" s="303">
        <f>'C12-CorpOwn'!N105+'C12-CorpOwn'!X105-'C12-CorpOwn'!Y105-'C12-CorpOwn'!AC105+'C12-CorpOwn'!AB105</f>
        <v>2335961.8998432299</v>
      </c>
      <c r="H38" s="302">
        <f>'C12-CorpOwn'!D105</f>
        <v>270176</v>
      </c>
      <c r="I38" s="302">
        <f>'C12-CorpOwn'!W105</f>
        <v>287707</v>
      </c>
      <c r="J38" s="302">
        <f>'C12-CorpOwn'!Y105</f>
        <v>49030</v>
      </c>
      <c r="L38" s="475">
        <f t="shared" si="5"/>
        <v>0.23647181378804691</v>
      </c>
      <c r="M38" s="475">
        <f t="shared" si="6"/>
        <v>0.14075421335133631</v>
      </c>
      <c r="N38" s="475">
        <f t="shared" si="7"/>
        <v>0.56636840088665641</v>
      </c>
      <c r="O38" s="475">
        <f t="shared" si="8"/>
        <v>5.2086143044946756E-2</v>
      </c>
      <c r="Q38" s="475">
        <f t="shared" si="11"/>
        <v>0.19429107567373449</v>
      </c>
      <c r="R38" s="475">
        <f t="shared" si="12"/>
        <v>0.11564713392080302</v>
      </c>
      <c r="S38" s="475">
        <f t="shared" si="13"/>
        <v>0.46534224977236427</v>
      </c>
      <c r="T38" s="475">
        <f t="shared" si="14"/>
        <v>0.17837533124400023</v>
      </c>
      <c r="U38" s="491">
        <f t="shared" si="9"/>
        <v>4.6344209389098043E-2</v>
      </c>
      <c r="V38" s="587">
        <f t="shared" si="10"/>
        <v>1</v>
      </c>
      <c r="Z38" s="12"/>
      <c r="AA38" s="12"/>
      <c r="AB38" s="472"/>
      <c r="AC38" s="12"/>
    </row>
    <row r="39" spans="1:29" x14ac:dyDescent="0.3">
      <c r="A39" s="170">
        <v>1994</v>
      </c>
      <c r="B39" s="302">
        <f t="shared" si="4"/>
        <v>13934278.499508984</v>
      </c>
      <c r="C39" s="302">
        <f>'C12-CorpOwn'!I39</f>
        <v>2300450.1417398853</v>
      </c>
      <c r="D39" s="302">
        <f>'C12-CorpOwn'!V106-'C12-CorpOwn'!W106</f>
        <v>2001840</v>
      </c>
      <c r="E39" s="303">
        <f>'C12-CorpOwn'!Q106+'C12-CorpOwn'!Z106+'C12-CorpOwn'!AA106</f>
        <v>6472664</v>
      </c>
      <c r="F39" s="303">
        <f>'C12-CorpOwn'!N106+'C12-CorpOwn'!X106-'C12-CorpOwn'!Y106-'C12-CorpOwn'!AC106+'C12-CorpOwn'!AB106</f>
        <v>2497523.3577690972</v>
      </c>
      <c r="H39" s="302">
        <f>'C12-CorpOwn'!D106</f>
        <v>308161</v>
      </c>
      <c r="I39" s="302">
        <f>'C12-CorpOwn'!W106</f>
        <v>304450</v>
      </c>
      <c r="J39" s="302">
        <f>'C12-CorpOwn'!Y106</f>
        <v>49190</v>
      </c>
      <c r="L39" s="475">
        <f t="shared" si="5"/>
        <v>0.20114535226378163</v>
      </c>
      <c r="M39" s="475">
        <f t="shared" si="6"/>
        <v>0.17503566135590604</v>
      </c>
      <c r="N39" s="475">
        <f t="shared" si="7"/>
        <v>0.56595283537873364</v>
      </c>
      <c r="O39" s="475">
        <f t="shared" si="8"/>
        <v>5.3796486990405068E-2</v>
      </c>
      <c r="Q39" s="475">
        <f t="shared" si="11"/>
        <v>0.16509287810064571</v>
      </c>
      <c r="R39" s="475">
        <f t="shared" si="12"/>
        <v>0.1436629819097229</v>
      </c>
      <c r="S39" s="475">
        <f t="shared" si="13"/>
        <v>0.46451375291717356</v>
      </c>
      <c r="T39" s="475">
        <f t="shared" si="14"/>
        <v>0.17923592942807229</v>
      </c>
      <c r="U39" s="491">
        <f t="shared" si="9"/>
        <v>4.7494457644385431E-2</v>
      </c>
      <c r="V39" s="587">
        <f t="shared" si="10"/>
        <v>0.99999999999999989</v>
      </c>
      <c r="Z39" s="12"/>
      <c r="AA39" s="12"/>
      <c r="AB39" s="472"/>
      <c r="AC39" s="12"/>
    </row>
    <row r="40" spans="1:29" x14ac:dyDescent="0.3">
      <c r="A40" s="170">
        <v>1995</v>
      </c>
      <c r="B40" s="302">
        <f t="shared" si="4"/>
        <v>16237076.237009209</v>
      </c>
      <c r="C40" s="302">
        <f>'C12-CorpOwn'!I40</f>
        <v>3336253.3755173362</v>
      </c>
      <c r="D40" s="302">
        <f>'C12-CorpOwn'!V107-'C12-CorpOwn'!W107</f>
        <v>1894565</v>
      </c>
      <c r="E40" s="303">
        <f>'C12-CorpOwn'!Q107+'C12-CorpOwn'!Z107+'C12-CorpOwn'!AA107</f>
        <v>7568323</v>
      </c>
      <c r="F40" s="303">
        <f>'C12-CorpOwn'!N107+'C12-CorpOwn'!X107-'C12-CorpOwn'!Y107-'C12-CorpOwn'!AC107+'C12-CorpOwn'!AB107</f>
        <v>2639072.8614918729</v>
      </c>
      <c r="H40" s="302">
        <f>'C12-CorpOwn'!D107</f>
        <v>397077</v>
      </c>
      <c r="I40" s="302">
        <f>'C12-CorpOwn'!W107</f>
        <v>342381</v>
      </c>
      <c r="J40" s="302">
        <f>'C12-CorpOwn'!Y107</f>
        <v>59404</v>
      </c>
      <c r="L40" s="475">
        <f t="shared" si="5"/>
        <v>0.24534876800546526</v>
      </c>
      <c r="M40" s="475">
        <f t="shared" si="6"/>
        <v>0.13932670464040986</v>
      </c>
      <c r="N40" s="475">
        <f t="shared" si="7"/>
        <v>0.55657604951227357</v>
      </c>
      <c r="O40" s="475">
        <f t="shared" si="8"/>
        <v>5.4618500739242383E-2</v>
      </c>
      <c r="Q40" s="475">
        <f t="shared" si="11"/>
        <v>0.20547131311196321</v>
      </c>
      <c r="R40" s="475">
        <f t="shared" si="12"/>
        <v>0.11668141310328477</v>
      </c>
      <c r="S40" s="475">
        <f t="shared" si="13"/>
        <v>0.46611365799647492</v>
      </c>
      <c r="T40" s="475">
        <f t="shared" si="14"/>
        <v>0.1625337482542964</v>
      </c>
      <c r="U40" s="491">
        <f t="shared" si="9"/>
        <v>4.9199867533980771E-2</v>
      </c>
      <c r="V40" s="587">
        <f t="shared" si="10"/>
        <v>1.0000000000000002</v>
      </c>
      <c r="Z40" s="12"/>
      <c r="AA40" s="12"/>
      <c r="AB40" s="472"/>
      <c r="AC40" s="12"/>
    </row>
    <row r="41" spans="1:29" x14ac:dyDescent="0.3">
      <c r="A41" s="170">
        <v>1996</v>
      </c>
      <c r="B41" s="302">
        <f t="shared" si="4"/>
        <v>17769079.479418173</v>
      </c>
      <c r="C41" s="302">
        <f>'C12-CorpOwn'!I41</f>
        <v>3552962.4794181739</v>
      </c>
      <c r="D41" s="302">
        <f>'C12-CorpOwn'!V108-'C12-CorpOwn'!W108</f>
        <v>1979281</v>
      </c>
      <c r="E41" s="303">
        <f>'C12-CorpOwn'!Q108+'C12-CorpOwn'!Z108+'C12-CorpOwn'!AA108</f>
        <v>8535640</v>
      </c>
      <c r="F41" s="303">
        <f>'C12-CorpOwn'!N108+'C12-CorpOwn'!X108-'C12-CorpOwn'!Y108-'C12-CorpOwn'!AC108+'C12-CorpOwn'!AB108</f>
        <v>2760218</v>
      </c>
      <c r="H41" s="302">
        <f>'C12-CorpOwn'!D108</f>
        <v>494704</v>
      </c>
      <c r="I41" s="302">
        <f>'C12-CorpOwn'!W108</f>
        <v>378479</v>
      </c>
      <c r="J41" s="302">
        <f>'C12-CorpOwn'!Y108</f>
        <v>67795</v>
      </c>
      <c r="L41" s="475">
        <f t="shared" si="5"/>
        <v>0.2367243167838142</v>
      </c>
      <c r="M41" s="475">
        <f t="shared" si="6"/>
        <v>0.13187415998969748</v>
      </c>
      <c r="N41" s="475">
        <f t="shared" si="7"/>
        <v>0.5687066944887873</v>
      </c>
      <c r="O41" s="475">
        <f t="shared" si="8"/>
        <v>5.8441812115811093E-2</v>
      </c>
      <c r="Q41" s="475">
        <f t="shared" si="11"/>
        <v>0.19995197182462662</v>
      </c>
      <c r="R41" s="475">
        <f t="shared" si="12"/>
        <v>0.11138905660772075</v>
      </c>
      <c r="S41" s="475">
        <f t="shared" si="13"/>
        <v>0.48036478253624698</v>
      </c>
      <c r="T41" s="475">
        <f t="shared" si="14"/>
        <v>0.15533826629551323</v>
      </c>
      <c r="U41" s="491">
        <f t="shared" si="9"/>
        <v>5.2955922735892405E-2</v>
      </c>
      <c r="V41" s="587">
        <f t="shared" si="10"/>
        <v>1</v>
      </c>
      <c r="Z41" s="12"/>
      <c r="AA41" s="12"/>
      <c r="AB41" s="472"/>
      <c r="AC41" s="12"/>
    </row>
    <row r="42" spans="1:29" x14ac:dyDescent="0.3">
      <c r="A42" s="170">
        <v>1997</v>
      </c>
      <c r="B42" s="302">
        <f t="shared" si="4"/>
        <v>20766693.912916608</v>
      </c>
      <c r="C42" s="302">
        <f>'C12-CorpOwn'!I42</f>
        <v>4761237.9129166072</v>
      </c>
      <c r="D42" s="302">
        <f>'C12-CorpOwn'!V109-'C12-CorpOwn'!W109</f>
        <v>1837031</v>
      </c>
      <c r="E42" s="303">
        <f>'C12-CorpOwn'!Q109+'C12-CorpOwn'!Z109+'C12-CorpOwn'!AA109</f>
        <v>9850661</v>
      </c>
      <c r="F42" s="303">
        <f>'C12-CorpOwn'!N109+'C12-CorpOwn'!X109-'C12-CorpOwn'!Y109-'C12-CorpOwn'!AC109+'C12-CorpOwn'!AB109</f>
        <v>3234401</v>
      </c>
      <c r="H42" s="302">
        <f>'C12-CorpOwn'!D109</f>
        <v>604890</v>
      </c>
      <c r="I42" s="302">
        <f>'C12-CorpOwn'!W109</f>
        <v>400980</v>
      </c>
      <c r="J42" s="302">
        <f>'C12-CorpOwn'!Y109</f>
        <v>77493</v>
      </c>
      <c r="L42" s="475">
        <f t="shared" si="5"/>
        <v>0.2715696079552064</v>
      </c>
      <c r="M42" s="475">
        <f t="shared" si="6"/>
        <v>0.10477984876961528</v>
      </c>
      <c r="N42" s="475">
        <f t="shared" si="7"/>
        <v>0.56185811228049354</v>
      </c>
      <c r="O42" s="475">
        <f t="shared" si="8"/>
        <v>5.7627128641884517E-2</v>
      </c>
      <c r="Q42" s="475">
        <f t="shared" si="11"/>
        <v>0.22927279290976502</v>
      </c>
      <c r="R42" s="475">
        <f t="shared" si="12"/>
        <v>8.8460445736015358E-2</v>
      </c>
      <c r="S42" s="475">
        <f t="shared" si="13"/>
        <v>0.47434902451530908</v>
      </c>
      <c r="T42" s="475">
        <f t="shared" si="14"/>
        <v>0.15574944252384082</v>
      </c>
      <c r="U42" s="491">
        <f t="shared" si="9"/>
        <v>5.2168294315069696E-2</v>
      </c>
      <c r="V42" s="587">
        <f t="shared" si="10"/>
        <v>1</v>
      </c>
      <c r="Z42" s="12"/>
      <c r="AA42" s="12"/>
      <c r="AB42" s="472"/>
      <c r="AC42" s="12"/>
    </row>
    <row r="43" spans="1:29" x14ac:dyDescent="0.3">
      <c r="A43" s="170">
        <v>1998</v>
      </c>
      <c r="B43" s="302">
        <f t="shared" si="4"/>
        <v>23778996.452883743</v>
      </c>
      <c r="C43" s="302">
        <f>'C12-CorpOwn'!I43</f>
        <v>5825288.4528837446</v>
      </c>
      <c r="D43" s="302">
        <f>'C12-CorpOwn'!V110-'C12-CorpOwn'!W110</f>
        <v>1823265</v>
      </c>
      <c r="E43" s="303">
        <f>'C12-CorpOwn'!Q110+'C12-CorpOwn'!Z110+'C12-CorpOwn'!AA110</f>
        <v>11257142</v>
      </c>
      <c r="F43" s="303">
        <f>'C12-CorpOwn'!N110+'C12-CorpOwn'!X110-'C12-CorpOwn'!Y110-'C12-CorpOwn'!AC110+'C12-CorpOwn'!AB110</f>
        <v>3654785</v>
      </c>
      <c r="H43" s="302">
        <f>'C12-CorpOwn'!D110</f>
        <v>692037</v>
      </c>
      <c r="I43" s="302">
        <f>'C12-CorpOwn'!W110</f>
        <v>436493</v>
      </c>
      <c r="J43" s="302">
        <f>'C12-CorpOwn'!Y110</f>
        <v>89986</v>
      </c>
      <c r="L43" s="475">
        <f t="shared" si="5"/>
        <v>0.28946666886910477</v>
      </c>
      <c r="M43" s="475">
        <f t="shared" si="6"/>
        <v>9.0600568587184627E-2</v>
      </c>
      <c r="N43" s="475">
        <f t="shared" si="7"/>
        <v>0.55938301117318479</v>
      </c>
      <c r="O43" s="475">
        <f t="shared" si="8"/>
        <v>5.6330103834264206E-2</v>
      </c>
      <c r="Q43" s="475">
        <f t="shared" si="11"/>
        <v>0.24497621101992706</v>
      </c>
      <c r="R43" s="475">
        <f t="shared" si="12"/>
        <v>7.6675439336250359E-2</v>
      </c>
      <c r="S43" s="475">
        <f t="shared" si="13"/>
        <v>0.47340694222757312</v>
      </c>
      <c r="T43" s="475">
        <f t="shared" si="14"/>
        <v>0.15369803377706356</v>
      </c>
      <c r="U43" s="491">
        <f t="shared" si="9"/>
        <v>5.1243373639185991E-2</v>
      </c>
      <c r="V43" s="587">
        <f t="shared" si="10"/>
        <v>1.0000000000000002</v>
      </c>
      <c r="Z43" s="12"/>
      <c r="AA43" s="12"/>
      <c r="AB43" s="472"/>
      <c r="AC43" s="12"/>
    </row>
    <row r="44" spans="1:29" x14ac:dyDescent="0.3">
      <c r="A44" s="170">
        <v>1999</v>
      </c>
      <c r="B44" s="302">
        <f t="shared" si="4"/>
        <v>27847971.871127367</v>
      </c>
      <c r="C44" s="302">
        <f>'C12-CorpOwn'!I44</f>
        <v>7562899.8711273661</v>
      </c>
      <c r="D44" s="302">
        <f>'C12-CorpOwn'!V111-'C12-CorpOwn'!W111</f>
        <v>1999615</v>
      </c>
      <c r="E44" s="303">
        <f>'C12-CorpOwn'!Q111+'C12-CorpOwn'!Z111+'C12-CorpOwn'!AA111</f>
        <v>12855950</v>
      </c>
      <c r="F44" s="303">
        <f>'C12-CorpOwn'!N111+'C12-CorpOwn'!X111-'C12-CorpOwn'!Y111-'C12-CorpOwn'!AC111+'C12-CorpOwn'!AB111</f>
        <v>4075809</v>
      </c>
      <c r="H44" s="302">
        <f>'C12-CorpOwn'!D111</f>
        <v>769338</v>
      </c>
      <c r="I44" s="302">
        <f>'C12-CorpOwn'!W111</f>
        <v>482352</v>
      </c>
      <c r="J44" s="302">
        <f>'C12-CorpOwn'!Y111</f>
        <v>102008</v>
      </c>
      <c r="L44" s="475">
        <f t="shared" si="5"/>
        <v>0.31814100854545863</v>
      </c>
      <c r="M44" s="475">
        <f t="shared" si="6"/>
        <v>8.4115821132482865E-2</v>
      </c>
      <c r="N44" s="475">
        <f t="shared" si="7"/>
        <v>0.54079849905513966</v>
      </c>
      <c r="O44" s="475">
        <f t="shared" si="8"/>
        <v>5.288051585698747E-2</v>
      </c>
      <c r="Q44" s="475">
        <f t="shared" si="11"/>
        <v>0.27157812088170563</v>
      </c>
      <c r="R44" s="475">
        <f t="shared" si="12"/>
        <v>7.1804690454790016E-2</v>
      </c>
      <c r="S44" s="475">
        <f t="shared" si="13"/>
        <v>0.46164762229342032</v>
      </c>
      <c r="T44" s="475">
        <f t="shared" si="14"/>
        <v>0.14635927595954581</v>
      </c>
      <c r="U44" s="491">
        <f t="shared" si="9"/>
        <v>4.8610290410538194E-2</v>
      </c>
      <c r="V44" s="587">
        <f t="shared" si="10"/>
        <v>0.99999999999999989</v>
      </c>
      <c r="Z44" s="12"/>
      <c r="AA44" s="12"/>
      <c r="AB44" s="472"/>
      <c r="AC44" s="12"/>
    </row>
    <row r="45" spans="1:29" x14ac:dyDescent="0.3">
      <c r="A45" s="170">
        <v>2000</v>
      </c>
      <c r="B45" s="302">
        <f t="shared" si="4"/>
        <v>26145109.766160756</v>
      </c>
      <c r="C45" s="302">
        <f>'C12-CorpOwn'!I45</f>
        <v>6020171.7661607573</v>
      </c>
      <c r="D45" s="302">
        <f>'C12-CorpOwn'!V112-'C12-CorpOwn'!W112</f>
        <v>1841961</v>
      </c>
      <c r="E45" s="303">
        <f>'C12-CorpOwn'!Q112+'C12-CorpOwn'!Z112+'C12-CorpOwn'!AA112</f>
        <v>12739916</v>
      </c>
      <c r="F45" s="303">
        <f>'C12-CorpOwn'!N112+'C12-CorpOwn'!X112-'C12-CorpOwn'!Y112-'C12-CorpOwn'!AC112+'C12-CorpOwn'!AB112</f>
        <v>4202913</v>
      </c>
      <c r="H45" s="302">
        <f>'C12-CorpOwn'!D112</f>
        <v>708648</v>
      </c>
      <c r="I45" s="302">
        <f>'C12-CorpOwn'!W112</f>
        <v>513214</v>
      </c>
      <c r="J45" s="302">
        <f>'C12-CorpOwn'!Y112</f>
        <v>118286</v>
      </c>
      <c r="L45" s="475">
        <f t="shared" si="5"/>
        <v>0.27436504331439882</v>
      </c>
      <c r="M45" s="475">
        <f t="shared" si="6"/>
        <v>8.3946061537497063E-2</v>
      </c>
      <c r="N45" s="475">
        <f t="shared" si="7"/>
        <v>0.58061260391427583</v>
      </c>
      <c r="O45" s="475">
        <f t="shared" si="8"/>
        <v>5.5987307366311641E-2</v>
      </c>
      <c r="Q45" s="475">
        <f t="shared" si="11"/>
        <v>0.23025995377355729</v>
      </c>
      <c r="R45" s="475">
        <f t="shared" si="12"/>
        <v>7.0451454075898506E-2</v>
      </c>
      <c r="S45" s="475">
        <f t="shared" si="13"/>
        <v>0.48727720456882884</v>
      </c>
      <c r="T45" s="475">
        <f t="shared" si="14"/>
        <v>0.16075331247756972</v>
      </c>
      <c r="U45" s="491">
        <f t="shared" si="9"/>
        <v>5.1258075104145651E-2</v>
      </c>
      <c r="V45" s="587">
        <f t="shared" si="10"/>
        <v>1</v>
      </c>
      <c r="Z45" s="12"/>
      <c r="AA45" s="12"/>
      <c r="AB45" s="472"/>
      <c r="AC45" s="12"/>
    </row>
    <row r="46" spans="1:29" x14ac:dyDescent="0.3">
      <c r="A46" s="170">
        <v>2001</v>
      </c>
      <c r="B46" s="302">
        <f t="shared" si="4"/>
        <v>24449078.894540962</v>
      </c>
      <c r="C46" s="302">
        <f>'C12-CorpOwn'!I46</f>
        <v>4953418.8209864059</v>
      </c>
      <c r="D46" s="302">
        <f>'C12-CorpOwn'!V113-'C12-CorpOwn'!W113</f>
        <v>1679553.5621926184</v>
      </c>
      <c r="E46" s="303">
        <f>'C12-CorpOwn'!Q113+'C12-CorpOwn'!Z113+'C12-CorpOwn'!AA113</f>
        <v>12345988</v>
      </c>
      <c r="F46" s="303">
        <f>'C12-CorpOwn'!N113+'C12-CorpOwn'!X113-'C12-CorpOwn'!Y113-'C12-CorpOwn'!AC113+'C12-CorpOwn'!AB113</f>
        <v>4242784.3570924718</v>
      </c>
      <c r="H46" s="302">
        <f>'C12-CorpOwn'!D113</f>
        <v>636733.07355455507</v>
      </c>
      <c r="I46" s="302">
        <f>'C12-CorpOwn'!W113</f>
        <v>467963.43780738162</v>
      </c>
      <c r="J46" s="302">
        <f>'C12-CorpOwn'!Y113</f>
        <v>122637.6429075284</v>
      </c>
      <c r="L46" s="475">
        <f t="shared" si="5"/>
        <v>0.24514236451449301</v>
      </c>
      <c r="M46" s="475">
        <f t="shared" si="6"/>
        <v>8.3120314765277134E-2</v>
      </c>
      <c r="N46" s="475">
        <f t="shared" si="7"/>
        <v>0.61099713146906187</v>
      </c>
      <c r="O46" s="475">
        <f t="shared" si="8"/>
        <v>5.5004749242764141E-2</v>
      </c>
      <c r="Q46" s="475">
        <f t="shared" si="11"/>
        <v>0.20260144941871061</v>
      </c>
      <c r="R46" s="475">
        <f t="shared" si="12"/>
        <v>6.8695985212254049E-2</v>
      </c>
      <c r="S46" s="475">
        <f t="shared" si="13"/>
        <v>0.50496740810782181</v>
      </c>
      <c r="T46" s="475">
        <f t="shared" si="14"/>
        <v>0.1735355501691235</v>
      </c>
      <c r="U46" s="491">
        <f t="shared" si="9"/>
        <v>5.019960709208994E-2</v>
      </c>
      <c r="V46" s="587">
        <f t="shared" si="10"/>
        <v>0.99999999999999989</v>
      </c>
      <c r="Z46" s="12"/>
      <c r="AA46" s="12"/>
      <c r="AB46" s="472"/>
      <c r="AC46" s="12"/>
    </row>
    <row r="47" spans="1:29" x14ac:dyDescent="0.3">
      <c r="A47" s="170">
        <v>2002</v>
      </c>
      <c r="B47" s="302">
        <f t="shared" si="4"/>
        <v>22033494.397990856</v>
      </c>
      <c r="C47" s="302">
        <f>'C12-CorpOwn'!I47</f>
        <v>3499116.1087395372</v>
      </c>
      <c r="D47" s="302">
        <f>'C12-CorpOwn'!V114-'C12-CorpOwn'!W114</f>
        <v>1625966.2560272592</v>
      </c>
      <c r="E47" s="303">
        <f>'C12-CorpOwn'!Q114+'C12-CorpOwn'!Z114+'C12-CorpOwn'!AA114</f>
        <v>11684996</v>
      </c>
      <c r="F47" s="303">
        <f>'C12-CorpOwn'!N114+'C12-CorpOwn'!X114-'C12-CorpOwn'!Y114-'C12-CorpOwn'!AC114+'C12-CorpOwn'!AB114</f>
        <v>4132775.085671315</v>
      </c>
      <c r="H47" s="302">
        <f>'C12-CorpOwn'!D114</f>
        <v>507353.28925131971</v>
      </c>
      <c r="I47" s="302">
        <f>'C12-CorpOwn'!W114</f>
        <v>453032.74397274089</v>
      </c>
      <c r="J47" s="302">
        <f>'C12-CorpOwn'!Y114</f>
        <v>130254.91432868459</v>
      </c>
      <c r="L47" s="475">
        <f t="shared" si="5"/>
        <v>0.19547349174574197</v>
      </c>
      <c r="M47" s="475">
        <f t="shared" si="6"/>
        <v>9.0832453582367786E-2</v>
      </c>
      <c r="N47" s="475">
        <f t="shared" si="7"/>
        <v>0.65276684116029982</v>
      </c>
      <c r="O47" s="475">
        <f t="shared" si="8"/>
        <v>5.4043946838701791E-2</v>
      </c>
      <c r="Q47" s="475">
        <f t="shared" si="11"/>
        <v>0.15880894993481412</v>
      </c>
      <c r="R47" s="475">
        <f t="shared" si="12"/>
        <v>7.3795205910485287E-2</v>
      </c>
      <c r="S47" s="475">
        <f t="shared" si="13"/>
        <v>0.53032877077661844</v>
      </c>
      <c r="T47" s="475">
        <f t="shared" si="14"/>
        <v>0.18756784607203139</v>
      </c>
      <c r="U47" s="491">
        <f t="shared" si="9"/>
        <v>4.9499227306050747E-2</v>
      </c>
      <c r="V47" s="587">
        <f t="shared" si="10"/>
        <v>0.99999999999999989</v>
      </c>
      <c r="Z47" s="12"/>
      <c r="AA47" s="12"/>
      <c r="AB47" s="472"/>
      <c r="AC47" s="12"/>
    </row>
    <row r="48" spans="1:29" x14ac:dyDescent="0.3">
      <c r="A48" s="170">
        <v>2003</v>
      </c>
      <c r="B48" s="302">
        <f t="shared" si="4"/>
        <v>26252743.119234081</v>
      </c>
      <c r="C48" s="302">
        <f>'C12-CorpOwn'!I48</f>
        <v>4849343.8428889662</v>
      </c>
      <c r="D48" s="302">
        <f>'C12-CorpOwn'!V115-'C12-CorpOwn'!W115</f>
        <v>1736524.1937100217</v>
      </c>
      <c r="E48" s="303">
        <f>'C12-CorpOwn'!Q115+'C12-CorpOwn'!Z115+'C12-CorpOwn'!AA115</f>
        <v>13779162</v>
      </c>
      <c r="F48" s="303">
        <f>'C12-CorpOwn'!N115+'C12-CorpOwn'!X115-'C12-CorpOwn'!Y115-'C12-CorpOwn'!AC115+'C12-CorpOwn'!AB115</f>
        <v>4580469.6019618036</v>
      </c>
      <c r="H48" s="302">
        <f>'C12-CorpOwn'!D115</f>
        <v>679495.27634511329</v>
      </c>
      <c r="I48" s="302">
        <f>'C12-CorpOwn'!W115</f>
        <v>483836.80628997844</v>
      </c>
      <c r="J48" s="302">
        <f>'C12-CorpOwn'!Y115</f>
        <v>143911.39803819632</v>
      </c>
      <c r="L48" s="475">
        <f t="shared" si="5"/>
        <v>0.22375796609544246</v>
      </c>
      <c r="M48" s="475">
        <f t="shared" si="6"/>
        <v>8.012653551673081E-2</v>
      </c>
      <c r="N48" s="475">
        <f t="shared" si="7"/>
        <v>0.63579679303227421</v>
      </c>
      <c r="O48" s="475">
        <f t="shared" si="8"/>
        <v>5.4037184816569765E-2</v>
      </c>
      <c r="Q48" s="475">
        <f t="shared" si="11"/>
        <v>0.18471760535134679</v>
      </c>
      <c r="R48" s="475">
        <f t="shared" si="12"/>
        <v>6.6146390334264032E-2</v>
      </c>
      <c r="S48" s="475">
        <f t="shared" si="13"/>
        <v>0.52486560880202615</v>
      </c>
      <c r="T48" s="475">
        <f t="shared" si="14"/>
        <v>0.17447584738700775</v>
      </c>
      <c r="U48" s="491">
        <f t="shared" si="9"/>
        <v>4.9794548125355158E-2</v>
      </c>
      <c r="V48" s="587">
        <f t="shared" si="10"/>
        <v>0.99999999999999978</v>
      </c>
      <c r="Z48" s="12"/>
      <c r="AA48" s="12"/>
      <c r="AB48" s="472"/>
      <c r="AC48" s="12"/>
    </row>
    <row r="49" spans="1:29" x14ac:dyDescent="0.3">
      <c r="A49" s="170">
        <v>2004</v>
      </c>
      <c r="B49" s="302">
        <f t="shared" si="4"/>
        <v>30095033.276079815</v>
      </c>
      <c r="C49" s="302">
        <f>'C12-CorpOwn'!I49</f>
        <v>5444420.8852578858</v>
      </c>
      <c r="D49" s="302">
        <f>'C12-CorpOwn'!V116-'C12-CorpOwn'!W116</f>
        <v>2487032.725304489</v>
      </c>
      <c r="E49" s="303">
        <f>'C12-CorpOwn'!Q116+'C12-CorpOwn'!Z116+'C12-CorpOwn'!AA116</f>
        <v>15048202</v>
      </c>
      <c r="F49" s="303">
        <f>'C12-CorpOwn'!N116+'C12-CorpOwn'!X116-'C12-CorpOwn'!Y116-'C12-CorpOwn'!AC116+'C12-CorpOwn'!AB116</f>
        <v>5476487.6088342872</v>
      </c>
      <c r="H49" s="302">
        <f>'C12-CorpOwn'!D116</f>
        <v>773419.39082192571</v>
      </c>
      <c r="I49" s="302">
        <f>'C12-CorpOwn'!W116</f>
        <v>692946.27469551098</v>
      </c>
      <c r="J49" s="302">
        <f>'C12-CorpOwn'!Y116</f>
        <v>172524.39116571276</v>
      </c>
      <c r="L49" s="475">
        <f t="shared" si="5"/>
        <v>0.22115119872826511</v>
      </c>
      <c r="M49" s="475">
        <f t="shared" si="6"/>
        <v>0.10102273135546894</v>
      </c>
      <c r="N49" s="475">
        <f t="shared" si="7"/>
        <v>0.61125471030652001</v>
      </c>
      <c r="O49" s="475">
        <f t="shared" si="8"/>
        <v>5.9983816955614798E-2</v>
      </c>
      <c r="Q49" s="475">
        <f t="shared" si="11"/>
        <v>0.18090762137768526</v>
      </c>
      <c r="R49" s="475">
        <f t="shared" si="12"/>
        <v>8.2639308037623496E-2</v>
      </c>
      <c r="S49" s="475">
        <f t="shared" si="13"/>
        <v>0.5000227732580923</v>
      </c>
      <c r="T49" s="475">
        <f t="shared" si="14"/>
        <v>0.18197313684936572</v>
      </c>
      <c r="U49" s="491">
        <f t="shared" si="9"/>
        <v>5.4457160477233132E-2</v>
      </c>
      <c r="V49" s="587">
        <f t="shared" si="10"/>
        <v>0.99999999999999989</v>
      </c>
      <c r="Z49" s="12"/>
      <c r="AA49" s="12"/>
      <c r="AB49" s="472"/>
      <c r="AC49" s="12"/>
    </row>
    <row r="50" spans="1:29" x14ac:dyDescent="0.3">
      <c r="A50" s="170">
        <v>2005</v>
      </c>
      <c r="B50" s="302">
        <f t="shared" si="4"/>
        <v>32688413.656237241</v>
      </c>
      <c r="C50" s="302">
        <f>'C12-CorpOwn'!I50</f>
        <v>6045195.8906551301</v>
      </c>
      <c r="D50" s="302">
        <f>'C12-CorpOwn'!V117-'C12-CorpOwn'!W117</f>
        <v>2719227.7007479277</v>
      </c>
      <c r="E50" s="303">
        <f>'C12-CorpOwn'!Q117+'C12-CorpOwn'!Z117+'C12-CorpOwn'!AA117</f>
        <v>16064430</v>
      </c>
      <c r="F50" s="303">
        <f>'C12-CorpOwn'!N117+'C12-CorpOwn'!X117-'C12-CorpOwn'!Y117-'C12-CorpOwn'!AC117+'C12-CorpOwn'!AB117</f>
        <v>6059182.7657640614</v>
      </c>
      <c r="H50" s="302">
        <f>'C12-CorpOwn'!D117</f>
        <v>843888.76558210852</v>
      </c>
      <c r="I50" s="302">
        <f>'C12-CorpOwn'!W117</f>
        <v>757641.29925207258</v>
      </c>
      <c r="J50" s="302">
        <f>'C12-CorpOwn'!Y117</f>
        <v>198847.23423593835</v>
      </c>
      <c r="L50" s="475">
        <f t="shared" si="5"/>
        <v>0.22701353694814549</v>
      </c>
      <c r="M50" s="475">
        <f t="shared" si="6"/>
        <v>0.10211439120912626</v>
      </c>
      <c r="N50" s="475">
        <f t="shared" si="7"/>
        <v>0.60326301071455946</v>
      </c>
      <c r="O50" s="475">
        <f t="shared" si="8"/>
        <v>6.0594279888791555E-2</v>
      </c>
      <c r="Q50" s="475">
        <f t="shared" si="11"/>
        <v>0.18493390209229846</v>
      </c>
      <c r="R50" s="475">
        <f t="shared" si="12"/>
        <v>8.3186285187904024E-2</v>
      </c>
      <c r="S50" s="475">
        <f t="shared" si="13"/>
        <v>0.49144110108673822</v>
      </c>
      <c r="T50" s="475">
        <f t="shared" si="14"/>
        <v>0.18536178688524138</v>
      </c>
      <c r="U50" s="491">
        <f t="shared" si="9"/>
        <v>5.5076924747817842E-2</v>
      </c>
      <c r="V50" s="587">
        <f t="shared" si="10"/>
        <v>1</v>
      </c>
      <c r="Z50" s="12"/>
      <c r="AA50" s="12"/>
      <c r="AB50" s="472"/>
      <c r="AC50" s="12"/>
    </row>
    <row r="51" spans="1:29" x14ac:dyDescent="0.3">
      <c r="A51" s="170">
        <v>2006</v>
      </c>
      <c r="B51" s="302">
        <f t="shared" si="4"/>
        <v>37000283.001709603</v>
      </c>
      <c r="C51" s="302">
        <f>'C12-CorpOwn'!I51</f>
        <v>7585934.9064878719</v>
      </c>
      <c r="D51" s="302">
        <f>'C12-CorpOwn'!V118-'C12-CorpOwn'!W118</f>
        <v>2707576.8922020658</v>
      </c>
      <c r="E51" s="303">
        <f>'C12-CorpOwn'!Q118+'C12-CorpOwn'!Z118+'C12-CorpOwn'!AA118</f>
        <v>17854505</v>
      </c>
      <c r="F51" s="303">
        <f>'C12-CorpOwn'!N118+'C12-CorpOwn'!X118-'C12-CorpOwn'!Y118-'C12-CorpOwn'!AC118+'C12-CorpOwn'!AB118</f>
        <v>6902095.1919104736</v>
      </c>
      <c r="H51" s="302">
        <f>'C12-CorpOwn'!D118</f>
        <v>986964.09522172774</v>
      </c>
      <c r="I51" s="302">
        <f>'C12-CorpOwn'!W118</f>
        <v>754395.10779793432</v>
      </c>
      <c r="J51" s="302">
        <f>'C12-CorpOwn'!Y118</f>
        <v>208811.8080895262</v>
      </c>
      <c r="L51" s="475">
        <f t="shared" si="5"/>
        <v>0.25203958970639767</v>
      </c>
      <c r="M51" s="475">
        <f t="shared" si="6"/>
        <v>8.9958136659661431E-2</v>
      </c>
      <c r="N51" s="475">
        <f t="shared" si="7"/>
        <v>0.59320863810236024</v>
      </c>
      <c r="O51" s="475">
        <f t="shared" si="8"/>
        <v>5.8260139084872847E-2</v>
      </c>
      <c r="Q51" s="475">
        <f t="shared" si="11"/>
        <v>0.2050236995791995</v>
      </c>
      <c r="R51" s="475">
        <f t="shared" si="12"/>
        <v>7.3177194133270868E-2</v>
      </c>
      <c r="S51" s="475">
        <f t="shared" si="13"/>
        <v>0.48255049830767593</v>
      </c>
      <c r="T51" s="475">
        <f t="shared" si="14"/>
        <v>0.18654168649444008</v>
      </c>
      <c r="U51" s="491">
        <f t="shared" si="9"/>
        <v>5.2706921485413512E-2</v>
      </c>
      <c r="V51" s="587">
        <f t="shared" si="10"/>
        <v>0.99999999999999989</v>
      </c>
      <c r="Z51" s="12"/>
      <c r="AA51" s="12"/>
      <c r="AB51" s="472"/>
      <c r="AC51" s="12"/>
    </row>
    <row r="52" spans="1:29" x14ac:dyDescent="0.3">
      <c r="A52" s="170">
        <v>2007</v>
      </c>
      <c r="B52" s="302">
        <f t="shared" si="4"/>
        <v>39199523.815411068</v>
      </c>
      <c r="C52" s="302">
        <f>'C12-CorpOwn'!I52</f>
        <v>7015738.2108447356</v>
      </c>
      <c r="D52" s="302">
        <f>'C12-CorpOwn'!V119-'C12-CorpOwn'!W119</f>
        <v>3179092.4735287186</v>
      </c>
      <c r="E52" s="303">
        <f>'C12-CorpOwn'!Q119+'C12-CorpOwn'!Z119+'C12-CorpOwn'!AA119</f>
        <v>19110523</v>
      </c>
      <c r="F52" s="303">
        <f>'C12-CorpOwn'!N119+'C12-CorpOwn'!X119-'C12-CorpOwn'!Y119-'C12-CorpOwn'!AC119+'C12-CorpOwn'!AB119</f>
        <v>7760534.9788074233</v>
      </c>
      <c r="H52" s="302">
        <f>'C12-CorpOwn'!D119</f>
        <v>1037585.6045663366</v>
      </c>
      <c r="I52" s="302">
        <f>'C12-CorpOwn'!W119</f>
        <v>885770.52647128131</v>
      </c>
      <c r="J52" s="302">
        <f>'C12-CorpOwn'!Y119</f>
        <v>210279.02119257755</v>
      </c>
      <c r="L52" s="475">
        <f t="shared" si="5"/>
        <v>0.22315406666885174</v>
      </c>
      <c r="M52" s="475">
        <f t="shared" si="6"/>
        <v>0.10111942499331845</v>
      </c>
      <c r="N52" s="475">
        <f t="shared" si="7"/>
        <v>0.60786061216288501</v>
      </c>
      <c r="O52" s="475">
        <f t="shared" si="8"/>
        <v>6.1589356153562903E-2</v>
      </c>
      <c r="Q52" s="475">
        <f t="shared" si="11"/>
        <v>0.17897508765365508</v>
      </c>
      <c r="R52" s="475">
        <f t="shared" si="12"/>
        <v>8.1100282965143489E-2</v>
      </c>
      <c r="S52" s="475">
        <f t="shared" si="13"/>
        <v>0.48751926400919204</v>
      </c>
      <c r="T52" s="475">
        <f t="shared" si="14"/>
        <v>0.19797523600928063</v>
      </c>
      <c r="U52" s="491">
        <f t="shared" si="9"/>
        <v>5.4430129362728875E-2</v>
      </c>
      <c r="V52" s="587">
        <f t="shared" si="10"/>
        <v>1.0000000000000002</v>
      </c>
      <c r="Z52" s="12"/>
      <c r="AA52" s="12"/>
      <c r="AB52" s="472"/>
      <c r="AC52" s="12"/>
    </row>
    <row r="53" spans="1:29" x14ac:dyDescent="0.3">
      <c r="A53" s="170">
        <v>2008</v>
      </c>
      <c r="B53" s="302">
        <f t="shared" si="4"/>
        <v>31748142.831310842</v>
      </c>
      <c r="C53" s="302">
        <f>'C12-CorpOwn'!I53</f>
        <v>3856172.29737313</v>
      </c>
      <c r="D53" s="302">
        <f>'C12-CorpOwn'!V120-'C12-CorpOwn'!W120</f>
        <v>3992323.1333208783</v>
      </c>
      <c r="E53" s="303">
        <f>'C12-CorpOwn'!Q120+'C12-CorpOwn'!Z120+'C12-CorpOwn'!AA120</f>
        <v>15267455</v>
      </c>
      <c r="F53" s="303">
        <f>'C12-CorpOwn'!N120+'C12-CorpOwn'!X120-'C12-CorpOwn'!Y120-'C12-CorpOwn'!AC120+'C12-CorpOwn'!AB120</f>
        <v>6720699.6329093557</v>
      </c>
      <c r="H53" s="302">
        <f>'C12-CorpOwn'!D120</f>
        <v>624196.53393771092</v>
      </c>
      <c r="I53" s="302">
        <f>'C12-CorpOwn'!W120</f>
        <v>1112355.8666791215</v>
      </c>
      <c r="J53" s="302">
        <f>'C12-CorpOwn'!Y120</f>
        <v>174940.36709064461</v>
      </c>
      <c r="L53" s="475">
        <f t="shared" si="5"/>
        <v>0.15407775643735852</v>
      </c>
      <c r="M53" s="475">
        <f t="shared" si="6"/>
        <v>0.15951781816753335</v>
      </c>
      <c r="N53" s="475">
        <f t="shared" si="7"/>
        <v>0.61002855461380645</v>
      </c>
      <c r="O53" s="475">
        <f t="shared" si="8"/>
        <v>6.9874346757100372E-2</v>
      </c>
      <c r="Q53" s="475">
        <f t="shared" si="11"/>
        <v>0.12146135028629368</v>
      </c>
      <c r="R53" s="475">
        <f t="shared" si="12"/>
        <v>0.12574981643913816</v>
      </c>
      <c r="S53" s="475">
        <f t="shared" si="13"/>
        <v>0.48089285351654776</v>
      </c>
      <c r="T53" s="475">
        <f t="shared" si="14"/>
        <v>0.21168796135946658</v>
      </c>
      <c r="U53" s="491">
        <f t="shared" si="9"/>
        <v>6.0208018398553796E-2</v>
      </c>
      <c r="V53" s="587">
        <f t="shared" si="10"/>
        <v>1</v>
      </c>
      <c r="Z53" s="12"/>
      <c r="AA53" s="12"/>
      <c r="AB53" s="472"/>
      <c r="AC53" s="12"/>
    </row>
    <row r="54" spans="1:29" x14ac:dyDescent="0.3">
      <c r="A54" s="170">
        <v>2009</v>
      </c>
      <c r="B54" s="302">
        <f t="shared" si="4"/>
        <v>35045628.784709953</v>
      </c>
      <c r="C54" s="302">
        <f>'C12-CorpOwn'!I54</f>
        <v>5317255.7659798143</v>
      </c>
      <c r="D54" s="302">
        <f>'C12-CorpOwn'!V121-'C12-CorpOwn'!W121</f>
        <v>3869721.7774466863</v>
      </c>
      <c r="E54" s="303">
        <f>'C12-CorpOwn'!Q121+'C12-CorpOwn'!Z121+'C12-CorpOwn'!AA121</f>
        <v>17559916</v>
      </c>
      <c r="F54" s="303">
        <f>'C12-CorpOwn'!N121+'C12-CorpOwn'!X121-'C12-CorpOwn'!Y121-'C12-CorpOwn'!AC121+'C12-CorpOwn'!AB121</f>
        <v>6263176.9876936562</v>
      </c>
      <c r="H54" s="302">
        <f>'C12-CorpOwn'!D121</f>
        <v>811167.0187301446</v>
      </c>
      <c r="I54" s="302">
        <f>'C12-CorpOwn'!W121</f>
        <v>1078196.2225533135</v>
      </c>
      <c r="J54" s="302">
        <f>'C12-CorpOwn'!Y121</f>
        <v>146195.01230634339</v>
      </c>
      <c r="L54" s="475">
        <f t="shared" si="5"/>
        <v>0.18473950042473528</v>
      </c>
      <c r="M54" s="475">
        <f t="shared" si="6"/>
        <v>0.13444725990465611</v>
      </c>
      <c r="N54" s="475">
        <f t="shared" si="7"/>
        <v>0.61009104171661743</v>
      </c>
      <c r="O54" s="475">
        <f t="shared" si="8"/>
        <v>6.5978010166896708E-2</v>
      </c>
      <c r="Q54" s="475">
        <f t="shared" si="11"/>
        <v>0.15172379410409317</v>
      </c>
      <c r="R54" s="475">
        <f t="shared" si="12"/>
        <v>0.11041952767401925</v>
      </c>
      <c r="S54" s="475">
        <f t="shared" si="13"/>
        <v>0.50105866577178404</v>
      </c>
      <c r="T54" s="475">
        <f t="shared" si="14"/>
        <v>0.17871492693622937</v>
      </c>
      <c r="U54" s="491">
        <f t="shared" si="9"/>
        <v>5.8083085513874262E-2</v>
      </c>
      <c r="V54" s="587">
        <f t="shared" si="10"/>
        <v>1</v>
      </c>
      <c r="Z54" s="12"/>
      <c r="AA54" s="12"/>
      <c r="AB54" s="472"/>
      <c r="AC54" s="12"/>
    </row>
    <row r="55" spans="1:29" x14ac:dyDescent="0.3">
      <c r="A55" s="170">
        <v>2010</v>
      </c>
      <c r="B55" s="302">
        <f t="shared" si="4"/>
        <v>38830297.484189607</v>
      </c>
      <c r="C55" s="302">
        <f>'C12-CorpOwn'!I55</f>
        <v>6523201.6516751256</v>
      </c>
      <c r="D55" s="302">
        <f>'C12-CorpOwn'!V122-'C12-CorpOwn'!W122</f>
        <v>3800456.6765501499</v>
      </c>
      <c r="E55" s="303">
        <f>'C12-CorpOwn'!Q122+'C12-CorpOwn'!Z122+'C12-CorpOwn'!AA122</f>
        <v>19405958</v>
      </c>
      <c r="F55" s="303">
        <f>'C12-CorpOwn'!N122+'C12-CorpOwn'!X122-'C12-CorpOwn'!Y122-'C12-CorpOwn'!AC122+'C12-CorpOwn'!AB122</f>
        <v>6928645.4670909271</v>
      </c>
      <c r="H55" s="302">
        <f>'C12-CorpOwn'!D122</f>
        <v>951863.83251447661</v>
      </c>
      <c r="I55" s="302">
        <f>'C12-CorpOwn'!W122</f>
        <v>1058897.3234498498</v>
      </c>
      <c r="J55" s="302">
        <f>'C12-CorpOwn'!Y122</f>
        <v>161274.53290907308</v>
      </c>
      <c r="L55" s="475">
        <f t="shared" si="5"/>
        <v>0.20447849058659448</v>
      </c>
      <c r="M55" s="475">
        <f t="shared" si="6"/>
        <v>0.11913040348233932</v>
      </c>
      <c r="N55" s="475">
        <f t="shared" si="7"/>
        <v>0.60830573882502303</v>
      </c>
      <c r="O55" s="475">
        <f t="shared" si="8"/>
        <v>6.3350259679990223E-2</v>
      </c>
      <c r="Q55" s="475">
        <f t="shared" si="11"/>
        <v>0.1679925747241868</v>
      </c>
      <c r="R55" s="475">
        <f t="shared" si="12"/>
        <v>9.7873488558710323E-2</v>
      </c>
      <c r="S55" s="475">
        <f t="shared" si="13"/>
        <v>0.4997633100261839</v>
      </c>
      <c r="T55" s="475">
        <f t="shared" si="14"/>
        <v>0.17843400426978542</v>
      </c>
      <c r="U55" s="491">
        <f t="shared" si="9"/>
        <v>5.5936622421133383E-2</v>
      </c>
      <c r="V55" s="587">
        <f t="shared" si="10"/>
        <v>0.99999999999999989</v>
      </c>
      <c r="Z55" s="12"/>
      <c r="AA55" s="12"/>
      <c r="AB55" s="472"/>
      <c r="AC55" s="12"/>
    </row>
    <row r="56" spans="1:29" x14ac:dyDescent="0.3">
      <c r="A56" s="170">
        <v>2011</v>
      </c>
      <c r="B56" s="302">
        <f t="shared" si="4"/>
        <v>38362976.428401776</v>
      </c>
      <c r="C56" s="302">
        <f>'C12-CorpOwn'!I56</f>
        <v>5961779.4612615993</v>
      </c>
      <c r="D56" s="302">
        <f>'C12-CorpOwn'!V123-'C12-CorpOwn'!W123</f>
        <v>3380706.9116188819</v>
      </c>
      <c r="E56" s="303">
        <f>'C12-CorpOwn'!Q123+'C12-CorpOwn'!Z123+'C12-CorpOwn'!AA123</f>
        <v>19621275</v>
      </c>
      <c r="F56" s="303">
        <f>'C12-CorpOwn'!N123+'C12-CorpOwn'!X123-'C12-CorpOwn'!Y123-'C12-CorpOwn'!AC123+'C12-CorpOwn'!AB123</f>
        <v>7361095.9035299309</v>
      </c>
      <c r="H56" s="302">
        <f>'C12-CorpOwn'!D123</f>
        <v>919289.96714017633</v>
      </c>
      <c r="I56" s="302">
        <f>'C12-CorpOwn'!W123</f>
        <v>941945.08838111814</v>
      </c>
      <c r="J56" s="302">
        <f>'C12-CorpOwn'!Y123</f>
        <v>176884.09647006821</v>
      </c>
      <c r="L56" s="475">
        <f t="shared" si="5"/>
        <v>0.19230380094132191</v>
      </c>
      <c r="M56" s="475">
        <f t="shared" si="6"/>
        <v>0.10904844655815785</v>
      </c>
      <c r="N56" s="475">
        <f t="shared" si="7"/>
        <v>0.63290596143864442</v>
      </c>
      <c r="O56" s="475">
        <f t="shared" si="8"/>
        <v>6.0380706283111686E-2</v>
      </c>
      <c r="Q56" s="475">
        <f t="shared" si="11"/>
        <v>0.15540450758267638</v>
      </c>
      <c r="R56" s="475">
        <f t="shared" si="12"/>
        <v>8.8124207930748502E-2</v>
      </c>
      <c r="S56" s="475">
        <f t="shared" si="13"/>
        <v>0.51146383379871219</v>
      </c>
      <c r="T56" s="475">
        <f t="shared" si="14"/>
        <v>0.19188020818114082</v>
      </c>
      <c r="U56" s="491">
        <f t="shared" si="9"/>
        <v>5.3127242506722044E-2</v>
      </c>
      <c r="V56" s="587">
        <f t="shared" si="10"/>
        <v>0.99999999999999989</v>
      </c>
      <c r="Z56" s="12"/>
      <c r="AA56" s="12"/>
      <c r="AB56" s="472"/>
      <c r="AC56" s="12"/>
    </row>
    <row r="57" spans="1:29" x14ac:dyDescent="0.3">
      <c r="A57" s="170">
        <v>2012</v>
      </c>
      <c r="B57" s="302">
        <f t="shared" si="4"/>
        <v>42029903.856850915</v>
      </c>
      <c r="C57" s="302">
        <f>'C12-CorpOwn'!I57</f>
        <v>7200760.9414477637</v>
      </c>
      <c r="D57" s="302">
        <f>'C12-CorpOwn'!V124-'C12-CorpOwn'!W124</f>
        <v>3235927.8033156772</v>
      </c>
      <c r="E57" s="303">
        <f>'C12-CorpOwn'!Q124+'C12-CorpOwn'!Z124+'C12-CorpOwn'!AA124</f>
        <v>21330438</v>
      </c>
      <c r="F57" s="303">
        <f>'C12-CorpOwn'!N124+'C12-CorpOwn'!X124-'C12-CorpOwn'!Y124-'C12-CorpOwn'!AC124+'C12-CorpOwn'!AB124</f>
        <v>8107316.8061265927</v>
      </c>
      <c r="H57" s="302">
        <f>'C12-CorpOwn'!D124</f>
        <v>1058860.9154031486</v>
      </c>
      <c r="I57" s="302">
        <f>'C12-CorpOwn'!W124</f>
        <v>901606.19668432279</v>
      </c>
      <c r="J57" s="302">
        <f>'C12-CorpOwn'!Y124</f>
        <v>194993.19387340677</v>
      </c>
      <c r="L57" s="475">
        <f t="shared" si="5"/>
        <v>0.21227039466891168</v>
      </c>
      <c r="M57" s="475">
        <f t="shared" si="6"/>
        <v>9.5391539521352139E-2</v>
      </c>
      <c r="N57" s="475">
        <f t="shared" si="7"/>
        <v>0.62879750203322271</v>
      </c>
      <c r="O57" s="475">
        <f t="shared" si="8"/>
        <v>5.8126503788210548E-2</v>
      </c>
      <c r="Q57" s="475">
        <f t="shared" si="11"/>
        <v>0.17132470647500739</v>
      </c>
      <c r="R57" s="475">
        <f t="shared" si="12"/>
        <v>7.6991082690478677E-2</v>
      </c>
      <c r="S57" s="475">
        <f t="shared" si="13"/>
        <v>0.50750622872345963</v>
      </c>
      <c r="T57" s="475">
        <f t="shared" si="14"/>
        <v>0.19289401264726166</v>
      </c>
      <c r="U57" s="491">
        <f t="shared" si="9"/>
        <v>5.1283969463792531E-2</v>
      </c>
      <c r="V57" s="587">
        <f t="shared" si="10"/>
        <v>0.99999999999999989</v>
      </c>
      <c r="Z57" s="12"/>
      <c r="AA57" s="12"/>
      <c r="AB57" s="472"/>
      <c r="AC57" s="12"/>
    </row>
    <row r="58" spans="1:29" x14ac:dyDescent="0.3">
      <c r="A58" s="170">
        <v>2013</v>
      </c>
      <c r="B58" s="302">
        <f t="shared" si="4"/>
        <v>49538287.478114307</v>
      </c>
      <c r="C58" s="302">
        <f>'C12-CorpOwn'!I58</f>
        <v>9794557.5190629251</v>
      </c>
      <c r="D58" s="302">
        <f>'C12-CorpOwn'!V125-'C12-CorpOwn'!W125</f>
        <v>3390587.848395979</v>
      </c>
      <c r="E58" s="303">
        <f>'C12-CorpOwn'!Q125+'C12-CorpOwn'!Z125+'C12-CorpOwn'!AA125</f>
        <v>24486321</v>
      </c>
      <c r="F58" s="303">
        <f>'C12-CorpOwn'!N125+'C12-CorpOwn'!X125-'C12-CorpOwn'!Y125-'C12-CorpOwn'!AC125+'C12-CorpOwn'!AB125</f>
        <v>9328887.0714714099</v>
      </c>
      <c r="H58" s="302">
        <f>'C12-CorpOwn'!D125</f>
        <v>1370744.959051383</v>
      </c>
      <c r="I58" s="302">
        <f>'C12-CorpOwn'!W125</f>
        <v>944698.15160402097</v>
      </c>
      <c r="J58" s="302">
        <f>'C12-CorpOwn'!Y125</f>
        <v>222490.9285285908</v>
      </c>
      <c r="L58" s="475">
        <f t="shared" si="5"/>
        <v>0.24358874840234598</v>
      </c>
      <c r="M58" s="475">
        <f t="shared" si="6"/>
        <v>8.4323263070489068E-2</v>
      </c>
      <c r="N58" s="475">
        <f t="shared" si="7"/>
        <v>0.60897006054222769</v>
      </c>
      <c r="O58" s="475">
        <f t="shared" si="8"/>
        <v>5.790502794227434E-2</v>
      </c>
      <c r="Q58" s="475">
        <f t="shared" si="11"/>
        <v>0.19771691791707771</v>
      </c>
      <c r="R58" s="475">
        <f t="shared" si="12"/>
        <v>6.8443784010376194E-2</v>
      </c>
      <c r="S58" s="475">
        <f t="shared" si="13"/>
        <v>0.49429082526960377</v>
      </c>
      <c r="T58" s="475">
        <f t="shared" si="14"/>
        <v>0.18831670504542272</v>
      </c>
      <c r="U58" s="491">
        <f t="shared" si="9"/>
        <v>5.1231767757519614E-2</v>
      </c>
      <c r="V58" s="587">
        <f t="shared" si="10"/>
        <v>1</v>
      </c>
      <c r="Z58" s="12"/>
      <c r="AA58" s="12"/>
      <c r="AB58" s="472"/>
      <c r="AC58" s="12"/>
    </row>
    <row r="59" spans="1:29" x14ac:dyDescent="0.3">
      <c r="A59" s="474">
        <v>2014</v>
      </c>
      <c r="B59" s="302">
        <f t="shared" si="4"/>
        <v>52585664.668104067</v>
      </c>
      <c r="C59" s="302">
        <f>'C12-CorpOwn'!I59</f>
        <v>10855963.676634386</v>
      </c>
      <c r="D59" s="302">
        <f>'C12-CorpOwn'!V126-'C12-CorpOwn'!W126</f>
        <v>3122989.1808498306</v>
      </c>
      <c r="E59" s="303">
        <f>'C12-CorpOwn'!Q126+'C12-CorpOwn'!Z126+'C12-CorpOwn'!AA126</f>
        <v>25613959</v>
      </c>
      <c r="F59" s="303">
        <f>'C12-CorpOwn'!N126+'C12-CorpOwn'!X126-'C12-CorpOwn'!Y126-'C12-CorpOwn'!AC126+'C12-CorpOwn'!AB126</f>
        <v>10377091.692966957</v>
      </c>
      <c r="H59" s="302">
        <f>'C12-CorpOwn'!D126</f>
        <v>1504664.9914696813</v>
      </c>
      <c r="I59" s="302">
        <f>'C12-CorpOwn'!W126</f>
        <v>870138.81915016926</v>
      </c>
      <c r="J59" s="302">
        <f>'C12-CorpOwn'!Y126</f>
        <v>240857.30703304318</v>
      </c>
      <c r="L59" s="475">
        <f t="shared" si="5"/>
        <v>0.2571980740270246</v>
      </c>
      <c r="M59" s="475">
        <f t="shared" si="6"/>
        <v>7.3989451922229679E-2</v>
      </c>
      <c r="N59" s="475">
        <f t="shared" si="7"/>
        <v>0.6068425723629145</v>
      </c>
      <c r="O59" s="475">
        <f t="shared" si="8"/>
        <v>5.6586444432683944E-2</v>
      </c>
      <c r="Q59" s="475">
        <f t="shared" si="11"/>
        <v>0.2064434051590317</v>
      </c>
      <c r="R59" s="475">
        <f t="shared" si="12"/>
        <v>5.9388603349613753E-2</v>
      </c>
      <c r="S59" s="475">
        <f t="shared" si="13"/>
        <v>0.48709014446547816</v>
      </c>
      <c r="T59" s="475">
        <f t="shared" si="14"/>
        <v>0.19733689320962791</v>
      </c>
      <c r="U59" s="491">
        <f t="shared" si="9"/>
        <v>4.9740953816248483E-2</v>
      </c>
      <c r="V59" s="587">
        <f t="shared" si="10"/>
        <v>1</v>
      </c>
      <c r="Z59" s="12"/>
      <c r="AA59" s="12"/>
      <c r="AB59" s="472"/>
      <c r="AC59" s="12"/>
    </row>
    <row r="60" spans="1:29" x14ac:dyDescent="0.3">
      <c r="A60" s="170">
        <v>2015</v>
      </c>
      <c r="B60" s="302">
        <f t="shared" si="4"/>
        <v>53285544.857859492</v>
      </c>
      <c r="C60" s="302">
        <f>'C12-CorpOwn'!I60</f>
        <v>10770275.337733928</v>
      </c>
      <c r="D60" s="302">
        <f>'C12-CorpOwn'!V127-'C12-CorpOwn'!W127</f>
        <v>3472497.013316208</v>
      </c>
      <c r="E60" s="303">
        <f>'C12-CorpOwn'!Q127+'C12-CorpOwn'!Z127+'C12-CorpOwn'!AA127</f>
        <v>25736810</v>
      </c>
      <c r="F60" s="303">
        <f>'C12-CorpOwn'!N127+'C12-CorpOwn'!X127-'C12-CorpOwn'!Y127-'C12-CorpOwn'!AC127+'C12-CorpOwn'!AB127</f>
        <v>10615395.047866605</v>
      </c>
      <c r="H60" s="302">
        <f>'C12-CorpOwn'!D127</f>
        <v>1464730.5201255626</v>
      </c>
      <c r="I60" s="302">
        <f>'C12-CorpOwn'!W127</f>
        <v>967519.98668379209</v>
      </c>
      <c r="J60" s="302">
        <f>'C12-CorpOwn'!Y127</f>
        <v>258316.95213339393</v>
      </c>
      <c r="L60" s="475">
        <f t="shared" si="5"/>
        <v>0.25240772262795397</v>
      </c>
      <c r="M60" s="475">
        <f t="shared" si="6"/>
        <v>8.13800051975207E-2</v>
      </c>
      <c r="N60" s="475">
        <f t="shared" si="7"/>
        <v>0.60315724492658607</v>
      </c>
      <c r="O60" s="475">
        <f t="shared" si="8"/>
        <v>5.7348394137100481E-2</v>
      </c>
      <c r="Q60" s="475">
        <f t="shared" si="11"/>
        <v>0.20212377233758055</v>
      </c>
      <c r="R60" s="475">
        <f t="shared" si="12"/>
        <v>6.5167711479336088E-2</v>
      </c>
      <c r="S60" s="475">
        <f t="shared" si="13"/>
        <v>0.48299797006211681</v>
      </c>
      <c r="T60" s="475">
        <f t="shared" si="14"/>
        <v>0.19921716248155918</v>
      </c>
      <c r="U60" s="491">
        <f t="shared" si="9"/>
        <v>5.0493383639407342E-2</v>
      </c>
      <c r="V60" s="587">
        <f t="shared" si="10"/>
        <v>1</v>
      </c>
      <c r="Z60" s="12"/>
      <c r="AA60" s="12"/>
      <c r="AB60" s="472"/>
      <c r="AC60" s="12"/>
    </row>
    <row r="61" spans="1:29" ht="5.25" customHeight="1" x14ac:dyDescent="0.3">
      <c r="A61" s="306"/>
      <c r="B61" s="11"/>
      <c r="C61" s="11"/>
      <c r="D61" s="11"/>
      <c r="E61" s="11"/>
      <c r="F61" s="11"/>
      <c r="G61" s="11"/>
      <c r="H61" s="11"/>
      <c r="I61" s="11"/>
      <c r="J61" s="11"/>
      <c r="K61" s="11"/>
      <c r="L61" s="11"/>
      <c r="M61" s="11"/>
      <c r="N61" s="11"/>
      <c r="O61" s="11"/>
      <c r="P61" s="11"/>
      <c r="Q61" s="11"/>
      <c r="R61" s="11"/>
      <c r="S61" s="11"/>
      <c r="T61" s="11"/>
      <c r="U61" s="11"/>
      <c r="Z61" s="12"/>
      <c r="AA61" s="12"/>
      <c r="AB61" s="12"/>
      <c r="AC61" s="12"/>
    </row>
    <row r="62" spans="1:29" ht="6.75" customHeight="1" x14ac:dyDescent="0.3">
      <c r="A62" s="301"/>
      <c r="L62" s="12"/>
      <c r="M62" s="12"/>
      <c r="N62" s="12"/>
      <c r="O62" s="12"/>
      <c r="Q62" s="12"/>
      <c r="R62" s="12"/>
      <c r="S62" s="12"/>
      <c r="T62" s="12"/>
      <c r="U62" s="12"/>
      <c r="Z62" s="12"/>
      <c r="AA62" s="12"/>
      <c r="AB62" s="12"/>
      <c r="AC62" s="12"/>
    </row>
    <row r="63" spans="1:29" x14ac:dyDescent="0.3">
      <c r="A63" s="414" t="s">
        <v>556</v>
      </c>
      <c r="U63" s="12"/>
      <c r="AC63" s="12"/>
    </row>
    <row r="64" spans="1:29" x14ac:dyDescent="0.3">
      <c r="A64" s="414" t="s">
        <v>557</v>
      </c>
    </row>
    <row r="66" spans="1:31" x14ac:dyDescent="0.3">
      <c r="A66" s="301"/>
      <c r="D66" s="471"/>
      <c r="E66" s="471"/>
      <c r="F66" s="471"/>
      <c r="G66" s="471"/>
      <c r="H66" s="471"/>
      <c r="I66" s="471"/>
      <c r="J66" s="471"/>
      <c r="K66" s="471"/>
      <c r="L66" s="471"/>
      <c r="M66" s="471"/>
      <c r="N66" s="471"/>
      <c r="O66" s="471"/>
      <c r="AB66" s="476"/>
      <c r="AC66" s="476"/>
      <c r="AD66" s="476"/>
      <c r="AE66" s="476"/>
    </row>
  </sheetData>
  <mergeCells count="4">
    <mergeCell ref="B3:F3"/>
    <mergeCell ref="H3:J3"/>
    <mergeCell ref="L3:O3"/>
    <mergeCell ref="Q3:U3"/>
  </mergeCells>
  <hyperlinks>
    <hyperlink ref="H1" location="Index!A1" display="Index"/>
  </hyperlink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AF112"/>
  <sheetViews>
    <sheetView workbookViewId="0"/>
  </sheetViews>
  <sheetFormatPr defaultColWidth="8.5546875" defaultRowHeight="13.5" customHeight="1" x14ac:dyDescent="0.25"/>
  <cols>
    <col min="1" max="7" width="9.88671875" style="3" customWidth="1"/>
    <col min="8" max="8" width="8.5546875" style="3" customWidth="1"/>
    <col min="9" max="9" width="8" style="3" customWidth="1"/>
    <col min="10" max="15" width="11.109375" style="3" customWidth="1"/>
    <col min="16" max="16" width="6.44140625" style="3" customWidth="1"/>
    <col min="17" max="20" width="8.5546875" style="3"/>
    <col min="21" max="21" width="9.44140625" style="3" customWidth="1"/>
    <col min="22" max="22" width="10" style="3" customWidth="1"/>
    <col min="23" max="23" width="10.77734375" style="3" customWidth="1"/>
    <col min="24" max="29" width="8.5546875" style="3"/>
    <col min="30" max="30" width="11" style="3" customWidth="1"/>
    <col min="31" max="199" width="8.5546875" style="3"/>
    <col min="200" max="205" width="8.5546875" style="3" customWidth="1"/>
    <col min="206" max="206" width="9.44140625" style="3" customWidth="1"/>
    <col min="207" max="207" width="4.44140625" style="3" customWidth="1"/>
    <col min="208" max="210" width="8.5546875" style="3" customWidth="1"/>
    <col min="211" max="211" width="9" style="3" customWidth="1"/>
    <col min="212" max="212" width="9.77734375" style="3" customWidth="1"/>
    <col min="213" max="455" width="8.5546875" style="3"/>
    <col min="456" max="461" width="8.5546875" style="3" customWidth="1"/>
    <col min="462" max="462" width="9.44140625" style="3" customWidth="1"/>
    <col min="463" max="463" width="4.44140625" style="3" customWidth="1"/>
    <col min="464" max="466" width="8.5546875" style="3" customWidth="1"/>
    <col min="467" max="467" width="9" style="3" customWidth="1"/>
    <col min="468" max="468" width="9.77734375" style="3" customWidth="1"/>
    <col min="469" max="711" width="8.5546875" style="3"/>
    <col min="712" max="717" width="8.5546875" style="3" customWidth="1"/>
    <col min="718" max="718" width="9.44140625" style="3" customWidth="1"/>
    <col min="719" max="719" width="4.44140625" style="3" customWidth="1"/>
    <col min="720" max="722" width="8.5546875" style="3" customWidth="1"/>
    <col min="723" max="723" width="9" style="3" customWidth="1"/>
    <col min="724" max="724" width="9.77734375" style="3" customWidth="1"/>
    <col min="725" max="967" width="8.5546875" style="3"/>
    <col min="968" max="973" width="8.5546875" style="3" customWidth="1"/>
    <col min="974" max="974" width="9.44140625" style="3" customWidth="1"/>
    <col min="975" max="975" width="4.44140625" style="3" customWidth="1"/>
    <col min="976" max="978" width="8.5546875" style="3" customWidth="1"/>
    <col min="979" max="979" width="9" style="3" customWidth="1"/>
    <col min="980" max="980" width="9.77734375" style="3" customWidth="1"/>
    <col min="981" max="1223" width="8.5546875" style="3"/>
    <col min="1224" max="1229" width="8.5546875" style="3" customWidth="1"/>
    <col min="1230" max="1230" width="9.44140625" style="3" customWidth="1"/>
    <col min="1231" max="1231" width="4.44140625" style="3" customWidth="1"/>
    <col min="1232" max="1234" width="8.5546875" style="3" customWidth="1"/>
    <col min="1235" max="1235" width="9" style="3" customWidth="1"/>
    <col min="1236" max="1236" width="9.77734375" style="3" customWidth="1"/>
    <col min="1237" max="1479" width="8.5546875" style="3"/>
    <col min="1480" max="1485" width="8.5546875" style="3" customWidth="1"/>
    <col min="1486" max="1486" width="9.44140625" style="3" customWidth="1"/>
    <col min="1487" max="1487" width="4.44140625" style="3" customWidth="1"/>
    <col min="1488" max="1490" width="8.5546875" style="3" customWidth="1"/>
    <col min="1491" max="1491" width="9" style="3" customWidth="1"/>
    <col min="1492" max="1492" width="9.77734375" style="3" customWidth="1"/>
    <col min="1493" max="1735" width="8.5546875" style="3"/>
    <col min="1736" max="1741" width="8.5546875" style="3" customWidth="1"/>
    <col min="1742" max="1742" width="9.44140625" style="3" customWidth="1"/>
    <col min="1743" max="1743" width="4.44140625" style="3" customWidth="1"/>
    <col min="1744" max="1746" width="8.5546875" style="3" customWidth="1"/>
    <col min="1747" max="1747" width="9" style="3" customWidth="1"/>
    <col min="1748" max="1748" width="9.77734375" style="3" customWidth="1"/>
    <col min="1749" max="1991" width="8.5546875" style="3"/>
    <col min="1992" max="1997" width="8.5546875" style="3" customWidth="1"/>
    <col min="1998" max="1998" width="9.44140625" style="3" customWidth="1"/>
    <col min="1999" max="1999" width="4.44140625" style="3" customWidth="1"/>
    <col min="2000" max="2002" width="8.5546875" style="3" customWidth="1"/>
    <col min="2003" max="2003" width="9" style="3" customWidth="1"/>
    <col min="2004" max="2004" width="9.77734375" style="3" customWidth="1"/>
    <col min="2005" max="2247" width="8.5546875" style="3"/>
    <col min="2248" max="2253" width="8.5546875" style="3" customWidth="1"/>
    <col min="2254" max="2254" width="9.44140625" style="3" customWidth="1"/>
    <col min="2255" max="2255" width="4.44140625" style="3" customWidth="1"/>
    <col min="2256" max="2258" width="8.5546875" style="3" customWidth="1"/>
    <col min="2259" max="2259" width="9" style="3" customWidth="1"/>
    <col min="2260" max="2260" width="9.77734375" style="3" customWidth="1"/>
    <col min="2261" max="2503" width="8.5546875" style="3"/>
    <col min="2504" max="2509" width="8.5546875" style="3" customWidth="1"/>
    <col min="2510" max="2510" width="9.44140625" style="3" customWidth="1"/>
    <col min="2511" max="2511" width="4.44140625" style="3" customWidth="1"/>
    <col min="2512" max="2514" width="8.5546875" style="3" customWidth="1"/>
    <col min="2515" max="2515" width="9" style="3" customWidth="1"/>
    <col min="2516" max="2516" width="9.77734375" style="3" customWidth="1"/>
    <col min="2517" max="2759" width="8.5546875" style="3"/>
    <col min="2760" max="2765" width="8.5546875" style="3" customWidth="1"/>
    <col min="2766" max="2766" width="9.44140625" style="3" customWidth="1"/>
    <col min="2767" max="2767" width="4.44140625" style="3" customWidth="1"/>
    <col min="2768" max="2770" width="8.5546875" style="3" customWidth="1"/>
    <col min="2771" max="2771" width="9" style="3" customWidth="1"/>
    <col min="2772" max="2772" width="9.77734375" style="3" customWidth="1"/>
    <col min="2773" max="3015" width="8.5546875" style="3"/>
    <col min="3016" max="3021" width="8.5546875" style="3" customWidth="1"/>
    <col min="3022" max="3022" width="9.44140625" style="3" customWidth="1"/>
    <col min="3023" max="3023" width="4.44140625" style="3" customWidth="1"/>
    <col min="3024" max="3026" width="8.5546875" style="3" customWidth="1"/>
    <col min="3027" max="3027" width="9" style="3" customWidth="1"/>
    <col min="3028" max="3028" width="9.77734375" style="3" customWidth="1"/>
    <col min="3029" max="3271" width="8.5546875" style="3"/>
    <col min="3272" max="3277" width="8.5546875" style="3" customWidth="1"/>
    <col min="3278" max="3278" width="9.44140625" style="3" customWidth="1"/>
    <col min="3279" max="3279" width="4.44140625" style="3" customWidth="1"/>
    <col min="3280" max="3282" width="8.5546875" style="3" customWidth="1"/>
    <col min="3283" max="3283" width="9" style="3" customWidth="1"/>
    <col min="3284" max="3284" width="9.77734375" style="3" customWidth="1"/>
    <col min="3285" max="3527" width="8.5546875" style="3"/>
    <col min="3528" max="3533" width="8.5546875" style="3" customWidth="1"/>
    <col min="3534" max="3534" width="9.44140625" style="3" customWidth="1"/>
    <col min="3535" max="3535" width="4.44140625" style="3" customWidth="1"/>
    <col min="3536" max="3538" width="8.5546875" style="3" customWidth="1"/>
    <col min="3539" max="3539" width="9" style="3" customWidth="1"/>
    <col min="3540" max="3540" width="9.77734375" style="3" customWidth="1"/>
    <col min="3541" max="3783" width="8.5546875" style="3"/>
    <col min="3784" max="3789" width="8.5546875" style="3" customWidth="1"/>
    <col min="3790" max="3790" width="9.44140625" style="3" customWidth="1"/>
    <col min="3791" max="3791" width="4.44140625" style="3" customWidth="1"/>
    <col min="3792" max="3794" width="8.5546875" style="3" customWidth="1"/>
    <col min="3795" max="3795" width="9" style="3" customWidth="1"/>
    <col min="3796" max="3796" width="9.77734375" style="3" customWidth="1"/>
    <col min="3797" max="4039" width="8.5546875" style="3"/>
    <col min="4040" max="4045" width="8.5546875" style="3" customWidth="1"/>
    <col min="4046" max="4046" width="9.44140625" style="3" customWidth="1"/>
    <col min="4047" max="4047" width="4.44140625" style="3" customWidth="1"/>
    <col min="4048" max="4050" width="8.5546875" style="3" customWidth="1"/>
    <col min="4051" max="4051" width="9" style="3" customWidth="1"/>
    <col min="4052" max="4052" width="9.77734375" style="3" customWidth="1"/>
    <col min="4053" max="4295" width="8.5546875" style="3"/>
    <col min="4296" max="4301" width="8.5546875" style="3" customWidth="1"/>
    <col min="4302" max="4302" width="9.44140625" style="3" customWidth="1"/>
    <col min="4303" max="4303" width="4.44140625" style="3" customWidth="1"/>
    <col min="4304" max="4306" width="8.5546875" style="3" customWidth="1"/>
    <col min="4307" max="4307" width="9" style="3" customWidth="1"/>
    <col min="4308" max="4308" width="9.77734375" style="3" customWidth="1"/>
    <col min="4309" max="4551" width="8.5546875" style="3"/>
    <col min="4552" max="4557" width="8.5546875" style="3" customWidth="1"/>
    <col min="4558" max="4558" width="9.44140625" style="3" customWidth="1"/>
    <col min="4559" max="4559" width="4.44140625" style="3" customWidth="1"/>
    <col min="4560" max="4562" width="8.5546875" style="3" customWidth="1"/>
    <col min="4563" max="4563" width="9" style="3" customWidth="1"/>
    <col min="4564" max="4564" width="9.77734375" style="3" customWidth="1"/>
    <col min="4565" max="4807" width="8.5546875" style="3"/>
    <col min="4808" max="4813" width="8.5546875" style="3" customWidth="1"/>
    <col min="4814" max="4814" width="9.44140625" style="3" customWidth="1"/>
    <col min="4815" max="4815" width="4.44140625" style="3" customWidth="1"/>
    <col min="4816" max="4818" width="8.5546875" style="3" customWidth="1"/>
    <col min="4819" max="4819" width="9" style="3" customWidth="1"/>
    <col min="4820" max="4820" width="9.77734375" style="3" customWidth="1"/>
    <col min="4821" max="5063" width="8.5546875" style="3"/>
    <col min="5064" max="5069" width="8.5546875" style="3" customWidth="1"/>
    <col min="5070" max="5070" width="9.44140625" style="3" customWidth="1"/>
    <col min="5071" max="5071" width="4.44140625" style="3" customWidth="1"/>
    <col min="5072" max="5074" width="8.5546875" style="3" customWidth="1"/>
    <col min="5075" max="5075" width="9" style="3" customWidth="1"/>
    <col min="5076" max="5076" width="9.77734375" style="3" customWidth="1"/>
    <col min="5077" max="5319" width="8.5546875" style="3"/>
    <col min="5320" max="5325" width="8.5546875" style="3" customWidth="1"/>
    <col min="5326" max="5326" width="9.44140625" style="3" customWidth="1"/>
    <col min="5327" max="5327" width="4.44140625" style="3" customWidth="1"/>
    <col min="5328" max="5330" width="8.5546875" style="3" customWidth="1"/>
    <col min="5331" max="5331" width="9" style="3" customWidth="1"/>
    <col min="5332" max="5332" width="9.77734375" style="3" customWidth="1"/>
    <col min="5333" max="5575" width="8.5546875" style="3"/>
    <col min="5576" max="5581" width="8.5546875" style="3" customWidth="1"/>
    <col min="5582" max="5582" width="9.44140625" style="3" customWidth="1"/>
    <col min="5583" max="5583" width="4.44140625" style="3" customWidth="1"/>
    <col min="5584" max="5586" width="8.5546875" style="3" customWidth="1"/>
    <col min="5587" max="5587" width="9" style="3" customWidth="1"/>
    <col min="5588" max="5588" width="9.77734375" style="3" customWidth="1"/>
    <col min="5589" max="5831" width="8.5546875" style="3"/>
    <col min="5832" max="5837" width="8.5546875" style="3" customWidth="1"/>
    <col min="5838" max="5838" width="9.44140625" style="3" customWidth="1"/>
    <col min="5839" max="5839" width="4.44140625" style="3" customWidth="1"/>
    <col min="5840" max="5842" width="8.5546875" style="3" customWidth="1"/>
    <col min="5843" max="5843" width="9" style="3" customWidth="1"/>
    <col min="5844" max="5844" width="9.77734375" style="3" customWidth="1"/>
    <col min="5845" max="6087" width="8.5546875" style="3"/>
    <col min="6088" max="6093" width="8.5546875" style="3" customWidth="1"/>
    <col min="6094" max="6094" width="9.44140625" style="3" customWidth="1"/>
    <col min="6095" max="6095" width="4.44140625" style="3" customWidth="1"/>
    <col min="6096" max="6098" width="8.5546875" style="3" customWidth="1"/>
    <col min="6099" max="6099" width="9" style="3" customWidth="1"/>
    <col min="6100" max="6100" width="9.77734375" style="3" customWidth="1"/>
    <col min="6101" max="6343" width="8.5546875" style="3"/>
    <col min="6344" max="6349" width="8.5546875" style="3" customWidth="1"/>
    <col min="6350" max="6350" width="9.44140625" style="3" customWidth="1"/>
    <col min="6351" max="6351" width="4.44140625" style="3" customWidth="1"/>
    <col min="6352" max="6354" width="8.5546875" style="3" customWidth="1"/>
    <col min="6355" max="6355" width="9" style="3" customWidth="1"/>
    <col min="6356" max="6356" width="9.77734375" style="3" customWidth="1"/>
    <col min="6357" max="6599" width="8.5546875" style="3"/>
    <col min="6600" max="6605" width="8.5546875" style="3" customWidth="1"/>
    <col min="6606" max="6606" width="9.44140625" style="3" customWidth="1"/>
    <col min="6607" max="6607" width="4.44140625" style="3" customWidth="1"/>
    <col min="6608" max="6610" width="8.5546875" style="3" customWidth="1"/>
    <col min="6611" max="6611" width="9" style="3" customWidth="1"/>
    <col min="6612" max="6612" width="9.77734375" style="3" customWidth="1"/>
    <col min="6613" max="6855" width="8.5546875" style="3"/>
    <col min="6856" max="6861" width="8.5546875" style="3" customWidth="1"/>
    <col min="6862" max="6862" width="9.44140625" style="3" customWidth="1"/>
    <col min="6863" max="6863" width="4.44140625" style="3" customWidth="1"/>
    <col min="6864" max="6866" width="8.5546875" style="3" customWidth="1"/>
    <col min="6867" max="6867" width="9" style="3" customWidth="1"/>
    <col min="6868" max="6868" width="9.77734375" style="3" customWidth="1"/>
    <col min="6869" max="7111" width="8.5546875" style="3"/>
    <col min="7112" max="7117" width="8.5546875" style="3" customWidth="1"/>
    <col min="7118" max="7118" width="9.44140625" style="3" customWidth="1"/>
    <col min="7119" max="7119" width="4.44140625" style="3" customWidth="1"/>
    <col min="7120" max="7122" width="8.5546875" style="3" customWidth="1"/>
    <col min="7123" max="7123" width="9" style="3" customWidth="1"/>
    <col min="7124" max="7124" width="9.77734375" style="3" customWidth="1"/>
    <col min="7125" max="7367" width="8.5546875" style="3"/>
    <col min="7368" max="7373" width="8.5546875" style="3" customWidth="1"/>
    <col min="7374" max="7374" width="9.44140625" style="3" customWidth="1"/>
    <col min="7375" max="7375" width="4.44140625" style="3" customWidth="1"/>
    <col min="7376" max="7378" width="8.5546875" style="3" customWidth="1"/>
    <col min="7379" max="7379" width="9" style="3" customWidth="1"/>
    <col min="7380" max="7380" width="9.77734375" style="3" customWidth="1"/>
    <col min="7381" max="7623" width="8.5546875" style="3"/>
    <col min="7624" max="7629" width="8.5546875" style="3" customWidth="1"/>
    <col min="7630" max="7630" width="9.44140625" style="3" customWidth="1"/>
    <col min="7631" max="7631" width="4.44140625" style="3" customWidth="1"/>
    <col min="7632" max="7634" width="8.5546875" style="3" customWidth="1"/>
    <col min="7635" max="7635" width="9" style="3" customWidth="1"/>
    <col min="7636" max="7636" width="9.77734375" style="3" customWidth="1"/>
    <col min="7637" max="7879" width="8.5546875" style="3"/>
    <col min="7880" max="7885" width="8.5546875" style="3" customWidth="1"/>
    <col min="7886" max="7886" width="9.44140625" style="3" customWidth="1"/>
    <col min="7887" max="7887" width="4.44140625" style="3" customWidth="1"/>
    <col min="7888" max="7890" width="8.5546875" style="3" customWidth="1"/>
    <col min="7891" max="7891" width="9" style="3" customWidth="1"/>
    <col min="7892" max="7892" width="9.77734375" style="3" customWidth="1"/>
    <col min="7893" max="8135" width="8.5546875" style="3"/>
    <col min="8136" max="8141" width="8.5546875" style="3" customWidth="1"/>
    <col min="8142" max="8142" width="9.44140625" style="3" customWidth="1"/>
    <col min="8143" max="8143" width="4.44140625" style="3" customWidth="1"/>
    <col min="8144" max="8146" width="8.5546875" style="3" customWidth="1"/>
    <col min="8147" max="8147" width="9" style="3" customWidth="1"/>
    <col min="8148" max="8148" width="9.77734375" style="3" customWidth="1"/>
    <col min="8149" max="8391" width="8.5546875" style="3"/>
    <col min="8392" max="8397" width="8.5546875" style="3" customWidth="1"/>
    <col min="8398" max="8398" width="9.44140625" style="3" customWidth="1"/>
    <col min="8399" max="8399" width="4.44140625" style="3" customWidth="1"/>
    <col min="8400" max="8402" width="8.5546875" style="3" customWidth="1"/>
    <col min="8403" max="8403" width="9" style="3" customWidth="1"/>
    <col min="8404" max="8404" width="9.77734375" style="3" customWidth="1"/>
    <col min="8405" max="8647" width="8.5546875" style="3"/>
    <col min="8648" max="8653" width="8.5546875" style="3" customWidth="1"/>
    <col min="8654" max="8654" width="9.44140625" style="3" customWidth="1"/>
    <col min="8655" max="8655" width="4.44140625" style="3" customWidth="1"/>
    <col min="8656" max="8658" width="8.5546875" style="3" customWidth="1"/>
    <col min="8659" max="8659" width="9" style="3" customWidth="1"/>
    <col min="8660" max="8660" width="9.77734375" style="3" customWidth="1"/>
    <col min="8661" max="8903" width="8.5546875" style="3"/>
    <col min="8904" max="8909" width="8.5546875" style="3" customWidth="1"/>
    <col min="8910" max="8910" width="9.44140625" style="3" customWidth="1"/>
    <col min="8911" max="8911" width="4.44140625" style="3" customWidth="1"/>
    <col min="8912" max="8914" width="8.5546875" style="3" customWidth="1"/>
    <col min="8915" max="8915" width="9" style="3" customWidth="1"/>
    <col min="8916" max="8916" width="9.77734375" style="3" customWidth="1"/>
    <col min="8917" max="9159" width="8.5546875" style="3"/>
    <col min="9160" max="9165" width="8.5546875" style="3" customWidth="1"/>
    <col min="9166" max="9166" width="9.44140625" style="3" customWidth="1"/>
    <col min="9167" max="9167" width="4.44140625" style="3" customWidth="1"/>
    <col min="9168" max="9170" width="8.5546875" style="3" customWidth="1"/>
    <col min="9171" max="9171" width="9" style="3" customWidth="1"/>
    <col min="9172" max="9172" width="9.77734375" style="3" customWidth="1"/>
    <col min="9173" max="9415" width="8.5546875" style="3"/>
    <col min="9416" max="9421" width="8.5546875" style="3" customWidth="1"/>
    <col min="9422" max="9422" width="9.44140625" style="3" customWidth="1"/>
    <col min="9423" max="9423" width="4.44140625" style="3" customWidth="1"/>
    <col min="9424" max="9426" width="8.5546875" style="3" customWidth="1"/>
    <col min="9427" max="9427" width="9" style="3" customWidth="1"/>
    <col min="9428" max="9428" width="9.77734375" style="3" customWidth="1"/>
    <col min="9429" max="9671" width="8.5546875" style="3"/>
    <col min="9672" max="9677" width="8.5546875" style="3" customWidth="1"/>
    <col min="9678" max="9678" width="9.44140625" style="3" customWidth="1"/>
    <col min="9679" max="9679" width="4.44140625" style="3" customWidth="1"/>
    <col min="9680" max="9682" width="8.5546875" style="3" customWidth="1"/>
    <col min="9683" max="9683" width="9" style="3" customWidth="1"/>
    <col min="9684" max="9684" width="9.77734375" style="3" customWidth="1"/>
    <col min="9685" max="9927" width="8.5546875" style="3"/>
    <col min="9928" max="9933" width="8.5546875" style="3" customWidth="1"/>
    <col min="9934" max="9934" width="9.44140625" style="3" customWidth="1"/>
    <col min="9935" max="9935" width="4.44140625" style="3" customWidth="1"/>
    <col min="9936" max="9938" width="8.5546875" style="3" customWidth="1"/>
    <col min="9939" max="9939" width="9" style="3" customWidth="1"/>
    <col min="9940" max="9940" width="9.77734375" style="3" customWidth="1"/>
    <col min="9941" max="10183" width="8.5546875" style="3"/>
    <col min="10184" max="10189" width="8.5546875" style="3" customWidth="1"/>
    <col min="10190" max="10190" width="9.44140625" style="3" customWidth="1"/>
    <col min="10191" max="10191" width="4.44140625" style="3" customWidth="1"/>
    <col min="10192" max="10194" width="8.5546875" style="3" customWidth="1"/>
    <col min="10195" max="10195" width="9" style="3" customWidth="1"/>
    <col min="10196" max="10196" width="9.77734375" style="3" customWidth="1"/>
    <col min="10197" max="10439" width="8.5546875" style="3"/>
    <col min="10440" max="10445" width="8.5546875" style="3" customWidth="1"/>
    <col min="10446" max="10446" width="9.44140625" style="3" customWidth="1"/>
    <col min="10447" max="10447" width="4.44140625" style="3" customWidth="1"/>
    <col min="10448" max="10450" width="8.5546875" style="3" customWidth="1"/>
    <col min="10451" max="10451" width="9" style="3" customWidth="1"/>
    <col min="10452" max="10452" width="9.77734375" style="3" customWidth="1"/>
    <col min="10453" max="10695" width="8.5546875" style="3"/>
    <col min="10696" max="10701" width="8.5546875" style="3" customWidth="1"/>
    <col min="10702" max="10702" width="9.44140625" style="3" customWidth="1"/>
    <col min="10703" max="10703" width="4.44140625" style="3" customWidth="1"/>
    <col min="10704" max="10706" width="8.5546875" style="3" customWidth="1"/>
    <col min="10707" max="10707" width="9" style="3" customWidth="1"/>
    <col min="10708" max="10708" width="9.77734375" style="3" customWidth="1"/>
    <col min="10709" max="10951" width="8.5546875" style="3"/>
    <col min="10952" max="10957" width="8.5546875" style="3" customWidth="1"/>
    <col min="10958" max="10958" width="9.44140625" style="3" customWidth="1"/>
    <col min="10959" max="10959" width="4.44140625" style="3" customWidth="1"/>
    <col min="10960" max="10962" width="8.5546875" style="3" customWidth="1"/>
    <col min="10963" max="10963" width="9" style="3" customWidth="1"/>
    <col min="10964" max="10964" width="9.77734375" style="3" customWidth="1"/>
    <col min="10965" max="11207" width="8.5546875" style="3"/>
    <col min="11208" max="11213" width="8.5546875" style="3" customWidth="1"/>
    <col min="11214" max="11214" width="9.44140625" style="3" customWidth="1"/>
    <col min="11215" max="11215" width="4.44140625" style="3" customWidth="1"/>
    <col min="11216" max="11218" width="8.5546875" style="3" customWidth="1"/>
    <col min="11219" max="11219" width="9" style="3" customWidth="1"/>
    <col min="11220" max="11220" width="9.77734375" style="3" customWidth="1"/>
    <col min="11221" max="11463" width="8.5546875" style="3"/>
    <col min="11464" max="11469" width="8.5546875" style="3" customWidth="1"/>
    <col min="11470" max="11470" width="9.44140625" style="3" customWidth="1"/>
    <col min="11471" max="11471" width="4.44140625" style="3" customWidth="1"/>
    <col min="11472" max="11474" width="8.5546875" style="3" customWidth="1"/>
    <col min="11475" max="11475" width="9" style="3" customWidth="1"/>
    <col min="11476" max="11476" width="9.77734375" style="3" customWidth="1"/>
    <col min="11477" max="11719" width="8.5546875" style="3"/>
    <col min="11720" max="11725" width="8.5546875" style="3" customWidth="1"/>
    <col min="11726" max="11726" width="9.44140625" style="3" customWidth="1"/>
    <col min="11727" max="11727" width="4.44140625" style="3" customWidth="1"/>
    <col min="11728" max="11730" width="8.5546875" style="3" customWidth="1"/>
    <col min="11731" max="11731" width="9" style="3" customWidth="1"/>
    <col min="11732" max="11732" width="9.77734375" style="3" customWidth="1"/>
    <col min="11733" max="11975" width="8.5546875" style="3"/>
    <col min="11976" max="11981" width="8.5546875" style="3" customWidth="1"/>
    <col min="11982" max="11982" width="9.44140625" style="3" customWidth="1"/>
    <col min="11983" max="11983" width="4.44140625" style="3" customWidth="1"/>
    <col min="11984" max="11986" width="8.5546875" style="3" customWidth="1"/>
    <col min="11987" max="11987" width="9" style="3" customWidth="1"/>
    <col min="11988" max="11988" width="9.77734375" style="3" customWidth="1"/>
    <col min="11989" max="12231" width="8.5546875" style="3"/>
    <col min="12232" max="12237" width="8.5546875" style="3" customWidth="1"/>
    <col min="12238" max="12238" width="9.44140625" style="3" customWidth="1"/>
    <col min="12239" max="12239" width="4.44140625" style="3" customWidth="1"/>
    <col min="12240" max="12242" width="8.5546875" style="3" customWidth="1"/>
    <col min="12243" max="12243" width="9" style="3" customWidth="1"/>
    <col min="12244" max="12244" width="9.77734375" style="3" customWidth="1"/>
    <col min="12245" max="12487" width="8.5546875" style="3"/>
    <col min="12488" max="12493" width="8.5546875" style="3" customWidth="1"/>
    <col min="12494" max="12494" width="9.44140625" style="3" customWidth="1"/>
    <col min="12495" max="12495" width="4.44140625" style="3" customWidth="1"/>
    <col min="12496" max="12498" width="8.5546875" style="3" customWidth="1"/>
    <col min="12499" max="12499" width="9" style="3" customWidth="1"/>
    <col min="12500" max="12500" width="9.77734375" style="3" customWidth="1"/>
    <col min="12501" max="12743" width="8.5546875" style="3"/>
    <col min="12744" max="12749" width="8.5546875" style="3" customWidth="1"/>
    <col min="12750" max="12750" width="9.44140625" style="3" customWidth="1"/>
    <col min="12751" max="12751" width="4.44140625" style="3" customWidth="1"/>
    <col min="12752" max="12754" width="8.5546875" style="3" customWidth="1"/>
    <col min="12755" max="12755" width="9" style="3" customWidth="1"/>
    <col min="12756" max="12756" width="9.77734375" style="3" customWidth="1"/>
    <col min="12757" max="12999" width="8.5546875" style="3"/>
    <col min="13000" max="13005" width="8.5546875" style="3" customWidth="1"/>
    <col min="13006" max="13006" width="9.44140625" style="3" customWidth="1"/>
    <col min="13007" max="13007" width="4.44140625" style="3" customWidth="1"/>
    <col min="13008" max="13010" width="8.5546875" style="3" customWidth="1"/>
    <col min="13011" max="13011" width="9" style="3" customWidth="1"/>
    <col min="13012" max="13012" width="9.77734375" style="3" customWidth="1"/>
    <col min="13013" max="13255" width="8.5546875" style="3"/>
    <col min="13256" max="13261" width="8.5546875" style="3" customWidth="1"/>
    <col min="13262" max="13262" width="9.44140625" style="3" customWidth="1"/>
    <col min="13263" max="13263" width="4.44140625" style="3" customWidth="1"/>
    <col min="13264" max="13266" width="8.5546875" style="3" customWidth="1"/>
    <col min="13267" max="13267" width="9" style="3" customWidth="1"/>
    <col min="13268" max="13268" width="9.77734375" style="3" customWidth="1"/>
    <col min="13269" max="13511" width="8.5546875" style="3"/>
    <col min="13512" max="13517" width="8.5546875" style="3" customWidth="1"/>
    <col min="13518" max="13518" width="9.44140625" style="3" customWidth="1"/>
    <col min="13519" max="13519" width="4.44140625" style="3" customWidth="1"/>
    <col min="13520" max="13522" width="8.5546875" style="3" customWidth="1"/>
    <col min="13523" max="13523" width="9" style="3" customWidth="1"/>
    <col min="13524" max="13524" width="9.77734375" style="3" customWidth="1"/>
    <col min="13525" max="13767" width="8.5546875" style="3"/>
    <col min="13768" max="13773" width="8.5546875" style="3" customWidth="1"/>
    <col min="13774" max="13774" width="9.44140625" style="3" customWidth="1"/>
    <col min="13775" max="13775" width="4.44140625" style="3" customWidth="1"/>
    <col min="13776" max="13778" width="8.5546875" style="3" customWidth="1"/>
    <col min="13779" max="13779" width="9" style="3" customWidth="1"/>
    <col min="13780" max="13780" width="9.77734375" style="3" customWidth="1"/>
    <col min="13781" max="14023" width="8.5546875" style="3"/>
    <col min="14024" max="14029" width="8.5546875" style="3" customWidth="1"/>
    <col min="14030" max="14030" width="9.44140625" style="3" customWidth="1"/>
    <col min="14031" max="14031" width="4.44140625" style="3" customWidth="1"/>
    <col min="14032" max="14034" width="8.5546875" style="3" customWidth="1"/>
    <col min="14035" max="14035" width="9" style="3" customWidth="1"/>
    <col min="14036" max="14036" width="9.77734375" style="3" customWidth="1"/>
    <col min="14037" max="14279" width="8.5546875" style="3"/>
    <col min="14280" max="14285" width="8.5546875" style="3" customWidth="1"/>
    <col min="14286" max="14286" width="9.44140625" style="3" customWidth="1"/>
    <col min="14287" max="14287" width="4.44140625" style="3" customWidth="1"/>
    <col min="14288" max="14290" width="8.5546875" style="3" customWidth="1"/>
    <col min="14291" max="14291" width="9" style="3" customWidth="1"/>
    <col min="14292" max="14292" width="9.77734375" style="3" customWidth="1"/>
    <col min="14293" max="14535" width="8.5546875" style="3"/>
    <col min="14536" max="14541" width="8.5546875" style="3" customWidth="1"/>
    <col min="14542" max="14542" width="9.44140625" style="3" customWidth="1"/>
    <col min="14543" max="14543" width="4.44140625" style="3" customWidth="1"/>
    <col min="14544" max="14546" width="8.5546875" style="3" customWidth="1"/>
    <col min="14547" max="14547" width="9" style="3" customWidth="1"/>
    <col min="14548" max="14548" width="9.77734375" style="3" customWidth="1"/>
    <col min="14549" max="14791" width="8.5546875" style="3"/>
    <col min="14792" max="14797" width="8.5546875" style="3" customWidth="1"/>
    <col min="14798" max="14798" width="9.44140625" style="3" customWidth="1"/>
    <col min="14799" max="14799" width="4.44140625" style="3" customWidth="1"/>
    <col min="14800" max="14802" width="8.5546875" style="3" customWidth="1"/>
    <col min="14803" max="14803" width="9" style="3" customWidth="1"/>
    <col min="14804" max="14804" width="9.77734375" style="3" customWidth="1"/>
    <col min="14805" max="15047" width="8.5546875" style="3"/>
    <col min="15048" max="15053" width="8.5546875" style="3" customWidth="1"/>
    <col min="15054" max="15054" width="9.44140625" style="3" customWidth="1"/>
    <col min="15055" max="15055" width="4.44140625" style="3" customWidth="1"/>
    <col min="15056" max="15058" width="8.5546875" style="3" customWidth="1"/>
    <col min="15059" max="15059" width="9" style="3" customWidth="1"/>
    <col min="15060" max="15060" width="9.77734375" style="3" customWidth="1"/>
    <col min="15061" max="15303" width="8.5546875" style="3"/>
    <col min="15304" max="15309" width="8.5546875" style="3" customWidth="1"/>
    <col min="15310" max="15310" width="9.44140625" style="3" customWidth="1"/>
    <col min="15311" max="15311" width="4.44140625" style="3" customWidth="1"/>
    <col min="15312" max="15314" width="8.5546875" style="3" customWidth="1"/>
    <col min="15315" max="15315" width="9" style="3" customWidth="1"/>
    <col min="15316" max="15316" width="9.77734375" style="3" customWidth="1"/>
    <col min="15317" max="15559" width="8.5546875" style="3"/>
    <col min="15560" max="15565" width="8.5546875" style="3" customWidth="1"/>
    <col min="15566" max="15566" width="9.44140625" style="3" customWidth="1"/>
    <col min="15567" max="15567" width="4.44140625" style="3" customWidth="1"/>
    <col min="15568" max="15570" width="8.5546875" style="3" customWidth="1"/>
    <col min="15571" max="15571" width="9" style="3" customWidth="1"/>
    <col min="15572" max="15572" width="9.77734375" style="3" customWidth="1"/>
    <col min="15573" max="15815" width="8.5546875" style="3"/>
    <col min="15816" max="15821" width="8.5546875" style="3" customWidth="1"/>
    <col min="15822" max="15822" width="9.44140625" style="3" customWidth="1"/>
    <col min="15823" max="15823" width="4.44140625" style="3" customWidth="1"/>
    <col min="15824" max="15826" width="8.5546875" style="3" customWidth="1"/>
    <col min="15827" max="15827" width="9" style="3" customWidth="1"/>
    <col min="15828" max="15828" width="9.77734375" style="3" customWidth="1"/>
    <col min="15829" max="16071" width="8.5546875" style="3"/>
    <col min="16072" max="16077" width="8.5546875" style="3" customWidth="1"/>
    <col min="16078" max="16078" width="9.44140625" style="3" customWidth="1"/>
    <col min="16079" max="16079" width="4.44140625" style="3" customWidth="1"/>
    <col min="16080" max="16082" width="8.5546875" style="3" customWidth="1"/>
    <col min="16083" max="16083" width="9" style="3" customWidth="1"/>
    <col min="16084" max="16084" width="9.77734375" style="3" customWidth="1"/>
    <col min="16085" max="16384" width="8.5546875" style="3"/>
  </cols>
  <sheetData>
    <row r="1" spans="1:30" ht="13.5" customHeight="1" x14ac:dyDescent="0.3">
      <c r="A1" s="371" t="s">
        <v>511</v>
      </c>
      <c r="O1" s="463" t="s">
        <v>504</v>
      </c>
    </row>
    <row r="3" spans="1:30" ht="13.5" customHeight="1" x14ac:dyDescent="0.25">
      <c r="A3" s="1467" t="s">
        <v>236</v>
      </c>
      <c r="B3" s="1468"/>
      <c r="C3" s="1468"/>
      <c r="D3" s="1468"/>
      <c r="E3" s="1468"/>
      <c r="F3" s="1468"/>
      <c r="G3" s="1468"/>
      <c r="H3" s="1468"/>
      <c r="I3" s="1467" t="s">
        <v>205</v>
      </c>
      <c r="J3" s="1468"/>
      <c r="K3" s="1468"/>
      <c r="L3" s="1468"/>
      <c r="M3" s="1468"/>
      <c r="N3" s="1468"/>
      <c r="O3" s="1468"/>
      <c r="Q3" s="1467" t="s">
        <v>695</v>
      </c>
      <c r="R3" s="1468"/>
      <c r="S3" s="1468"/>
      <c r="T3" s="1468"/>
      <c r="U3" s="1468"/>
      <c r="V3" s="1468"/>
      <c r="W3" s="1468"/>
      <c r="X3" s="1468"/>
      <c r="Y3" s="1468"/>
      <c r="Z3" s="1468"/>
      <c r="AA3" s="1468"/>
      <c r="AB3" s="1468"/>
      <c r="AC3" s="1468"/>
    </row>
    <row r="4" spans="1:30" ht="13.5" customHeight="1" x14ac:dyDescent="0.25">
      <c r="A4" s="1469" t="s">
        <v>45</v>
      </c>
      <c r="B4" s="1470"/>
      <c r="C4" s="1470"/>
      <c r="D4" s="1470"/>
      <c r="E4" s="1470"/>
      <c r="F4" s="1470"/>
      <c r="G4" s="1470"/>
      <c r="H4" s="1470"/>
      <c r="I4" s="1469" t="s">
        <v>45</v>
      </c>
      <c r="J4" s="1470"/>
      <c r="K4" s="1470"/>
      <c r="L4" s="1470"/>
      <c r="M4" s="1470"/>
      <c r="N4" s="1470"/>
      <c r="O4" s="1470"/>
      <c r="Q4" s="1469" t="s">
        <v>45</v>
      </c>
      <c r="R4" s="1470"/>
      <c r="S4" s="1470"/>
      <c r="T4" s="1470"/>
      <c r="U4" s="1470"/>
      <c r="V4" s="1470"/>
      <c r="W4" s="1470"/>
      <c r="X4" s="1470"/>
      <c r="Y4" s="1470"/>
      <c r="Z4" s="1470"/>
      <c r="AA4" s="1470"/>
      <c r="AB4" s="1470"/>
      <c r="AC4" s="1470"/>
      <c r="AD4" s="1"/>
    </row>
    <row r="5" spans="1:30" ht="7.5" customHeight="1" x14ac:dyDescent="0.25">
      <c r="A5" s="1471"/>
      <c r="B5" s="1472"/>
      <c r="C5" s="1472"/>
      <c r="D5" s="1472"/>
      <c r="E5" s="1472"/>
      <c r="F5" s="1472"/>
      <c r="G5" s="1472"/>
      <c r="H5" s="1473"/>
      <c r="I5" s="1471"/>
      <c r="J5" s="1472"/>
      <c r="K5" s="1472"/>
      <c r="L5" s="1472"/>
      <c r="M5" s="1472"/>
      <c r="N5" s="1472"/>
      <c r="O5" s="1472"/>
      <c r="Q5" s="1471"/>
      <c r="R5" s="1472"/>
      <c r="S5" s="1472"/>
      <c r="T5" s="1472"/>
      <c r="U5" s="1472"/>
      <c r="V5" s="1472"/>
      <c r="W5" s="1472"/>
      <c r="X5" s="1473"/>
      <c r="Y5" s="1473"/>
      <c r="Z5" s="1473"/>
      <c r="AA5" s="1473"/>
      <c r="AB5" s="1473"/>
      <c r="AC5" s="1473"/>
    </row>
    <row r="6" spans="1:30" ht="13.5" customHeight="1" x14ac:dyDescent="0.25">
      <c r="B6" s="2" t="s">
        <v>13</v>
      </c>
      <c r="C6" s="2" t="s">
        <v>14</v>
      </c>
      <c r="D6" s="2" t="s">
        <v>15</v>
      </c>
      <c r="E6" s="2" t="s">
        <v>16</v>
      </c>
      <c r="F6" s="2" t="s">
        <v>17</v>
      </c>
      <c r="G6" s="2" t="s">
        <v>18</v>
      </c>
      <c r="J6" s="2" t="s">
        <v>13</v>
      </c>
      <c r="K6" s="2" t="s">
        <v>14</v>
      </c>
      <c r="L6" s="2" t="s">
        <v>15</v>
      </c>
      <c r="M6" s="2" t="s">
        <v>16</v>
      </c>
      <c r="N6" s="2" t="s">
        <v>17</v>
      </c>
      <c r="O6" s="2" t="s">
        <v>18</v>
      </c>
      <c r="R6" s="100" t="s">
        <v>13</v>
      </c>
      <c r="S6" s="100" t="s">
        <v>14</v>
      </c>
      <c r="T6" s="100" t="s">
        <v>15</v>
      </c>
      <c r="U6" s="100" t="s">
        <v>16</v>
      </c>
      <c r="V6" s="100" t="s">
        <v>17</v>
      </c>
      <c r="W6" s="100" t="s">
        <v>18</v>
      </c>
      <c r="Y6" s="100" t="s">
        <v>13</v>
      </c>
      <c r="Z6" s="100" t="s">
        <v>14</v>
      </c>
      <c r="AA6" s="100" t="s">
        <v>15</v>
      </c>
      <c r="AB6" s="100" t="s">
        <v>16</v>
      </c>
      <c r="AC6" s="100" t="s">
        <v>17</v>
      </c>
      <c r="AD6" s="100" t="s">
        <v>18</v>
      </c>
    </row>
    <row r="7" spans="1:30" ht="13.5" customHeight="1" x14ac:dyDescent="0.25">
      <c r="A7" s="26"/>
      <c r="B7" s="27" t="s">
        <v>0</v>
      </c>
      <c r="C7" s="27" t="s">
        <v>1</v>
      </c>
      <c r="D7" s="27" t="s">
        <v>2</v>
      </c>
      <c r="E7" s="27" t="s">
        <v>3</v>
      </c>
      <c r="F7" s="27" t="s">
        <v>4</v>
      </c>
      <c r="G7" s="27" t="s">
        <v>5</v>
      </c>
      <c r="H7" s="1"/>
      <c r="I7" s="26"/>
      <c r="J7" s="27" t="s">
        <v>0</v>
      </c>
      <c r="K7" s="27" t="s">
        <v>1</v>
      </c>
      <c r="L7" s="27" t="s">
        <v>2</v>
      </c>
      <c r="M7" s="27" t="s">
        <v>3</v>
      </c>
      <c r="N7" s="27" t="s">
        <v>4</v>
      </c>
      <c r="O7" s="27" t="s">
        <v>5</v>
      </c>
      <c r="Q7" s="577"/>
      <c r="R7" s="27" t="s">
        <v>0</v>
      </c>
      <c r="S7" s="27" t="s">
        <v>1</v>
      </c>
      <c r="T7" s="27" t="s">
        <v>2</v>
      </c>
      <c r="U7" s="27" t="s">
        <v>3</v>
      </c>
      <c r="V7" s="27" t="s">
        <v>4</v>
      </c>
      <c r="W7" s="27" t="s">
        <v>5</v>
      </c>
      <c r="X7" s="1"/>
      <c r="Y7" s="27" t="s">
        <v>0</v>
      </c>
      <c r="Z7" s="27" t="s">
        <v>1</v>
      </c>
      <c r="AA7" s="27" t="s">
        <v>2</v>
      </c>
      <c r="AB7" s="27" t="s">
        <v>3</v>
      </c>
      <c r="AC7" s="27" t="s">
        <v>4</v>
      </c>
      <c r="AD7" s="27" t="s">
        <v>5</v>
      </c>
    </row>
    <row r="8" spans="1:30" ht="13.5" customHeight="1" x14ac:dyDescent="0.25">
      <c r="A8" s="2">
        <v>1960</v>
      </c>
      <c r="B8" s="5">
        <v>32.185832553689217</v>
      </c>
      <c r="C8" s="5">
        <v>21.296215338243282</v>
      </c>
      <c r="D8" s="5">
        <v>9.0105832408147997</v>
      </c>
      <c r="E8" s="5">
        <v>6.1534036436215613</v>
      </c>
      <c r="F8" s="5">
        <v>2.522141240236349</v>
      </c>
      <c r="G8" s="5">
        <v>0.759048925558092</v>
      </c>
      <c r="I8" s="2">
        <v>1960</v>
      </c>
      <c r="J8" s="30">
        <f t="shared" ref="J8:J29" si="0">B8/100</f>
        <v>0.32185832553689214</v>
      </c>
      <c r="K8" s="30">
        <f t="shared" ref="K8:K29" si="1">C8/100</f>
        <v>0.21296215338243282</v>
      </c>
      <c r="L8" s="30">
        <f t="shared" ref="L8:L29" si="2">D8/100</f>
        <v>9.0105832408147998E-2</v>
      </c>
      <c r="M8" s="30">
        <f t="shared" ref="M8:M29" si="3">E8/100</f>
        <v>6.1534036436215613E-2</v>
      </c>
      <c r="N8" s="30">
        <f t="shared" ref="N8:N29" si="4">F8/100</f>
        <v>2.5221412402363488E-2</v>
      </c>
      <c r="O8" s="30">
        <f t="shared" ref="O8:O29" si="5">G8/100</f>
        <v>7.5904892555809199E-3</v>
      </c>
      <c r="Q8" s="100">
        <v>1960</v>
      </c>
      <c r="R8" s="5">
        <v>31.657437586133984</v>
      </c>
      <c r="S8" s="5">
        <v>20.511531697340054</v>
      </c>
      <c r="T8" s="5">
        <v>8.3565900921357628</v>
      </c>
      <c r="U8" s="5">
        <v>5.5209793504172078</v>
      </c>
      <c r="V8" s="5">
        <v>2.0964547826658073</v>
      </c>
      <c r="W8" s="5">
        <v>0.59637321869406112</v>
      </c>
      <c r="Y8" s="30">
        <f t="shared" ref="Y8:AD8" si="6">R8/100</f>
        <v>0.31657437586133985</v>
      </c>
      <c r="Z8" s="30">
        <f t="shared" si="6"/>
        <v>0.20511531697340055</v>
      </c>
      <c r="AA8" s="30">
        <f t="shared" si="6"/>
        <v>8.3565900921357628E-2</v>
      </c>
      <c r="AB8" s="30">
        <f t="shared" si="6"/>
        <v>5.5209793504172079E-2</v>
      </c>
      <c r="AC8" s="30">
        <f t="shared" si="6"/>
        <v>2.0964547826658072E-2</v>
      </c>
      <c r="AD8" s="30">
        <f t="shared" si="6"/>
        <v>5.9637321869406117E-3</v>
      </c>
    </row>
    <row r="9" spans="1:30" ht="13.5" customHeight="1" x14ac:dyDescent="0.25">
      <c r="A9" s="2">
        <v>1961</v>
      </c>
      <c r="B9" s="5">
        <v>32.563952632825981</v>
      </c>
      <c r="C9" s="5">
        <v>21.835019316644864</v>
      </c>
      <c r="D9" s="5">
        <v>9.2444206572269625</v>
      </c>
      <c r="E9" s="5">
        <v>6.3153397176018746</v>
      </c>
      <c r="F9" s="5">
        <v>2.652211161842382</v>
      </c>
      <c r="G9" s="5">
        <v>0.81660469384059686</v>
      </c>
      <c r="I9" s="2">
        <v>1961</v>
      </c>
      <c r="J9" s="30">
        <f t="shared" si="0"/>
        <v>0.32563952632825982</v>
      </c>
      <c r="K9" s="30">
        <f t="shared" si="1"/>
        <v>0.21835019316644863</v>
      </c>
      <c r="L9" s="30">
        <f t="shared" si="2"/>
        <v>9.2444206572269622E-2</v>
      </c>
      <c r="M9" s="30">
        <f t="shared" si="3"/>
        <v>6.3153397176018741E-2</v>
      </c>
      <c r="N9" s="30">
        <f t="shared" si="4"/>
        <v>2.652211161842382E-2</v>
      </c>
      <c r="O9" s="30">
        <f t="shared" si="5"/>
        <v>8.166046938405969E-3</v>
      </c>
      <c r="Q9" s="100">
        <v>1961</v>
      </c>
      <c r="R9" s="5">
        <v>31.896211473952619</v>
      </c>
      <c r="S9" s="5">
        <v>20.906861751680228</v>
      </c>
      <c r="T9" s="5">
        <v>8.3376005383909941</v>
      </c>
      <c r="U9" s="5">
        <v>5.4093168016461393</v>
      </c>
      <c r="V9" s="5">
        <v>2.0533998280690757</v>
      </c>
      <c r="W9" s="5">
        <v>0.58703756633715509</v>
      </c>
      <c r="Y9" s="30">
        <f t="shared" ref="Y9:Y63" si="7">R9/100</f>
        <v>0.31896211473952618</v>
      </c>
      <c r="Z9" s="30">
        <f t="shared" ref="Z9:Z63" si="8">S9/100</f>
        <v>0.20906861751680228</v>
      </c>
      <c r="AA9" s="30">
        <f t="shared" ref="AA9:AA63" si="9">T9/100</f>
        <v>8.3376005383909935E-2</v>
      </c>
      <c r="AB9" s="30">
        <f t="shared" ref="AB9:AB63" si="10">U9/100</f>
        <v>5.4093168016461392E-2</v>
      </c>
      <c r="AC9" s="30">
        <f t="shared" ref="AC9:AC63" si="11">V9/100</f>
        <v>2.0533998280690757E-2</v>
      </c>
      <c r="AD9" s="30">
        <f t="shared" ref="AD9:AD63" si="12">W9/100</f>
        <v>5.870375663371551E-3</v>
      </c>
    </row>
    <row r="10" spans="1:30" ht="13.5" customHeight="1" x14ac:dyDescent="0.25">
      <c r="A10" s="2">
        <v>1962</v>
      </c>
      <c r="B10" s="5">
        <v>32.436758339982816</v>
      </c>
      <c r="C10" s="5">
        <v>21.555698186154743</v>
      </c>
      <c r="D10" s="5">
        <v>8.9177964232870739</v>
      </c>
      <c r="E10" s="5">
        <v>6.056325295613731</v>
      </c>
      <c r="F10" s="5">
        <v>2.4387097658957733</v>
      </c>
      <c r="G10" s="5">
        <v>0.73283424297339661</v>
      </c>
      <c r="I10" s="2">
        <v>1962</v>
      </c>
      <c r="J10" s="30">
        <f t="shared" si="0"/>
        <v>0.32436758339982819</v>
      </c>
      <c r="K10" s="30">
        <f t="shared" si="1"/>
        <v>0.21555698186154743</v>
      </c>
      <c r="L10" s="30">
        <f t="shared" si="2"/>
        <v>8.9177964232870735E-2</v>
      </c>
      <c r="M10" s="30">
        <f t="shared" si="3"/>
        <v>6.0563252956137313E-2</v>
      </c>
      <c r="N10" s="30">
        <f t="shared" si="4"/>
        <v>2.4387097658957732E-2</v>
      </c>
      <c r="O10" s="30">
        <f t="shared" si="5"/>
        <v>7.3283424297339661E-3</v>
      </c>
      <c r="Q10" s="100">
        <v>1962</v>
      </c>
      <c r="R10" s="5">
        <v>32.043825702061028</v>
      </c>
      <c r="S10" s="5">
        <v>20.942812217282853</v>
      </c>
      <c r="T10" s="5">
        <v>8.2736755670745552</v>
      </c>
      <c r="U10" s="5">
        <v>5.399157524165032</v>
      </c>
      <c r="V10" s="5">
        <v>1.9841173530430867</v>
      </c>
      <c r="W10" s="5">
        <v>0.56162058072998455</v>
      </c>
      <c r="Y10" s="30">
        <f t="shared" si="7"/>
        <v>0.3204382570206103</v>
      </c>
      <c r="Z10" s="30">
        <f t="shared" si="8"/>
        <v>0.20942812217282852</v>
      </c>
      <c r="AA10" s="30">
        <f t="shared" si="9"/>
        <v>8.2736755670745551E-2</v>
      </c>
      <c r="AB10" s="30">
        <f t="shared" si="10"/>
        <v>5.3991575241650318E-2</v>
      </c>
      <c r="AC10" s="30">
        <f t="shared" si="11"/>
        <v>1.9841173530430866E-2</v>
      </c>
      <c r="AD10" s="30">
        <f t="shared" si="12"/>
        <v>5.6162058072998459E-3</v>
      </c>
    </row>
    <row r="11" spans="1:30" ht="13.5" customHeight="1" x14ac:dyDescent="0.25">
      <c r="A11" s="2">
        <v>1963</v>
      </c>
      <c r="B11" s="5">
        <v>32.482890170911574</v>
      </c>
      <c r="C11" s="5">
        <v>21.561633416571308</v>
      </c>
      <c r="D11" s="5">
        <v>8.8607620182328191</v>
      </c>
      <c r="E11" s="5">
        <v>5.9957131708473481</v>
      </c>
      <c r="F11" s="5">
        <v>2.405661041372932</v>
      </c>
      <c r="G11" s="5">
        <v>0.73133675793346431</v>
      </c>
      <c r="I11" s="2">
        <v>1963</v>
      </c>
      <c r="J11" s="30">
        <f t="shared" si="0"/>
        <v>0.32482890170911571</v>
      </c>
      <c r="K11" s="30">
        <f t="shared" si="1"/>
        <v>0.21561633416571307</v>
      </c>
      <c r="L11" s="30">
        <f t="shared" si="2"/>
        <v>8.8607620182328192E-2</v>
      </c>
      <c r="M11" s="30">
        <f t="shared" si="3"/>
        <v>5.9957131708473478E-2</v>
      </c>
      <c r="N11" s="30">
        <f t="shared" si="4"/>
        <v>2.4056610413729321E-2</v>
      </c>
      <c r="O11" s="30">
        <f t="shared" si="5"/>
        <v>7.3133675793346431E-3</v>
      </c>
      <c r="Q11" s="100">
        <v>1963</v>
      </c>
      <c r="R11" s="5">
        <v>32.009622322001462</v>
      </c>
      <c r="S11" s="5">
        <v>20.895061215332024</v>
      </c>
      <c r="T11" s="5">
        <v>8.1639366576136148</v>
      </c>
      <c r="U11" s="5">
        <v>5.3296943913043311</v>
      </c>
      <c r="V11" s="5">
        <v>1.9635566991754505</v>
      </c>
      <c r="W11" s="5">
        <v>0.56800334450204049</v>
      </c>
      <c r="Y11" s="30">
        <f t="shared" si="7"/>
        <v>0.32009622322001463</v>
      </c>
      <c r="Z11" s="30">
        <f t="shared" si="8"/>
        <v>0.20895061215332025</v>
      </c>
      <c r="AA11" s="30">
        <f t="shared" si="9"/>
        <v>8.1639366576136144E-2</v>
      </c>
      <c r="AB11" s="30">
        <f t="shared" si="10"/>
        <v>5.3296943913043314E-2</v>
      </c>
      <c r="AC11" s="30">
        <f t="shared" si="11"/>
        <v>1.9635566991754505E-2</v>
      </c>
      <c r="AD11" s="30">
        <f t="shared" si="12"/>
        <v>5.6800334450204052E-3</v>
      </c>
    </row>
    <row r="12" spans="1:30" ht="13.5" customHeight="1" x14ac:dyDescent="0.25">
      <c r="A12" s="2">
        <v>1964</v>
      </c>
      <c r="B12" s="5">
        <v>32.731582757280719</v>
      </c>
      <c r="C12" s="5">
        <v>21.842355794473658</v>
      </c>
      <c r="D12" s="5">
        <v>9.1037087301424737</v>
      </c>
      <c r="E12" s="5">
        <v>6.1625884024856035</v>
      </c>
      <c r="F12" s="5">
        <v>2.4842850186318599</v>
      </c>
      <c r="G12" s="5">
        <v>0.75777188685290553</v>
      </c>
      <c r="I12" s="2">
        <v>1964</v>
      </c>
      <c r="J12" s="30">
        <f t="shared" si="0"/>
        <v>0.32731582757280719</v>
      </c>
      <c r="K12" s="30">
        <f t="shared" si="1"/>
        <v>0.21842355794473658</v>
      </c>
      <c r="L12" s="30">
        <f t="shared" si="2"/>
        <v>9.1037087301424735E-2</v>
      </c>
      <c r="M12" s="30">
        <f t="shared" si="3"/>
        <v>6.1625884024856033E-2</v>
      </c>
      <c r="N12" s="30">
        <f t="shared" si="4"/>
        <v>2.4842850186318599E-2</v>
      </c>
      <c r="O12" s="30">
        <f t="shared" si="5"/>
        <v>7.5777188685290549E-3</v>
      </c>
      <c r="Q12" s="100">
        <v>1964</v>
      </c>
      <c r="R12" s="5">
        <v>31.639317887208819</v>
      </c>
      <c r="S12" s="5">
        <v>20.623064231697001</v>
      </c>
      <c r="T12" s="5">
        <v>8.0207510462667724</v>
      </c>
      <c r="U12" s="5">
        <v>5.333220045802948</v>
      </c>
      <c r="V12" s="5">
        <v>1.9689860769877994</v>
      </c>
      <c r="W12" s="5">
        <v>0.5312891155561037</v>
      </c>
      <c r="Y12" s="30">
        <f t="shared" si="7"/>
        <v>0.31639317887208818</v>
      </c>
      <c r="Z12" s="30">
        <f t="shared" si="8"/>
        <v>0.20623064231697</v>
      </c>
      <c r="AA12" s="30">
        <f t="shared" si="9"/>
        <v>8.0207510462667719E-2</v>
      </c>
      <c r="AB12" s="30">
        <f t="shared" si="10"/>
        <v>5.3332200458029479E-2</v>
      </c>
      <c r="AC12" s="30">
        <f t="shared" si="11"/>
        <v>1.9689860769877995E-2</v>
      </c>
      <c r="AD12" s="30">
        <f t="shared" si="12"/>
        <v>5.3128911555610373E-3</v>
      </c>
    </row>
    <row r="13" spans="1:30" ht="13.5" customHeight="1" x14ac:dyDescent="0.25">
      <c r="A13" s="2">
        <v>1965</v>
      </c>
      <c r="B13" s="5">
        <v>32.847576917648148</v>
      </c>
      <c r="C13" s="5">
        <v>22.000715032386456</v>
      </c>
      <c r="D13" s="5">
        <v>9.3038000414193718</v>
      </c>
      <c r="E13" s="5">
        <v>6.3300608240144518</v>
      </c>
      <c r="F13" s="5">
        <v>2.6196736711012361</v>
      </c>
      <c r="G13" s="5">
        <v>0.82116836682279992</v>
      </c>
      <c r="I13" s="2">
        <v>1965</v>
      </c>
      <c r="J13" s="30">
        <f t="shared" si="0"/>
        <v>0.32847576917648147</v>
      </c>
      <c r="K13" s="30">
        <f t="shared" si="1"/>
        <v>0.22000715032386456</v>
      </c>
      <c r="L13" s="30">
        <f t="shared" si="2"/>
        <v>9.3038000414193717E-2</v>
      </c>
      <c r="M13" s="30">
        <f t="shared" si="3"/>
        <v>6.3300608240144524E-2</v>
      </c>
      <c r="N13" s="30">
        <f t="shared" si="4"/>
        <v>2.6196736711012362E-2</v>
      </c>
      <c r="O13" s="30">
        <f t="shared" si="5"/>
        <v>8.2116836682279998E-3</v>
      </c>
      <c r="Q13" s="100">
        <v>1965</v>
      </c>
      <c r="R13" s="5">
        <v>31.518188292699275</v>
      </c>
      <c r="S13" s="5">
        <v>20.699893083727041</v>
      </c>
      <c r="T13" s="5">
        <v>8.065064694401487</v>
      </c>
      <c r="U13" s="5">
        <v>5.4219099611670192</v>
      </c>
      <c r="V13" s="5">
        <v>2.037189251925728</v>
      </c>
      <c r="W13" s="5">
        <v>0.53786651727255919</v>
      </c>
      <c r="Y13" s="30">
        <f t="shared" si="7"/>
        <v>0.31518188292699273</v>
      </c>
      <c r="Z13" s="30">
        <f t="shared" si="8"/>
        <v>0.20699893083727042</v>
      </c>
      <c r="AA13" s="30">
        <f t="shared" si="9"/>
        <v>8.0650646944014873E-2</v>
      </c>
      <c r="AB13" s="30">
        <f t="shared" si="10"/>
        <v>5.4219099611670193E-2</v>
      </c>
      <c r="AC13" s="30">
        <f t="shared" si="11"/>
        <v>2.0371892519257279E-2</v>
      </c>
      <c r="AD13" s="30">
        <f t="shared" si="12"/>
        <v>5.378665172725592E-3</v>
      </c>
    </row>
    <row r="14" spans="1:30" ht="13.5" customHeight="1" x14ac:dyDescent="0.25">
      <c r="A14" s="2">
        <v>1966</v>
      </c>
      <c r="B14" s="5">
        <v>32.818476173093984</v>
      </c>
      <c r="C14" s="5">
        <v>22.082097069396134</v>
      </c>
      <c r="D14" s="5">
        <v>9.4211121977307091</v>
      </c>
      <c r="E14" s="5">
        <v>6.481461795368034</v>
      </c>
      <c r="F14" s="5">
        <v>2.7506071164949328</v>
      </c>
      <c r="G14" s="5">
        <v>0.83468033124296537</v>
      </c>
      <c r="I14" s="2">
        <v>1966</v>
      </c>
      <c r="J14" s="30">
        <f t="shared" si="0"/>
        <v>0.32818476173093986</v>
      </c>
      <c r="K14" s="30">
        <f t="shared" si="1"/>
        <v>0.22082097069396134</v>
      </c>
      <c r="L14" s="30">
        <f t="shared" si="2"/>
        <v>9.4211121977307091E-2</v>
      </c>
      <c r="M14" s="30">
        <f t="shared" si="3"/>
        <v>6.4814617953680334E-2</v>
      </c>
      <c r="N14" s="30">
        <f t="shared" si="4"/>
        <v>2.7506071164949328E-2</v>
      </c>
      <c r="O14" s="30">
        <f t="shared" si="5"/>
        <v>8.3468033124296532E-3</v>
      </c>
      <c r="Q14" s="100">
        <v>1966</v>
      </c>
      <c r="R14" s="5">
        <v>31.98154518075177</v>
      </c>
      <c r="S14" s="5">
        <v>20.992058797409598</v>
      </c>
      <c r="T14" s="5">
        <v>8.3681843007293182</v>
      </c>
      <c r="U14" s="5">
        <v>5.5854611698855416</v>
      </c>
      <c r="V14" s="5">
        <v>2.1541736520115298</v>
      </c>
      <c r="W14" s="5">
        <v>0.60294666862191093</v>
      </c>
      <c r="Y14" s="30">
        <f t="shared" si="7"/>
        <v>0.31981545180751769</v>
      </c>
      <c r="Z14" s="30">
        <f t="shared" si="8"/>
        <v>0.20992058797409599</v>
      </c>
      <c r="AA14" s="30">
        <f t="shared" si="9"/>
        <v>8.3681843007293186E-2</v>
      </c>
      <c r="AB14" s="30">
        <f t="shared" si="10"/>
        <v>5.5854611698855416E-2</v>
      </c>
      <c r="AC14" s="30">
        <f t="shared" si="11"/>
        <v>2.1541736520115297E-2</v>
      </c>
      <c r="AD14" s="30">
        <f t="shared" si="12"/>
        <v>6.0294666862191091E-3</v>
      </c>
    </row>
    <row r="15" spans="1:30" ht="13.5" customHeight="1" x14ac:dyDescent="0.25">
      <c r="A15" s="2">
        <v>1967</v>
      </c>
      <c r="B15" s="5">
        <v>33.389184478120079</v>
      </c>
      <c r="C15" s="5">
        <v>22.661436256207669</v>
      </c>
      <c r="D15" s="5">
        <v>9.8315522231585604</v>
      </c>
      <c r="E15" s="5">
        <v>6.8145831616220951</v>
      </c>
      <c r="F15" s="5">
        <v>2.8737618816344686</v>
      </c>
      <c r="G15" s="5">
        <v>0.83844975355604978</v>
      </c>
      <c r="I15" s="2">
        <v>1967</v>
      </c>
      <c r="J15" s="30">
        <f t="shared" si="0"/>
        <v>0.33389184478120076</v>
      </c>
      <c r="K15" s="30">
        <f t="shared" si="1"/>
        <v>0.22661436256207668</v>
      </c>
      <c r="L15" s="30">
        <f t="shared" si="2"/>
        <v>9.83155222315856E-2</v>
      </c>
      <c r="M15" s="30">
        <f t="shared" si="3"/>
        <v>6.8145831616220953E-2</v>
      </c>
      <c r="N15" s="30">
        <f t="shared" si="4"/>
        <v>2.8737618816344686E-2</v>
      </c>
      <c r="O15" s="30">
        <f t="shared" si="5"/>
        <v>8.3844975355604982E-3</v>
      </c>
      <c r="Q15" s="100">
        <v>1967</v>
      </c>
      <c r="R15" s="5">
        <v>32.045836973648242</v>
      </c>
      <c r="S15" s="5">
        <v>21.072967379553312</v>
      </c>
      <c r="T15" s="5">
        <v>8.4253319526665713</v>
      </c>
      <c r="U15" s="5">
        <v>5.6293010657226921</v>
      </c>
      <c r="V15" s="5">
        <v>2.1600022863991435</v>
      </c>
      <c r="W15" s="5">
        <v>0.5964716832179624</v>
      </c>
      <c r="Y15" s="30">
        <f t="shared" si="7"/>
        <v>0.32045836973648245</v>
      </c>
      <c r="Z15" s="30">
        <f t="shared" si="8"/>
        <v>0.21072967379553312</v>
      </c>
      <c r="AA15" s="30">
        <f t="shared" si="9"/>
        <v>8.4253319526665718E-2</v>
      </c>
      <c r="AB15" s="30">
        <f t="shared" si="10"/>
        <v>5.6293010657226923E-2</v>
      </c>
      <c r="AC15" s="30">
        <f t="shared" si="11"/>
        <v>2.1600022863991434E-2</v>
      </c>
      <c r="AD15" s="30">
        <f t="shared" si="12"/>
        <v>5.9647168321796239E-3</v>
      </c>
    </row>
    <row r="16" spans="1:30" ht="13.5" customHeight="1" x14ac:dyDescent="0.25">
      <c r="A16" s="2">
        <v>1968</v>
      </c>
      <c r="B16" s="5">
        <v>33.586725874472563</v>
      </c>
      <c r="C16" s="5">
        <v>22.863536780097441</v>
      </c>
      <c r="D16" s="5">
        <v>10.071040556088343</v>
      </c>
      <c r="E16" s="5">
        <v>7.0340031078827723</v>
      </c>
      <c r="F16" s="5">
        <v>3.0000312471159072</v>
      </c>
      <c r="G16" s="5">
        <v>0.87123036046293356</v>
      </c>
      <c r="I16" s="2">
        <v>1968</v>
      </c>
      <c r="J16" s="30">
        <f t="shared" si="0"/>
        <v>0.33586725874472562</v>
      </c>
      <c r="K16" s="30">
        <f t="shared" si="1"/>
        <v>0.2286353678009744</v>
      </c>
      <c r="L16" s="30">
        <f t="shared" si="2"/>
        <v>0.10071040556088344</v>
      </c>
      <c r="M16" s="30">
        <f t="shared" si="3"/>
        <v>7.0340031078827719E-2</v>
      </c>
      <c r="N16" s="30">
        <f t="shared" si="4"/>
        <v>3.0000312471159071E-2</v>
      </c>
      <c r="O16" s="30">
        <f t="shared" si="5"/>
        <v>8.7123036046293355E-3</v>
      </c>
      <c r="Q16" s="100">
        <v>1968</v>
      </c>
      <c r="R16" s="5">
        <v>31.982618841598999</v>
      </c>
      <c r="S16" s="5">
        <v>20.976312191629948</v>
      </c>
      <c r="T16" s="5">
        <v>8.3519414859066643</v>
      </c>
      <c r="U16" s="5">
        <v>5.5785271979832718</v>
      </c>
      <c r="V16" s="5">
        <v>2.1454516744584877</v>
      </c>
      <c r="W16" s="5">
        <v>0.58157218198253746</v>
      </c>
      <c r="Y16" s="30">
        <f t="shared" si="7"/>
        <v>0.31982618841598998</v>
      </c>
      <c r="Z16" s="30">
        <f t="shared" si="8"/>
        <v>0.20976312191629948</v>
      </c>
      <c r="AA16" s="30">
        <f t="shared" si="9"/>
        <v>8.3519414859066637E-2</v>
      </c>
      <c r="AB16" s="30">
        <f t="shared" si="10"/>
        <v>5.5785271979832719E-2</v>
      </c>
      <c r="AC16" s="30">
        <f t="shared" si="11"/>
        <v>2.1454516744584876E-2</v>
      </c>
      <c r="AD16" s="30">
        <f t="shared" si="12"/>
        <v>5.8157218198253745E-3</v>
      </c>
    </row>
    <row r="17" spans="1:30" ht="13.5" customHeight="1" x14ac:dyDescent="0.25">
      <c r="A17" s="2">
        <v>1969</v>
      </c>
      <c r="B17" s="5">
        <v>32.918162758885735</v>
      </c>
      <c r="C17" s="5">
        <v>22.082435733694666</v>
      </c>
      <c r="D17" s="5">
        <v>9.4004230313392867</v>
      </c>
      <c r="E17" s="5">
        <v>6.5382519926555407</v>
      </c>
      <c r="F17" s="5">
        <v>2.7860595319203556</v>
      </c>
      <c r="G17" s="5">
        <v>0.86781690622207885</v>
      </c>
      <c r="I17" s="2">
        <v>1969</v>
      </c>
      <c r="J17" s="30">
        <f t="shared" si="0"/>
        <v>0.32918162758885733</v>
      </c>
      <c r="K17" s="30">
        <f t="shared" si="1"/>
        <v>0.22082435733694666</v>
      </c>
      <c r="L17" s="30">
        <f t="shared" si="2"/>
        <v>9.4004230313392861E-2</v>
      </c>
      <c r="M17" s="30">
        <f t="shared" si="3"/>
        <v>6.5382519926555402E-2</v>
      </c>
      <c r="N17" s="30">
        <f t="shared" si="4"/>
        <v>2.7860595319203554E-2</v>
      </c>
      <c r="O17" s="30">
        <f t="shared" si="5"/>
        <v>8.6781690622207888E-3</v>
      </c>
      <c r="Q17" s="100">
        <v>1969</v>
      </c>
      <c r="R17" s="5">
        <v>31.820875705120677</v>
      </c>
      <c r="S17" s="5">
        <v>20.680012828562994</v>
      </c>
      <c r="T17" s="5">
        <v>8.0174220214230285</v>
      </c>
      <c r="U17" s="5">
        <v>5.3035687528601247</v>
      </c>
      <c r="V17" s="5">
        <v>2.0011547635668534</v>
      </c>
      <c r="W17" s="5">
        <v>0.54712956747793173</v>
      </c>
      <c r="Y17" s="30">
        <f t="shared" si="7"/>
        <v>0.31820875705120677</v>
      </c>
      <c r="Z17" s="30">
        <f t="shared" si="8"/>
        <v>0.20680012828562994</v>
      </c>
      <c r="AA17" s="30">
        <f t="shared" si="9"/>
        <v>8.0174220214230291E-2</v>
      </c>
      <c r="AB17" s="30">
        <f t="shared" si="10"/>
        <v>5.3035687528601244E-2</v>
      </c>
      <c r="AC17" s="30">
        <f t="shared" si="11"/>
        <v>2.0011547635668533E-2</v>
      </c>
      <c r="AD17" s="30">
        <f t="shared" si="12"/>
        <v>5.4712956747793176E-3</v>
      </c>
    </row>
    <row r="18" spans="1:30" ht="13.5" customHeight="1" x14ac:dyDescent="0.25">
      <c r="A18" s="2">
        <v>1970</v>
      </c>
      <c r="B18" s="5">
        <v>31.908310857482856</v>
      </c>
      <c r="C18" s="5">
        <v>20.971548682654337</v>
      </c>
      <c r="D18" s="5">
        <v>8.4378963453325913</v>
      </c>
      <c r="E18" s="5">
        <v>5.7061020585064632</v>
      </c>
      <c r="F18" s="5">
        <v>2.2868032397756908</v>
      </c>
      <c r="G18" s="5">
        <v>0.66486297650338189</v>
      </c>
      <c r="I18" s="2">
        <v>1970</v>
      </c>
      <c r="J18" s="30">
        <f t="shared" si="0"/>
        <v>0.31908310857482858</v>
      </c>
      <c r="K18" s="30">
        <f t="shared" si="1"/>
        <v>0.20971548682654337</v>
      </c>
      <c r="L18" s="30">
        <f t="shared" si="2"/>
        <v>8.4378963453325906E-2</v>
      </c>
      <c r="M18" s="30">
        <f t="shared" si="3"/>
        <v>5.7061020585064633E-2</v>
      </c>
      <c r="N18" s="30">
        <f t="shared" si="4"/>
        <v>2.2868032397756907E-2</v>
      </c>
      <c r="O18" s="30">
        <f t="shared" si="5"/>
        <v>6.6486297650338189E-3</v>
      </c>
      <c r="Q18" s="100">
        <v>1970</v>
      </c>
      <c r="R18" s="5">
        <v>31.513659945349506</v>
      </c>
      <c r="S18" s="5">
        <v>20.387697464443448</v>
      </c>
      <c r="T18" s="5">
        <v>7.8038458864426294</v>
      </c>
      <c r="U18" s="5">
        <v>5.1560740928070343</v>
      </c>
      <c r="V18" s="5">
        <v>1.9377728519936797</v>
      </c>
      <c r="W18" s="5">
        <v>0.52533930875849233</v>
      </c>
      <c r="Y18" s="30">
        <f t="shared" si="7"/>
        <v>0.31513659945349504</v>
      </c>
      <c r="Z18" s="30">
        <f t="shared" si="8"/>
        <v>0.20387697464443449</v>
      </c>
      <c r="AA18" s="30">
        <f t="shared" si="9"/>
        <v>7.8038458864426299E-2</v>
      </c>
      <c r="AB18" s="30">
        <f t="shared" si="10"/>
        <v>5.1560740928070344E-2</v>
      </c>
      <c r="AC18" s="30">
        <f t="shared" si="11"/>
        <v>1.9377728519936795E-2</v>
      </c>
      <c r="AD18" s="30">
        <f t="shared" si="12"/>
        <v>5.2533930875849231E-3</v>
      </c>
    </row>
    <row r="19" spans="1:30" ht="13.5" customHeight="1" x14ac:dyDescent="0.25">
      <c r="A19" s="2">
        <v>1971</v>
      </c>
      <c r="B19" s="5">
        <v>32.419576567028741</v>
      </c>
      <c r="C19" s="5">
        <v>21.385266055692533</v>
      </c>
      <c r="D19" s="5">
        <v>8.653216295056458</v>
      </c>
      <c r="E19" s="5">
        <v>5.8632207205384859</v>
      </c>
      <c r="F19" s="5">
        <v>2.378753959543519</v>
      </c>
      <c r="G19" s="5">
        <v>0.69296874165233147</v>
      </c>
      <c r="I19" s="2">
        <v>1971</v>
      </c>
      <c r="J19" s="30">
        <f t="shared" si="0"/>
        <v>0.32419576567028741</v>
      </c>
      <c r="K19" s="30">
        <f t="shared" si="1"/>
        <v>0.21385266055692534</v>
      </c>
      <c r="L19" s="30">
        <f t="shared" si="2"/>
        <v>8.6532162950564581E-2</v>
      </c>
      <c r="M19" s="30">
        <f t="shared" si="3"/>
        <v>5.8632207205384861E-2</v>
      </c>
      <c r="N19" s="30">
        <f t="shared" si="4"/>
        <v>2.3787539595435191E-2</v>
      </c>
      <c r="O19" s="30">
        <f t="shared" si="5"/>
        <v>6.9296874165233144E-3</v>
      </c>
      <c r="Q19" s="100">
        <v>1971</v>
      </c>
      <c r="R19" s="5">
        <v>31.753884586626654</v>
      </c>
      <c r="S19" s="5">
        <v>20.496020567854774</v>
      </c>
      <c r="T19" s="5">
        <v>7.7860816660916825</v>
      </c>
      <c r="U19" s="5">
        <v>5.1229721989136117</v>
      </c>
      <c r="V19" s="5">
        <v>1.9144201922077375</v>
      </c>
      <c r="W19" s="5">
        <v>0.51804645938540372</v>
      </c>
      <c r="Y19" s="30">
        <f t="shared" si="7"/>
        <v>0.31753884586626652</v>
      </c>
      <c r="Z19" s="30">
        <f t="shared" si="8"/>
        <v>0.20496020567854775</v>
      </c>
      <c r="AA19" s="30">
        <f t="shared" si="9"/>
        <v>7.7860816660916821E-2</v>
      </c>
      <c r="AB19" s="30">
        <f t="shared" si="10"/>
        <v>5.1229721989136119E-2</v>
      </c>
      <c r="AC19" s="30">
        <f t="shared" si="11"/>
        <v>1.9144201922077376E-2</v>
      </c>
      <c r="AD19" s="30">
        <f t="shared" si="12"/>
        <v>5.1804645938540372E-3</v>
      </c>
    </row>
    <row r="20" spans="1:30" ht="13.5" customHeight="1" x14ac:dyDescent="0.25">
      <c r="A20" s="2">
        <v>1972</v>
      </c>
      <c r="B20" s="5">
        <v>32.449152238235477</v>
      </c>
      <c r="C20" s="5">
        <v>21.400620583507099</v>
      </c>
      <c r="D20" s="5">
        <v>8.7008334911934551</v>
      </c>
      <c r="E20" s="5">
        <v>5.8920459387326511</v>
      </c>
      <c r="F20" s="5">
        <v>2.3938827439958899</v>
      </c>
      <c r="G20" s="5">
        <v>0.7171544679640689</v>
      </c>
      <c r="I20" s="2">
        <v>1972</v>
      </c>
      <c r="J20" s="30">
        <f t="shared" si="0"/>
        <v>0.32449152238235479</v>
      </c>
      <c r="K20" s="30">
        <f t="shared" si="1"/>
        <v>0.21400620583507099</v>
      </c>
      <c r="L20" s="30">
        <f t="shared" si="2"/>
        <v>8.7008334911934548E-2</v>
      </c>
      <c r="M20" s="30">
        <f t="shared" si="3"/>
        <v>5.8920459387326513E-2</v>
      </c>
      <c r="N20" s="30">
        <f t="shared" si="4"/>
        <v>2.3938827439958899E-2</v>
      </c>
      <c r="O20" s="30">
        <f t="shared" si="5"/>
        <v>7.1715446796406894E-3</v>
      </c>
      <c r="Q20" s="100">
        <v>1972</v>
      </c>
      <c r="R20" s="5">
        <v>31.623366972075377</v>
      </c>
      <c r="S20" s="5">
        <v>20.369344887545033</v>
      </c>
      <c r="T20" s="5">
        <v>7.7541268798518805</v>
      </c>
      <c r="U20" s="5">
        <v>5.0989755129187042</v>
      </c>
      <c r="V20" s="5">
        <v>1.9156191028254645</v>
      </c>
      <c r="W20" s="5">
        <v>0.52045600169461848</v>
      </c>
      <c r="Y20" s="30">
        <f t="shared" si="7"/>
        <v>0.31623366972075379</v>
      </c>
      <c r="Z20" s="30">
        <f t="shared" si="8"/>
        <v>0.20369344887545032</v>
      </c>
      <c r="AA20" s="30">
        <f t="shared" si="9"/>
        <v>7.7541268798518803E-2</v>
      </c>
      <c r="AB20" s="30">
        <f t="shared" si="10"/>
        <v>5.0989755129187041E-2</v>
      </c>
      <c r="AC20" s="30">
        <f t="shared" si="11"/>
        <v>1.9156191028254645E-2</v>
      </c>
      <c r="AD20" s="30">
        <f t="shared" si="12"/>
        <v>5.2045600169461845E-3</v>
      </c>
    </row>
    <row r="21" spans="1:30" ht="13.5" customHeight="1" x14ac:dyDescent="0.25">
      <c r="A21" s="2">
        <v>1973</v>
      </c>
      <c r="B21" s="5">
        <v>32.273123150329006</v>
      </c>
      <c r="C21" s="5">
        <v>21.220141811349766</v>
      </c>
      <c r="D21" s="5">
        <v>8.3408372023335957</v>
      </c>
      <c r="E21" s="5">
        <v>5.5860294490485671</v>
      </c>
      <c r="F21" s="5">
        <v>2.1882629661278163</v>
      </c>
      <c r="G21" s="5">
        <v>0.59829613227305334</v>
      </c>
      <c r="I21" s="2">
        <v>1973</v>
      </c>
      <c r="J21" s="30">
        <f t="shared" si="0"/>
        <v>0.32273123150329008</v>
      </c>
      <c r="K21" s="30">
        <f t="shared" si="1"/>
        <v>0.21220141811349766</v>
      </c>
      <c r="L21" s="30">
        <f t="shared" si="2"/>
        <v>8.3408372023335953E-2</v>
      </c>
      <c r="M21" s="30">
        <f t="shared" si="3"/>
        <v>5.5860294490485671E-2</v>
      </c>
      <c r="N21" s="30">
        <f t="shared" si="4"/>
        <v>2.1882629661278165E-2</v>
      </c>
      <c r="O21" s="30">
        <f t="shared" si="5"/>
        <v>5.9829613227305335E-3</v>
      </c>
      <c r="Q21" s="100">
        <v>1973</v>
      </c>
      <c r="R21" s="5">
        <v>31.853612004803786</v>
      </c>
      <c r="S21" s="5">
        <v>20.570669738485833</v>
      </c>
      <c r="T21" s="5">
        <v>7.7419961675539462</v>
      </c>
      <c r="U21" s="5">
        <v>5.0705239276352803</v>
      </c>
      <c r="V21" s="5">
        <v>1.8863507892417815</v>
      </c>
      <c r="W21" s="5">
        <v>0.4952197112420969</v>
      </c>
      <c r="Y21" s="30">
        <f t="shared" si="7"/>
        <v>0.31853612004803789</v>
      </c>
      <c r="Z21" s="30">
        <f t="shared" si="8"/>
        <v>0.20570669738485833</v>
      </c>
      <c r="AA21" s="30">
        <f t="shared" si="9"/>
        <v>7.7419961675539467E-2</v>
      </c>
      <c r="AB21" s="30">
        <f t="shared" si="10"/>
        <v>5.0705239276352801E-2</v>
      </c>
      <c r="AC21" s="30">
        <f t="shared" si="11"/>
        <v>1.8863507892417815E-2</v>
      </c>
      <c r="AD21" s="30">
        <f t="shared" si="12"/>
        <v>4.9521971124209694E-3</v>
      </c>
    </row>
    <row r="22" spans="1:30" ht="13.5" customHeight="1" x14ac:dyDescent="0.25">
      <c r="A22" s="2">
        <v>1974</v>
      </c>
      <c r="B22" s="5">
        <v>32.549459694630222</v>
      </c>
      <c r="C22" s="5">
        <v>21.400451214419558</v>
      </c>
      <c r="D22" s="5">
        <v>8.5290385295910305</v>
      </c>
      <c r="E22" s="5">
        <v>5.7524649957198326</v>
      </c>
      <c r="F22" s="5">
        <v>2.3066216574268754</v>
      </c>
      <c r="G22" s="5">
        <v>0.63670152783517997</v>
      </c>
      <c r="I22" s="2">
        <v>1974</v>
      </c>
      <c r="J22" s="30">
        <f t="shared" si="0"/>
        <v>0.32549459694630223</v>
      </c>
      <c r="K22" s="30">
        <f t="shared" si="1"/>
        <v>0.21400451214419558</v>
      </c>
      <c r="L22" s="30">
        <f t="shared" si="2"/>
        <v>8.5290385295910306E-2</v>
      </c>
      <c r="M22" s="30">
        <f t="shared" si="3"/>
        <v>5.7524649957198325E-2</v>
      </c>
      <c r="N22" s="30">
        <f t="shared" si="4"/>
        <v>2.3066216574268755E-2</v>
      </c>
      <c r="O22" s="30">
        <f t="shared" si="5"/>
        <v>6.3670152783518001E-3</v>
      </c>
      <c r="Q22" s="100">
        <v>1974</v>
      </c>
      <c r="R22" s="5">
        <v>32.359587527246141</v>
      </c>
      <c r="S22" s="5">
        <v>21.03654206231618</v>
      </c>
      <c r="T22" s="5">
        <v>8.123618917085782</v>
      </c>
      <c r="U22" s="5">
        <v>5.4091404311093108</v>
      </c>
      <c r="V22" s="5">
        <v>2.1068810561587226</v>
      </c>
      <c r="W22" s="5">
        <v>0.56296418427947892</v>
      </c>
      <c r="Y22" s="30">
        <f t="shared" si="7"/>
        <v>0.32359587527246142</v>
      </c>
      <c r="Z22" s="30">
        <f t="shared" si="8"/>
        <v>0.2103654206231618</v>
      </c>
      <c r="AA22" s="30">
        <f t="shared" si="9"/>
        <v>8.1236189170857814E-2</v>
      </c>
      <c r="AB22" s="30">
        <f t="shared" si="10"/>
        <v>5.4091404311093105E-2</v>
      </c>
      <c r="AC22" s="30">
        <f t="shared" si="11"/>
        <v>2.1068810561587225E-2</v>
      </c>
      <c r="AD22" s="30">
        <f t="shared" si="12"/>
        <v>5.6296418427947892E-3</v>
      </c>
    </row>
    <row r="23" spans="1:30" ht="13.5" customHeight="1" x14ac:dyDescent="0.25">
      <c r="A23" s="2">
        <v>1975</v>
      </c>
      <c r="B23" s="5">
        <v>32.749847967703587</v>
      </c>
      <c r="C23" s="5">
        <v>21.325567232234715</v>
      </c>
      <c r="D23" s="5">
        <v>8.3664366142884585</v>
      </c>
      <c r="E23" s="5">
        <v>5.6122337696207163</v>
      </c>
      <c r="F23" s="5">
        <v>2.2298094810769404</v>
      </c>
      <c r="G23" s="5">
        <v>0.64307291763488494</v>
      </c>
      <c r="I23" s="2">
        <v>1975</v>
      </c>
      <c r="J23" s="30">
        <f t="shared" si="0"/>
        <v>0.32749847967703588</v>
      </c>
      <c r="K23" s="30">
        <f t="shared" si="1"/>
        <v>0.21325567232234716</v>
      </c>
      <c r="L23" s="30">
        <f t="shared" si="2"/>
        <v>8.3664366142884583E-2</v>
      </c>
      <c r="M23" s="30">
        <f t="shared" si="3"/>
        <v>5.6122337696207163E-2</v>
      </c>
      <c r="N23" s="30">
        <f t="shared" si="4"/>
        <v>2.2298094810769404E-2</v>
      </c>
      <c r="O23" s="30">
        <f t="shared" si="5"/>
        <v>6.4307291763488492E-3</v>
      </c>
      <c r="Q23" s="100">
        <v>1975</v>
      </c>
      <c r="R23" s="5">
        <v>32.621103240656694</v>
      </c>
      <c r="S23" s="5">
        <v>21.025221443533386</v>
      </c>
      <c r="T23" s="5">
        <v>8.0058801501615697</v>
      </c>
      <c r="U23" s="5">
        <v>5.3084506886442311</v>
      </c>
      <c r="V23" s="5">
        <v>2.0380327831081049</v>
      </c>
      <c r="W23" s="5">
        <v>0.55970851689307577</v>
      </c>
      <c r="Y23" s="30">
        <f t="shared" si="7"/>
        <v>0.32621103240656696</v>
      </c>
      <c r="Z23" s="30">
        <f t="shared" si="8"/>
        <v>0.21025221443533387</v>
      </c>
      <c r="AA23" s="30">
        <f t="shared" si="9"/>
        <v>8.0058801501615692E-2</v>
      </c>
      <c r="AB23" s="30">
        <f t="shared" si="10"/>
        <v>5.3084506886442312E-2</v>
      </c>
      <c r="AC23" s="30">
        <f t="shared" si="11"/>
        <v>2.0380327831081048E-2</v>
      </c>
      <c r="AD23" s="30">
        <f t="shared" si="12"/>
        <v>5.5970851689307573E-3</v>
      </c>
    </row>
    <row r="24" spans="1:30" ht="13.5" customHeight="1" x14ac:dyDescent="0.25">
      <c r="A24" s="2">
        <v>1976</v>
      </c>
      <c r="B24" s="5">
        <v>32.634352954001166</v>
      </c>
      <c r="C24" s="5">
        <v>21.240494953376864</v>
      </c>
      <c r="D24" s="17">
        <v>8.3258655587151509</v>
      </c>
      <c r="E24" s="5">
        <v>5.6028904367587877</v>
      </c>
      <c r="F24" s="5">
        <v>2.2432738210389851</v>
      </c>
      <c r="G24" s="5">
        <v>0.6513018003111688</v>
      </c>
      <c r="I24" s="2">
        <v>1976</v>
      </c>
      <c r="J24" s="30">
        <f t="shared" si="0"/>
        <v>0.32634352954001167</v>
      </c>
      <c r="K24" s="30">
        <f t="shared" si="1"/>
        <v>0.21240494953376865</v>
      </c>
      <c r="L24" s="30">
        <f t="shared" si="2"/>
        <v>8.3258655587151509E-2</v>
      </c>
      <c r="M24" s="30">
        <f t="shared" si="3"/>
        <v>5.6028904367587874E-2</v>
      </c>
      <c r="N24" s="30">
        <f t="shared" si="4"/>
        <v>2.2432738210389852E-2</v>
      </c>
      <c r="O24" s="30">
        <f t="shared" si="5"/>
        <v>6.5130180031116877E-3</v>
      </c>
      <c r="Q24" s="100">
        <v>1976</v>
      </c>
      <c r="R24" s="5">
        <v>32.417663780373374</v>
      </c>
      <c r="S24" s="5">
        <v>20.845866714127542</v>
      </c>
      <c r="T24" s="5">
        <v>7.8891961987813497</v>
      </c>
      <c r="U24" s="5">
        <v>5.2307623913477439</v>
      </c>
      <c r="V24" s="5">
        <v>2.019184816526236</v>
      </c>
      <c r="W24" s="5">
        <v>0.56193360343470244</v>
      </c>
      <c r="Y24" s="30">
        <f t="shared" si="7"/>
        <v>0.32417663780373374</v>
      </c>
      <c r="Z24" s="30">
        <f t="shared" si="8"/>
        <v>0.20845866714127542</v>
      </c>
      <c r="AA24" s="30">
        <f t="shared" si="9"/>
        <v>7.8891961987813494E-2</v>
      </c>
      <c r="AB24" s="30">
        <f t="shared" si="10"/>
        <v>5.2307623913477437E-2</v>
      </c>
      <c r="AC24" s="30">
        <f t="shared" si="11"/>
        <v>2.0191848165262361E-2</v>
      </c>
      <c r="AD24" s="30">
        <f t="shared" si="12"/>
        <v>5.6193360343470243E-3</v>
      </c>
    </row>
    <row r="25" spans="1:30" ht="13.5" customHeight="1" x14ac:dyDescent="0.25">
      <c r="A25" s="2">
        <v>1977</v>
      </c>
      <c r="B25" s="5">
        <v>32.688275703477132</v>
      </c>
      <c r="C25" s="5">
        <v>21.270184256979451</v>
      </c>
      <c r="D25" s="17">
        <v>8.363771442793098</v>
      </c>
      <c r="E25" s="5">
        <v>5.6346374381578235</v>
      </c>
      <c r="F25" s="5">
        <v>2.2667596757527644</v>
      </c>
      <c r="G25" s="5">
        <v>0.6473193904594613</v>
      </c>
      <c r="I25" s="2">
        <v>1977</v>
      </c>
      <c r="J25" s="30">
        <f t="shared" si="0"/>
        <v>0.32688275703477132</v>
      </c>
      <c r="K25" s="30">
        <f t="shared" si="1"/>
        <v>0.21270184256979452</v>
      </c>
      <c r="L25" s="30">
        <f t="shared" si="2"/>
        <v>8.3637714427930984E-2</v>
      </c>
      <c r="M25" s="30">
        <f t="shared" si="3"/>
        <v>5.6346374381578232E-2</v>
      </c>
      <c r="N25" s="30">
        <f t="shared" si="4"/>
        <v>2.2667596757527643E-2</v>
      </c>
      <c r="O25" s="30">
        <f t="shared" si="5"/>
        <v>6.4731939045946131E-3</v>
      </c>
      <c r="Q25" s="100">
        <v>1977</v>
      </c>
      <c r="R25" s="5">
        <v>32.434785235141845</v>
      </c>
      <c r="S25" s="5">
        <v>20.833310522293679</v>
      </c>
      <c r="T25" s="5">
        <v>7.8992263574060786</v>
      </c>
      <c r="U25" s="5">
        <v>5.2516648510762769</v>
      </c>
      <c r="V25" s="5">
        <v>2.0416144422048523</v>
      </c>
      <c r="W25" s="5">
        <v>0.56620582508149453</v>
      </c>
      <c r="Y25" s="30">
        <f t="shared" si="7"/>
        <v>0.32434785235141844</v>
      </c>
      <c r="Z25" s="30">
        <f t="shared" si="8"/>
        <v>0.2083331052229368</v>
      </c>
      <c r="AA25" s="30">
        <f t="shared" si="9"/>
        <v>7.8992263574060792E-2</v>
      </c>
      <c r="AB25" s="30">
        <f t="shared" si="10"/>
        <v>5.2516648510762771E-2</v>
      </c>
      <c r="AC25" s="30">
        <f t="shared" si="11"/>
        <v>2.0416144422048522E-2</v>
      </c>
      <c r="AD25" s="30">
        <f t="shared" si="12"/>
        <v>5.6620582508149454E-3</v>
      </c>
    </row>
    <row r="26" spans="1:30" ht="13.5" customHeight="1" x14ac:dyDescent="0.25">
      <c r="A26" s="2">
        <v>1978</v>
      </c>
      <c r="B26" s="5">
        <v>32.630370615684498</v>
      </c>
      <c r="C26" s="5">
        <v>21.227849158099158</v>
      </c>
      <c r="D26" s="17">
        <v>8.3597660274637846</v>
      </c>
      <c r="E26" s="5">
        <v>5.6442019632002758</v>
      </c>
      <c r="F26" s="5">
        <v>2.2758458534052295</v>
      </c>
      <c r="G26" s="5">
        <v>0.64733187317758711</v>
      </c>
      <c r="I26" s="2">
        <v>1978</v>
      </c>
      <c r="J26" s="30">
        <f t="shared" si="0"/>
        <v>0.32630370615684501</v>
      </c>
      <c r="K26" s="30">
        <f t="shared" si="1"/>
        <v>0.21227849158099157</v>
      </c>
      <c r="L26" s="30">
        <f t="shared" si="2"/>
        <v>8.3597660274637844E-2</v>
      </c>
      <c r="M26" s="30">
        <f t="shared" si="3"/>
        <v>5.6442019632002759E-2</v>
      </c>
      <c r="N26" s="30">
        <f t="shared" si="4"/>
        <v>2.2758458534052294E-2</v>
      </c>
      <c r="O26" s="30">
        <f t="shared" si="5"/>
        <v>6.4733187317758713E-3</v>
      </c>
      <c r="Q26" s="100">
        <v>1978</v>
      </c>
      <c r="R26" s="5">
        <v>32.440345569303432</v>
      </c>
      <c r="S26" s="5">
        <v>20.862076873463216</v>
      </c>
      <c r="T26" s="5">
        <v>7.9526089866496275</v>
      </c>
      <c r="U26" s="5">
        <v>5.3020949977013574</v>
      </c>
      <c r="V26" s="5">
        <v>2.0792463029645591</v>
      </c>
      <c r="W26" s="5">
        <v>0.58055664529142692</v>
      </c>
      <c r="Y26" s="30">
        <f t="shared" si="7"/>
        <v>0.3244034556930343</v>
      </c>
      <c r="Z26" s="30">
        <f t="shared" si="8"/>
        <v>0.20862076873463217</v>
      </c>
      <c r="AA26" s="30">
        <f t="shared" si="9"/>
        <v>7.9526089866496272E-2</v>
      </c>
      <c r="AB26" s="30">
        <f t="shared" si="10"/>
        <v>5.3020949977013572E-2</v>
      </c>
      <c r="AC26" s="30">
        <f t="shared" si="11"/>
        <v>2.0792463029645592E-2</v>
      </c>
      <c r="AD26" s="30">
        <f t="shared" si="12"/>
        <v>5.8055664529142693E-3</v>
      </c>
    </row>
    <row r="27" spans="1:30" ht="13.5" customHeight="1" x14ac:dyDescent="0.25">
      <c r="A27" s="2">
        <v>1979</v>
      </c>
      <c r="B27" s="5">
        <v>33.011451464707633</v>
      </c>
      <c r="C27" s="5">
        <v>21.767959248176929</v>
      </c>
      <c r="D27" s="17">
        <v>8.9960423031537946</v>
      </c>
      <c r="E27" s="5">
        <v>6.2404887289623643</v>
      </c>
      <c r="F27" s="5">
        <v>2.744790605929714</v>
      </c>
      <c r="G27" s="5">
        <v>0.89882181822639573</v>
      </c>
      <c r="I27" s="2">
        <v>1979</v>
      </c>
      <c r="J27" s="30">
        <f t="shared" si="0"/>
        <v>0.33011451464707631</v>
      </c>
      <c r="K27" s="30">
        <f t="shared" si="1"/>
        <v>0.2176795924817693</v>
      </c>
      <c r="L27" s="30">
        <f t="shared" si="2"/>
        <v>8.9960423031537951E-2</v>
      </c>
      <c r="M27" s="30">
        <f t="shared" si="3"/>
        <v>6.2404887289623644E-2</v>
      </c>
      <c r="N27" s="30">
        <f t="shared" si="4"/>
        <v>2.7447906059297141E-2</v>
      </c>
      <c r="O27" s="30">
        <f t="shared" si="5"/>
        <v>8.9882181822639566E-3</v>
      </c>
      <c r="Q27" s="100">
        <v>1979</v>
      </c>
      <c r="R27" s="5">
        <v>32.345607896148167</v>
      </c>
      <c r="S27" s="5">
        <v>20.829964408975705</v>
      </c>
      <c r="T27" s="5">
        <v>8.0324098037332945</v>
      </c>
      <c r="U27" s="5">
        <v>5.3849467117310574</v>
      </c>
      <c r="V27" s="5">
        <v>2.1578669268075807</v>
      </c>
      <c r="W27" s="5">
        <v>0.6153247236620506</v>
      </c>
      <c r="Y27" s="30">
        <f t="shared" si="7"/>
        <v>0.32345607896148165</v>
      </c>
      <c r="Z27" s="30">
        <f t="shared" si="8"/>
        <v>0.20829964408975704</v>
      </c>
      <c r="AA27" s="30">
        <f t="shared" si="9"/>
        <v>8.0324098037332939E-2</v>
      </c>
      <c r="AB27" s="30">
        <f t="shared" si="10"/>
        <v>5.3849467117310576E-2</v>
      </c>
      <c r="AC27" s="30">
        <f t="shared" si="11"/>
        <v>2.1578669268075806E-2</v>
      </c>
      <c r="AD27" s="30">
        <f t="shared" si="12"/>
        <v>6.1532472366205059E-3</v>
      </c>
    </row>
    <row r="28" spans="1:30" ht="13.5" customHeight="1" x14ac:dyDescent="0.25">
      <c r="A28" s="2">
        <v>1980</v>
      </c>
      <c r="B28" s="5">
        <v>33.543732482458516</v>
      </c>
      <c r="C28" s="5">
        <v>22.101705183315545</v>
      </c>
      <c r="D28" s="17">
        <v>9.1534435937670189</v>
      </c>
      <c r="E28" s="5">
        <v>6.3633363332921222</v>
      </c>
      <c r="F28" s="5">
        <v>2.76872076555038</v>
      </c>
      <c r="G28" s="5">
        <v>0.87416637010065712</v>
      </c>
      <c r="I28" s="2">
        <v>1980</v>
      </c>
      <c r="J28" s="30">
        <f t="shared" si="0"/>
        <v>0.33543732482458516</v>
      </c>
      <c r="K28" s="30">
        <f t="shared" si="1"/>
        <v>0.22101705183315545</v>
      </c>
      <c r="L28" s="30">
        <f t="shared" si="2"/>
        <v>9.1534435937670189E-2</v>
      </c>
      <c r="M28" s="30">
        <f t="shared" si="3"/>
        <v>6.3633363332921217E-2</v>
      </c>
      <c r="N28" s="30">
        <f t="shared" si="4"/>
        <v>2.7687207655503799E-2</v>
      </c>
      <c r="O28" s="30">
        <f t="shared" si="5"/>
        <v>8.7416637010065707E-3</v>
      </c>
      <c r="Q28" s="100">
        <v>1980</v>
      </c>
      <c r="R28" s="5">
        <v>32.865505425163583</v>
      </c>
      <c r="S28" s="5">
        <v>21.169487703218259</v>
      </c>
      <c r="T28" s="5">
        <v>8.1767146253680529</v>
      </c>
      <c r="U28" s="5">
        <v>5.506178782243758</v>
      </c>
      <c r="V28" s="5">
        <v>2.2311385274956113</v>
      </c>
      <c r="W28" s="5">
        <v>0.65481424578051528</v>
      </c>
      <c r="Y28" s="30">
        <f t="shared" si="7"/>
        <v>0.32865505425163583</v>
      </c>
      <c r="Z28" s="30">
        <f t="shared" si="8"/>
        <v>0.21169487703218259</v>
      </c>
      <c r="AA28" s="30">
        <f t="shared" si="9"/>
        <v>8.1767146253680534E-2</v>
      </c>
      <c r="AB28" s="30">
        <f t="shared" si="10"/>
        <v>5.5061787822437577E-2</v>
      </c>
      <c r="AC28" s="30">
        <f t="shared" si="11"/>
        <v>2.2311385274956113E-2</v>
      </c>
      <c r="AD28" s="30">
        <f t="shared" si="12"/>
        <v>6.548142457805153E-3</v>
      </c>
    </row>
    <row r="29" spans="1:30" ht="13.5" customHeight="1" x14ac:dyDescent="0.25">
      <c r="A29" s="2">
        <v>1981</v>
      </c>
      <c r="B29" s="5">
        <v>33.322739527638134</v>
      </c>
      <c r="C29" s="5">
        <v>21.82290641888461</v>
      </c>
      <c r="D29" s="17">
        <v>8.9310266913414242</v>
      </c>
      <c r="E29" s="5">
        <v>6.2166928881294314</v>
      </c>
      <c r="F29" s="5">
        <v>2.722301978824635</v>
      </c>
      <c r="G29" s="5">
        <v>0.85882793795773005</v>
      </c>
      <c r="I29" s="2">
        <v>1981</v>
      </c>
      <c r="J29" s="30">
        <f t="shared" si="0"/>
        <v>0.33322739527638134</v>
      </c>
      <c r="K29" s="30">
        <f t="shared" si="1"/>
        <v>0.21822906418884611</v>
      </c>
      <c r="L29" s="30">
        <f t="shared" si="2"/>
        <v>8.9310266913414246E-2</v>
      </c>
      <c r="M29" s="30">
        <f t="shared" si="3"/>
        <v>6.2166928881294312E-2</v>
      </c>
      <c r="N29" s="30">
        <f t="shared" si="4"/>
        <v>2.7223019788246351E-2</v>
      </c>
      <c r="O29" s="30">
        <f t="shared" si="5"/>
        <v>8.5882793795773009E-3</v>
      </c>
      <c r="Q29" s="100">
        <v>1981</v>
      </c>
      <c r="R29" s="5">
        <v>32.71733171290925</v>
      </c>
      <c r="S29" s="5">
        <v>20.969036563446572</v>
      </c>
      <c r="T29" s="5">
        <v>8.026075546927979</v>
      </c>
      <c r="U29" s="5">
        <v>5.4230286800869676</v>
      </c>
      <c r="V29" s="5">
        <v>2.225339724004177</v>
      </c>
      <c r="W29" s="5">
        <v>0.65596229076334767</v>
      </c>
      <c r="Y29" s="30">
        <f t="shared" si="7"/>
        <v>0.32717331712909248</v>
      </c>
      <c r="Z29" s="30">
        <f t="shared" si="8"/>
        <v>0.20969036563446572</v>
      </c>
      <c r="AA29" s="30">
        <f t="shared" si="9"/>
        <v>8.0260755469279785E-2</v>
      </c>
      <c r="AB29" s="30">
        <f t="shared" si="10"/>
        <v>5.4230286800869679E-2</v>
      </c>
      <c r="AC29" s="30">
        <f t="shared" si="11"/>
        <v>2.2253397240041769E-2</v>
      </c>
      <c r="AD29" s="30">
        <f t="shared" si="12"/>
        <v>6.5596229076334764E-3</v>
      </c>
    </row>
    <row r="30" spans="1:30" ht="13.5" customHeight="1" x14ac:dyDescent="0.25">
      <c r="A30" s="2">
        <v>1982</v>
      </c>
      <c r="B30" s="5">
        <v>34.272148200520135</v>
      </c>
      <c r="C30" s="5">
        <v>22.752139127569436</v>
      </c>
      <c r="D30" s="17">
        <v>9.7572076572603699</v>
      </c>
      <c r="E30" s="5">
        <v>6.9651497944954093</v>
      </c>
      <c r="F30" s="5">
        <v>3.2823450408407453</v>
      </c>
      <c r="G30" s="5">
        <v>1.1331624395765354</v>
      </c>
      <c r="I30" s="2">
        <v>1982</v>
      </c>
      <c r="J30" s="30">
        <f t="shared" ref="J30:J61" si="13">B30/100</f>
        <v>0.34272148200520136</v>
      </c>
      <c r="K30" s="30">
        <f t="shared" ref="K30:K61" si="14">C30/100</f>
        <v>0.22752139127569435</v>
      </c>
      <c r="L30" s="30">
        <f t="shared" ref="L30:L61" si="15">D30/100</f>
        <v>9.7572076572603694E-2</v>
      </c>
      <c r="M30" s="30">
        <f t="shared" ref="M30:M61" si="16">E30/100</f>
        <v>6.9651497944954094E-2</v>
      </c>
      <c r="N30" s="30">
        <f t="shared" ref="N30:N61" si="17">F30/100</f>
        <v>3.2823450408407451E-2</v>
      </c>
      <c r="O30" s="30">
        <f t="shared" ref="O30:O61" si="18">G30/100</f>
        <v>1.1331624395765355E-2</v>
      </c>
      <c r="Q30" s="100">
        <v>1982</v>
      </c>
      <c r="R30" s="5">
        <v>33.218018943864813</v>
      </c>
      <c r="S30" s="5">
        <v>21.395668558262038</v>
      </c>
      <c r="T30" s="5">
        <v>8.3899380716959886</v>
      </c>
      <c r="U30" s="5">
        <v>5.7319689508431813</v>
      </c>
      <c r="V30" s="5">
        <v>2.4502879917508942</v>
      </c>
      <c r="W30" s="5">
        <v>0.77472867772956111</v>
      </c>
      <c r="Y30" s="30">
        <f t="shared" si="7"/>
        <v>0.33218018943864813</v>
      </c>
      <c r="Z30" s="30">
        <f t="shared" si="8"/>
        <v>0.21395668558262038</v>
      </c>
      <c r="AA30" s="30">
        <f t="shared" si="9"/>
        <v>8.389938071695989E-2</v>
      </c>
      <c r="AB30" s="30">
        <f t="shared" si="10"/>
        <v>5.7319689508431811E-2</v>
      </c>
      <c r="AC30" s="30">
        <f t="shared" si="11"/>
        <v>2.4502879917508942E-2</v>
      </c>
      <c r="AD30" s="30">
        <f t="shared" si="12"/>
        <v>7.7472867772956115E-3</v>
      </c>
    </row>
    <row r="31" spans="1:30" ht="13.5" customHeight="1" x14ac:dyDescent="0.25">
      <c r="A31" s="2">
        <v>1983</v>
      </c>
      <c r="B31" s="5">
        <v>34.981760082848062</v>
      </c>
      <c r="C31" s="5">
        <v>23.455071793360236</v>
      </c>
      <c r="D31" s="17">
        <v>10.282245251280001</v>
      </c>
      <c r="E31" s="5">
        <v>7.4065901599731694</v>
      </c>
      <c r="F31" s="5">
        <v>3.5414063667141962</v>
      </c>
      <c r="G31" s="5">
        <v>1.2441848253439531</v>
      </c>
      <c r="I31" s="2">
        <v>1983</v>
      </c>
      <c r="J31" s="30">
        <f t="shared" si="13"/>
        <v>0.34981760082848062</v>
      </c>
      <c r="K31" s="30">
        <f t="shared" si="14"/>
        <v>0.23455071793360235</v>
      </c>
      <c r="L31" s="30">
        <f t="shared" si="15"/>
        <v>0.10282245251280001</v>
      </c>
      <c r="M31" s="30">
        <f t="shared" si="16"/>
        <v>7.4065901599731698E-2</v>
      </c>
      <c r="N31" s="30">
        <f t="shared" si="17"/>
        <v>3.5414063667141962E-2</v>
      </c>
      <c r="O31" s="30">
        <f t="shared" si="18"/>
        <v>1.2441848253439532E-2</v>
      </c>
      <c r="Q31" s="100">
        <v>1983</v>
      </c>
      <c r="R31" s="5">
        <v>33.691388139433307</v>
      </c>
      <c r="S31" s="5">
        <v>21.786377166359035</v>
      </c>
      <c r="T31" s="5">
        <v>8.5929026489475131</v>
      </c>
      <c r="U31" s="5">
        <v>5.9365053294047723</v>
      </c>
      <c r="V31" s="5">
        <v>2.6085192896377505</v>
      </c>
      <c r="W31" s="5">
        <v>0.87149098939761926</v>
      </c>
      <c r="Y31" s="30">
        <f t="shared" si="7"/>
        <v>0.33691388139433309</v>
      </c>
      <c r="Z31" s="30">
        <f t="shared" si="8"/>
        <v>0.21786377166359036</v>
      </c>
      <c r="AA31" s="30">
        <f t="shared" si="9"/>
        <v>8.5929026489475133E-2</v>
      </c>
      <c r="AB31" s="30">
        <f t="shared" si="10"/>
        <v>5.9365053294047725E-2</v>
      </c>
      <c r="AC31" s="30">
        <f t="shared" si="11"/>
        <v>2.6085192896377504E-2</v>
      </c>
      <c r="AD31" s="30">
        <f t="shared" si="12"/>
        <v>8.7149098939761933E-3</v>
      </c>
    </row>
    <row r="32" spans="1:30" ht="13.5" customHeight="1" x14ac:dyDescent="0.25">
      <c r="A32" s="2">
        <v>1984</v>
      </c>
      <c r="B32" s="5">
        <v>35.333576515705317</v>
      </c>
      <c r="C32" s="5">
        <v>23.835970314327437</v>
      </c>
      <c r="D32" s="17">
        <v>10.629430295039832</v>
      </c>
      <c r="E32" s="5">
        <v>7.7858075586973134</v>
      </c>
      <c r="F32" s="5">
        <v>3.8673054887381735</v>
      </c>
      <c r="G32" s="5">
        <v>1.3848098987091739</v>
      </c>
      <c r="I32" s="2">
        <v>1984</v>
      </c>
      <c r="J32" s="30">
        <f t="shared" si="13"/>
        <v>0.35333576515705317</v>
      </c>
      <c r="K32" s="30">
        <f t="shared" si="14"/>
        <v>0.23835970314327437</v>
      </c>
      <c r="L32" s="30">
        <f t="shared" si="15"/>
        <v>0.10629430295039832</v>
      </c>
      <c r="M32" s="30">
        <f t="shared" si="16"/>
        <v>7.7858075586973136E-2</v>
      </c>
      <c r="N32" s="30">
        <f t="shared" si="17"/>
        <v>3.8673054887381736E-2</v>
      </c>
      <c r="O32" s="30">
        <f t="shared" si="18"/>
        <v>1.384809898709174E-2</v>
      </c>
      <c r="Q32" s="100">
        <v>1984</v>
      </c>
      <c r="R32" s="5">
        <v>33.94717666812484</v>
      </c>
      <c r="S32" s="5">
        <v>22.09678730556611</v>
      </c>
      <c r="T32" s="5">
        <v>8.8863707222620985</v>
      </c>
      <c r="U32" s="5">
        <v>6.2166698979006902</v>
      </c>
      <c r="V32" s="5">
        <v>2.8298315173762867</v>
      </c>
      <c r="W32" s="5">
        <v>0.98088071430846868</v>
      </c>
      <c r="Y32" s="30">
        <f t="shared" si="7"/>
        <v>0.3394717666812484</v>
      </c>
      <c r="Z32" s="30">
        <f t="shared" si="8"/>
        <v>0.2209678730556611</v>
      </c>
      <c r="AA32" s="30">
        <f t="shared" si="9"/>
        <v>8.8863707222620991E-2</v>
      </c>
      <c r="AB32" s="30">
        <f t="shared" si="10"/>
        <v>6.2166698979006903E-2</v>
      </c>
      <c r="AC32" s="30">
        <f t="shared" si="11"/>
        <v>2.8298315173762866E-2</v>
      </c>
      <c r="AD32" s="30">
        <f t="shared" si="12"/>
        <v>9.8088071430846874E-3</v>
      </c>
    </row>
    <row r="33" spans="1:30" ht="13.5" customHeight="1" x14ac:dyDescent="0.25">
      <c r="A33" s="2">
        <v>1985</v>
      </c>
      <c r="B33" s="5">
        <v>35.970763059564689</v>
      </c>
      <c r="C33" s="5">
        <v>24.456723493695094</v>
      </c>
      <c r="D33" s="17">
        <v>11.093374495182488</v>
      </c>
      <c r="E33" s="5">
        <v>8.1736166678351498</v>
      </c>
      <c r="F33" s="5">
        <v>4.0709515097490545</v>
      </c>
      <c r="G33" s="5">
        <v>1.4210807878367386</v>
      </c>
      <c r="I33" s="2">
        <v>1985</v>
      </c>
      <c r="J33" s="30">
        <f t="shared" si="13"/>
        <v>0.35970763059564687</v>
      </c>
      <c r="K33" s="30">
        <f t="shared" si="14"/>
        <v>0.24456723493695093</v>
      </c>
      <c r="L33" s="30">
        <f t="shared" si="15"/>
        <v>0.11093374495182488</v>
      </c>
      <c r="M33" s="30">
        <f t="shared" si="16"/>
        <v>8.1736166678351499E-2</v>
      </c>
      <c r="N33" s="30">
        <f t="shared" si="17"/>
        <v>4.0709515097490545E-2</v>
      </c>
      <c r="O33" s="30">
        <f t="shared" si="18"/>
        <v>1.4210807878367386E-2</v>
      </c>
      <c r="Q33" s="100">
        <v>1985</v>
      </c>
      <c r="R33" s="5">
        <v>34.251769473311022</v>
      </c>
      <c r="S33" s="5">
        <v>22.377194790583058</v>
      </c>
      <c r="T33" s="5">
        <v>9.0945605795137041</v>
      </c>
      <c r="U33" s="5">
        <v>6.3949575387069162</v>
      </c>
      <c r="V33" s="5">
        <v>2.9108288189871891</v>
      </c>
      <c r="W33" s="5">
        <v>0.97047439116255096</v>
      </c>
      <c r="Y33" s="30">
        <f t="shared" si="7"/>
        <v>0.34251769473311022</v>
      </c>
      <c r="Z33" s="30">
        <f t="shared" si="8"/>
        <v>0.22377194790583058</v>
      </c>
      <c r="AA33" s="30">
        <f t="shared" si="9"/>
        <v>9.0945605795137038E-2</v>
      </c>
      <c r="AB33" s="30">
        <f t="shared" si="10"/>
        <v>6.3949575387069163E-2</v>
      </c>
      <c r="AC33" s="30">
        <f t="shared" si="11"/>
        <v>2.9108288189871892E-2</v>
      </c>
      <c r="AD33" s="30">
        <f t="shared" si="12"/>
        <v>9.7047439116255095E-3</v>
      </c>
    </row>
    <row r="34" spans="1:30" ht="13.5" customHeight="1" x14ac:dyDescent="0.25">
      <c r="A34" s="2">
        <v>1986</v>
      </c>
      <c r="B34" s="5">
        <v>37.863731617617077</v>
      </c>
      <c r="C34" s="5">
        <v>26.629074344314891</v>
      </c>
      <c r="D34" s="17">
        <v>13.142622084123539</v>
      </c>
      <c r="E34" s="5">
        <v>9.9856992274578822</v>
      </c>
      <c r="F34" s="5">
        <v>4.8919275208926756</v>
      </c>
      <c r="G34" s="5">
        <v>1.9359340757611314</v>
      </c>
      <c r="I34" s="2">
        <v>1986</v>
      </c>
      <c r="J34" s="30">
        <f t="shared" si="13"/>
        <v>0.37863731617617075</v>
      </c>
      <c r="K34" s="30">
        <f t="shared" si="14"/>
        <v>0.2662907434431489</v>
      </c>
      <c r="L34" s="30">
        <f t="shared" si="15"/>
        <v>0.1314262208412354</v>
      </c>
      <c r="M34" s="30">
        <f t="shared" si="16"/>
        <v>9.9856992274578824E-2</v>
      </c>
      <c r="N34" s="30">
        <f t="shared" si="17"/>
        <v>4.8919275208926756E-2</v>
      </c>
      <c r="O34" s="30">
        <f t="shared" si="18"/>
        <v>1.9359340757611313E-2</v>
      </c>
      <c r="Q34" s="100">
        <v>1986</v>
      </c>
      <c r="R34" s="5">
        <v>34.568578833279098</v>
      </c>
      <c r="S34" s="5">
        <v>22.588529427497559</v>
      </c>
      <c r="T34" s="5">
        <v>9.1292990690663967</v>
      </c>
      <c r="U34" s="5">
        <v>6.3800868801559227</v>
      </c>
      <c r="V34" s="5">
        <v>2.8675528945975888</v>
      </c>
      <c r="W34" s="5">
        <v>0.99694880598681768</v>
      </c>
      <c r="Y34" s="30">
        <f t="shared" si="7"/>
        <v>0.34568578833279096</v>
      </c>
      <c r="Z34" s="30">
        <f t="shared" si="8"/>
        <v>0.22588529427497558</v>
      </c>
      <c r="AA34" s="30">
        <f t="shared" si="9"/>
        <v>9.1292990690663961E-2</v>
      </c>
      <c r="AB34" s="30">
        <f t="shared" si="10"/>
        <v>6.3800868801559232E-2</v>
      </c>
      <c r="AC34" s="30">
        <f t="shared" si="11"/>
        <v>2.8675528945975887E-2</v>
      </c>
      <c r="AD34" s="30">
        <f t="shared" si="12"/>
        <v>9.9694880598681767E-3</v>
      </c>
    </row>
    <row r="35" spans="1:30" ht="13.5" customHeight="1" x14ac:dyDescent="0.25">
      <c r="A35" s="2">
        <v>1987</v>
      </c>
      <c r="B35" s="5">
        <v>37.304580019867586</v>
      </c>
      <c r="C35" s="5">
        <v>25.566338062459636</v>
      </c>
      <c r="D35" s="17">
        <v>11.750102422462874</v>
      </c>
      <c r="E35" s="5">
        <v>8.6357453238715074</v>
      </c>
      <c r="F35" s="5">
        <v>4.2452021853704194</v>
      </c>
      <c r="G35" s="5">
        <v>1.5039419472849178</v>
      </c>
      <c r="I35" s="2">
        <v>1987</v>
      </c>
      <c r="J35" s="30">
        <f t="shared" si="13"/>
        <v>0.37304580019867584</v>
      </c>
      <c r="K35" s="30">
        <f t="shared" si="14"/>
        <v>0.25566338062459637</v>
      </c>
      <c r="L35" s="30">
        <f t="shared" si="15"/>
        <v>0.11750102422462874</v>
      </c>
      <c r="M35" s="30">
        <f t="shared" si="16"/>
        <v>8.6357453238715076E-2</v>
      </c>
      <c r="N35" s="30">
        <f t="shared" si="17"/>
        <v>4.2452021853704197E-2</v>
      </c>
      <c r="O35" s="30">
        <f t="shared" si="18"/>
        <v>1.5039419472849178E-2</v>
      </c>
      <c r="Q35" s="100">
        <v>1987</v>
      </c>
      <c r="R35" s="5">
        <v>36.482882411028584</v>
      </c>
      <c r="S35" s="5">
        <v>24.48929172789094</v>
      </c>
      <c r="T35" s="5">
        <v>10.746260633305884</v>
      </c>
      <c r="U35" s="5">
        <v>7.7622331243858946</v>
      </c>
      <c r="V35" s="5">
        <v>3.7260942145623082</v>
      </c>
      <c r="W35" s="5">
        <v>1.3010161292535967</v>
      </c>
      <c r="Y35" s="30">
        <f t="shared" si="7"/>
        <v>0.36482882411028583</v>
      </c>
      <c r="Z35" s="30">
        <f t="shared" si="8"/>
        <v>0.24489291727890941</v>
      </c>
      <c r="AA35" s="30">
        <f t="shared" si="9"/>
        <v>0.10746260633305883</v>
      </c>
      <c r="AB35" s="30">
        <f t="shared" si="10"/>
        <v>7.762233124385895E-2</v>
      </c>
      <c r="AC35" s="30">
        <f t="shared" si="11"/>
        <v>3.7260942145623081E-2</v>
      </c>
      <c r="AD35" s="30">
        <f t="shared" si="12"/>
        <v>1.3010161292535967E-2</v>
      </c>
    </row>
    <row r="36" spans="1:30" ht="13.5" customHeight="1" x14ac:dyDescent="0.25">
      <c r="A36" s="2">
        <v>1988</v>
      </c>
      <c r="B36" s="5">
        <v>39.779173031059578</v>
      </c>
      <c r="C36" s="5">
        <v>28.40626763805837</v>
      </c>
      <c r="D36" s="17">
        <v>14.65324910007307</v>
      </c>
      <c r="E36" s="5">
        <v>11.298715834103833</v>
      </c>
      <c r="F36" s="5">
        <v>6.0999488667388313</v>
      </c>
      <c r="G36" s="5">
        <v>2.3884587328892781</v>
      </c>
      <c r="I36" s="2">
        <v>1988</v>
      </c>
      <c r="J36" s="30">
        <f t="shared" si="13"/>
        <v>0.39779173031059578</v>
      </c>
      <c r="K36" s="30">
        <f t="shared" si="14"/>
        <v>0.28406267638058369</v>
      </c>
      <c r="L36" s="30">
        <f t="shared" si="15"/>
        <v>0.14653249100073071</v>
      </c>
      <c r="M36" s="30">
        <f t="shared" si="16"/>
        <v>0.11298715834103833</v>
      </c>
      <c r="N36" s="30">
        <f t="shared" si="17"/>
        <v>6.0999488667388316E-2</v>
      </c>
      <c r="O36" s="30">
        <f t="shared" si="18"/>
        <v>2.388458732889278E-2</v>
      </c>
      <c r="Q36" s="100">
        <v>1988</v>
      </c>
      <c r="R36" s="5">
        <v>38.626673931240653</v>
      </c>
      <c r="S36" s="5">
        <v>26.948544527265682</v>
      </c>
      <c r="T36" s="5">
        <v>13.165480795439365</v>
      </c>
      <c r="U36" s="5">
        <v>9.9624337247793537</v>
      </c>
      <c r="V36" s="5">
        <v>5.2131868019242154</v>
      </c>
      <c r="W36" s="5">
        <v>1.9903132937624797</v>
      </c>
      <c r="Y36" s="30">
        <f t="shared" si="7"/>
        <v>0.38626673931240652</v>
      </c>
      <c r="Z36" s="30">
        <f t="shared" si="8"/>
        <v>0.26948544527265683</v>
      </c>
      <c r="AA36" s="30">
        <f t="shared" si="9"/>
        <v>0.13165480795439366</v>
      </c>
      <c r="AB36" s="30">
        <f t="shared" si="10"/>
        <v>9.9624337247793543E-2</v>
      </c>
      <c r="AC36" s="30">
        <f t="shared" si="11"/>
        <v>5.2131868019242154E-2</v>
      </c>
      <c r="AD36" s="30">
        <f t="shared" si="12"/>
        <v>1.9903132937624798E-2</v>
      </c>
    </row>
    <row r="37" spans="1:30" ht="13.5" customHeight="1" x14ac:dyDescent="0.25">
      <c r="A37" s="2">
        <v>1989</v>
      </c>
      <c r="B37" s="5">
        <v>39.343024784438427</v>
      </c>
      <c r="C37" s="5">
        <v>27.795194198464358</v>
      </c>
      <c r="D37" s="17">
        <v>13.81328299421444</v>
      </c>
      <c r="E37" s="5">
        <v>10.435862727962666</v>
      </c>
      <c r="F37" s="5">
        <v>5.4703204788940356</v>
      </c>
      <c r="G37" s="5">
        <v>2.0985826987158833</v>
      </c>
      <c r="I37" s="2">
        <v>1989</v>
      </c>
      <c r="J37" s="30">
        <f t="shared" si="13"/>
        <v>0.3934302478443843</v>
      </c>
      <c r="K37" s="30">
        <f t="shared" si="14"/>
        <v>0.27795194198464357</v>
      </c>
      <c r="L37" s="30">
        <f t="shared" si="15"/>
        <v>0.1381328299421444</v>
      </c>
      <c r="M37" s="30">
        <f t="shared" si="16"/>
        <v>0.10435862727962666</v>
      </c>
      <c r="N37" s="30">
        <f t="shared" si="17"/>
        <v>5.4703204788940356E-2</v>
      </c>
      <c r="O37" s="30">
        <f t="shared" si="18"/>
        <v>2.0985826987158833E-2</v>
      </c>
      <c r="Q37" s="100">
        <v>1989</v>
      </c>
      <c r="R37" s="5">
        <v>38.470729689858544</v>
      </c>
      <c r="S37" s="5">
        <v>26.663449582512545</v>
      </c>
      <c r="T37" s="5">
        <v>12.611494478689435</v>
      </c>
      <c r="U37" s="5">
        <v>9.3718913107303869</v>
      </c>
      <c r="V37" s="5">
        <v>4.7395599467880887</v>
      </c>
      <c r="W37" s="5">
        <v>1.7404590540249962</v>
      </c>
      <c r="Y37" s="30">
        <f t="shared" si="7"/>
        <v>0.38470729689858546</v>
      </c>
      <c r="Z37" s="30">
        <f t="shared" si="8"/>
        <v>0.26663449582512544</v>
      </c>
      <c r="AA37" s="30">
        <f t="shared" si="9"/>
        <v>0.12611494478689436</v>
      </c>
      <c r="AB37" s="30">
        <f t="shared" si="10"/>
        <v>9.3718913107303875E-2</v>
      </c>
      <c r="AC37" s="30">
        <f t="shared" si="11"/>
        <v>4.7395599467880883E-2</v>
      </c>
      <c r="AD37" s="30">
        <f t="shared" si="12"/>
        <v>1.7404590540249964E-2</v>
      </c>
    </row>
    <row r="38" spans="1:30" ht="13.5" customHeight="1" x14ac:dyDescent="0.25">
      <c r="A38" s="2">
        <v>1990</v>
      </c>
      <c r="B38" s="5">
        <v>39.379740742159278</v>
      </c>
      <c r="C38" s="5">
        <v>27.811424373765888</v>
      </c>
      <c r="D38" s="17">
        <v>13.809777272165718</v>
      </c>
      <c r="E38" s="5">
        <v>10.459071082353661</v>
      </c>
      <c r="F38" s="5">
        <v>5.3985926784496483</v>
      </c>
      <c r="G38" s="5">
        <v>2.0801831907503567</v>
      </c>
      <c r="I38" s="2">
        <v>1990</v>
      </c>
      <c r="J38" s="30">
        <f t="shared" si="13"/>
        <v>0.3937974074215928</v>
      </c>
      <c r="K38" s="30">
        <f t="shared" si="14"/>
        <v>0.27811424373765886</v>
      </c>
      <c r="L38" s="30">
        <f t="shared" si="15"/>
        <v>0.13809777272165719</v>
      </c>
      <c r="M38" s="30">
        <f t="shared" si="16"/>
        <v>0.10459071082353662</v>
      </c>
      <c r="N38" s="30">
        <f t="shared" si="17"/>
        <v>5.3985926784496485E-2</v>
      </c>
      <c r="O38" s="30">
        <f t="shared" si="18"/>
        <v>2.0801831907503569E-2</v>
      </c>
      <c r="Q38" s="100">
        <v>1990</v>
      </c>
      <c r="R38" s="5">
        <v>38.836845589833757</v>
      </c>
      <c r="S38" s="5">
        <v>27.053969066530851</v>
      </c>
      <c r="T38" s="5">
        <v>12.981647252493072</v>
      </c>
      <c r="U38" s="5">
        <v>9.7136556696030141</v>
      </c>
      <c r="V38" s="5">
        <v>4.8984373327550852</v>
      </c>
      <c r="W38" s="5">
        <v>1.8256768906314789</v>
      </c>
      <c r="Y38" s="30">
        <f t="shared" si="7"/>
        <v>0.38836845589833757</v>
      </c>
      <c r="Z38" s="30">
        <f t="shared" si="8"/>
        <v>0.27053969066530853</v>
      </c>
      <c r="AA38" s="30">
        <f t="shared" si="9"/>
        <v>0.12981647252493073</v>
      </c>
      <c r="AB38" s="30">
        <f t="shared" si="10"/>
        <v>9.7136556696030135E-2</v>
      </c>
      <c r="AC38" s="30">
        <f t="shared" si="11"/>
        <v>4.8984373327550852E-2</v>
      </c>
      <c r="AD38" s="30">
        <f t="shared" si="12"/>
        <v>1.825676890631479E-2</v>
      </c>
    </row>
    <row r="39" spans="1:30" ht="13.5" customHeight="1" x14ac:dyDescent="0.25">
      <c r="A39" s="2">
        <v>1991</v>
      </c>
      <c r="B39" s="5">
        <v>38.779603176544697</v>
      </c>
      <c r="C39" s="5">
        <v>26.978166293476498</v>
      </c>
      <c r="D39" s="17">
        <v>12.717120147558649</v>
      </c>
      <c r="E39" s="5">
        <v>9.3789153908089862</v>
      </c>
      <c r="F39" s="5">
        <v>4.6662719309980973</v>
      </c>
      <c r="G39" s="5">
        <v>1.7162571837456375</v>
      </c>
      <c r="I39" s="2">
        <v>1991</v>
      </c>
      <c r="J39" s="30">
        <f t="shared" si="13"/>
        <v>0.38779603176544697</v>
      </c>
      <c r="K39" s="30">
        <f t="shared" si="14"/>
        <v>0.26978166293476497</v>
      </c>
      <c r="L39" s="30">
        <f t="shared" si="15"/>
        <v>0.1271712014755865</v>
      </c>
      <c r="M39" s="30">
        <f t="shared" si="16"/>
        <v>9.3789153908089867E-2</v>
      </c>
      <c r="N39" s="30">
        <f t="shared" si="17"/>
        <v>4.6662719309980977E-2</v>
      </c>
      <c r="O39" s="30">
        <f t="shared" si="18"/>
        <v>1.7162571837456377E-2</v>
      </c>
      <c r="Q39" s="100">
        <v>1991</v>
      </c>
      <c r="R39" s="5">
        <v>38.380981251828061</v>
      </c>
      <c r="S39" s="5">
        <v>26.429715390597078</v>
      </c>
      <c r="T39" s="5">
        <v>12.167379448376485</v>
      </c>
      <c r="U39" s="5">
        <v>8.9008963868177808</v>
      </c>
      <c r="V39" s="5">
        <v>4.3571285075582473</v>
      </c>
      <c r="W39" s="5">
        <v>1.6079501141719093</v>
      </c>
      <c r="Y39" s="30">
        <f t="shared" si="7"/>
        <v>0.38380981251828061</v>
      </c>
      <c r="Z39" s="30">
        <f t="shared" si="8"/>
        <v>0.26429715390597081</v>
      </c>
      <c r="AA39" s="30">
        <f t="shared" si="9"/>
        <v>0.12167379448376485</v>
      </c>
      <c r="AB39" s="30">
        <f t="shared" si="10"/>
        <v>8.9008963868177804E-2</v>
      </c>
      <c r="AC39" s="30">
        <f t="shared" si="11"/>
        <v>4.3571285075582472E-2</v>
      </c>
      <c r="AD39" s="30">
        <f t="shared" si="12"/>
        <v>1.6079501141719091E-2</v>
      </c>
    </row>
    <row r="40" spans="1:30" ht="13.5" customHeight="1" x14ac:dyDescent="0.25">
      <c r="A40" s="2">
        <v>1992</v>
      </c>
      <c r="B40" s="5">
        <v>40.314083088873488</v>
      </c>
      <c r="C40" s="5">
        <v>28.561730916329999</v>
      </c>
      <c r="D40" s="17">
        <v>14.224378100303566</v>
      </c>
      <c r="E40" s="5">
        <v>10.778533314302974</v>
      </c>
      <c r="F40" s="5">
        <v>5.6669144449461255</v>
      </c>
      <c r="G40" s="5">
        <v>2.199168135390428</v>
      </c>
      <c r="I40" s="2">
        <v>1992</v>
      </c>
      <c r="J40" s="30">
        <f t="shared" si="13"/>
        <v>0.40314083088873487</v>
      </c>
      <c r="K40" s="30">
        <f t="shared" si="14"/>
        <v>0.28561730916329997</v>
      </c>
      <c r="L40" s="30">
        <f t="shared" si="15"/>
        <v>0.14224378100303567</v>
      </c>
      <c r="M40" s="30">
        <f t="shared" si="16"/>
        <v>0.10778533314302974</v>
      </c>
      <c r="N40" s="30">
        <f t="shared" si="17"/>
        <v>5.6669144449461258E-2</v>
      </c>
      <c r="O40" s="30">
        <f t="shared" si="18"/>
        <v>2.199168135390428E-2</v>
      </c>
      <c r="Q40" s="100">
        <v>1992</v>
      </c>
      <c r="R40" s="5">
        <v>39.817900537735774</v>
      </c>
      <c r="S40" s="5">
        <v>27.880531706387071</v>
      </c>
      <c r="T40" s="5">
        <v>13.479744861469998</v>
      </c>
      <c r="U40" s="5">
        <v>10.111783333307134</v>
      </c>
      <c r="V40" s="5">
        <v>5.2138683527103185</v>
      </c>
      <c r="W40" s="5">
        <v>2.0168169424359199</v>
      </c>
      <c r="Y40" s="30">
        <f t="shared" si="7"/>
        <v>0.39817900537735773</v>
      </c>
      <c r="Z40" s="30">
        <f t="shared" si="8"/>
        <v>0.27880531706387068</v>
      </c>
      <c r="AA40" s="30">
        <f t="shared" si="9"/>
        <v>0.13479744861469997</v>
      </c>
      <c r="AB40" s="30">
        <f t="shared" si="10"/>
        <v>0.10111783333307134</v>
      </c>
      <c r="AC40" s="30">
        <f t="shared" si="11"/>
        <v>5.2138683527103186E-2</v>
      </c>
      <c r="AD40" s="30">
        <f t="shared" si="12"/>
        <v>2.01681694243592E-2</v>
      </c>
    </row>
    <row r="41" spans="1:30" ht="13.5" customHeight="1" x14ac:dyDescent="0.25">
      <c r="A41" s="2">
        <v>1993</v>
      </c>
      <c r="B41" s="5">
        <v>40.052688123875321</v>
      </c>
      <c r="C41" s="5">
        <v>28.221284584160447</v>
      </c>
      <c r="D41" s="17">
        <v>13.684379989648173</v>
      </c>
      <c r="E41" s="5">
        <v>10.249643357667548</v>
      </c>
      <c r="F41" s="5">
        <v>5.2709349326827102</v>
      </c>
      <c r="G41" s="5">
        <v>1.9683332467271371</v>
      </c>
      <c r="I41" s="2">
        <v>1993</v>
      </c>
      <c r="J41" s="30">
        <f t="shared" si="13"/>
        <v>0.40052688123875319</v>
      </c>
      <c r="K41" s="30">
        <f t="shared" si="14"/>
        <v>0.28221284584160444</v>
      </c>
      <c r="L41" s="30">
        <f t="shared" si="15"/>
        <v>0.13684379989648174</v>
      </c>
      <c r="M41" s="30">
        <f t="shared" si="16"/>
        <v>0.10249643357667548</v>
      </c>
      <c r="N41" s="30">
        <f t="shared" si="17"/>
        <v>5.2709349326827103E-2</v>
      </c>
      <c r="O41" s="30">
        <f t="shared" si="18"/>
        <v>1.9683332467271372E-2</v>
      </c>
      <c r="Q41" s="100">
        <v>1993</v>
      </c>
      <c r="R41" s="5">
        <v>39.481689855076183</v>
      </c>
      <c r="S41" s="5">
        <v>27.411700132898662</v>
      </c>
      <c r="T41" s="5">
        <v>12.821259920178939</v>
      </c>
      <c r="U41" s="5">
        <v>9.4519690317324283</v>
      </c>
      <c r="V41" s="5">
        <v>4.7157799883572604</v>
      </c>
      <c r="W41" s="5">
        <v>1.7375977884318456</v>
      </c>
      <c r="Y41" s="30">
        <f t="shared" si="7"/>
        <v>0.39481689855076185</v>
      </c>
      <c r="Z41" s="30">
        <f t="shared" si="8"/>
        <v>0.27411700132898664</v>
      </c>
      <c r="AA41" s="30">
        <f t="shared" si="9"/>
        <v>0.1282125992017894</v>
      </c>
      <c r="AB41" s="30">
        <f t="shared" si="10"/>
        <v>9.4519690317324281E-2</v>
      </c>
      <c r="AC41" s="30">
        <f t="shared" si="11"/>
        <v>4.7157799883572604E-2</v>
      </c>
      <c r="AD41" s="30">
        <f t="shared" si="12"/>
        <v>1.7375977884318456E-2</v>
      </c>
    </row>
    <row r="42" spans="1:30" ht="13.5" customHeight="1" x14ac:dyDescent="0.25">
      <c r="A42" s="2">
        <v>1994</v>
      </c>
      <c r="B42" s="5">
        <v>40.13268446519757</v>
      </c>
      <c r="C42" s="5">
        <v>28.227077321181802</v>
      </c>
      <c r="D42" s="17">
        <v>13.645119009690641</v>
      </c>
      <c r="E42" s="5">
        <v>10.170420700724218</v>
      </c>
      <c r="F42" s="5">
        <v>5.1760269187222381</v>
      </c>
      <c r="G42" s="5">
        <v>1.9325345473267939</v>
      </c>
      <c r="I42" s="2">
        <v>1994</v>
      </c>
      <c r="J42" s="30">
        <f t="shared" si="13"/>
        <v>0.40132684465197571</v>
      </c>
      <c r="K42" s="30">
        <f t="shared" si="14"/>
        <v>0.28227077321181804</v>
      </c>
      <c r="L42" s="30">
        <f t="shared" si="15"/>
        <v>0.1364511900969064</v>
      </c>
      <c r="M42" s="30">
        <f t="shared" si="16"/>
        <v>0.10170420700724218</v>
      </c>
      <c r="N42" s="30">
        <f t="shared" si="17"/>
        <v>5.1760269187222381E-2</v>
      </c>
      <c r="O42" s="30">
        <f t="shared" si="18"/>
        <v>1.9325345473267939E-2</v>
      </c>
      <c r="Q42" s="100">
        <v>1994</v>
      </c>
      <c r="R42" s="5">
        <v>39.596851978506095</v>
      </c>
      <c r="S42" s="5">
        <v>27.502964862380537</v>
      </c>
      <c r="T42" s="5">
        <v>12.852119853413258</v>
      </c>
      <c r="U42" s="5">
        <v>9.4480733151683634</v>
      </c>
      <c r="V42" s="5">
        <v>4.7047549418179884</v>
      </c>
      <c r="W42" s="5">
        <v>1.7322505727484125</v>
      </c>
      <c r="Y42" s="30">
        <f t="shared" si="7"/>
        <v>0.39596851978506092</v>
      </c>
      <c r="Z42" s="30">
        <f t="shared" si="8"/>
        <v>0.27502964862380536</v>
      </c>
      <c r="AA42" s="30">
        <f t="shared" si="9"/>
        <v>0.12852119853413257</v>
      </c>
      <c r="AB42" s="30">
        <f t="shared" si="10"/>
        <v>9.4480733151683635E-2</v>
      </c>
      <c r="AC42" s="30">
        <f t="shared" si="11"/>
        <v>4.7047549418179881E-2</v>
      </c>
      <c r="AD42" s="30">
        <f t="shared" si="12"/>
        <v>1.7322505727484127E-2</v>
      </c>
    </row>
    <row r="43" spans="1:30" ht="13.5" customHeight="1" x14ac:dyDescent="0.25">
      <c r="A43" s="2">
        <v>1995</v>
      </c>
      <c r="B43" s="5">
        <v>41.497999999999998</v>
      </c>
      <c r="C43" s="5">
        <v>29.577999999999999</v>
      </c>
      <c r="D43" s="17">
        <v>14.617000000000001</v>
      </c>
      <c r="E43" s="5">
        <v>10.939</v>
      </c>
      <c r="F43" s="5">
        <v>5.5819999999999999</v>
      </c>
      <c r="G43" s="5">
        <v>2.0289999999999999</v>
      </c>
      <c r="I43" s="2">
        <v>1995</v>
      </c>
      <c r="J43" s="30">
        <f t="shared" si="13"/>
        <v>0.41497999999999996</v>
      </c>
      <c r="K43" s="30">
        <f t="shared" si="14"/>
        <v>0.29577999999999999</v>
      </c>
      <c r="L43" s="30">
        <f t="shared" si="15"/>
        <v>0.14617000000000002</v>
      </c>
      <c r="M43" s="30">
        <f t="shared" si="16"/>
        <v>0.10939</v>
      </c>
      <c r="N43" s="30">
        <f t="shared" si="17"/>
        <v>5.5820000000000002E-2</v>
      </c>
      <c r="O43" s="30">
        <f t="shared" si="18"/>
        <v>2.0289999999999999E-2</v>
      </c>
      <c r="Q43" s="100">
        <v>1995</v>
      </c>
      <c r="R43" s="5">
        <v>40.542000000000002</v>
      </c>
      <c r="S43" s="5">
        <v>28.460999999999999</v>
      </c>
      <c r="T43" s="5">
        <v>13.528</v>
      </c>
      <c r="U43" s="5">
        <v>9.9879999999999995</v>
      </c>
      <c r="V43" s="5">
        <v>4.9829999999999997</v>
      </c>
      <c r="W43" s="5">
        <v>1.8149999999999999</v>
      </c>
      <c r="Y43" s="30">
        <f t="shared" si="7"/>
        <v>0.40542</v>
      </c>
      <c r="Z43" s="30">
        <f t="shared" si="8"/>
        <v>0.28460999999999997</v>
      </c>
      <c r="AA43" s="30">
        <f t="shared" si="9"/>
        <v>0.13528000000000001</v>
      </c>
      <c r="AB43" s="30">
        <f t="shared" si="10"/>
        <v>9.9879999999999997E-2</v>
      </c>
      <c r="AC43" s="30">
        <f t="shared" si="11"/>
        <v>4.9829999999999999E-2</v>
      </c>
      <c r="AD43" s="30">
        <f t="shared" si="12"/>
        <v>1.8149999999999999E-2</v>
      </c>
    </row>
    <row r="44" spans="1:30" ht="13.5" customHeight="1" x14ac:dyDescent="0.25">
      <c r="A44" s="2">
        <f>A43+1</f>
        <v>1996</v>
      </c>
      <c r="B44" s="5">
        <v>42.692</v>
      </c>
      <c r="C44" s="5">
        <v>30.934999999999999</v>
      </c>
      <c r="D44" s="17">
        <v>15.836</v>
      </c>
      <c r="E44" s="5">
        <v>12.029</v>
      </c>
      <c r="F44" s="5">
        <v>6.3470000000000004</v>
      </c>
      <c r="G44" s="5">
        <v>2.4140000000000001</v>
      </c>
      <c r="I44" s="2">
        <f>I43+1</f>
        <v>1996</v>
      </c>
      <c r="J44" s="30">
        <f t="shared" si="13"/>
        <v>0.42692000000000002</v>
      </c>
      <c r="K44" s="30">
        <f t="shared" si="14"/>
        <v>0.30935000000000001</v>
      </c>
      <c r="L44" s="30">
        <f t="shared" si="15"/>
        <v>0.15836</v>
      </c>
      <c r="M44" s="30">
        <f t="shared" si="16"/>
        <v>0.12028999999999999</v>
      </c>
      <c r="N44" s="30">
        <f t="shared" si="17"/>
        <v>6.3469999999999999E-2</v>
      </c>
      <c r="O44" s="30">
        <f t="shared" si="18"/>
        <v>2.4140000000000002E-2</v>
      </c>
      <c r="Q44" s="100">
        <v>1996</v>
      </c>
      <c r="R44" s="5">
        <v>41.155000000000001</v>
      </c>
      <c r="S44" s="5">
        <v>29.16</v>
      </c>
      <c r="T44" s="5">
        <v>14.106999999999999</v>
      </c>
      <c r="U44" s="5">
        <v>10.486000000000001</v>
      </c>
      <c r="V44" s="5">
        <v>5.3250000000000002</v>
      </c>
      <c r="W44" s="5">
        <v>1.9730000000000001</v>
      </c>
      <c r="Y44" s="30">
        <f t="shared" si="7"/>
        <v>0.41155000000000003</v>
      </c>
      <c r="Z44" s="30">
        <f t="shared" si="8"/>
        <v>0.29160000000000003</v>
      </c>
      <c r="AA44" s="30">
        <f t="shared" si="9"/>
        <v>0.14107</v>
      </c>
      <c r="AB44" s="30">
        <f t="shared" si="10"/>
        <v>0.10486000000000001</v>
      </c>
      <c r="AC44" s="30">
        <f t="shared" si="11"/>
        <v>5.3249999999999999E-2</v>
      </c>
      <c r="AD44" s="30">
        <f t="shared" si="12"/>
        <v>1.9730000000000001E-2</v>
      </c>
    </row>
    <row r="45" spans="1:30" ht="13.5" customHeight="1" x14ac:dyDescent="0.25">
      <c r="A45" s="2">
        <f t="shared" ref="A45:A52" si="19">A44+1</f>
        <v>1997</v>
      </c>
      <c r="B45" s="5">
        <v>43.767000000000003</v>
      </c>
      <c r="C45" s="5">
        <v>32.207999999999998</v>
      </c>
      <c r="D45" s="17">
        <v>16.984999999999999</v>
      </c>
      <c r="E45" s="5">
        <v>13.087999999999999</v>
      </c>
      <c r="F45" s="5">
        <v>7.1459999999999999</v>
      </c>
      <c r="G45" s="5">
        <v>2.6840000000000002</v>
      </c>
      <c r="I45" s="2">
        <f t="shared" ref="I45:I52" si="20">I44+1</f>
        <v>1997</v>
      </c>
      <c r="J45" s="30">
        <f t="shared" si="13"/>
        <v>0.43767</v>
      </c>
      <c r="K45" s="30">
        <f t="shared" si="14"/>
        <v>0.32207999999999998</v>
      </c>
      <c r="L45" s="30">
        <f t="shared" si="15"/>
        <v>0.16985</v>
      </c>
      <c r="M45" s="30">
        <f t="shared" si="16"/>
        <v>0.13088</v>
      </c>
      <c r="N45" s="30">
        <f t="shared" si="17"/>
        <v>7.1459999999999996E-2</v>
      </c>
      <c r="O45" s="30">
        <f t="shared" si="18"/>
        <v>2.6840000000000003E-2</v>
      </c>
      <c r="Q45" s="100">
        <v>1997</v>
      </c>
      <c r="R45" s="5">
        <v>41.725000000000001</v>
      </c>
      <c r="S45" s="5">
        <v>29.852</v>
      </c>
      <c r="T45" s="5">
        <v>14.771000000000001</v>
      </c>
      <c r="U45" s="5">
        <v>11.122</v>
      </c>
      <c r="V45" s="5">
        <v>5.806</v>
      </c>
      <c r="W45" s="5">
        <v>2.1949999999999998</v>
      </c>
      <c r="Y45" s="30">
        <f t="shared" si="7"/>
        <v>0.41725000000000001</v>
      </c>
      <c r="Z45" s="30">
        <f t="shared" si="8"/>
        <v>0.29852000000000001</v>
      </c>
      <c r="AA45" s="30">
        <f t="shared" si="9"/>
        <v>0.14771000000000001</v>
      </c>
      <c r="AB45" s="30">
        <f t="shared" si="10"/>
        <v>0.11122</v>
      </c>
      <c r="AC45" s="30">
        <f t="shared" si="11"/>
        <v>5.806E-2</v>
      </c>
      <c r="AD45" s="30">
        <f t="shared" si="12"/>
        <v>2.1949999999999997E-2</v>
      </c>
    </row>
    <row r="46" spans="1:30" ht="13.5" customHeight="1" x14ac:dyDescent="0.25">
      <c r="A46" s="2">
        <f t="shared" si="19"/>
        <v>1998</v>
      </c>
      <c r="B46" s="5">
        <v>44.353000000000002</v>
      </c>
      <c r="C46" s="5">
        <v>32.915999999999997</v>
      </c>
      <c r="D46" s="17">
        <v>17.693999999999999</v>
      </c>
      <c r="E46" s="5">
        <v>13.722</v>
      </c>
      <c r="F46" s="5">
        <v>7.5830000000000002</v>
      </c>
      <c r="G46" s="5">
        <v>2.9169999999999998</v>
      </c>
      <c r="I46" s="2">
        <f t="shared" si="20"/>
        <v>1998</v>
      </c>
      <c r="J46" s="30">
        <f t="shared" si="13"/>
        <v>0.44353000000000004</v>
      </c>
      <c r="K46" s="30">
        <f t="shared" si="14"/>
        <v>0.32915999999999995</v>
      </c>
      <c r="L46" s="30">
        <f t="shared" si="15"/>
        <v>0.17693999999999999</v>
      </c>
      <c r="M46" s="30">
        <f t="shared" si="16"/>
        <v>0.13722000000000001</v>
      </c>
      <c r="N46" s="30">
        <f t="shared" si="17"/>
        <v>7.5830000000000009E-2</v>
      </c>
      <c r="O46" s="30">
        <f t="shared" si="18"/>
        <v>2.9169999999999998E-2</v>
      </c>
      <c r="Q46" s="100">
        <v>1998</v>
      </c>
      <c r="R46" s="5">
        <v>42.124000000000002</v>
      </c>
      <c r="S46" s="5">
        <v>30.358000000000001</v>
      </c>
      <c r="T46" s="5">
        <v>15.294</v>
      </c>
      <c r="U46" s="5">
        <v>11.61</v>
      </c>
      <c r="V46" s="5">
        <v>6.2</v>
      </c>
      <c r="W46" s="5">
        <v>2.4060000000000001</v>
      </c>
      <c r="Y46" s="30">
        <f t="shared" si="7"/>
        <v>0.42124</v>
      </c>
      <c r="Z46" s="30">
        <f t="shared" si="8"/>
        <v>0.30358000000000002</v>
      </c>
      <c r="AA46" s="30">
        <f t="shared" si="9"/>
        <v>0.15293999999999999</v>
      </c>
      <c r="AB46" s="30">
        <f t="shared" si="10"/>
        <v>0.11609999999999999</v>
      </c>
      <c r="AC46" s="30">
        <f t="shared" si="11"/>
        <v>6.2E-2</v>
      </c>
      <c r="AD46" s="30">
        <f t="shared" si="12"/>
        <v>2.4060000000000002E-2</v>
      </c>
    </row>
    <row r="47" spans="1:30" ht="13.5" customHeight="1" x14ac:dyDescent="0.25">
      <c r="A47" s="2">
        <f t="shared" si="19"/>
        <v>1999</v>
      </c>
      <c r="B47" s="5">
        <v>45.009</v>
      </c>
      <c r="C47" s="5">
        <v>33.674999999999997</v>
      </c>
      <c r="D47" s="17">
        <v>18.366</v>
      </c>
      <c r="E47" s="5">
        <v>14.337</v>
      </c>
      <c r="F47" s="5">
        <v>7.9960000000000004</v>
      </c>
      <c r="G47" s="5">
        <v>3.0990000000000002</v>
      </c>
      <c r="I47" s="2">
        <f t="shared" si="20"/>
        <v>1999</v>
      </c>
      <c r="J47" s="30">
        <f t="shared" si="13"/>
        <v>0.45008999999999999</v>
      </c>
      <c r="K47" s="30">
        <f t="shared" si="14"/>
        <v>0.33674999999999999</v>
      </c>
      <c r="L47" s="30">
        <f t="shared" si="15"/>
        <v>0.18365999999999999</v>
      </c>
      <c r="M47" s="30">
        <f t="shared" si="16"/>
        <v>0.14337</v>
      </c>
      <c r="N47" s="30">
        <f t="shared" si="17"/>
        <v>7.9960000000000003E-2</v>
      </c>
      <c r="O47" s="30">
        <f t="shared" si="18"/>
        <v>3.0990000000000004E-2</v>
      </c>
      <c r="Q47" s="100">
        <v>1999</v>
      </c>
      <c r="R47" s="5">
        <v>42.667999999999999</v>
      </c>
      <c r="S47" s="5">
        <v>30.968</v>
      </c>
      <c r="T47" s="5">
        <v>15.872999999999999</v>
      </c>
      <c r="U47" s="5">
        <v>12.156000000000001</v>
      </c>
      <c r="V47" s="5">
        <v>6.6349999999999998</v>
      </c>
      <c r="W47" s="5">
        <v>2.633</v>
      </c>
      <c r="Y47" s="30">
        <f t="shared" si="7"/>
        <v>0.42668</v>
      </c>
      <c r="Z47" s="30">
        <f t="shared" si="8"/>
        <v>0.30968000000000001</v>
      </c>
      <c r="AA47" s="30">
        <f t="shared" si="9"/>
        <v>0.15872999999999998</v>
      </c>
      <c r="AB47" s="30">
        <f t="shared" si="10"/>
        <v>0.12156</v>
      </c>
      <c r="AC47" s="30">
        <f t="shared" si="11"/>
        <v>6.6349999999999992E-2</v>
      </c>
      <c r="AD47" s="30">
        <f t="shared" si="12"/>
        <v>2.6329999999999999E-2</v>
      </c>
    </row>
    <row r="48" spans="1:30" ht="13.5" customHeight="1" x14ac:dyDescent="0.25">
      <c r="A48" s="2">
        <f t="shared" si="19"/>
        <v>2000</v>
      </c>
      <c r="B48" s="5">
        <v>45.293999999999997</v>
      </c>
      <c r="C48" s="5">
        <v>34.256999999999998</v>
      </c>
      <c r="D48" s="17">
        <v>19.295000000000002</v>
      </c>
      <c r="E48" s="5">
        <v>15.276</v>
      </c>
      <c r="F48" s="5">
        <v>8.7810000000000006</v>
      </c>
      <c r="G48" s="5">
        <v>3.4350000000000001</v>
      </c>
      <c r="I48" s="2">
        <f t="shared" si="20"/>
        <v>2000</v>
      </c>
      <c r="J48" s="30">
        <f t="shared" si="13"/>
        <v>0.45293999999999995</v>
      </c>
      <c r="K48" s="30">
        <f t="shared" si="14"/>
        <v>0.34256999999999999</v>
      </c>
      <c r="L48" s="30">
        <f t="shared" si="15"/>
        <v>0.19295000000000001</v>
      </c>
      <c r="M48" s="30">
        <f t="shared" si="16"/>
        <v>0.15276000000000001</v>
      </c>
      <c r="N48" s="30">
        <f t="shared" si="17"/>
        <v>8.7809999999999999E-2</v>
      </c>
      <c r="O48" s="30">
        <f t="shared" si="18"/>
        <v>3.4349999999999999E-2</v>
      </c>
      <c r="Q48" s="100">
        <v>2000</v>
      </c>
      <c r="R48" s="5">
        <v>43.107999999999997</v>
      </c>
      <c r="S48" s="5">
        <v>31.510999999999999</v>
      </c>
      <c r="T48" s="5">
        <v>16.494</v>
      </c>
      <c r="U48" s="5">
        <v>12.782999999999999</v>
      </c>
      <c r="V48" s="5">
        <v>7.1269999999999998</v>
      </c>
      <c r="W48" s="5">
        <v>2.8410000000000002</v>
      </c>
      <c r="Y48" s="30">
        <f t="shared" si="7"/>
        <v>0.43107999999999996</v>
      </c>
      <c r="Z48" s="30">
        <f t="shared" si="8"/>
        <v>0.31511</v>
      </c>
      <c r="AA48" s="30">
        <f t="shared" si="9"/>
        <v>0.16494</v>
      </c>
      <c r="AB48" s="30">
        <f t="shared" si="10"/>
        <v>0.12783</v>
      </c>
      <c r="AC48" s="30">
        <f t="shared" si="11"/>
        <v>7.127E-2</v>
      </c>
      <c r="AD48" s="30">
        <f t="shared" si="12"/>
        <v>2.8410000000000001E-2</v>
      </c>
    </row>
    <row r="49" spans="1:32" ht="13.5" customHeight="1" x14ac:dyDescent="0.25">
      <c r="A49" s="2">
        <f t="shared" si="19"/>
        <v>2001</v>
      </c>
      <c r="B49" s="5">
        <v>43.148000000000003</v>
      </c>
      <c r="C49" s="5">
        <v>31.654</v>
      </c>
      <c r="D49" s="17">
        <v>16.760000000000002</v>
      </c>
      <c r="E49" s="5">
        <v>12.981999999999999</v>
      </c>
      <c r="F49" s="5">
        <v>7.0910000000000002</v>
      </c>
      <c r="G49" s="5">
        <v>2.7440000000000002</v>
      </c>
      <c r="I49" s="2">
        <f t="shared" si="20"/>
        <v>2001</v>
      </c>
      <c r="J49" s="30">
        <f t="shared" si="13"/>
        <v>0.43148000000000003</v>
      </c>
      <c r="K49" s="30">
        <f t="shared" si="14"/>
        <v>0.31653999999999999</v>
      </c>
      <c r="L49" s="30">
        <f t="shared" si="15"/>
        <v>0.16760000000000003</v>
      </c>
      <c r="M49" s="30">
        <f t="shared" si="16"/>
        <v>0.12981999999999999</v>
      </c>
      <c r="N49" s="30">
        <f t="shared" si="17"/>
        <v>7.0910000000000001E-2</v>
      </c>
      <c r="O49" s="30">
        <f t="shared" si="18"/>
        <v>2.7440000000000003E-2</v>
      </c>
      <c r="Q49" s="100">
        <v>2001</v>
      </c>
      <c r="R49" s="5">
        <v>42.228999999999999</v>
      </c>
      <c r="S49" s="5">
        <v>30.399000000000001</v>
      </c>
      <c r="T49" s="5">
        <v>15.371</v>
      </c>
      <c r="U49" s="5">
        <v>11.708</v>
      </c>
      <c r="V49" s="5">
        <v>6.258</v>
      </c>
      <c r="W49" s="5">
        <v>2.4020000000000001</v>
      </c>
      <c r="Y49" s="30">
        <f t="shared" si="7"/>
        <v>0.42229</v>
      </c>
      <c r="Z49" s="30">
        <f t="shared" si="8"/>
        <v>0.30398999999999998</v>
      </c>
      <c r="AA49" s="30">
        <f t="shared" si="9"/>
        <v>0.15371000000000001</v>
      </c>
      <c r="AB49" s="30">
        <f t="shared" si="10"/>
        <v>0.11708</v>
      </c>
      <c r="AC49" s="30">
        <f t="shared" si="11"/>
        <v>6.2579999999999997E-2</v>
      </c>
      <c r="AD49" s="30">
        <f t="shared" si="12"/>
        <v>2.402E-2</v>
      </c>
    </row>
    <row r="50" spans="1:32" ht="13.5" customHeight="1" x14ac:dyDescent="0.25">
      <c r="A50" s="2">
        <f t="shared" si="19"/>
        <v>2002</v>
      </c>
      <c r="B50" s="5">
        <v>42.948999999999998</v>
      </c>
      <c r="C50" s="5">
        <v>31.175000000000001</v>
      </c>
      <c r="D50" s="17">
        <v>15.913</v>
      </c>
      <c r="E50" s="5">
        <v>12.112</v>
      </c>
      <c r="F50" s="5">
        <v>6.5609999999999999</v>
      </c>
      <c r="G50" s="5">
        <v>2.5790000000000002</v>
      </c>
      <c r="I50" s="2">
        <f t="shared" si="20"/>
        <v>2002</v>
      </c>
      <c r="J50" s="30">
        <f t="shared" si="13"/>
        <v>0.42948999999999998</v>
      </c>
      <c r="K50" s="30">
        <f t="shared" si="14"/>
        <v>0.31175000000000003</v>
      </c>
      <c r="L50" s="30">
        <f t="shared" si="15"/>
        <v>0.15912999999999999</v>
      </c>
      <c r="M50" s="30">
        <f t="shared" si="16"/>
        <v>0.12112000000000001</v>
      </c>
      <c r="N50" s="30">
        <f t="shared" si="17"/>
        <v>6.5610000000000002E-2</v>
      </c>
      <c r="O50" s="30">
        <f t="shared" si="18"/>
        <v>2.579E-2</v>
      </c>
      <c r="Q50" s="100">
        <v>2002</v>
      </c>
      <c r="R50" s="5">
        <v>42.363999999999997</v>
      </c>
      <c r="S50" s="5">
        <v>30.361999999999998</v>
      </c>
      <c r="T50" s="5">
        <v>14.989000000000001</v>
      </c>
      <c r="U50" s="5">
        <v>11.262</v>
      </c>
      <c r="V50" s="5">
        <v>5.9349999999999996</v>
      </c>
      <c r="W50" s="5">
        <v>2.3010000000000002</v>
      </c>
      <c r="X50" s="5"/>
      <c r="Y50" s="30">
        <f t="shared" si="7"/>
        <v>0.42363999999999996</v>
      </c>
      <c r="Z50" s="30">
        <f t="shared" si="8"/>
        <v>0.30362</v>
      </c>
      <c r="AA50" s="30">
        <f t="shared" si="9"/>
        <v>0.14989</v>
      </c>
      <c r="AB50" s="30">
        <f t="shared" si="10"/>
        <v>0.11262</v>
      </c>
      <c r="AC50" s="30">
        <f t="shared" si="11"/>
        <v>5.9349999999999993E-2</v>
      </c>
      <c r="AD50" s="30">
        <f t="shared" si="12"/>
        <v>2.3010000000000003E-2</v>
      </c>
    </row>
    <row r="51" spans="1:32" ht="13.5" customHeight="1" x14ac:dyDescent="0.25">
      <c r="A51" s="2">
        <f t="shared" si="19"/>
        <v>2003</v>
      </c>
      <c r="B51" s="5">
        <v>43.518999999999998</v>
      </c>
      <c r="C51" s="5">
        <v>31.690999999999999</v>
      </c>
      <c r="D51" s="17">
        <v>16.390999999999998</v>
      </c>
      <c r="E51" s="5">
        <v>12.553000000000001</v>
      </c>
      <c r="F51" s="5">
        <v>6.915</v>
      </c>
      <c r="G51" s="5">
        <v>2.81</v>
      </c>
      <c r="I51" s="2">
        <f t="shared" si="20"/>
        <v>2003</v>
      </c>
      <c r="J51" s="30">
        <f t="shared" si="13"/>
        <v>0.43518999999999997</v>
      </c>
      <c r="K51" s="30">
        <f t="shared" si="14"/>
        <v>0.31690999999999997</v>
      </c>
      <c r="L51" s="30">
        <f t="shared" si="15"/>
        <v>0.16390999999999997</v>
      </c>
      <c r="M51" s="30">
        <f t="shared" si="16"/>
        <v>0.12553</v>
      </c>
      <c r="N51" s="30">
        <f t="shared" si="17"/>
        <v>6.9150000000000003E-2</v>
      </c>
      <c r="O51" s="30">
        <f t="shared" si="18"/>
        <v>2.81E-2</v>
      </c>
      <c r="Q51" s="100">
        <f>Q50+1</f>
        <v>2003</v>
      </c>
      <c r="R51" s="5">
        <v>42.762</v>
      </c>
      <c r="S51" s="5">
        <v>30.655000000000001</v>
      </c>
      <c r="T51" s="5">
        <v>15.214</v>
      </c>
      <c r="U51" s="5">
        <v>11.465999999999999</v>
      </c>
      <c r="V51" s="5">
        <v>6.109</v>
      </c>
      <c r="W51" s="5">
        <v>2.4380000000000002</v>
      </c>
      <c r="X51" s="5"/>
      <c r="Y51" s="30">
        <f t="shared" si="7"/>
        <v>0.42762</v>
      </c>
      <c r="Z51" s="30">
        <f t="shared" si="8"/>
        <v>0.30654999999999999</v>
      </c>
      <c r="AA51" s="30">
        <f t="shared" si="9"/>
        <v>0.15214</v>
      </c>
      <c r="AB51" s="30">
        <f t="shared" si="10"/>
        <v>0.11466</v>
      </c>
      <c r="AC51" s="30">
        <f t="shared" si="11"/>
        <v>6.1089999999999998E-2</v>
      </c>
      <c r="AD51" s="30">
        <f t="shared" si="12"/>
        <v>2.4380000000000002E-2</v>
      </c>
    </row>
    <row r="52" spans="1:32" ht="13.5" customHeight="1" x14ac:dyDescent="0.25">
      <c r="A52" s="2">
        <f t="shared" si="19"/>
        <v>2004</v>
      </c>
      <c r="B52" s="5">
        <v>44.871000000000002</v>
      </c>
      <c r="C52" s="5">
        <v>33.317</v>
      </c>
      <c r="D52" s="17">
        <v>18.119</v>
      </c>
      <c r="E52" s="5">
        <v>14.177</v>
      </c>
      <c r="F52" s="5">
        <v>8.1430000000000007</v>
      </c>
      <c r="G52" s="5">
        <v>3.47</v>
      </c>
      <c r="I52" s="2">
        <f t="shared" si="20"/>
        <v>2004</v>
      </c>
      <c r="J52" s="30">
        <f t="shared" si="13"/>
        <v>0.44871</v>
      </c>
      <c r="K52" s="30">
        <f t="shared" si="14"/>
        <v>0.33317000000000002</v>
      </c>
      <c r="L52" s="30">
        <f t="shared" si="15"/>
        <v>0.18118999999999999</v>
      </c>
      <c r="M52" s="30">
        <f t="shared" si="16"/>
        <v>0.14177000000000001</v>
      </c>
      <c r="N52" s="30">
        <f t="shared" si="17"/>
        <v>8.1430000000000002E-2</v>
      </c>
      <c r="O52" s="30">
        <f t="shared" si="18"/>
        <v>3.4700000000000002E-2</v>
      </c>
      <c r="Q52" s="100">
        <f>Q51+1</f>
        <v>2004</v>
      </c>
      <c r="R52" s="5">
        <v>43.643000000000001</v>
      </c>
      <c r="S52" s="5">
        <v>31.707999999999998</v>
      </c>
      <c r="T52" s="5">
        <v>16.337</v>
      </c>
      <c r="U52" s="5">
        <v>12.509</v>
      </c>
      <c r="V52" s="5">
        <v>6.9050000000000002</v>
      </c>
      <c r="W52" s="5">
        <v>2.87</v>
      </c>
      <c r="X52" s="5"/>
      <c r="Y52" s="30">
        <f t="shared" si="7"/>
        <v>0.43642999999999998</v>
      </c>
      <c r="Z52" s="30">
        <f t="shared" si="8"/>
        <v>0.31707999999999997</v>
      </c>
      <c r="AA52" s="30">
        <f t="shared" si="9"/>
        <v>0.16336999999999999</v>
      </c>
      <c r="AB52" s="30">
        <f t="shared" si="10"/>
        <v>0.12509000000000001</v>
      </c>
      <c r="AC52" s="30">
        <f t="shared" si="11"/>
        <v>6.905E-2</v>
      </c>
      <c r="AD52" s="30">
        <f t="shared" si="12"/>
        <v>2.87E-2</v>
      </c>
    </row>
    <row r="53" spans="1:32" ht="13.5" customHeight="1" x14ac:dyDescent="0.25">
      <c r="A53" s="2">
        <v>2005</v>
      </c>
      <c r="B53" s="5">
        <v>46.582000000000001</v>
      </c>
      <c r="C53" s="5">
        <v>35.243000000000002</v>
      </c>
      <c r="D53" s="17">
        <v>20.036999999999999</v>
      </c>
      <c r="E53" s="5">
        <v>15.978</v>
      </c>
      <c r="F53" s="5">
        <v>9.4320000000000004</v>
      </c>
      <c r="G53" s="5">
        <v>4.1029999999999998</v>
      </c>
      <c r="I53" s="2">
        <v>2005</v>
      </c>
      <c r="J53" s="30">
        <f t="shared" si="13"/>
        <v>0.46582000000000001</v>
      </c>
      <c r="K53" s="30">
        <f t="shared" si="14"/>
        <v>0.35243000000000002</v>
      </c>
      <c r="L53" s="30">
        <f t="shared" si="15"/>
        <v>0.20036999999999999</v>
      </c>
      <c r="M53" s="30">
        <f t="shared" si="16"/>
        <v>0.15978000000000001</v>
      </c>
      <c r="N53" s="30">
        <f t="shared" si="17"/>
        <v>9.4320000000000001E-2</v>
      </c>
      <c r="O53" s="30">
        <f t="shared" si="18"/>
        <v>4.1029999999999997E-2</v>
      </c>
      <c r="Q53" s="100">
        <v>2005</v>
      </c>
      <c r="R53" s="5">
        <v>44.939</v>
      </c>
      <c r="S53" s="5">
        <v>33.122999999999998</v>
      </c>
      <c r="T53" s="5">
        <v>17.681000000000001</v>
      </c>
      <c r="U53" s="5">
        <v>13.722</v>
      </c>
      <c r="V53" s="5">
        <v>7.7610000000000001</v>
      </c>
      <c r="W53" s="5">
        <v>3.2879999999999998</v>
      </c>
      <c r="X53" s="5"/>
      <c r="Y53" s="30">
        <f t="shared" si="7"/>
        <v>0.44939000000000001</v>
      </c>
      <c r="Z53" s="30">
        <f t="shared" si="8"/>
        <v>0.33122999999999997</v>
      </c>
      <c r="AA53" s="30">
        <f t="shared" si="9"/>
        <v>0.17681000000000002</v>
      </c>
      <c r="AB53" s="30">
        <f t="shared" si="10"/>
        <v>0.13722000000000001</v>
      </c>
      <c r="AC53" s="30">
        <f t="shared" si="11"/>
        <v>7.7609999999999998E-2</v>
      </c>
      <c r="AD53" s="30">
        <f t="shared" si="12"/>
        <v>3.288E-2</v>
      </c>
    </row>
    <row r="54" spans="1:32" ht="13.5" customHeight="1" x14ac:dyDescent="0.25">
      <c r="A54" s="2">
        <f>A53+1</f>
        <v>2006</v>
      </c>
      <c r="B54" s="5">
        <v>47.555</v>
      </c>
      <c r="C54" s="5">
        <v>36.161999999999999</v>
      </c>
      <c r="D54" s="17">
        <v>20.864000000000001</v>
      </c>
      <c r="E54" s="5">
        <v>16.745999999999999</v>
      </c>
      <c r="F54" s="5">
        <v>9.9250000000000007</v>
      </c>
      <c r="G54" s="5">
        <v>4.3570000000000002</v>
      </c>
      <c r="I54" s="2">
        <f>I53+1</f>
        <v>2006</v>
      </c>
      <c r="J54" s="30">
        <f t="shared" si="13"/>
        <v>0.47554999999999997</v>
      </c>
      <c r="K54" s="30">
        <f t="shared" si="14"/>
        <v>0.36162</v>
      </c>
      <c r="L54" s="30">
        <f t="shared" si="15"/>
        <v>0.20864000000000002</v>
      </c>
      <c r="M54" s="30">
        <f t="shared" si="16"/>
        <v>0.16746</v>
      </c>
      <c r="N54" s="30">
        <f t="shared" si="17"/>
        <v>9.9250000000000005E-2</v>
      </c>
      <c r="O54" s="30">
        <f t="shared" si="18"/>
        <v>4.3570000000000005E-2</v>
      </c>
      <c r="Q54" s="100">
        <v>2006</v>
      </c>
      <c r="R54" s="5">
        <v>45.497999999999998</v>
      </c>
      <c r="S54" s="5">
        <v>33.588999999999999</v>
      </c>
      <c r="T54" s="5">
        <v>18.059000000000001</v>
      </c>
      <c r="U54" s="5">
        <v>14.034000000000001</v>
      </c>
      <c r="V54" s="5">
        <v>7.9180000000000001</v>
      </c>
      <c r="W54" s="5">
        <v>3.323</v>
      </c>
      <c r="X54" s="5"/>
      <c r="Y54" s="30">
        <f t="shared" si="7"/>
        <v>0.45498</v>
      </c>
      <c r="Z54" s="30">
        <f t="shared" si="8"/>
        <v>0.33588999999999997</v>
      </c>
      <c r="AA54" s="30">
        <f t="shared" si="9"/>
        <v>0.18059</v>
      </c>
      <c r="AB54" s="30">
        <f t="shared" si="10"/>
        <v>0.14034000000000002</v>
      </c>
      <c r="AC54" s="30">
        <f t="shared" si="11"/>
        <v>7.918E-2</v>
      </c>
      <c r="AD54" s="30">
        <f t="shared" si="12"/>
        <v>3.3230000000000003E-2</v>
      </c>
    </row>
    <row r="55" spans="1:32" ht="13.5" customHeight="1" x14ac:dyDescent="0.25">
      <c r="A55" s="2">
        <f>A54+1</f>
        <v>2007</v>
      </c>
      <c r="B55" s="5">
        <v>48.027000000000001</v>
      </c>
      <c r="C55" s="5">
        <v>36.792999999999999</v>
      </c>
      <c r="D55" s="17">
        <v>21.513000000000002</v>
      </c>
      <c r="E55" s="5">
        <v>17.393999999999998</v>
      </c>
      <c r="F55" s="5">
        <v>10.49</v>
      </c>
      <c r="G55" s="5">
        <v>4.7709999999999999</v>
      </c>
      <c r="I55" s="2">
        <f>I54+1</f>
        <v>2007</v>
      </c>
      <c r="J55" s="30">
        <f t="shared" si="13"/>
        <v>0.48027000000000003</v>
      </c>
      <c r="K55" s="30">
        <f t="shared" si="14"/>
        <v>0.36792999999999998</v>
      </c>
      <c r="L55" s="30">
        <f t="shared" si="15"/>
        <v>0.21513000000000002</v>
      </c>
      <c r="M55" s="30">
        <f t="shared" si="16"/>
        <v>0.17393999999999998</v>
      </c>
      <c r="N55" s="30">
        <f t="shared" si="17"/>
        <v>0.10490000000000001</v>
      </c>
      <c r="O55" s="30">
        <f t="shared" si="18"/>
        <v>4.7710000000000002E-2</v>
      </c>
      <c r="Q55" s="100">
        <v>2007</v>
      </c>
      <c r="R55" s="5">
        <v>45.665999999999997</v>
      </c>
      <c r="S55" s="5">
        <v>33.844000000000001</v>
      </c>
      <c r="T55" s="5">
        <v>18.327000000000002</v>
      </c>
      <c r="U55" s="5">
        <v>14.315</v>
      </c>
      <c r="V55" s="5">
        <v>8.1609999999999996</v>
      </c>
      <c r="W55" s="5">
        <v>3.5289999999999999</v>
      </c>
      <c r="X55" s="5"/>
      <c r="Y55" s="30">
        <f t="shared" si="7"/>
        <v>0.45665999999999995</v>
      </c>
      <c r="Z55" s="30">
        <f t="shared" si="8"/>
        <v>0.33844000000000002</v>
      </c>
      <c r="AA55" s="30">
        <f t="shared" si="9"/>
        <v>0.18327000000000002</v>
      </c>
      <c r="AB55" s="30">
        <f t="shared" si="10"/>
        <v>0.14315</v>
      </c>
      <c r="AC55" s="30">
        <f t="shared" si="11"/>
        <v>8.1610000000000002E-2</v>
      </c>
      <c r="AD55" s="30">
        <f t="shared" si="12"/>
        <v>3.5290000000000002E-2</v>
      </c>
    </row>
    <row r="56" spans="1:32" ht="13.5" customHeight="1" x14ac:dyDescent="0.25">
      <c r="A56" s="2">
        <f>A55+1</f>
        <v>2008</v>
      </c>
      <c r="B56" s="5">
        <v>46.973999999999997</v>
      </c>
      <c r="C56" s="5">
        <v>35.201999999999998</v>
      </c>
      <c r="D56" s="17">
        <v>19.574000000000002</v>
      </c>
      <c r="E56" s="5">
        <v>15.535</v>
      </c>
      <c r="F56" s="5">
        <v>9.125</v>
      </c>
      <c r="G56" s="5">
        <v>4.0970000000000004</v>
      </c>
      <c r="I56" s="2">
        <f>I55+1</f>
        <v>2008</v>
      </c>
      <c r="J56" s="30">
        <f t="shared" si="13"/>
        <v>0.46973999999999999</v>
      </c>
      <c r="K56" s="30">
        <f t="shared" si="14"/>
        <v>0.35202</v>
      </c>
      <c r="L56" s="30">
        <f t="shared" si="15"/>
        <v>0.19574000000000003</v>
      </c>
      <c r="M56" s="30">
        <f t="shared" si="16"/>
        <v>0.15534999999999999</v>
      </c>
      <c r="N56" s="30">
        <f t="shared" si="17"/>
        <v>9.1249999999999998E-2</v>
      </c>
      <c r="O56" s="30">
        <f t="shared" si="18"/>
        <v>4.0970000000000006E-2</v>
      </c>
      <c r="Q56" s="100">
        <v>2008</v>
      </c>
      <c r="R56" s="5">
        <v>45.963000000000001</v>
      </c>
      <c r="S56" s="5">
        <v>33.777000000000001</v>
      </c>
      <c r="T56" s="5">
        <v>17.891999999999999</v>
      </c>
      <c r="U56" s="5">
        <v>13.864000000000001</v>
      </c>
      <c r="V56" s="5">
        <v>7.8159999999999998</v>
      </c>
      <c r="W56" s="5">
        <v>3.3730000000000002</v>
      </c>
      <c r="X56" s="5"/>
      <c r="Y56" s="30">
        <f t="shared" si="7"/>
        <v>0.45962999999999998</v>
      </c>
      <c r="Z56" s="30">
        <f t="shared" si="8"/>
        <v>0.33777000000000001</v>
      </c>
      <c r="AA56" s="30">
        <f t="shared" si="9"/>
        <v>0.17892</v>
      </c>
      <c r="AB56" s="30">
        <f t="shared" si="10"/>
        <v>0.13864000000000001</v>
      </c>
      <c r="AC56" s="30">
        <f t="shared" si="11"/>
        <v>7.8159999999999993E-2</v>
      </c>
      <c r="AD56" s="30">
        <f t="shared" si="12"/>
        <v>3.3730000000000003E-2</v>
      </c>
    </row>
    <row r="57" spans="1:32" ht="13.5" customHeight="1" x14ac:dyDescent="0.25">
      <c r="A57" s="2">
        <v>2009</v>
      </c>
      <c r="B57" s="5">
        <v>45.851999999999997</v>
      </c>
      <c r="C57" s="5">
        <v>33.438000000000002</v>
      </c>
      <c r="D57" s="17">
        <v>17.478000000000002</v>
      </c>
      <c r="E57" s="5">
        <v>13.507</v>
      </c>
      <c r="F57" s="5">
        <v>7.673</v>
      </c>
      <c r="G57" s="5">
        <v>3.4359999999999999</v>
      </c>
      <c r="I57" s="2">
        <v>2009</v>
      </c>
      <c r="J57" s="30">
        <f t="shared" si="13"/>
        <v>0.45851999999999998</v>
      </c>
      <c r="K57" s="30">
        <f t="shared" si="14"/>
        <v>0.33438000000000001</v>
      </c>
      <c r="L57" s="30">
        <f t="shared" si="15"/>
        <v>0.17478000000000002</v>
      </c>
      <c r="M57" s="30">
        <f t="shared" si="16"/>
        <v>0.13507</v>
      </c>
      <c r="N57" s="30">
        <f t="shared" si="17"/>
        <v>7.6730000000000007E-2</v>
      </c>
      <c r="O57" s="30">
        <f t="shared" si="18"/>
        <v>3.4360000000000002E-2</v>
      </c>
      <c r="Q57" s="100">
        <v>2009</v>
      </c>
      <c r="R57" s="5">
        <v>45.468000000000004</v>
      </c>
      <c r="S57" s="5">
        <v>32.808</v>
      </c>
      <c r="T57" s="5">
        <v>16.678999999999998</v>
      </c>
      <c r="U57" s="5">
        <v>12.711</v>
      </c>
      <c r="V57" s="5">
        <v>7.0389999999999997</v>
      </c>
      <c r="W57" s="5">
        <v>3.0649999999999999</v>
      </c>
      <c r="X57" s="5"/>
      <c r="Y57" s="30">
        <f t="shared" si="7"/>
        <v>0.45468000000000003</v>
      </c>
      <c r="Z57" s="30">
        <f t="shared" si="8"/>
        <v>0.32807999999999998</v>
      </c>
      <c r="AA57" s="30">
        <f t="shared" si="9"/>
        <v>0.16678999999999999</v>
      </c>
      <c r="AB57" s="30">
        <f t="shared" si="10"/>
        <v>0.12711</v>
      </c>
      <c r="AC57" s="30">
        <f t="shared" si="11"/>
        <v>7.0389999999999994E-2</v>
      </c>
      <c r="AD57" s="30">
        <f t="shared" si="12"/>
        <v>3.065E-2</v>
      </c>
    </row>
    <row r="58" spans="1:32" ht="13.5" customHeight="1" x14ac:dyDescent="0.25">
      <c r="A58" s="2">
        <v>2010</v>
      </c>
      <c r="B58" s="5">
        <v>47.076999999999998</v>
      </c>
      <c r="C58" s="5">
        <v>34.835999999999999</v>
      </c>
      <c r="D58" s="17">
        <v>18.827000000000002</v>
      </c>
      <c r="E58" s="5">
        <v>14.785</v>
      </c>
      <c r="F58" s="5">
        <v>8.6389999999999993</v>
      </c>
      <c r="G58" s="5">
        <v>3.93</v>
      </c>
      <c r="I58" s="2">
        <v>2010</v>
      </c>
      <c r="J58" s="30">
        <f t="shared" si="13"/>
        <v>0.47076999999999997</v>
      </c>
      <c r="K58" s="30">
        <f t="shared" si="14"/>
        <v>0.34836</v>
      </c>
      <c r="L58" s="30">
        <f t="shared" si="15"/>
        <v>0.18827000000000002</v>
      </c>
      <c r="M58" s="30">
        <f t="shared" si="16"/>
        <v>0.14785000000000001</v>
      </c>
      <c r="N58" s="30">
        <f t="shared" si="17"/>
        <v>8.6389999999999995E-2</v>
      </c>
      <c r="O58" s="30">
        <f t="shared" si="18"/>
        <v>3.9300000000000002E-2</v>
      </c>
      <c r="Q58" s="100">
        <v>2010</v>
      </c>
      <c r="R58" s="5">
        <v>46.351999999999997</v>
      </c>
      <c r="S58" s="5">
        <v>33.731999999999999</v>
      </c>
      <c r="T58" s="5">
        <v>17.451000000000001</v>
      </c>
      <c r="U58" s="5">
        <v>13.397</v>
      </c>
      <c r="V58" s="5">
        <v>7.516</v>
      </c>
      <c r="W58" s="5">
        <v>3.31</v>
      </c>
      <c r="X58" s="5"/>
      <c r="Y58" s="30">
        <f t="shared" si="7"/>
        <v>0.46351999999999999</v>
      </c>
      <c r="Z58" s="30">
        <f t="shared" si="8"/>
        <v>0.33732000000000001</v>
      </c>
      <c r="AA58" s="30">
        <f t="shared" si="9"/>
        <v>0.17451</v>
      </c>
      <c r="AB58" s="30">
        <f t="shared" si="10"/>
        <v>0.13397000000000001</v>
      </c>
      <c r="AC58" s="30">
        <f t="shared" si="11"/>
        <v>7.5160000000000005E-2</v>
      </c>
      <c r="AD58" s="30">
        <f t="shared" si="12"/>
        <v>3.3099999999999997E-2</v>
      </c>
    </row>
    <row r="59" spans="1:32" ht="13.5" customHeight="1" x14ac:dyDescent="0.25">
      <c r="A59" s="2">
        <f>A58+1</f>
        <v>2011</v>
      </c>
      <c r="B59" s="5">
        <v>47.41</v>
      </c>
      <c r="C59" s="5">
        <v>35.119999999999997</v>
      </c>
      <c r="D59" s="37">
        <v>18.846</v>
      </c>
      <c r="E59" s="5">
        <v>14.750999999999999</v>
      </c>
      <c r="F59" s="5">
        <v>8.4540000000000006</v>
      </c>
      <c r="G59" s="5">
        <v>3.7450000000000001</v>
      </c>
      <c r="I59" s="2">
        <f>I58+1</f>
        <v>2011</v>
      </c>
      <c r="J59" s="30">
        <f t="shared" si="13"/>
        <v>0.47409999999999997</v>
      </c>
      <c r="K59" s="30">
        <f t="shared" si="14"/>
        <v>0.35119999999999996</v>
      </c>
      <c r="L59" s="30">
        <f t="shared" si="15"/>
        <v>0.18845999999999999</v>
      </c>
      <c r="M59" s="30">
        <f t="shared" si="16"/>
        <v>0.14751</v>
      </c>
      <c r="N59" s="30">
        <f t="shared" si="17"/>
        <v>8.4540000000000004E-2</v>
      </c>
      <c r="O59" s="30">
        <f t="shared" si="18"/>
        <v>3.7450000000000004E-2</v>
      </c>
      <c r="Q59" s="100">
        <f>Q58+1</f>
        <v>2011</v>
      </c>
      <c r="R59" s="5">
        <v>46.63</v>
      </c>
      <c r="S59" s="5">
        <v>33.976999999999997</v>
      </c>
      <c r="T59" s="5">
        <v>17.466999999999999</v>
      </c>
      <c r="U59" s="5">
        <v>13.367000000000001</v>
      </c>
      <c r="V59" s="5">
        <v>7.3789999999999996</v>
      </c>
      <c r="W59" s="5">
        <v>3.1579999999999999</v>
      </c>
      <c r="X59" s="5"/>
      <c r="Y59" s="30">
        <f t="shared" si="7"/>
        <v>0.46630000000000005</v>
      </c>
      <c r="Z59" s="30">
        <f t="shared" si="8"/>
        <v>0.33976999999999996</v>
      </c>
      <c r="AA59" s="30">
        <f t="shared" si="9"/>
        <v>0.17466999999999999</v>
      </c>
      <c r="AB59" s="30">
        <f t="shared" si="10"/>
        <v>0.13367000000000001</v>
      </c>
      <c r="AC59" s="30">
        <f t="shared" si="11"/>
        <v>7.3789999999999994E-2</v>
      </c>
      <c r="AD59" s="30">
        <f t="shared" si="12"/>
        <v>3.1579999999999997E-2</v>
      </c>
    </row>
    <row r="60" spans="1:32" ht="13.5" customHeight="1" x14ac:dyDescent="0.25">
      <c r="A60" s="2">
        <f>A59+1</f>
        <v>2012</v>
      </c>
      <c r="B60" s="5">
        <v>49.182000000000002</v>
      </c>
      <c r="C60" s="5">
        <v>37.32</v>
      </c>
      <c r="D60" s="17">
        <v>21.22</v>
      </c>
      <c r="E60" s="5">
        <v>16.974</v>
      </c>
      <c r="F60" s="5">
        <v>10.11</v>
      </c>
      <c r="G60" s="5">
        <v>4.5250000000000004</v>
      </c>
      <c r="I60" s="2">
        <f>I59+1</f>
        <v>2012</v>
      </c>
      <c r="J60" s="30">
        <f t="shared" si="13"/>
        <v>0.49182000000000003</v>
      </c>
      <c r="K60" s="30">
        <f t="shared" si="14"/>
        <v>0.37319999999999998</v>
      </c>
      <c r="L60" s="30">
        <f t="shared" si="15"/>
        <v>0.2122</v>
      </c>
      <c r="M60" s="30">
        <f t="shared" si="16"/>
        <v>0.16974</v>
      </c>
      <c r="N60" s="30">
        <f t="shared" si="17"/>
        <v>0.1011</v>
      </c>
      <c r="O60" s="30">
        <f t="shared" si="18"/>
        <v>4.5250000000000005E-2</v>
      </c>
      <c r="Q60" s="100">
        <f>Q59+1</f>
        <v>2012</v>
      </c>
      <c r="R60" s="5">
        <v>47.759</v>
      </c>
      <c r="S60" s="5">
        <v>35.347999999999999</v>
      </c>
      <c r="T60" s="5">
        <v>18.875</v>
      </c>
      <c r="U60" s="5">
        <v>14.702</v>
      </c>
      <c r="V60" s="5">
        <v>8.3559999999999999</v>
      </c>
      <c r="W60" s="5">
        <v>3.645</v>
      </c>
      <c r="X60" s="5"/>
      <c r="Y60" s="30">
        <f t="shared" si="7"/>
        <v>0.47759000000000001</v>
      </c>
      <c r="Z60" s="30">
        <f t="shared" si="8"/>
        <v>0.35348000000000002</v>
      </c>
      <c r="AA60" s="30">
        <f t="shared" si="9"/>
        <v>0.18875</v>
      </c>
      <c r="AB60" s="30">
        <f t="shared" si="10"/>
        <v>0.14702000000000001</v>
      </c>
      <c r="AC60" s="30">
        <f t="shared" si="11"/>
        <v>8.3559999999999995E-2</v>
      </c>
      <c r="AD60" s="30">
        <f t="shared" si="12"/>
        <v>3.6450000000000003E-2</v>
      </c>
    </row>
    <row r="61" spans="1:32" ht="13.5" customHeight="1" x14ac:dyDescent="0.25">
      <c r="A61" s="2">
        <f>A60+1</f>
        <v>2013</v>
      </c>
      <c r="B61" s="5">
        <v>47.61</v>
      </c>
      <c r="C61" s="5">
        <v>35.369999999999997</v>
      </c>
      <c r="D61" s="5">
        <v>18.920000000000002</v>
      </c>
      <c r="E61" s="5">
        <v>14.77</v>
      </c>
      <c r="F61" s="5">
        <v>8.4499999999999993</v>
      </c>
      <c r="G61" s="5">
        <v>3.69</v>
      </c>
      <c r="I61" s="2">
        <f>I60+1</f>
        <v>2013</v>
      </c>
      <c r="J61" s="30">
        <f t="shared" si="13"/>
        <v>0.47609999999999997</v>
      </c>
      <c r="K61" s="30">
        <f t="shared" si="14"/>
        <v>0.35369999999999996</v>
      </c>
      <c r="L61" s="30">
        <f t="shared" si="15"/>
        <v>0.18920000000000001</v>
      </c>
      <c r="M61" s="30">
        <f t="shared" si="16"/>
        <v>0.1477</v>
      </c>
      <c r="N61" s="30">
        <f t="shared" si="17"/>
        <v>8.4499999999999992E-2</v>
      </c>
      <c r="O61" s="30">
        <f t="shared" si="18"/>
        <v>3.6900000000000002E-2</v>
      </c>
      <c r="Q61" s="100">
        <f>Q60+1</f>
        <v>2013</v>
      </c>
      <c r="R61" s="5">
        <v>46.7</v>
      </c>
      <c r="S61" s="5">
        <v>34.1</v>
      </c>
      <c r="T61" s="5">
        <v>17.43</v>
      </c>
      <c r="U61" s="5">
        <v>13.32</v>
      </c>
      <c r="V61" s="5">
        <v>7.32</v>
      </c>
      <c r="W61" s="5">
        <v>3.09</v>
      </c>
      <c r="X61" s="5"/>
      <c r="Y61" s="30">
        <f t="shared" si="7"/>
        <v>0.46700000000000003</v>
      </c>
      <c r="Z61" s="30">
        <f t="shared" si="8"/>
        <v>0.34100000000000003</v>
      </c>
      <c r="AA61" s="30">
        <f t="shared" si="9"/>
        <v>0.17430000000000001</v>
      </c>
      <c r="AB61" s="30">
        <f t="shared" si="10"/>
        <v>0.13320000000000001</v>
      </c>
      <c r="AC61" s="30">
        <f t="shared" si="11"/>
        <v>7.3200000000000001E-2</v>
      </c>
      <c r="AD61" s="30">
        <f t="shared" si="12"/>
        <v>3.0899999999999997E-2</v>
      </c>
    </row>
    <row r="62" spans="1:32" ht="13.5" customHeight="1" x14ac:dyDescent="0.25">
      <c r="A62" s="100">
        <v>2014</v>
      </c>
      <c r="B62" s="5">
        <v>48.57</v>
      </c>
      <c r="C62" s="5">
        <v>36.5</v>
      </c>
      <c r="D62" s="5">
        <v>20.02</v>
      </c>
      <c r="E62" s="5">
        <v>15.77</v>
      </c>
      <c r="F62" s="5">
        <v>9.17</v>
      </c>
      <c r="G62" s="5">
        <v>4.0199999999999996</v>
      </c>
      <c r="H62" s="4"/>
      <c r="I62" s="100">
        <f>I61+1</f>
        <v>2014</v>
      </c>
      <c r="J62" s="30">
        <f t="shared" ref="J62:O63" si="21">B62/100</f>
        <v>0.48570000000000002</v>
      </c>
      <c r="K62" s="30">
        <f t="shared" si="21"/>
        <v>0.36499999999999999</v>
      </c>
      <c r="L62" s="30">
        <f t="shared" si="21"/>
        <v>0.20019999999999999</v>
      </c>
      <c r="M62" s="30">
        <f t="shared" si="21"/>
        <v>0.15770000000000001</v>
      </c>
      <c r="N62" s="30">
        <f t="shared" si="21"/>
        <v>9.1700000000000004E-2</v>
      </c>
      <c r="O62" s="30">
        <f t="shared" si="21"/>
        <v>4.0199999999999993E-2</v>
      </c>
      <c r="Q62" s="100">
        <v>2014</v>
      </c>
      <c r="R62" s="5">
        <v>47.34</v>
      </c>
      <c r="S62" s="5">
        <v>34.770000000000003</v>
      </c>
      <c r="T62" s="5">
        <v>17.989999999999998</v>
      </c>
      <c r="U62" s="5">
        <v>13.81</v>
      </c>
      <c r="V62" s="5">
        <v>7.62</v>
      </c>
      <c r="W62" s="5">
        <v>3.19</v>
      </c>
      <c r="X62" s="5"/>
      <c r="Y62" s="30">
        <f t="shared" si="7"/>
        <v>0.47340000000000004</v>
      </c>
      <c r="Z62" s="30">
        <f t="shared" si="8"/>
        <v>0.34770000000000001</v>
      </c>
      <c r="AA62" s="30">
        <f t="shared" si="9"/>
        <v>0.17989999999999998</v>
      </c>
      <c r="AB62" s="30">
        <f t="shared" si="10"/>
        <v>0.1381</v>
      </c>
      <c r="AC62" s="30">
        <f t="shared" si="11"/>
        <v>7.6200000000000004E-2</v>
      </c>
      <c r="AD62" s="30">
        <f t="shared" si="12"/>
        <v>3.1899999999999998E-2</v>
      </c>
    </row>
    <row r="63" spans="1:32" s="662" customFormat="1" ht="13.5" customHeight="1" x14ac:dyDescent="0.25">
      <c r="A63" s="663">
        <v>2015</v>
      </c>
      <c r="B63" s="664">
        <v>48.79</v>
      </c>
      <c r="C63" s="664">
        <v>36.85</v>
      </c>
      <c r="D63" s="664">
        <v>20.309999999999999</v>
      </c>
      <c r="E63" s="664">
        <v>16.010000000000002</v>
      </c>
      <c r="F63" s="664">
        <v>9.2899999999999991</v>
      </c>
      <c r="G63" s="664">
        <v>3.96</v>
      </c>
      <c r="H63" s="4"/>
      <c r="I63" s="663">
        <v>2015</v>
      </c>
      <c r="J63" s="659">
        <f t="shared" si="21"/>
        <v>0.4879</v>
      </c>
      <c r="K63" s="659">
        <f t="shared" si="21"/>
        <v>0.36849999999999999</v>
      </c>
      <c r="L63" s="659">
        <f t="shared" si="21"/>
        <v>0.20309999999999997</v>
      </c>
      <c r="M63" s="659">
        <f t="shared" si="21"/>
        <v>0.16010000000000002</v>
      </c>
      <c r="N63" s="659">
        <f t="shared" si="21"/>
        <v>9.2899999999999996E-2</v>
      </c>
      <c r="O63" s="659">
        <f t="shared" si="21"/>
        <v>3.9599999999999996E-2</v>
      </c>
      <c r="P63" s="4"/>
      <c r="Q63" s="663">
        <v>2015</v>
      </c>
      <c r="R63" s="664">
        <v>47.81</v>
      </c>
      <c r="S63" s="664">
        <v>35.299999999999997</v>
      </c>
      <c r="T63" s="661">
        <v>18.39</v>
      </c>
      <c r="U63" s="661">
        <v>14.16</v>
      </c>
      <c r="V63" s="661">
        <v>7.86</v>
      </c>
      <c r="W63" s="661">
        <v>3.29</v>
      </c>
      <c r="X63" s="661"/>
      <c r="Y63" s="30">
        <f t="shared" si="7"/>
        <v>0.47810000000000002</v>
      </c>
      <c r="Z63" s="30">
        <f t="shared" si="8"/>
        <v>0.35299999999999998</v>
      </c>
      <c r="AA63" s="30">
        <f t="shared" si="9"/>
        <v>0.18390000000000001</v>
      </c>
      <c r="AB63" s="30">
        <f t="shared" si="10"/>
        <v>0.1416</v>
      </c>
      <c r="AC63" s="30">
        <f t="shared" si="11"/>
        <v>7.8600000000000003E-2</v>
      </c>
      <c r="AD63" s="30">
        <f t="shared" si="12"/>
        <v>3.2899999999999999E-2</v>
      </c>
    </row>
    <row r="64" spans="1:32" ht="13.5" customHeight="1" x14ac:dyDescent="0.25">
      <c r="A64" s="212"/>
      <c r="B64" s="1"/>
      <c r="C64" s="1"/>
      <c r="D64" s="1"/>
      <c r="E64" s="1"/>
      <c r="F64" s="1"/>
      <c r="G64" s="1"/>
      <c r="H64" s="1"/>
      <c r="I64" s="212"/>
      <c r="J64" s="1"/>
      <c r="K64" s="1"/>
      <c r="L64" s="1"/>
      <c r="M64" s="1"/>
      <c r="N64" s="1"/>
      <c r="O64" s="1"/>
      <c r="Q64" s="577"/>
      <c r="R64" s="212"/>
      <c r="S64" s="1"/>
      <c r="T64" s="1"/>
      <c r="U64" s="1"/>
      <c r="V64" s="1"/>
      <c r="W64" s="1"/>
      <c r="X64" s="1"/>
      <c r="Y64" s="1"/>
      <c r="Z64" s="212"/>
      <c r="AA64" s="1"/>
      <c r="AB64" s="1"/>
      <c r="AC64" s="1"/>
      <c r="AD64" s="1"/>
      <c r="AE64" s="4"/>
      <c r="AF64" s="4"/>
    </row>
    <row r="65" spans="1:9" ht="13.5" customHeight="1" x14ac:dyDescent="0.25">
      <c r="A65" s="7"/>
      <c r="I65" s="7"/>
    </row>
    <row r="66" spans="1:9" ht="13.5" customHeight="1" x14ac:dyDescent="0.25">
      <c r="A66" s="7"/>
      <c r="I66" s="7"/>
    </row>
    <row r="67" spans="1:9" ht="13.5" customHeight="1" x14ac:dyDescent="0.25">
      <c r="A67" s="7"/>
      <c r="I67" s="7"/>
    </row>
    <row r="68" spans="1:9" ht="13.5" customHeight="1" x14ac:dyDescent="0.25">
      <c r="A68" s="7"/>
      <c r="D68" s="336"/>
      <c r="I68" s="7"/>
    </row>
    <row r="69" spans="1:9" ht="13.5" customHeight="1" x14ac:dyDescent="0.25">
      <c r="D69" s="336"/>
    </row>
    <row r="111" spans="17:29" ht="13.5" customHeight="1" x14ac:dyDescent="0.25">
      <c r="Q111" s="578"/>
      <c r="R111" s="233"/>
      <c r="S111" s="578"/>
      <c r="T111" s="578"/>
      <c r="U111" s="578"/>
      <c r="V111" s="578"/>
      <c r="W111" s="578"/>
      <c r="X111" s="1"/>
      <c r="Y111" s="233"/>
      <c r="Z111" s="233"/>
      <c r="AA111" s="233"/>
      <c r="AB111" s="233"/>
      <c r="AC111" s="233"/>
    </row>
    <row r="112" spans="17:29" ht="13.5" customHeight="1" x14ac:dyDescent="0.25">
      <c r="Q112" s="6"/>
      <c r="Y112" s="5"/>
      <c r="Z112" s="5"/>
      <c r="AA112" s="5"/>
      <c r="AB112" s="5"/>
      <c r="AC112" s="5"/>
    </row>
  </sheetData>
  <mergeCells count="9">
    <mergeCell ref="A3:H3"/>
    <mergeCell ref="A4:H4"/>
    <mergeCell ref="A5:H5"/>
    <mergeCell ref="Q3:AC3"/>
    <mergeCell ref="Q4:AC4"/>
    <mergeCell ref="Q5:AC5"/>
    <mergeCell ref="I3:O3"/>
    <mergeCell ref="I4:O4"/>
    <mergeCell ref="I5:O5"/>
  </mergeCells>
  <hyperlinks>
    <hyperlink ref="O1" location="Index!A1" display="Index"/>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M66"/>
  <sheetViews>
    <sheetView workbookViewId="0"/>
  </sheetViews>
  <sheetFormatPr defaultRowHeight="14.4" x14ac:dyDescent="0.3"/>
  <cols>
    <col min="1" max="1" width="10.44140625" customWidth="1"/>
    <col min="2" max="2" width="9.5546875" bestFit="1" customWidth="1"/>
    <col min="5" max="5" width="8.109375" customWidth="1"/>
    <col min="9" max="9" width="9.21875" customWidth="1"/>
    <col min="10" max="10" width="9.88671875" customWidth="1"/>
    <col min="12" max="12" width="9.88671875" customWidth="1"/>
  </cols>
  <sheetData>
    <row r="1" spans="1:13" x14ac:dyDescent="0.3">
      <c r="A1" s="75" t="s">
        <v>1588</v>
      </c>
    </row>
    <row r="2" spans="1:13" s="502" customFormat="1" ht="15.6" x14ac:dyDescent="0.3">
      <c r="A2" s="463" t="s">
        <v>504</v>
      </c>
    </row>
    <row r="3" spans="1:13" s="1005" customFormat="1" ht="15.6" x14ac:dyDescent="0.3">
      <c r="A3" s="466"/>
      <c r="G3" s="28"/>
      <c r="H3" s="642"/>
      <c r="I3" s="642"/>
      <c r="J3" s="642"/>
    </row>
    <row r="4" spans="1:13" s="994" customFormat="1" ht="15.6" x14ac:dyDescent="0.3">
      <c r="A4" s="501"/>
      <c r="B4" s="11"/>
      <c r="C4" s="11"/>
      <c r="D4" s="11"/>
      <c r="E4" s="11"/>
      <c r="F4" s="11"/>
      <c r="G4" s="11"/>
      <c r="H4" s="11"/>
      <c r="J4" s="12"/>
      <c r="K4" s="12"/>
      <c r="L4" s="12"/>
    </row>
    <row r="5" spans="1:13" x14ac:dyDescent="0.3">
      <c r="A5" s="11"/>
      <c r="B5" s="1445" t="s">
        <v>1585</v>
      </c>
      <c r="C5" s="1445"/>
      <c r="D5" s="1445"/>
      <c r="E5" s="1445"/>
      <c r="G5" s="1445" t="s">
        <v>1586</v>
      </c>
      <c r="H5" s="1445"/>
      <c r="I5" s="1445"/>
      <c r="J5" s="1445"/>
      <c r="L5" s="1009"/>
    </row>
    <row r="6" spans="1:13" x14ac:dyDescent="0.3">
      <c r="A6" s="251" t="s">
        <v>6</v>
      </c>
      <c r="B6" s="251" t="s">
        <v>204</v>
      </c>
      <c r="C6" s="1004" t="s">
        <v>593</v>
      </c>
      <c r="D6" s="251" t="s">
        <v>24</v>
      </c>
      <c r="E6" s="251" t="s">
        <v>26</v>
      </c>
      <c r="G6" s="1004" t="s">
        <v>204</v>
      </c>
      <c r="H6" s="1004" t="s">
        <v>593</v>
      </c>
      <c r="I6" s="1004" t="s">
        <v>24</v>
      </c>
      <c r="J6" s="1004" t="s">
        <v>26</v>
      </c>
      <c r="L6" s="1007"/>
    </row>
    <row r="7" spans="1:13" s="172" customFormat="1" x14ac:dyDescent="0.3">
      <c r="A7" s="250">
        <v>1960</v>
      </c>
      <c r="B7" s="666">
        <v>0.67105712709999998</v>
      </c>
      <c r="C7" s="666">
        <v>0.63860119360000001</v>
      </c>
      <c r="D7" s="666">
        <v>0.93508441610000004</v>
      </c>
      <c r="E7" s="666">
        <v>0.89608660640000004</v>
      </c>
      <c r="G7" s="650">
        <v>1.2191500214</v>
      </c>
      <c r="H7" s="650">
        <v>1.1674238916999999</v>
      </c>
      <c r="I7" s="1008">
        <v>1.6399393283999999</v>
      </c>
      <c r="J7" s="1008">
        <v>1.8481959266000001</v>
      </c>
      <c r="L7" s="28"/>
      <c r="M7" s="28"/>
    </row>
    <row r="8" spans="1:13" ht="5.25" customHeight="1" x14ac:dyDescent="0.3">
      <c r="A8" s="170"/>
      <c r="B8" s="666"/>
      <c r="C8" s="666"/>
      <c r="D8" s="666"/>
      <c r="E8" s="666"/>
      <c r="G8" s="650"/>
      <c r="H8" s="1281"/>
      <c r="I8" s="650"/>
      <c r="J8" s="650"/>
      <c r="L8" s="12"/>
    </row>
    <row r="9" spans="1:13" s="96" customFormat="1" x14ac:dyDescent="0.3">
      <c r="A9" s="250">
        <v>1961.9999999997005</v>
      </c>
      <c r="B9" s="666">
        <v>0.64759316040000003</v>
      </c>
      <c r="C9" s="666">
        <v>0.61275823659999995</v>
      </c>
      <c r="D9" s="666">
        <v>0.9293907199</v>
      </c>
      <c r="E9" s="666">
        <v>0.9030540118</v>
      </c>
      <c r="G9" s="650">
        <v>1.1857640424</v>
      </c>
      <c r="H9" s="650">
        <v>1.1314981153999999</v>
      </c>
      <c r="I9" s="650">
        <v>1.6247489493</v>
      </c>
      <c r="J9" s="650">
        <v>1.751784172</v>
      </c>
      <c r="L9" s="666"/>
    </row>
    <row r="10" spans="1:13" ht="6.75" customHeight="1" x14ac:dyDescent="0.3">
      <c r="A10" s="250"/>
      <c r="B10" s="666"/>
      <c r="C10" s="666"/>
      <c r="D10" s="666"/>
      <c r="E10" s="666"/>
      <c r="G10" s="650"/>
      <c r="H10" s="650"/>
      <c r="I10" s="650"/>
      <c r="J10" s="650"/>
      <c r="L10" s="12"/>
    </row>
    <row r="11" spans="1:13" x14ac:dyDescent="0.3">
      <c r="A11" s="250">
        <v>1964</v>
      </c>
      <c r="B11" s="666">
        <v>0.64562159389999996</v>
      </c>
      <c r="C11" s="666">
        <v>0.60991152530000003</v>
      </c>
      <c r="D11" s="666">
        <v>0.93369867470000001</v>
      </c>
      <c r="E11" s="666">
        <v>0.91321659789999998</v>
      </c>
      <c r="G11" s="650">
        <v>1.1937841911</v>
      </c>
      <c r="H11" s="650">
        <v>1.1377414529000001</v>
      </c>
      <c r="I11" s="650">
        <v>1.6458871709</v>
      </c>
      <c r="J11" s="650">
        <v>1.8168253631</v>
      </c>
      <c r="L11" s="666"/>
    </row>
    <row r="12" spans="1:13" ht="8.25" customHeight="1" x14ac:dyDescent="0.3">
      <c r="A12" s="250"/>
      <c r="B12" s="666"/>
      <c r="C12" s="666"/>
      <c r="D12" s="666"/>
      <c r="E12" s="666"/>
      <c r="G12" s="650"/>
      <c r="H12" s="650"/>
      <c r="I12" s="650"/>
      <c r="J12" s="650"/>
      <c r="L12" s="12"/>
    </row>
    <row r="13" spans="1:13" ht="12.75" customHeight="1" x14ac:dyDescent="0.3">
      <c r="A13" s="250">
        <v>1965.9999999999886</v>
      </c>
      <c r="B13" s="666">
        <v>0.63813597919999998</v>
      </c>
      <c r="C13" s="666">
        <v>0.60079231509999997</v>
      </c>
      <c r="D13" s="666">
        <v>0.93362778609999997</v>
      </c>
      <c r="E13" s="666">
        <v>0.91317265599999997</v>
      </c>
      <c r="G13" s="650">
        <v>1.1667721391000001</v>
      </c>
      <c r="H13" s="650">
        <v>1.1002721948</v>
      </c>
      <c r="I13" s="650">
        <v>1.6929708703999999</v>
      </c>
      <c r="J13" s="650">
        <v>1.7897764637</v>
      </c>
      <c r="L13" s="666"/>
    </row>
    <row r="14" spans="1:13" ht="12.75" customHeight="1" x14ac:dyDescent="0.3">
      <c r="A14" s="250">
        <v>1967.0000000000339</v>
      </c>
      <c r="B14" s="666">
        <v>0.63588211719999999</v>
      </c>
      <c r="C14" s="666">
        <v>0.59796200519999998</v>
      </c>
      <c r="D14" s="666">
        <v>0.93748873860000004</v>
      </c>
      <c r="E14" s="666">
        <v>0.92465843670000003</v>
      </c>
      <c r="G14" s="650">
        <v>1.1822633373</v>
      </c>
      <c r="H14" s="650">
        <v>1.1166328312</v>
      </c>
      <c r="I14" s="650">
        <v>1.704271163</v>
      </c>
      <c r="J14" s="650">
        <v>1.8254976144999999</v>
      </c>
      <c r="L14" s="666"/>
    </row>
    <row r="15" spans="1:13" ht="12.75" customHeight="1" x14ac:dyDescent="0.3">
      <c r="A15" s="250">
        <v>1968</v>
      </c>
      <c r="B15" s="666">
        <v>0.62807919420000002</v>
      </c>
      <c r="C15" s="666">
        <v>0.58867003409999996</v>
      </c>
      <c r="D15" s="666">
        <v>0.94046285409999997</v>
      </c>
      <c r="E15" s="666">
        <v>0.9244287605</v>
      </c>
      <c r="G15" s="650">
        <v>1.1568759863</v>
      </c>
      <c r="H15" s="650">
        <v>1.0856943317000001</v>
      </c>
      <c r="I15" s="650">
        <v>1.7211099288</v>
      </c>
      <c r="J15" s="650">
        <v>1.8305865375999999</v>
      </c>
      <c r="L15" s="666"/>
    </row>
    <row r="16" spans="1:13" ht="12.75" customHeight="1" x14ac:dyDescent="0.3">
      <c r="A16" s="250">
        <v>1969</v>
      </c>
      <c r="B16" s="666">
        <v>0.62608093239999996</v>
      </c>
      <c r="C16" s="666">
        <v>0.5870104626</v>
      </c>
      <c r="D16" s="666">
        <v>0.93653282719999997</v>
      </c>
      <c r="E16" s="666">
        <v>0.92380422100000004</v>
      </c>
      <c r="G16" s="650">
        <v>1.1249306757999999</v>
      </c>
      <c r="H16" s="650">
        <v>1.0526727440999999</v>
      </c>
      <c r="I16" s="650">
        <v>1.6990883939999999</v>
      </c>
      <c r="J16" s="650">
        <v>1.7982876729999999</v>
      </c>
      <c r="L16" s="666"/>
    </row>
    <row r="17" spans="1:12" ht="12.75" customHeight="1" x14ac:dyDescent="0.3">
      <c r="A17" s="250">
        <v>1970</v>
      </c>
      <c r="B17" s="666">
        <v>0.63565000449999998</v>
      </c>
      <c r="C17" s="666">
        <v>0.597569342</v>
      </c>
      <c r="D17" s="666">
        <v>0.93924583260000005</v>
      </c>
      <c r="E17" s="666">
        <v>0.92761118669999998</v>
      </c>
      <c r="G17" s="650">
        <v>1.0922714862</v>
      </c>
      <c r="H17" s="650">
        <v>1.0222913028</v>
      </c>
      <c r="I17" s="650">
        <v>1.6501843574999999</v>
      </c>
      <c r="J17" s="650">
        <v>1.7198868836000001</v>
      </c>
      <c r="L17" s="666"/>
    </row>
    <row r="18" spans="1:12" ht="12.75" customHeight="1" x14ac:dyDescent="0.3">
      <c r="A18" s="250">
        <v>1971</v>
      </c>
      <c r="B18" s="666">
        <v>0.64503714570000004</v>
      </c>
      <c r="C18" s="666">
        <v>0.6075880749</v>
      </c>
      <c r="D18" s="666">
        <v>0.9432933818</v>
      </c>
      <c r="E18" s="666">
        <v>0.92445679940000003</v>
      </c>
      <c r="G18" s="650">
        <v>1.1464165769000001</v>
      </c>
      <c r="H18" s="650">
        <v>1.0746661215</v>
      </c>
      <c r="I18" s="650">
        <v>1.7178598806000001</v>
      </c>
      <c r="J18" s="650">
        <v>1.8586826942000001</v>
      </c>
      <c r="L18" s="666"/>
    </row>
    <row r="19" spans="1:12" ht="12.75" customHeight="1" x14ac:dyDescent="0.3">
      <c r="A19" s="250">
        <v>1972</v>
      </c>
      <c r="B19" s="666">
        <v>0.61261156449999998</v>
      </c>
      <c r="C19" s="666">
        <v>0.57203016350000002</v>
      </c>
      <c r="D19" s="666">
        <v>0.93782318710000001</v>
      </c>
      <c r="E19" s="666">
        <v>0.92318493739999996</v>
      </c>
      <c r="G19" s="650">
        <v>1.0601746926</v>
      </c>
      <c r="H19" s="650">
        <v>0.98289968650000004</v>
      </c>
      <c r="I19" s="650">
        <v>1.6794418813000001</v>
      </c>
      <c r="J19" s="650">
        <v>1.7781810819999999</v>
      </c>
      <c r="L19" s="666"/>
    </row>
    <row r="20" spans="1:12" ht="12.75" customHeight="1" x14ac:dyDescent="0.3">
      <c r="A20" s="250">
        <v>1973</v>
      </c>
      <c r="B20" s="666">
        <v>0.60625347289999998</v>
      </c>
      <c r="C20" s="666">
        <v>0.56489805270000004</v>
      </c>
      <c r="D20" s="666">
        <v>0.9326308579</v>
      </c>
      <c r="E20" s="666">
        <v>0.92079284009999995</v>
      </c>
      <c r="G20" s="650">
        <v>1.0518720951</v>
      </c>
      <c r="H20" s="650">
        <v>0.97648885910000005</v>
      </c>
      <c r="I20" s="650">
        <v>1.64679734</v>
      </c>
      <c r="J20" s="650">
        <v>1.7304343514</v>
      </c>
      <c r="L20" s="666"/>
    </row>
    <row r="21" spans="1:12" ht="12.75" customHeight="1" x14ac:dyDescent="0.3">
      <c r="A21" s="250">
        <v>1974</v>
      </c>
      <c r="B21" s="666">
        <v>0.59550545450000003</v>
      </c>
      <c r="C21" s="666">
        <v>0.55311754449999995</v>
      </c>
      <c r="D21" s="666">
        <v>0.92981861040000002</v>
      </c>
      <c r="E21" s="666">
        <v>0.92282012879999997</v>
      </c>
      <c r="G21" s="650">
        <v>1.0370001012000001</v>
      </c>
      <c r="H21" s="650">
        <v>0.97049324039999996</v>
      </c>
      <c r="I21" s="650">
        <v>1.5615392561000001</v>
      </c>
      <c r="J21" s="650">
        <v>1.7174519260000001</v>
      </c>
      <c r="L21" s="666"/>
    </row>
    <row r="22" spans="1:12" ht="12.75" customHeight="1" x14ac:dyDescent="0.3">
      <c r="A22" s="250">
        <v>1975</v>
      </c>
      <c r="B22" s="666">
        <v>0.60273639020000003</v>
      </c>
      <c r="C22" s="666">
        <v>0.5608646115</v>
      </c>
      <c r="D22" s="666">
        <v>0.93169301849999997</v>
      </c>
      <c r="E22" s="666">
        <v>0.91771198590000003</v>
      </c>
      <c r="G22" s="650">
        <v>1.0143850165999999</v>
      </c>
      <c r="H22" s="650">
        <v>0.94609076960000005</v>
      </c>
      <c r="I22" s="650">
        <v>1.5509240852999999</v>
      </c>
      <c r="J22" s="650">
        <v>1.6731936762999999</v>
      </c>
      <c r="L22" s="666"/>
    </row>
    <row r="23" spans="1:12" ht="12.75" customHeight="1" x14ac:dyDescent="0.3">
      <c r="A23" s="250">
        <v>1975.9999999998599</v>
      </c>
      <c r="B23" s="666">
        <v>0.59433356370000001</v>
      </c>
      <c r="C23" s="666">
        <v>0.55105550969999995</v>
      </c>
      <c r="D23" s="666">
        <v>0.9336580887</v>
      </c>
      <c r="E23" s="666">
        <v>0.916106894</v>
      </c>
      <c r="G23" s="650">
        <v>0.99361996279999998</v>
      </c>
      <c r="H23" s="650">
        <v>0.92399187979999997</v>
      </c>
      <c r="I23" s="650">
        <v>1.5395436826</v>
      </c>
      <c r="J23" s="650">
        <v>1.6412787105</v>
      </c>
      <c r="L23" s="666"/>
    </row>
    <row r="24" spans="1:12" ht="12.75" customHeight="1" x14ac:dyDescent="0.3">
      <c r="A24" s="250">
        <v>1976.9999999999166</v>
      </c>
      <c r="B24" s="666">
        <v>0.57516767270000002</v>
      </c>
      <c r="C24" s="666">
        <v>0.52962618780000004</v>
      </c>
      <c r="D24" s="666">
        <v>0.93259534070000005</v>
      </c>
      <c r="E24" s="666">
        <v>0.91709278760000001</v>
      </c>
      <c r="G24" s="650">
        <v>0.94182236900000005</v>
      </c>
      <c r="H24" s="650">
        <v>0.86907889169999997</v>
      </c>
      <c r="I24" s="650">
        <v>1.5127420818999999</v>
      </c>
      <c r="J24" s="650">
        <v>1.6139760142999999</v>
      </c>
      <c r="L24" s="666"/>
    </row>
    <row r="25" spans="1:12" ht="12.75" customHeight="1" x14ac:dyDescent="0.3">
      <c r="A25" s="250">
        <v>1977.999999999847</v>
      </c>
      <c r="B25" s="666">
        <v>0.56406222620000002</v>
      </c>
      <c r="C25" s="666">
        <v>0.5167715075</v>
      </c>
      <c r="D25" s="666">
        <v>0.93283313710000004</v>
      </c>
      <c r="E25" s="666">
        <v>0.91330711949999999</v>
      </c>
      <c r="G25" s="650">
        <v>0.91904038539999999</v>
      </c>
      <c r="H25" s="650">
        <v>0.84942662420000004</v>
      </c>
      <c r="I25" s="650">
        <v>1.4618853841999999</v>
      </c>
      <c r="J25" s="650">
        <v>1.5575231758000001</v>
      </c>
      <c r="L25" s="666"/>
    </row>
    <row r="26" spans="1:12" ht="12.75" customHeight="1" x14ac:dyDescent="0.3">
      <c r="A26" s="250">
        <v>1979.0000000000937</v>
      </c>
      <c r="B26" s="666">
        <v>0.54994854670000004</v>
      </c>
      <c r="C26" s="666">
        <v>0.50264657530000001</v>
      </c>
      <c r="D26" s="666">
        <v>0.91655335609999999</v>
      </c>
      <c r="E26" s="666">
        <v>0.89323470699999996</v>
      </c>
      <c r="G26" s="650">
        <v>0.92480213479999995</v>
      </c>
      <c r="H26" s="650">
        <v>0.86591540160000002</v>
      </c>
      <c r="I26" s="650">
        <v>1.3811924068999999</v>
      </c>
      <c r="J26" s="650">
        <v>1.3945593411999999</v>
      </c>
      <c r="L26" s="666"/>
    </row>
    <row r="27" spans="1:12" ht="12.75" customHeight="1" x14ac:dyDescent="0.3">
      <c r="A27" s="250">
        <v>1979.9999999999859</v>
      </c>
      <c r="B27" s="666">
        <v>0.54170245409999995</v>
      </c>
      <c r="C27" s="666">
        <v>0.4947298229</v>
      </c>
      <c r="D27" s="666">
        <v>0.91192589099999999</v>
      </c>
      <c r="E27" s="666">
        <v>0.88855135929999995</v>
      </c>
      <c r="G27" s="650">
        <v>0.9186181833</v>
      </c>
      <c r="H27" s="650">
        <v>0.86552619310000001</v>
      </c>
      <c r="I27" s="650">
        <v>1.3370724733999999</v>
      </c>
      <c r="J27" s="650">
        <v>1.3502125914000001</v>
      </c>
      <c r="L27" s="666"/>
    </row>
    <row r="28" spans="1:12" ht="12.75" customHeight="1" x14ac:dyDescent="0.3">
      <c r="A28" s="250">
        <v>1980.9999999999884</v>
      </c>
      <c r="B28" s="666">
        <v>0.53313721800000002</v>
      </c>
      <c r="C28" s="666">
        <v>0.48646599569999999</v>
      </c>
      <c r="D28" s="666">
        <v>0.90397586276789976</v>
      </c>
      <c r="E28" s="666">
        <v>0.87948674907900004</v>
      </c>
      <c r="G28" s="650">
        <v>0.8940170623</v>
      </c>
      <c r="H28" s="650">
        <v>0.84337194500000001</v>
      </c>
      <c r="I28" s="650">
        <v>1.2963794588127</v>
      </c>
      <c r="J28" s="650">
        <v>1.258808519127</v>
      </c>
      <c r="L28" s="666"/>
    </row>
    <row r="29" spans="1:12" ht="12.75" customHeight="1" x14ac:dyDescent="0.3">
      <c r="A29" s="250">
        <v>1982.0000000001487</v>
      </c>
      <c r="B29" s="666">
        <v>0.5315005558</v>
      </c>
      <c r="C29" s="666">
        <v>0.48583299889999998</v>
      </c>
      <c r="D29" s="666">
        <v>0.89747128734519988</v>
      </c>
      <c r="E29" s="666">
        <v>0.87749918035200003</v>
      </c>
      <c r="G29" s="650">
        <v>0.88177129430000001</v>
      </c>
      <c r="H29" s="650">
        <v>0.83591772180000001</v>
      </c>
      <c r="I29" s="650">
        <v>1.2492358954265002</v>
      </c>
      <c r="J29" s="650">
        <v>1.2566102877650003</v>
      </c>
      <c r="L29" s="666"/>
    </row>
    <row r="30" spans="1:12" ht="12.75" customHeight="1" x14ac:dyDescent="0.3">
      <c r="A30" s="250">
        <v>1983.0000000001394</v>
      </c>
      <c r="B30" s="666">
        <v>0.52704181780000003</v>
      </c>
      <c r="C30" s="666">
        <v>0.48162564569999999</v>
      </c>
      <c r="D30" s="666">
        <v>0.89225676772890006</v>
      </c>
      <c r="E30" s="666">
        <v>0.86384144268899998</v>
      </c>
      <c r="G30" s="650">
        <v>0.86878453339999995</v>
      </c>
      <c r="H30" s="650">
        <v>0.82248106480000005</v>
      </c>
      <c r="I30" s="650">
        <v>1.2411306595872</v>
      </c>
      <c r="J30" s="650">
        <v>1.2096709935720003</v>
      </c>
      <c r="L30" s="666"/>
    </row>
    <row r="31" spans="1:12" ht="12.75" customHeight="1" x14ac:dyDescent="0.3">
      <c r="A31" s="250">
        <v>1983.9999999997349</v>
      </c>
      <c r="B31" s="666">
        <v>0.5232066755</v>
      </c>
      <c r="C31" s="666">
        <v>0.47681678490000001</v>
      </c>
      <c r="D31" s="666">
        <v>0.8959876300277001</v>
      </c>
      <c r="E31" s="666">
        <v>0.8574881758770001</v>
      </c>
      <c r="G31" s="650">
        <v>0.85556887729999997</v>
      </c>
      <c r="H31" s="650">
        <v>0.81211832780000004</v>
      </c>
      <c r="I31" s="650">
        <v>1.2047114862385999</v>
      </c>
      <c r="J31" s="650">
        <v>1.1615014498859999</v>
      </c>
      <c r="L31" s="666"/>
    </row>
    <row r="32" spans="1:12" ht="12.75" customHeight="1" x14ac:dyDescent="0.3">
      <c r="A32" s="250">
        <v>1984.9999999999459</v>
      </c>
      <c r="B32" s="666">
        <v>0.51632082349999997</v>
      </c>
      <c r="C32" s="666">
        <v>0.46962358939999999</v>
      </c>
      <c r="D32" s="666">
        <v>0.8915393594148</v>
      </c>
      <c r="E32" s="666">
        <v>0.84572928054800001</v>
      </c>
      <c r="G32" s="650">
        <v>0.83405235190000004</v>
      </c>
      <c r="H32" s="650">
        <v>0.7922173844</v>
      </c>
      <c r="I32" s="650">
        <v>1.1701175478796999</v>
      </c>
      <c r="J32" s="650">
        <v>1.0704485700969999</v>
      </c>
      <c r="L32" s="666"/>
    </row>
    <row r="33" spans="1:12" ht="12.75" customHeight="1" x14ac:dyDescent="0.3">
      <c r="A33" s="250">
        <v>1986.0000000001166</v>
      </c>
      <c r="B33" s="666">
        <v>0.51001332870000005</v>
      </c>
      <c r="C33" s="666">
        <v>0.46398432690000002</v>
      </c>
      <c r="D33" s="666">
        <v>0.87929292104400003</v>
      </c>
      <c r="E33" s="666">
        <v>0.83426763733999998</v>
      </c>
      <c r="G33" s="650">
        <v>0.81749740869999998</v>
      </c>
      <c r="H33" s="650">
        <v>0.77706315260000003</v>
      </c>
      <c r="I33" s="650">
        <v>1.1417685144421998</v>
      </c>
      <c r="J33" s="650">
        <v>1.0228260703219998</v>
      </c>
      <c r="L33" s="666"/>
    </row>
    <row r="34" spans="1:12" ht="12.75" customHeight="1" x14ac:dyDescent="0.3">
      <c r="A34" s="250">
        <v>1987.000000000043</v>
      </c>
      <c r="B34" s="666">
        <v>0.50549960439999997</v>
      </c>
      <c r="C34" s="666">
        <v>0.45572538800000001</v>
      </c>
      <c r="D34" s="666">
        <v>0.89158873319529997</v>
      </c>
      <c r="E34" s="666">
        <v>0.86236574995299997</v>
      </c>
      <c r="G34" s="650">
        <v>0.75828604330000005</v>
      </c>
      <c r="H34" s="650">
        <v>0.71239268259999999</v>
      </c>
      <c r="I34" s="650">
        <v>1.1142982416147</v>
      </c>
      <c r="J34" s="650">
        <v>1.1276036743469999</v>
      </c>
      <c r="L34" s="666"/>
    </row>
    <row r="35" spans="1:12" ht="12.75" customHeight="1" x14ac:dyDescent="0.3">
      <c r="A35" s="250">
        <v>1987.9999999999432</v>
      </c>
      <c r="B35" s="666">
        <v>0.4982374067</v>
      </c>
      <c r="C35" s="666">
        <v>0.44771951630000001</v>
      </c>
      <c r="D35" s="666">
        <v>0.88993592345920014</v>
      </c>
      <c r="E35" s="666">
        <v>0.85947909639200015</v>
      </c>
      <c r="G35" s="650">
        <v>0.76262637929999999</v>
      </c>
      <c r="H35" s="650">
        <v>0.7185874484</v>
      </c>
      <c r="I35" s="650">
        <v>1.1041041171367001</v>
      </c>
      <c r="J35" s="650">
        <v>1.1066142617669998</v>
      </c>
      <c r="L35" s="666"/>
    </row>
    <row r="36" spans="1:12" ht="12.75" customHeight="1" x14ac:dyDescent="0.3">
      <c r="A36" s="250">
        <v>1989.0000000000434</v>
      </c>
      <c r="B36" s="666">
        <v>0.48752401909999998</v>
      </c>
      <c r="C36" s="666">
        <v>0.43622923450000001</v>
      </c>
      <c r="D36" s="666">
        <v>0.88511418266849995</v>
      </c>
      <c r="E36" s="666">
        <v>0.86194749558500006</v>
      </c>
      <c r="G36" s="650">
        <v>0.74654047030000004</v>
      </c>
      <c r="H36" s="650">
        <v>0.70340308640000004</v>
      </c>
      <c r="I36" s="650">
        <v>1.0809100568076</v>
      </c>
      <c r="J36" s="650">
        <v>1.110410510276</v>
      </c>
      <c r="L36" s="666"/>
    </row>
    <row r="37" spans="1:12" ht="12.75" customHeight="1" x14ac:dyDescent="0.3">
      <c r="A37" s="250">
        <v>1990.0000000000775</v>
      </c>
      <c r="B37" s="666">
        <v>0.48093079599999999</v>
      </c>
      <c r="C37" s="666">
        <v>0.42916781910000001</v>
      </c>
      <c r="D37" s="666">
        <v>0.88500922163289997</v>
      </c>
      <c r="E37" s="666">
        <v>0.86217669702900002</v>
      </c>
      <c r="G37" s="650">
        <v>0.75052728759999998</v>
      </c>
      <c r="H37" s="650">
        <v>0.70811014380000004</v>
      </c>
      <c r="I37" s="650">
        <v>1.0817013595038003</v>
      </c>
      <c r="J37" s="650">
        <v>1.1340839723380001</v>
      </c>
      <c r="L37" s="666"/>
    </row>
    <row r="38" spans="1:12" ht="12.75" customHeight="1" x14ac:dyDescent="0.3">
      <c r="A38" s="250">
        <v>1991.0000000000293</v>
      </c>
      <c r="B38" s="666">
        <v>0.4749482042</v>
      </c>
      <c r="C38" s="666">
        <v>0.42319197510000001</v>
      </c>
      <c r="D38" s="666">
        <v>0.8838077869205001</v>
      </c>
      <c r="E38" s="666">
        <v>0.86501913250500007</v>
      </c>
      <c r="G38" s="650">
        <v>0.75390081109999996</v>
      </c>
      <c r="H38" s="650">
        <v>0.71050659599999999</v>
      </c>
      <c r="I38" s="650">
        <v>1.0967122662301001</v>
      </c>
      <c r="J38" s="650">
        <v>1.1160218784010001</v>
      </c>
      <c r="L38" s="666"/>
    </row>
    <row r="39" spans="1:12" ht="12.75" customHeight="1" x14ac:dyDescent="0.3">
      <c r="A39" s="250">
        <v>1991.9999999997863</v>
      </c>
      <c r="B39" s="666">
        <v>0.4718123259</v>
      </c>
      <c r="C39" s="666">
        <v>0.42058562560000001</v>
      </c>
      <c r="D39" s="666">
        <v>0.87748649199029993</v>
      </c>
      <c r="E39" s="666">
        <v>0.85940004210300003</v>
      </c>
      <c r="G39" s="650">
        <v>0.76493039819999997</v>
      </c>
      <c r="H39" s="650">
        <v>0.72378356499999996</v>
      </c>
      <c r="I39" s="650">
        <v>1.0907470815966001</v>
      </c>
      <c r="J39" s="650">
        <v>1.105094390966</v>
      </c>
      <c r="L39" s="666"/>
    </row>
    <row r="40" spans="1:12" ht="12.75" customHeight="1" x14ac:dyDescent="0.3">
      <c r="A40" s="250">
        <v>1993</v>
      </c>
      <c r="B40" s="666">
        <v>0.46839683970000001</v>
      </c>
      <c r="C40" s="666">
        <v>0.41645802920000002</v>
      </c>
      <c r="D40" s="666">
        <v>0.88263555365860002</v>
      </c>
      <c r="E40" s="666">
        <v>0.87631202298600008</v>
      </c>
      <c r="G40" s="650">
        <v>0.76618312720000004</v>
      </c>
      <c r="H40" s="650">
        <v>0.72527024429999998</v>
      </c>
      <c r="I40" s="650">
        <v>1.0924671034879001</v>
      </c>
      <c r="J40" s="650">
        <v>1.1219090343790001</v>
      </c>
      <c r="L40" s="666"/>
    </row>
    <row r="41" spans="1:12" ht="12.75" customHeight="1" x14ac:dyDescent="0.3">
      <c r="A41" s="250">
        <v>1993.9999999999402</v>
      </c>
      <c r="B41" s="666">
        <v>0.46498114410000002</v>
      </c>
      <c r="C41" s="666">
        <v>0.41268355779999999</v>
      </c>
      <c r="D41" s="666">
        <v>0.88078624449550014</v>
      </c>
      <c r="E41" s="666">
        <v>0.871455025755</v>
      </c>
      <c r="G41" s="650">
        <v>0.74506450179999995</v>
      </c>
      <c r="H41" s="650">
        <v>0.70144063700000003</v>
      </c>
      <c r="I41" s="650">
        <v>1.0918965218432</v>
      </c>
      <c r="J41" s="650">
        <v>1.0966616892319998</v>
      </c>
      <c r="L41" s="666"/>
    </row>
    <row r="42" spans="1:12" ht="12.75" customHeight="1" x14ac:dyDescent="0.3">
      <c r="A42" s="250">
        <v>1994.9999999999591</v>
      </c>
      <c r="B42" s="666">
        <v>0.4633200173</v>
      </c>
      <c r="C42" s="666">
        <v>0.4105660008</v>
      </c>
      <c r="D42" s="666">
        <v>0.88207166250429991</v>
      </c>
      <c r="E42" s="666">
        <v>0.87076806524299988</v>
      </c>
      <c r="G42" s="650">
        <v>0.75402898360000004</v>
      </c>
      <c r="H42" s="650">
        <v>0.71305089249999998</v>
      </c>
      <c r="I42" s="650">
        <v>1.0792753358937996</v>
      </c>
      <c r="J42" s="650">
        <v>1.0937518449380002</v>
      </c>
      <c r="L42" s="666"/>
    </row>
    <row r="43" spans="1:12" ht="12.75" customHeight="1" x14ac:dyDescent="0.3">
      <c r="A43" s="250">
        <v>1995.9999999999779</v>
      </c>
      <c r="B43" s="666">
        <v>0.45447692760000002</v>
      </c>
      <c r="C43" s="666">
        <v>0.40190810510000002</v>
      </c>
      <c r="D43" s="666">
        <v>0.87048548763730005</v>
      </c>
      <c r="E43" s="666">
        <v>0.87380388997300007</v>
      </c>
      <c r="G43" s="650">
        <v>0.74204206480000001</v>
      </c>
      <c r="H43" s="650">
        <v>0.7039063217</v>
      </c>
      <c r="I43" s="650">
        <v>1.0438424032923002</v>
      </c>
      <c r="J43" s="650">
        <v>1.0635259073230001</v>
      </c>
      <c r="L43" s="666"/>
    </row>
    <row r="44" spans="1:12" ht="12.75" customHeight="1" x14ac:dyDescent="0.3">
      <c r="A44" s="250">
        <v>1997.0000000000593</v>
      </c>
      <c r="B44" s="666">
        <v>0.45149358309999998</v>
      </c>
      <c r="C44" s="666">
        <v>0.39930959459999998</v>
      </c>
      <c r="D44" s="666">
        <v>0.86252376407190001</v>
      </c>
      <c r="E44" s="666">
        <v>0.864363819719</v>
      </c>
      <c r="G44" s="650">
        <v>0.74012555800000002</v>
      </c>
      <c r="H44" s="650">
        <v>0.70499034589999998</v>
      </c>
      <c r="I44" s="650">
        <v>1.0169040355122998</v>
      </c>
      <c r="J44" s="650">
        <v>1.041883260823</v>
      </c>
      <c r="L44" s="666"/>
    </row>
    <row r="45" spans="1:12" ht="12.75" customHeight="1" x14ac:dyDescent="0.3">
      <c r="A45" s="250">
        <v>1997.9999999999859</v>
      </c>
      <c r="B45" s="666">
        <v>0.44591522620000001</v>
      </c>
      <c r="C45" s="666">
        <v>0.39358059550000002</v>
      </c>
      <c r="D45" s="666">
        <v>0.85983676197730008</v>
      </c>
      <c r="E45" s="666">
        <v>0.85139755137299988</v>
      </c>
      <c r="G45" s="650">
        <v>0.73549098889999998</v>
      </c>
      <c r="H45" s="650">
        <v>0.70070120280000003</v>
      </c>
      <c r="I45" s="650">
        <v>1.0106948214489</v>
      </c>
      <c r="J45" s="650">
        <v>1.0244125172889997</v>
      </c>
      <c r="L45" s="666"/>
    </row>
    <row r="46" spans="1:12" ht="12.75" customHeight="1" x14ac:dyDescent="0.3">
      <c r="A46" s="250">
        <v>1998.9999999999816</v>
      </c>
      <c r="B46" s="666">
        <v>0.44492757999999999</v>
      </c>
      <c r="C46" s="666">
        <v>0.3928754813</v>
      </c>
      <c r="D46" s="666">
        <v>0.85522272898450002</v>
      </c>
      <c r="E46" s="666">
        <v>0.84707343004500002</v>
      </c>
      <c r="G46" s="650">
        <v>0.67758198039999995</v>
      </c>
      <c r="H46" s="650">
        <v>0.64079246560000003</v>
      </c>
      <c r="I46" s="650">
        <v>0.96758227473489988</v>
      </c>
      <c r="J46" s="650">
        <v>0.98178768924900006</v>
      </c>
      <c r="L46" s="666"/>
    </row>
    <row r="47" spans="1:12" ht="12.75" customHeight="1" x14ac:dyDescent="0.3">
      <c r="A47" s="250">
        <v>1999.9999999999534</v>
      </c>
      <c r="B47" s="666">
        <v>0.43794538890000001</v>
      </c>
      <c r="C47" s="666">
        <v>0.38568116940000002</v>
      </c>
      <c r="D47" s="666">
        <v>0.85016698095789989</v>
      </c>
      <c r="E47" s="666">
        <v>0.84771491547900002</v>
      </c>
      <c r="G47" s="650">
        <v>0.72683402900000005</v>
      </c>
      <c r="H47" s="650">
        <v>0.69239204809999999</v>
      </c>
      <c r="I47" s="650">
        <v>0.99846097810430001</v>
      </c>
      <c r="J47" s="650">
        <v>0.98937936214300004</v>
      </c>
      <c r="L47" s="666"/>
    </row>
    <row r="48" spans="1:12" ht="12.75" customHeight="1" x14ac:dyDescent="0.3">
      <c r="A48" s="250">
        <v>2001.0000000004154</v>
      </c>
      <c r="B48" s="666">
        <v>0.43636096270000002</v>
      </c>
      <c r="C48" s="666">
        <v>0.38394673750000002</v>
      </c>
      <c r="D48" s="666">
        <v>0.85362210915500025</v>
      </c>
      <c r="E48" s="666">
        <v>0.85427554695000008</v>
      </c>
      <c r="G48" s="650">
        <v>0.7269732954</v>
      </c>
      <c r="H48" s="650">
        <v>0.68976994359999999</v>
      </c>
      <c r="I48" s="650">
        <v>1.0231958612007999</v>
      </c>
      <c r="J48" s="650">
        <v>1.0498836272079999</v>
      </c>
      <c r="L48" s="666"/>
    </row>
    <row r="49" spans="1:13" ht="12.75" customHeight="1" x14ac:dyDescent="0.3">
      <c r="A49" s="250">
        <v>2001.9999999997401</v>
      </c>
      <c r="B49" s="666">
        <v>0.43586703119999998</v>
      </c>
      <c r="C49" s="666">
        <v>0.38397627309999999</v>
      </c>
      <c r="D49" s="666">
        <v>0.85221941525550005</v>
      </c>
      <c r="E49" s="666">
        <v>0.85801308485499994</v>
      </c>
      <c r="G49" s="650">
        <v>0.73813497669999995</v>
      </c>
      <c r="H49" s="650">
        <v>0.7017590454</v>
      </c>
      <c r="I49" s="650">
        <v>1.0300540296170999</v>
      </c>
      <c r="J49" s="650">
        <v>1.079380130671</v>
      </c>
      <c r="L49" s="666"/>
    </row>
    <row r="50" spans="1:13" ht="12.75" customHeight="1" x14ac:dyDescent="0.3">
      <c r="A50" s="250">
        <v>2003.0000000001055</v>
      </c>
      <c r="B50" s="666">
        <v>0.4342989176</v>
      </c>
      <c r="C50" s="666">
        <v>0.38161388930000001</v>
      </c>
      <c r="D50" s="666">
        <v>0.85946209252829997</v>
      </c>
      <c r="E50" s="666">
        <v>0.86067911398300001</v>
      </c>
      <c r="G50" s="650">
        <v>0.74388822619999995</v>
      </c>
      <c r="H50" s="650">
        <v>0.70616512929999997</v>
      </c>
      <c r="I50" s="650">
        <v>1.0483719361158998</v>
      </c>
      <c r="J50" s="650">
        <v>1.0833673316590002</v>
      </c>
      <c r="L50" s="666"/>
    </row>
    <row r="51" spans="1:13" ht="12.75" customHeight="1" x14ac:dyDescent="0.3">
      <c r="A51" s="250">
        <v>2003.999999999829</v>
      </c>
      <c r="B51" s="666">
        <v>0.43212708440000003</v>
      </c>
      <c r="C51" s="666">
        <v>0.37963790060000002</v>
      </c>
      <c r="D51" s="666">
        <v>0.85615633229340005</v>
      </c>
      <c r="E51" s="666">
        <v>0.85191467243399999</v>
      </c>
      <c r="G51" s="650">
        <v>0.73754814260000001</v>
      </c>
      <c r="H51" s="650">
        <v>0.70130802800000003</v>
      </c>
      <c r="I51" s="650">
        <v>1.0303984855449999</v>
      </c>
      <c r="J51" s="650">
        <v>1.0622717179500001</v>
      </c>
      <c r="L51" s="666"/>
    </row>
    <row r="52" spans="1:13" ht="12.75" customHeight="1" x14ac:dyDescent="0.3">
      <c r="A52" s="250">
        <v>2005.0000000000537</v>
      </c>
      <c r="B52" s="666">
        <v>0.42922209690000002</v>
      </c>
      <c r="C52" s="666">
        <v>0.37714537320000002</v>
      </c>
      <c r="D52" s="666">
        <v>0.85041501460519997</v>
      </c>
      <c r="E52" s="666">
        <v>0.84583751845200017</v>
      </c>
      <c r="G52" s="650">
        <v>0.70394407729999997</v>
      </c>
      <c r="H52" s="650">
        <v>0.66686206280000004</v>
      </c>
      <c r="I52" s="650">
        <v>1.0039450569562001</v>
      </c>
      <c r="J52" s="650">
        <v>1.0439752005619998</v>
      </c>
      <c r="L52" s="666"/>
    </row>
    <row r="53" spans="1:13" ht="12.75" customHeight="1" x14ac:dyDescent="0.3">
      <c r="A53" s="250">
        <v>2006.0000000001123</v>
      </c>
      <c r="B53" s="666">
        <v>0.42254951590000001</v>
      </c>
      <c r="C53" s="666">
        <v>0.37017960329999999</v>
      </c>
      <c r="D53" s="666">
        <v>0.84674279606409963</v>
      </c>
      <c r="E53" s="666">
        <v>0.84279759794100007</v>
      </c>
      <c r="G53" s="650">
        <v>0.68900864809999995</v>
      </c>
      <c r="H53" s="650">
        <v>0.65083393690000002</v>
      </c>
      <c r="I53" s="650">
        <v>0.99829229846489986</v>
      </c>
      <c r="J53" s="650">
        <v>1.0405514490490002</v>
      </c>
      <c r="L53" s="666"/>
    </row>
    <row r="54" spans="1:13" ht="12.75" customHeight="1" x14ac:dyDescent="0.3">
      <c r="A54" s="250">
        <v>2006.9999999997594</v>
      </c>
      <c r="B54" s="666">
        <v>0.41541487900000001</v>
      </c>
      <c r="C54" s="666">
        <v>0.36265153849999998</v>
      </c>
      <c r="D54" s="666">
        <v>0.84350741273039986</v>
      </c>
      <c r="E54" s="666">
        <v>0.84178509560399994</v>
      </c>
      <c r="G54" s="650">
        <v>0.68147937049999996</v>
      </c>
      <c r="H54" s="650">
        <v>0.6451183667</v>
      </c>
      <c r="I54" s="650">
        <v>0.97656864621690009</v>
      </c>
      <c r="J54" s="650">
        <v>1.028588003069</v>
      </c>
      <c r="L54" s="666"/>
    </row>
    <row r="55" spans="1:13" ht="12.75" customHeight="1" x14ac:dyDescent="0.3">
      <c r="A55" s="250">
        <v>2008.0000000001253</v>
      </c>
      <c r="B55" s="666">
        <v>0.41160902329999999</v>
      </c>
      <c r="C55" s="666">
        <v>0.3577440053</v>
      </c>
      <c r="D55" s="666">
        <v>0.85102966066809993</v>
      </c>
      <c r="E55" s="666">
        <v>0.8497542925810001</v>
      </c>
      <c r="G55" s="650">
        <v>0.67829398249999995</v>
      </c>
      <c r="H55" s="650">
        <v>0.6377952925</v>
      </c>
      <c r="I55" s="650">
        <v>1.0088831271820999</v>
      </c>
      <c r="J55" s="650">
        <v>1.1154532733209999</v>
      </c>
      <c r="L55" s="666"/>
    </row>
    <row r="56" spans="1:13" ht="12.75" customHeight="1" x14ac:dyDescent="0.3">
      <c r="A56" s="250">
        <v>2009.0000000007788</v>
      </c>
      <c r="B56" s="666">
        <v>0.41052768490000002</v>
      </c>
      <c r="C56" s="666">
        <v>0.356708364</v>
      </c>
      <c r="D56" s="666">
        <v>0.8564779259116001</v>
      </c>
      <c r="E56" s="666">
        <v>0.85918799201600016</v>
      </c>
      <c r="G56" s="650">
        <v>0.6861411449</v>
      </c>
      <c r="H56" s="650">
        <v>0.64413796050000005</v>
      </c>
      <c r="I56" s="650">
        <v>1.0344104599455999</v>
      </c>
      <c r="J56" s="650">
        <v>1.158710547556</v>
      </c>
      <c r="L56" s="666"/>
    </row>
    <row r="57" spans="1:13" ht="12.75" customHeight="1" x14ac:dyDescent="0.3">
      <c r="A57" s="250">
        <v>2010.0000000002401</v>
      </c>
      <c r="B57" s="666">
        <v>0.4027147237</v>
      </c>
      <c r="C57" s="666">
        <v>0.34860622460000001</v>
      </c>
      <c r="D57" s="666">
        <v>0.85225394933670007</v>
      </c>
      <c r="E57" s="666">
        <v>0.85640512646700007</v>
      </c>
      <c r="G57" s="650">
        <v>0.67728351679999999</v>
      </c>
      <c r="H57" s="650">
        <v>0.63607802899999999</v>
      </c>
      <c r="I57" s="650">
        <v>1.0198176906984</v>
      </c>
      <c r="J57" s="650">
        <v>1.1399749358839999</v>
      </c>
      <c r="L57" s="666"/>
    </row>
    <row r="58" spans="1:13" ht="12.75" customHeight="1" x14ac:dyDescent="0.3">
      <c r="A58" s="250">
        <v>2010.9999999997526</v>
      </c>
      <c r="B58" s="666">
        <v>0.39639535970000001</v>
      </c>
      <c r="C58" s="666">
        <v>0.34132917070000002</v>
      </c>
      <c r="D58" s="666">
        <v>0.85148886772059984</v>
      </c>
      <c r="E58" s="666">
        <v>0.85695198190599997</v>
      </c>
      <c r="G58" s="650">
        <v>0.67378509450000001</v>
      </c>
      <c r="H58" s="650">
        <v>0.63306747860000001</v>
      </c>
      <c r="I58" s="650">
        <v>1.0105033768255001</v>
      </c>
      <c r="J58" s="650">
        <v>1.133548569055</v>
      </c>
      <c r="L58" s="666"/>
    </row>
    <row r="59" spans="1:13" ht="12.75" customHeight="1" x14ac:dyDescent="0.3">
      <c r="A59" s="250">
        <v>2012.0000000001739</v>
      </c>
      <c r="B59" s="666">
        <v>0.40026004079999999</v>
      </c>
      <c r="C59" s="666">
        <v>0.34645612520000002</v>
      </c>
      <c r="D59" s="666">
        <v>0.84514950081590001</v>
      </c>
      <c r="E59" s="666">
        <v>0.84881421665900003</v>
      </c>
      <c r="G59" s="650">
        <v>0.67301973250000002</v>
      </c>
      <c r="H59" s="650">
        <v>0.63453351999999996</v>
      </c>
      <c r="I59" s="650">
        <v>0.99147742204919997</v>
      </c>
      <c r="J59" s="650">
        <v>1.1119454667919999</v>
      </c>
      <c r="L59" s="666"/>
    </row>
    <row r="60" spans="1:13" ht="12.75" customHeight="1" x14ac:dyDescent="0.3">
      <c r="A60" s="665">
        <v>2012.9999999998131</v>
      </c>
      <c r="B60" s="666">
        <v>0.39535952470000002</v>
      </c>
      <c r="C60" s="666">
        <v>0.34075243430000002</v>
      </c>
      <c r="D60" s="666">
        <v>0.84670653927010009</v>
      </c>
      <c r="E60" s="666">
        <v>0.85243866220100006</v>
      </c>
      <c r="G60" s="650">
        <v>0.66378313860000004</v>
      </c>
      <c r="H60" s="650">
        <v>0.62566850490000003</v>
      </c>
      <c r="I60" s="650">
        <v>0.97898719490919994</v>
      </c>
      <c r="J60" s="650">
        <v>1.0816818192920001</v>
      </c>
      <c r="L60" s="666"/>
    </row>
    <row r="61" spans="1:13" s="655" customFormat="1" ht="12.75" customHeight="1" x14ac:dyDescent="0.3">
      <c r="A61" s="665">
        <v>2014</v>
      </c>
      <c r="B61" s="666">
        <v>0.39225496570000001</v>
      </c>
      <c r="C61" s="666">
        <v>0.33768716139999999</v>
      </c>
      <c r="D61" s="666">
        <v>0.84335797526080003</v>
      </c>
      <c r="E61" s="666">
        <v>0.85407030570799991</v>
      </c>
      <c r="G61" s="650">
        <v>0.65505417880000005</v>
      </c>
      <c r="H61" s="650">
        <v>0.61809736670000004</v>
      </c>
      <c r="I61" s="650">
        <v>0.96070420344119989</v>
      </c>
      <c r="J61" s="650">
        <v>1.054411445712</v>
      </c>
      <c r="L61" s="666"/>
    </row>
    <row r="62" spans="1:13" s="655" customFormat="1" ht="12.75" customHeight="1" x14ac:dyDescent="0.3">
      <c r="A62" s="250">
        <v>2015</v>
      </c>
      <c r="B62" s="666">
        <v>0.38953705319999998</v>
      </c>
      <c r="C62" s="666">
        <v>0.33459389699999997</v>
      </c>
      <c r="D62" s="666">
        <v>0.84305952678689988</v>
      </c>
      <c r="E62" s="666">
        <v>0.85445039726900007</v>
      </c>
      <c r="G62" s="650">
        <v>0.64634263619999999</v>
      </c>
      <c r="H62" s="650">
        <v>0.60899526079999999</v>
      </c>
      <c r="I62" s="650">
        <v>0.95475898902860001</v>
      </c>
      <c r="J62" s="650">
        <v>1.0577664353860001</v>
      </c>
      <c r="L62" s="28"/>
      <c r="M62" s="28"/>
    </row>
    <row r="63" spans="1:13" s="655" customFormat="1" x14ac:dyDescent="0.3">
      <c r="A63" s="1253"/>
      <c r="B63" s="11"/>
      <c r="C63" s="11"/>
      <c r="D63" s="11"/>
      <c r="E63" s="11"/>
      <c r="F63" s="11"/>
      <c r="G63" s="11"/>
      <c r="H63" s="11"/>
      <c r="I63" s="11"/>
      <c r="J63" s="11"/>
    </row>
    <row r="64" spans="1:13" ht="7.5" customHeight="1" x14ac:dyDescent="0.3">
      <c r="A64" s="76"/>
    </row>
    <row r="65" spans="1:1" x14ac:dyDescent="0.3">
      <c r="A65" s="252" t="s">
        <v>232</v>
      </c>
    </row>
    <row r="66" spans="1:1" x14ac:dyDescent="0.3">
      <c r="A66" s="265" t="s">
        <v>235</v>
      </c>
    </row>
  </sheetData>
  <mergeCells count="2">
    <mergeCell ref="G5:J5"/>
    <mergeCell ref="B5:E5"/>
  </mergeCells>
  <hyperlinks>
    <hyperlink ref="A2" location="Index!A1" display="Index"/>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AY138"/>
  <sheetViews>
    <sheetView workbookViewId="0"/>
  </sheetViews>
  <sheetFormatPr defaultColWidth="9.109375" defaultRowHeight="13.2" x14ac:dyDescent="0.25"/>
  <cols>
    <col min="1" max="1" width="17.5546875" style="20" customWidth="1"/>
    <col min="2" max="6" width="9.109375" style="20"/>
    <col min="7" max="7" width="9.5546875" style="20" customWidth="1"/>
    <col min="8" max="8" width="10.5546875" style="20" customWidth="1"/>
    <col min="9" max="15" width="9.109375" style="20"/>
    <col min="16" max="16" width="10" style="20" customWidth="1"/>
    <col min="17" max="17" width="3" style="20" customWidth="1"/>
    <col min="18" max="19" width="7.88671875" style="20" customWidth="1"/>
    <col min="20" max="20" width="9.109375" style="20" customWidth="1"/>
    <col min="21" max="23" width="9.109375" style="20"/>
    <col min="24" max="24" width="10.77734375" style="20" customWidth="1"/>
    <col min="25" max="25" width="4.21875" style="20" customWidth="1"/>
    <col min="26" max="28" width="7.88671875" style="20" customWidth="1"/>
    <col min="29" max="29" width="8.109375" style="20" customWidth="1"/>
    <col min="30" max="31" width="9.109375" style="20"/>
    <col min="32" max="32" width="10.77734375" style="20" customWidth="1"/>
    <col min="33" max="33" width="4.21875" style="20" customWidth="1"/>
    <col min="34" max="35" width="9.109375" style="20"/>
    <col min="36" max="36" width="3.44140625" style="20" customWidth="1"/>
    <col min="37" max="42" width="9.109375" style="20"/>
    <col min="43" max="43" width="9.88671875" style="20" customWidth="1"/>
    <col min="44" max="49" width="9.109375" style="20"/>
    <col min="50" max="50" width="9.88671875" style="20" customWidth="1"/>
    <col min="51" max="51" width="10.88671875" style="20" customWidth="1"/>
    <col min="52" max="16384" width="9.109375" style="20"/>
  </cols>
  <sheetData>
    <row r="1" spans="1:51" ht="15.6" x14ac:dyDescent="0.3">
      <c r="A1" s="160" t="s">
        <v>1899</v>
      </c>
      <c r="D1" s="463" t="s">
        <v>504</v>
      </c>
    </row>
    <row r="3" spans="1:51" x14ac:dyDescent="0.25">
      <c r="A3" s="160" t="s">
        <v>122</v>
      </c>
      <c r="J3" s="160" t="s">
        <v>1567</v>
      </c>
      <c r="R3" s="160" t="s">
        <v>1568</v>
      </c>
      <c r="Z3" s="160" t="s">
        <v>1569</v>
      </c>
      <c r="AK3" s="160" t="s">
        <v>1571</v>
      </c>
      <c r="AS3" s="160" t="s">
        <v>1570</v>
      </c>
    </row>
    <row r="4" spans="1:51" x14ac:dyDescent="0.25">
      <c r="A4" s="151" t="s">
        <v>176</v>
      </c>
      <c r="B4" s="151" t="s">
        <v>32</v>
      </c>
      <c r="C4" s="151" t="s">
        <v>13</v>
      </c>
      <c r="D4" s="151" t="s">
        <v>14</v>
      </c>
      <c r="E4" s="151" t="s">
        <v>15</v>
      </c>
      <c r="F4" s="151" t="s">
        <v>16</v>
      </c>
      <c r="G4" s="151" t="s">
        <v>17</v>
      </c>
      <c r="H4" s="151" t="s">
        <v>18</v>
      </c>
      <c r="J4" s="151" t="s">
        <v>32</v>
      </c>
      <c r="K4" s="151" t="s">
        <v>13</v>
      </c>
      <c r="L4" s="151" t="s">
        <v>14</v>
      </c>
      <c r="M4" s="151" t="s">
        <v>15</v>
      </c>
      <c r="N4" s="151" t="s">
        <v>16</v>
      </c>
      <c r="O4" s="151" t="s">
        <v>17</v>
      </c>
      <c r="P4" s="151" t="s">
        <v>18</v>
      </c>
      <c r="R4" s="151" t="s">
        <v>32</v>
      </c>
      <c r="S4" s="151" t="s">
        <v>13</v>
      </c>
      <c r="T4" s="151" t="s">
        <v>14</v>
      </c>
      <c r="U4" s="151" t="s">
        <v>15</v>
      </c>
      <c r="V4" s="151" t="s">
        <v>16</v>
      </c>
      <c r="W4" s="151" t="s">
        <v>17</v>
      </c>
      <c r="X4" s="151" t="s">
        <v>18</v>
      </c>
      <c r="Z4" s="151" t="s">
        <v>32</v>
      </c>
      <c r="AA4" s="151" t="s">
        <v>13</v>
      </c>
      <c r="AB4" s="151" t="s">
        <v>14</v>
      </c>
      <c r="AC4" s="151" t="s">
        <v>15</v>
      </c>
      <c r="AD4" s="151" t="s">
        <v>16</v>
      </c>
      <c r="AE4" s="151" t="s">
        <v>17</v>
      </c>
      <c r="AF4" s="151" t="s">
        <v>18</v>
      </c>
      <c r="AH4" s="159" t="s">
        <v>177</v>
      </c>
      <c r="AI4" s="159" t="s">
        <v>178</v>
      </c>
      <c r="AK4" s="151" t="s">
        <v>32</v>
      </c>
      <c r="AL4" s="151" t="s">
        <v>13</v>
      </c>
      <c r="AM4" s="151" t="s">
        <v>14</v>
      </c>
      <c r="AN4" s="151" t="s">
        <v>15</v>
      </c>
      <c r="AO4" s="151" t="s">
        <v>16</v>
      </c>
      <c r="AP4" s="151" t="s">
        <v>17</v>
      </c>
      <c r="AQ4" s="151" t="s">
        <v>18</v>
      </c>
      <c r="AS4" s="151" t="s">
        <v>32</v>
      </c>
      <c r="AT4" s="151" t="s">
        <v>13</v>
      </c>
      <c r="AU4" s="151" t="s">
        <v>14</v>
      </c>
      <c r="AV4" s="151" t="s">
        <v>15</v>
      </c>
      <c r="AW4" s="151" t="s">
        <v>16</v>
      </c>
      <c r="AX4" s="151" t="s">
        <v>17</v>
      </c>
      <c r="AY4" s="151" t="s">
        <v>18</v>
      </c>
    </row>
    <row r="5" spans="1:51" x14ac:dyDescent="0.25">
      <c r="A5" s="151" t="s">
        <v>1131</v>
      </c>
      <c r="B5" s="151"/>
      <c r="C5" s="151"/>
      <c r="D5" s="151"/>
      <c r="E5" s="151"/>
      <c r="F5" s="151"/>
      <c r="G5" s="151"/>
      <c r="H5" s="151"/>
    </row>
    <row r="6" spans="1:51" x14ac:dyDescent="0.25">
      <c r="A6" s="151">
        <v>1960</v>
      </c>
      <c r="B6" s="152">
        <v>35131</v>
      </c>
      <c r="C6" s="152">
        <v>117603</v>
      </c>
      <c r="D6" s="152">
        <v>158614</v>
      </c>
      <c r="E6" s="152">
        <v>352529</v>
      </c>
      <c r="F6" s="152">
        <v>500922</v>
      </c>
      <c r="G6" s="152">
        <v>1141437</v>
      </c>
      <c r="H6" s="152">
        <v>4127677</v>
      </c>
      <c r="J6" s="22">
        <f>'C1-Incomes'!J8*'C16-ShareCh'!$AH6/'C16-ShareCh'!$AI6*1000</f>
        <v>43595.094077303445</v>
      </c>
      <c r="K6" s="22">
        <f>'C1-Incomes'!K8*'C16-ShareCh'!$AH6/'C16-ShareCh'!$AI6*1000*10</f>
        <v>150423.50764094546</v>
      </c>
      <c r="L6" s="22">
        <f>'C1-Incomes'!L8*'C16-ShareCh'!$AH6/'C16-ShareCh'!$AI6*1000*50</f>
        <v>524630.40605201363</v>
      </c>
      <c r="M6" s="22">
        <f>'C1-Incomes'!M8*'C16-ShareCh'!$AH6/'C16-ShareCh'!$AI6*1000*100</f>
        <v>481229.18241822219</v>
      </c>
      <c r="N6" s="22">
        <f>'C1-Incomes'!N8*'C16-ShareCh'!$AH6/'C16-ShareCh'!$AI6*1000*500</f>
        <v>1767436.8469286687</v>
      </c>
      <c r="O6" s="22">
        <f>'C1-Incomes'!O8*'C16-ShareCh'!$AH6/'C16-ShareCh'!$AI6*1000*1000</f>
        <v>1746833.217689119</v>
      </c>
      <c r="P6" s="22">
        <f>'C1-Incomes'!P8*'C16-ShareCh'!$AH6/'C16-ShareCh'!$AI6*1000*10000</f>
        <v>6460576.5998128708</v>
      </c>
      <c r="R6" s="22">
        <f>'C1-Incomes'!R8*'C16-ShareCh'!$AH6/'C16-ShareCh'!$AI6*1000</f>
        <v>45814.373222249844</v>
      </c>
      <c r="S6" s="22">
        <f>'C1-Incomes'!S8*'C16-ShareCh'!$AH6/'C16-ShareCh'!$AI6*1000*10</f>
        <v>151588.56564260062</v>
      </c>
      <c r="T6" s="22">
        <f>'C1-Incomes'!T8*'C16-ShareCh'!$AH6/'C16-ShareCh'!$AI6*1000*50</f>
        <v>528032.14025574888</v>
      </c>
      <c r="U6" s="22">
        <f>'C1-Incomes'!U8*'C16-ShareCh'!$AH6/'C16-ShareCh'!$AI6*1000*100</f>
        <v>483229.90799229621</v>
      </c>
      <c r="V6" s="22">
        <f>'C1-Incomes'!V8*'C16-ShareCh'!$AH6/'C16-ShareCh'!$AI6*1000*500</f>
        <v>1772923.2269467004</v>
      </c>
      <c r="W6" s="22">
        <f>'C1-Incomes'!W8*'C16-ShareCh'!$AH6/'C16-ShareCh'!$AI6*1000*1000</f>
        <v>1748794.4806497681</v>
      </c>
      <c r="X6" s="22">
        <f>'C1-Incomes'!X8*'C16-ShareCh'!$AH6/'C16-ShareCh'!$AI6*1000*10000</f>
        <v>6462952.067950204</v>
      </c>
      <c r="Z6" s="22">
        <f>'C1-Incomes'!Z8*'C16-ShareCh'!$AH6/'C16-ShareCh'!$AI6*1000</f>
        <v>43595.071442073429</v>
      </c>
      <c r="AA6" s="22">
        <f>'C1-Incomes'!AA8*'C16-ShareCh'!$AH6/'C16-ShareCh'!$AI6*1000*10</f>
        <v>121433.38290053242</v>
      </c>
      <c r="AB6" s="22">
        <f>'C1-Incomes'!AB8*'C16-ShareCh'!$AH6/'C16-ShareCh'!$AI6*1000*50</f>
        <v>405168.47541575192</v>
      </c>
      <c r="AC6" s="22">
        <f>'C1-Incomes'!AC8*'C16-ShareCh'!$AH6/'C16-ShareCh'!$AI6*1000*100</f>
        <v>344355.20027689205</v>
      </c>
      <c r="AD6" s="22">
        <f>'C1-Incomes'!AD8*'C16-ShareCh'!$AH6/'C16-ShareCh'!$AI6*1000*500</f>
        <v>1217446.8990177966</v>
      </c>
      <c r="AE6" s="22">
        <f>'C1-Incomes'!AE8*'C16-ShareCh'!$AH6/'C16-ShareCh'!$AI6*1000*1000</f>
        <v>1116069.723805432</v>
      </c>
      <c r="AF6" s="22">
        <f>'C1-Incomes'!AF8*'C16-ShareCh'!$AH6/'C16-ShareCh'!$AI6*1000*10000</f>
        <v>3834105.5451473128</v>
      </c>
      <c r="AH6" s="261">
        <f>'C0-Ref Stats'!AA6</f>
        <v>6.2396557619970361</v>
      </c>
      <c r="AI6" s="36">
        <f>'C0-Ref Stats'!B6</f>
        <v>68681</v>
      </c>
      <c r="AK6" s="22">
        <v>28086.668945799272</v>
      </c>
      <c r="AL6" s="22">
        <v>100077.28378219635</v>
      </c>
      <c r="AM6" s="22">
        <v>145164.90694224124</v>
      </c>
      <c r="AN6" s="22">
        <v>353653.83036460064</v>
      </c>
      <c r="AO6" s="22">
        <v>511597.02986596333</v>
      </c>
      <c r="AP6" s="22">
        <v>1237192.4837477054</v>
      </c>
      <c r="AQ6" s="22">
        <v>4646574.1759015089</v>
      </c>
      <c r="AS6" s="22">
        <v>28086.668945799272</v>
      </c>
      <c r="AT6" s="22">
        <v>88103.464108403437</v>
      </c>
      <c r="AU6" s="22">
        <v>123063.66094289909</v>
      </c>
      <c r="AV6" s="22">
        <v>281306.45159302244</v>
      </c>
      <c r="AW6" s="22">
        <v>390881.96731728228</v>
      </c>
      <c r="AX6" s="22">
        <v>893297.86097562232</v>
      </c>
      <c r="AY6" s="22">
        <v>3259156.1778678917</v>
      </c>
    </row>
    <row r="7" spans="1:51" x14ac:dyDescent="0.25">
      <c r="A7" s="151">
        <v>1961</v>
      </c>
      <c r="B7" s="152">
        <v>35978</v>
      </c>
      <c r="C7" s="152">
        <v>123243</v>
      </c>
      <c r="D7" s="152">
        <v>169108</v>
      </c>
      <c r="E7" s="152">
        <v>382832</v>
      </c>
      <c r="F7" s="152">
        <v>550923</v>
      </c>
      <c r="G7" s="152">
        <v>1313667</v>
      </c>
      <c r="H7" s="152">
        <v>4973248</v>
      </c>
      <c r="J7" s="22">
        <f>'C1-Incomes'!J9*'C16-ShareCh'!$AH7/'C16-ShareCh'!$AI7*1000</f>
        <v>44771.841717513373</v>
      </c>
      <c r="K7" s="22">
        <f>'C1-Incomes'!K9*'C16-ShareCh'!$AH7/'C16-ShareCh'!$AI7*1000*10</f>
        <v>153416.61912328255</v>
      </c>
      <c r="L7" s="22">
        <f>'C1-Incomes'!L9*'C16-ShareCh'!$AH7/'C16-ShareCh'!$AI7*1000*50</f>
        <v>534279.75787909678</v>
      </c>
      <c r="M7" s="22">
        <f>'C1-Incomes'!M9*'C16-ShareCh'!$AH7/'C16-ShareCh'!$AI7*1000*100</f>
        <v>496148.99200764211</v>
      </c>
      <c r="N7" s="22">
        <f>'C1-Incomes'!N9*'C16-ShareCh'!$AH7/'C16-ShareCh'!$AI7*1000*500</f>
        <v>1832056.9668138328</v>
      </c>
      <c r="O7" s="22">
        <f>'C1-Incomes'!O9*'C16-ShareCh'!$AH7/'C16-ShareCh'!$AI7*1000*1000</f>
        <v>1813094.3941028498</v>
      </c>
      <c r="P7" s="22">
        <f>'C1-Incomes'!P9*'C16-ShareCh'!$AH7/'C16-ShareCh'!$AI7*1000*10000</f>
        <v>6703348.6134998221</v>
      </c>
      <c r="R7" s="22">
        <f>'C1-Incomes'!R9*'C16-ShareCh'!$AH7/'C16-ShareCh'!$AI7*1000</f>
        <v>47121.527152208466</v>
      </c>
      <c r="S7" s="22">
        <f>'C1-Incomes'!S9*'C16-ShareCh'!$AH7/'C16-ShareCh'!$AI7*1000*10</f>
        <v>154646.52151469173</v>
      </c>
      <c r="T7" s="22">
        <f>'C1-Incomes'!T9*'C16-ShareCh'!$AH7/'C16-ShareCh'!$AI7*1000*50</f>
        <v>537903.29114793893</v>
      </c>
      <c r="U7" s="22">
        <f>'C1-Incomes'!U9*'C16-ShareCh'!$AH7/'C16-ShareCh'!$AI7*1000*100</f>
        <v>498305.10431252781</v>
      </c>
      <c r="V7" s="22">
        <f>'C1-Incomes'!V9*'C16-ShareCh'!$AH7/'C16-ShareCh'!$AI7*1000*500</f>
        <v>1837983.2483112209</v>
      </c>
      <c r="W7" s="22">
        <f>'C1-Incomes'!W9*'C16-ShareCh'!$AH7/'C16-ShareCh'!$AI7*1000*1000</f>
        <v>1815208.3986473996</v>
      </c>
      <c r="X7" s="22">
        <f>'C1-Incomes'!X9*'C16-ShareCh'!$AH7/'C16-ShareCh'!$AI7*1000*10000</f>
        <v>6705919.395463773</v>
      </c>
      <c r="Z7" s="22">
        <f>'C1-Incomes'!Z9*'C16-ShareCh'!$AH7/'C16-ShareCh'!$AI7*1000</f>
        <v>44771.879544224554</v>
      </c>
      <c r="AA7" s="22">
        <f>'C1-Incomes'!AA9*'C16-ShareCh'!$AH7/'C16-ShareCh'!$AI7*1000*10</f>
        <v>125037.86846857182</v>
      </c>
      <c r="AB7" s="22">
        <f>'C1-Incomes'!AB9*'C16-ShareCh'!$AH7/'C16-ShareCh'!$AI7*1000*50</f>
        <v>419291.67177926295</v>
      </c>
      <c r="AC7" s="22">
        <f>'C1-Incomes'!AC9*'C16-ShareCh'!$AH7/'C16-ShareCh'!$AI7*1000*100</f>
        <v>363545.26255501597</v>
      </c>
      <c r="AD7" s="22">
        <f>'C1-Incomes'!AD9*'C16-ShareCh'!$AH7/'C16-ShareCh'!$AI7*1000*500</f>
        <v>1303526.8971348875</v>
      </c>
      <c r="AE7" s="22">
        <f>'C1-Incomes'!AE9*'C16-ShareCh'!$AH7/'C16-ShareCh'!$AI7*1000*1000</f>
        <v>1227651.8801886886</v>
      </c>
      <c r="AF7" s="22">
        <f>'C1-Incomes'!AF9*'C16-ShareCh'!$AH7/'C16-ShareCh'!$AI7*1000*10000</f>
        <v>4300945.0582222408</v>
      </c>
      <c r="AH7" s="261">
        <f>'C0-Ref Stats'!AA7</f>
        <v>6.174901297236322</v>
      </c>
      <c r="AI7" s="36">
        <f>'C0-Ref Stats'!B7</f>
        <v>69997.277539357485</v>
      </c>
      <c r="AK7" s="22">
        <v>28428.737833543892</v>
      </c>
      <c r="AL7" s="22">
        <v>101867.42797298913</v>
      </c>
      <c r="AM7" s="22">
        <v>147889.46159501924</v>
      </c>
      <c r="AN7" s="22">
        <v>354036.43123743054</v>
      </c>
      <c r="AO7" s="22">
        <v>508195.53333177831</v>
      </c>
      <c r="AP7" s="22">
        <v>1244296.5753728163</v>
      </c>
      <c r="AQ7" s="22">
        <v>4754909.5982786119</v>
      </c>
      <c r="AS7" s="22">
        <v>28434.460109122039</v>
      </c>
      <c r="AT7" s="22">
        <v>89019.289215624667</v>
      </c>
      <c r="AU7" s="22">
        <v>124161.30251556729</v>
      </c>
      <c r="AV7" s="22">
        <v>274500.30686002376</v>
      </c>
      <c r="AW7" s="22">
        <v>376788.42249286128</v>
      </c>
      <c r="AX7" s="22">
        <v>867255.22677258949</v>
      </c>
      <c r="AY7" s="22">
        <v>3231153.1360405763</v>
      </c>
    </row>
    <row r="8" spans="1:51" x14ac:dyDescent="0.25">
      <c r="A8" s="151">
        <v>1962</v>
      </c>
      <c r="B8" s="152">
        <v>36805</v>
      </c>
      <c r="C8" s="152">
        <v>124035</v>
      </c>
      <c r="D8" s="152">
        <v>167873</v>
      </c>
      <c r="E8" s="152">
        <v>366203</v>
      </c>
      <c r="F8" s="152">
        <v>519364</v>
      </c>
      <c r="G8" s="152">
        <v>1175644</v>
      </c>
      <c r="H8" s="152">
        <v>4272067</v>
      </c>
      <c r="J8" s="22">
        <f>'C1-Incomes'!J10*'C16-ShareCh'!$AH8/'C16-ShareCh'!$AI8*1000</f>
        <v>45838.941747691388</v>
      </c>
      <c r="K8" s="22">
        <f>'C1-Incomes'!K10*'C16-ShareCh'!$AH8/'C16-ShareCh'!$AI8*1000*10</f>
        <v>156093.48360234269</v>
      </c>
      <c r="L8" s="22">
        <f>'C1-Incomes'!L10*'C16-ShareCh'!$AH8/'C16-ShareCh'!$AI8*1000*50</f>
        <v>542872.08107695391</v>
      </c>
      <c r="M8" s="22">
        <f>'C1-Incomes'!M10*'C16-ShareCh'!$AH8/'C16-ShareCh'!$AI8*1000*100</f>
        <v>509746.15219166537</v>
      </c>
      <c r="N8" s="22">
        <f>'C1-Incomes'!N10*'C16-ShareCh'!$AH8/'C16-ShareCh'!$AI8*1000*500</f>
        <v>1891247.8191636857</v>
      </c>
      <c r="O8" s="22">
        <f>'C1-Incomes'!O10*'C16-ShareCh'!$AH8/'C16-ShareCh'!$AI8*1000*1000</f>
        <v>1873850.2951238286</v>
      </c>
      <c r="P8" s="22">
        <f>'C1-Incomes'!P10*'C16-ShareCh'!$AH8/'C16-ShareCh'!$AI8*1000*10000</f>
        <v>6925892.9627880594</v>
      </c>
      <c r="R8" s="22">
        <f>'C1-Incomes'!R10*'C16-ShareCh'!$AH8/'C16-ShareCh'!$AI8*1000</f>
        <v>48309.350017889097</v>
      </c>
      <c r="S8" s="22">
        <f>'C1-Incomes'!S10*'C16-ShareCh'!$AH8/'C16-ShareCh'!$AI8*1000*10</f>
        <v>157383.35717098604</v>
      </c>
      <c r="T8" s="22">
        <f>'C1-Incomes'!T10*'C16-ShareCh'!$AH8/'C16-ShareCh'!$AI8*1000*50</f>
        <v>546701.29577733669</v>
      </c>
      <c r="U8" s="22">
        <f>'C1-Incomes'!U10*'C16-ShareCh'!$AH8/'C16-ShareCh'!$AI8*1000*100</f>
        <v>512046.72094250162</v>
      </c>
      <c r="V8" s="22">
        <f>'C1-Incomes'!V10*'C16-ShareCh'!$AH8/'C16-ShareCh'!$AI8*1000*500</f>
        <v>1897583.2262674295</v>
      </c>
      <c r="W8" s="22">
        <f>'C1-Incomes'!W10*'C16-ShareCh'!$AH8/'C16-ShareCh'!$AI8*1000*1000</f>
        <v>1876106.3021392981</v>
      </c>
      <c r="X8" s="22">
        <f>'C1-Incomes'!X10*'C16-ShareCh'!$AH8/'C16-ShareCh'!$AI8*1000*10000</f>
        <v>6928645.4513757369</v>
      </c>
      <c r="Z8" s="22">
        <f>'C1-Incomes'!Z10*'C16-ShareCh'!$AH8/'C16-ShareCh'!$AI8*1000</f>
        <v>45839.036540176523</v>
      </c>
      <c r="AA8" s="22">
        <f>'C1-Incomes'!AA10*'C16-ShareCh'!$AH8/'C16-ShareCh'!$AI8*1000*10</f>
        <v>128317.92720817933</v>
      </c>
      <c r="AB8" s="22">
        <f>'C1-Incomes'!AB10*'C16-ShareCh'!$AH8/'C16-ShareCh'!$AI8*1000*50</f>
        <v>432210.42307069409</v>
      </c>
      <c r="AC8" s="22">
        <f>'C1-Incomes'!AC10*'C16-ShareCh'!$AH8/'C16-ShareCh'!$AI8*1000*100</f>
        <v>381293.55372715316</v>
      </c>
      <c r="AD8" s="22">
        <f>'C1-Incomes'!AD10*'C16-ShareCh'!$AH8/'C16-ShareCh'!$AI8*1000*500</f>
        <v>1383448.7436056633</v>
      </c>
      <c r="AE8" s="22">
        <f>'C1-Incomes'!AE10*'C16-ShareCh'!$AH8/'C16-ShareCh'!$AI8*1000*1000</f>
        <v>1331687.9984662959</v>
      </c>
      <c r="AF8" s="22">
        <f>'C1-Incomes'!AF10*'C16-ShareCh'!$AH8/'C16-ShareCh'!$AI8*1000*10000</f>
        <v>4737002.4990577167</v>
      </c>
      <c r="AH8" s="261">
        <f>'C0-Ref Stats'!AA8</f>
        <v>6.1029600312169014</v>
      </c>
      <c r="AI8" s="36">
        <f>'C0-Ref Stats'!B8</f>
        <v>71254.48789333165</v>
      </c>
      <c r="AK8" s="22">
        <v>29872.66741228976</v>
      </c>
      <c r="AL8" s="22">
        <v>107816.87104301045</v>
      </c>
      <c r="AM8" s="22">
        <v>156525.08198935498</v>
      </c>
      <c r="AN8" s="22">
        <v>375616.13529084309</v>
      </c>
      <c r="AO8" s="22">
        <v>543663.03884472616</v>
      </c>
      <c r="AP8" s="22">
        <v>1324075.5370738071</v>
      </c>
      <c r="AQ8" s="22">
        <v>5038214.5809513126</v>
      </c>
      <c r="AS8" s="22">
        <v>29882.808803929373</v>
      </c>
      <c r="AT8" s="22">
        <v>95678.313792046189</v>
      </c>
      <c r="AU8" s="22">
        <v>134344.20593151965</v>
      </c>
      <c r="AV8" s="22">
        <v>300825.90184027475</v>
      </c>
      <c r="AW8" s="22">
        <v>424096.02196642337</v>
      </c>
      <c r="AX8" s="22">
        <v>994042.3457160613</v>
      </c>
      <c r="AY8" s="22">
        <v>3750856.9384110384</v>
      </c>
    </row>
    <row r="9" spans="1:51" x14ac:dyDescent="0.25">
      <c r="A9" s="151">
        <v>1963</v>
      </c>
      <c r="B9" s="152">
        <v>37813</v>
      </c>
      <c r="C9" s="152">
        <v>127751</v>
      </c>
      <c r="D9" s="152">
        <v>172759</v>
      </c>
      <c r="E9" s="152">
        <v>374973</v>
      </c>
      <c r="F9" s="152">
        <v>529215</v>
      </c>
      <c r="G9" s="152">
        <v>1189562</v>
      </c>
      <c r="H9" s="152">
        <v>4334509</v>
      </c>
      <c r="J9" s="22">
        <f>'C1-Incomes'!J11*'C16-ShareCh'!$AH9/'C16-ShareCh'!$AI9*1000</f>
        <v>47596.802667391399</v>
      </c>
      <c r="K9" s="22">
        <f>'C1-Incomes'!K11*'C16-ShareCh'!$AH9/'C16-ShareCh'!$AI9*1000*10</f>
        <v>160743.81904179853</v>
      </c>
      <c r="L9" s="22">
        <f>'C1-Incomes'!L11*'C16-ShareCh'!$AH9/'C16-ShareCh'!$AI9*1000*50</f>
        <v>562284.76612947567</v>
      </c>
      <c r="M9" s="22">
        <f>'C1-Incomes'!M11*'C16-ShareCh'!$AH9/'C16-ShareCh'!$AI9*1000*100</f>
        <v>538121.55009003961</v>
      </c>
      <c r="N9" s="22">
        <f>'C1-Incomes'!N11*'C16-ShareCh'!$AH9/'C16-ShareCh'!$AI9*1000*500</f>
        <v>2017131.2349942587</v>
      </c>
      <c r="O9" s="22">
        <f>'C1-Incomes'!O11*'C16-ShareCh'!$AH9/'C16-ShareCh'!$AI9*1000*1000</f>
        <v>2023156.9857428714</v>
      </c>
      <c r="P9" s="22">
        <f>'C1-Incomes'!P11*'C16-ShareCh'!$AH9/'C16-ShareCh'!$AI9*1000*10000</f>
        <v>7542067.6411487488</v>
      </c>
      <c r="R9" s="22">
        <f>'C1-Incomes'!R11*'C16-ShareCh'!$AH9/'C16-ShareCh'!$AI9*1000</f>
        <v>50100.828243748387</v>
      </c>
      <c r="S9" s="22">
        <f>'C1-Incomes'!S11*'C16-ShareCh'!$AH9/'C16-ShareCh'!$AI9*1000*10</f>
        <v>162022.12374473529</v>
      </c>
      <c r="T9" s="22">
        <f>'C1-Incomes'!T11*'C16-ShareCh'!$AH9/'C16-ShareCh'!$AI9*1000*50</f>
        <v>566146.69285122969</v>
      </c>
      <c r="U9" s="22">
        <f>'C1-Incomes'!U11*'C16-ShareCh'!$AH9/'C16-ShareCh'!$AI9*1000*100</f>
        <v>540466.84138110664</v>
      </c>
      <c r="V9" s="22">
        <f>'C1-Incomes'!V11*'C16-ShareCh'!$AH9/'C16-ShareCh'!$AI9*1000*500</f>
        <v>2023803.5358000337</v>
      </c>
      <c r="W9" s="22">
        <f>'C1-Incomes'!W11*'C16-ShareCh'!$AH9/'C16-ShareCh'!$AI9*1000*1000</f>
        <v>2025464.9676771925</v>
      </c>
      <c r="X9" s="22">
        <f>'C1-Incomes'!X11*'C16-ShareCh'!$AH9/'C16-ShareCh'!$AI9*1000*10000</f>
        <v>7544879.3172344975</v>
      </c>
      <c r="Z9" s="22">
        <f>'C1-Incomes'!Z11*'C16-ShareCh'!$AH9/'C16-ShareCh'!$AI9*1000</f>
        <v>47596.83945192668</v>
      </c>
      <c r="AA9" s="22">
        <f>'C1-Incomes'!AA11*'C16-ShareCh'!$AH9/'C16-ShareCh'!$AI9*1000*10</f>
        <v>131937.88222332779</v>
      </c>
      <c r="AB9" s="22">
        <f>'C1-Incomes'!AB11*'C16-ShareCh'!$AH9/'C16-ShareCh'!$AI9*1000*50</f>
        <v>446901.47225578956</v>
      </c>
      <c r="AC9" s="22">
        <f>'C1-Incomes'!AC11*'C16-ShareCh'!$AH9/'C16-ShareCh'!$AI9*1000*100</f>
        <v>403144.484138528</v>
      </c>
      <c r="AD9" s="22">
        <f>'C1-Incomes'!AD11*'C16-ShareCh'!$AH9/'C16-ShareCh'!$AI9*1000*500</f>
        <v>1476580.1901698699</v>
      </c>
      <c r="AE9" s="22">
        <f>'C1-Incomes'!AE11*'C16-ShareCh'!$AH9/'C16-ShareCh'!$AI9*1000*1000</f>
        <v>1432804.5939438662</v>
      </c>
      <c r="AF9" s="22">
        <f>'C1-Incomes'!AF11*'C16-ShareCh'!$AH9/'C16-ShareCh'!$AI9*1000*10000</f>
        <v>5149638.3686653124</v>
      </c>
      <c r="AH9" s="261">
        <f>'C0-Ref Stats'!AA9</f>
        <v>6.0323433798005395</v>
      </c>
      <c r="AI9" s="36">
        <f>'C0-Ref Stats'!B9</f>
        <v>72464.471041222045</v>
      </c>
      <c r="AK9" s="22">
        <v>30882.590992237852</v>
      </c>
      <c r="AL9" s="22">
        <v>112835.42064341546</v>
      </c>
      <c r="AM9" s="22">
        <v>164005.0632606021</v>
      </c>
      <c r="AN9" s="22">
        <v>393636.41653744841</v>
      </c>
      <c r="AO9" s="22">
        <v>571626.76280137885</v>
      </c>
      <c r="AP9" s="22">
        <v>1409427.8743142262</v>
      </c>
      <c r="AQ9" s="22">
        <v>5440328.7207264667</v>
      </c>
      <c r="AS9" s="22">
        <v>30882.590992237852</v>
      </c>
      <c r="AT9" s="22">
        <v>100346.89412224501</v>
      </c>
      <c r="AU9" s="22">
        <v>141172.40092026084</v>
      </c>
      <c r="AV9" s="22">
        <v>317111.81345073244</v>
      </c>
      <c r="AW9" s="22">
        <v>448747.40437832248</v>
      </c>
      <c r="AX9" s="22">
        <v>1066435.6571856292</v>
      </c>
      <c r="AY9" s="22">
        <v>4090882.0969219361</v>
      </c>
    </row>
    <row r="10" spans="1:51" x14ac:dyDescent="0.25">
      <c r="A10" s="151">
        <v>1964</v>
      </c>
      <c r="B10" s="152">
        <v>39837</v>
      </c>
      <c r="C10" s="152">
        <v>137132</v>
      </c>
      <c r="D10" s="152">
        <v>187244</v>
      </c>
      <c r="E10" s="152">
        <v>417456</v>
      </c>
      <c r="F10" s="152">
        <v>588413</v>
      </c>
      <c r="G10" s="152">
        <v>1343492</v>
      </c>
      <c r="H10" s="152">
        <v>5187440</v>
      </c>
      <c r="J10" s="22">
        <f>'C1-Incomes'!J12*'C16-ShareCh'!$AH10/'C16-ShareCh'!$AI10*1000</f>
        <v>49102.958775661908</v>
      </c>
      <c r="K10" s="22">
        <f>'C1-Incomes'!K12*'C16-ShareCh'!$AH10/'C16-ShareCh'!$AI10*1000*10</f>
        <v>164618.19575450878</v>
      </c>
      <c r="L10" s="22">
        <f>'C1-Incomes'!L12*'C16-ShareCh'!$AH10/'C16-ShareCh'!$AI10*1000*50</f>
        <v>578801.92295058444</v>
      </c>
      <c r="M10" s="22">
        <f>'C1-Incomes'!M12*'C16-ShareCh'!$AH10/'C16-ShareCh'!$AI10*1000*100</f>
        <v>563161.49427550868</v>
      </c>
      <c r="N10" s="22">
        <f>'C1-Incomes'!N12*'C16-ShareCh'!$AH10/'C16-ShareCh'!$AI10*1000*500</f>
        <v>2129387.4033443658</v>
      </c>
      <c r="O10" s="22">
        <f>'C1-Incomes'!O12*'C16-ShareCh'!$AH10/'C16-ShareCh'!$AI10*1000*1000</f>
        <v>2157468.0776807186</v>
      </c>
      <c r="P10" s="22">
        <f>'C1-Incomes'!P12*'C16-ShareCh'!$AH10/'C16-ShareCh'!$AI10*1000*10000</f>
        <v>8098908.6200672789</v>
      </c>
      <c r="R10" s="22">
        <f>'C1-Incomes'!R12*'C16-ShareCh'!$AH10/'C16-ShareCh'!$AI10*1000</f>
        <v>51630.750466850011</v>
      </c>
      <c r="S10" s="22">
        <f>'C1-Incomes'!S12*'C16-ShareCh'!$AH10/'C16-ShareCh'!$AI10*1000*10</f>
        <v>165881.5575892764</v>
      </c>
      <c r="T10" s="22">
        <f>'C1-Incomes'!T12*'C16-ShareCh'!$AH10/'C16-ShareCh'!$AI10*1000*50</f>
        <v>582682.47063469433</v>
      </c>
      <c r="U10" s="22">
        <f>'C1-Incomes'!U12*'C16-ShareCh'!$AH10/'C16-ShareCh'!$AI10*1000*100</f>
        <v>565541.51891794743</v>
      </c>
      <c r="V10" s="22">
        <f>'C1-Incomes'!V12*'C16-ShareCh'!$AH10/'C16-ShareCh'!$AI10*1000*500</f>
        <v>2136356.1013572258</v>
      </c>
      <c r="W10" s="22">
        <f>'C1-Incomes'!W12*'C16-ShareCh'!$AH10/'C16-ShareCh'!$AI10*1000*1000</f>
        <v>2159817.7454958581</v>
      </c>
      <c r="X10" s="22">
        <f>'C1-Incomes'!X12*'C16-ShareCh'!$AH10/'C16-ShareCh'!$AI10*1000*10000</f>
        <v>8101767.1870674202</v>
      </c>
      <c r="Z10" s="22">
        <f>'C1-Incomes'!Z12*'C16-ShareCh'!$AH10/'C16-ShareCh'!$AI10*1000</f>
        <v>49102.940777546159</v>
      </c>
      <c r="AA10" s="22">
        <f>'C1-Incomes'!AA12*'C16-ShareCh'!$AH10/'C16-ShareCh'!$AI10*1000*10</f>
        <v>134932.28292225863</v>
      </c>
      <c r="AB10" s="22">
        <f>'C1-Incomes'!AB12*'C16-ShareCh'!$AH10/'C16-ShareCh'!$AI10*1000*50</f>
        <v>459333.684909206</v>
      </c>
      <c r="AC10" s="22">
        <f>'C1-Incomes'!AC12*'C16-ShareCh'!$AH10/'C16-ShareCh'!$AI10*1000*100</f>
        <v>422462.4366842634</v>
      </c>
      <c r="AD10" s="22">
        <f>'C1-Incomes'!AD12*'C16-ShareCh'!$AH10/'C16-ShareCh'!$AI10*1000*500</f>
        <v>1559679.6358287472</v>
      </c>
      <c r="AE10" s="22">
        <f>'C1-Incomes'!AE12*'C16-ShareCh'!$AH10/'C16-ShareCh'!$AI10*1000*1000</f>
        <v>1523567.5661913287</v>
      </c>
      <c r="AF10" s="22">
        <f>'C1-Incomes'!AF12*'C16-ShareCh'!$AH10/'C16-ShareCh'!$AI10*1000*10000</f>
        <v>5522227.3816472823</v>
      </c>
      <c r="AH10" s="261">
        <f>'C0-Ref Stats'!AA10</f>
        <v>5.9455305745628317</v>
      </c>
      <c r="AI10" s="36">
        <f>'C0-Ref Stats'!B10</f>
        <v>73659.622212014569</v>
      </c>
      <c r="AK10" s="22">
        <v>32145.437095068148</v>
      </c>
      <c r="AL10" s="22">
        <v>118880.28380057853</v>
      </c>
      <c r="AM10" s="22">
        <v>172992.41731887849</v>
      </c>
      <c r="AN10" s="22">
        <v>415304.18717412732</v>
      </c>
      <c r="AO10" s="22">
        <v>605057.49324739212</v>
      </c>
      <c r="AP10" s="22">
        <v>1509437.2780678573</v>
      </c>
      <c r="AQ10" s="22">
        <v>5902529.7796783522</v>
      </c>
      <c r="AS10" s="22">
        <v>32150.120226530595</v>
      </c>
      <c r="AT10" s="22">
        <v>105994.87204924469</v>
      </c>
      <c r="AU10" s="22">
        <v>149404.71740084505</v>
      </c>
      <c r="AV10" s="22">
        <v>336603.77927484171</v>
      </c>
      <c r="AW10" s="22">
        <v>478068.88266294095</v>
      </c>
      <c r="AX10" s="22">
        <v>1150889.4690890466</v>
      </c>
      <c r="AY10" s="22">
        <v>4479980.2270228015</v>
      </c>
    </row>
    <row r="11" spans="1:51" x14ac:dyDescent="0.25">
      <c r="A11" s="151">
        <v>1965</v>
      </c>
      <c r="B11" s="152">
        <v>41781</v>
      </c>
      <c r="C11" s="152">
        <v>145320</v>
      </c>
      <c r="D11" s="152">
        <v>199517</v>
      </c>
      <c r="E11" s="152">
        <v>455078</v>
      </c>
      <c r="F11" s="152">
        <v>645524</v>
      </c>
      <c r="G11" s="152">
        <v>1527166</v>
      </c>
      <c r="H11" s="152">
        <v>6222702</v>
      </c>
      <c r="J11" s="22">
        <f>'C1-Incomes'!J13*'C16-ShareCh'!$AH11/'C16-ShareCh'!$AI11*1000</f>
        <v>52044.794596004052</v>
      </c>
      <c r="K11" s="22">
        <f>'C1-Incomes'!K13*'C16-ShareCh'!$AH11/'C16-ShareCh'!$AI11*1000*10</f>
        <v>175428.26713893327</v>
      </c>
      <c r="L11" s="22">
        <f>'C1-Incomes'!L13*'C16-ShareCh'!$AH11/'C16-ShareCh'!$AI11*1000*50</f>
        <v>616559.01225167722</v>
      </c>
      <c r="M11" s="22">
        <f>'C1-Incomes'!M13*'C16-ShareCh'!$AH11/'C16-ShareCh'!$AI11*1000*100</f>
        <v>598219.76642639167</v>
      </c>
      <c r="N11" s="22">
        <f>'C1-Incomes'!N13*'C16-ShareCh'!$AH11/'C16-ShareCh'!$AI11*1000*500</f>
        <v>2234996.8859986858</v>
      </c>
      <c r="O11" s="22">
        <f>'C1-Incomes'!O13*'C16-ShareCh'!$AH11/'C16-ShareCh'!$AI11*1000*1000</f>
        <v>2274116.1377715622</v>
      </c>
      <c r="P11" s="22">
        <f>'C1-Incomes'!P13*'C16-ShareCh'!$AH11/'C16-ShareCh'!$AI11*1000*10000</f>
        <v>8431932.8134006467</v>
      </c>
      <c r="R11" s="22">
        <f>'C1-Incomes'!R13*'C16-ShareCh'!$AH11/'C16-ShareCh'!$AI11*1000</f>
        <v>54729.22620156109</v>
      </c>
      <c r="S11" s="22">
        <f>'C1-Incomes'!S13*'C16-ShareCh'!$AH11/'C16-ShareCh'!$AI11*1000*10</f>
        <v>176825.93710166987</v>
      </c>
      <c r="T11" s="22">
        <f>'C1-Incomes'!T13*'C16-ShareCh'!$AH11/'C16-ShareCh'!$AI11*1000*50</f>
        <v>620917.09096897475</v>
      </c>
      <c r="U11" s="22">
        <f>'C1-Incomes'!U13*'C16-ShareCh'!$AH11/'C16-ShareCh'!$AI11*1000*100</f>
        <v>600900.86154434644</v>
      </c>
      <c r="V11" s="22">
        <f>'C1-Incomes'!V13*'C16-ShareCh'!$AH11/'C16-ShareCh'!$AI11*1000*500</f>
        <v>2243249.4980103723</v>
      </c>
      <c r="W11" s="22">
        <f>'C1-Incomes'!W13*'C16-ShareCh'!$AH11/'C16-ShareCh'!$AI11*1000*1000</f>
        <v>2276690.6450399794</v>
      </c>
      <c r="X11" s="22">
        <f>'C1-Incomes'!X13*'C16-ShareCh'!$AH11/'C16-ShareCh'!$AI11*1000*10000</f>
        <v>8435069.6892410181</v>
      </c>
      <c r="Z11" s="22">
        <f>'C1-Incomes'!Z13*'C16-ShareCh'!$AH11/'C16-ShareCh'!$AI11*1000</f>
        <v>52044.7170195008</v>
      </c>
      <c r="AA11" s="22">
        <f>'C1-Incomes'!AA13*'C16-ShareCh'!$AH11/'C16-ShareCh'!$AI11*1000*10</f>
        <v>144818.82281235367</v>
      </c>
      <c r="AB11" s="22">
        <f>'C1-Incomes'!AB13*'C16-ShareCh'!$AH11/'C16-ShareCh'!$AI11*1000*50</f>
        <v>494095.71251460945</v>
      </c>
      <c r="AC11" s="22">
        <f>'C1-Incomes'!AC13*'C16-ShareCh'!$AH11/'C16-ShareCh'!$AI11*1000*100</f>
        <v>454575.42034556984</v>
      </c>
      <c r="AD11" s="22">
        <f>'C1-Incomes'!AD13*'C16-ShareCh'!$AH11/'C16-ShareCh'!$AI11*1000*500</f>
        <v>1667016.0318844623</v>
      </c>
      <c r="AE11" s="22">
        <f>'C1-Incomes'!AE13*'C16-ShareCh'!$AH11/'C16-ShareCh'!$AI11*1000*1000</f>
        <v>1631379.7596063903</v>
      </c>
      <c r="AF11" s="22">
        <f>'C1-Incomes'!AF13*'C16-ShareCh'!$AH11/'C16-ShareCh'!$AI11*1000*10000</f>
        <v>5887528.6519832574</v>
      </c>
      <c r="AH11" s="261">
        <f>'C0-Ref Stats'!AA11</f>
        <v>5.8605535035597658</v>
      </c>
      <c r="AI11" s="36">
        <f>'C0-Ref Stats'!B11</f>
        <v>74772.263448492304</v>
      </c>
      <c r="AK11" s="22">
        <v>33808.519975317751</v>
      </c>
      <c r="AL11" s="22">
        <v>123854.96212701668</v>
      </c>
      <c r="AM11" s="22">
        <v>180047.78939253732</v>
      </c>
      <c r="AN11" s="22">
        <v>432020.02203070867</v>
      </c>
      <c r="AO11" s="22">
        <v>630479.74634380033</v>
      </c>
      <c r="AP11" s="22">
        <v>1575952.8254849995</v>
      </c>
      <c r="AQ11" s="22">
        <v>6133104.9204102568</v>
      </c>
      <c r="AS11" s="22">
        <v>33808.519975317751</v>
      </c>
      <c r="AT11" s="22">
        <v>110461.85118451845</v>
      </c>
      <c r="AU11" s="22">
        <v>155474.47360616867</v>
      </c>
      <c r="AV11" s="22">
        <v>348959.45523421851</v>
      </c>
      <c r="AW11" s="22">
        <v>496226.71753326239</v>
      </c>
      <c r="AX11" s="22">
        <v>1198753.2944246216</v>
      </c>
      <c r="AY11" s="22">
        <v>4655902.8501026854</v>
      </c>
    </row>
    <row r="12" spans="1:51" x14ac:dyDescent="0.25">
      <c r="A12" s="151">
        <v>1966</v>
      </c>
      <c r="B12" s="152">
        <v>43433</v>
      </c>
      <c r="C12" s="152">
        <v>146246</v>
      </c>
      <c r="D12" s="152">
        <v>199095</v>
      </c>
      <c r="E12" s="152">
        <v>441937</v>
      </c>
      <c r="F12" s="152">
        <v>627071</v>
      </c>
      <c r="G12" s="152">
        <v>1470316</v>
      </c>
      <c r="H12" s="152">
        <v>5602273</v>
      </c>
      <c r="J12" s="22">
        <f>'C1-Incomes'!J14*'C16-ShareCh'!$AH12/'C16-ShareCh'!$AI12*1000</f>
        <v>54244.609183215587</v>
      </c>
      <c r="K12" s="22">
        <f>'C1-Incomes'!K14*'C16-ShareCh'!$AH12/'C16-ShareCh'!$AI12*1000*10</f>
        <v>183678.0020196081</v>
      </c>
      <c r="L12" s="22">
        <f>'C1-Incomes'!L14*'C16-ShareCh'!$AH12/'C16-ShareCh'!$AI12*1000*50</f>
        <v>645333.18073448015</v>
      </c>
      <c r="M12" s="22">
        <f>'C1-Incomes'!M14*'C16-ShareCh'!$AH12/'C16-ShareCh'!$AI12*1000*100</f>
        <v>624666.64589139156</v>
      </c>
      <c r="N12" s="22">
        <f>'C1-Incomes'!N14*'C16-ShareCh'!$AH12/'C16-ShareCh'!$AI12*1000*500</f>
        <v>2310113.4142983076</v>
      </c>
      <c r="O12" s="22">
        <f>'C1-Incomes'!O14*'C16-ShareCh'!$AH12/'C16-ShareCh'!$AI12*1000*1000</f>
        <v>2359129.0184830921</v>
      </c>
      <c r="P12" s="22">
        <f>'C1-Incomes'!P14*'C16-ShareCh'!$AH12/'C16-ShareCh'!$AI12*1000*10000</f>
        <v>8654247.5786880236</v>
      </c>
      <c r="R12" s="22">
        <f>'C1-Incomes'!R14*'C16-ShareCh'!$AH12/'C16-ShareCh'!$AI12*1000</f>
        <v>57047.0832106581</v>
      </c>
      <c r="S12" s="22">
        <f>'C1-Incomes'!S14*'C16-ShareCh'!$AH12/'C16-ShareCh'!$AI12*1000*10</f>
        <v>185186.39112579246</v>
      </c>
      <c r="T12" s="22">
        <f>'C1-Incomes'!T14*'C16-ShareCh'!$AH12/'C16-ShareCh'!$AI12*1000*50</f>
        <v>650091.34794377745</v>
      </c>
      <c r="U12" s="22">
        <f>'C1-Incomes'!U14*'C16-ShareCh'!$AH12/'C16-ShareCh'!$AI12*1000*100</f>
        <v>627600.68586154445</v>
      </c>
      <c r="V12" s="22">
        <f>'C1-Incomes'!V14*'C16-ShareCh'!$AH12/'C16-ShareCh'!$AI12*1000*500</f>
        <v>2319478.1548983036</v>
      </c>
      <c r="W12" s="22">
        <f>'C1-Incomes'!W14*'C16-ShareCh'!$AH12/'C16-ShareCh'!$AI12*1000*1000</f>
        <v>2361886.4078170233</v>
      </c>
      <c r="X12" s="22">
        <f>'C1-Incomes'!X14*'C16-ShareCh'!$AH12/'C16-ShareCh'!$AI12*1000*10000</f>
        <v>8657611.3524917085</v>
      </c>
      <c r="Z12" s="22">
        <f>'C1-Incomes'!Z14*'C16-ShareCh'!$AH12/'C16-ShareCh'!$AI12*1000</f>
        <v>54244.476788891654</v>
      </c>
      <c r="AA12" s="22">
        <f>'C1-Incomes'!AA14*'C16-ShareCh'!$AH12/'C16-ShareCh'!$AI12*1000*10</f>
        <v>152528.02379136288</v>
      </c>
      <c r="AB12" s="22">
        <f>'C1-Incomes'!AB14*'C16-ShareCh'!$AH12/'C16-ShareCh'!$AI12*1000*50</f>
        <v>521360.79073321196</v>
      </c>
      <c r="AC12" s="22">
        <f>'C1-Incomes'!AC14*'C16-ShareCh'!$AH12/'C16-ShareCh'!$AI12*1000*100</f>
        <v>479782.39839904109</v>
      </c>
      <c r="AD12" s="22">
        <f>'C1-Incomes'!AD14*'C16-ShareCh'!$AH12/'C16-ShareCh'!$AI12*1000*500</f>
        <v>1749717.249025434</v>
      </c>
      <c r="AE12" s="22">
        <f>'C1-Incomes'!AE14*'C16-ShareCh'!$AH12/'C16-ShareCh'!$AI12*1000*1000</f>
        <v>1714899.9729640756</v>
      </c>
      <c r="AF12" s="22">
        <f>'C1-Incomes'!AF14*'C16-ShareCh'!$AH12/'C16-ShareCh'!$AI12*1000*10000</f>
        <v>6166736.8444556054</v>
      </c>
      <c r="AH12" s="261">
        <f>'C0-Ref Stats'!AA12</f>
        <v>5.7155311929000252</v>
      </c>
      <c r="AI12" s="36">
        <f>'C0-Ref Stats'!B12</f>
        <v>75831.168722140283</v>
      </c>
      <c r="AK12" s="22">
        <v>35384.503572217727</v>
      </c>
      <c r="AL12" s="22">
        <v>128401.81775514937</v>
      </c>
      <c r="AM12" s="22">
        <v>186460.0763561374</v>
      </c>
      <c r="AN12" s="22">
        <v>447194.93296017637</v>
      </c>
      <c r="AO12" s="22">
        <v>653776.33582037361</v>
      </c>
      <c r="AP12" s="22">
        <v>1637482.2658330188</v>
      </c>
      <c r="AQ12" s="22">
        <v>6341044.9133645659</v>
      </c>
      <c r="AS12" s="22">
        <v>35382.13168981926</v>
      </c>
      <c r="AT12" s="22">
        <v>114557.97786029248</v>
      </c>
      <c r="AU12" s="22">
        <v>161007.32576316476</v>
      </c>
      <c r="AV12" s="22">
        <v>359966.45521432976</v>
      </c>
      <c r="AW12" s="22">
        <v>512532.79851708282</v>
      </c>
      <c r="AX12" s="22">
        <v>1242511.0354135898</v>
      </c>
      <c r="AY12" s="22">
        <v>4813646.5804264965</v>
      </c>
    </row>
    <row r="13" spans="1:51" x14ac:dyDescent="0.25">
      <c r="A13" s="151">
        <v>1967</v>
      </c>
      <c r="B13" s="152">
        <v>45002</v>
      </c>
      <c r="C13" s="152">
        <v>155007</v>
      </c>
      <c r="D13" s="152">
        <v>213328</v>
      </c>
      <c r="E13" s="152">
        <v>483208</v>
      </c>
      <c r="F13" s="152">
        <v>690761</v>
      </c>
      <c r="G13" s="152">
        <v>1654717</v>
      </c>
      <c r="H13" s="152">
        <v>6373813</v>
      </c>
      <c r="J13" s="22">
        <f>'C1-Incomes'!J15*'C16-ShareCh'!$AH13/'C16-ShareCh'!$AI13*1000</f>
        <v>55145.928724867903</v>
      </c>
      <c r="K13" s="22">
        <f>'C1-Incomes'!K15*'C16-ShareCh'!$AH13/'C16-ShareCh'!$AI13*1000*10</f>
        <v>185977.13104866486</v>
      </c>
      <c r="L13" s="22">
        <f>'C1-Incomes'!L15*'C16-ShareCh'!$AH13/'C16-ShareCh'!$AI13*1000*50</f>
        <v>650346.94358049717</v>
      </c>
      <c r="M13" s="22">
        <f>'C1-Incomes'!M15*'C16-ShareCh'!$AH13/'C16-ShareCh'!$AI13*1000*100</f>
        <v>619011.49191050895</v>
      </c>
      <c r="N13" s="22">
        <f>'C1-Incomes'!N15*'C16-ShareCh'!$AH13/'C16-ShareCh'!$AI13*1000*500</f>
        <v>2290472.901663166</v>
      </c>
      <c r="O13" s="22">
        <f>'C1-Incomes'!O15*'C16-ShareCh'!$AH13/'C16-ShareCh'!$AI13*1000*1000</f>
        <v>2284866.5958388033</v>
      </c>
      <c r="P13" s="22">
        <f>'C1-Incomes'!P15*'C16-ShareCh'!$AH13/'C16-ShareCh'!$AI13*1000*10000</f>
        <v>8242560.7068786714</v>
      </c>
      <c r="R13" s="22">
        <f>'C1-Incomes'!R15*'C16-ShareCh'!$AH13/'C16-ShareCh'!$AI13*1000</f>
        <v>58418.425327559824</v>
      </c>
      <c r="S13" s="22">
        <f>'C1-Incomes'!S15*'C16-ShareCh'!$AH13/'C16-ShareCh'!$AI13*1000*10</f>
        <v>187826.30563995961</v>
      </c>
      <c r="T13" s="22">
        <f>'C1-Incomes'!T15*'C16-ShareCh'!$AH13/'C16-ShareCh'!$AI13*1000*50</f>
        <v>655762.64771430613</v>
      </c>
      <c r="U13" s="22">
        <f>'C1-Incomes'!U15*'C16-ShareCh'!$AH13/'C16-ShareCh'!$AI13*1000*100</f>
        <v>623132.66516135575</v>
      </c>
      <c r="V13" s="22">
        <f>'C1-Incomes'!V15*'C16-ShareCh'!$AH13/'C16-ShareCh'!$AI13*1000*500</f>
        <v>2299257.9532866227</v>
      </c>
      <c r="W13" s="22">
        <f>'C1-Incomes'!W15*'C16-ShareCh'!$AH13/'C16-ShareCh'!$AI13*1000*1000</f>
        <v>2288843.1930957595</v>
      </c>
      <c r="X13" s="22">
        <f>'C1-Incomes'!X15*'C16-ShareCh'!$AH13/'C16-ShareCh'!$AI13*1000*10000</f>
        <v>8246182.8191673579</v>
      </c>
      <c r="Z13" s="22">
        <f>'C1-Incomes'!Z15*'C16-ShareCh'!$AH13/'C16-ShareCh'!$AI13*1000</f>
        <v>55145.905685656144</v>
      </c>
      <c r="AA13" s="22">
        <f>'C1-Incomes'!AA15*'C16-ShareCh'!$AH13/'C16-ShareCh'!$AI13*1000*10</f>
        <v>150726.12239564999</v>
      </c>
      <c r="AB13" s="22">
        <f>'C1-Incomes'!AB15*'C16-ShareCh'!$AH13/'C16-ShareCh'!$AI13*1000*50</f>
        <v>509005.31135124573</v>
      </c>
      <c r="AC13" s="22">
        <f>'C1-Incomes'!AC15*'C16-ShareCh'!$AH13/'C16-ShareCh'!$AI13*1000*100</f>
        <v>449621.27664908377</v>
      </c>
      <c r="AD13" s="22">
        <f>'C1-Incomes'!AD15*'C16-ShareCh'!$AH13/'C16-ShareCh'!$AI13*1000*500</f>
        <v>1617516.3266891108</v>
      </c>
      <c r="AE13" s="22">
        <f>'C1-Incomes'!AE15*'C16-ShareCh'!$AH13/'C16-ShareCh'!$AI13*1000*1000</f>
        <v>1544597.181302818</v>
      </c>
      <c r="AF13" s="22">
        <f>'C1-Incomes'!AF15*'C16-ShareCh'!$AH13/'C16-ShareCh'!$AI13*1000*10000</f>
        <v>5421394.2640258735</v>
      </c>
      <c r="AH13" s="261">
        <f>'C0-Ref Stats'!AA13</f>
        <v>5.57524061720222</v>
      </c>
      <c r="AI13" s="36">
        <f>'C0-Ref Stats'!B13</f>
        <v>76855.772597697025</v>
      </c>
      <c r="AK13" s="22">
        <v>35874.113512794342</v>
      </c>
      <c r="AL13" s="22">
        <v>127686.21656495859</v>
      </c>
      <c r="AM13" s="22">
        <v>184800.26615808424</v>
      </c>
      <c r="AN13" s="22">
        <v>442569.17981615331</v>
      </c>
      <c r="AO13" s="22">
        <v>642369.44399112347</v>
      </c>
      <c r="AP13" s="22">
        <v>1571466.6583236817</v>
      </c>
      <c r="AQ13" s="22">
        <v>6002844.1667303815</v>
      </c>
      <c r="AS13" s="22">
        <v>35873.134360430813</v>
      </c>
      <c r="AT13" s="22">
        <v>111918.37628606211</v>
      </c>
      <c r="AU13" s="22">
        <v>156091.22283533824</v>
      </c>
      <c r="AV13" s="22">
        <v>344583.81249031832</v>
      </c>
      <c r="AW13" s="22">
        <v>485569.989092306</v>
      </c>
      <c r="AX13" s="22">
        <v>1135194.7453528342</v>
      </c>
      <c r="AY13" s="22">
        <v>4300919.0385303693</v>
      </c>
    </row>
    <row r="14" spans="1:51" x14ac:dyDescent="0.25">
      <c r="A14" s="151">
        <v>1968</v>
      </c>
      <c r="B14" s="152">
        <v>46976</v>
      </c>
      <c r="C14" s="152">
        <v>163699</v>
      </c>
      <c r="D14" s="152">
        <v>226904</v>
      </c>
      <c r="E14" s="152">
        <v>526738</v>
      </c>
      <c r="F14" s="152">
        <v>764681</v>
      </c>
      <c r="G14" s="152">
        <v>1889792</v>
      </c>
      <c r="H14" s="152">
        <v>7586340</v>
      </c>
      <c r="J14" s="22">
        <f>'C1-Incomes'!J16*'C16-ShareCh'!$AH14/'C16-ShareCh'!$AI14*1000</f>
        <v>57372.254864374016</v>
      </c>
      <c r="K14" s="22">
        <f>'C1-Incomes'!K16*'C16-ShareCh'!$AH14/'C16-ShareCh'!$AI14*1000*10</f>
        <v>192011.16545695678</v>
      </c>
      <c r="L14" s="22">
        <f>'C1-Incomes'!L16*'C16-ShareCh'!$AH14/'C16-ShareCh'!$AI14*1000*50</f>
        <v>671284.11073313106</v>
      </c>
      <c r="M14" s="22">
        <f>'C1-Incomes'!M16*'C16-ShareCh'!$AH14/'C16-ShareCh'!$AI14*1000*100</f>
        <v>639421.22519710206</v>
      </c>
      <c r="N14" s="22">
        <f>'C1-Incomes'!N16*'C16-ShareCh'!$AH14/'C16-ShareCh'!$AI14*1000*500</f>
        <v>2380403.2665728154</v>
      </c>
      <c r="O14" s="22">
        <f>'C1-Incomes'!O16*'C16-ShareCh'!$AH14/'C16-ShareCh'!$AI14*1000*1000</f>
        <v>2404010.1309863999</v>
      </c>
      <c r="P14" s="22">
        <f>'C1-Incomes'!P16*'C16-ShareCh'!$AH14/'C16-ShareCh'!$AI14*1000*10000</f>
        <v>8462063.2402058598</v>
      </c>
      <c r="R14" s="22">
        <f>'C1-Incomes'!R16*'C16-ShareCh'!$AH14/'C16-ShareCh'!$AI14*1000</f>
        <v>60990.410369667043</v>
      </c>
      <c r="S14" s="22">
        <f>'C1-Incomes'!S16*'C16-ShareCh'!$AH14/'C16-ShareCh'!$AI14*1000*10</f>
        <v>194044.27228753368</v>
      </c>
      <c r="T14" s="22">
        <f>'C1-Incomes'!T16*'C16-ShareCh'!$AH14/'C16-ShareCh'!$AI14*1000*50</f>
        <v>677682.48640886019</v>
      </c>
      <c r="U14" s="22">
        <f>'C1-Incomes'!U16*'C16-ShareCh'!$AH14/'C16-ShareCh'!$AI14*1000*100</f>
        <v>643268.04078700615</v>
      </c>
      <c r="V14" s="22">
        <f>'C1-Incomes'!V16*'C16-ShareCh'!$AH14/'C16-ShareCh'!$AI14*1000*500</f>
        <v>2390356.9424102074</v>
      </c>
      <c r="W14" s="22">
        <f>'C1-Incomes'!W16*'C16-ShareCh'!$AH14/'C16-ShareCh'!$AI14*1000*1000</f>
        <v>2409017.9125674223</v>
      </c>
      <c r="X14" s="22">
        <f>'C1-Incomes'!X16*'C16-ShareCh'!$AH14/'C16-ShareCh'!$AI14*1000*10000</f>
        <v>8467528.2677919827</v>
      </c>
      <c r="Z14" s="22">
        <f>'C1-Incomes'!Z16*'C16-ShareCh'!$AH14/'C16-ShareCh'!$AI14*1000</f>
        <v>57372.249355157539</v>
      </c>
      <c r="AA14" s="22">
        <f>'C1-Incomes'!AA16*'C16-ShareCh'!$AH14/'C16-ShareCh'!$AI14*1000*10</f>
        <v>153696.60920425024</v>
      </c>
      <c r="AB14" s="22">
        <f>'C1-Incomes'!AB16*'C16-ShareCh'!$AH14/'C16-ShareCh'!$AI14*1000*50</f>
        <v>517360.61911093874</v>
      </c>
      <c r="AC14" s="22">
        <f>'C1-Incomes'!AC16*'C16-ShareCh'!$AH14/'C16-ShareCh'!$AI14*1000*100</f>
        <v>455687.00124816113</v>
      </c>
      <c r="AD14" s="22">
        <f>'C1-Incomes'!AD16*'C16-ShareCh'!$AH14/'C16-ShareCh'!$AI14*1000*500</f>
        <v>1644960.1321242275</v>
      </c>
      <c r="AE14" s="22">
        <f>'C1-Incomes'!AE16*'C16-ShareCh'!$AH14/'C16-ShareCh'!$AI14*1000*1000</f>
        <v>1581958.2004519457</v>
      </c>
      <c r="AF14" s="22">
        <f>'C1-Incomes'!AF16*'C16-ShareCh'!$AH14/'C16-ShareCh'!$AI14*1000*10000</f>
        <v>5355694.1398277637</v>
      </c>
      <c r="AH14" s="261">
        <f>'C0-Ref Stats'!AA14</f>
        <v>5.3661895892559546</v>
      </c>
      <c r="AI14" s="36">
        <f>'C0-Ref Stats'!B14</f>
        <v>77825.685517022051</v>
      </c>
      <c r="AK14" s="22">
        <v>36913.92615580959</v>
      </c>
      <c r="AL14" s="22">
        <v>129878.97080658986</v>
      </c>
      <c r="AM14" s="22">
        <v>187347.64601506197</v>
      </c>
      <c r="AN14" s="22">
        <v>449296.12601920369</v>
      </c>
      <c r="AO14" s="22">
        <v>652732.84034551622</v>
      </c>
      <c r="AP14" s="22">
        <v>1606333.2190078574</v>
      </c>
      <c r="AQ14" s="22">
        <v>6251755.2431456484</v>
      </c>
      <c r="AS14" s="22">
        <v>36911.835267646835</v>
      </c>
      <c r="AT14" s="22">
        <v>112638.17123701083</v>
      </c>
      <c r="AU14" s="22">
        <v>156013.46146022997</v>
      </c>
      <c r="AV14" s="22">
        <v>342391.6087944982</v>
      </c>
      <c r="AW14" s="22">
        <v>481491.10594443127</v>
      </c>
      <c r="AX14" s="22">
        <v>1130374.503298878</v>
      </c>
      <c r="AY14" s="22">
        <v>4343765.2534740977</v>
      </c>
    </row>
    <row r="15" spans="1:51" x14ac:dyDescent="0.25">
      <c r="A15" s="151">
        <v>1969</v>
      </c>
      <c r="B15" s="152">
        <v>46930</v>
      </c>
      <c r="C15" s="152">
        <v>159231</v>
      </c>
      <c r="D15" s="152">
        <v>216667</v>
      </c>
      <c r="E15" s="152">
        <v>485798</v>
      </c>
      <c r="F15" s="152">
        <v>698865</v>
      </c>
      <c r="G15" s="152">
        <v>1733458</v>
      </c>
      <c r="H15" s="152">
        <v>7312521</v>
      </c>
      <c r="J15" s="22">
        <f>'C1-Incomes'!J17*'C16-ShareCh'!$AH15/'C16-ShareCh'!$AI15*1000</f>
        <v>58604.79104725871</v>
      </c>
      <c r="K15" s="22">
        <f>'C1-Incomes'!K17*'C16-ShareCh'!$AH15/'C16-ShareCh'!$AI15*1000*10</f>
        <v>189634.84471409302</v>
      </c>
      <c r="L15" s="22">
        <f>'C1-Incomes'!L17*'C16-ShareCh'!$AH15/'C16-ShareCh'!$AI15*1000*50</f>
        <v>650135.80324005778</v>
      </c>
      <c r="M15" s="22">
        <f>'C1-Incomes'!M17*'C16-ShareCh'!$AH15/'C16-ShareCh'!$AI15*1000*100</f>
        <v>592261.56965611503</v>
      </c>
      <c r="N15" s="22">
        <f>'C1-Incomes'!N17*'C16-ShareCh'!$AH15/'C16-ShareCh'!$AI15*1000*500</f>
        <v>2168351.3752566869</v>
      </c>
      <c r="O15" s="22">
        <f>'C1-Incomes'!O17*'C16-ShareCh'!$AH15/'C16-ShareCh'!$AI15*1000*1000</f>
        <v>2118117.5851795063</v>
      </c>
      <c r="P15" s="22">
        <f>'C1-Incomes'!P17*'C16-ShareCh'!$AH15/'C16-ShareCh'!$AI15*1000*10000</f>
        <v>7814392.324778391</v>
      </c>
      <c r="R15" s="22">
        <f>'C1-Incomes'!R17*'C16-ShareCh'!$AH15/'C16-ShareCh'!$AI15*1000</f>
        <v>62387.400991436029</v>
      </c>
      <c r="S15" s="22">
        <f>'C1-Incomes'!S17*'C16-ShareCh'!$AH15/'C16-ShareCh'!$AI15*1000*10</f>
        <v>191649.26030407817</v>
      </c>
      <c r="T15" s="22">
        <f>'C1-Incomes'!T17*'C16-ShareCh'!$AH15/'C16-ShareCh'!$AI15*1000*50</f>
        <v>656154.93902460835</v>
      </c>
      <c r="U15" s="22">
        <f>'C1-Incomes'!U17*'C16-ShareCh'!$AH15/'C16-ShareCh'!$AI15*1000*100</f>
        <v>595843.97999633616</v>
      </c>
      <c r="V15" s="22">
        <f>'C1-Incomes'!V17*'C16-ShareCh'!$AH15/'C16-ShareCh'!$AI15*1000*500</f>
        <v>2178469.0856959121</v>
      </c>
      <c r="W15" s="22">
        <f>'C1-Incomes'!W17*'C16-ShareCh'!$AH15/'C16-ShareCh'!$AI15*1000*1000</f>
        <v>2122255.1456271433</v>
      </c>
      <c r="X15" s="22">
        <f>'C1-Incomes'!X17*'C16-ShareCh'!$AH15/'C16-ShareCh'!$AI15*1000*10000</f>
        <v>7819281.5255052168</v>
      </c>
      <c r="Z15" s="22">
        <f>'C1-Incomes'!Z17*'C16-ShareCh'!$AH15/'C16-ShareCh'!$AI15*1000</f>
        <v>58604.751996317857</v>
      </c>
      <c r="AA15" s="22">
        <f>'C1-Incomes'!AA17*'C16-ShareCh'!$AH15/'C16-ShareCh'!$AI15*1000*10</f>
        <v>151940.22484432184</v>
      </c>
      <c r="AB15" s="22">
        <f>'C1-Incomes'!AB17*'C16-ShareCh'!$AH15/'C16-ShareCh'!$AI15*1000*50</f>
        <v>503416.11183486221</v>
      </c>
      <c r="AC15" s="22">
        <f>'C1-Incomes'!AC17*'C16-ShareCh'!$AH15/'C16-ShareCh'!$AI15*1000*100</f>
        <v>424616.84123340686</v>
      </c>
      <c r="AD15" s="22">
        <f>'C1-Incomes'!AD17*'C16-ShareCh'!$AH15/'C16-ShareCh'!$AI15*1000*500</f>
        <v>1507614.1487485489</v>
      </c>
      <c r="AE15" s="22">
        <f>'C1-Incomes'!AE17*'C16-ShareCh'!$AH15/'C16-ShareCh'!$AI15*1000*1000</f>
        <v>1389421.1669789532</v>
      </c>
      <c r="AF15" s="22">
        <f>'C1-Incomes'!AF17*'C16-ShareCh'!$AH15/'C16-ShareCh'!$AI15*1000*10000</f>
        <v>4856500.815830512</v>
      </c>
      <c r="AH15" s="261">
        <f>'C0-Ref Stats'!AA15</f>
        <v>5.1334458667416882</v>
      </c>
      <c r="AI15" s="36">
        <f>'C0-Ref Stats'!B15</f>
        <v>78792.880570712965</v>
      </c>
      <c r="AK15" s="22">
        <v>37407.878696520565</v>
      </c>
      <c r="AL15" s="22">
        <v>128382.3714062674</v>
      </c>
      <c r="AM15" s="22">
        <v>183085.16194446426</v>
      </c>
      <c r="AN15" s="22">
        <v>430109.208469362</v>
      </c>
      <c r="AO15" s="22">
        <v>621849.5566989982</v>
      </c>
      <c r="AP15" s="22">
        <v>1527795.6082308586</v>
      </c>
      <c r="AQ15" s="22">
        <v>6011445.5885893553</v>
      </c>
      <c r="AS15" s="22">
        <v>37405.266309932231</v>
      </c>
      <c r="AT15" s="22">
        <v>111121.17500452374</v>
      </c>
      <c r="AU15" s="22">
        <v>152223.60010100485</v>
      </c>
      <c r="AV15" s="22">
        <v>327349.37297617784</v>
      </c>
      <c r="AW15" s="22">
        <v>458025.45553153782</v>
      </c>
      <c r="AX15" s="22">
        <v>1071068.2149021183</v>
      </c>
      <c r="AY15" s="22">
        <v>4163739.5718044383</v>
      </c>
    </row>
    <row r="16" spans="1:51" x14ac:dyDescent="0.25">
      <c r="A16" s="151">
        <v>1970</v>
      </c>
      <c r="B16" s="152">
        <v>46231</v>
      </c>
      <c r="C16" s="152">
        <v>150838</v>
      </c>
      <c r="D16" s="152">
        <v>200298</v>
      </c>
      <c r="E16" s="152">
        <v>417247</v>
      </c>
      <c r="F16" s="152">
        <v>577982</v>
      </c>
      <c r="G16" s="152">
        <v>1283066</v>
      </c>
      <c r="H16" s="152">
        <v>4605866</v>
      </c>
      <c r="J16" s="22">
        <f>'C1-Incomes'!J18*'C16-ShareCh'!$AH16/'C16-ShareCh'!$AI16*1000</f>
        <v>57685.495608974561</v>
      </c>
      <c r="K16" s="22">
        <f>'C1-Incomes'!K18*'C16-ShareCh'!$AH16/'C16-ShareCh'!$AI16*1000*10</f>
        <v>182250.45270496371</v>
      </c>
      <c r="L16" s="22">
        <f>'C1-Incomes'!L18*'C16-ShareCh'!$AH16/'C16-ShareCh'!$AI16*1000*50</f>
        <v>615366.82373202115</v>
      </c>
      <c r="M16" s="22">
        <f>'C1-Incomes'!M18*'C16-ShareCh'!$AH16/'C16-ShareCh'!$AI16*1000*100</f>
        <v>538200.80422286363</v>
      </c>
      <c r="N16" s="22">
        <f>'C1-Incomes'!N18*'C16-ShareCh'!$AH16/'C16-ShareCh'!$AI16*1000*500</f>
        <v>1937124.088813365</v>
      </c>
      <c r="O16" s="22">
        <f>'C1-Incomes'!O18*'C16-ShareCh'!$AH16/'C16-ShareCh'!$AI16*1000*1000</f>
        <v>1850476.0366252316</v>
      </c>
      <c r="P16" s="22">
        <f>'C1-Incomes'!P18*'C16-ShareCh'!$AH16/'C16-ShareCh'!$AI16*1000*10000</f>
        <v>6549074.5668283356</v>
      </c>
      <c r="R16" s="22">
        <f>'C1-Incomes'!R18*'C16-ShareCh'!$AH16/'C16-ShareCh'!$AI16*1000</f>
        <v>62019.874925994467</v>
      </c>
      <c r="S16" s="22">
        <f>'C1-Incomes'!S18*'C16-ShareCh'!$AH16/'C16-ShareCh'!$AI16*1000*10</f>
        <v>184389.99030518864</v>
      </c>
      <c r="T16" s="22">
        <f>'C1-Incomes'!T18*'C16-ShareCh'!$AH16/'C16-ShareCh'!$AI16*1000*50</f>
        <v>621467.08354143426</v>
      </c>
      <c r="U16" s="22">
        <f>'C1-Incomes'!U18*'C16-ShareCh'!$AH16/'C16-ShareCh'!$AI16*1000*100</f>
        <v>542213.17228486389</v>
      </c>
      <c r="V16" s="22">
        <f>'C1-Incomes'!V18*'C16-ShareCh'!$AH16/'C16-ShareCh'!$AI16*1000*500</f>
        <v>1947244.3045698055</v>
      </c>
      <c r="W16" s="22">
        <f>'C1-Incomes'!W18*'C16-ShareCh'!$AH16/'C16-ShareCh'!$AI16*1000*1000</f>
        <v>1854233.9123243683</v>
      </c>
      <c r="X16" s="22">
        <f>'C1-Incomes'!X18*'C16-ShareCh'!$AH16/'C16-ShareCh'!$AI16*1000*10000</f>
        <v>6554888.6426610984</v>
      </c>
      <c r="Z16" s="22">
        <f>'C1-Incomes'!Z18*'C16-ShareCh'!$AH16/'C16-ShareCh'!$AI16*1000</f>
        <v>57685.513791757468</v>
      </c>
      <c r="AA16" s="22">
        <f>'C1-Incomes'!AA18*'C16-ShareCh'!$AH16/'C16-ShareCh'!$AI16*1000*10</f>
        <v>144328.70649279759</v>
      </c>
      <c r="AB16" s="22">
        <f>'C1-Incomes'!AB18*'C16-ShareCh'!$AH16/'C16-ShareCh'!$AI16*1000*50</f>
        <v>468619.15262045868</v>
      </c>
      <c r="AC16" s="22">
        <f>'C1-Incomes'!AC18*'C16-ShareCh'!$AH16/'C16-ShareCh'!$AI16*1000*100</f>
        <v>378237.80517556542</v>
      </c>
      <c r="AD16" s="22">
        <f>'C1-Incomes'!AD18*'C16-ShareCh'!$AH16/'C16-ShareCh'!$AI16*1000*500</f>
        <v>1311129.3972025353</v>
      </c>
      <c r="AE16" s="22">
        <f>'C1-Incomes'!AE18*'C16-ShareCh'!$AH16/'C16-ShareCh'!$AI16*1000*1000</f>
        <v>1174549.23032092</v>
      </c>
      <c r="AF16" s="22">
        <f>'C1-Incomes'!AF18*'C16-ShareCh'!$AH16/'C16-ShareCh'!$AI16*1000*10000</f>
        <v>3974971.2070808928</v>
      </c>
      <c r="AH16" s="261">
        <f>'C0-Ref Stats'!AA16</f>
        <v>4.9039641657334823</v>
      </c>
      <c r="AI16" s="36">
        <f>'C0-Ref Stats'!B16</f>
        <v>79924</v>
      </c>
      <c r="AK16" s="22">
        <v>36500.707948759904</v>
      </c>
      <c r="AL16" s="22">
        <v>124427.71221357498</v>
      </c>
      <c r="AM16" s="22">
        <v>175999.00737453686</v>
      </c>
      <c r="AN16" s="22">
        <v>403070.65804400918</v>
      </c>
      <c r="AO16" s="22">
        <v>575313.1417257943</v>
      </c>
      <c r="AP16" s="22">
        <v>1367332.2374236465</v>
      </c>
      <c r="AQ16" s="22">
        <v>5129922.6309243925</v>
      </c>
      <c r="AS16" s="22">
        <v>36502.103422603461</v>
      </c>
      <c r="AT16" s="22">
        <v>107663.67304795301</v>
      </c>
      <c r="AU16" s="22">
        <v>146752.29806597577</v>
      </c>
      <c r="AV16" s="22">
        <v>309856.69269695989</v>
      </c>
      <c r="AW16" s="22">
        <v>428641.64909052069</v>
      </c>
      <c r="AX16" s="22">
        <v>967163.80289730418</v>
      </c>
      <c r="AY16" s="22">
        <v>3558092.2518864605</v>
      </c>
    </row>
    <row r="17" spans="1:51" x14ac:dyDescent="0.25">
      <c r="A17" s="151">
        <v>1971</v>
      </c>
      <c r="B17" s="152">
        <v>46554</v>
      </c>
      <c r="C17" s="152">
        <v>155197</v>
      </c>
      <c r="D17" s="152">
        <v>207236</v>
      </c>
      <c r="E17" s="152">
        <v>437564</v>
      </c>
      <c r="F17" s="152">
        <v>611135</v>
      </c>
      <c r="G17" s="152">
        <v>1390911</v>
      </c>
      <c r="H17" s="152">
        <v>5184777</v>
      </c>
      <c r="J17" s="22">
        <f>'C1-Incomes'!J19*'C16-ShareCh'!$AH17/'C16-ShareCh'!$AI17*1000</f>
        <v>58449.497185533917</v>
      </c>
      <c r="K17" s="22">
        <f>'C1-Incomes'!K19*'C16-ShareCh'!$AH17/'C16-ShareCh'!$AI17*1000*10</f>
        <v>188452.1990502621</v>
      </c>
      <c r="L17" s="22">
        <f>'C1-Incomes'!L19*'C16-ShareCh'!$AH17/'C16-ShareCh'!$AI17*1000*50</f>
        <v>637407.04517751769</v>
      </c>
      <c r="M17" s="22">
        <f>'C1-Incomes'!M19*'C16-ShareCh'!$AH17/'C16-ShareCh'!$AI17*1000*100</f>
        <v>562924.86574247666</v>
      </c>
      <c r="N17" s="22">
        <f>'C1-Incomes'!N19*'C16-ShareCh'!$AH17/'C16-ShareCh'!$AI17*1000*500</f>
        <v>2043549.9609132349</v>
      </c>
      <c r="O17" s="22">
        <f>'C1-Incomes'!O19*'C16-ShareCh'!$AH17/'C16-ShareCh'!$AI17*1000*1000</f>
        <v>1984296.1778267205</v>
      </c>
      <c r="P17" s="22">
        <f>'C1-Incomes'!P19*'C16-ShareCh'!$AH17/'C16-ShareCh'!$AI17*1000*10000</f>
        <v>7049885.5059274491</v>
      </c>
      <c r="R17" s="22">
        <f>'C1-Incomes'!R19*'C16-ShareCh'!$AH17/'C16-ShareCh'!$AI17*1000</f>
        <v>63283.428539072993</v>
      </c>
      <c r="S17" s="22">
        <f>'C1-Incomes'!S19*'C16-ShareCh'!$AH17/'C16-ShareCh'!$AI17*1000*10</f>
        <v>190788.49245759781</v>
      </c>
      <c r="T17" s="22">
        <f>'C1-Incomes'!T19*'C16-ShareCh'!$AH17/'C16-ShareCh'!$AI17*1000*50</f>
        <v>644051.38261078997</v>
      </c>
      <c r="U17" s="22">
        <f>'C1-Incomes'!U19*'C16-ShareCh'!$AH17/'C16-ShareCh'!$AI17*1000*100</f>
        <v>567081.56088808586</v>
      </c>
      <c r="V17" s="22">
        <f>'C1-Incomes'!V19*'C16-ShareCh'!$AH17/'C16-ShareCh'!$AI17*1000*500</f>
        <v>2056534.3656460249</v>
      </c>
      <c r="W17" s="22">
        <f>'C1-Incomes'!W19*'C16-ShareCh'!$AH17/'C16-ShareCh'!$AI17*1000*1000</f>
        <v>1988811.1642516113</v>
      </c>
      <c r="X17" s="22">
        <f>'C1-Incomes'!X19*'C16-ShareCh'!$AH17/'C16-ShareCh'!$AI17*1000*10000</f>
        <v>7054006.195336232</v>
      </c>
      <c r="Z17" s="22">
        <f>'C1-Incomes'!Z19*'C16-ShareCh'!$AH17/'C16-ShareCh'!$AI17*1000</f>
        <v>58449.477185437478</v>
      </c>
      <c r="AA17" s="22">
        <f>'C1-Incomes'!AA19*'C16-ShareCh'!$AH17/'C16-ShareCh'!$AI17*1000*10</f>
        <v>148019.91420100612</v>
      </c>
      <c r="AB17" s="22">
        <f>'C1-Incomes'!AB19*'C16-ShareCh'!$AH17/'C16-ShareCh'!$AI17*1000*50</f>
        <v>482737.50169668975</v>
      </c>
      <c r="AC17" s="22">
        <f>'C1-Incomes'!AC19*'C16-ShareCh'!$AH17/'C16-ShareCh'!$AI17*1000*100</f>
        <v>393301.58287937701</v>
      </c>
      <c r="AD17" s="22">
        <f>'C1-Incomes'!AD19*'C16-ShareCh'!$AH17/'C16-ShareCh'!$AI17*1000*500</f>
        <v>1384702.8143904973</v>
      </c>
      <c r="AE17" s="22">
        <f>'C1-Incomes'!AE19*'C16-ShareCh'!$AH17/'C16-ShareCh'!$AI17*1000*1000</f>
        <v>1272879.29241116</v>
      </c>
      <c r="AF17" s="22">
        <f>'C1-Incomes'!AF19*'C16-ShareCh'!$AH17/'C16-ShareCh'!$AI17*1000*10000</f>
        <v>4315918.3727543801</v>
      </c>
      <c r="AH17" s="261">
        <f>'C0-Ref Stats'!AA17</f>
        <v>4.7040044685056284</v>
      </c>
      <c r="AI17" s="36">
        <f>'C0-Ref Stats'!B17</f>
        <v>81849.283100873465</v>
      </c>
      <c r="AK17" s="22">
        <v>36685.329142788054</v>
      </c>
      <c r="AL17" s="22">
        <v>126076.27662494371</v>
      </c>
      <c r="AM17" s="22">
        <v>178344.57908194524</v>
      </c>
      <c r="AN17" s="22">
        <v>406551.66463660094</v>
      </c>
      <c r="AO17" s="22">
        <v>578968.08215339761</v>
      </c>
      <c r="AP17" s="22">
        <v>1372267.2101332447</v>
      </c>
      <c r="AQ17" s="22">
        <v>5109120.6800718782</v>
      </c>
      <c r="AS17" s="22">
        <v>36688.326012485239</v>
      </c>
      <c r="AT17" s="22">
        <v>108823.52764776697</v>
      </c>
      <c r="AU17" s="22">
        <v>148615.15990331527</v>
      </c>
      <c r="AV17" s="22">
        <v>313533.44188125251</v>
      </c>
      <c r="AW17" s="22">
        <v>433538.31735074776</v>
      </c>
      <c r="AX17" s="22">
        <v>975187.82146454195</v>
      </c>
      <c r="AY17" s="22">
        <v>3537190.7012821967</v>
      </c>
    </row>
    <row r="18" spans="1:51" x14ac:dyDescent="0.25">
      <c r="A18" s="151">
        <v>1972</v>
      </c>
      <c r="B18" s="152">
        <v>48823</v>
      </c>
      <c r="C18" s="152">
        <v>163978</v>
      </c>
      <c r="D18" s="152">
        <v>219886</v>
      </c>
      <c r="E18" s="152">
        <v>470545</v>
      </c>
      <c r="F18" s="152">
        <v>662052</v>
      </c>
      <c r="G18" s="152">
        <v>1526136</v>
      </c>
      <c r="H18" s="152">
        <v>5752156</v>
      </c>
      <c r="J18" s="22">
        <f>'C1-Incomes'!J20*'C16-ShareCh'!$AH18/'C16-ShareCh'!$AI18*1000</f>
        <v>61047.201338767984</v>
      </c>
      <c r="K18" s="22">
        <f>'C1-Incomes'!K20*'C16-ShareCh'!$AH18/'C16-ShareCh'!$AI18*1000*10</f>
        <v>196752.44618365596</v>
      </c>
      <c r="L18" s="22">
        <f>'C1-Incomes'!L20*'C16-ShareCh'!$AH18/'C16-ShareCh'!$AI18*1000*50</f>
        <v>668745.17648900033</v>
      </c>
      <c r="M18" s="22">
        <f>'C1-Incomes'!M20*'C16-ShareCh'!$AH18/'C16-ShareCh'!$AI18*1000*100</f>
        <v>598970.52921644715</v>
      </c>
      <c r="N18" s="22">
        <f>'C1-Incomes'!N20*'C16-ShareCh'!$AH18/'C16-ShareCh'!$AI18*1000*500</f>
        <v>2177305.9663967043</v>
      </c>
      <c r="O18" s="22">
        <f>'C1-Incomes'!O20*'C16-ShareCh'!$AH18/'C16-ShareCh'!$AI18*1000*1000</f>
        <v>2108965.9655589378</v>
      </c>
      <c r="P18" s="22">
        <f>'C1-Incomes'!P20*'C16-ShareCh'!$AH18/'C16-ShareCh'!$AI18*1000*10000</f>
        <v>7461435.8570435159</v>
      </c>
      <c r="R18" s="22">
        <f>'C1-Incomes'!R20*'C16-ShareCh'!$AH18/'C16-ShareCh'!$AI18*1000</f>
        <v>66126.024536285418</v>
      </c>
      <c r="S18" s="22">
        <f>'C1-Incomes'!S20*'C16-ShareCh'!$AH18/'C16-ShareCh'!$AI18*1000*10</f>
        <v>199236.53511363745</v>
      </c>
      <c r="T18" s="22">
        <f>'C1-Incomes'!T20*'C16-ShareCh'!$AH18/'C16-ShareCh'!$AI18*1000*50</f>
        <v>676276.01598880463</v>
      </c>
      <c r="U18" s="22">
        <f>'C1-Incomes'!U20*'C16-ShareCh'!$AH18/'C16-ShareCh'!$AI18*1000*100</f>
        <v>603590.39104622311</v>
      </c>
      <c r="V18" s="22">
        <f>'C1-Incomes'!V20*'C16-ShareCh'!$AH18/'C16-ShareCh'!$AI18*1000*500</f>
        <v>2190424.3001790587</v>
      </c>
      <c r="W18" s="22">
        <f>'C1-Incomes'!W20*'C16-ShareCh'!$AH18/'C16-ShareCh'!$AI18*1000*1000</f>
        <v>2111636.7927000383</v>
      </c>
      <c r="X18" s="22">
        <f>'C1-Incomes'!X20*'C16-ShareCh'!$AH18/'C16-ShareCh'!$AI18*1000*10000</f>
        <v>7466401.5953439809</v>
      </c>
      <c r="Z18" s="22">
        <f>'C1-Incomes'!Z20*'C16-ShareCh'!$AH18/'C16-ShareCh'!$AI18*1000</f>
        <v>61047.209107096227</v>
      </c>
      <c r="AA18" s="22">
        <f>'C1-Incomes'!AA20*'C16-ShareCh'!$AH18/'C16-ShareCh'!$AI18*1000*10</f>
        <v>155028.24753176403</v>
      </c>
      <c r="AB18" s="22">
        <f>'C1-Incomes'!AB20*'C16-ShareCh'!$AH18/'C16-ShareCh'!$AI18*1000*50</f>
        <v>507954.51210529235</v>
      </c>
      <c r="AC18" s="22">
        <f>'C1-Incomes'!AC20*'C16-ShareCh'!$AH18/'C16-ShareCh'!$AI18*1000*100</f>
        <v>424891.04281366925</v>
      </c>
      <c r="AD18" s="22">
        <f>'C1-Incomes'!AD20*'C16-ShareCh'!$AH18/'C16-ShareCh'!$AI18*1000*500</f>
        <v>1505604.6374681885</v>
      </c>
      <c r="AE18" s="22">
        <f>'C1-Incomes'!AE20*'C16-ShareCh'!$AH18/'C16-ShareCh'!$AI18*1000*1000</f>
        <v>1385704.276088638</v>
      </c>
      <c r="AF18" s="22">
        <f>'C1-Incomes'!AF20*'C16-ShareCh'!$AH18/'C16-ShareCh'!$AI18*1000*10000</f>
        <v>4730800.288589173</v>
      </c>
      <c r="AH18" s="261">
        <f>'C0-Ref Stats'!AA18</f>
        <v>4.5484420440382216</v>
      </c>
      <c r="AI18" s="36">
        <f>'C0-Ref Stats'!B18</f>
        <v>83669.52931419824</v>
      </c>
      <c r="AK18" s="22">
        <v>38025.56421976538</v>
      </c>
      <c r="AL18" s="22">
        <v>131793.86417620219</v>
      </c>
      <c r="AM18" s="22">
        <v>186497.86531284239</v>
      </c>
      <c r="AN18" s="22">
        <v>421502.55228971905</v>
      </c>
      <c r="AO18" s="22">
        <v>598456.86653955712</v>
      </c>
      <c r="AP18" s="22">
        <v>1406320.7011832604</v>
      </c>
      <c r="AQ18" s="22">
        <v>5171857.8889295124</v>
      </c>
      <c r="AS18" s="22">
        <v>38024.9122887005</v>
      </c>
      <c r="AT18" s="22">
        <v>113998.71281891021</v>
      </c>
      <c r="AU18" s="22">
        <v>156142.05679096153</v>
      </c>
      <c r="AV18" s="22">
        <v>328869.43620206288</v>
      </c>
      <c r="AW18" s="22">
        <v>454688.89795736468</v>
      </c>
      <c r="AX18" s="22">
        <v>1019392.5921238926</v>
      </c>
      <c r="AY18" s="22">
        <v>3646611.2266114741</v>
      </c>
    </row>
    <row r="19" spans="1:51" x14ac:dyDescent="0.25">
      <c r="A19" s="151">
        <v>1973</v>
      </c>
      <c r="B19" s="152">
        <v>49591</v>
      </c>
      <c r="C19" s="152">
        <v>165299</v>
      </c>
      <c r="D19" s="152">
        <v>220317</v>
      </c>
      <c r="E19" s="152">
        <v>454372</v>
      </c>
      <c r="F19" s="152">
        <v>625223</v>
      </c>
      <c r="G19" s="152">
        <v>1368743</v>
      </c>
      <c r="H19" s="152">
        <v>4668437</v>
      </c>
      <c r="J19" s="22">
        <f>'C1-Incomes'!J21*'C16-ShareCh'!$AH19/'C16-ShareCh'!$AI19*1000</f>
        <v>63490.738025645784</v>
      </c>
      <c r="K19" s="22">
        <f>'C1-Incomes'!K21*'C16-ShareCh'!$AH19/'C16-ShareCh'!$AI19*1000*10</f>
        <v>203555.42328462278</v>
      </c>
      <c r="L19" s="22">
        <f>'C1-Incomes'!L21*'C16-ShareCh'!$AH19/'C16-ShareCh'!$AI19*1000*50</f>
        <v>692094.38441979687</v>
      </c>
      <c r="M19" s="22">
        <f>'C1-Incomes'!M21*'C16-ShareCh'!$AH19/'C16-ShareCh'!$AI19*1000*100</f>
        <v>616772.1963453585</v>
      </c>
      <c r="N19" s="22">
        <f>'C1-Incomes'!N21*'C16-ShareCh'!$AH19/'C16-ShareCh'!$AI19*1000*500</f>
        <v>2223211.4826960121</v>
      </c>
      <c r="O19" s="22">
        <f>'C1-Incomes'!O21*'C16-ShareCh'!$AH19/'C16-ShareCh'!$AI19*1000*1000</f>
        <v>2084332.7457015384</v>
      </c>
      <c r="P19" s="22">
        <f>'C1-Incomes'!P21*'C16-ShareCh'!$AH19/'C16-ShareCh'!$AI19*1000*10000</f>
        <v>7161828.6195770698</v>
      </c>
      <c r="R19" s="22">
        <f>'C1-Incomes'!R21*'C16-ShareCh'!$AH19/'C16-ShareCh'!$AI19*1000</f>
        <v>68899.304974333369</v>
      </c>
      <c r="S19" s="22">
        <f>'C1-Incomes'!S21*'C16-ShareCh'!$AH19/'C16-ShareCh'!$AI19*1000*10</f>
        <v>206266.01750314794</v>
      </c>
      <c r="T19" s="22">
        <f>'C1-Incomes'!T21*'C16-ShareCh'!$AH19/'C16-ShareCh'!$AI19*1000*50</f>
        <v>700450.09963484877</v>
      </c>
      <c r="U19" s="22">
        <f>'C1-Incomes'!U21*'C16-ShareCh'!$AH19/'C16-ShareCh'!$AI19*1000*100</f>
        <v>622387.49855022994</v>
      </c>
      <c r="V19" s="22">
        <f>'C1-Incomes'!V21*'C16-ShareCh'!$AH19/'C16-ShareCh'!$AI19*1000*500</f>
        <v>2238009.2371867122</v>
      </c>
      <c r="W19" s="22">
        <f>'C1-Incomes'!W21*'C16-ShareCh'!$AH19/'C16-ShareCh'!$AI19*1000*1000</f>
        <v>2087947.8767943142</v>
      </c>
      <c r="X19" s="22">
        <f>'C1-Incomes'!X21*'C16-ShareCh'!$AH19/'C16-ShareCh'!$AI19*1000*10000</f>
        <v>7165787.3089259146</v>
      </c>
      <c r="Z19" s="22">
        <f>'C1-Incomes'!Z21*'C16-ShareCh'!$AH19/'C16-ShareCh'!$AI19*1000</f>
        <v>63490.730893558401</v>
      </c>
      <c r="AA19" s="22">
        <f>'C1-Incomes'!AA21*'C16-ShareCh'!$AH19/'C16-ShareCh'!$AI19*1000*10</f>
        <v>164257.60130507138</v>
      </c>
      <c r="AB19" s="22">
        <f>'C1-Incomes'!AB21*'C16-ShareCh'!$AH19/'C16-ShareCh'!$AI19*1000*50</f>
        <v>545044.17491205037</v>
      </c>
      <c r="AC19" s="22">
        <f>'C1-Incomes'!AC21*'C16-ShareCh'!$AH19/'C16-ShareCh'!$AI19*1000*100</f>
        <v>465415.90218079591</v>
      </c>
      <c r="AD19" s="22">
        <f>'C1-Incomes'!AD21*'C16-ShareCh'!$AH19/'C16-ShareCh'!$AI19*1000*500</f>
        <v>1650145.9768999277</v>
      </c>
      <c r="AE19" s="22">
        <f>'C1-Incomes'!AE21*'C16-ShareCh'!$AH19/'C16-ShareCh'!$AI19*1000*1000</f>
        <v>1498399.5884910137</v>
      </c>
      <c r="AF19" s="22">
        <f>'C1-Incomes'!AF21*'C16-ShareCh'!$AH19/'C16-ShareCh'!$AI19*1000*10000</f>
        <v>5048525.361480752</v>
      </c>
      <c r="AH19" s="261">
        <f>'C0-Ref Stats'!AA19</f>
        <v>4.3157127089246297</v>
      </c>
      <c r="AI19" s="36">
        <f>'C0-Ref Stats'!B19</f>
        <v>85441.835116484566</v>
      </c>
      <c r="AK19" s="22">
        <v>39612.437339532633</v>
      </c>
      <c r="AL19" s="22">
        <v>137311.31024444025</v>
      </c>
      <c r="AM19" s="22">
        <v>194130.41387084025</v>
      </c>
      <c r="AN19" s="22">
        <v>432580.28078653844</v>
      </c>
      <c r="AO19" s="22">
        <v>609416.6309603391</v>
      </c>
      <c r="AP19" s="22">
        <v>1397957.1339308224</v>
      </c>
      <c r="AQ19" s="22">
        <v>4893042.4451856259</v>
      </c>
      <c r="AS19" s="22">
        <v>39617.622201153419</v>
      </c>
      <c r="AT19" s="22">
        <v>119174.0061574915</v>
      </c>
      <c r="AU19" s="22">
        <v>163419.70244444281</v>
      </c>
      <c r="AV19" s="22">
        <v>342648.94521381514</v>
      </c>
      <c r="AW19" s="22">
        <v>471873.82100367016</v>
      </c>
      <c r="AX19" s="22">
        <v>1038849.2503931613</v>
      </c>
      <c r="AY19" s="22">
        <v>3541529.9339861674</v>
      </c>
    </row>
    <row r="20" spans="1:51" x14ac:dyDescent="0.25">
      <c r="A20" s="151">
        <v>1974</v>
      </c>
      <c r="B20" s="152">
        <v>47614</v>
      </c>
      <c r="C20" s="152">
        <v>158595</v>
      </c>
      <c r="D20" s="152">
        <v>210622</v>
      </c>
      <c r="E20" s="152">
        <v>434351</v>
      </c>
      <c r="F20" s="152">
        <v>600583</v>
      </c>
      <c r="G20" s="152">
        <v>1299008</v>
      </c>
      <c r="H20" s="152">
        <v>4184534</v>
      </c>
      <c r="J20" s="22">
        <f>'C1-Incomes'!J22*'C16-ShareCh'!$AH20/'C16-ShareCh'!$AI20*1000</f>
        <v>60529.598202385627</v>
      </c>
      <c r="K20" s="22">
        <f>'C1-Incomes'!K22*'C16-ShareCh'!$AH20/'C16-ShareCh'!$AI20*1000*10</f>
        <v>193632.69428323262</v>
      </c>
      <c r="L20" s="22">
        <f>'C1-Incomes'!L22*'C16-ShareCh'!$AH20/'C16-ShareCh'!$AI20*1000*50</f>
        <v>653346.2847683084</v>
      </c>
      <c r="M20" s="22">
        <f>'C1-Incomes'!M22*'C16-ShareCh'!$AH20/'C16-ShareCh'!$AI20*1000*100</f>
        <v>568071.53623500944</v>
      </c>
      <c r="N20" s="22">
        <f>'C1-Incomes'!N22*'C16-ShareCh'!$AH20/'C16-ShareCh'!$AI20*1000*500</f>
        <v>2027992.9418592278</v>
      </c>
      <c r="O20" s="22">
        <f>'C1-Incomes'!O22*'C16-ShareCh'!$AH20/'C16-ShareCh'!$AI20*1000*1000</f>
        <v>1908256.2540517836</v>
      </c>
      <c r="P20" s="22">
        <f>'C1-Incomes'!P22*'C16-ShareCh'!$AH20/'C16-ShareCh'!$AI20*1000*10000</f>
        <v>6379827.3081023088</v>
      </c>
      <c r="R20" s="22">
        <f>'C1-Incomes'!R22*'C16-ShareCh'!$AH20/'C16-ShareCh'!$AI20*1000</f>
        <v>66209.507417970366</v>
      </c>
      <c r="S20" s="22">
        <f>'C1-Incomes'!S22*'C16-ShareCh'!$AH20/'C16-ShareCh'!$AI20*1000*10</f>
        <v>196346.60300946966</v>
      </c>
      <c r="T20" s="22">
        <f>'C1-Incomes'!T22*'C16-ShareCh'!$AH20/'C16-ShareCh'!$AI20*1000*50</f>
        <v>661487.23872098827</v>
      </c>
      <c r="U20" s="22">
        <f>'C1-Incomes'!U22*'C16-ShareCh'!$AH20/'C16-ShareCh'!$AI20*1000*100</f>
        <v>572790.8009423248</v>
      </c>
      <c r="V20" s="22">
        <f>'C1-Incomes'!V22*'C16-ShareCh'!$AH20/'C16-ShareCh'!$AI20*1000*500</f>
        <v>2040387.6480440299</v>
      </c>
      <c r="W20" s="22">
        <f>'C1-Incomes'!W22*'C16-ShareCh'!$AH20/'C16-ShareCh'!$AI20*1000*1000</f>
        <v>1913961.4258950162</v>
      </c>
      <c r="X20" s="22">
        <f>'C1-Incomes'!X22*'C16-ShareCh'!$AH20/'C16-ShareCh'!$AI20*1000*10000</f>
        <v>6386863.8539906666</v>
      </c>
      <c r="Z20" s="22">
        <f>'C1-Incomes'!Z22*'C16-ShareCh'!$AH20/'C16-ShareCh'!$AI20*1000</f>
        <v>60529.579740171241</v>
      </c>
      <c r="AA20" s="22">
        <f>'C1-Incomes'!AA22*'C16-ShareCh'!$AH20/'C16-ShareCh'!$AI20*1000*10</f>
        <v>154750.71755607653</v>
      </c>
      <c r="AB20" s="22">
        <f>'C1-Incomes'!AB22*'C16-ShareCh'!$AH20/'C16-ShareCh'!$AI20*1000*50</f>
        <v>510795.3774604249</v>
      </c>
      <c r="AC20" s="22">
        <f>'C1-Incomes'!AC22*'C16-ShareCh'!$AH20/'C16-ShareCh'!$AI20*1000*100</f>
        <v>424633.48852005665</v>
      </c>
      <c r="AD20" s="22">
        <f>'C1-Incomes'!AD22*'C16-ShareCh'!$AH20/'C16-ShareCh'!$AI20*1000*500</f>
        <v>1495088.5640568023</v>
      </c>
      <c r="AE20" s="22">
        <f>'C1-Incomes'!AE22*'C16-ShareCh'!$AH20/'C16-ShareCh'!$AI20*1000*1000</f>
        <v>1358321.2859065076</v>
      </c>
      <c r="AF20" s="22">
        <f>'C1-Incomes'!AF22*'C16-ShareCh'!$AH20/'C16-ShareCh'!$AI20*1000*10000</f>
        <v>4461048.5828996515</v>
      </c>
      <c r="AH20" s="261">
        <f>'C0-Ref Stats'!AA20</f>
        <v>3.908779320932557</v>
      </c>
      <c r="AI20" s="36">
        <f>'C0-Ref Stats'!B20</f>
        <v>87227.731585466507</v>
      </c>
      <c r="AK20" s="22">
        <v>38495.716056531506</v>
      </c>
      <c r="AL20" s="22">
        <v>132030.08498164776</v>
      </c>
      <c r="AM20" s="22">
        <v>185554.34533830878</v>
      </c>
      <c r="AN20" s="22">
        <v>410094.9204538769</v>
      </c>
      <c r="AO20" s="22">
        <v>575367.27587959962</v>
      </c>
      <c r="AP20" s="22">
        <v>1301863.0447726138</v>
      </c>
      <c r="AQ20" s="22">
        <v>4412341.0049854498</v>
      </c>
      <c r="AS20" s="22">
        <v>38503.033772186558</v>
      </c>
      <c r="AT20" s="22">
        <v>114086.80106863787</v>
      </c>
      <c r="AU20" s="22">
        <v>155604.15672556593</v>
      </c>
      <c r="AV20" s="22">
        <v>324231.43482203316</v>
      </c>
      <c r="AW20" s="22">
        <v>445256.10885063955</v>
      </c>
      <c r="AX20" s="22">
        <v>973980.93533155019</v>
      </c>
      <c r="AY20" s="22">
        <v>3238533.9383916073</v>
      </c>
    </row>
    <row r="21" spans="1:51" x14ac:dyDescent="0.25">
      <c r="A21" s="151">
        <v>1975</v>
      </c>
      <c r="B21" s="152">
        <v>45075</v>
      </c>
      <c r="C21" s="152">
        <v>150700</v>
      </c>
      <c r="D21" s="152">
        <v>198162</v>
      </c>
      <c r="E21" s="152">
        <v>399938</v>
      </c>
      <c r="F21" s="152">
        <v>547024</v>
      </c>
      <c r="G21" s="152">
        <v>1155959</v>
      </c>
      <c r="H21" s="152">
        <v>3815983</v>
      </c>
      <c r="J21" s="22">
        <f>'C1-Incomes'!J23*'C16-ShareCh'!$AH21/'C16-ShareCh'!$AI21*1000</f>
        <v>58736.587398600619</v>
      </c>
      <c r="K21" s="22">
        <f>'C1-Incomes'!K23*'C16-ShareCh'!$AH21/'C16-ShareCh'!$AI21*1000*10</f>
        <v>188490.3445571558</v>
      </c>
      <c r="L21" s="22">
        <f>'C1-Incomes'!L23*'C16-ShareCh'!$AH21/'C16-ShareCh'!$AI21*1000*50</f>
        <v>634737.17306685832</v>
      </c>
      <c r="M21" s="22">
        <f>'C1-Incomes'!M23*'C16-ShareCh'!$AH21/'C16-ShareCh'!$AI21*1000*100</f>
        <v>552503.66392656264</v>
      </c>
      <c r="N21" s="22">
        <f>'C1-Incomes'!N23*'C16-ShareCh'!$AH21/'C16-ShareCh'!$AI21*1000*500</f>
        <v>1979027.106151002</v>
      </c>
      <c r="O21" s="22">
        <f>'C1-Incomes'!O23*'C16-ShareCh'!$AH21/'C16-ShareCh'!$AI21*1000*1000</f>
        <v>1847172.446524516</v>
      </c>
      <c r="P21" s="22">
        <f>'C1-Incomes'!P23*'C16-ShareCh'!$AH21/'C16-ShareCh'!$AI21*1000*10000</f>
        <v>6369273.1049601072</v>
      </c>
      <c r="R21" s="22">
        <f>'C1-Incomes'!R23*'C16-ShareCh'!$AH21/'C16-ShareCh'!$AI21*1000</f>
        <v>65261.959195273688</v>
      </c>
      <c r="S21" s="22">
        <f>'C1-Incomes'!S23*'C16-ShareCh'!$AH21/'C16-ShareCh'!$AI21*1000*10</f>
        <v>191340.32986037459</v>
      </c>
      <c r="T21" s="22">
        <f>'C1-Incomes'!T23*'C16-ShareCh'!$AH21/'C16-ShareCh'!$AI21*1000*50</f>
        <v>643127.48121572577</v>
      </c>
      <c r="U21" s="22">
        <f>'C1-Incomes'!U23*'C16-ShareCh'!$AH21/'C16-ShareCh'!$AI21*1000*100</f>
        <v>557612.26828585705</v>
      </c>
      <c r="V21" s="22">
        <f>'C1-Incomes'!V23*'C16-ShareCh'!$AH21/'C16-ShareCh'!$AI21*1000*500</f>
        <v>1993055.0214994871</v>
      </c>
      <c r="W21" s="22">
        <f>'C1-Incomes'!W23*'C16-ShareCh'!$AH21/'C16-ShareCh'!$AI21*1000*1000</f>
        <v>1852606.1995848808</v>
      </c>
      <c r="X21" s="22">
        <f>'C1-Incomes'!X23*'C16-ShareCh'!$AH21/'C16-ShareCh'!$AI21*1000*10000</f>
        <v>6377604.9599790713</v>
      </c>
      <c r="Z21" s="22">
        <f>'C1-Incomes'!Z23*'C16-ShareCh'!$AH21/'C16-ShareCh'!$AI21*1000</f>
        <v>58736.603285413519</v>
      </c>
      <c r="AA21" s="22">
        <f>'C1-Incomes'!AA23*'C16-ShareCh'!$AH21/'C16-ShareCh'!$AI21*1000*10</f>
        <v>145841.43159751251</v>
      </c>
      <c r="AB21" s="22">
        <f>'C1-Incomes'!AB23*'C16-ShareCh'!$AH21/'C16-ShareCh'!$AI21*1000*50</f>
        <v>478216.64862204681</v>
      </c>
      <c r="AC21" s="22">
        <f>'C1-Incomes'!AC23*'C16-ShareCh'!$AH21/'C16-ShareCh'!$AI21*1000*100</f>
        <v>398151.78099661274</v>
      </c>
      <c r="AD21" s="22">
        <f>'C1-Incomes'!AD23*'C16-ShareCh'!$AH21/'C16-ShareCh'!$AI21*1000*500</f>
        <v>1408596.7176280527</v>
      </c>
      <c r="AE21" s="22">
        <f>'C1-Incomes'!AE23*'C16-ShareCh'!$AH21/'C16-ShareCh'!$AI21*1000*1000</f>
        <v>1281190.8528458583</v>
      </c>
      <c r="AF21" s="22">
        <f>'C1-Incomes'!AF23*'C16-ShareCh'!$AH21/'C16-ShareCh'!$AI21*1000*10000</f>
        <v>4327790.7148664994</v>
      </c>
      <c r="AH21" s="261">
        <f>'C0-Ref Stats'!AA21</f>
        <v>3.6075194411493343</v>
      </c>
      <c r="AI21" s="36">
        <f>'C0-Ref Stats'!B21</f>
        <v>89127.466196003021</v>
      </c>
      <c r="AK21" s="22">
        <v>37258.607806613552</v>
      </c>
      <c r="AL21" s="22">
        <v>127988.49973140373</v>
      </c>
      <c r="AM21" s="22">
        <v>179118.56339507599</v>
      </c>
      <c r="AN21" s="22">
        <v>393286.5065147226</v>
      </c>
      <c r="AO21" s="22">
        <v>550139.22784718219</v>
      </c>
      <c r="AP21" s="22">
        <v>1241031.4520700567</v>
      </c>
      <c r="AQ21" s="22">
        <v>4248213.0828716457</v>
      </c>
      <c r="AS21" s="22">
        <v>37268.689863245068</v>
      </c>
      <c r="AT21" s="22">
        <v>110427.53035900522</v>
      </c>
      <c r="AU21" s="22">
        <v>150531.45706151356</v>
      </c>
      <c r="AV21" s="22">
        <v>313558.03004862764</v>
      </c>
      <c r="AW21" s="22">
        <v>430999.30612995452</v>
      </c>
      <c r="AX21" s="22">
        <v>948891.65095011517</v>
      </c>
      <c r="AY21" s="22">
        <v>3220067.8311570617</v>
      </c>
    </row>
    <row r="22" spans="1:51" x14ac:dyDescent="0.25">
      <c r="A22" s="151">
        <v>1976</v>
      </c>
      <c r="B22" s="152">
        <v>46410</v>
      </c>
      <c r="C22" s="152">
        <v>155073</v>
      </c>
      <c r="D22" s="152">
        <v>203969</v>
      </c>
      <c r="E22" s="152">
        <v>411236</v>
      </c>
      <c r="F22" s="152">
        <v>563318</v>
      </c>
      <c r="G22" s="152">
        <v>1204228</v>
      </c>
      <c r="H22" s="152">
        <v>3991001</v>
      </c>
      <c r="J22" s="22">
        <f>'C1-Incomes'!J24*'C16-ShareCh'!$AH22/'C16-ShareCh'!$AI22*1000</f>
        <v>60652.705193981899</v>
      </c>
      <c r="K22" s="22">
        <f>'C1-Incomes'!K24*'C16-ShareCh'!$AH22/'C16-ShareCh'!$AI22*1000*10</f>
        <v>194654.35460312289</v>
      </c>
      <c r="L22" s="22">
        <f>'C1-Incomes'!L24*'C16-ShareCh'!$AH22/'C16-ShareCh'!$AI22*1000*50</f>
        <v>653603.69372721342</v>
      </c>
      <c r="M22" s="22">
        <f>'C1-Incomes'!M24*'C16-ShareCh'!$AH22/'C16-ShareCh'!$AI22*1000*100</f>
        <v>571901.66223926831</v>
      </c>
      <c r="N22" s="22">
        <f>'C1-Incomes'!N24*'C16-ShareCh'!$AH22/'C16-ShareCh'!$AI22*1000*500</f>
        <v>2049007.1366353321</v>
      </c>
      <c r="O22" s="22">
        <f>'C1-Incomes'!O24*'C16-ShareCh'!$AH22/'C16-ShareCh'!$AI22*1000*1000</f>
        <v>1940258.6920365829</v>
      </c>
      <c r="P22" s="22">
        <f>'C1-Incomes'!P24*'C16-ShareCh'!$AH22/'C16-ShareCh'!$AI22*1000*10000</f>
        <v>6796996.8892562045</v>
      </c>
      <c r="R22" s="22">
        <f>'C1-Incomes'!R24*'C16-ShareCh'!$AH22/'C16-ShareCh'!$AI22*1000</f>
        <v>67247.818526373201</v>
      </c>
      <c r="S22" s="22">
        <f>'C1-Incomes'!S24*'C16-ShareCh'!$AH22/'C16-ShareCh'!$AI22*1000*10</f>
        <v>197890.68676897805</v>
      </c>
      <c r="T22" s="22">
        <f>'C1-Incomes'!T24*'C16-ShareCh'!$AH22/'C16-ShareCh'!$AI22*1000*50</f>
        <v>663485.08175607526</v>
      </c>
      <c r="U22" s="22">
        <f>'C1-Incomes'!U24*'C16-ShareCh'!$AH22/'C16-ShareCh'!$AI22*1000*100</f>
        <v>577836.20402764878</v>
      </c>
      <c r="V22" s="22">
        <f>'C1-Incomes'!V24*'C16-ShareCh'!$AH22/'C16-ShareCh'!$AI22*1000*500</f>
        <v>2064814.5235941825</v>
      </c>
      <c r="W22" s="22">
        <f>'C1-Incomes'!W24*'C16-ShareCh'!$AH22/'C16-ShareCh'!$AI22*1000*1000</f>
        <v>1946181.8518033915</v>
      </c>
      <c r="X22" s="22">
        <f>'C1-Incomes'!X24*'C16-ShareCh'!$AH22/'C16-ShareCh'!$AI22*1000*10000</f>
        <v>6803627.3732470479</v>
      </c>
      <c r="Z22" s="22">
        <f>'C1-Incomes'!Z24*'C16-ShareCh'!$AH22/'C16-ShareCh'!$AI22*1000</f>
        <v>60652.63364359612</v>
      </c>
      <c r="AA22" s="22">
        <f>'C1-Incomes'!AA24*'C16-ShareCh'!$AH22/'C16-ShareCh'!$AI22*1000*10</f>
        <v>151381.59456655063</v>
      </c>
      <c r="AB22" s="22">
        <f>'C1-Incomes'!AB24*'C16-ShareCh'!$AH22/'C16-ShareCh'!$AI22*1000*50</f>
        <v>495781.14723701309</v>
      </c>
      <c r="AC22" s="22">
        <f>'C1-Incomes'!AC24*'C16-ShareCh'!$AH22/'C16-ShareCh'!$AI22*1000*100</f>
        <v>414217.60540270351</v>
      </c>
      <c r="AD22" s="22">
        <f>'C1-Incomes'!AD24*'C16-ShareCh'!$AH22/'C16-ShareCh'!$AI22*1000*500</f>
        <v>1460994.5297364476</v>
      </c>
      <c r="AE22" s="22">
        <f>'C1-Incomes'!AE24*'C16-ShareCh'!$AH22/'C16-ShareCh'!$AI22*1000*1000</f>
        <v>1333291.846705344</v>
      </c>
      <c r="AF22" s="22">
        <f>'C1-Incomes'!AF24*'C16-ShareCh'!$AH22/'C16-ShareCh'!$AI22*1000*10000</f>
        <v>4585128.9220757959</v>
      </c>
      <c r="AH22" s="261">
        <f>'C0-Ref Stats'!AA22</f>
        <v>3.4198919189079438</v>
      </c>
      <c r="AI22" s="36">
        <f>'C0-Ref Stats'!B22</f>
        <v>91048.45550544768</v>
      </c>
      <c r="AK22" s="22">
        <v>38619.525961336556</v>
      </c>
      <c r="AL22" s="22">
        <v>132926.94690481192</v>
      </c>
      <c r="AM22" s="22">
        <v>185817.31915540996</v>
      </c>
      <c r="AN22" s="22">
        <v>406636.91425861744</v>
      </c>
      <c r="AO22" s="22">
        <v>568818.47429310146</v>
      </c>
      <c r="AP22" s="22">
        <v>1284131.2912467979</v>
      </c>
      <c r="AQ22" s="22">
        <v>4465818.015139048</v>
      </c>
      <c r="AS22" s="22">
        <v>38623.493339150024</v>
      </c>
      <c r="AT22" s="22">
        <v>114370.84332273356</v>
      </c>
      <c r="AU22" s="22">
        <v>155800.52010311894</v>
      </c>
      <c r="AV22" s="22">
        <v>323974.74774919142</v>
      </c>
      <c r="AW22" s="22">
        <v>445396.9682625609</v>
      </c>
      <c r="AX22" s="22">
        <v>979712.63271210797</v>
      </c>
      <c r="AY22" s="22">
        <v>3371584.6252163877</v>
      </c>
    </row>
    <row r="23" spans="1:51" x14ac:dyDescent="0.25">
      <c r="A23" s="151">
        <v>1977</v>
      </c>
      <c r="B23" s="152">
        <v>46914</v>
      </c>
      <c r="C23" s="152">
        <v>157555</v>
      </c>
      <c r="D23" s="152">
        <v>207591</v>
      </c>
      <c r="E23" s="152">
        <v>423409</v>
      </c>
      <c r="F23" s="152">
        <v>583340</v>
      </c>
      <c r="G23" s="152">
        <v>1270412</v>
      </c>
      <c r="H23" s="152">
        <v>4333159</v>
      </c>
      <c r="J23" s="22">
        <f>'C1-Incomes'!J25*'C16-ShareCh'!$AH23/'C16-ShareCh'!$AI23*1000</f>
        <v>62059.695795804895</v>
      </c>
      <c r="K23" s="22">
        <f>'C1-Incomes'!K25*'C16-ShareCh'!$AH23/'C16-ShareCh'!$AI23*1000*10</f>
        <v>197820.56163621109</v>
      </c>
      <c r="L23" s="22">
        <f>'C1-Incomes'!L25*'C16-ShareCh'!$AH23/'C16-ShareCh'!$AI23*1000*50</f>
        <v>668682.96451113024</v>
      </c>
      <c r="M23" s="22">
        <f>'C1-Incomes'!M25*'C16-ShareCh'!$AH23/'C16-ShareCh'!$AI23*1000*100</f>
        <v>588942.00816035701</v>
      </c>
      <c r="N23" s="22">
        <f>'C1-Incomes'!N25*'C16-ShareCh'!$AH23/'C16-ShareCh'!$AI23*1000*500</f>
        <v>2122978.7651480031</v>
      </c>
      <c r="O23" s="22">
        <f>'C1-Incomes'!O25*'C16-ShareCh'!$AH23/'C16-ShareCh'!$AI23*1000*1000</f>
        <v>2017793.7857295633</v>
      </c>
      <c r="P23" s="22">
        <f>'C1-Incomes'!P25*'C16-ShareCh'!$AH23/'C16-ShareCh'!$AI23*1000*10000</f>
        <v>7108671.1589973979</v>
      </c>
      <c r="R23" s="22">
        <f>'C1-Incomes'!R25*'C16-ShareCh'!$AH23/'C16-ShareCh'!$AI23*1000</f>
        <v>68519.943546830211</v>
      </c>
      <c r="S23" s="22">
        <f>'C1-Incomes'!S25*'C16-ShareCh'!$AH23/'C16-ShareCh'!$AI23*1000*10</f>
        <v>201044.07143427222</v>
      </c>
      <c r="T23" s="22">
        <f>'C1-Incomes'!T25*'C16-ShareCh'!$AH23/'C16-ShareCh'!$AI23*1000*50</f>
        <v>678286.32334588037</v>
      </c>
      <c r="U23" s="22">
        <f>'C1-Incomes'!U25*'C16-ShareCh'!$AH23/'C16-ShareCh'!$AI23*1000*100</f>
        <v>594820.44662688719</v>
      </c>
      <c r="V23" s="22">
        <f>'C1-Incomes'!V25*'C16-ShareCh'!$AH23/'C16-ShareCh'!$AI23*1000*500</f>
        <v>2137864.1126134433</v>
      </c>
      <c r="W23" s="22">
        <f>'C1-Incomes'!W25*'C16-ShareCh'!$AH23/'C16-ShareCh'!$AI23*1000*1000</f>
        <v>2024816.2521409804</v>
      </c>
      <c r="X23" s="22">
        <f>'C1-Incomes'!X25*'C16-ShareCh'!$AH23/'C16-ShareCh'!$AI23*1000*10000</f>
        <v>7115428.2362160832</v>
      </c>
      <c r="Z23" s="22">
        <f>'C1-Incomes'!Z25*'C16-ShareCh'!$AH23/'C16-ShareCh'!$AI23*1000</f>
        <v>62059.678968487198</v>
      </c>
      <c r="AA23" s="22">
        <f>'C1-Incomes'!AA25*'C16-ShareCh'!$AH23/'C16-ShareCh'!$AI23*1000*10</f>
        <v>156068.85099436369</v>
      </c>
      <c r="AB23" s="22">
        <f>'C1-Incomes'!AB25*'C16-ShareCh'!$AH23/'C16-ShareCh'!$AI23*1000*50</f>
        <v>516575.34773685975</v>
      </c>
      <c r="AC23" s="22">
        <f>'C1-Incomes'!AC25*'C16-ShareCh'!$AH23/'C16-ShareCh'!$AI23*1000*100</f>
        <v>442781.77572063415</v>
      </c>
      <c r="AD23" s="22">
        <f>'C1-Incomes'!AD25*'C16-ShareCh'!$AH23/'C16-ShareCh'!$AI23*1000*500</f>
        <v>1577627.5331055545</v>
      </c>
      <c r="AE23" s="22">
        <f>'C1-Incomes'!AE25*'C16-ShareCh'!$AH23/'C16-ShareCh'!$AI23*1000*1000</f>
        <v>1466135.3619491491</v>
      </c>
      <c r="AF23" s="22">
        <f>'C1-Incomes'!AF25*'C16-ShareCh'!$AH23/'C16-ShareCh'!$AI23*1000*10000</f>
        <v>5058441.4905076437</v>
      </c>
      <c r="AH23" s="261">
        <f>'C0-Ref Stats'!AA23</f>
        <v>3.2114341028423921</v>
      </c>
      <c r="AI23" s="36">
        <f>'C0-Ref Stats'!B23</f>
        <v>93075.821147921553</v>
      </c>
      <c r="AK23" s="22">
        <v>39814.06470348857</v>
      </c>
      <c r="AL23" s="22">
        <v>137946.36567419214</v>
      </c>
      <c r="AM23" s="22">
        <v>193296.99332139976</v>
      </c>
      <c r="AN23" s="22">
        <v>424630.58066709328</v>
      </c>
      <c r="AO23" s="22">
        <v>596379.89594576682</v>
      </c>
      <c r="AP23" s="22">
        <v>1355714.014290442</v>
      </c>
      <c r="AQ23" s="22">
        <v>4741088.4533871291</v>
      </c>
      <c r="AS23" s="22">
        <v>39814.792420654732</v>
      </c>
      <c r="AT23" s="22">
        <v>119232.23340112565</v>
      </c>
      <c r="AU23" s="22">
        <v>163202.90548003762</v>
      </c>
      <c r="AV23" s="22">
        <v>342347.77022691781</v>
      </c>
      <c r="AW23" s="22">
        <v>473358.33006029349</v>
      </c>
      <c r="AX23" s="22">
        <v>1054173.1349671145</v>
      </c>
      <c r="AY23" s="22">
        <v>3671347.3023269996</v>
      </c>
    </row>
    <row r="24" spans="1:51" x14ac:dyDescent="0.25">
      <c r="A24" s="151">
        <v>1978</v>
      </c>
      <c r="B24" s="152">
        <v>47809</v>
      </c>
      <c r="C24" s="152">
        <v>160093</v>
      </c>
      <c r="D24" s="152">
        <v>210703</v>
      </c>
      <c r="E24" s="152">
        <v>427914</v>
      </c>
      <c r="F24" s="152">
        <v>589128</v>
      </c>
      <c r="G24" s="152">
        <v>1265963</v>
      </c>
      <c r="H24" s="152">
        <v>4094238</v>
      </c>
      <c r="J24" s="22">
        <f>'C1-Incomes'!J26*'C16-ShareCh'!$AH24/'C16-ShareCh'!$AI24*1000</f>
        <v>63985.715746463145</v>
      </c>
      <c r="K24" s="22">
        <f>'C1-Incomes'!K26*'C16-ShareCh'!$AH24/'C16-ShareCh'!$AI24*1000*10</f>
        <v>203397.57767302118</v>
      </c>
      <c r="L24" s="22">
        <f>'C1-Incomes'!L26*'C16-ShareCh'!$AH24/'C16-ShareCh'!$AI24*1000*50</f>
        <v>683713.57403175288</v>
      </c>
      <c r="M24" s="22">
        <f>'C1-Incomes'!M26*'C16-ShareCh'!$AH24/'C16-ShareCh'!$AI24*1000*100</f>
        <v>601022.35888752015</v>
      </c>
      <c r="N24" s="22">
        <f>'C1-Incomes'!N26*'C16-ShareCh'!$AH24/'C16-ShareCh'!$AI24*1000*500</f>
        <v>2168251.8857251457</v>
      </c>
      <c r="O24" s="22">
        <f>'C1-Incomes'!O26*'C16-ShareCh'!$AH24/'C16-ShareCh'!$AI24*1000*1000</f>
        <v>2073952.7693356271</v>
      </c>
      <c r="P24" s="22">
        <f>'C1-Incomes'!P26*'C16-ShareCh'!$AH24/'C16-ShareCh'!$AI24*1000*10000</f>
        <v>7232569.9881426794</v>
      </c>
      <c r="R24" s="22">
        <f>'C1-Incomes'!R26*'C16-ShareCh'!$AH24/'C16-ShareCh'!$AI24*1000</f>
        <v>70320.086337570305</v>
      </c>
      <c r="S24" s="22">
        <f>'C1-Incomes'!S26*'C16-ShareCh'!$AH24/'C16-ShareCh'!$AI24*1000*10</f>
        <v>206510.24575734747</v>
      </c>
      <c r="T24" s="22">
        <f>'C1-Incomes'!T26*'C16-ShareCh'!$AH24/'C16-ShareCh'!$AI24*1000*50</f>
        <v>693036.45558637485</v>
      </c>
      <c r="U24" s="22">
        <f>'C1-Incomes'!U26*'C16-ShareCh'!$AH24/'C16-ShareCh'!$AI24*1000*100</f>
        <v>606894.11127717234</v>
      </c>
      <c r="V24" s="22">
        <f>'C1-Incomes'!V26*'C16-ShareCh'!$AH24/'C16-ShareCh'!$AI24*1000*500</f>
        <v>2185448.3373505967</v>
      </c>
      <c r="W24" s="22">
        <f>'C1-Incomes'!W26*'C16-ShareCh'!$AH24/'C16-ShareCh'!$AI24*1000*1000</f>
        <v>2080398.6124865918</v>
      </c>
      <c r="X24" s="22">
        <f>'C1-Incomes'!X26*'C16-ShareCh'!$AH24/'C16-ShareCh'!$AI24*1000*10000</f>
        <v>7243610.1760329017</v>
      </c>
      <c r="Z24" s="22">
        <f>'C1-Incomes'!Z26*'C16-ShareCh'!$AH24/'C16-ShareCh'!$AI24*1000</f>
        <v>63985.757682034615</v>
      </c>
      <c r="AA24" s="22">
        <f>'C1-Incomes'!AA26*'C16-ShareCh'!$AH24/'C16-ShareCh'!$AI24*1000*10</f>
        <v>163467.66390798747</v>
      </c>
      <c r="AB24" s="22">
        <f>'C1-Incomes'!AB26*'C16-ShareCh'!$AH24/'C16-ShareCh'!$AI24*1000*50</f>
        <v>541419.27463319793</v>
      </c>
      <c r="AC24" s="22">
        <f>'C1-Incomes'!AC26*'C16-ShareCh'!$AH24/'C16-ShareCh'!$AI24*1000*100</f>
        <v>466010.02484866994</v>
      </c>
      <c r="AD24" s="22">
        <f>'C1-Incomes'!AD26*'C16-ShareCh'!$AH24/'C16-ShareCh'!$AI24*1000*500</f>
        <v>1661229.9509507376</v>
      </c>
      <c r="AE24" s="22">
        <f>'C1-Incomes'!AE26*'C16-ShareCh'!$AH24/'C16-ShareCh'!$AI24*1000*1000</f>
        <v>1567688.0879238425</v>
      </c>
      <c r="AF24" s="22">
        <f>'C1-Incomes'!AF26*'C16-ShareCh'!$AH24/'C16-ShareCh'!$AI24*1000*10000</f>
        <v>5413925.4999721274</v>
      </c>
      <c r="AH24" s="261">
        <f>'C0-Ref Stats'!AA24</f>
        <v>3.0012061734148414</v>
      </c>
      <c r="AI24" s="36">
        <f>'C0-Ref Stats'!B24</f>
        <v>95212.836116289182</v>
      </c>
      <c r="AK24" s="22">
        <v>41230.512488196844</v>
      </c>
      <c r="AL24" s="22">
        <v>143104.29147485513</v>
      </c>
      <c r="AM24" s="22">
        <v>200711.12160274395</v>
      </c>
      <c r="AN24" s="22">
        <v>444028.28446991357</v>
      </c>
      <c r="AO24" s="22">
        <v>628059.07239717303</v>
      </c>
      <c r="AP24" s="22">
        <v>1450929.9822222833</v>
      </c>
      <c r="AQ24" s="22">
        <v>5152967.7822331702</v>
      </c>
      <c r="AS24" s="22">
        <v>41224.106250944234</v>
      </c>
      <c r="AT24" s="22">
        <v>124543.49911887599</v>
      </c>
      <c r="AU24" s="22">
        <v>171037.17943803026</v>
      </c>
      <c r="AV24" s="22">
        <v>362871.97542116151</v>
      </c>
      <c r="AW24" s="22">
        <v>506396.22793857462</v>
      </c>
      <c r="AX24" s="22">
        <v>1153063.8096051926</v>
      </c>
      <c r="AY24" s="22">
        <v>4101143.2021380011</v>
      </c>
    </row>
    <row r="25" spans="1:51" x14ac:dyDescent="0.25">
      <c r="A25" s="151">
        <v>1979</v>
      </c>
      <c r="B25" s="152">
        <v>48342</v>
      </c>
      <c r="C25" s="152">
        <v>165390</v>
      </c>
      <c r="D25" s="152">
        <v>221711</v>
      </c>
      <c r="E25" s="152">
        <v>481378</v>
      </c>
      <c r="F25" s="152">
        <v>687288</v>
      </c>
      <c r="G25" s="152">
        <v>1662621</v>
      </c>
      <c r="H25" s="152">
        <v>6636710</v>
      </c>
      <c r="J25" s="22">
        <f>'C1-Incomes'!J27*'C16-ShareCh'!$AH25/'C16-ShareCh'!$AI25*1000</f>
        <v>63592.767343694315</v>
      </c>
      <c r="K25" s="22">
        <f>'C1-Incomes'!K27*'C16-ShareCh'!$AH25/'C16-ShareCh'!$AI25*1000*10</f>
        <v>202433.98552738811</v>
      </c>
      <c r="L25" s="22">
        <f>'C1-Incomes'!L27*'C16-ShareCh'!$AH25/'C16-ShareCh'!$AI25*1000*50</f>
        <v>683651.74155369494</v>
      </c>
      <c r="M25" s="22">
        <f>'C1-Incomes'!M27*'C16-ShareCh'!$AH25/'C16-ShareCh'!$AI25*1000*100</f>
        <v>603495.27809984039</v>
      </c>
      <c r="N25" s="22">
        <f>'C1-Incomes'!N27*'C16-ShareCh'!$AH25/'C16-ShareCh'!$AI25*1000*500</f>
        <v>2187094.8165430469</v>
      </c>
      <c r="O25" s="22">
        <f>'C1-Incomes'!O27*'C16-ShareCh'!$AH25/'C16-ShareCh'!$AI25*1000*1000</f>
        <v>2127212.5110327704</v>
      </c>
      <c r="P25" s="22">
        <f>'C1-Incomes'!P27*'C16-ShareCh'!$AH25/'C16-ShareCh'!$AI25*1000*10000</f>
        <v>7670374.6328614056</v>
      </c>
      <c r="R25" s="22">
        <f>'C1-Incomes'!R27*'C16-ShareCh'!$AH25/'C16-ShareCh'!$AI25*1000</f>
        <v>69946.3785845737</v>
      </c>
      <c r="S25" s="22">
        <f>'C1-Incomes'!S27*'C16-ShareCh'!$AH25/'C16-ShareCh'!$AI25*1000*10</f>
        <v>205277.41003834282</v>
      </c>
      <c r="T25" s="22">
        <f>'C1-Incomes'!T27*'C16-ShareCh'!$AH25/'C16-ShareCh'!$AI25*1000*50</f>
        <v>691894.06482118322</v>
      </c>
      <c r="U25" s="22">
        <f>'C1-Incomes'!U27*'C16-ShareCh'!$AH25/'C16-ShareCh'!$AI25*1000*100</f>
        <v>607859.02895037993</v>
      </c>
      <c r="V25" s="22">
        <f>'C1-Incomes'!V27*'C16-ShareCh'!$AH25/'C16-ShareCh'!$AI25*1000*500</f>
        <v>2198367.0681542885</v>
      </c>
      <c r="W25" s="22">
        <f>'C1-Incomes'!W27*'C16-ShareCh'!$AH25/'C16-ShareCh'!$AI25*1000*1000</f>
        <v>2130915.820756088</v>
      </c>
      <c r="X25" s="22">
        <f>'C1-Incomes'!X27*'C16-ShareCh'!$AH25/'C16-ShareCh'!$AI25*1000*10000</f>
        <v>7675992.8661082909</v>
      </c>
      <c r="Z25" s="22">
        <f>'C1-Incomes'!Z27*'C16-ShareCh'!$AH25/'C16-ShareCh'!$AI25*1000</f>
        <v>63592.770653235151</v>
      </c>
      <c r="AA25" s="22">
        <f>'C1-Incomes'!AA27*'C16-ShareCh'!$AH25/'C16-ShareCh'!$AI25*1000*10</f>
        <v>161440.85083651697</v>
      </c>
      <c r="AB25" s="22">
        <f>'C1-Incomes'!AB27*'C16-ShareCh'!$AH25/'C16-ShareCh'!$AI25*1000*50</f>
        <v>536375.85848718463</v>
      </c>
      <c r="AC25" s="22">
        <f>'C1-Incomes'!AC27*'C16-ShareCh'!$AH25/'C16-ShareCh'!$AI25*1000*100</f>
        <v>458757.02029834047</v>
      </c>
      <c r="AD25" s="22">
        <f>'C1-Incomes'!AD27*'C16-ShareCh'!$AH25/'C16-ShareCh'!$AI25*1000*500</f>
        <v>1638035.5165371983</v>
      </c>
      <c r="AE25" s="22">
        <f>'C1-Incomes'!AE27*'C16-ShareCh'!$AH25/'C16-ShareCh'!$AI25*1000*1000</f>
        <v>1554122.0756520431</v>
      </c>
      <c r="AF25" s="22">
        <f>'C1-Incomes'!AF27*'C16-ShareCh'!$AH25/'C16-ShareCh'!$AI25*1000*10000</f>
        <v>5459914.5008467874</v>
      </c>
      <c r="AH25" s="261">
        <f>'C0-Ref Stats'!AA25</f>
        <v>2.7567356599687769</v>
      </c>
      <c r="AI25" s="36">
        <f>'C0-Ref Stats'!B25</f>
        <v>97457.045574318821</v>
      </c>
      <c r="AK25" s="22">
        <v>41386.464686162697</v>
      </c>
      <c r="AL25" s="22">
        <v>144388.78673106607</v>
      </c>
      <c r="AM25" s="22">
        <v>204006.01464806127</v>
      </c>
      <c r="AN25" s="22">
        <v>461602.13640989515</v>
      </c>
      <c r="AO25" s="22">
        <v>662726.43014658894</v>
      </c>
      <c r="AP25" s="22">
        <v>1596733.4561457178</v>
      </c>
      <c r="AQ25" s="22">
        <v>6084607.8594601825</v>
      </c>
      <c r="AS25" s="22">
        <v>41365.283221519865</v>
      </c>
      <c r="AT25" s="22">
        <v>125636.25207116027</v>
      </c>
      <c r="AU25" s="22">
        <v>173862.87416757975</v>
      </c>
      <c r="AV25" s="22">
        <v>378056.11828914046</v>
      </c>
      <c r="AW25" s="22">
        <v>536189.99485785724</v>
      </c>
      <c r="AX25" s="22">
        <v>1277706.2216805723</v>
      </c>
      <c r="AY25" s="22">
        <v>4832060.0883081295</v>
      </c>
    </row>
    <row r="26" spans="1:51" x14ac:dyDescent="0.25">
      <c r="A26" s="151">
        <v>1980</v>
      </c>
      <c r="B26" s="152">
        <v>46897</v>
      </c>
      <c r="C26" s="152">
        <v>162420</v>
      </c>
      <c r="D26" s="152">
        <v>217302</v>
      </c>
      <c r="E26" s="152">
        <v>469960</v>
      </c>
      <c r="F26" s="152">
        <v>670544</v>
      </c>
      <c r="G26" s="152">
        <v>1598976</v>
      </c>
      <c r="H26" s="152">
        <v>5986356</v>
      </c>
      <c r="J26" s="22">
        <f>'C1-Incomes'!J28*'C16-ShareCh'!$AH26/'C16-ShareCh'!$AI26*1000</f>
        <v>60640.212915727949</v>
      </c>
      <c r="K26" s="22">
        <f>'C1-Incomes'!K28*'C16-ShareCh'!$AH26/'C16-ShareCh'!$AI26*1000*10</f>
        <v>193957.82051929084</v>
      </c>
      <c r="L26" s="22">
        <f>'C1-Incomes'!L28*'C16-ShareCh'!$AH26/'C16-ShareCh'!$AI26*1000*50</f>
        <v>650932.81194853422</v>
      </c>
      <c r="M26" s="22">
        <f>'C1-Incomes'!M28*'C16-ShareCh'!$AH26/'C16-ShareCh'!$AI26*1000*100</f>
        <v>561617.26852419402</v>
      </c>
      <c r="N26" s="22">
        <f>'C1-Incomes'!N28*'C16-ShareCh'!$AH26/'C16-ShareCh'!$AI26*1000*500</f>
        <v>2015569.1885752743</v>
      </c>
      <c r="O26" s="22">
        <f>'C1-Incomes'!O28*'C16-ShareCh'!$AH26/'C16-ShareCh'!$AI26*1000*1000</f>
        <v>1916462.7758243277</v>
      </c>
      <c r="P26" s="22">
        <f>'C1-Incomes'!P28*'C16-ShareCh'!$AH26/'C16-ShareCh'!$AI26*1000*10000</f>
        <v>6747299.4119663788</v>
      </c>
      <c r="R26" s="22">
        <f>'C1-Incomes'!R28*'C16-ShareCh'!$AH26/'C16-ShareCh'!$AI26*1000</f>
        <v>67349.219351648091</v>
      </c>
      <c r="S26" s="22">
        <f>'C1-Incomes'!S28*'C16-ShareCh'!$AH26/'C16-ShareCh'!$AI26*1000*10</f>
        <v>196736.23216274387</v>
      </c>
      <c r="T26" s="22">
        <f>'C1-Incomes'!T28*'C16-ShareCh'!$AH26/'C16-ShareCh'!$AI26*1000*50</f>
        <v>659139.22587364074</v>
      </c>
      <c r="U26" s="22">
        <f>'C1-Incomes'!U28*'C16-ShareCh'!$AH26/'C16-ShareCh'!$AI26*1000*100</f>
        <v>566056.64925561997</v>
      </c>
      <c r="V26" s="22">
        <f>'C1-Incomes'!V28*'C16-ShareCh'!$AH26/'C16-ShareCh'!$AI26*1000*500</f>
        <v>2026885.684274958</v>
      </c>
      <c r="W26" s="22">
        <f>'C1-Incomes'!W28*'C16-ShareCh'!$AH26/'C16-ShareCh'!$AI26*1000*1000</f>
        <v>1921117.4876980537</v>
      </c>
      <c r="X26" s="22">
        <f>'C1-Incomes'!X28*'C16-ShareCh'!$AH26/'C16-ShareCh'!$AI26*1000*10000</f>
        <v>6752968.886357842</v>
      </c>
      <c r="Z26" s="22">
        <f>'C1-Incomes'!Z28*'C16-ShareCh'!$AH26/'C16-ShareCh'!$AI26*1000</f>
        <v>60640.160552958114</v>
      </c>
      <c r="AA26" s="22">
        <f>'C1-Incomes'!AA28*'C16-ShareCh'!$AH26/'C16-ShareCh'!$AI26*1000*10</f>
        <v>150800.97937028648</v>
      </c>
      <c r="AB26" s="22">
        <f>'C1-Incomes'!AB28*'C16-ShareCh'!$AH26/'C16-ShareCh'!$AI26*1000*50</f>
        <v>495734.27296807739</v>
      </c>
      <c r="AC26" s="22">
        <f>'C1-Incomes'!AC28*'C16-ShareCh'!$AH26/'C16-ShareCh'!$AI26*1000*100</f>
        <v>410593.60401753947</v>
      </c>
      <c r="AD26" s="22">
        <f>'C1-Incomes'!AD28*'C16-ShareCh'!$AH26/'C16-ShareCh'!$AI26*1000*500</f>
        <v>1450217.3786994861</v>
      </c>
      <c r="AE26" s="22">
        <f>'C1-Incomes'!AE28*'C16-ShareCh'!$AH26/'C16-ShareCh'!$AI26*1000*1000</f>
        <v>1343167.7248358226</v>
      </c>
      <c r="AF26" s="22">
        <f>'C1-Incomes'!AF28*'C16-ShareCh'!$AH26/'C16-ShareCh'!$AI26*1000*10000</f>
        <v>4618005.583561657</v>
      </c>
      <c r="AH26" s="261">
        <f>'C0-Ref Stats'!AA26</f>
        <v>2.4894492700895898</v>
      </c>
      <c r="AI26" s="36">
        <f>'C0-Ref Stats'!B26</f>
        <v>99625</v>
      </c>
      <c r="AK26" s="22">
        <v>40185.404687494105</v>
      </c>
      <c r="AL26" s="22">
        <v>137605.22676446039</v>
      </c>
      <c r="AM26" s="22">
        <v>192115.88149726644</v>
      </c>
      <c r="AN26" s="22">
        <v>428781.36452975561</v>
      </c>
      <c r="AO26" s="22">
        <v>610628.90790401609</v>
      </c>
      <c r="AP26" s="22">
        <v>1433228.6951542185</v>
      </c>
      <c r="AQ26" s="22">
        <v>5087148.3181429021</v>
      </c>
      <c r="AS26" s="22">
        <v>40185.044477528383</v>
      </c>
      <c r="AT26" s="22">
        <v>118902.90673205674</v>
      </c>
      <c r="AU26" s="22">
        <v>162087.82424248959</v>
      </c>
      <c r="AV26" s="22">
        <v>344324.11576753744</v>
      </c>
      <c r="AW26" s="22">
        <v>483545.25665467489</v>
      </c>
      <c r="AX26" s="22">
        <v>1110941.7999852719</v>
      </c>
      <c r="AY26" s="22">
        <v>3885172.8269197526</v>
      </c>
    </row>
    <row r="27" spans="1:51" x14ac:dyDescent="0.25">
      <c r="A27" s="151">
        <v>1981</v>
      </c>
      <c r="B27" s="152">
        <v>46375</v>
      </c>
      <c r="C27" s="152">
        <v>160195</v>
      </c>
      <c r="D27" s="152">
        <v>213661</v>
      </c>
      <c r="E27" s="152">
        <v>464537</v>
      </c>
      <c r="F27" s="152">
        <v>670890</v>
      </c>
      <c r="G27" s="152">
        <v>1653814</v>
      </c>
      <c r="H27" s="152">
        <v>6334172</v>
      </c>
      <c r="J27" s="22">
        <f>'C1-Incomes'!J29*'C16-ShareCh'!$AH27/'C16-ShareCh'!$AI27*1000</f>
        <v>61328.753337989314</v>
      </c>
      <c r="K27" s="22">
        <f>'C1-Incomes'!K29*'C16-ShareCh'!$AH27/'C16-ShareCh'!$AI27*1000*10</f>
        <v>194784.9539027366</v>
      </c>
      <c r="L27" s="22">
        <f>'C1-Incomes'!L29*'C16-ShareCh'!$AH27/'C16-ShareCh'!$AI27*1000*50</f>
        <v>648885.22219084029</v>
      </c>
      <c r="M27" s="22">
        <f>'C1-Incomes'!M29*'C16-ShareCh'!$AH27/'C16-ShareCh'!$AI27*1000*100</f>
        <v>547433.92170975718</v>
      </c>
      <c r="N27" s="22">
        <f>'C1-Incomes'!N29*'C16-ShareCh'!$AH27/'C16-ShareCh'!$AI27*1000*500</f>
        <v>1951191.3843533651</v>
      </c>
      <c r="O27" s="22">
        <f>'C1-Incomes'!O29*'C16-ShareCh'!$AH27/'C16-ShareCh'!$AI27*1000*1000</f>
        <v>1841178.114285107</v>
      </c>
      <c r="P27" s="22">
        <f>'C1-Incomes'!P29*'C16-ShareCh'!$AH27/'C16-ShareCh'!$AI27*1000*10000</f>
        <v>6436558.5069629438</v>
      </c>
      <c r="R27" s="22">
        <f>'C1-Incomes'!R29*'C16-ShareCh'!$AH27/'C16-ShareCh'!$AI27*1000</f>
        <v>68179.733224859228</v>
      </c>
      <c r="S27" s="22">
        <f>'C1-Incomes'!S29*'C16-ShareCh'!$AH27/'C16-ShareCh'!$AI27*1000*10</f>
        <v>198023.39533179265</v>
      </c>
      <c r="T27" s="22">
        <f>'C1-Incomes'!T29*'C16-ShareCh'!$AH27/'C16-ShareCh'!$AI27*1000*50</f>
        <v>658027.2632319805</v>
      </c>
      <c r="U27" s="22">
        <f>'C1-Incomes'!U29*'C16-ShareCh'!$AH27/'C16-ShareCh'!$AI27*1000*100</f>
        <v>552039.18533769855</v>
      </c>
      <c r="V27" s="22">
        <f>'C1-Incomes'!V29*'C16-ShareCh'!$AH27/'C16-ShareCh'!$AI27*1000*500</f>
        <v>1963009.937633828</v>
      </c>
      <c r="W27" s="22">
        <f>'C1-Incomes'!W29*'C16-ShareCh'!$AH27/'C16-ShareCh'!$AI27*1000*1000</f>
        <v>1845194.9976191525</v>
      </c>
      <c r="X27" s="22">
        <f>'C1-Incomes'!X29*'C16-ShareCh'!$AH27/'C16-ShareCh'!$AI27*1000*10000</f>
        <v>6441416.9121019384</v>
      </c>
      <c r="Z27" s="22">
        <f>'C1-Incomes'!Z29*'C16-ShareCh'!$AH27/'C16-ShareCh'!$AI27*1000</f>
        <v>61328.736738128158</v>
      </c>
      <c r="AA27" s="22">
        <f>'C1-Incomes'!AA29*'C16-ShareCh'!$AH27/'C16-ShareCh'!$AI27*1000*10</f>
        <v>152593.58867605572</v>
      </c>
      <c r="AB27" s="22">
        <f>'C1-Incomes'!AB29*'C16-ShareCh'!$AH27/'C16-ShareCh'!$AI27*1000*50</f>
        <v>501709.70860714198</v>
      </c>
      <c r="AC27" s="22">
        <f>'C1-Incomes'!AC29*'C16-ShareCh'!$AH27/'C16-ShareCh'!$AI27*1000*100</f>
        <v>412380.38499755564</v>
      </c>
      <c r="AD27" s="22">
        <f>'C1-Incomes'!AD29*'C16-ShareCh'!$AH27/'C16-ShareCh'!$AI27*1000*500</f>
        <v>1445431.8482394344</v>
      </c>
      <c r="AE27" s="22">
        <f>'C1-Incomes'!AE29*'C16-ShareCh'!$AH27/'C16-ShareCh'!$AI27*1000*1000</f>
        <v>1348244.5516335256</v>
      </c>
      <c r="AF27" s="22">
        <f>'C1-Incomes'!AF29*'C16-ShareCh'!$AH27/'C16-ShareCh'!$AI27*1000*10000</f>
        <v>4634987.2665347131</v>
      </c>
      <c r="AH27" s="261">
        <f>'C0-Ref Stats'!AA27</f>
        <v>2.2852341988811888</v>
      </c>
      <c r="AI27" s="36">
        <f>'C0-Ref Stats'!B27</f>
        <v>101432.20736241926</v>
      </c>
      <c r="AK27" s="22">
        <v>40495.798390338736</v>
      </c>
      <c r="AL27" s="22">
        <v>140598.96459711008</v>
      </c>
      <c r="AM27" s="22">
        <v>197193.32884107248</v>
      </c>
      <c r="AN27" s="22">
        <v>447424.26480510546</v>
      </c>
      <c r="AO27" s="22">
        <v>645180.25400194118</v>
      </c>
      <c r="AP27" s="22">
        <v>1556771.1922677306</v>
      </c>
      <c r="AQ27" s="22">
        <v>5661974.6204232154</v>
      </c>
      <c r="AS27" s="22">
        <v>40492.588510581001</v>
      </c>
      <c r="AT27" s="22">
        <v>123704.37548017966</v>
      </c>
      <c r="AU27" s="22">
        <v>170744.44219464491</v>
      </c>
      <c r="AV27" s="22">
        <v>375611.43983072124</v>
      </c>
      <c r="AW27" s="22">
        <v>537441.44253222831</v>
      </c>
      <c r="AX27" s="22">
        <v>1285818.0269781519</v>
      </c>
      <c r="AY27" s="22">
        <v>4671615.0692132711</v>
      </c>
    </row>
    <row r="28" spans="1:51" x14ac:dyDescent="0.25">
      <c r="A28" s="151">
        <v>1982</v>
      </c>
      <c r="B28" s="152">
        <v>45557</v>
      </c>
      <c r="C28" s="152">
        <v>160963</v>
      </c>
      <c r="D28" s="152">
        <v>217133</v>
      </c>
      <c r="E28" s="152">
        <v>491826</v>
      </c>
      <c r="F28" s="152">
        <v>725729</v>
      </c>
      <c r="G28" s="152">
        <v>1902362</v>
      </c>
      <c r="H28" s="152">
        <v>7898669</v>
      </c>
      <c r="J28" s="22">
        <f>'C1-Incomes'!J30*'C16-ShareCh'!$AH28/'C16-ShareCh'!$AI28*1000</f>
        <v>59577.3974844767</v>
      </c>
      <c r="K28" s="22">
        <f>'C1-Incomes'!K30*'C16-ShareCh'!$AH28/'C16-ShareCh'!$AI28*1000*10</f>
        <v>191491.96173965695</v>
      </c>
      <c r="L28" s="22">
        <f>'C1-Incomes'!L30*'C16-ShareCh'!$AH28/'C16-ShareCh'!$AI28*1000*50</f>
        <v>635229.30927780073</v>
      </c>
      <c r="M28" s="22">
        <f>'C1-Incomes'!M30*'C16-ShareCh'!$AH28/'C16-ShareCh'!$AI28*1000*100</f>
        <v>538589.19231293397</v>
      </c>
      <c r="N28" s="22">
        <f>'C1-Incomes'!N30*'C16-ShareCh'!$AH28/'C16-ShareCh'!$AI28*1000*500</f>
        <v>1937810.7541263169</v>
      </c>
      <c r="O28" s="22">
        <f>'C1-Incomes'!O30*'C16-ShareCh'!$AH28/'C16-ShareCh'!$AI28*1000*1000</f>
        <v>1886229.1619472117</v>
      </c>
      <c r="P28" s="22">
        <f>'C1-Incomes'!P30*'C16-ShareCh'!$AH28/'C16-ShareCh'!$AI28*1000*10000</f>
        <v>6798476.0231121304</v>
      </c>
      <c r="R28" s="22">
        <f>'C1-Incomes'!R30*'C16-ShareCh'!$AH28/'C16-ShareCh'!$AI28*1000</f>
        <v>66695.901337477873</v>
      </c>
      <c r="S28" s="22">
        <f>'C1-Incomes'!S30*'C16-ShareCh'!$AH28/'C16-ShareCh'!$AI28*1000*10</f>
        <v>194825.72722152673</v>
      </c>
      <c r="T28" s="22">
        <f>'C1-Incomes'!T30*'C16-ShareCh'!$AH28/'C16-ShareCh'!$AI28*1000*50</f>
        <v>644532.65894328291</v>
      </c>
      <c r="U28" s="22">
        <f>'C1-Incomes'!U30*'C16-ShareCh'!$AH28/'C16-ShareCh'!$AI28*1000*100</f>
        <v>543116.57339071063</v>
      </c>
      <c r="V28" s="22">
        <f>'C1-Incomes'!V30*'C16-ShareCh'!$AH28/'C16-ShareCh'!$AI28*1000*500</f>
        <v>1948883.8614579153</v>
      </c>
      <c r="W28" s="22">
        <f>'C1-Incomes'!W30*'C16-ShareCh'!$AH28/'C16-ShareCh'!$AI28*1000*1000</f>
        <v>1889697.4763984671</v>
      </c>
      <c r="X28" s="22">
        <f>'C1-Incomes'!X30*'C16-ShareCh'!$AH28/'C16-ShareCh'!$AI28*1000*10000</f>
        <v>6804141.9915869683</v>
      </c>
      <c r="Z28" s="22">
        <f>'C1-Incomes'!Z30*'C16-ShareCh'!$AH28/'C16-ShareCh'!$AI28*1000</f>
        <v>59577.360570748358</v>
      </c>
      <c r="AA28" s="22">
        <f>'C1-Incomes'!AA30*'C16-ShareCh'!$AH28/'C16-ShareCh'!$AI28*1000*10</f>
        <v>146929.00348913565</v>
      </c>
      <c r="AB28" s="22">
        <f>'C1-Incomes'!AB30*'C16-ShareCh'!$AH28/'C16-ShareCh'!$AI28*1000*50</f>
        <v>479079.252853707</v>
      </c>
      <c r="AC28" s="22">
        <f>'C1-Incomes'!AC30*'C16-ShareCh'!$AH28/'C16-ShareCh'!$AI28*1000*100</f>
        <v>390893.94261571969</v>
      </c>
      <c r="AD28" s="22">
        <f>'C1-Incomes'!AD30*'C16-ShareCh'!$AH28/'C16-ShareCh'!$AI28*1000*500</f>
        <v>1386713.8294268893</v>
      </c>
      <c r="AE28" s="22">
        <f>'C1-Incomes'!AE30*'C16-ShareCh'!$AH28/'C16-ShareCh'!$AI28*1000*1000</f>
        <v>1315527.5388525974</v>
      </c>
      <c r="AF28" s="22">
        <f>'C1-Incomes'!AF30*'C16-ShareCh'!$AH28/'C16-ShareCh'!$AI28*1000*10000</f>
        <v>4688963.2146521937</v>
      </c>
      <c r="AH28" s="261">
        <f>'C0-Ref Stats'!AA28</f>
        <v>2.1656677150713115</v>
      </c>
      <c r="AI28" s="36">
        <f>'C0-Ref Stats'!B28</f>
        <v>103250.43781266264</v>
      </c>
      <c r="AK28" s="22">
        <v>39167.169290832113</v>
      </c>
      <c r="AL28" s="22">
        <v>136683.29160685453</v>
      </c>
      <c r="AM28" s="22">
        <v>191927.3041685932</v>
      </c>
      <c r="AN28" s="22">
        <v>441176.69297432434</v>
      </c>
      <c r="AO28" s="22">
        <v>644065.30556979356</v>
      </c>
      <c r="AP28" s="22">
        <v>1598697.5828408238</v>
      </c>
      <c r="AQ28" s="22">
        <v>5862396.1283942852</v>
      </c>
      <c r="AS28" s="22">
        <v>39166.796940534077</v>
      </c>
      <c r="AT28" s="22">
        <v>120973.71051038163</v>
      </c>
      <c r="AU28" s="22">
        <v>166833.48922988528</v>
      </c>
      <c r="AV28" s="22">
        <v>368770.18557340262</v>
      </c>
      <c r="AW28" s="22">
        <v>531966.88480917492</v>
      </c>
      <c r="AX28" s="22">
        <v>1300850.7954564139</v>
      </c>
      <c r="AY28" s="22">
        <v>4861473.4743020497</v>
      </c>
    </row>
    <row r="29" spans="1:51" x14ac:dyDescent="0.25">
      <c r="A29" s="151">
        <v>1983</v>
      </c>
      <c r="B29" s="152">
        <v>45805</v>
      </c>
      <c r="C29" s="152">
        <v>166646</v>
      </c>
      <c r="D29" s="152">
        <v>227664</v>
      </c>
      <c r="E29" s="152">
        <v>529284</v>
      </c>
      <c r="F29" s="152">
        <v>790638</v>
      </c>
      <c r="G29" s="152">
        <v>2116576</v>
      </c>
      <c r="H29" s="152">
        <v>8630368</v>
      </c>
      <c r="J29" s="22">
        <f>'C1-Incomes'!J31*'C16-ShareCh'!$AH29/'C16-ShareCh'!$AI29*1000</f>
        <v>60480.795142899995</v>
      </c>
      <c r="K29" s="22">
        <f>'C1-Incomes'!K31*'C16-ShareCh'!$AH29/'C16-ShareCh'!$AI29*1000*10</f>
        <v>195760.62622732043</v>
      </c>
      <c r="L29" s="22">
        <f>'C1-Incomes'!L31*'C16-ShareCh'!$AH29/'C16-ShareCh'!$AI29*1000*50</f>
        <v>653795.75511843932</v>
      </c>
      <c r="M29" s="22">
        <f>'C1-Incomes'!M31*'C16-ShareCh'!$AH29/'C16-ShareCh'!$AI29*1000*100</f>
        <v>559371.96038367751</v>
      </c>
      <c r="N29" s="22">
        <f>'C1-Incomes'!N31*'C16-ShareCh'!$AH29/'C16-ShareCh'!$AI29*1000*500</f>
        <v>2024725.6753646946</v>
      </c>
      <c r="O29" s="22">
        <f>'C1-Incomes'!O31*'C16-ShareCh'!$AH29/'C16-ShareCh'!$AI29*1000*1000</f>
        <v>1969478.5452192796</v>
      </c>
      <c r="P29" s="22">
        <f>'C1-Incomes'!P31*'C16-ShareCh'!$AH29/'C16-ShareCh'!$AI29*1000*10000</f>
        <v>7150762.207725687</v>
      </c>
      <c r="R29" s="22">
        <f>'C1-Incomes'!R31*'C16-ShareCh'!$AH29/'C16-ShareCh'!$AI29*1000</f>
        <v>67718.753143605587</v>
      </c>
      <c r="S29" s="22">
        <f>'C1-Incomes'!S31*'C16-ShareCh'!$AH29/'C16-ShareCh'!$AI29*1000*10</f>
        <v>199138.64185437193</v>
      </c>
      <c r="T29" s="22">
        <f>'C1-Incomes'!T31*'C16-ShareCh'!$AH29/'C16-ShareCh'!$AI29*1000*50</f>
        <v>663085.88621849171</v>
      </c>
      <c r="U29" s="22">
        <f>'C1-Incomes'!U31*'C16-ShareCh'!$AH29/'C16-ShareCh'!$AI29*1000*100</f>
        <v>563871.63336528523</v>
      </c>
      <c r="V29" s="22">
        <f>'C1-Incomes'!V31*'C16-ShareCh'!$AH29/'C16-ShareCh'!$AI29*1000*500</f>
        <v>2036468.9173310581</v>
      </c>
      <c r="W29" s="22">
        <f>'C1-Incomes'!W31*'C16-ShareCh'!$AH29/'C16-ShareCh'!$AI29*1000*1000</f>
        <v>1973467.7060185475</v>
      </c>
      <c r="X29" s="22">
        <f>'C1-Incomes'!X31*'C16-ShareCh'!$AH29/'C16-ShareCh'!$AI29*1000*10000</f>
        <v>7156062.9616750339</v>
      </c>
      <c r="Z29" s="22">
        <f>'C1-Incomes'!Z31*'C16-ShareCh'!$AH29/'C16-ShareCh'!$AI29*1000</f>
        <v>60480.779620130823</v>
      </c>
      <c r="AA29" s="22">
        <f>'C1-Incomes'!AA31*'C16-ShareCh'!$AH29/'C16-ShareCh'!$AI29*1000*10</f>
        <v>150817.0749697577</v>
      </c>
      <c r="AB29" s="22">
        <f>'C1-Incomes'!AB31*'C16-ShareCh'!$AH29/'C16-ShareCh'!$AI29*1000*50</f>
        <v>492771.35396890715</v>
      </c>
      <c r="AC29" s="22">
        <f>'C1-Incomes'!AC31*'C16-ShareCh'!$AH29/'C16-ShareCh'!$AI29*1000*100</f>
        <v>404104.57063655579</v>
      </c>
      <c r="AD29" s="22">
        <f>'C1-Incomes'!AD31*'C16-ShareCh'!$AH29/'C16-ShareCh'!$AI29*1000*500</f>
        <v>1433879.701827242</v>
      </c>
      <c r="AE29" s="22">
        <f>'C1-Incomes'!AE31*'C16-ShareCh'!$AH29/'C16-ShareCh'!$AI29*1000*1000</f>
        <v>1343566.3737688691</v>
      </c>
      <c r="AF29" s="22">
        <f>'C1-Incomes'!AF31*'C16-ShareCh'!$AH29/'C16-ShareCh'!$AI29*1000*10000</f>
        <v>4778923.2138868431</v>
      </c>
      <c r="AH29" s="261">
        <f>'C0-Ref Stats'!AA29</f>
        <v>2.0762957765176657</v>
      </c>
      <c r="AI29" s="36">
        <f>'C0-Ref Stats'!B29</f>
        <v>105066.9706211951</v>
      </c>
      <c r="AK29" s="22">
        <v>39804.221825790613</v>
      </c>
      <c r="AL29" s="22">
        <v>140987.7421668969</v>
      </c>
      <c r="AM29" s="22">
        <v>197835.17116743739</v>
      </c>
      <c r="AN29" s="22">
        <v>458298.18240465724</v>
      </c>
      <c r="AO29" s="22">
        <v>668228.70367858908</v>
      </c>
      <c r="AP29" s="22">
        <v>1646142.5498994889</v>
      </c>
      <c r="AQ29" s="22">
        <v>5966791.1465033256</v>
      </c>
      <c r="AS29" s="22">
        <v>39804.904727078254</v>
      </c>
      <c r="AT29" s="22">
        <v>125760.81121692598</v>
      </c>
      <c r="AU29" s="22">
        <v>173622.95343333643</v>
      </c>
      <c r="AV29" s="22">
        <v>386481.14637310908</v>
      </c>
      <c r="AW29" s="22">
        <v>555630.9516258837</v>
      </c>
      <c r="AX29" s="22">
        <v>1329391.6988430098</v>
      </c>
      <c r="AY29" s="22">
        <v>4751109.1979308361</v>
      </c>
    </row>
    <row r="30" spans="1:51" x14ac:dyDescent="0.25">
      <c r="A30" s="151">
        <v>1984</v>
      </c>
      <c r="B30" s="152">
        <v>47406</v>
      </c>
      <c r="C30" s="152">
        <v>174149</v>
      </c>
      <c r="D30" s="152">
        <v>239747</v>
      </c>
      <c r="E30" s="152">
        <v>568367</v>
      </c>
      <c r="F30" s="152">
        <v>857022</v>
      </c>
      <c r="G30" s="152">
        <v>2361343</v>
      </c>
      <c r="H30" s="152">
        <v>10209068</v>
      </c>
      <c r="J30" s="22">
        <f>'C1-Incomes'!J32*'C16-ShareCh'!$AH30/'C16-ShareCh'!$AI30*1000</f>
        <v>64470.653805432019</v>
      </c>
      <c r="K30" s="22">
        <f>'C1-Incomes'!K32*'C16-ShareCh'!$AH30/'C16-ShareCh'!$AI30*1000*10</f>
        <v>209257.84660583118</v>
      </c>
      <c r="L30" s="22">
        <f>'C1-Incomes'!L32*'C16-ShareCh'!$AH30/'C16-ShareCh'!$AI30*1000*50</f>
        <v>703591.41804603045</v>
      </c>
      <c r="M30" s="22">
        <f>'C1-Incomes'!M32*'C16-ShareCh'!$AH30/'C16-ShareCh'!$AI30*1000*100</f>
        <v>615247.31734570151</v>
      </c>
      <c r="N30" s="22">
        <f>'C1-Incomes'!N32*'C16-ShareCh'!$AH30/'C16-ShareCh'!$AI30*1000*500</f>
        <v>2234288.7016572068</v>
      </c>
      <c r="O30" s="22">
        <f>'C1-Incomes'!O32*'C16-ShareCh'!$AH30/'C16-ShareCh'!$AI30*1000*1000</f>
        <v>2200421.864852461</v>
      </c>
      <c r="P30" s="22">
        <f>'C1-Incomes'!P32*'C16-ShareCh'!$AH30/'C16-ShareCh'!$AI30*1000*10000</f>
        <v>8251175.0766122472</v>
      </c>
      <c r="R30" s="22">
        <f>'C1-Incomes'!R32*'C16-ShareCh'!$AH30/'C16-ShareCh'!$AI30*1000</f>
        <v>71504.456522580673</v>
      </c>
      <c r="S30" s="22">
        <f>'C1-Incomes'!S32*'C16-ShareCh'!$AH30/'C16-ShareCh'!$AI30*1000*10</f>
        <v>212656.70452396208</v>
      </c>
      <c r="T30" s="22">
        <f>'C1-Incomes'!T32*'C16-ShareCh'!$AH30/'C16-ShareCh'!$AI30*1000*50</f>
        <v>713011.02209660516</v>
      </c>
      <c r="U30" s="22">
        <f>'C1-Incomes'!U32*'C16-ShareCh'!$AH30/'C16-ShareCh'!$AI30*1000*100</f>
        <v>620016.80227525567</v>
      </c>
      <c r="V30" s="22">
        <f>'C1-Incomes'!V32*'C16-ShareCh'!$AH30/'C16-ShareCh'!$AI30*1000*500</f>
        <v>2246937.4841453019</v>
      </c>
      <c r="W30" s="22">
        <f>'C1-Incomes'!W32*'C16-ShareCh'!$AH30/'C16-ShareCh'!$AI30*1000*1000</f>
        <v>2203889.7032945803</v>
      </c>
      <c r="X30" s="22">
        <f>'C1-Incomes'!X32*'C16-ShareCh'!$AH30/'C16-ShareCh'!$AI30*1000*10000</f>
        <v>8256439.7578240894</v>
      </c>
      <c r="Z30" s="22">
        <f>'C1-Incomes'!Z32*'C16-ShareCh'!$AH30/'C16-ShareCh'!$AI30*1000</f>
        <v>64470.634439832975</v>
      </c>
      <c r="AA30" s="22">
        <f>'C1-Incomes'!AA32*'C16-ShareCh'!$AH30/'C16-ShareCh'!$AI30*1000*10</f>
        <v>166394.81225938653</v>
      </c>
      <c r="AB30" s="22">
        <f>'C1-Incomes'!AB32*'C16-ShareCh'!$AH30/'C16-ShareCh'!$AI30*1000*50</f>
        <v>549743.2244959682</v>
      </c>
      <c r="AC30" s="22">
        <f>'C1-Incomes'!AC32*'C16-ShareCh'!$AH30/'C16-ShareCh'!$AI30*1000*100</f>
        <v>466105.77337377507</v>
      </c>
      <c r="AD30" s="22">
        <f>'C1-Incomes'!AD32*'C16-ShareCh'!$AH30/'C16-ShareCh'!$AI30*1000*500</f>
        <v>1663104.7876747658</v>
      </c>
      <c r="AE30" s="22">
        <f>'C1-Incomes'!AE32*'C16-ShareCh'!$AH30/'C16-ShareCh'!$AI30*1000*1000</f>
        <v>1558578.182241448</v>
      </c>
      <c r="AF30" s="22">
        <f>'C1-Incomes'!AF32*'C16-ShareCh'!$AH30/'C16-ShareCh'!$AI30*1000*10000</f>
        <v>5756686.2882640827</v>
      </c>
      <c r="AH30" s="261">
        <f>'C0-Ref Stats'!AA30</f>
        <v>2.0006030260945837</v>
      </c>
      <c r="AI30" s="36">
        <f>'C0-Ref Stats'!B30</f>
        <v>106871.14951319493</v>
      </c>
      <c r="AK30" s="22">
        <v>42457.744443263931</v>
      </c>
      <c r="AL30" s="22">
        <v>155666.3030216592</v>
      </c>
      <c r="AM30" s="22">
        <v>221738.40329799431</v>
      </c>
      <c r="AN30" s="22">
        <v>530655.02725461044</v>
      </c>
      <c r="AO30" s="22">
        <v>784111.20582973305</v>
      </c>
      <c r="AP30" s="22">
        <v>2008236.7498815062</v>
      </c>
      <c r="AQ30" s="22">
        <v>7435158.758384509</v>
      </c>
      <c r="AS30" s="22">
        <v>42457.830754479153</v>
      </c>
      <c r="AT30" s="22">
        <v>140756.90535523652</v>
      </c>
      <c r="AU30" s="22">
        <v>197722.7648901155</v>
      </c>
      <c r="AV30" s="22">
        <v>458823.59194477519</v>
      </c>
      <c r="AW30" s="22">
        <v>669995.59428079228</v>
      </c>
      <c r="AX30" s="22">
        <v>1674849.1654153978</v>
      </c>
      <c r="AY30" s="22">
        <v>6081096.2493718965</v>
      </c>
    </row>
    <row r="31" spans="1:51" x14ac:dyDescent="0.25">
      <c r="A31" s="151">
        <v>1985</v>
      </c>
      <c r="B31" s="152">
        <v>48717</v>
      </c>
      <c r="C31" s="152">
        <v>182985</v>
      </c>
      <c r="D31" s="152">
        <v>254468</v>
      </c>
      <c r="E31" s="152">
        <v>617193</v>
      </c>
      <c r="F31" s="152">
        <v>937815</v>
      </c>
      <c r="G31" s="152">
        <v>2590779</v>
      </c>
      <c r="H31" s="152">
        <v>10893987</v>
      </c>
      <c r="J31" s="22">
        <f>'C1-Incomes'!J33*'C16-ShareCh'!$AH31/'C16-ShareCh'!$AI31*1000</f>
        <v>65467.032125377998</v>
      </c>
      <c r="K31" s="22">
        <f>'C1-Incomes'!K33*'C16-ShareCh'!$AH31/'C16-ShareCh'!$AI31*1000*10</f>
        <v>211683.96800821344</v>
      </c>
      <c r="L31" s="22">
        <f>'C1-Incomes'!L33*'C16-ShareCh'!$AH31/'C16-ShareCh'!$AI31*1000*50</f>
        <v>711852.76238323806</v>
      </c>
      <c r="M31" s="22">
        <f>'C1-Incomes'!M33*'C16-ShareCh'!$AH31/'C16-ShareCh'!$AI31*1000*100</f>
        <v>626014.46127352247</v>
      </c>
      <c r="N31" s="22">
        <f>'C1-Incomes'!N33*'C16-ShareCh'!$AH31/'C16-ShareCh'!$AI31*1000*500</f>
        <v>2299786.5204450111</v>
      </c>
      <c r="O31" s="22">
        <f>'C1-Incomes'!O33*'C16-ShareCh'!$AH31/'C16-ShareCh'!$AI31*1000*1000</f>
        <v>2328850.1593065248</v>
      </c>
      <c r="P31" s="22">
        <f>'C1-Incomes'!P33*'C16-ShareCh'!$AH31/'C16-ShareCh'!$AI31*1000*10000</f>
        <v>8295863.9378171405</v>
      </c>
      <c r="R31" s="22">
        <f>'C1-Incomes'!R33*'C16-ShareCh'!$AH31/'C16-ShareCh'!$AI31*1000</f>
        <v>72530.48339498385</v>
      </c>
      <c r="S31" s="22">
        <f>'C1-Incomes'!S33*'C16-ShareCh'!$AH31/'C16-ShareCh'!$AI31*1000*10</f>
        <v>215710.32727767856</v>
      </c>
      <c r="T31" s="22">
        <f>'C1-Incomes'!T33*'C16-ShareCh'!$AH31/'C16-ShareCh'!$AI31*1000*50</f>
        <v>723542.96811233845</v>
      </c>
      <c r="U31" s="22">
        <f>'C1-Incomes'!U33*'C16-ShareCh'!$AH31/'C16-ShareCh'!$AI31*1000*100</f>
        <v>632994.73367551668</v>
      </c>
      <c r="V31" s="22">
        <f>'C1-Incomes'!V33*'C16-ShareCh'!$AH31/'C16-ShareCh'!$AI31*1000*500</f>
        <v>2317131.1118056444</v>
      </c>
      <c r="W31" s="22">
        <f>'C1-Incomes'!W33*'C16-ShareCh'!$AH31/'C16-ShareCh'!$AI31*1000*1000</f>
        <v>2335399.9912834722</v>
      </c>
      <c r="X31" s="22">
        <f>'C1-Incomes'!X33*'C16-ShareCh'!$AH31/'C16-ShareCh'!$AI31*1000*10000</f>
        <v>8310336.5601086533</v>
      </c>
      <c r="Z31" s="22">
        <f>'C1-Incomes'!Z33*'C16-ShareCh'!$AH31/'C16-ShareCh'!$AI31*1000</f>
        <v>65467.05640771873</v>
      </c>
      <c r="AA31" s="22">
        <f>'C1-Incomes'!AA33*'C16-ShareCh'!$AH31/'C16-ShareCh'!$AI31*1000*10</f>
        <v>167950.52990843722</v>
      </c>
      <c r="AB31" s="22">
        <f>'C1-Incomes'!AB33*'C16-ShareCh'!$AH31/'C16-ShareCh'!$AI31*1000*50</f>
        <v>552662.98035016167</v>
      </c>
      <c r="AC31" s="22">
        <f>'C1-Incomes'!AC33*'C16-ShareCh'!$AH31/'C16-ShareCh'!$AI31*1000*100</f>
        <v>463954.35259757558</v>
      </c>
      <c r="AD31" s="22">
        <f>'C1-Incomes'!AD33*'C16-ShareCh'!$AH31/'C16-ShareCh'!$AI31*1000*500</f>
        <v>1671683.4964571483</v>
      </c>
      <c r="AE31" s="22">
        <f>'C1-Incomes'!AE33*'C16-ShareCh'!$AH31/'C16-ShareCh'!$AI31*1000*1000</f>
        <v>1621972.9051331468</v>
      </c>
      <c r="AF31" s="22">
        <f>'C1-Incomes'!AF33*'C16-ShareCh'!$AH31/'C16-ShareCh'!$AI31*1000*10000</f>
        <v>5628246.8025306938</v>
      </c>
      <c r="AH31" s="261">
        <f>'C0-Ref Stats'!AA31</f>
        <v>1.932210868145638</v>
      </c>
      <c r="AI31" s="36">
        <f>'C0-Ref Stats'!B31</f>
        <v>108736.06385144978</v>
      </c>
      <c r="AK31" s="22">
        <v>43218.026099459028</v>
      </c>
      <c r="AL31" s="22">
        <v>158425.90072924169</v>
      </c>
      <c r="AM31" s="22">
        <v>225545.19168842238</v>
      </c>
      <c r="AN31" s="22">
        <v>542557.31020155293</v>
      </c>
      <c r="AO31" s="22">
        <v>805384.93039885268</v>
      </c>
      <c r="AP31" s="22">
        <v>2039946.7755527112</v>
      </c>
      <c r="AQ31" s="22">
        <v>7107093.9882551199</v>
      </c>
      <c r="AS31" s="22">
        <v>43219.196409064127</v>
      </c>
      <c r="AT31" s="22">
        <v>142280.98191843944</v>
      </c>
      <c r="AU31" s="22">
        <v>199373.90788652885</v>
      </c>
      <c r="AV31" s="22">
        <v>462451.36207583477</v>
      </c>
      <c r="AW31" s="22">
        <v>677209.25875641068</v>
      </c>
      <c r="AX31" s="22">
        <v>1665072.6822705488</v>
      </c>
      <c r="AY31" s="22">
        <v>5688414.4767265189</v>
      </c>
    </row>
    <row r="32" spans="1:51" x14ac:dyDescent="0.25">
      <c r="A32" s="151">
        <v>1986</v>
      </c>
      <c r="B32" s="152">
        <v>52203</v>
      </c>
      <c r="C32" s="152">
        <v>212096</v>
      </c>
      <c r="D32" s="152">
        <v>307870</v>
      </c>
      <c r="E32" s="152">
        <v>830923</v>
      </c>
      <c r="F32" s="152">
        <v>1317825</v>
      </c>
      <c r="G32" s="152">
        <v>3861948</v>
      </c>
      <c r="H32" s="152">
        <v>17459240</v>
      </c>
      <c r="J32" s="22">
        <f>'C1-Incomes'!J34*'C16-ShareCh'!$AH32/'C16-ShareCh'!$AI32*1000</f>
        <v>65755.531693025914</v>
      </c>
      <c r="K32" s="22">
        <f>'C1-Incomes'!K34*'C16-ShareCh'!$AH32/'C16-ShareCh'!$AI32*1000*10</f>
        <v>211919.97620586929</v>
      </c>
      <c r="L32" s="22">
        <f>'C1-Incomes'!L34*'C16-ShareCh'!$AH32/'C16-ShareCh'!$AI32*1000*50</f>
        <v>705583.11174661503</v>
      </c>
      <c r="M32" s="22">
        <f>'C1-Incomes'!M34*'C16-ShareCh'!$AH32/'C16-ShareCh'!$AI32*1000*100</f>
        <v>611075.18246937299</v>
      </c>
      <c r="N32" s="22">
        <f>'C1-Incomes'!N34*'C16-ShareCh'!$AH32/'C16-ShareCh'!$AI32*1000*500</f>
        <v>2214431.0872472804</v>
      </c>
      <c r="O32" s="22">
        <f>'C1-Incomes'!O34*'C16-ShareCh'!$AH32/'C16-ShareCh'!$AI32*1000*1000</f>
        <v>2164911.9387278934</v>
      </c>
      <c r="P32" s="22">
        <f>'C1-Incomes'!P34*'C16-ShareCh'!$AH32/'C16-ShareCh'!$AI32*1000*10000</f>
        <v>7854411.6939226789</v>
      </c>
      <c r="R32" s="22">
        <f>'C1-Incomes'!R34*'C16-ShareCh'!$AH32/'C16-ShareCh'!$AI32*1000</f>
        <v>72981.507781313063</v>
      </c>
      <c r="S32" s="22">
        <f>'C1-Incomes'!S34*'C16-ShareCh'!$AH32/'C16-ShareCh'!$AI32*1000*10</f>
        <v>215784.41242644965</v>
      </c>
      <c r="T32" s="22">
        <f>'C1-Incomes'!T34*'C16-ShareCh'!$AH32/'C16-ShareCh'!$AI32*1000*50</f>
        <v>716612.43807990581</v>
      </c>
      <c r="U32" s="22">
        <f>'C1-Incomes'!U34*'C16-ShareCh'!$AH32/'C16-ShareCh'!$AI32*1000*100</f>
        <v>616930.92569739616</v>
      </c>
      <c r="V32" s="22">
        <f>'C1-Incomes'!V34*'C16-ShareCh'!$AH32/'C16-ShareCh'!$AI32*1000*500</f>
        <v>2231712.0042486195</v>
      </c>
      <c r="W32" s="22">
        <f>'C1-Incomes'!W34*'C16-ShareCh'!$AH32/'C16-ShareCh'!$AI32*1000*1000</f>
        <v>2170322.2717717453</v>
      </c>
      <c r="X32" s="22">
        <f>'C1-Incomes'!X34*'C16-ShareCh'!$AH32/'C16-ShareCh'!$AI32*1000*10000</f>
        <v>7860601.7903612126</v>
      </c>
      <c r="Z32" s="22">
        <f>'C1-Incomes'!Z34*'C16-ShareCh'!$AH32/'C16-ShareCh'!$AI32*1000</f>
        <v>65755.519436283197</v>
      </c>
      <c r="AA32" s="22">
        <f>'C1-Incomes'!AA34*'C16-ShareCh'!$AH32/'C16-ShareCh'!$AI32*1000*10</f>
        <v>165830.56454655621</v>
      </c>
      <c r="AB32" s="22">
        <f>'C1-Incomes'!AB34*'C16-ShareCh'!$AH32/'C16-ShareCh'!$AI32*1000*50</f>
        <v>535993.74839845311</v>
      </c>
      <c r="AC32" s="22">
        <f>'C1-Incomes'!AC34*'C16-ShareCh'!$AH32/'C16-ShareCh'!$AI32*1000*100</f>
        <v>435770.79501723236</v>
      </c>
      <c r="AD32" s="22">
        <f>'C1-Incomes'!AD34*'C16-ShareCh'!$AH32/'C16-ShareCh'!$AI32*1000*500</f>
        <v>1541347.5927794822</v>
      </c>
      <c r="AE32" s="22">
        <f>'C1-Incomes'!AE34*'C16-ShareCh'!$AH32/'C16-ShareCh'!$AI32*1000*1000</f>
        <v>1459929.7192866229</v>
      </c>
      <c r="AF32" s="22">
        <f>'C1-Incomes'!AF34*'C16-ShareCh'!$AH32/'C16-ShareCh'!$AI32*1000*10000</f>
        <v>5143151.5050072987</v>
      </c>
      <c r="AH32" s="261">
        <f>'C0-Ref Stats'!AA32</f>
        <v>1.8912881994230137</v>
      </c>
      <c r="AI32" s="36">
        <f>'C0-Ref Stats'!B32</f>
        <v>110683.65034819435</v>
      </c>
      <c r="AK32" s="22">
        <v>43624.000938439814</v>
      </c>
      <c r="AL32" s="22">
        <v>159110.26087193112</v>
      </c>
      <c r="AM32" s="22">
        <v>225544.70001946067</v>
      </c>
      <c r="AN32" s="22">
        <v>532610.15943438874</v>
      </c>
      <c r="AO32" s="22">
        <v>778482.8569271256</v>
      </c>
      <c r="AP32" s="22">
        <v>1897265.1705887904</v>
      </c>
      <c r="AQ32" s="22">
        <v>6761490.8929348225</v>
      </c>
      <c r="AS32" s="22">
        <v>43622.651686193894</v>
      </c>
      <c r="AT32" s="22">
        <v>140589.11845802784</v>
      </c>
      <c r="AU32" s="22">
        <v>194773.29515493172</v>
      </c>
      <c r="AV32" s="22">
        <v>434952.76067251567</v>
      </c>
      <c r="AW32" s="22">
        <v>620478.27413872664</v>
      </c>
      <c r="AX32" s="22">
        <v>1420925.490988065</v>
      </c>
      <c r="AY32" s="22">
        <v>4780505.3801690657</v>
      </c>
    </row>
    <row r="33" spans="1:51" x14ac:dyDescent="0.25">
      <c r="A33" s="151">
        <v>1987</v>
      </c>
      <c r="B33" s="152">
        <v>49737</v>
      </c>
      <c r="C33" s="152">
        <v>190224</v>
      </c>
      <c r="D33" s="152">
        <v>263994</v>
      </c>
      <c r="E33" s="152">
        <v>629780</v>
      </c>
      <c r="F33" s="152">
        <v>939874</v>
      </c>
      <c r="G33" s="152">
        <v>2436638</v>
      </c>
      <c r="H33" s="152">
        <v>9488857</v>
      </c>
      <c r="J33" s="22">
        <f>'C1-Incomes'!J35*'C16-ShareCh'!$AH33/'C16-ShareCh'!$AI33*1000</f>
        <v>67119.347007905177</v>
      </c>
      <c r="K33" s="22">
        <f>'C1-Incomes'!K35*'C16-ShareCh'!$AH33/'C16-ShareCh'!$AI33*1000*10</f>
        <v>217849.24155444081</v>
      </c>
      <c r="L33" s="22">
        <f>'C1-Incomes'!L35*'C16-ShareCh'!$AH33/'C16-ShareCh'!$AI33*1000*50</f>
        <v>733343.58074431634</v>
      </c>
      <c r="M33" s="22">
        <f>'C1-Incomes'!M35*'C16-ShareCh'!$AH33/'C16-ShareCh'!$AI33*1000*100</f>
        <v>648986.21958473336</v>
      </c>
      <c r="N33" s="22">
        <f>'C1-Incomes'!N35*'C16-ShareCh'!$AH33/'C16-ShareCh'!$AI33*1000*500</f>
        <v>2365037.3010507729</v>
      </c>
      <c r="O33" s="22">
        <f>'C1-Incomes'!O35*'C16-ShareCh'!$AH33/'C16-ShareCh'!$AI33*1000*1000</f>
        <v>2346024.165786582</v>
      </c>
      <c r="P33" s="22">
        <f>'C1-Incomes'!P35*'C16-ShareCh'!$AH33/'C16-ShareCh'!$AI33*1000*10000</f>
        <v>8725513.3448583893</v>
      </c>
      <c r="R33" s="22">
        <f>'C1-Incomes'!R35*'C16-ShareCh'!$AH33/'C16-ShareCh'!$AI33*1000</f>
        <v>74297.041244674445</v>
      </c>
      <c r="S33" s="22">
        <f>'C1-Incomes'!S35*'C16-ShareCh'!$AH33/'C16-ShareCh'!$AI33*1000*10</f>
        <v>221627.46503901895</v>
      </c>
      <c r="T33" s="22">
        <f>'C1-Incomes'!T35*'C16-ShareCh'!$AH33/'C16-ShareCh'!$AI33*1000*50</f>
        <v>743985.38881200599</v>
      </c>
      <c r="U33" s="22">
        <f>'C1-Incomes'!U35*'C16-ShareCh'!$AH33/'C16-ShareCh'!$AI33*1000*100</f>
        <v>654693.25052925025</v>
      </c>
      <c r="V33" s="22">
        <f>'C1-Incomes'!V35*'C16-ShareCh'!$AH33/'C16-ShareCh'!$AI33*1000*500</f>
        <v>2378978.0058200676</v>
      </c>
      <c r="W33" s="22">
        <f>'C1-Incomes'!W35*'C16-ShareCh'!$AH33/'C16-ShareCh'!$AI33*1000*1000</f>
        <v>2353625.7884551603</v>
      </c>
      <c r="X33" s="22">
        <f>'C1-Incomes'!X35*'C16-ShareCh'!$AH33/'C16-ShareCh'!$AI33*1000*10000</f>
        <v>8731577.3127064761</v>
      </c>
      <c r="Z33" s="22">
        <f>'C1-Incomes'!Z35*'C16-ShareCh'!$AH33/'C16-ShareCh'!$AI33*1000</f>
        <v>67119.353584275406</v>
      </c>
      <c r="AA33" s="22">
        <f>'C1-Incomes'!AA35*'C16-ShareCh'!$AH33/'C16-ShareCh'!$AI33*1000*10</f>
        <v>169985.94525362813</v>
      </c>
      <c r="AB33" s="22">
        <f>'C1-Incomes'!AB35*'C16-ShareCh'!$AH33/'C16-ShareCh'!$AI33*1000*50</f>
        <v>556036.65298568131</v>
      </c>
      <c r="AC33" s="22">
        <f>'C1-Incomes'!AC35*'C16-ShareCh'!$AH33/'C16-ShareCh'!$AI33*1000*100</f>
        <v>470200.50352781964</v>
      </c>
      <c r="AD33" s="22">
        <f>'C1-Incomes'!AD35*'C16-ShareCh'!$AH33/'C16-ShareCh'!$AI33*1000*500</f>
        <v>1681816.221730358</v>
      </c>
      <c r="AE33" s="22">
        <f>'C1-Incomes'!AE35*'C16-ShareCh'!$AH33/'C16-ShareCh'!$AI33*1000*1000</f>
        <v>1614989.4849371815</v>
      </c>
      <c r="AF33" s="22">
        <f>'C1-Incomes'!AF35*'C16-ShareCh'!$AH33/'C16-ShareCh'!$AI33*1000*10000</f>
        <v>5914694.5763482442</v>
      </c>
      <c r="AH33" s="261">
        <f>'C0-Ref Stats'!AA33</f>
        <v>1.8353897736797988</v>
      </c>
      <c r="AI33" s="36">
        <f>'C0-Ref Stats'!B33</f>
        <v>112640.14745716355</v>
      </c>
      <c r="AK33" s="22">
        <v>44985.44397896521</v>
      </c>
      <c r="AL33" s="22">
        <v>169197.16093217189</v>
      </c>
      <c r="AM33" s="22">
        <v>244342.46445888063</v>
      </c>
      <c r="AN33" s="22">
        <v>598599.88363634096</v>
      </c>
      <c r="AO33" s="22">
        <v>882914.17700724292</v>
      </c>
      <c r="AP33" s="22">
        <v>2178774.0689869248</v>
      </c>
      <c r="AQ33" s="22">
        <v>7709658.4378996454</v>
      </c>
      <c r="AS33" s="22">
        <v>44983.240349476189</v>
      </c>
      <c r="AT33" s="22">
        <v>148285.78373156613</v>
      </c>
      <c r="AU33" s="22">
        <v>209722.21332033645</v>
      </c>
      <c r="AV33" s="22">
        <v>493879.02745816292</v>
      </c>
      <c r="AW33" s="22">
        <v>717882.93407594005</v>
      </c>
      <c r="AX33" s="22">
        <v>1718806.6353044759</v>
      </c>
      <c r="AY33" s="22">
        <v>5914677.3389792489</v>
      </c>
    </row>
    <row r="34" spans="1:51" x14ac:dyDescent="0.25">
      <c r="A34" s="151">
        <v>1988</v>
      </c>
      <c r="B34" s="152">
        <v>52249</v>
      </c>
      <c r="C34" s="152">
        <v>212280</v>
      </c>
      <c r="D34" s="152">
        <v>306067</v>
      </c>
      <c r="E34" s="152">
        <v>809509</v>
      </c>
      <c r="F34" s="152">
        <v>1263529</v>
      </c>
      <c r="G34" s="152">
        <v>3552413</v>
      </c>
      <c r="H34" s="152">
        <v>14956587</v>
      </c>
      <c r="J34" s="22">
        <f>'C1-Incomes'!J36*'C16-ShareCh'!$AH34/'C16-ShareCh'!$AI34*1000</f>
        <v>69231.674511567864</v>
      </c>
      <c r="K34" s="22">
        <f>'C1-Incomes'!K36*'C16-ShareCh'!$AH34/'C16-ShareCh'!$AI34*1000*10</f>
        <v>237128.26119753852</v>
      </c>
      <c r="L34" s="22">
        <f>'C1-Incomes'!L36*'C16-ShareCh'!$AH34/'C16-ShareCh'!$AI34*1000*50</f>
        <v>824439.29623259441</v>
      </c>
      <c r="M34" s="22">
        <f>'C1-Incomes'!M36*'C16-ShareCh'!$AH34/'C16-ShareCh'!$AI34*1000*100</f>
        <v>804362.52971736959</v>
      </c>
      <c r="N34" s="22">
        <f>'C1-Incomes'!N36*'C16-ShareCh'!$AH34/'C16-ShareCh'!$AI34*1000*500</f>
        <v>3068736.0829576822</v>
      </c>
      <c r="O34" s="22">
        <f>'C1-Incomes'!O36*'C16-ShareCh'!$AH34/'C16-ShareCh'!$AI34*1000*1000</f>
        <v>3349084.7710624239</v>
      </c>
      <c r="P34" s="22">
        <f>'C1-Incomes'!P36*'C16-ShareCh'!$AH34/'C16-ShareCh'!$AI34*1000*10000</f>
        <v>13514220.094281524</v>
      </c>
      <c r="R34" s="22">
        <f>'C1-Incomes'!R36*'C16-ShareCh'!$AH34/'C16-ShareCh'!$AI34*1000</f>
        <v>76443.975342490259</v>
      </c>
      <c r="S34" s="22">
        <f>'C1-Incomes'!S36*'C16-ShareCh'!$AH34/'C16-ShareCh'!$AI34*1000*10</f>
        <v>241021.58539622469</v>
      </c>
      <c r="T34" s="22">
        <f>'C1-Incomes'!T36*'C16-ShareCh'!$AH34/'C16-ShareCh'!$AI34*1000*50</f>
        <v>835420.39249023714</v>
      </c>
      <c r="U34" s="22">
        <f>'C1-Incomes'!U36*'C16-ShareCh'!$AH34/'C16-ShareCh'!$AI34*1000*100</f>
        <v>809289.77804008755</v>
      </c>
      <c r="V34" s="22">
        <f>'C1-Incomes'!V36*'C16-ShareCh'!$AH34/'C16-ShareCh'!$AI34*1000*500</f>
        <v>3083336.0394075979</v>
      </c>
      <c r="W34" s="22">
        <f>'C1-Incomes'!W36*'C16-ShareCh'!$AH34/'C16-ShareCh'!$AI34*1000*1000</f>
        <v>3355461.0723766503</v>
      </c>
      <c r="X34" s="22">
        <f>'C1-Incomes'!X36*'C16-ShareCh'!$AH34/'C16-ShareCh'!$AI34*1000*10000</f>
        <v>13521172.079253245</v>
      </c>
      <c r="Z34" s="22">
        <f>'C1-Incomes'!Z36*'C16-ShareCh'!$AH34/'C16-ShareCh'!$AI34*1000</f>
        <v>69231.666152994614</v>
      </c>
      <c r="AA34" s="22">
        <f>'C1-Incomes'!AA36*'C16-ShareCh'!$AH34/'C16-ShareCh'!$AI34*1000*10</f>
        <v>188896.59631260872</v>
      </c>
      <c r="AB34" s="22">
        <f>'C1-Incomes'!AB36*'C16-ShareCh'!$AH34/'C16-ShareCh'!$AI34*1000*50</f>
        <v>643061.76038435649</v>
      </c>
      <c r="AC34" s="22">
        <f>'C1-Incomes'!AC36*'C16-ShareCh'!$AH34/'C16-ShareCh'!$AI34*1000*100</f>
        <v>605498.42224029358</v>
      </c>
      <c r="AD34" s="22">
        <f>'C1-Incomes'!AD36*'C16-ShareCh'!$AH34/'C16-ShareCh'!$AI34*1000*500</f>
        <v>2277824.2367964159</v>
      </c>
      <c r="AE34" s="22">
        <f>'C1-Incomes'!AE36*'C16-ShareCh'!$AH34/'C16-ShareCh'!$AI34*1000*1000</f>
        <v>2443485.9550464707</v>
      </c>
      <c r="AF34" s="22">
        <f>'C1-Incomes'!AF36*'C16-ShareCh'!$AH34/'C16-ShareCh'!$AI34*1000*10000</f>
        <v>9771682.9688024689</v>
      </c>
      <c r="AH34" s="261">
        <f>'C0-Ref Stats'!AA34</f>
        <v>1.7665633975538129</v>
      </c>
      <c r="AI34" s="36">
        <f>'C0-Ref Stats'!B34</f>
        <v>114656.00857399579</v>
      </c>
      <c r="AK34" s="22">
        <v>46879.553444467238</v>
      </c>
      <c r="AL34" s="22">
        <v>182587.23675008729</v>
      </c>
      <c r="AM34" s="22">
        <v>268778.02959659754</v>
      </c>
      <c r="AN34" s="22">
        <v>697396.12168579467</v>
      </c>
      <c r="AO34" s="22">
        <v>1062898.9462261691</v>
      </c>
      <c r="AP34" s="22">
        <v>2799003.8319233847</v>
      </c>
      <c r="AQ34" s="22">
        <v>10789499.464542571</v>
      </c>
      <c r="AS34" s="22">
        <v>46878.50996600389</v>
      </c>
      <c r="AT34" s="22">
        <v>161135.54545717838</v>
      </c>
      <c r="AU34" s="22">
        <v>232752.75915445987</v>
      </c>
      <c r="AV34" s="22">
        <v>582149.64989086206</v>
      </c>
      <c r="AW34" s="22">
        <v>874921.69283329113</v>
      </c>
      <c r="AX34" s="22">
        <v>2245035.7695354987</v>
      </c>
      <c r="AY34" s="22">
        <v>8456799.1520985197</v>
      </c>
    </row>
    <row r="35" spans="1:51" x14ac:dyDescent="0.25">
      <c r="A35" s="151">
        <v>1989</v>
      </c>
      <c r="B35" s="152">
        <v>51800</v>
      </c>
      <c r="C35" s="152">
        <v>207639</v>
      </c>
      <c r="D35" s="152">
        <v>295757</v>
      </c>
      <c r="E35" s="152">
        <v>750403</v>
      </c>
      <c r="F35" s="152">
        <v>1147785</v>
      </c>
      <c r="G35" s="152">
        <v>3107714</v>
      </c>
      <c r="H35" s="152">
        <v>12715408</v>
      </c>
      <c r="J35" s="22">
        <f>'C1-Incomes'!J37*'C16-ShareCh'!$AH35/'C16-ShareCh'!$AI35*1000</f>
        <v>69369.148639800522</v>
      </c>
      <c r="K35" s="22">
        <f>'C1-Incomes'!K37*'C16-ShareCh'!$AH35/'C16-ShareCh'!$AI35*1000*10</f>
        <v>235571.10590162117</v>
      </c>
      <c r="L35" s="22">
        <f>'C1-Incomes'!L37*'C16-ShareCh'!$AH35/'C16-ShareCh'!$AI35*1000*50</f>
        <v>813469.82905822236</v>
      </c>
      <c r="M35" s="22">
        <f>'C1-Incomes'!M37*'C16-ShareCh'!$AH35/'C16-ShareCh'!$AI35*1000*100</f>
        <v>771836.52870953653</v>
      </c>
      <c r="N35" s="22">
        <f>'C1-Incomes'!N37*'C16-ShareCh'!$AH35/'C16-ShareCh'!$AI35*1000*500</f>
        <v>2908005.4130144119</v>
      </c>
      <c r="O35" s="22">
        <f>'C1-Incomes'!O37*'C16-ShareCh'!$AH35/'C16-ShareCh'!$AI35*1000*1000</f>
        <v>3080103.3466048911</v>
      </c>
      <c r="P35" s="22">
        <f>'C1-Incomes'!P37*'C16-ShareCh'!$AH35/'C16-ShareCh'!$AI35*1000*10000</f>
        <v>12193807.990606565</v>
      </c>
      <c r="R35" s="22">
        <f>'C1-Incomes'!R37*'C16-ShareCh'!$AH35/'C16-ShareCh'!$AI35*1000</f>
        <v>76749.755411943072</v>
      </c>
      <c r="S35" s="22">
        <f>'C1-Incomes'!S37*'C16-ShareCh'!$AH35/'C16-ShareCh'!$AI35*1000*10</f>
        <v>239512.42919850838</v>
      </c>
      <c r="T35" s="22">
        <f>'C1-Incomes'!T37*'C16-ShareCh'!$AH35/'C16-ShareCh'!$AI35*1000*50</f>
        <v>824085.2282552633</v>
      </c>
      <c r="U35" s="22">
        <f>'C1-Incomes'!U37*'C16-ShareCh'!$AH35/'C16-ShareCh'!$AI35*1000*100</f>
        <v>777777.19449180586</v>
      </c>
      <c r="V35" s="22">
        <f>'C1-Incomes'!V37*'C16-ShareCh'!$AH35/'C16-ShareCh'!$AI35*1000*500</f>
        <v>2921536.0333266975</v>
      </c>
      <c r="W35" s="22">
        <f>'C1-Incomes'!W37*'C16-ShareCh'!$AH35/'C16-ShareCh'!$AI35*1000*1000</f>
        <v>3091362.9827047233</v>
      </c>
      <c r="X35" s="22">
        <f>'C1-Incomes'!X37*'C16-ShareCh'!$AH35/'C16-ShareCh'!$AI35*1000*10000</f>
        <v>12200727.343351666</v>
      </c>
      <c r="Z35" s="22">
        <f>'C1-Incomes'!Z37*'C16-ShareCh'!$AH35/'C16-ShareCh'!$AI35*1000</f>
        <v>69369.119068460233</v>
      </c>
      <c r="AA35" s="22">
        <f>'C1-Incomes'!AA37*'C16-ShareCh'!$AH35/'C16-ShareCh'!$AI35*1000*10</f>
        <v>185976.92455259399</v>
      </c>
      <c r="AB35" s="22">
        <f>'C1-Incomes'!AB37*'C16-ShareCh'!$AH35/'C16-ShareCh'!$AI35*1000*50</f>
        <v>628076.48775026994</v>
      </c>
      <c r="AC35" s="22">
        <f>'C1-Incomes'!AC37*'C16-ShareCh'!$AH35/'C16-ShareCh'!$AI35*1000*100</f>
        <v>573432.89979193709</v>
      </c>
      <c r="AD35" s="22">
        <f>'C1-Incomes'!AD37*'C16-ShareCh'!$AH35/'C16-ShareCh'!$AI35*1000*500</f>
        <v>2129574.1735970899</v>
      </c>
      <c r="AE35" s="22">
        <f>'C1-Incomes'!AE37*'C16-ShareCh'!$AH35/'C16-ShareCh'!$AI35*1000*1000</f>
        <v>2219391.1844958947</v>
      </c>
      <c r="AF35" s="22">
        <f>'C1-Incomes'!AF37*'C16-ShareCh'!$AH35/'C16-ShareCh'!$AI35*1000*10000</f>
        <v>8659407.6424703784</v>
      </c>
      <c r="AH35" s="261">
        <f>'C0-Ref Stats'!AA35</f>
        <v>1.6936773874166549</v>
      </c>
      <c r="AI35" s="36">
        <f>'C0-Ref Stats'!B35</f>
        <v>116759.35846722893</v>
      </c>
      <c r="AK35" s="22">
        <v>47450.177631249004</v>
      </c>
      <c r="AL35" s="22">
        <v>183490.56016300709</v>
      </c>
      <c r="AM35" s="22">
        <v>268691.87554556894</v>
      </c>
      <c r="AN35" s="22">
        <v>686330.88809110806</v>
      </c>
      <c r="AO35" s="22">
        <v>1031734.150373222</v>
      </c>
      <c r="AP35" s="22">
        <v>2624498.6552743237</v>
      </c>
      <c r="AQ35" s="22">
        <v>9719391.4437072799</v>
      </c>
      <c r="AS35" s="22">
        <v>47448.19293499292</v>
      </c>
      <c r="AT35" s="22">
        <v>161185.01050167935</v>
      </c>
      <c r="AU35" s="22">
        <v>231699.28110045352</v>
      </c>
      <c r="AV35" s="22">
        <v>572281.09788132971</v>
      </c>
      <c r="AW35" s="22">
        <v>850458.73875792895</v>
      </c>
      <c r="AX35" s="22">
        <v>2113420.7800866407</v>
      </c>
      <c r="AY35" s="22">
        <v>7564403.8415279798</v>
      </c>
    </row>
    <row r="36" spans="1:51" x14ac:dyDescent="0.25">
      <c r="A36" s="151">
        <v>1990</v>
      </c>
      <c r="B36" s="152">
        <v>50842</v>
      </c>
      <c r="C36" s="152">
        <v>203245</v>
      </c>
      <c r="D36" s="152">
        <v>288845</v>
      </c>
      <c r="E36" s="152">
        <v>728549</v>
      </c>
      <c r="F36" s="152">
        <v>1112859</v>
      </c>
      <c r="G36" s="152">
        <v>2961304</v>
      </c>
      <c r="H36" s="152">
        <v>11864130</v>
      </c>
      <c r="J36" s="22">
        <f>'C1-Incomes'!J38*'C16-ShareCh'!$AH36/'C16-ShareCh'!$AI36*1000</f>
        <v>68670.057691253009</v>
      </c>
      <c r="K36" s="22">
        <f>'C1-Incomes'!K38*'C16-ShareCh'!$AH36/'C16-ShareCh'!$AI36*1000*10</f>
        <v>236538.34537704187</v>
      </c>
      <c r="L36" s="22">
        <f>'C1-Incomes'!L38*'C16-ShareCh'!$AH36/'C16-ShareCh'!$AI36*1000*50</f>
        <v>818448.72876720328</v>
      </c>
      <c r="M36" s="22">
        <f>'C1-Incomes'!M38*'C16-ShareCh'!$AH36/'C16-ShareCh'!$AI36*1000*100</f>
        <v>775136.6879733922</v>
      </c>
      <c r="N36" s="22">
        <f>'C1-Incomes'!N38*'C16-ShareCh'!$AH36/'C16-ShareCh'!$AI36*1000*500</f>
        <v>2908657.3854449028</v>
      </c>
      <c r="O36" s="22">
        <f>'C1-Incomes'!O38*'C16-ShareCh'!$AH36/'C16-ShareCh'!$AI36*1000*1000</f>
        <v>3053286.1592220757</v>
      </c>
      <c r="P36" s="22">
        <f>'C1-Incomes'!P38*'C16-ShareCh'!$AH36/'C16-ShareCh'!$AI36*1000*10000</f>
        <v>12041226.522077184</v>
      </c>
      <c r="R36" s="22">
        <f>'C1-Incomes'!R38*'C16-ShareCh'!$AH36/'C16-ShareCh'!$AI36*1000</f>
        <v>76351.71513771161</v>
      </c>
      <c r="S36" s="22">
        <f>'C1-Incomes'!S38*'C16-ShareCh'!$AH36/'C16-ShareCh'!$AI36*1000*10</f>
        <v>240424.5681629529</v>
      </c>
      <c r="T36" s="22">
        <f>'C1-Incomes'!T38*'C16-ShareCh'!$AH36/'C16-ShareCh'!$AI36*1000*50</f>
        <v>829061.34471125226</v>
      </c>
      <c r="U36" s="22">
        <f>'C1-Incomes'!U38*'C16-ShareCh'!$AH36/'C16-ShareCh'!$AI36*1000*100</f>
        <v>780035.10513279843</v>
      </c>
      <c r="V36" s="22">
        <f>'C1-Incomes'!V38*'C16-ShareCh'!$AH36/'C16-ShareCh'!$AI36*1000*500</f>
        <v>2920594.5948775648</v>
      </c>
      <c r="W36" s="22">
        <f>'C1-Incomes'!W38*'C16-ShareCh'!$AH36/'C16-ShareCh'!$AI36*1000*1000</f>
        <v>3062493.2622175179</v>
      </c>
      <c r="X36" s="22">
        <f>'C1-Incomes'!X38*'C16-ShareCh'!$AH36/'C16-ShareCh'!$AI36*1000*10000</f>
        <v>12046284.803529887</v>
      </c>
      <c r="Z36" s="22">
        <f>'C1-Incomes'!Z38*'C16-ShareCh'!$AH36/'C16-ShareCh'!$AI36*1000</f>
        <v>68670.066581649939</v>
      </c>
      <c r="AA36" s="22">
        <f>'C1-Incomes'!AA38*'C16-ShareCh'!$AH36/'C16-ShareCh'!$AI36*1000*10</f>
        <v>185326.41214952484</v>
      </c>
      <c r="AB36" s="22">
        <f>'C1-Incomes'!AB38*'C16-ShareCh'!$AH36/'C16-ShareCh'!$AI36*1000*50</f>
        <v>627402.54120789981</v>
      </c>
      <c r="AC36" s="22">
        <f>'C1-Incomes'!AC38*'C16-ShareCh'!$AH36/'C16-ShareCh'!$AI36*1000*100</f>
        <v>572275.32886938029</v>
      </c>
      <c r="AD36" s="22">
        <f>'C1-Incomes'!AD38*'C16-ShareCh'!$AH36/'C16-ShareCh'!$AI36*1000*500</f>
        <v>2121437.0723907701</v>
      </c>
      <c r="AE36" s="22">
        <f>'C1-Incomes'!AE38*'C16-ShareCh'!$AH36/'C16-ShareCh'!$AI36*1000*1000</f>
        <v>2183438.0911165816</v>
      </c>
      <c r="AF36" s="22">
        <f>'C1-Incomes'!AF38*'C16-ShareCh'!$AH36/'C16-ShareCh'!$AI36*1000*10000</f>
        <v>8508442.3569246866</v>
      </c>
      <c r="AH36" s="261">
        <f>'C0-Ref Stats'!AA36</f>
        <v>1.6233837485172005</v>
      </c>
      <c r="AI36" s="36">
        <f>'C0-Ref Stats'!B36</f>
        <v>119055</v>
      </c>
      <c r="AK36" s="22">
        <v>47422.465524659863</v>
      </c>
      <c r="AL36" s="22">
        <v>183591.68912035308</v>
      </c>
      <c r="AM36" s="22">
        <v>268693.41183078825</v>
      </c>
      <c r="AN36" s="22">
        <v>689619.82540043851</v>
      </c>
      <c r="AO36" s="22">
        <v>1038711.1879270296</v>
      </c>
      <c r="AP36" s="22">
        <v>2629827.6277786382</v>
      </c>
      <c r="AQ36" s="22">
        <v>9744683.1170234289</v>
      </c>
      <c r="AS36" s="22">
        <v>47419.640037080586</v>
      </c>
      <c r="AT36" s="22">
        <v>160843.72578779128</v>
      </c>
      <c r="AU36" s="22">
        <v>231112.4980948458</v>
      </c>
      <c r="AV36" s="22">
        <v>572936.99015897443</v>
      </c>
      <c r="AW36" s="22">
        <v>854024.57927740458</v>
      </c>
      <c r="AX36" s="22">
        <v>2114028.2100930461</v>
      </c>
      <c r="AY36" s="22">
        <v>7609627.0233151251</v>
      </c>
    </row>
    <row r="37" spans="1:51" x14ac:dyDescent="0.25">
      <c r="A37" s="151">
        <v>1991</v>
      </c>
      <c r="B37" s="152">
        <v>49145</v>
      </c>
      <c r="C37" s="152">
        <v>194345</v>
      </c>
      <c r="D37" s="152">
        <v>272487</v>
      </c>
      <c r="E37" s="152">
        <v>656608</v>
      </c>
      <c r="F37" s="152">
        <v>981484</v>
      </c>
      <c r="G37" s="152">
        <v>2517597</v>
      </c>
      <c r="H37" s="152">
        <v>9617767</v>
      </c>
      <c r="J37" s="22">
        <f>'C1-Incomes'!J39*'C16-ShareCh'!$AH37/'C16-ShareCh'!$AI37*1000</f>
        <v>67675.180213892585</v>
      </c>
      <c r="K37" s="22">
        <f>'C1-Incomes'!K39*'C16-ShareCh'!$AH37/'C16-ShareCh'!$AI37*1000*10</f>
        <v>233523.25565793624</v>
      </c>
      <c r="L37" s="22">
        <f>'C1-Incomes'!L39*'C16-ShareCh'!$AH37/'C16-ShareCh'!$AI37*1000*50</f>
        <v>804104.13286527188</v>
      </c>
      <c r="M37" s="22">
        <f>'C1-Incomes'!M39*'C16-ShareCh'!$AH37/'C16-ShareCh'!$AI37*1000*100</f>
        <v>739304.59177718218</v>
      </c>
      <c r="N37" s="22">
        <f>'C1-Incomes'!N39*'C16-ShareCh'!$AH37/'C16-ShareCh'!$AI37*1000*500</f>
        <v>2740967.4208041942</v>
      </c>
      <c r="O37" s="22">
        <f>'C1-Incomes'!O39*'C16-ShareCh'!$AH37/'C16-ShareCh'!$AI37*1000*1000</f>
        <v>2829728.2302997983</v>
      </c>
      <c r="P37" s="22">
        <f>'C1-Incomes'!P39*'C16-ShareCh'!$AH37/'C16-ShareCh'!$AI37*1000*10000</f>
        <v>10941382.746885562</v>
      </c>
      <c r="R37" s="22">
        <f>'C1-Incomes'!R39*'C16-ShareCh'!$AH37/'C16-ShareCh'!$AI37*1000</f>
        <v>76008.099051130601</v>
      </c>
      <c r="S37" s="22">
        <f>'C1-Incomes'!S39*'C16-ShareCh'!$AH37/'C16-ShareCh'!$AI37*1000*10</f>
        <v>237518.09980117413</v>
      </c>
      <c r="T37" s="22">
        <f>'C1-Incomes'!T39*'C16-ShareCh'!$AH37/'C16-ShareCh'!$AI37*1000*50</f>
        <v>814782.06496694859</v>
      </c>
      <c r="U37" s="22">
        <f>'C1-Incomes'!U39*'C16-ShareCh'!$AH37/'C16-ShareCh'!$AI37*1000*100</f>
        <v>744408.03766952781</v>
      </c>
      <c r="V37" s="22">
        <f>'C1-Incomes'!V39*'C16-ShareCh'!$AH37/'C16-ShareCh'!$AI37*1000*500</f>
        <v>2755658.2100598947</v>
      </c>
      <c r="W37" s="22">
        <f>'C1-Incomes'!W39*'C16-ShareCh'!$AH37/'C16-ShareCh'!$AI37*1000*1000</f>
        <v>2836742.3813232984</v>
      </c>
      <c r="X37" s="22">
        <f>'C1-Incomes'!X39*'C16-ShareCh'!$AH37/'C16-ShareCh'!$AI37*1000*10000</f>
        <v>10952495.84790072</v>
      </c>
      <c r="Z37" s="22">
        <f>'C1-Incomes'!Z39*'C16-ShareCh'!$AH37/'C16-ShareCh'!$AI37*1000</f>
        <v>67675.205049285156</v>
      </c>
      <c r="AA37" s="22">
        <f>'C1-Incomes'!AA39*'C16-ShareCh'!$AH37/'C16-ShareCh'!$AI37*1000*10</f>
        <v>179149.41964626196</v>
      </c>
      <c r="AB37" s="22">
        <f>'C1-Incomes'!AB39*'C16-ShareCh'!$AH37/'C16-ShareCh'!$AI37*1000*50</f>
        <v>600171.50192913064</v>
      </c>
      <c r="AC37" s="22">
        <f>'C1-Incomes'!AC39*'C16-ShareCh'!$AH37/'C16-ShareCh'!$AI37*1000*100</f>
        <v>524776.51699745608</v>
      </c>
      <c r="AD37" s="22">
        <f>'C1-Incomes'!AD39*'C16-ShareCh'!$AH37/'C16-ShareCh'!$AI37*1000*500</f>
        <v>1919525.1141366302</v>
      </c>
      <c r="AE37" s="22">
        <f>'C1-Incomes'!AE39*'C16-ShareCh'!$AH37/'C16-ShareCh'!$AI37*1000*1000</f>
        <v>1918288.2123866747</v>
      </c>
      <c r="AF37" s="22">
        <f>'C1-Incomes'!AF39*'C16-ShareCh'!$AH37/'C16-ShareCh'!$AI37*1000*10000</f>
        <v>7304079.7057344876</v>
      </c>
      <c r="AH37" s="261">
        <f>'C0-Ref Stats'!AA37</f>
        <v>1.571828518922644</v>
      </c>
      <c r="AI37" s="36">
        <f>'C0-Ref Stats'!B37</f>
        <v>120453.26162647238</v>
      </c>
      <c r="AK37" s="22">
        <v>46469.61548425677</v>
      </c>
      <c r="AL37" s="22">
        <v>179169.37397530934</v>
      </c>
      <c r="AM37" s="22">
        <v>260346.59509729757</v>
      </c>
      <c r="AN37" s="22">
        <v>645531.4279892894</v>
      </c>
      <c r="AO37" s="22">
        <v>955381.54162431031</v>
      </c>
      <c r="AP37" s="22">
        <v>2383900.2947660675</v>
      </c>
      <c r="AQ37" s="22">
        <v>8910815.5899541527</v>
      </c>
      <c r="AS37" s="22">
        <v>46469.248055819124</v>
      </c>
      <c r="AT37" s="22">
        <v>156504.94171330132</v>
      </c>
      <c r="AU37" s="22">
        <v>223417.59542286574</v>
      </c>
      <c r="AV37" s="22">
        <v>534244.12813673983</v>
      </c>
      <c r="AW37" s="22">
        <v>780269.75896262471</v>
      </c>
      <c r="AX37" s="22">
        <v>1896663.2822284247</v>
      </c>
      <c r="AY37" s="22">
        <v>6977247.0261199279</v>
      </c>
    </row>
    <row r="38" spans="1:51" x14ac:dyDescent="0.25">
      <c r="A38" s="151">
        <v>1992</v>
      </c>
      <c r="B38" s="152">
        <v>49696</v>
      </c>
      <c r="C38" s="152">
        <v>202873</v>
      </c>
      <c r="D38" s="152">
        <v>288880</v>
      </c>
      <c r="E38" s="152">
        <v>729084</v>
      </c>
      <c r="F38" s="152">
        <v>1113099</v>
      </c>
      <c r="G38" s="152">
        <v>2997423</v>
      </c>
      <c r="H38" s="152">
        <v>12240562</v>
      </c>
      <c r="J38" s="22">
        <f>'C1-Incomes'!J40*'C16-ShareCh'!$AH38/'C16-ShareCh'!$AI38*1000</f>
        <v>69063.935942963712</v>
      </c>
      <c r="K38" s="22">
        <f>'C1-Incomes'!K40*'C16-ShareCh'!$AH38/'C16-ShareCh'!$AI38*1000*10</f>
        <v>245072.78950456533</v>
      </c>
      <c r="L38" s="22">
        <f>'C1-Incomes'!L40*'C16-ShareCh'!$AH38/'C16-ShareCh'!$AI38*1000*50</f>
        <v>851858.82470127684</v>
      </c>
      <c r="M38" s="22">
        <f>'C1-Incomes'!M40*'C16-ShareCh'!$AH38/'C16-ShareCh'!$AI38*1000*100</f>
        <v>800985.34935108107</v>
      </c>
      <c r="N38" s="22">
        <f>'C1-Incomes'!N40*'C16-ShareCh'!$AH38/'C16-ShareCh'!$AI38*1000*500</f>
        <v>3005517.6414596508</v>
      </c>
      <c r="O38" s="22">
        <f>'C1-Incomes'!O40*'C16-ShareCh'!$AH38/'C16-ShareCh'!$AI38*1000*1000</f>
        <v>3191174.3702052878</v>
      </c>
      <c r="P38" s="22">
        <f>'C1-Incomes'!P40*'C16-ShareCh'!$AH38/'C16-ShareCh'!$AI38*1000*10000</f>
        <v>12852292.882585809</v>
      </c>
      <c r="R38" s="22">
        <f>'C1-Incomes'!R40*'C16-ShareCh'!$AH38/'C16-ShareCh'!$AI38*1000</f>
        <v>78076.225719855269</v>
      </c>
      <c r="S38" s="22">
        <f>'C1-Incomes'!S40*'C16-ShareCh'!$AH38/'C16-ShareCh'!$AI38*1000*10</f>
        <v>249260.87150584604</v>
      </c>
      <c r="T38" s="22">
        <f>'C1-Incomes'!T40*'C16-ShareCh'!$AH38/'C16-ShareCh'!$AI38*1000*50</f>
        <v>863091.87470786588</v>
      </c>
      <c r="U38" s="22">
        <f>'C1-Incomes'!U40*'C16-ShareCh'!$AH38/'C16-ShareCh'!$AI38*1000*100</f>
        <v>805861.84866289515</v>
      </c>
      <c r="V38" s="22">
        <f>'C1-Incomes'!V40*'C16-ShareCh'!$AH38/'C16-ShareCh'!$AI38*1000*500</f>
        <v>3017942.266658145</v>
      </c>
      <c r="W38" s="22">
        <f>'C1-Incomes'!W40*'C16-ShareCh'!$AH38/'C16-ShareCh'!$AI38*1000*1000</f>
        <v>3198748.6000531251</v>
      </c>
      <c r="X38" s="22">
        <f>'C1-Incomes'!X40*'C16-ShareCh'!$AH38/'C16-ShareCh'!$AI38*1000*10000</f>
        <v>12859160.558499139</v>
      </c>
      <c r="Z38" s="22">
        <f>'C1-Incomes'!Z40*'C16-ShareCh'!$AH38/'C16-ShareCh'!$AI38*1000</f>
        <v>69063.936747909363</v>
      </c>
      <c r="AA38" s="22">
        <f>'C1-Incomes'!AA40*'C16-ShareCh'!$AH38/'C16-ShareCh'!$AI38*1000*10</f>
        <v>184862.75458211987</v>
      </c>
      <c r="AB38" s="22">
        <f>'C1-Incomes'!AB40*'C16-ShareCh'!$AH38/'C16-ShareCh'!$AI38*1000*50</f>
        <v>622352.46929764003</v>
      </c>
      <c r="AC38" s="22">
        <f>'C1-Incomes'!AC40*'C16-ShareCh'!$AH38/'C16-ShareCh'!$AI38*1000*100</f>
        <v>550687.66671196988</v>
      </c>
      <c r="AD38" s="22">
        <f>'C1-Incomes'!AD40*'C16-ShareCh'!$AH38/'C16-ShareCh'!$AI38*1000*500</f>
        <v>2027536.7662777957</v>
      </c>
      <c r="AE38" s="22">
        <f>'C1-Incomes'!AE40*'C16-ShareCh'!$AH38/'C16-ShareCh'!$AI38*1000*1000</f>
        <v>2079233.1244084171</v>
      </c>
      <c r="AF38" s="22">
        <f>'C1-Incomes'!AF40*'C16-ShareCh'!$AH38/'C16-ShareCh'!$AI38*1000*10000</f>
        <v>8153227.9914591284</v>
      </c>
      <c r="AH38" s="261">
        <f>'C0-Ref Stats'!AA38</f>
        <v>1.5313313005287157</v>
      </c>
      <c r="AI38" s="36">
        <f>'C0-Ref Stats'!B38</f>
        <v>121944.05147316495</v>
      </c>
      <c r="AK38" s="22">
        <v>47382.206080165291</v>
      </c>
      <c r="AL38" s="22">
        <v>188471.05144087831</v>
      </c>
      <c r="AM38" s="22">
        <v>277607.35070249811</v>
      </c>
      <c r="AN38" s="22">
        <v>711407.11466996616</v>
      </c>
      <c r="AO38" s="22">
        <v>1068526.0196154867</v>
      </c>
      <c r="AP38" s="22">
        <v>2737655.1437270916</v>
      </c>
      <c r="AQ38" s="22">
        <v>10816995.867290575</v>
      </c>
      <c r="AS38" s="22">
        <v>47379.198894637637</v>
      </c>
      <c r="AT38" s="22">
        <v>163714.26130389405</v>
      </c>
      <c r="AU38" s="22">
        <v>236664.07180441986</v>
      </c>
      <c r="AV38" s="22">
        <v>584443.04258111399</v>
      </c>
      <c r="AW38" s="22">
        <v>865716.91374933068</v>
      </c>
      <c r="AX38" s="22">
        <v>2151862.1824342036</v>
      </c>
      <c r="AY38" s="22">
        <v>8349290.2061919672</v>
      </c>
    </row>
    <row r="39" spans="1:51" x14ac:dyDescent="0.25">
      <c r="A39" s="151">
        <v>1993</v>
      </c>
      <c r="B39" s="152">
        <v>49255</v>
      </c>
      <c r="C39" s="152">
        <v>200395</v>
      </c>
      <c r="D39" s="152">
        <v>284035</v>
      </c>
      <c r="E39" s="152">
        <v>701245</v>
      </c>
      <c r="F39" s="152">
        <v>1061623</v>
      </c>
      <c r="G39" s="152">
        <v>2822677</v>
      </c>
      <c r="H39" s="152">
        <v>11417536</v>
      </c>
      <c r="J39" s="22">
        <f>'C1-Incomes'!J41*'C16-ShareCh'!$AH39/'C16-ShareCh'!$AI39*1000</f>
        <v>69686.522787200258</v>
      </c>
      <c r="K39" s="22">
        <f>'C1-Incomes'!K41*'C16-ShareCh'!$AH39/'C16-ShareCh'!$AI39*1000*10</f>
        <v>244110.18986003415</v>
      </c>
      <c r="L39" s="22">
        <f>'C1-Incomes'!L41*'C16-ShareCh'!$AH39/'C16-ShareCh'!$AI39*1000*50</f>
        <v>841349.19020930724</v>
      </c>
      <c r="M39" s="22">
        <f>'C1-Incomes'!M41*'C16-ShareCh'!$AH39/'C16-ShareCh'!$AI39*1000*100</f>
        <v>763351.40904076491</v>
      </c>
      <c r="N39" s="22">
        <f>'C1-Incomes'!N41*'C16-ShareCh'!$AH39/'C16-ShareCh'!$AI39*1000*500</f>
        <v>2823167.0445039598</v>
      </c>
      <c r="O39" s="22">
        <f>'C1-Incomes'!O41*'C16-ShareCh'!$AH39/'C16-ShareCh'!$AI39*1000*1000</f>
        <v>2930122.773595952</v>
      </c>
      <c r="P39" s="22">
        <f>'C1-Incomes'!P41*'C16-ShareCh'!$AH39/'C16-ShareCh'!$AI39*1000*10000</f>
        <v>11592832.718376476</v>
      </c>
      <c r="R39" s="22">
        <f>'C1-Incomes'!R41*'C16-ShareCh'!$AH39/'C16-ShareCh'!$AI39*1000</f>
        <v>78947.028321675913</v>
      </c>
      <c r="S39" s="22">
        <f>'C1-Incomes'!S41*'C16-ShareCh'!$AH39/'C16-ShareCh'!$AI39*1000*10</f>
        <v>248141.14092961315</v>
      </c>
      <c r="T39" s="22">
        <f>'C1-Incomes'!T41*'C16-ShareCh'!$AH39/'C16-ShareCh'!$AI39*1000*50</f>
        <v>851483.74511062598</v>
      </c>
      <c r="U39" s="22">
        <f>'C1-Incomes'!U41*'C16-ShareCh'!$AH39/'C16-ShareCh'!$AI39*1000*100</f>
        <v>768113.54773349827</v>
      </c>
      <c r="V39" s="22">
        <f>'C1-Incomes'!V41*'C16-ShareCh'!$AH39/'C16-ShareCh'!$AI39*1000*500</f>
        <v>2835352.593578774</v>
      </c>
      <c r="W39" s="22">
        <f>'C1-Incomes'!W41*'C16-ShareCh'!$AH39/'C16-ShareCh'!$AI39*1000*1000</f>
        <v>2936704.7891373206</v>
      </c>
      <c r="X39" s="22">
        <f>'C1-Incomes'!X41*'C16-ShareCh'!$AH39/'C16-ShareCh'!$AI39*1000*10000</f>
        <v>11598056.986811047</v>
      </c>
      <c r="Z39" s="22">
        <f>'C1-Incomes'!Z41*'C16-ShareCh'!$AH39/'C16-ShareCh'!$AI39*1000</f>
        <v>69686.520550608868</v>
      </c>
      <c r="AA39" s="22">
        <f>'C1-Incomes'!AA41*'C16-ShareCh'!$AH39/'C16-ShareCh'!$AI39*1000*10</f>
        <v>182708.86795960343</v>
      </c>
      <c r="AB39" s="22">
        <f>'C1-Incomes'!AB41*'C16-ShareCh'!$AH39/'C16-ShareCh'!$AI39*1000*50</f>
        <v>606653.4731525532</v>
      </c>
      <c r="AC39" s="22">
        <f>'C1-Incomes'!AC41*'C16-ShareCh'!$AH39/'C16-ShareCh'!$AI39*1000*100</f>
        <v>507385.33865957014</v>
      </c>
      <c r="AD39" s="22">
        <f>'C1-Incomes'!AD41*'C16-ShareCh'!$AH39/'C16-ShareCh'!$AI39*1000*500</f>
        <v>1810865.3519593803</v>
      </c>
      <c r="AE39" s="22">
        <f>'C1-Incomes'!AE41*'C16-ShareCh'!$AH39/'C16-ShareCh'!$AI39*1000*1000</f>
        <v>1770389.944370145</v>
      </c>
      <c r="AF39" s="22">
        <f>'C1-Incomes'!AF41*'C16-ShareCh'!$AH39/'C16-ShareCh'!$AI39*1000*10000</f>
        <v>6739753.8482056363</v>
      </c>
      <c r="AH39" s="261">
        <f>'C0-Ref Stats'!AA39</f>
        <v>1.4940296674354181</v>
      </c>
      <c r="AI39" s="36">
        <f>'C0-Ref Stats'!B39</f>
        <v>123378.49496791861</v>
      </c>
      <c r="AK39" s="22">
        <v>47770.791058400966</v>
      </c>
      <c r="AL39" s="22">
        <v>188964.88707825518</v>
      </c>
      <c r="AM39" s="22">
        <v>276912.77941773931</v>
      </c>
      <c r="AN39" s="22">
        <v>699456.80005598965</v>
      </c>
      <c r="AO39" s="22">
        <v>1047136.3102696167</v>
      </c>
      <c r="AP39" s="22">
        <v>2680140.6791269705</v>
      </c>
      <c r="AQ39" s="22">
        <v>10775457.879637871</v>
      </c>
      <c r="AS39" s="22">
        <v>47767.582134941193</v>
      </c>
      <c r="AT39" s="22">
        <v>162658.08264230168</v>
      </c>
      <c r="AU39" s="22">
        <v>232762.52017935127</v>
      </c>
      <c r="AV39" s="22">
        <v>560011.60054566967</v>
      </c>
      <c r="AW39" s="22">
        <v>822406.41018562496</v>
      </c>
      <c r="AX39" s="22">
        <v>2033384.4068469454</v>
      </c>
      <c r="AY39" s="22">
        <v>8063336.0301825032</v>
      </c>
    </row>
    <row r="40" spans="1:51" x14ac:dyDescent="0.25">
      <c r="A40" s="151">
        <v>1994</v>
      </c>
      <c r="B40" s="152">
        <v>50017</v>
      </c>
      <c r="C40" s="152">
        <v>203981</v>
      </c>
      <c r="D40" s="152">
        <v>289026</v>
      </c>
      <c r="E40" s="152">
        <v>711844</v>
      </c>
      <c r="F40" s="152">
        <v>1073798</v>
      </c>
      <c r="G40" s="152">
        <v>2852992</v>
      </c>
      <c r="H40" s="152">
        <v>11477711</v>
      </c>
      <c r="J40" s="22">
        <f>'C1-Incomes'!J42*'C16-ShareCh'!$AH40/'C16-ShareCh'!$AI40*1000</f>
        <v>72058.10113713301</v>
      </c>
      <c r="K40" s="22">
        <f>'C1-Incomes'!K42*'C16-ShareCh'!$AH40/'C16-ShareCh'!$AI40*1000*10</f>
        <v>250587.51175547321</v>
      </c>
      <c r="L40" s="22">
        <f>'C1-Incomes'!L42*'C16-ShareCh'!$AH40/'C16-ShareCh'!$AI40*1000*50</f>
        <v>865076.40132918337</v>
      </c>
      <c r="M40" s="22">
        <f>'C1-Incomes'!M42*'C16-ShareCh'!$AH40/'C16-ShareCh'!$AI40*1000*100</f>
        <v>788860.79547222203</v>
      </c>
      <c r="N40" s="22">
        <f>'C1-Incomes'!N42*'C16-ShareCh'!$AH40/'C16-ShareCh'!$AI40*1000*500</f>
        <v>2913256.590767357</v>
      </c>
      <c r="O40" s="22">
        <f>'C1-Incomes'!O42*'C16-ShareCh'!$AH40/'C16-ShareCh'!$AI40*1000*1000</f>
        <v>3032418.3918084423</v>
      </c>
      <c r="P40" s="22">
        <f>'C1-Incomes'!P42*'C16-ShareCh'!$AH40/'C16-ShareCh'!$AI40*1000*10000</f>
        <v>11981250.790934559</v>
      </c>
      <c r="R40" s="22">
        <f>'C1-Incomes'!R42*'C16-ShareCh'!$AH40/'C16-ShareCh'!$AI40*1000</f>
        <v>81426.73661194701</v>
      </c>
      <c r="S40" s="22">
        <f>'C1-Incomes'!S42*'C16-ShareCh'!$AH40/'C16-ShareCh'!$AI40*1000*10</f>
        <v>254703.023127158</v>
      </c>
      <c r="T40" s="22">
        <f>'C1-Incomes'!T42*'C16-ShareCh'!$AH40/'C16-ShareCh'!$AI40*1000*50</f>
        <v>876054.56150145514</v>
      </c>
      <c r="U40" s="22">
        <f>'C1-Incomes'!U42*'C16-ShareCh'!$AH40/'C16-ShareCh'!$AI40*1000*100</f>
        <v>793883.04329128284</v>
      </c>
      <c r="V40" s="22">
        <f>'C1-Incomes'!V42*'C16-ShareCh'!$AH40/'C16-ShareCh'!$AI40*1000*500</f>
        <v>2929832.8944106931</v>
      </c>
      <c r="W40" s="22">
        <f>'C1-Incomes'!W42*'C16-ShareCh'!$AH40/'C16-ShareCh'!$AI40*1000*1000</f>
        <v>3040357.9841926168</v>
      </c>
      <c r="X40" s="22">
        <f>'C1-Incomes'!X42*'C16-ShareCh'!$AH40/'C16-ShareCh'!$AI40*1000*10000</f>
        <v>11989713.400002381</v>
      </c>
      <c r="Z40" s="22">
        <f>'C1-Incomes'!Z42*'C16-ShareCh'!$AH40/'C16-ShareCh'!$AI40*1000</f>
        <v>72058.100945845843</v>
      </c>
      <c r="AA40" s="22">
        <f>'C1-Incomes'!AA42*'C16-ShareCh'!$AH40/'C16-ShareCh'!$AI40*1000*10</f>
        <v>188807.54934530566</v>
      </c>
      <c r="AB40" s="22">
        <f>'C1-Incomes'!AB42*'C16-ShareCh'!$AH40/'C16-ShareCh'!$AI40*1000*50</f>
        <v>628672.28127902502</v>
      </c>
      <c r="AC40" s="22">
        <f>'C1-Incomes'!AC42*'C16-ShareCh'!$AH40/'C16-ShareCh'!$AI40*1000*100</f>
        <v>530849.54643805709</v>
      </c>
      <c r="AD40" s="22">
        <f>'C1-Incomes'!AD42*'C16-ShareCh'!$AH40/'C16-ShareCh'!$AI40*1000*500</f>
        <v>1900551.2780129549</v>
      </c>
      <c r="AE40" s="22">
        <f>'C1-Incomes'!AE42*'C16-ShareCh'!$AH40/'C16-ShareCh'!$AI40*1000*1000</f>
        <v>1875252.6105293876</v>
      </c>
      <c r="AF40" s="22">
        <f>'C1-Incomes'!AF42*'C16-ShareCh'!$AH40/'C16-ShareCh'!$AI40*1000*10000</f>
        <v>7197837.4849782037</v>
      </c>
      <c r="AH40" s="261">
        <f>'C0-Ref Stats'!AA40</f>
        <v>1.4635910324452228</v>
      </c>
      <c r="AI40" s="36">
        <f>'C0-Ref Stats'!B40</f>
        <v>124715.80547807975</v>
      </c>
      <c r="AK40" s="22">
        <v>49325.883520559575</v>
      </c>
      <c r="AL40" s="22">
        <v>196603.8194023658</v>
      </c>
      <c r="AM40" s="22">
        <v>287907.09757868195</v>
      </c>
      <c r="AN40" s="22">
        <v>724370.10098037985</v>
      </c>
      <c r="AO40" s="22">
        <v>1082226.7337601432</v>
      </c>
      <c r="AP40" s="22">
        <v>2765990.0432714634</v>
      </c>
      <c r="AQ40" s="22">
        <v>10962260.47495983</v>
      </c>
      <c r="AS40" s="22">
        <v>49327.47839683546</v>
      </c>
      <c r="AT40" s="22">
        <v>168300.443328175</v>
      </c>
      <c r="AU40" s="22">
        <v>240235.91320178064</v>
      </c>
      <c r="AV40" s="22">
        <v>573579.79340702086</v>
      </c>
      <c r="AW40" s="22">
        <v>840516.89993530593</v>
      </c>
      <c r="AX40" s="22">
        <v>2067353.2162124433</v>
      </c>
      <c r="AY40" s="22">
        <v>8072264.9945146842</v>
      </c>
    </row>
    <row r="41" spans="1:51" x14ac:dyDescent="0.25">
      <c r="A41" s="151">
        <v>1995</v>
      </c>
      <c r="B41" s="152">
        <v>51690</v>
      </c>
      <c r="C41" s="152">
        <v>217687</v>
      </c>
      <c r="D41" s="152">
        <v>312456</v>
      </c>
      <c r="E41" s="152">
        <v>787445</v>
      </c>
      <c r="F41" s="152">
        <v>1196106</v>
      </c>
      <c r="G41" s="152">
        <v>3207880</v>
      </c>
      <c r="H41" s="152">
        <v>12731240</v>
      </c>
      <c r="J41" s="22">
        <f>'C1-Incomes'!J43*'C16-ShareCh'!$AH41/'C16-ShareCh'!$AI41*1000</f>
        <v>73720.061815712397</v>
      </c>
      <c r="K41" s="22">
        <f>'C1-Incomes'!K43*'C16-ShareCh'!$AH41/'C16-ShareCh'!$AI41*1000*10</f>
        <v>260924.76963492605</v>
      </c>
      <c r="L41" s="22">
        <f>'C1-Incomes'!L43*'C16-ShareCh'!$AH41/'C16-ShareCh'!$AI41*1000*50</f>
        <v>907866.26265859557</v>
      </c>
      <c r="M41" s="22">
        <f>'C1-Incomes'!M43*'C16-ShareCh'!$AH41/'C16-ShareCh'!$AI41*1000*100</f>
        <v>848674.9536046409</v>
      </c>
      <c r="N41" s="22">
        <f>'C1-Incomes'!N43*'C16-ShareCh'!$AH41/'C16-ShareCh'!$AI41*1000*500</f>
        <v>3171473.5501951608</v>
      </c>
      <c r="O41" s="22">
        <f>'C1-Incomes'!O43*'C16-ShareCh'!$AH41/'C16-ShareCh'!$AI41*1000*1000</f>
        <v>3323967.4930395759</v>
      </c>
      <c r="P41" s="22">
        <f>'C1-Incomes'!P43*'C16-ShareCh'!$AH41/'C16-ShareCh'!$AI41*1000*10000</f>
        <v>13161024.182657292</v>
      </c>
      <c r="R41" s="22">
        <f>'C1-Incomes'!R43*'C16-ShareCh'!$AH41/'C16-ShareCh'!$AI41*1000</f>
        <v>83334.139364677816</v>
      </c>
      <c r="S41" s="22">
        <f>'C1-Incomes'!S43*'C16-ShareCh'!$AH41/'C16-ShareCh'!$AI41*1000*10</f>
        <v>265163.93333373178</v>
      </c>
      <c r="T41" s="22">
        <f>'C1-Incomes'!T43*'C16-ShareCh'!$AH41/'C16-ShareCh'!$AI41*1000*50</f>
        <v>919755.39058756316</v>
      </c>
      <c r="U41" s="22">
        <f>'C1-Incomes'!U43*'C16-ShareCh'!$AH41/'C16-ShareCh'!$AI41*1000*100</f>
        <v>854075.31725526985</v>
      </c>
      <c r="V41" s="22">
        <f>'C1-Incomes'!V43*'C16-ShareCh'!$AH41/'C16-ShareCh'!$AI41*1000*500</f>
        <v>3184836.4016641718</v>
      </c>
      <c r="W41" s="22">
        <f>'C1-Incomes'!W43*'C16-ShareCh'!$AH41/'C16-ShareCh'!$AI41*1000*1000</f>
        <v>3331020.0387103595</v>
      </c>
      <c r="X41" s="22">
        <f>'C1-Incomes'!X43*'C16-ShareCh'!$AH41/'C16-ShareCh'!$AI41*1000*10000</f>
        <v>13166907.804473383</v>
      </c>
      <c r="Z41" s="22">
        <f>'C1-Incomes'!Z43*'C16-ShareCh'!$AH41/'C16-ShareCh'!$AI41*1000</f>
        <v>73720.056262368351</v>
      </c>
      <c r="AA41" s="22">
        <f>'C1-Incomes'!AA43*'C16-ShareCh'!$AH41/'C16-ShareCh'!$AI41*1000*10</f>
        <v>196879.69341077935</v>
      </c>
      <c r="AB41" s="22">
        <f>'C1-Incomes'!AB43*'C16-ShareCh'!$AH41/'C16-ShareCh'!$AI41*1000*50</f>
        <v>660582.67625538469</v>
      </c>
      <c r="AC41" s="22">
        <f>'C1-Incomes'!AC43*'C16-ShareCh'!$AH41/'C16-ShareCh'!$AI41*1000*100</f>
        <v>572104.21086816536</v>
      </c>
      <c r="AD41" s="22">
        <f>'C1-Incomes'!AD43*'C16-ShareCh'!$AH41/'C16-ShareCh'!$AI41*1000*500</f>
        <v>2074786.800726417</v>
      </c>
      <c r="AE41" s="22">
        <f>'C1-Incomes'!AE43*'C16-ShareCh'!$AH41/'C16-ShareCh'!$AI41*1000*1000</f>
        <v>2078616.9421944995</v>
      </c>
      <c r="AF41" s="22">
        <f>'C1-Incomes'!AF43*'C16-ShareCh'!$AH41/'C16-ShareCh'!$AI41*1000*10000</f>
        <v>8061135.614587727</v>
      </c>
      <c r="AH41" s="261">
        <f>'C0-Ref Stats'!AA41</f>
        <v>1.4338231442191838</v>
      </c>
      <c r="AI41" s="36">
        <f>'C0-Ref Stats'!B41</f>
        <v>126023</v>
      </c>
      <c r="AK41" s="22">
        <v>50421.116069560565</v>
      </c>
      <c r="AL41" s="22">
        <v>205001.52813168446</v>
      </c>
      <c r="AM41" s="22">
        <v>302297.37149940297</v>
      </c>
      <c r="AN41" s="22">
        <v>770668.43693203141</v>
      </c>
      <c r="AO41" s="22">
        <v>1155210.1491617595</v>
      </c>
      <c r="AP41" s="22">
        <v>2980716.407923359</v>
      </c>
      <c r="AQ41" s="22">
        <v>11740568.911351491</v>
      </c>
      <c r="AS41" s="22">
        <v>50417.893997998399</v>
      </c>
      <c r="AT41" s="22">
        <v>174928.14106298552</v>
      </c>
      <c r="AU41" s="22">
        <v>251275.34733322953</v>
      </c>
      <c r="AV41" s="22">
        <v>607310.7170471889</v>
      </c>
      <c r="AW41" s="22">
        <v>891815.15932719701</v>
      </c>
      <c r="AX41" s="22">
        <v>2213815.7536591869</v>
      </c>
      <c r="AY41" s="22">
        <v>8574540.6170084774</v>
      </c>
    </row>
    <row r="42" spans="1:51" x14ac:dyDescent="0.25">
      <c r="A42" s="151">
        <v>1996</v>
      </c>
      <c r="B42" s="152">
        <v>53731</v>
      </c>
      <c r="C42" s="152">
        <v>233645</v>
      </c>
      <c r="D42" s="152">
        <v>341269</v>
      </c>
      <c r="E42" s="152">
        <v>896613</v>
      </c>
      <c r="F42" s="152">
        <v>1387018</v>
      </c>
      <c r="G42" s="152">
        <v>3890142</v>
      </c>
      <c r="H42" s="152">
        <v>16431015</v>
      </c>
      <c r="J42" s="22">
        <f>'C1-Incomes'!J44*'C16-ShareCh'!$AH42/'C16-ShareCh'!$AI42*1000</f>
        <v>75896.953189349355</v>
      </c>
      <c r="K42" s="22">
        <f>'C1-Incomes'!K44*'C16-ShareCh'!$AH42/'C16-ShareCh'!$AI42*1000*10</f>
        <v>272540.1177830784</v>
      </c>
      <c r="L42" s="22">
        <f>'C1-Incomes'!L44*'C16-ShareCh'!$AH42/'C16-ShareCh'!$AI42*1000*50</f>
        <v>955410.62151180359</v>
      </c>
      <c r="M42" s="22">
        <f>'C1-Incomes'!M44*'C16-ShareCh'!$AH42/'C16-ShareCh'!$AI42*1000*100</f>
        <v>905527.96997056971</v>
      </c>
      <c r="N42" s="22">
        <f>'C1-Incomes'!N44*'C16-ShareCh'!$AH42/'C16-ShareCh'!$AI42*1000*500</f>
        <v>3398667.7310856772</v>
      </c>
      <c r="O42" s="22">
        <f>'C1-Incomes'!O44*'C16-ShareCh'!$AH42/'C16-ShareCh'!$AI42*1000*1000</f>
        <v>3583526.300924764</v>
      </c>
      <c r="P42" s="22">
        <f>'C1-Incomes'!P44*'C16-ShareCh'!$AH42/'C16-ShareCh'!$AI42*1000*10000</f>
        <v>14360570.589626184</v>
      </c>
      <c r="R42" s="22">
        <f>'C1-Incomes'!R44*'C16-ShareCh'!$AH42/'C16-ShareCh'!$AI42*1000</f>
        <v>85660.599500551747</v>
      </c>
      <c r="S42" s="22">
        <f>'C1-Incomes'!S44*'C16-ShareCh'!$AH42/'C16-ShareCh'!$AI42*1000*10</f>
        <v>277186.01902841235</v>
      </c>
      <c r="T42" s="22">
        <f>'C1-Incomes'!T44*'C16-ShareCh'!$AH42/'C16-ShareCh'!$AI42*1000*50</f>
        <v>967547.67148532812</v>
      </c>
      <c r="U42" s="22">
        <f>'C1-Incomes'!U44*'C16-ShareCh'!$AH42/'C16-ShareCh'!$AI42*1000*100</f>
        <v>911153.43621282815</v>
      </c>
      <c r="V42" s="22">
        <f>'C1-Incomes'!V44*'C16-ShareCh'!$AH42/'C16-ShareCh'!$AI42*1000*500</f>
        <v>3412863.5375603093</v>
      </c>
      <c r="W42" s="22">
        <f>'C1-Incomes'!W44*'C16-ShareCh'!$AH42/'C16-ShareCh'!$AI42*1000*1000</f>
        <v>3590423.662810294</v>
      </c>
      <c r="X42" s="22">
        <f>'C1-Incomes'!X44*'C16-ShareCh'!$AH42/'C16-ShareCh'!$AI42*1000*10000</f>
        <v>14365710.455353603</v>
      </c>
      <c r="Z42" s="22">
        <f>'C1-Incomes'!Z44*'C16-ShareCh'!$AH42/'C16-ShareCh'!$AI42*1000</f>
        <v>75896.943286678419</v>
      </c>
      <c r="AA42" s="22">
        <f>'C1-Incomes'!AA44*'C16-ShareCh'!$AH42/'C16-ShareCh'!$AI42*1000*10</f>
        <v>206795.29940020552</v>
      </c>
      <c r="AB42" s="22">
        <f>'C1-Incomes'!AB44*'C16-ShareCh'!$AH42/'C16-ShareCh'!$AI42*1000*50</f>
        <v>700307.9661817064</v>
      </c>
      <c r="AC42" s="22">
        <f>'C1-Incomes'!AC44*'C16-ShareCh'!$AH42/'C16-ShareCh'!$AI42*1000*100</f>
        <v>615548.42853924516</v>
      </c>
      <c r="AD42" s="22">
        <f>'C1-Incomes'!AD44*'C16-ShareCh'!$AH42/'C16-ShareCh'!$AI42*1000*500</f>
        <v>2227325.0046361326</v>
      </c>
      <c r="AE42" s="22">
        <f>'C1-Incomes'!AE44*'C16-ShareCh'!$AH42/'C16-ShareCh'!$AI42*1000*1000</f>
        <v>2242439.7805785569</v>
      </c>
      <c r="AF42" s="22">
        <f>'C1-Incomes'!AF44*'C16-ShareCh'!$AH42/'C16-ShareCh'!$AI42*1000*10000</f>
        <v>8779411.142507067</v>
      </c>
      <c r="AH42" s="261">
        <f>'C0-Ref Stats'!AA42</f>
        <v>1.403944550595658</v>
      </c>
      <c r="AI42" s="36">
        <f>'C0-Ref Stats'!B42</f>
        <v>127625.25324638988</v>
      </c>
      <c r="AK42" s="22">
        <v>52012.261866507419</v>
      </c>
      <c r="AL42" s="22">
        <v>216090.27771791467</v>
      </c>
      <c r="AM42" s="22">
        <v>321221.35528350802</v>
      </c>
      <c r="AN42" s="22">
        <v>830325.37223281944</v>
      </c>
      <c r="AO42" s="22">
        <v>1253393.4204458399</v>
      </c>
      <c r="AP42" s="22">
        <v>3318765.9354357477</v>
      </c>
      <c r="AQ42" s="22">
        <v>13468087.644049803</v>
      </c>
      <c r="AS42" s="22">
        <v>52012.857529872199</v>
      </c>
      <c r="AT42" s="22">
        <v>183636.56748337529</v>
      </c>
      <c r="AU42" s="22">
        <v>265429.97246678401</v>
      </c>
      <c r="AV42" s="22">
        <v>648765.04428085231</v>
      </c>
      <c r="AW42" s="22">
        <v>956589.53043105162</v>
      </c>
      <c r="AX42" s="22">
        <v>2420838.2202243437</v>
      </c>
      <c r="AY42" s="22">
        <v>9564763.3409021888</v>
      </c>
    </row>
    <row r="43" spans="1:51" x14ac:dyDescent="0.25">
      <c r="A43" s="151">
        <v>1997</v>
      </c>
      <c r="B43" s="152">
        <v>56839</v>
      </c>
      <c r="C43" s="152">
        <v>253753</v>
      </c>
      <c r="D43" s="152">
        <v>376742</v>
      </c>
      <c r="E43" s="152">
        <v>1023958</v>
      </c>
      <c r="F43" s="152">
        <v>1609573</v>
      </c>
      <c r="G43" s="152">
        <v>4652290</v>
      </c>
      <c r="H43" s="152">
        <v>20041507</v>
      </c>
      <c r="J43" s="22">
        <f>'C1-Incomes'!J45*'C16-ShareCh'!$AH43/'C16-ShareCh'!$AI43*1000</f>
        <v>78775.862662487081</v>
      </c>
      <c r="K43" s="22">
        <f>'C1-Incomes'!K45*'C16-ShareCh'!$AH43/'C16-ShareCh'!$AI43*1000*10</f>
        <v>287176.53675319429</v>
      </c>
      <c r="L43" s="22">
        <f>'C1-Incomes'!L45*'C16-ShareCh'!$AH43/'C16-ShareCh'!$AI43*1000*50</f>
        <v>1015545.507714857</v>
      </c>
      <c r="M43" s="22">
        <f>'C1-Incomes'!M45*'C16-ShareCh'!$AH43/'C16-ShareCh'!$AI43*1000*100</f>
        <v>983933.73757223052</v>
      </c>
      <c r="N43" s="22">
        <f>'C1-Incomes'!N45*'C16-ShareCh'!$AH43/'C16-ShareCh'!$AI43*1000*500</f>
        <v>3725930.8868993609</v>
      </c>
      <c r="O43" s="22">
        <f>'C1-Incomes'!O45*'C16-ShareCh'!$AH43/'C16-ShareCh'!$AI43*1000*1000</f>
        <v>4011072.2431145511</v>
      </c>
      <c r="P43" s="22">
        <f>'C1-Incomes'!P45*'C16-ShareCh'!$AH43/'C16-ShareCh'!$AI43*1000*10000</f>
        <v>16058824.979568144</v>
      </c>
      <c r="R43" s="22">
        <f>'C1-Incomes'!R45*'C16-ShareCh'!$AH43/'C16-ShareCh'!$AI43*1000</f>
        <v>88554.348446215852</v>
      </c>
      <c r="S43" s="22">
        <f>'C1-Incomes'!S45*'C16-ShareCh'!$AH43/'C16-ShareCh'!$AI43*1000*10</f>
        <v>292023.12792338844</v>
      </c>
      <c r="T43" s="22">
        <f>'C1-Incomes'!T45*'C16-ShareCh'!$AH43/'C16-ShareCh'!$AI43*1000*50</f>
        <v>1027682.9548971422</v>
      </c>
      <c r="U43" s="22">
        <f>'C1-Incomes'!U45*'C16-ShareCh'!$AH43/'C16-ShareCh'!$AI43*1000*100</f>
        <v>989933.7053850122</v>
      </c>
      <c r="V43" s="22">
        <f>'C1-Incomes'!V45*'C16-ShareCh'!$AH43/'C16-ShareCh'!$AI43*1000*500</f>
        <v>3740620.3387418436</v>
      </c>
      <c r="W43" s="22">
        <f>'C1-Incomes'!W45*'C16-ShareCh'!$AH43/'C16-ShareCh'!$AI43*1000*1000</f>
        <v>4016351.1441417281</v>
      </c>
      <c r="X43" s="22">
        <f>'C1-Incomes'!X45*'C16-ShareCh'!$AH43/'C16-ShareCh'!$AI43*1000*10000</f>
        <v>16067269.940282281</v>
      </c>
      <c r="Z43" s="22">
        <f>'C1-Incomes'!Z45*'C16-ShareCh'!$AH43/'C16-ShareCh'!$AI43*1000</f>
        <v>78775.852671904198</v>
      </c>
      <c r="AA43" s="22">
        <f>'C1-Incomes'!AA45*'C16-ShareCh'!$AH43/'C16-ShareCh'!$AI43*1000*10</f>
        <v>219142.8084275065</v>
      </c>
      <c r="AB43" s="22">
        <f>'C1-Incomes'!AB45*'C16-ShareCh'!$AH43/'C16-ShareCh'!$AI43*1000*50</f>
        <v>747974.73677708022</v>
      </c>
      <c r="AC43" s="22">
        <f>'C1-Incomes'!AC45*'C16-ShareCh'!$AH43/'C16-ShareCh'!$AI43*1000*100</f>
        <v>673569.67221959552</v>
      </c>
      <c r="AD43" s="22">
        <f>'C1-Incomes'!AD45*'C16-ShareCh'!$AH43/'C16-ShareCh'!$AI43*1000*500</f>
        <v>2479652.2550330358</v>
      </c>
      <c r="AE43" s="22">
        <f>'C1-Incomes'!AE45*'C16-ShareCh'!$AH43/'C16-ShareCh'!$AI43*1000*1000</f>
        <v>2550612.4236963098</v>
      </c>
      <c r="AF43" s="22">
        <f>'C1-Incomes'!AF45*'C16-ShareCh'!$AH43/'C16-ShareCh'!$AI43*1000*10000</f>
        <v>10041426.641683755</v>
      </c>
      <c r="AH43" s="261">
        <f>'C0-Ref Stats'!AA43</f>
        <v>1.3801227829112408</v>
      </c>
      <c r="AI43" s="36">
        <f>'C0-Ref Stats'!B43</f>
        <v>129301.25716290172</v>
      </c>
      <c r="AK43" s="22">
        <v>53910.480489388676</v>
      </c>
      <c r="AL43" s="22">
        <v>227863.70465632071</v>
      </c>
      <c r="AM43" s="22">
        <v>340959.3640451071</v>
      </c>
      <c r="AN43" s="22">
        <v>896398.25261221395</v>
      </c>
      <c r="AO43" s="22">
        <v>1369468.9193192993</v>
      </c>
      <c r="AP43" s="22">
        <v>3686868.9081967506</v>
      </c>
      <c r="AQ43" s="22">
        <v>14780613.546625743</v>
      </c>
      <c r="AS43" s="22">
        <v>53909.549035806442</v>
      </c>
      <c r="AT43" s="22">
        <v>193347.20754498887</v>
      </c>
      <c r="AU43" s="22">
        <v>281211.87723765126</v>
      </c>
      <c r="AV43" s="22">
        <v>699626.69059917494</v>
      </c>
      <c r="AW43" s="22">
        <v>1046904.6938057729</v>
      </c>
      <c r="AX43" s="22">
        <v>2712748.3602201352</v>
      </c>
      <c r="AY43" s="22">
        <v>10606735.710987918</v>
      </c>
    </row>
    <row r="44" spans="1:51" x14ac:dyDescent="0.25">
      <c r="A44" s="151">
        <v>1998</v>
      </c>
      <c r="B44" s="152">
        <v>60298</v>
      </c>
      <c r="C44" s="152">
        <v>273698</v>
      </c>
      <c r="D44" s="152">
        <v>411171</v>
      </c>
      <c r="E44" s="152">
        <v>1150966</v>
      </c>
      <c r="F44" s="152">
        <v>1830523</v>
      </c>
      <c r="G44" s="152">
        <v>5424398</v>
      </c>
      <c r="H44" s="152">
        <v>23654863</v>
      </c>
      <c r="J44" s="22">
        <f>'C1-Incomes'!J46*'C16-ShareCh'!$AH44/'C16-ShareCh'!$AI44*1000</f>
        <v>82182.529042318623</v>
      </c>
      <c r="K44" s="22">
        <f>'C1-Incomes'!K46*'C16-ShareCh'!$AH44/'C16-ShareCh'!$AI44*1000*10</f>
        <v>299367.60825276596</v>
      </c>
      <c r="L44" s="22">
        <f>'C1-Incomes'!L46*'C16-ShareCh'!$AH44/'C16-ShareCh'!$AI44*1000*50</f>
        <v>1063074.1696966959</v>
      </c>
      <c r="M44" s="22">
        <f>'C1-Incomes'!M46*'C16-ShareCh'!$AH44/'C16-ShareCh'!$AI44*1000*100</f>
        <v>1038596.1458211022</v>
      </c>
      <c r="N44" s="22">
        <f>'C1-Incomes'!N46*'C16-ShareCh'!$AH44/'C16-ShareCh'!$AI44*1000*500</f>
        <v>3940985.1594776753</v>
      </c>
      <c r="O44" s="22">
        <f>'C1-Incomes'!O46*'C16-ShareCh'!$AH44/'C16-ShareCh'!$AI44*1000*1000</f>
        <v>4287391.8927575191</v>
      </c>
      <c r="P44" s="22">
        <f>'C1-Incomes'!P46*'C16-ShareCh'!$AH44/'C16-ShareCh'!$AI44*1000*10000</f>
        <v>17090399.379887179</v>
      </c>
      <c r="R44" s="22">
        <f>'C1-Incomes'!R46*'C16-ShareCh'!$AH44/'C16-ShareCh'!$AI44*1000</f>
        <v>91982.813273645093</v>
      </c>
      <c r="S44" s="22">
        <f>'C1-Incomes'!S46*'C16-ShareCh'!$AH44/'C16-ShareCh'!$AI44*1000*10</f>
        <v>304304.24949205195</v>
      </c>
      <c r="T44" s="22">
        <f>'C1-Incomes'!T46*'C16-ShareCh'!$AH44/'C16-ShareCh'!$AI44*1000*50</f>
        <v>1075548.9356742185</v>
      </c>
      <c r="U44" s="22">
        <f>'C1-Incomes'!U46*'C16-ShareCh'!$AH44/'C16-ShareCh'!$AI44*1000*100</f>
        <v>1043956.5182474839</v>
      </c>
      <c r="V44" s="22">
        <f>'C1-Incomes'!V46*'C16-ShareCh'!$AH44/'C16-ShareCh'!$AI44*1000*500</f>
        <v>3957441.0745842997</v>
      </c>
      <c r="W44" s="22">
        <f>'C1-Incomes'!W46*'C16-ShareCh'!$AH44/'C16-ShareCh'!$AI44*1000*1000</f>
        <v>4286647.0335234385</v>
      </c>
      <c r="X44" s="22">
        <f>'C1-Incomes'!X46*'C16-ShareCh'!$AH44/'C16-ShareCh'!$AI44*1000*10000</f>
        <v>17098838.480985008</v>
      </c>
      <c r="Z44" s="22">
        <f>'C1-Incomes'!Z46*'C16-ShareCh'!$AH44/'C16-ShareCh'!$AI44*1000</f>
        <v>82182.557657188037</v>
      </c>
      <c r="AA44" s="22">
        <f>'C1-Incomes'!AA46*'C16-ShareCh'!$AH44/'C16-ShareCh'!$AI44*1000*10</f>
        <v>229770.05825167781</v>
      </c>
      <c r="AB44" s="22">
        <f>'C1-Incomes'!AB46*'C16-ShareCh'!$AH44/'C16-ShareCh'!$AI44*1000*50</f>
        <v>786813.20057193434</v>
      </c>
      <c r="AC44" s="22">
        <f>'C1-Incomes'!AC46*'C16-ShareCh'!$AH44/'C16-ShareCh'!$AI44*1000*100</f>
        <v>713369.94035893574</v>
      </c>
      <c r="AD44" s="22">
        <f>'C1-Incomes'!AD46*'C16-ShareCh'!$AH44/'C16-ShareCh'!$AI44*1000*500</f>
        <v>2629415.7873781025</v>
      </c>
      <c r="AE44" s="22">
        <f>'C1-Incomes'!AE46*'C16-ShareCh'!$AH44/'C16-ShareCh'!$AI44*1000*1000</f>
        <v>2745292.9618373648</v>
      </c>
      <c r="AF44" s="22">
        <f>'C1-Incomes'!AF46*'C16-ShareCh'!$AH44/'C16-ShareCh'!$AI44*1000*10000</f>
        <v>10786402.094263669</v>
      </c>
      <c r="AH44" s="261">
        <f>'C0-Ref Stats'!AA44</f>
        <v>1.3696081865492391</v>
      </c>
      <c r="AI44" s="36">
        <f>'C0-Ref Stats'!B44</f>
        <v>130945</v>
      </c>
      <c r="AK44" s="22">
        <v>55974.971159793575</v>
      </c>
      <c r="AL44" s="22">
        <v>238631.88899131064</v>
      </c>
      <c r="AM44" s="22">
        <v>358761.11495794065</v>
      </c>
      <c r="AN44" s="22">
        <v>947308.72266184958</v>
      </c>
      <c r="AO44" s="22">
        <v>1442389.9083110895</v>
      </c>
      <c r="AP44" s="22">
        <v>3866359.5473586009</v>
      </c>
      <c r="AQ44" s="22">
        <v>15596390.435598856</v>
      </c>
      <c r="AS44" s="22">
        <v>55974.315657348576</v>
      </c>
      <c r="AT44" s="22">
        <v>201703.5703958674</v>
      </c>
      <c r="AU44" s="22">
        <v>294480.56314023526</v>
      </c>
      <c r="AV44" s="22">
        <v>734016.86289780587</v>
      </c>
      <c r="AW44" s="22">
        <v>1090343.9112963958</v>
      </c>
      <c r="AX44" s="22">
        <v>2779572.1761350487</v>
      </c>
      <c r="AY44" s="22">
        <v>10859618.097069461</v>
      </c>
    </row>
    <row r="45" spans="1:51" x14ac:dyDescent="0.25">
      <c r="A45" s="151">
        <v>1999</v>
      </c>
      <c r="B45" s="152">
        <v>63153</v>
      </c>
      <c r="C45" s="152">
        <v>293465</v>
      </c>
      <c r="D45" s="152">
        <v>444811</v>
      </c>
      <c r="E45" s="152">
        <v>1265835</v>
      </c>
      <c r="F45" s="152">
        <v>2025437</v>
      </c>
      <c r="G45" s="152">
        <v>6076564</v>
      </c>
      <c r="H45" s="152">
        <v>26612595</v>
      </c>
      <c r="J45" s="22">
        <f>'C1-Incomes'!J47*'C16-ShareCh'!$AH45/'C16-ShareCh'!$AI45*1000</f>
        <v>84950.457951725679</v>
      </c>
      <c r="K45" s="22">
        <f>'C1-Incomes'!K47*'C16-ShareCh'!$AH45/'C16-ShareCh'!$AI45*1000*10</f>
        <v>311744.92935961107</v>
      </c>
      <c r="L45" s="22">
        <f>'C1-Incomes'!L47*'C16-ShareCh'!$AH45/'C16-ShareCh'!$AI45*1000*50</f>
        <v>1116953.6166754346</v>
      </c>
      <c r="M45" s="22">
        <f>'C1-Incomes'!M47*'C16-ShareCh'!$AH45/'C16-ShareCh'!$AI45*1000*100</f>
        <v>1118120.9614551452</v>
      </c>
      <c r="N45" s="22">
        <f>'C1-Incomes'!N47*'C16-ShareCh'!$AH45/'C16-ShareCh'!$AI45*1000*500</f>
        <v>4281618.4083929341</v>
      </c>
      <c r="O45" s="22">
        <f>'C1-Incomes'!O47*'C16-ShareCh'!$AH45/'C16-ShareCh'!$AI45*1000*1000</f>
        <v>4681274.5953153083</v>
      </c>
      <c r="P45" s="22">
        <f>'C1-Incomes'!P47*'C16-ShareCh'!$AH45/'C16-ShareCh'!$AI45*1000*10000</f>
        <v>18910215.794985238</v>
      </c>
      <c r="R45" s="22">
        <f>'C1-Incomes'!R47*'C16-ShareCh'!$AH45/'C16-ShareCh'!$AI45*1000</f>
        <v>94882.317518239943</v>
      </c>
      <c r="S45" s="22">
        <f>'C1-Incomes'!S47*'C16-ShareCh'!$AH45/'C16-ShareCh'!$AI45*1000*10</f>
        <v>316493.9546057437</v>
      </c>
      <c r="T45" s="22">
        <f>'C1-Incomes'!T47*'C16-ShareCh'!$AH45/'C16-ShareCh'!$AI45*1000*50</f>
        <v>1128421.0152751948</v>
      </c>
      <c r="U45" s="22">
        <f>'C1-Incomes'!U47*'C16-ShareCh'!$AH45/'C16-ShareCh'!$AI45*1000*100</f>
        <v>1123528.4071028845</v>
      </c>
      <c r="V45" s="22">
        <f>'C1-Incomes'!V47*'C16-ShareCh'!$AH45/'C16-ShareCh'!$AI45*1000*500</f>
        <v>4295395.0797995757</v>
      </c>
      <c r="W45" s="22">
        <f>'C1-Incomes'!W47*'C16-ShareCh'!$AH45/'C16-ShareCh'!$AI45*1000*1000</f>
        <v>4687393.2200412629</v>
      </c>
      <c r="X45" s="22">
        <f>'C1-Incomes'!X47*'C16-ShareCh'!$AH45/'C16-ShareCh'!$AI45*1000*10000</f>
        <v>18915517.643648133</v>
      </c>
      <c r="Z45" s="22">
        <f>'C1-Incomes'!Z47*'C16-ShareCh'!$AH45/'C16-ShareCh'!$AI45*1000</f>
        <v>84950.460867293121</v>
      </c>
      <c r="AA45" s="22">
        <f>'C1-Incomes'!AA47*'C16-ShareCh'!$AH45/'C16-ShareCh'!$AI45*1000*10</f>
        <v>238802.34971806899</v>
      </c>
      <c r="AB45" s="22">
        <f>'C1-Incomes'!AB47*'C16-ShareCh'!$AH45/'C16-ShareCh'!$AI45*1000*50</f>
        <v>823113.02624598378</v>
      </c>
      <c r="AC45" s="22">
        <f>'C1-Incomes'!AC47*'C16-ShareCh'!$AH45/'C16-ShareCh'!$AI45*1000*100</f>
        <v>769725.12545108609</v>
      </c>
      <c r="AD45" s="22">
        <f>'C1-Incomes'!AD47*'C16-ShareCh'!$AH45/'C16-ShareCh'!$AI45*1000*500</f>
        <v>2868543.8382661673</v>
      </c>
      <c r="AE45" s="22">
        <f>'C1-Incomes'!AE47*'C16-ShareCh'!$AH45/'C16-ShareCh'!$AI45*1000*1000</f>
        <v>3024021.3138944483</v>
      </c>
      <c r="AF45" s="22">
        <f>'C1-Incomes'!AF47*'C16-ShareCh'!$AH45/'C16-ShareCh'!$AI45*1000*10000</f>
        <v>12054275.547241446</v>
      </c>
      <c r="AH45" s="261">
        <f>'C0-Ref Stats'!AA45</f>
        <v>1.3497842436197756</v>
      </c>
      <c r="AI45" s="36">
        <f>'C0-Ref Stats'!B45</f>
        <v>132267</v>
      </c>
      <c r="AK45" s="22">
        <v>57661.09584343696</v>
      </c>
      <c r="AL45" s="22">
        <v>249949.88219461619</v>
      </c>
      <c r="AM45" s="22">
        <v>378239.82104750117</v>
      </c>
      <c r="AN45" s="22">
        <v>1021035.2214217776</v>
      </c>
      <c r="AO45" s="22">
        <v>1570062.1774959939</v>
      </c>
      <c r="AP45" s="22">
        <v>4285847.9857312795</v>
      </c>
      <c r="AQ45" s="22">
        <v>17840630.873190369</v>
      </c>
      <c r="AS45" s="22">
        <v>57660.396162477111</v>
      </c>
      <c r="AT45" s="22">
        <v>210650.88609990999</v>
      </c>
      <c r="AU45" s="22">
        <v>309369.87043673266</v>
      </c>
      <c r="AV45" s="22">
        <v>789443.4709850722</v>
      </c>
      <c r="AW45" s="22">
        <v>1187218.2691654812</v>
      </c>
      <c r="AX45" s="22">
        <v>3090298.1354658497</v>
      </c>
      <c r="AY45" s="22">
        <v>12595182.063839508</v>
      </c>
    </row>
    <row r="46" spans="1:51" x14ac:dyDescent="0.25">
      <c r="A46" s="151">
        <v>2000</v>
      </c>
      <c r="B46" s="152">
        <v>64758</v>
      </c>
      <c r="C46" s="152">
        <v>308293</v>
      </c>
      <c r="D46" s="152">
        <v>474105</v>
      </c>
      <c r="E46" s="152">
        <v>1393653</v>
      </c>
      <c r="F46" s="152">
        <v>2260695</v>
      </c>
      <c r="G46" s="152">
        <v>7043708</v>
      </c>
      <c r="H46" s="152">
        <v>32851640</v>
      </c>
      <c r="J46" s="22">
        <f>'C1-Incomes'!J48*'C16-ShareCh'!$AH46/'C16-ShareCh'!$AI46*1000</f>
        <v>87231.438962126354</v>
      </c>
      <c r="K46" s="22">
        <f>'C1-Incomes'!K48*'C16-ShareCh'!$AH46/'C16-ShareCh'!$AI46*1000*10</f>
        <v>325860.83363510255</v>
      </c>
      <c r="L46" s="22">
        <f>'C1-Incomes'!L48*'C16-ShareCh'!$AH46/'C16-ShareCh'!$AI46*1000*50</f>
        <v>1174157.5878139075</v>
      </c>
      <c r="M46" s="22">
        <f>'C1-Incomes'!M48*'C16-ShareCh'!$AH46/'C16-ShareCh'!$AI46*1000*100</f>
        <v>1192469.341568239</v>
      </c>
      <c r="N46" s="22">
        <f>'C1-Incomes'!N48*'C16-ShareCh'!$AH46/'C16-ShareCh'!$AI46*1000*500</f>
        <v>4586677.5721165137</v>
      </c>
      <c r="O46" s="22">
        <f>'C1-Incomes'!O48*'C16-ShareCh'!$AH46/'C16-ShareCh'!$AI46*1000*1000</f>
        <v>5091314.3896407718</v>
      </c>
      <c r="P46" s="22">
        <f>'C1-Incomes'!P48*'C16-ShareCh'!$AH46/'C16-ShareCh'!$AI46*1000*10000</f>
        <v>21010171.280394256</v>
      </c>
      <c r="R46" s="22">
        <f>'C1-Incomes'!R48*'C16-ShareCh'!$AH46/'C16-ShareCh'!$AI46*1000</f>
        <v>97263.189722656636</v>
      </c>
      <c r="S46" s="22">
        <f>'C1-Incomes'!S48*'C16-ShareCh'!$AH46/'C16-ShareCh'!$AI46*1000*10</f>
        <v>331042.24466447806</v>
      </c>
      <c r="T46" s="22">
        <f>'C1-Incomes'!T48*'C16-ShareCh'!$AH46/'C16-ShareCh'!$AI46*1000*50</f>
        <v>1187264.9396683455</v>
      </c>
      <c r="U46" s="22">
        <f>'C1-Incomes'!U48*'C16-ShareCh'!$AH46/'C16-ShareCh'!$AI46*1000*100</f>
        <v>1198742.9483911633</v>
      </c>
      <c r="V46" s="22">
        <f>'C1-Incomes'!V48*'C16-ShareCh'!$AH46/'C16-ShareCh'!$AI46*1000*500</f>
        <v>4602143.9526826879</v>
      </c>
      <c r="W46" s="22">
        <f>'C1-Incomes'!W48*'C16-ShareCh'!$AH46/'C16-ShareCh'!$AI46*1000*1000</f>
        <v>5097540.457184013</v>
      </c>
      <c r="X46" s="22">
        <f>'C1-Incomes'!X48*'C16-ShareCh'!$AH46/'C16-ShareCh'!$AI46*1000*10000</f>
        <v>21015945.133366905</v>
      </c>
      <c r="Z46" s="22">
        <f>'C1-Incomes'!Z48*'C16-ShareCh'!$AH46/'C16-ShareCh'!$AI46*1000</f>
        <v>87231.438799553216</v>
      </c>
      <c r="AA46" s="22">
        <f>'C1-Incomes'!AA48*'C16-ShareCh'!$AH46/'C16-ShareCh'!$AI46*1000*10</f>
        <v>250977.48874269918</v>
      </c>
      <c r="AB46" s="22">
        <f>'C1-Incomes'!AB48*'C16-ShareCh'!$AH46/'C16-ShareCh'!$AI46*1000*50</f>
        <v>870355.12759883073</v>
      </c>
      <c r="AC46" s="22">
        <f>'C1-Incomes'!AC48*'C16-ShareCh'!$AH46/'C16-ShareCh'!$AI46*1000*100</f>
        <v>824420.8855912888</v>
      </c>
      <c r="AD46" s="22">
        <f>'C1-Incomes'!AD48*'C16-ShareCh'!$AH46/'C16-ShareCh'!$AI46*1000*500</f>
        <v>3086925.506698621</v>
      </c>
      <c r="AE46" s="22">
        <f>'C1-Incomes'!AE48*'C16-ShareCh'!$AH46/'C16-ShareCh'!$AI46*1000*1000</f>
        <v>3307675.2930462258</v>
      </c>
      <c r="AF46" s="22">
        <f>'C1-Incomes'!AF48*'C16-ShareCh'!$AH46/'C16-ShareCh'!$AI46*1000*10000</f>
        <v>13449746.315742141</v>
      </c>
      <c r="AH46" s="261">
        <f>'C0-Ref Stats'!AA46</f>
        <v>1.3169696021941273</v>
      </c>
      <c r="AI46" s="36">
        <f>'C0-Ref Stats'!B46</f>
        <v>134473</v>
      </c>
      <c r="AK46" s="22">
        <v>59560.759194019694</v>
      </c>
      <c r="AL46" s="22">
        <v>261371.9458581096</v>
      </c>
      <c r="AM46" s="22">
        <v>397341.22772494808</v>
      </c>
      <c r="AN46" s="22">
        <v>1087997.4366404687</v>
      </c>
      <c r="AO46" s="22">
        <v>1686198.6946012711</v>
      </c>
      <c r="AP46" s="22">
        <v>4692952.5086448723</v>
      </c>
      <c r="AQ46" s="22">
        <v>19737612.391678158</v>
      </c>
      <c r="AS46" s="22">
        <v>59561.320967468149</v>
      </c>
      <c r="AT46" s="22">
        <v>220128.13271403741</v>
      </c>
      <c r="AU46" s="22">
        <v>324639.5628363564</v>
      </c>
      <c r="AV46" s="22">
        <v>838391.482345475</v>
      </c>
      <c r="AW46" s="22">
        <v>1267176.8827747803</v>
      </c>
      <c r="AX46" s="22">
        <v>3344851.9100298686</v>
      </c>
      <c r="AY46" s="22">
        <v>13599290.796017731</v>
      </c>
    </row>
    <row r="47" spans="1:51" x14ac:dyDescent="0.25">
      <c r="A47" s="151">
        <v>2001</v>
      </c>
      <c r="B47" s="152">
        <v>60269</v>
      </c>
      <c r="C47" s="152">
        <v>270143</v>
      </c>
      <c r="D47" s="152">
        <v>402041</v>
      </c>
      <c r="E47" s="152">
        <v>1098097</v>
      </c>
      <c r="F47" s="152">
        <v>1726580</v>
      </c>
      <c r="G47" s="152">
        <v>5043893</v>
      </c>
      <c r="H47" s="152">
        <v>22299443</v>
      </c>
      <c r="J47" s="22">
        <f>'C1-Incomes'!J49*'C16-ShareCh'!$AH47/'C16-ShareCh'!$AI47*1000</f>
        <v>86563.166293331975</v>
      </c>
      <c r="K47" s="22">
        <f>'C1-Incomes'!K49*'C16-ShareCh'!$AH47/'C16-ShareCh'!$AI47*1000*10</f>
        <v>316431.00297395099</v>
      </c>
      <c r="L47" s="22">
        <f>'C1-Incomes'!L49*'C16-ShareCh'!$AH47/'C16-ShareCh'!$AI47*1000*50</f>
        <v>1122033.4425974395</v>
      </c>
      <c r="M47" s="22">
        <f>'C1-Incomes'!M49*'C16-ShareCh'!$AH47/'C16-ShareCh'!$AI47*1000*100</f>
        <v>1100514.4837144292</v>
      </c>
      <c r="N47" s="22">
        <f>'C1-Incomes'!N49*'C16-ShareCh'!$AH47/'C16-ShareCh'!$AI47*1000*500</f>
        <v>4175687.1898899535</v>
      </c>
      <c r="O47" s="22">
        <f>'C1-Incomes'!O49*'C16-ShareCh'!$AH47/'C16-ShareCh'!$AI47*1000*1000</f>
        <v>4446303.5422716355</v>
      </c>
      <c r="P47" s="22">
        <f>'C1-Incomes'!P49*'C16-ShareCh'!$AH47/'C16-ShareCh'!$AI47*1000*10000</f>
        <v>17638210.199106667</v>
      </c>
      <c r="R47" s="22">
        <f>'C1-Incomes'!R49*'C16-ShareCh'!$AH47/'C16-ShareCh'!$AI47*1000</f>
        <v>97147.819545924023</v>
      </c>
      <c r="S47" s="22">
        <f>'C1-Incomes'!S49*'C16-ShareCh'!$AH47/'C16-ShareCh'!$AI47*1000*10</f>
        <v>321801.68781047798</v>
      </c>
      <c r="T47" s="22">
        <f>'C1-Incomes'!T49*'C16-ShareCh'!$AH47/'C16-ShareCh'!$AI47*1000*50</f>
        <v>1135622.4120272205</v>
      </c>
      <c r="U47" s="22">
        <f>'C1-Incomes'!U49*'C16-ShareCh'!$AH47/'C16-ShareCh'!$AI47*1000*100</f>
        <v>1106501.5743042957</v>
      </c>
      <c r="V47" s="22">
        <f>'C1-Incomes'!V49*'C16-ShareCh'!$AH47/'C16-ShareCh'!$AI47*1000*500</f>
        <v>4192176.7768016923</v>
      </c>
      <c r="W47" s="22">
        <f>'C1-Incomes'!W49*'C16-ShareCh'!$AH47/'C16-ShareCh'!$AI47*1000*1000</f>
        <v>4453851.1374579594</v>
      </c>
      <c r="X47" s="22">
        <f>'C1-Incomes'!X49*'C16-ShareCh'!$AH47/'C16-ShareCh'!$AI47*1000*10000</f>
        <v>17645857.032544769</v>
      </c>
      <c r="Z47" s="22">
        <f>'C1-Incomes'!Z49*'C16-ShareCh'!$AH47/'C16-ShareCh'!$AI47*1000</f>
        <v>86563.172242254965</v>
      </c>
      <c r="AA47" s="22">
        <f>'C1-Incomes'!AA49*'C16-ShareCh'!$AH47/'C16-ShareCh'!$AI47*1000*10</f>
        <v>240074.54217804241</v>
      </c>
      <c r="AB47" s="22">
        <f>'C1-Incomes'!AB49*'C16-ShareCh'!$AH47/'C16-ShareCh'!$AI47*1000*50</f>
        <v>819810.85791256337</v>
      </c>
      <c r="AC47" s="22">
        <f>'C1-Incomes'!AC49*'C16-ShareCh'!$AH47/'C16-ShareCh'!$AI47*1000*100</f>
        <v>744622.89528634632</v>
      </c>
      <c r="AD47" s="22">
        <f>'C1-Incomes'!AD49*'C16-ShareCh'!$AH47/'C16-ShareCh'!$AI47*1000*500</f>
        <v>2745044.8740744856</v>
      </c>
      <c r="AE47" s="22">
        <f>'C1-Incomes'!AE49*'C16-ShareCh'!$AH47/'C16-ShareCh'!$AI47*1000*1000</f>
        <v>2790908.7352641192</v>
      </c>
      <c r="AF47" s="22">
        <f>'C1-Incomes'!AF49*'C16-ShareCh'!$AH47/'C16-ShareCh'!$AI47*1000*10000</f>
        <v>10781913.711281905</v>
      </c>
      <c r="AH47" s="261">
        <f>'C0-Ref Stats'!AA47</f>
        <v>1.2920246412386707</v>
      </c>
      <c r="AI47" s="36">
        <f>'C0-Ref Stats'!B47</f>
        <v>137088</v>
      </c>
      <c r="AK47" s="22">
        <v>59285.352476370434</v>
      </c>
      <c r="AL47" s="22">
        <v>253743.96069816133</v>
      </c>
      <c r="AM47" s="22">
        <v>381628.47356069344</v>
      </c>
      <c r="AN47" s="22">
        <v>1023822.5402966847</v>
      </c>
      <c r="AO47" s="22">
        <v>1573029.8402140497</v>
      </c>
      <c r="AP47" s="22">
        <v>4309893.2537242929</v>
      </c>
      <c r="AQ47" s="22">
        <v>17889320.027346164</v>
      </c>
      <c r="AS47" s="22">
        <v>59285.998046296081</v>
      </c>
      <c r="AT47" s="22">
        <v>216586.9456931719</v>
      </c>
      <c r="AU47" s="22">
        <v>317908.36962679564</v>
      </c>
      <c r="AV47" s="22">
        <v>816308.77598427213</v>
      </c>
      <c r="AW47" s="22">
        <v>1231750.491463938</v>
      </c>
      <c r="AX47" s="22">
        <v>3257436.447042028</v>
      </c>
      <c r="AY47" s="22">
        <v>13170993.69041439</v>
      </c>
    </row>
    <row r="48" spans="1:51" x14ac:dyDescent="0.25">
      <c r="A48" s="151">
        <v>2002</v>
      </c>
      <c r="B48" s="152">
        <v>57164</v>
      </c>
      <c r="C48" s="152">
        <v>250493</v>
      </c>
      <c r="D48" s="152">
        <v>366639</v>
      </c>
      <c r="E48" s="152">
        <v>964071</v>
      </c>
      <c r="F48" s="152">
        <v>1490609</v>
      </c>
      <c r="G48" s="152">
        <v>4196410</v>
      </c>
      <c r="H48" s="152">
        <v>17960933</v>
      </c>
      <c r="J48" s="22">
        <f>'C1-Incomes'!J50*'C16-ShareCh'!$AH48/'C16-ShareCh'!$AI48*1000</f>
        <v>86119.630266829059</v>
      </c>
      <c r="K48" s="22">
        <f>'C1-Incomes'!K50*'C16-ShareCh'!$AH48/'C16-ShareCh'!$AI48*1000*10</f>
        <v>310609.1736986842</v>
      </c>
      <c r="L48" s="22">
        <f>'C1-Incomes'!L50*'C16-ShareCh'!$AH48/'C16-ShareCh'!$AI48*1000*50</f>
        <v>1093130.793843464</v>
      </c>
      <c r="M48" s="22">
        <f>'C1-Incomes'!M50*'C16-ShareCh'!$AH48/'C16-ShareCh'!$AI48*1000*100</f>
        <v>1039308.7125797649</v>
      </c>
      <c r="N48" s="22">
        <f>'C1-Incomes'!N50*'C16-ShareCh'!$AH48/'C16-ShareCh'!$AI48*1000*500</f>
        <v>3890495.6080560149</v>
      </c>
      <c r="O48" s="22">
        <f>'C1-Incomes'!O50*'C16-ShareCh'!$AH48/'C16-ShareCh'!$AI48*1000*1000</f>
        <v>4079020.5794550022</v>
      </c>
      <c r="P48" s="22">
        <f>'C1-Incomes'!P50*'C16-ShareCh'!$AH48/'C16-ShareCh'!$AI48*1000*10000</f>
        <v>16084906.493015496</v>
      </c>
      <c r="R48" s="22">
        <f>'C1-Incomes'!R50*'C16-ShareCh'!$AH48/'C16-ShareCh'!$AI48*1000</f>
        <v>97302.699094680196</v>
      </c>
      <c r="S48" s="22">
        <f>'C1-Incomes'!S50*'C16-ShareCh'!$AH48/'C16-ShareCh'!$AI48*1000*10</f>
        <v>316302.47554695909</v>
      </c>
      <c r="T48" s="22">
        <f>'C1-Incomes'!T50*'C16-ShareCh'!$AH48/'C16-ShareCh'!$AI48*1000*50</f>
        <v>1106576.0833090013</v>
      </c>
      <c r="U48" s="22">
        <f>'C1-Incomes'!U50*'C16-ShareCh'!$AH48/'C16-ShareCh'!$AI48*1000*100</f>
        <v>1045569.6252701636</v>
      </c>
      <c r="V48" s="22">
        <f>'C1-Incomes'!V50*'C16-ShareCh'!$AH48/'C16-ShareCh'!$AI48*1000*500</f>
        <v>3908647.7994079231</v>
      </c>
      <c r="W48" s="22">
        <f>'C1-Incomes'!W50*'C16-ShareCh'!$AH48/'C16-ShareCh'!$AI48*1000*1000</f>
        <v>4082062.1303487583</v>
      </c>
      <c r="X48" s="22">
        <f>'C1-Incomes'!X50*'C16-ShareCh'!$AH48/'C16-ShareCh'!$AI48*1000*10000</f>
        <v>16091123.953814635</v>
      </c>
      <c r="Z48" s="22">
        <f>'C1-Incomes'!Z50*'C16-ShareCh'!$AH48/'C16-ShareCh'!$AI48*1000</f>
        <v>86119.638333224735</v>
      </c>
      <c r="AA48" s="22">
        <f>'C1-Incomes'!AA50*'C16-ShareCh'!$AH48/'C16-ShareCh'!$AI48*1000*10</f>
        <v>231933.1891426458</v>
      </c>
      <c r="AB48" s="22">
        <f>'C1-Incomes'!AB50*'C16-ShareCh'!$AH48/'C16-ShareCh'!$AI48*1000*50</f>
        <v>784808.56194900337</v>
      </c>
      <c r="AC48" s="22">
        <f>'C1-Incomes'!AC50*'C16-ShareCh'!$AH48/'C16-ShareCh'!$AI48*1000*100</f>
        <v>692115.33198013657</v>
      </c>
      <c r="AD48" s="22">
        <f>'C1-Incomes'!AD50*'C16-ShareCh'!$AH48/'C16-ShareCh'!$AI48*1000*500</f>
        <v>2521310.3934022966</v>
      </c>
      <c r="AE48" s="22">
        <f>'C1-Incomes'!AE50*'C16-ShareCh'!$AH48/'C16-ShareCh'!$AI48*1000*1000</f>
        <v>2510601.0437653875</v>
      </c>
      <c r="AF48" s="22">
        <f>'C1-Incomes'!AF50*'C16-ShareCh'!$AH48/'C16-ShareCh'!$AI48*1000*10000</f>
        <v>9545667.3907047659</v>
      </c>
      <c r="AH48" s="261">
        <f>'C0-Ref Stats'!AA48</f>
        <v>1.2749176108905009</v>
      </c>
      <c r="AI48" s="36">
        <f>'C0-Ref Stats'!B48</f>
        <v>139703</v>
      </c>
      <c r="AK48" s="22">
        <v>59145.452616209135</v>
      </c>
      <c r="AL48" s="22">
        <v>252686.53582382944</v>
      </c>
      <c r="AM48" s="22">
        <v>379315.5592821613</v>
      </c>
      <c r="AN48" s="22">
        <v>1008836.6761372957</v>
      </c>
      <c r="AO48" s="22">
        <v>1539215.9976975447</v>
      </c>
      <c r="AP48" s="22">
        <v>4181485.9494755804</v>
      </c>
      <c r="AQ48" s="22">
        <v>17367206.900383651</v>
      </c>
      <c r="AS48" s="22">
        <v>59144.806971329148</v>
      </c>
      <c r="AT48" s="22">
        <v>217667.87262466966</v>
      </c>
      <c r="AU48" s="22">
        <v>320435.86032875633</v>
      </c>
      <c r="AV48" s="22">
        <v>824510.80917710252</v>
      </c>
      <c r="AW48" s="22">
        <v>1243178.8761412892</v>
      </c>
      <c r="AX48" s="22">
        <v>3294098.0676480839</v>
      </c>
      <c r="AY48" s="22">
        <v>13504632.337022204</v>
      </c>
    </row>
    <row r="49" spans="1:51" x14ac:dyDescent="0.25">
      <c r="A49" s="151">
        <v>2003</v>
      </c>
      <c r="B49" s="152">
        <v>56834</v>
      </c>
      <c r="C49" s="152">
        <v>253065</v>
      </c>
      <c r="D49" s="152">
        <v>372434</v>
      </c>
      <c r="E49" s="152">
        <v>996188</v>
      </c>
      <c r="F49" s="152">
        <v>1553958</v>
      </c>
      <c r="G49" s="152">
        <v>4471139</v>
      </c>
      <c r="H49" s="152">
        <v>19846471</v>
      </c>
      <c r="J49" s="22">
        <f>'C1-Incomes'!J51*'C16-ShareCh'!$AH49/'C16-ShareCh'!$AI49*1000</f>
        <v>86941.458023892905</v>
      </c>
      <c r="K49" s="22">
        <f>'C1-Incomes'!K51*'C16-ShareCh'!$AH49/'C16-ShareCh'!$AI49*1000*10</f>
        <v>317360.63499398332</v>
      </c>
      <c r="L49" s="22">
        <f>'C1-Incomes'!L51*'C16-ShareCh'!$AH49/'C16-ShareCh'!$AI49*1000*50</f>
        <v>1117374.0277725768</v>
      </c>
      <c r="M49" s="22">
        <f>'C1-Incomes'!M51*'C16-ShareCh'!$AH49/'C16-ShareCh'!$AI49*1000*100</f>
        <v>1076115.995236658</v>
      </c>
      <c r="N49" s="22">
        <f>'C1-Incomes'!N51*'C16-ShareCh'!$AH49/'C16-ShareCh'!$AI49*1000*500</f>
        <v>4064964.2488433919</v>
      </c>
      <c r="O49" s="22">
        <f>'C1-Incomes'!O51*'C16-ShareCh'!$AH49/'C16-ShareCh'!$AI49*1000*1000</f>
        <v>4354242.5260463739</v>
      </c>
      <c r="P49" s="22">
        <f>'C1-Incomes'!P51*'C16-ShareCh'!$AH49/'C16-ShareCh'!$AI49*1000*10000</f>
        <v>17933887.071627531</v>
      </c>
      <c r="R49" s="22">
        <f>'C1-Incomes'!R51*'C16-ShareCh'!$AH49/'C16-ShareCh'!$AI49*1000</f>
        <v>98343.590024859062</v>
      </c>
      <c r="S49" s="22">
        <f>'C1-Incomes'!S51*'C16-ShareCh'!$AH49/'C16-ShareCh'!$AI49*1000*10</f>
        <v>323049.34672620508</v>
      </c>
      <c r="T49" s="22">
        <f>'C1-Incomes'!T51*'C16-ShareCh'!$AH49/'C16-ShareCh'!$AI49*1000*50</f>
        <v>1131479.1493670552</v>
      </c>
      <c r="U49" s="22">
        <f>'C1-Incomes'!U51*'C16-ShareCh'!$AH49/'C16-ShareCh'!$AI49*1000*100</f>
        <v>1082583.3700316139</v>
      </c>
      <c r="V49" s="22">
        <f>'C1-Incomes'!V51*'C16-ShareCh'!$AH49/'C16-ShareCh'!$AI49*1000*500</f>
        <v>4080550.0010312269</v>
      </c>
      <c r="W49" s="22">
        <f>'C1-Incomes'!W51*'C16-ShareCh'!$AH49/'C16-ShareCh'!$AI49*1000*1000</f>
        <v>4362323.8039097041</v>
      </c>
      <c r="X49" s="22">
        <f>'C1-Incomes'!X51*'C16-ShareCh'!$AH49/'C16-ShareCh'!$AI49*1000*10000</f>
        <v>17943900.909687947</v>
      </c>
      <c r="Z49" s="22">
        <f>'C1-Incomes'!Z51*'C16-ShareCh'!$AH49/'C16-ShareCh'!$AI49*1000</f>
        <v>86941.458188711884</v>
      </c>
      <c r="AA49" s="22">
        <f>'C1-Incomes'!AA51*'C16-ShareCh'!$AH49/'C16-ShareCh'!$AI49*1000*10</f>
        <v>237505.54814216416</v>
      </c>
      <c r="AB49" s="22">
        <f>'C1-Incomes'!AB51*'C16-ShareCh'!$AH49/'C16-ShareCh'!$AI49*1000*50</f>
        <v>806772.30036567384</v>
      </c>
      <c r="AC49" s="22">
        <f>'C1-Incomes'!AC51*'C16-ShareCh'!$AH49/'C16-ShareCh'!$AI49*1000*100</f>
        <v>722397.24457187194</v>
      </c>
      <c r="AD49" s="22">
        <f>'C1-Incomes'!AD51*'C16-ShareCh'!$AH49/'C16-ShareCh'!$AI49*1000*500</f>
        <v>2655470.840493368</v>
      </c>
      <c r="AE49" s="22">
        <f>'C1-Incomes'!AE51*'C16-ShareCh'!$AH49/'C16-ShareCh'!$AI49*1000*1000</f>
        <v>2722509.7458515796</v>
      </c>
      <c r="AF49" s="22">
        <f>'C1-Incomes'!AF51*'C16-ShareCh'!$AH49/'C16-ShareCh'!$AI49*1000*10000</f>
        <v>10888466.692085376</v>
      </c>
      <c r="AH49" s="261">
        <f>'C0-Ref Stats'!AA49</f>
        <v>1.2501827068012605</v>
      </c>
      <c r="AI49" s="36">
        <f>'C0-Ref Stats'!B49</f>
        <v>141843</v>
      </c>
      <c r="AK49" s="22">
        <v>59794.186061249129</v>
      </c>
      <c r="AL49" s="22">
        <v>256318.67949328548</v>
      </c>
      <c r="AM49" s="22">
        <v>384433.92351111106</v>
      </c>
      <c r="AN49" s="22">
        <v>1028654.8083939579</v>
      </c>
      <c r="AO49" s="22">
        <v>1578309.3600538406</v>
      </c>
      <c r="AP49" s="22">
        <v>4325840.8931198129</v>
      </c>
      <c r="AQ49" s="22">
        <v>18434606.349978976</v>
      </c>
      <c r="AS49" s="22">
        <v>59792.785643694755</v>
      </c>
      <c r="AT49" s="22">
        <v>221111.86889478526</v>
      </c>
      <c r="AU49" s="22">
        <v>325169.13255985692</v>
      </c>
      <c r="AV49" s="22">
        <v>842666.74870062899</v>
      </c>
      <c r="AW49" s="22">
        <v>1276437.0280673264</v>
      </c>
      <c r="AX49" s="22">
        <v>3424156.5162584083</v>
      </c>
      <c r="AY49" s="22">
        <v>14340594.842842083</v>
      </c>
    </row>
    <row r="50" spans="1:51" x14ac:dyDescent="0.25">
      <c r="A50" s="151">
        <v>2004</v>
      </c>
      <c r="B50" s="152">
        <v>59741</v>
      </c>
      <c r="C50" s="152">
        <v>277192</v>
      </c>
      <c r="D50" s="152">
        <v>417589</v>
      </c>
      <c r="E50" s="152">
        <v>1180062</v>
      </c>
      <c r="F50" s="152">
        <v>1880882</v>
      </c>
      <c r="G50" s="152">
        <v>5654476</v>
      </c>
      <c r="H50" s="152">
        <v>25939496</v>
      </c>
      <c r="J50" s="22">
        <f>'C1-Incomes'!J52*'C16-ShareCh'!$AH50/'C16-ShareCh'!$AI50*1000</f>
        <v>89351.771151342677</v>
      </c>
      <c r="K50" s="22">
        <f>'C1-Incomes'!K52*'C16-ShareCh'!$AH50/'C16-ShareCh'!$AI50*1000*10</f>
        <v>333049.75065763725</v>
      </c>
      <c r="L50" s="22">
        <f>'C1-Incomes'!L52*'C16-ShareCh'!$AH50/'C16-ShareCh'!$AI50*1000*50</f>
        <v>1189639.9292534448</v>
      </c>
      <c r="M50" s="22">
        <f>'C1-Incomes'!M52*'C16-ShareCh'!$AH50/'C16-ShareCh'!$AI50*1000*100</f>
        <v>1184887.0674343309</v>
      </c>
      <c r="N50" s="22">
        <f>'C1-Incomes'!N52*'C16-ShareCh'!$AH50/'C16-ShareCh'!$AI50*1000*500</f>
        <v>4534752.2539495071</v>
      </c>
      <c r="O50" s="22">
        <f>'C1-Incomes'!O52*'C16-ShareCh'!$AH50/'C16-ShareCh'!$AI50*1000*1000</f>
        <v>5060749.1162810475</v>
      </c>
      <c r="P50" s="22">
        <f>'C1-Incomes'!P52*'C16-ShareCh'!$AH50/'C16-ShareCh'!$AI50*1000*10000</f>
        <v>21823278.723098394</v>
      </c>
      <c r="R50" s="22">
        <f>'C1-Incomes'!R52*'C16-ShareCh'!$AH50/'C16-ShareCh'!$AI50*1000</f>
        <v>100991.2364006781</v>
      </c>
      <c r="S50" s="22">
        <f>'C1-Incomes'!S52*'C16-ShareCh'!$AH50/'C16-ShareCh'!$AI50*1000*10</f>
        <v>338961.00565416378</v>
      </c>
      <c r="T50" s="22">
        <f>'C1-Incomes'!T52*'C16-ShareCh'!$AH50/'C16-ShareCh'!$AI50*1000*50</f>
        <v>1204045.7972366931</v>
      </c>
      <c r="U50" s="22">
        <f>'C1-Incomes'!U52*'C16-ShareCh'!$AH50/'C16-ShareCh'!$AI50*1000*100</f>
        <v>1191123.9723116751</v>
      </c>
      <c r="V50" s="22">
        <f>'C1-Incomes'!V52*'C16-ShareCh'!$AH50/'C16-ShareCh'!$AI50*1000*500</f>
        <v>4552383.7453916678</v>
      </c>
      <c r="W50" s="22">
        <f>'C1-Incomes'!W52*'C16-ShareCh'!$AH50/'C16-ShareCh'!$AI50*1000*1000</f>
        <v>5068306.8841436915</v>
      </c>
      <c r="X50" s="22">
        <f>'C1-Incomes'!X52*'C16-ShareCh'!$AH50/'C16-ShareCh'!$AI50*1000*10000</f>
        <v>21831696.034668788</v>
      </c>
      <c r="Z50" s="22">
        <f>'C1-Incomes'!Z52*'C16-ShareCh'!$AH50/'C16-ShareCh'!$AI50*1000</f>
        <v>89351.772990772908</v>
      </c>
      <c r="AA50" s="22">
        <f>'C1-Incomes'!AA52*'C16-ShareCh'!$AH50/'C16-ShareCh'!$AI50*1000*10</f>
        <v>249889.41698269013</v>
      </c>
      <c r="AB50" s="22">
        <f>'C1-Incomes'!AB52*'C16-ShareCh'!$AH50/'C16-ShareCh'!$AI50*1000*50</f>
        <v>859176.98217534821</v>
      </c>
      <c r="AC50" s="22">
        <f>'C1-Incomes'!AC52*'C16-ShareCh'!$AH50/'C16-ShareCh'!$AI50*1000*100</f>
        <v>796839.92924815032</v>
      </c>
      <c r="AD50" s="22">
        <f>'C1-Incomes'!AD52*'C16-ShareCh'!$AH50/'C16-ShareCh'!$AI50*1000*500</f>
        <v>2977096.6266912594</v>
      </c>
      <c r="AE50" s="22">
        <f>'C1-Incomes'!AE52*'C16-ShareCh'!$AH50/'C16-ShareCh'!$AI50*1000*1000</f>
        <v>3181998.7971335845</v>
      </c>
      <c r="AF50" s="22">
        <f>'C1-Incomes'!AF52*'C16-ShareCh'!$AH50/'C16-ShareCh'!$AI50*1000*10000</f>
        <v>13548010.565106617</v>
      </c>
      <c r="AH50" s="261">
        <f>'C0-Ref Stats'!AA50</f>
        <v>1.2204831499503916</v>
      </c>
      <c r="AI50" s="36">
        <f>'C0-Ref Stats'!B50</f>
        <v>143982</v>
      </c>
      <c r="AK50" s="22">
        <v>61466.108644590742</v>
      </c>
      <c r="AL50" s="22">
        <v>269851.26274497568</v>
      </c>
      <c r="AM50" s="22">
        <v>409482.47869998886</v>
      </c>
      <c r="AN50" s="22">
        <v>1126101.9858074456</v>
      </c>
      <c r="AO50" s="22">
        <v>1749276.1121218817</v>
      </c>
      <c r="AP50" s="22">
        <v>4904332.9442801233</v>
      </c>
      <c r="AQ50" s="22">
        <v>21417662.992405463</v>
      </c>
      <c r="AS50" s="22">
        <v>61463.781728647737</v>
      </c>
      <c r="AT50" s="22">
        <v>230993.81399203086</v>
      </c>
      <c r="AU50" s="22">
        <v>342731.54858363018</v>
      </c>
      <c r="AV50" s="22">
        <v>908755.60981824726</v>
      </c>
      <c r="AW50" s="22">
        <v>1392681.2243969988</v>
      </c>
      <c r="AX50" s="22">
        <v>3806477.9241791922</v>
      </c>
      <c r="AY50" s="22">
        <v>16351695.417197634</v>
      </c>
    </row>
    <row r="51" spans="1:51" x14ac:dyDescent="0.25">
      <c r="A51" s="151">
        <v>2005</v>
      </c>
      <c r="B51" s="152">
        <v>62363</v>
      </c>
      <c r="C51" s="152">
        <v>301423</v>
      </c>
      <c r="D51" s="152">
        <v>463467</v>
      </c>
      <c r="E51" s="152">
        <v>1366739</v>
      </c>
      <c r="F51" s="152">
        <v>2216492</v>
      </c>
      <c r="G51" s="152">
        <v>6849910</v>
      </c>
      <c r="H51" s="152">
        <v>31979551</v>
      </c>
      <c r="J51" s="22">
        <f>'C1-Incomes'!J53*'C16-ShareCh'!$AH51/'C16-ShareCh'!$AI51*1000</f>
        <v>91428.419989069764</v>
      </c>
      <c r="K51" s="22">
        <f>'C1-Incomes'!K53*'C16-ShareCh'!$AH51/'C16-ShareCh'!$AI51*1000*10</f>
        <v>348614.72063169186</v>
      </c>
      <c r="L51" s="22">
        <f>'C1-Incomes'!L53*'C16-ShareCh'!$AH51/'C16-ShareCh'!$AI51*1000*50</f>
        <v>1262487.6969738735</v>
      </c>
      <c r="M51" s="22">
        <f>'C1-Incomes'!M53*'C16-ShareCh'!$AH51/'C16-ShareCh'!$AI51*1000*100</f>
        <v>1303538.7016060106</v>
      </c>
      <c r="N51" s="22">
        <f>'C1-Incomes'!N53*'C16-ShareCh'!$AH51/'C16-ShareCh'!$AI51*1000*500</f>
        <v>5069376.3683630656</v>
      </c>
      <c r="O51" s="22">
        <f>'C1-Incomes'!O53*'C16-ShareCh'!$AH51/'C16-ShareCh'!$AI51*1000*1000</f>
        <v>5789250.4521374479</v>
      </c>
      <c r="P51" s="22">
        <f>'C1-Incomes'!P53*'C16-ShareCh'!$AH51/'C16-ShareCh'!$AI51*1000*10000</f>
        <v>25390320.693864051</v>
      </c>
      <c r="R51" s="22">
        <f>'C1-Incomes'!R53*'C16-ShareCh'!$AH51/'C16-ShareCh'!$AI51*1000</f>
        <v>103251.54064924068</v>
      </c>
      <c r="S51" s="22">
        <f>'C1-Incomes'!S53*'C16-ShareCh'!$AH51/'C16-ShareCh'!$AI51*1000*10</f>
        <v>354313.86295565916</v>
      </c>
      <c r="T51" s="22">
        <f>'C1-Incomes'!T53*'C16-ShareCh'!$AH51/'C16-ShareCh'!$AI51*1000*50</f>
        <v>1276783.9090010945</v>
      </c>
      <c r="U51" s="22">
        <f>'C1-Incomes'!U53*'C16-ShareCh'!$AH51/'C16-ShareCh'!$AI51*1000*100</f>
        <v>1309904.9626713248</v>
      </c>
      <c r="V51" s="22">
        <f>'C1-Incomes'!V53*'C16-ShareCh'!$AH51/'C16-ShareCh'!$AI51*1000*500</f>
        <v>5086375.8155601285</v>
      </c>
      <c r="W51" s="22">
        <f>'C1-Incomes'!W53*'C16-ShareCh'!$AH51/'C16-ShareCh'!$AI51*1000*1000</f>
        <v>5795836.1673145071</v>
      </c>
      <c r="X51" s="22">
        <f>'C1-Incomes'!X53*'C16-ShareCh'!$AH51/'C16-ShareCh'!$AI51*1000*10000</f>
        <v>25395669.047724102</v>
      </c>
      <c r="Z51" s="22">
        <f>'C1-Incomes'!Z53*'C16-ShareCh'!$AH51/'C16-ShareCh'!$AI51*1000</f>
        <v>91428.421681010717</v>
      </c>
      <c r="AA51" s="22">
        <f>'C1-Incomes'!AA53*'C16-ShareCh'!$AH51/'C16-ShareCh'!$AI51*1000*10</f>
        <v>260451.58546424162</v>
      </c>
      <c r="AB51" s="22">
        <f>'C1-Incomes'!AB53*'C16-ShareCh'!$AH51/'C16-ShareCh'!$AI51*1000*50</f>
        <v>906411.16510647081</v>
      </c>
      <c r="AC51" s="22">
        <f>'C1-Incomes'!AC53*'C16-ShareCh'!$AH51/'C16-ShareCh'!$AI51*1000*100</f>
        <v>869698.32862294349</v>
      </c>
      <c r="AD51" s="22">
        <f>'C1-Incomes'!AD53*'C16-ShareCh'!$AH51/'C16-ShareCh'!$AI51*1000*500</f>
        <v>3302157.5786614087</v>
      </c>
      <c r="AE51" s="22">
        <f>'C1-Incomes'!AE53*'C16-ShareCh'!$AH51/'C16-ShareCh'!$AI51*1000*1000</f>
        <v>3633199.4137619762</v>
      </c>
      <c r="AF51" s="22">
        <f>'C1-Incomes'!AF53*'C16-ShareCh'!$AH51/'C16-ShareCh'!$AI51*1000*10000</f>
        <v>15793454.379010629</v>
      </c>
      <c r="AH51" s="261">
        <f>'C0-Ref Stats'!AA51</f>
        <v>1.1866444109645462</v>
      </c>
      <c r="AI51" s="36">
        <f>'C0-Ref Stats'!B51</f>
        <v>145881</v>
      </c>
      <c r="AK51" s="22">
        <v>62886.38545662324</v>
      </c>
      <c r="AL51" s="22">
        <v>283390.45332557929</v>
      </c>
      <c r="AM51" s="22">
        <v>434099.68838081654</v>
      </c>
      <c r="AN51" s="22">
        <v>1218356.023550841</v>
      </c>
      <c r="AO51" s="22">
        <v>1914804.4986565963</v>
      </c>
      <c r="AP51" s="22">
        <v>5520934.3072732156</v>
      </c>
      <c r="AQ51" s="22">
        <v>24337417.372436408</v>
      </c>
      <c r="AS51" s="22">
        <v>62887.678038724807</v>
      </c>
      <c r="AT51" s="22">
        <v>239346.36402446832</v>
      </c>
      <c r="AU51" s="22">
        <v>357114.76025626319</v>
      </c>
      <c r="AV51" s="22">
        <v>959546.7072496477</v>
      </c>
      <c r="AW51" s="22">
        <v>1485853.5134389668</v>
      </c>
      <c r="AX51" s="22">
        <v>4171603.5254770936</v>
      </c>
      <c r="AY51" s="22">
        <v>18173962.219097171</v>
      </c>
    </row>
    <row r="52" spans="1:51" x14ac:dyDescent="0.25">
      <c r="A52" s="151">
        <v>2006</v>
      </c>
      <c r="B52" s="152">
        <v>64003</v>
      </c>
      <c r="C52" s="152">
        <v>315661</v>
      </c>
      <c r="D52" s="152">
        <v>487483</v>
      </c>
      <c r="E52" s="152">
        <v>1460733</v>
      </c>
      <c r="F52" s="152">
        <v>2382819</v>
      </c>
      <c r="G52" s="152">
        <v>7416629</v>
      </c>
      <c r="H52" s="152">
        <v>34945456</v>
      </c>
      <c r="J52" s="22">
        <f>'C1-Incomes'!J54*'C16-ShareCh'!$AH52/'C16-ShareCh'!$AI52*1000</f>
        <v>93516.704647901905</v>
      </c>
      <c r="K52" s="22">
        <f>'C1-Incomes'!K54*'C16-ShareCh'!$AH52/'C16-ShareCh'!$AI52*1000*10</f>
        <v>360683.89624948346</v>
      </c>
      <c r="L52" s="22">
        <f>'C1-Incomes'!L54*'C16-ShareCh'!$AH52/'C16-ShareCh'!$AI52*1000*50</f>
        <v>1311407.2307361218</v>
      </c>
      <c r="M52" s="22">
        <f>'C1-Incomes'!M54*'C16-ShareCh'!$AH52/'C16-ShareCh'!$AI52*1000*100</f>
        <v>1374353.6656796029</v>
      </c>
      <c r="N52" s="22">
        <f>'C1-Incomes'!N54*'C16-ShareCh'!$AH52/'C16-ShareCh'!$AI52*1000*500</f>
        <v>5347960.070081546</v>
      </c>
      <c r="O52" s="22">
        <f>'C1-Incomes'!O54*'C16-ShareCh'!$AH52/'C16-ShareCh'!$AI52*1000*1000</f>
        <v>6084687.5168785909</v>
      </c>
      <c r="P52" s="22">
        <f>'C1-Incomes'!P54*'C16-ShareCh'!$AH52/'C16-ShareCh'!$AI52*1000*10000</f>
        <v>26122114.646139003</v>
      </c>
      <c r="R52" s="22">
        <f>'C1-Incomes'!R54*'C16-ShareCh'!$AH52/'C16-ShareCh'!$AI52*1000</f>
        <v>105566.0584481133</v>
      </c>
      <c r="S52" s="22">
        <f>'C1-Incomes'!S54*'C16-ShareCh'!$AH52/'C16-ShareCh'!$AI52*1000*10</f>
        <v>367038.69428848993</v>
      </c>
      <c r="T52" s="22">
        <f>'C1-Incomes'!T54*'C16-ShareCh'!$AH52/'C16-ShareCh'!$AI52*1000*50</f>
        <v>1326947.6633406989</v>
      </c>
      <c r="U52" s="22">
        <f>'C1-Incomes'!U54*'C16-ShareCh'!$AH52/'C16-ShareCh'!$AI52*1000*100</f>
        <v>1381139.7566344263</v>
      </c>
      <c r="V52" s="22">
        <f>'C1-Incomes'!V54*'C16-ShareCh'!$AH52/'C16-ShareCh'!$AI52*1000*500</f>
        <v>5365860.8203104977</v>
      </c>
      <c r="W52" s="22">
        <f>'C1-Incomes'!W54*'C16-ShareCh'!$AH52/'C16-ShareCh'!$AI52*1000*1000</f>
        <v>6092933.85446388</v>
      </c>
      <c r="X52" s="22">
        <f>'C1-Incomes'!X54*'C16-ShareCh'!$AH52/'C16-ShareCh'!$AI52*1000*10000</f>
        <v>26132427.203252975</v>
      </c>
      <c r="Z52" s="22">
        <f>'C1-Incomes'!Z54*'C16-ShareCh'!$AH52/'C16-ShareCh'!$AI52*1000</f>
        <v>93516.707724941924</v>
      </c>
      <c r="AA52" s="22">
        <f>'C1-Incomes'!AA54*'C16-ShareCh'!$AH52/'C16-ShareCh'!$AI52*1000*10</f>
        <v>270551.72924948263</v>
      </c>
      <c r="AB52" s="22">
        <f>'C1-Incomes'!AB54*'C16-ShareCh'!$AH52/'C16-ShareCh'!$AI52*1000*50</f>
        <v>944223.47839581396</v>
      </c>
      <c r="AC52" s="22">
        <f>'C1-Incomes'!AC54*'C16-ShareCh'!$AH52/'C16-ShareCh'!$AI52*1000*100</f>
        <v>918552.33421809552</v>
      </c>
      <c r="AD52" s="22">
        <f>'C1-Incomes'!AD54*'C16-ShareCh'!$AH52/'C16-ShareCh'!$AI52*1000*500</f>
        <v>3491138.2540259273</v>
      </c>
      <c r="AE52" s="22">
        <f>'C1-Incomes'!AE54*'C16-ShareCh'!$AH52/'C16-ShareCh'!$AI52*1000*1000</f>
        <v>3824739.834855427</v>
      </c>
      <c r="AF52" s="22">
        <f>'C1-Incomes'!AF54*'C16-ShareCh'!$AH52/'C16-ShareCh'!$AI52*1000*10000</f>
        <v>16138796.04978637</v>
      </c>
      <c r="AH52" s="261">
        <f>'C0-Ref Stats'!AA52</f>
        <v>1.1557284464102862</v>
      </c>
      <c r="AI52" s="36">
        <f>'C0-Ref Stats'!B52</f>
        <v>148361</v>
      </c>
      <c r="AK52" s="22">
        <v>64461.81251593768</v>
      </c>
      <c r="AL52" s="22">
        <v>296709.13468860899</v>
      </c>
      <c r="AM52" s="22">
        <v>457346.65639282559</v>
      </c>
      <c r="AN52" s="22">
        <v>1295602.0653196136</v>
      </c>
      <c r="AO52" s="22">
        <v>2039444.515695255</v>
      </c>
      <c r="AP52" s="22">
        <v>5872165.1731710033</v>
      </c>
      <c r="AQ52" s="22">
        <v>25732919.251168076</v>
      </c>
      <c r="AS52" s="22">
        <v>64462.134731584578</v>
      </c>
      <c r="AT52" s="22">
        <v>249843.44154702863</v>
      </c>
      <c r="AU52" s="22">
        <v>375080.03410506633</v>
      </c>
      <c r="AV52" s="22">
        <v>1017058.9174662069</v>
      </c>
      <c r="AW52" s="22">
        <v>1575783.4340762205</v>
      </c>
      <c r="AX52" s="22">
        <v>4403190.8566786209</v>
      </c>
      <c r="AY52" s="22">
        <v>18934412.047253489</v>
      </c>
    </row>
    <row r="53" spans="1:51" x14ac:dyDescent="0.25">
      <c r="A53" s="151">
        <v>2007</v>
      </c>
      <c r="B53" s="152">
        <v>66365</v>
      </c>
      <c r="C53" s="152">
        <v>330101</v>
      </c>
      <c r="D53" s="152">
        <v>513242</v>
      </c>
      <c r="E53" s="152">
        <v>1559782</v>
      </c>
      <c r="F53" s="152">
        <v>2563556</v>
      </c>
      <c r="G53" s="152">
        <v>8146332</v>
      </c>
      <c r="H53" s="152">
        <v>40058053</v>
      </c>
      <c r="J53" s="22">
        <f>'C1-Incomes'!J55*'C16-ShareCh'!$AH53/'C16-ShareCh'!$AI53*1000</f>
        <v>92692.591027709263</v>
      </c>
      <c r="K53" s="22">
        <f>'C1-Incomes'!K55*'C16-ShareCh'!$AH53/'C16-ShareCh'!$AI53*1000*10</f>
        <v>355424.04239801253</v>
      </c>
      <c r="L53" s="22">
        <f>'C1-Incomes'!L55*'C16-ShareCh'!$AH53/'C16-ShareCh'!$AI53*1000*50</f>
        <v>1293377.5326621707</v>
      </c>
      <c r="M53" s="22">
        <f>'C1-Incomes'!M55*'C16-ShareCh'!$AH53/'C16-ShareCh'!$AI53*1000*100</f>
        <v>1354293.8616567333</v>
      </c>
      <c r="N53" s="22">
        <f>'C1-Incomes'!N55*'C16-ShareCh'!$AH53/'C16-ShareCh'!$AI53*1000*500</f>
        <v>5260363.9725456033</v>
      </c>
      <c r="O53" s="22">
        <f>'C1-Incomes'!O55*'C16-ShareCh'!$AH53/'C16-ShareCh'!$AI53*1000*1000</f>
        <v>5988078.9647651212</v>
      </c>
      <c r="P53" s="22">
        <f>'C1-Incomes'!P55*'C16-ShareCh'!$AH53/'C16-ShareCh'!$AI53*1000*10000</f>
        <v>26089590.513082061</v>
      </c>
      <c r="R53" s="22">
        <f>'C1-Incomes'!R55*'C16-ShareCh'!$AH53/'C16-ShareCh'!$AI53*1000</f>
        <v>105080.09272571983</v>
      </c>
      <c r="S53" s="22">
        <f>'C1-Incomes'!S55*'C16-ShareCh'!$AH53/'C16-ShareCh'!$AI53*1000*10</f>
        <v>361797.24674395291</v>
      </c>
      <c r="T53" s="22">
        <f>'C1-Incomes'!T55*'C16-ShareCh'!$AH53/'C16-ShareCh'!$AI53*1000*50</f>
        <v>1308973.7452438818</v>
      </c>
      <c r="U53" s="22">
        <f>'C1-Incomes'!U55*'C16-ShareCh'!$AH53/'C16-ShareCh'!$AI53*1000*100</f>
        <v>1360515.0280993728</v>
      </c>
      <c r="V53" s="22">
        <f>'C1-Incomes'!V55*'C16-ShareCh'!$AH53/'C16-ShareCh'!$AI53*1000*500</f>
        <v>5276940.124813443</v>
      </c>
      <c r="W53" s="22">
        <f>'C1-Incomes'!W55*'C16-ShareCh'!$AH53/'C16-ShareCh'!$AI53*1000*1000</f>
        <v>5995368.5266557671</v>
      </c>
      <c r="X53" s="22">
        <f>'C1-Incomes'!X55*'C16-ShareCh'!$AH53/'C16-ShareCh'!$AI53*1000*10000</f>
        <v>26098676.109588996</v>
      </c>
      <c r="Z53" s="22">
        <f>'C1-Incomes'!Z55*'C16-ShareCh'!$AH53/'C16-ShareCh'!$AI53*1000</f>
        <v>92692.578344083289</v>
      </c>
      <c r="AA53" s="22">
        <f>'C1-Incomes'!AA55*'C16-ShareCh'!$AH53/'C16-ShareCh'!$AI53*1000*10</f>
        <v>261884.69447168263</v>
      </c>
      <c r="AB53" s="22">
        <f>'C1-Incomes'!AB55*'C16-ShareCh'!$AH53/'C16-ShareCh'!$AI53*1000*50</f>
        <v>909731.44997802156</v>
      </c>
      <c r="AC53" s="22">
        <f>'C1-Incomes'!AC55*'C16-ShareCh'!$AH53/'C16-ShareCh'!$AI53*1000*100</f>
        <v>876531.83619822026</v>
      </c>
      <c r="AD53" s="22">
        <f>'C1-Incomes'!AD55*'C16-ShareCh'!$AH53/'C16-ShareCh'!$AI53*1000*500</f>
        <v>3313882.3470338224</v>
      </c>
      <c r="AE53" s="22">
        <f>'C1-Incomes'!AE55*'C16-ShareCh'!$AH53/'C16-ShareCh'!$AI53*1000*1000</f>
        <v>3606240.139051415</v>
      </c>
      <c r="AF53" s="22">
        <f>'C1-Incomes'!AF55*'C16-ShareCh'!$AH53/'C16-ShareCh'!$AI53*1000*10000</f>
        <v>15408125.015574688</v>
      </c>
      <c r="AH53" s="261">
        <f>'C0-Ref Stats'!AA53</f>
        <v>1.127496112295445</v>
      </c>
      <c r="AI53" s="36">
        <f>'C0-Ref Stats'!B53</f>
        <v>149875</v>
      </c>
      <c r="AK53" s="22">
        <v>63640.031092451667</v>
      </c>
      <c r="AL53" s="22">
        <v>291422.08989437629</v>
      </c>
      <c r="AM53" s="22">
        <v>448097.01560514094</v>
      </c>
      <c r="AN53" s="22">
        <v>1264137.7308301653</v>
      </c>
      <c r="AO53" s="22">
        <v>1987892.3714376402</v>
      </c>
      <c r="AP53" s="22">
        <v>5764043.2740286216</v>
      </c>
      <c r="AQ53" s="22">
        <v>26188327.949378304</v>
      </c>
      <c r="AS53" s="22">
        <v>63639.101287029007</v>
      </c>
      <c r="AT53" s="22">
        <v>243248.31448791717</v>
      </c>
      <c r="AU53" s="22">
        <v>362925.21123651374</v>
      </c>
      <c r="AV53" s="22">
        <v>971384.20740535343</v>
      </c>
      <c r="AW53" s="22">
        <v>1497994.2148229377</v>
      </c>
      <c r="AX53" s="22">
        <v>4186593.9439877812</v>
      </c>
      <c r="AY53" s="22">
        <v>18630259.245041866</v>
      </c>
    </row>
    <row r="54" spans="1:51" x14ac:dyDescent="0.25">
      <c r="A54" s="151">
        <v>2008</v>
      </c>
      <c r="B54" s="152">
        <v>59793</v>
      </c>
      <c r="C54" s="152">
        <v>288369</v>
      </c>
      <c r="D54" s="152">
        <v>436728</v>
      </c>
      <c r="E54" s="152">
        <v>1252423</v>
      </c>
      <c r="F54" s="152">
        <v>2017055</v>
      </c>
      <c r="G54" s="152">
        <v>6218465</v>
      </c>
      <c r="H54" s="152">
        <v>30099762</v>
      </c>
      <c r="J54" s="22">
        <f>'C1-Incomes'!J56*'C16-ShareCh'!$AH54/'C16-ShareCh'!$AI54*1000</f>
        <v>89184.619452679748</v>
      </c>
      <c r="K54" s="22">
        <f>'C1-Incomes'!K56*'C16-ShareCh'!$AH54/'C16-ShareCh'!$AI54*1000*10</f>
        <v>340587.69692492939</v>
      </c>
      <c r="L54" s="22">
        <f>'C1-Incomes'!L56*'C16-ShareCh'!$AH54/'C16-ShareCh'!$AI54*1000*50</f>
        <v>1224500.4676736724</v>
      </c>
      <c r="M54" s="22">
        <f>'C1-Incomes'!M56*'C16-ShareCh'!$AH54/'C16-ShareCh'!$AI54*1000*100</f>
        <v>1244573.2811383109</v>
      </c>
      <c r="N54" s="22">
        <f>'C1-Incomes'!N56*'C16-ShareCh'!$AH54/'C16-ShareCh'!$AI54*1000*500</f>
        <v>4787789.2792425426</v>
      </c>
      <c r="O54" s="22">
        <f>'C1-Incomes'!O56*'C16-ShareCh'!$AH54/'C16-ShareCh'!$AI54*1000*1000</f>
        <v>5363895.2422368536</v>
      </c>
      <c r="P54" s="22">
        <f>'C1-Incomes'!P56*'C16-ShareCh'!$AH54/'C16-ShareCh'!$AI54*1000*10000</f>
        <v>23405794.224264968</v>
      </c>
      <c r="R54" s="22">
        <f>'C1-Incomes'!R56*'C16-ShareCh'!$AH54/'C16-ShareCh'!$AI54*1000</f>
        <v>103161.72027461222</v>
      </c>
      <c r="S54" s="22">
        <f>'C1-Incomes'!S56*'C16-ShareCh'!$AH54/'C16-ShareCh'!$AI54*1000*10</f>
        <v>347415.14878505457</v>
      </c>
      <c r="T54" s="22">
        <f>'C1-Incomes'!T56*'C16-ShareCh'!$AH54/'C16-ShareCh'!$AI54*1000*50</f>
        <v>1240152.8062251038</v>
      </c>
      <c r="U54" s="22">
        <f>'C1-Incomes'!U56*'C16-ShareCh'!$AH54/'C16-ShareCh'!$AI54*1000*100</f>
        <v>1251083.4348383571</v>
      </c>
      <c r="V54" s="22">
        <f>'C1-Incomes'!V56*'C16-ShareCh'!$AH54/'C16-ShareCh'!$AI54*1000*500</f>
        <v>4805378.7851686915</v>
      </c>
      <c r="W54" s="22">
        <f>'C1-Incomes'!W56*'C16-ShareCh'!$AH54/'C16-ShareCh'!$AI54*1000*1000</f>
        <v>5371839.5553690223</v>
      </c>
      <c r="X54" s="22">
        <f>'C1-Incomes'!X56*'C16-ShareCh'!$AH54/'C16-ShareCh'!$AI54*1000*10000</f>
        <v>23414688.747905113</v>
      </c>
      <c r="Z54" s="22">
        <f>'C1-Incomes'!Z56*'C16-ShareCh'!$AH54/'C16-ShareCh'!$AI54*1000</f>
        <v>89184.6133385516</v>
      </c>
      <c r="AA54" s="22">
        <f>'C1-Incomes'!AA56*'C16-ShareCh'!$AH54/'C16-ShareCh'!$AI54*1000*10</f>
        <v>239396.45411173787</v>
      </c>
      <c r="AB54" s="22">
        <f>'C1-Incomes'!AB56*'C16-ShareCh'!$AH54/'C16-ShareCh'!$AI54*1000*50</f>
        <v>817131.05408237211</v>
      </c>
      <c r="AC54" s="22">
        <f>'C1-Incomes'!AC56*'C16-ShareCh'!$AH54/'C16-ShareCh'!$AI54*1000*100</f>
        <v>755603.73458668822</v>
      </c>
      <c r="AD54" s="22">
        <f>'C1-Incomes'!AD56*'C16-ShareCh'!$AH54/'C16-ShareCh'!$AI54*1000*500</f>
        <v>2822013.6788277137</v>
      </c>
      <c r="AE54" s="22">
        <f>'C1-Incomes'!AE56*'C16-ShareCh'!$AH54/'C16-ShareCh'!$AI54*1000*1000</f>
        <v>2984272.6582912495</v>
      </c>
      <c r="AF54" s="22">
        <f>'C1-Incomes'!AF56*'C16-ShareCh'!$AH54/'C16-ShareCh'!$AI54*1000*10000</f>
        <v>12657576.308281736</v>
      </c>
      <c r="AH54" s="261">
        <f>'C0-Ref Stats'!AA54</f>
        <v>1.094098835756758</v>
      </c>
      <c r="AI54" s="36">
        <f>'C0-Ref Stats'!B54</f>
        <v>152462</v>
      </c>
      <c r="AK54" s="22">
        <v>62227.730628194578</v>
      </c>
      <c r="AL54" s="22">
        <v>281946.4638619019</v>
      </c>
      <c r="AM54" s="22">
        <v>431623.70470699877</v>
      </c>
      <c r="AN54" s="22">
        <v>1214790.8939552526</v>
      </c>
      <c r="AO54" s="22">
        <v>1912081.4340156605</v>
      </c>
      <c r="AP54" s="22">
        <v>5562198.5253120661</v>
      </c>
      <c r="AQ54" s="22">
        <v>25626631.100038812</v>
      </c>
      <c r="AS54" s="22">
        <v>62226.749129858552</v>
      </c>
      <c r="AT54" s="22">
        <v>235193.07188030283</v>
      </c>
      <c r="AU54" s="22">
        <v>351411.40711012512</v>
      </c>
      <c r="AV54" s="22">
        <v>953496.93197017803</v>
      </c>
      <c r="AW54" s="22">
        <v>1481856.5958233317</v>
      </c>
      <c r="AX54" s="22">
        <v>4210531.9188318355</v>
      </c>
      <c r="AY54" s="22">
        <v>19275588.035122979</v>
      </c>
    </row>
    <row r="55" spans="1:51" x14ac:dyDescent="0.25">
      <c r="A55" s="151">
        <v>2009</v>
      </c>
      <c r="B55" s="152">
        <v>54798</v>
      </c>
      <c r="C55" s="152">
        <v>254823</v>
      </c>
      <c r="D55" s="152">
        <v>373867</v>
      </c>
      <c r="E55" s="152">
        <v>992892</v>
      </c>
      <c r="F55" s="152">
        <v>1551013</v>
      </c>
      <c r="G55" s="152">
        <v>4545525</v>
      </c>
      <c r="H55" s="152">
        <v>21338489</v>
      </c>
      <c r="J55" s="22">
        <f>'C1-Incomes'!J57*'C16-ShareCh'!$AH55/'C16-ShareCh'!$AI55*1000</f>
        <v>86462.765707553903</v>
      </c>
      <c r="K55" s="22">
        <f>'C1-Incomes'!K57*'C16-ShareCh'!$AH55/'C16-ShareCh'!$AI55*1000*10</f>
        <v>326284.30307148467</v>
      </c>
      <c r="L55" s="22">
        <f>'C1-Incomes'!L57*'C16-ShareCh'!$AH55/'C16-ShareCh'!$AI55*1000*50</f>
        <v>1156252.2100343602</v>
      </c>
      <c r="M55" s="22">
        <f>'C1-Incomes'!M57*'C16-ShareCh'!$AH55/'C16-ShareCh'!$AI55*1000*100</f>
        <v>1131894.6035178157</v>
      </c>
      <c r="N55" s="22">
        <f>'C1-Incomes'!N57*'C16-ShareCh'!$AH55/'C16-ShareCh'!$AI55*1000*500</f>
        <v>4293974.3665272007</v>
      </c>
      <c r="O55" s="22">
        <f>'C1-Incomes'!O57*'C16-ShareCh'!$AH55/'C16-ShareCh'!$AI55*1000*1000</f>
        <v>4760907.9325192645</v>
      </c>
      <c r="P55" s="22">
        <f>'C1-Incomes'!P57*'C16-ShareCh'!$AH55/'C16-ShareCh'!$AI55*1000*10000</f>
        <v>21344436.4350622</v>
      </c>
      <c r="R55" s="22">
        <f>'C1-Incomes'!R57*'C16-ShareCh'!$AH55/'C16-ShareCh'!$AI55*1000</f>
        <v>101054.74203145012</v>
      </c>
      <c r="S55" s="22">
        <f>'C1-Incomes'!S57*'C16-ShareCh'!$AH55/'C16-ShareCh'!$AI55*1000*10</f>
        <v>333631.81767108827</v>
      </c>
      <c r="T55" s="22">
        <f>'C1-Incomes'!T57*'C16-ShareCh'!$AH55/'C16-ShareCh'!$AI55*1000*50</f>
        <v>1173293.9983297216</v>
      </c>
      <c r="U55" s="22">
        <f>'C1-Incomes'!U57*'C16-ShareCh'!$AH55/'C16-ShareCh'!$AI55*1000*100</f>
        <v>1139437.1125479939</v>
      </c>
      <c r="V55" s="22">
        <f>'C1-Incomes'!V57*'C16-ShareCh'!$AH55/'C16-ShareCh'!$AI55*1000*500</f>
        <v>4314061.890537777</v>
      </c>
      <c r="W55" s="22">
        <f>'C1-Incomes'!W57*'C16-ShareCh'!$AH55/'C16-ShareCh'!$AI55*1000*1000</f>
        <v>4769661.9483001661</v>
      </c>
      <c r="X55" s="22">
        <f>'C1-Incomes'!X57*'C16-ShareCh'!$AH55/'C16-ShareCh'!$AI55*1000*10000</f>
        <v>21353323.323484126</v>
      </c>
      <c r="Z55" s="22">
        <f>'C1-Incomes'!Z57*'C16-ShareCh'!$AH55/'C16-ShareCh'!$AI55*1000</f>
        <v>86462.759333052032</v>
      </c>
      <c r="AA55" s="22">
        <f>'C1-Incomes'!AA57*'C16-ShareCh'!$AH55/'C16-ShareCh'!$AI55*1000*10</f>
        <v>223731.82565713042</v>
      </c>
      <c r="AB55" s="22">
        <f>'C1-Incomes'!AB57*'C16-ShareCh'!$AH55/'C16-ShareCh'!$AI55*1000*50</f>
        <v>752293.89107940625</v>
      </c>
      <c r="AC55" s="22">
        <f>'C1-Incomes'!AC57*'C16-ShareCh'!$AH55/'C16-ShareCh'!$AI55*1000*100</f>
        <v>672723.22783361643</v>
      </c>
      <c r="AD55" s="22">
        <f>'C1-Incomes'!AD57*'C16-ShareCh'!$AH55/'C16-ShareCh'!$AI55*1000*500</f>
        <v>2479738.9230733681</v>
      </c>
      <c r="AE55" s="22">
        <f>'C1-Incomes'!AE57*'C16-ShareCh'!$AH55/'C16-ShareCh'!$AI55*1000*1000</f>
        <v>2590454.9142875616</v>
      </c>
      <c r="AF55" s="22">
        <f>'C1-Incomes'!AF57*'C16-ShareCh'!$AH55/'C16-ShareCh'!$AI55*1000*10000</f>
        <v>11281948.398611391</v>
      </c>
      <c r="AH55" s="261">
        <f>'C0-Ref Stats'!AA55</f>
        <v>1.0948099999999998</v>
      </c>
      <c r="AI55" s="36">
        <f>'C0-Ref Stats'!B55</f>
        <v>153543</v>
      </c>
      <c r="AK55" s="22">
        <v>59385.702700318412</v>
      </c>
      <c r="AL55" s="22">
        <v>263308.87603581365</v>
      </c>
      <c r="AM55" s="22">
        <v>398281.50985847233</v>
      </c>
      <c r="AN55" s="22">
        <v>1101002.7527150025</v>
      </c>
      <c r="AO55" s="22">
        <v>1729838.0817040191</v>
      </c>
      <c r="AP55" s="22">
        <v>5079409.0231605172</v>
      </c>
      <c r="AQ55" s="22">
        <v>24731681.253707472</v>
      </c>
      <c r="AS55" s="22">
        <v>59385.276584934647</v>
      </c>
      <c r="AT55" s="22">
        <v>223587.50167492445</v>
      </c>
      <c r="AU55" s="22">
        <v>332196.18861583609</v>
      </c>
      <c r="AV55" s="22">
        <v>896332.96517874638</v>
      </c>
      <c r="AW55" s="22">
        <v>1398909.2193658093</v>
      </c>
      <c r="AX55" s="22">
        <v>4069715.9667964214</v>
      </c>
      <c r="AY55" s="22">
        <v>20047752.610349771</v>
      </c>
    </row>
    <row r="56" spans="1:51" x14ac:dyDescent="0.25">
      <c r="A56" s="151">
        <v>2010</v>
      </c>
      <c r="B56" s="152">
        <v>55942</v>
      </c>
      <c r="C56" s="152">
        <v>268763</v>
      </c>
      <c r="D56" s="152">
        <v>401128</v>
      </c>
      <c r="E56" s="152">
        <v>1111179</v>
      </c>
      <c r="F56" s="152">
        <v>1771017</v>
      </c>
      <c r="G56" s="152">
        <v>5402893</v>
      </c>
      <c r="H56" s="152">
        <v>26734755</v>
      </c>
      <c r="J56" s="22">
        <f>'C1-Incomes'!J58*'C16-ShareCh'!$AH56/'C16-ShareCh'!$AI56*1000</f>
        <v>87858.363997915905</v>
      </c>
      <c r="K56" s="22">
        <f>'C1-Incomes'!K58*'C16-ShareCh'!$AH56/'C16-ShareCh'!$AI56*1000*10</f>
        <v>343431.65139781049</v>
      </c>
      <c r="L56" s="22">
        <f>'C1-Incomes'!L58*'C16-ShareCh'!$AH56/'C16-ShareCh'!$AI56*1000*50</f>
        <v>1238797.5459090509</v>
      </c>
      <c r="M56" s="22">
        <f>'C1-Incomes'!M58*'C16-ShareCh'!$AH56/'C16-ShareCh'!$AI56*1000*100</f>
        <v>1256066.0616581235</v>
      </c>
      <c r="N56" s="22">
        <f>'C1-Incomes'!N58*'C16-ShareCh'!$AH56/'C16-ShareCh'!$AI56*1000*500</f>
        <v>4843804.0441647638</v>
      </c>
      <c r="O56" s="22">
        <f>'C1-Incomes'!O58*'C16-ShareCh'!$AH56/'C16-ShareCh'!$AI56*1000*1000</f>
        <v>5525150.6430179039</v>
      </c>
      <c r="P56" s="22">
        <f>'C1-Incomes'!P58*'C16-ShareCh'!$AH56/'C16-ShareCh'!$AI56*1000*10000</f>
        <v>25437538.575424183</v>
      </c>
      <c r="R56" s="22">
        <f>'C1-Incomes'!R58*'C16-ShareCh'!$AH56/'C16-ShareCh'!$AI56*1000</f>
        <v>103190.8683302446</v>
      </c>
      <c r="S56" s="22">
        <f>'C1-Incomes'!S58*'C16-ShareCh'!$AH56/'C16-ShareCh'!$AI56*1000*10</f>
        <v>351260.73253558425</v>
      </c>
      <c r="T56" s="22">
        <f>'C1-Incomes'!T58*'C16-ShareCh'!$AH56/'C16-ShareCh'!$AI56*1000*50</f>
        <v>1256540.2988301395</v>
      </c>
      <c r="U56" s="22">
        <f>'C1-Incomes'!U58*'C16-ShareCh'!$AH56/'C16-ShareCh'!$AI56*1000*100</f>
        <v>1263498.8421224216</v>
      </c>
      <c r="V56" s="22">
        <f>'C1-Incomes'!V58*'C16-ShareCh'!$AH56/'C16-ShareCh'!$AI56*1000*500</f>
        <v>4863827.0976440478</v>
      </c>
      <c r="W56" s="22">
        <f>'C1-Incomes'!W58*'C16-ShareCh'!$AH56/'C16-ShareCh'!$AI56*1000*1000</f>
        <v>5534028.1087990757</v>
      </c>
      <c r="X56" s="22">
        <f>'C1-Incomes'!X58*'C16-ShareCh'!$AH56/'C16-ShareCh'!$AI56*1000*10000</f>
        <v>25446634.509704277</v>
      </c>
      <c r="Z56" s="22">
        <f>'C1-Incomes'!Z58*'C16-ShareCh'!$AH56/'C16-ShareCh'!$AI56*1000</f>
        <v>87858.36181861916</v>
      </c>
      <c r="AA56" s="22">
        <f>'C1-Incomes'!AA58*'C16-ShareCh'!$AH56/'C16-ShareCh'!$AI56*1000*10</f>
        <v>235277.58285768784</v>
      </c>
      <c r="AB56" s="22">
        <f>'C1-Incomes'!AB58*'C16-ShareCh'!$AH56/'C16-ShareCh'!$AI56*1000*50</f>
        <v>806051.65666902205</v>
      </c>
      <c r="AC56" s="22">
        <f>'C1-Incomes'!AC58*'C16-ShareCh'!$AH56/'C16-ShareCh'!$AI56*1000*100</f>
        <v>753125.13337479183</v>
      </c>
      <c r="AD56" s="22">
        <f>'C1-Incomes'!AD58*'C16-ShareCh'!$AH56/'C16-ShareCh'!$AI56*1000*500</f>
        <v>2832200.8339058356</v>
      </c>
      <c r="AE56" s="22">
        <f>'C1-Incomes'!AE58*'C16-ShareCh'!$AH56/'C16-ShareCh'!$AI56*1000*1000</f>
        <v>3075329.9750313954</v>
      </c>
      <c r="AF56" s="22">
        <f>'C1-Incomes'!AF58*'C16-ShareCh'!$AH56/'C16-ShareCh'!$AI56*1000*10000</f>
        <v>14041824.506947756</v>
      </c>
      <c r="AH56" s="261">
        <f>'C0-Ref Stats'!AA56</f>
        <v>1.0770070730819552</v>
      </c>
      <c r="AI56" s="36">
        <f>'C0-Ref Stats'!B56</f>
        <v>156167</v>
      </c>
      <c r="AK56" s="22">
        <v>60743.183369071186</v>
      </c>
      <c r="AL56" s="22">
        <v>277902.64103940292</v>
      </c>
      <c r="AM56" s="22">
        <v>424732.65144660685</v>
      </c>
      <c r="AN56" s="22">
        <v>1202595.0021005739</v>
      </c>
      <c r="AO56" s="22">
        <v>1909346.7083188421</v>
      </c>
      <c r="AP56" s="22">
        <v>5757910.8715196196</v>
      </c>
      <c r="AQ56" s="22">
        <v>28503451.926848963</v>
      </c>
      <c r="AS56" s="22">
        <v>60741.714651956165</v>
      </c>
      <c r="AT56" s="22">
        <v>233772.41489798581</v>
      </c>
      <c r="AU56" s="22">
        <v>350570.32768795581</v>
      </c>
      <c r="AV56" s="22">
        <v>967980.90900382027</v>
      </c>
      <c r="AW56" s="22">
        <v>1525275.1643390146</v>
      </c>
      <c r="AX56" s="22">
        <v>4549620.5795459934</v>
      </c>
      <c r="AY56" s="22">
        <v>22703000.664422795</v>
      </c>
    </row>
    <row r="57" spans="1:51" x14ac:dyDescent="0.25">
      <c r="A57" s="151">
        <v>2011</v>
      </c>
      <c r="B57" s="152">
        <v>55520</v>
      </c>
      <c r="C57" s="152">
        <v>267207</v>
      </c>
      <c r="D57" s="152">
        <v>398467</v>
      </c>
      <c r="E57" s="152">
        <v>1090802</v>
      </c>
      <c r="F57" s="152">
        <v>1726340</v>
      </c>
      <c r="G57" s="152">
        <v>5144487</v>
      </c>
      <c r="H57" s="152">
        <v>23995760</v>
      </c>
      <c r="J57" s="22">
        <f>'C1-Incomes'!J59*'C16-ShareCh'!$AH57/'C16-ShareCh'!$AI57*1000</f>
        <v>88628.537823700375</v>
      </c>
      <c r="K57" s="22">
        <f>'C1-Incomes'!K59*'C16-ShareCh'!$AH57/'C16-ShareCh'!$AI57*1000*10</f>
        <v>345449.14366886881</v>
      </c>
      <c r="L57" s="22">
        <f>'C1-Incomes'!L59*'C16-ShareCh'!$AH57/'C16-ShareCh'!$AI57*1000*50</f>
        <v>1238077.3997795614</v>
      </c>
      <c r="M57" s="22">
        <f>'C1-Incomes'!M59*'C16-ShareCh'!$AH57/'C16-ShareCh'!$AI57*1000*100</f>
        <v>1226822.3783393968</v>
      </c>
      <c r="N57" s="22">
        <f>'C1-Incomes'!N59*'C16-ShareCh'!$AH57/'C16-ShareCh'!$AI57*1000*500</f>
        <v>4660561.6724786889</v>
      </c>
      <c r="O57" s="22">
        <f>'C1-Incomes'!O59*'C16-ShareCh'!$AH57/'C16-ShareCh'!$AI57*1000*1000</f>
        <v>5136719.8557111071</v>
      </c>
      <c r="P57" s="22">
        <f>'C1-Incomes'!P59*'C16-ShareCh'!$AH57/'C16-ShareCh'!$AI57*1000*10000</f>
        <v>22181965.984128255</v>
      </c>
      <c r="R57" s="22">
        <f>'C1-Incomes'!R59*'C16-ShareCh'!$AH57/'C16-ShareCh'!$AI57*1000</f>
        <v>103530.16061236108</v>
      </c>
      <c r="S57" s="22">
        <f>'C1-Incomes'!S59*'C16-ShareCh'!$AH57/'C16-ShareCh'!$AI57*1000*10</f>
        <v>352816.92280318949</v>
      </c>
      <c r="T57" s="22">
        <f>'C1-Incomes'!T59*'C16-ShareCh'!$AH57/'C16-ShareCh'!$AI57*1000*50</f>
        <v>1254779.3996838799</v>
      </c>
      <c r="U57" s="22">
        <f>'C1-Incomes'!U59*'C16-ShareCh'!$AH57/'C16-ShareCh'!$AI57*1000*100</f>
        <v>1233608.1775050524</v>
      </c>
      <c r="V57" s="22">
        <f>'C1-Incomes'!V59*'C16-ShareCh'!$AH57/'C16-ShareCh'!$AI57*1000*500</f>
        <v>4681670.2650132393</v>
      </c>
      <c r="W57" s="22">
        <f>'C1-Incomes'!W59*'C16-ShareCh'!$AH57/'C16-ShareCh'!$AI57*1000*1000</f>
        <v>5145754.0041954098</v>
      </c>
      <c r="X57" s="22">
        <f>'C1-Incomes'!X59*'C16-ShareCh'!$AH57/'C16-ShareCh'!$AI57*1000*10000</f>
        <v>22193359.0167179</v>
      </c>
      <c r="Z57" s="22">
        <f>'C1-Incomes'!Z59*'C16-ShareCh'!$AH57/'C16-ShareCh'!$AI57*1000</f>
        <v>88628.536469605388</v>
      </c>
      <c r="AA57" s="22">
        <f>'C1-Incomes'!AA59*'C16-ShareCh'!$AH57/'C16-ShareCh'!$AI57*1000*10</f>
        <v>236473.52130617772</v>
      </c>
      <c r="AB57" s="22">
        <f>'C1-Incomes'!AB59*'C16-ShareCh'!$AH57/'C16-ShareCh'!$AI57*1000*50</f>
        <v>802467.79652468464</v>
      </c>
      <c r="AC57" s="22">
        <f>'C1-Incomes'!AC59*'C16-ShareCh'!$AH57/'C16-ShareCh'!$AI57*1000*100</f>
        <v>721077.25436805817</v>
      </c>
      <c r="AD57" s="22">
        <f>'C1-Incomes'!AD59*'C16-ShareCh'!$AH57/'C16-ShareCh'!$AI57*1000*500</f>
        <v>2660053.4498549839</v>
      </c>
      <c r="AE57" s="22">
        <f>'C1-Incomes'!AE59*'C16-ShareCh'!$AH57/'C16-ShareCh'!$AI57*1000*1000</f>
        <v>2750596.0399065227</v>
      </c>
      <c r="AF57" s="22">
        <f>'C1-Incomes'!AF59*'C16-ShareCh'!$AH57/'C16-ShareCh'!$AI57*1000*10000</f>
        <v>11596335.594546393</v>
      </c>
      <c r="AH57" s="261">
        <f>'C0-Ref Stats'!AA57</f>
        <v>1.0511958828217265</v>
      </c>
      <c r="AI57" s="36">
        <f>'C0-Ref Stats'!B57</f>
        <v>158367</v>
      </c>
      <c r="AK57" s="22">
        <v>61722.225529225616</v>
      </c>
      <c r="AL57" s="22">
        <v>283451.24740174925</v>
      </c>
      <c r="AM57" s="22">
        <v>432337.85574746924</v>
      </c>
      <c r="AN57" s="22">
        <v>1209787.2275434283</v>
      </c>
      <c r="AO57" s="22">
        <v>1906780.9096714146</v>
      </c>
      <c r="AP57" s="22">
        <v>5602432.9799705595</v>
      </c>
      <c r="AQ57" s="22">
        <v>26051331.29165332</v>
      </c>
      <c r="AS57" s="22">
        <v>61721.985131199639</v>
      </c>
      <c r="AT57" s="22">
        <v>238877.7094606187</v>
      </c>
      <c r="AU57" s="22">
        <v>357648.63841525133</v>
      </c>
      <c r="AV57" s="22">
        <v>976891.43421184027</v>
      </c>
      <c r="AW57" s="22">
        <v>1528172.7317482198</v>
      </c>
      <c r="AX57" s="22">
        <v>4439768.5387208192</v>
      </c>
      <c r="AY57" s="22">
        <v>20795683.056438681</v>
      </c>
    </row>
    <row r="58" spans="1:51" x14ac:dyDescent="0.25">
      <c r="A58" s="151">
        <v>2012</v>
      </c>
      <c r="B58" s="152">
        <v>58595</v>
      </c>
      <c r="C58" s="152">
        <v>296501</v>
      </c>
      <c r="D58" s="152">
        <v>454918</v>
      </c>
      <c r="E58" s="152">
        <v>1337600</v>
      </c>
      <c r="F58" s="152">
        <v>2178435</v>
      </c>
      <c r="G58" s="152">
        <v>6862614</v>
      </c>
      <c r="H58" s="152">
        <v>34049394</v>
      </c>
      <c r="J58" s="22">
        <f>'C1-Incomes'!J60*'C16-ShareCh'!$AH58/'C16-ShareCh'!$AI58*1000</f>
        <v>90285.125106934065</v>
      </c>
      <c r="K58" s="22">
        <f>'C1-Incomes'!K60*'C16-ShareCh'!$AH58/'C16-ShareCh'!$AI58*1000*10</f>
        <v>363613.16696346772</v>
      </c>
      <c r="L58" s="22">
        <f>'C1-Incomes'!L60*'C16-ShareCh'!$AH58/'C16-ShareCh'!$AI58*1000*50</f>
        <v>1324591.7352559159</v>
      </c>
      <c r="M58" s="22">
        <f>'C1-Incomes'!M60*'C16-ShareCh'!$AH58/'C16-ShareCh'!$AI58*1000*100</f>
        <v>1374963.2194358706</v>
      </c>
      <c r="N58" s="22">
        <f>'C1-Incomes'!N60*'C16-ShareCh'!$AH58/'C16-ShareCh'!$AI58*1000*500</f>
        <v>5354354.853075346</v>
      </c>
      <c r="O58" s="22">
        <f>'C1-Incomes'!O60*'C16-ShareCh'!$AH58/'C16-ShareCh'!$AI58*1000*1000</f>
        <v>6218141.3338282295</v>
      </c>
      <c r="P58" s="22">
        <f>'C1-Incomes'!P60*'C16-ShareCh'!$AH58/'C16-ShareCh'!$AI58*1000*10000</f>
        <v>28395514.150977306</v>
      </c>
      <c r="R58" s="22">
        <f>'C1-Incomes'!R60*'C16-ShareCh'!$AH58/'C16-ShareCh'!$AI58*1000</f>
        <v>104777.86953159601</v>
      </c>
      <c r="S58" s="22">
        <f>'C1-Incomes'!S60*'C16-ShareCh'!$AH58/'C16-ShareCh'!$AI58*1000*10</f>
        <v>371195.35300412308</v>
      </c>
      <c r="T58" s="22">
        <f>'C1-Incomes'!T60*'C16-ShareCh'!$AH58/'C16-ShareCh'!$AI58*1000*50</f>
        <v>1341948.5242266913</v>
      </c>
      <c r="U58" s="22">
        <f>'C1-Incomes'!U60*'C16-ShareCh'!$AH58/'C16-ShareCh'!$AI58*1000*100</f>
        <v>1382238.4845012142</v>
      </c>
      <c r="V58" s="22">
        <f>'C1-Incomes'!V60*'C16-ShareCh'!$AH58/'C16-ShareCh'!$AI58*1000*500</f>
        <v>5376001.868579627</v>
      </c>
      <c r="W58" s="22">
        <f>'C1-Incomes'!W60*'C16-ShareCh'!$AH58/'C16-ShareCh'!$AI58*1000*1000</f>
        <v>6226772.3768744273</v>
      </c>
      <c r="X58" s="22">
        <f>'C1-Incomes'!X60*'C16-ShareCh'!$AH58/'C16-ShareCh'!$AI58*1000*10000</f>
        <v>28406545.394401152</v>
      </c>
      <c r="Z58" s="22">
        <f>'C1-Incomes'!Z60*'C16-ShareCh'!$AH58/'C16-ShareCh'!$AI58*1000</f>
        <v>90285.128888643798</v>
      </c>
      <c r="AA58" s="22">
        <f>'C1-Incomes'!AA60*'C16-ShareCh'!$AH58/'C16-ShareCh'!$AI58*1000*10</f>
        <v>255958.48050914652</v>
      </c>
      <c r="AB58" s="22">
        <f>'C1-Incomes'!AB60*'C16-ShareCh'!$AH58/'C16-ShareCh'!$AI58*1000*50</f>
        <v>885476.26389819104</v>
      </c>
      <c r="AC58" s="22">
        <f>'C1-Incomes'!AC60*'C16-ShareCh'!$AH58/'C16-ShareCh'!$AI58*1000*100</f>
        <v>843556.39034894435</v>
      </c>
      <c r="AD58" s="22">
        <f>'C1-Incomes'!AD60*'C16-ShareCh'!$AH58/'C16-ShareCh'!$AI58*1000*500</f>
        <v>3204953.5576047087</v>
      </c>
      <c r="AE58" s="22">
        <f>'C1-Incomes'!AE60*'C16-ShareCh'!$AH58/'C16-ShareCh'!$AI58*1000*1000</f>
        <v>3568462.11920647</v>
      </c>
      <c r="AF58" s="22">
        <f>'C1-Incomes'!AF60*'C16-ShareCh'!$AH58/'C16-ShareCh'!$AI58*1000*10000</f>
        <v>16297270.78104629</v>
      </c>
      <c r="AH58" s="261">
        <f>'C0-Ref Stats'!AA58</f>
        <v>1.0316619707692163</v>
      </c>
      <c r="AI58" s="36">
        <f>'C0-Ref Stats'!B58</f>
        <v>160681</v>
      </c>
      <c r="AK58" s="22">
        <v>63190.967546099775</v>
      </c>
      <c r="AL58" s="22">
        <v>297911.46308187168</v>
      </c>
      <c r="AM58" s="22">
        <v>459156.14850121085</v>
      </c>
      <c r="AN58" s="22">
        <v>1313097.4827168712</v>
      </c>
      <c r="AO58" s="22">
        <v>2086262.0864054961</v>
      </c>
      <c r="AP58" s="22">
        <v>6236242.3987124329</v>
      </c>
      <c r="AQ58" s="22">
        <v>29665356.395195704</v>
      </c>
      <c r="AS58" s="22">
        <v>63190.612507866885</v>
      </c>
      <c r="AT58" s="22">
        <v>251597.50840438181</v>
      </c>
      <c r="AU58" s="22">
        <v>379707.94258850568</v>
      </c>
      <c r="AV58" s="22">
        <v>1053325.869774393</v>
      </c>
      <c r="AW58" s="22">
        <v>1654221.1405674815</v>
      </c>
      <c r="AX58" s="22">
        <v>4850668.2883108156</v>
      </c>
      <c r="AY58" s="22">
        <v>23046028.148450587</v>
      </c>
    </row>
    <row r="59" spans="1:51" x14ac:dyDescent="0.25">
      <c r="A59" s="214">
        <v>2013</v>
      </c>
      <c r="B59" s="215">
        <v>56913</v>
      </c>
      <c r="C59" s="215">
        <v>276786</v>
      </c>
      <c r="D59" s="215">
        <v>414783</v>
      </c>
      <c r="E59" s="215">
        <v>1138604</v>
      </c>
      <c r="F59" s="215">
        <v>1799252</v>
      </c>
      <c r="G59" s="215">
        <v>5367479</v>
      </c>
      <c r="H59" s="215">
        <v>25417411</v>
      </c>
      <c r="I59" s="35"/>
      <c r="J59" s="36">
        <f>'C1-Incomes'!J61*'C16-ShareCh'!$AH59/'C16-ShareCh'!$AI59*1000</f>
        <v>90225.846772975172</v>
      </c>
      <c r="K59" s="36">
        <f>'C1-Incomes'!K61*'C16-ShareCh'!$AH59/'C16-ShareCh'!$AI59*1000*10</f>
        <v>353303.73100439389</v>
      </c>
      <c r="L59" s="36">
        <f>'C1-Incomes'!L61*'C16-ShareCh'!$AH59/'C16-ShareCh'!$AI59*1000*50</f>
        <v>1263918.8708077313</v>
      </c>
      <c r="M59" s="36">
        <f>'C1-Incomes'!M61*'C16-ShareCh'!$AH59/'C16-ShareCh'!$AI59*1000*100</f>
        <v>1253846.9439252899</v>
      </c>
      <c r="N59" s="36">
        <f>'C1-Incomes'!N61*'C16-ShareCh'!$AH59/'C16-ShareCh'!$AI59*1000*500</f>
        <v>4782099.8719623676</v>
      </c>
      <c r="O59" s="36">
        <f>'C1-Incomes'!O61*'C16-ShareCh'!$AH59/'C16-ShareCh'!$AI59*1000*1000</f>
        <v>5333096.2013583109</v>
      </c>
      <c r="P59" s="36">
        <f>'C1-Incomes'!P61*'C16-ShareCh'!$AH59/'C16-ShareCh'!$AI59*1000*10000</f>
        <v>23292472.548973624</v>
      </c>
      <c r="Q59" s="35"/>
      <c r="R59" s="36">
        <f>'C1-Incomes'!R61*'C16-ShareCh'!$AH59/'C16-ShareCh'!$AI59*1000</f>
        <v>104678.86833035483</v>
      </c>
      <c r="S59" s="36">
        <f>'C1-Incomes'!S61*'C16-ShareCh'!$AH59/'C16-ShareCh'!$AI59*1000*10</f>
        <v>361347.71445773682</v>
      </c>
      <c r="T59" s="36">
        <f>'C1-Incomes'!T61*'C16-ShareCh'!$AH59/'C16-ShareCh'!$AI59*1000*50</f>
        <v>1282962.1521486875</v>
      </c>
      <c r="U59" s="36">
        <f>'C1-Incomes'!U61*'C16-ShareCh'!$AH59/'C16-ShareCh'!$AI59*1000*100</f>
        <v>1261849.1042646931</v>
      </c>
      <c r="V59" s="36">
        <f>'C1-Incomes'!V61*'C16-ShareCh'!$AH59/'C16-ShareCh'!$AI59*1000*500</f>
        <v>4802127.6242045397</v>
      </c>
      <c r="W59" s="36">
        <f>'C1-Incomes'!W61*'C16-ShareCh'!$AH59/'C16-ShareCh'!$AI59*1000*1000</f>
        <v>5342683.806146984</v>
      </c>
      <c r="X59" s="36">
        <f>'C1-Incomes'!X61*'C16-ShareCh'!$AH59/'C16-ShareCh'!$AI59*1000*10000</f>
        <v>23302222.581832729</v>
      </c>
      <c r="Z59" s="36">
        <f>'C1-Incomes'!Z61*'C16-ShareCh'!$AH59/'C16-ShareCh'!$AI59*1000</f>
        <v>90225.849696216086</v>
      </c>
      <c r="AA59" s="36">
        <f>'C1-Incomes'!AA61*'C16-ShareCh'!$AH59/'C16-ShareCh'!$AI59*1000*10</f>
        <v>249744.77406062884</v>
      </c>
      <c r="AB59" s="36">
        <f>'C1-Incomes'!AB61*'C16-ShareCh'!$AH59/'C16-ShareCh'!$AI59*1000*50</f>
        <v>843801.73094757926</v>
      </c>
      <c r="AC59" s="36">
        <f>'C1-Incomes'!AC61*'C16-ShareCh'!$AH59/'C16-ShareCh'!$AI59*1000*100</f>
        <v>747142.01029064704</v>
      </c>
      <c r="AD59" s="36">
        <f>'C1-Incomes'!AD61*'C16-ShareCh'!$AH59/'C16-ShareCh'!$AI59*1000*500</f>
        <v>2731374.4526570872</v>
      </c>
      <c r="AE59" s="36">
        <f>'C1-Incomes'!AE61*'C16-ShareCh'!$AH59/'C16-ShareCh'!$AI59*1000*1000</f>
        <v>2820520.6320014289</v>
      </c>
      <c r="AF59" s="36">
        <f>'C1-Incomes'!AF61*'C16-ShareCh'!$AH59/'C16-ShareCh'!$AI59*1000*10000</f>
        <v>11892302.639134921</v>
      </c>
      <c r="AH59" s="261">
        <f>'C0-Ref Stats'!AA59</f>
        <v>1.0181248372577465</v>
      </c>
      <c r="AI59" s="36">
        <f>'C0-Ref Stats'!B59</f>
        <v>162998</v>
      </c>
      <c r="AK59" s="36">
        <v>63279.150216037917</v>
      </c>
      <c r="AL59" s="36">
        <v>293111.70357049437</v>
      </c>
      <c r="AM59" s="36">
        <v>447774.61827076774</v>
      </c>
      <c r="AN59" s="36">
        <v>1239999.1813863011</v>
      </c>
      <c r="AO59" s="36">
        <v>1942753.1492154226</v>
      </c>
      <c r="AP59" s="36">
        <v>5651681.4164422033</v>
      </c>
      <c r="AQ59" s="36">
        <v>26507069.672137238</v>
      </c>
      <c r="AS59" s="36">
        <v>63277.568596870871</v>
      </c>
      <c r="AT59" s="36">
        <v>245228.3488760943</v>
      </c>
      <c r="AU59" s="36">
        <v>365496.74425385246</v>
      </c>
      <c r="AV59" s="36">
        <v>970939.49004378135</v>
      </c>
      <c r="AW59" s="36">
        <v>1496568.0228796233</v>
      </c>
      <c r="AX59" s="36">
        <v>4216465.7518845862</v>
      </c>
      <c r="AY59" s="36">
        <v>19572993.886739887</v>
      </c>
    </row>
    <row r="60" spans="1:51" x14ac:dyDescent="0.25">
      <c r="A60" s="214">
        <v>2014</v>
      </c>
      <c r="B60" s="716">
        <v>59130</v>
      </c>
      <c r="C60" s="716">
        <v>295445</v>
      </c>
      <c r="D60" s="716">
        <v>448457</v>
      </c>
      <c r="E60" s="716">
        <v>1267106</v>
      </c>
      <c r="F60" s="716">
        <v>2029711</v>
      </c>
      <c r="G60" s="716">
        <v>6191545</v>
      </c>
      <c r="H60" s="716">
        <v>29736684</v>
      </c>
      <c r="I60" s="35"/>
      <c r="J60" s="36">
        <f>'C1-Incomes'!J62*'C16-ShareCh'!$AH60/'C16-ShareCh'!$AI60*1000</f>
        <v>92036.055885497786</v>
      </c>
      <c r="K60" s="36">
        <f>'C1-Incomes'!K62*'C16-ShareCh'!$AH60/'C16-ShareCh'!$AI60*1000*10</f>
        <v>363966.84447244031</v>
      </c>
      <c r="L60" s="36">
        <f>'C1-Incomes'!L62*'C16-ShareCh'!$AH60/'C16-ShareCh'!$AI60*1000*50</f>
        <v>1311034.9622376545</v>
      </c>
      <c r="M60" s="36">
        <f>'C1-Incomes'!M62*'C16-ShareCh'!$AH60/'C16-ShareCh'!$AI60*1000*100</f>
        <v>1314089.4134763312</v>
      </c>
      <c r="N60" s="36">
        <f>'C1-Incomes'!N62*'C16-ShareCh'!$AH60/'C16-ShareCh'!$AI60*1000*500</f>
        <v>5036022.179144362</v>
      </c>
      <c r="O60" s="36">
        <f>'C1-Incomes'!O62*'C16-ShareCh'!$AH60/'C16-ShareCh'!$AI60*1000*1000</f>
        <v>5645069.3709672336</v>
      </c>
      <c r="P60" s="36">
        <f>'C1-Incomes'!P62*'C16-ShareCh'!$AH60/'C16-ShareCh'!$AI60*1000*10000</f>
        <v>24664198.965256523</v>
      </c>
      <c r="Q60" s="35"/>
      <c r="R60" s="36">
        <f>'C1-Incomes'!R62*'C16-ShareCh'!$AH60/'C16-ShareCh'!$AI60*1000</f>
        <v>106754.00484322013</v>
      </c>
      <c r="S60" s="36">
        <f>'C1-Incomes'!S62*'C16-ShareCh'!$AH60/'C16-ShareCh'!$AI60*1000*10</f>
        <v>371709.82613477571</v>
      </c>
      <c r="T60" s="36">
        <f>'C1-Incomes'!T62*'C16-ShareCh'!$AH60/'C16-ShareCh'!$AI60*1000*50</f>
        <v>1329562.6426996093</v>
      </c>
      <c r="U60" s="36">
        <f>'C1-Incomes'!U62*'C16-ShareCh'!$AH60/'C16-ShareCh'!$AI60*1000*100</f>
        <v>1321991.2844303786</v>
      </c>
      <c r="V60" s="36">
        <f>'C1-Incomes'!V62*'C16-ShareCh'!$AH60/'C16-ShareCh'!$AI60*1000*500</f>
        <v>5056026.7147313999</v>
      </c>
      <c r="W60" s="36">
        <f>'C1-Incomes'!W62*'C16-ShareCh'!$AH60/'C16-ShareCh'!$AI60*1000*1000</f>
        <v>5653981.4832089525</v>
      </c>
      <c r="X60" s="36">
        <f>'C1-Incomes'!X62*'C16-ShareCh'!$AH60/'C16-ShareCh'!$AI60*1000*10000</f>
        <v>24673657.887729976</v>
      </c>
      <c r="Z60" s="36">
        <f>'C1-Incomes'!Z62*'C16-ShareCh'!$AH60/'C16-ShareCh'!$AI60*1000</f>
        <v>92036.038492037114</v>
      </c>
      <c r="AA60" s="36">
        <f>'C1-Incomes'!AA62*'C16-ShareCh'!$AH60/'C16-ShareCh'!$AI60*1000*10</f>
        <v>258846.67097622796</v>
      </c>
      <c r="AB60" s="36">
        <f>'C1-Incomes'!AB62*'C16-ShareCh'!$AH60/'C16-ShareCh'!$AI60*1000*50</f>
        <v>883554.22667701461</v>
      </c>
      <c r="AC60" s="36">
        <f>'C1-Incomes'!AC62*'C16-ShareCh'!$AH60/'C16-ShareCh'!$AI60*1000*100</f>
        <v>795020.07097231201</v>
      </c>
      <c r="AD60" s="36">
        <f>'C1-Incomes'!AD62*'C16-ShareCh'!$AH60/'C16-ShareCh'!$AI60*1000*500</f>
        <v>2930546.7376524359</v>
      </c>
      <c r="AE60" s="36">
        <f>'C1-Incomes'!AE62*'C16-ShareCh'!$AH60/'C16-ShareCh'!$AI60*1000*1000</f>
        <v>3063210.3130778</v>
      </c>
      <c r="AF60" s="36">
        <f>'C1-Incomes'!AF62*'C16-ShareCh'!$AH60/'C16-ShareCh'!$AI60*1000*10000</f>
        <v>12965384.731081314</v>
      </c>
      <c r="AG60" s="35"/>
      <c r="AH60" s="261">
        <f>'C0-Ref Stats'!AA60</f>
        <v>1.002968201764431</v>
      </c>
      <c r="AI60" s="36">
        <f>'C0-Ref Stats'!B60</f>
        <v>165033</v>
      </c>
      <c r="AK60" s="36">
        <v>64632.031462612373</v>
      </c>
      <c r="AL60" s="36">
        <v>303857.26393621694</v>
      </c>
      <c r="AM60" s="36">
        <v>466452.9234432496</v>
      </c>
      <c r="AN60" s="36">
        <v>1305301.0749041892</v>
      </c>
      <c r="AO60" s="36">
        <v>2053168.3604951231</v>
      </c>
      <c r="AP60" s="36">
        <v>6021707.7586517166</v>
      </c>
      <c r="AQ60" s="36">
        <v>28121142.414966296</v>
      </c>
      <c r="AS60" s="36">
        <v>64632.829094455396</v>
      </c>
      <c r="AT60" s="36">
        <v>252822.42374615703</v>
      </c>
      <c r="AU60" s="36">
        <v>378082.96687060944</v>
      </c>
      <c r="AV60" s="36">
        <v>1012429.3939763621</v>
      </c>
      <c r="AW60" s="36">
        <v>1563661.0261509067</v>
      </c>
      <c r="AX60" s="36">
        <v>4425049.6860222807</v>
      </c>
      <c r="AY60" s="36">
        <v>20337563.298378948</v>
      </c>
    </row>
    <row r="61" spans="1:51" x14ac:dyDescent="0.25">
      <c r="A61" s="214">
        <v>2015</v>
      </c>
      <c r="B61" s="716">
        <v>61920</v>
      </c>
      <c r="C61" s="716">
        <v>312536</v>
      </c>
      <c r="D61" s="716">
        <v>477293</v>
      </c>
      <c r="E61" s="716">
        <v>1363977</v>
      </c>
      <c r="F61" s="716">
        <v>2193460</v>
      </c>
      <c r="G61" s="716">
        <v>6747439</v>
      </c>
      <c r="H61" s="716">
        <v>31616431</v>
      </c>
      <c r="I61" s="35"/>
      <c r="J61" s="36">
        <f>'C1-Incomes'!J63*'C16-ShareCh'!$AH61/'C16-ShareCh'!$AI61*1000</f>
        <v>94072.216317821585</v>
      </c>
      <c r="K61" s="36">
        <f>'C1-Incomes'!K63*'C16-ShareCh'!$AH61/'C16-ShareCh'!$AI61*1000*10</f>
        <v>369971.74606906768</v>
      </c>
      <c r="L61" s="36">
        <f>'C1-Incomes'!L63*'C16-ShareCh'!$AH61/'C16-ShareCh'!$AI61*1000*50</f>
        <v>1330132.4117467755</v>
      </c>
      <c r="M61" s="36">
        <f>'C1-Incomes'!M63*'C16-ShareCh'!$AH61/'C16-ShareCh'!$AI61*1000*100</f>
        <v>1328146.1276880596</v>
      </c>
      <c r="N61" s="36">
        <f>'C1-Incomes'!N63*'C16-ShareCh'!$AH61/'C16-ShareCh'!$AI61*1000*500</f>
        <v>5087451.846139594</v>
      </c>
      <c r="O61" s="36">
        <f>'C1-Incomes'!O63*'C16-ShareCh'!$AH61/'C16-ShareCh'!$AI61*1000*1000</f>
        <v>5691659.0253654812</v>
      </c>
      <c r="P61" s="36">
        <f>'C1-Incomes'!P63*'C16-ShareCh'!$AH61/'C16-ShareCh'!$AI61*1000*10000</f>
        <v>24976961.983456258</v>
      </c>
      <c r="Q61" s="35"/>
      <c r="R61" s="36">
        <f>'C1-Incomes'!R63*'C16-ShareCh'!$AH61/'C16-ShareCh'!$AI61*1000</f>
        <v>109307.29527116677</v>
      </c>
      <c r="S61" s="36">
        <f>'C1-Incomes'!S63*'C16-ShareCh'!$AH61/'C16-ShareCh'!$AI61*1000*10</f>
        <v>378005.12238844333</v>
      </c>
      <c r="T61" s="36">
        <f>'C1-Incomes'!T63*'C16-ShareCh'!$AH61/'C16-ShareCh'!$AI61*1000*50</f>
        <v>1349209.1433860883</v>
      </c>
      <c r="U61" s="36">
        <f>'C1-Incomes'!U63*'C16-ShareCh'!$AH61/'C16-ShareCh'!$AI61*1000*100</f>
        <v>1336431.1840192694</v>
      </c>
      <c r="V61" s="36">
        <f>'C1-Incomes'!V63*'C16-ShareCh'!$AH61/'C16-ShareCh'!$AI61*1000*500</f>
        <v>5108160.7142558303</v>
      </c>
      <c r="W61" s="36">
        <f>'C1-Incomes'!W63*'C16-ShareCh'!$AH61/'C16-ShareCh'!$AI61*1000*1000</f>
        <v>5700697.6217770176</v>
      </c>
      <c r="X61" s="36">
        <f>'C1-Incomes'!X63*'C16-ShareCh'!$AH61/'C16-ShareCh'!$AI61*1000*10000</f>
        <v>24988567.982954208</v>
      </c>
      <c r="Z61" s="36">
        <f>'C1-Incomes'!Z63*'C16-ShareCh'!$AH61/'C16-ShareCh'!$AI61*1000</f>
        <v>94072.211315251567</v>
      </c>
      <c r="AA61" s="36">
        <f>'C1-Incomes'!AA63*'C16-ShareCh'!$AH61/'C16-ShareCh'!$AI61*1000*10</f>
        <v>262922.49375545379</v>
      </c>
      <c r="AB61" s="36">
        <f>'C1-Incomes'!AB63*'C16-ShareCh'!$AH61/'C16-ShareCh'!$AI61*1000*50</f>
        <v>895063.72981938149</v>
      </c>
      <c r="AC61" s="36">
        <f>'C1-Incomes'!AC63*'C16-ShareCh'!$AH61/'C16-ShareCh'!$AI61*1000*100</f>
        <v>804059.63106494374</v>
      </c>
      <c r="AD61" s="36">
        <f>'C1-Incomes'!AD63*'C16-ShareCh'!$AH61/'C16-ShareCh'!$AI61*1000*500</f>
        <v>2960368.8208996258</v>
      </c>
      <c r="AE61" s="36">
        <f>'C1-Incomes'!AE63*'C16-ShareCh'!$AH61/'C16-ShareCh'!$AI61*1000*1000</f>
        <v>3113029.1521928832</v>
      </c>
      <c r="AF61" s="36">
        <f>'C1-Incomes'!AF63*'C16-ShareCh'!$AH61/'C16-ShareCh'!$AI61*1000*10000</f>
        <v>13360282.868140144</v>
      </c>
      <c r="AH61" s="261">
        <f>'C0-Ref Stats'!AA61</f>
        <v>1</v>
      </c>
      <c r="AI61" s="36">
        <f>'C0-Ref Stats'!B61</f>
        <v>167314</v>
      </c>
      <c r="AK61" s="36"/>
      <c r="AL61" s="36"/>
      <c r="AM61" s="36"/>
      <c r="AN61" s="36"/>
      <c r="AO61" s="36"/>
      <c r="AP61" s="36"/>
      <c r="AQ61" s="36"/>
      <c r="AS61" s="36"/>
      <c r="AT61" s="36"/>
      <c r="AU61" s="36"/>
      <c r="AV61" s="36"/>
      <c r="AW61" s="36"/>
      <c r="AX61" s="36"/>
      <c r="AY61" s="36"/>
    </row>
    <row r="62" spans="1:51" x14ac:dyDescent="0.25">
      <c r="A62" s="151"/>
      <c r="B62" s="152"/>
      <c r="C62" s="152"/>
      <c r="D62" s="152"/>
      <c r="E62" s="152"/>
      <c r="F62" s="152"/>
      <c r="G62" s="152"/>
      <c r="H62" s="152"/>
    </row>
    <row r="63" spans="1:51" x14ac:dyDescent="0.25">
      <c r="A63" s="151"/>
      <c r="B63" s="159" t="s">
        <v>32</v>
      </c>
      <c r="C63" s="159" t="s">
        <v>13</v>
      </c>
      <c r="D63" s="159" t="s">
        <v>14</v>
      </c>
      <c r="E63" s="159" t="s">
        <v>15</v>
      </c>
      <c r="F63" s="159" t="s">
        <v>16</v>
      </c>
      <c r="G63" s="159" t="s">
        <v>17</v>
      </c>
      <c r="H63" s="159" t="s">
        <v>18</v>
      </c>
      <c r="J63" s="159" t="s">
        <v>32</v>
      </c>
      <c r="K63" s="159" t="s">
        <v>13</v>
      </c>
      <c r="L63" s="159" t="s">
        <v>14</v>
      </c>
      <c r="M63" s="159" t="s">
        <v>15</v>
      </c>
      <c r="N63" s="159" t="s">
        <v>16</v>
      </c>
      <c r="O63" s="159" t="s">
        <v>17</v>
      </c>
      <c r="P63" s="159" t="s">
        <v>18</v>
      </c>
      <c r="R63" s="159" t="s">
        <v>32</v>
      </c>
      <c r="S63" s="159" t="s">
        <v>13</v>
      </c>
      <c r="T63" s="159" t="s">
        <v>14</v>
      </c>
      <c r="U63" s="159" t="s">
        <v>15</v>
      </c>
      <c r="V63" s="159" t="s">
        <v>16</v>
      </c>
      <c r="W63" s="159" t="s">
        <v>17</v>
      </c>
      <c r="X63" s="159" t="s">
        <v>18</v>
      </c>
      <c r="Z63" s="159" t="s">
        <v>32</v>
      </c>
      <c r="AA63" s="159" t="s">
        <v>13</v>
      </c>
      <c r="AB63" s="159" t="s">
        <v>14</v>
      </c>
      <c r="AC63" s="159" t="s">
        <v>15</v>
      </c>
      <c r="AD63" s="159" t="s">
        <v>16</v>
      </c>
      <c r="AE63" s="159" t="s">
        <v>17</v>
      </c>
      <c r="AF63" s="159" t="s">
        <v>18</v>
      </c>
      <c r="AK63" s="159" t="s">
        <v>32</v>
      </c>
      <c r="AL63" s="159" t="s">
        <v>13</v>
      </c>
      <c r="AM63" s="159" t="s">
        <v>14</v>
      </c>
      <c r="AN63" s="159" t="s">
        <v>15</v>
      </c>
      <c r="AO63" s="159" t="s">
        <v>16</v>
      </c>
      <c r="AP63" s="159" t="s">
        <v>17</v>
      </c>
      <c r="AQ63" s="159" t="s">
        <v>18</v>
      </c>
      <c r="AS63" s="159" t="s">
        <v>32</v>
      </c>
      <c r="AT63" s="159" t="s">
        <v>13</v>
      </c>
      <c r="AU63" s="159" t="s">
        <v>14</v>
      </c>
      <c r="AV63" s="159" t="s">
        <v>15</v>
      </c>
      <c r="AW63" s="159" t="s">
        <v>16</v>
      </c>
      <c r="AX63" s="159" t="s">
        <v>17</v>
      </c>
      <c r="AY63" s="159" t="s">
        <v>18</v>
      </c>
    </row>
    <row r="64" spans="1:51" x14ac:dyDescent="0.25">
      <c r="A64" s="153"/>
      <c r="B64" s="154"/>
      <c r="C64" s="154"/>
      <c r="D64" s="154"/>
      <c r="E64" s="154"/>
      <c r="F64" s="154"/>
      <c r="G64" s="154"/>
      <c r="H64" s="154"/>
      <c r="J64" s="154"/>
      <c r="K64" s="154"/>
      <c r="L64" s="154"/>
      <c r="M64" s="154"/>
      <c r="N64" s="154"/>
      <c r="O64" s="154"/>
      <c r="P64" s="154"/>
      <c r="R64" s="154"/>
      <c r="S64" s="154"/>
      <c r="T64" s="154"/>
      <c r="U64" s="154"/>
      <c r="V64" s="154"/>
      <c r="W64" s="154"/>
      <c r="X64" s="154"/>
      <c r="Z64" s="154"/>
      <c r="AA64" s="154"/>
      <c r="AB64" s="154"/>
      <c r="AC64" s="154"/>
      <c r="AD64" s="154"/>
      <c r="AE64" s="154"/>
      <c r="AF64" s="154"/>
      <c r="AK64" s="154"/>
      <c r="AL64" s="154"/>
      <c r="AM64" s="154"/>
      <c r="AN64" s="154"/>
      <c r="AO64" s="154"/>
      <c r="AP64" s="154"/>
      <c r="AQ64" s="154"/>
      <c r="AS64" s="154"/>
      <c r="AT64" s="154"/>
      <c r="AU64" s="154"/>
      <c r="AV64" s="154"/>
      <c r="AW64" s="154"/>
      <c r="AX64" s="154"/>
      <c r="AY64" s="154"/>
    </row>
    <row r="65" spans="1:51" x14ac:dyDescent="0.25">
      <c r="A65" s="155" t="s">
        <v>123</v>
      </c>
      <c r="B65" s="154"/>
      <c r="C65" s="154"/>
      <c r="D65" s="154"/>
      <c r="E65" s="154"/>
      <c r="F65" s="154"/>
      <c r="G65" s="154"/>
      <c r="H65" s="154"/>
      <c r="J65" s="154"/>
      <c r="K65" s="154"/>
      <c r="L65" s="154"/>
      <c r="M65" s="154"/>
      <c r="N65" s="154"/>
      <c r="O65" s="154"/>
      <c r="P65" s="154"/>
      <c r="R65" s="154"/>
      <c r="S65" s="154"/>
      <c r="T65" s="154"/>
      <c r="U65" s="154"/>
      <c r="V65" s="154"/>
      <c r="W65" s="154"/>
      <c r="X65" s="154"/>
      <c r="Z65" s="154"/>
      <c r="AA65" s="154"/>
      <c r="AB65" s="154"/>
      <c r="AC65" s="154"/>
      <c r="AD65" s="154"/>
      <c r="AE65" s="154"/>
      <c r="AF65" s="154"/>
      <c r="AK65" s="154"/>
      <c r="AL65" s="154"/>
      <c r="AM65" s="154"/>
      <c r="AN65" s="154"/>
      <c r="AO65" s="154"/>
      <c r="AP65" s="154"/>
      <c r="AQ65" s="154"/>
      <c r="AS65" s="154"/>
      <c r="AT65" s="154"/>
      <c r="AU65" s="154"/>
      <c r="AV65" s="154"/>
      <c r="AW65" s="154"/>
      <c r="AX65" s="154"/>
      <c r="AY65" s="154"/>
    </row>
    <row r="66" spans="1:51" x14ac:dyDescent="0.25">
      <c r="A66" s="153" t="s">
        <v>112</v>
      </c>
      <c r="B66" s="154">
        <f t="shared" ref="B66:H66" si="0">B59/B6-1</f>
        <v>0.62002220261307683</v>
      </c>
      <c r="C66" s="154">
        <f t="shared" si="0"/>
        <v>1.3535624091222163</v>
      </c>
      <c r="D66" s="154">
        <f t="shared" si="0"/>
        <v>1.6150465910953637</v>
      </c>
      <c r="E66" s="154">
        <f t="shared" si="0"/>
        <v>2.2298165540990955</v>
      </c>
      <c r="F66" s="154">
        <f t="shared" si="0"/>
        <v>2.5918805722248175</v>
      </c>
      <c r="G66" s="154">
        <f t="shared" si="0"/>
        <v>3.7023874291791836</v>
      </c>
      <c r="H66" s="154">
        <f t="shared" si="0"/>
        <v>5.1578003802138586</v>
      </c>
      <c r="J66" s="154">
        <f t="shared" ref="J66:P66" si="1">J59/J6-1</f>
        <v>1.0696330328588215</v>
      </c>
      <c r="K66" s="154">
        <f t="shared" si="1"/>
        <v>1.3487268482511054</v>
      </c>
      <c r="L66" s="154">
        <f t="shared" si="1"/>
        <v>1.4091605370704001</v>
      </c>
      <c r="M66" s="154">
        <f t="shared" si="1"/>
        <v>1.6055089544332919</v>
      </c>
      <c r="N66" s="154">
        <f t="shared" si="1"/>
        <v>1.7056694445814995</v>
      </c>
      <c r="O66" s="154">
        <f t="shared" si="1"/>
        <v>2.0530082364780364</v>
      </c>
      <c r="P66" s="154">
        <f t="shared" si="1"/>
        <v>2.6053241052274321</v>
      </c>
      <c r="R66" s="154">
        <f t="shared" ref="R66:X66" si="2">R59/R6-1</f>
        <v>1.2848477664978142</v>
      </c>
      <c r="S66" s="154">
        <f t="shared" si="2"/>
        <v>1.3837399141943463</v>
      </c>
      <c r="T66" s="154">
        <f t="shared" si="2"/>
        <v>1.4297046606429928</v>
      </c>
      <c r="U66" s="154">
        <f t="shared" si="2"/>
        <v>1.6112810556518986</v>
      </c>
      <c r="V66" s="154">
        <f t="shared" si="2"/>
        <v>1.7085931027451684</v>
      </c>
      <c r="W66" s="154">
        <f t="shared" si="2"/>
        <v>2.0550667132491744</v>
      </c>
      <c r="X66" s="154">
        <f t="shared" si="2"/>
        <v>2.6055075663315703</v>
      </c>
      <c r="Z66" s="154">
        <f t="shared" ref="Z66:AF66" si="3">Z59/Z6-1</f>
        <v>1.0696341744984386</v>
      </c>
      <c r="AA66" s="154">
        <f t="shared" si="3"/>
        <v>1.0566401766571705</v>
      </c>
      <c r="AB66" s="154">
        <f t="shared" si="3"/>
        <v>1.082594728234314</v>
      </c>
      <c r="AC66" s="154">
        <f t="shared" si="3"/>
        <v>1.1696841217727472</v>
      </c>
      <c r="AD66" s="154">
        <f t="shared" si="3"/>
        <v>1.243526559442294</v>
      </c>
      <c r="AE66" s="154">
        <f t="shared" si="3"/>
        <v>1.5271903464815604</v>
      </c>
      <c r="AF66" s="154">
        <f t="shared" si="3"/>
        <v>2.1017149890895865</v>
      </c>
      <c r="AK66" s="154">
        <f t="shared" ref="AK66:AQ66" si="4">AK59/AK6-1</f>
        <v>1.2529959084201807</v>
      </c>
      <c r="AL66" s="154">
        <f t="shared" si="4"/>
        <v>1.9288535069397903</v>
      </c>
      <c r="AM66" s="154">
        <f t="shared" si="4"/>
        <v>2.0845927414738741</v>
      </c>
      <c r="AN66" s="154">
        <f t="shared" si="4"/>
        <v>2.5062512403949353</v>
      </c>
      <c r="AO66" s="154">
        <f t="shared" si="4"/>
        <v>2.7974285146346869</v>
      </c>
      <c r="AP66" s="154">
        <f t="shared" si="4"/>
        <v>3.5681504621836382</v>
      </c>
      <c r="AQ66" s="154">
        <f t="shared" si="4"/>
        <v>4.704647912350274</v>
      </c>
      <c r="AS66" s="154">
        <f t="shared" ref="AS66:AY66" si="5">AS59/AS6-1</f>
        <v>1.252939596325283</v>
      </c>
      <c r="AT66" s="154">
        <f t="shared" si="5"/>
        <v>1.7834132443914208</v>
      </c>
      <c r="AU66" s="154">
        <f t="shared" si="5"/>
        <v>1.9699810768951616</v>
      </c>
      <c r="AV66" s="154">
        <f t="shared" si="5"/>
        <v>2.4515365166543681</v>
      </c>
      <c r="AW66" s="154">
        <f t="shared" si="5"/>
        <v>2.8286954835776452</v>
      </c>
      <c r="AX66" s="154">
        <f t="shared" si="5"/>
        <v>3.720111774676746</v>
      </c>
      <c r="AY66" s="154">
        <f t="shared" si="5"/>
        <v>5.005540335763949</v>
      </c>
    </row>
    <row r="67" spans="1:51" x14ac:dyDescent="0.25">
      <c r="A67" s="155" t="s">
        <v>174</v>
      </c>
      <c r="B67" s="154">
        <f t="shared" ref="B67:H67" si="6">(B59/B6)^(1/53)-1</f>
        <v>9.1441937707981147E-3</v>
      </c>
      <c r="C67" s="154">
        <f t="shared" si="6"/>
        <v>1.6280734538683728E-2</v>
      </c>
      <c r="D67" s="154">
        <f t="shared" si="6"/>
        <v>1.8302876103263532E-2</v>
      </c>
      <c r="E67" s="154">
        <f t="shared" si="6"/>
        <v>2.2367721513671279E-2</v>
      </c>
      <c r="F67" s="154">
        <f t="shared" si="6"/>
        <v>2.4419346042948487E-2</v>
      </c>
      <c r="G67" s="154">
        <f t="shared" si="6"/>
        <v>2.9639637381254413E-2</v>
      </c>
      <c r="H67" s="154">
        <f t="shared" si="6"/>
        <v>3.4891506766121738E-2</v>
      </c>
      <c r="J67" s="154">
        <f t="shared" ref="J67:P67" si="7">(J59/J6)^(1/53)-1</f>
        <v>1.3818593239075527E-2</v>
      </c>
      <c r="K67" s="154">
        <f t="shared" si="7"/>
        <v>1.6241298157179118E-2</v>
      </c>
      <c r="L67" s="154">
        <f t="shared" si="7"/>
        <v>1.6728538634524837E-2</v>
      </c>
      <c r="M67" s="154">
        <f t="shared" si="7"/>
        <v>1.8232675529404441E-2</v>
      </c>
      <c r="N67" s="154">
        <f t="shared" si="7"/>
        <v>1.8957633380604078E-2</v>
      </c>
      <c r="O67" s="154">
        <f t="shared" si="7"/>
        <v>2.1282313446980616E-2</v>
      </c>
      <c r="P67" s="154">
        <f t="shared" si="7"/>
        <v>2.4491556030934225E-2</v>
      </c>
      <c r="R67" s="154">
        <f t="shared" ref="R67:X67" si="8">(R59/R6)^(1/53)-1</f>
        <v>1.5712721455669598E-2</v>
      </c>
      <c r="S67" s="154">
        <f t="shared" si="8"/>
        <v>1.6525065286565166E-2</v>
      </c>
      <c r="T67" s="154">
        <f t="shared" si="8"/>
        <v>1.6891445968025387E-2</v>
      </c>
      <c r="U67" s="154">
        <f t="shared" si="8"/>
        <v>1.8275190411801923E-2</v>
      </c>
      <c r="V67" s="154">
        <f t="shared" si="8"/>
        <v>1.8978396949429044E-2</v>
      </c>
      <c r="W67" s="154">
        <f t="shared" si="8"/>
        <v>2.129530150822978E-2</v>
      </c>
      <c r="X67" s="154">
        <f t="shared" si="8"/>
        <v>2.4492539637373412E-2</v>
      </c>
      <c r="Z67" s="154">
        <f t="shared" ref="Z67:AF67" si="9">(Z59/Z6)^(1/53)-1</f>
        <v>1.3818603790715089E-2</v>
      </c>
      <c r="AA67" s="154">
        <f t="shared" si="9"/>
        <v>1.3698134957577324E-2</v>
      </c>
      <c r="AB67" s="154">
        <f t="shared" si="9"/>
        <v>1.3938025598216663E-2</v>
      </c>
      <c r="AC67" s="154">
        <f t="shared" si="9"/>
        <v>1.47220645831454E-2</v>
      </c>
      <c r="AD67" s="154">
        <f t="shared" si="9"/>
        <v>1.5363023591163705E-2</v>
      </c>
      <c r="AE67" s="154">
        <f t="shared" si="9"/>
        <v>1.7646498271668198E-2</v>
      </c>
      <c r="AF67" s="154">
        <f t="shared" si="9"/>
        <v>2.1587351837381696E-2</v>
      </c>
      <c r="AK67" s="154">
        <f t="shared" ref="AK67:AQ67" si="10">(AK59/AK6)^(1/53)-1</f>
        <v>1.5443716751085912E-2</v>
      </c>
      <c r="AL67" s="154">
        <f t="shared" si="10"/>
        <v>2.0482628132115543E-2</v>
      </c>
      <c r="AM67" s="154">
        <f t="shared" si="10"/>
        <v>2.1480658495979688E-2</v>
      </c>
      <c r="AN67" s="154">
        <f t="shared" si="10"/>
        <v>2.3953081266202325E-2</v>
      </c>
      <c r="AO67" s="154">
        <f t="shared" si="10"/>
        <v>2.5495517005244661E-2</v>
      </c>
      <c r="AP67" s="154">
        <f t="shared" si="10"/>
        <v>2.9077142885440388E-2</v>
      </c>
      <c r="AQ67" s="154">
        <f t="shared" si="10"/>
        <v>3.3400027523980746E-2</v>
      </c>
      <c r="AS67" s="154">
        <f t="shared" ref="AS67:AY67" si="11">(AS59/AS6)^(1/53)-1</f>
        <v>1.5443237871203053E-2</v>
      </c>
      <c r="AT67" s="154">
        <f t="shared" si="11"/>
        <v>1.9502413633069704E-2</v>
      </c>
      <c r="AU67" s="154">
        <f t="shared" si="11"/>
        <v>2.0751156854157404E-2</v>
      </c>
      <c r="AV67" s="154">
        <f t="shared" si="11"/>
        <v>2.3649264503317724E-2</v>
      </c>
      <c r="AW67" s="154">
        <f t="shared" si="11"/>
        <v>2.56541910316892E-2</v>
      </c>
      <c r="AX67" s="154">
        <f t="shared" si="11"/>
        <v>2.9712727623776747E-2</v>
      </c>
      <c r="AY67" s="154">
        <f t="shared" si="11"/>
        <v>3.4402739470692278E-2</v>
      </c>
    </row>
    <row r="68" spans="1:51" x14ac:dyDescent="0.25">
      <c r="A68" s="153" t="s">
        <v>124</v>
      </c>
      <c r="B68" s="154">
        <f t="shared" ref="B68:H68" si="12">B56/B26-1</f>
        <v>0.19286947992408887</v>
      </c>
      <c r="C68" s="154">
        <f t="shared" si="12"/>
        <v>0.65474079546853825</v>
      </c>
      <c r="D68" s="154">
        <f t="shared" si="12"/>
        <v>0.84594711507487275</v>
      </c>
      <c r="E68" s="154">
        <f t="shared" si="12"/>
        <v>1.3644118648395609</v>
      </c>
      <c r="F68" s="154">
        <f t="shared" si="12"/>
        <v>1.6411644873416211</v>
      </c>
      <c r="G68" s="154">
        <f t="shared" si="12"/>
        <v>2.378970666226385</v>
      </c>
      <c r="H68" s="154">
        <f t="shared" si="12"/>
        <v>3.4659480659018609</v>
      </c>
      <c r="J68" s="154">
        <f t="shared" ref="J68:P68" si="13">J56/J26-1</f>
        <v>0.44884656193429229</v>
      </c>
      <c r="K68" s="154">
        <f t="shared" si="13"/>
        <v>0.77065121931318648</v>
      </c>
      <c r="L68" s="154">
        <f t="shared" si="13"/>
        <v>0.90311123232638013</v>
      </c>
      <c r="M68" s="154">
        <f t="shared" si="13"/>
        <v>1.2365160974461973</v>
      </c>
      <c r="N68" s="154">
        <f t="shared" si="13"/>
        <v>1.4031941307798301</v>
      </c>
      <c r="O68" s="154">
        <f t="shared" si="13"/>
        <v>1.8829939786549583</v>
      </c>
      <c r="P68" s="154">
        <f t="shared" si="13"/>
        <v>2.7700325748566228</v>
      </c>
      <c r="R68" s="154">
        <f t="shared" ref="R68:X68" si="14">R56/R26-1</f>
        <v>0.5321761606687343</v>
      </c>
      <c r="S68" s="154">
        <f t="shared" si="14"/>
        <v>0.78543997043216129</v>
      </c>
      <c r="T68" s="154">
        <f t="shared" si="14"/>
        <v>0.90633518611289965</v>
      </c>
      <c r="U68" s="154">
        <f t="shared" si="14"/>
        <v>1.232106704839449</v>
      </c>
      <c r="V68" s="154">
        <f t="shared" si="14"/>
        <v>1.3996553606247897</v>
      </c>
      <c r="W68" s="154">
        <f t="shared" si="14"/>
        <v>1.8806297086130481</v>
      </c>
      <c r="X68" s="154">
        <f t="shared" si="14"/>
        <v>2.7682143865805235</v>
      </c>
      <c r="Z68" s="154">
        <f t="shared" ref="Z68:AF68" si="15">Z56/Z26-1</f>
        <v>0.44884777707491241</v>
      </c>
      <c r="AA68" s="154">
        <f t="shared" si="15"/>
        <v>0.56018604017134432</v>
      </c>
      <c r="AB68" s="154">
        <f t="shared" si="15"/>
        <v>0.62597524646218572</v>
      </c>
      <c r="AC68" s="154">
        <f t="shared" si="15"/>
        <v>0.83423493694417195</v>
      </c>
      <c r="AD68" s="154">
        <f t="shared" si="15"/>
        <v>0.95294917541649737</v>
      </c>
      <c r="AE68" s="154">
        <f t="shared" si="15"/>
        <v>1.2896097919619813</v>
      </c>
      <c r="AF68" s="154">
        <f t="shared" si="15"/>
        <v>2.0406685857919507</v>
      </c>
      <c r="AK68" s="154">
        <f t="shared" ref="AK68:AQ68" si="16">AK56/AK26-1</f>
        <v>0.51157326500620659</v>
      </c>
      <c r="AL68" s="154">
        <f t="shared" si="16"/>
        <v>1.0195645730455456</v>
      </c>
      <c r="AM68" s="154">
        <f t="shared" si="16"/>
        <v>1.2108148901404086</v>
      </c>
      <c r="AN68" s="154">
        <f t="shared" si="16"/>
        <v>1.8046811302526158</v>
      </c>
      <c r="AO68" s="154">
        <f t="shared" si="16"/>
        <v>2.1268527965252666</v>
      </c>
      <c r="AP68" s="154">
        <f t="shared" si="16"/>
        <v>3.0174404063965916</v>
      </c>
      <c r="AQ68" s="154">
        <f t="shared" si="16"/>
        <v>4.6030314322060777</v>
      </c>
      <c r="AS68" s="154">
        <f t="shared" ref="AS68:AY68" si="17">AS56/AS26-1</f>
        <v>0.51155026557014627</v>
      </c>
      <c r="AT68" s="154">
        <f t="shared" si="17"/>
        <v>0.96607821728684251</v>
      </c>
      <c r="AU68" s="154">
        <f t="shared" si="17"/>
        <v>1.1628418379130636</v>
      </c>
      <c r="AV68" s="154">
        <f t="shared" si="17"/>
        <v>1.811249240693122</v>
      </c>
      <c r="AW68" s="154">
        <f t="shared" si="17"/>
        <v>2.1543586527792038</v>
      </c>
      <c r="AX68" s="154">
        <f t="shared" si="17"/>
        <v>3.0952825608022936</v>
      </c>
      <c r="AY68" s="154">
        <f t="shared" si="17"/>
        <v>4.8434982627072003</v>
      </c>
    </row>
    <row r="69" spans="1:51" x14ac:dyDescent="0.25">
      <c r="A69" s="155" t="s">
        <v>125</v>
      </c>
      <c r="B69" s="156">
        <f t="shared" ref="B69:H70" si="18">(B52/B21)^(1/31)-1</f>
        <v>1.1373944994500729E-2</v>
      </c>
      <c r="C69" s="156">
        <f t="shared" si="18"/>
        <v>2.4137602544317849E-2</v>
      </c>
      <c r="D69" s="156">
        <f t="shared" si="18"/>
        <v>2.9463465619222529E-2</v>
      </c>
      <c r="E69" s="156">
        <f t="shared" si="18"/>
        <v>4.2671932279543023E-2</v>
      </c>
      <c r="F69" s="156">
        <f t="shared" si="18"/>
        <v>4.8613958871584817E-2</v>
      </c>
      <c r="G69" s="156">
        <f t="shared" si="18"/>
        <v>6.1795250085861175E-2</v>
      </c>
      <c r="H69" s="156">
        <f t="shared" si="18"/>
        <v>7.4051978304851218E-2</v>
      </c>
      <c r="J69" s="156">
        <f t="shared" ref="J69:P70" si="19">(J52/J21)^(1/31)-1</f>
        <v>1.511559429081677E-2</v>
      </c>
      <c r="K69" s="156">
        <f t="shared" si="19"/>
        <v>2.1154691351893629E-2</v>
      </c>
      <c r="L69" s="156">
        <f t="shared" si="19"/>
        <v>2.3684020028580166E-2</v>
      </c>
      <c r="M69" s="156">
        <f t="shared" si="19"/>
        <v>2.9832419472185068E-2</v>
      </c>
      <c r="N69" s="156">
        <f t="shared" si="19"/>
        <v>3.2587779820880014E-2</v>
      </c>
      <c r="O69" s="156">
        <f t="shared" si="19"/>
        <v>3.9204442820790719E-2</v>
      </c>
      <c r="P69" s="156">
        <f t="shared" si="19"/>
        <v>4.6577908383001132E-2</v>
      </c>
      <c r="R69" s="522">
        <f t="shared" ref="R69:X70" si="20">(R52/R21)^(1/31)-1</f>
        <v>1.5634756883861956E-2</v>
      </c>
      <c r="S69" s="522">
        <f t="shared" si="20"/>
        <v>2.1235676883840204E-2</v>
      </c>
      <c r="T69" s="522">
        <f t="shared" si="20"/>
        <v>2.3639394323347052E-2</v>
      </c>
      <c r="U69" s="522">
        <f t="shared" si="20"/>
        <v>2.9690302883450759E-2</v>
      </c>
      <c r="V69" s="522">
        <f t="shared" si="20"/>
        <v>3.2463821323331032E-2</v>
      </c>
      <c r="W69" s="522">
        <f t="shared" si="20"/>
        <v>3.9151377752639771E-2</v>
      </c>
      <c r="X69" s="522">
        <f t="shared" si="20"/>
        <v>4.6547099837731531E-2</v>
      </c>
      <c r="Z69" s="522">
        <f t="shared" ref="Z69:AF70" si="21">(Z52/Z21)^(1/31)-1</f>
        <v>1.5115586511366796E-2</v>
      </c>
      <c r="AA69" s="522">
        <f t="shared" si="21"/>
        <v>2.0133659124581538E-2</v>
      </c>
      <c r="AB69" s="522">
        <f t="shared" si="21"/>
        <v>2.2187694639188349E-2</v>
      </c>
      <c r="AC69" s="522">
        <f t="shared" si="21"/>
        <v>2.7333522029720836E-2</v>
      </c>
      <c r="AD69" s="522">
        <f t="shared" si="21"/>
        <v>2.9711341016765314E-2</v>
      </c>
      <c r="AE69" s="522">
        <f t="shared" si="21"/>
        <v>3.5910406242123605E-2</v>
      </c>
      <c r="AF69" s="522">
        <f t="shared" si="21"/>
        <v>4.3371253776465446E-2</v>
      </c>
      <c r="AK69" s="522">
        <f t="shared" ref="AK69:AQ69" si="22">(AK52/AK21)^(1/31)-1</f>
        <v>1.7840827860289288E-2</v>
      </c>
      <c r="AL69" s="522">
        <f t="shared" si="22"/>
        <v>2.7494140329321404E-2</v>
      </c>
      <c r="AM69" s="522">
        <f t="shared" si="22"/>
        <v>3.0700333297163374E-2</v>
      </c>
      <c r="AN69" s="522">
        <f t="shared" si="22"/>
        <v>3.9206893382624175E-2</v>
      </c>
      <c r="AO69" s="522">
        <f t="shared" si="22"/>
        <v>4.3172442651041365E-2</v>
      </c>
      <c r="AP69" s="522">
        <f t="shared" si="22"/>
        <v>5.1416268957933831E-2</v>
      </c>
      <c r="AQ69" s="522">
        <f t="shared" si="22"/>
        <v>5.982687448083901E-2</v>
      </c>
      <c r="AS69" s="522">
        <f t="shared" ref="AS69:AY69" si="23">(AS52/AS21)^(1/31)-1</f>
        <v>1.783210856203854E-2</v>
      </c>
      <c r="AT69" s="522">
        <f t="shared" si="23"/>
        <v>2.6687811518124382E-2</v>
      </c>
      <c r="AU69" s="522">
        <f t="shared" si="23"/>
        <v>2.9888516129947362E-2</v>
      </c>
      <c r="AV69" s="522">
        <f t="shared" si="23"/>
        <v>3.8687200996819548E-2</v>
      </c>
      <c r="AW69" s="522">
        <f t="shared" si="23"/>
        <v>4.2706147866067967E-2</v>
      </c>
      <c r="AX69" s="522">
        <f t="shared" si="23"/>
        <v>5.0755426273574988E-2</v>
      </c>
      <c r="AY69" s="522">
        <f t="shared" si="23"/>
        <v>5.8812181473786307E-2</v>
      </c>
    </row>
    <row r="70" spans="1:51" x14ac:dyDescent="0.25">
      <c r="A70" s="155" t="s">
        <v>126</v>
      </c>
      <c r="B70" s="156">
        <f t="shared" si="18"/>
        <v>1.1604064212363818E-2</v>
      </c>
      <c r="C70" s="156">
        <f t="shared" si="18"/>
        <v>2.4670456107568128E-2</v>
      </c>
      <c r="D70" s="156">
        <f t="shared" si="18"/>
        <v>3.0214547347186205E-2</v>
      </c>
      <c r="E70" s="156">
        <f t="shared" si="18"/>
        <v>4.3942410327596049E-2</v>
      </c>
      <c r="F70" s="156">
        <f t="shared" si="18"/>
        <v>5.0095223971479808E-2</v>
      </c>
      <c r="G70" s="156">
        <f t="shared" si="18"/>
        <v>6.3609890664029667E-2</v>
      </c>
      <c r="H70" s="156">
        <f t="shared" si="18"/>
        <v>7.7233710275357748E-2</v>
      </c>
      <c r="J70" s="156">
        <f t="shared" si="19"/>
        <v>1.3775448307709937E-2</v>
      </c>
      <c r="K70" s="156">
        <f t="shared" si="19"/>
        <v>1.9611969447397959E-2</v>
      </c>
      <c r="L70" s="156">
        <f t="shared" si="19"/>
        <v>2.2260639207176691E-2</v>
      </c>
      <c r="M70" s="156">
        <f t="shared" si="19"/>
        <v>2.819892818205072E-2</v>
      </c>
      <c r="N70" s="156">
        <f t="shared" si="19"/>
        <v>3.08815918717531E-2</v>
      </c>
      <c r="O70" s="156">
        <f t="shared" si="19"/>
        <v>3.7022062790169841E-2</v>
      </c>
      <c r="P70" s="156">
        <f t="shared" si="19"/>
        <v>4.4343948557162838E-2</v>
      </c>
      <c r="R70" s="522">
        <f t="shared" si="20"/>
        <v>1.450215921058251E-2</v>
      </c>
      <c r="S70" s="522">
        <f t="shared" si="20"/>
        <v>1.9654170903051105E-2</v>
      </c>
      <c r="T70" s="522">
        <f t="shared" si="20"/>
        <v>2.2161096182010676E-2</v>
      </c>
      <c r="U70" s="522">
        <f t="shared" si="20"/>
        <v>2.8008555040847538E-2</v>
      </c>
      <c r="V70" s="522">
        <f t="shared" si="20"/>
        <v>3.0730666432415177E-2</v>
      </c>
      <c r="W70" s="522">
        <f t="shared" si="20"/>
        <v>3.6960796248035832E-2</v>
      </c>
      <c r="X70" s="522">
        <f t="shared" si="20"/>
        <v>4.4322831425754217E-2</v>
      </c>
      <c r="Z70" s="522">
        <f t="shared" si="21"/>
        <v>1.3775482411075846E-2</v>
      </c>
      <c r="AA70" s="522">
        <f t="shared" si="21"/>
        <v>1.7837890895576525E-2</v>
      </c>
      <c r="AB70" s="522">
        <f t="shared" si="21"/>
        <v>1.9774091925013115E-2</v>
      </c>
      <c r="AC70" s="522">
        <f t="shared" si="21"/>
        <v>2.4474758726505508E-2</v>
      </c>
      <c r="AD70" s="522">
        <f t="shared" si="21"/>
        <v>2.6771540066857336E-2</v>
      </c>
      <c r="AE70" s="522">
        <f t="shared" si="21"/>
        <v>3.2617922843944935E-2</v>
      </c>
      <c r="AF70" s="522">
        <f t="shared" si="21"/>
        <v>3.9873685829677541E-2</v>
      </c>
      <c r="AK70" s="522">
        <f t="shared" ref="AK70:AQ70" si="24">(AK53/AK22)^(1/31)-1</f>
        <v>1.6242914181268331E-2</v>
      </c>
      <c r="AL70" s="522">
        <f t="shared" si="24"/>
        <v>2.5645027089346017E-2</v>
      </c>
      <c r="AM70" s="522">
        <f t="shared" si="24"/>
        <v>2.8802005037531941E-2</v>
      </c>
      <c r="AN70" s="522">
        <f t="shared" si="24"/>
        <v>3.726547391649726E-2</v>
      </c>
      <c r="AO70" s="522">
        <f t="shared" si="24"/>
        <v>4.1189190753291749E-2</v>
      </c>
      <c r="AP70" s="522">
        <f t="shared" si="24"/>
        <v>4.9629572677168499E-2</v>
      </c>
      <c r="AQ70" s="522">
        <f t="shared" si="24"/>
        <v>5.8719379796251525E-2</v>
      </c>
      <c r="AS70" s="522">
        <f t="shared" ref="AS70:AY70" si="25">(AS53/AS22)^(1/31)-1</f>
        <v>1.6239067707190635E-2</v>
      </c>
      <c r="AT70" s="522">
        <f t="shared" si="25"/>
        <v>2.4641829100855661E-2</v>
      </c>
      <c r="AU70" s="522">
        <f t="shared" si="25"/>
        <v>2.7653527348371343E-2</v>
      </c>
      <c r="AV70" s="522">
        <f t="shared" si="25"/>
        <v>3.6055980253594244E-2</v>
      </c>
      <c r="AW70" s="522">
        <f t="shared" si="25"/>
        <v>3.9901850316003351E-2</v>
      </c>
      <c r="AX70" s="522">
        <f t="shared" si="25"/>
        <v>4.7965934520394438E-2</v>
      </c>
      <c r="AY70" s="522">
        <f t="shared" si="25"/>
        <v>5.6690730822398727E-2</v>
      </c>
    </row>
    <row r="71" spans="1:51" x14ac:dyDescent="0.25">
      <c r="A71" s="153" t="s">
        <v>127</v>
      </c>
      <c r="B71" s="154">
        <f t="shared" ref="B71:H71" si="26">B54/B21-1</f>
        <v>0.32652246256239592</v>
      </c>
      <c r="C71" s="154">
        <f t="shared" si="26"/>
        <v>0.91353019243530187</v>
      </c>
      <c r="D71" s="154">
        <f t="shared" si="26"/>
        <v>1.2038937838738004</v>
      </c>
      <c r="E71" s="154">
        <f t="shared" si="26"/>
        <v>2.1315428891478181</v>
      </c>
      <c r="F71" s="154">
        <f t="shared" si="26"/>
        <v>2.687324504957735</v>
      </c>
      <c r="G71" s="154">
        <f t="shared" si="26"/>
        <v>4.3794857776097595</v>
      </c>
      <c r="H71" s="154">
        <f t="shared" si="26"/>
        <v>6.8878134415169043</v>
      </c>
      <c r="J71" s="154">
        <f t="shared" ref="J71:P71" si="27">J54/J21-1</f>
        <v>0.5183827219557624</v>
      </c>
      <c r="K71" s="154">
        <f t="shared" si="27"/>
        <v>0.80692383859298022</v>
      </c>
      <c r="L71" s="154">
        <f t="shared" si="27"/>
        <v>0.9291456678947223</v>
      </c>
      <c r="M71" s="154">
        <f t="shared" si="27"/>
        <v>1.2526063850750071</v>
      </c>
      <c r="N71" s="154">
        <f t="shared" si="27"/>
        <v>1.4192641244587527</v>
      </c>
      <c r="O71" s="154">
        <f t="shared" si="27"/>
        <v>1.9038410855083439</v>
      </c>
      <c r="P71" s="154">
        <f t="shared" si="27"/>
        <v>2.6747983386106609</v>
      </c>
      <c r="R71" s="154">
        <f t="shared" ref="R71:X71" si="28">R54/R21-1</f>
        <v>0.58073281198832372</v>
      </c>
      <c r="S71" s="154">
        <f t="shared" si="28"/>
        <v>0.81569222253652085</v>
      </c>
      <c r="T71" s="154">
        <f t="shared" si="28"/>
        <v>0.92831567993456088</v>
      </c>
      <c r="U71" s="154">
        <f t="shared" si="28"/>
        <v>1.2436440264922504</v>
      </c>
      <c r="V71" s="154">
        <f t="shared" si="28"/>
        <v>1.4110617786925599</v>
      </c>
      <c r="W71" s="154">
        <f t="shared" si="28"/>
        <v>1.8996122093150216</v>
      </c>
      <c r="X71" s="154">
        <f t="shared" si="28"/>
        <v>2.671392144047434</v>
      </c>
      <c r="Z71" s="154">
        <f t="shared" ref="Z71:AF71" si="29">Z54/Z21-1</f>
        <v>0.51838220717641414</v>
      </c>
      <c r="AA71" s="154">
        <f t="shared" si="29"/>
        <v>0.64148453213497558</v>
      </c>
      <c r="AB71" s="154">
        <f t="shared" si="29"/>
        <v>0.70870473965489755</v>
      </c>
      <c r="AC71" s="154">
        <f t="shared" si="29"/>
        <v>0.89777811038629141</v>
      </c>
      <c r="AD71" s="154">
        <f t="shared" si="29"/>
        <v>1.0034220181768743</v>
      </c>
      <c r="AE71" s="154">
        <f t="shared" si="29"/>
        <v>1.3292959449893069</v>
      </c>
      <c r="AF71" s="154">
        <f t="shared" si="29"/>
        <v>1.9247200574652066</v>
      </c>
      <c r="AK71" s="154">
        <f t="shared" ref="AK71:AQ71" si="30">AK54/AK21-1</f>
        <v>0.67015716076081899</v>
      </c>
      <c r="AL71" s="154">
        <f t="shared" si="30"/>
        <v>1.2029046707602156</v>
      </c>
      <c r="AM71" s="154">
        <f t="shared" si="30"/>
        <v>1.409709504843339</v>
      </c>
      <c r="AN71" s="154">
        <f t="shared" si="30"/>
        <v>2.0888191530409834</v>
      </c>
      <c r="AO71" s="154">
        <f t="shared" si="30"/>
        <v>2.4756318714047403</v>
      </c>
      <c r="AP71" s="154">
        <f t="shared" si="30"/>
        <v>3.4819158418863969</v>
      </c>
      <c r="AQ71" s="154">
        <f t="shared" si="30"/>
        <v>5.0323318534474479</v>
      </c>
      <c r="AS71" s="154">
        <f t="shared" ref="AS71:AY71" si="31">AS54/AS21-1</f>
        <v>0.66967900825586812</v>
      </c>
      <c r="AT71" s="154">
        <f t="shared" si="31"/>
        <v>1.1298409111901608</v>
      </c>
      <c r="AU71" s="154">
        <f t="shared" si="31"/>
        <v>1.3344715713907123</v>
      </c>
      <c r="AV71" s="154">
        <f t="shared" si="31"/>
        <v>2.0408946370223928</v>
      </c>
      <c r="AW71" s="154">
        <f t="shared" si="31"/>
        <v>2.4381878920624613</v>
      </c>
      <c r="AX71" s="154">
        <f t="shared" si="31"/>
        <v>3.4373158037757783</v>
      </c>
      <c r="AY71" s="154">
        <f t="shared" si="31"/>
        <v>4.986081364067636</v>
      </c>
    </row>
    <row r="72" spans="1:51" x14ac:dyDescent="0.25">
      <c r="A72" s="153" t="s">
        <v>128</v>
      </c>
      <c r="B72" s="154">
        <f t="shared" ref="B72:H72" si="32">B54/B35-1</f>
        <v>0.15430501930501928</v>
      </c>
      <c r="C72" s="154">
        <f t="shared" si="32"/>
        <v>0.38879979194659953</v>
      </c>
      <c r="D72" s="154">
        <f t="shared" si="32"/>
        <v>0.4766446778943525</v>
      </c>
      <c r="E72" s="154">
        <f t="shared" si="32"/>
        <v>0.66900052371858854</v>
      </c>
      <c r="F72" s="154">
        <f t="shared" si="32"/>
        <v>0.75734567013857124</v>
      </c>
      <c r="G72" s="154">
        <f t="shared" si="32"/>
        <v>1.0009772456538792</v>
      </c>
      <c r="H72" s="154">
        <f t="shared" si="32"/>
        <v>1.3671880603437971</v>
      </c>
      <c r="J72" s="154">
        <f t="shared" ref="J72:P72" si="33">J54/J35-1</f>
        <v>0.28565250116836682</v>
      </c>
      <c r="K72" s="154">
        <f t="shared" si="33"/>
        <v>0.44579572108968701</v>
      </c>
      <c r="L72" s="154">
        <f t="shared" si="33"/>
        <v>0.50528074174713056</v>
      </c>
      <c r="M72" s="154">
        <f t="shared" si="33"/>
        <v>0.61248299976053389</v>
      </c>
      <c r="N72" s="154">
        <f t="shared" si="33"/>
        <v>0.64641690755298975</v>
      </c>
      <c r="O72" s="154">
        <f t="shared" si="33"/>
        <v>0.74146599598656993</v>
      </c>
      <c r="P72" s="154">
        <f t="shared" si="33"/>
        <v>0.91948194053043131</v>
      </c>
      <c r="R72" s="154">
        <f t="shared" ref="R72:X72" si="34">R54/R35-1</f>
        <v>0.34413093202586498</v>
      </c>
      <c r="S72" s="154">
        <f t="shared" si="34"/>
        <v>0.45050989607356118</v>
      </c>
      <c r="T72" s="154">
        <f t="shared" si="34"/>
        <v>0.50488415967694311</v>
      </c>
      <c r="U72" s="154">
        <f t="shared" si="34"/>
        <v>0.60853705109701273</v>
      </c>
      <c r="V72" s="154">
        <f t="shared" si="34"/>
        <v>0.64481243097895247</v>
      </c>
      <c r="W72" s="154">
        <f t="shared" si="34"/>
        <v>0.73769291585067887</v>
      </c>
      <c r="X72" s="154">
        <f t="shared" si="34"/>
        <v>0.91912236778769429</v>
      </c>
      <c r="Z72" s="154">
        <f t="shared" ref="Z72:AF72" si="35">Z54/Z35-1</f>
        <v>0.28565296108972493</v>
      </c>
      <c r="AA72" s="154">
        <f t="shared" si="35"/>
        <v>0.28723740693989663</v>
      </c>
      <c r="AB72" s="154">
        <f t="shared" si="35"/>
        <v>0.30100564185945511</v>
      </c>
      <c r="AC72" s="154">
        <f t="shared" si="35"/>
        <v>0.31768465824135572</v>
      </c>
      <c r="AD72" s="154">
        <f t="shared" si="35"/>
        <v>0.32515397388625145</v>
      </c>
      <c r="AE72" s="154">
        <f t="shared" si="35"/>
        <v>0.3446357177313415</v>
      </c>
      <c r="AF72" s="154">
        <f t="shared" si="35"/>
        <v>0.46171387592405222</v>
      </c>
      <c r="AK72" s="154">
        <f t="shared" ref="AK72:AQ72" si="36">AK54/AK35-1</f>
        <v>0.31143303849749127</v>
      </c>
      <c r="AL72" s="154">
        <f t="shared" si="36"/>
        <v>0.53657203733766878</v>
      </c>
      <c r="AM72" s="154">
        <f t="shared" si="36"/>
        <v>0.60638911701592302</v>
      </c>
      <c r="AN72" s="154">
        <f t="shared" si="36"/>
        <v>0.76997846816125426</v>
      </c>
      <c r="AO72" s="154">
        <f t="shared" si="36"/>
        <v>0.85326950098916443</v>
      </c>
      <c r="AP72" s="154">
        <f t="shared" si="36"/>
        <v>1.1193375405752235</v>
      </c>
      <c r="AQ72" s="154">
        <f t="shared" si="36"/>
        <v>1.6366497582140815</v>
      </c>
      <c r="AS72" s="154">
        <f t="shared" ref="AS72:AY72" si="37">AS54/AS35-1</f>
        <v>0.31146720835318642</v>
      </c>
      <c r="AT72" s="154">
        <f t="shared" si="37"/>
        <v>0.45914977545540681</v>
      </c>
      <c r="AU72" s="154">
        <f t="shared" si="37"/>
        <v>0.51667025223859131</v>
      </c>
      <c r="AV72" s="154">
        <f t="shared" si="37"/>
        <v>0.66613389032097414</v>
      </c>
      <c r="AW72" s="154">
        <f t="shared" si="37"/>
        <v>0.7424203295124483</v>
      </c>
      <c r="AX72" s="154">
        <f t="shared" si="37"/>
        <v>0.99228282342299234</v>
      </c>
      <c r="AY72" s="154">
        <f t="shared" si="37"/>
        <v>1.5481965848123447</v>
      </c>
    </row>
    <row r="73" spans="1:51" x14ac:dyDescent="0.25">
      <c r="A73" s="153" t="s">
        <v>129</v>
      </c>
      <c r="B73" s="154">
        <f t="shared" ref="B73:H73" si="38">B50/B35-1</f>
        <v>0.15330115830115831</v>
      </c>
      <c r="C73" s="154">
        <f t="shared" si="38"/>
        <v>0.33497079065108193</v>
      </c>
      <c r="D73" s="154">
        <f t="shared" si="38"/>
        <v>0.41193276913141541</v>
      </c>
      <c r="E73" s="154">
        <f t="shared" si="38"/>
        <v>0.57257100517988335</v>
      </c>
      <c r="F73" s="154">
        <f t="shared" si="38"/>
        <v>0.63870585519064971</v>
      </c>
      <c r="G73" s="154">
        <f t="shared" si="38"/>
        <v>0.819496903511713</v>
      </c>
      <c r="H73" s="154">
        <f t="shared" si="38"/>
        <v>1.0400050080972627</v>
      </c>
      <c r="J73" s="154">
        <f t="shared" ref="J73:P73" si="39">J50/J35-1</f>
        <v>0.28806209825785767</v>
      </c>
      <c r="K73" s="154">
        <f t="shared" si="39"/>
        <v>0.41379711821162379</v>
      </c>
      <c r="L73" s="154">
        <f t="shared" si="39"/>
        <v>0.46242661590870004</v>
      </c>
      <c r="M73" s="154">
        <f t="shared" si="39"/>
        <v>0.53515287675667489</v>
      </c>
      <c r="N73" s="154">
        <f t="shared" si="39"/>
        <v>0.55940296178775828</v>
      </c>
      <c r="O73" s="154">
        <f t="shared" si="39"/>
        <v>0.64304523153723547</v>
      </c>
      <c r="P73" s="154">
        <f t="shared" si="39"/>
        <v>0.78970168629109461</v>
      </c>
      <c r="R73" s="154">
        <f t="shared" ref="R73:X73" si="40">R50/R35-1</f>
        <v>0.31585092172114981</v>
      </c>
      <c r="S73" s="154">
        <f t="shared" si="40"/>
        <v>0.41521259163227886</v>
      </c>
      <c r="T73" s="154">
        <f t="shared" si="40"/>
        <v>0.46106950586394402</v>
      </c>
      <c r="U73" s="154">
        <f t="shared" si="40"/>
        <v>0.53144625574930515</v>
      </c>
      <c r="V73" s="154">
        <f t="shared" si="40"/>
        <v>0.55821584723292128</v>
      </c>
      <c r="W73" s="154">
        <f t="shared" si="40"/>
        <v>0.63950558782627409</v>
      </c>
      <c r="X73" s="154">
        <f t="shared" si="40"/>
        <v>0.78937660192571735</v>
      </c>
      <c r="Z73" s="154">
        <f t="shared" ref="Z73:AF73" si="41">Z50/Z35-1</f>
        <v>0.28806267386200823</v>
      </c>
      <c r="AA73" s="154">
        <f t="shared" si="41"/>
        <v>0.34365818546494875</v>
      </c>
      <c r="AB73" s="154">
        <f t="shared" si="41"/>
        <v>0.36794960316515835</v>
      </c>
      <c r="AC73" s="154">
        <f t="shared" si="41"/>
        <v>0.38959576532367368</v>
      </c>
      <c r="AD73" s="154">
        <f t="shared" si="41"/>
        <v>0.39797742835254657</v>
      </c>
      <c r="AE73" s="154">
        <f t="shared" si="41"/>
        <v>0.43372597826026471</v>
      </c>
      <c r="AF73" s="154">
        <f t="shared" si="41"/>
        <v>0.56454241727342969</v>
      </c>
      <c r="AK73" s="154">
        <f t="shared" ref="AK73:AQ73" si="42">AK50/AK35-1</f>
        <v>0.29538205572725484</v>
      </c>
      <c r="AL73" s="154">
        <f t="shared" si="42"/>
        <v>0.47065474379307881</v>
      </c>
      <c r="AM73" s="154">
        <f t="shared" si="42"/>
        <v>0.52398533773509071</v>
      </c>
      <c r="AN73" s="154">
        <f t="shared" si="42"/>
        <v>0.64075667487364996</v>
      </c>
      <c r="AO73" s="154">
        <f t="shared" si="42"/>
        <v>0.69547175644917281</v>
      </c>
      <c r="AP73" s="154">
        <f t="shared" si="42"/>
        <v>0.86867420732875233</v>
      </c>
      <c r="AQ73" s="154">
        <f t="shared" si="42"/>
        <v>1.2036012353707708</v>
      </c>
      <c r="AS73" s="154">
        <f t="shared" ref="AS73:AY73" si="43">AS50/AS35-1</f>
        <v>0.29538719868335295</v>
      </c>
      <c r="AT73" s="154">
        <f t="shared" si="43"/>
        <v>0.4330973660210431</v>
      </c>
      <c r="AU73" s="154">
        <f t="shared" si="43"/>
        <v>0.47920851094500594</v>
      </c>
      <c r="AV73" s="154">
        <f t="shared" si="43"/>
        <v>0.58795321596781114</v>
      </c>
      <c r="AW73" s="154">
        <f t="shared" si="43"/>
        <v>0.63756471763811895</v>
      </c>
      <c r="AX73" s="154">
        <f t="shared" si="43"/>
        <v>0.80109799243250723</v>
      </c>
      <c r="AY73" s="154">
        <f t="shared" si="43"/>
        <v>1.1616634647965403</v>
      </c>
    </row>
    <row r="74" spans="1:51" x14ac:dyDescent="0.25">
      <c r="A74" s="153" t="s">
        <v>130</v>
      </c>
      <c r="B74" s="154">
        <f t="shared" ref="B74:H74" si="44">B46/B39-1</f>
        <v>0.31474977159679218</v>
      </c>
      <c r="C74" s="154">
        <f t="shared" si="44"/>
        <v>0.5384266074502857</v>
      </c>
      <c r="D74" s="154">
        <f t="shared" si="44"/>
        <v>0.66917809424894825</v>
      </c>
      <c r="E74" s="154">
        <f t="shared" si="44"/>
        <v>0.98739812761588319</v>
      </c>
      <c r="F74" s="154">
        <f t="shared" si="44"/>
        <v>1.1294706312881315</v>
      </c>
      <c r="G74" s="154">
        <f t="shared" si="44"/>
        <v>1.4953999341759614</v>
      </c>
      <c r="H74" s="154">
        <f t="shared" si="44"/>
        <v>1.8772968178072746</v>
      </c>
      <c r="J74" s="154">
        <f t="shared" ref="J74:P74" si="45">J46/J39-1</f>
        <v>0.2517691437769467</v>
      </c>
      <c r="K74" s="154">
        <f t="shared" si="45"/>
        <v>0.33489238536884458</v>
      </c>
      <c r="L74" s="154">
        <f t="shared" si="45"/>
        <v>0.39556512501284469</v>
      </c>
      <c r="M74" s="154">
        <f t="shared" si="45"/>
        <v>0.56214991869433772</v>
      </c>
      <c r="N74" s="154">
        <f t="shared" si="45"/>
        <v>0.62465681265502626</v>
      </c>
      <c r="O74" s="154">
        <f t="shared" si="45"/>
        <v>0.73757715394038859</v>
      </c>
      <c r="P74" s="154">
        <f t="shared" si="45"/>
        <v>0.81234145189465257</v>
      </c>
      <c r="R74" s="154">
        <f t="shared" ref="R74:X74" si="46">R46/R39-1</f>
        <v>0.23200571054239139</v>
      </c>
      <c r="S74" s="154">
        <f t="shared" si="46"/>
        <v>0.33408850875873242</v>
      </c>
      <c r="T74" s="154">
        <f t="shared" si="46"/>
        <v>0.39434833193920138</v>
      </c>
      <c r="U74" s="154">
        <f t="shared" si="46"/>
        <v>0.56063247670652272</v>
      </c>
      <c r="V74" s="154">
        <f t="shared" si="46"/>
        <v>0.62312932899603668</v>
      </c>
      <c r="W74" s="154">
        <f t="shared" si="46"/>
        <v>0.73580282091665539</v>
      </c>
      <c r="X74" s="154">
        <f t="shared" si="46"/>
        <v>0.81202292394886388</v>
      </c>
      <c r="Z74" s="154">
        <f t="shared" ref="Z74:AF74" si="47">Z46/Z39-1</f>
        <v>0.25176918161960171</v>
      </c>
      <c r="AA74" s="154">
        <f t="shared" si="47"/>
        <v>0.3736470021706324</v>
      </c>
      <c r="AB74" s="154">
        <f t="shared" si="47"/>
        <v>0.43468251005952019</v>
      </c>
      <c r="AC74" s="154">
        <f t="shared" si="47"/>
        <v>0.62484175788223451</v>
      </c>
      <c r="AD74" s="154">
        <f t="shared" si="47"/>
        <v>0.70466871176177004</v>
      </c>
      <c r="AE74" s="154">
        <f t="shared" si="47"/>
        <v>0.86833149587448877</v>
      </c>
      <c r="AF74" s="154">
        <f t="shared" si="47"/>
        <v>0.99558420361641908</v>
      </c>
      <c r="AK74" s="154">
        <f t="shared" ref="AK74:AQ74" si="48">AK46/AK39-1</f>
        <v>0.24680286581826127</v>
      </c>
      <c r="AL74" s="154">
        <f t="shared" si="48"/>
        <v>0.38317731880986328</v>
      </c>
      <c r="AM74" s="154">
        <f t="shared" si="48"/>
        <v>0.43489667959865197</v>
      </c>
      <c r="AN74" s="154">
        <f t="shared" si="48"/>
        <v>0.55548911176984395</v>
      </c>
      <c r="AO74" s="154">
        <f t="shared" si="48"/>
        <v>0.61029531500737333</v>
      </c>
      <c r="AP74" s="154">
        <f t="shared" si="48"/>
        <v>0.75100976795499985</v>
      </c>
      <c r="AQ74" s="154">
        <f t="shared" si="48"/>
        <v>0.83171913547876786</v>
      </c>
      <c r="AS74" s="154">
        <f t="shared" ref="AS74:AY74" si="49">AS46/AS39-1</f>
        <v>0.24689838391254959</v>
      </c>
      <c r="AT74" s="154">
        <f t="shared" si="49"/>
        <v>0.35331813297047776</v>
      </c>
      <c r="AU74" s="154">
        <f t="shared" si="49"/>
        <v>0.39472438512098429</v>
      </c>
      <c r="AV74" s="154">
        <f t="shared" si="49"/>
        <v>0.49709663429928019</v>
      </c>
      <c r="AW74" s="154">
        <f t="shared" si="49"/>
        <v>0.54081591179325361</v>
      </c>
      <c r="AX74" s="154">
        <f t="shared" si="49"/>
        <v>0.64496781757884225</v>
      </c>
      <c r="AY74" s="154">
        <f t="shared" si="49"/>
        <v>0.68655885667088201</v>
      </c>
    </row>
    <row r="75" spans="1:51" x14ac:dyDescent="0.25">
      <c r="A75" s="155" t="s">
        <v>131</v>
      </c>
      <c r="B75" s="156">
        <f t="shared" ref="B75:H75" si="50">(B46/B39)^(1/7)-1</f>
        <v>3.9866497483485697E-2</v>
      </c>
      <c r="C75" s="156">
        <f t="shared" si="50"/>
        <v>6.3470028116382471E-2</v>
      </c>
      <c r="D75" s="156">
        <f t="shared" si="50"/>
        <v>7.5935152044300347E-2</v>
      </c>
      <c r="E75" s="156">
        <f t="shared" si="50"/>
        <v>0.10309299119825011</v>
      </c>
      <c r="F75" s="156">
        <f t="shared" si="50"/>
        <v>0.11402760023065506</v>
      </c>
      <c r="G75" s="156">
        <f t="shared" si="50"/>
        <v>0.13955242189961825</v>
      </c>
      <c r="H75" s="156">
        <f t="shared" si="50"/>
        <v>0.16297194440863194</v>
      </c>
      <c r="J75" s="156">
        <f t="shared" ref="J75:P75" si="51">(J46/J39)^(1/7)-1</f>
        <v>3.2599795173129165E-2</v>
      </c>
      <c r="K75" s="156">
        <f t="shared" si="51"/>
        <v>4.2127589557588774E-2</v>
      </c>
      <c r="L75" s="156">
        <f t="shared" si="51"/>
        <v>4.876596946488565E-2</v>
      </c>
      <c r="M75" s="156">
        <f t="shared" si="51"/>
        <v>6.5797440457815881E-2</v>
      </c>
      <c r="N75" s="156">
        <f t="shared" si="51"/>
        <v>7.1787789927183265E-2</v>
      </c>
      <c r="O75" s="156">
        <f t="shared" si="51"/>
        <v>8.2125741834023547E-2</v>
      </c>
      <c r="P75" s="156">
        <f t="shared" si="51"/>
        <v>8.8657908836213384E-2</v>
      </c>
      <c r="R75" s="522">
        <f t="shared" ref="R75:X75" si="52">(R46/R39)^(1/7)-1</f>
        <v>3.0254865974017386E-2</v>
      </c>
      <c r="S75" s="522">
        <f t="shared" si="52"/>
        <v>4.2037913170376084E-2</v>
      </c>
      <c r="T75" s="522">
        <f t="shared" si="52"/>
        <v>4.8635289349725275E-2</v>
      </c>
      <c r="U75" s="522">
        <f t="shared" si="52"/>
        <v>6.5649479583225867E-2</v>
      </c>
      <c r="V75" s="522">
        <f t="shared" si="52"/>
        <v>7.1643777237277551E-2</v>
      </c>
      <c r="W75" s="522">
        <f t="shared" si="52"/>
        <v>8.1967813203939199E-2</v>
      </c>
      <c r="X75" s="522">
        <f t="shared" si="52"/>
        <v>8.8630572920674E-2</v>
      </c>
      <c r="Z75" s="522">
        <f t="shared" ref="Z75:AF75" si="53">(Z46/Z39)^(1/7)-1</f>
        <v>3.2599799632682336E-2</v>
      </c>
      <c r="AA75" s="522">
        <f t="shared" si="53"/>
        <v>4.6396911062751789E-2</v>
      </c>
      <c r="AB75" s="522">
        <f t="shared" si="53"/>
        <v>5.2915905561977228E-2</v>
      </c>
      <c r="AC75" s="522">
        <f t="shared" si="53"/>
        <v>7.1805218871015208E-2</v>
      </c>
      <c r="AD75" s="522">
        <f t="shared" si="53"/>
        <v>7.9173884681816853E-2</v>
      </c>
      <c r="AE75" s="522">
        <f t="shared" si="53"/>
        <v>9.340016120299599E-2</v>
      </c>
      <c r="AF75" s="522">
        <f t="shared" si="53"/>
        <v>0.10374093837821552</v>
      </c>
      <c r="AK75" s="522">
        <f t="shared" ref="AK75:AQ75" si="54">(AK46/AK39)^(1/7)-1</f>
        <v>3.201354848446103E-2</v>
      </c>
      <c r="AL75" s="522">
        <f t="shared" si="54"/>
        <v>4.743096423338411E-2</v>
      </c>
      <c r="AM75" s="522">
        <f t="shared" si="54"/>
        <v>5.2938358323374679E-2</v>
      </c>
      <c r="AN75" s="522">
        <f t="shared" si="54"/>
        <v>6.5147047607019282E-2</v>
      </c>
      <c r="AO75" s="522">
        <f t="shared" si="54"/>
        <v>7.0429163430536956E-2</v>
      </c>
      <c r="AP75" s="522">
        <f t="shared" si="54"/>
        <v>8.3316878874549749E-2</v>
      </c>
      <c r="AQ75" s="522">
        <f t="shared" si="54"/>
        <v>9.0313197391796995E-2</v>
      </c>
      <c r="AS75" s="522">
        <f t="shared" ref="AS75:AY75" si="55">(AS46/AS39)^(1/7)-1</f>
        <v>3.202484282705953E-2</v>
      </c>
      <c r="AT75" s="522">
        <f t="shared" si="55"/>
        <v>4.4170488211397796E-2</v>
      </c>
      <c r="AU75" s="522">
        <f t="shared" si="55"/>
        <v>4.8675686824875664E-2</v>
      </c>
      <c r="AV75" s="522">
        <f t="shared" si="55"/>
        <v>5.9340778838329999E-2</v>
      </c>
      <c r="AW75" s="522">
        <f t="shared" si="55"/>
        <v>6.3705822261255429E-2</v>
      </c>
      <c r="AX75" s="522">
        <f t="shared" si="55"/>
        <v>7.3691782857852939E-2</v>
      </c>
      <c r="AY75" s="522">
        <f t="shared" si="55"/>
        <v>7.7528549918000289E-2</v>
      </c>
    </row>
    <row r="76" spans="1:51" x14ac:dyDescent="0.25">
      <c r="A76" s="153" t="s">
        <v>132</v>
      </c>
      <c r="B76" s="157">
        <f t="shared" ref="B76:H76" si="56">B53/B48-1</f>
        <v>0.16095794556014265</v>
      </c>
      <c r="C76" s="157">
        <f t="shared" si="56"/>
        <v>0.31780528797211893</v>
      </c>
      <c r="D76" s="157">
        <f t="shared" si="56"/>
        <v>0.39985653462943116</v>
      </c>
      <c r="E76" s="157">
        <f t="shared" si="56"/>
        <v>0.61791195876652227</v>
      </c>
      <c r="F76" s="157">
        <f t="shared" si="56"/>
        <v>0.71980445576271168</v>
      </c>
      <c r="G76" s="157">
        <f t="shared" si="56"/>
        <v>0.94126217409642998</v>
      </c>
      <c r="H76" s="157">
        <f t="shared" si="56"/>
        <v>1.2302879811421823</v>
      </c>
      <c r="J76" s="157">
        <f t="shared" ref="J76:P76" si="57">J53/J48-1</f>
        <v>7.6323606366107688E-2</v>
      </c>
      <c r="K76" s="157">
        <f t="shared" si="57"/>
        <v>0.14428057022811025</v>
      </c>
      <c r="L76" s="157">
        <f t="shared" si="57"/>
        <v>0.18318644021968877</v>
      </c>
      <c r="M76" s="157">
        <f t="shared" si="57"/>
        <v>0.30307178729899653</v>
      </c>
      <c r="N76" s="157">
        <f t="shared" si="57"/>
        <v>0.35210639016093848</v>
      </c>
      <c r="O76" s="157">
        <f t="shared" si="57"/>
        <v>0.46801881680263269</v>
      </c>
      <c r="P76" s="157">
        <f t="shared" si="57"/>
        <v>0.62199205350748366</v>
      </c>
      <c r="R76" s="154">
        <f t="shared" ref="R76:X76" si="58">R53/R48-1</f>
        <v>7.992988584491223E-2</v>
      </c>
      <c r="S76" s="154">
        <f t="shared" si="58"/>
        <v>0.14383311770899998</v>
      </c>
      <c r="T76" s="154">
        <f t="shared" si="58"/>
        <v>0.18290442472753399</v>
      </c>
      <c r="U76" s="154">
        <f t="shared" si="58"/>
        <v>0.30121896736224585</v>
      </c>
      <c r="V76" s="154">
        <f t="shared" si="58"/>
        <v>0.35006795076619257</v>
      </c>
      <c r="W76" s="154">
        <f t="shared" si="58"/>
        <v>0.46871074844310168</v>
      </c>
      <c r="X76" s="154">
        <f t="shared" si="58"/>
        <v>0.62192996489856278</v>
      </c>
      <c r="Z76" s="154">
        <f t="shared" ref="Z76:AF76" si="59">Z53/Z48-1</f>
        <v>7.6323358273123754E-2</v>
      </c>
      <c r="AA76" s="154">
        <f t="shared" si="59"/>
        <v>0.12913850510034486</v>
      </c>
      <c r="AB76" s="154">
        <f t="shared" si="59"/>
        <v>0.15917625531350366</v>
      </c>
      <c r="AC76" s="154">
        <f t="shared" si="59"/>
        <v>0.26645343008147138</v>
      </c>
      <c r="AD76" s="154">
        <f t="shared" si="59"/>
        <v>0.31434921924151382</v>
      </c>
      <c r="AE76" s="154">
        <f t="shared" si="59"/>
        <v>0.43640509829582208</v>
      </c>
      <c r="AF76" s="154">
        <f t="shared" si="59"/>
        <v>0.61414853303799122</v>
      </c>
      <c r="AK76" s="154">
        <f t="shared" ref="AK76:AQ76" si="60">AK53/AK48-1</f>
        <v>7.5991953352822383E-2</v>
      </c>
      <c r="AL76" s="154">
        <f t="shared" si="60"/>
        <v>0.15329488745515474</v>
      </c>
      <c r="AM76" s="154">
        <f t="shared" si="60"/>
        <v>0.18133043752053202</v>
      </c>
      <c r="AN76" s="154">
        <f t="shared" si="60"/>
        <v>0.25306480298712386</v>
      </c>
      <c r="AO76" s="154">
        <f t="shared" si="60"/>
        <v>0.29149669338887696</v>
      </c>
      <c r="AP76" s="154">
        <f t="shared" si="60"/>
        <v>0.37846768916000229</v>
      </c>
      <c r="AQ76" s="154">
        <f t="shared" si="60"/>
        <v>0.50791823346100573</v>
      </c>
      <c r="AS76" s="154">
        <f t="shared" ref="AS76:AY76" si="61">AS53/AS48-1</f>
        <v>7.5987978418434965E-2</v>
      </c>
      <c r="AT76" s="154">
        <f t="shared" si="61"/>
        <v>0.11752052130980539</v>
      </c>
      <c r="AU76" s="154">
        <f t="shared" si="61"/>
        <v>0.13259861385103644</v>
      </c>
      <c r="AV76" s="154">
        <f t="shared" si="61"/>
        <v>0.17813398756389498</v>
      </c>
      <c r="AW76" s="154">
        <f t="shared" si="61"/>
        <v>0.20497077578455269</v>
      </c>
      <c r="AX76" s="154">
        <f t="shared" si="61"/>
        <v>0.27093785856136354</v>
      </c>
      <c r="AY76" s="154">
        <f t="shared" si="61"/>
        <v>0.37954583139357578</v>
      </c>
    </row>
    <row r="77" spans="1:51" x14ac:dyDescent="0.25">
      <c r="A77" s="155" t="s">
        <v>133</v>
      </c>
      <c r="B77" s="156">
        <f t="shared" ref="B77:H77" si="62">(B53/B48)^(1/5)-1</f>
        <v>3.0299045863142027E-2</v>
      </c>
      <c r="C77" s="156">
        <f t="shared" si="62"/>
        <v>5.6745115690190806E-2</v>
      </c>
      <c r="D77" s="156">
        <f t="shared" si="62"/>
        <v>6.9588453105166037E-2</v>
      </c>
      <c r="E77" s="156">
        <f t="shared" si="62"/>
        <v>0.10100927372580815</v>
      </c>
      <c r="F77" s="156">
        <f t="shared" si="62"/>
        <v>0.11454039614865485</v>
      </c>
      <c r="G77" s="156">
        <f t="shared" si="62"/>
        <v>0.14187046127904024</v>
      </c>
      <c r="H77" s="156">
        <f t="shared" si="62"/>
        <v>0.17401106139331723</v>
      </c>
      <c r="J77" s="156">
        <f t="shared" ref="J77:P77" si="63">(J53/J48)^(1/5)-1</f>
        <v>1.481896115080561E-2</v>
      </c>
      <c r="K77" s="156">
        <f t="shared" si="63"/>
        <v>2.7321801670696644E-2</v>
      </c>
      <c r="L77" s="156">
        <f t="shared" si="63"/>
        <v>3.4214534167352983E-2</v>
      </c>
      <c r="M77" s="156">
        <f t="shared" si="63"/>
        <v>5.4371524552536243E-2</v>
      </c>
      <c r="N77" s="156">
        <f t="shared" si="63"/>
        <v>6.2189913490468429E-2</v>
      </c>
      <c r="O77" s="156">
        <f t="shared" si="63"/>
        <v>7.9807462326062062E-2</v>
      </c>
      <c r="P77" s="156">
        <f t="shared" si="63"/>
        <v>0.10156402548766996</v>
      </c>
      <c r="R77" s="522">
        <f t="shared" ref="R77:X77" si="64">(R53/R48)^(1/5)-1</f>
        <v>1.5498092552237219E-2</v>
      </c>
      <c r="S77" s="522">
        <f t="shared" si="64"/>
        <v>2.7241445566299927E-2</v>
      </c>
      <c r="T77" s="522">
        <f t="shared" si="64"/>
        <v>3.4165227934201514E-2</v>
      </c>
      <c r="U77" s="522">
        <f t="shared" si="64"/>
        <v>5.4071514584434599E-2</v>
      </c>
      <c r="V77" s="522">
        <f t="shared" si="64"/>
        <v>6.1869448078426759E-2</v>
      </c>
      <c r="W77" s="522">
        <f t="shared" si="64"/>
        <v>7.9909233790532275E-2</v>
      </c>
      <c r="X77" s="522">
        <f t="shared" si="64"/>
        <v>0.10155559195372099</v>
      </c>
      <c r="Z77" s="522">
        <f t="shared" ref="Z77:AF77" si="65">(Z53/Z48)^(1/5)-1</f>
        <v>1.481891436757321E-2</v>
      </c>
      <c r="AA77" s="522">
        <f t="shared" si="65"/>
        <v>2.4588420954134271E-2</v>
      </c>
      <c r="AB77" s="522">
        <f t="shared" si="65"/>
        <v>2.998261723278195E-2</v>
      </c>
      <c r="AC77" s="522">
        <f t="shared" si="65"/>
        <v>4.8377869953127428E-2</v>
      </c>
      <c r="AD77" s="522">
        <f t="shared" si="65"/>
        <v>5.6190250551559462E-2</v>
      </c>
      <c r="AE77" s="522">
        <f t="shared" si="65"/>
        <v>7.5116154611569286E-2</v>
      </c>
      <c r="AF77" s="522">
        <f t="shared" si="65"/>
        <v>0.10049658484480783</v>
      </c>
      <c r="AK77" s="522">
        <f t="shared" ref="AK77:AQ77" si="66">(AK53/AK48)^(1/5)-1</f>
        <v>1.475641318560017E-2</v>
      </c>
      <c r="AL77" s="522">
        <f t="shared" si="66"/>
        <v>2.8935315185024457E-2</v>
      </c>
      <c r="AM77" s="522">
        <f t="shared" si="66"/>
        <v>3.3889866735867358E-2</v>
      </c>
      <c r="AN77" s="522">
        <f t="shared" si="66"/>
        <v>4.6151799134085403E-2</v>
      </c>
      <c r="AO77" s="522">
        <f t="shared" si="66"/>
        <v>5.249165168544101E-2</v>
      </c>
      <c r="AP77" s="522">
        <f t="shared" si="66"/>
        <v>6.6299776475295502E-2</v>
      </c>
      <c r="AQ77" s="522">
        <f t="shared" si="66"/>
        <v>8.5614307994033689E-2</v>
      </c>
      <c r="AS77" s="522">
        <f t="shared" ref="AS77:AY77" si="67">(AS53/AS48)^(1/5)-1</f>
        <v>1.475566344093715E-2</v>
      </c>
      <c r="AT77" s="522">
        <f t="shared" si="67"/>
        <v>2.247124080279761E-2</v>
      </c>
      <c r="AU77" s="522">
        <f t="shared" si="67"/>
        <v>2.5215598186738353E-2</v>
      </c>
      <c r="AV77" s="522">
        <f t="shared" si="67"/>
        <v>3.3329759289918881E-2</v>
      </c>
      <c r="AW77" s="522">
        <f t="shared" si="67"/>
        <v>3.7995098672954031E-2</v>
      </c>
      <c r="AX77" s="522">
        <f t="shared" si="67"/>
        <v>4.9119268045393571E-2</v>
      </c>
      <c r="AY77" s="522">
        <f t="shared" si="67"/>
        <v>6.6466521526799216E-2</v>
      </c>
    </row>
    <row r="78" spans="1:51" x14ac:dyDescent="0.25">
      <c r="A78" s="153" t="s">
        <v>134</v>
      </c>
      <c r="B78" s="157">
        <f t="shared" ref="B78:H78" si="68">B55/B53-1</f>
        <v>-0.17429367889700897</v>
      </c>
      <c r="C78" s="157">
        <f t="shared" si="68"/>
        <v>-0.22804535581534136</v>
      </c>
      <c r="D78" s="157">
        <f t="shared" si="68"/>
        <v>-0.27155805643341735</v>
      </c>
      <c r="E78" s="157">
        <f t="shared" si="68"/>
        <v>-0.36344181430481948</v>
      </c>
      <c r="F78" s="157">
        <f t="shared" si="68"/>
        <v>-0.39497596307628935</v>
      </c>
      <c r="G78" s="157">
        <f t="shared" si="68"/>
        <v>-0.44201574401828947</v>
      </c>
      <c r="H78" s="157">
        <f t="shared" si="68"/>
        <v>-0.46731088003703025</v>
      </c>
      <c r="J78" s="157">
        <f t="shared" ref="J78:P78" si="69">J55/J53-1</f>
        <v>-6.720952830300142E-2</v>
      </c>
      <c r="K78" s="157">
        <f t="shared" si="69"/>
        <v>-8.198584184098745E-2</v>
      </c>
      <c r="L78" s="157">
        <f t="shared" si="69"/>
        <v>-0.10602111074680898</v>
      </c>
      <c r="M78" s="157">
        <f t="shared" si="69"/>
        <v>-0.16421787356168949</v>
      </c>
      <c r="N78" s="157">
        <f t="shared" si="69"/>
        <v>-0.18371154753969354</v>
      </c>
      <c r="O78" s="157">
        <f t="shared" si="69"/>
        <v>-0.20493567961724291</v>
      </c>
      <c r="P78" s="157">
        <f t="shared" si="69"/>
        <v>-0.18187920870741558</v>
      </c>
      <c r="R78" s="154">
        <f t="shared" ref="R78:X78" si="70">R55/R53-1</f>
        <v>-3.8307452818648446E-2</v>
      </c>
      <c r="S78" s="154">
        <f t="shared" si="70"/>
        <v>-7.7848655086083518E-2</v>
      </c>
      <c r="T78" s="154">
        <f t="shared" si="70"/>
        <v>-0.10365352812243078</v>
      </c>
      <c r="U78" s="154">
        <f t="shared" si="70"/>
        <v>-0.16249575417055317</v>
      </c>
      <c r="V78" s="154">
        <f t="shared" si="70"/>
        <v>-0.18246904673941267</v>
      </c>
      <c r="W78" s="154">
        <f t="shared" si="70"/>
        <v>-0.20444224119101873</v>
      </c>
      <c r="X78" s="154">
        <f t="shared" si="70"/>
        <v>-0.18182350576630835</v>
      </c>
      <c r="Z78" s="154">
        <f t="shared" ref="Z78:AF78" si="71">Z55/Z53-1</f>
        <v>-6.7209469434603486E-2</v>
      </c>
      <c r="AA78" s="154">
        <f t="shared" si="71"/>
        <v>-0.14568575262300276</v>
      </c>
      <c r="AB78" s="154">
        <f t="shared" si="71"/>
        <v>-0.17305937802020466</v>
      </c>
      <c r="AC78" s="154">
        <f t="shared" si="71"/>
        <v>-0.23251706321196786</v>
      </c>
      <c r="AD78" s="154">
        <f t="shared" si="71"/>
        <v>-0.2517118402550037</v>
      </c>
      <c r="AE78" s="154">
        <f t="shared" si="71"/>
        <v>-0.28167431607342863</v>
      </c>
      <c r="AF78" s="154">
        <f t="shared" si="71"/>
        <v>-0.26779225978453036</v>
      </c>
      <c r="AK78" s="154">
        <f t="shared" ref="AK78:AQ78" si="72">AK55/AK53-1</f>
        <v>-6.6849879220719943E-2</v>
      </c>
      <c r="AL78" s="154">
        <f t="shared" si="72"/>
        <v>-9.6469055824670136E-2</v>
      </c>
      <c r="AM78" s="154">
        <f t="shared" si="72"/>
        <v>-0.1111712508939483</v>
      </c>
      <c r="AN78" s="154">
        <f t="shared" si="72"/>
        <v>-0.12904842101978187</v>
      </c>
      <c r="AO78" s="154">
        <f t="shared" si="72"/>
        <v>-0.1298130087128393</v>
      </c>
      <c r="AP78" s="154">
        <f t="shared" si="72"/>
        <v>-0.11877673680086687</v>
      </c>
      <c r="AQ78" s="154">
        <f t="shared" si="72"/>
        <v>-5.5621981612820504E-2</v>
      </c>
      <c r="AS78" s="154">
        <f t="shared" ref="AS78:AY78" si="73">AS55/AS53-1</f>
        <v>-6.684294114884648E-2</v>
      </c>
      <c r="AT78" s="154">
        <f t="shared" si="73"/>
        <v>-8.0826100910020182E-2</v>
      </c>
      <c r="AU78" s="154">
        <f t="shared" si="73"/>
        <v>-8.4670399490797466E-2</v>
      </c>
      <c r="AV78" s="154">
        <f t="shared" si="73"/>
        <v>-7.7262160177665518E-2</v>
      </c>
      <c r="AW78" s="154">
        <f t="shared" si="73"/>
        <v>-6.6145112228514269E-2</v>
      </c>
      <c r="AX78" s="154">
        <f t="shared" si="73"/>
        <v>-2.7917199220909406E-2</v>
      </c>
      <c r="AY78" s="154">
        <f t="shared" si="73"/>
        <v>7.6085541626864206E-2</v>
      </c>
    </row>
    <row r="79" spans="1:51" x14ac:dyDescent="0.25">
      <c r="A79" s="155" t="s">
        <v>135</v>
      </c>
      <c r="B79" s="156">
        <f t="shared" ref="B79:H79" si="74">(B55/B53)^(1/2)-1</f>
        <v>-9.1316159985778689E-2</v>
      </c>
      <c r="C79" s="156">
        <f t="shared" si="74"/>
        <v>-0.12139050529563555</v>
      </c>
      <c r="D79" s="156">
        <f t="shared" si="74"/>
        <v>-0.14651189606030091</v>
      </c>
      <c r="E79" s="156">
        <f t="shared" si="74"/>
        <v>-0.20215403385416519</v>
      </c>
      <c r="F79" s="156">
        <f t="shared" si="74"/>
        <v>-0.22216708932849172</v>
      </c>
      <c r="G79" s="156">
        <f t="shared" si="74"/>
        <v>-0.25301656244484871</v>
      </c>
      <c r="H79" s="156">
        <f t="shared" si="74"/>
        <v>-0.27014445267370224</v>
      </c>
      <c r="J79" s="156">
        <f t="shared" ref="J79:P79" si="75">(J55/J53)^(1/2)-1</f>
        <v>-3.4189215375496795E-2</v>
      </c>
      <c r="K79" s="156">
        <f t="shared" si="75"/>
        <v>-4.186944618229993E-2</v>
      </c>
      <c r="L79" s="156">
        <f t="shared" si="75"/>
        <v>-5.4495431394860461E-2</v>
      </c>
      <c r="M79" s="156">
        <f t="shared" si="75"/>
        <v>-8.5788795497282022E-2</v>
      </c>
      <c r="N79" s="156">
        <f t="shared" si="75"/>
        <v>-9.6513169736101578E-2</v>
      </c>
      <c r="O79" s="156">
        <f t="shared" si="75"/>
        <v>-0.1083362066435819</v>
      </c>
      <c r="P79" s="156">
        <f t="shared" si="75"/>
        <v>-9.5499700778057028E-2</v>
      </c>
      <c r="R79" s="522">
        <f t="shared" ref="R79:X79" si="76">(R55/R53)^(1/2)-1</f>
        <v>-1.9340758886476683E-2</v>
      </c>
      <c r="S79" s="522">
        <f t="shared" si="76"/>
        <v>-3.9712884125837844E-2</v>
      </c>
      <c r="T79" s="522">
        <f t="shared" si="76"/>
        <v>-5.3244238529508991E-2</v>
      </c>
      <c r="U79" s="522">
        <f t="shared" si="76"/>
        <v>-8.4847419372350297E-2</v>
      </c>
      <c r="V79" s="522">
        <f t="shared" si="76"/>
        <v>-9.5825816968551525E-2</v>
      </c>
      <c r="W79" s="522">
        <f t="shared" si="76"/>
        <v>-0.10805955422518188</v>
      </c>
      <c r="X79" s="522">
        <f t="shared" si="76"/>
        <v>-9.5468909194553087E-2</v>
      </c>
      <c r="Z79" s="522">
        <f t="shared" ref="Z79:AF79" si="77">(Z55/Z53)^(1/2)-1</f>
        <v>-3.4189184899342417E-2</v>
      </c>
      <c r="AA79" s="522">
        <f t="shared" si="77"/>
        <v>-7.5708786487182267E-2</v>
      </c>
      <c r="AB79" s="522">
        <f t="shared" si="77"/>
        <v>-9.0637244011062768E-2</v>
      </c>
      <c r="AC79" s="522">
        <f t="shared" si="77"/>
        <v>-0.12393896514681568</v>
      </c>
      <c r="AD79" s="522">
        <f t="shared" si="77"/>
        <v>-0.13496349224729465</v>
      </c>
      <c r="AE79" s="522">
        <f t="shared" si="77"/>
        <v>-0.15245903702147157</v>
      </c>
      <c r="AF79" s="522">
        <f t="shared" si="77"/>
        <v>-0.14430861859226973</v>
      </c>
      <c r="AK79" s="522">
        <f t="shared" ref="AK79:AQ79" si="78">(AK55/AK53)^(1/2)-1</f>
        <v>-3.4003043079699924E-2</v>
      </c>
      <c r="AL79" s="522">
        <f t="shared" si="78"/>
        <v>-4.9457552670408189E-2</v>
      </c>
      <c r="AM79" s="522">
        <f t="shared" si="78"/>
        <v>-5.7222852893616394E-2</v>
      </c>
      <c r="AN79" s="522">
        <f t="shared" si="78"/>
        <v>-6.675213422145021E-2</v>
      </c>
      <c r="AO79" s="522">
        <f t="shared" si="78"/>
        <v>-6.7161862225197932E-2</v>
      </c>
      <c r="AP79" s="522">
        <f t="shared" si="78"/>
        <v>-6.126507298432049E-2</v>
      </c>
      <c r="AQ79" s="522">
        <f t="shared" si="78"/>
        <v>-2.820886071791151E-2</v>
      </c>
      <c r="AS79" s="522">
        <f t="shared" ref="AS79:AY79" si="79">(AS55/AS53)^(1/2)-1</f>
        <v>-3.3999451940552206E-2</v>
      </c>
      <c r="AT79" s="522">
        <f t="shared" si="79"/>
        <v>-4.1264426919507824E-2</v>
      </c>
      <c r="AU79" s="522">
        <f t="shared" si="79"/>
        <v>-4.3271407080773705E-2</v>
      </c>
      <c r="AV79" s="522">
        <f t="shared" si="79"/>
        <v>-3.94075578985984E-2</v>
      </c>
      <c r="AW79" s="522">
        <f t="shared" si="79"/>
        <v>-3.3638324553645349E-2</v>
      </c>
      <c r="AX79" s="522">
        <f t="shared" si="79"/>
        <v>-1.4057404927096839E-2</v>
      </c>
      <c r="AY79" s="522">
        <f t="shared" si="79"/>
        <v>3.7345430233759691E-2</v>
      </c>
    </row>
    <row r="80" spans="1:51" x14ac:dyDescent="0.25">
      <c r="A80" s="153" t="s">
        <v>136</v>
      </c>
      <c r="B80" s="157">
        <f t="shared" ref="B80:H80" si="80">B60/B39-1</f>
        <v>0.20048726017663188</v>
      </c>
      <c r="C80" s="157">
        <f t="shared" si="80"/>
        <v>0.47431323136804804</v>
      </c>
      <c r="D80" s="157">
        <f t="shared" si="80"/>
        <v>0.57887936345872859</v>
      </c>
      <c r="E80" s="157">
        <f t="shared" si="80"/>
        <v>0.80693766087458729</v>
      </c>
      <c r="F80" s="157">
        <f t="shared" si="80"/>
        <v>0.91189433537140774</v>
      </c>
      <c r="G80" s="157">
        <f t="shared" si="80"/>
        <v>1.1935010629979979</v>
      </c>
      <c r="H80" s="157">
        <f t="shared" si="80"/>
        <v>1.6044747308000606</v>
      </c>
      <c r="J80" s="157">
        <f t="shared" ref="J80:P80" si="81">J60/J39-1</f>
        <v>0.3207152861758602</v>
      </c>
      <c r="K80" s="157">
        <f t="shared" si="81"/>
        <v>0.49099406575828963</v>
      </c>
      <c r="L80" s="157">
        <f t="shared" si="81"/>
        <v>0.55825307434063243</v>
      </c>
      <c r="M80" s="157">
        <f t="shared" si="81"/>
        <v>0.72147375103116551</v>
      </c>
      <c r="N80" s="157">
        <f t="shared" si="81"/>
        <v>0.78382012107583532</v>
      </c>
      <c r="O80" s="157">
        <f t="shared" si="81"/>
        <v>0.92656410913437659</v>
      </c>
      <c r="P80" s="157">
        <f t="shared" si="81"/>
        <v>1.1275385890939202</v>
      </c>
      <c r="R80" s="154">
        <f t="shared" ref="R80:X80" si="82">R60/R39-1</f>
        <v>0.35222321995759609</v>
      </c>
      <c r="S80" s="154">
        <f t="shared" si="82"/>
        <v>0.49797742019818325</v>
      </c>
      <c r="T80" s="154">
        <f t="shared" si="82"/>
        <v>0.5614656772183837</v>
      </c>
      <c r="U80" s="154">
        <f t="shared" si="82"/>
        <v>0.72108835774506042</v>
      </c>
      <c r="V80" s="154">
        <f t="shared" si="82"/>
        <v>0.78320915930589696</v>
      </c>
      <c r="W80" s="154">
        <f t="shared" si="82"/>
        <v>0.92528084679218048</v>
      </c>
      <c r="X80" s="154">
        <f t="shared" si="82"/>
        <v>1.1273958142978691</v>
      </c>
      <c r="Z80" s="154">
        <f t="shared" ref="Z80:AF80" si="83">Z60/Z39-1</f>
        <v>0.32071507896849605</v>
      </c>
      <c r="AA80" s="154">
        <f t="shared" si="83"/>
        <v>0.41671651664690113</v>
      </c>
      <c r="AB80" s="154">
        <f t="shared" si="83"/>
        <v>0.45643973994826204</v>
      </c>
      <c r="AC80" s="154">
        <f t="shared" si="83"/>
        <v>0.56689602634681213</v>
      </c>
      <c r="AD80" s="154">
        <f t="shared" si="83"/>
        <v>0.61831288807947282</v>
      </c>
      <c r="AE80" s="154">
        <f t="shared" si="83"/>
        <v>0.73024610923646205</v>
      </c>
      <c r="AF80" s="154">
        <f t="shared" si="83"/>
        <v>0.9237178423857666</v>
      </c>
      <c r="AK80" s="154">
        <f t="shared" ref="AK80:AQ80" si="84">AK60/AK39-1</f>
        <v>0.35296129770173001</v>
      </c>
      <c r="AL80" s="154">
        <f t="shared" si="84"/>
        <v>0.60800913140218427</v>
      </c>
      <c r="AM80" s="154">
        <f t="shared" si="84"/>
        <v>0.68447597262955417</v>
      </c>
      <c r="AN80" s="154">
        <f t="shared" si="84"/>
        <v>0.86616396437879128</v>
      </c>
      <c r="AO80" s="154">
        <f t="shared" si="84"/>
        <v>0.96074602738823311</v>
      </c>
      <c r="AP80" s="154">
        <f t="shared" si="84"/>
        <v>1.2467879412259917</v>
      </c>
      <c r="AQ80" s="154">
        <f t="shared" si="84"/>
        <v>1.6097399042416711</v>
      </c>
      <c r="AS80" s="154">
        <f t="shared" ref="AS80:AY80" si="85">AS60/AS39-1</f>
        <v>0.35306888491593869</v>
      </c>
      <c r="AT80" s="154">
        <f t="shared" si="85"/>
        <v>0.55431823392468016</v>
      </c>
      <c r="AU80" s="154">
        <f t="shared" si="85"/>
        <v>0.62432923728134559</v>
      </c>
      <c r="AV80" s="154">
        <f t="shared" si="85"/>
        <v>0.80787218155813378</v>
      </c>
      <c r="AW80" s="154">
        <f t="shared" si="85"/>
        <v>0.90132397654582186</v>
      </c>
      <c r="AX80" s="154">
        <f t="shared" si="85"/>
        <v>1.1761992819075249</v>
      </c>
      <c r="AY80" s="154">
        <f t="shared" si="85"/>
        <v>1.5222269321595707</v>
      </c>
    </row>
    <row r="81" spans="1:51" x14ac:dyDescent="0.25">
      <c r="A81" s="155" t="s">
        <v>137</v>
      </c>
      <c r="B81" s="156">
        <f t="shared" ref="B81:H81" si="86">(B56/B39)^(1/17)-1</f>
        <v>7.5166121620955373E-3</v>
      </c>
      <c r="C81" s="156">
        <f t="shared" si="86"/>
        <v>1.7416968198318061E-2</v>
      </c>
      <c r="D81" s="156">
        <f t="shared" si="86"/>
        <v>2.0512435337156631E-2</v>
      </c>
      <c r="E81" s="156">
        <f t="shared" si="86"/>
        <v>2.7447551723927655E-2</v>
      </c>
      <c r="F81" s="156">
        <f t="shared" si="86"/>
        <v>3.05609240950655E-2</v>
      </c>
      <c r="G81" s="156">
        <f t="shared" si="86"/>
        <v>3.8929761049652845E-2</v>
      </c>
      <c r="H81" s="156">
        <f t="shared" si="86"/>
        <v>5.1321434000507038E-2</v>
      </c>
      <c r="J81" s="156">
        <f t="shared" ref="J81:P81" si="87">(J56/J39)^(1/17)-1</f>
        <v>1.3723853305951161E-2</v>
      </c>
      <c r="K81" s="156">
        <f t="shared" si="87"/>
        <v>2.0283463161447468E-2</v>
      </c>
      <c r="L81" s="156">
        <f t="shared" si="87"/>
        <v>2.3019160756457158E-2</v>
      </c>
      <c r="M81" s="156">
        <f t="shared" si="87"/>
        <v>2.9728710518123869E-2</v>
      </c>
      <c r="N81" s="156">
        <f t="shared" si="87"/>
        <v>3.2264936949094603E-2</v>
      </c>
      <c r="O81" s="156">
        <f t="shared" si="87"/>
        <v>3.8014522801821604E-2</v>
      </c>
      <c r="P81" s="156">
        <f t="shared" si="87"/>
        <v>4.7310888100652759E-2</v>
      </c>
      <c r="R81" s="522">
        <f t="shared" ref="R81:X81" si="88">(R56/R39)^(1/17)-1</f>
        <v>1.5877867904045662E-2</v>
      </c>
      <c r="S81" s="522">
        <f t="shared" si="88"/>
        <v>2.0653393815466936E-2</v>
      </c>
      <c r="T81" s="522">
        <f t="shared" si="88"/>
        <v>2.3154408833545137E-2</v>
      </c>
      <c r="U81" s="522">
        <f t="shared" si="88"/>
        <v>2.9709387213364691E-2</v>
      </c>
      <c r="V81" s="522">
        <f t="shared" si="88"/>
        <v>3.2253900531867608E-2</v>
      </c>
      <c r="W81" s="522">
        <f t="shared" si="88"/>
        <v>3.7975545451338855E-2</v>
      </c>
      <c r="X81" s="522">
        <f t="shared" si="88"/>
        <v>4.7305156884257071E-2</v>
      </c>
      <c r="Z81" s="522">
        <f t="shared" ref="Z81:AF81" si="89">(Z56/Z39)^(1/17)-1</f>
        <v>1.3723853740682301E-2</v>
      </c>
      <c r="AA81" s="522">
        <f t="shared" si="89"/>
        <v>1.4986005500685406E-2</v>
      </c>
      <c r="AB81" s="522">
        <f t="shared" si="89"/>
        <v>1.6857575945175007E-2</v>
      </c>
      <c r="AC81" s="522">
        <f t="shared" si="89"/>
        <v>2.3504966878997946E-2</v>
      </c>
      <c r="AD81" s="522">
        <f t="shared" si="89"/>
        <v>2.6657911158831205E-2</v>
      </c>
      <c r="AE81" s="522">
        <f t="shared" si="89"/>
        <v>3.3016415244288888E-2</v>
      </c>
      <c r="AF81" s="522">
        <f t="shared" si="89"/>
        <v>4.4123175729467778E-2</v>
      </c>
      <c r="AK81" s="522">
        <f t="shared" ref="AK81:AQ81" si="90">(AK56/AK39)^(1/17)-1</f>
        <v>1.4232118824904161E-2</v>
      </c>
      <c r="AL81" s="522">
        <f t="shared" si="90"/>
        <v>2.2948150055780658E-2</v>
      </c>
      <c r="AM81" s="522">
        <f t="shared" si="90"/>
        <v>2.5481436186739259E-2</v>
      </c>
      <c r="AN81" s="522">
        <f t="shared" si="90"/>
        <v>3.2391969061235093E-2</v>
      </c>
      <c r="AO81" s="522">
        <f t="shared" si="90"/>
        <v>3.5967128003440374E-2</v>
      </c>
      <c r="AP81" s="522">
        <f t="shared" si="90"/>
        <v>4.600973471923564E-2</v>
      </c>
      <c r="AQ81" s="522">
        <f t="shared" si="90"/>
        <v>5.8889616710524173E-2</v>
      </c>
      <c r="AS81" s="522">
        <f t="shared" ref="AS81:AY81" si="91">(AS56/AS39)^(1/17)-1</f>
        <v>1.4234684010580256E-2</v>
      </c>
      <c r="AT81" s="522">
        <f t="shared" si="91"/>
        <v>2.1564381245935849E-2</v>
      </c>
      <c r="AU81" s="522">
        <f t="shared" si="91"/>
        <v>2.4383269154862885E-2</v>
      </c>
      <c r="AV81" s="522">
        <f t="shared" si="91"/>
        <v>3.2715212839142582E-2</v>
      </c>
      <c r="AW81" s="522">
        <f t="shared" si="91"/>
        <v>3.7003209949074467E-2</v>
      </c>
      <c r="AX81" s="522">
        <f t="shared" si="91"/>
        <v>4.8513107993538362E-2</v>
      </c>
      <c r="AY81" s="522">
        <f t="shared" si="91"/>
        <v>6.2784485723899497E-2</v>
      </c>
    </row>
    <row r="82" spans="1:51" x14ac:dyDescent="0.25">
      <c r="A82" s="153" t="s">
        <v>138</v>
      </c>
      <c r="B82" s="157">
        <f t="shared" ref="B82:H82" si="92">B48/B46-1</f>
        <v>-0.11726736464992737</v>
      </c>
      <c r="C82" s="157">
        <f t="shared" si="92"/>
        <v>-0.18748398439147174</v>
      </c>
      <c r="D82" s="157">
        <f t="shared" si="92"/>
        <v>-0.2266713069889581</v>
      </c>
      <c r="E82" s="157">
        <f t="shared" si="92"/>
        <v>-0.3082417215763178</v>
      </c>
      <c r="F82" s="157">
        <f t="shared" si="92"/>
        <v>-0.34064126297443931</v>
      </c>
      <c r="G82" s="157">
        <f t="shared" si="92"/>
        <v>-0.40423282736876653</v>
      </c>
      <c r="H82" s="157">
        <f t="shared" si="92"/>
        <v>-0.45327134353109921</v>
      </c>
      <c r="J82" s="157">
        <f t="shared" ref="J82:P82" si="93">J48/J46-1</f>
        <v>-1.274550447092837E-2</v>
      </c>
      <c r="K82" s="157">
        <f t="shared" si="93"/>
        <v>-4.6804213216667501E-2</v>
      </c>
      <c r="L82" s="157">
        <f t="shared" si="93"/>
        <v>-6.9008448960673485E-2</v>
      </c>
      <c r="M82" s="157">
        <f t="shared" si="93"/>
        <v>-0.12843988826333241</v>
      </c>
      <c r="N82" s="157">
        <f t="shared" si="93"/>
        <v>-0.15178349755665232</v>
      </c>
      <c r="O82" s="157">
        <f t="shared" si="93"/>
        <v>-0.19882759788817406</v>
      </c>
      <c r="P82" s="157">
        <f t="shared" si="93"/>
        <v>-0.23442287650338167</v>
      </c>
      <c r="R82" s="154">
        <f t="shared" ref="R82:X82" si="94">R48/R46-1</f>
        <v>4.0621094307335959E-4</v>
      </c>
      <c r="S82" s="154">
        <f t="shared" si="94"/>
        <v>-4.452534187127144E-2</v>
      </c>
      <c r="T82" s="154">
        <f t="shared" si="94"/>
        <v>-6.7961963386103275E-2</v>
      </c>
      <c r="U82" s="154">
        <f t="shared" si="94"/>
        <v>-0.12777828918749767</v>
      </c>
      <c r="V82" s="154">
        <f t="shared" si="94"/>
        <v>-0.15068980032024226</v>
      </c>
      <c r="W82" s="154">
        <f t="shared" si="94"/>
        <v>-0.19920946883396118</v>
      </c>
      <c r="X82" s="154">
        <f t="shared" si="94"/>
        <v>-0.23433736376353387</v>
      </c>
      <c r="Z82" s="154">
        <f t="shared" ref="Z82:AF82" si="95">Z48/Z46-1</f>
        <v>-1.274541015978492E-2</v>
      </c>
      <c r="AA82" s="154">
        <f t="shared" si="95"/>
        <v>-7.5880509026757692E-2</v>
      </c>
      <c r="AB82" s="154">
        <f t="shared" si="95"/>
        <v>-9.8289264849667157E-2</v>
      </c>
      <c r="AC82" s="154">
        <f t="shared" si="95"/>
        <v>-0.16048302017028648</v>
      </c>
      <c r="AD82" s="154">
        <f t="shared" si="95"/>
        <v>-0.1832292719953692</v>
      </c>
      <c r="AE82" s="154">
        <f t="shared" si="95"/>
        <v>-0.24097717540670915</v>
      </c>
      <c r="AF82" s="154">
        <f t="shared" si="95"/>
        <v>-0.29027156597503101</v>
      </c>
      <c r="AK82" s="154">
        <f t="shared" ref="AK82:AQ82" si="96">AK48/AK46-1</f>
        <v>-6.9728220968052756E-3</v>
      </c>
      <c r="AL82" s="154">
        <f t="shared" si="96"/>
        <v>-3.323007756538332E-2</v>
      </c>
      <c r="AM82" s="154">
        <f t="shared" si="96"/>
        <v>-4.5365713862606571E-2</v>
      </c>
      <c r="AN82" s="154">
        <f t="shared" si="96"/>
        <v>-7.2758223353546203E-2</v>
      </c>
      <c r="AO82" s="154">
        <f t="shared" si="96"/>
        <v>-8.7168076558428842E-2</v>
      </c>
      <c r="AP82" s="154">
        <f t="shared" si="96"/>
        <v>-0.10898609313158847</v>
      </c>
      <c r="AQ82" s="154">
        <f t="shared" si="96"/>
        <v>-0.12009585780972809</v>
      </c>
      <c r="AS82" s="154">
        <f t="shared" ref="AS82:AY82" si="97">AS48/AS46-1</f>
        <v>-6.9930281829461149E-3</v>
      </c>
      <c r="AT82" s="154">
        <f t="shared" si="97"/>
        <v>-1.1176490978387577E-2</v>
      </c>
      <c r="AU82" s="154">
        <f t="shared" si="97"/>
        <v>-1.2948829991245026E-2</v>
      </c>
      <c r="AV82" s="154">
        <f t="shared" si="97"/>
        <v>-1.6556314634232794E-2</v>
      </c>
      <c r="AW82" s="154">
        <f t="shared" si="97"/>
        <v>-1.8938166375748411E-2</v>
      </c>
      <c r="AX82" s="154">
        <f t="shared" si="97"/>
        <v>-1.5173718821330895E-2</v>
      </c>
      <c r="AY82" s="154">
        <f t="shared" si="97"/>
        <v>-6.9605437824188376E-3</v>
      </c>
    </row>
    <row r="83" spans="1:51" x14ac:dyDescent="0.25">
      <c r="A83" s="155" t="s">
        <v>139</v>
      </c>
      <c r="B83" s="156">
        <f t="shared" ref="B83:H83" si="98">(B48/B46)^0.5-1</f>
        <v>-6.0461477452854684E-2</v>
      </c>
      <c r="C83" s="156">
        <f t="shared" si="98"/>
        <v>-9.8603297316587568E-2</v>
      </c>
      <c r="D83" s="156">
        <f t="shared" si="98"/>
        <v>-0.12060890781686795</v>
      </c>
      <c r="E83" s="156">
        <f t="shared" si="98"/>
        <v>-0.1682799278461039</v>
      </c>
      <c r="F83" s="156">
        <f t="shared" si="98"/>
        <v>-0.18799092552757724</v>
      </c>
      <c r="G83" s="156">
        <f t="shared" si="98"/>
        <v>-0.22814044500878694</v>
      </c>
      <c r="H83" s="156">
        <f t="shared" si="98"/>
        <v>-0.26058898001929887</v>
      </c>
      <c r="J83" s="156">
        <f t="shared" ref="J83:P83" si="99">(J48/J46)^0.5-1</f>
        <v>-6.393188666124483E-3</v>
      </c>
      <c r="K83" s="156">
        <f t="shared" si="99"/>
        <v>-2.3682537909245127E-2</v>
      </c>
      <c r="L83" s="156">
        <f t="shared" si="99"/>
        <v>-3.5120965592408293E-2</v>
      </c>
      <c r="M83" s="156">
        <f t="shared" si="99"/>
        <v>-6.6426161604414058E-2</v>
      </c>
      <c r="N83" s="156">
        <f t="shared" si="99"/>
        <v>-7.9013299529603565E-2</v>
      </c>
      <c r="O83" s="156">
        <f t="shared" si="99"/>
        <v>-0.10491765623947991</v>
      </c>
      <c r="P83" s="156">
        <f t="shared" si="99"/>
        <v>-0.1250273584296373</v>
      </c>
      <c r="R83" s="522">
        <f t="shared" ref="R83:X83" si="100">(R48/R46)^0.5-1</f>
        <v>2.0308484980846586E-4</v>
      </c>
      <c r="S83" s="522">
        <f t="shared" si="100"/>
        <v>-2.2516159658519719E-2</v>
      </c>
      <c r="T83" s="522">
        <f t="shared" si="100"/>
        <v>-3.45788294149042E-2</v>
      </c>
      <c r="U83" s="522">
        <f t="shared" si="100"/>
        <v>-6.6071892053514492E-2</v>
      </c>
      <c r="V83" s="522">
        <f t="shared" si="100"/>
        <v>-7.8419726947371315E-2</v>
      </c>
      <c r="W83" s="522">
        <f t="shared" si="100"/>
        <v>-0.10513099776222057</v>
      </c>
      <c r="X83" s="522">
        <f t="shared" si="100"/>
        <v>-0.12497849384345638</v>
      </c>
      <c r="Z83" s="522">
        <f t="shared" ref="Z83:AF83" si="101">(Z48/Z46)^0.5-1</f>
        <v>-6.3931412071396299E-3</v>
      </c>
      <c r="AA83" s="522">
        <f t="shared" si="101"/>
        <v>-3.8688660748640524E-2</v>
      </c>
      <c r="AB83" s="522">
        <f t="shared" si="101"/>
        <v>-5.0415493412864887E-2</v>
      </c>
      <c r="AC83" s="522">
        <f t="shared" si="101"/>
        <v>-8.3748408006996455E-2</v>
      </c>
      <c r="AD83" s="522">
        <f t="shared" si="101"/>
        <v>-9.6246312314781868E-2</v>
      </c>
      <c r="AE83" s="522">
        <f t="shared" si="101"/>
        <v>-0.12878084009057122</v>
      </c>
      <c r="AF83" s="522">
        <f t="shared" si="101"/>
        <v>-0.15754618285334532</v>
      </c>
      <c r="AK83" s="522">
        <f t="shared" ref="AK83:AQ83" si="102">(AK48/AK46)^0.5-1</f>
        <v>-3.4925098609671634E-3</v>
      </c>
      <c r="AL83" s="522">
        <f t="shared" si="102"/>
        <v>-1.6755410676154936E-2</v>
      </c>
      <c r="AM83" s="522">
        <f t="shared" si="102"/>
        <v>-2.2946119122699837E-2</v>
      </c>
      <c r="AN83" s="522">
        <f t="shared" si="102"/>
        <v>-3.7066058004779912E-2</v>
      </c>
      <c r="AO83" s="522">
        <f t="shared" si="102"/>
        <v>-4.4577620399453344E-2</v>
      </c>
      <c r="AP83" s="522">
        <f t="shared" si="102"/>
        <v>-5.6064670187405463E-2</v>
      </c>
      <c r="AQ83" s="522">
        <f t="shared" si="102"/>
        <v>-6.1967941811010396E-2</v>
      </c>
      <c r="AS83" s="522">
        <f t="shared" ref="AS83:AY83" si="103">(AS48/AS46)^0.5-1</f>
        <v>-3.5026483642548456E-3</v>
      </c>
      <c r="AT83" s="522">
        <f t="shared" si="103"/>
        <v>-5.6039476035655289E-3</v>
      </c>
      <c r="AU83" s="522">
        <f t="shared" si="103"/>
        <v>-6.4955108260682515E-3</v>
      </c>
      <c r="AV83" s="522">
        <f t="shared" si="103"/>
        <v>-8.3127078732090354E-3</v>
      </c>
      <c r="AW83" s="522">
        <f t="shared" si="103"/>
        <v>-9.5143445641165947E-3</v>
      </c>
      <c r="AX83" s="522">
        <f t="shared" si="103"/>
        <v>-7.6158600729910875E-3</v>
      </c>
      <c r="AY83" s="522">
        <f t="shared" si="103"/>
        <v>-3.486349206604622E-3</v>
      </c>
    </row>
    <row r="84" spans="1:51" x14ac:dyDescent="0.25">
      <c r="A84" s="153" t="s">
        <v>140</v>
      </c>
      <c r="B84" s="157">
        <f t="shared" ref="B84:H84" si="104">(B53/B46)^(1/7)-1</f>
        <v>3.5079333048453343E-3</v>
      </c>
      <c r="C84" s="157">
        <f t="shared" si="104"/>
        <v>9.8118289622435295E-3</v>
      </c>
      <c r="D84" s="157">
        <f t="shared" si="104"/>
        <v>1.1395677724107101E-2</v>
      </c>
      <c r="E84" s="157">
        <f t="shared" si="104"/>
        <v>1.6218356987317994E-2</v>
      </c>
      <c r="F84" s="157">
        <f t="shared" si="104"/>
        <v>1.8122697059788084E-2</v>
      </c>
      <c r="G84" s="157">
        <f t="shared" si="104"/>
        <v>2.099347353537695E-2</v>
      </c>
      <c r="H84" s="157">
        <f t="shared" si="104"/>
        <v>2.8737765048296726E-2</v>
      </c>
      <c r="J84" s="157">
        <f t="shared" ref="J84:P84" si="105">(J53/J46)^(1/7)-1</f>
        <v>8.7125553879949802E-3</v>
      </c>
      <c r="K84" s="157">
        <f t="shared" si="105"/>
        <v>1.2483152537976494E-2</v>
      </c>
      <c r="L84" s="157">
        <f t="shared" si="105"/>
        <v>1.3911026709342522E-2</v>
      </c>
      <c r="M84" s="157">
        <f t="shared" si="105"/>
        <v>1.8345381949792516E-2</v>
      </c>
      <c r="N84" s="157">
        <f t="shared" si="105"/>
        <v>1.9770658111347927E-2</v>
      </c>
      <c r="O84" s="157">
        <f t="shared" si="105"/>
        <v>2.3447034336909534E-2</v>
      </c>
      <c r="P84" s="157">
        <f t="shared" si="105"/>
        <v>3.1416210532764E-2</v>
      </c>
      <c r="R84" s="154">
        <f t="shared" ref="R84:X84" si="106">(R53/R46)^(1/7)-1</f>
        <v>1.1104379108132445E-2</v>
      </c>
      <c r="S84" s="154">
        <f t="shared" si="106"/>
        <v>1.2772012610050787E-2</v>
      </c>
      <c r="T84" s="154">
        <f t="shared" si="106"/>
        <v>1.4039228311208518E-2</v>
      </c>
      <c r="U84" s="154">
        <f t="shared" si="106"/>
        <v>1.8248776302441261E-2</v>
      </c>
      <c r="V84" s="154">
        <f t="shared" si="106"/>
        <v>1.9738584956305427E-2</v>
      </c>
      <c r="W84" s="154">
        <f t="shared" si="106"/>
        <v>2.3446226135651838E-2</v>
      </c>
      <c r="X84" s="154">
        <f t="shared" si="106"/>
        <v>3.1427027330105828E-2</v>
      </c>
      <c r="Z84" s="154">
        <f t="shared" ref="Z84:AF84" si="107">(Z53/Z46)^(1/7)-1</f>
        <v>8.712535938332433E-3</v>
      </c>
      <c r="AA84" s="154">
        <f t="shared" si="107"/>
        <v>6.0957985950689242E-3</v>
      </c>
      <c r="AB84" s="154">
        <f t="shared" si="107"/>
        <v>6.341181418896058E-3</v>
      </c>
      <c r="AC84" s="154">
        <f t="shared" si="107"/>
        <v>8.7944232239502984E-3</v>
      </c>
      <c r="AD84" s="154">
        <f t="shared" si="107"/>
        <v>1.0186504579441591E-2</v>
      </c>
      <c r="AE84" s="154">
        <f t="shared" si="107"/>
        <v>1.2422252042668669E-2</v>
      </c>
      <c r="AF84" s="154">
        <f t="shared" si="107"/>
        <v>1.9609026336887991E-2</v>
      </c>
      <c r="AK84" s="154">
        <f t="shared" ref="AK84:AQ84" si="108">(AK53/AK46)^(1/7)-1</f>
        <v>9.5085989861531939E-3</v>
      </c>
      <c r="AL84" s="154">
        <f t="shared" si="108"/>
        <v>1.5668370790303587E-2</v>
      </c>
      <c r="AM84" s="154">
        <f t="shared" si="108"/>
        <v>1.7321788291366547E-2</v>
      </c>
      <c r="AN84" s="154">
        <f t="shared" si="108"/>
        <v>2.1667322957873436E-2</v>
      </c>
      <c r="AO84" s="154">
        <f t="shared" si="108"/>
        <v>2.3792672546784743E-2</v>
      </c>
      <c r="AP84" s="154">
        <f t="shared" si="108"/>
        <v>2.98036790689713E-2</v>
      </c>
      <c r="AQ84" s="154">
        <f t="shared" si="108"/>
        <v>4.1225358070295925E-2</v>
      </c>
      <c r="AS84" s="154">
        <f t="shared" ref="AS84:AY84" si="109">(AS53/AS46)^(1/7)-1</f>
        <v>9.5051317068588492E-3</v>
      </c>
      <c r="AT84" s="154">
        <f t="shared" si="109"/>
        <v>1.4369838099576038E-2</v>
      </c>
      <c r="AU84" s="154">
        <f t="shared" si="109"/>
        <v>1.605338637162923E-2</v>
      </c>
      <c r="AV84" s="154">
        <f t="shared" si="109"/>
        <v>2.1256615937901513E-2</v>
      </c>
      <c r="AW84" s="154">
        <f t="shared" si="109"/>
        <v>2.4193091600813954E-2</v>
      </c>
      <c r="AX84" s="154">
        <f t="shared" si="109"/>
        <v>3.2586108282147697E-2</v>
      </c>
      <c r="AY84" s="154">
        <f t="shared" si="109"/>
        <v>4.5993409690005205E-2</v>
      </c>
    </row>
    <row r="85" spans="1:51" x14ac:dyDescent="0.25">
      <c r="A85" s="153" t="s">
        <v>141</v>
      </c>
      <c r="B85" s="157">
        <f t="shared" ref="B85:H85" si="110">B60/B55-1</f>
        <v>7.9053980072265384E-2</v>
      </c>
      <c r="C85" s="157">
        <f t="shared" si="110"/>
        <v>0.15941261189139122</v>
      </c>
      <c r="D85" s="157">
        <f t="shared" si="110"/>
        <v>0.19950945122195862</v>
      </c>
      <c r="E85" s="157">
        <f t="shared" si="110"/>
        <v>0.27617706658931684</v>
      </c>
      <c r="F85" s="157">
        <f t="shared" si="110"/>
        <v>0.30863571098372478</v>
      </c>
      <c r="G85" s="157">
        <f t="shared" si="110"/>
        <v>0.36211878715879897</v>
      </c>
      <c r="H85" s="157">
        <f t="shared" si="110"/>
        <v>0.39357027575851311</v>
      </c>
      <c r="J85" s="157"/>
      <c r="K85" s="157"/>
      <c r="L85" s="157"/>
      <c r="M85" s="157"/>
      <c r="N85" s="157"/>
      <c r="O85" s="157"/>
      <c r="P85" s="157"/>
      <c r="R85" s="157"/>
      <c r="S85" s="157"/>
      <c r="T85" s="157"/>
      <c r="U85" s="157"/>
      <c r="V85" s="157"/>
      <c r="W85" s="157"/>
      <c r="X85" s="157"/>
      <c r="Z85" s="157"/>
      <c r="AA85" s="157"/>
      <c r="AB85" s="157"/>
      <c r="AC85" s="157"/>
      <c r="AD85" s="157"/>
      <c r="AE85" s="157"/>
      <c r="AF85" s="157"/>
      <c r="AK85" s="157"/>
      <c r="AL85" s="157"/>
      <c r="AM85" s="157"/>
      <c r="AN85" s="157"/>
      <c r="AO85" s="157"/>
      <c r="AP85" s="157"/>
      <c r="AQ85" s="157"/>
      <c r="AS85" s="157"/>
      <c r="AT85" s="157"/>
      <c r="AU85" s="157"/>
      <c r="AV85" s="157"/>
      <c r="AW85" s="157"/>
      <c r="AX85" s="157"/>
      <c r="AY85" s="157"/>
    </row>
    <row r="86" spans="1:51" x14ac:dyDescent="0.25">
      <c r="A86" s="153" t="s">
        <v>142</v>
      </c>
      <c r="B86" s="157">
        <f t="shared" ref="B86:H86" si="111">B60/B59-1</f>
        <v>3.8954193242317192E-2</v>
      </c>
      <c r="C86" s="157">
        <f t="shared" si="111"/>
        <v>6.7413091702615002E-2</v>
      </c>
      <c r="D86" s="157">
        <f t="shared" si="111"/>
        <v>8.1184619427507876E-2</v>
      </c>
      <c r="E86" s="157">
        <f t="shared" si="111"/>
        <v>0.11285925572016264</v>
      </c>
      <c r="F86" s="157">
        <f t="shared" si="111"/>
        <v>0.1280860046285901</v>
      </c>
      <c r="G86" s="157">
        <f t="shared" si="111"/>
        <v>0.15352943160094346</v>
      </c>
      <c r="H86" s="157">
        <f t="shared" si="111"/>
        <v>0.16993363328782785</v>
      </c>
      <c r="J86" s="157"/>
      <c r="K86" s="157"/>
      <c r="L86" s="157"/>
      <c r="M86" s="157"/>
      <c r="N86" s="157"/>
      <c r="O86" s="157"/>
      <c r="P86" s="157"/>
      <c r="R86" s="157"/>
      <c r="S86" s="157"/>
      <c r="T86" s="157"/>
      <c r="U86" s="157"/>
      <c r="V86" s="157"/>
      <c r="W86" s="157"/>
      <c r="X86" s="157"/>
      <c r="Z86" s="157"/>
      <c r="AA86" s="157"/>
      <c r="AB86" s="157"/>
      <c r="AC86" s="157"/>
      <c r="AD86" s="157"/>
      <c r="AE86" s="157"/>
      <c r="AF86" s="157"/>
      <c r="AK86" s="157"/>
      <c r="AL86" s="157"/>
      <c r="AM86" s="157"/>
      <c r="AN86" s="157"/>
      <c r="AO86" s="157"/>
      <c r="AP86" s="157"/>
      <c r="AQ86" s="157"/>
      <c r="AS86" s="157"/>
      <c r="AT86" s="157"/>
      <c r="AU86" s="157"/>
      <c r="AV86" s="157"/>
      <c r="AW86" s="157"/>
      <c r="AX86" s="157"/>
      <c r="AY86" s="157"/>
    </row>
    <row r="87" spans="1:51" x14ac:dyDescent="0.25">
      <c r="A87" s="155"/>
      <c r="B87" s="156"/>
      <c r="C87" s="156"/>
      <c r="D87" s="156"/>
      <c r="E87" s="156"/>
      <c r="F87" s="156"/>
      <c r="G87" s="156"/>
      <c r="H87" s="156"/>
      <c r="J87" s="156"/>
      <c r="K87" s="156"/>
      <c r="L87" s="156"/>
      <c r="M87" s="156"/>
      <c r="N87" s="156"/>
      <c r="O87" s="156"/>
      <c r="P87" s="156"/>
      <c r="R87" s="156"/>
      <c r="S87" s="156"/>
      <c r="T87" s="156"/>
      <c r="U87" s="156"/>
      <c r="V87" s="156"/>
      <c r="W87" s="156"/>
      <c r="X87" s="156"/>
      <c r="Z87" s="156"/>
      <c r="AA87" s="156"/>
      <c r="AB87" s="156"/>
      <c r="AC87" s="156"/>
      <c r="AD87" s="156"/>
      <c r="AE87" s="156"/>
      <c r="AF87" s="156"/>
      <c r="AK87" s="156"/>
      <c r="AL87" s="156"/>
      <c r="AM87" s="156"/>
      <c r="AN87" s="156"/>
      <c r="AO87" s="156"/>
      <c r="AP87" s="156"/>
      <c r="AQ87" s="156"/>
      <c r="AS87" s="156"/>
      <c r="AT87" s="156"/>
      <c r="AU87" s="156"/>
      <c r="AV87" s="156"/>
      <c r="AW87" s="156"/>
      <c r="AX87" s="156"/>
      <c r="AY87" s="156"/>
    </row>
    <row r="88" spans="1:51" x14ac:dyDescent="0.25">
      <c r="A88" s="153" t="s">
        <v>143</v>
      </c>
      <c r="B88" s="158">
        <f t="shared" ref="B88:H99" si="112">B44/B43-1</f>
        <v>6.0856102324108541E-2</v>
      </c>
      <c r="C88" s="158">
        <f t="shared" si="112"/>
        <v>7.8600055959929582E-2</v>
      </c>
      <c r="D88" s="158">
        <f t="shared" si="112"/>
        <v>9.1386147549251229E-2</v>
      </c>
      <c r="E88" s="158">
        <f t="shared" si="112"/>
        <v>0.12403633742790232</v>
      </c>
      <c r="F88" s="158">
        <f t="shared" si="112"/>
        <v>0.13727243188100191</v>
      </c>
      <c r="G88" s="158">
        <f t="shared" si="112"/>
        <v>0.16596299886722443</v>
      </c>
      <c r="H88" s="158">
        <f t="shared" si="112"/>
        <v>0.18029362761991896</v>
      </c>
      <c r="J88" s="158">
        <f t="shared" ref="J88:P99" si="113">J44/J43-1</f>
        <v>4.3245053303031522E-2</v>
      </c>
      <c r="K88" s="158">
        <f t="shared" si="113"/>
        <v>4.2451488681503724E-2</v>
      </c>
      <c r="L88" s="158">
        <f t="shared" si="113"/>
        <v>4.6801114889263973E-2</v>
      </c>
      <c r="M88" s="158">
        <f t="shared" si="113"/>
        <v>5.5554968959339091E-2</v>
      </c>
      <c r="N88" s="158">
        <f t="shared" si="113"/>
        <v>5.7718266684564812E-2</v>
      </c>
      <c r="O88" s="158">
        <f t="shared" si="113"/>
        <v>6.8889222854886523E-2</v>
      </c>
      <c r="P88" s="158">
        <f t="shared" si="113"/>
        <v>6.4237227918700235E-2</v>
      </c>
      <c r="R88" s="158">
        <f t="shared" ref="R88:X99" si="114">R44/R43-1</f>
        <v>3.871593984468813E-2</v>
      </c>
      <c r="S88" s="158">
        <f t="shared" si="114"/>
        <v>4.2055304509598379E-2</v>
      </c>
      <c r="T88" s="158">
        <f t="shared" si="114"/>
        <v>4.6576602782973042E-2</v>
      </c>
      <c r="U88" s="158">
        <f t="shared" si="114"/>
        <v>5.4572152224537929E-2</v>
      </c>
      <c r="V88" s="158">
        <f t="shared" si="114"/>
        <v>5.796384455188619E-2</v>
      </c>
      <c r="W88" s="158">
        <f t="shared" si="114"/>
        <v>6.7298868968657111E-2</v>
      </c>
      <c r="X88" s="158">
        <f t="shared" si="114"/>
        <v>6.4203100124463619E-2</v>
      </c>
      <c r="Z88" s="158">
        <f t="shared" ref="Z88:AF99" si="115">Z44/Z43-1</f>
        <v>4.3245548854577542E-2</v>
      </c>
      <c r="AA88" s="158">
        <f t="shared" si="115"/>
        <v>4.8494631881505823E-2</v>
      </c>
      <c r="AB88" s="158">
        <f t="shared" si="115"/>
        <v>5.1924833667783554E-2</v>
      </c>
      <c r="AC88" s="158">
        <f t="shared" si="115"/>
        <v>5.9088569127804469E-2</v>
      </c>
      <c r="AD88" s="158">
        <f t="shared" si="115"/>
        <v>6.0396989957396841E-2</v>
      </c>
      <c r="AE88" s="158">
        <f t="shared" si="115"/>
        <v>7.6326977918082406E-2</v>
      </c>
      <c r="AF88" s="158">
        <f t="shared" si="115"/>
        <v>7.4190200174085508E-2</v>
      </c>
      <c r="AK88" s="158">
        <f t="shared" ref="AK88:AQ88" si="116">AK44/AK43-1</f>
        <v>3.8294792620356288E-2</v>
      </c>
      <c r="AL88" s="158">
        <f t="shared" si="116"/>
        <v>4.7257128340080445E-2</v>
      </c>
      <c r="AM88" s="158">
        <f t="shared" si="116"/>
        <v>5.2210769933505929E-2</v>
      </c>
      <c r="AN88" s="158">
        <f t="shared" si="116"/>
        <v>5.6794477121386855E-2</v>
      </c>
      <c r="AO88" s="158">
        <f t="shared" si="116"/>
        <v>5.3247640719028544E-2</v>
      </c>
      <c r="AP88" s="158">
        <f t="shared" si="116"/>
        <v>4.8683759480246724E-2</v>
      </c>
      <c r="AQ88" s="158">
        <f t="shared" si="116"/>
        <v>5.5192356284786692E-2</v>
      </c>
      <c r="AS88" s="158">
        <f t="shared" ref="AS88:AY88" si="117">AS44/AS43-1</f>
        <v>3.8300573061197829E-2</v>
      </c>
      <c r="AT88" s="158">
        <f t="shared" si="117"/>
        <v>4.3219464904524774E-2</v>
      </c>
      <c r="AU88" s="158">
        <f t="shared" si="117"/>
        <v>4.7183945546406258E-2</v>
      </c>
      <c r="AV88" s="158">
        <f t="shared" si="117"/>
        <v>4.9155031905913305E-2</v>
      </c>
      <c r="AW88" s="158">
        <f t="shared" si="117"/>
        <v>4.1493000984368367E-2</v>
      </c>
      <c r="AX88" s="158">
        <f t="shared" si="117"/>
        <v>2.4633252716993903E-2</v>
      </c>
      <c r="AY88" s="158">
        <f t="shared" si="117"/>
        <v>2.3841678813546041E-2</v>
      </c>
    </row>
    <row r="89" spans="1:51" x14ac:dyDescent="0.25">
      <c r="A89" s="153" t="s">
        <v>144</v>
      </c>
      <c r="B89" s="158">
        <f t="shared" si="112"/>
        <v>4.7348170751932095E-2</v>
      </c>
      <c r="C89" s="158">
        <f t="shared" si="112"/>
        <v>7.2221938048506074E-2</v>
      </c>
      <c r="D89" s="158">
        <f t="shared" si="112"/>
        <v>8.1815108555807647E-2</v>
      </c>
      <c r="E89" s="158">
        <f t="shared" si="112"/>
        <v>9.9802253063947965E-2</v>
      </c>
      <c r="F89" s="158">
        <f t="shared" si="112"/>
        <v>0.10647995135816379</v>
      </c>
      <c r="G89" s="158">
        <f t="shared" si="112"/>
        <v>0.12022827233547395</v>
      </c>
      <c r="H89" s="158">
        <f t="shared" si="112"/>
        <v>0.12503695328947795</v>
      </c>
      <c r="J89" s="158">
        <f t="shared" si="113"/>
        <v>3.3680259559568437E-2</v>
      </c>
      <c r="K89" s="158">
        <f t="shared" si="113"/>
        <v>4.1344890915501198E-2</v>
      </c>
      <c r="L89" s="158">
        <f t="shared" si="113"/>
        <v>5.0682679077896253E-2</v>
      </c>
      <c r="M89" s="158">
        <f t="shared" si="113"/>
        <v>7.6569527004330951E-2</v>
      </c>
      <c r="N89" s="158">
        <f t="shared" si="113"/>
        <v>8.6433527438201541E-2</v>
      </c>
      <c r="O89" s="158">
        <f t="shared" si="113"/>
        <v>9.187000218551411E-2</v>
      </c>
      <c r="P89" s="158">
        <f t="shared" si="113"/>
        <v>0.10648179569400296</v>
      </c>
      <c r="R89" s="158">
        <f t="shared" si="114"/>
        <v>3.1522239224940352E-2</v>
      </c>
      <c r="S89" s="158">
        <f t="shared" si="114"/>
        <v>4.0057623690891386E-2</v>
      </c>
      <c r="T89" s="158">
        <f t="shared" si="114"/>
        <v>4.9158227810278898E-2</v>
      </c>
      <c r="U89" s="158">
        <f t="shared" si="114"/>
        <v>7.6221458906142958E-2</v>
      </c>
      <c r="V89" s="158">
        <f t="shared" si="114"/>
        <v>8.539710354392982E-2</v>
      </c>
      <c r="W89" s="158">
        <f t="shared" si="114"/>
        <v>9.3487096881039067E-2</v>
      </c>
      <c r="X89" s="158">
        <f t="shared" si="114"/>
        <v>0.10624576427711085</v>
      </c>
      <c r="Z89" s="158">
        <f t="shared" si="115"/>
        <v>3.3679935122620241E-2</v>
      </c>
      <c r="AA89" s="158">
        <f t="shared" si="115"/>
        <v>3.9310132639204465E-2</v>
      </c>
      <c r="AB89" s="158">
        <f t="shared" si="115"/>
        <v>4.6135252494064805E-2</v>
      </c>
      <c r="AC89" s="158">
        <f t="shared" si="115"/>
        <v>7.8998541855849647E-2</v>
      </c>
      <c r="AD89" s="158">
        <f t="shared" si="115"/>
        <v>9.0943414896930141E-2</v>
      </c>
      <c r="AE89" s="158">
        <f t="shared" si="115"/>
        <v>0.10152954745876608</v>
      </c>
      <c r="AF89" s="158">
        <f t="shared" si="115"/>
        <v>0.11754368527129588</v>
      </c>
      <c r="AK89" s="158">
        <f t="shared" ref="AK89:AQ89" si="118">AK45/AK44-1</f>
        <v>3.0122832557250456E-2</v>
      </c>
      <c r="AL89" s="158">
        <f t="shared" si="118"/>
        <v>4.7428670372372972E-2</v>
      </c>
      <c r="AM89" s="158">
        <f t="shared" si="118"/>
        <v>5.4294362675966434E-2</v>
      </c>
      <c r="AN89" s="158">
        <f t="shared" si="118"/>
        <v>7.7827319643762438E-2</v>
      </c>
      <c r="AO89" s="158">
        <f t="shared" si="118"/>
        <v>8.8514394373708116E-2</v>
      </c>
      <c r="AP89" s="158">
        <f t="shared" si="118"/>
        <v>0.10849700687026442</v>
      </c>
      <c r="AQ89" s="158">
        <f t="shared" si="118"/>
        <v>0.14389486124103579</v>
      </c>
      <c r="AS89" s="158">
        <f t="shared" ref="AS89:AY89" si="119">AS45/AS44-1</f>
        <v>3.0122396054826694E-2</v>
      </c>
      <c r="AT89" s="158">
        <f t="shared" si="119"/>
        <v>4.435873736137852E-2</v>
      </c>
      <c r="AU89" s="158">
        <f t="shared" si="119"/>
        <v>5.056125653157939E-2</v>
      </c>
      <c r="AV89" s="158">
        <f t="shared" si="119"/>
        <v>7.551135524114394E-2</v>
      </c>
      <c r="AW89" s="158">
        <f t="shared" si="119"/>
        <v>8.8847524955592894E-2</v>
      </c>
      <c r="AX89" s="158">
        <f t="shared" si="119"/>
        <v>0.11178913143491753</v>
      </c>
      <c r="AY89" s="158">
        <f t="shared" si="119"/>
        <v>0.15981814012763484</v>
      </c>
    </row>
    <row r="90" spans="1:51" x14ac:dyDescent="0.25">
      <c r="A90" s="153" t="s">
        <v>145</v>
      </c>
      <c r="B90" s="158">
        <f t="shared" si="112"/>
        <v>2.5414469621395597E-2</v>
      </c>
      <c r="C90" s="158">
        <f t="shared" si="112"/>
        <v>5.0527320123353814E-2</v>
      </c>
      <c r="D90" s="158">
        <f t="shared" si="112"/>
        <v>6.5857184287259063E-2</v>
      </c>
      <c r="E90" s="158">
        <f t="shared" si="112"/>
        <v>0.10097524558888016</v>
      </c>
      <c r="F90" s="158">
        <f t="shared" si="112"/>
        <v>0.11615172429455956</v>
      </c>
      <c r="G90" s="158">
        <f t="shared" si="112"/>
        <v>0.15915968300506678</v>
      </c>
      <c r="H90" s="158">
        <f t="shared" si="112"/>
        <v>0.23443955766057378</v>
      </c>
      <c r="J90" s="158">
        <f t="shared" si="113"/>
        <v>2.6850720589368438E-2</v>
      </c>
      <c r="K90" s="158">
        <f t="shared" si="113"/>
        <v>4.5280301124667854E-2</v>
      </c>
      <c r="L90" s="158">
        <f t="shared" si="113"/>
        <v>5.121427629979669E-2</v>
      </c>
      <c r="M90" s="158">
        <f t="shared" si="113"/>
        <v>6.649404015853122E-2</v>
      </c>
      <c r="N90" s="158">
        <f t="shared" si="113"/>
        <v>7.1248564123695735E-2</v>
      </c>
      <c r="O90" s="158">
        <f t="shared" si="113"/>
        <v>8.7591485177093142E-2</v>
      </c>
      <c r="P90" s="158">
        <f t="shared" si="113"/>
        <v>0.11104873197512122</v>
      </c>
      <c r="R90" s="158">
        <f t="shared" si="114"/>
        <v>2.5092896829369771E-2</v>
      </c>
      <c r="S90" s="158">
        <f t="shared" si="114"/>
        <v>4.5967039328941306E-2</v>
      </c>
      <c r="T90" s="158">
        <f t="shared" si="114"/>
        <v>5.2147136216529999E-2</v>
      </c>
      <c r="U90" s="158">
        <f t="shared" si="114"/>
        <v>6.6944939542940451E-2</v>
      </c>
      <c r="V90" s="158">
        <f t="shared" si="114"/>
        <v>7.1413424652296609E-2</v>
      </c>
      <c r="W90" s="158">
        <f t="shared" si="114"/>
        <v>8.750007048462205E-2</v>
      </c>
      <c r="X90" s="158">
        <f t="shared" si="114"/>
        <v>0.11104255930442908</v>
      </c>
      <c r="Z90" s="158">
        <f t="shared" si="115"/>
        <v>2.6850683433293776E-2</v>
      </c>
      <c r="AA90" s="158">
        <f t="shared" si="115"/>
        <v>5.0984167613945974E-2</v>
      </c>
      <c r="AB90" s="158">
        <f t="shared" si="115"/>
        <v>5.7394428039010181E-2</v>
      </c>
      <c r="AC90" s="158">
        <f t="shared" si="115"/>
        <v>7.1058821300849617E-2</v>
      </c>
      <c r="AD90" s="158">
        <f t="shared" si="115"/>
        <v>7.6129799907276308E-2</v>
      </c>
      <c r="AE90" s="158">
        <f t="shared" si="115"/>
        <v>9.3800257904425033E-2</v>
      </c>
      <c r="AF90" s="158">
        <f t="shared" si="115"/>
        <v>0.11576562714463923</v>
      </c>
      <c r="AK90" s="158">
        <f t="shared" ref="AK90:AQ90" si="120">AK46/AK45-1</f>
        <v>3.2945321673052419E-2</v>
      </c>
      <c r="AL90" s="158">
        <f t="shared" si="120"/>
        <v>4.569741567071417E-2</v>
      </c>
      <c r="AM90" s="158">
        <f t="shared" si="120"/>
        <v>5.0500781817597318E-2</v>
      </c>
      <c r="AN90" s="158">
        <f t="shared" si="120"/>
        <v>6.5582669249594661E-2</v>
      </c>
      <c r="AO90" s="158">
        <f t="shared" si="120"/>
        <v>7.3969374442544034E-2</v>
      </c>
      <c r="AP90" s="158">
        <f t="shared" si="120"/>
        <v>9.4988092034283822E-2</v>
      </c>
      <c r="AQ90" s="158">
        <f t="shared" si="120"/>
        <v>0.10632928465206004</v>
      </c>
      <c r="AS90" s="158">
        <f t="shared" ref="AS90:AY90" si="121">AS46/AS45-1</f>
        <v>3.296759875937294E-2</v>
      </c>
      <c r="AT90" s="158">
        <f t="shared" si="121"/>
        <v>4.4990300252677029E-2</v>
      </c>
      <c r="AU90" s="158">
        <f t="shared" si="121"/>
        <v>4.9357399859487838E-2</v>
      </c>
      <c r="AV90" s="158">
        <f t="shared" si="121"/>
        <v>6.2003187257125836E-2</v>
      </c>
      <c r="AW90" s="158">
        <f t="shared" si="121"/>
        <v>6.7349547834623102E-2</v>
      </c>
      <c r="AX90" s="158">
        <f t="shared" si="121"/>
        <v>8.2371914749139963E-2</v>
      </c>
      <c r="AY90" s="158">
        <f t="shared" si="121"/>
        <v>7.9721652858119274E-2</v>
      </c>
    </row>
    <row r="91" spans="1:51" x14ac:dyDescent="0.25">
      <c r="A91" s="153" t="s">
        <v>146</v>
      </c>
      <c r="B91" s="158">
        <f t="shared" si="112"/>
        <v>-6.9319620741838839E-2</v>
      </c>
      <c r="C91" s="158">
        <f t="shared" si="112"/>
        <v>-0.12374591703347138</v>
      </c>
      <c r="D91" s="158">
        <f t="shared" si="112"/>
        <v>-0.15200008436949619</v>
      </c>
      <c r="E91" s="158">
        <f t="shared" si="112"/>
        <v>-0.2120728761033055</v>
      </c>
      <c r="F91" s="158">
        <f t="shared" si="112"/>
        <v>-0.23626141518426858</v>
      </c>
      <c r="G91" s="158">
        <f t="shared" si="112"/>
        <v>-0.28391509131270065</v>
      </c>
      <c r="H91" s="158">
        <f t="shared" si="112"/>
        <v>-0.32120761703220901</v>
      </c>
      <c r="J91" s="158">
        <f t="shared" si="113"/>
        <v>-7.6609153390732043E-3</v>
      </c>
      <c r="K91" s="158">
        <f t="shared" si="113"/>
        <v>-2.8938214378077198E-2</v>
      </c>
      <c r="L91" s="158">
        <f t="shared" si="113"/>
        <v>-4.4392801918109459E-2</v>
      </c>
      <c r="M91" s="158">
        <f t="shared" si="113"/>
        <v>-7.71129744374629E-2</v>
      </c>
      <c r="N91" s="158">
        <f t="shared" si="113"/>
        <v>-8.960524819208282E-2</v>
      </c>
      <c r="O91" s="158">
        <f t="shared" si="113"/>
        <v>-0.12668847335012956</v>
      </c>
      <c r="P91" s="158">
        <f t="shared" si="113"/>
        <v>-0.16049184160788588</v>
      </c>
      <c r="R91" s="158">
        <f t="shared" si="114"/>
        <v>-1.1861648488147303E-3</v>
      </c>
      <c r="S91" s="158">
        <f t="shared" si="114"/>
        <v>-2.7913527662808413E-2</v>
      </c>
      <c r="T91" s="158">
        <f t="shared" si="114"/>
        <v>-4.349705437739193E-2</v>
      </c>
      <c r="U91" s="158">
        <f t="shared" si="114"/>
        <v>-7.6948418516801231E-2</v>
      </c>
      <c r="V91" s="158">
        <f t="shared" si="114"/>
        <v>-8.9081780165093938E-2</v>
      </c>
      <c r="W91" s="158">
        <f t="shared" si="114"/>
        <v>-0.12627448965488763</v>
      </c>
      <c r="X91" s="158">
        <f t="shared" si="114"/>
        <v>-0.1603586267205972</v>
      </c>
      <c r="Z91" s="158">
        <f t="shared" si="115"/>
        <v>-7.6608452926455461E-3</v>
      </c>
      <c r="AA91" s="158">
        <f t="shared" si="115"/>
        <v>-4.3441930267436923E-2</v>
      </c>
      <c r="AB91" s="158">
        <f t="shared" si="115"/>
        <v>-5.8073156673082216E-2</v>
      </c>
      <c r="AC91" s="158">
        <f t="shared" si="115"/>
        <v>-9.6792781089855562E-2</v>
      </c>
      <c r="AD91" s="158">
        <f t="shared" si="115"/>
        <v>-0.1107511768205145</v>
      </c>
      <c r="AE91" s="158">
        <f t="shared" si="115"/>
        <v>-0.15623255368158795</v>
      </c>
      <c r="AF91" s="158">
        <f t="shared" si="115"/>
        <v>-0.19835560774389427</v>
      </c>
      <c r="AK91" s="158">
        <f t="shared" ref="AK91:AQ91" si="122">AK47/AK46-1</f>
        <v>-4.6239625111580418E-3</v>
      </c>
      <c r="AL91" s="158">
        <f t="shared" si="122"/>
        <v>-2.9184406669601981E-2</v>
      </c>
      <c r="AM91" s="158">
        <f t="shared" si="122"/>
        <v>-3.9544736533434932E-2</v>
      </c>
      <c r="AN91" s="158">
        <f t="shared" si="122"/>
        <v>-5.8984418696742424E-2</v>
      </c>
      <c r="AO91" s="158">
        <f t="shared" si="122"/>
        <v>-6.7114779977920702E-2</v>
      </c>
      <c r="AP91" s="158">
        <f t="shared" si="122"/>
        <v>-8.1624362107851622E-2</v>
      </c>
      <c r="AQ91" s="158">
        <f t="shared" si="122"/>
        <v>-9.3643158435479101E-2</v>
      </c>
      <c r="AS91" s="158">
        <f t="shared" ref="AS91:AY91" si="123">AS47/AS46-1</f>
        <v>-4.6225120044339763E-3</v>
      </c>
      <c r="AT91" s="158">
        <f t="shared" si="123"/>
        <v>-1.6086935264497781E-2</v>
      </c>
      <c r="AU91" s="158">
        <f t="shared" si="123"/>
        <v>-2.0734358901763894E-2</v>
      </c>
      <c r="AV91" s="158">
        <f t="shared" si="123"/>
        <v>-2.6339373462412219E-2</v>
      </c>
      <c r="AW91" s="158">
        <f t="shared" si="123"/>
        <v>-2.7956942548752806E-2</v>
      </c>
      <c r="AX91" s="158">
        <f t="shared" si="123"/>
        <v>-2.6134329811647761E-2</v>
      </c>
      <c r="AY91" s="158">
        <f t="shared" si="123"/>
        <v>-3.1494076568225116E-2</v>
      </c>
    </row>
    <row r="92" spans="1:51" x14ac:dyDescent="0.25">
      <c r="A92" s="153" t="s">
        <v>147</v>
      </c>
      <c r="B92" s="158">
        <f t="shared" si="112"/>
        <v>-5.1519023046674106E-2</v>
      </c>
      <c r="C92" s="158">
        <f t="shared" si="112"/>
        <v>-7.273925291419725E-2</v>
      </c>
      <c r="D92" s="158">
        <f t="shared" si="112"/>
        <v>-8.8055695812118695E-2</v>
      </c>
      <c r="E92" s="158">
        <f t="shared" si="112"/>
        <v>-0.12205296981960612</v>
      </c>
      <c r="F92" s="158">
        <f t="shared" si="112"/>
        <v>-0.13666960117689309</v>
      </c>
      <c r="G92" s="158">
        <f t="shared" si="112"/>
        <v>-0.16802160553366219</v>
      </c>
      <c r="H92" s="158">
        <f t="shared" si="112"/>
        <v>-0.19455687749689532</v>
      </c>
      <c r="J92" s="158">
        <f t="shared" si="113"/>
        <v>-5.1238424551145467E-3</v>
      </c>
      <c r="K92" s="158">
        <f t="shared" si="113"/>
        <v>-1.8398416149336794E-2</v>
      </c>
      <c r="L92" s="158">
        <f t="shared" si="113"/>
        <v>-2.5759168716992686E-2</v>
      </c>
      <c r="M92" s="158">
        <f t="shared" si="113"/>
        <v>-5.5615598013834533E-2</v>
      </c>
      <c r="N92" s="158">
        <f t="shared" si="113"/>
        <v>-6.829811929505536E-2</v>
      </c>
      <c r="O92" s="158">
        <f t="shared" si="113"/>
        <v>-8.260411357992592E-2</v>
      </c>
      <c r="P92" s="158">
        <f t="shared" si="113"/>
        <v>-8.8064700928093154E-2</v>
      </c>
      <c r="R92" s="158">
        <f t="shared" si="114"/>
        <v>1.594266855191373E-3</v>
      </c>
      <c r="S92" s="158">
        <f t="shared" si="114"/>
        <v>-1.7088823557561916E-2</v>
      </c>
      <c r="T92" s="158">
        <f t="shared" si="114"/>
        <v>-2.5577452866897943E-2</v>
      </c>
      <c r="U92" s="158">
        <f t="shared" si="114"/>
        <v>-5.5067205008219267E-2</v>
      </c>
      <c r="V92" s="158">
        <f t="shared" si="114"/>
        <v>-6.7632877259073965E-2</v>
      </c>
      <c r="W92" s="158">
        <f t="shared" si="114"/>
        <v>-8.3475849469320185E-2</v>
      </c>
      <c r="X92" s="158">
        <f t="shared" si="114"/>
        <v>-8.8107541382812626E-2</v>
      </c>
      <c r="Z92" s="158">
        <f t="shared" si="115"/>
        <v>-5.1238176413979097E-3</v>
      </c>
      <c r="AA92" s="158">
        <f t="shared" si="115"/>
        <v>-3.3911771575342087E-2</v>
      </c>
      <c r="AB92" s="158">
        <f t="shared" si="115"/>
        <v>-4.2695574992363872E-2</v>
      </c>
      <c r="AC92" s="158">
        <f t="shared" si="115"/>
        <v>-7.051564441356295E-2</v>
      </c>
      <c r="AD92" s="158">
        <f t="shared" si="115"/>
        <v>-8.150485363108062E-2</v>
      </c>
      <c r="AE92" s="158">
        <f t="shared" si="115"/>
        <v>-0.10043599346583598</v>
      </c>
      <c r="AF92" s="158">
        <f t="shared" si="115"/>
        <v>-0.1146592667759494</v>
      </c>
      <c r="AK92" s="158">
        <f t="shared" ref="AK92:AQ92" si="124">AK48/AK47-1</f>
        <v>-2.3597710786498194E-3</v>
      </c>
      <c r="AL92" s="158">
        <f t="shared" si="124"/>
        <v>-4.1672908053552726E-3</v>
      </c>
      <c r="AM92" s="158">
        <f t="shared" si="124"/>
        <v>-6.0606438952315322E-3</v>
      </c>
      <c r="AN92" s="158">
        <f t="shared" si="124"/>
        <v>-1.4637169596838917E-2</v>
      </c>
      <c r="AO92" s="158">
        <f t="shared" si="124"/>
        <v>-2.1495995595292583E-2</v>
      </c>
      <c r="AP92" s="158">
        <f t="shared" si="124"/>
        <v>-2.9793615917923844E-2</v>
      </c>
      <c r="AQ92" s="158">
        <f t="shared" si="124"/>
        <v>-2.9185744688137616E-2</v>
      </c>
      <c r="AS92" s="158">
        <f t="shared" ref="AS92:AY92" si="125">AS48/AS47-1</f>
        <v>-2.3815248055144567E-3</v>
      </c>
      <c r="AT92" s="158">
        <f t="shared" si="125"/>
        <v>4.9907298338702777E-3</v>
      </c>
      <c r="AU92" s="158">
        <f t="shared" si="125"/>
        <v>7.9503748357672155E-3</v>
      </c>
      <c r="AV92" s="158">
        <f t="shared" si="125"/>
        <v>1.0047709193057086E-2</v>
      </c>
      <c r="AW92" s="158">
        <f t="shared" si="125"/>
        <v>9.2781653074629489E-3</v>
      </c>
      <c r="AX92" s="158">
        <f t="shared" si="125"/>
        <v>1.1254746240512814E-2</v>
      </c>
      <c r="AY92" s="158">
        <f t="shared" si="125"/>
        <v>2.5331319295265553E-2</v>
      </c>
    </row>
    <row r="93" spans="1:51" x14ac:dyDescent="0.25">
      <c r="A93" s="151" t="s">
        <v>148</v>
      </c>
      <c r="B93" s="158">
        <f t="shared" si="112"/>
        <v>-5.7728640403050813E-3</v>
      </c>
      <c r="C93" s="158">
        <f t="shared" si="112"/>
        <v>1.0267751993069618E-2</v>
      </c>
      <c r="D93" s="158">
        <f t="shared" si="112"/>
        <v>1.5805738069327058E-2</v>
      </c>
      <c r="E93" s="158">
        <f t="shared" si="112"/>
        <v>3.3313936421695001E-2</v>
      </c>
      <c r="F93" s="158">
        <f t="shared" si="112"/>
        <v>4.2498737093362493E-2</v>
      </c>
      <c r="G93" s="158">
        <f t="shared" si="112"/>
        <v>6.5467625899280568E-2</v>
      </c>
      <c r="H93" s="158">
        <f t="shared" si="112"/>
        <v>0.10497995844647945</v>
      </c>
      <c r="J93" s="158">
        <f t="shared" si="113"/>
        <v>9.5428621153799131E-3</v>
      </c>
      <c r="K93" s="158">
        <f t="shared" si="113"/>
        <v>2.1736194121067864E-2</v>
      </c>
      <c r="L93" s="158">
        <f t="shared" si="113"/>
        <v>2.217779799604136E-2</v>
      </c>
      <c r="M93" s="158">
        <f t="shared" si="113"/>
        <v>3.5415158375349698E-2</v>
      </c>
      <c r="N93" s="158">
        <f t="shared" si="113"/>
        <v>4.4844836844464275E-2</v>
      </c>
      <c r="O93" s="158">
        <f t="shared" si="113"/>
        <v>6.7472556519473148E-2</v>
      </c>
      <c r="P93" s="158">
        <f t="shared" si="113"/>
        <v>0.11495127928874882</v>
      </c>
      <c r="R93" s="158">
        <f t="shared" si="114"/>
        <v>1.0697451765094623E-2</v>
      </c>
      <c r="S93" s="158">
        <f t="shared" si="114"/>
        <v>2.1330440640969117E-2</v>
      </c>
      <c r="T93" s="158">
        <f t="shared" si="114"/>
        <v>2.2504612591649487E-2</v>
      </c>
      <c r="U93" s="158">
        <f t="shared" si="114"/>
        <v>3.5400554747261559E-2</v>
      </c>
      <c r="V93" s="158">
        <f t="shared" si="114"/>
        <v>4.3979967099963213E-2</v>
      </c>
      <c r="W93" s="158">
        <f t="shared" si="114"/>
        <v>6.8656885812024893E-2</v>
      </c>
      <c r="X93" s="158">
        <f t="shared" si="114"/>
        <v>0.11514279308215047</v>
      </c>
      <c r="Z93" s="158">
        <f t="shared" si="115"/>
        <v>9.5427694703880128E-3</v>
      </c>
      <c r="AA93" s="158">
        <f t="shared" si="115"/>
        <v>2.4025707662266527E-2</v>
      </c>
      <c r="AB93" s="158">
        <f t="shared" si="115"/>
        <v>2.7986109583368224E-2</v>
      </c>
      <c r="AC93" s="158">
        <f t="shared" si="115"/>
        <v>4.3752697263762519E-2</v>
      </c>
      <c r="AD93" s="158">
        <f t="shared" si="115"/>
        <v>5.3210603280793745E-2</v>
      </c>
      <c r="AE93" s="158">
        <f t="shared" si="115"/>
        <v>8.4405565994815523E-2</v>
      </c>
      <c r="AF93" s="158">
        <f t="shared" si="115"/>
        <v>0.14067107583155281</v>
      </c>
      <c r="AK93" s="158">
        <f t="shared" ref="AK93:AQ93" si="126">AK49/AK48-1</f>
        <v>1.0968441635734516E-2</v>
      </c>
      <c r="AL93" s="158">
        <f t="shared" si="126"/>
        <v>1.4374108448692136E-2</v>
      </c>
      <c r="AM93" s="158">
        <f t="shared" si="126"/>
        <v>1.349368383051841E-2</v>
      </c>
      <c r="AN93" s="158">
        <f t="shared" si="126"/>
        <v>1.964453982040304E-2</v>
      </c>
      <c r="AO93" s="158">
        <f t="shared" si="126"/>
        <v>2.539823027747512E-2</v>
      </c>
      <c r="AP93" s="158">
        <f t="shared" si="126"/>
        <v>3.4522403133349533E-2</v>
      </c>
      <c r="AQ93" s="158">
        <f t="shared" si="126"/>
        <v>6.1460628396829087E-2</v>
      </c>
      <c r="AS93" s="158">
        <f t="shared" ref="AS93:AY93" si="127">AS49/AS48-1</f>
        <v>1.0955799934890598E-2</v>
      </c>
      <c r="AT93" s="158">
        <f t="shared" si="127"/>
        <v>1.5822253548892773E-2</v>
      </c>
      <c r="AU93" s="158">
        <f t="shared" si="127"/>
        <v>1.4771356196664254E-2</v>
      </c>
      <c r="AV93" s="158">
        <f t="shared" si="127"/>
        <v>2.2020256522345516E-2</v>
      </c>
      <c r="AW93" s="158">
        <f t="shared" si="127"/>
        <v>2.6752507273343662E-2</v>
      </c>
      <c r="AX93" s="158">
        <f t="shared" si="127"/>
        <v>3.9482263715112653E-2</v>
      </c>
      <c r="AY93" s="158">
        <f t="shared" si="127"/>
        <v>6.1901907801527711E-2</v>
      </c>
    </row>
    <row r="94" spans="1:51" x14ac:dyDescent="0.25">
      <c r="A94" s="151" t="s">
        <v>149</v>
      </c>
      <c r="B94" s="158">
        <f t="shared" si="112"/>
        <v>5.1148960129499876E-2</v>
      </c>
      <c r="C94" s="158">
        <f t="shared" si="112"/>
        <v>9.5339142117637721E-2</v>
      </c>
      <c r="D94" s="158">
        <f t="shared" si="112"/>
        <v>0.12124295848391919</v>
      </c>
      <c r="E94" s="158">
        <f t="shared" si="112"/>
        <v>0.1845776098487435</v>
      </c>
      <c r="F94" s="158">
        <f t="shared" si="112"/>
        <v>0.21038149036203047</v>
      </c>
      <c r="G94" s="158">
        <f t="shared" si="112"/>
        <v>0.26466119706857683</v>
      </c>
      <c r="H94" s="158">
        <f t="shared" si="112"/>
        <v>0.30700798141896368</v>
      </c>
      <c r="J94" s="158">
        <f t="shared" si="113"/>
        <v>2.7723403566424887E-2</v>
      </c>
      <c r="K94" s="158">
        <f t="shared" si="113"/>
        <v>4.9436237307602271E-2</v>
      </c>
      <c r="L94" s="158">
        <f t="shared" si="113"/>
        <v>6.4674763941780622E-2</v>
      </c>
      <c r="M94" s="158">
        <f t="shared" si="113"/>
        <v>0.10107746068187762</v>
      </c>
      <c r="N94" s="158">
        <f t="shared" si="113"/>
        <v>0.11557002136975369</v>
      </c>
      <c r="O94" s="158">
        <f t="shared" si="113"/>
        <v>0.16225705986941819</v>
      </c>
      <c r="P94" s="158">
        <f t="shared" si="113"/>
        <v>0.21687387881593767</v>
      </c>
      <c r="R94" s="158">
        <f t="shared" si="114"/>
        <v>2.6922409230228039E-2</v>
      </c>
      <c r="S94" s="158">
        <f t="shared" si="114"/>
        <v>4.9254577014961054E-2</v>
      </c>
      <c r="T94" s="158">
        <f t="shared" si="114"/>
        <v>6.4134321794821814E-2</v>
      </c>
      <c r="U94" s="158">
        <f t="shared" si="114"/>
        <v>0.10026073306196426</v>
      </c>
      <c r="V94" s="158">
        <f t="shared" si="114"/>
        <v>0.1156299381801964</v>
      </c>
      <c r="W94" s="158">
        <f t="shared" si="114"/>
        <v>0.16183646881078717</v>
      </c>
      <c r="X94" s="158">
        <f t="shared" si="114"/>
        <v>0.21666387618546268</v>
      </c>
      <c r="Z94" s="158">
        <f t="shared" si="115"/>
        <v>2.7723422775234319E-2</v>
      </c>
      <c r="AA94" s="158">
        <f t="shared" si="115"/>
        <v>5.2141387590294741E-2</v>
      </c>
      <c r="AB94" s="158">
        <f t="shared" si="115"/>
        <v>6.4955975540957001E-2</v>
      </c>
      <c r="AC94" s="158">
        <f t="shared" si="115"/>
        <v>0.10304951359607806</v>
      </c>
      <c r="AD94" s="158">
        <f t="shared" si="115"/>
        <v>0.1211181765935474</v>
      </c>
      <c r="AE94" s="158">
        <f t="shared" si="115"/>
        <v>0.16877407031587333</v>
      </c>
      <c r="AF94" s="158">
        <f t="shared" si="115"/>
        <v>0.24425329554935549</v>
      </c>
      <c r="AK94" s="158">
        <f t="shared" ref="AK94:AQ94" si="128">AK50/AK49-1</f>
        <v>2.796129010986137E-2</v>
      </c>
      <c r="AL94" s="158">
        <f t="shared" si="128"/>
        <v>5.279593074700073E-2</v>
      </c>
      <c r="AM94" s="158">
        <f t="shared" si="128"/>
        <v>6.5156984482806379E-2</v>
      </c>
      <c r="AN94" s="158">
        <f t="shared" si="128"/>
        <v>9.4732631995015248E-2</v>
      </c>
      <c r="AO94" s="158">
        <f t="shared" si="128"/>
        <v>0.10832271314807951</v>
      </c>
      <c r="AP94" s="158">
        <f t="shared" si="128"/>
        <v>0.13372938706099746</v>
      </c>
      <c r="AQ94" s="158">
        <f t="shared" si="128"/>
        <v>0.16181829900750166</v>
      </c>
      <c r="AS94" s="158">
        <f t="shared" ref="AS94:AY94" si="129">AS50/AS49-1</f>
        <v>2.7946449842802812E-2</v>
      </c>
      <c r="AT94" s="158">
        <f t="shared" si="129"/>
        <v>4.4692060840695325E-2</v>
      </c>
      <c r="AU94" s="158">
        <f t="shared" si="129"/>
        <v>5.4010095870770769E-2</v>
      </c>
      <c r="AV94" s="158">
        <f t="shared" si="129"/>
        <v>7.8428229450759224E-2</v>
      </c>
      <c r="AW94" s="158">
        <f t="shared" si="129"/>
        <v>9.1069276253823217E-2</v>
      </c>
      <c r="AX94" s="158">
        <f t="shared" si="129"/>
        <v>0.11165418581348852</v>
      </c>
      <c r="AY94" s="158">
        <f t="shared" si="129"/>
        <v>0.14023829530051635</v>
      </c>
    </row>
    <row r="95" spans="1:51" x14ac:dyDescent="0.25">
      <c r="A95" s="151" t="s">
        <v>150</v>
      </c>
      <c r="B95" s="158">
        <f t="shared" si="112"/>
        <v>4.388945615239126E-2</v>
      </c>
      <c r="C95" s="158">
        <f t="shared" si="112"/>
        <v>8.7415942740050268E-2</v>
      </c>
      <c r="D95" s="158">
        <f t="shared" si="112"/>
        <v>0.10986400503844695</v>
      </c>
      <c r="E95" s="158">
        <f t="shared" si="112"/>
        <v>0.15819253564643221</v>
      </c>
      <c r="F95" s="158">
        <f t="shared" si="112"/>
        <v>0.17843224614834963</v>
      </c>
      <c r="G95" s="158">
        <f t="shared" si="112"/>
        <v>0.21141375434257736</v>
      </c>
      <c r="H95" s="158">
        <f t="shared" si="112"/>
        <v>0.23285167144342367</v>
      </c>
      <c r="J95" s="158">
        <f t="shared" si="113"/>
        <v>2.3241272231858678E-2</v>
      </c>
      <c r="K95" s="158">
        <f t="shared" si="113"/>
        <v>4.6734669349909774E-2</v>
      </c>
      <c r="L95" s="158">
        <f t="shared" si="113"/>
        <v>6.1235140086584261E-2</v>
      </c>
      <c r="M95" s="158">
        <f t="shared" si="113"/>
        <v>0.10013750460505855</v>
      </c>
      <c r="N95" s="158">
        <f t="shared" si="113"/>
        <v>0.11789488917458102</v>
      </c>
      <c r="O95" s="158">
        <f t="shared" si="113"/>
        <v>0.14395128450701544</v>
      </c>
      <c r="P95" s="158">
        <f t="shared" si="113"/>
        <v>0.16345124011957912</v>
      </c>
      <c r="R95" s="158">
        <f t="shared" si="114"/>
        <v>2.2381191963973146E-2</v>
      </c>
      <c r="S95" s="158">
        <f t="shared" si="114"/>
        <v>4.5293874650465415E-2</v>
      </c>
      <c r="T95" s="158">
        <f t="shared" si="114"/>
        <v>6.0411416186441302E-2</v>
      </c>
      <c r="U95" s="158">
        <f t="shared" si="114"/>
        <v>9.9721769623295708E-2</v>
      </c>
      <c r="V95" s="158">
        <f t="shared" si="114"/>
        <v>0.11729944135509562</v>
      </c>
      <c r="W95" s="158">
        <f t="shared" si="114"/>
        <v>0.14354483653050032</v>
      </c>
      <c r="X95" s="158">
        <f t="shared" si="114"/>
        <v>0.16324764724626584</v>
      </c>
      <c r="Z95" s="158">
        <f t="shared" si="115"/>
        <v>2.3241270102746237E-2</v>
      </c>
      <c r="AA95" s="158">
        <f t="shared" si="115"/>
        <v>4.2267370139501104E-2</v>
      </c>
      <c r="AB95" s="158">
        <f t="shared" si="115"/>
        <v>5.4976080494533841E-2</v>
      </c>
      <c r="AC95" s="158">
        <f t="shared" si="115"/>
        <v>9.143417228543993E-2</v>
      </c>
      <c r="AD95" s="158">
        <f t="shared" si="115"/>
        <v>0.10918723599892743</v>
      </c>
      <c r="AE95" s="158">
        <f t="shared" si="115"/>
        <v>0.14179785895420305</v>
      </c>
      <c r="AF95" s="158">
        <f t="shared" si="115"/>
        <v>0.16573974482181408</v>
      </c>
      <c r="AK95" s="158">
        <f t="shared" ref="AK95:AQ95" si="130">AK51/AK50-1</f>
        <v>2.310666549992324E-2</v>
      </c>
      <c r="AL95" s="158">
        <f t="shared" si="130"/>
        <v>5.0172789420662722E-2</v>
      </c>
      <c r="AM95" s="158">
        <f t="shared" si="130"/>
        <v>6.0117858422127357E-2</v>
      </c>
      <c r="AN95" s="158">
        <f t="shared" si="130"/>
        <v>8.1923341674286165E-2</v>
      </c>
      <c r="AO95" s="158">
        <f t="shared" si="130"/>
        <v>9.4626791841299296E-2</v>
      </c>
      <c r="AP95" s="158">
        <f t="shared" si="130"/>
        <v>0.12572583672408055</v>
      </c>
      <c r="AQ95" s="158">
        <f t="shared" si="130"/>
        <v>0.1363246018515778</v>
      </c>
      <c r="AS95" s="158">
        <f t="shared" ref="AS95:AY95" si="131">AS51/AS50-1</f>
        <v>2.3166428586567145E-2</v>
      </c>
      <c r="AT95" s="158">
        <f t="shared" si="131"/>
        <v>3.6159193564922143E-2</v>
      </c>
      <c r="AU95" s="158">
        <f t="shared" si="131"/>
        <v>4.1966407038024345E-2</v>
      </c>
      <c r="AV95" s="158">
        <f t="shared" si="131"/>
        <v>5.5890821341459285E-2</v>
      </c>
      <c r="AW95" s="158">
        <f t="shared" si="131"/>
        <v>6.6901375138671559E-2</v>
      </c>
      <c r="AX95" s="158">
        <f t="shared" si="131"/>
        <v>9.5922164418341005E-2</v>
      </c>
      <c r="AY95" s="158">
        <f t="shared" si="131"/>
        <v>0.11144207101503345</v>
      </c>
    </row>
    <row r="96" spans="1:51" x14ac:dyDescent="0.25">
      <c r="A96" s="151" t="s">
        <v>151</v>
      </c>
      <c r="B96" s="158">
        <f t="shared" si="112"/>
        <v>2.6297644436604983E-2</v>
      </c>
      <c r="C96" s="158">
        <f t="shared" si="112"/>
        <v>4.7235944171480027E-2</v>
      </c>
      <c r="D96" s="158">
        <f t="shared" si="112"/>
        <v>5.1818144549665934E-2</v>
      </c>
      <c r="E96" s="158">
        <f t="shared" si="112"/>
        <v>6.8772457652851005E-2</v>
      </c>
      <c r="F96" s="158">
        <f t="shared" si="112"/>
        <v>7.5040649819624994E-2</v>
      </c>
      <c r="G96" s="158">
        <f t="shared" si="112"/>
        <v>8.2733787743196618E-2</v>
      </c>
      <c r="H96" s="158">
        <f t="shared" si="112"/>
        <v>9.2743797434804431E-2</v>
      </c>
      <c r="J96" s="158">
        <f t="shared" si="113"/>
        <v>2.284065128853574E-2</v>
      </c>
      <c r="K96" s="158">
        <f t="shared" si="113"/>
        <v>3.4620384348435396E-2</v>
      </c>
      <c r="L96" s="158">
        <f t="shared" si="113"/>
        <v>3.8748523157497772E-2</v>
      </c>
      <c r="M96" s="158">
        <f t="shared" si="113"/>
        <v>5.4325171923430782E-2</v>
      </c>
      <c r="N96" s="158">
        <f t="shared" si="113"/>
        <v>5.4954235289583986E-2</v>
      </c>
      <c r="O96" s="158">
        <f t="shared" si="113"/>
        <v>5.1032006161016108E-2</v>
      </c>
      <c r="P96" s="158">
        <f t="shared" si="113"/>
        <v>2.882176877946252E-2</v>
      </c>
      <c r="R96" s="158">
        <f t="shared" si="114"/>
        <v>2.2416302791406828E-2</v>
      </c>
      <c r="S96" s="158">
        <f t="shared" si="114"/>
        <v>3.5914009197046903E-2</v>
      </c>
      <c r="T96" s="158">
        <f t="shared" si="114"/>
        <v>3.9289149860018746E-2</v>
      </c>
      <c r="U96" s="158">
        <f t="shared" si="114"/>
        <v>5.4381650572443263E-2</v>
      </c>
      <c r="V96" s="158">
        <f t="shared" si="114"/>
        <v>5.4947769273236746E-2</v>
      </c>
      <c r="W96" s="158">
        <f t="shared" si="114"/>
        <v>5.1260539216903434E-2</v>
      </c>
      <c r="X96" s="158">
        <f t="shared" si="114"/>
        <v>2.9011173288813197E-2</v>
      </c>
      <c r="Z96" s="158">
        <f t="shared" si="115"/>
        <v>2.2840666015401023E-2</v>
      </c>
      <c r="AA96" s="158">
        <f t="shared" si="115"/>
        <v>3.8779352282451995E-2</v>
      </c>
      <c r="AB96" s="158">
        <f t="shared" si="115"/>
        <v>4.1716513150962253E-2</v>
      </c>
      <c r="AC96" s="158">
        <f t="shared" si="115"/>
        <v>5.617350751093908E-2</v>
      </c>
      <c r="AD96" s="158">
        <f t="shared" si="115"/>
        <v>5.7229454035057081E-2</v>
      </c>
      <c r="AE96" s="158">
        <f t="shared" si="115"/>
        <v>5.2719490256418755E-2</v>
      </c>
      <c r="AF96" s="158">
        <f t="shared" si="115"/>
        <v>2.1866126465322155E-2</v>
      </c>
      <c r="AK96" s="158">
        <f t="shared" ref="AK96:AQ96" si="132">AK52/AK51-1</f>
        <v>2.5051957556077253E-2</v>
      </c>
      <c r="AL96" s="158">
        <f t="shared" si="132"/>
        <v>4.6997635970920548E-2</v>
      </c>
      <c r="AM96" s="158">
        <f t="shared" si="132"/>
        <v>5.3552141672157827E-2</v>
      </c>
      <c r="AN96" s="158">
        <f t="shared" si="132"/>
        <v>6.3401863064330488E-2</v>
      </c>
      <c r="AO96" s="158">
        <f t="shared" si="132"/>
        <v>6.509281606874473E-2</v>
      </c>
      <c r="AP96" s="158">
        <f t="shared" si="132"/>
        <v>6.3618012160564952E-2</v>
      </c>
      <c r="AQ96" s="158">
        <f t="shared" si="132"/>
        <v>5.733976852910283E-2</v>
      </c>
      <c r="AS96" s="158">
        <f t="shared" ref="AS96:AY96" si="133">AS52/AS51-1</f>
        <v>2.5036012490241122E-2</v>
      </c>
      <c r="AT96" s="158">
        <f t="shared" si="133"/>
        <v>4.3857267543396583E-2</v>
      </c>
      <c r="AU96" s="158">
        <f t="shared" si="133"/>
        <v>5.0306724471179454E-2</v>
      </c>
      <c r="AV96" s="158">
        <f t="shared" si="133"/>
        <v>5.9936853289202174E-2</v>
      </c>
      <c r="AW96" s="158">
        <f t="shared" si="133"/>
        <v>6.052408250468333E-2</v>
      </c>
      <c r="AX96" s="158">
        <f t="shared" si="133"/>
        <v>5.5515182540038177E-2</v>
      </c>
      <c r="AY96" s="158">
        <f t="shared" si="133"/>
        <v>4.1842819908431306E-2</v>
      </c>
    </row>
    <row r="97" spans="1:51" x14ac:dyDescent="0.25">
      <c r="A97" s="151" t="s">
        <v>152</v>
      </c>
      <c r="B97" s="158">
        <f t="shared" si="112"/>
        <v>3.6904520100620175E-2</v>
      </c>
      <c r="C97" s="158">
        <f t="shared" si="112"/>
        <v>4.5745277370343507E-2</v>
      </c>
      <c r="D97" s="158">
        <f t="shared" si="112"/>
        <v>5.2840817013106056E-2</v>
      </c>
      <c r="E97" s="158">
        <f t="shared" si="112"/>
        <v>6.7807737622139097E-2</v>
      </c>
      <c r="F97" s="158">
        <f t="shared" si="112"/>
        <v>7.5850075058155886E-2</v>
      </c>
      <c r="G97" s="158">
        <f t="shared" si="112"/>
        <v>9.8387421023756305E-2</v>
      </c>
      <c r="H97" s="158">
        <f t="shared" si="112"/>
        <v>0.14630219734434147</v>
      </c>
      <c r="J97" s="158">
        <f t="shared" si="113"/>
        <v>-8.8124749828973892E-3</v>
      </c>
      <c r="K97" s="158">
        <f t="shared" si="113"/>
        <v>-1.4583001642614835E-2</v>
      </c>
      <c r="L97" s="158">
        <f t="shared" si="113"/>
        <v>-1.3748359511355335E-2</v>
      </c>
      <c r="M97" s="158">
        <f t="shared" si="113"/>
        <v>-1.4595809305714802E-2</v>
      </c>
      <c r="N97" s="158">
        <f t="shared" si="113"/>
        <v>-1.6379347711660608E-2</v>
      </c>
      <c r="O97" s="158">
        <f t="shared" si="113"/>
        <v>-1.5877323501902629E-2</v>
      </c>
      <c r="P97" s="158">
        <f t="shared" si="113"/>
        <v>-1.2450804039997321E-3</v>
      </c>
      <c r="R97" s="158">
        <f t="shared" si="114"/>
        <v>-4.6034277450296424E-3</v>
      </c>
      <c r="S97" s="158">
        <f t="shared" si="114"/>
        <v>-1.4280367781652092E-2</v>
      </c>
      <c r="T97" s="158">
        <f t="shared" si="114"/>
        <v>-1.3545310484639805E-2</v>
      </c>
      <c r="U97" s="158">
        <f t="shared" si="114"/>
        <v>-1.4933122036333346E-2</v>
      </c>
      <c r="V97" s="158">
        <f t="shared" si="114"/>
        <v>-1.6571562042846488E-2</v>
      </c>
      <c r="W97" s="158">
        <f t="shared" si="114"/>
        <v>-1.6012865089062744E-2</v>
      </c>
      <c r="X97" s="158">
        <f t="shared" si="114"/>
        <v>-1.2915407130562606E-3</v>
      </c>
      <c r="Z97" s="158">
        <f t="shared" si="115"/>
        <v>-8.8126432260919874E-3</v>
      </c>
      <c r="AA97" s="158">
        <f t="shared" si="115"/>
        <v>-3.2034667831702945E-2</v>
      </c>
      <c r="AB97" s="158">
        <f t="shared" si="115"/>
        <v>-3.6529517859895333E-2</v>
      </c>
      <c r="AC97" s="158">
        <f t="shared" si="115"/>
        <v>-4.5746438667149669E-2</v>
      </c>
      <c r="AD97" s="158">
        <f t="shared" si="115"/>
        <v>-5.0773098655630733E-2</v>
      </c>
      <c r="AE97" s="158">
        <f t="shared" si="115"/>
        <v>-5.7127989154397207E-2</v>
      </c>
      <c r="AF97" s="158">
        <f t="shared" si="115"/>
        <v>-4.5274197155577456E-2</v>
      </c>
      <c r="AK97" s="158">
        <f t="shared" ref="AK97:AQ97" si="134">AK53/AK52-1</f>
        <v>-1.2748344972193126E-2</v>
      </c>
      <c r="AL97" s="158">
        <f t="shared" si="134"/>
        <v>-1.7818948512594246E-2</v>
      </c>
      <c r="AM97" s="158">
        <f t="shared" si="134"/>
        <v>-2.0224572888841497E-2</v>
      </c>
      <c r="AN97" s="158">
        <f t="shared" si="134"/>
        <v>-2.4285492692299959E-2</v>
      </c>
      <c r="AO97" s="158">
        <f t="shared" si="134"/>
        <v>-2.5277541929127012E-2</v>
      </c>
      <c r="AP97" s="158">
        <f t="shared" si="134"/>
        <v>-1.8412612035569764E-2</v>
      </c>
      <c r="AQ97" s="158">
        <f t="shared" si="134"/>
        <v>1.7697513980640123E-2</v>
      </c>
      <c r="AS97" s="158">
        <f t="shared" ref="AS97:AY97" si="135">AS53/AS52-1</f>
        <v>-1.2767703830824373E-2</v>
      </c>
      <c r="AT97" s="158">
        <f t="shared" si="135"/>
        <v>-2.6397038954772967E-2</v>
      </c>
      <c r="AU97" s="158">
        <f t="shared" si="135"/>
        <v>-3.2405944767371464E-2</v>
      </c>
      <c r="AV97" s="158">
        <f t="shared" si="135"/>
        <v>-4.4908617658692473E-2</v>
      </c>
      <c r="AW97" s="158">
        <f t="shared" si="135"/>
        <v>-4.9365425204438429E-2</v>
      </c>
      <c r="AX97" s="158">
        <f t="shared" si="135"/>
        <v>-4.9190898087534074E-2</v>
      </c>
      <c r="AY97" s="158">
        <f t="shared" si="135"/>
        <v>-1.60634933607956E-2</v>
      </c>
    </row>
    <row r="98" spans="1:51" x14ac:dyDescent="0.25">
      <c r="A98" s="151" t="s">
        <v>153</v>
      </c>
      <c r="B98" s="158">
        <f t="shared" si="112"/>
        <v>-9.9028102162284304E-2</v>
      </c>
      <c r="C98" s="158">
        <f t="shared" si="112"/>
        <v>-0.12642191329320418</v>
      </c>
      <c r="D98" s="158">
        <f t="shared" si="112"/>
        <v>-0.14907977133593897</v>
      </c>
      <c r="E98" s="158">
        <f t="shared" si="112"/>
        <v>-0.19705253682886459</v>
      </c>
      <c r="F98" s="158">
        <f t="shared" si="112"/>
        <v>-0.21318083162606938</v>
      </c>
      <c r="G98" s="158">
        <f t="shared" si="112"/>
        <v>-0.23665460725145993</v>
      </c>
      <c r="H98" s="158">
        <f t="shared" si="112"/>
        <v>-0.24859648071262974</v>
      </c>
      <c r="J98" s="158">
        <f t="shared" si="113"/>
        <v>-3.7845220811454583E-2</v>
      </c>
      <c r="K98" s="158">
        <f t="shared" si="113"/>
        <v>-4.1742661450203888E-2</v>
      </c>
      <c r="L98" s="158">
        <f t="shared" si="113"/>
        <v>-5.3253642690644254E-2</v>
      </c>
      <c r="M98" s="158">
        <f t="shared" si="113"/>
        <v>-8.1016818893500098E-2</v>
      </c>
      <c r="N98" s="158">
        <f t="shared" si="113"/>
        <v>-8.9836881206220354E-2</v>
      </c>
      <c r="O98" s="158">
        <f t="shared" si="113"/>
        <v>-0.10423772401818199</v>
      </c>
      <c r="P98" s="158">
        <f t="shared" si="113"/>
        <v>-0.10286847114259468</v>
      </c>
      <c r="R98" s="158">
        <f t="shared" si="114"/>
        <v>-1.8256288145033772E-2</v>
      </c>
      <c r="S98" s="158">
        <f t="shared" si="114"/>
        <v>-3.9751817042092297E-2</v>
      </c>
      <c r="T98" s="158">
        <f t="shared" si="114"/>
        <v>-5.2576256222736983E-2</v>
      </c>
      <c r="U98" s="158">
        <f t="shared" si="114"/>
        <v>-8.0433946704646542E-2</v>
      </c>
      <c r="V98" s="158">
        <f t="shared" si="114"/>
        <v>-8.9362647384865435E-2</v>
      </c>
      <c r="W98" s="158">
        <f t="shared" si="114"/>
        <v>-0.10400177545625389</v>
      </c>
      <c r="X98" s="158">
        <f t="shared" si="114"/>
        <v>-0.10283998124708515</v>
      </c>
      <c r="Z98" s="158">
        <f t="shared" si="115"/>
        <v>-3.784515511597708E-2</v>
      </c>
      <c r="AA98" s="158">
        <f t="shared" si="115"/>
        <v>-8.5870769978794614E-2</v>
      </c>
      <c r="AB98" s="158">
        <f t="shared" si="115"/>
        <v>-0.10178871566755943</v>
      </c>
      <c r="AC98" s="158">
        <f t="shared" si="115"/>
        <v>-0.13796201873971081</v>
      </c>
      <c r="AD98" s="158">
        <f t="shared" si="115"/>
        <v>-0.14842671425748377</v>
      </c>
      <c r="AE98" s="158">
        <f t="shared" si="115"/>
        <v>-0.17246979035726884</v>
      </c>
      <c r="AF98" s="158">
        <f t="shared" si="115"/>
        <v>-0.17851287580498398</v>
      </c>
      <c r="AK98" s="158">
        <f t="shared" ref="AK98:AQ98" si="136">AK54/AK53-1</f>
        <v>-2.2192014051743647E-2</v>
      </c>
      <c r="AL98" s="158">
        <f t="shared" si="136"/>
        <v>-3.2515126207175116E-2</v>
      </c>
      <c r="AM98" s="158">
        <f t="shared" si="136"/>
        <v>-3.6762822166747755E-2</v>
      </c>
      <c r="AN98" s="158">
        <f t="shared" si="136"/>
        <v>-3.9035965521341143E-2</v>
      </c>
      <c r="AO98" s="158">
        <f t="shared" si="136"/>
        <v>-3.8136339024810173E-2</v>
      </c>
      <c r="AP98" s="158">
        <f t="shared" si="136"/>
        <v>-3.5017910019173315E-2</v>
      </c>
      <c r="AQ98" s="158">
        <f t="shared" si="136"/>
        <v>-2.1448366250233497E-2</v>
      </c>
      <c r="AS98" s="158">
        <f t="shared" ref="AS98:AY98" si="137">AS54/AS53-1</f>
        <v>-2.2193150572638931E-2</v>
      </c>
      <c r="AT98" s="158">
        <f t="shared" si="137"/>
        <v>-3.3115306984026316E-2</v>
      </c>
      <c r="AU98" s="158">
        <f t="shared" si="137"/>
        <v>-3.1725004959452185E-2</v>
      </c>
      <c r="AV98" s="158">
        <f t="shared" si="137"/>
        <v>-1.8414212727375645E-2</v>
      </c>
      <c r="AW98" s="158">
        <f t="shared" si="137"/>
        <v>-1.0772817972139803E-2</v>
      </c>
      <c r="AX98" s="158">
        <f t="shared" si="137"/>
        <v>5.7177684686691155E-3</v>
      </c>
      <c r="AY98" s="158">
        <f t="shared" si="137"/>
        <v>3.4638744506620744E-2</v>
      </c>
    </row>
    <row r="99" spans="1:51" x14ac:dyDescent="0.25">
      <c r="A99" s="151" t="s">
        <v>154</v>
      </c>
      <c r="B99" s="158">
        <f t="shared" si="112"/>
        <v>-8.3538206813506544E-2</v>
      </c>
      <c r="C99" s="158">
        <f t="shared" si="112"/>
        <v>-0.11633011870207965</v>
      </c>
      <c r="D99" s="158">
        <f t="shared" si="112"/>
        <v>-0.14393627154659194</v>
      </c>
      <c r="E99" s="158">
        <f t="shared" si="112"/>
        <v>-0.20722311870669896</v>
      </c>
      <c r="F99" s="158">
        <f t="shared" si="112"/>
        <v>-0.2310507150276021</v>
      </c>
      <c r="G99" s="158">
        <f t="shared" si="112"/>
        <v>-0.26902780670149307</v>
      </c>
      <c r="H99" s="158">
        <f t="shared" si="112"/>
        <v>-0.29107449421028642</v>
      </c>
      <c r="J99" s="158">
        <f t="shared" si="113"/>
        <v>-3.0519317813202385E-2</v>
      </c>
      <c r="K99" s="158">
        <f t="shared" si="113"/>
        <v>-4.1996214139812027E-2</v>
      </c>
      <c r="L99" s="158">
        <f t="shared" si="113"/>
        <v>-5.5735591321554478E-2</v>
      </c>
      <c r="M99" s="158">
        <f t="shared" si="113"/>
        <v>-9.0535992800228726E-2</v>
      </c>
      <c r="N99" s="158">
        <f t="shared" si="113"/>
        <v>-0.10314048591408898</v>
      </c>
      <c r="O99" s="158">
        <f t="shared" si="113"/>
        <v>-0.11241593701709418</v>
      </c>
      <c r="P99" s="158">
        <f t="shared" si="113"/>
        <v>-8.8070405535127794E-2</v>
      </c>
      <c r="R99" s="158">
        <f t="shared" si="114"/>
        <v>-2.0424031681067434E-2</v>
      </c>
      <c r="S99" s="158">
        <f t="shared" si="114"/>
        <v>-3.9673949631062411E-2</v>
      </c>
      <c r="T99" s="158">
        <f t="shared" si="114"/>
        <v>-5.3911749874512194E-2</v>
      </c>
      <c r="U99" s="158">
        <f t="shared" si="114"/>
        <v>-8.923970950409732E-2</v>
      </c>
      <c r="V99" s="158">
        <f t="shared" si="114"/>
        <v>-0.10224311476700099</v>
      </c>
      <c r="W99" s="158">
        <f t="shared" si="114"/>
        <v>-0.11209895620709565</v>
      </c>
      <c r="X99" s="158">
        <f t="shared" si="114"/>
        <v>-8.8037276370176554E-2</v>
      </c>
      <c r="Z99" s="158">
        <f t="shared" si="115"/>
        <v>-3.0519322824972051E-2</v>
      </c>
      <c r="AA99" s="158">
        <f t="shared" si="115"/>
        <v>-6.5433836573435711E-2</v>
      </c>
      <c r="AB99" s="158">
        <f t="shared" si="115"/>
        <v>-7.9347324617074055E-2</v>
      </c>
      <c r="AC99" s="158">
        <f t="shared" si="115"/>
        <v>-0.10968779395777739</v>
      </c>
      <c r="AD99" s="158">
        <f t="shared" si="115"/>
        <v>-0.12128741909448471</v>
      </c>
      <c r="AE99" s="158">
        <f t="shared" si="115"/>
        <v>-0.13196439772670843</v>
      </c>
      <c r="AF99" s="158">
        <f t="shared" si="115"/>
        <v>-0.10868019881264979</v>
      </c>
      <c r="AK99" s="158">
        <f t="shared" ref="AK99:AQ99" si="138">AK55/AK54-1</f>
        <v>-4.567140564480876E-2</v>
      </c>
      <c r="AL99" s="158">
        <f t="shared" si="138"/>
        <v>-6.6103286314727394E-2</v>
      </c>
      <c r="AM99" s="158">
        <f t="shared" si="138"/>
        <v>-7.7248294023054886E-2</v>
      </c>
      <c r="AN99" s="158">
        <f t="shared" si="138"/>
        <v>-9.3668911914350894E-2</v>
      </c>
      <c r="AO99" s="158">
        <f t="shared" si="138"/>
        <v>-9.5311501419112044E-2</v>
      </c>
      <c r="AP99" s="158">
        <f t="shared" si="138"/>
        <v>-8.679832263348819E-2</v>
      </c>
      <c r="AQ99" s="158">
        <f t="shared" si="138"/>
        <v>-3.4922649131589711E-2</v>
      </c>
      <c r="AS99" s="158">
        <f t="shared" ref="AS99:AY99" si="139">AS55/AS54-1</f>
        <v>-4.5663200868715559E-2</v>
      </c>
      <c r="AT99" s="158">
        <f t="shared" si="139"/>
        <v>-4.93448642538451E-2</v>
      </c>
      <c r="AU99" s="158">
        <f t="shared" si="139"/>
        <v>-5.4680121662263992E-2</v>
      </c>
      <c r="AV99" s="158">
        <f t="shared" si="139"/>
        <v>-5.995191476213324E-2</v>
      </c>
      <c r="AW99" s="158">
        <f t="shared" si="139"/>
        <v>-5.5975306039270367E-2</v>
      </c>
      <c r="AX99" s="158">
        <f t="shared" si="139"/>
        <v>-3.3443744104066031E-2</v>
      </c>
      <c r="AY99" s="158">
        <f t="shared" si="139"/>
        <v>4.0059196835904087E-2</v>
      </c>
    </row>
    <row r="100" spans="1:51" x14ac:dyDescent="0.25">
      <c r="A100" s="151"/>
      <c r="B100" s="158"/>
      <c r="C100" s="158"/>
      <c r="D100" s="158"/>
      <c r="E100" s="158"/>
      <c r="F100" s="158"/>
      <c r="G100" s="158"/>
      <c r="H100" s="158"/>
      <c r="J100" s="158"/>
      <c r="K100" s="158"/>
      <c r="L100" s="158"/>
      <c r="M100" s="158"/>
      <c r="N100" s="158"/>
      <c r="O100" s="158"/>
      <c r="P100" s="158"/>
      <c r="R100" s="158"/>
      <c r="S100" s="158"/>
      <c r="T100" s="158"/>
      <c r="U100" s="158"/>
      <c r="V100" s="158"/>
      <c r="W100" s="158"/>
      <c r="X100" s="158"/>
      <c r="Z100" s="158"/>
      <c r="AA100" s="158"/>
      <c r="AB100" s="158"/>
      <c r="AC100" s="158"/>
      <c r="AD100" s="158"/>
      <c r="AE100" s="158"/>
      <c r="AF100" s="158"/>
      <c r="AK100" s="158"/>
      <c r="AL100" s="158"/>
      <c r="AM100" s="158"/>
      <c r="AN100" s="158"/>
      <c r="AO100" s="158"/>
      <c r="AP100" s="158"/>
      <c r="AQ100" s="158"/>
      <c r="AS100" s="158"/>
      <c r="AT100" s="158"/>
      <c r="AU100" s="158"/>
      <c r="AV100" s="158"/>
      <c r="AW100" s="158"/>
      <c r="AX100" s="158"/>
      <c r="AY100" s="158"/>
    </row>
    <row r="101" spans="1:51" x14ac:dyDescent="0.25">
      <c r="A101" s="155" t="s">
        <v>155</v>
      </c>
      <c r="B101" s="159" t="s">
        <v>32</v>
      </c>
      <c r="C101" s="159" t="s">
        <v>13</v>
      </c>
      <c r="D101" s="159" t="s">
        <v>14</v>
      </c>
      <c r="E101" s="159" t="s">
        <v>15</v>
      </c>
      <c r="F101" s="159" t="s">
        <v>16</v>
      </c>
      <c r="G101" s="159" t="s">
        <v>17</v>
      </c>
      <c r="H101" s="159" t="s">
        <v>18</v>
      </c>
      <c r="I101" s="160"/>
      <c r="J101" s="159" t="s">
        <v>32</v>
      </c>
      <c r="K101" s="159" t="s">
        <v>13</v>
      </c>
      <c r="L101" s="159" t="s">
        <v>14</v>
      </c>
      <c r="M101" s="159" t="s">
        <v>15</v>
      </c>
      <c r="N101" s="159" t="s">
        <v>16</v>
      </c>
      <c r="O101" s="159" t="s">
        <v>17</v>
      </c>
      <c r="P101" s="159" t="s">
        <v>18</v>
      </c>
      <c r="Q101" s="160"/>
      <c r="R101" s="159" t="s">
        <v>32</v>
      </c>
      <c r="S101" s="159" t="s">
        <v>13</v>
      </c>
      <c r="T101" s="159" t="s">
        <v>14</v>
      </c>
      <c r="U101" s="159" t="s">
        <v>15</v>
      </c>
      <c r="V101" s="159" t="s">
        <v>16</v>
      </c>
      <c r="W101" s="159" t="s">
        <v>17</v>
      </c>
      <c r="X101" s="159" t="s">
        <v>18</v>
      </c>
      <c r="Z101" s="159" t="s">
        <v>32</v>
      </c>
      <c r="AA101" s="159" t="s">
        <v>13</v>
      </c>
      <c r="AB101" s="159" t="s">
        <v>14</v>
      </c>
      <c r="AC101" s="159" t="s">
        <v>15</v>
      </c>
      <c r="AD101" s="159" t="s">
        <v>16</v>
      </c>
      <c r="AE101" s="159" t="s">
        <v>17</v>
      </c>
      <c r="AF101" s="159" t="s">
        <v>18</v>
      </c>
      <c r="AK101" s="159" t="s">
        <v>32</v>
      </c>
      <c r="AL101" s="159" t="s">
        <v>13</v>
      </c>
      <c r="AM101" s="159" t="s">
        <v>14</v>
      </c>
      <c r="AN101" s="159" t="s">
        <v>15</v>
      </c>
      <c r="AO101" s="159" t="s">
        <v>16</v>
      </c>
      <c r="AP101" s="159" t="s">
        <v>17</v>
      </c>
      <c r="AQ101" s="159" t="s">
        <v>18</v>
      </c>
      <c r="AS101" s="159" t="s">
        <v>32</v>
      </c>
      <c r="AT101" s="159" t="s">
        <v>13</v>
      </c>
      <c r="AU101" s="159" t="s">
        <v>14</v>
      </c>
      <c r="AV101" s="159" t="s">
        <v>15</v>
      </c>
      <c r="AW101" s="159" t="s">
        <v>16</v>
      </c>
      <c r="AX101" s="159" t="s">
        <v>17</v>
      </c>
      <c r="AY101" s="159" t="s">
        <v>18</v>
      </c>
    </row>
    <row r="102" spans="1:51" x14ac:dyDescent="0.25">
      <c r="A102" s="151" t="s">
        <v>156</v>
      </c>
      <c r="B102" s="158">
        <f t="shared" ref="B102:H106" si="140">B56/B55-1</f>
        <v>2.0876674331179901E-2</v>
      </c>
      <c r="C102" s="158">
        <f t="shared" si="140"/>
        <v>5.4704638121362725E-2</v>
      </c>
      <c r="D102" s="158">
        <f t="shared" si="140"/>
        <v>7.2916304461212222E-2</v>
      </c>
      <c r="E102" s="158">
        <f t="shared" si="140"/>
        <v>0.11913380307223753</v>
      </c>
      <c r="F102" s="158">
        <f t="shared" si="140"/>
        <v>0.14184536170876716</v>
      </c>
      <c r="G102" s="158">
        <f t="shared" si="140"/>
        <v>0.18861803642043551</v>
      </c>
      <c r="H102" s="158">
        <f t="shared" si="140"/>
        <v>0.25288885262681915</v>
      </c>
      <c r="J102" s="158">
        <f t="shared" ref="J102:P105" si="141">J56/J55-1</f>
        <v>1.614103225754282E-2</v>
      </c>
      <c r="K102" s="158">
        <f t="shared" si="141"/>
        <v>5.2553396424249943E-2</v>
      </c>
      <c r="L102" s="158">
        <f t="shared" si="141"/>
        <v>7.1390424302183675E-2</v>
      </c>
      <c r="M102" s="158">
        <f t="shared" si="141"/>
        <v>0.1097023148218883</v>
      </c>
      <c r="N102" s="158">
        <f t="shared" si="141"/>
        <v>0.12804680016807923</v>
      </c>
      <c r="O102" s="158">
        <f t="shared" si="141"/>
        <v>0.16052457248301288</v>
      </c>
      <c r="P102" s="158">
        <f t="shared" si="141"/>
        <v>0.19176435755587828</v>
      </c>
      <c r="R102" s="158">
        <f t="shared" ref="R102:X105" si="142">R56/R55-1</f>
        <v>2.1138308364882841E-2</v>
      </c>
      <c r="S102" s="158">
        <f t="shared" si="142"/>
        <v>5.2839429367241841E-2</v>
      </c>
      <c r="T102" s="158">
        <f t="shared" si="142"/>
        <v>7.0950930132537726E-2</v>
      </c>
      <c r="U102" s="158">
        <f t="shared" si="142"/>
        <v>0.10887983918393052</v>
      </c>
      <c r="V102" s="158">
        <f t="shared" si="142"/>
        <v>0.12743563283412684</v>
      </c>
      <c r="W102" s="158">
        <f t="shared" si="142"/>
        <v>0.16025583548354372</v>
      </c>
      <c r="X102" s="158">
        <f t="shared" si="142"/>
        <v>0.19169433835708261</v>
      </c>
      <c r="Z102" s="158">
        <f t="shared" ref="Z102:AF105" si="143">Z56/Z55-1</f>
        <v>1.6141081967917525E-2</v>
      </c>
      <c r="AA102" s="158">
        <f t="shared" si="143"/>
        <v>5.1605341200993582E-2</v>
      </c>
      <c r="AB102" s="158">
        <f t="shared" si="143"/>
        <v>7.1458463543394135E-2</v>
      </c>
      <c r="AC102" s="158">
        <f t="shared" si="143"/>
        <v>0.11951706469255585</v>
      </c>
      <c r="AD102" s="158">
        <f t="shared" si="143"/>
        <v>0.14213670138936596</v>
      </c>
      <c r="AE102" s="158">
        <f t="shared" si="143"/>
        <v>0.18717757181162376</v>
      </c>
      <c r="AF102" s="158">
        <f t="shared" si="143"/>
        <v>0.24462761314136627</v>
      </c>
      <c r="AK102" s="158">
        <f t="shared" ref="AK102:AQ102" si="144">AK56/AK55-1</f>
        <v>2.2858711895742179E-2</v>
      </c>
      <c r="AL102" s="158">
        <f t="shared" si="144"/>
        <v>5.5424508369419145E-2</v>
      </c>
      <c r="AM102" s="158">
        <f t="shared" si="144"/>
        <v>6.6413179957899082E-2</v>
      </c>
      <c r="AN102" s="158">
        <f t="shared" si="144"/>
        <v>9.22724753730646E-2</v>
      </c>
      <c r="AO102" s="158">
        <f t="shared" si="144"/>
        <v>0.10377192438612148</v>
      </c>
      <c r="AP102" s="158">
        <f t="shared" si="144"/>
        <v>0.13357889574660087</v>
      </c>
      <c r="AQ102" s="158">
        <f t="shared" si="144"/>
        <v>0.1525076534202896</v>
      </c>
      <c r="AS102" s="158">
        <f t="shared" ref="AS102:AY102" si="145">AS56/AS55-1</f>
        <v>2.2841319347591149E-2</v>
      </c>
      <c r="AT102" s="158">
        <f t="shared" si="145"/>
        <v>4.555224753961995E-2</v>
      </c>
      <c r="AU102" s="158">
        <f t="shared" si="145"/>
        <v>5.5311107417214345E-2</v>
      </c>
      <c r="AV102" s="158">
        <f t="shared" si="145"/>
        <v>7.993451831907783E-2</v>
      </c>
      <c r="AW102" s="158">
        <f t="shared" si="145"/>
        <v>9.0331769369918602E-2</v>
      </c>
      <c r="AX102" s="158">
        <f t="shared" si="145"/>
        <v>0.11792091061513088</v>
      </c>
      <c r="AY102" s="158">
        <f t="shared" si="145"/>
        <v>0.13244617018579108</v>
      </c>
    </row>
    <row r="103" spans="1:51" x14ac:dyDescent="0.25">
      <c r="A103" s="151" t="s">
        <v>157</v>
      </c>
      <c r="B103" s="158">
        <f t="shared" si="140"/>
        <v>-7.5435272246254792E-3</v>
      </c>
      <c r="C103" s="158">
        <f t="shared" si="140"/>
        <v>-5.7894873922377244E-3</v>
      </c>
      <c r="D103" s="158">
        <f t="shared" si="140"/>
        <v>-6.6337927045730938E-3</v>
      </c>
      <c r="E103" s="158">
        <f t="shared" si="140"/>
        <v>-1.833817953723027E-2</v>
      </c>
      <c r="F103" s="158">
        <f t="shared" si="140"/>
        <v>-2.522674824691129E-2</v>
      </c>
      <c r="G103" s="158">
        <f t="shared" si="140"/>
        <v>-4.7827339908452782E-2</v>
      </c>
      <c r="H103" s="158">
        <f t="shared" si="140"/>
        <v>-0.10245072378632236</v>
      </c>
      <c r="J103" s="158">
        <f t="shared" si="141"/>
        <v>8.766084305903199E-3</v>
      </c>
      <c r="K103" s="158">
        <f t="shared" si="141"/>
        <v>5.8745088370477649E-3</v>
      </c>
      <c r="L103" s="158">
        <f t="shared" si="141"/>
        <v>-5.8132673241695354E-4</v>
      </c>
      <c r="M103" s="158">
        <f t="shared" si="141"/>
        <v>-2.3281962797499944E-2</v>
      </c>
      <c r="N103" s="158">
        <f t="shared" si="141"/>
        <v>-3.7830261095475826E-2</v>
      </c>
      <c r="O103" s="158">
        <f t="shared" si="141"/>
        <v>-7.0302298055466395E-2</v>
      </c>
      <c r="P103" s="158">
        <f t="shared" si="141"/>
        <v>-0.12798300360873804</v>
      </c>
      <c r="R103" s="158">
        <f t="shared" si="142"/>
        <v>3.2880068518335026E-3</v>
      </c>
      <c r="S103" s="158">
        <f t="shared" si="142"/>
        <v>4.4302995566052328E-3</v>
      </c>
      <c r="T103" s="158">
        <f t="shared" si="142"/>
        <v>-1.4013869255916633E-3</v>
      </c>
      <c r="U103" s="158">
        <f t="shared" si="142"/>
        <v>-2.3657057387689306E-2</v>
      </c>
      <c r="V103" s="158">
        <f t="shared" si="142"/>
        <v>-3.7451338004807377E-2</v>
      </c>
      <c r="W103" s="158">
        <f t="shared" si="142"/>
        <v>-7.0161209334356656E-2</v>
      </c>
      <c r="X103" s="158">
        <f t="shared" si="142"/>
        <v>-0.12784698470619815</v>
      </c>
      <c r="Z103" s="158">
        <f t="shared" si="143"/>
        <v>8.7660939157530038E-3</v>
      </c>
      <c r="AA103" s="158">
        <f t="shared" si="143"/>
        <v>5.083095609721866E-3</v>
      </c>
      <c r="AB103" s="158">
        <f t="shared" si="143"/>
        <v>-4.4461916487431585E-3</v>
      </c>
      <c r="AC103" s="158">
        <f t="shared" si="143"/>
        <v>-4.2553192804926754E-2</v>
      </c>
      <c r="AD103" s="158">
        <f t="shared" si="143"/>
        <v>-6.0782195241940618E-2</v>
      </c>
      <c r="AE103" s="158">
        <f t="shared" si="143"/>
        <v>-0.10559320065208855</v>
      </c>
      <c r="AF103" s="158">
        <f t="shared" si="143"/>
        <v>-0.17415749008908066</v>
      </c>
      <c r="AK103" s="158">
        <f t="shared" ref="AK103:AQ103" si="146">AK57/AK56-1</f>
        <v>1.6117728868535686E-2</v>
      </c>
      <c r="AL103" s="158">
        <f t="shared" si="146"/>
        <v>1.9966008029263849E-2</v>
      </c>
      <c r="AM103" s="158">
        <f t="shared" si="146"/>
        <v>1.7905862134591333E-2</v>
      </c>
      <c r="AN103" s="158">
        <f t="shared" si="146"/>
        <v>5.9805881699921404E-3</v>
      </c>
      <c r="AO103" s="158">
        <f t="shared" si="146"/>
        <v>-1.3438097105404889E-3</v>
      </c>
      <c r="AP103" s="158">
        <f t="shared" si="146"/>
        <v>-2.700248319544174E-2</v>
      </c>
      <c r="AQ103" s="158">
        <f t="shared" si="146"/>
        <v>-8.60289006920546E-2</v>
      </c>
      <c r="AS103" s="158">
        <f t="shared" ref="AS103:AY103" si="147">AS57/AS56-1</f>
        <v>1.61383405927924E-2</v>
      </c>
      <c r="AT103" s="158">
        <f t="shared" si="147"/>
        <v>2.1838738179869255E-2</v>
      </c>
      <c r="AU103" s="158">
        <f t="shared" si="147"/>
        <v>2.0190843800094616E-2</v>
      </c>
      <c r="AV103" s="158">
        <f t="shared" si="147"/>
        <v>9.2052695720932221E-3</v>
      </c>
      <c r="AW103" s="158">
        <f t="shared" si="147"/>
        <v>1.8997014289292569E-3</v>
      </c>
      <c r="AX103" s="158">
        <f t="shared" si="147"/>
        <v>-2.4145319132554244E-2</v>
      </c>
      <c r="AY103" s="158">
        <f t="shared" si="147"/>
        <v>-8.4011696787421375E-2</v>
      </c>
    </row>
    <row r="104" spans="1:51" x14ac:dyDescent="0.25">
      <c r="A104" s="151" t="s">
        <v>158</v>
      </c>
      <c r="B104" s="158">
        <f t="shared" si="140"/>
        <v>5.538544668587897E-2</v>
      </c>
      <c r="C104" s="158">
        <f t="shared" si="140"/>
        <v>0.10963036148005112</v>
      </c>
      <c r="D104" s="158">
        <f t="shared" si="140"/>
        <v>0.14167045200731798</v>
      </c>
      <c r="E104" s="158">
        <f t="shared" si="140"/>
        <v>0.22625371057258792</v>
      </c>
      <c r="F104" s="158">
        <f t="shared" si="140"/>
        <v>0.26188062606439066</v>
      </c>
      <c r="G104" s="158">
        <f t="shared" si="140"/>
        <v>0.33397440794388245</v>
      </c>
      <c r="H104" s="158">
        <f t="shared" si="140"/>
        <v>0.41897543566029993</v>
      </c>
      <c r="J104" s="158">
        <f t="shared" si="141"/>
        <v>1.869135296498925E-2</v>
      </c>
      <c r="K104" s="158">
        <f t="shared" si="141"/>
        <v>5.2580889625855054E-2</v>
      </c>
      <c r="L104" s="158">
        <f t="shared" si="141"/>
        <v>6.9877970062096395E-2</v>
      </c>
      <c r="M104" s="158">
        <f t="shared" si="141"/>
        <v>0.12075166194554954</v>
      </c>
      <c r="N104" s="158">
        <f t="shared" si="141"/>
        <v>0.148864714030845</v>
      </c>
      <c r="O104" s="158">
        <f t="shared" si="141"/>
        <v>0.21052763407270048</v>
      </c>
      <c r="P104" s="158">
        <f t="shared" si="141"/>
        <v>0.28011710825338909</v>
      </c>
      <c r="R104" s="158">
        <f t="shared" si="142"/>
        <v>1.205164670715253E-2</v>
      </c>
      <c r="S104" s="158">
        <f t="shared" si="142"/>
        <v>5.209055749059277E-2</v>
      </c>
      <c r="T104" s="158">
        <f t="shared" si="142"/>
        <v>6.9469680937360057E-2</v>
      </c>
      <c r="U104" s="158">
        <f t="shared" si="142"/>
        <v>0.12048421022691636</v>
      </c>
      <c r="V104" s="158">
        <f t="shared" si="142"/>
        <v>0.1483085232967436</v>
      </c>
      <c r="W104" s="158">
        <f t="shared" si="142"/>
        <v>0.21007968352114137</v>
      </c>
      <c r="X104" s="158">
        <f t="shared" si="142"/>
        <v>0.2799570075445974</v>
      </c>
      <c r="Z104" s="158">
        <f t="shared" si="143"/>
        <v>1.8691411198091146E-2</v>
      </c>
      <c r="AA104" s="158">
        <f t="shared" si="143"/>
        <v>8.2398059179489946E-2</v>
      </c>
      <c r="AB104" s="158">
        <f t="shared" si="143"/>
        <v>0.10344149351911458</v>
      </c>
      <c r="AC104" s="158">
        <f t="shared" si="143"/>
        <v>0.16985577514606964</v>
      </c>
      <c r="AD104" s="158">
        <f t="shared" si="143"/>
        <v>0.20484554841536395</v>
      </c>
      <c r="AE104" s="158">
        <f t="shared" si="143"/>
        <v>0.29734140071245863</v>
      </c>
      <c r="AF104" s="158">
        <f t="shared" si="143"/>
        <v>0.40538109199863848</v>
      </c>
      <c r="AK104" s="158">
        <f t="shared" ref="AK104:AQ104" si="148">AK58/AK57-1</f>
        <v>2.3795998998427326E-2</v>
      </c>
      <c r="AL104" s="158">
        <f t="shared" si="148"/>
        <v>5.1014824639763479E-2</v>
      </c>
      <c r="AM104" s="158">
        <f t="shared" si="148"/>
        <v>6.2030868676478557E-2</v>
      </c>
      <c r="AN104" s="158">
        <f t="shared" si="148"/>
        <v>8.5395392529662217E-2</v>
      </c>
      <c r="AO104" s="158">
        <f t="shared" si="148"/>
        <v>9.4127844380931247E-2</v>
      </c>
      <c r="AP104" s="158">
        <f t="shared" si="148"/>
        <v>0.11313110232783252</v>
      </c>
      <c r="AQ104" s="158">
        <f t="shared" si="148"/>
        <v>0.13872707936044315</v>
      </c>
      <c r="AS104" s="158">
        <f t="shared" ref="AS104:AY104" si="149">AS58/AS57-1</f>
        <v>2.3794234316110385E-2</v>
      </c>
      <c r="AT104" s="158">
        <f t="shared" si="149"/>
        <v>5.3248161883685974E-2</v>
      </c>
      <c r="AU104" s="158">
        <f t="shared" si="149"/>
        <v>6.1678703072936658E-2</v>
      </c>
      <c r="AV104" s="158">
        <f t="shared" si="149"/>
        <v>7.8242507699149089E-2</v>
      </c>
      <c r="AW104" s="158">
        <f t="shared" si="149"/>
        <v>8.2483089902450457E-2</v>
      </c>
      <c r="AX104" s="158">
        <f t="shared" si="149"/>
        <v>9.2549813353194343E-2</v>
      </c>
      <c r="AY104" s="158">
        <f t="shared" si="149"/>
        <v>0.10821212681038439</v>
      </c>
    </row>
    <row r="105" spans="1:51" x14ac:dyDescent="0.25">
      <c r="A105" s="151" t="s">
        <v>159</v>
      </c>
      <c r="B105" s="158">
        <f t="shared" si="140"/>
        <v>-2.8705520948886454E-2</v>
      </c>
      <c r="C105" s="158">
        <f t="shared" si="140"/>
        <v>-6.6492187210161147E-2</v>
      </c>
      <c r="D105" s="158">
        <f t="shared" si="140"/>
        <v>-8.8224691043220949E-2</v>
      </c>
      <c r="E105" s="158">
        <f t="shared" si="140"/>
        <v>-0.14877093301435407</v>
      </c>
      <c r="F105" s="158">
        <f t="shared" si="140"/>
        <v>-0.17406211339792099</v>
      </c>
      <c r="G105" s="158">
        <f t="shared" si="140"/>
        <v>-0.21786669044769236</v>
      </c>
      <c r="H105" s="158">
        <f t="shared" si="140"/>
        <v>-0.25351355739253389</v>
      </c>
      <c r="J105" s="158">
        <f t="shared" si="141"/>
        <v>-6.5656811006997717E-4</v>
      </c>
      <c r="K105" s="158">
        <f t="shared" si="141"/>
        <v>-2.8352757533969153E-2</v>
      </c>
      <c r="L105" s="158">
        <f t="shared" si="141"/>
        <v>-4.5804954714187773E-2</v>
      </c>
      <c r="M105" s="158">
        <f t="shared" si="141"/>
        <v>-8.8086920288873771E-2</v>
      </c>
      <c r="N105" s="158">
        <f t="shared" si="141"/>
        <v>-0.10687655129623996</v>
      </c>
      <c r="O105" s="158">
        <f t="shared" si="141"/>
        <v>-0.14233274622676295</v>
      </c>
      <c r="P105" s="158">
        <f t="shared" si="141"/>
        <v>-0.17971294954798511</v>
      </c>
      <c r="R105" s="158">
        <f t="shared" si="142"/>
        <v>-9.4486747710897934E-4</v>
      </c>
      <c r="S105" s="158">
        <f t="shared" si="142"/>
        <v>-2.6529530789349276E-2</v>
      </c>
      <c r="T105" s="158">
        <f t="shared" si="142"/>
        <v>-4.3955763587873231E-2</v>
      </c>
      <c r="U105" s="158">
        <f t="shared" si="142"/>
        <v>-8.709740148782219E-2</v>
      </c>
      <c r="V105" s="158">
        <f t="shared" si="142"/>
        <v>-0.10674740418695361</v>
      </c>
      <c r="W105" s="158">
        <f t="shared" si="142"/>
        <v>-0.14198183540655096</v>
      </c>
      <c r="X105" s="158">
        <f t="shared" si="142"/>
        <v>-0.17968826345122801</v>
      </c>
      <c r="Z105" s="158">
        <f t="shared" si="143"/>
        <v>-6.5657759098758373E-4</v>
      </c>
      <c r="AA105" s="158">
        <f t="shared" si="143"/>
        <v>-2.4276228066979932E-2</v>
      </c>
      <c r="AB105" s="158">
        <f t="shared" si="143"/>
        <v>-4.7064539897597291E-2</v>
      </c>
      <c r="AC105" s="158">
        <f t="shared" si="143"/>
        <v>-0.11429512141851561</v>
      </c>
      <c r="AD105" s="158">
        <f t="shared" si="143"/>
        <v>-0.14776473244796751</v>
      </c>
      <c r="AE105" s="158">
        <f t="shared" si="143"/>
        <v>-0.20959770966305313</v>
      </c>
      <c r="AF105" s="158">
        <f t="shared" si="143"/>
        <v>-0.27028870054944065</v>
      </c>
      <c r="AK105" s="158">
        <f t="shared" ref="AK105:AQ105" si="150">AK59/AK58-1</f>
        <v>1.3954948525485289E-3</v>
      </c>
      <c r="AL105" s="158">
        <f t="shared" si="150"/>
        <v>-1.611136228772192E-2</v>
      </c>
      <c r="AM105" s="158">
        <f t="shared" si="150"/>
        <v>-2.4787929482366744E-2</v>
      </c>
      <c r="AN105" s="158">
        <f t="shared" si="150"/>
        <v>-5.5668602135559464E-2</v>
      </c>
      <c r="AO105" s="158">
        <f t="shared" si="150"/>
        <v>-6.8787588158365498E-2</v>
      </c>
      <c r="AP105" s="158">
        <f t="shared" si="150"/>
        <v>-9.3736090564876196E-2</v>
      </c>
      <c r="AQ105" s="158">
        <f t="shared" si="150"/>
        <v>-0.10646380515320386</v>
      </c>
      <c r="AS105" s="158">
        <f t="shared" ref="AS105:AY105" si="151">AS59/AS58-1</f>
        <v>1.3760918837930625E-3</v>
      </c>
      <c r="AT105" s="158">
        <f t="shared" si="151"/>
        <v>-2.5314875209537568E-2</v>
      </c>
      <c r="AU105" s="158">
        <f t="shared" si="151"/>
        <v>-3.7426655438846268E-2</v>
      </c>
      <c r="AV105" s="158">
        <f t="shared" si="151"/>
        <v>-7.8215471673792281E-2</v>
      </c>
      <c r="AW105" s="158">
        <f t="shared" si="151"/>
        <v>-9.5303532170901373E-2</v>
      </c>
      <c r="AX105" s="158">
        <f t="shared" si="151"/>
        <v>-0.13074539398097706</v>
      </c>
      <c r="AY105" s="158">
        <f t="shared" si="151"/>
        <v>-0.15069990539537703</v>
      </c>
    </row>
    <row r="106" spans="1:51" x14ac:dyDescent="0.25">
      <c r="A106" s="216" t="s">
        <v>160</v>
      </c>
      <c r="B106" s="217">
        <f t="shared" si="140"/>
        <v>3.8954193242317192E-2</v>
      </c>
      <c r="C106" s="217">
        <f t="shared" si="140"/>
        <v>6.7413091702615002E-2</v>
      </c>
      <c r="D106" s="217">
        <f t="shared" si="140"/>
        <v>8.1184619427507876E-2</v>
      </c>
      <c r="E106" s="217">
        <f t="shared" si="140"/>
        <v>0.11285925572016264</v>
      </c>
      <c r="F106" s="217">
        <f t="shared" si="140"/>
        <v>0.1280860046285901</v>
      </c>
      <c r="G106" s="217">
        <f t="shared" si="140"/>
        <v>0.15352943160094346</v>
      </c>
      <c r="H106" s="217">
        <f t="shared" si="140"/>
        <v>0.16993363328782785</v>
      </c>
      <c r="I106" s="21"/>
      <c r="J106" s="217"/>
      <c r="K106" s="217"/>
      <c r="L106" s="217"/>
      <c r="M106" s="217"/>
      <c r="N106" s="217"/>
      <c r="O106" s="217"/>
      <c r="P106" s="217"/>
      <c r="Q106" s="21"/>
      <c r="R106" s="217"/>
      <c r="S106" s="217"/>
      <c r="T106" s="217"/>
      <c r="U106" s="217"/>
      <c r="V106" s="217"/>
      <c r="W106" s="217"/>
      <c r="X106" s="217"/>
      <c r="Z106" s="217"/>
      <c r="AA106" s="217"/>
      <c r="AB106" s="217"/>
      <c r="AC106" s="217"/>
      <c r="AD106" s="217"/>
      <c r="AE106" s="217"/>
      <c r="AF106" s="217"/>
      <c r="AK106" s="217"/>
      <c r="AL106" s="217"/>
      <c r="AM106" s="217"/>
      <c r="AN106" s="217"/>
      <c r="AO106" s="217"/>
      <c r="AP106" s="217"/>
      <c r="AQ106" s="217"/>
      <c r="AS106" s="217"/>
      <c r="AT106" s="217"/>
      <c r="AU106" s="217"/>
      <c r="AV106" s="217"/>
      <c r="AW106" s="217"/>
      <c r="AX106" s="217"/>
      <c r="AY106" s="217"/>
    </row>
    <row r="107" spans="1:51" x14ac:dyDescent="0.25">
      <c r="A107" s="151"/>
      <c r="B107" s="158"/>
      <c r="C107" s="158"/>
      <c r="D107" s="158"/>
      <c r="E107" s="158"/>
      <c r="F107" s="158"/>
      <c r="G107" s="158"/>
      <c r="H107" s="158"/>
      <c r="J107" s="158"/>
      <c r="K107" s="158"/>
      <c r="L107" s="158"/>
      <c r="M107" s="158"/>
      <c r="N107" s="158"/>
      <c r="O107" s="158"/>
      <c r="P107" s="158"/>
      <c r="R107" s="158"/>
      <c r="S107" s="158"/>
      <c r="T107" s="158"/>
      <c r="U107" s="158"/>
      <c r="V107" s="158"/>
      <c r="W107" s="158"/>
      <c r="X107" s="158"/>
      <c r="Z107" s="158"/>
      <c r="AA107" s="158"/>
      <c r="AB107" s="158"/>
      <c r="AC107" s="158"/>
      <c r="AD107" s="158"/>
      <c r="AE107" s="158"/>
      <c r="AF107" s="158"/>
      <c r="AK107" s="158"/>
      <c r="AL107" s="158"/>
      <c r="AM107" s="158"/>
      <c r="AN107" s="158"/>
      <c r="AO107" s="158"/>
      <c r="AP107" s="158"/>
      <c r="AQ107" s="158"/>
      <c r="AS107" s="158"/>
      <c r="AT107" s="158"/>
      <c r="AU107" s="158"/>
      <c r="AV107" s="158"/>
      <c r="AW107" s="158"/>
      <c r="AX107" s="158"/>
      <c r="AY107" s="158"/>
    </row>
    <row r="108" spans="1:51" x14ac:dyDescent="0.25">
      <c r="A108" s="151"/>
      <c r="B108" s="151"/>
      <c r="C108" s="151"/>
      <c r="D108" s="151"/>
      <c r="E108" s="151"/>
      <c r="F108" s="151"/>
      <c r="G108" s="151"/>
      <c r="H108" s="151"/>
      <c r="J108" s="151"/>
      <c r="K108" s="151"/>
      <c r="L108" s="151"/>
      <c r="M108" s="151"/>
      <c r="N108" s="151"/>
      <c r="O108" s="151"/>
      <c r="P108" s="151"/>
      <c r="R108" s="151"/>
      <c r="S108" s="151"/>
      <c r="T108" s="151"/>
      <c r="U108" s="151"/>
      <c r="V108" s="151"/>
      <c r="W108" s="151"/>
      <c r="X108" s="151"/>
      <c r="Z108" s="151"/>
      <c r="AA108" s="151"/>
      <c r="AB108" s="151"/>
      <c r="AC108" s="151"/>
      <c r="AD108" s="151"/>
      <c r="AE108" s="151"/>
      <c r="AF108" s="151"/>
      <c r="AK108" s="151"/>
      <c r="AL108" s="151"/>
      <c r="AM108" s="151"/>
      <c r="AN108" s="151"/>
      <c r="AO108" s="151"/>
      <c r="AP108" s="151"/>
      <c r="AQ108" s="151"/>
      <c r="AS108" s="151"/>
      <c r="AT108" s="151"/>
      <c r="AU108" s="151"/>
      <c r="AV108" s="151"/>
      <c r="AW108" s="151"/>
      <c r="AX108" s="151"/>
      <c r="AY108" s="151"/>
    </row>
    <row r="109" spans="1:51" x14ac:dyDescent="0.25">
      <c r="A109" s="159" t="s">
        <v>161</v>
      </c>
      <c r="B109" s="159" t="s">
        <v>32</v>
      </c>
      <c r="C109" s="159" t="s">
        <v>13</v>
      </c>
      <c r="D109" s="159" t="s">
        <v>14</v>
      </c>
      <c r="E109" s="159" t="s">
        <v>15</v>
      </c>
      <c r="F109" s="159" t="s">
        <v>16</v>
      </c>
      <c r="G109" s="159" t="s">
        <v>17</v>
      </c>
      <c r="H109" s="159" t="s">
        <v>18</v>
      </c>
      <c r="I109" s="160"/>
      <c r="J109" s="159" t="s">
        <v>32</v>
      </c>
      <c r="K109" s="159" t="s">
        <v>13</v>
      </c>
      <c r="L109" s="159" t="s">
        <v>14</v>
      </c>
      <c r="M109" s="159" t="s">
        <v>15</v>
      </c>
      <c r="N109" s="159" t="s">
        <v>16</v>
      </c>
      <c r="O109" s="159" t="s">
        <v>17</v>
      </c>
      <c r="P109" s="159" t="s">
        <v>18</v>
      </c>
      <c r="Q109" s="160"/>
      <c r="R109" s="159" t="s">
        <v>32</v>
      </c>
      <c r="S109" s="159" t="s">
        <v>13</v>
      </c>
      <c r="T109" s="159" t="s">
        <v>14</v>
      </c>
      <c r="U109" s="159" t="s">
        <v>15</v>
      </c>
      <c r="V109" s="159" t="s">
        <v>16</v>
      </c>
      <c r="W109" s="159" t="s">
        <v>17</v>
      </c>
      <c r="X109" s="159" t="s">
        <v>18</v>
      </c>
      <c r="Z109" s="159" t="s">
        <v>32</v>
      </c>
      <c r="AA109" s="159" t="s">
        <v>13</v>
      </c>
      <c r="AB109" s="159" t="s">
        <v>14</v>
      </c>
      <c r="AC109" s="159" t="s">
        <v>15</v>
      </c>
      <c r="AD109" s="159" t="s">
        <v>16</v>
      </c>
      <c r="AE109" s="159" t="s">
        <v>17</v>
      </c>
      <c r="AF109" s="159" t="s">
        <v>18</v>
      </c>
      <c r="AK109" s="159" t="s">
        <v>32</v>
      </c>
      <c r="AL109" s="159" t="s">
        <v>13</v>
      </c>
      <c r="AM109" s="159" t="s">
        <v>14</v>
      </c>
      <c r="AN109" s="159" t="s">
        <v>15</v>
      </c>
      <c r="AO109" s="159" t="s">
        <v>16</v>
      </c>
      <c r="AP109" s="159" t="s">
        <v>17</v>
      </c>
      <c r="AQ109" s="159" t="s">
        <v>18</v>
      </c>
      <c r="AS109" s="159" t="s">
        <v>32</v>
      </c>
      <c r="AT109" s="159" t="s">
        <v>13</v>
      </c>
      <c r="AU109" s="159" t="s">
        <v>14</v>
      </c>
      <c r="AV109" s="159" t="s">
        <v>15</v>
      </c>
      <c r="AW109" s="159" t="s">
        <v>16</v>
      </c>
      <c r="AX109" s="159" t="s">
        <v>17</v>
      </c>
      <c r="AY109" s="159" t="s">
        <v>18</v>
      </c>
    </row>
    <row r="110" spans="1:51" x14ac:dyDescent="0.25">
      <c r="A110" s="151" t="s">
        <v>162</v>
      </c>
      <c r="B110" s="151">
        <v>1</v>
      </c>
      <c r="C110" s="151">
        <v>0.1</v>
      </c>
      <c r="D110" s="151">
        <v>0.05</v>
      </c>
      <c r="E110" s="151">
        <v>0.01</v>
      </c>
      <c r="F110" s="151">
        <v>5.0000000000000001E-3</v>
      </c>
      <c r="G110" s="151">
        <v>1E-3</v>
      </c>
      <c r="H110" s="151">
        <v>1E-4</v>
      </c>
      <c r="J110" s="151">
        <v>1</v>
      </c>
      <c r="K110" s="151">
        <v>0.1</v>
      </c>
      <c r="L110" s="151">
        <v>0.05</v>
      </c>
      <c r="M110" s="151">
        <v>0.01</v>
      </c>
      <c r="N110" s="151">
        <v>5.0000000000000001E-3</v>
      </c>
      <c r="O110" s="151">
        <v>1E-3</v>
      </c>
      <c r="P110" s="151">
        <v>1E-4</v>
      </c>
      <c r="R110" s="151">
        <v>1</v>
      </c>
      <c r="S110" s="151">
        <v>0.1</v>
      </c>
      <c r="T110" s="151">
        <v>0.05</v>
      </c>
      <c r="U110" s="151">
        <v>0.01</v>
      </c>
      <c r="V110" s="151">
        <v>5.0000000000000001E-3</v>
      </c>
      <c r="W110" s="151">
        <v>1E-3</v>
      </c>
      <c r="X110" s="151">
        <v>1E-4</v>
      </c>
      <c r="Z110" s="151">
        <v>1</v>
      </c>
      <c r="AA110" s="151">
        <v>0.1</v>
      </c>
      <c r="AB110" s="151">
        <v>0.05</v>
      </c>
      <c r="AC110" s="151">
        <v>0.01</v>
      </c>
      <c r="AD110" s="151">
        <v>5.0000000000000001E-3</v>
      </c>
      <c r="AE110" s="151">
        <v>1E-3</v>
      </c>
      <c r="AF110" s="151">
        <v>1E-4</v>
      </c>
      <c r="AK110" s="151">
        <v>1</v>
      </c>
      <c r="AL110" s="151">
        <v>0.1</v>
      </c>
      <c r="AM110" s="151">
        <v>0.05</v>
      </c>
      <c r="AN110" s="151">
        <v>0.01</v>
      </c>
      <c r="AO110" s="151">
        <v>5.0000000000000001E-3</v>
      </c>
      <c r="AP110" s="151">
        <v>1E-3</v>
      </c>
      <c r="AQ110" s="151">
        <v>1E-4</v>
      </c>
      <c r="AS110" s="151">
        <v>1</v>
      </c>
      <c r="AT110" s="151">
        <v>0.1</v>
      </c>
      <c r="AU110" s="151">
        <v>0.05</v>
      </c>
      <c r="AV110" s="151">
        <v>0.01</v>
      </c>
      <c r="AW110" s="151">
        <v>5.0000000000000001E-3</v>
      </c>
      <c r="AX110" s="151">
        <v>1E-3</v>
      </c>
      <c r="AY110" s="151">
        <v>1E-4</v>
      </c>
    </row>
    <row r="111" spans="1:51" x14ac:dyDescent="0.25">
      <c r="A111" s="218" t="s">
        <v>130</v>
      </c>
      <c r="B111" s="161">
        <f t="shared" ref="B111:H111" si="152">B$110*(B46-B39)/($B46-$B39)</f>
        <v>1</v>
      </c>
      <c r="C111" s="161">
        <f t="shared" si="152"/>
        <v>0.69598142295039678</v>
      </c>
      <c r="D111" s="161">
        <f t="shared" si="152"/>
        <v>0.61301038508675743</v>
      </c>
      <c r="E111" s="162">
        <f t="shared" si="152"/>
        <v>0.44662839450428948</v>
      </c>
      <c r="F111" s="161">
        <f t="shared" si="152"/>
        <v>0.38672256982519509</v>
      </c>
      <c r="G111" s="161">
        <f t="shared" si="152"/>
        <v>0.27227188286138165</v>
      </c>
      <c r="H111" s="161">
        <f t="shared" si="152"/>
        <v>0.13825778236470362</v>
      </c>
      <c r="J111" s="161">
        <f t="shared" ref="J111:P111" si="153">J$110*(J46-J39)/($J46-$J39)</f>
        <v>1</v>
      </c>
      <c r="K111" s="161">
        <f t="shared" si="153"/>
        <v>0.46595060905392305</v>
      </c>
      <c r="L111" s="161">
        <f t="shared" si="153"/>
        <v>0.94844681583667412</v>
      </c>
      <c r="M111" s="162">
        <f t="shared" si="153"/>
        <v>0.24458249230095377</v>
      </c>
      <c r="N111" s="161">
        <f t="shared" si="153"/>
        <v>0.50257023459959105</v>
      </c>
      <c r="O111" s="161">
        <f t="shared" si="153"/>
        <v>0.12318050394184477</v>
      </c>
      <c r="P111" s="161">
        <f t="shared" si="153"/>
        <v>5.3675597353245542E-2</v>
      </c>
      <c r="R111" s="161">
        <f t="shared" ref="R111:X111" si="154">R$110*(R46-R39)/($R46-$R39)</f>
        <v>1</v>
      </c>
      <c r="S111" s="161">
        <f t="shared" si="154"/>
        <v>0.45261177776270334</v>
      </c>
      <c r="T111" s="161">
        <f t="shared" si="154"/>
        <v>0.9166254522624494</v>
      </c>
      <c r="U111" s="162">
        <f t="shared" si="154"/>
        <v>0.23510897902144895</v>
      </c>
      <c r="V111" s="161">
        <f t="shared" si="154"/>
        <v>0.48230393924387249</v>
      </c>
      <c r="W111" s="161">
        <f t="shared" si="154"/>
        <v>0.1179742644073333</v>
      </c>
      <c r="X111" s="161">
        <f t="shared" si="154"/>
        <v>5.1418460125884156E-2</v>
      </c>
      <c r="Z111" s="161">
        <f t="shared" ref="Z111:AF111" si="155">Z$110*(Z46-Z39)/($R46-$R39)</f>
        <v>0.95789275191716317</v>
      </c>
      <c r="AA111" s="161">
        <f t="shared" si="155"/>
        <v>0.37272340687847599</v>
      </c>
      <c r="AB111" s="161">
        <f t="shared" si="155"/>
        <v>0.71986058834401256</v>
      </c>
      <c r="AC111" s="162">
        <f t="shared" si="155"/>
        <v>0.17309060560841272</v>
      </c>
      <c r="AD111" s="161">
        <f t="shared" si="155"/>
        <v>0.34834268130846324</v>
      </c>
      <c r="AE111" s="161">
        <f t="shared" si="155"/>
        <v>8.3930541723320276E-2</v>
      </c>
      <c r="AF111" s="161">
        <f t="shared" si="155"/>
        <v>3.6634272436457262E-2</v>
      </c>
      <c r="AK111" s="161">
        <f t="shared" ref="AK111:AQ111" si="156">AK$110*(AK46-AK39)/($R46-$R39)</f>
        <v>0.64369208577663251</v>
      </c>
      <c r="AL111" s="161">
        <f t="shared" si="156"/>
        <v>0.39531786816410908</v>
      </c>
      <c r="AM111" s="161">
        <f t="shared" si="156"/>
        <v>0.32874914582473747</v>
      </c>
      <c r="AN111" s="162">
        <f t="shared" si="156"/>
        <v>0.21212994801611376</v>
      </c>
      <c r="AO111" s="161">
        <f t="shared" si="156"/>
        <v>0.17445314286688815</v>
      </c>
      <c r="AP111" s="161">
        <f t="shared" si="156"/>
        <v>0.1098926672162939</v>
      </c>
      <c r="AQ111" s="161">
        <f t="shared" si="156"/>
        <v>4.893030977309698E-2</v>
      </c>
      <c r="AS111" s="161">
        <f t="shared" ref="AS111:AY111" si="157">AS$110*(AS46-AS39)/($R46-$R39)</f>
        <v>0.64389795297913632</v>
      </c>
      <c r="AT111" s="161">
        <f t="shared" si="157"/>
        <v>0.31376689041765343</v>
      </c>
      <c r="AU111" s="161">
        <f t="shared" si="157"/>
        <v>0.25080867285894753</v>
      </c>
      <c r="AV111" s="162">
        <f t="shared" si="157"/>
        <v>0.15198592964184063</v>
      </c>
      <c r="AW111" s="161">
        <f t="shared" si="157"/>
        <v>0.12141476121883828</v>
      </c>
      <c r="AX111" s="161">
        <f t="shared" si="157"/>
        <v>7.1601656835842339E-2</v>
      </c>
      <c r="AY111" s="161">
        <f t="shared" si="157"/>
        <v>3.0224426639627721E-2</v>
      </c>
    </row>
    <row r="112" spans="1:51" x14ac:dyDescent="0.25">
      <c r="A112" s="218" t="s">
        <v>163</v>
      </c>
      <c r="B112" s="161">
        <f t="shared" ref="B112:H112" si="158">B$110*(B48-B46)/($B48-$B46)</f>
        <v>1</v>
      </c>
      <c r="C112" s="161">
        <f t="shared" si="158"/>
        <v>0.76112720568870162</v>
      </c>
      <c r="D112" s="161">
        <f t="shared" si="158"/>
        <v>0.70757176718461945</v>
      </c>
      <c r="E112" s="162">
        <f t="shared" si="158"/>
        <v>0.56568606794838028</v>
      </c>
      <c r="F112" s="161">
        <f t="shared" si="158"/>
        <v>0.50703581775085593</v>
      </c>
      <c r="G112" s="161">
        <f t="shared" si="158"/>
        <v>0.37494047932578356</v>
      </c>
      <c r="H112" s="161">
        <f t="shared" si="158"/>
        <v>0.19608515933631815</v>
      </c>
      <c r="J112" s="161">
        <f t="shared" ref="J112:P112" si="159">J$110*(J48-J46)/($J48-$J46)</f>
        <v>1</v>
      </c>
      <c r="K112" s="161">
        <f t="shared" si="159"/>
        <v>1.3717881503292333</v>
      </c>
      <c r="L112" s="161">
        <f t="shared" si="159"/>
        <v>3.6439179830652946</v>
      </c>
      <c r="M112" s="162">
        <f t="shared" si="159"/>
        <v>1.3775807801855635</v>
      </c>
      <c r="N112" s="161">
        <f t="shared" si="159"/>
        <v>3.1308532079538258</v>
      </c>
      <c r="O112" s="161">
        <f t="shared" si="159"/>
        <v>0.91049279832721974</v>
      </c>
      <c r="P112" s="161">
        <f t="shared" si="159"/>
        <v>0.44299570674447319</v>
      </c>
      <c r="R112" s="161">
        <f t="shared" ref="R112:X112" si="160">R$110*(R48-R46)/($R48-$R46)</f>
        <v>1</v>
      </c>
      <c r="S112" s="161">
        <f t="shared" si="160"/>
        <v>-37.307019480667627</v>
      </c>
      <c r="T112" s="161">
        <f t="shared" si="160"/>
        <v>-102.11356474006764</v>
      </c>
      <c r="U112" s="162">
        <f t="shared" si="160"/>
        <v>-38.768857938227981</v>
      </c>
      <c r="V112" s="161">
        <f t="shared" si="160"/>
        <v>-87.76349986798364</v>
      </c>
      <c r="W112" s="161">
        <f t="shared" si="160"/>
        <v>-25.702213799543834</v>
      </c>
      <c r="X112" s="161">
        <f t="shared" si="160"/>
        <v>-12.464944207707301</v>
      </c>
      <c r="Z112" s="161">
        <f t="shared" ref="Z112:AF112" si="161">Z$110*(Z48-Z46)/($R48-$R46)</f>
        <v>-28.140170531323527</v>
      </c>
      <c r="AA112" s="161">
        <f t="shared" si="161"/>
        <v>-48.201979997801516</v>
      </c>
      <c r="AB112" s="161">
        <f t="shared" si="161"/>
        <v>-108.26110523702421</v>
      </c>
      <c r="AC112" s="162">
        <f t="shared" si="161"/>
        <v>-33.487131491803154</v>
      </c>
      <c r="AD112" s="161">
        <f t="shared" si="161"/>
        <v>-71.579866285781534</v>
      </c>
      <c r="AE112" s="161">
        <f t="shared" si="161"/>
        <v>-20.174308232627233</v>
      </c>
      <c r="AF112" s="161">
        <f t="shared" si="161"/>
        <v>-9.8813995897209352</v>
      </c>
      <c r="AK112" s="161">
        <f t="shared" ref="AK112:AQ112" si="162">AK$110*(AK48-AK46)/($R48-$R46)</f>
        <v>-10.511596528613669</v>
      </c>
      <c r="AL112" s="161">
        <f t="shared" si="162"/>
        <v>-21.983163967022616</v>
      </c>
      <c r="AM112" s="161">
        <f t="shared" si="162"/>
        <v>-22.811889331014715</v>
      </c>
      <c r="AN112" s="162">
        <f t="shared" si="162"/>
        <v>-20.035945004635437</v>
      </c>
      <c r="AO112" s="161">
        <f t="shared" si="162"/>
        <v>-18.600991280762258</v>
      </c>
      <c r="AP112" s="161">
        <f t="shared" si="162"/>
        <v>-12.945448964977153</v>
      </c>
      <c r="AQ112" s="161">
        <f t="shared" si="162"/>
        <v>-5.9996030559053208</v>
      </c>
      <c r="AS112" s="161">
        <f t="shared" ref="AS112:AY112" si="163">AS$110*(AS48-AS46)/($R48-$R46)</f>
        <v>-10.542156830299106</v>
      </c>
      <c r="AT112" s="161">
        <f t="shared" si="163"/>
        <v>-6.227029090466579</v>
      </c>
      <c r="AU112" s="161">
        <f t="shared" si="163"/>
        <v>-5.3198801857611731</v>
      </c>
      <c r="AV112" s="162">
        <f t="shared" si="163"/>
        <v>-3.5132608941734738</v>
      </c>
      <c r="AW112" s="161">
        <f t="shared" si="163"/>
        <v>-3.0370017801321514</v>
      </c>
      <c r="AX112" s="161">
        <f t="shared" si="163"/>
        <v>-1.2846026090093123</v>
      </c>
      <c r="AY112" s="161">
        <f t="shared" si="163"/>
        <v>-0.2395848229100693</v>
      </c>
    </row>
    <row r="113" spans="1:51" x14ac:dyDescent="0.25">
      <c r="A113" s="218" t="s">
        <v>164</v>
      </c>
      <c r="B113" s="161">
        <f t="shared" ref="B113:H113" si="164">B$110*(B53-B48)/($B53-$B48)</f>
        <v>1</v>
      </c>
      <c r="C113" s="161">
        <f t="shared" si="164"/>
        <v>0.86521030322791004</v>
      </c>
      <c r="D113" s="161">
        <f t="shared" si="164"/>
        <v>0.79666884034344099</v>
      </c>
      <c r="E113" s="162">
        <f t="shared" si="164"/>
        <v>0.64744158243669159</v>
      </c>
      <c r="F113" s="161">
        <f t="shared" si="164"/>
        <v>0.58305999347896964</v>
      </c>
      <c r="G113" s="161">
        <f t="shared" si="164"/>
        <v>0.4292926855776546</v>
      </c>
      <c r="H113" s="161">
        <f t="shared" si="164"/>
        <v>0.2401599826105858</v>
      </c>
      <c r="J113" s="161">
        <f t="shared" ref="J113:P113" si="165">J$110*(J53-J48)/($J53-$J48)</f>
        <v>1</v>
      </c>
      <c r="K113" s="161">
        <f t="shared" si="165"/>
        <v>0.68180642376643452</v>
      </c>
      <c r="L113" s="161">
        <f t="shared" si="165"/>
        <v>1.5232613285210843</v>
      </c>
      <c r="M113" s="162">
        <f t="shared" si="165"/>
        <v>0.47921349379056372</v>
      </c>
      <c r="N113" s="161">
        <f t="shared" si="165"/>
        <v>1.0420481837062918</v>
      </c>
      <c r="O113" s="161">
        <f t="shared" si="165"/>
        <v>0.29044116567257156</v>
      </c>
      <c r="P113" s="161">
        <f t="shared" si="165"/>
        <v>0.15220970250744065</v>
      </c>
      <c r="R113" s="161">
        <f t="shared" ref="R113:X113" si="166">R$110*(R53-R48)/($R53-$R48)</f>
        <v>1</v>
      </c>
      <c r="S113" s="161">
        <f t="shared" si="166"/>
        <v>0.58496166396186811</v>
      </c>
      <c r="T113" s="161">
        <f t="shared" si="166"/>
        <v>1.301192092985431</v>
      </c>
      <c r="U113" s="162">
        <f t="shared" si="166"/>
        <v>0.40494980422780658</v>
      </c>
      <c r="V113" s="161">
        <f t="shared" si="166"/>
        <v>0.87965994156747751</v>
      </c>
      <c r="W113" s="161">
        <f t="shared" si="166"/>
        <v>0.24600868710964918</v>
      </c>
      <c r="X113" s="161">
        <f t="shared" si="166"/>
        <v>0.12867488300751737</v>
      </c>
      <c r="Z113" s="161">
        <f t="shared" ref="Z113:AF113" si="167">Z$110*(Z53-Z48)/($R53-$R48)</f>
        <v>0.84513402852928765</v>
      </c>
      <c r="AA113" s="161">
        <f t="shared" si="167"/>
        <v>0.38510980348866664</v>
      </c>
      <c r="AB113" s="161">
        <f t="shared" si="167"/>
        <v>0.8031153748631803</v>
      </c>
      <c r="AC113" s="162">
        <f t="shared" si="167"/>
        <v>0.23711864535450025</v>
      </c>
      <c r="AD113" s="161">
        <f t="shared" si="167"/>
        <v>0.50953570773913581</v>
      </c>
      <c r="AE113" s="161">
        <f t="shared" si="167"/>
        <v>0.14087484152959975</v>
      </c>
      <c r="AF113" s="161">
        <f t="shared" si="167"/>
        <v>7.5378178127346013E-2</v>
      </c>
      <c r="AK113" s="161">
        <f t="shared" ref="AK113:AQ113" si="168">AK$110*(AK53-AK48)/($R53-$R48)</f>
        <v>0.5779029183124581</v>
      </c>
      <c r="AL113" s="161">
        <f t="shared" si="168"/>
        <v>0.49805315132762407</v>
      </c>
      <c r="AM113" s="161">
        <f t="shared" si="168"/>
        <v>0.44218834474619056</v>
      </c>
      <c r="AN113" s="162">
        <f t="shared" si="168"/>
        <v>0.32826042605579481</v>
      </c>
      <c r="AO113" s="161">
        <f t="shared" si="168"/>
        <v>0.28844905827411421</v>
      </c>
      <c r="AP113" s="161">
        <f t="shared" si="168"/>
        <v>0.20348170603543103</v>
      </c>
      <c r="AQ113" s="161">
        <f t="shared" si="168"/>
        <v>0.11342001533507948</v>
      </c>
      <c r="AS113" s="161">
        <f t="shared" ref="AS113:AY113" si="169">AS$110*(AS53-AS48)/($R53-$R48)</f>
        <v>0.57786638158098302</v>
      </c>
      <c r="AT113" s="161">
        <f t="shared" si="169"/>
        <v>0.32890764022995794</v>
      </c>
      <c r="AU113" s="161">
        <f t="shared" si="169"/>
        <v>0.27315931868346027</v>
      </c>
      <c r="AV113" s="162">
        <f t="shared" si="169"/>
        <v>0.18884655348043339</v>
      </c>
      <c r="AW113" s="161">
        <f t="shared" si="169"/>
        <v>0.16381795159799967</v>
      </c>
      <c r="AX113" s="161">
        <f t="shared" si="169"/>
        <v>0.11475513760519196</v>
      </c>
      <c r="AY113" s="161">
        <f t="shared" si="169"/>
        <v>6.5904172415335208E-2</v>
      </c>
    </row>
    <row r="114" spans="1:51" x14ac:dyDescent="0.25">
      <c r="A114" s="218" t="s">
        <v>165</v>
      </c>
      <c r="B114" s="161">
        <f t="shared" ref="B114:H114" si="170">B$110*(B53-B46)/($B53-$B46)</f>
        <v>1</v>
      </c>
      <c r="C114" s="161">
        <f t="shared" si="170"/>
        <v>1.3570628500311139</v>
      </c>
      <c r="D114" s="161">
        <f t="shared" si="170"/>
        <v>1.2177037958929684</v>
      </c>
      <c r="E114" s="162">
        <f t="shared" si="170"/>
        <v>1.0337834474175482</v>
      </c>
      <c r="F114" s="161">
        <f t="shared" si="170"/>
        <v>0.94231798382078413</v>
      </c>
      <c r="G114" s="161">
        <f t="shared" si="170"/>
        <v>0.6861381456129434</v>
      </c>
      <c r="H114" s="161">
        <f t="shared" si="170"/>
        <v>0.44843889234598633</v>
      </c>
      <c r="J114" s="161">
        <f t="shared" ref="J114:P114" si="171">J$110*(J53-J46)/($J53-$J46)</f>
        <v>1</v>
      </c>
      <c r="K114" s="161">
        <f t="shared" si="171"/>
        <v>0.54133648739104445</v>
      </c>
      <c r="L114" s="161">
        <f t="shared" si="171"/>
        <v>1.0915274233032914</v>
      </c>
      <c r="M114" s="162">
        <f t="shared" si="171"/>
        <v>0.29631938123155266</v>
      </c>
      <c r="N114" s="161">
        <f t="shared" si="171"/>
        <v>0.61679879294588202</v>
      </c>
      <c r="O114" s="161">
        <f t="shared" si="171"/>
        <v>0.16420794813166062</v>
      </c>
      <c r="P114" s="161">
        <f t="shared" si="171"/>
        <v>9.3010031064675036E-2</v>
      </c>
      <c r="R114" s="161">
        <f t="shared" ref="R114:X114" si="172">R$110*(R53-R46)/($R53-$R46)</f>
        <v>1</v>
      </c>
      <c r="S114" s="161">
        <f t="shared" si="172"/>
        <v>0.39344228868418785</v>
      </c>
      <c r="T114" s="161">
        <f t="shared" si="172"/>
        <v>0.77849760658308331</v>
      </c>
      <c r="U114" s="162">
        <f t="shared" si="172"/>
        <v>0.20695162731943342</v>
      </c>
      <c r="V114" s="161">
        <f t="shared" si="172"/>
        <v>0.43162629232211513</v>
      </c>
      <c r="W114" s="161">
        <f t="shared" si="172"/>
        <v>0.11485726113269201</v>
      </c>
      <c r="X114" s="161">
        <f t="shared" si="172"/>
        <v>6.5022310936061617E-2</v>
      </c>
      <c r="Z114" s="161">
        <f t="shared" ref="Z114:AF114" si="173">Z$110*(Z53-Z46)/($R53-$R46)</f>
        <v>0.69863212353921045</v>
      </c>
      <c r="AA114" s="161">
        <f t="shared" si="173"/>
        <v>0.13953359437502624</v>
      </c>
      <c r="AB114" s="161">
        <f t="shared" si="173"/>
        <v>0.25186651518997027</v>
      </c>
      <c r="AC114" s="162">
        <f t="shared" si="173"/>
        <v>6.6664445735748312E-2</v>
      </c>
      <c r="AD114" s="161">
        <f t="shared" si="173"/>
        <v>0.14517056195162215</v>
      </c>
      <c r="AE114" s="161">
        <f t="shared" si="173"/>
        <v>3.8194774310003725E-2</v>
      </c>
      <c r="AF114" s="161">
        <f t="shared" si="173"/>
        <v>2.5053127806052098E-2</v>
      </c>
      <c r="AK114" s="161">
        <f t="shared" ref="AK114:AQ114" si="174">AK$110*(AK53-AK46)/($R53-$R46)</f>
        <v>0.52185269496544018</v>
      </c>
      <c r="AL114" s="161">
        <f t="shared" si="174"/>
        <v>0.38442518762854017</v>
      </c>
      <c r="AM114" s="161">
        <f t="shared" si="174"/>
        <v>0.3246540724651647</v>
      </c>
      <c r="AN114" s="162">
        <f t="shared" si="174"/>
        <v>0.22533258263620878</v>
      </c>
      <c r="AO114" s="161">
        <f t="shared" si="174"/>
        <v>0.19297519536710692</v>
      </c>
      <c r="AP114" s="161">
        <f t="shared" si="174"/>
        <v>0.13702239428633342</v>
      </c>
      <c r="AQ114" s="161">
        <f t="shared" si="174"/>
        <v>8.2522650660655672E-2</v>
      </c>
      <c r="AS114" s="161">
        <f t="shared" ref="AS114:AY114" si="175">AS$110*(AS53-AS46)/($R53-$R46)</f>
        <v>0.52166188041004269</v>
      </c>
      <c r="AT114" s="161">
        <f t="shared" si="175"/>
        <v>0.29577163442887422</v>
      </c>
      <c r="AU114" s="161">
        <f t="shared" si="175"/>
        <v>0.24489013350398744</v>
      </c>
      <c r="AV114" s="162">
        <f t="shared" si="175"/>
        <v>0.1701348027572592</v>
      </c>
      <c r="AW114" s="161">
        <f t="shared" si="175"/>
        <v>0.14763988497599842</v>
      </c>
      <c r="AX114" s="161">
        <f t="shared" si="175"/>
        <v>0.10768229228737523</v>
      </c>
      <c r="AY114" s="161">
        <f t="shared" si="175"/>
        <v>6.4360123786270054E-2</v>
      </c>
    </row>
    <row r="115" spans="1:51" x14ac:dyDescent="0.25">
      <c r="A115" s="218" t="s">
        <v>153</v>
      </c>
      <c r="B115" s="161">
        <f t="shared" ref="B115:H116" si="176">B$110*(B54-B53)/($B54-$B53)</f>
        <v>1</v>
      </c>
      <c r="C115" s="161">
        <f t="shared" si="176"/>
        <v>0.63499695678636636</v>
      </c>
      <c r="D115" s="161">
        <f t="shared" si="176"/>
        <v>0.58212111990261717</v>
      </c>
      <c r="E115" s="162">
        <f t="shared" si="176"/>
        <v>0.46767954960438224</v>
      </c>
      <c r="F115" s="161">
        <f t="shared" si="176"/>
        <v>0.41577982349360926</v>
      </c>
      <c r="G115" s="161">
        <f t="shared" si="176"/>
        <v>0.29334555690809494</v>
      </c>
      <c r="H115" s="161">
        <f t="shared" si="176"/>
        <v>0.15152603469263543</v>
      </c>
      <c r="J115" s="161">
        <f t="shared" ref="J115:P116" si="177">J$110*(J54-J53)/($J54-$J53)</f>
        <v>1</v>
      </c>
      <c r="K115" s="161">
        <f t="shared" si="177"/>
        <v>0.4229323173166909</v>
      </c>
      <c r="L115" s="161">
        <f t="shared" si="177"/>
        <v>0.98172210799511461</v>
      </c>
      <c r="M115" s="162">
        <f t="shared" si="177"/>
        <v>0.31277499880397197</v>
      </c>
      <c r="N115" s="161">
        <f t="shared" si="177"/>
        <v>0.67357258061460312</v>
      </c>
      <c r="O115" s="161">
        <f t="shared" si="177"/>
        <v>0.17793294762458733</v>
      </c>
      <c r="P115" s="161">
        <f t="shared" si="177"/>
        <v>7.6505645254394988E-2</v>
      </c>
      <c r="R115" s="161">
        <f t="shared" ref="R115:X116" si="178">R$110*(R54-R53)/($R54-$R53)</f>
        <v>1</v>
      </c>
      <c r="S115" s="161">
        <f t="shared" si="178"/>
        <v>0.74970311164521408</v>
      </c>
      <c r="T115" s="161">
        <f t="shared" si="178"/>
        <v>1.7937324678282043</v>
      </c>
      <c r="U115" s="162">
        <f t="shared" si="178"/>
        <v>0.57043976626036763</v>
      </c>
      <c r="V115" s="161">
        <f t="shared" si="178"/>
        <v>1.2290661789176685</v>
      </c>
      <c r="W115" s="161">
        <f t="shared" si="178"/>
        <v>0.32503019469797784</v>
      </c>
      <c r="X115" s="161">
        <f t="shared" si="178"/>
        <v>0.13990960723681284</v>
      </c>
      <c r="Z115" s="161">
        <f t="shared" ref="Z115:AF116" si="179">Z$110*(Z54-Z53)/($R54-$R53)</f>
        <v>1.8286151907082946</v>
      </c>
      <c r="AA115" s="161">
        <f t="shared" si="179"/>
        <v>1.1722562189089338</v>
      </c>
      <c r="AB115" s="161">
        <f t="shared" si="179"/>
        <v>2.4135145352557732</v>
      </c>
      <c r="AC115" s="162">
        <f t="shared" si="179"/>
        <v>0.63036821416879474</v>
      </c>
      <c r="AD115" s="161">
        <f t="shared" si="179"/>
        <v>1.2819947135972414</v>
      </c>
      <c r="AE115" s="161">
        <f t="shared" si="179"/>
        <v>0.32421622839770187</v>
      </c>
      <c r="AF115" s="161">
        <f t="shared" si="179"/>
        <v>0.1433792851698252</v>
      </c>
      <c r="AK115" s="161">
        <f t="shared" ref="AK115:AQ115" si="180">AK$110*(AK54-AK53)/($R54-$R53)</f>
        <v>0.73619721938858429</v>
      </c>
      <c r="AL115" s="161">
        <f t="shared" si="180"/>
        <v>0.49394089385527989</v>
      </c>
      <c r="AM115" s="161">
        <f t="shared" si="180"/>
        <v>0.429356428899689</v>
      </c>
      <c r="AN115" s="162">
        <f t="shared" si="180"/>
        <v>0.25723282695402161</v>
      </c>
      <c r="AO115" s="161">
        <f t="shared" si="180"/>
        <v>0.19759181116839047</v>
      </c>
      <c r="AP115" s="161">
        <f t="shared" si="180"/>
        <v>0.10521666353163904</v>
      </c>
      <c r="AQ115" s="161">
        <f t="shared" si="180"/>
        <v>2.9279864241961183E-2</v>
      </c>
      <c r="AS115" s="161">
        <f t="shared" ref="AS115:AY115" si="181">AS$110*(AS54-AS53)/($R54-$R53)</f>
        <v>0.73622416562279269</v>
      </c>
      <c r="AT115" s="161">
        <f t="shared" si="181"/>
        <v>0.41989982721882163</v>
      </c>
      <c r="AU115" s="161">
        <f t="shared" si="181"/>
        <v>0.30009303250108915</v>
      </c>
      <c r="AV115" s="162">
        <f t="shared" si="181"/>
        <v>9.324193237266197E-2</v>
      </c>
      <c r="AW115" s="161">
        <f t="shared" si="181"/>
        <v>4.2060703567465725E-2</v>
      </c>
      <c r="AX115" s="161">
        <f t="shared" si="181"/>
        <v>-1.2478272834992603E-2</v>
      </c>
      <c r="AY115" s="161">
        <f t="shared" si="181"/>
        <v>-3.3639389979173179E-2</v>
      </c>
    </row>
    <row r="116" spans="1:51" x14ac:dyDescent="0.25">
      <c r="A116" s="218" t="s">
        <v>154</v>
      </c>
      <c r="B116" s="161">
        <f t="shared" si="176"/>
        <v>1</v>
      </c>
      <c r="C116" s="161">
        <f t="shared" si="176"/>
        <v>0.67159159159159165</v>
      </c>
      <c r="D116" s="161">
        <f t="shared" si="176"/>
        <v>0.6292392392392393</v>
      </c>
      <c r="E116" s="162">
        <f t="shared" si="176"/>
        <v>0.51958158158158152</v>
      </c>
      <c r="F116" s="161">
        <f t="shared" si="176"/>
        <v>0.4665085085085085</v>
      </c>
      <c r="G116" s="161">
        <f t="shared" si="176"/>
        <v>0.33492292292292292</v>
      </c>
      <c r="H116" s="161">
        <f t="shared" si="176"/>
        <v>0.17540086086086085</v>
      </c>
      <c r="J116" s="161">
        <f t="shared" si="177"/>
        <v>1</v>
      </c>
      <c r="K116" s="161">
        <f t="shared" si="177"/>
        <v>0.52550192599651979</v>
      </c>
      <c r="L116" s="161">
        <f t="shared" si="177"/>
        <v>1.2537091267583285</v>
      </c>
      <c r="M116" s="162">
        <f t="shared" si="177"/>
        <v>0.41397770847266996</v>
      </c>
      <c r="N116" s="161">
        <f t="shared" si="177"/>
        <v>0.90712977065656086</v>
      </c>
      <c r="O116" s="161">
        <f t="shared" si="177"/>
        <v>0.22153552915816563</v>
      </c>
      <c r="P116" s="161">
        <f t="shared" si="177"/>
        <v>7.5733598577592237E-2</v>
      </c>
      <c r="R116" s="161">
        <f t="shared" si="178"/>
        <v>1</v>
      </c>
      <c r="S116" s="161">
        <f t="shared" si="178"/>
        <v>0.65417529386922524</v>
      </c>
      <c r="T116" s="161">
        <f t="shared" si="178"/>
        <v>1.5866041358605154</v>
      </c>
      <c r="U116" s="162">
        <f t="shared" si="178"/>
        <v>0.52988834912128624</v>
      </c>
      <c r="V116" s="161">
        <f t="shared" si="178"/>
        <v>1.165927783605299</v>
      </c>
      <c r="W116" s="161">
        <f t="shared" si="178"/>
        <v>0.28580153071021919</v>
      </c>
      <c r="X116" s="161">
        <f t="shared" si="178"/>
        <v>9.7835154734552079E-2</v>
      </c>
      <c r="Z116" s="161">
        <f t="shared" si="179"/>
        <v>1.291828244706827</v>
      </c>
      <c r="AA116" s="161">
        <f t="shared" si="179"/>
        <v>0.74346417697690004</v>
      </c>
      <c r="AB116" s="161">
        <f t="shared" si="179"/>
        <v>1.5386291532289369</v>
      </c>
      <c r="AC116" s="162">
        <f t="shared" si="179"/>
        <v>0.39336194866771312</v>
      </c>
      <c r="AD116" s="161">
        <f t="shared" si="179"/>
        <v>0.81224084032464516</v>
      </c>
      <c r="AE116" s="161">
        <f t="shared" si="179"/>
        <v>0.18691115832912278</v>
      </c>
      <c r="AF116" s="161">
        <f t="shared" si="179"/>
        <v>6.5289136901852313E-2</v>
      </c>
      <c r="AK116" s="161">
        <f t="shared" ref="AK116:AQ116" si="182">AK$110*(AK55-AK54)/($R55-$R54)</f>
        <v>1.3488643924537749</v>
      </c>
      <c r="AL116" s="161">
        <f t="shared" si="182"/>
        <v>0.88456479731453863</v>
      </c>
      <c r="AM116" s="161">
        <f t="shared" si="182"/>
        <v>0.79123253779989999</v>
      </c>
      <c r="AN116" s="162">
        <f t="shared" si="182"/>
        <v>0.54005370776624528</v>
      </c>
      <c r="AO116" s="161">
        <f t="shared" si="182"/>
        <v>0.43247563875679923</v>
      </c>
      <c r="AP116" s="161">
        <f t="shared" si="182"/>
        <v>0.22913834241923201</v>
      </c>
      <c r="AQ116" s="161">
        <f t="shared" si="182"/>
        <v>4.2475514364506285E-2</v>
      </c>
      <c r="AS116" s="161">
        <f t="shared" ref="AS116:AY116" si="183">AS$110*(AS55-AS54)/($R55-$R54)</f>
        <v>1.3486008002908925</v>
      </c>
      <c r="AT116" s="161">
        <f t="shared" si="183"/>
        <v>0.55081585408119993</v>
      </c>
      <c r="AU116" s="161">
        <f t="shared" si="183"/>
        <v>0.45598995994973646</v>
      </c>
      <c r="AV116" s="162">
        <f t="shared" si="183"/>
        <v>0.27130781714025409</v>
      </c>
      <c r="AW116" s="161">
        <f t="shared" si="183"/>
        <v>0.19683966060569541</v>
      </c>
      <c r="AX116" s="161">
        <f t="shared" si="183"/>
        <v>6.6833130570955065E-2</v>
      </c>
      <c r="AY116" s="161">
        <f t="shared" si="183"/>
        <v>-3.6647961493325457E-2</v>
      </c>
    </row>
    <row r="117" spans="1:51" x14ac:dyDescent="0.25">
      <c r="A117" s="218" t="s">
        <v>166</v>
      </c>
      <c r="B117" s="161">
        <f t="shared" ref="B117:H117" si="184">B$110*(B55-B53)/($B55-$B53)</f>
        <v>1</v>
      </c>
      <c r="C117" s="161">
        <f t="shared" si="184"/>
        <v>0.65079968876977612</v>
      </c>
      <c r="D117" s="161">
        <f t="shared" si="184"/>
        <v>0.60246822858130888</v>
      </c>
      <c r="E117" s="162">
        <f t="shared" si="184"/>
        <v>0.49009250453877412</v>
      </c>
      <c r="F117" s="161">
        <f t="shared" si="184"/>
        <v>0.4376860897380479</v>
      </c>
      <c r="G117" s="161">
        <f t="shared" si="184"/>
        <v>0.31129999135471603</v>
      </c>
      <c r="H117" s="161">
        <f t="shared" si="184"/>
        <v>0.16183594709086194</v>
      </c>
      <c r="J117" s="161">
        <f t="shared" ref="J117:P117" si="185">J$110*(J55-J53)/($J55-$J53)</f>
        <v>1</v>
      </c>
      <c r="K117" s="161">
        <f t="shared" si="185"/>
        <v>0.46774568834622127</v>
      </c>
      <c r="L117" s="161">
        <f t="shared" si="185"/>
        <v>1.1005551165629703</v>
      </c>
      <c r="M117" s="162">
        <f t="shared" si="185"/>
        <v>0.35699116220705113</v>
      </c>
      <c r="N117" s="161">
        <f t="shared" si="185"/>
        <v>0.77561533137361127</v>
      </c>
      <c r="O117" s="161">
        <f t="shared" si="185"/>
        <v>0.19698321689303053</v>
      </c>
      <c r="P117" s="161">
        <f t="shared" si="185"/>
        <v>7.6168332724640936E-2</v>
      </c>
      <c r="R117" s="161">
        <f t="shared" ref="R117:X117" si="186">R$110*(R55-R53)/($R55-$R53)</f>
        <v>1</v>
      </c>
      <c r="S117" s="161">
        <f t="shared" si="186"/>
        <v>0.69970124871255401</v>
      </c>
      <c r="T117" s="161">
        <f t="shared" si="186"/>
        <v>1.6853158546820166</v>
      </c>
      <c r="U117" s="162">
        <f t="shared" si="186"/>
        <v>0.54921404951398212</v>
      </c>
      <c r="V117" s="161">
        <f t="shared" si="186"/>
        <v>1.1960178223059807</v>
      </c>
      <c r="W117" s="161">
        <f t="shared" si="186"/>
        <v>0.30449684299568119</v>
      </c>
      <c r="X117" s="161">
        <f t="shared" si="186"/>
        <v>0.11788669227901348</v>
      </c>
      <c r="Z117" s="161">
        <f t="shared" ref="Z117:AF117" si="187">Z$110*(Z55-Z53)/($R55-$R53)</f>
        <v>1.547646275863545</v>
      </c>
      <c r="AA117" s="161">
        <f t="shared" si="187"/>
        <v>0.94781477968776007</v>
      </c>
      <c r="AB117" s="161">
        <f t="shared" si="187"/>
        <v>1.9555756858990636</v>
      </c>
      <c r="AC117" s="162">
        <f t="shared" si="187"/>
        <v>0.50631267644514932</v>
      </c>
      <c r="AD117" s="161">
        <f t="shared" si="187"/>
        <v>1.0361127356529445</v>
      </c>
      <c r="AE117" s="161">
        <f t="shared" si="187"/>
        <v>0.25234701319561409</v>
      </c>
      <c r="AF117" s="161">
        <f t="shared" si="187"/>
        <v>0.10250477362971418</v>
      </c>
      <c r="AK117" s="161">
        <f t="shared" ref="AK117:AQ117" si="188">AK$110*(AK55-AK53)/($R55-$R53)</f>
        <v>1.0568839127953504</v>
      </c>
      <c r="AL117" s="161">
        <f t="shared" si="188"/>
        <v>0.69840408932774967</v>
      </c>
      <c r="AM117" s="161">
        <f t="shared" si="188"/>
        <v>0.61877224532987229</v>
      </c>
      <c r="AN117" s="162">
        <f t="shared" si="188"/>
        <v>0.40526898276811896</v>
      </c>
      <c r="AO117" s="161">
        <f t="shared" si="188"/>
        <v>0.3205364070526503</v>
      </c>
      <c r="AP117" s="161">
        <f t="shared" si="188"/>
        <v>0.17008064709559725</v>
      </c>
      <c r="AQ117" s="161">
        <f t="shared" si="188"/>
        <v>3.6186827094206744E-2</v>
      </c>
      <c r="AS117" s="161">
        <f t="shared" ref="AS117:AY117" si="189">AS$110*(AS55-AS53)/($R55-$R53)</f>
        <v>1.0567587833154242</v>
      </c>
      <c r="AT117" s="161">
        <f t="shared" si="189"/>
        <v>0.48842484310698359</v>
      </c>
      <c r="AU117" s="161">
        <f t="shared" si="189"/>
        <v>0.38169373247928373</v>
      </c>
      <c r="AV117" s="162">
        <f t="shared" si="189"/>
        <v>0.1864464687100337</v>
      </c>
      <c r="AW117" s="161">
        <f t="shared" si="189"/>
        <v>0.12307622736843873</v>
      </c>
      <c r="AX117" s="161">
        <f t="shared" si="189"/>
        <v>2.9035476923225931E-2</v>
      </c>
      <c r="AY117" s="161">
        <f t="shared" si="189"/>
        <v>-3.5214158292488085E-2</v>
      </c>
    </row>
    <row r="118" spans="1:51" x14ac:dyDescent="0.25">
      <c r="A118" s="218" t="s">
        <v>167</v>
      </c>
      <c r="B118" s="161">
        <f t="shared" ref="B118:H118" si="190">B$110*(B59-B55)/($B59-$B55)</f>
        <v>1</v>
      </c>
      <c r="C118" s="161">
        <f t="shared" si="190"/>
        <v>1.0384397163120569</v>
      </c>
      <c r="D118" s="161">
        <f t="shared" si="190"/>
        <v>0.96728132387706867</v>
      </c>
      <c r="E118" s="162">
        <f t="shared" si="190"/>
        <v>0.68894562647754143</v>
      </c>
      <c r="F118" s="161">
        <f t="shared" si="190"/>
        <v>0.58685342789598105</v>
      </c>
      <c r="G118" s="161">
        <f t="shared" si="190"/>
        <v>0.38863073286052013</v>
      </c>
      <c r="H118" s="161">
        <f t="shared" si="190"/>
        <v>0.19285683215130023</v>
      </c>
      <c r="J118" s="161">
        <f t="shared" ref="J118:P118" si="191">J$110*(J59-J55)/($J59-$J55)</f>
        <v>1</v>
      </c>
      <c r="K118" s="161">
        <f t="shared" si="191"/>
        <v>0.71801344332411976</v>
      </c>
      <c r="L118" s="161">
        <f t="shared" si="191"/>
        <v>1.4305652589139486</v>
      </c>
      <c r="M118" s="162">
        <f t="shared" si="191"/>
        <v>0.32407577271743387</v>
      </c>
      <c r="N118" s="161">
        <f t="shared" si="191"/>
        <v>0.64857160522068402</v>
      </c>
      <c r="O118" s="161">
        <f t="shared" si="191"/>
        <v>0.15205313382612209</v>
      </c>
      <c r="P118" s="161">
        <f t="shared" si="191"/>
        <v>5.1767051520941534E-2</v>
      </c>
      <c r="R118" s="161">
        <f t="shared" ref="R118:X118" si="192">R$110*(R59-R55)/($R59-$R55)</f>
        <v>1</v>
      </c>
      <c r="S118" s="161">
        <f t="shared" si="192"/>
        <v>0.76476078648321111</v>
      </c>
      <c r="T118" s="161">
        <f t="shared" si="192"/>
        <v>1.5130288623234516</v>
      </c>
      <c r="U118" s="162">
        <f t="shared" si="192"/>
        <v>0.33776966259066299</v>
      </c>
      <c r="V118" s="161">
        <f t="shared" si="192"/>
        <v>0.67335640843182931</v>
      </c>
      <c r="W118" s="161">
        <f t="shared" si="192"/>
        <v>0.15811310384519373</v>
      </c>
      <c r="X118" s="161">
        <f t="shared" si="192"/>
        <v>5.3775699233705038E-2</v>
      </c>
      <c r="Z118" s="161">
        <f t="shared" ref="Z118:AF118" si="193">Z$110*(Z59-Z55)/($R59-$R55)</f>
        <v>1.0383441560249547</v>
      </c>
      <c r="AA118" s="161">
        <f t="shared" si="193"/>
        <v>0.71777157466504693</v>
      </c>
      <c r="AB118" s="161">
        <f t="shared" si="193"/>
        <v>1.2624813861457957</v>
      </c>
      <c r="AC118" s="162">
        <f t="shared" si="193"/>
        <v>0.20534268488248214</v>
      </c>
      <c r="AD118" s="161">
        <f t="shared" si="193"/>
        <v>0.34716716365509787</v>
      </c>
      <c r="AE118" s="161">
        <f t="shared" si="193"/>
        <v>6.3481705310159356E-2</v>
      </c>
      <c r="AF118" s="161">
        <f t="shared" si="193"/>
        <v>1.6841417494417692E-2</v>
      </c>
      <c r="AK118" s="161">
        <f t="shared" ref="AK118:AQ118" si="194">AK$110*(AK59-AK55)/($R59-$R55)</f>
        <v>1.0743134191808352</v>
      </c>
      <c r="AL118" s="161">
        <f t="shared" si="194"/>
        <v>0.82234516892216991</v>
      </c>
      <c r="AM118" s="161">
        <f t="shared" si="194"/>
        <v>0.68282814022311122</v>
      </c>
      <c r="AN118" s="162">
        <f t="shared" si="194"/>
        <v>0.3835308629097896</v>
      </c>
      <c r="AO118" s="161">
        <f t="shared" si="194"/>
        <v>0.2937467543222087</v>
      </c>
      <c r="AP118" s="161">
        <f t="shared" si="194"/>
        <v>0.15790630515681514</v>
      </c>
      <c r="AQ118" s="161">
        <f t="shared" si="194"/>
        <v>4.8988039378382781E-2</v>
      </c>
      <c r="AS118" s="161">
        <f t="shared" ref="AS118:AY118" si="195">AS$110*(AS59-AS55)/($R59-$R55)</f>
        <v>1.07399458267019</v>
      </c>
      <c r="AT118" s="161">
        <f t="shared" si="195"/>
        <v>0.59713280985020267</v>
      </c>
      <c r="AU118" s="161">
        <f t="shared" si="195"/>
        <v>0.45942874077098983</v>
      </c>
      <c r="AV118" s="162">
        <f t="shared" si="195"/>
        <v>0.20586071983082566</v>
      </c>
      <c r="AW118" s="161">
        <f t="shared" si="195"/>
        <v>0.13473427173789254</v>
      </c>
      <c r="AX118" s="161">
        <f t="shared" si="195"/>
        <v>4.0492458867262909E-2</v>
      </c>
      <c r="AY118" s="161">
        <f t="shared" si="195"/>
        <v>-1.3099949738323572E-2</v>
      </c>
    </row>
    <row r="119" spans="1:51" x14ac:dyDescent="0.25">
      <c r="A119" s="218"/>
      <c r="B119" s="161"/>
      <c r="C119" s="161"/>
      <c r="D119" s="161"/>
      <c r="E119" s="162"/>
      <c r="F119" s="161"/>
      <c r="G119" s="161"/>
      <c r="H119" s="161"/>
      <c r="J119" s="161"/>
      <c r="K119" s="161"/>
      <c r="L119" s="161"/>
      <c r="M119" s="162"/>
      <c r="N119" s="161"/>
      <c r="O119" s="161"/>
      <c r="P119" s="161"/>
      <c r="R119" s="161"/>
      <c r="S119" s="161"/>
      <c r="T119" s="161"/>
      <c r="U119" s="162"/>
      <c r="V119" s="161"/>
      <c r="W119" s="161"/>
      <c r="X119" s="161"/>
      <c r="Z119" s="161"/>
      <c r="AA119" s="161"/>
      <c r="AB119" s="161"/>
      <c r="AC119" s="162"/>
      <c r="AD119" s="161"/>
      <c r="AE119" s="161"/>
      <c r="AF119" s="161"/>
      <c r="AK119" s="161"/>
      <c r="AL119" s="161"/>
      <c r="AM119" s="161"/>
      <c r="AN119" s="162"/>
      <c r="AO119" s="161"/>
      <c r="AP119" s="161"/>
      <c r="AQ119" s="161"/>
      <c r="AS119" s="161"/>
      <c r="AT119" s="161"/>
      <c r="AU119" s="161"/>
      <c r="AV119" s="162"/>
      <c r="AW119" s="161"/>
      <c r="AX119" s="161"/>
      <c r="AY119" s="161"/>
    </row>
    <row r="120" spans="1:51" x14ac:dyDescent="0.25">
      <c r="A120" s="218" t="s">
        <v>168</v>
      </c>
      <c r="B120" s="161">
        <f t="shared" ref="B120:H120" si="196">B$110*(B53-B19)/($B53-$B19)</f>
        <v>1</v>
      </c>
      <c r="C120" s="161">
        <f t="shared" si="196"/>
        <v>0.98248479790151433</v>
      </c>
      <c r="D120" s="161">
        <f t="shared" si="196"/>
        <v>0.87315190175271251</v>
      </c>
      <c r="E120" s="162">
        <f t="shared" si="196"/>
        <v>0.65900202694646481</v>
      </c>
      <c r="F120" s="161">
        <f t="shared" si="196"/>
        <v>0.57777900321926801</v>
      </c>
      <c r="G120" s="161">
        <f t="shared" si="196"/>
        <v>0.40405323715273639</v>
      </c>
      <c r="H120" s="161">
        <f t="shared" si="196"/>
        <v>0.21097899129605341</v>
      </c>
      <c r="J120" s="161">
        <f t="shared" ref="J120:P120" si="197">J$110*(J53-J19)/($J53-$J19)</f>
        <v>1</v>
      </c>
      <c r="K120" s="161">
        <f t="shared" si="197"/>
        <v>0.52006500787007703</v>
      </c>
      <c r="L120" s="161">
        <f t="shared" si="197"/>
        <v>1.029529099060744</v>
      </c>
      <c r="M120" s="162">
        <f t="shared" si="197"/>
        <v>0.25255988558645903</v>
      </c>
      <c r="N120" s="161">
        <f t="shared" si="197"/>
        <v>0.52002735744799788</v>
      </c>
      <c r="O120" s="161">
        <f t="shared" si="197"/>
        <v>0.13368145572090012</v>
      </c>
      <c r="P120" s="161">
        <f t="shared" si="197"/>
        <v>6.4816989155337193E-2</v>
      </c>
      <c r="R120" s="161">
        <f t="shared" ref="R120:X120" si="198">R$110*(R53-R19)/($R53-$R19)</f>
        <v>1</v>
      </c>
      <c r="S120" s="161">
        <f t="shared" si="198"/>
        <v>0.4298724237557402</v>
      </c>
      <c r="T120" s="161">
        <f t="shared" si="198"/>
        <v>0.84094858546261775</v>
      </c>
      <c r="U120" s="162">
        <f t="shared" si="198"/>
        <v>0.20401090618068632</v>
      </c>
      <c r="V120" s="161">
        <f t="shared" si="198"/>
        <v>0.41996472112610067</v>
      </c>
      <c r="W120" s="161">
        <f t="shared" si="198"/>
        <v>0.10799711373646691</v>
      </c>
      <c r="X120" s="161">
        <f t="shared" si="198"/>
        <v>5.2328569877358636E-2</v>
      </c>
      <c r="Z120" s="161">
        <f t="shared" ref="Z120:AF120" si="199">Z$110*(Z53-Z19)/($R53-$R19)</f>
        <v>0.80710922192140111</v>
      </c>
      <c r="AA120" s="161">
        <f t="shared" si="199"/>
        <v>0.26983130891855756</v>
      </c>
      <c r="AB120" s="161">
        <f t="shared" si="199"/>
        <v>0.50397918029299427</v>
      </c>
      <c r="AC120" s="162">
        <f t="shared" si="199"/>
        <v>0.11362824293444805</v>
      </c>
      <c r="AD120" s="161">
        <f t="shared" si="199"/>
        <v>0.22991986542224191</v>
      </c>
      <c r="AE120" s="161">
        <f t="shared" si="199"/>
        <v>5.8258558797676482E-2</v>
      </c>
      <c r="AF120" s="161">
        <f t="shared" si="199"/>
        <v>2.8632874787799363E-2</v>
      </c>
      <c r="AK120" s="161">
        <f t="shared" ref="AK120:AQ120" si="200">AK$110*(AK53-AK19)/($R53-$R19)</f>
        <v>0.66409813733252077</v>
      </c>
      <c r="AL120" s="161">
        <f t="shared" si="200"/>
        <v>0.42594644624350514</v>
      </c>
      <c r="AM120" s="161">
        <f t="shared" si="200"/>
        <v>0.35096886706753444</v>
      </c>
      <c r="AN120" s="162">
        <f t="shared" si="200"/>
        <v>0.22983398143722319</v>
      </c>
      <c r="AO120" s="161">
        <f t="shared" si="200"/>
        <v>0.19049830395476636</v>
      </c>
      <c r="AP120" s="161">
        <f t="shared" si="200"/>
        <v>0.12067415917251521</v>
      </c>
      <c r="AQ120" s="161">
        <f t="shared" si="200"/>
        <v>5.8857992950627873E-2</v>
      </c>
      <c r="AS120" s="161">
        <f t="shared" ref="AS120:AY120" si="201">AS$110*(AS53-AS19)/($R53-$R19)</f>
        <v>0.66392913418406907</v>
      </c>
      <c r="AT120" s="161">
        <f t="shared" si="201"/>
        <v>0.34292870896839744</v>
      </c>
      <c r="AU120" s="161">
        <f t="shared" si="201"/>
        <v>0.2757064193335948</v>
      </c>
      <c r="AV120" s="162">
        <f t="shared" si="201"/>
        <v>0.17377600137173488</v>
      </c>
      <c r="AW120" s="161">
        <f t="shared" si="201"/>
        <v>0.1418045954209422</v>
      </c>
      <c r="AX120" s="161">
        <f t="shared" si="201"/>
        <v>8.7000446624438038E-2</v>
      </c>
      <c r="AY120" s="161">
        <f t="shared" si="201"/>
        <v>4.1703705885943548E-2</v>
      </c>
    </row>
    <row r="121" spans="1:51" x14ac:dyDescent="0.25">
      <c r="A121" s="218" t="s">
        <v>169</v>
      </c>
      <c r="B121" s="161">
        <f t="shared" ref="B121:H121" si="202">B$110*(B53-B22)/($B53-$B22)</f>
        <v>1</v>
      </c>
      <c r="C121" s="161">
        <f t="shared" si="202"/>
        <v>0.87711350538712096</v>
      </c>
      <c r="D121" s="161">
        <f t="shared" si="202"/>
        <v>0.77492608368829874</v>
      </c>
      <c r="E121" s="162">
        <f t="shared" si="202"/>
        <v>0.57556802806314211</v>
      </c>
      <c r="F121" s="161">
        <f t="shared" si="202"/>
        <v>0.50118717113505384</v>
      </c>
      <c r="G121" s="161">
        <f t="shared" si="202"/>
        <v>0.34788794788273619</v>
      </c>
      <c r="H121" s="161">
        <f t="shared" si="202"/>
        <v>0.18074192934101729</v>
      </c>
      <c r="J121" s="161">
        <f t="shared" ref="J121:P121" si="203">J$110*(J53-J22)/($J53-$J22)</f>
        <v>1</v>
      </c>
      <c r="K121" s="161">
        <f t="shared" si="203"/>
        <v>0.5017798397572707</v>
      </c>
      <c r="L121" s="161">
        <f t="shared" si="203"/>
        <v>0.99840218260311009</v>
      </c>
      <c r="M121" s="162">
        <f t="shared" si="203"/>
        <v>0.2441931920349934</v>
      </c>
      <c r="N121" s="161">
        <f t="shared" si="203"/>
        <v>0.50114985624102604</v>
      </c>
      <c r="O121" s="161">
        <f t="shared" si="203"/>
        <v>0.12633691311307757</v>
      </c>
      <c r="P121" s="161">
        <f t="shared" si="203"/>
        <v>6.0214302023252404E-2</v>
      </c>
      <c r="R121" s="161">
        <f t="shared" ref="R121:X121" si="204">R$110*(R53-R22)/($R53-$R22)</f>
        <v>1</v>
      </c>
      <c r="S121" s="161">
        <f t="shared" si="204"/>
        <v>0.4332453267580873</v>
      </c>
      <c r="T121" s="161">
        <f t="shared" si="204"/>
        <v>0.85309260036362589</v>
      </c>
      <c r="U121" s="162">
        <f t="shared" si="204"/>
        <v>0.20688125169203836</v>
      </c>
      <c r="V121" s="161">
        <f t="shared" si="204"/>
        <v>0.42452187572624622</v>
      </c>
      <c r="W121" s="161">
        <f t="shared" si="204"/>
        <v>0.10702995684362812</v>
      </c>
      <c r="X121" s="161">
        <f t="shared" si="204"/>
        <v>5.1001556593378607E-2</v>
      </c>
      <c r="Z121" s="161">
        <f t="shared" ref="Z121:AF121" si="205">Z$110*(Z53-Z22)/($R53-$R22)</f>
        <v>0.84689449361837466</v>
      </c>
      <c r="AA121" s="161">
        <f t="shared" si="205"/>
        <v>0.29208685505625881</v>
      </c>
      <c r="AB121" s="161">
        <f t="shared" si="205"/>
        <v>0.54708620021071508</v>
      </c>
      <c r="AC121" s="162">
        <f t="shared" si="205"/>
        <v>0.12220101502740245</v>
      </c>
      <c r="AD121" s="161">
        <f t="shared" si="205"/>
        <v>0.24488189733639837</v>
      </c>
      <c r="AE121" s="161">
        <f t="shared" si="205"/>
        <v>6.0079610344580474E-2</v>
      </c>
      <c r="AF121" s="161">
        <f t="shared" si="205"/>
        <v>2.8607839001351412E-2</v>
      </c>
      <c r="AK121" s="161">
        <f t="shared" ref="AK121:AQ121" si="206">AK$110*(AK53-AK22)/($R53-$R22)</f>
        <v>0.66135345179823257</v>
      </c>
      <c r="AL121" s="161">
        <f t="shared" si="206"/>
        <v>0.41894162152245557</v>
      </c>
      <c r="AM121" s="161">
        <f t="shared" si="206"/>
        <v>0.34663485344248829</v>
      </c>
      <c r="AN121" s="162">
        <f t="shared" si="206"/>
        <v>0.22665854345768011</v>
      </c>
      <c r="AO121" s="161">
        <f t="shared" si="206"/>
        <v>0.1875480561473947</v>
      </c>
      <c r="AP121" s="161">
        <f t="shared" si="206"/>
        <v>0.11841508546845943</v>
      </c>
      <c r="AQ121" s="161">
        <f t="shared" si="206"/>
        <v>5.7417933216963216E-2</v>
      </c>
      <c r="AS121" s="161">
        <f t="shared" ref="AS121:AY121" si="207">AS$110*(AS53-AS22)/($R53-$R22)</f>
        <v>0.66122400720787244</v>
      </c>
      <c r="AT121" s="161">
        <f t="shared" si="207"/>
        <v>0.34065483477440367</v>
      </c>
      <c r="AU121" s="161">
        <f t="shared" si="207"/>
        <v>0.27374073528068776</v>
      </c>
      <c r="AV121" s="162">
        <f t="shared" si="207"/>
        <v>0.17112623371379104</v>
      </c>
      <c r="AW121" s="161">
        <f t="shared" si="207"/>
        <v>0.13911366271744713</v>
      </c>
      <c r="AX121" s="161">
        <f t="shared" si="207"/>
        <v>8.4765755671411799E-2</v>
      </c>
      <c r="AY121" s="161">
        <f t="shared" si="207"/>
        <v>4.0332427650064444E-2</v>
      </c>
    </row>
    <row r="122" spans="1:51" x14ac:dyDescent="0.25">
      <c r="A122" s="218" t="s">
        <v>170</v>
      </c>
      <c r="B122" s="161">
        <f t="shared" ref="B122:H122" si="208">B$110*(B53-B35)/($B53-$B35)</f>
        <v>1</v>
      </c>
      <c r="C122" s="161">
        <f t="shared" si="208"/>
        <v>0.84079642979745972</v>
      </c>
      <c r="D122" s="161">
        <f t="shared" si="208"/>
        <v>0.74660144181256438</v>
      </c>
      <c r="E122" s="162">
        <f t="shared" si="208"/>
        <v>0.55570133882595263</v>
      </c>
      <c r="F122" s="161">
        <f t="shared" si="208"/>
        <v>0.48601819430140752</v>
      </c>
      <c r="G122" s="161">
        <f t="shared" si="208"/>
        <v>0.34594013044970823</v>
      </c>
      <c r="H122" s="161">
        <f t="shared" si="208"/>
        <v>0.18772842430484038</v>
      </c>
      <c r="J122" s="161">
        <f t="shared" ref="J122:P122" si="209">J$110*(J53-J35)/($J53-$J35)</f>
        <v>1</v>
      </c>
      <c r="K122" s="161">
        <f t="shared" si="209"/>
        <v>0.51387327180538811</v>
      </c>
      <c r="L122" s="161">
        <f t="shared" si="209"/>
        <v>1.0288097606310904</v>
      </c>
      <c r="M122" s="162">
        <f t="shared" si="209"/>
        <v>0.24973043140885254</v>
      </c>
      <c r="N122" s="161">
        <f t="shared" si="209"/>
        <v>0.50429060179184637</v>
      </c>
      <c r="O122" s="161">
        <f t="shared" si="209"/>
        <v>0.12468037821328523</v>
      </c>
      <c r="P122" s="161">
        <f t="shared" si="209"/>
        <v>5.9578608900713995E-2</v>
      </c>
      <c r="R122" s="161">
        <f t="shared" ref="R122:X122" si="210">R$110*(R53-R35)/($R53-$R35)</f>
        <v>1</v>
      </c>
      <c r="S122" s="161">
        <f t="shared" si="210"/>
        <v>0.43163911601567351</v>
      </c>
      <c r="T122" s="161">
        <f t="shared" si="210"/>
        <v>0.85577610957851546</v>
      </c>
      <c r="U122" s="162">
        <f t="shared" si="210"/>
        <v>0.20569392702718978</v>
      </c>
      <c r="V122" s="161">
        <f t="shared" si="210"/>
        <v>0.41570350282086754</v>
      </c>
      <c r="W122" s="161">
        <f t="shared" si="210"/>
        <v>0.10250515240208082</v>
      </c>
      <c r="X122" s="161">
        <f t="shared" si="210"/>
        <v>4.905677123540246E-2</v>
      </c>
      <c r="Z122" s="161">
        <f t="shared" ref="Z122:AF122" si="211">Z$110*(Z53-Z35)/($R53-$R35)</f>
        <v>0.823267969502117</v>
      </c>
      <c r="AA122" s="161">
        <f t="shared" si="211"/>
        <v>0.2679381084607681</v>
      </c>
      <c r="AB122" s="161">
        <f t="shared" si="211"/>
        <v>0.49709073193912451</v>
      </c>
      <c r="AC122" s="162">
        <f t="shared" si="211"/>
        <v>0.10698740825047967</v>
      </c>
      <c r="AD122" s="161">
        <f t="shared" si="211"/>
        <v>0.2090176619359938</v>
      </c>
      <c r="AE122" s="161">
        <f t="shared" si="211"/>
        <v>4.8952786519809964E-2</v>
      </c>
      <c r="AF122" s="161">
        <f t="shared" si="211"/>
        <v>2.3821521425452546E-2</v>
      </c>
      <c r="AK122" s="161">
        <f t="shared" ref="AK122:AQ122" si="212">AK$110*(AK53-AK35)/($R53-$R35)</f>
        <v>0.57146702073786104</v>
      </c>
      <c r="AL122" s="161">
        <f t="shared" si="212"/>
        <v>0.38097509583439787</v>
      </c>
      <c r="AM122" s="161">
        <f t="shared" si="212"/>
        <v>0.31663078711796533</v>
      </c>
      <c r="AN122" s="162">
        <f t="shared" si="212"/>
        <v>0.20395339326160283</v>
      </c>
      <c r="AO122" s="161">
        <f t="shared" si="212"/>
        <v>0.16875164783150109</v>
      </c>
      <c r="AP122" s="161">
        <f t="shared" si="212"/>
        <v>0.11081917535897352</v>
      </c>
      <c r="AQ122" s="161">
        <f t="shared" si="212"/>
        <v>5.8131805220908342E-2</v>
      </c>
      <c r="AS122" s="161">
        <f t="shared" ref="AS122:AY122" si="213">AS$110*(AS53-AS35)/($R53-$R35)</f>
        <v>0.57150425611637912</v>
      </c>
      <c r="AT122" s="161">
        <f t="shared" si="213"/>
        <v>0.289665820344226</v>
      </c>
      <c r="AU122" s="161">
        <f t="shared" si="213"/>
        <v>0.23159966060878201</v>
      </c>
      <c r="AV122" s="162">
        <f t="shared" si="213"/>
        <v>0.14087481737463953</v>
      </c>
      <c r="AW122" s="161">
        <f t="shared" si="213"/>
        <v>0.11428305086754451</v>
      </c>
      <c r="AX122" s="161">
        <f t="shared" si="213"/>
        <v>7.3178555586522323E-2</v>
      </c>
      <c r="AY122" s="161">
        <f t="shared" si="213"/>
        <v>3.9060090534582759E-2</v>
      </c>
    </row>
    <row r="123" spans="1:51" x14ac:dyDescent="0.25">
      <c r="A123" s="218"/>
      <c r="B123" s="151"/>
      <c r="C123" s="151"/>
      <c r="D123" s="151"/>
      <c r="E123" s="159"/>
      <c r="F123" s="151"/>
      <c r="G123" s="151"/>
      <c r="H123" s="151"/>
      <c r="J123" s="151"/>
      <c r="K123" s="151"/>
      <c r="L123" s="151"/>
      <c r="M123" s="159"/>
      <c r="N123" s="151"/>
      <c r="O123" s="151"/>
      <c r="P123" s="151"/>
      <c r="R123" s="151"/>
      <c r="S123" s="151"/>
      <c r="T123" s="151"/>
      <c r="U123" s="159"/>
      <c r="V123" s="151"/>
      <c r="W123" s="151"/>
      <c r="X123" s="151"/>
      <c r="Z123" s="151"/>
      <c r="AA123" s="151"/>
      <c r="AB123" s="151"/>
      <c r="AC123" s="159"/>
      <c r="AD123" s="151"/>
      <c r="AE123" s="151"/>
      <c r="AF123" s="151"/>
      <c r="AK123" s="151"/>
      <c r="AL123" s="151"/>
      <c r="AM123" s="151"/>
      <c r="AN123" s="159"/>
      <c r="AO123" s="151"/>
      <c r="AP123" s="151"/>
      <c r="AQ123" s="151"/>
      <c r="AS123" s="151"/>
      <c r="AT123" s="151"/>
      <c r="AU123" s="151"/>
      <c r="AV123" s="159"/>
      <c r="AW123" s="151"/>
      <c r="AX123" s="151"/>
      <c r="AY123" s="151"/>
    </row>
    <row r="124" spans="1:51" x14ac:dyDescent="0.25">
      <c r="A124" s="213" t="s">
        <v>128</v>
      </c>
      <c r="B124" s="161">
        <f t="shared" ref="B124:H124" si="214">B$110*(B54-B35)/($B54-$B35)</f>
        <v>1</v>
      </c>
      <c r="C124" s="161">
        <f t="shared" si="214"/>
        <v>1.0100087576629551</v>
      </c>
      <c r="D124" s="161">
        <f t="shared" si="214"/>
        <v>0.88184036031527591</v>
      </c>
      <c r="E124" s="162">
        <f t="shared" si="214"/>
        <v>0.62807456524458904</v>
      </c>
      <c r="F124" s="161">
        <f t="shared" si="214"/>
        <v>0.54376954835481051</v>
      </c>
      <c r="G124" s="161">
        <f t="shared" si="214"/>
        <v>0.38918441135993997</v>
      </c>
      <c r="H124" s="161">
        <f t="shared" si="214"/>
        <v>0.21749473289127988</v>
      </c>
      <c r="J124" s="161">
        <f t="shared" ref="J124:P124" si="215">J$110*(J54-J35)/($J54-$J35)</f>
        <v>1</v>
      </c>
      <c r="K124" s="161">
        <f t="shared" si="215"/>
        <v>0.52997272694147568</v>
      </c>
      <c r="L124" s="161">
        <f t="shared" si="215"/>
        <v>1.037145779923375</v>
      </c>
      <c r="M124" s="162">
        <f t="shared" si="215"/>
        <v>0.23856952827056485</v>
      </c>
      <c r="N124" s="161">
        <f t="shared" si="215"/>
        <v>0.47432228181183311</v>
      </c>
      <c r="O124" s="161">
        <f t="shared" si="215"/>
        <v>0.11525297164009818</v>
      </c>
      <c r="P124" s="161">
        <f t="shared" si="215"/>
        <v>5.6581982530392781E-2</v>
      </c>
      <c r="R124" s="161">
        <f t="shared" ref="R124:X124" si="216">R$110*(R54-R35)/($R54-$R35)</f>
        <v>1</v>
      </c>
      <c r="S124" s="161">
        <f t="shared" si="216"/>
        <v>0.40853726766484016</v>
      </c>
      <c r="T124" s="161">
        <f t="shared" si="216"/>
        <v>0.78764980215067837</v>
      </c>
      <c r="U124" s="162">
        <f t="shared" si="216"/>
        <v>0.1792014501032165</v>
      </c>
      <c r="V124" s="161">
        <f t="shared" si="216"/>
        <v>0.35662677154788852</v>
      </c>
      <c r="W124" s="161">
        <f t="shared" si="216"/>
        <v>8.6342556660278624E-2</v>
      </c>
      <c r="X124" s="161">
        <f t="shared" si="216"/>
        <v>4.2457884003939961E-2</v>
      </c>
      <c r="Z124" s="161">
        <f t="shared" ref="Z124:AF124" si="217">Z$110*(Z54-Z35)/($R54-$R35)</f>
        <v>0.75024688140861195</v>
      </c>
      <c r="AA124" s="161">
        <f t="shared" si="217"/>
        <v>0.20225503796064567</v>
      </c>
      <c r="AB124" s="161">
        <f t="shared" si="217"/>
        <v>0.35789568726731347</v>
      </c>
      <c r="AC124" s="162">
        <f t="shared" si="217"/>
        <v>6.89728445959856E-2</v>
      </c>
      <c r="AD124" s="161">
        <f t="shared" si="217"/>
        <v>0.13108443632100286</v>
      </c>
      <c r="AE124" s="161">
        <f t="shared" si="217"/>
        <v>2.8959658161458617E-2</v>
      </c>
      <c r="AF124" s="161">
        <f t="shared" si="217"/>
        <v>1.5137717646529195E-2</v>
      </c>
      <c r="AK124" s="161">
        <f t="shared" ref="AK124:AQ124" si="218">AK$110*(AK54-AK35)/($R54-$R35)</f>
        <v>0.55950222082236178</v>
      </c>
      <c r="AL124" s="161">
        <f t="shared" si="218"/>
        <v>0.37277008435693121</v>
      </c>
      <c r="AM124" s="161">
        <f t="shared" si="218"/>
        <v>0.30844321883776016</v>
      </c>
      <c r="AN124" s="162">
        <f t="shared" si="218"/>
        <v>0.20008356387414158</v>
      </c>
      <c r="AO124" s="161">
        <f t="shared" si="218"/>
        <v>0.16665690875704733</v>
      </c>
      <c r="AP124" s="161">
        <f t="shared" si="218"/>
        <v>0.11122610094752577</v>
      </c>
      <c r="AQ124" s="161">
        <f t="shared" si="218"/>
        <v>6.022739973736272E-2</v>
      </c>
      <c r="AS124" s="161">
        <f t="shared" ref="AS124:AY124" si="219">AS$110*(AS54-AS35)/($R54-$R35)</f>
        <v>0.55954020352926281</v>
      </c>
      <c r="AT124" s="161">
        <f t="shared" si="219"/>
        <v>0.28020657214801531</v>
      </c>
      <c r="AU124" s="161">
        <f t="shared" si="219"/>
        <v>0.2266248017368703</v>
      </c>
      <c r="AV124" s="162">
        <f t="shared" si="219"/>
        <v>0.14433452265706342</v>
      </c>
      <c r="AW124" s="161">
        <f t="shared" si="219"/>
        <v>0.11952875531002709</v>
      </c>
      <c r="AX124" s="161">
        <f t="shared" si="219"/>
        <v>7.9400042732499079E-2</v>
      </c>
      <c r="AY124" s="161">
        <f t="shared" si="219"/>
        <v>4.4340450452997789E-2</v>
      </c>
    </row>
    <row r="125" spans="1:51" x14ac:dyDescent="0.25">
      <c r="A125" s="218" t="s">
        <v>171</v>
      </c>
      <c r="B125" s="161">
        <f t="shared" ref="B125:H125" si="220">B$110*(B52-B21)/($B52-$B21)</f>
        <v>1</v>
      </c>
      <c r="C125" s="161">
        <f t="shared" si="220"/>
        <v>0.87151838546069327</v>
      </c>
      <c r="D125" s="161">
        <f t="shared" si="220"/>
        <v>0.76426722316145401</v>
      </c>
      <c r="E125" s="162">
        <f t="shared" si="220"/>
        <v>0.56043691885038038</v>
      </c>
      <c r="F125" s="161">
        <f t="shared" si="220"/>
        <v>0.4849416208791209</v>
      </c>
      <c r="G125" s="161">
        <f t="shared" si="220"/>
        <v>0.33076236263736264</v>
      </c>
      <c r="H125" s="161">
        <f t="shared" si="220"/>
        <v>0.16446255811496197</v>
      </c>
      <c r="J125" s="161">
        <f t="shared" ref="J125:P125" si="221">J$110*(J52-J21)/($J52-$J21)</f>
        <v>1</v>
      </c>
      <c r="K125" s="161">
        <f t="shared" si="221"/>
        <v>0.4950919240957618</v>
      </c>
      <c r="L125" s="161">
        <f t="shared" si="221"/>
        <v>0.97278288744535135</v>
      </c>
      <c r="M125" s="162">
        <f t="shared" si="221"/>
        <v>0.23629880137035791</v>
      </c>
      <c r="N125" s="161">
        <f t="shared" si="221"/>
        <v>0.48431880487668916</v>
      </c>
      <c r="O125" s="161">
        <f t="shared" si="221"/>
        <v>0.12183728536565541</v>
      </c>
      <c r="P125" s="161">
        <f t="shared" si="221"/>
        <v>5.6793487496295668E-2</v>
      </c>
      <c r="R125" s="161">
        <f t="shared" ref="R125:X125" si="222">R$110*(R52-R21)/($R52-$R21)</f>
        <v>1</v>
      </c>
      <c r="S125" s="161">
        <f t="shared" si="222"/>
        <v>0.43593174809814561</v>
      </c>
      <c r="T125" s="161">
        <f t="shared" si="222"/>
        <v>0.84832584625594254</v>
      </c>
      <c r="U125" s="162">
        <f t="shared" si="222"/>
        <v>0.20432846872034932</v>
      </c>
      <c r="V125" s="161">
        <f t="shared" si="222"/>
        <v>0.41841969692119851</v>
      </c>
      <c r="W125" s="161">
        <f t="shared" si="222"/>
        <v>0.10520834688000746</v>
      </c>
      <c r="X125" s="161">
        <f t="shared" si="222"/>
        <v>4.901442436250969E-2</v>
      </c>
      <c r="Z125" s="161">
        <f t="shared" ref="Z125:AF125" si="223">Z$110*(Z52-Z21)/($R52-$R21)</f>
        <v>0.86294210971798324</v>
      </c>
      <c r="AA125" s="161">
        <f t="shared" si="223"/>
        <v>0.30942335882418637</v>
      </c>
      <c r="AB125" s="161">
        <f t="shared" si="223"/>
        <v>0.57811344058375758</v>
      </c>
      <c r="AC125" s="162">
        <f t="shared" si="223"/>
        <v>0.12911851719023795</v>
      </c>
      <c r="AD125" s="161">
        <f t="shared" si="223"/>
        <v>0.25835356390592829</v>
      </c>
      <c r="AE125" s="161">
        <f t="shared" si="223"/>
        <v>6.3108940012605891E-2</v>
      </c>
      <c r="AF125" s="161">
        <f t="shared" si="223"/>
        <v>2.930472471503685E-2</v>
      </c>
      <c r="AK125" s="161">
        <f t="shared" ref="AK125:AQ125" si="224">AK$110*(AK52-AK21)/($R52-$R21)</f>
        <v>0.674948831846367</v>
      </c>
      <c r="AL125" s="161">
        <f t="shared" si="224"/>
        <v>0.41861904393091764</v>
      </c>
      <c r="AM125" s="161">
        <f t="shared" si="224"/>
        <v>0.34516103591888009</v>
      </c>
      <c r="AN125" s="162">
        <f t="shared" si="224"/>
        <v>0.2238768699790056</v>
      </c>
      <c r="AO125" s="161">
        <f t="shared" si="224"/>
        <v>0.18475853764963429</v>
      </c>
      <c r="AP125" s="161">
        <f t="shared" si="224"/>
        <v>0.11490478157193061</v>
      </c>
      <c r="AQ125" s="161">
        <f t="shared" si="224"/>
        <v>5.3306503721907969E-2</v>
      </c>
      <c r="AS125" s="161">
        <f t="shared" ref="AS125:AY125" si="225">AS$110*(AS52-AS21)/($R52-$R21)</f>
        <v>0.67470667680096108</v>
      </c>
      <c r="AT125" s="161">
        <f t="shared" si="225"/>
        <v>0.34591000362872742</v>
      </c>
      <c r="AU125" s="161">
        <f t="shared" si="225"/>
        <v>0.2785679139420692</v>
      </c>
      <c r="AV125" s="162">
        <f t="shared" si="225"/>
        <v>0.17454822225508848</v>
      </c>
      <c r="AW125" s="161">
        <f t="shared" si="225"/>
        <v>0.14201832433528591</v>
      </c>
      <c r="AX125" s="161">
        <f t="shared" si="225"/>
        <v>8.5705902619449673E-2</v>
      </c>
      <c r="AY125" s="161">
        <f t="shared" si="225"/>
        <v>3.8989444020360489E-2</v>
      </c>
    </row>
    <row r="126" spans="1:51" x14ac:dyDescent="0.25">
      <c r="A126" s="218" t="s">
        <v>172</v>
      </c>
      <c r="B126" s="161">
        <f t="shared" ref="B126:H126" si="226">B$110*(B56-B21)/($B56-$B21)</f>
        <v>1</v>
      </c>
      <c r="C126" s="161">
        <f t="shared" si="226"/>
        <v>1.0864359988957395</v>
      </c>
      <c r="D126" s="161">
        <f t="shared" si="226"/>
        <v>0.93386399190208902</v>
      </c>
      <c r="E126" s="162">
        <f t="shared" si="226"/>
        <v>0.6544961810987393</v>
      </c>
      <c r="F126" s="161">
        <f t="shared" si="226"/>
        <v>0.56316968804637901</v>
      </c>
      <c r="G126" s="161">
        <f t="shared" si="226"/>
        <v>0.39081015919757067</v>
      </c>
      <c r="H126" s="161">
        <f t="shared" si="226"/>
        <v>0.21090247538419066</v>
      </c>
      <c r="J126" s="161">
        <f t="shared" ref="J126:P126" si="227">J$110*(J56-J21)/($J56-$J21)</f>
        <v>1</v>
      </c>
      <c r="K126" s="161">
        <f t="shared" si="227"/>
        <v>0.53204620367940636</v>
      </c>
      <c r="L126" s="161">
        <f t="shared" si="227"/>
        <v>1.0371282994740014</v>
      </c>
      <c r="M126" s="162">
        <f t="shared" si="227"/>
        <v>0.24159322674980724</v>
      </c>
      <c r="N126" s="161">
        <f t="shared" si="227"/>
        <v>0.49186163629885116</v>
      </c>
      <c r="O126" s="161">
        <f t="shared" si="227"/>
        <v>0.12629649101078075</v>
      </c>
      <c r="P126" s="161">
        <f t="shared" si="227"/>
        <v>6.5477686106940367E-2</v>
      </c>
      <c r="R126" s="161">
        <f t="shared" ref="R126:X126" si="228">R$110*(R56-R21)/($R56-$R21)</f>
        <v>1</v>
      </c>
      <c r="S126" s="161">
        <f t="shared" si="228"/>
        <v>0.42163195916373225</v>
      </c>
      <c r="T126" s="161">
        <f t="shared" si="228"/>
        <v>0.80863493256762253</v>
      </c>
      <c r="U126" s="162">
        <f t="shared" si="228"/>
        <v>0.18610779743879546</v>
      </c>
      <c r="V126" s="161">
        <f t="shared" si="228"/>
        <v>0.37844116026760105</v>
      </c>
      <c r="W126" s="161">
        <f t="shared" si="228"/>
        <v>9.7061107033523386E-2</v>
      </c>
      <c r="X126" s="161">
        <f t="shared" si="228"/>
        <v>5.0275713129179687E-2</v>
      </c>
      <c r="Z126" s="161">
        <f t="shared" ref="Z126:AF126" si="229">Z$110*(Z56-Z21)/($R56-$R21)</f>
        <v>0.76779847344344077</v>
      </c>
      <c r="AA126" s="161">
        <f t="shared" si="229"/>
        <v>0.23579942924779276</v>
      </c>
      <c r="AB126" s="161">
        <f t="shared" si="229"/>
        <v>0.432170362295903</v>
      </c>
      <c r="AC126" s="162">
        <f t="shared" si="229"/>
        <v>9.3589127785088183E-2</v>
      </c>
      <c r="AD126" s="161">
        <f t="shared" si="229"/>
        <v>0.18766742159810798</v>
      </c>
      <c r="AE126" s="161">
        <f t="shared" si="229"/>
        <v>4.7302681862034339E-2</v>
      </c>
      <c r="AF126" s="161">
        <f t="shared" si="229"/>
        <v>2.5611160493737479E-2</v>
      </c>
      <c r="AK126" s="161">
        <f t="shared" ref="AK126:AQ126" si="230">AK$110*(AK56-AK21)/($R56-$R21)</f>
        <v>0.61917350374847901</v>
      </c>
      <c r="AL126" s="161">
        <f t="shared" si="230"/>
        <v>0.39525033734697257</v>
      </c>
      <c r="AM126" s="161">
        <f t="shared" si="230"/>
        <v>0.32378216728763193</v>
      </c>
      <c r="AN126" s="162">
        <f t="shared" si="230"/>
        <v>0.21337510464798973</v>
      </c>
      <c r="AO126" s="161">
        <f t="shared" si="230"/>
        <v>0.17917829848927216</v>
      </c>
      <c r="AP126" s="161">
        <f t="shared" si="230"/>
        <v>0.1190880392414172</v>
      </c>
      <c r="AQ126" s="161">
        <f t="shared" si="230"/>
        <v>6.3949212875235834E-2</v>
      </c>
      <c r="AS126" s="161">
        <f t="shared" ref="AS126:AY126" si="231">AS$110*(AS56-AS21)/($R56-$R21)</f>
        <v>0.61886896628589516</v>
      </c>
      <c r="AT126" s="161">
        <f t="shared" si="231"/>
        <v>0.32520018991333216</v>
      </c>
      <c r="AU126" s="161">
        <f t="shared" si="231"/>
        <v>0.26370237793367485</v>
      </c>
      <c r="AV126" s="162">
        <f t="shared" si="231"/>
        <v>0.17253933579434449</v>
      </c>
      <c r="AW126" s="161">
        <f t="shared" si="231"/>
        <v>0.14425353683585437</v>
      </c>
      <c r="AX126" s="161">
        <f t="shared" si="231"/>
        <v>9.4933627428687703E-2</v>
      </c>
      <c r="AY126" s="161">
        <f t="shared" si="231"/>
        <v>5.1366973840284359E-2</v>
      </c>
    </row>
    <row r="127" spans="1:51" x14ac:dyDescent="0.25">
      <c r="A127" s="218"/>
      <c r="B127" s="151"/>
      <c r="C127" s="151"/>
      <c r="D127" s="151"/>
      <c r="E127" s="20" t="s">
        <v>175</v>
      </c>
      <c r="F127" s="151"/>
      <c r="G127" s="151"/>
      <c r="H127" s="151"/>
      <c r="J127" s="151"/>
      <c r="K127" s="151"/>
      <c r="L127" s="151"/>
      <c r="M127" s="159"/>
      <c r="N127" s="151"/>
      <c r="O127" s="151"/>
      <c r="P127" s="151"/>
      <c r="R127" s="151"/>
      <c r="S127" s="151"/>
      <c r="T127" s="151"/>
      <c r="U127" s="159"/>
      <c r="V127" s="151"/>
      <c r="W127" s="151"/>
      <c r="X127" s="151"/>
      <c r="Z127" s="151"/>
      <c r="AA127" s="151"/>
      <c r="AB127" s="151"/>
      <c r="AC127" s="159"/>
      <c r="AD127" s="151"/>
      <c r="AE127" s="151"/>
      <c r="AF127" s="151"/>
      <c r="AK127" s="151"/>
      <c r="AL127" s="151"/>
      <c r="AM127" s="151"/>
      <c r="AN127" s="159"/>
      <c r="AO127" s="151"/>
      <c r="AP127" s="151"/>
      <c r="AQ127" s="151"/>
      <c r="AS127" s="151"/>
      <c r="AT127" s="151"/>
      <c r="AU127" s="151"/>
      <c r="AV127" s="159"/>
      <c r="AW127" s="151"/>
      <c r="AX127" s="151"/>
      <c r="AY127" s="151"/>
    </row>
    <row r="128" spans="1:51" s="33" customFormat="1" x14ac:dyDescent="0.25">
      <c r="A128" s="1127" t="s">
        <v>1115</v>
      </c>
      <c r="B128" s="213">
        <f t="shared" ref="B128:H128" si="232">B$110*(B61-B6)/($B61-$B6)</f>
        <v>1</v>
      </c>
      <c r="C128" s="213">
        <f t="shared" si="232"/>
        <v>0.72766060696554558</v>
      </c>
      <c r="D128" s="213">
        <f t="shared" si="232"/>
        <v>0.59479450520736121</v>
      </c>
      <c r="E128" s="1128">
        <f t="shared" si="232"/>
        <v>0.37756093919145917</v>
      </c>
      <c r="F128" s="213">
        <f t="shared" si="232"/>
        <v>0.31590167606106984</v>
      </c>
      <c r="G128" s="213">
        <f t="shared" si="232"/>
        <v>0.20926507148456458</v>
      </c>
      <c r="H128" s="213">
        <f t="shared" si="232"/>
        <v>0.102612094516406</v>
      </c>
      <c r="I128" s="1129"/>
      <c r="J128" s="213">
        <f>J$110*(J61-J6)/($J61-$J6)</f>
        <v>1</v>
      </c>
      <c r="K128" s="213">
        <f t="shared" ref="K128:P128" si="233">K$110*(K61-K6)/($J61-$J6)</f>
        <v>0.43494602838489516</v>
      </c>
      <c r="L128" s="213">
        <f t="shared" si="233"/>
        <v>0.79788820156647422</v>
      </c>
      <c r="M128" s="1128">
        <f t="shared" si="233"/>
        <v>0.16778233537846471</v>
      </c>
      <c r="N128" s="213">
        <f t="shared" si="233"/>
        <v>0.32886333965230879</v>
      </c>
      <c r="O128" s="213">
        <f t="shared" si="233"/>
        <v>7.8150766774692196E-2</v>
      </c>
      <c r="P128" s="213">
        <f t="shared" si="233"/>
        <v>3.6682727861177933E-2</v>
      </c>
      <c r="R128" s="213">
        <f>R$110*(R61-R6)/($R61-$R6)</f>
        <v>1</v>
      </c>
      <c r="S128" s="213">
        <f t="shared" ref="S128:X128" si="234">S$110*(S61-S6)/($R61-$R6)</f>
        <v>0.35660125481609484</v>
      </c>
      <c r="T128" s="213">
        <f t="shared" si="234"/>
        <v>0.64666814554359231</v>
      </c>
      <c r="U128" s="213">
        <f t="shared" si="234"/>
        <v>0.13437738388692211</v>
      </c>
      <c r="V128" s="213">
        <f t="shared" si="234"/>
        <v>0.26264640054993521</v>
      </c>
      <c r="W128" s="213">
        <f t="shared" si="234"/>
        <v>6.2241632824562396E-2</v>
      </c>
      <c r="X128" s="213">
        <f t="shared" si="234"/>
        <v>2.9177450520754569E-2</v>
      </c>
      <c r="Z128" s="213">
        <f>Z$110*(Z61-Z6)/($R61-$R6)</f>
        <v>0.79500420274072392</v>
      </c>
      <c r="AA128" s="213">
        <f t="shared" ref="AA128:AF128" si="235">AA$110*(AA61-AA6)/($R61-$R6)</f>
        <v>0.22284233626216438</v>
      </c>
      <c r="AB128" s="213">
        <f t="shared" si="235"/>
        <v>0.38578729612270718</v>
      </c>
      <c r="AC128" s="213">
        <f t="shared" si="235"/>
        <v>7.2402468803354353E-2</v>
      </c>
      <c r="AD128" s="213">
        <f t="shared" si="235"/>
        <v>0.13725324537269112</v>
      </c>
      <c r="AE128" s="213">
        <f t="shared" si="235"/>
        <v>3.1451685698902491E-2</v>
      </c>
      <c r="AF128" s="213">
        <f t="shared" si="235"/>
        <v>1.5003526401972124E-2</v>
      </c>
      <c r="AK128" s="213">
        <f>AK$110*(AK61-AK6)/($R61-$R6)</f>
        <v>-0.44235905419757537</v>
      </c>
      <c r="AL128" s="213">
        <f t="shared" ref="AL128:AQ128" si="236">AL$110*(AL61-AL6)/($R61-$R6)</f>
        <v>-0.15761959058222849</v>
      </c>
      <c r="AM128" s="213">
        <f t="shared" si="236"/>
        <v>-0.11431581840760272</v>
      </c>
      <c r="AN128" s="213">
        <f>AN$110*(AN61-AN6)/($R61-$R6)</f>
        <v>-5.5699725095678332E-2</v>
      </c>
      <c r="AO128" s="213">
        <f t="shared" si="236"/>
        <v>-4.0287721320481439E-2</v>
      </c>
      <c r="AP128" s="213">
        <f t="shared" si="236"/>
        <v>-1.9485518130580502E-2</v>
      </c>
      <c r="AQ128" s="213">
        <f t="shared" si="236"/>
        <v>-7.3182553676166343E-3</v>
      </c>
      <c r="AS128" s="213">
        <f>AS$110*(AS61-AS6)/($R61-$R6)</f>
        <v>-0.44235905419757537</v>
      </c>
      <c r="AT128" s="213">
        <f t="shared" ref="AT128:AY128" si="237">AT$110*(AT61-AT6)/($R61-$R6)</f>
        <v>-0.13876107960589021</v>
      </c>
      <c r="AU128" s="213">
        <f t="shared" si="237"/>
        <v>-9.6911322531420915E-2</v>
      </c>
      <c r="AV128" s="213">
        <f t="shared" si="237"/>
        <v>-4.4305167019450635E-2</v>
      </c>
      <c r="AW128" s="213">
        <f t="shared" si="237"/>
        <v>-3.0781538689945206E-2</v>
      </c>
      <c r="AX128" s="213">
        <f t="shared" si="237"/>
        <v>-1.4069251062148277E-2</v>
      </c>
      <c r="AY128" s="213">
        <f t="shared" si="237"/>
        <v>-5.13310156895431E-3</v>
      </c>
    </row>
    <row r="129" spans="1:51" s="33" customFormat="1" x14ac:dyDescent="0.25">
      <c r="A129" s="1127" t="s">
        <v>1058</v>
      </c>
      <c r="B129" s="213">
        <f t="shared" ref="B129:H129" si="238">B$110*(B61-B25)/($B61-$B25)</f>
        <v>1</v>
      </c>
      <c r="C129" s="213">
        <f t="shared" si="238"/>
        <v>1.0837089409338636</v>
      </c>
      <c r="D129" s="213">
        <f t="shared" si="238"/>
        <v>0.94116217410517011</v>
      </c>
      <c r="E129" s="1128">
        <f t="shared" si="238"/>
        <v>0.65002135807924577</v>
      </c>
      <c r="F129" s="213">
        <f t="shared" si="238"/>
        <v>0.55463691265282078</v>
      </c>
      <c r="G129" s="213">
        <f t="shared" si="238"/>
        <v>0.37448946825747537</v>
      </c>
      <c r="H129" s="213">
        <f t="shared" si="238"/>
        <v>0.18397202091618794</v>
      </c>
      <c r="I129" s="1129"/>
      <c r="J129" s="213">
        <f>J$110*(J61-J25)/($J61-$J25)</f>
        <v>1</v>
      </c>
      <c r="K129" s="213">
        <f t="shared" ref="K129:P129" si="239">K$110*(K61-K25)/($J61-$J25)</f>
        <v>0.54967450587409028</v>
      </c>
      <c r="L129" s="213">
        <f t="shared" si="239"/>
        <v>1.0605189594172961</v>
      </c>
      <c r="M129" s="1128">
        <f t="shared" si="239"/>
        <v>0.23775063985026271</v>
      </c>
      <c r="N129" s="213">
        <f t="shared" si="239"/>
        <v>0.47578895406845106</v>
      </c>
      <c r="O129" s="213">
        <f t="shared" si="239"/>
        <v>0.11694589745892127</v>
      </c>
      <c r="P129" s="213">
        <f t="shared" si="239"/>
        <v>5.6781168732038728E-2</v>
      </c>
      <c r="R129" s="213">
        <f>R$110*(R61-R25)/($R61-$R25)</f>
        <v>1</v>
      </c>
      <c r="S129" s="213">
        <f t="shared" ref="S129:X129" si="240">S$110*(S61-S25)/($R61-$R25)</f>
        <v>0.43883051232120873</v>
      </c>
      <c r="T129" s="213">
        <f t="shared" si="240"/>
        <v>0.834984464156035</v>
      </c>
      <c r="U129" s="213">
        <f t="shared" si="240"/>
        <v>0.18510040324265423</v>
      </c>
      <c r="V129" s="213">
        <f t="shared" si="240"/>
        <v>0.36962981188553745</v>
      </c>
      <c r="W129" s="213">
        <f t="shared" si="240"/>
        <v>9.0693563603838817E-2</v>
      </c>
      <c r="X129" s="213">
        <f t="shared" si="240"/>
        <v>4.3984176625497251E-2</v>
      </c>
      <c r="Z129" s="213">
        <f>Z$110*(Z61-Z25)/($R61-$R25)</f>
        <v>0.77435799843549313</v>
      </c>
      <c r="AA129" s="213">
        <f t="shared" ref="AA129:AF129" si="241">AA$110*(AA61-AA25)/($R61-$R25)</f>
        <v>0.25782337267948596</v>
      </c>
      <c r="AB129" s="213">
        <f t="shared" si="241"/>
        <v>0.45563963129747359</v>
      </c>
      <c r="AC129" s="213">
        <f t="shared" si="241"/>
        <v>8.7727278690188273E-2</v>
      </c>
      <c r="AD129" s="213">
        <f t="shared" si="241"/>
        <v>0.167975420248893</v>
      </c>
      <c r="AE129" s="213">
        <f t="shared" si="241"/>
        <v>3.9605456573927493E-2</v>
      </c>
      <c r="AF129" s="213">
        <f t="shared" si="241"/>
        <v>2.0071606640158213E-2</v>
      </c>
      <c r="AK129" s="213">
        <f>AK$110*(AK61-AK25)/($R61-$R25)</f>
        <v>-1.0514608949709638</v>
      </c>
      <c r="AL129" s="213">
        <f t="shared" ref="AL129:AQ129" si="242">AL$110*(AL61-AL25)/($R61-$R25)</f>
        <v>-0.36683288623775134</v>
      </c>
      <c r="AM129" s="213">
        <f t="shared" si="242"/>
        <v>-0.25914794651816231</v>
      </c>
      <c r="AN129" s="213">
        <f t="shared" si="242"/>
        <v>-0.1172742342576396</v>
      </c>
      <c r="AO129" s="213">
        <f t="shared" si="242"/>
        <v>-8.4185848035943187E-2</v>
      </c>
      <c r="AP129" s="213">
        <f t="shared" si="242"/>
        <v>-4.0566470259306472E-2</v>
      </c>
      <c r="AQ129" s="213">
        <f t="shared" si="242"/>
        <v>-1.5458501406123737E-2</v>
      </c>
      <c r="AS129" s="213">
        <f>AS$110*(AS61-AS25)/($R61-$R25)</f>
        <v>-1.0509227605364564</v>
      </c>
      <c r="AT129" s="213">
        <f t="shared" ref="AT129:AY129" si="243">AT$110*(AT61-AT25)/($R61-$R25)</f>
        <v>-0.31919036101604281</v>
      </c>
      <c r="AU129" s="213">
        <f t="shared" si="243"/>
        <v>-0.22085724724343131</v>
      </c>
      <c r="AV129" s="213">
        <f t="shared" si="243"/>
        <v>-9.6048606108280019E-2</v>
      </c>
      <c r="AW129" s="213">
        <f t="shared" si="243"/>
        <v>-6.8111980105444503E-2</v>
      </c>
      <c r="AX129" s="213">
        <f t="shared" si="243"/>
        <v>-3.2461292297996158E-2</v>
      </c>
      <c r="AY129" s="213">
        <f t="shared" si="243"/>
        <v>-1.2276289515264268E-2</v>
      </c>
    </row>
    <row r="130" spans="1:51" s="33" customFormat="1" x14ac:dyDescent="0.25">
      <c r="A130" s="218" t="s">
        <v>180</v>
      </c>
      <c r="E130" s="998">
        <f>E$110*(E53-E25)/($B53-$B25)</f>
        <v>0.59834877656328034</v>
      </c>
      <c r="M130" s="1130"/>
      <c r="U130" s="998">
        <f>U$110*(U53-U25)/($R53-$R25)</f>
        <v>0.21422614077329646</v>
      </c>
      <c r="AC130" s="1131">
        <f>AC$110*(AC53-AC25)/($R53-$R25)</f>
        <v>0.11890994906530857</v>
      </c>
      <c r="AN130" s="1131">
        <f>AN$110*(AN53-AN25)/($R53-$R25)</f>
        <v>0.22842321514775374</v>
      </c>
      <c r="AV130" s="1131">
        <f>AV$110*(AV53-AV25)/($R53-$R25)</f>
        <v>0.16887713229878787</v>
      </c>
    </row>
    <row r="131" spans="1:51" s="33" customFormat="1" x14ac:dyDescent="0.25">
      <c r="A131" s="1132" t="s">
        <v>1132</v>
      </c>
      <c r="B131" s="1133">
        <f t="shared" ref="B131:H131" si="244">B$110*(B61-B39)/($B61-$B39)</f>
        <v>1</v>
      </c>
      <c r="C131" s="1133">
        <f t="shared" si="244"/>
        <v>0.88544018949861825</v>
      </c>
      <c r="D131" s="1133">
        <f t="shared" si="244"/>
        <v>0.76296091590998816</v>
      </c>
      <c r="E131" s="1134">
        <f t="shared" si="244"/>
        <v>0.52327832609553881</v>
      </c>
      <c r="F131" s="1133">
        <f t="shared" si="244"/>
        <v>0.4468365574417687</v>
      </c>
      <c r="G131" s="1133">
        <f t="shared" si="244"/>
        <v>0.30989040663245165</v>
      </c>
      <c r="H131" s="1133">
        <f t="shared" si="244"/>
        <v>0.15948594551914724</v>
      </c>
      <c r="I131" s="1135"/>
      <c r="J131" s="1133">
        <f>J$110*(J61-J39)/($J61-$J39)</f>
        <v>1</v>
      </c>
      <c r="K131" s="1133">
        <f t="shared" ref="K131:P131" si="245">K$110*(K61-K39)/($J61-$J39)</f>
        <v>0.51612867212895985</v>
      </c>
      <c r="L131" s="1133">
        <f t="shared" si="245"/>
        <v>1.0021925784552712</v>
      </c>
      <c r="M131" s="1134">
        <f t="shared" si="245"/>
        <v>0.23160904484347639</v>
      </c>
      <c r="N131" s="1133">
        <f t="shared" si="245"/>
        <v>0.46426500004856375</v>
      </c>
      <c r="O131" s="1133">
        <f t="shared" si="245"/>
        <v>0.11324411373832138</v>
      </c>
      <c r="P131" s="1133">
        <f t="shared" si="245"/>
        <v>5.4885169651924047E-2</v>
      </c>
      <c r="Q131" s="1135"/>
      <c r="R131" s="1133">
        <f>R$110*(R61-R39)/($R61-$R39)</f>
        <v>1</v>
      </c>
      <c r="S131" s="1133">
        <f t="shared" ref="S131:X131" si="246">S$110*(S61-S39)/($R61-$R39)</f>
        <v>0.42774321344038113</v>
      </c>
      <c r="T131" s="1133">
        <f t="shared" si="246"/>
        <v>0.81969865268890385</v>
      </c>
      <c r="U131" s="1133">
        <f t="shared" si="246"/>
        <v>0.18719125139158296</v>
      </c>
      <c r="V131" s="1133">
        <f t="shared" si="246"/>
        <v>0.37430634659079814</v>
      </c>
      <c r="W131" s="1133">
        <f t="shared" si="246"/>
        <v>9.1039806640634588E-2</v>
      </c>
      <c r="X131" s="1133">
        <f t="shared" si="246"/>
        <v>4.4105379634574386E-2</v>
      </c>
      <c r="Z131" s="1133">
        <f>Z$110*(Z61-Z39)/($R61-$R39)</f>
        <v>0.80321068339788249</v>
      </c>
      <c r="AA131" s="1133">
        <f t="shared" ref="AA131:AF131" si="247">AA$110*(AA61-AA39)/($R61-$R39)</f>
        <v>0.26420593049889346</v>
      </c>
      <c r="AB131" s="1133">
        <f t="shared" si="247"/>
        <v>0.47497977726389018</v>
      </c>
      <c r="AC131" s="1133">
        <f t="shared" si="247"/>
        <v>9.7717945925488242E-2</v>
      </c>
      <c r="AD131" s="1133">
        <f t="shared" si="247"/>
        <v>0.1893105009341037</v>
      </c>
      <c r="AE131" s="1133">
        <f t="shared" si="247"/>
        <v>4.4223563977761865E-2</v>
      </c>
      <c r="AF131" s="1133">
        <f t="shared" si="247"/>
        <v>2.1806557336761276E-2</v>
      </c>
      <c r="AK131" s="1133">
        <f>AK$110*(AK61-AK39)/($R61-$R39)</f>
        <v>-1.5734641311907858</v>
      </c>
      <c r="AL131" s="1133">
        <f t="shared" ref="AL131:AQ131" si="248">AL$110*(AL61-AL39)/($R61-$R39)</f>
        <v>-0.62240851634351035</v>
      </c>
      <c r="AM131" s="1133">
        <f t="shared" si="248"/>
        <v>-0.45604470454496965</v>
      </c>
      <c r="AN131" s="1133">
        <f t="shared" si="248"/>
        <v>-0.23038558956666866</v>
      </c>
      <c r="AO131" s="1133">
        <f t="shared" si="248"/>
        <v>-0.17245176269558082</v>
      </c>
      <c r="AP131" s="1133">
        <f t="shared" si="248"/>
        <v>-8.8277902285438109E-2</v>
      </c>
      <c r="AQ131" s="1133">
        <f t="shared" si="248"/>
        <v>-3.5491973432132735E-2</v>
      </c>
      <c r="AS131" s="1133">
        <f>AS$110*(AS61-AS39)/($R61-$R39)</f>
        <v>-1.5733584363540074</v>
      </c>
      <c r="AT131" s="1133">
        <f t="shared" ref="AT131:AY131" si="249">AT$110*(AT61-AT39)/($R61-$R39)</f>
        <v>-0.53575972475113376</v>
      </c>
      <c r="AU131" s="1133">
        <f t="shared" si="249"/>
        <v>-0.38333411324509892</v>
      </c>
      <c r="AV131" s="1133">
        <f t="shared" si="249"/>
        <v>-0.18445542704790382</v>
      </c>
      <c r="AW131" s="1133">
        <f t="shared" si="249"/>
        <v>-0.13544123501183783</v>
      </c>
      <c r="AX131" s="1133">
        <f t="shared" si="249"/>
        <v>-6.6975182076949594E-2</v>
      </c>
      <c r="AY131" s="1133">
        <f t="shared" si="249"/>
        <v>-2.6558844306596996E-2</v>
      </c>
    </row>
    <row r="132" spans="1:51" x14ac:dyDescent="0.25">
      <c r="A132" s="33"/>
    </row>
    <row r="133" spans="1:51" s="33" customFormat="1" x14ac:dyDescent="0.25">
      <c r="A133" s="1127" t="s">
        <v>1572</v>
      </c>
      <c r="E133" s="1128">
        <f>E$110*(E60-E6)/(B60-B6)</f>
        <v>0.38108962873453062</v>
      </c>
      <c r="M133" s="1128">
        <f>M$110*(M60-M6)/(J60-J6)</f>
        <v>0.17193305004055909</v>
      </c>
      <c r="AC133" s="1128">
        <f>AC$110*(AC60-AC6)/(Z60-Z6)</f>
        <v>9.3033830276465931E-2</v>
      </c>
      <c r="AN133" s="1128">
        <f>AN$110*(AN60-AN6)/(AK60-AK6)</f>
        <v>0.26040164305437463</v>
      </c>
      <c r="AV133" s="1128">
        <f>AV$110*(AV60-AV6)/(AS60-AS6)</f>
        <v>0.20005465400726222</v>
      </c>
    </row>
    <row r="134" spans="1:51" x14ac:dyDescent="0.25">
      <c r="A134" s="713" t="s">
        <v>1573</v>
      </c>
      <c r="C134" s="997">
        <f>C$110*(C60-C25)/($B60-$B25)</f>
        <v>1.2055524657026326</v>
      </c>
      <c r="E134" s="997">
        <f>E$110*(E60-E25)/($B60-$B25)</f>
        <v>0.72833518724508706</v>
      </c>
      <c r="K134" s="1128"/>
      <c r="M134" s="997">
        <f>M$110*(M60-M25)/($J60-$J25)</f>
        <v>0.24982840304563284</v>
      </c>
      <c r="AA134" s="997">
        <f>AA$110*(AA60-AA25)/($Z60-$Z25)</f>
        <v>0.34245650215630691</v>
      </c>
      <c r="AC134" s="997">
        <f>AC$110*(AC60-AC25)/($Z60-$Z25)</f>
        <v>0.11822236902584221</v>
      </c>
      <c r="AN134" s="997">
        <f>AN$110*(AN60-AN25)/(AK60-AK25)</f>
        <v>0.36295046991457064</v>
      </c>
      <c r="AV134" s="997">
        <f>AV$110*(AV60-AV25)/(AS60-AS25)</f>
        <v>0.27264296765612717</v>
      </c>
    </row>
    <row r="135" spans="1:51" s="33" customFormat="1" x14ac:dyDescent="0.25">
      <c r="A135" s="1132" t="s">
        <v>136</v>
      </c>
      <c r="E135" s="1134">
        <f>E$110*(E60-E39)/(B60-B39)</f>
        <v>0.57302379746835441</v>
      </c>
      <c r="M135" s="1134">
        <f>M$110*(M60-M39)/(J60-J39)</f>
        <v>0.2464203623464146</v>
      </c>
      <c r="AC135" s="1134">
        <f>AC$110*(AC60-AC39)/(Z60-Z39)</f>
        <v>0.12869840551664291</v>
      </c>
      <c r="AN135" s="1134">
        <f>AN$110*(AN60-AN39)/(AK60-AK39)</f>
        <v>0.359311806441523</v>
      </c>
      <c r="AV135" s="1134">
        <f>AV$110*(AV60-AV39)/(AS60-AS39)</f>
        <v>0.26825447295064342</v>
      </c>
    </row>
    <row r="138" spans="1:51" x14ac:dyDescent="0.25">
      <c r="A138" s="263" t="s">
        <v>627</v>
      </c>
    </row>
  </sheetData>
  <hyperlinks>
    <hyperlink ref="D1" location="Index!A1" display="Index"/>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AP155"/>
  <sheetViews>
    <sheetView workbookViewId="0">
      <selection activeCell="L1" sqref="L1"/>
    </sheetView>
  </sheetViews>
  <sheetFormatPr defaultColWidth="9.109375" defaultRowHeight="14.4" x14ac:dyDescent="0.3"/>
  <cols>
    <col min="1" max="1" width="12" style="1011" customWidth="1"/>
    <col min="2" max="2" width="8.88671875" style="1011" customWidth="1"/>
    <col min="3" max="9" width="8.109375" style="1011" customWidth="1"/>
    <col min="10" max="10" width="8.88671875" style="1011" customWidth="1"/>
    <col min="11" max="14" width="9.77734375" style="1011" customWidth="1"/>
    <col min="15" max="15" width="6.77734375" style="1011" customWidth="1"/>
    <col min="16" max="16" width="14.109375" style="1011" customWidth="1"/>
    <col min="17" max="17" width="10.5546875" style="1011" customWidth="1"/>
    <col min="18" max="18" width="7.88671875" style="1011" customWidth="1"/>
    <col min="19" max="23" width="8.44140625" style="1011" customWidth="1"/>
    <col min="24" max="24" width="9.21875" style="1011" customWidth="1"/>
    <col min="25" max="29" width="9.109375" style="1011"/>
    <col min="30" max="30" width="8.44140625" style="1011" customWidth="1"/>
    <col min="31" max="33" width="9.109375" style="1011"/>
    <col min="34" max="34" width="14.109375" style="1011" customWidth="1"/>
    <col min="35" max="16384" width="9.109375" style="1011"/>
  </cols>
  <sheetData>
    <row r="1" spans="1:38" ht="15.6" x14ac:dyDescent="0.3">
      <c r="A1" s="75" t="s">
        <v>1812</v>
      </c>
      <c r="B1" s="75"/>
      <c r="C1" s="75"/>
      <c r="D1" s="75"/>
      <c r="E1" s="75"/>
      <c r="F1" s="75"/>
      <c r="G1" s="75"/>
      <c r="H1" s="75"/>
      <c r="L1" s="463" t="s">
        <v>504</v>
      </c>
    </row>
    <row r="2" spans="1:38" x14ac:dyDescent="0.3">
      <c r="A2" s="11"/>
      <c r="B2" s="11"/>
      <c r="C2" s="11"/>
      <c r="D2" s="11"/>
      <c r="E2" s="11"/>
      <c r="F2" s="11"/>
      <c r="G2" s="11"/>
      <c r="H2" s="11"/>
      <c r="I2" s="11"/>
      <c r="J2" s="11"/>
      <c r="K2" s="11"/>
      <c r="L2" s="11"/>
      <c r="M2" s="11"/>
      <c r="N2" s="11"/>
      <c r="O2" s="11"/>
      <c r="P2" s="11"/>
      <c r="Q2" s="1157" t="s">
        <v>1813</v>
      </c>
      <c r="R2" s="11">
        <v>1</v>
      </c>
      <c r="S2" s="11">
        <f>R2+1</f>
        <v>2</v>
      </c>
      <c r="T2" s="11">
        <f t="shared" ref="T2:AC2" si="0">S2+1</f>
        <v>3</v>
      </c>
      <c r="U2" s="11">
        <f t="shared" si="0"/>
        <v>4</v>
      </c>
      <c r="V2" s="11">
        <f t="shared" si="0"/>
        <v>5</v>
      </c>
      <c r="W2" s="11">
        <f t="shared" si="0"/>
        <v>6</v>
      </c>
      <c r="X2" s="11">
        <f t="shared" si="0"/>
        <v>7</v>
      </c>
      <c r="Y2" s="11">
        <f t="shared" si="0"/>
        <v>8</v>
      </c>
      <c r="Z2" s="11">
        <f t="shared" si="0"/>
        <v>9</v>
      </c>
      <c r="AA2" s="11">
        <f t="shared" si="0"/>
        <v>10</v>
      </c>
      <c r="AB2" s="11">
        <f t="shared" si="0"/>
        <v>11</v>
      </c>
      <c r="AC2" s="11">
        <f t="shared" si="0"/>
        <v>12</v>
      </c>
      <c r="AE2" s="12"/>
      <c r="AF2" s="12"/>
      <c r="AG2" s="12"/>
      <c r="AH2" s="12"/>
      <c r="AI2" s="12"/>
      <c r="AJ2" s="12"/>
      <c r="AL2" s="75"/>
    </row>
    <row r="3" spans="1:38" x14ac:dyDescent="0.3">
      <c r="A3" s="12"/>
      <c r="B3" s="12"/>
      <c r="C3" s="1474" t="s">
        <v>2174</v>
      </c>
      <c r="D3" s="1474"/>
      <c r="E3" s="1474"/>
      <c r="F3" s="1474"/>
      <c r="G3" s="1474"/>
      <c r="H3" s="1474"/>
      <c r="I3" s="1474"/>
      <c r="J3" s="1474"/>
      <c r="K3" s="1474"/>
      <c r="L3" s="1474"/>
      <c r="M3" s="1474"/>
      <c r="N3" s="1474"/>
      <c r="O3" s="1007"/>
      <c r="P3" s="1007"/>
      <c r="Q3" s="1007"/>
      <c r="R3" s="1474" t="s">
        <v>1814</v>
      </c>
      <c r="S3" s="1474"/>
      <c r="T3" s="1474"/>
      <c r="U3" s="1474"/>
      <c r="V3" s="1474"/>
      <c r="W3" s="1474"/>
      <c r="X3" s="1474"/>
      <c r="Y3" s="1474"/>
      <c r="Z3" s="1474"/>
      <c r="AA3" s="1474"/>
      <c r="AB3" s="1474"/>
      <c r="AC3" s="1474"/>
      <c r="AE3" s="1475"/>
      <c r="AF3" s="1475"/>
      <c r="AG3" s="1475"/>
      <c r="AH3" s="1475"/>
      <c r="AI3" s="1475"/>
      <c r="AJ3" s="1475"/>
    </row>
    <row r="4" spans="1:38" x14ac:dyDescent="0.3">
      <c r="A4" s="41"/>
      <c r="B4" s="288" t="s">
        <v>1815</v>
      </c>
      <c r="C4" s="288" t="s">
        <v>1816</v>
      </c>
      <c r="D4" s="288" t="s">
        <v>1817</v>
      </c>
      <c r="E4" s="288" t="s">
        <v>485</v>
      </c>
      <c r="F4" s="288" t="s">
        <v>490</v>
      </c>
      <c r="G4" s="288" t="s">
        <v>1818</v>
      </c>
      <c r="H4" s="288" t="s">
        <v>487</v>
      </c>
      <c r="I4" s="288" t="s">
        <v>19</v>
      </c>
      <c r="J4" s="288" t="s">
        <v>20</v>
      </c>
      <c r="K4" s="288" t="s">
        <v>21</v>
      </c>
      <c r="L4" s="288" t="s">
        <v>225</v>
      </c>
      <c r="M4" s="288" t="s">
        <v>22</v>
      </c>
      <c r="N4" s="288" t="s">
        <v>23</v>
      </c>
      <c r="O4" s="329"/>
      <c r="P4" s="329"/>
      <c r="Q4" s="288" t="s">
        <v>1815</v>
      </c>
      <c r="R4" s="288" t="s">
        <v>1816</v>
      </c>
      <c r="S4" s="288" t="s">
        <v>1817</v>
      </c>
      <c r="T4" s="288" t="s">
        <v>485</v>
      </c>
      <c r="U4" s="288" t="s">
        <v>490</v>
      </c>
      <c r="V4" s="288" t="s">
        <v>1818</v>
      </c>
      <c r="W4" s="288" t="s">
        <v>487</v>
      </c>
      <c r="X4" s="288" t="s">
        <v>19</v>
      </c>
      <c r="Y4" s="288" t="s">
        <v>20</v>
      </c>
      <c r="Z4" s="288" t="s">
        <v>21</v>
      </c>
      <c r="AA4" s="288" t="s">
        <v>225</v>
      </c>
      <c r="AB4" s="288" t="s">
        <v>22</v>
      </c>
      <c r="AC4" s="288" t="s">
        <v>23</v>
      </c>
      <c r="AE4" s="329"/>
      <c r="AF4" s="329"/>
      <c r="AG4" s="329"/>
      <c r="AH4" s="329"/>
      <c r="AI4" s="329"/>
      <c r="AJ4" s="329"/>
    </row>
    <row r="5" spans="1:38" x14ac:dyDescent="0.3">
      <c r="A5" s="268">
        <v>1960</v>
      </c>
      <c r="B5" s="1158">
        <f>B7</f>
        <v>0.49680000000000002</v>
      </c>
      <c r="C5" s="1158">
        <f t="shared" ref="C5:N5" si="1">C7</f>
        <v>0.1459</v>
      </c>
      <c r="D5" s="1158">
        <f t="shared" si="1"/>
        <v>0.1399</v>
      </c>
      <c r="E5" s="1158">
        <f t="shared" si="1"/>
        <v>4.82E-2</v>
      </c>
      <c r="F5" s="1158">
        <f t="shared" si="1"/>
        <v>3.8800000000000001E-2</v>
      </c>
      <c r="G5" s="1158">
        <f t="shared" si="1"/>
        <v>5.9700000000000003E-2</v>
      </c>
      <c r="H5" s="1158">
        <f t="shared" si="1"/>
        <v>2.5899999999999999E-2</v>
      </c>
      <c r="I5" s="1158">
        <f t="shared" si="1"/>
        <v>1.44E-2</v>
      </c>
      <c r="J5" s="1158">
        <f t="shared" si="1"/>
        <v>2.0500000000000001E-2</v>
      </c>
      <c r="K5" s="1158">
        <f t="shared" si="1"/>
        <v>4.1999999999999997E-3</v>
      </c>
      <c r="L5" s="1158">
        <f t="shared" si="1"/>
        <v>4.1999999999999997E-3</v>
      </c>
      <c r="M5" s="1158">
        <f t="shared" si="1"/>
        <v>1.2999999999999999E-3</v>
      </c>
      <c r="N5" s="1158">
        <f t="shared" si="1"/>
        <v>2.0000000000000001E-4</v>
      </c>
      <c r="O5" s="1159"/>
      <c r="P5" s="1159"/>
      <c r="Q5" s="1158">
        <f>Q7</f>
        <v>0.53310000000000013</v>
      </c>
      <c r="R5" s="1158">
        <f t="shared" ref="R5:AC5" si="2">R7</f>
        <v>0.152</v>
      </c>
      <c r="S5" s="1158">
        <f t="shared" si="2"/>
        <v>0.1273</v>
      </c>
      <c r="T5" s="1158">
        <f t="shared" si="2"/>
        <v>4.1500000000000002E-2</v>
      </c>
      <c r="U5" s="1158">
        <f t="shared" si="2"/>
        <v>3.3500000000000002E-2</v>
      </c>
      <c r="V5" s="1158">
        <f t="shared" si="2"/>
        <v>5.0700000000000002E-2</v>
      </c>
      <c r="W5" s="1158">
        <f t="shared" si="2"/>
        <v>2.2499999999999999E-2</v>
      </c>
      <c r="X5" s="1158">
        <f t="shared" si="2"/>
        <v>1.23E-2</v>
      </c>
      <c r="Y5" s="1158">
        <f t="shared" si="2"/>
        <v>1.8499999999999999E-2</v>
      </c>
      <c r="Z5" s="1158">
        <f t="shared" si="2"/>
        <v>3.5999999999999999E-3</v>
      </c>
      <c r="AA5" s="1158">
        <f t="shared" si="2"/>
        <v>3.7000000000000002E-3</v>
      </c>
      <c r="AB5" s="1158">
        <f t="shared" si="2"/>
        <v>1.1000000000000001E-3</v>
      </c>
      <c r="AC5" s="1158">
        <f t="shared" si="2"/>
        <v>2.0000000000000001E-4</v>
      </c>
      <c r="AD5" s="1037">
        <f>SUM(Q5:AC5)</f>
        <v>1</v>
      </c>
      <c r="AE5" s="1160"/>
      <c r="AF5" s="1011" t="str">
        <f>CONCATENATE("%let mcnf",A5,"=",ROUND(B5,4),"; %let ssb50_",A5,"=",ROUND(Q5+R5+S5+T5,4),";")</f>
        <v>%let mcnf1960=0.4968; %let ssb50_1960=0.8539;</v>
      </c>
      <c r="AG5" s="1160"/>
      <c r="AH5" s="1160"/>
      <c r="AI5" s="1161"/>
      <c r="AJ5" s="1161"/>
    </row>
    <row r="6" spans="1:38" x14ac:dyDescent="0.3">
      <c r="A6" s="268">
        <v>1961</v>
      </c>
      <c r="B6" s="268"/>
      <c r="C6" s="268"/>
      <c r="D6" s="268"/>
      <c r="E6" s="268"/>
      <c r="F6" s="268"/>
      <c r="G6" s="268"/>
      <c r="H6" s="268"/>
      <c r="X6" s="1162"/>
      <c r="Y6" s="1162"/>
      <c r="Z6" s="1162"/>
      <c r="AA6" s="1162"/>
      <c r="AB6" s="1163"/>
      <c r="AC6" s="1163"/>
      <c r="AE6" s="12"/>
      <c r="AF6" s="1011" t="str">
        <f t="shared" ref="AF6:AF60" si="3">CONCATENATE("%let mcnf",A6,"=",ROUND(B6,4),";")</f>
        <v>%let mcnf1961=0;</v>
      </c>
      <c r="AG6" s="12"/>
      <c r="AH6" s="12"/>
      <c r="AI6" s="12"/>
      <c r="AJ6" s="12"/>
    </row>
    <row r="7" spans="1:38" x14ac:dyDescent="0.3">
      <c r="A7" s="268">
        <v>1962</v>
      </c>
      <c r="B7" s="1158">
        <f>1-SUM(C7:N7)</f>
        <v>0.49680000000000002</v>
      </c>
      <c r="C7" s="1158">
        <f>ROUND(R76/$AH76,4)</f>
        <v>0.1459</v>
      </c>
      <c r="D7" s="1158">
        <f t="shared" ref="D7:N7" si="4">ROUND(S76/$AH76,4)</f>
        <v>0.1399</v>
      </c>
      <c r="E7" s="1158">
        <f t="shared" si="4"/>
        <v>4.82E-2</v>
      </c>
      <c r="F7" s="1158">
        <f t="shared" si="4"/>
        <v>3.8800000000000001E-2</v>
      </c>
      <c r="G7" s="1158">
        <f t="shared" si="4"/>
        <v>5.9700000000000003E-2</v>
      </c>
      <c r="H7" s="1158">
        <f t="shared" si="4"/>
        <v>2.5899999999999999E-2</v>
      </c>
      <c r="I7" s="1158">
        <f t="shared" si="4"/>
        <v>1.44E-2</v>
      </c>
      <c r="J7" s="1158">
        <f t="shared" si="4"/>
        <v>2.0500000000000001E-2</v>
      </c>
      <c r="K7" s="1158">
        <f t="shared" si="4"/>
        <v>4.1999999999999997E-3</v>
      </c>
      <c r="L7" s="1158">
        <f t="shared" si="4"/>
        <v>4.1999999999999997E-3</v>
      </c>
      <c r="M7" s="1158">
        <f t="shared" si="4"/>
        <v>1.2999999999999999E-3</v>
      </c>
      <c r="N7" s="1158">
        <f t="shared" si="4"/>
        <v>2.0000000000000001E-4</v>
      </c>
      <c r="O7" s="1159"/>
      <c r="P7" s="1159"/>
      <c r="Q7" s="1158">
        <f>1-SUM(R7:AC7)</f>
        <v>0.53310000000000013</v>
      </c>
      <c r="R7" s="1158">
        <f>ROUND(R$44*(R76/$AH76)/(R$113/$AH$113),4)</f>
        <v>0.152</v>
      </c>
      <c r="S7" s="1158">
        <f t="shared" ref="S7:AC9" si="5">ROUND(S$44*(S76/$AH76)/(S$113/$AH$113),4)</f>
        <v>0.1273</v>
      </c>
      <c r="T7" s="1158">
        <f t="shared" si="5"/>
        <v>4.1500000000000002E-2</v>
      </c>
      <c r="U7" s="1158">
        <f t="shared" si="5"/>
        <v>3.3500000000000002E-2</v>
      </c>
      <c r="V7" s="1158">
        <f t="shared" si="5"/>
        <v>5.0700000000000002E-2</v>
      </c>
      <c r="W7" s="1158">
        <f t="shared" si="5"/>
        <v>2.2499999999999999E-2</v>
      </c>
      <c r="X7" s="1158">
        <f t="shared" si="5"/>
        <v>1.23E-2</v>
      </c>
      <c r="Y7" s="1158">
        <f t="shared" si="5"/>
        <v>1.8499999999999999E-2</v>
      </c>
      <c r="Z7" s="1158">
        <f t="shared" si="5"/>
        <v>3.5999999999999999E-3</v>
      </c>
      <c r="AA7" s="1158">
        <f t="shared" si="5"/>
        <v>3.7000000000000002E-3</v>
      </c>
      <c r="AB7" s="1158">
        <f t="shared" si="5"/>
        <v>1.1000000000000001E-3</v>
      </c>
      <c r="AC7" s="1158">
        <f t="shared" si="5"/>
        <v>2.0000000000000001E-4</v>
      </c>
      <c r="AD7" s="29"/>
      <c r="AE7" s="1160"/>
      <c r="AF7" s="1011" t="str">
        <f t="shared" si="3"/>
        <v>%let mcnf1962=0.4968;</v>
      </c>
      <c r="AG7" s="1160"/>
      <c r="AH7" s="1160"/>
      <c r="AI7" s="1161"/>
      <c r="AJ7" s="1161"/>
    </row>
    <row r="8" spans="1:38" x14ac:dyDescent="0.3">
      <c r="A8" s="268">
        <v>1963</v>
      </c>
      <c r="B8" s="268"/>
      <c r="C8" s="268"/>
      <c r="D8" s="268"/>
      <c r="E8" s="268"/>
      <c r="F8" s="268"/>
      <c r="G8" s="268"/>
      <c r="H8" s="268"/>
      <c r="I8" s="73"/>
      <c r="J8" s="73"/>
      <c r="K8" s="73"/>
      <c r="L8" s="73"/>
      <c r="M8" s="1159"/>
      <c r="N8" s="1159"/>
      <c r="O8" s="1159"/>
      <c r="P8" s="1159"/>
      <c r="Q8" s="1159"/>
      <c r="X8" s="1162"/>
      <c r="Y8" s="1162"/>
      <c r="Z8" s="1162"/>
      <c r="AA8" s="1162"/>
      <c r="AB8" s="1163"/>
      <c r="AC8" s="1163"/>
      <c r="AE8" s="12"/>
      <c r="AF8" s="1011" t="str">
        <f t="shared" si="3"/>
        <v>%let mcnf1963=0;</v>
      </c>
      <c r="AG8" s="12"/>
      <c r="AH8" s="12"/>
      <c r="AI8" s="12"/>
      <c r="AJ8" s="12"/>
    </row>
    <row r="9" spans="1:38" x14ac:dyDescent="0.3">
      <c r="A9" s="268">
        <v>1964</v>
      </c>
      <c r="B9" s="1158">
        <f>1-SUM(C9:N9)</f>
        <v>0.50429999999999997</v>
      </c>
      <c r="C9" s="1158">
        <f t="shared" ref="C9:N9" si="6">ROUND(R78/$AH78,4)</f>
        <v>0.1391</v>
      </c>
      <c r="D9" s="1158">
        <f t="shared" si="6"/>
        <v>0.15629999999999999</v>
      </c>
      <c r="E9" s="1158">
        <f t="shared" si="6"/>
        <v>4.6100000000000002E-2</v>
      </c>
      <c r="F9" s="1158">
        <f t="shared" si="6"/>
        <v>3.6499999999999998E-2</v>
      </c>
      <c r="G9" s="1158">
        <f t="shared" si="6"/>
        <v>5.6000000000000001E-2</v>
      </c>
      <c r="H9" s="1158">
        <f t="shared" si="6"/>
        <v>2.3E-2</v>
      </c>
      <c r="I9" s="1158">
        <f t="shared" si="6"/>
        <v>1.1599999999999999E-2</v>
      </c>
      <c r="J9" s="1158">
        <f t="shared" si="6"/>
        <v>1.7100000000000001E-2</v>
      </c>
      <c r="K9" s="1158">
        <f t="shared" si="6"/>
        <v>4.0000000000000001E-3</v>
      </c>
      <c r="L9" s="1158">
        <f t="shared" si="6"/>
        <v>4.1000000000000003E-3</v>
      </c>
      <c r="M9" s="1158">
        <f t="shared" si="6"/>
        <v>1.6000000000000001E-3</v>
      </c>
      <c r="N9" s="1158">
        <f t="shared" si="6"/>
        <v>2.9999999999999997E-4</v>
      </c>
      <c r="O9" s="1159"/>
      <c r="P9" s="1159"/>
      <c r="Q9" s="1158">
        <f>1-SUM(R9:AC9)</f>
        <v>0.5401999999999999</v>
      </c>
      <c r="R9" s="1158">
        <f>ROUND(R$44*(R78/$AH78)/(R$113/$AH$113),4)</f>
        <v>0.1449</v>
      </c>
      <c r="S9" s="1158">
        <f t="shared" si="5"/>
        <v>0.14219999999999999</v>
      </c>
      <c r="T9" s="1158">
        <f t="shared" si="5"/>
        <v>3.9699999999999999E-2</v>
      </c>
      <c r="U9" s="1158">
        <f t="shared" si="5"/>
        <v>3.15E-2</v>
      </c>
      <c r="V9" s="1158">
        <f t="shared" si="5"/>
        <v>4.7500000000000001E-2</v>
      </c>
      <c r="W9" s="1158">
        <f t="shared" si="5"/>
        <v>2.01E-2</v>
      </c>
      <c r="X9" s="1158">
        <f t="shared" si="5"/>
        <v>0.01</v>
      </c>
      <c r="Y9" s="1158">
        <f t="shared" si="5"/>
        <v>1.54E-2</v>
      </c>
      <c r="Z9" s="1158">
        <f t="shared" si="5"/>
        <v>3.3999999999999998E-3</v>
      </c>
      <c r="AA9" s="1158">
        <f t="shared" si="5"/>
        <v>3.5999999999999999E-3</v>
      </c>
      <c r="AB9" s="1158">
        <f t="shared" si="5"/>
        <v>1.2999999999999999E-3</v>
      </c>
      <c r="AC9" s="1158">
        <f t="shared" si="5"/>
        <v>2.0000000000000001E-4</v>
      </c>
      <c r="AE9" s="1160"/>
      <c r="AF9" s="1011" t="str">
        <f t="shared" si="3"/>
        <v>%let mcnf1964=0.5043;</v>
      </c>
      <c r="AG9" s="1160"/>
      <c r="AH9" s="1160"/>
      <c r="AI9" s="1161"/>
      <c r="AJ9" s="1161"/>
    </row>
    <row r="10" spans="1:38" x14ac:dyDescent="0.3">
      <c r="A10" s="268">
        <v>1965</v>
      </c>
      <c r="B10" s="268"/>
      <c r="C10" s="268"/>
      <c r="D10" s="268"/>
      <c r="E10" s="268"/>
      <c r="F10" s="268"/>
      <c r="G10" s="268"/>
      <c r="H10" s="268"/>
      <c r="I10" s="73"/>
      <c r="J10" s="73"/>
      <c r="K10" s="73"/>
      <c r="L10" s="73"/>
      <c r="M10" s="1159"/>
      <c r="N10" s="1159"/>
      <c r="O10" s="1159"/>
      <c r="P10" s="1159"/>
      <c r="Q10" s="1159"/>
      <c r="X10" s="1162"/>
      <c r="Y10" s="1162"/>
      <c r="Z10" s="1162"/>
      <c r="AA10" s="1162"/>
      <c r="AB10" s="1163"/>
      <c r="AC10" s="1163"/>
      <c r="AE10" s="12"/>
      <c r="AF10" s="1011" t="str">
        <f t="shared" si="3"/>
        <v>%let mcnf1965=0;</v>
      </c>
      <c r="AG10" s="12"/>
      <c r="AH10" s="12"/>
      <c r="AI10" s="12"/>
      <c r="AJ10" s="12"/>
    </row>
    <row r="11" spans="1:38" x14ac:dyDescent="0.3">
      <c r="A11" s="268">
        <v>1966</v>
      </c>
      <c r="B11" s="1158">
        <f t="shared" ref="B11:B59" si="7">1-SUM(C11:N11)</f>
        <v>0.46010000000000006</v>
      </c>
      <c r="C11" s="1158">
        <f t="shared" ref="C11:N26" si="8">ROUND(R80/$AH80,4)</f>
        <v>0.123</v>
      </c>
      <c r="D11" s="1158">
        <f t="shared" si="8"/>
        <v>0.17680000000000001</v>
      </c>
      <c r="E11" s="1158">
        <f t="shared" si="8"/>
        <v>6.0600000000000001E-2</v>
      </c>
      <c r="F11" s="1158">
        <f t="shared" si="8"/>
        <v>5.4199999999999998E-2</v>
      </c>
      <c r="G11" s="1158">
        <f t="shared" si="8"/>
        <v>5.6000000000000001E-2</v>
      </c>
      <c r="H11" s="1158">
        <f t="shared" si="8"/>
        <v>2.3099999999999999E-2</v>
      </c>
      <c r="I11" s="1158">
        <f t="shared" si="8"/>
        <v>1.35E-2</v>
      </c>
      <c r="J11" s="1158">
        <f t="shared" si="8"/>
        <v>2.1999999999999999E-2</v>
      </c>
      <c r="K11" s="1158">
        <f t="shared" si="8"/>
        <v>4.5999999999999999E-3</v>
      </c>
      <c r="L11" s="1158">
        <f t="shared" si="8"/>
        <v>4.3E-3</v>
      </c>
      <c r="M11" s="1158">
        <f t="shared" si="8"/>
        <v>1.5E-3</v>
      </c>
      <c r="N11" s="1158">
        <f t="shared" si="8"/>
        <v>2.9999999999999997E-4</v>
      </c>
      <c r="O11" s="1159"/>
      <c r="P11" s="1159"/>
      <c r="Q11" s="1158">
        <f>1-SUM(R11:AC11)</f>
        <v>0.50380000000000003</v>
      </c>
      <c r="R11" s="1158">
        <f t="shared" ref="R11:AC26" si="9">ROUND(R$44*(R80/$AH80)/(R$113/$AH$113),4)</f>
        <v>0.12809999999999999</v>
      </c>
      <c r="S11" s="1158">
        <f t="shared" si="9"/>
        <v>0.1608</v>
      </c>
      <c r="T11" s="1158">
        <f t="shared" si="9"/>
        <v>5.21E-2</v>
      </c>
      <c r="U11" s="1158">
        <f t="shared" si="9"/>
        <v>4.6800000000000001E-2</v>
      </c>
      <c r="V11" s="1158">
        <f t="shared" si="9"/>
        <v>4.7500000000000001E-2</v>
      </c>
      <c r="W11" s="1158">
        <f t="shared" si="9"/>
        <v>2.0199999999999999E-2</v>
      </c>
      <c r="X11" s="1158">
        <f t="shared" si="9"/>
        <v>1.1599999999999999E-2</v>
      </c>
      <c r="Y11" s="1158">
        <f t="shared" si="9"/>
        <v>1.9800000000000002E-2</v>
      </c>
      <c r="Z11" s="1158">
        <f t="shared" si="9"/>
        <v>4.0000000000000001E-3</v>
      </c>
      <c r="AA11" s="1158">
        <f t="shared" si="9"/>
        <v>3.8E-3</v>
      </c>
      <c r="AB11" s="1158">
        <f t="shared" si="9"/>
        <v>1.2999999999999999E-3</v>
      </c>
      <c r="AC11" s="1158">
        <f t="shared" si="9"/>
        <v>2.0000000000000001E-4</v>
      </c>
      <c r="AE11" s="1160"/>
      <c r="AF11" s="1011" t="str">
        <f t="shared" si="3"/>
        <v>%let mcnf1966=0.4601;</v>
      </c>
      <c r="AG11" s="1160"/>
      <c r="AH11" s="1160"/>
      <c r="AI11" s="1161"/>
      <c r="AJ11" s="1161"/>
    </row>
    <row r="12" spans="1:38" x14ac:dyDescent="0.3">
      <c r="A12" s="268">
        <f>A11+1</f>
        <v>1967</v>
      </c>
      <c r="B12" s="1158">
        <f t="shared" si="7"/>
        <v>0.46570000000000022</v>
      </c>
      <c r="C12" s="1158">
        <f t="shared" si="8"/>
        <v>0.1229</v>
      </c>
      <c r="D12" s="1158">
        <f t="shared" si="8"/>
        <v>0.1822</v>
      </c>
      <c r="E12" s="1158">
        <f t="shared" si="8"/>
        <v>6.0900000000000003E-2</v>
      </c>
      <c r="F12" s="1158">
        <f t="shared" si="8"/>
        <v>4.1500000000000002E-2</v>
      </c>
      <c r="G12" s="1158">
        <f t="shared" si="8"/>
        <v>5.8500000000000003E-2</v>
      </c>
      <c r="H12" s="1158">
        <f t="shared" si="8"/>
        <v>2.3400000000000001E-2</v>
      </c>
      <c r="I12" s="1158">
        <f t="shared" si="8"/>
        <v>1.35E-2</v>
      </c>
      <c r="J12" s="1158">
        <f t="shared" si="8"/>
        <v>2.12E-2</v>
      </c>
      <c r="K12" s="1158">
        <f t="shared" si="8"/>
        <v>4.1999999999999997E-3</v>
      </c>
      <c r="L12" s="1158">
        <f t="shared" si="8"/>
        <v>4.3E-3</v>
      </c>
      <c r="M12" s="1158">
        <f t="shared" si="8"/>
        <v>1.5E-3</v>
      </c>
      <c r="N12" s="1158">
        <f t="shared" si="8"/>
        <v>2.0000000000000001E-4</v>
      </c>
      <c r="O12" s="1159"/>
      <c r="P12" s="1159"/>
      <c r="Q12" s="1158">
        <f t="shared" ref="Q12:Q43" si="10">1-SUM(R12:AC12)</f>
        <v>0.50839999999999996</v>
      </c>
      <c r="R12" s="1158">
        <f t="shared" si="9"/>
        <v>0.128</v>
      </c>
      <c r="S12" s="1158">
        <f t="shared" si="9"/>
        <v>0.1658</v>
      </c>
      <c r="T12" s="1158">
        <f t="shared" si="9"/>
        <v>5.2400000000000002E-2</v>
      </c>
      <c r="U12" s="1158">
        <f t="shared" si="9"/>
        <v>3.5799999999999998E-2</v>
      </c>
      <c r="V12" s="1158">
        <f t="shared" si="9"/>
        <v>4.9700000000000001E-2</v>
      </c>
      <c r="W12" s="1158">
        <f t="shared" si="9"/>
        <v>2.0400000000000001E-2</v>
      </c>
      <c r="X12" s="1158">
        <f t="shared" si="9"/>
        <v>1.1599999999999999E-2</v>
      </c>
      <c r="Y12" s="1158">
        <f t="shared" si="9"/>
        <v>1.9099999999999999E-2</v>
      </c>
      <c r="Z12" s="1158">
        <f t="shared" si="9"/>
        <v>3.5999999999999999E-3</v>
      </c>
      <c r="AA12" s="1158">
        <f t="shared" si="9"/>
        <v>3.8E-3</v>
      </c>
      <c r="AB12" s="1158">
        <f t="shared" si="9"/>
        <v>1.1999999999999999E-3</v>
      </c>
      <c r="AC12" s="1158">
        <f t="shared" si="9"/>
        <v>2.0000000000000001E-4</v>
      </c>
      <c r="AE12" s="1160"/>
      <c r="AF12" s="1011" t="str">
        <f t="shared" si="3"/>
        <v>%let mcnf1967=0.4657;</v>
      </c>
      <c r="AG12" s="1160"/>
      <c r="AH12" s="1160"/>
      <c r="AI12" s="1161"/>
      <c r="AJ12" s="1161"/>
    </row>
    <row r="13" spans="1:38" x14ac:dyDescent="0.3">
      <c r="A13" s="268">
        <f t="shared" ref="A13:A60" si="11">A12+1</f>
        <v>1968</v>
      </c>
      <c r="B13" s="1158">
        <f t="shared" si="7"/>
        <v>0.4416000000000001</v>
      </c>
      <c r="C13" s="1158">
        <f t="shared" si="8"/>
        <v>0.13039999999999999</v>
      </c>
      <c r="D13" s="1158">
        <f t="shared" si="8"/>
        <v>0.18459999999999999</v>
      </c>
      <c r="E13" s="1158">
        <f t="shared" si="8"/>
        <v>5.45E-2</v>
      </c>
      <c r="F13" s="1158">
        <f t="shared" si="8"/>
        <v>4.99E-2</v>
      </c>
      <c r="G13" s="1158">
        <f t="shared" si="8"/>
        <v>6.5199999999999994E-2</v>
      </c>
      <c r="H13" s="1158">
        <f t="shared" si="8"/>
        <v>2.7E-2</v>
      </c>
      <c r="I13" s="1158">
        <f t="shared" si="8"/>
        <v>1.4200000000000001E-2</v>
      </c>
      <c r="J13" s="1158">
        <f t="shared" si="8"/>
        <v>2.1000000000000001E-2</v>
      </c>
      <c r="K13" s="1158">
        <f t="shared" si="8"/>
        <v>5.1000000000000004E-3</v>
      </c>
      <c r="L13" s="1158">
        <f t="shared" si="8"/>
        <v>4.4000000000000003E-3</v>
      </c>
      <c r="M13" s="1158">
        <f t="shared" si="8"/>
        <v>1.8E-3</v>
      </c>
      <c r="N13" s="1158">
        <f t="shared" si="8"/>
        <v>2.9999999999999997E-4</v>
      </c>
      <c r="O13" s="1159"/>
      <c r="P13" s="1159"/>
      <c r="Q13" s="1158">
        <f t="shared" si="10"/>
        <v>0.48640000000000017</v>
      </c>
      <c r="R13" s="1158">
        <f t="shared" si="9"/>
        <v>0.13589999999999999</v>
      </c>
      <c r="S13" s="1158">
        <f t="shared" si="9"/>
        <v>0.16789999999999999</v>
      </c>
      <c r="T13" s="1158">
        <f t="shared" si="9"/>
        <v>4.6899999999999997E-2</v>
      </c>
      <c r="U13" s="1158">
        <f t="shared" si="9"/>
        <v>4.3099999999999999E-2</v>
      </c>
      <c r="V13" s="1158">
        <f t="shared" si="9"/>
        <v>5.5300000000000002E-2</v>
      </c>
      <c r="W13" s="1158">
        <f t="shared" si="9"/>
        <v>2.3599999999999999E-2</v>
      </c>
      <c r="X13" s="1158">
        <f t="shared" si="9"/>
        <v>1.2200000000000001E-2</v>
      </c>
      <c r="Y13" s="1158">
        <f t="shared" si="9"/>
        <v>1.89E-2</v>
      </c>
      <c r="Z13" s="1158">
        <f t="shared" si="9"/>
        <v>4.3E-3</v>
      </c>
      <c r="AA13" s="1158">
        <f t="shared" si="9"/>
        <v>3.8E-3</v>
      </c>
      <c r="AB13" s="1158">
        <f t="shared" si="9"/>
        <v>1.5E-3</v>
      </c>
      <c r="AC13" s="1158">
        <f t="shared" si="9"/>
        <v>2.0000000000000001E-4</v>
      </c>
      <c r="AE13" s="1160"/>
      <c r="AF13" s="1011" t="str">
        <f t="shared" si="3"/>
        <v>%let mcnf1968=0.4416;</v>
      </c>
      <c r="AG13" s="1160"/>
      <c r="AH13" s="1160"/>
      <c r="AI13" s="1161"/>
      <c r="AJ13" s="1161"/>
    </row>
    <row r="14" spans="1:38" x14ac:dyDescent="0.3">
      <c r="A14" s="268">
        <f t="shared" si="11"/>
        <v>1969</v>
      </c>
      <c r="B14" s="1158">
        <f t="shared" si="7"/>
        <v>0.42700000000000016</v>
      </c>
      <c r="C14" s="1158">
        <f t="shared" si="8"/>
        <v>0.12089999999999999</v>
      </c>
      <c r="D14" s="1158">
        <f t="shared" si="8"/>
        <v>0.19969999999999999</v>
      </c>
      <c r="E14" s="1158">
        <f t="shared" si="8"/>
        <v>7.0300000000000001E-2</v>
      </c>
      <c r="F14" s="1158">
        <f t="shared" si="8"/>
        <v>0.04</v>
      </c>
      <c r="G14" s="1158">
        <f t="shared" si="8"/>
        <v>6.7699999999999996E-2</v>
      </c>
      <c r="H14" s="1158">
        <f t="shared" si="8"/>
        <v>2.86E-2</v>
      </c>
      <c r="I14" s="1158">
        <f t="shared" si="8"/>
        <v>1.54E-2</v>
      </c>
      <c r="J14" s="1158">
        <f t="shared" si="8"/>
        <v>1.95E-2</v>
      </c>
      <c r="K14" s="1158">
        <f t="shared" si="8"/>
        <v>4.3E-3</v>
      </c>
      <c r="L14" s="1158">
        <f t="shared" si="8"/>
        <v>4.7999999999999996E-3</v>
      </c>
      <c r="M14" s="1158">
        <f t="shared" si="8"/>
        <v>1.5E-3</v>
      </c>
      <c r="N14" s="1158">
        <f t="shared" si="8"/>
        <v>2.9999999999999997E-4</v>
      </c>
      <c r="O14" s="1159"/>
      <c r="P14" s="1159"/>
      <c r="Q14" s="1158">
        <f t="shared" si="10"/>
        <v>0.47480000000000011</v>
      </c>
      <c r="R14" s="1158">
        <f t="shared" si="9"/>
        <v>0.126</v>
      </c>
      <c r="S14" s="1158">
        <f t="shared" si="9"/>
        <v>0.18160000000000001</v>
      </c>
      <c r="T14" s="1158">
        <f t="shared" si="9"/>
        <v>6.0499999999999998E-2</v>
      </c>
      <c r="U14" s="1158">
        <f t="shared" si="9"/>
        <v>3.4500000000000003E-2</v>
      </c>
      <c r="V14" s="1158">
        <f t="shared" si="9"/>
        <v>5.74E-2</v>
      </c>
      <c r="W14" s="1158">
        <f t="shared" si="9"/>
        <v>2.4899999999999999E-2</v>
      </c>
      <c r="X14" s="1158">
        <f t="shared" si="9"/>
        <v>1.32E-2</v>
      </c>
      <c r="Y14" s="1158">
        <f t="shared" si="9"/>
        <v>1.7600000000000001E-2</v>
      </c>
      <c r="Z14" s="1158">
        <f t="shared" si="9"/>
        <v>3.7000000000000002E-3</v>
      </c>
      <c r="AA14" s="1158">
        <f t="shared" si="9"/>
        <v>4.3E-3</v>
      </c>
      <c r="AB14" s="1158">
        <f t="shared" si="9"/>
        <v>1.2999999999999999E-3</v>
      </c>
      <c r="AC14" s="1158">
        <f t="shared" si="9"/>
        <v>2.0000000000000001E-4</v>
      </c>
      <c r="AE14" s="1160"/>
      <c r="AF14" s="1011" t="str">
        <f t="shared" si="3"/>
        <v>%let mcnf1969=0.427;</v>
      </c>
      <c r="AG14" s="1160"/>
      <c r="AH14" s="1160"/>
      <c r="AI14" s="1161"/>
      <c r="AJ14" s="1161"/>
    </row>
    <row r="15" spans="1:38" x14ac:dyDescent="0.3">
      <c r="A15" s="268">
        <f t="shared" si="11"/>
        <v>1970</v>
      </c>
      <c r="B15" s="1158">
        <f t="shared" si="7"/>
        <v>0.44390000000000018</v>
      </c>
      <c r="C15" s="1158">
        <f t="shared" si="8"/>
        <v>0.1305</v>
      </c>
      <c r="D15" s="1158">
        <f t="shared" si="8"/>
        <v>0.1968</v>
      </c>
      <c r="E15" s="1158">
        <f t="shared" si="8"/>
        <v>6.0199999999999997E-2</v>
      </c>
      <c r="F15" s="1158">
        <f t="shared" si="8"/>
        <v>4.2099999999999999E-2</v>
      </c>
      <c r="G15" s="1158">
        <f t="shared" si="8"/>
        <v>5.5100000000000003E-2</v>
      </c>
      <c r="H15" s="1158">
        <f t="shared" si="8"/>
        <v>2.5000000000000001E-2</v>
      </c>
      <c r="I15" s="1158">
        <f t="shared" si="8"/>
        <v>1.5299999999999999E-2</v>
      </c>
      <c r="J15" s="1158">
        <f t="shared" si="8"/>
        <v>2.07E-2</v>
      </c>
      <c r="K15" s="1158">
        <f t="shared" si="8"/>
        <v>4.4000000000000003E-3</v>
      </c>
      <c r="L15" s="1158">
        <f t="shared" si="8"/>
        <v>4.3E-3</v>
      </c>
      <c r="M15" s="1158">
        <f t="shared" si="8"/>
        <v>1.4E-3</v>
      </c>
      <c r="N15" s="1158">
        <f t="shared" si="8"/>
        <v>2.9999999999999997E-4</v>
      </c>
      <c r="O15" s="1159"/>
      <c r="P15" s="1159"/>
      <c r="Q15" s="1158">
        <f t="shared" si="10"/>
        <v>0.48739999999999994</v>
      </c>
      <c r="R15" s="1158">
        <f t="shared" si="9"/>
        <v>0.13600000000000001</v>
      </c>
      <c r="S15" s="1158">
        <f t="shared" si="9"/>
        <v>0.17899999999999999</v>
      </c>
      <c r="T15" s="1158">
        <f t="shared" si="9"/>
        <v>5.1799999999999999E-2</v>
      </c>
      <c r="U15" s="1158">
        <f t="shared" si="9"/>
        <v>3.6400000000000002E-2</v>
      </c>
      <c r="V15" s="1158">
        <f t="shared" si="9"/>
        <v>4.6800000000000001E-2</v>
      </c>
      <c r="W15" s="1158">
        <f t="shared" si="9"/>
        <v>2.18E-2</v>
      </c>
      <c r="X15" s="1158">
        <f t="shared" si="9"/>
        <v>1.32E-2</v>
      </c>
      <c r="Y15" s="1158">
        <f t="shared" si="9"/>
        <v>1.8700000000000001E-2</v>
      </c>
      <c r="Z15" s="1158">
        <f t="shared" si="9"/>
        <v>3.7000000000000002E-3</v>
      </c>
      <c r="AA15" s="1158">
        <f t="shared" si="9"/>
        <v>3.8E-3</v>
      </c>
      <c r="AB15" s="1158">
        <f t="shared" si="9"/>
        <v>1.1999999999999999E-3</v>
      </c>
      <c r="AC15" s="1158">
        <f t="shared" si="9"/>
        <v>2.0000000000000001E-4</v>
      </c>
      <c r="AE15" s="1160"/>
      <c r="AF15" s="1011" t="str">
        <f t="shared" si="3"/>
        <v>%let mcnf1970=0.4439;</v>
      </c>
      <c r="AG15" s="1160"/>
      <c r="AH15" s="1160"/>
      <c r="AI15" s="1161"/>
      <c r="AJ15" s="1161"/>
    </row>
    <row r="16" spans="1:38" x14ac:dyDescent="0.3">
      <c r="A16" s="268">
        <f t="shared" si="11"/>
        <v>1971</v>
      </c>
      <c r="B16" s="1158">
        <f t="shared" si="7"/>
        <v>0.49050000000000005</v>
      </c>
      <c r="C16" s="1158">
        <f t="shared" si="8"/>
        <v>0.10290000000000001</v>
      </c>
      <c r="D16" s="1158">
        <f t="shared" si="8"/>
        <v>0.17760000000000001</v>
      </c>
      <c r="E16" s="1158">
        <f t="shared" si="8"/>
        <v>6.1400000000000003E-2</v>
      </c>
      <c r="F16" s="1158">
        <f t="shared" si="8"/>
        <v>3.44E-2</v>
      </c>
      <c r="G16" s="1158">
        <f t="shared" si="8"/>
        <v>6.2600000000000003E-2</v>
      </c>
      <c r="H16" s="1158">
        <f t="shared" si="8"/>
        <v>2.7799999999999998E-2</v>
      </c>
      <c r="I16" s="1158">
        <f t="shared" si="8"/>
        <v>1.3599999999999999E-2</v>
      </c>
      <c r="J16" s="1158">
        <f t="shared" si="8"/>
        <v>1.9800000000000002E-2</v>
      </c>
      <c r="K16" s="1158">
        <f t="shared" si="8"/>
        <v>3.8E-3</v>
      </c>
      <c r="L16" s="1158">
        <f t="shared" si="8"/>
        <v>4.0000000000000001E-3</v>
      </c>
      <c r="M16" s="1158">
        <f t="shared" si="8"/>
        <v>1.4E-3</v>
      </c>
      <c r="N16" s="1158">
        <f t="shared" si="8"/>
        <v>2.0000000000000001E-4</v>
      </c>
      <c r="O16" s="1159"/>
      <c r="P16" s="1159"/>
      <c r="Q16" s="1158">
        <f t="shared" si="10"/>
        <v>0.53360000000000007</v>
      </c>
      <c r="R16" s="1158">
        <f t="shared" si="9"/>
        <v>0.1072</v>
      </c>
      <c r="S16" s="1158">
        <f t="shared" si="9"/>
        <v>0.16159999999999999</v>
      </c>
      <c r="T16" s="1158">
        <f t="shared" si="9"/>
        <v>5.28E-2</v>
      </c>
      <c r="U16" s="1158">
        <f t="shared" si="9"/>
        <v>2.9700000000000001E-2</v>
      </c>
      <c r="V16" s="1158">
        <f t="shared" si="9"/>
        <v>5.3100000000000001E-2</v>
      </c>
      <c r="W16" s="1158">
        <f t="shared" si="9"/>
        <v>2.4299999999999999E-2</v>
      </c>
      <c r="X16" s="1158">
        <f t="shared" si="9"/>
        <v>1.1599999999999999E-2</v>
      </c>
      <c r="Y16" s="1158">
        <f t="shared" si="9"/>
        <v>1.78E-2</v>
      </c>
      <c r="Z16" s="1158">
        <f t="shared" si="9"/>
        <v>3.3E-3</v>
      </c>
      <c r="AA16" s="1158">
        <f t="shared" si="9"/>
        <v>3.5999999999999999E-3</v>
      </c>
      <c r="AB16" s="1158">
        <f t="shared" si="9"/>
        <v>1.1999999999999999E-3</v>
      </c>
      <c r="AC16" s="1158">
        <f t="shared" si="9"/>
        <v>2.0000000000000001E-4</v>
      </c>
      <c r="AE16" s="1160"/>
      <c r="AF16" s="1011" t="str">
        <f t="shared" si="3"/>
        <v>%let mcnf1971=0.4905;</v>
      </c>
      <c r="AG16" s="1160"/>
      <c r="AH16" s="1160"/>
      <c r="AI16" s="1161"/>
      <c r="AJ16" s="1161"/>
    </row>
    <row r="17" spans="1:36" x14ac:dyDescent="0.3">
      <c r="A17" s="268">
        <f t="shared" si="11"/>
        <v>1972</v>
      </c>
      <c r="B17" s="1158">
        <f t="shared" si="7"/>
        <v>0.4668000000000001</v>
      </c>
      <c r="C17" s="1158">
        <f t="shared" si="8"/>
        <v>0.10970000000000001</v>
      </c>
      <c r="D17" s="1158">
        <f t="shared" si="8"/>
        <v>0.16650000000000001</v>
      </c>
      <c r="E17" s="1158">
        <f t="shared" si="8"/>
        <v>6.6900000000000001E-2</v>
      </c>
      <c r="F17" s="1158">
        <f t="shared" si="8"/>
        <v>4.7699999999999999E-2</v>
      </c>
      <c r="G17" s="1158">
        <f t="shared" si="8"/>
        <v>6.9500000000000006E-2</v>
      </c>
      <c r="H17" s="1158">
        <f t="shared" si="8"/>
        <v>2.92E-2</v>
      </c>
      <c r="I17" s="1158">
        <f t="shared" si="8"/>
        <v>1.41E-2</v>
      </c>
      <c r="J17" s="1158">
        <f t="shared" si="8"/>
        <v>1.95E-2</v>
      </c>
      <c r="K17" s="1158">
        <f t="shared" si="8"/>
        <v>4.4000000000000003E-3</v>
      </c>
      <c r="L17" s="1158">
        <f t="shared" si="8"/>
        <v>4.1999999999999997E-3</v>
      </c>
      <c r="M17" s="1158">
        <f t="shared" si="8"/>
        <v>1.2999999999999999E-3</v>
      </c>
      <c r="N17" s="1158">
        <f t="shared" si="8"/>
        <v>2.0000000000000001E-4</v>
      </c>
      <c r="O17" s="1159"/>
      <c r="P17" s="1159"/>
      <c r="Q17" s="1158">
        <f t="shared" si="10"/>
        <v>0.51239999999999997</v>
      </c>
      <c r="R17" s="1158">
        <f t="shared" si="9"/>
        <v>0.1143</v>
      </c>
      <c r="S17" s="1158">
        <f t="shared" si="9"/>
        <v>0.1515</v>
      </c>
      <c r="T17" s="1158">
        <f t="shared" si="9"/>
        <v>5.7599999999999998E-2</v>
      </c>
      <c r="U17" s="1158">
        <f t="shared" si="9"/>
        <v>4.1200000000000001E-2</v>
      </c>
      <c r="V17" s="1158">
        <f t="shared" si="9"/>
        <v>5.8999999999999997E-2</v>
      </c>
      <c r="W17" s="1158">
        <f t="shared" si="9"/>
        <v>2.5499999999999998E-2</v>
      </c>
      <c r="X17" s="1158">
        <f t="shared" si="9"/>
        <v>1.21E-2</v>
      </c>
      <c r="Y17" s="1158">
        <f t="shared" si="9"/>
        <v>1.7600000000000001E-2</v>
      </c>
      <c r="Z17" s="1158">
        <f t="shared" si="9"/>
        <v>3.8E-3</v>
      </c>
      <c r="AA17" s="1158">
        <f t="shared" si="9"/>
        <v>3.7000000000000002E-3</v>
      </c>
      <c r="AB17" s="1158">
        <f t="shared" si="9"/>
        <v>1.1000000000000001E-3</v>
      </c>
      <c r="AC17" s="1158">
        <f t="shared" si="9"/>
        <v>2.0000000000000001E-4</v>
      </c>
      <c r="AE17" s="1160"/>
      <c r="AF17" s="1011" t="str">
        <f t="shared" si="3"/>
        <v>%let mcnf1972=0.4668;</v>
      </c>
      <c r="AG17" s="1160"/>
      <c r="AH17" s="1160"/>
      <c r="AI17" s="1161"/>
      <c r="AJ17" s="1161"/>
    </row>
    <row r="18" spans="1:36" x14ac:dyDescent="0.3">
      <c r="A18" s="268">
        <f t="shared" si="11"/>
        <v>1973</v>
      </c>
      <c r="B18" s="1158">
        <f t="shared" si="7"/>
        <v>0.46430000000000016</v>
      </c>
      <c r="C18" s="1158">
        <f t="shared" si="8"/>
        <v>0.10539999999999999</v>
      </c>
      <c r="D18" s="1158">
        <f t="shared" si="8"/>
        <v>0.1802</v>
      </c>
      <c r="E18" s="1158">
        <f t="shared" si="8"/>
        <v>7.0599999999999996E-2</v>
      </c>
      <c r="F18" s="1158">
        <f t="shared" si="8"/>
        <v>4.4299999999999999E-2</v>
      </c>
      <c r="G18" s="1158">
        <f t="shared" si="8"/>
        <v>6.6500000000000004E-2</v>
      </c>
      <c r="H18" s="1158">
        <f t="shared" si="8"/>
        <v>2.4199999999999999E-2</v>
      </c>
      <c r="I18" s="1158">
        <f t="shared" si="8"/>
        <v>1.4500000000000001E-2</v>
      </c>
      <c r="J18" s="1158">
        <f t="shared" si="8"/>
        <v>2.01E-2</v>
      </c>
      <c r="K18" s="1158">
        <f t="shared" si="8"/>
        <v>4.1000000000000003E-3</v>
      </c>
      <c r="L18" s="1158">
        <f t="shared" si="8"/>
        <v>4.1999999999999997E-3</v>
      </c>
      <c r="M18" s="1158">
        <f t="shared" si="8"/>
        <v>1.4E-3</v>
      </c>
      <c r="N18" s="1158">
        <f t="shared" si="8"/>
        <v>2.0000000000000001E-4</v>
      </c>
      <c r="O18" s="1159"/>
      <c r="P18" s="1159"/>
      <c r="Q18" s="1158">
        <f t="shared" si="10"/>
        <v>0.51029999999999998</v>
      </c>
      <c r="R18" s="1158">
        <f t="shared" si="9"/>
        <v>0.10979999999999999</v>
      </c>
      <c r="S18" s="1158">
        <f t="shared" si="9"/>
        <v>0.16400000000000001</v>
      </c>
      <c r="T18" s="1158">
        <f t="shared" si="9"/>
        <v>6.08E-2</v>
      </c>
      <c r="U18" s="1158">
        <f t="shared" si="9"/>
        <v>3.8300000000000001E-2</v>
      </c>
      <c r="V18" s="1158">
        <f t="shared" si="9"/>
        <v>5.6500000000000002E-2</v>
      </c>
      <c r="W18" s="1158">
        <f t="shared" si="9"/>
        <v>2.1100000000000001E-2</v>
      </c>
      <c r="X18" s="1158">
        <f t="shared" si="9"/>
        <v>1.2500000000000001E-2</v>
      </c>
      <c r="Y18" s="1158">
        <f t="shared" si="9"/>
        <v>1.8100000000000002E-2</v>
      </c>
      <c r="Z18" s="1158">
        <f t="shared" si="9"/>
        <v>3.5000000000000001E-3</v>
      </c>
      <c r="AA18" s="1158">
        <f t="shared" si="9"/>
        <v>3.7000000000000002E-3</v>
      </c>
      <c r="AB18" s="1158">
        <f t="shared" si="9"/>
        <v>1.1999999999999999E-3</v>
      </c>
      <c r="AC18" s="1158">
        <f t="shared" si="9"/>
        <v>2.0000000000000001E-4</v>
      </c>
      <c r="AE18" s="1160"/>
      <c r="AF18" s="1011" t="str">
        <f t="shared" si="3"/>
        <v>%let mcnf1973=0.4643;</v>
      </c>
      <c r="AG18" s="1160"/>
      <c r="AH18" s="1160"/>
      <c r="AI18" s="1161"/>
      <c r="AJ18" s="1161"/>
    </row>
    <row r="19" spans="1:36" x14ac:dyDescent="0.3">
      <c r="A19" s="268">
        <f t="shared" si="11"/>
        <v>1974</v>
      </c>
      <c r="B19" s="1158">
        <f t="shared" si="7"/>
        <v>0.47909999999999997</v>
      </c>
      <c r="C19" s="1158">
        <f t="shared" si="8"/>
        <v>9.4799999999999995E-2</v>
      </c>
      <c r="D19" s="1158">
        <f t="shared" si="8"/>
        <v>0.16309999999999999</v>
      </c>
      <c r="E19" s="1158">
        <f t="shared" si="8"/>
        <v>6.3399999999999998E-2</v>
      </c>
      <c r="F19" s="1158">
        <f t="shared" si="8"/>
        <v>5.1999999999999998E-2</v>
      </c>
      <c r="G19" s="1158">
        <f t="shared" si="8"/>
        <v>7.2099999999999997E-2</v>
      </c>
      <c r="H19" s="1158">
        <f t="shared" si="8"/>
        <v>2.4500000000000001E-2</v>
      </c>
      <c r="I19" s="1158">
        <f t="shared" si="8"/>
        <v>1.84E-2</v>
      </c>
      <c r="J19" s="1158">
        <f t="shared" si="8"/>
        <v>2.2800000000000001E-2</v>
      </c>
      <c r="K19" s="1158">
        <f t="shared" si="8"/>
        <v>4.1000000000000003E-3</v>
      </c>
      <c r="L19" s="1158">
        <f t="shared" si="8"/>
        <v>4.1000000000000003E-3</v>
      </c>
      <c r="M19" s="1158">
        <f t="shared" si="8"/>
        <v>1.4E-3</v>
      </c>
      <c r="N19" s="1158">
        <f t="shared" si="8"/>
        <v>2.0000000000000001E-4</v>
      </c>
      <c r="O19" s="1159"/>
      <c r="P19" s="1159"/>
      <c r="Q19" s="1158">
        <f t="shared" si="10"/>
        <v>0.52600000000000013</v>
      </c>
      <c r="R19" s="1158">
        <f t="shared" si="9"/>
        <v>9.8799999999999999E-2</v>
      </c>
      <c r="S19" s="1158">
        <f t="shared" si="9"/>
        <v>0.14829999999999999</v>
      </c>
      <c r="T19" s="1158">
        <f t="shared" si="9"/>
        <v>5.4600000000000003E-2</v>
      </c>
      <c r="U19" s="1158">
        <f t="shared" si="9"/>
        <v>4.4900000000000002E-2</v>
      </c>
      <c r="V19" s="1158">
        <f t="shared" si="9"/>
        <v>6.1199999999999997E-2</v>
      </c>
      <c r="W19" s="1158">
        <f t="shared" si="9"/>
        <v>2.1399999999999999E-2</v>
      </c>
      <c r="X19" s="1158">
        <f t="shared" si="9"/>
        <v>1.5800000000000002E-2</v>
      </c>
      <c r="Y19" s="1158">
        <f t="shared" si="9"/>
        <v>2.0500000000000001E-2</v>
      </c>
      <c r="Z19" s="1158">
        <f t="shared" si="9"/>
        <v>3.5000000000000001E-3</v>
      </c>
      <c r="AA19" s="1158">
        <f t="shared" si="9"/>
        <v>3.5999999999999999E-3</v>
      </c>
      <c r="AB19" s="1158">
        <f t="shared" si="9"/>
        <v>1.1999999999999999E-3</v>
      </c>
      <c r="AC19" s="1158">
        <f t="shared" si="9"/>
        <v>2.0000000000000001E-4</v>
      </c>
      <c r="AE19" s="1160"/>
      <c r="AF19" s="1011" t="str">
        <f t="shared" si="3"/>
        <v>%let mcnf1974=0.4791;</v>
      </c>
      <c r="AG19" s="1160"/>
      <c r="AH19" s="1160"/>
      <c r="AI19" s="1161"/>
      <c r="AJ19" s="1161"/>
    </row>
    <row r="20" spans="1:36" x14ac:dyDescent="0.3">
      <c r="A20" s="268">
        <f t="shared" si="11"/>
        <v>1975</v>
      </c>
      <c r="B20" s="1158">
        <f t="shared" si="7"/>
        <v>0.4627</v>
      </c>
      <c r="C20" s="1158">
        <f t="shared" si="8"/>
        <v>9.1200000000000003E-2</v>
      </c>
      <c r="D20" s="1158">
        <f t="shared" si="8"/>
        <v>0.1767</v>
      </c>
      <c r="E20" s="1158">
        <f t="shared" si="8"/>
        <v>6.7500000000000004E-2</v>
      </c>
      <c r="F20" s="1158">
        <f t="shared" si="8"/>
        <v>5.6300000000000003E-2</v>
      </c>
      <c r="G20" s="1158">
        <f t="shared" si="8"/>
        <v>7.4200000000000002E-2</v>
      </c>
      <c r="H20" s="1158">
        <f t="shared" si="8"/>
        <v>2.7699999999999999E-2</v>
      </c>
      <c r="I20" s="1158">
        <f t="shared" si="8"/>
        <v>1.5100000000000001E-2</v>
      </c>
      <c r="J20" s="1158">
        <f t="shared" si="8"/>
        <v>1.89E-2</v>
      </c>
      <c r="K20" s="1158">
        <f t="shared" si="8"/>
        <v>4.1000000000000003E-3</v>
      </c>
      <c r="L20" s="1158">
        <f t="shared" si="8"/>
        <v>4.1000000000000003E-3</v>
      </c>
      <c r="M20" s="1158">
        <f t="shared" si="8"/>
        <v>1.2999999999999999E-3</v>
      </c>
      <c r="N20" s="1158">
        <f t="shared" si="8"/>
        <v>2.0000000000000001E-4</v>
      </c>
      <c r="O20" s="1159"/>
      <c r="P20" s="1159"/>
      <c r="Q20" s="1158">
        <f t="shared" si="10"/>
        <v>0.5121</v>
      </c>
      <c r="R20" s="1158">
        <f t="shared" si="9"/>
        <v>9.5000000000000001E-2</v>
      </c>
      <c r="S20" s="1158">
        <f t="shared" si="9"/>
        <v>0.16070000000000001</v>
      </c>
      <c r="T20" s="1158">
        <f t="shared" si="9"/>
        <v>5.8099999999999999E-2</v>
      </c>
      <c r="U20" s="1158">
        <f t="shared" si="9"/>
        <v>4.8599999999999997E-2</v>
      </c>
      <c r="V20" s="1158">
        <f t="shared" si="9"/>
        <v>6.3E-2</v>
      </c>
      <c r="W20" s="1158">
        <f t="shared" si="9"/>
        <v>2.4199999999999999E-2</v>
      </c>
      <c r="X20" s="1158">
        <f t="shared" si="9"/>
        <v>1.29E-2</v>
      </c>
      <c r="Y20" s="1158">
        <f t="shared" si="9"/>
        <v>1.7100000000000001E-2</v>
      </c>
      <c r="Z20" s="1158">
        <f t="shared" si="9"/>
        <v>3.5000000000000001E-3</v>
      </c>
      <c r="AA20" s="1158">
        <f t="shared" si="9"/>
        <v>3.5999999999999999E-3</v>
      </c>
      <c r="AB20" s="1158">
        <f t="shared" si="9"/>
        <v>1.1000000000000001E-3</v>
      </c>
      <c r="AC20" s="1158">
        <f t="shared" si="9"/>
        <v>1E-4</v>
      </c>
      <c r="AE20" s="1160"/>
      <c r="AF20" s="1011" t="str">
        <f t="shared" si="3"/>
        <v>%let mcnf1975=0.4627;</v>
      </c>
      <c r="AG20" s="1160"/>
      <c r="AH20" s="1160"/>
      <c r="AI20" s="1161"/>
      <c r="AJ20" s="1161"/>
    </row>
    <row r="21" spans="1:36" x14ac:dyDescent="0.3">
      <c r="A21" s="268">
        <f t="shared" si="11"/>
        <v>1976</v>
      </c>
      <c r="B21" s="1158">
        <f t="shared" si="7"/>
        <v>0.45810000000000006</v>
      </c>
      <c r="C21" s="1158">
        <f t="shared" si="8"/>
        <v>9.4399999999999998E-2</v>
      </c>
      <c r="D21" s="1158">
        <f t="shared" si="8"/>
        <v>0.17849999999999999</v>
      </c>
      <c r="E21" s="1158">
        <f t="shared" si="8"/>
        <v>6.8900000000000003E-2</v>
      </c>
      <c r="F21" s="1158">
        <f t="shared" si="8"/>
        <v>5.2900000000000003E-2</v>
      </c>
      <c r="G21" s="1158">
        <f t="shared" si="8"/>
        <v>7.1599999999999997E-2</v>
      </c>
      <c r="H21" s="1158">
        <f t="shared" si="8"/>
        <v>2.9499999999999998E-2</v>
      </c>
      <c r="I21" s="1158">
        <f t="shared" si="8"/>
        <v>1.5900000000000001E-2</v>
      </c>
      <c r="J21" s="1158">
        <f t="shared" si="8"/>
        <v>2.0299999999999999E-2</v>
      </c>
      <c r="K21" s="1158">
        <f t="shared" si="8"/>
        <v>4.3E-3</v>
      </c>
      <c r="L21" s="1158">
        <f t="shared" si="8"/>
        <v>4.1000000000000003E-3</v>
      </c>
      <c r="M21" s="1158">
        <f t="shared" si="8"/>
        <v>1.2999999999999999E-3</v>
      </c>
      <c r="N21" s="1158">
        <f t="shared" si="8"/>
        <v>2.0000000000000001E-4</v>
      </c>
      <c r="O21" s="1159"/>
      <c r="P21" s="1159"/>
      <c r="Q21" s="1158">
        <f t="shared" si="10"/>
        <v>0.5072000000000001</v>
      </c>
      <c r="R21" s="1158">
        <f t="shared" si="9"/>
        <v>9.8299999999999998E-2</v>
      </c>
      <c r="S21" s="1158">
        <f t="shared" si="9"/>
        <v>0.16239999999999999</v>
      </c>
      <c r="T21" s="1158">
        <f t="shared" si="9"/>
        <v>5.9299999999999999E-2</v>
      </c>
      <c r="U21" s="1158">
        <f t="shared" si="9"/>
        <v>4.5600000000000002E-2</v>
      </c>
      <c r="V21" s="1158">
        <f t="shared" si="9"/>
        <v>6.08E-2</v>
      </c>
      <c r="W21" s="1158">
        <f t="shared" si="9"/>
        <v>2.58E-2</v>
      </c>
      <c r="X21" s="1158">
        <f t="shared" si="9"/>
        <v>1.37E-2</v>
      </c>
      <c r="Y21" s="1158">
        <f t="shared" si="9"/>
        <v>1.83E-2</v>
      </c>
      <c r="Z21" s="1158">
        <f t="shared" si="9"/>
        <v>3.7000000000000002E-3</v>
      </c>
      <c r="AA21" s="1158">
        <f t="shared" si="9"/>
        <v>3.5999999999999999E-3</v>
      </c>
      <c r="AB21" s="1158">
        <f t="shared" si="9"/>
        <v>1.1000000000000001E-3</v>
      </c>
      <c r="AC21" s="1158">
        <f t="shared" si="9"/>
        <v>2.0000000000000001E-4</v>
      </c>
      <c r="AE21" s="1160"/>
      <c r="AF21" s="1011" t="str">
        <f t="shared" si="3"/>
        <v>%let mcnf1976=0.4581;</v>
      </c>
      <c r="AG21" s="1160"/>
      <c r="AH21" s="1160"/>
      <c r="AI21" s="1161"/>
      <c r="AJ21" s="1161"/>
    </row>
    <row r="22" spans="1:36" x14ac:dyDescent="0.3">
      <c r="A22" s="268">
        <f t="shared" si="11"/>
        <v>1977</v>
      </c>
      <c r="B22" s="1158">
        <f t="shared" si="7"/>
        <v>0.47420000000000007</v>
      </c>
      <c r="C22" s="1158">
        <f t="shared" si="8"/>
        <v>7.9500000000000001E-2</v>
      </c>
      <c r="D22" s="1158">
        <f t="shared" si="8"/>
        <v>0.17069999999999999</v>
      </c>
      <c r="E22" s="1158">
        <f t="shared" si="8"/>
        <v>6.8000000000000005E-2</v>
      </c>
      <c r="F22" s="1158">
        <f t="shared" si="8"/>
        <v>5.8299999999999998E-2</v>
      </c>
      <c r="G22" s="1158">
        <f t="shared" si="8"/>
        <v>7.5600000000000001E-2</v>
      </c>
      <c r="H22" s="1158">
        <f t="shared" si="8"/>
        <v>2.8199999999999999E-2</v>
      </c>
      <c r="I22" s="1158">
        <f t="shared" si="8"/>
        <v>1.54E-2</v>
      </c>
      <c r="J22" s="1158">
        <f t="shared" si="8"/>
        <v>2.0400000000000001E-2</v>
      </c>
      <c r="K22" s="1158">
        <f t="shared" si="8"/>
        <v>4.1000000000000003E-3</v>
      </c>
      <c r="L22" s="1158">
        <f t="shared" si="8"/>
        <v>4.1000000000000003E-3</v>
      </c>
      <c r="M22" s="1158">
        <f t="shared" si="8"/>
        <v>1.2999999999999999E-3</v>
      </c>
      <c r="N22" s="1158">
        <f t="shared" si="8"/>
        <v>2.0000000000000001E-4</v>
      </c>
      <c r="O22" s="1159"/>
      <c r="P22" s="1159"/>
      <c r="Q22" s="1158">
        <f t="shared" si="10"/>
        <v>0.52439999999999998</v>
      </c>
      <c r="R22" s="1158">
        <f t="shared" si="9"/>
        <v>8.2900000000000001E-2</v>
      </c>
      <c r="S22" s="1158">
        <f t="shared" si="9"/>
        <v>0.1552</v>
      </c>
      <c r="T22" s="1158">
        <f t="shared" si="9"/>
        <v>5.8500000000000003E-2</v>
      </c>
      <c r="U22" s="1158">
        <f t="shared" si="9"/>
        <v>5.0299999999999997E-2</v>
      </c>
      <c r="V22" s="1158">
        <f t="shared" si="9"/>
        <v>6.4199999999999993E-2</v>
      </c>
      <c r="W22" s="1158">
        <f t="shared" si="9"/>
        <v>2.46E-2</v>
      </c>
      <c r="X22" s="1158">
        <f t="shared" si="9"/>
        <v>1.32E-2</v>
      </c>
      <c r="Y22" s="1158">
        <f t="shared" si="9"/>
        <v>1.84E-2</v>
      </c>
      <c r="Z22" s="1158">
        <f t="shared" si="9"/>
        <v>3.5000000000000001E-3</v>
      </c>
      <c r="AA22" s="1158">
        <f t="shared" si="9"/>
        <v>3.5999999999999999E-3</v>
      </c>
      <c r="AB22" s="1158">
        <f t="shared" si="9"/>
        <v>1.1000000000000001E-3</v>
      </c>
      <c r="AC22" s="1158">
        <f t="shared" si="9"/>
        <v>1E-4</v>
      </c>
      <c r="AE22" s="1160"/>
      <c r="AF22" s="1011" t="str">
        <f t="shared" si="3"/>
        <v>%let mcnf1977=0.4742;</v>
      </c>
      <c r="AG22" s="1160"/>
      <c r="AH22" s="1160"/>
      <c r="AI22" s="1161"/>
      <c r="AJ22" s="1161"/>
    </row>
    <row r="23" spans="1:36" x14ac:dyDescent="0.3">
      <c r="A23" s="268">
        <f t="shared" si="11"/>
        <v>1978</v>
      </c>
      <c r="B23" s="1158">
        <f t="shared" si="7"/>
        <v>0.46190000000000009</v>
      </c>
      <c r="C23" s="1158">
        <f t="shared" si="8"/>
        <v>7.9399999999999998E-2</v>
      </c>
      <c r="D23" s="1158">
        <f t="shared" si="8"/>
        <v>0.17280000000000001</v>
      </c>
      <c r="E23" s="1158">
        <f t="shared" si="8"/>
        <v>7.6799999999999993E-2</v>
      </c>
      <c r="F23" s="1158">
        <f t="shared" si="8"/>
        <v>5.7299999999999997E-2</v>
      </c>
      <c r="G23" s="1158">
        <f t="shared" si="8"/>
        <v>7.6300000000000007E-2</v>
      </c>
      <c r="H23" s="1158">
        <f t="shared" si="8"/>
        <v>3.0200000000000001E-2</v>
      </c>
      <c r="I23" s="1158">
        <f t="shared" si="8"/>
        <v>1.6199999999999999E-2</v>
      </c>
      <c r="J23" s="1158">
        <f t="shared" si="8"/>
        <v>1.9599999999999999E-2</v>
      </c>
      <c r="K23" s="1158">
        <f t="shared" si="8"/>
        <v>4.0000000000000001E-3</v>
      </c>
      <c r="L23" s="1158">
        <f t="shared" si="8"/>
        <v>4.0000000000000001E-3</v>
      </c>
      <c r="M23" s="1158">
        <f t="shared" si="8"/>
        <v>1.2999999999999999E-3</v>
      </c>
      <c r="N23" s="1158">
        <f t="shared" si="8"/>
        <v>2.0000000000000001E-4</v>
      </c>
      <c r="O23" s="1159"/>
      <c r="P23" s="1159"/>
      <c r="Q23" s="1158">
        <f t="shared" si="10"/>
        <v>0.51360000000000006</v>
      </c>
      <c r="R23" s="1158">
        <f t="shared" si="9"/>
        <v>8.2699999999999996E-2</v>
      </c>
      <c r="S23" s="1158">
        <f t="shared" si="9"/>
        <v>0.15720000000000001</v>
      </c>
      <c r="T23" s="1158">
        <f t="shared" si="9"/>
        <v>6.6100000000000006E-2</v>
      </c>
      <c r="U23" s="1158">
        <f t="shared" si="9"/>
        <v>4.9399999999999999E-2</v>
      </c>
      <c r="V23" s="1158">
        <f t="shared" si="9"/>
        <v>6.4799999999999996E-2</v>
      </c>
      <c r="W23" s="1158">
        <f t="shared" si="9"/>
        <v>2.64E-2</v>
      </c>
      <c r="X23" s="1158">
        <f t="shared" si="9"/>
        <v>1.3899999999999999E-2</v>
      </c>
      <c r="Y23" s="1158">
        <f t="shared" si="9"/>
        <v>1.77E-2</v>
      </c>
      <c r="Z23" s="1158">
        <f t="shared" si="9"/>
        <v>3.3999999999999998E-3</v>
      </c>
      <c r="AA23" s="1158">
        <f t="shared" si="9"/>
        <v>3.5000000000000001E-3</v>
      </c>
      <c r="AB23" s="1158">
        <f t="shared" si="9"/>
        <v>1.1000000000000001E-3</v>
      </c>
      <c r="AC23" s="1158">
        <f t="shared" si="9"/>
        <v>2.0000000000000001E-4</v>
      </c>
      <c r="AE23" s="1160"/>
      <c r="AF23" s="1011" t="str">
        <f t="shared" si="3"/>
        <v>%let mcnf1978=0.4619;</v>
      </c>
      <c r="AG23" s="1160"/>
      <c r="AH23" s="1160"/>
      <c r="AI23" s="1161"/>
      <c r="AJ23" s="1161"/>
    </row>
    <row r="24" spans="1:36" x14ac:dyDescent="0.3">
      <c r="A24" s="268">
        <f t="shared" si="11"/>
        <v>1979</v>
      </c>
      <c r="B24" s="1158">
        <f t="shared" si="7"/>
        <v>0.46839999999999993</v>
      </c>
      <c r="C24" s="1158">
        <f t="shared" si="8"/>
        <v>8.4599999999999995E-2</v>
      </c>
      <c r="D24" s="1158">
        <f t="shared" si="8"/>
        <v>0.16350000000000001</v>
      </c>
      <c r="E24" s="1158">
        <f t="shared" si="8"/>
        <v>6.6900000000000001E-2</v>
      </c>
      <c r="F24" s="1158">
        <f t="shared" si="8"/>
        <v>5.45E-2</v>
      </c>
      <c r="G24" s="1158">
        <f t="shared" si="8"/>
        <v>7.9200000000000007E-2</v>
      </c>
      <c r="H24" s="1158">
        <f t="shared" si="8"/>
        <v>2.93E-2</v>
      </c>
      <c r="I24" s="1158">
        <f t="shared" si="8"/>
        <v>1.7999999999999999E-2</v>
      </c>
      <c r="J24" s="1158">
        <f t="shared" si="8"/>
        <v>2.3699999999999999E-2</v>
      </c>
      <c r="K24" s="1158">
        <f t="shared" si="8"/>
        <v>5.1999999999999998E-3</v>
      </c>
      <c r="L24" s="1158">
        <f t="shared" si="8"/>
        <v>4.8999999999999998E-3</v>
      </c>
      <c r="M24" s="1158">
        <f t="shared" si="8"/>
        <v>1.6000000000000001E-3</v>
      </c>
      <c r="N24" s="1158">
        <f t="shared" si="8"/>
        <v>2.0000000000000001E-4</v>
      </c>
      <c r="O24" s="1159"/>
      <c r="P24" s="1159"/>
      <c r="Q24" s="1158">
        <f t="shared" si="10"/>
        <v>0.51859999999999995</v>
      </c>
      <c r="R24" s="1158">
        <f t="shared" si="9"/>
        <v>8.8200000000000001E-2</v>
      </c>
      <c r="S24" s="1158">
        <f t="shared" si="9"/>
        <v>0.1487</v>
      </c>
      <c r="T24" s="1158">
        <f t="shared" si="9"/>
        <v>5.7599999999999998E-2</v>
      </c>
      <c r="U24" s="1158">
        <f t="shared" si="9"/>
        <v>4.7100000000000003E-2</v>
      </c>
      <c r="V24" s="1158">
        <f t="shared" si="9"/>
        <v>6.7199999999999996E-2</v>
      </c>
      <c r="W24" s="1158">
        <f t="shared" si="9"/>
        <v>2.5600000000000001E-2</v>
      </c>
      <c r="X24" s="1158">
        <f t="shared" si="9"/>
        <v>1.54E-2</v>
      </c>
      <c r="Y24" s="1158">
        <f t="shared" si="9"/>
        <v>2.1399999999999999E-2</v>
      </c>
      <c r="Z24" s="1158">
        <f t="shared" si="9"/>
        <v>4.4999999999999997E-3</v>
      </c>
      <c r="AA24" s="1158">
        <f t="shared" si="9"/>
        <v>4.3E-3</v>
      </c>
      <c r="AB24" s="1158">
        <f t="shared" si="9"/>
        <v>1.2999999999999999E-3</v>
      </c>
      <c r="AC24" s="1158">
        <f t="shared" si="9"/>
        <v>1E-4</v>
      </c>
      <c r="AE24" s="1160"/>
      <c r="AF24" s="1011" t="str">
        <f t="shared" si="3"/>
        <v>%let mcnf1979=0.4684;</v>
      </c>
      <c r="AG24" s="1160"/>
      <c r="AH24" s="1160"/>
      <c r="AI24" s="1161"/>
      <c r="AJ24" s="1161"/>
    </row>
    <row r="25" spans="1:36" x14ac:dyDescent="0.3">
      <c r="A25" s="268">
        <f t="shared" si="11"/>
        <v>1980</v>
      </c>
      <c r="B25" s="1158">
        <f t="shared" si="7"/>
        <v>0.46000000000000019</v>
      </c>
      <c r="C25" s="1158">
        <f t="shared" si="8"/>
        <v>7.3700000000000002E-2</v>
      </c>
      <c r="D25" s="1158">
        <f t="shared" si="8"/>
        <v>0.15790000000000001</v>
      </c>
      <c r="E25" s="1158">
        <f t="shared" si="8"/>
        <v>7.4099999999999999E-2</v>
      </c>
      <c r="F25" s="1158">
        <f t="shared" si="8"/>
        <v>5.8900000000000001E-2</v>
      </c>
      <c r="G25" s="1158">
        <f t="shared" si="8"/>
        <v>8.3799999999999999E-2</v>
      </c>
      <c r="H25" s="1158">
        <f t="shared" si="8"/>
        <v>3.5700000000000003E-2</v>
      </c>
      <c r="I25" s="1158">
        <f t="shared" si="8"/>
        <v>1.78E-2</v>
      </c>
      <c r="J25" s="1158">
        <f t="shared" si="8"/>
        <v>2.5600000000000001E-2</v>
      </c>
      <c r="K25" s="1158">
        <f t="shared" si="8"/>
        <v>5.4000000000000003E-3</v>
      </c>
      <c r="L25" s="1158">
        <f t="shared" si="8"/>
        <v>5.4000000000000003E-3</v>
      </c>
      <c r="M25" s="1158">
        <f t="shared" si="8"/>
        <v>1.5E-3</v>
      </c>
      <c r="N25" s="1158">
        <f t="shared" si="8"/>
        <v>2.0000000000000001E-4</v>
      </c>
      <c r="O25" s="1159"/>
      <c r="P25" s="1159"/>
      <c r="Q25" s="1158">
        <f t="shared" si="10"/>
        <v>0.51359999999999995</v>
      </c>
      <c r="R25" s="1158">
        <f t="shared" si="9"/>
        <v>7.6799999999999993E-2</v>
      </c>
      <c r="S25" s="1158">
        <f t="shared" si="9"/>
        <v>0.14360000000000001</v>
      </c>
      <c r="T25" s="1158">
        <f t="shared" si="9"/>
        <v>6.3799999999999996E-2</v>
      </c>
      <c r="U25" s="1158">
        <f t="shared" si="9"/>
        <v>5.0799999999999998E-2</v>
      </c>
      <c r="V25" s="1158">
        <f t="shared" si="9"/>
        <v>7.1099999999999997E-2</v>
      </c>
      <c r="W25" s="1158">
        <f t="shared" si="9"/>
        <v>3.1099999999999999E-2</v>
      </c>
      <c r="X25" s="1158">
        <f t="shared" si="9"/>
        <v>1.5299999999999999E-2</v>
      </c>
      <c r="Y25" s="1158">
        <f t="shared" si="9"/>
        <v>2.3099999999999999E-2</v>
      </c>
      <c r="Z25" s="1158">
        <f t="shared" si="9"/>
        <v>4.5999999999999999E-3</v>
      </c>
      <c r="AA25" s="1158">
        <f t="shared" si="9"/>
        <v>4.7999999999999996E-3</v>
      </c>
      <c r="AB25" s="1158">
        <f t="shared" si="9"/>
        <v>1.2999999999999999E-3</v>
      </c>
      <c r="AC25" s="1158">
        <f t="shared" si="9"/>
        <v>1E-4</v>
      </c>
      <c r="AE25" s="1160"/>
      <c r="AF25" s="1011" t="str">
        <f t="shared" si="3"/>
        <v>%let mcnf1980=0.46;</v>
      </c>
      <c r="AG25" s="1160"/>
      <c r="AH25" s="1160"/>
      <c r="AI25" s="1161"/>
      <c r="AJ25" s="1161"/>
    </row>
    <row r="26" spans="1:36" x14ac:dyDescent="0.3">
      <c r="A26" s="268">
        <f t="shared" si="11"/>
        <v>1981</v>
      </c>
      <c r="B26" s="1158">
        <f t="shared" si="7"/>
        <v>0.42470000000000008</v>
      </c>
      <c r="C26" s="1158">
        <f t="shared" si="8"/>
        <v>8.0600000000000005E-2</v>
      </c>
      <c r="D26" s="1158">
        <f t="shared" si="8"/>
        <v>0.1678</v>
      </c>
      <c r="E26" s="1158">
        <f t="shared" si="8"/>
        <v>7.5399999999999995E-2</v>
      </c>
      <c r="F26" s="1158">
        <f t="shared" si="8"/>
        <v>6.4100000000000004E-2</v>
      </c>
      <c r="G26" s="1158">
        <f t="shared" si="8"/>
        <v>8.9499999999999996E-2</v>
      </c>
      <c r="H26" s="1158">
        <f t="shared" si="8"/>
        <v>3.61E-2</v>
      </c>
      <c r="I26" s="1158">
        <f t="shared" si="8"/>
        <v>2.0500000000000001E-2</v>
      </c>
      <c r="J26" s="1158">
        <f t="shared" si="8"/>
        <v>2.8000000000000001E-2</v>
      </c>
      <c r="K26" s="1158">
        <f t="shared" si="8"/>
        <v>6.0000000000000001E-3</v>
      </c>
      <c r="L26" s="1158">
        <f t="shared" si="8"/>
        <v>5.4999999999999997E-3</v>
      </c>
      <c r="M26" s="1158">
        <f t="shared" si="8"/>
        <v>1.6000000000000001E-3</v>
      </c>
      <c r="N26" s="1158">
        <f t="shared" si="8"/>
        <v>2.0000000000000001E-4</v>
      </c>
      <c r="O26" s="1159"/>
      <c r="P26" s="1159"/>
      <c r="Q26" s="1158">
        <f t="shared" si="10"/>
        <v>0.48139999999999994</v>
      </c>
      <c r="R26" s="1158">
        <f t="shared" si="9"/>
        <v>8.4000000000000005E-2</v>
      </c>
      <c r="S26" s="1158">
        <f t="shared" si="9"/>
        <v>0.1527</v>
      </c>
      <c r="T26" s="1158">
        <f t="shared" si="9"/>
        <v>6.4899999999999999E-2</v>
      </c>
      <c r="U26" s="1158">
        <f t="shared" si="9"/>
        <v>5.5399999999999998E-2</v>
      </c>
      <c r="V26" s="1158">
        <f t="shared" si="9"/>
        <v>7.5999999999999998E-2</v>
      </c>
      <c r="W26" s="1158">
        <f t="shared" si="9"/>
        <v>3.15E-2</v>
      </c>
      <c r="X26" s="1158">
        <f t="shared" si="9"/>
        <v>1.7600000000000001E-2</v>
      </c>
      <c r="Y26" s="1158">
        <f t="shared" si="9"/>
        <v>2.52E-2</v>
      </c>
      <c r="Z26" s="1158">
        <f t="shared" si="9"/>
        <v>5.1000000000000004E-3</v>
      </c>
      <c r="AA26" s="1158">
        <f t="shared" si="9"/>
        <v>4.7999999999999996E-3</v>
      </c>
      <c r="AB26" s="1158">
        <f t="shared" si="9"/>
        <v>1.2999999999999999E-3</v>
      </c>
      <c r="AC26" s="1158">
        <f t="shared" si="9"/>
        <v>1E-4</v>
      </c>
      <c r="AE26" s="1160"/>
      <c r="AF26" s="1011" t="str">
        <f t="shared" si="3"/>
        <v>%let mcnf1981=0.4247;</v>
      </c>
      <c r="AG26" s="1160"/>
      <c r="AH26" s="1160"/>
      <c r="AI26" s="1161"/>
      <c r="AJ26" s="1161"/>
    </row>
    <row r="27" spans="1:36" x14ac:dyDescent="0.3">
      <c r="A27" s="268">
        <f t="shared" si="11"/>
        <v>1982</v>
      </c>
      <c r="B27" s="1158">
        <f t="shared" si="7"/>
        <v>0.40189999999999992</v>
      </c>
      <c r="C27" s="1158">
        <f t="shared" ref="C27:N42" si="12">ROUND(R96/$AH96,4)</f>
        <v>7.5399999999999995E-2</v>
      </c>
      <c r="D27" s="1158">
        <f t="shared" si="12"/>
        <v>0.1774</v>
      </c>
      <c r="E27" s="1158">
        <f t="shared" si="12"/>
        <v>8.0699999999999994E-2</v>
      </c>
      <c r="F27" s="1158">
        <f t="shared" si="12"/>
        <v>6.8500000000000005E-2</v>
      </c>
      <c r="G27" s="1158">
        <f t="shared" si="12"/>
        <v>9.6100000000000005E-2</v>
      </c>
      <c r="H27" s="1158">
        <f t="shared" si="12"/>
        <v>3.5299999999999998E-2</v>
      </c>
      <c r="I27" s="1158">
        <f t="shared" si="12"/>
        <v>2.3699999999999999E-2</v>
      </c>
      <c r="J27" s="1158">
        <f t="shared" si="12"/>
        <v>2.7699999999999999E-2</v>
      </c>
      <c r="K27" s="1158">
        <f t="shared" si="12"/>
        <v>6.1000000000000004E-3</v>
      </c>
      <c r="L27" s="1158">
        <f t="shared" si="12"/>
        <v>5.4000000000000003E-3</v>
      </c>
      <c r="M27" s="1158">
        <f t="shared" si="12"/>
        <v>1.6000000000000001E-3</v>
      </c>
      <c r="N27" s="1158">
        <f t="shared" si="12"/>
        <v>2.0000000000000001E-4</v>
      </c>
      <c r="O27" s="1159"/>
      <c r="P27" s="1159"/>
      <c r="Q27" s="1158">
        <f t="shared" si="10"/>
        <v>0.46260000000000001</v>
      </c>
      <c r="R27" s="1158">
        <f t="shared" ref="R27:AC42" si="13">ROUND(R$44*(R96/$AH96)/(R$113/$AH$113),4)</f>
        <v>7.85E-2</v>
      </c>
      <c r="S27" s="1158">
        <f t="shared" si="13"/>
        <v>0.1613</v>
      </c>
      <c r="T27" s="1158">
        <f t="shared" si="13"/>
        <v>6.9500000000000006E-2</v>
      </c>
      <c r="U27" s="1158">
        <f t="shared" si="13"/>
        <v>5.91E-2</v>
      </c>
      <c r="V27" s="1158">
        <f t="shared" si="13"/>
        <v>8.1600000000000006E-2</v>
      </c>
      <c r="W27" s="1158">
        <f t="shared" si="13"/>
        <v>3.0700000000000002E-2</v>
      </c>
      <c r="X27" s="1158">
        <f t="shared" si="13"/>
        <v>2.0299999999999999E-2</v>
      </c>
      <c r="Y27" s="1158">
        <f t="shared" si="13"/>
        <v>2.5000000000000001E-2</v>
      </c>
      <c r="Z27" s="1158">
        <f t="shared" si="13"/>
        <v>5.1999999999999998E-3</v>
      </c>
      <c r="AA27" s="1158">
        <f t="shared" si="13"/>
        <v>4.7999999999999996E-3</v>
      </c>
      <c r="AB27" s="1158">
        <f t="shared" si="13"/>
        <v>1.2999999999999999E-3</v>
      </c>
      <c r="AC27" s="1158">
        <f t="shared" si="13"/>
        <v>1E-4</v>
      </c>
      <c r="AE27" s="1160"/>
      <c r="AF27" s="1011" t="str">
        <f t="shared" si="3"/>
        <v>%let mcnf1982=0.4019;</v>
      </c>
      <c r="AG27" s="1160"/>
      <c r="AH27" s="1160"/>
      <c r="AI27" s="1161"/>
      <c r="AJ27" s="1161"/>
    </row>
    <row r="28" spans="1:36" x14ac:dyDescent="0.3">
      <c r="A28" s="268">
        <f t="shared" si="11"/>
        <v>1983</v>
      </c>
      <c r="B28" s="1158">
        <f t="shared" si="7"/>
        <v>0.37179999999999991</v>
      </c>
      <c r="C28" s="1158">
        <f t="shared" si="12"/>
        <v>8.77E-2</v>
      </c>
      <c r="D28" s="1158">
        <f t="shared" si="12"/>
        <v>0.18729999999999999</v>
      </c>
      <c r="E28" s="1158">
        <f t="shared" si="12"/>
        <v>7.7299999999999994E-2</v>
      </c>
      <c r="F28" s="1158">
        <f t="shared" si="12"/>
        <v>7.1900000000000006E-2</v>
      </c>
      <c r="G28" s="1158">
        <f t="shared" si="12"/>
        <v>0.1004</v>
      </c>
      <c r="H28" s="1158">
        <f t="shared" si="12"/>
        <v>4.1000000000000002E-2</v>
      </c>
      <c r="I28" s="1158">
        <f t="shared" si="12"/>
        <v>2.2700000000000001E-2</v>
      </c>
      <c r="J28" s="1158">
        <f t="shared" si="12"/>
        <v>2.7099999999999999E-2</v>
      </c>
      <c r="K28" s="1158">
        <f t="shared" si="12"/>
        <v>5.4999999999999997E-3</v>
      </c>
      <c r="L28" s="1158">
        <f t="shared" si="12"/>
        <v>5.4999999999999997E-3</v>
      </c>
      <c r="M28" s="1158">
        <f t="shared" si="12"/>
        <v>1.6000000000000001E-3</v>
      </c>
      <c r="N28" s="1158">
        <f t="shared" si="12"/>
        <v>2.0000000000000001E-4</v>
      </c>
      <c r="O28" s="1159"/>
      <c r="P28" s="1159"/>
      <c r="Q28" s="1158">
        <f t="shared" si="10"/>
        <v>0.43370000000000009</v>
      </c>
      <c r="R28" s="1158">
        <f t="shared" si="13"/>
        <v>9.1300000000000006E-2</v>
      </c>
      <c r="S28" s="1158">
        <f t="shared" si="13"/>
        <v>0.1704</v>
      </c>
      <c r="T28" s="1158">
        <f t="shared" si="13"/>
        <v>6.6500000000000004E-2</v>
      </c>
      <c r="U28" s="1158">
        <f t="shared" si="13"/>
        <v>6.2100000000000002E-2</v>
      </c>
      <c r="V28" s="1158">
        <f t="shared" si="13"/>
        <v>8.5199999999999998E-2</v>
      </c>
      <c r="W28" s="1158">
        <f t="shared" si="13"/>
        <v>3.5799999999999998E-2</v>
      </c>
      <c r="X28" s="1158">
        <f t="shared" si="13"/>
        <v>1.95E-2</v>
      </c>
      <c r="Y28" s="1158">
        <f t="shared" si="13"/>
        <v>2.4500000000000001E-2</v>
      </c>
      <c r="Z28" s="1158">
        <f t="shared" si="13"/>
        <v>4.7000000000000002E-3</v>
      </c>
      <c r="AA28" s="1158">
        <f t="shared" si="13"/>
        <v>4.8999999999999998E-3</v>
      </c>
      <c r="AB28" s="1158">
        <f t="shared" si="13"/>
        <v>1.2999999999999999E-3</v>
      </c>
      <c r="AC28" s="1158">
        <f t="shared" si="13"/>
        <v>1E-4</v>
      </c>
      <c r="AE28" s="1160"/>
      <c r="AF28" s="1011" t="str">
        <f t="shared" si="3"/>
        <v>%let mcnf1983=0.3718;</v>
      </c>
      <c r="AG28" s="1160"/>
      <c r="AH28" s="1160"/>
      <c r="AI28" s="1161"/>
      <c r="AJ28" s="1161"/>
    </row>
    <row r="29" spans="1:36" x14ac:dyDescent="0.3">
      <c r="A29" s="268">
        <f t="shared" si="11"/>
        <v>1984</v>
      </c>
      <c r="B29" s="1158">
        <f t="shared" si="7"/>
        <v>0.35270000000000012</v>
      </c>
      <c r="C29" s="1158">
        <f t="shared" si="12"/>
        <v>8.6800000000000002E-2</v>
      </c>
      <c r="D29" s="1158">
        <f t="shared" si="12"/>
        <v>0.18890000000000001</v>
      </c>
      <c r="E29" s="1158">
        <f t="shared" si="12"/>
        <v>8.3500000000000005E-2</v>
      </c>
      <c r="F29" s="1158">
        <f t="shared" si="12"/>
        <v>7.8299999999999995E-2</v>
      </c>
      <c r="G29" s="1158">
        <f t="shared" si="12"/>
        <v>9.7699999999999995E-2</v>
      </c>
      <c r="H29" s="1158">
        <f t="shared" si="12"/>
        <v>4.2599999999999999E-2</v>
      </c>
      <c r="I29" s="1158">
        <f t="shared" si="12"/>
        <v>2.5100000000000001E-2</v>
      </c>
      <c r="J29" s="1158">
        <f t="shared" si="12"/>
        <v>3.04E-2</v>
      </c>
      <c r="K29" s="1158">
        <f t="shared" si="12"/>
        <v>6.0000000000000001E-3</v>
      </c>
      <c r="L29" s="1158">
        <f t="shared" si="12"/>
        <v>6.4000000000000003E-3</v>
      </c>
      <c r="M29" s="1158">
        <f t="shared" si="12"/>
        <v>1.4E-3</v>
      </c>
      <c r="N29" s="1158">
        <f t="shared" si="12"/>
        <v>2.0000000000000001E-4</v>
      </c>
      <c r="O29" s="1159"/>
      <c r="P29" s="1159"/>
      <c r="Q29" s="1158">
        <f t="shared" si="10"/>
        <v>0.41700000000000004</v>
      </c>
      <c r="R29" s="1158">
        <f t="shared" si="13"/>
        <v>9.0499999999999997E-2</v>
      </c>
      <c r="S29" s="1158">
        <f t="shared" si="13"/>
        <v>0.17180000000000001</v>
      </c>
      <c r="T29" s="1158">
        <f t="shared" si="13"/>
        <v>7.1900000000000006E-2</v>
      </c>
      <c r="U29" s="1158">
        <f t="shared" si="13"/>
        <v>6.7599999999999993E-2</v>
      </c>
      <c r="V29" s="1158">
        <f t="shared" si="13"/>
        <v>8.2900000000000001E-2</v>
      </c>
      <c r="W29" s="1158">
        <f t="shared" si="13"/>
        <v>3.7199999999999997E-2</v>
      </c>
      <c r="X29" s="1158">
        <f t="shared" si="13"/>
        <v>2.1600000000000001E-2</v>
      </c>
      <c r="Y29" s="1158">
        <f t="shared" si="13"/>
        <v>2.7400000000000001E-2</v>
      </c>
      <c r="Z29" s="1158">
        <f t="shared" si="13"/>
        <v>5.1000000000000004E-3</v>
      </c>
      <c r="AA29" s="1158">
        <f t="shared" si="13"/>
        <v>5.7000000000000002E-3</v>
      </c>
      <c r="AB29" s="1158">
        <f t="shared" si="13"/>
        <v>1.1999999999999999E-3</v>
      </c>
      <c r="AC29" s="1158">
        <f t="shared" si="13"/>
        <v>1E-4</v>
      </c>
      <c r="AE29" s="1160"/>
      <c r="AF29" s="1011" t="str">
        <f t="shared" si="3"/>
        <v>%let mcnf1984=0.3527;</v>
      </c>
      <c r="AG29" s="1160"/>
      <c r="AH29" s="1160"/>
      <c r="AI29" s="1161"/>
      <c r="AJ29" s="1161"/>
    </row>
    <row r="30" spans="1:36" x14ac:dyDescent="0.3">
      <c r="A30" s="268">
        <f t="shared" si="11"/>
        <v>1985</v>
      </c>
      <c r="B30" s="1158">
        <f t="shared" si="7"/>
        <v>0.32729999999999992</v>
      </c>
      <c r="C30" s="1158">
        <f t="shared" si="12"/>
        <v>0.1008</v>
      </c>
      <c r="D30" s="1158">
        <f t="shared" si="12"/>
        <v>0.1943</v>
      </c>
      <c r="E30" s="1158">
        <f t="shared" si="12"/>
        <v>8.4000000000000005E-2</v>
      </c>
      <c r="F30" s="1158">
        <f t="shared" si="12"/>
        <v>7.7299999999999994E-2</v>
      </c>
      <c r="G30" s="1158">
        <f t="shared" si="12"/>
        <v>0.10009999999999999</v>
      </c>
      <c r="H30" s="1158">
        <f t="shared" si="12"/>
        <v>4.2000000000000003E-2</v>
      </c>
      <c r="I30" s="1158">
        <f t="shared" si="12"/>
        <v>2.7199999999999998E-2</v>
      </c>
      <c r="J30" s="1158">
        <f t="shared" si="12"/>
        <v>3.32E-2</v>
      </c>
      <c r="K30" s="1158">
        <f t="shared" si="12"/>
        <v>5.5999999999999999E-3</v>
      </c>
      <c r="L30" s="1158">
        <f t="shared" si="12"/>
        <v>6.1999999999999998E-3</v>
      </c>
      <c r="M30" s="1158">
        <f t="shared" si="12"/>
        <v>1.8E-3</v>
      </c>
      <c r="N30" s="1158">
        <f t="shared" si="12"/>
        <v>2.0000000000000001E-4</v>
      </c>
      <c r="O30" s="1159"/>
      <c r="P30" s="1159"/>
      <c r="Q30" s="1158">
        <f t="shared" si="10"/>
        <v>0.39240000000000008</v>
      </c>
      <c r="R30" s="1158">
        <f t="shared" si="13"/>
        <v>0.1051</v>
      </c>
      <c r="S30" s="1158">
        <f t="shared" si="13"/>
        <v>0.17680000000000001</v>
      </c>
      <c r="T30" s="1158">
        <f t="shared" si="13"/>
        <v>7.2300000000000003E-2</v>
      </c>
      <c r="U30" s="1158">
        <f t="shared" si="13"/>
        <v>6.6799999999999998E-2</v>
      </c>
      <c r="V30" s="1158">
        <f t="shared" si="13"/>
        <v>8.4900000000000003E-2</v>
      </c>
      <c r="W30" s="1158">
        <f t="shared" si="13"/>
        <v>3.6600000000000001E-2</v>
      </c>
      <c r="X30" s="1158">
        <f t="shared" si="13"/>
        <v>2.3300000000000001E-2</v>
      </c>
      <c r="Y30" s="1158">
        <f t="shared" si="13"/>
        <v>2.9899999999999999E-2</v>
      </c>
      <c r="Z30" s="1158">
        <f t="shared" si="13"/>
        <v>4.7999999999999996E-3</v>
      </c>
      <c r="AA30" s="1158">
        <f t="shared" si="13"/>
        <v>5.4999999999999997E-3</v>
      </c>
      <c r="AB30" s="1158">
        <f t="shared" si="13"/>
        <v>1.5E-3</v>
      </c>
      <c r="AC30" s="1158">
        <f t="shared" si="13"/>
        <v>1E-4</v>
      </c>
      <c r="AE30" s="12"/>
      <c r="AF30" s="1011" t="str">
        <f t="shared" si="3"/>
        <v>%let mcnf1985=0.3273;</v>
      </c>
      <c r="AG30" s="12"/>
      <c r="AH30" s="12"/>
      <c r="AI30" s="12"/>
      <c r="AJ30" s="12"/>
    </row>
    <row r="31" spans="1:36" x14ac:dyDescent="0.3">
      <c r="A31" s="268">
        <f t="shared" si="11"/>
        <v>1986</v>
      </c>
      <c r="B31" s="1158">
        <f t="shared" si="7"/>
        <v>0.31499999999999995</v>
      </c>
      <c r="C31" s="1158">
        <f t="shared" si="12"/>
        <v>0.105</v>
      </c>
      <c r="D31" s="1158">
        <f t="shared" si="12"/>
        <v>0.2019</v>
      </c>
      <c r="E31" s="1158">
        <f t="shared" si="12"/>
        <v>8.7800000000000003E-2</v>
      </c>
      <c r="F31" s="1158">
        <f t="shared" si="12"/>
        <v>7.6100000000000001E-2</v>
      </c>
      <c r="G31" s="1158">
        <f t="shared" si="12"/>
        <v>9.9299999999999999E-2</v>
      </c>
      <c r="H31" s="1158">
        <f t="shared" si="12"/>
        <v>4.2700000000000002E-2</v>
      </c>
      <c r="I31" s="1158">
        <f t="shared" si="12"/>
        <v>2.58E-2</v>
      </c>
      <c r="J31" s="1158">
        <f t="shared" si="12"/>
        <v>3.1399999999999997E-2</v>
      </c>
      <c r="K31" s="1158">
        <f t="shared" si="12"/>
        <v>6.6E-3</v>
      </c>
      <c r="L31" s="1158">
        <f t="shared" si="12"/>
        <v>6.7999999999999996E-3</v>
      </c>
      <c r="M31" s="1158">
        <f t="shared" si="12"/>
        <v>1.4E-3</v>
      </c>
      <c r="N31" s="1158">
        <f t="shared" si="12"/>
        <v>2.0000000000000001E-4</v>
      </c>
      <c r="O31" s="1159"/>
      <c r="P31" s="1159"/>
      <c r="Q31" s="1158">
        <f t="shared" si="10"/>
        <v>0.38059999999999994</v>
      </c>
      <c r="R31" s="1158">
        <f t="shared" si="13"/>
        <v>0.1095</v>
      </c>
      <c r="S31" s="1158">
        <f t="shared" si="13"/>
        <v>0.1837</v>
      </c>
      <c r="T31" s="1158">
        <f t="shared" si="13"/>
        <v>7.5600000000000001E-2</v>
      </c>
      <c r="U31" s="1158">
        <f t="shared" si="13"/>
        <v>6.5699999999999995E-2</v>
      </c>
      <c r="V31" s="1158">
        <f t="shared" si="13"/>
        <v>8.43E-2</v>
      </c>
      <c r="W31" s="1158">
        <f t="shared" si="13"/>
        <v>3.7199999999999997E-2</v>
      </c>
      <c r="X31" s="1158">
        <f t="shared" si="13"/>
        <v>2.2100000000000002E-2</v>
      </c>
      <c r="Y31" s="1158">
        <f t="shared" si="13"/>
        <v>2.8400000000000002E-2</v>
      </c>
      <c r="Z31" s="1158">
        <f t="shared" si="13"/>
        <v>5.5999999999999999E-3</v>
      </c>
      <c r="AA31" s="1158">
        <f t="shared" si="13"/>
        <v>6.0000000000000001E-3</v>
      </c>
      <c r="AB31" s="1158">
        <f t="shared" si="13"/>
        <v>1.1999999999999999E-3</v>
      </c>
      <c r="AC31" s="1158">
        <f t="shared" si="13"/>
        <v>1E-4</v>
      </c>
      <c r="AE31" s="12"/>
      <c r="AF31" s="1011" t="str">
        <f t="shared" si="3"/>
        <v>%let mcnf1986=0.315;</v>
      </c>
      <c r="AG31" s="12"/>
      <c r="AH31" s="12"/>
      <c r="AI31" s="12"/>
      <c r="AJ31" s="12"/>
    </row>
    <row r="32" spans="1:36" x14ac:dyDescent="0.3">
      <c r="A32" s="268">
        <f t="shared" si="11"/>
        <v>1987</v>
      </c>
      <c r="B32" s="1158">
        <f t="shared" si="7"/>
        <v>0.30900000000000016</v>
      </c>
      <c r="C32" s="1158">
        <f t="shared" si="12"/>
        <v>0.1004</v>
      </c>
      <c r="D32" s="1158">
        <f t="shared" si="12"/>
        <v>0.20979999999999999</v>
      </c>
      <c r="E32" s="1158">
        <f t="shared" si="12"/>
        <v>0.09</v>
      </c>
      <c r="F32" s="1158">
        <f t="shared" si="12"/>
        <v>7.7200000000000005E-2</v>
      </c>
      <c r="G32" s="1158">
        <f t="shared" si="12"/>
        <v>0.1017</v>
      </c>
      <c r="H32" s="1158">
        <f t="shared" si="12"/>
        <v>4.53E-2</v>
      </c>
      <c r="I32" s="1158">
        <f t="shared" si="12"/>
        <v>2.5600000000000001E-2</v>
      </c>
      <c r="J32" s="1158">
        <f t="shared" si="12"/>
        <v>2.9399999999999999E-2</v>
      </c>
      <c r="K32" s="1158">
        <f t="shared" si="12"/>
        <v>5.3E-3</v>
      </c>
      <c r="L32" s="1158">
        <f t="shared" si="12"/>
        <v>4.7999999999999996E-3</v>
      </c>
      <c r="M32" s="1158">
        <f t="shared" si="12"/>
        <v>1.2999999999999999E-3</v>
      </c>
      <c r="N32" s="1158">
        <f t="shared" si="12"/>
        <v>2.0000000000000001E-4</v>
      </c>
      <c r="O32" s="1159"/>
      <c r="P32" s="1159"/>
      <c r="Q32" s="1158">
        <f t="shared" si="10"/>
        <v>0.37630000000000008</v>
      </c>
      <c r="R32" s="1158">
        <f t="shared" si="13"/>
        <v>0.1046</v>
      </c>
      <c r="S32" s="1158">
        <f t="shared" si="13"/>
        <v>0.19089999999999999</v>
      </c>
      <c r="T32" s="1158">
        <f t="shared" si="13"/>
        <v>7.7499999999999999E-2</v>
      </c>
      <c r="U32" s="1158">
        <f t="shared" si="13"/>
        <v>6.6600000000000006E-2</v>
      </c>
      <c r="V32" s="1158">
        <f t="shared" si="13"/>
        <v>8.6300000000000002E-2</v>
      </c>
      <c r="W32" s="1158">
        <f t="shared" si="13"/>
        <v>3.95E-2</v>
      </c>
      <c r="X32" s="1158">
        <f t="shared" si="13"/>
        <v>2.1999999999999999E-2</v>
      </c>
      <c r="Y32" s="1158">
        <f t="shared" si="13"/>
        <v>2.6499999999999999E-2</v>
      </c>
      <c r="Z32" s="1158">
        <f t="shared" si="13"/>
        <v>4.4999999999999997E-3</v>
      </c>
      <c r="AA32" s="1158">
        <f t="shared" si="13"/>
        <v>4.1999999999999997E-3</v>
      </c>
      <c r="AB32" s="1158">
        <f t="shared" si="13"/>
        <v>1E-3</v>
      </c>
      <c r="AC32" s="1158">
        <f t="shared" si="13"/>
        <v>1E-4</v>
      </c>
      <c r="AE32" s="12"/>
      <c r="AF32" s="1011" t="str">
        <f t="shared" si="3"/>
        <v>%let mcnf1987=0.309;</v>
      </c>
      <c r="AG32" s="12"/>
      <c r="AH32" s="12"/>
      <c r="AI32" s="12"/>
      <c r="AJ32" s="12"/>
    </row>
    <row r="33" spans="1:32" x14ac:dyDescent="0.3">
      <c r="A33" s="268">
        <f t="shared" si="11"/>
        <v>1988</v>
      </c>
      <c r="B33" s="1158">
        <f t="shared" si="7"/>
        <v>0.31110000000000015</v>
      </c>
      <c r="C33" s="1158">
        <f t="shared" si="12"/>
        <v>9.35E-2</v>
      </c>
      <c r="D33" s="1158">
        <f t="shared" si="12"/>
        <v>0.21110000000000001</v>
      </c>
      <c r="E33" s="1158">
        <f t="shared" si="12"/>
        <v>9.06E-2</v>
      </c>
      <c r="F33" s="1158">
        <f t="shared" si="12"/>
        <v>7.6799999999999993E-2</v>
      </c>
      <c r="G33" s="1158">
        <f t="shared" si="12"/>
        <v>0.1036</v>
      </c>
      <c r="H33" s="1158">
        <f t="shared" si="12"/>
        <v>5.0500000000000003E-2</v>
      </c>
      <c r="I33" s="1158">
        <f t="shared" si="12"/>
        <v>2.3699999999999999E-2</v>
      </c>
      <c r="J33" s="1158">
        <f t="shared" si="12"/>
        <v>2.7799999999999998E-2</v>
      </c>
      <c r="K33" s="1158">
        <f t="shared" si="12"/>
        <v>5.3E-3</v>
      </c>
      <c r="L33" s="1158">
        <f t="shared" si="12"/>
        <v>4.4999999999999997E-3</v>
      </c>
      <c r="M33" s="1158">
        <f t="shared" si="12"/>
        <v>1.2999999999999999E-3</v>
      </c>
      <c r="N33" s="1158">
        <f t="shared" si="12"/>
        <v>2.0000000000000001E-4</v>
      </c>
      <c r="O33" s="1159"/>
      <c r="P33" s="1159"/>
      <c r="Q33" s="1158">
        <f t="shared" si="10"/>
        <v>0.37920000000000009</v>
      </c>
      <c r="R33" s="1158">
        <f t="shared" si="13"/>
        <v>9.74E-2</v>
      </c>
      <c r="S33" s="1158">
        <f t="shared" si="13"/>
        <v>0.19209999999999999</v>
      </c>
      <c r="T33" s="1158">
        <f t="shared" si="13"/>
        <v>7.8E-2</v>
      </c>
      <c r="U33" s="1158">
        <f t="shared" si="13"/>
        <v>6.6299999999999998E-2</v>
      </c>
      <c r="V33" s="1158">
        <f t="shared" si="13"/>
        <v>8.7900000000000006E-2</v>
      </c>
      <c r="W33" s="1158">
        <f t="shared" si="13"/>
        <v>4.3999999999999997E-2</v>
      </c>
      <c r="X33" s="1158">
        <f t="shared" si="13"/>
        <v>2.0299999999999999E-2</v>
      </c>
      <c r="Y33" s="1158">
        <f t="shared" si="13"/>
        <v>2.5100000000000001E-2</v>
      </c>
      <c r="Z33" s="1158">
        <f t="shared" si="13"/>
        <v>4.4999999999999997E-3</v>
      </c>
      <c r="AA33" s="1158">
        <f t="shared" si="13"/>
        <v>4.0000000000000001E-3</v>
      </c>
      <c r="AB33" s="1158">
        <f t="shared" si="13"/>
        <v>1.1000000000000001E-3</v>
      </c>
      <c r="AC33" s="1158">
        <f t="shared" si="13"/>
        <v>1E-4</v>
      </c>
      <c r="AF33" s="1011" t="str">
        <f t="shared" si="3"/>
        <v>%let mcnf1988=0.3111;</v>
      </c>
    </row>
    <row r="34" spans="1:32" x14ac:dyDescent="0.3">
      <c r="A34" s="268">
        <f t="shared" si="11"/>
        <v>1989</v>
      </c>
      <c r="B34" s="1158">
        <f t="shared" si="7"/>
        <v>0.30869999999999997</v>
      </c>
      <c r="C34" s="1158">
        <f t="shared" si="12"/>
        <v>8.9700000000000002E-2</v>
      </c>
      <c r="D34" s="1158">
        <f t="shared" si="12"/>
        <v>0.20610000000000001</v>
      </c>
      <c r="E34" s="1158">
        <f t="shared" si="12"/>
        <v>9.1499999999999998E-2</v>
      </c>
      <c r="F34" s="1158">
        <f t="shared" si="12"/>
        <v>7.5600000000000001E-2</v>
      </c>
      <c r="G34" s="1158">
        <f t="shared" si="12"/>
        <v>0.1074</v>
      </c>
      <c r="H34" s="1158">
        <f t="shared" si="12"/>
        <v>5.5599999999999997E-2</v>
      </c>
      <c r="I34" s="1158">
        <f t="shared" si="12"/>
        <v>2.5100000000000001E-2</v>
      </c>
      <c r="J34" s="1158">
        <f t="shared" si="12"/>
        <v>2.9899999999999999E-2</v>
      </c>
      <c r="K34" s="1158">
        <f t="shared" si="12"/>
        <v>4.5999999999999999E-3</v>
      </c>
      <c r="L34" s="1158">
        <f t="shared" si="12"/>
        <v>4.4000000000000003E-3</v>
      </c>
      <c r="M34" s="1158">
        <f t="shared" si="12"/>
        <v>1.1999999999999999E-3</v>
      </c>
      <c r="N34" s="1158">
        <f t="shared" si="12"/>
        <v>2.0000000000000001E-4</v>
      </c>
      <c r="O34" s="1159"/>
      <c r="P34" s="1159"/>
      <c r="Q34" s="1158">
        <f t="shared" si="10"/>
        <v>0.378</v>
      </c>
      <c r="R34" s="1158">
        <f t="shared" si="13"/>
        <v>9.35E-2</v>
      </c>
      <c r="S34" s="1158">
        <f t="shared" si="13"/>
        <v>0.1875</v>
      </c>
      <c r="T34" s="1158">
        <f t="shared" si="13"/>
        <v>7.8700000000000006E-2</v>
      </c>
      <c r="U34" s="1158">
        <f t="shared" si="13"/>
        <v>6.5299999999999997E-2</v>
      </c>
      <c r="V34" s="1158">
        <f t="shared" si="13"/>
        <v>9.11E-2</v>
      </c>
      <c r="W34" s="1158">
        <f t="shared" si="13"/>
        <v>4.8500000000000001E-2</v>
      </c>
      <c r="X34" s="1158">
        <f t="shared" si="13"/>
        <v>2.1499999999999998E-2</v>
      </c>
      <c r="Y34" s="1158">
        <f t="shared" si="13"/>
        <v>2.7E-2</v>
      </c>
      <c r="Z34" s="1158">
        <f t="shared" si="13"/>
        <v>3.8999999999999998E-3</v>
      </c>
      <c r="AA34" s="1158">
        <f t="shared" si="13"/>
        <v>3.8999999999999998E-3</v>
      </c>
      <c r="AB34" s="1158">
        <f t="shared" si="13"/>
        <v>1E-3</v>
      </c>
      <c r="AC34" s="1158">
        <f t="shared" si="13"/>
        <v>1E-4</v>
      </c>
      <c r="AF34" s="1011" t="str">
        <f t="shared" si="3"/>
        <v>%let mcnf1989=0.3087;</v>
      </c>
    </row>
    <row r="35" spans="1:32" x14ac:dyDescent="0.3">
      <c r="A35" s="268">
        <f t="shared" si="11"/>
        <v>1990</v>
      </c>
      <c r="B35" s="1158">
        <f t="shared" si="7"/>
        <v>0.29480000000000006</v>
      </c>
      <c r="C35" s="1158">
        <f t="shared" si="12"/>
        <v>9.0999999999999998E-2</v>
      </c>
      <c r="D35" s="1158">
        <f t="shared" si="12"/>
        <v>0.21099999999999999</v>
      </c>
      <c r="E35" s="1158">
        <f t="shared" si="12"/>
        <v>9.0800000000000006E-2</v>
      </c>
      <c r="F35" s="1158">
        <f t="shared" si="12"/>
        <v>8.09E-2</v>
      </c>
      <c r="G35" s="1158">
        <f t="shared" si="12"/>
        <v>0.11119999999999999</v>
      </c>
      <c r="H35" s="1158">
        <f t="shared" si="12"/>
        <v>5.5100000000000003E-2</v>
      </c>
      <c r="I35" s="1158">
        <f t="shared" si="12"/>
        <v>2.6499999999999999E-2</v>
      </c>
      <c r="J35" s="1158">
        <f t="shared" si="12"/>
        <v>2.87E-2</v>
      </c>
      <c r="K35" s="1158">
        <f t="shared" si="12"/>
        <v>4.5999999999999999E-3</v>
      </c>
      <c r="L35" s="1158">
        <f t="shared" si="12"/>
        <v>4.1999999999999997E-3</v>
      </c>
      <c r="M35" s="1158">
        <f t="shared" si="12"/>
        <v>1.1000000000000001E-3</v>
      </c>
      <c r="N35" s="1158">
        <f t="shared" si="12"/>
        <v>1E-4</v>
      </c>
      <c r="O35" s="1159"/>
      <c r="P35" s="1159"/>
      <c r="Q35" s="1158">
        <f t="shared" si="10"/>
        <v>0.36559999999999981</v>
      </c>
      <c r="R35" s="1158">
        <f t="shared" si="13"/>
        <v>9.4899999999999998E-2</v>
      </c>
      <c r="S35" s="1158">
        <f t="shared" si="13"/>
        <v>0.19189999999999999</v>
      </c>
      <c r="T35" s="1158">
        <f t="shared" si="13"/>
        <v>7.8100000000000003E-2</v>
      </c>
      <c r="U35" s="1158">
        <f t="shared" si="13"/>
        <v>6.9800000000000001E-2</v>
      </c>
      <c r="V35" s="1158">
        <f t="shared" si="13"/>
        <v>9.4399999999999998E-2</v>
      </c>
      <c r="W35" s="1158">
        <f t="shared" si="13"/>
        <v>4.8000000000000001E-2</v>
      </c>
      <c r="X35" s="1158">
        <f t="shared" si="13"/>
        <v>2.2700000000000001E-2</v>
      </c>
      <c r="Y35" s="1158">
        <f t="shared" si="13"/>
        <v>2.5899999999999999E-2</v>
      </c>
      <c r="Z35" s="1158">
        <f t="shared" si="13"/>
        <v>4.0000000000000001E-3</v>
      </c>
      <c r="AA35" s="1158">
        <f t="shared" si="13"/>
        <v>3.7000000000000002E-3</v>
      </c>
      <c r="AB35" s="1158">
        <f t="shared" si="13"/>
        <v>8.9999999999999998E-4</v>
      </c>
      <c r="AC35" s="1158">
        <f t="shared" si="13"/>
        <v>1E-4</v>
      </c>
      <c r="AF35" s="1011" t="str">
        <f t="shared" si="3"/>
        <v>%let mcnf1990=0.2948;</v>
      </c>
    </row>
    <row r="36" spans="1:32" x14ac:dyDescent="0.3">
      <c r="A36" s="268">
        <f t="shared" si="11"/>
        <v>1991</v>
      </c>
      <c r="B36" s="1158">
        <f t="shared" si="7"/>
        <v>0.28800000000000003</v>
      </c>
      <c r="C36" s="1158">
        <f t="shared" si="12"/>
        <v>9.6100000000000005E-2</v>
      </c>
      <c r="D36" s="1158">
        <f t="shared" si="12"/>
        <v>0.2142</v>
      </c>
      <c r="E36" s="1158">
        <f t="shared" si="12"/>
        <v>8.8999999999999996E-2</v>
      </c>
      <c r="F36" s="1158">
        <f t="shared" si="12"/>
        <v>8.0399999999999999E-2</v>
      </c>
      <c r="G36" s="1158">
        <f t="shared" si="12"/>
        <v>0.11269999999999999</v>
      </c>
      <c r="H36" s="1158">
        <f t="shared" si="12"/>
        <v>5.6099999999999997E-2</v>
      </c>
      <c r="I36" s="1158">
        <f t="shared" si="12"/>
        <v>2.75E-2</v>
      </c>
      <c r="J36" s="1158">
        <f t="shared" si="12"/>
        <v>2.6599999999999999E-2</v>
      </c>
      <c r="K36" s="1158">
        <f t="shared" si="12"/>
        <v>4.0000000000000001E-3</v>
      </c>
      <c r="L36" s="1158">
        <f t="shared" si="12"/>
        <v>4.1999999999999997E-3</v>
      </c>
      <c r="M36" s="1158">
        <f t="shared" si="12"/>
        <v>1.1000000000000001E-3</v>
      </c>
      <c r="N36" s="1158">
        <f t="shared" si="12"/>
        <v>1E-4</v>
      </c>
      <c r="O36" s="1159"/>
      <c r="P36" s="1159"/>
      <c r="Q36" s="1158">
        <f t="shared" si="10"/>
        <v>0.35870000000000013</v>
      </c>
      <c r="R36" s="1158">
        <f t="shared" si="13"/>
        <v>0.10009999999999999</v>
      </c>
      <c r="S36" s="1158">
        <f t="shared" si="13"/>
        <v>0.19489999999999999</v>
      </c>
      <c r="T36" s="1158">
        <f t="shared" si="13"/>
        <v>7.6600000000000001E-2</v>
      </c>
      <c r="U36" s="1158">
        <f t="shared" si="13"/>
        <v>6.9400000000000003E-2</v>
      </c>
      <c r="V36" s="1158">
        <f t="shared" si="13"/>
        <v>9.5600000000000004E-2</v>
      </c>
      <c r="W36" s="1158">
        <f t="shared" si="13"/>
        <v>4.8899999999999999E-2</v>
      </c>
      <c r="X36" s="1158">
        <f t="shared" si="13"/>
        <v>2.3599999999999999E-2</v>
      </c>
      <c r="Y36" s="1158">
        <f t="shared" si="13"/>
        <v>2.4E-2</v>
      </c>
      <c r="Z36" s="1158">
        <f t="shared" si="13"/>
        <v>3.5000000000000001E-3</v>
      </c>
      <c r="AA36" s="1158">
        <f t="shared" si="13"/>
        <v>3.7000000000000002E-3</v>
      </c>
      <c r="AB36" s="1158">
        <f t="shared" si="13"/>
        <v>8.9999999999999998E-4</v>
      </c>
      <c r="AC36" s="1158">
        <f t="shared" si="13"/>
        <v>1E-4</v>
      </c>
      <c r="AF36" s="1011" t="str">
        <f t="shared" si="3"/>
        <v>%let mcnf1991=0.288;</v>
      </c>
    </row>
    <row r="37" spans="1:32" x14ac:dyDescent="0.3">
      <c r="A37" s="268">
        <f t="shared" si="11"/>
        <v>1992</v>
      </c>
      <c r="B37" s="1158">
        <f t="shared" si="7"/>
        <v>0.31140000000000012</v>
      </c>
      <c r="C37" s="1158">
        <f t="shared" si="12"/>
        <v>9.8599999999999993E-2</v>
      </c>
      <c r="D37" s="1158">
        <f t="shared" si="12"/>
        <v>0.20519999999999999</v>
      </c>
      <c r="E37" s="1158">
        <f t="shared" si="12"/>
        <v>9.1200000000000003E-2</v>
      </c>
      <c r="F37" s="1158">
        <f t="shared" si="12"/>
        <v>7.0999999999999994E-2</v>
      </c>
      <c r="G37" s="1158">
        <f t="shared" si="12"/>
        <v>0.1053</v>
      </c>
      <c r="H37" s="1158">
        <f t="shared" si="12"/>
        <v>5.6399999999999999E-2</v>
      </c>
      <c r="I37" s="1158">
        <f t="shared" si="12"/>
        <v>2.6599999999999999E-2</v>
      </c>
      <c r="J37" s="1158">
        <f t="shared" si="12"/>
        <v>2.5499999999999998E-2</v>
      </c>
      <c r="K37" s="1158">
        <f t="shared" si="12"/>
        <v>4.0000000000000001E-3</v>
      </c>
      <c r="L37" s="1158">
        <f t="shared" si="12"/>
        <v>3.7000000000000002E-3</v>
      </c>
      <c r="M37" s="1158">
        <f t="shared" si="12"/>
        <v>1E-3</v>
      </c>
      <c r="N37" s="1158">
        <f t="shared" si="12"/>
        <v>1E-4</v>
      </c>
      <c r="O37" s="1159"/>
      <c r="P37" s="1159"/>
      <c r="Q37" s="1158">
        <f t="shared" si="10"/>
        <v>0.37849999999999995</v>
      </c>
      <c r="R37" s="1158">
        <f t="shared" si="13"/>
        <v>0.1028</v>
      </c>
      <c r="S37" s="1158">
        <f t="shared" si="13"/>
        <v>0.1867</v>
      </c>
      <c r="T37" s="1158">
        <f t="shared" si="13"/>
        <v>7.85E-2</v>
      </c>
      <c r="U37" s="1158">
        <f t="shared" si="13"/>
        <v>6.1400000000000003E-2</v>
      </c>
      <c r="V37" s="1158">
        <f t="shared" si="13"/>
        <v>8.9399999999999993E-2</v>
      </c>
      <c r="W37" s="1158">
        <f t="shared" si="13"/>
        <v>4.9200000000000001E-2</v>
      </c>
      <c r="X37" s="1158">
        <f t="shared" si="13"/>
        <v>2.29E-2</v>
      </c>
      <c r="Y37" s="1158">
        <f t="shared" si="13"/>
        <v>2.3E-2</v>
      </c>
      <c r="Z37" s="1158">
        <f t="shared" si="13"/>
        <v>3.3999999999999998E-3</v>
      </c>
      <c r="AA37" s="1158">
        <f t="shared" si="13"/>
        <v>3.2000000000000002E-3</v>
      </c>
      <c r="AB37" s="1158">
        <f t="shared" si="13"/>
        <v>8.9999999999999998E-4</v>
      </c>
      <c r="AC37" s="1158">
        <f t="shared" si="13"/>
        <v>1E-4</v>
      </c>
      <c r="AF37" s="1011" t="str">
        <f t="shared" si="3"/>
        <v>%let mcnf1992=0.3114;</v>
      </c>
    </row>
    <row r="38" spans="1:32" x14ac:dyDescent="0.3">
      <c r="A38" s="268">
        <f t="shared" si="11"/>
        <v>1993</v>
      </c>
      <c r="B38" s="1158">
        <f t="shared" si="7"/>
        <v>0.32440000000000013</v>
      </c>
      <c r="C38" s="1158">
        <f t="shared" si="12"/>
        <v>0.1024</v>
      </c>
      <c r="D38" s="1158">
        <f t="shared" si="12"/>
        <v>0.1983</v>
      </c>
      <c r="E38" s="1158">
        <f t="shared" si="12"/>
        <v>8.9300000000000004E-2</v>
      </c>
      <c r="F38" s="1158">
        <f t="shared" si="12"/>
        <v>6.6699999999999995E-2</v>
      </c>
      <c r="G38" s="1158">
        <f t="shared" si="12"/>
        <v>0.10639999999999999</v>
      </c>
      <c r="H38" s="1158">
        <f t="shared" si="12"/>
        <v>5.2600000000000001E-2</v>
      </c>
      <c r="I38" s="1158">
        <f t="shared" si="12"/>
        <v>2.5899999999999999E-2</v>
      </c>
      <c r="J38" s="1158">
        <f t="shared" si="12"/>
        <v>2.5399999999999999E-2</v>
      </c>
      <c r="K38" s="1158">
        <f t="shared" si="12"/>
        <v>4.1000000000000003E-3</v>
      </c>
      <c r="L38" s="1158">
        <f t="shared" si="12"/>
        <v>3.3999999999999998E-3</v>
      </c>
      <c r="M38" s="1158">
        <f t="shared" si="12"/>
        <v>1E-3</v>
      </c>
      <c r="N38" s="1158">
        <f t="shared" si="12"/>
        <v>1E-4</v>
      </c>
      <c r="O38" s="1159"/>
      <c r="P38" s="1159"/>
      <c r="Q38" s="1158">
        <f t="shared" si="10"/>
        <v>0.38970000000000005</v>
      </c>
      <c r="R38" s="1158">
        <f t="shared" si="13"/>
        <v>0.1067</v>
      </c>
      <c r="S38" s="1158">
        <f t="shared" si="13"/>
        <v>0.1804</v>
      </c>
      <c r="T38" s="1158">
        <f t="shared" si="13"/>
        <v>7.6899999999999996E-2</v>
      </c>
      <c r="U38" s="1158">
        <f t="shared" si="13"/>
        <v>5.7599999999999998E-2</v>
      </c>
      <c r="V38" s="1158">
        <f t="shared" si="13"/>
        <v>9.0300000000000005E-2</v>
      </c>
      <c r="W38" s="1158">
        <f t="shared" si="13"/>
        <v>4.58E-2</v>
      </c>
      <c r="X38" s="1158">
        <f t="shared" si="13"/>
        <v>2.2200000000000001E-2</v>
      </c>
      <c r="Y38" s="1158">
        <f t="shared" si="13"/>
        <v>2.29E-2</v>
      </c>
      <c r="Z38" s="1158">
        <f t="shared" si="13"/>
        <v>3.5000000000000001E-3</v>
      </c>
      <c r="AA38" s="1158">
        <f t="shared" si="13"/>
        <v>3.0000000000000001E-3</v>
      </c>
      <c r="AB38" s="1158">
        <f t="shared" si="13"/>
        <v>8.9999999999999998E-4</v>
      </c>
      <c r="AC38" s="1158">
        <f t="shared" si="13"/>
        <v>1E-4</v>
      </c>
      <c r="AF38" s="1011" t="str">
        <f t="shared" si="3"/>
        <v>%let mcnf1993=0.3244;</v>
      </c>
    </row>
    <row r="39" spans="1:32" x14ac:dyDescent="0.3">
      <c r="A39" s="268">
        <f t="shared" si="11"/>
        <v>1994</v>
      </c>
      <c r="B39" s="1158">
        <f t="shared" si="7"/>
        <v>0.33110000000000017</v>
      </c>
      <c r="C39" s="1158">
        <f t="shared" si="12"/>
        <v>0.1043</v>
      </c>
      <c r="D39" s="1158">
        <f t="shared" si="12"/>
        <v>0.19539999999999999</v>
      </c>
      <c r="E39" s="1158">
        <f t="shared" si="12"/>
        <v>8.9899999999999994E-2</v>
      </c>
      <c r="F39" s="1158">
        <f t="shared" si="12"/>
        <v>6.2100000000000002E-2</v>
      </c>
      <c r="G39" s="1158">
        <f t="shared" si="12"/>
        <v>9.9500000000000005E-2</v>
      </c>
      <c r="H39" s="1158">
        <f t="shared" si="12"/>
        <v>4.9500000000000002E-2</v>
      </c>
      <c r="I39" s="1158">
        <f t="shared" si="12"/>
        <v>2.9499999999999998E-2</v>
      </c>
      <c r="J39" s="1158">
        <f t="shared" si="12"/>
        <v>2.9399999999999999E-2</v>
      </c>
      <c r="K39" s="1158">
        <f t="shared" si="12"/>
        <v>4.4999999999999997E-3</v>
      </c>
      <c r="L39" s="1158">
        <f t="shared" si="12"/>
        <v>3.5999999999999999E-3</v>
      </c>
      <c r="M39" s="1158">
        <f t="shared" si="12"/>
        <v>1.1000000000000001E-3</v>
      </c>
      <c r="N39" s="1158">
        <f t="shared" si="12"/>
        <v>1E-4</v>
      </c>
      <c r="O39" s="1159"/>
      <c r="P39" s="1159"/>
      <c r="Q39" s="1158">
        <f t="shared" si="10"/>
        <v>0.39510000000000001</v>
      </c>
      <c r="R39" s="1158">
        <f t="shared" si="13"/>
        <v>0.1086</v>
      </c>
      <c r="S39" s="1158">
        <f t="shared" si="13"/>
        <v>0.17780000000000001</v>
      </c>
      <c r="T39" s="1158">
        <f t="shared" si="13"/>
        <v>7.7399999999999997E-2</v>
      </c>
      <c r="U39" s="1158">
        <f t="shared" si="13"/>
        <v>5.3600000000000002E-2</v>
      </c>
      <c r="V39" s="1158">
        <f t="shared" si="13"/>
        <v>8.4500000000000006E-2</v>
      </c>
      <c r="W39" s="1158">
        <f t="shared" si="13"/>
        <v>4.3200000000000002E-2</v>
      </c>
      <c r="X39" s="1158">
        <f t="shared" si="13"/>
        <v>2.53E-2</v>
      </c>
      <c r="Y39" s="1158">
        <f t="shared" si="13"/>
        <v>2.6599999999999999E-2</v>
      </c>
      <c r="Z39" s="1158">
        <f t="shared" si="13"/>
        <v>3.8E-3</v>
      </c>
      <c r="AA39" s="1158">
        <f t="shared" si="13"/>
        <v>3.0999999999999999E-3</v>
      </c>
      <c r="AB39" s="1158">
        <f t="shared" si="13"/>
        <v>8.9999999999999998E-4</v>
      </c>
      <c r="AC39" s="1158">
        <f t="shared" si="13"/>
        <v>1E-4</v>
      </c>
      <c r="AF39" s="1011" t="str">
        <f t="shared" si="3"/>
        <v>%let mcnf1994=0.3311;</v>
      </c>
    </row>
    <row r="40" spans="1:32" x14ac:dyDescent="0.3">
      <c r="A40" s="268">
        <f t="shared" si="11"/>
        <v>1995</v>
      </c>
      <c r="B40" s="1158">
        <f t="shared" si="7"/>
        <v>0.32189999999999996</v>
      </c>
      <c r="C40" s="1158">
        <f t="shared" si="12"/>
        <v>8.8800000000000004E-2</v>
      </c>
      <c r="D40" s="1158">
        <f t="shared" si="12"/>
        <v>0.19420000000000001</v>
      </c>
      <c r="E40" s="1158">
        <f t="shared" si="12"/>
        <v>8.9599999999999999E-2</v>
      </c>
      <c r="F40" s="1158">
        <f t="shared" si="12"/>
        <v>6.7299999999999999E-2</v>
      </c>
      <c r="G40" s="1158">
        <f t="shared" si="12"/>
        <v>0.1069</v>
      </c>
      <c r="H40" s="1158">
        <f t="shared" si="12"/>
        <v>6.0400000000000002E-2</v>
      </c>
      <c r="I40" s="1158">
        <f t="shared" si="12"/>
        <v>3.1899999999999998E-2</v>
      </c>
      <c r="J40" s="1158">
        <f t="shared" si="12"/>
        <v>2.9600000000000001E-2</v>
      </c>
      <c r="K40" s="1158">
        <f t="shared" si="12"/>
        <v>4.4999999999999997E-3</v>
      </c>
      <c r="L40" s="1158">
        <f t="shared" si="12"/>
        <v>3.8E-3</v>
      </c>
      <c r="M40" s="1158">
        <f t="shared" si="12"/>
        <v>1E-3</v>
      </c>
      <c r="N40" s="1158">
        <f t="shared" si="12"/>
        <v>1E-4</v>
      </c>
      <c r="O40" s="1159"/>
      <c r="P40" s="1159"/>
      <c r="Q40" s="1158">
        <f t="shared" si="10"/>
        <v>0.39010000000000011</v>
      </c>
      <c r="R40" s="1158">
        <f t="shared" si="13"/>
        <v>9.2499999999999999E-2</v>
      </c>
      <c r="S40" s="1158">
        <f t="shared" si="13"/>
        <v>0.17660000000000001</v>
      </c>
      <c r="T40" s="1158">
        <f t="shared" si="13"/>
        <v>7.7100000000000002E-2</v>
      </c>
      <c r="U40" s="1158">
        <f t="shared" si="13"/>
        <v>5.8099999999999999E-2</v>
      </c>
      <c r="V40" s="1158">
        <f t="shared" si="13"/>
        <v>9.0700000000000003E-2</v>
      </c>
      <c r="W40" s="1158">
        <f t="shared" si="13"/>
        <v>5.2699999999999997E-2</v>
      </c>
      <c r="X40" s="1158">
        <f t="shared" si="13"/>
        <v>2.7400000000000001E-2</v>
      </c>
      <c r="Y40" s="1158">
        <f t="shared" si="13"/>
        <v>2.6700000000000002E-2</v>
      </c>
      <c r="Z40" s="1158">
        <f t="shared" si="13"/>
        <v>3.8999999999999998E-3</v>
      </c>
      <c r="AA40" s="1158">
        <f t="shared" si="13"/>
        <v>3.3E-3</v>
      </c>
      <c r="AB40" s="1158">
        <f t="shared" si="13"/>
        <v>8.0000000000000004E-4</v>
      </c>
      <c r="AC40" s="1158">
        <f t="shared" si="13"/>
        <v>1E-4</v>
      </c>
      <c r="AF40" s="1011" t="str">
        <f t="shared" si="3"/>
        <v>%let mcnf1995=0.3219;</v>
      </c>
    </row>
    <row r="41" spans="1:32" x14ac:dyDescent="0.3">
      <c r="A41" s="268">
        <f t="shared" si="11"/>
        <v>1996</v>
      </c>
      <c r="B41" s="1158">
        <f t="shared" si="7"/>
        <v>0.32040000000000013</v>
      </c>
      <c r="C41" s="1158">
        <f t="shared" si="12"/>
        <v>8.4500000000000006E-2</v>
      </c>
      <c r="D41" s="1158">
        <f t="shared" si="12"/>
        <v>0.19139999999999999</v>
      </c>
      <c r="E41" s="1158">
        <f t="shared" si="12"/>
        <v>8.6800000000000002E-2</v>
      </c>
      <c r="F41" s="1158">
        <f t="shared" si="12"/>
        <v>6.5000000000000002E-2</v>
      </c>
      <c r="G41" s="1158">
        <f t="shared" si="12"/>
        <v>0.11169999999999999</v>
      </c>
      <c r="H41" s="1158">
        <f t="shared" si="12"/>
        <v>6.1899999999999997E-2</v>
      </c>
      <c r="I41" s="1158">
        <f t="shared" si="12"/>
        <v>3.6400000000000002E-2</v>
      </c>
      <c r="J41" s="1158">
        <f t="shared" si="12"/>
        <v>3.1399999999999997E-2</v>
      </c>
      <c r="K41" s="1158">
        <f t="shared" si="12"/>
        <v>5.1999999999999998E-3</v>
      </c>
      <c r="L41" s="1158">
        <f t="shared" si="12"/>
        <v>4.1000000000000003E-3</v>
      </c>
      <c r="M41" s="1158">
        <f t="shared" si="12"/>
        <v>1.1000000000000001E-3</v>
      </c>
      <c r="N41" s="1158">
        <f t="shared" si="12"/>
        <v>1E-4</v>
      </c>
      <c r="O41" s="1159"/>
      <c r="P41" s="1159"/>
      <c r="Q41" s="1158">
        <f t="shared" si="10"/>
        <v>0.38970000000000005</v>
      </c>
      <c r="R41" s="1158">
        <f t="shared" si="13"/>
        <v>8.8099999999999998E-2</v>
      </c>
      <c r="S41" s="1158">
        <f t="shared" si="13"/>
        <v>0.1741</v>
      </c>
      <c r="T41" s="1158">
        <f t="shared" si="13"/>
        <v>7.4700000000000003E-2</v>
      </c>
      <c r="U41" s="1158">
        <f t="shared" si="13"/>
        <v>5.6099999999999997E-2</v>
      </c>
      <c r="V41" s="1158">
        <f t="shared" si="13"/>
        <v>9.4799999999999995E-2</v>
      </c>
      <c r="W41" s="1158">
        <f t="shared" si="13"/>
        <v>5.3900000000000003E-2</v>
      </c>
      <c r="X41" s="1158">
        <f t="shared" si="13"/>
        <v>3.1199999999999999E-2</v>
      </c>
      <c r="Y41" s="1158">
        <f t="shared" si="13"/>
        <v>2.8299999999999999E-2</v>
      </c>
      <c r="Z41" s="1158">
        <f t="shared" si="13"/>
        <v>4.4999999999999997E-3</v>
      </c>
      <c r="AA41" s="1158">
        <f t="shared" si="13"/>
        <v>3.5999999999999999E-3</v>
      </c>
      <c r="AB41" s="1158">
        <f t="shared" si="13"/>
        <v>8.9999999999999998E-4</v>
      </c>
      <c r="AC41" s="1158">
        <f t="shared" si="13"/>
        <v>1E-4</v>
      </c>
      <c r="AF41" s="1011" t="str">
        <f t="shared" si="3"/>
        <v>%let mcnf1996=0.3204;</v>
      </c>
    </row>
    <row r="42" spans="1:32" x14ac:dyDescent="0.3">
      <c r="A42" s="268">
        <f t="shared" si="11"/>
        <v>1997</v>
      </c>
      <c r="B42" s="1158">
        <f t="shared" si="7"/>
        <v>0.32440000000000002</v>
      </c>
      <c r="C42" s="1158">
        <f t="shared" si="12"/>
        <v>7.8799999999999995E-2</v>
      </c>
      <c r="D42" s="1158">
        <f t="shared" si="12"/>
        <v>0.18640000000000001</v>
      </c>
      <c r="E42" s="1158">
        <f t="shared" si="12"/>
        <v>8.1199999999999994E-2</v>
      </c>
      <c r="F42" s="1158">
        <f t="shared" si="12"/>
        <v>6.4600000000000005E-2</v>
      </c>
      <c r="G42" s="1158">
        <f t="shared" si="12"/>
        <v>0.113</v>
      </c>
      <c r="H42" s="1158">
        <f t="shared" si="12"/>
        <v>6.9800000000000001E-2</v>
      </c>
      <c r="I42" s="1158">
        <f t="shared" si="12"/>
        <v>3.7100000000000001E-2</v>
      </c>
      <c r="J42" s="1158">
        <f t="shared" si="12"/>
        <v>3.4200000000000001E-2</v>
      </c>
      <c r="K42" s="1158">
        <f t="shared" si="12"/>
        <v>5.1000000000000004E-3</v>
      </c>
      <c r="L42" s="1158">
        <f t="shared" si="12"/>
        <v>4.1999999999999997E-3</v>
      </c>
      <c r="M42" s="1158">
        <f t="shared" si="12"/>
        <v>1.1000000000000001E-3</v>
      </c>
      <c r="N42" s="1158">
        <f t="shared" si="12"/>
        <v>1E-4</v>
      </c>
      <c r="O42" s="1159"/>
      <c r="P42" s="1159"/>
      <c r="Q42" s="1158">
        <f t="shared" si="10"/>
        <v>0.39389999999999992</v>
      </c>
      <c r="R42" s="1158">
        <f t="shared" si="13"/>
        <v>8.2100000000000006E-2</v>
      </c>
      <c r="S42" s="1158">
        <f t="shared" si="13"/>
        <v>0.1696</v>
      </c>
      <c r="T42" s="1158">
        <f t="shared" si="13"/>
        <v>6.9900000000000004E-2</v>
      </c>
      <c r="U42" s="1158">
        <f t="shared" si="13"/>
        <v>5.5800000000000002E-2</v>
      </c>
      <c r="V42" s="1158">
        <f t="shared" si="13"/>
        <v>9.5899999999999999E-2</v>
      </c>
      <c r="W42" s="1158">
        <f t="shared" si="13"/>
        <v>6.0900000000000003E-2</v>
      </c>
      <c r="X42" s="1158">
        <f t="shared" si="13"/>
        <v>3.1899999999999998E-2</v>
      </c>
      <c r="Y42" s="1158">
        <f t="shared" si="13"/>
        <v>3.09E-2</v>
      </c>
      <c r="Z42" s="1158">
        <f t="shared" si="13"/>
        <v>4.4000000000000003E-3</v>
      </c>
      <c r="AA42" s="1158">
        <f t="shared" si="13"/>
        <v>3.7000000000000002E-3</v>
      </c>
      <c r="AB42" s="1158">
        <f t="shared" si="13"/>
        <v>8.9999999999999998E-4</v>
      </c>
      <c r="AC42" s="1158">
        <f t="shared" si="13"/>
        <v>1E-4</v>
      </c>
      <c r="AF42" s="1011" t="str">
        <f t="shared" si="3"/>
        <v>%let mcnf1997=0.3244;</v>
      </c>
    </row>
    <row r="43" spans="1:32" x14ac:dyDescent="0.3">
      <c r="A43" s="268">
        <f t="shared" si="11"/>
        <v>1998</v>
      </c>
      <c r="B43" s="1158">
        <f t="shared" si="7"/>
        <v>0.31210000000000004</v>
      </c>
      <c r="C43" s="1158">
        <f t="shared" ref="C43:N58" si="14">ROUND(R112/$AH112,4)</f>
        <v>8.8099999999999998E-2</v>
      </c>
      <c r="D43" s="1158">
        <f t="shared" si="14"/>
        <v>0.1789</v>
      </c>
      <c r="E43" s="1158">
        <f t="shared" si="14"/>
        <v>8.1900000000000001E-2</v>
      </c>
      <c r="F43" s="1158">
        <f t="shared" si="14"/>
        <v>6.3899999999999998E-2</v>
      </c>
      <c r="G43" s="1158">
        <f t="shared" si="14"/>
        <v>0.1197</v>
      </c>
      <c r="H43" s="1158">
        <f t="shared" si="14"/>
        <v>7.1400000000000005E-2</v>
      </c>
      <c r="I43" s="1158">
        <f t="shared" si="14"/>
        <v>3.9300000000000002E-2</v>
      </c>
      <c r="J43" s="1158">
        <f t="shared" si="14"/>
        <v>3.4000000000000002E-2</v>
      </c>
      <c r="K43" s="1158">
        <f t="shared" si="14"/>
        <v>5.1000000000000004E-3</v>
      </c>
      <c r="L43" s="1158">
        <f t="shared" si="14"/>
        <v>4.4000000000000003E-3</v>
      </c>
      <c r="M43" s="1158">
        <f t="shared" si="14"/>
        <v>1.1000000000000001E-3</v>
      </c>
      <c r="N43" s="1158">
        <f t="shared" si="14"/>
        <v>1E-4</v>
      </c>
      <c r="O43" s="1159"/>
      <c r="P43" s="1159"/>
      <c r="Q43" s="1158">
        <f t="shared" si="10"/>
        <v>0.38210000000000011</v>
      </c>
      <c r="R43" s="1158">
        <f>ROUND(R$44*(R112/$AH112)/(R$113/$AH$113),4)</f>
        <v>9.1800000000000007E-2</v>
      </c>
      <c r="S43" s="1158">
        <f t="shared" ref="S43:AC43" si="15">ROUND(S$44*(S112/$AH112)/(S$113/$AH$113),4)</f>
        <v>0.1628</v>
      </c>
      <c r="T43" s="1158">
        <f t="shared" si="15"/>
        <v>7.0499999999999993E-2</v>
      </c>
      <c r="U43" s="1158">
        <f t="shared" si="15"/>
        <v>5.5199999999999999E-2</v>
      </c>
      <c r="V43" s="1158">
        <f t="shared" si="15"/>
        <v>0.1016</v>
      </c>
      <c r="W43" s="1158">
        <f t="shared" si="15"/>
        <v>6.2300000000000001E-2</v>
      </c>
      <c r="X43" s="1158">
        <f t="shared" si="15"/>
        <v>3.3700000000000001E-2</v>
      </c>
      <c r="Y43" s="1158">
        <f t="shared" si="15"/>
        <v>3.0700000000000002E-2</v>
      </c>
      <c r="Z43" s="1158">
        <f t="shared" si="15"/>
        <v>4.4000000000000003E-3</v>
      </c>
      <c r="AA43" s="1158">
        <f t="shared" si="15"/>
        <v>3.8999999999999998E-3</v>
      </c>
      <c r="AB43" s="1158">
        <f t="shared" si="15"/>
        <v>8.9999999999999998E-4</v>
      </c>
      <c r="AC43" s="1158">
        <f t="shared" si="15"/>
        <v>1E-4</v>
      </c>
      <c r="AF43" s="1011" t="str">
        <f t="shared" si="3"/>
        <v>%let mcnf1998=0.3121;</v>
      </c>
    </row>
    <row r="44" spans="1:32" x14ac:dyDescent="0.3">
      <c r="A44" s="268">
        <f t="shared" si="11"/>
        <v>1999</v>
      </c>
      <c r="B44" s="1158">
        <f t="shared" si="7"/>
        <v>0.30060000000000009</v>
      </c>
      <c r="C44" s="1158">
        <f t="shared" si="14"/>
        <v>9.1700000000000004E-2</v>
      </c>
      <c r="D44" s="1158">
        <f t="shared" si="14"/>
        <v>0.1807</v>
      </c>
      <c r="E44" s="1158">
        <f t="shared" si="14"/>
        <v>7.8600000000000003E-2</v>
      </c>
      <c r="F44" s="1158">
        <f t="shared" si="14"/>
        <v>6.4600000000000005E-2</v>
      </c>
      <c r="G44" s="1158">
        <f t="shared" si="14"/>
        <v>0.12590000000000001</v>
      </c>
      <c r="H44" s="1158">
        <f t="shared" si="14"/>
        <v>7.3499999999999996E-2</v>
      </c>
      <c r="I44" s="1158">
        <f t="shared" si="14"/>
        <v>3.8399999999999997E-2</v>
      </c>
      <c r="J44" s="1158">
        <f t="shared" si="14"/>
        <v>3.5200000000000002E-2</v>
      </c>
      <c r="K44" s="1158">
        <f t="shared" si="14"/>
        <v>5.4000000000000003E-3</v>
      </c>
      <c r="L44" s="1158">
        <f t="shared" si="14"/>
        <v>4.3E-3</v>
      </c>
      <c r="M44" s="1158">
        <f t="shared" si="14"/>
        <v>1E-3</v>
      </c>
      <c r="N44" s="1158">
        <f t="shared" si="14"/>
        <v>1E-4</v>
      </c>
      <c r="O44" s="1159"/>
      <c r="P44" s="1159"/>
      <c r="Q44" s="1164">
        <v>0.37163251715943008</v>
      </c>
      <c r="R44" s="1164">
        <v>9.5595310608910758E-2</v>
      </c>
      <c r="S44" s="1164">
        <v>0.16435608051124798</v>
      </c>
      <c r="T44" s="1164">
        <v>6.7607860450434196E-2</v>
      </c>
      <c r="U44" s="1164">
        <v>5.5772044868193885E-2</v>
      </c>
      <c r="V44" s="1164">
        <v>0.10687896974772593</v>
      </c>
      <c r="W44" s="1164">
        <v>6.4076164279640274E-2</v>
      </c>
      <c r="X44" s="1164">
        <v>3.2951544525472207E-2</v>
      </c>
      <c r="Y44" s="1164">
        <v>3.1797238920813257E-2</v>
      </c>
      <c r="Z44" s="1164">
        <v>4.6053090828974156E-3</v>
      </c>
      <c r="AA44" s="1164">
        <v>3.7631162996366639E-3</v>
      </c>
      <c r="AB44" s="1164">
        <v>8.7537646749297812E-4</v>
      </c>
      <c r="AC44" s="1164">
        <v>8.846707810446569E-5</v>
      </c>
      <c r="AD44" s="1011" t="s">
        <v>1819</v>
      </c>
      <c r="AF44" s="1011" t="str">
        <f t="shared" si="3"/>
        <v>%let mcnf1999=0.3006;</v>
      </c>
    </row>
    <row r="45" spans="1:32" x14ac:dyDescent="0.3">
      <c r="A45" s="268">
        <f t="shared" si="11"/>
        <v>2000</v>
      </c>
      <c r="B45" s="1158">
        <f t="shared" si="7"/>
        <v>0.28950000000000009</v>
      </c>
      <c r="C45" s="1158">
        <f t="shared" si="14"/>
        <v>8.9599999999999999E-2</v>
      </c>
      <c r="D45" s="1158">
        <f t="shared" si="14"/>
        <v>0.18390000000000001</v>
      </c>
      <c r="E45" s="1158">
        <f t="shared" si="14"/>
        <v>7.6100000000000001E-2</v>
      </c>
      <c r="F45" s="1158">
        <f t="shared" si="14"/>
        <v>6.54E-2</v>
      </c>
      <c r="G45" s="1158">
        <f t="shared" si="14"/>
        <v>0.13270000000000001</v>
      </c>
      <c r="H45" s="1158">
        <f t="shared" si="14"/>
        <v>7.6799999999999993E-2</v>
      </c>
      <c r="I45" s="1158">
        <f t="shared" si="14"/>
        <v>3.8600000000000002E-2</v>
      </c>
      <c r="J45" s="1158">
        <f t="shared" si="14"/>
        <v>3.6600000000000001E-2</v>
      </c>
      <c r="K45" s="1158">
        <f t="shared" si="14"/>
        <v>5.1999999999999998E-3</v>
      </c>
      <c r="L45" s="1158">
        <f t="shared" si="14"/>
        <v>4.4999999999999997E-3</v>
      </c>
      <c r="M45" s="1158">
        <f t="shared" si="14"/>
        <v>1E-3</v>
      </c>
      <c r="N45" s="1158">
        <f t="shared" si="14"/>
        <v>1E-4</v>
      </c>
      <c r="O45" s="1159"/>
      <c r="Q45" s="29">
        <f>Q$44+(Q$60-Q$44)/16*$AD45</f>
        <v>0.36591227341787613</v>
      </c>
      <c r="R45" s="29">
        <f>ROUND(R$44+(R$60-R$44)/16*$AD45,4)</f>
        <v>9.8199999999999996E-2</v>
      </c>
      <c r="S45" s="29">
        <f t="shared" ref="S45:AC59" si="16">ROUND(S$44+(S$60-S$44)/16*$AD45,4)</f>
        <v>0.1615</v>
      </c>
      <c r="T45" s="29">
        <f t="shared" si="16"/>
        <v>6.6900000000000001E-2</v>
      </c>
      <c r="U45" s="29">
        <f t="shared" si="16"/>
        <v>5.5800000000000002E-2</v>
      </c>
      <c r="V45" s="29">
        <f t="shared" si="16"/>
        <v>0.1103</v>
      </c>
      <c r="W45" s="29">
        <f t="shared" si="16"/>
        <v>6.6000000000000003E-2</v>
      </c>
      <c r="X45" s="29">
        <f t="shared" si="16"/>
        <v>3.39E-2</v>
      </c>
      <c r="Y45" s="29">
        <f t="shared" si="16"/>
        <v>3.2199999999999999E-2</v>
      </c>
      <c r="Z45" s="29">
        <f t="shared" si="16"/>
        <v>4.5999999999999999E-3</v>
      </c>
      <c r="AA45" s="29">
        <f t="shared" si="16"/>
        <v>3.8E-3</v>
      </c>
      <c r="AB45" s="29">
        <f t="shared" si="16"/>
        <v>8.9999999999999998E-4</v>
      </c>
      <c r="AC45" s="29">
        <f t="shared" si="16"/>
        <v>1E-4</v>
      </c>
      <c r="AD45" s="1165">
        <v>1</v>
      </c>
      <c r="AF45" s="1011" t="str">
        <f t="shared" si="3"/>
        <v>%let mcnf2000=0.2895;</v>
      </c>
    </row>
    <row r="46" spans="1:32" x14ac:dyDescent="0.3">
      <c r="A46" s="268">
        <f t="shared" si="11"/>
        <v>2001</v>
      </c>
      <c r="B46" s="1158">
        <f t="shared" si="7"/>
        <v>0.2831999999999999</v>
      </c>
      <c r="C46" s="1158">
        <f t="shared" si="14"/>
        <v>0.10100000000000001</v>
      </c>
      <c r="D46" s="1158">
        <f t="shared" si="14"/>
        <v>0.18959999999999999</v>
      </c>
      <c r="E46" s="1158">
        <f t="shared" si="14"/>
        <v>7.3700000000000002E-2</v>
      </c>
      <c r="F46" s="1158">
        <f t="shared" si="14"/>
        <v>6.6400000000000001E-2</v>
      </c>
      <c r="G46" s="1158">
        <f t="shared" si="14"/>
        <v>0.1358</v>
      </c>
      <c r="H46" s="1158">
        <f t="shared" si="14"/>
        <v>7.5700000000000003E-2</v>
      </c>
      <c r="I46" s="1158">
        <f t="shared" si="14"/>
        <v>3.3099999999999997E-2</v>
      </c>
      <c r="J46" s="1158">
        <f t="shared" si="14"/>
        <v>3.1800000000000002E-2</v>
      </c>
      <c r="K46" s="1158">
        <f t="shared" si="14"/>
        <v>4.5999999999999999E-3</v>
      </c>
      <c r="L46" s="1158">
        <f t="shared" si="14"/>
        <v>4.0000000000000001E-3</v>
      </c>
      <c r="M46" s="1158">
        <f t="shared" si="14"/>
        <v>1E-3</v>
      </c>
      <c r="N46" s="1158">
        <f t="shared" si="14"/>
        <v>1E-4</v>
      </c>
      <c r="O46" s="1159"/>
      <c r="P46" s="1159"/>
      <c r="Q46" s="29">
        <f t="shared" ref="Q46:Q59" si="17">Q$44+(Q$60-Q$44)/16*$AD46</f>
        <v>0.36019202967632213</v>
      </c>
      <c r="R46" s="29">
        <f t="shared" ref="R46:R59" si="18">ROUND(R$44+(R$60-R$44)/16*$AD46,4)</f>
        <v>0.1007</v>
      </c>
      <c r="S46" s="29">
        <f t="shared" si="16"/>
        <v>0.15870000000000001</v>
      </c>
      <c r="T46" s="29">
        <f t="shared" si="16"/>
        <v>6.6100000000000006E-2</v>
      </c>
      <c r="U46" s="29">
        <f t="shared" si="16"/>
        <v>5.5800000000000002E-2</v>
      </c>
      <c r="V46" s="29">
        <f t="shared" si="16"/>
        <v>0.11360000000000001</v>
      </c>
      <c r="W46" s="29">
        <f t="shared" si="16"/>
        <v>6.7900000000000002E-2</v>
      </c>
      <c r="X46" s="29">
        <f t="shared" si="16"/>
        <v>3.49E-2</v>
      </c>
      <c r="Y46" s="29">
        <f t="shared" si="16"/>
        <v>3.2599999999999997E-2</v>
      </c>
      <c r="Z46" s="29">
        <f t="shared" si="16"/>
        <v>4.5999999999999999E-3</v>
      </c>
      <c r="AA46" s="29">
        <f t="shared" si="16"/>
        <v>3.8E-3</v>
      </c>
      <c r="AB46" s="29">
        <f t="shared" si="16"/>
        <v>8.9999999999999998E-4</v>
      </c>
      <c r="AC46" s="29">
        <f t="shared" si="16"/>
        <v>1E-4</v>
      </c>
      <c r="AD46" s="1165">
        <f>AD45+1</f>
        <v>2</v>
      </c>
      <c r="AF46" s="1011" t="str">
        <f t="shared" si="3"/>
        <v>%let mcnf2001=0.2832;</v>
      </c>
    </row>
    <row r="47" spans="1:32" x14ac:dyDescent="0.3">
      <c r="A47" s="268">
        <f t="shared" si="11"/>
        <v>2002</v>
      </c>
      <c r="B47" s="1158">
        <f t="shared" si="7"/>
        <v>0.28790000000000004</v>
      </c>
      <c r="C47" s="1158">
        <f t="shared" si="14"/>
        <v>0.1134</v>
      </c>
      <c r="D47" s="1158">
        <f t="shared" si="14"/>
        <v>0.18809999999999999</v>
      </c>
      <c r="E47" s="1158">
        <f t="shared" si="14"/>
        <v>7.4200000000000002E-2</v>
      </c>
      <c r="F47" s="1158">
        <f t="shared" si="14"/>
        <v>6.5500000000000003E-2</v>
      </c>
      <c r="G47" s="1158">
        <f t="shared" si="14"/>
        <v>0.12709999999999999</v>
      </c>
      <c r="H47" s="1158">
        <f t="shared" si="14"/>
        <v>7.1499999999999994E-2</v>
      </c>
      <c r="I47" s="1158">
        <f t="shared" si="14"/>
        <v>3.32E-2</v>
      </c>
      <c r="J47" s="1158">
        <f t="shared" si="14"/>
        <v>2.9600000000000001E-2</v>
      </c>
      <c r="K47" s="1158">
        <f t="shared" si="14"/>
        <v>4.4999999999999997E-3</v>
      </c>
      <c r="L47" s="1158">
        <f t="shared" si="14"/>
        <v>3.8E-3</v>
      </c>
      <c r="M47" s="1158">
        <f t="shared" si="14"/>
        <v>1.1000000000000001E-3</v>
      </c>
      <c r="N47" s="1158">
        <f t="shared" si="14"/>
        <v>1E-4</v>
      </c>
      <c r="O47" s="1159"/>
      <c r="P47" s="1159"/>
      <c r="Q47" s="29">
        <f t="shared" si="17"/>
        <v>0.35447178593476814</v>
      </c>
      <c r="R47" s="29">
        <f t="shared" si="18"/>
        <v>0.1033</v>
      </c>
      <c r="S47" s="29">
        <f t="shared" si="16"/>
        <v>0.15590000000000001</v>
      </c>
      <c r="T47" s="29">
        <f t="shared" si="16"/>
        <v>6.54E-2</v>
      </c>
      <c r="U47" s="29">
        <f t="shared" si="16"/>
        <v>5.5800000000000002E-2</v>
      </c>
      <c r="V47" s="29">
        <f t="shared" si="16"/>
        <v>0.11700000000000001</v>
      </c>
      <c r="W47" s="29">
        <f t="shared" si="16"/>
        <v>6.9800000000000001E-2</v>
      </c>
      <c r="X47" s="29">
        <f t="shared" si="16"/>
        <v>3.5900000000000001E-2</v>
      </c>
      <c r="Y47" s="29">
        <f t="shared" si="16"/>
        <v>3.3000000000000002E-2</v>
      </c>
      <c r="Z47" s="29">
        <f t="shared" si="16"/>
        <v>4.5999999999999999E-3</v>
      </c>
      <c r="AA47" s="29">
        <f t="shared" si="16"/>
        <v>3.8E-3</v>
      </c>
      <c r="AB47" s="29">
        <f t="shared" si="16"/>
        <v>8.9999999999999998E-4</v>
      </c>
      <c r="AC47" s="29">
        <f t="shared" si="16"/>
        <v>1E-4</v>
      </c>
      <c r="AD47" s="1165">
        <f t="shared" ref="AD47:AD59" si="19">AD46+1</f>
        <v>3</v>
      </c>
      <c r="AF47" s="1011" t="str">
        <f t="shared" si="3"/>
        <v>%let mcnf2002=0.2879;</v>
      </c>
    </row>
    <row r="48" spans="1:32" x14ac:dyDescent="0.3">
      <c r="A48" s="268">
        <f t="shared" si="11"/>
        <v>2003</v>
      </c>
      <c r="B48" s="1158">
        <f t="shared" si="7"/>
        <v>0.28470000000000018</v>
      </c>
      <c r="C48" s="1158">
        <f t="shared" si="14"/>
        <v>0.1164</v>
      </c>
      <c r="D48" s="1158">
        <f t="shared" si="14"/>
        <v>0.18759999999999999</v>
      </c>
      <c r="E48" s="1158">
        <f t="shared" si="14"/>
        <v>7.2700000000000001E-2</v>
      </c>
      <c r="F48" s="1158">
        <f t="shared" si="14"/>
        <v>6.6699999999999995E-2</v>
      </c>
      <c r="G48" s="1158">
        <f t="shared" si="14"/>
        <v>0.128</v>
      </c>
      <c r="H48" s="1158">
        <f t="shared" si="14"/>
        <v>7.1599999999999997E-2</v>
      </c>
      <c r="I48" s="1158">
        <f t="shared" si="14"/>
        <v>3.3799999999999997E-2</v>
      </c>
      <c r="J48" s="1158">
        <f t="shared" si="14"/>
        <v>2.9000000000000001E-2</v>
      </c>
      <c r="K48" s="1158">
        <f t="shared" si="14"/>
        <v>4.1000000000000003E-3</v>
      </c>
      <c r="L48" s="1158">
        <f t="shared" si="14"/>
        <v>4.1999999999999997E-3</v>
      </c>
      <c r="M48" s="1158">
        <f t="shared" si="14"/>
        <v>1.1000000000000001E-3</v>
      </c>
      <c r="N48" s="1158">
        <f t="shared" si="14"/>
        <v>1E-4</v>
      </c>
      <c r="O48" s="1159"/>
      <c r="P48" s="1159"/>
      <c r="Q48" s="29">
        <f t="shared" si="17"/>
        <v>0.34875154219321419</v>
      </c>
      <c r="R48" s="29">
        <f t="shared" si="18"/>
        <v>0.10580000000000001</v>
      </c>
      <c r="S48" s="29">
        <f t="shared" si="16"/>
        <v>0.15310000000000001</v>
      </c>
      <c r="T48" s="29">
        <f t="shared" si="16"/>
        <v>6.4600000000000005E-2</v>
      </c>
      <c r="U48" s="29">
        <f t="shared" si="16"/>
        <v>5.5800000000000002E-2</v>
      </c>
      <c r="V48" s="29">
        <f t="shared" si="16"/>
        <v>0.12039999999999999</v>
      </c>
      <c r="W48" s="29">
        <f t="shared" si="16"/>
        <v>7.17E-2</v>
      </c>
      <c r="X48" s="29">
        <f t="shared" si="16"/>
        <v>3.6900000000000002E-2</v>
      </c>
      <c r="Y48" s="29">
        <f t="shared" si="16"/>
        <v>3.3399999999999999E-2</v>
      </c>
      <c r="Z48" s="29">
        <f t="shared" si="16"/>
        <v>4.7000000000000002E-3</v>
      </c>
      <c r="AA48" s="29">
        <f t="shared" si="16"/>
        <v>3.8E-3</v>
      </c>
      <c r="AB48" s="29">
        <f t="shared" si="16"/>
        <v>8.9999999999999998E-4</v>
      </c>
      <c r="AC48" s="29">
        <f t="shared" si="16"/>
        <v>1E-4</v>
      </c>
      <c r="AD48" s="1165">
        <f t="shared" si="19"/>
        <v>4</v>
      </c>
      <c r="AF48" s="1011" t="str">
        <f t="shared" si="3"/>
        <v>%let mcnf2003=0.2847;</v>
      </c>
    </row>
    <row r="49" spans="1:32" x14ac:dyDescent="0.3">
      <c r="A49" s="268">
        <f t="shared" si="11"/>
        <v>2004</v>
      </c>
      <c r="B49" s="1158">
        <f t="shared" si="7"/>
        <v>0.27410000000000012</v>
      </c>
      <c r="C49" s="1158">
        <f t="shared" si="14"/>
        <v>0.1152</v>
      </c>
      <c r="D49" s="1158">
        <f t="shared" si="14"/>
        <v>0.18340000000000001</v>
      </c>
      <c r="E49" s="1158">
        <f t="shared" si="14"/>
        <v>7.0099999999999996E-2</v>
      </c>
      <c r="F49" s="1158">
        <f t="shared" si="14"/>
        <v>6.4799999999999996E-2</v>
      </c>
      <c r="G49" s="1158">
        <f t="shared" si="14"/>
        <v>0.1361</v>
      </c>
      <c r="H49" s="1158">
        <f t="shared" si="14"/>
        <v>7.5499999999999998E-2</v>
      </c>
      <c r="I49" s="1158">
        <f t="shared" si="14"/>
        <v>3.8199999999999998E-2</v>
      </c>
      <c r="J49" s="1158">
        <f t="shared" si="14"/>
        <v>3.1699999999999999E-2</v>
      </c>
      <c r="K49" s="1158">
        <f t="shared" si="14"/>
        <v>5.1000000000000004E-3</v>
      </c>
      <c r="L49" s="1158">
        <f t="shared" si="14"/>
        <v>4.4999999999999997E-3</v>
      </c>
      <c r="M49" s="1158">
        <f t="shared" si="14"/>
        <v>1.1999999999999999E-3</v>
      </c>
      <c r="N49" s="1158">
        <f t="shared" si="14"/>
        <v>1E-4</v>
      </c>
      <c r="O49" s="1159"/>
      <c r="P49" s="1159"/>
      <c r="Q49" s="29">
        <f t="shared" si="17"/>
        <v>0.34303129845166025</v>
      </c>
      <c r="R49" s="29">
        <f t="shared" si="18"/>
        <v>0.1084</v>
      </c>
      <c r="S49" s="29">
        <f t="shared" si="16"/>
        <v>0.1502</v>
      </c>
      <c r="T49" s="29">
        <f t="shared" si="16"/>
        <v>6.3899999999999998E-2</v>
      </c>
      <c r="U49" s="29">
        <f t="shared" si="16"/>
        <v>5.5800000000000002E-2</v>
      </c>
      <c r="V49" s="29">
        <f t="shared" si="16"/>
        <v>0.12379999999999999</v>
      </c>
      <c r="W49" s="29">
        <f t="shared" si="16"/>
        <v>7.3599999999999999E-2</v>
      </c>
      <c r="X49" s="29">
        <f t="shared" si="16"/>
        <v>3.7900000000000003E-2</v>
      </c>
      <c r="Y49" s="29">
        <f t="shared" si="16"/>
        <v>3.39E-2</v>
      </c>
      <c r="Z49" s="29">
        <f t="shared" si="16"/>
        <v>4.7000000000000002E-3</v>
      </c>
      <c r="AA49" s="29">
        <f t="shared" si="16"/>
        <v>3.8999999999999998E-3</v>
      </c>
      <c r="AB49" s="29">
        <f t="shared" si="16"/>
        <v>8.9999999999999998E-4</v>
      </c>
      <c r="AC49" s="29">
        <f t="shared" si="16"/>
        <v>1E-4</v>
      </c>
      <c r="AD49" s="1165">
        <f t="shared" si="19"/>
        <v>5</v>
      </c>
      <c r="AF49" s="1011" t="str">
        <f t="shared" si="3"/>
        <v>%let mcnf2004=0.2741;</v>
      </c>
    </row>
    <row r="50" spans="1:32" x14ac:dyDescent="0.3">
      <c r="A50" s="268">
        <f t="shared" si="11"/>
        <v>2005</v>
      </c>
      <c r="B50" s="1158">
        <f t="shared" si="7"/>
        <v>0.26579999999999993</v>
      </c>
      <c r="C50" s="1158">
        <f t="shared" si="14"/>
        <v>0.1119</v>
      </c>
      <c r="D50" s="1158">
        <f t="shared" si="14"/>
        <v>0.1741</v>
      </c>
      <c r="E50" s="1158">
        <f t="shared" si="14"/>
        <v>6.93E-2</v>
      </c>
      <c r="F50" s="1158">
        <f t="shared" si="14"/>
        <v>6.8400000000000002E-2</v>
      </c>
      <c r="G50" s="1158">
        <f t="shared" si="14"/>
        <v>0.14130000000000001</v>
      </c>
      <c r="H50" s="1158">
        <f t="shared" si="14"/>
        <v>8.1299999999999997E-2</v>
      </c>
      <c r="I50" s="1158">
        <f t="shared" si="14"/>
        <v>4.1799999999999997E-2</v>
      </c>
      <c r="J50" s="1158">
        <f t="shared" si="14"/>
        <v>3.5000000000000003E-2</v>
      </c>
      <c r="K50" s="1158">
        <f t="shared" si="14"/>
        <v>5.0000000000000001E-3</v>
      </c>
      <c r="L50" s="1158">
        <f t="shared" si="14"/>
        <v>4.7000000000000002E-3</v>
      </c>
      <c r="M50" s="1158">
        <f t="shared" si="14"/>
        <v>1.1999999999999999E-3</v>
      </c>
      <c r="N50" s="1158">
        <f t="shared" si="14"/>
        <v>2.0000000000000001E-4</v>
      </c>
      <c r="O50" s="1159"/>
      <c r="P50" s="1159"/>
      <c r="Q50" s="29">
        <f t="shared" si="17"/>
        <v>0.33731105471010625</v>
      </c>
      <c r="R50" s="29">
        <f t="shared" si="18"/>
        <v>0.1109</v>
      </c>
      <c r="S50" s="29">
        <f t="shared" si="16"/>
        <v>0.1474</v>
      </c>
      <c r="T50" s="29">
        <f t="shared" si="16"/>
        <v>6.3100000000000003E-2</v>
      </c>
      <c r="U50" s="29">
        <f t="shared" si="16"/>
        <v>5.5800000000000002E-2</v>
      </c>
      <c r="V50" s="29">
        <f t="shared" si="16"/>
        <v>0.12720000000000001</v>
      </c>
      <c r="W50" s="29">
        <f t="shared" si="16"/>
        <v>7.5499999999999998E-2</v>
      </c>
      <c r="X50" s="29">
        <f t="shared" si="16"/>
        <v>3.8800000000000001E-2</v>
      </c>
      <c r="Y50" s="29">
        <f t="shared" si="16"/>
        <v>3.4299999999999997E-2</v>
      </c>
      <c r="Z50" s="29">
        <f t="shared" si="16"/>
        <v>4.7000000000000002E-3</v>
      </c>
      <c r="AA50" s="29">
        <f t="shared" si="16"/>
        <v>3.8999999999999998E-3</v>
      </c>
      <c r="AB50" s="29">
        <f t="shared" si="16"/>
        <v>8.9999999999999998E-4</v>
      </c>
      <c r="AC50" s="29">
        <f t="shared" si="16"/>
        <v>1E-4</v>
      </c>
      <c r="AD50" s="1165">
        <f t="shared" si="19"/>
        <v>6</v>
      </c>
      <c r="AF50" s="1011" t="str">
        <f t="shared" si="3"/>
        <v>%let mcnf2005=0.2658;</v>
      </c>
    </row>
    <row r="51" spans="1:32" x14ac:dyDescent="0.3">
      <c r="A51" s="268">
        <f t="shared" si="11"/>
        <v>2006</v>
      </c>
      <c r="B51" s="1158">
        <f t="shared" si="7"/>
        <v>0.2290000000000002</v>
      </c>
      <c r="C51" s="1158">
        <f t="shared" si="14"/>
        <v>0.13200000000000001</v>
      </c>
      <c r="D51" s="1158">
        <f t="shared" si="14"/>
        <v>0.1676</v>
      </c>
      <c r="E51" s="1158">
        <f t="shared" si="14"/>
        <v>7.1099999999999997E-2</v>
      </c>
      <c r="F51" s="1158">
        <f t="shared" si="14"/>
        <v>6.7400000000000002E-2</v>
      </c>
      <c r="G51" s="1158">
        <f t="shared" si="14"/>
        <v>0.15179999999999999</v>
      </c>
      <c r="H51" s="1158">
        <f t="shared" si="14"/>
        <v>8.6999999999999994E-2</v>
      </c>
      <c r="I51" s="1158">
        <f t="shared" si="14"/>
        <v>4.3700000000000003E-2</v>
      </c>
      <c r="J51" s="1158">
        <f t="shared" si="14"/>
        <v>3.8699999999999998E-2</v>
      </c>
      <c r="K51" s="1158">
        <f t="shared" si="14"/>
        <v>5.1999999999999998E-3</v>
      </c>
      <c r="L51" s="1158">
        <f t="shared" si="14"/>
        <v>5.0000000000000001E-3</v>
      </c>
      <c r="M51" s="1158">
        <f t="shared" si="14"/>
        <v>1.2999999999999999E-3</v>
      </c>
      <c r="N51" s="1158">
        <f t="shared" si="14"/>
        <v>2.0000000000000001E-4</v>
      </c>
      <c r="O51" s="1159"/>
      <c r="P51" s="1159"/>
      <c r="Q51" s="29">
        <f t="shared" si="17"/>
        <v>0.33159081096855225</v>
      </c>
      <c r="R51" s="29">
        <f t="shared" si="18"/>
        <v>0.1135</v>
      </c>
      <c r="S51" s="29">
        <f t="shared" si="16"/>
        <v>0.14460000000000001</v>
      </c>
      <c r="T51" s="29">
        <f t="shared" si="16"/>
        <v>6.2399999999999997E-2</v>
      </c>
      <c r="U51" s="29">
        <f t="shared" si="16"/>
        <v>5.5800000000000002E-2</v>
      </c>
      <c r="V51" s="29">
        <f t="shared" si="16"/>
        <v>0.13059999999999999</v>
      </c>
      <c r="W51" s="29">
        <f t="shared" si="16"/>
        <v>7.7399999999999997E-2</v>
      </c>
      <c r="X51" s="29">
        <f t="shared" si="16"/>
        <v>3.9800000000000002E-2</v>
      </c>
      <c r="Y51" s="29">
        <f t="shared" si="16"/>
        <v>3.4700000000000002E-2</v>
      </c>
      <c r="Z51" s="29">
        <f t="shared" si="16"/>
        <v>4.7000000000000002E-3</v>
      </c>
      <c r="AA51" s="29">
        <f t="shared" si="16"/>
        <v>3.8999999999999998E-3</v>
      </c>
      <c r="AB51" s="29">
        <f t="shared" si="16"/>
        <v>8.9999999999999998E-4</v>
      </c>
      <c r="AC51" s="29">
        <f t="shared" si="16"/>
        <v>1E-4</v>
      </c>
      <c r="AD51" s="1165">
        <f t="shared" si="19"/>
        <v>7</v>
      </c>
      <c r="AF51" s="1011" t="str">
        <f t="shared" si="3"/>
        <v>%let mcnf2006=0.229;</v>
      </c>
    </row>
    <row r="52" spans="1:32" x14ac:dyDescent="0.3">
      <c r="A52" s="268">
        <f t="shared" si="11"/>
        <v>2007</v>
      </c>
      <c r="B52" s="1158">
        <f t="shared" si="7"/>
        <v>0.22900000000000009</v>
      </c>
      <c r="C52" s="1158">
        <f t="shared" si="14"/>
        <v>0.10829999999999999</v>
      </c>
      <c r="D52" s="1158">
        <f t="shared" si="14"/>
        <v>0.16020000000000001</v>
      </c>
      <c r="E52" s="1158">
        <f t="shared" si="14"/>
        <v>6.8099999999999994E-2</v>
      </c>
      <c r="F52" s="1158">
        <f t="shared" si="14"/>
        <v>6.9199999999999998E-2</v>
      </c>
      <c r="G52" s="1158">
        <f t="shared" si="14"/>
        <v>0.16650000000000001</v>
      </c>
      <c r="H52" s="1158">
        <f t="shared" si="14"/>
        <v>9.4E-2</v>
      </c>
      <c r="I52" s="1158">
        <f t="shared" si="14"/>
        <v>4.9200000000000001E-2</v>
      </c>
      <c r="J52" s="1158">
        <f t="shared" si="14"/>
        <v>4.2799999999999998E-2</v>
      </c>
      <c r="K52" s="1158">
        <f t="shared" si="14"/>
        <v>6.1000000000000004E-3</v>
      </c>
      <c r="L52" s="1158">
        <f t="shared" si="14"/>
        <v>5.1000000000000004E-3</v>
      </c>
      <c r="M52" s="1158">
        <f t="shared" si="14"/>
        <v>1.2999999999999999E-3</v>
      </c>
      <c r="N52" s="1158">
        <f t="shared" si="14"/>
        <v>2.0000000000000001E-4</v>
      </c>
      <c r="O52" s="1159"/>
      <c r="P52" s="1159"/>
      <c r="Q52" s="29">
        <f t="shared" si="17"/>
        <v>0.32587056722699831</v>
      </c>
      <c r="R52" s="29">
        <f t="shared" si="18"/>
        <v>0.11609999999999999</v>
      </c>
      <c r="S52" s="29">
        <f t="shared" si="16"/>
        <v>0.14180000000000001</v>
      </c>
      <c r="T52" s="29">
        <f t="shared" si="16"/>
        <v>6.1600000000000002E-2</v>
      </c>
      <c r="U52" s="29">
        <f t="shared" si="16"/>
        <v>5.5800000000000002E-2</v>
      </c>
      <c r="V52" s="29">
        <f t="shared" si="16"/>
        <v>0.13400000000000001</v>
      </c>
      <c r="W52" s="29">
        <f t="shared" si="16"/>
        <v>7.9299999999999995E-2</v>
      </c>
      <c r="X52" s="29">
        <f t="shared" si="16"/>
        <v>4.0800000000000003E-2</v>
      </c>
      <c r="Y52" s="29">
        <f t="shared" si="16"/>
        <v>3.5099999999999999E-2</v>
      </c>
      <c r="Z52" s="29">
        <f t="shared" si="16"/>
        <v>4.7000000000000002E-3</v>
      </c>
      <c r="AA52" s="29">
        <f t="shared" si="16"/>
        <v>3.8999999999999998E-3</v>
      </c>
      <c r="AB52" s="29">
        <f t="shared" si="16"/>
        <v>8.9999999999999998E-4</v>
      </c>
      <c r="AC52" s="29">
        <f t="shared" si="16"/>
        <v>1E-4</v>
      </c>
      <c r="AD52" s="1165">
        <f t="shared" si="19"/>
        <v>8</v>
      </c>
      <c r="AF52" s="1011" t="str">
        <f t="shared" si="3"/>
        <v>%let mcnf2007=0.229;</v>
      </c>
    </row>
    <row r="53" spans="1:32" x14ac:dyDescent="0.3">
      <c r="A53" s="268">
        <f t="shared" si="11"/>
        <v>2008</v>
      </c>
      <c r="B53" s="1158">
        <f t="shared" si="7"/>
        <v>0.21009999999999995</v>
      </c>
      <c r="C53" s="1158">
        <f t="shared" si="14"/>
        <v>0.13089999999999999</v>
      </c>
      <c r="D53" s="1158">
        <f t="shared" si="14"/>
        <v>0.16500000000000001</v>
      </c>
      <c r="E53" s="1158">
        <f t="shared" si="14"/>
        <v>6.9699999999999998E-2</v>
      </c>
      <c r="F53" s="1158">
        <f t="shared" si="14"/>
        <v>7.0300000000000001E-2</v>
      </c>
      <c r="G53" s="1158">
        <f t="shared" si="14"/>
        <v>0.16719999999999999</v>
      </c>
      <c r="H53" s="1158">
        <f t="shared" si="14"/>
        <v>9.4399999999999998E-2</v>
      </c>
      <c r="I53" s="1158">
        <f t="shared" si="14"/>
        <v>4.4299999999999999E-2</v>
      </c>
      <c r="J53" s="1158">
        <f t="shared" si="14"/>
        <v>3.7100000000000001E-2</v>
      </c>
      <c r="K53" s="1158">
        <f t="shared" si="14"/>
        <v>5.0000000000000001E-3</v>
      </c>
      <c r="L53" s="1158">
        <f t="shared" si="14"/>
        <v>4.5999999999999999E-3</v>
      </c>
      <c r="M53" s="1158">
        <f t="shared" si="14"/>
        <v>1.1999999999999999E-3</v>
      </c>
      <c r="N53" s="1158">
        <f t="shared" si="14"/>
        <v>2.0000000000000001E-4</v>
      </c>
      <c r="O53" s="1159"/>
      <c r="P53" s="1159"/>
      <c r="Q53" s="29">
        <f t="shared" si="17"/>
        <v>0.32015032348544437</v>
      </c>
      <c r="R53" s="29">
        <f t="shared" si="18"/>
        <v>0.1186</v>
      </c>
      <c r="S53" s="29">
        <f t="shared" si="16"/>
        <v>0.13900000000000001</v>
      </c>
      <c r="T53" s="29">
        <f t="shared" si="16"/>
        <v>6.0900000000000003E-2</v>
      </c>
      <c r="U53" s="29">
        <f t="shared" si="16"/>
        <v>5.5800000000000002E-2</v>
      </c>
      <c r="V53" s="29">
        <f t="shared" si="16"/>
        <v>0.13730000000000001</v>
      </c>
      <c r="W53" s="29">
        <f t="shared" si="16"/>
        <v>8.1199999999999994E-2</v>
      </c>
      <c r="X53" s="29">
        <f t="shared" si="16"/>
        <v>4.1799999999999997E-2</v>
      </c>
      <c r="Y53" s="29">
        <f t="shared" si="16"/>
        <v>3.5499999999999997E-2</v>
      </c>
      <c r="Z53" s="29">
        <f t="shared" si="16"/>
        <v>4.7000000000000002E-3</v>
      </c>
      <c r="AA53" s="29">
        <f t="shared" si="16"/>
        <v>4.0000000000000001E-3</v>
      </c>
      <c r="AB53" s="29">
        <f t="shared" si="16"/>
        <v>1E-3</v>
      </c>
      <c r="AC53" s="29">
        <f t="shared" si="16"/>
        <v>1E-4</v>
      </c>
      <c r="AD53" s="1165">
        <f t="shared" si="19"/>
        <v>9</v>
      </c>
      <c r="AF53" s="1011" t="str">
        <f t="shared" si="3"/>
        <v>%let mcnf2008=0.2101;</v>
      </c>
    </row>
    <row r="54" spans="1:32" x14ac:dyDescent="0.3">
      <c r="A54" s="268">
        <f t="shared" si="11"/>
        <v>2009</v>
      </c>
      <c r="B54" s="1158">
        <f t="shared" si="7"/>
        <v>0.21150000000000002</v>
      </c>
      <c r="C54" s="1158">
        <f t="shared" si="14"/>
        <v>0.1449</v>
      </c>
      <c r="D54" s="1158">
        <f t="shared" si="14"/>
        <v>0.15959999999999999</v>
      </c>
      <c r="E54" s="1158">
        <f t="shared" si="14"/>
        <v>6.9400000000000003E-2</v>
      </c>
      <c r="F54" s="1158">
        <f t="shared" si="14"/>
        <v>7.0999999999999994E-2</v>
      </c>
      <c r="G54" s="1158">
        <f t="shared" si="14"/>
        <v>0.16589999999999999</v>
      </c>
      <c r="H54" s="1158">
        <f t="shared" si="14"/>
        <v>9.2399999999999996E-2</v>
      </c>
      <c r="I54" s="1158">
        <f t="shared" si="14"/>
        <v>4.1799999999999997E-2</v>
      </c>
      <c r="J54" s="1158">
        <f t="shared" si="14"/>
        <v>3.3599999999999998E-2</v>
      </c>
      <c r="K54" s="1158">
        <f t="shared" si="14"/>
        <v>4.7000000000000002E-3</v>
      </c>
      <c r="L54" s="1158">
        <f t="shared" si="14"/>
        <v>4.0000000000000001E-3</v>
      </c>
      <c r="M54" s="1158">
        <f t="shared" si="14"/>
        <v>1.1000000000000001E-3</v>
      </c>
      <c r="N54" s="1158">
        <f t="shared" si="14"/>
        <v>1E-4</v>
      </c>
      <c r="O54" s="1159"/>
      <c r="P54" s="1159"/>
      <c r="Q54" s="29">
        <f t="shared" si="17"/>
        <v>0.31443007974389037</v>
      </c>
      <c r="R54" s="29">
        <f t="shared" si="18"/>
        <v>0.1212</v>
      </c>
      <c r="S54" s="29">
        <f t="shared" si="16"/>
        <v>0.1361</v>
      </c>
      <c r="T54" s="29">
        <f t="shared" si="16"/>
        <v>6.0199999999999997E-2</v>
      </c>
      <c r="U54" s="29">
        <f t="shared" si="16"/>
        <v>5.5800000000000002E-2</v>
      </c>
      <c r="V54" s="29">
        <f t="shared" si="16"/>
        <v>0.14069999999999999</v>
      </c>
      <c r="W54" s="29">
        <f t="shared" si="16"/>
        <v>8.3099999999999993E-2</v>
      </c>
      <c r="X54" s="29">
        <f t="shared" si="16"/>
        <v>4.2799999999999998E-2</v>
      </c>
      <c r="Y54" s="29">
        <f t="shared" si="16"/>
        <v>3.5900000000000001E-2</v>
      </c>
      <c r="Z54" s="29">
        <f t="shared" si="16"/>
        <v>4.7000000000000002E-3</v>
      </c>
      <c r="AA54" s="29">
        <f t="shared" si="16"/>
        <v>4.0000000000000001E-3</v>
      </c>
      <c r="AB54" s="29">
        <f t="shared" si="16"/>
        <v>1E-3</v>
      </c>
      <c r="AC54" s="29">
        <f t="shared" si="16"/>
        <v>1E-4</v>
      </c>
      <c r="AD54" s="1165">
        <f t="shared" si="19"/>
        <v>10</v>
      </c>
      <c r="AF54" s="1011" t="str">
        <f t="shared" si="3"/>
        <v>%let mcnf2009=0.2115;</v>
      </c>
    </row>
    <row r="55" spans="1:32" x14ac:dyDescent="0.3">
      <c r="A55" s="268">
        <f t="shared" si="11"/>
        <v>2010</v>
      </c>
      <c r="B55" s="1158">
        <f t="shared" si="7"/>
        <v>0.20889999999999986</v>
      </c>
      <c r="C55" s="1158">
        <f t="shared" si="14"/>
        <v>0.1404</v>
      </c>
      <c r="D55" s="1158">
        <f t="shared" si="14"/>
        <v>0.15160000000000001</v>
      </c>
      <c r="E55" s="1158">
        <f t="shared" si="14"/>
        <v>7.0000000000000007E-2</v>
      </c>
      <c r="F55" s="1158">
        <f t="shared" si="14"/>
        <v>7.1400000000000005E-2</v>
      </c>
      <c r="G55" s="1158">
        <f t="shared" si="14"/>
        <v>0.16839999999999999</v>
      </c>
      <c r="H55" s="1158">
        <f t="shared" si="14"/>
        <v>9.5399999999999999E-2</v>
      </c>
      <c r="I55" s="1158">
        <f t="shared" si="14"/>
        <v>4.6300000000000001E-2</v>
      </c>
      <c r="J55" s="1158">
        <f t="shared" si="14"/>
        <v>3.7100000000000001E-2</v>
      </c>
      <c r="K55" s="1158">
        <f t="shared" si="14"/>
        <v>4.8999999999999998E-3</v>
      </c>
      <c r="L55" s="1158">
        <f t="shared" si="14"/>
        <v>4.4000000000000003E-3</v>
      </c>
      <c r="M55" s="1158">
        <f t="shared" si="14"/>
        <v>1.1000000000000001E-3</v>
      </c>
      <c r="N55" s="1158">
        <f t="shared" si="14"/>
        <v>1E-4</v>
      </c>
      <c r="O55" s="1159"/>
      <c r="P55" s="1159"/>
      <c r="Q55" s="29">
        <f t="shared" si="17"/>
        <v>0.30870983600233637</v>
      </c>
      <c r="R55" s="29">
        <f t="shared" si="18"/>
        <v>0.1237</v>
      </c>
      <c r="S55" s="29">
        <f t="shared" si="16"/>
        <v>0.1333</v>
      </c>
      <c r="T55" s="29">
        <f t="shared" si="16"/>
        <v>5.9400000000000001E-2</v>
      </c>
      <c r="U55" s="29">
        <f t="shared" si="16"/>
        <v>5.5800000000000002E-2</v>
      </c>
      <c r="V55" s="29">
        <f t="shared" si="16"/>
        <v>0.14410000000000001</v>
      </c>
      <c r="W55" s="29">
        <f t="shared" si="16"/>
        <v>8.5000000000000006E-2</v>
      </c>
      <c r="X55" s="29">
        <f t="shared" si="16"/>
        <v>4.3700000000000003E-2</v>
      </c>
      <c r="Y55" s="29">
        <f t="shared" si="16"/>
        <v>3.6299999999999999E-2</v>
      </c>
      <c r="Z55" s="29">
        <f t="shared" si="16"/>
        <v>4.7000000000000002E-3</v>
      </c>
      <c r="AA55" s="29">
        <f t="shared" si="16"/>
        <v>4.0000000000000001E-3</v>
      </c>
      <c r="AB55" s="29">
        <f t="shared" si="16"/>
        <v>1E-3</v>
      </c>
      <c r="AC55" s="29">
        <f t="shared" si="16"/>
        <v>1E-4</v>
      </c>
      <c r="AD55" s="1165">
        <f t="shared" si="19"/>
        <v>11</v>
      </c>
      <c r="AF55" s="1011" t="str">
        <f t="shared" si="3"/>
        <v>%let mcnf2010=0.2089;</v>
      </c>
    </row>
    <row r="56" spans="1:32" x14ac:dyDescent="0.3">
      <c r="A56" s="268">
        <f t="shared" si="11"/>
        <v>2011</v>
      </c>
      <c r="B56" s="1158">
        <f t="shared" si="7"/>
        <v>0.20860000000000001</v>
      </c>
      <c r="C56" s="1158">
        <f t="shared" si="14"/>
        <v>0.13500000000000001</v>
      </c>
      <c r="D56" s="1158">
        <f t="shared" si="14"/>
        <v>0.1474</v>
      </c>
      <c r="E56" s="1158">
        <f t="shared" si="14"/>
        <v>6.8099999999999994E-2</v>
      </c>
      <c r="F56" s="1158">
        <f t="shared" si="14"/>
        <v>6.9400000000000003E-2</v>
      </c>
      <c r="G56" s="1158">
        <f t="shared" si="14"/>
        <v>0.1731</v>
      </c>
      <c r="H56" s="1158">
        <f t="shared" si="14"/>
        <v>0.1007</v>
      </c>
      <c r="I56" s="1158">
        <f t="shared" si="14"/>
        <v>4.8599999999999997E-2</v>
      </c>
      <c r="J56" s="1158">
        <f t="shared" si="14"/>
        <v>3.7999999999999999E-2</v>
      </c>
      <c r="K56" s="1158">
        <f t="shared" si="14"/>
        <v>5.1000000000000004E-3</v>
      </c>
      <c r="L56" s="1158">
        <f t="shared" si="14"/>
        <v>4.5999999999999999E-3</v>
      </c>
      <c r="M56" s="1158">
        <f t="shared" si="14"/>
        <v>1.1999999999999999E-3</v>
      </c>
      <c r="N56" s="1158">
        <f t="shared" si="14"/>
        <v>2.0000000000000001E-4</v>
      </c>
      <c r="O56" s="1159"/>
      <c r="P56" s="1159"/>
      <c r="Q56" s="29">
        <f t="shared" si="17"/>
        <v>0.30298959226078243</v>
      </c>
      <c r="R56" s="29">
        <f t="shared" si="18"/>
        <v>0.1263</v>
      </c>
      <c r="S56" s="29">
        <f t="shared" si="16"/>
        <v>0.1305</v>
      </c>
      <c r="T56" s="29">
        <f t="shared" si="16"/>
        <v>5.8700000000000002E-2</v>
      </c>
      <c r="U56" s="29">
        <f t="shared" si="16"/>
        <v>5.5800000000000002E-2</v>
      </c>
      <c r="V56" s="29">
        <f t="shared" si="16"/>
        <v>0.14749999999999999</v>
      </c>
      <c r="W56" s="29">
        <f t="shared" si="16"/>
        <v>8.6900000000000005E-2</v>
      </c>
      <c r="X56" s="29">
        <f t="shared" si="16"/>
        <v>4.4699999999999997E-2</v>
      </c>
      <c r="Y56" s="29">
        <f t="shared" si="16"/>
        <v>3.6700000000000003E-2</v>
      </c>
      <c r="Z56" s="29">
        <f t="shared" si="16"/>
        <v>4.7000000000000002E-3</v>
      </c>
      <c r="AA56" s="29">
        <f t="shared" si="16"/>
        <v>4.0000000000000001E-3</v>
      </c>
      <c r="AB56" s="29">
        <f t="shared" si="16"/>
        <v>1E-3</v>
      </c>
      <c r="AC56" s="29">
        <f t="shared" si="16"/>
        <v>1E-4</v>
      </c>
      <c r="AD56" s="1165">
        <f t="shared" si="19"/>
        <v>12</v>
      </c>
      <c r="AF56" s="1011" t="str">
        <f t="shared" si="3"/>
        <v>%let mcnf2011=0.2086;</v>
      </c>
    </row>
    <row r="57" spans="1:32" x14ac:dyDescent="0.3">
      <c r="A57" s="268">
        <f t="shared" si="11"/>
        <v>2012</v>
      </c>
      <c r="B57" s="1158">
        <f t="shared" si="7"/>
        <v>0.20620000000000005</v>
      </c>
      <c r="C57" s="1158">
        <f t="shared" si="14"/>
        <v>0.1321</v>
      </c>
      <c r="D57" s="1158">
        <f t="shared" si="14"/>
        <v>0.14380000000000001</v>
      </c>
      <c r="E57" s="1158">
        <f t="shared" si="14"/>
        <v>6.8099999999999994E-2</v>
      </c>
      <c r="F57" s="1158">
        <f t="shared" si="14"/>
        <v>6.93E-2</v>
      </c>
      <c r="G57" s="1158">
        <f t="shared" si="14"/>
        <v>0.17510000000000001</v>
      </c>
      <c r="H57" s="1158">
        <f t="shared" si="14"/>
        <v>0.1031</v>
      </c>
      <c r="I57" s="1158">
        <f t="shared" si="14"/>
        <v>5.0599999999999999E-2</v>
      </c>
      <c r="J57" s="1158">
        <f t="shared" si="14"/>
        <v>0.04</v>
      </c>
      <c r="K57" s="1158">
        <f t="shared" si="14"/>
        <v>5.4000000000000003E-3</v>
      </c>
      <c r="L57" s="1158">
        <f t="shared" si="14"/>
        <v>4.7999999999999996E-3</v>
      </c>
      <c r="M57" s="1158">
        <f t="shared" si="14"/>
        <v>1.2999999999999999E-3</v>
      </c>
      <c r="N57" s="1158">
        <f t="shared" si="14"/>
        <v>2.0000000000000001E-4</v>
      </c>
      <c r="O57" s="1159"/>
      <c r="P57" s="1159"/>
      <c r="Q57" s="29">
        <f t="shared" si="17"/>
        <v>0.29726934851922848</v>
      </c>
      <c r="R57" s="29">
        <f t="shared" si="18"/>
        <v>0.12889999999999999</v>
      </c>
      <c r="S57" s="29">
        <f t="shared" si="16"/>
        <v>0.12770000000000001</v>
      </c>
      <c r="T57" s="29">
        <f t="shared" si="16"/>
        <v>5.79E-2</v>
      </c>
      <c r="U57" s="29">
        <f t="shared" si="16"/>
        <v>5.5800000000000002E-2</v>
      </c>
      <c r="V57" s="29">
        <f t="shared" si="16"/>
        <v>0.15090000000000001</v>
      </c>
      <c r="W57" s="29">
        <f t="shared" si="16"/>
        <v>8.8800000000000004E-2</v>
      </c>
      <c r="X57" s="29">
        <f t="shared" si="16"/>
        <v>4.5699999999999998E-2</v>
      </c>
      <c r="Y57" s="29">
        <f t="shared" si="16"/>
        <v>3.7100000000000001E-2</v>
      </c>
      <c r="Z57" s="29">
        <f t="shared" si="16"/>
        <v>4.7999999999999996E-3</v>
      </c>
      <c r="AA57" s="29">
        <f t="shared" si="16"/>
        <v>4.0000000000000001E-3</v>
      </c>
      <c r="AB57" s="29">
        <f t="shared" si="16"/>
        <v>1E-3</v>
      </c>
      <c r="AC57" s="29">
        <f t="shared" si="16"/>
        <v>1E-4</v>
      </c>
      <c r="AD57" s="1165">
        <f t="shared" si="19"/>
        <v>13</v>
      </c>
      <c r="AF57" s="1011" t="str">
        <f t="shared" si="3"/>
        <v>%let mcnf2012=0.2062;</v>
      </c>
    </row>
    <row r="58" spans="1:32" x14ac:dyDescent="0.3">
      <c r="A58" s="268">
        <f t="shared" si="11"/>
        <v>2013</v>
      </c>
      <c r="B58" s="1158">
        <f t="shared" si="7"/>
        <v>0.20669999999999999</v>
      </c>
      <c r="C58" s="1158">
        <f t="shared" si="14"/>
        <v>0.12970000000000001</v>
      </c>
      <c r="D58" s="1158">
        <f t="shared" si="14"/>
        <v>0.13619999999999999</v>
      </c>
      <c r="E58" s="1158">
        <f t="shared" si="14"/>
        <v>6.5600000000000006E-2</v>
      </c>
      <c r="F58" s="1158">
        <f t="shared" si="14"/>
        <v>6.9900000000000004E-2</v>
      </c>
      <c r="G58" s="1158">
        <f t="shared" si="14"/>
        <v>0.17730000000000001</v>
      </c>
      <c r="H58" s="1158">
        <f t="shared" si="14"/>
        <v>0.1076</v>
      </c>
      <c r="I58" s="1158">
        <f t="shared" si="14"/>
        <v>5.28E-2</v>
      </c>
      <c r="J58" s="1158">
        <f t="shared" si="14"/>
        <v>4.2900000000000001E-2</v>
      </c>
      <c r="K58" s="1158">
        <f t="shared" si="14"/>
        <v>5.3E-3</v>
      </c>
      <c r="L58" s="1158">
        <f t="shared" si="14"/>
        <v>4.5999999999999999E-3</v>
      </c>
      <c r="M58" s="1158">
        <f t="shared" si="14"/>
        <v>1.1999999999999999E-3</v>
      </c>
      <c r="N58" s="1158">
        <f t="shared" si="14"/>
        <v>2.0000000000000001E-4</v>
      </c>
      <c r="O58" s="1159"/>
      <c r="P58" s="1159"/>
      <c r="Q58" s="29">
        <f t="shared" si="17"/>
        <v>0.29154910477767448</v>
      </c>
      <c r="R58" s="29">
        <f t="shared" si="18"/>
        <v>0.13139999999999999</v>
      </c>
      <c r="S58" s="29">
        <f t="shared" si="16"/>
        <v>0.1249</v>
      </c>
      <c r="T58" s="29">
        <f t="shared" si="16"/>
        <v>5.7200000000000001E-2</v>
      </c>
      <c r="U58" s="29">
        <f t="shared" si="16"/>
        <v>5.5800000000000002E-2</v>
      </c>
      <c r="V58" s="29">
        <f t="shared" si="16"/>
        <v>0.15429999999999999</v>
      </c>
      <c r="W58" s="29">
        <f t="shared" si="16"/>
        <v>9.0700000000000003E-2</v>
      </c>
      <c r="X58" s="29">
        <f t="shared" si="16"/>
        <v>4.6699999999999998E-2</v>
      </c>
      <c r="Y58" s="29">
        <f t="shared" si="16"/>
        <v>3.7600000000000001E-2</v>
      </c>
      <c r="Z58" s="29">
        <f t="shared" si="16"/>
        <v>4.7999999999999996E-3</v>
      </c>
      <c r="AA58" s="29">
        <f t="shared" si="16"/>
        <v>4.1000000000000003E-3</v>
      </c>
      <c r="AB58" s="29">
        <f t="shared" si="16"/>
        <v>1E-3</v>
      </c>
      <c r="AC58" s="29">
        <f t="shared" si="16"/>
        <v>1E-4</v>
      </c>
      <c r="AD58" s="1165">
        <f t="shared" si="19"/>
        <v>14</v>
      </c>
      <c r="AF58" s="1011" t="str">
        <f t="shared" si="3"/>
        <v>%let mcnf2013=0.2067;</v>
      </c>
    </row>
    <row r="59" spans="1:32" x14ac:dyDescent="0.3">
      <c r="A59" s="268">
        <f t="shared" si="11"/>
        <v>2014</v>
      </c>
      <c r="B59" s="1158">
        <f t="shared" si="7"/>
        <v>0.21839999999999993</v>
      </c>
      <c r="C59" s="1158">
        <f t="shared" ref="C59:N60" si="20">ROUND(R128/$AH128,4)</f>
        <v>0.1275</v>
      </c>
      <c r="D59" s="1158">
        <f t="shared" si="20"/>
        <v>0.13070000000000001</v>
      </c>
      <c r="E59" s="1158">
        <f t="shared" si="20"/>
        <v>6.0999999999999999E-2</v>
      </c>
      <c r="F59" s="1158">
        <f t="shared" si="20"/>
        <v>6.54E-2</v>
      </c>
      <c r="G59" s="1158">
        <f t="shared" si="20"/>
        <v>0.1817</v>
      </c>
      <c r="H59" s="1158">
        <f t="shared" si="20"/>
        <v>0.1056</v>
      </c>
      <c r="I59" s="1158">
        <f t="shared" si="20"/>
        <v>5.3600000000000002E-2</v>
      </c>
      <c r="J59" s="1158">
        <f t="shared" si="20"/>
        <v>4.4200000000000003E-2</v>
      </c>
      <c r="K59" s="1158">
        <f t="shared" si="20"/>
        <v>5.7000000000000002E-3</v>
      </c>
      <c r="L59" s="1158">
        <f t="shared" si="20"/>
        <v>4.7999999999999996E-3</v>
      </c>
      <c r="M59" s="1158">
        <f t="shared" si="20"/>
        <v>1.1999999999999999E-3</v>
      </c>
      <c r="N59" s="1158">
        <f t="shared" si="20"/>
        <v>2.0000000000000001E-4</v>
      </c>
      <c r="O59" s="1159"/>
      <c r="P59" s="1159"/>
      <c r="Q59" s="29">
        <f t="shared" si="17"/>
        <v>0.28582886103612049</v>
      </c>
      <c r="R59" s="29">
        <f t="shared" si="18"/>
        <v>0.13400000000000001</v>
      </c>
      <c r="S59" s="29">
        <f t="shared" si="16"/>
        <v>0.122</v>
      </c>
      <c r="T59" s="29">
        <f t="shared" si="16"/>
        <v>5.6399999999999999E-2</v>
      </c>
      <c r="U59" s="29">
        <f t="shared" si="16"/>
        <v>5.5800000000000002E-2</v>
      </c>
      <c r="V59" s="29">
        <f t="shared" si="16"/>
        <v>0.15770000000000001</v>
      </c>
      <c r="W59" s="29">
        <f t="shared" si="16"/>
        <v>9.2600000000000002E-2</v>
      </c>
      <c r="X59" s="29">
        <f t="shared" si="16"/>
        <v>4.7699999999999999E-2</v>
      </c>
      <c r="Y59" s="29">
        <f t="shared" si="16"/>
        <v>3.7999999999999999E-2</v>
      </c>
      <c r="Z59" s="29">
        <f t="shared" si="16"/>
        <v>4.7999999999999996E-3</v>
      </c>
      <c r="AA59" s="29">
        <f t="shared" si="16"/>
        <v>4.1000000000000003E-3</v>
      </c>
      <c r="AB59" s="29">
        <f t="shared" si="16"/>
        <v>1E-3</v>
      </c>
      <c r="AC59" s="29">
        <f t="shared" si="16"/>
        <v>1E-4</v>
      </c>
      <c r="AD59" s="1165">
        <f t="shared" si="19"/>
        <v>15</v>
      </c>
      <c r="AF59" s="1011" t="str">
        <f t="shared" si="3"/>
        <v>%let mcnf2014=0.2184;</v>
      </c>
    </row>
    <row r="60" spans="1:32" x14ac:dyDescent="0.3">
      <c r="A60" s="268">
        <f t="shared" si="11"/>
        <v>2015</v>
      </c>
      <c r="B60" s="1158">
        <f>1-SUM(C60:N60)</f>
        <v>0.20409999999999984</v>
      </c>
      <c r="C60" s="1158">
        <f>ROUND(R129/$AH129,4)</f>
        <v>0.13589999999999999</v>
      </c>
      <c r="D60" s="1158">
        <f t="shared" si="20"/>
        <v>0.13170000000000001</v>
      </c>
      <c r="E60" s="1158">
        <f t="shared" si="20"/>
        <v>6.1199999999999997E-2</v>
      </c>
      <c r="F60" s="1158">
        <f t="shared" si="20"/>
        <v>6.4600000000000005E-2</v>
      </c>
      <c r="G60" s="1158">
        <f t="shared" si="20"/>
        <v>0.18290000000000001</v>
      </c>
      <c r="H60" s="1158">
        <f t="shared" si="20"/>
        <v>0.1066</v>
      </c>
      <c r="I60" s="1158">
        <f t="shared" si="20"/>
        <v>5.45E-2</v>
      </c>
      <c r="J60" s="1158">
        <f t="shared" si="20"/>
        <v>4.4999999999999998E-2</v>
      </c>
      <c r="K60" s="1158">
        <f t="shared" si="20"/>
        <v>6.0000000000000001E-3</v>
      </c>
      <c r="L60" s="1158">
        <f t="shared" si="20"/>
        <v>5.7000000000000002E-3</v>
      </c>
      <c r="M60" s="1158">
        <f t="shared" si="20"/>
        <v>1.6000000000000001E-3</v>
      </c>
      <c r="N60" s="1158">
        <f t="shared" si="20"/>
        <v>2.0000000000000001E-4</v>
      </c>
      <c r="O60" s="1159"/>
      <c r="P60" s="1159"/>
      <c r="Q60" s="1164">
        <v>0.28010861729456654</v>
      </c>
      <c r="R60" s="1164">
        <v>0.13654034670895826</v>
      </c>
      <c r="S60" s="1164">
        <v>0.11921277558904143</v>
      </c>
      <c r="T60" s="1164">
        <v>5.5680246029223286E-2</v>
      </c>
      <c r="U60" s="1164">
        <v>5.5854616773809672E-2</v>
      </c>
      <c r="V60" s="1164">
        <v>0.16104246067231434</v>
      </c>
      <c r="W60" s="1164">
        <v>9.4498616026089874E-2</v>
      </c>
      <c r="X60" s="1164">
        <v>4.8655406697352209E-2</v>
      </c>
      <c r="Y60" s="1164">
        <v>3.8376154835688292E-2</v>
      </c>
      <c r="Z60" s="1164">
        <v>4.7866729331090549E-3</v>
      </c>
      <c r="AA60" s="1164">
        <v>4.0963516579357274E-3</v>
      </c>
      <c r="AB60" s="1164">
        <v>1.0223175191992045E-3</v>
      </c>
      <c r="AC60" s="1164">
        <v>1.254172627120849E-4</v>
      </c>
      <c r="AD60" s="1011" t="s">
        <v>1819</v>
      </c>
      <c r="AF60" s="1011" t="str">
        <f t="shared" si="3"/>
        <v>%let mcnf2015=0.2041;</v>
      </c>
    </row>
    <row r="61" spans="1:32" ht="7.5" customHeight="1" x14ac:dyDescent="0.3">
      <c r="A61" s="269"/>
      <c r="B61" s="269"/>
      <c r="C61" s="269"/>
      <c r="D61" s="269"/>
      <c r="E61" s="269"/>
      <c r="F61" s="269"/>
      <c r="G61" s="269"/>
      <c r="H61" s="269"/>
      <c r="I61" s="11"/>
      <c r="J61" s="11"/>
      <c r="K61" s="11"/>
      <c r="L61" s="11"/>
      <c r="M61" s="11"/>
      <c r="N61" s="11"/>
      <c r="O61" s="11"/>
      <c r="P61" s="11"/>
      <c r="Q61" s="11"/>
      <c r="R61" s="11"/>
      <c r="S61" s="11"/>
      <c r="T61" s="11"/>
      <c r="U61" s="11"/>
      <c r="V61" s="11"/>
      <c r="W61" s="11"/>
      <c r="X61" s="11"/>
      <c r="Y61" s="11"/>
      <c r="Z61" s="11"/>
      <c r="AA61" s="11"/>
      <c r="AB61" s="11"/>
      <c r="AC61" s="11"/>
    </row>
    <row r="63" spans="1:32" x14ac:dyDescent="0.3">
      <c r="A63" s="263" t="s">
        <v>1820</v>
      </c>
      <c r="B63" s="263"/>
      <c r="C63" s="263"/>
      <c r="D63" s="263"/>
      <c r="E63" s="263"/>
      <c r="F63" s="263"/>
      <c r="G63" s="263"/>
      <c r="H63" s="263"/>
    </row>
    <row r="64" spans="1:32" x14ac:dyDescent="0.3">
      <c r="A64" s="372" t="s">
        <v>1821</v>
      </c>
      <c r="B64" s="372"/>
      <c r="C64" s="372"/>
      <c r="D64" s="372"/>
      <c r="E64" s="372"/>
      <c r="F64" s="372"/>
      <c r="G64" s="372"/>
      <c r="H64" s="372"/>
    </row>
    <row r="65" spans="1:42" x14ac:dyDescent="0.3">
      <c r="A65" s="263" t="s">
        <v>1822</v>
      </c>
      <c r="B65" s="263"/>
      <c r="C65" s="263"/>
      <c r="D65" s="263"/>
      <c r="E65" s="263"/>
      <c r="F65" s="263"/>
      <c r="G65" s="263"/>
      <c r="H65" s="263"/>
    </row>
    <row r="66" spans="1:42" x14ac:dyDescent="0.3">
      <c r="A66" s="263"/>
      <c r="B66" s="263"/>
      <c r="C66" s="263"/>
      <c r="D66" s="263"/>
      <c r="E66" s="263"/>
      <c r="F66" s="263"/>
      <c r="G66" s="263"/>
      <c r="H66" s="263"/>
      <c r="R66" s="1159"/>
      <c r="S66" s="1159"/>
      <c r="T66" s="1159"/>
      <c r="U66" s="1159"/>
      <c r="V66" s="1159"/>
      <c r="W66" s="1159"/>
      <c r="X66" s="1159"/>
      <c r="Y66" s="1159"/>
      <c r="Z66" s="1159"/>
      <c r="AA66" s="1159"/>
      <c r="AB66" s="1159"/>
      <c r="AC66" s="1159"/>
      <c r="AE66" s="1166"/>
    </row>
    <row r="67" spans="1:42" x14ac:dyDescent="0.3">
      <c r="A67" s="263"/>
      <c r="B67" s="263"/>
      <c r="C67" s="263"/>
      <c r="D67" s="263"/>
      <c r="E67" s="263"/>
      <c r="F67" s="263"/>
      <c r="G67" s="263"/>
      <c r="H67" s="263"/>
      <c r="R67" s="1159"/>
      <c r="S67" s="1159"/>
      <c r="T67" s="1159"/>
      <c r="U67" s="1159"/>
      <c r="V67" s="1159"/>
      <c r="W67" s="1159"/>
      <c r="X67" s="1159"/>
      <c r="Y67" s="1159"/>
      <c r="Z67" s="1159"/>
      <c r="AA67" s="1159"/>
      <c r="AB67" s="1159"/>
      <c r="AC67" s="1159"/>
      <c r="AE67" s="1166"/>
    </row>
    <row r="68" spans="1:42" x14ac:dyDescent="0.3">
      <c r="AE68" s="8"/>
    </row>
    <row r="69" spans="1:42" x14ac:dyDescent="0.3">
      <c r="AE69" s="8"/>
    </row>
    <row r="70" spans="1:42" x14ac:dyDescent="0.3">
      <c r="AI70" s="12"/>
      <c r="AJ70" s="12"/>
    </row>
    <row r="71" spans="1:42" x14ac:dyDescent="0.3">
      <c r="A71" s="404" t="s">
        <v>2173</v>
      </c>
      <c r="B71" s="404"/>
      <c r="C71" s="404"/>
      <c r="D71" s="404"/>
      <c r="E71" s="404"/>
      <c r="F71" s="404"/>
      <c r="G71" s="404"/>
      <c r="H71" s="404"/>
      <c r="I71" s="11"/>
      <c r="J71" s="11"/>
      <c r="K71" s="11"/>
      <c r="L71" s="11"/>
      <c r="M71" s="11"/>
      <c r="N71" s="11"/>
      <c r="O71" s="11"/>
      <c r="P71" s="11"/>
      <c r="Q71" s="404" t="s">
        <v>1823</v>
      </c>
      <c r="R71" s="11"/>
      <c r="S71" s="11"/>
      <c r="T71" s="11"/>
      <c r="U71" s="11"/>
      <c r="V71" s="11"/>
      <c r="W71" s="11"/>
      <c r="X71" s="11"/>
      <c r="Y71" s="11"/>
      <c r="Z71" s="11"/>
      <c r="AA71" s="11"/>
      <c r="AB71" s="11"/>
      <c r="AC71" s="11"/>
      <c r="AD71" s="11"/>
      <c r="AI71" s="12"/>
      <c r="AJ71" s="12"/>
      <c r="AK71" s="12"/>
      <c r="AL71" s="12"/>
      <c r="AM71" s="12"/>
      <c r="AN71" s="12"/>
      <c r="AO71" s="12"/>
      <c r="AP71" s="12"/>
    </row>
    <row r="72" spans="1:42" x14ac:dyDescent="0.3">
      <c r="C72" s="329" t="s">
        <v>1816</v>
      </c>
      <c r="D72" s="329" t="s">
        <v>1817</v>
      </c>
      <c r="E72" s="329" t="s">
        <v>485</v>
      </c>
      <c r="F72" s="329" t="s">
        <v>490</v>
      </c>
      <c r="G72" s="329" t="s">
        <v>1818</v>
      </c>
      <c r="H72" s="329" t="s">
        <v>487</v>
      </c>
      <c r="I72" s="405" t="s">
        <v>19</v>
      </c>
      <c r="J72" s="405" t="s">
        <v>20</v>
      </c>
      <c r="K72" s="405" t="s">
        <v>21</v>
      </c>
      <c r="L72" s="405" t="s">
        <v>460</v>
      </c>
      <c r="M72" s="405" t="s">
        <v>22</v>
      </c>
      <c r="N72" s="405" t="s">
        <v>23</v>
      </c>
      <c r="O72" s="405"/>
      <c r="P72" s="1167"/>
      <c r="Q72" s="1167"/>
      <c r="AF72" s="1475" t="s">
        <v>465</v>
      </c>
      <c r="AG72" s="1475"/>
      <c r="AH72" s="1475"/>
      <c r="AI72" s="12"/>
      <c r="AJ72" s="12"/>
      <c r="AK72" s="405"/>
      <c r="AL72" s="405"/>
      <c r="AM72" s="405"/>
      <c r="AN72" s="405"/>
      <c r="AO72" s="405"/>
      <c r="AP72" s="405"/>
    </row>
    <row r="73" spans="1:42" x14ac:dyDescent="0.3">
      <c r="A73" s="1145" t="s">
        <v>461</v>
      </c>
      <c r="B73" s="1145"/>
      <c r="C73" s="1435" t="s">
        <v>1843</v>
      </c>
      <c r="D73" s="1435"/>
      <c r="E73" s="1435"/>
      <c r="F73" s="1435"/>
      <c r="G73" s="1435"/>
      <c r="H73" s="1435"/>
      <c r="I73" s="1435"/>
      <c r="J73" s="1435"/>
      <c r="K73" s="1435"/>
      <c r="L73" s="1435"/>
      <c r="M73" s="1435"/>
      <c r="N73" s="1435"/>
      <c r="O73" s="1145"/>
      <c r="P73" s="288" t="s">
        <v>1824</v>
      </c>
      <c r="Q73" s="288" t="s">
        <v>1815</v>
      </c>
      <c r="R73" s="288" t="s">
        <v>1816</v>
      </c>
      <c r="S73" s="288" t="s">
        <v>1817</v>
      </c>
      <c r="T73" s="288" t="s">
        <v>485</v>
      </c>
      <c r="U73" s="288" t="s">
        <v>490</v>
      </c>
      <c r="V73" s="288" t="s">
        <v>1818</v>
      </c>
      <c r="W73" s="288" t="s">
        <v>487</v>
      </c>
      <c r="X73" s="1168" t="s">
        <v>19</v>
      </c>
      <c r="Y73" s="1168" t="s">
        <v>20</v>
      </c>
      <c r="Z73" s="1168" t="s">
        <v>21</v>
      </c>
      <c r="AA73" s="1168" t="s">
        <v>460</v>
      </c>
      <c r="AB73" s="1168" t="s">
        <v>22</v>
      </c>
      <c r="AC73" s="1168" t="s">
        <v>23</v>
      </c>
      <c r="AF73" s="11" t="s">
        <v>463</v>
      </c>
      <c r="AG73" s="11" t="s">
        <v>464</v>
      </c>
      <c r="AH73" s="288" t="s">
        <v>466</v>
      </c>
      <c r="AK73" s="19"/>
      <c r="AL73" s="19"/>
      <c r="AM73" s="19"/>
      <c r="AN73" s="19"/>
      <c r="AO73" s="19"/>
      <c r="AP73" s="19"/>
    </row>
    <row r="74" spans="1:42" x14ac:dyDescent="0.3">
      <c r="A74" s="19">
        <v>1960</v>
      </c>
      <c r="B74" s="19"/>
      <c r="C74" s="19"/>
      <c r="D74" s="19"/>
      <c r="E74" s="19"/>
      <c r="F74" s="19"/>
      <c r="G74" s="19"/>
      <c r="H74" s="19"/>
      <c r="I74" s="19"/>
      <c r="J74" s="19"/>
      <c r="K74" s="19"/>
      <c r="L74" s="19"/>
      <c r="M74" s="19"/>
      <c r="N74" s="19"/>
      <c r="O74" s="19"/>
      <c r="Q74" s="406"/>
      <c r="R74" s="12"/>
      <c r="S74" s="12"/>
      <c r="T74" s="12"/>
      <c r="U74" s="12"/>
      <c r="V74" s="12"/>
      <c r="X74" s="329"/>
      <c r="Y74" s="329"/>
      <c r="Z74" s="329"/>
      <c r="AA74" s="329"/>
      <c r="AB74" s="329"/>
      <c r="AC74" s="329"/>
      <c r="AF74" s="1011">
        <v>9.1459409780000005</v>
      </c>
      <c r="AG74" s="1011">
        <v>180671000</v>
      </c>
      <c r="AH74" s="406">
        <f t="shared" ref="AH74:AH129" si="21">AG74*AF74/100/1000</f>
        <v>16524.063024362378</v>
      </c>
      <c r="AK74" s="329"/>
      <c r="AL74" s="329"/>
      <c r="AM74" s="329"/>
      <c r="AN74" s="12"/>
      <c r="AO74" s="12"/>
      <c r="AP74" s="12"/>
    </row>
    <row r="75" spans="1:42" x14ac:dyDescent="0.3">
      <c r="A75" s="19">
        <f>A74+1</f>
        <v>1961</v>
      </c>
      <c r="B75" s="19"/>
      <c r="C75" s="1295"/>
      <c r="D75" s="1295"/>
      <c r="E75" s="1295"/>
      <c r="F75" s="1295"/>
      <c r="G75" s="1295"/>
      <c r="H75" s="1295"/>
      <c r="I75" s="1296"/>
      <c r="J75" s="1296"/>
      <c r="K75" s="1296"/>
      <c r="L75" s="1296"/>
      <c r="M75" s="1296"/>
      <c r="N75" s="1296"/>
      <c r="O75" s="19"/>
      <c r="Q75" s="406"/>
      <c r="R75" s="12"/>
      <c r="S75" s="12"/>
      <c r="T75" s="12"/>
      <c r="U75" s="12"/>
      <c r="V75" s="12"/>
      <c r="X75" s="329"/>
      <c r="Y75" s="329"/>
      <c r="Z75" s="329"/>
      <c r="AA75" s="329"/>
      <c r="AB75" s="329"/>
      <c r="AC75" s="329"/>
      <c r="AF75" s="1011">
        <v>9.230812835</v>
      </c>
      <c r="AG75" s="1011">
        <v>183691000</v>
      </c>
      <c r="AH75" s="406">
        <f t="shared" si="21"/>
        <v>16956.172404739849</v>
      </c>
      <c r="AK75" s="329"/>
      <c r="AL75" s="329"/>
      <c r="AM75" s="329"/>
      <c r="AN75" s="12"/>
      <c r="AO75" s="12"/>
      <c r="AP75" s="12"/>
    </row>
    <row r="76" spans="1:42" x14ac:dyDescent="0.3">
      <c r="A76" s="19">
        <f>A75+1</f>
        <v>1962</v>
      </c>
      <c r="B76" s="19"/>
      <c r="C76" s="1169">
        <v>2534207.37</v>
      </c>
      <c r="D76" s="1169">
        <v>2430761.73</v>
      </c>
      <c r="E76" s="1169">
        <v>837487.9</v>
      </c>
      <c r="F76" s="1169">
        <v>674554.42</v>
      </c>
      <c r="G76" s="1169">
        <v>1036778.96</v>
      </c>
      <c r="H76" s="1169">
        <v>449236.36</v>
      </c>
      <c r="I76" s="1013">
        <v>249863.91</v>
      </c>
      <c r="J76" s="1013">
        <v>356497.35</v>
      </c>
      <c r="K76" s="1013">
        <v>73632.87</v>
      </c>
      <c r="L76" s="1013">
        <v>72235</v>
      </c>
      <c r="M76" s="1013">
        <v>22033.79</v>
      </c>
      <c r="N76" s="1013">
        <v>3933</v>
      </c>
      <c r="O76" s="8"/>
      <c r="P76" s="424">
        <f>Q76/AH76</f>
        <v>0.49679695197788326</v>
      </c>
      <c r="Q76" s="406">
        <f>AH76-SUM(R76:AC76)</f>
        <v>8629.9413151748995</v>
      </c>
      <c r="R76" s="8">
        <f t="shared" ref="R76:AB76" si="22">C76/1000</f>
        <v>2534.2073700000001</v>
      </c>
      <c r="S76" s="8">
        <f t="shared" si="22"/>
        <v>2430.7617300000002</v>
      </c>
      <c r="T76" s="8">
        <f t="shared" si="22"/>
        <v>837.48789999999997</v>
      </c>
      <c r="U76" s="8">
        <f t="shared" si="22"/>
        <v>674.55442000000005</v>
      </c>
      <c r="V76" s="8">
        <f t="shared" si="22"/>
        <v>1036.7789599999999</v>
      </c>
      <c r="W76" s="8">
        <f t="shared" si="22"/>
        <v>449.23635999999999</v>
      </c>
      <c r="X76" s="8">
        <f t="shared" si="22"/>
        <v>249.86391</v>
      </c>
      <c r="Y76" s="8">
        <f t="shared" si="22"/>
        <v>356.49734999999998</v>
      </c>
      <c r="Z76" s="8">
        <f t="shared" si="22"/>
        <v>73.632869999999997</v>
      </c>
      <c r="AA76" s="8">
        <f t="shared" si="22"/>
        <v>72.234999999999999</v>
      </c>
      <c r="AB76" s="8">
        <f t="shared" si="22"/>
        <v>22.03379</v>
      </c>
      <c r="AC76" s="8">
        <f>N76/1000</f>
        <v>3.9329999999999998</v>
      </c>
      <c r="AF76" s="1011">
        <v>9.3123996049999995</v>
      </c>
      <c r="AG76" s="1011">
        <v>186538000</v>
      </c>
      <c r="AH76" s="406">
        <f t="shared" si="21"/>
        <v>17371.163975174899</v>
      </c>
      <c r="AK76" s="1160"/>
      <c r="AL76" s="1160"/>
      <c r="AM76" s="1160"/>
      <c r="AN76" s="1160"/>
      <c r="AO76" s="1161"/>
      <c r="AP76" s="1161"/>
    </row>
    <row r="77" spans="1:42" x14ac:dyDescent="0.3">
      <c r="A77" s="19">
        <f>A76+1</f>
        <v>1963</v>
      </c>
      <c r="B77" s="19"/>
      <c r="C77" s="1169"/>
      <c r="D77" s="1169"/>
      <c r="E77" s="1169"/>
      <c r="F77" s="1169"/>
      <c r="G77" s="1169"/>
      <c r="H77" s="1169"/>
      <c r="I77" s="1013"/>
      <c r="J77" s="1013"/>
      <c r="K77" s="1013"/>
      <c r="L77" s="1013"/>
      <c r="M77" s="1013"/>
      <c r="N77" s="1013"/>
      <c r="O77" s="8"/>
      <c r="Q77" s="406"/>
      <c r="X77" s="8"/>
      <c r="Y77" s="8"/>
      <c r="Z77" s="8"/>
      <c r="AA77" s="8"/>
      <c r="AB77" s="8"/>
      <c r="AC77" s="8"/>
      <c r="AF77" s="1011">
        <v>9.3880694219999992</v>
      </c>
      <c r="AG77" s="1011">
        <v>189242000</v>
      </c>
      <c r="AH77" s="406">
        <f t="shared" si="21"/>
        <v>17766.170335581239</v>
      </c>
      <c r="AK77" s="1160"/>
      <c r="AL77" s="1160"/>
      <c r="AM77" s="1160"/>
      <c r="AN77" s="1160"/>
      <c r="AO77" s="1161"/>
      <c r="AP77" s="1161"/>
    </row>
    <row r="78" spans="1:42" x14ac:dyDescent="0.3">
      <c r="A78" s="19">
        <f>A77+1</f>
        <v>1964</v>
      </c>
      <c r="B78" s="19"/>
      <c r="C78" s="1169">
        <v>2521654</v>
      </c>
      <c r="D78" s="1169">
        <v>2834548</v>
      </c>
      <c r="E78" s="1169">
        <v>835838</v>
      </c>
      <c r="F78" s="1169">
        <v>661055</v>
      </c>
      <c r="G78" s="1169">
        <v>1014615</v>
      </c>
      <c r="H78" s="1169">
        <v>417217</v>
      </c>
      <c r="I78" s="1013">
        <v>210976</v>
      </c>
      <c r="J78" s="1013">
        <v>309687</v>
      </c>
      <c r="K78" s="1013">
        <v>72492</v>
      </c>
      <c r="L78" s="1013">
        <v>73515</v>
      </c>
      <c r="M78" s="1013">
        <v>28793</v>
      </c>
      <c r="N78" s="1013">
        <v>4666</v>
      </c>
      <c r="O78" s="8"/>
      <c r="P78" s="424">
        <f>Q78/AH78</f>
        <v>0.50441499046392391</v>
      </c>
      <c r="Q78" s="406">
        <f>AH78-SUM(R78:AC78)</f>
        <v>9145.1453319794182</v>
      </c>
      <c r="R78" s="8">
        <f t="shared" ref="R78:AB78" si="23">C78/1000</f>
        <v>2521.654</v>
      </c>
      <c r="S78" s="8">
        <f t="shared" si="23"/>
        <v>2834.5479999999998</v>
      </c>
      <c r="T78" s="8">
        <f t="shared" si="23"/>
        <v>835.83799999999997</v>
      </c>
      <c r="U78" s="8">
        <f t="shared" si="23"/>
        <v>661.05499999999995</v>
      </c>
      <c r="V78" s="8">
        <f t="shared" si="23"/>
        <v>1014.615</v>
      </c>
      <c r="W78" s="8">
        <f t="shared" si="23"/>
        <v>417.21699999999998</v>
      </c>
      <c r="X78" s="8">
        <f t="shared" si="23"/>
        <v>210.976</v>
      </c>
      <c r="Y78" s="8">
        <f t="shared" si="23"/>
        <v>309.68700000000001</v>
      </c>
      <c r="Z78" s="8">
        <f t="shared" si="23"/>
        <v>72.492000000000004</v>
      </c>
      <c r="AA78" s="8">
        <f t="shared" si="23"/>
        <v>73.515000000000001</v>
      </c>
      <c r="AB78" s="8">
        <f t="shared" si="23"/>
        <v>28.792999999999999</v>
      </c>
      <c r="AC78" s="8">
        <f>N78/1000</f>
        <v>4.6660000000000004</v>
      </c>
      <c r="AF78" s="1011">
        <v>9.4482754779999993</v>
      </c>
      <c r="AG78" s="1011">
        <v>191889000</v>
      </c>
      <c r="AH78" s="406">
        <f t="shared" si="21"/>
        <v>18130.201331979417</v>
      </c>
      <c r="AK78" s="1160"/>
      <c r="AL78" s="1160"/>
      <c r="AM78" s="1160"/>
      <c r="AN78" s="1160"/>
      <c r="AO78" s="1161"/>
      <c r="AP78" s="1161"/>
    </row>
    <row r="79" spans="1:42" x14ac:dyDescent="0.3">
      <c r="A79" s="19">
        <f>A78+1</f>
        <v>1965</v>
      </c>
      <c r="B79" s="19"/>
      <c r="C79" s="1169"/>
      <c r="D79" s="1169"/>
      <c r="E79" s="1169"/>
      <c r="F79" s="1169"/>
      <c r="G79" s="1169"/>
      <c r="H79" s="1169"/>
      <c r="I79" s="1013"/>
      <c r="J79" s="1013"/>
      <c r="K79" s="1013"/>
      <c r="L79" s="1013"/>
      <c r="M79" s="1013"/>
      <c r="N79" s="1013"/>
      <c r="O79" s="8"/>
      <c r="Q79" s="406"/>
      <c r="X79" s="8"/>
      <c r="Y79" s="8"/>
      <c r="Z79" s="8"/>
      <c r="AA79" s="8"/>
      <c r="AB79" s="8"/>
      <c r="AC79" s="8"/>
      <c r="AF79" s="1011">
        <v>9.4861328740000008</v>
      </c>
      <c r="AG79" s="1011">
        <v>194303000</v>
      </c>
      <c r="AH79" s="406">
        <f t="shared" si="21"/>
        <v>18431.840758168222</v>
      </c>
      <c r="AK79" s="1160"/>
      <c r="AL79" s="1160"/>
      <c r="AM79" s="1160"/>
      <c r="AN79" s="1160"/>
      <c r="AO79" s="1161"/>
      <c r="AP79" s="1161"/>
    </row>
    <row r="80" spans="1:42" x14ac:dyDescent="0.3">
      <c r="A80" s="19">
        <v>1966</v>
      </c>
      <c r="B80" s="19"/>
      <c r="C80" s="1169">
        <v>2306189.5699999998</v>
      </c>
      <c r="D80" s="1169">
        <v>3315664.9</v>
      </c>
      <c r="E80" s="1169">
        <v>1135707.48</v>
      </c>
      <c r="F80" s="1169">
        <v>1016608.62</v>
      </c>
      <c r="G80" s="1169">
        <v>1050108.3500000001</v>
      </c>
      <c r="H80" s="1169">
        <v>433565.83</v>
      </c>
      <c r="I80" s="1013">
        <v>252979.64</v>
      </c>
      <c r="J80" s="1013">
        <v>412279.34</v>
      </c>
      <c r="K80" s="1013">
        <v>87014.54</v>
      </c>
      <c r="L80" s="1013">
        <v>80311.92</v>
      </c>
      <c r="M80" s="1013">
        <v>28882.639999999999</v>
      </c>
      <c r="N80" s="1013">
        <v>4758</v>
      </c>
      <c r="O80" s="8"/>
      <c r="P80" s="424">
        <f>Q80/AH80</f>
        <v>0.46020471471994023</v>
      </c>
      <c r="Q80" s="406">
        <f t="shared" ref="Q80:Q129" si="24">AH80-SUM(R80:AC80)</f>
        <v>8631.3186779824009</v>
      </c>
      <c r="R80" s="8">
        <f t="shared" ref="R80:AC95" si="25">C80/1000</f>
        <v>2306.18957</v>
      </c>
      <c r="S80" s="8">
        <f t="shared" si="25"/>
        <v>3315.6648999999998</v>
      </c>
      <c r="T80" s="8">
        <f t="shared" si="25"/>
        <v>1135.70748</v>
      </c>
      <c r="U80" s="8">
        <f t="shared" si="25"/>
        <v>1016.60862</v>
      </c>
      <c r="V80" s="8">
        <f t="shared" si="25"/>
        <v>1050.1083500000002</v>
      </c>
      <c r="W80" s="8">
        <f t="shared" si="25"/>
        <v>433.56583000000001</v>
      </c>
      <c r="X80" s="8">
        <f t="shared" si="25"/>
        <v>252.97964000000002</v>
      </c>
      <c r="Y80" s="8">
        <f t="shared" si="25"/>
        <v>412.27934000000005</v>
      </c>
      <c r="Z80" s="8">
        <f t="shared" si="25"/>
        <v>87.014539999999997</v>
      </c>
      <c r="AA80" s="8">
        <f t="shared" si="25"/>
        <v>80.311920000000001</v>
      </c>
      <c r="AB80" s="8">
        <f t="shared" si="25"/>
        <v>28.882639999999999</v>
      </c>
      <c r="AC80" s="8">
        <f>N80/1000</f>
        <v>4.758</v>
      </c>
      <c r="AF80" s="1011">
        <v>9.5418139540000002</v>
      </c>
      <c r="AG80" s="1011">
        <v>196560000</v>
      </c>
      <c r="AH80" s="406">
        <f t="shared" si="21"/>
        <v>18755.3895079824</v>
      </c>
      <c r="AK80" s="1160"/>
      <c r="AL80" s="1160"/>
      <c r="AM80" s="1160"/>
      <c r="AN80" s="1160"/>
      <c r="AO80" s="1161"/>
      <c r="AP80" s="1161"/>
    </row>
    <row r="81" spans="1:42" x14ac:dyDescent="0.3">
      <c r="A81" s="19">
        <v>1967</v>
      </c>
      <c r="B81" s="19"/>
      <c r="C81" s="1169">
        <v>2338466.79</v>
      </c>
      <c r="D81" s="1169">
        <v>3468817.35</v>
      </c>
      <c r="E81" s="1169">
        <v>1159920.45</v>
      </c>
      <c r="F81" s="1169">
        <v>789946.42</v>
      </c>
      <c r="G81" s="1169">
        <v>1113919.2</v>
      </c>
      <c r="H81" s="1169">
        <v>445286.33</v>
      </c>
      <c r="I81" s="1013">
        <v>256236.93</v>
      </c>
      <c r="J81" s="1013">
        <v>402835.27</v>
      </c>
      <c r="K81" s="1013">
        <v>79653.55</v>
      </c>
      <c r="L81" s="1013">
        <v>81509.350000000006</v>
      </c>
      <c r="M81" s="1013">
        <v>27928.36</v>
      </c>
      <c r="N81" s="1013">
        <v>4730</v>
      </c>
      <c r="O81" s="8"/>
      <c r="P81" s="424">
        <f t="shared" ref="P81:P129" si="26">Q81/AH81</f>
        <v>0.46576227154627636</v>
      </c>
      <c r="Q81" s="406">
        <f t="shared" si="24"/>
        <v>8865.8152123231193</v>
      </c>
      <c r="R81" s="8">
        <f t="shared" si="25"/>
        <v>2338.4667899999999</v>
      </c>
      <c r="S81" s="8">
        <f t="shared" si="25"/>
        <v>3468.8173500000003</v>
      </c>
      <c r="T81" s="8">
        <f t="shared" si="25"/>
        <v>1159.9204499999998</v>
      </c>
      <c r="U81" s="8">
        <f t="shared" si="25"/>
        <v>789.94641999999999</v>
      </c>
      <c r="V81" s="8">
        <f t="shared" si="25"/>
        <v>1113.9192</v>
      </c>
      <c r="W81" s="8">
        <f t="shared" si="25"/>
        <v>445.28633000000002</v>
      </c>
      <c r="X81" s="8">
        <f t="shared" si="25"/>
        <v>256.23692999999997</v>
      </c>
      <c r="Y81" s="8">
        <f t="shared" si="25"/>
        <v>402.83527000000004</v>
      </c>
      <c r="Z81" s="8">
        <f t="shared" si="25"/>
        <v>79.65355000000001</v>
      </c>
      <c r="AA81" s="8">
        <f t="shared" si="25"/>
        <v>81.509350000000012</v>
      </c>
      <c r="AB81" s="8">
        <f t="shared" si="25"/>
        <v>27.928360000000001</v>
      </c>
      <c r="AC81" s="8">
        <f t="shared" si="25"/>
        <v>4.7300000000000004</v>
      </c>
      <c r="AF81" s="1011">
        <v>9.5792228010000002</v>
      </c>
      <c r="AG81" s="1011">
        <v>198712000</v>
      </c>
      <c r="AH81" s="406">
        <f t="shared" si="21"/>
        <v>19035.065212323119</v>
      </c>
      <c r="AK81" s="1160"/>
      <c r="AL81" s="1160"/>
      <c r="AM81" s="1160"/>
      <c r="AN81" s="1160"/>
      <c r="AO81" s="1161"/>
      <c r="AP81" s="1161"/>
    </row>
    <row r="82" spans="1:42" x14ac:dyDescent="0.3">
      <c r="A82" s="19">
        <v>1968</v>
      </c>
      <c r="B82" s="19"/>
      <c r="C82" s="1169">
        <v>2516791</v>
      </c>
      <c r="D82" s="1169">
        <v>3561659</v>
      </c>
      <c r="E82" s="1169">
        <v>1052369</v>
      </c>
      <c r="F82" s="1169">
        <v>962153</v>
      </c>
      <c r="G82" s="1169">
        <v>1257979</v>
      </c>
      <c r="H82" s="1169">
        <v>521392</v>
      </c>
      <c r="I82" s="1013">
        <v>273973</v>
      </c>
      <c r="J82" s="1013">
        <v>404949</v>
      </c>
      <c r="K82" s="1013">
        <v>97782</v>
      </c>
      <c r="L82" s="1013">
        <v>84221</v>
      </c>
      <c r="M82" s="1013">
        <v>34937</v>
      </c>
      <c r="N82" s="1013">
        <v>4901</v>
      </c>
      <c r="O82" s="8"/>
      <c r="P82" s="424">
        <f t="shared" si="26"/>
        <v>0.44177559421926499</v>
      </c>
      <c r="Q82" s="406">
        <f t="shared" si="24"/>
        <v>8525.7743220322991</v>
      </c>
      <c r="R82" s="8">
        <f t="shared" si="25"/>
        <v>2516.7910000000002</v>
      </c>
      <c r="S82" s="8">
        <f t="shared" si="25"/>
        <v>3561.6590000000001</v>
      </c>
      <c r="T82" s="8">
        <f t="shared" si="25"/>
        <v>1052.3689999999999</v>
      </c>
      <c r="U82" s="8">
        <f t="shared" si="25"/>
        <v>962.15300000000002</v>
      </c>
      <c r="V82" s="8">
        <f t="shared" si="25"/>
        <v>1257.979</v>
      </c>
      <c r="W82" s="8">
        <f t="shared" si="25"/>
        <v>521.39200000000005</v>
      </c>
      <c r="X82" s="8">
        <f t="shared" si="25"/>
        <v>273.97300000000001</v>
      </c>
      <c r="Y82" s="8">
        <f t="shared" si="25"/>
        <v>404.94900000000001</v>
      </c>
      <c r="Z82" s="8">
        <f t="shared" si="25"/>
        <v>97.781999999999996</v>
      </c>
      <c r="AA82" s="8">
        <f t="shared" si="25"/>
        <v>84.221000000000004</v>
      </c>
      <c r="AB82" s="8">
        <f t="shared" si="25"/>
        <v>34.936999999999998</v>
      </c>
      <c r="AC82" s="8">
        <f t="shared" si="25"/>
        <v>4.9009999999999998</v>
      </c>
      <c r="AF82" s="1011">
        <v>9.6154974549999999</v>
      </c>
      <c r="AG82" s="1011">
        <v>200706000</v>
      </c>
      <c r="AH82" s="406">
        <f t="shared" si="21"/>
        <v>19298.880322032299</v>
      </c>
      <c r="AK82" s="1160"/>
      <c r="AL82" s="1160"/>
      <c r="AM82" s="1160"/>
      <c r="AN82" s="1160"/>
      <c r="AO82" s="1161"/>
      <c r="AP82" s="1161"/>
    </row>
    <row r="83" spans="1:42" x14ac:dyDescent="0.3">
      <c r="A83" s="19">
        <v>1969</v>
      </c>
      <c r="B83" s="19"/>
      <c r="C83" s="1169">
        <v>2369196</v>
      </c>
      <c r="D83" s="1169">
        <v>3912702</v>
      </c>
      <c r="E83" s="1169">
        <v>1377648</v>
      </c>
      <c r="F83" s="1169">
        <v>783529</v>
      </c>
      <c r="G83" s="1169">
        <v>1326175</v>
      </c>
      <c r="H83" s="1169">
        <v>560225</v>
      </c>
      <c r="I83" s="1013">
        <v>302264</v>
      </c>
      <c r="J83" s="1013">
        <v>381435</v>
      </c>
      <c r="K83" s="1013">
        <v>84231</v>
      </c>
      <c r="L83" s="1013">
        <v>94665</v>
      </c>
      <c r="M83" s="1013">
        <v>30108</v>
      </c>
      <c r="N83" s="1013">
        <v>5099</v>
      </c>
      <c r="O83" s="8"/>
      <c r="P83" s="424">
        <f t="shared" si="26"/>
        <v>0.42706154640056582</v>
      </c>
      <c r="Q83" s="406">
        <f t="shared" si="24"/>
        <v>8368.6794757185435</v>
      </c>
      <c r="R83" s="8">
        <f t="shared" si="25"/>
        <v>2369.1959999999999</v>
      </c>
      <c r="S83" s="8">
        <f t="shared" si="25"/>
        <v>3912.7020000000002</v>
      </c>
      <c r="T83" s="8">
        <f t="shared" si="25"/>
        <v>1377.6479999999999</v>
      </c>
      <c r="U83" s="8">
        <f t="shared" si="25"/>
        <v>783.529</v>
      </c>
      <c r="V83" s="8">
        <f t="shared" si="25"/>
        <v>1326.175</v>
      </c>
      <c r="W83" s="8">
        <f t="shared" si="25"/>
        <v>560.22500000000002</v>
      </c>
      <c r="X83" s="8">
        <f t="shared" si="25"/>
        <v>302.26400000000001</v>
      </c>
      <c r="Y83" s="8">
        <f t="shared" si="25"/>
        <v>381.435</v>
      </c>
      <c r="Z83" s="8">
        <f t="shared" si="25"/>
        <v>84.230999999999995</v>
      </c>
      <c r="AA83" s="8">
        <f t="shared" si="25"/>
        <v>94.665000000000006</v>
      </c>
      <c r="AB83" s="8">
        <f t="shared" si="25"/>
        <v>30.108000000000001</v>
      </c>
      <c r="AC83" s="8">
        <f t="shared" si="25"/>
        <v>5.0990000000000002</v>
      </c>
      <c r="AF83" s="1011">
        <v>9.6685645020000006</v>
      </c>
      <c r="AG83" s="1011">
        <v>202677000</v>
      </c>
      <c r="AH83" s="406">
        <f t="shared" si="21"/>
        <v>19595.956475718544</v>
      </c>
      <c r="AK83" s="1160"/>
      <c r="AL83" s="1160"/>
      <c r="AM83" s="1160"/>
      <c r="AN83" s="1160"/>
      <c r="AO83" s="1161"/>
      <c r="AP83" s="1161"/>
    </row>
    <row r="84" spans="1:42" x14ac:dyDescent="0.3">
      <c r="A84" s="19">
        <v>1970</v>
      </c>
      <c r="B84" s="19"/>
      <c r="C84" s="1169">
        <v>2607668</v>
      </c>
      <c r="D84" s="1169">
        <v>3932355</v>
      </c>
      <c r="E84" s="1169">
        <v>1201933</v>
      </c>
      <c r="F84" s="1169">
        <v>841946</v>
      </c>
      <c r="G84" s="1169">
        <v>1101768</v>
      </c>
      <c r="H84" s="1169">
        <v>499831</v>
      </c>
      <c r="I84" s="1013">
        <v>306616</v>
      </c>
      <c r="J84" s="1013">
        <v>413620</v>
      </c>
      <c r="K84" s="1013">
        <v>87646</v>
      </c>
      <c r="L84" s="1013">
        <v>86484</v>
      </c>
      <c r="M84" s="1013">
        <v>27903</v>
      </c>
      <c r="N84" s="1013">
        <v>5148</v>
      </c>
      <c r="O84" s="8"/>
      <c r="P84" s="424">
        <f t="shared" si="26"/>
        <v>0.44377554257938423</v>
      </c>
      <c r="Q84" s="406">
        <f t="shared" si="24"/>
        <v>8866.2789801795952</v>
      </c>
      <c r="R84" s="8">
        <f t="shared" si="25"/>
        <v>2607.6680000000001</v>
      </c>
      <c r="S84" s="8">
        <f t="shared" si="25"/>
        <v>3932.355</v>
      </c>
      <c r="T84" s="8">
        <f t="shared" si="25"/>
        <v>1201.933</v>
      </c>
      <c r="U84" s="8">
        <f t="shared" si="25"/>
        <v>841.94600000000003</v>
      </c>
      <c r="V84" s="8">
        <f t="shared" si="25"/>
        <v>1101.768</v>
      </c>
      <c r="W84" s="8">
        <f t="shared" si="25"/>
        <v>499.83100000000002</v>
      </c>
      <c r="X84" s="8">
        <f t="shared" si="25"/>
        <v>306.61599999999999</v>
      </c>
      <c r="Y84" s="8">
        <f t="shared" si="25"/>
        <v>413.62</v>
      </c>
      <c r="Z84" s="8">
        <f t="shared" si="25"/>
        <v>87.646000000000001</v>
      </c>
      <c r="AA84" s="8">
        <f t="shared" si="25"/>
        <v>86.483999999999995</v>
      </c>
      <c r="AB84" s="8">
        <f t="shared" si="25"/>
        <v>27.902999999999999</v>
      </c>
      <c r="AC84" s="8">
        <f t="shared" si="25"/>
        <v>5.1479999999999997</v>
      </c>
      <c r="AF84" s="1011">
        <v>9.7434782299999991</v>
      </c>
      <c r="AG84" s="1011">
        <v>205052000</v>
      </c>
      <c r="AH84" s="406">
        <f t="shared" si="21"/>
        <v>19979.196980179597</v>
      </c>
      <c r="AK84" s="1160"/>
      <c r="AL84" s="1160"/>
      <c r="AM84" s="1160"/>
      <c r="AN84" s="1160"/>
      <c r="AO84" s="1161"/>
      <c r="AP84" s="1161"/>
    </row>
    <row r="85" spans="1:42" x14ac:dyDescent="0.3">
      <c r="A85" s="19">
        <v>1971</v>
      </c>
      <c r="B85" s="19"/>
      <c r="C85" s="1169">
        <v>2109531</v>
      </c>
      <c r="D85" s="1169">
        <v>3643065</v>
      </c>
      <c r="E85" s="1169">
        <v>1259090</v>
      </c>
      <c r="F85" s="1169">
        <v>705318</v>
      </c>
      <c r="G85" s="1169">
        <v>1282831</v>
      </c>
      <c r="H85" s="1169">
        <v>571002</v>
      </c>
      <c r="I85" s="1013">
        <v>278300</v>
      </c>
      <c r="J85" s="1013">
        <v>405139</v>
      </c>
      <c r="K85" s="1013">
        <v>78777</v>
      </c>
      <c r="L85" s="1013">
        <v>82757</v>
      </c>
      <c r="M85" s="1013">
        <v>28920</v>
      </c>
      <c r="N85" s="1013">
        <v>5034</v>
      </c>
      <c r="O85" s="8"/>
      <c r="P85" s="424">
        <f t="shared" si="26"/>
        <v>0.49046147917672034</v>
      </c>
      <c r="Q85" s="406">
        <f t="shared" si="24"/>
        <v>10058.526488255806</v>
      </c>
      <c r="R85" s="8">
        <f t="shared" si="25"/>
        <v>2109.5309999999999</v>
      </c>
      <c r="S85" s="8">
        <f t="shared" si="25"/>
        <v>3643.0650000000001</v>
      </c>
      <c r="T85" s="8">
        <f t="shared" si="25"/>
        <v>1259.0899999999999</v>
      </c>
      <c r="U85" s="8">
        <f t="shared" si="25"/>
        <v>705.31799999999998</v>
      </c>
      <c r="V85" s="8">
        <f t="shared" si="25"/>
        <v>1282.8309999999999</v>
      </c>
      <c r="W85" s="8">
        <f t="shared" si="25"/>
        <v>571.00199999999995</v>
      </c>
      <c r="X85" s="8">
        <f t="shared" si="25"/>
        <v>278.3</v>
      </c>
      <c r="Y85" s="8">
        <f t="shared" si="25"/>
        <v>405.13900000000001</v>
      </c>
      <c r="Z85" s="8">
        <f t="shared" si="25"/>
        <v>78.777000000000001</v>
      </c>
      <c r="AA85" s="8">
        <f t="shared" si="25"/>
        <v>82.757000000000005</v>
      </c>
      <c r="AB85" s="8">
        <f t="shared" si="25"/>
        <v>28.92</v>
      </c>
      <c r="AC85" s="8">
        <f t="shared" si="25"/>
        <v>5.0339999999999998</v>
      </c>
      <c r="AF85" s="1011">
        <v>9.8758507800000004</v>
      </c>
      <c r="AG85" s="1011">
        <v>207661000</v>
      </c>
      <c r="AH85" s="406">
        <f t="shared" si="21"/>
        <v>20508.290488255803</v>
      </c>
      <c r="AK85" s="1160"/>
      <c r="AL85" s="1160"/>
      <c r="AM85" s="1160"/>
      <c r="AN85" s="1160"/>
      <c r="AO85" s="1161"/>
      <c r="AP85" s="1161"/>
    </row>
    <row r="86" spans="1:42" x14ac:dyDescent="0.3">
      <c r="A86" s="19">
        <v>1972</v>
      </c>
      <c r="B86" s="19"/>
      <c r="C86" s="1169">
        <v>2306724</v>
      </c>
      <c r="D86" s="1169">
        <v>3501654</v>
      </c>
      <c r="E86" s="1169">
        <v>1406111</v>
      </c>
      <c r="F86" s="1169">
        <v>1001932</v>
      </c>
      <c r="G86" s="1169">
        <v>1460489</v>
      </c>
      <c r="H86" s="1169">
        <v>614819</v>
      </c>
      <c r="I86" s="1013">
        <v>297497</v>
      </c>
      <c r="J86" s="1013">
        <v>410292</v>
      </c>
      <c r="K86" s="1013">
        <v>92674</v>
      </c>
      <c r="L86" s="1013">
        <v>87569</v>
      </c>
      <c r="M86" s="1013">
        <v>28218</v>
      </c>
      <c r="N86" s="1013">
        <v>4780</v>
      </c>
      <c r="O86" s="8"/>
      <c r="P86" s="424">
        <f t="shared" si="26"/>
        <v>0.4667045447737645</v>
      </c>
      <c r="Q86" s="406">
        <f t="shared" si="24"/>
        <v>9812.6573805751996</v>
      </c>
      <c r="R86" s="8">
        <f t="shared" si="25"/>
        <v>2306.7240000000002</v>
      </c>
      <c r="S86" s="8">
        <f t="shared" si="25"/>
        <v>3501.654</v>
      </c>
      <c r="T86" s="8">
        <f t="shared" si="25"/>
        <v>1406.1110000000001</v>
      </c>
      <c r="U86" s="8">
        <f t="shared" si="25"/>
        <v>1001.932</v>
      </c>
      <c r="V86" s="8">
        <f t="shared" si="25"/>
        <v>1460.489</v>
      </c>
      <c r="W86" s="8">
        <f t="shared" si="25"/>
        <v>614.81899999999996</v>
      </c>
      <c r="X86" s="8">
        <f t="shared" si="25"/>
        <v>297.49700000000001</v>
      </c>
      <c r="Y86" s="8">
        <f t="shared" si="25"/>
        <v>410.29199999999997</v>
      </c>
      <c r="Z86" s="8">
        <f t="shared" si="25"/>
        <v>92.674000000000007</v>
      </c>
      <c r="AA86" s="8">
        <f t="shared" si="25"/>
        <v>87.569000000000003</v>
      </c>
      <c r="AB86" s="8">
        <f t="shared" si="25"/>
        <v>28.218</v>
      </c>
      <c r="AC86" s="8">
        <f t="shared" si="25"/>
        <v>4.78</v>
      </c>
      <c r="AF86" s="1011">
        <v>10.017063869999999</v>
      </c>
      <c r="AG86" s="1011">
        <v>209896000</v>
      </c>
      <c r="AH86" s="406">
        <f t="shared" si="21"/>
        <v>21025.4163805752</v>
      </c>
      <c r="AK86" s="1160"/>
      <c r="AL86" s="1160"/>
      <c r="AM86" s="1160"/>
      <c r="AN86" s="1160"/>
      <c r="AO86" s="1161"/>
      <c r="AP86" s="1161"/>
    </row>
    <row r="87" spans="1:42" x14ac:dyDescent="0.3">
      <c r="A87" s="19">
        <v>1973</v>
      </c>
      <c r="B87" s="19"/>
      <c r="C87" s="1169">
        <v>2270760</v>
      </c>
      <c r="D87" s="1169">
        <v>3884365</v>
      </c>
      <c r="E87" s="1169">
        <v>1522290</v>
      </c>
      <c r="F87" s="1169">
        <v>955151</v>
      </c>
      <c r="G87" s="1169">
        <v>1433725</v>
      </c>
      <c r="H87" s="1169">
        <v>522072</v>
      </c>
      <c r="I87" s="1013">
        <v>313067</v>
      </c>
      <c r="J87" s="1013">
        <v>432573</v>
      </c>
      <c r="K87" s="1013">
        <v>88945</v>
      </c>
      <c r="L87" s="1013">
        <v>89553</v>
      </c>
      <c r="M87" s="1013">
        <v>30253</v>
      </c>
      <c r="N87" s="1013">
        <v>4881</v>
      </c>
      <c r="O87" s="8"/>
      <c r="P87" s="424">
        <f t="shared" si="26"/>
        <v>0.46416155576386947</v>
      </c>
      <c r="Q87" s="406">
        <f t="shared" si="24"/>
        <v>10002.955712956102</v>
      </c>
      <c r="R87" s="8">
        <f t="shared" si="25"/>
        <v>2270.7600000000002</v>
      </c>
      <c r="S87" s="8">
        <f t="shared" si="25"/>
        <v>3884.3649999999998</v>
      </c>
      <c r="T87" s="8">
        <f t="shared" si="25"/>
        <v>1522.29</v>
      </c>
      <c r="U87" s="8">
        <f t="shared" si="25"/>
        <v>955.15099999999995</v>
      </c>
      <c r="V87" s="8">
        <f t="shared" si="25"/>
        <v>1433.7249999999999</v>
      </c>
      <c r="W87" s="8">
        <f t="shared" si="25"/>
        <v>522.072</v>
      </c>
      <c r="X87" s="8">
        <f t="shared" si="25"/>
        <v>313.06700000000001</v>
      </c>
      <c r="Y87" s="8">
        <f t="shared" si="25"/>
        <v>432.57299999999998</v>
      </c>
      <c r="Z87" s="8">
        <f t="shared" si="25"/>
        <v>88.944999999999993</v>
      </c>
      <c r="AA87" s="8">
        <f t="shared" si="25"/>
        <v>89.552999999999997</v>
      </c>
      <c r="AB87" s="8">
        <f t="shared" si="25"/>
        <v>30.253</v>
      </c>
      <c r="AC87" s="8">
        <f t="shared" si="25"/>
        <v>4.8810000000000002</v>
      </c>
      <c r="AF87" s="1011">
        <v>10.16973829</v>
      </c>
      <c r="AG87" s="1011">
        <v>211909000</v>
      </c>
      <c r="AH87" s="406">
        <f t="shared" si="21"/>
        <v>21550.590712956102</v>
      </c>
      <c r="AK87" s="1160"/>
      <c r="AL87" s="1160"/>
      <c r="AM87" s="1160"/>
      <c r="AN87" s="1160"/>
      <c r="AO87" s="1161"/>
      <c r="AP87" s="1161"/>
    </row>
    <row r="88" spans="1:42" x14ac:dyDescent="0.3">
      <c r="A88" s="19">
        <v>1974</v>
      </c>
      <c r="B88" s="19"/>
      <c r="C88" s="1169">
        <v>2094311</v>
      </c>
      <c r="D88" s="1169">
        <v>3600886</v>
      </c>
      <c r="E88" s="1169">
        <v>1400708</v>
      </c>
      <c r="F88" s="1169">
        <v>1148026</v>
      </c>
      <c r="G88" s="1169">
        <v>1591006</v>
      </c>
      <c r="H88" s="1169">
        <v>542001</v>
      </c>
      <c r="I88" s="1013">
        <v>406680</v>
      </c>
      <c r="J88" s="1013">
        <v>502379</v>
      </c>
      <c r="K88" s="1013">
        <v>91555</v>
      </c>
      <c r="L88" s="1013">
        <v>89980</v>
      </c>
      <c r="M88" s="1013">
        <v>31560</v>
      </c>
      <c r="N88" s="1013">
        <v>4929</v>
      </c>
      <c r="O88" s="8"/>
      <c r="P88" s="424">
        <f t="shared" si="26"/>
        <v>0.47901051165048159</v>
      </c>
      <c r="Q88" s="406">
        <f t="shared" si="24"/>
        <v>10577.079016901396</v>
      </c>
      <c r="R88" s="8">
        <f t="shared" si="25"/>
        <v>2094.3110000000001</v>
      </c>
      <c r="S88" s="8">
        <f t="shared" si="25"/>
        <v>3600.886</v>
      </c>
      <c r="T88" s="8">
        <f t="shared" si="25"/>
        <v>1400.7080000000001</v>
      </c>
      <c r="U88" s="8">
        <f t="shared" si="25"/>
        <v>1148.0260000000001</v>
      </c>
      <c r="V88" s="8">
        <f t="shared" si="25"/>
        <v>1591.0060000000001</v>
      </c>
      <c r="W88" s="8">
        <f t="shared" si="25"/>
        <v>542.00099999999998</v>
      </c>
      <c r="X88" s="8">
        <f t="shared" si="25"/>
        <v>406.68</v>
      </c>
      <c r="Y88" s="8">
        <f t="shared" si="25"/>
        <v>502.37900000000002</v>
      </c>
      <c r="Z88" s="8">
        <f t="shared" si="25"/>
        <v>91.555000000000007</v>
      </c>
      <c r="AA88" s="8">
        <f t="shared" si="25"/>
        <v>89.98</v>
      </c>
      <c r="AB88" s="8">
        <f t="shared" si="25"/>
        <v>31.56</v>
      </c>
      <c r="AC88" s="8">
        <f t="shared" si="25"/>
        <v>4.9290000000000003</v>
      </c>
      <c r="AF88" s="1011">
        <v>10.32531541</v>
      </c>
      <c r="AG88" s="1011">
        <v>213854000</v>
      </c>
      <c r="AH88" s="406">
        <f t="shared" si="21"/>
        <v>22081.100016901397</v>
      </c>
      <c r="AK88" s="1160"/>
      <c r="AL88" s="1160"/>
      <c r="AM88" s="1160"/>
      <c r="AN88" s="1160"/>
      <c r="AO88" s="1161"/>
      <c r="AP88" s="1161"/>
    </row>
    <row r="89" spans="1:42" x14ac:dyDescent="0.3">
      <c r="A89" s="19">
        <v>1975</v>
      </c>
      <c r="B89" s="19"/>
      <c r="C89" s="1169">
        <v>2062384</v>
      </c>
      <c r="D89" s="1169">
        <v>3995764</v>
      </c>
      <c r="E89" s="1169">
        <v>1526853</v>
      </c>
      <c r="F89" s="1169">
        <v>1273063</v>
      </c>
      <c r="G89" s="1169">
        <v>1677626</v>
      </c>
      <c r="H89" s="1169">
        <v>626863</v>
      </c>
      <c r="I89" s="1013">
        <v>341041</v>
      </c>
      <c r="J89" s="1013">
        <v>428157</v>
      </c>
      <c r="K89" s="1013">
        <v>93386</v>
      </c>
      <c r="L89" s="1013">
        <v>93530</v>
      </c>
      <c r="M89" s="1013">
        <v>30501</v>
      </c>
      <c r="N89" s="1013">
        <v>4667</v>
      </c>
      <c r="O89" s="8"/>
      <c r="P89" s="424">
        <f t="shared" si="26"/>
        <v>0.4626177522842248</v>
      </c>
      <c r="Q89" s="406">
        <f t="shared" si="24"/>
        <v>10462.905786770905</v>
      </c>
      <c r="R89" s="8">
        <f t="shared" si="25"/>
        <v>2062.384</v>
      </c>
      <c r="S89" s="8">
        <f t="shared" si="25"/>
        <v>3995.7640000000001</v>
      </c>
      <c r="T89" s="8">
        <f t="shared" si="25"/>
        <v>1526.8530000000001</v>
      </c>
      <c r="U89" s="8">
        <f t="shared" si="25"/>
        <v>1273.0630000000001</v>
      </c>
      <c r="V89" s="8">
        <f t="shared" si="25"/>
        <v>1677.626</v>
      </c>
      <c r="W89" s="8">
        <f t="shared" si="25"/>
        <v>626.86300000000006</v>
      </c>
      <c r="X89" s="8">
        <f t="shared" si="25"/>
        <v>341.041</v>
      </c>
      <c r="Y89" s="8">
        <f t="shared" si="25"/>
        <v>428.15699999999998</v>
      </c>
      <c r="Z89" s="8">
        <f t="shared" si="25"/>
        <v>93.385999999999996</v>
      </c>
      <c r="AA89" s="8">
        <f t="shared" si="25"/>
        <v>93.53</v>
      </c>
      <c r="AB89" s="8">
        <f t="shared" si="25"/>
        <v>30.501000000000001</v>
      </c>
      <c r="AC89" s="8">
        <f t="shared" si="25"/>
        <v>4.6669999999999998</v>
      </c>
      <c r="AF89" s="1011">
        <v>10.47202233</v>
      </c>
      <c r="AG89" s="1011">
        <v>215973000</v>
      </c>
      <c r="AH89" s="406">
        <f t="shared" si="21"/>
        <v>22616.740786770904</v>
      </c>
      <c r="AK89" s="1160"/>
      <c r="AL89" s="1160"/>
      <c r="AM89" s="1160"/>
      <c r="AN89" s="1160"/>
      <c r="AO89" s="1161"/>
      <c r="AP89" s="1161"/>
    </row>
    <row r="90" spans="1:42" x14ac:dyDescent="0.3">
      <c r="A90" s="19">
        <v>1976</v>
      </c>
      <c r="B90" s="19"/>
      <c r="C90" s="1169">
        <v>2189968.11</v>
      </c>
      <c r="D90" s="1169">
        <v>4142653.31</v>
      </c>
      <c r="E90" s="1169">
        <v>1599610.86</v>
      </c>
      <c r="F90" s="1169">
        <v>1226836.3400000001</v>
      </c>
      <c r="G90" s="1169">
        <v>1661818.57</v>
      </c>
      <c r="H90" s="1169">
        <v>685796.67</v>
      </c>
      <c r="I90" s="1013">
        <v>369805.4</v>
      </c>
      <c r="J90" s="1013">
        <v>470058.72</v>
      </c>
      <c r="K90" s="1013">
        <v>99372.54</v>
      </c>
      <c r="L90" s="1013">
        <v>95907.49</v>
      </c>
      <c r="M90" s="1013">
        <v>30258.06</v>
      </c>
      <c r="N90" s="1013">
        <v>5059.91</v>
      </c>
      <c r="O90" s="8"/>
      <c r="P90" s="424">
        <f t="shared" si="26"/>
        <v>0.45813190613976068</v>
      </c>
      <c r="Q90" s="406">
        <f t="shared" si="24"/>
        <v>10633.569178372001</v>
      </c>
      <c r="R90" s="8">
        <f t="shared" si="25"/>
        <v>2189.9681099999998</v>
      </c>
      <c r="S90" s="8">
        <f t="shared" si="25"/>
        <v>4142.6533099999997</v>
      </c>
      <c r="T90" s="8">
        <f t="shared" si="25"/>
        <v>1599.61086</v>
      </c>
      <c r="U90" s="8">
        <f t="shared" si="25"/>
        <v>1226.8363400000001</v>
      </c>
      <c r="V90" s="8">
        <f t="shared" si="25"/>
        <v>1661.8185700000001</v>
      </c>
      <c r="W90" s="8">
        <f t="shared" si="25"/>
        <v>685.79667000000006</v>
      </c>
      <c r="X90" s="8">
        <f t="shared" si="25"/>
        <v>369.80540000000002</v>
      </c>
      <c r="Y90" s="8">
        <f t="shared" si="25"/>
        <v>470.05871999999999</v>
      </c>
      <c r="Z90" s="8">
        <f t="shared" si="25"/>
        <v>99.372539999999987</v>
      </c>
      <c r="AA90" s="8">
        <f t="shared" si="25"/>
        <v>95.90749000000001</v>
      </c>
      <c r="AB90" s="8">
        <f t="shared" si="25"/>
        <v>30.25806</v>
      </c>
      <c r="AC90" s="8">
        <f t="shared" si="25"/>
        <v>5.0599099999999995</v>
      </c>
      <c r="AF90" s="1011">
        <v>10.64540792</v>
      </c>
      <c r="AG90" s="1011">
        <v>218035000</v>
      </c>
      <c r="AH90" s="406">
        <f t="shared" si="21"/>
        <v>23210.715158372001</v>
      </c>
      <c r="AK90" s="1160"/>
      <c r="AL90" s="1160"/>
      <c r="AM90" s="1160"/>
      <c r="AN90" s="1160"/>
      <c r="AO90" s="1161"/>
      <c r="AP90" s="1161"/>
    </row>
    <row r="91" spans="1:42" x14ac:dyDescent="0.3">
      <c r="A91" s="19">
        <v>1977</v>
      </c>
      <c r="B91" s="19"/>
      <c r="C91" s="1169">
        <v>1894877.95</v>
      </c>
      <c r="D91" s="1169">
        <v>4065884.74</v>
      </c>
      <c r="E91" s="1169">
        <v>1619657.49</v>
      </c>
      <c r="F91" s="1169">
        <v>1388025.15</v>
      </c>
      <c r="G91" s="1169">
        <v>1801600.85</v>
      </c>
      <c r="H91" s="1169">
        <v>672531.58</v>
      </c>
      <c r="I91" s="1013">
        <v>367112.7</v>
      </c>
      <c r="J91" s="1013">
        <v>484885.11</v>
      </c>
      <c r="K91" s="1013">
        <v>97244.5</v>
      </c>
      <c r="L91" s="1013">
        <v>97743.29</v>
      </c>
      <c r="M91" s="1013">
        <v>31278.98</v>
      </c>
      <c r="N91" s="1013">
        <v>4834.99</v>
      </c>
      <c r="O91" s="8"/>
      <c r="P91" s="424">
        <f t="shared" si="26"/>
        <v>0.47424486138109173</v>
      </c>
      <c r="Q91" s="406">
        <f t="shared" si="24"/>
        <v>11298.487970416003</v>
      </c>
      <c r="R91" s="8">
        <f t="shared" si="25"/>
        <v>1894.8779500000001</v>
      </c>
      <c r="S91" s="8">
        <f t="shared" si="25"/>
        <v>4065.8847400000004</v>
      </c>
      <c r="T91" s="8">
        <f t="shared" si="25"/>
        <v>1619.6574900000001</v>
      </c>
      <c r="U91" s="8">
        <f t="shared" si="25"/>
        <v>1388.0251499999999</v>
      </c>
      <c r="V91" s="8">
        <f t="shared" si="25"/>
        <v>1801.60085</v>
      </c>
      <c r="W91" s="8">
        <f t="shared" si="25"/>
        <v>672.53157999999996</v>
      </c>
      <c r="X91" s="8">
        <f t="shared" si="25"/>
        <v>367.11270000000002</v>
      </c>
      <c r="Y91" s="8">
        <f t="shared" si="25"/>
        <v>484.88511</v>
      </c>
      <c r="Z91" s="8">
        <f t="shared" si="25"/>
        <v>97.244500000000002</v>
      </c>
      <c r="AA91" s="8">
        <f t="shared" si="25"/>
        <v>97.743289999999988</v>
      </c>
      <c r="AB91" s="8">
        <f t="shared" si="25"/>
        <v>31.278980000000001</v>
      </c>
      <c r="AC91" s="8">
        <f t="shared" si="25"/>
        <v>4.8349899999999995</v>
      </c>
      <c r="AF91" s="1011">
        <v>10.817414400000001</v>
      </c>
      <c r="AG91" s="1011">
        <v>220239000</v>
      </c>
      <c r="AH91" s="406">
        <f t="shared" si="21"/>
        <v>23824.165300416003</v>
      </c>
      <c r="AK91" s="1160"/>
      <c r="AL91" s="1160"/>
      <c r="AM91" s="1160"/>
      <c r="AN91" s="1160"/>
      <c r="AO91" s="1161"/>
      <c r="AP91" s="1161"/>
    </row>
    <row r="92" spans="1:42" x14ac:dyDescent="0.3">
      <c r="A92" s="19">
        <v>1978</v>
      </c>
      <c r="B92" s="19"/>
      <c r="C92" s="1169">
        <v>1943109.6</v>
      </c>
      <c r="D92" s="1169">
        <v>4230049.3600000003</v>
      </c>
      <c r="E92" s="1169">
        <v>1879315.6</v>
      </c>
      <c r="F92" s="1169">
        <v>1401126.68</v>
      </c>
      <c r="G92" s="1169">
        <v>1867991.06</v>
      </c>
      <c r="H92" s="1169">
        <v>739856.55</v>
      </c>
      <c r="I92" s="1013">
        <v>397085.36</v>
      </c>
      <c r="J92" s="1013">
        <v>480466.66</v>
      </c>
      <c r="K92" s="1013">
        <v>98149.17</v>
      </c>
      <c r="L92" s="1013">
        <v>97426.3</v>
      </c>
      <c r="M92" s="1013">
        <v>31387.69</v>
      </c>
      <c r="N92" s="1013">
        <v>5131.25</v>
      </c>
      <c r="O92" s="8"/>
      <c r="P92" s="424">
        <f t="shared" si="26"/>
        <v>0.46181056397992926</v>
      </c>
      <c r="Q92" s="406">
        <f t="shared" si="24"/>
        <v>11301.877243207999</v>
      </c>
      <c r="R92" s="8">
        <f t="shared" si="25"/>
        <v>1943.1096</v>
      </c>
      <c r="S92" s="8">
        <f t="shared" si="25"/>
        <v>4230.04936</v>
      </c>
      <c r="T92" s="8">
        <f t="shared" si="25"/>
        <v>1879.3156000000001</v>
      </c>
      <c r="U92" s="8">
        <f t="shared" si="25"/>
        <v>1401.1266799999999</v>
      </c>
      <c r="V92" s="8">
        <f t="shared" si="25"/>
        <v>1867.9910600000001</v>
      </c>
      <c r="W92" s="8">
        <f t="shared" si="25"/>
        <v>739.85655000000008</v>
      </c>
      <c r="X92" s="8">
        <f t="shared" si="25"/>
        <v>397.08535999999998</v>
      </c>
      <c r="Y92" s="8">
        <f t="shared" si="25"/>
        <v>480.46665999999999</v>
      </c>
      <c r="Z92" s="8">
        <f t="shared" si="25"/>
        <v>98.149169999999998</v>
      </c>
      <c r="AA92" s="8">
        <f t="shared" si="25"/>
        <v>97.426299999999998</v>
      </c>
      <c r="AB92" s="8">
        <f t="shared" si="25"/>
        <v>31.387689999999999</v>
      </c>
      <c r="AC92" s="8">
        <f t="shared" si="25"/>
        <v>5.1312499999999996</v>
      </c>
      <c r="AF92" s="1011">
        <v>10.99488848</v>
      </c>
      <c r="AG92" s="1011">
        <v>222585000</v>
      </c>
      <c r="AH92" s="406">
        <f t="shared" si="21"/>
        <v>24472.972523207998</v>
      </c>
      <c r="AK92" s="1160"/>
      <c r="AL92" s="1160"/>
      <c r="AM92" s="1160"/>
      <c r="AN92" s="1160"/>
      <c r="AO92" s="1161"/>
      <c r="AP92" s="1161"/>
    </row>
    <row r="93" spans="1:42" x14ac:dyDescent="0.3">
      <c r="A93" s="19">
        <v>1979</v>
      </c>
      <c r="B93" s="19"/>
      <c r="C93" s="1169">
        <v>2128407.94</v>
      </c>
      <c r="D93" s="1169">
        <v>4113170.2</v>
      </c>
      <c r="E93" s="1169">
        <v>1683126.13</v>
      </c>
      <c r="F93" s="1169">
        <v>1371218.97</v>
      </c>
      <c r="G93" s="1169">
        <v>1991387.03</v>
      </c>
      <c r="H93" s="1169">
        <v>737512.94</v>
      </c>
      <c r="I93" s="1013">
        <v>452334.12</v>
      </c>
      <c r="J93" s="1013">
        <v>596359.5</v>
      </c>
      <c r="K93" s="1013">
        <v>131241.78</v>
      </c>
      <c r="L93" s="1013">
        <v>122412.36</v>
      </c>
      <c r="M93" s="1013">
        <v>39807.67</v>
      </c>
      <c r="N93" s="1013">
        <v>5145.72</v>
      </c>
      <c r="O93" s="8"/>
      <c r="P93" s="424">
        <f t="shared" si="26"/>
        <v>0.46838316744233782</v>
      </c>
      <c r="Q93" s="406">
        <f t="shared" si="24"/>
        <v>11781.564426837998</v>
      </c>
      <c r="R93" s="8">
        <f t="shared" si="25"/>
        <v>2128.4079400000001</v>
      </c>
      <c r="S93" s="8">
        <f t="shared" si="25"/>
        <v>4113.1702000000005</v>
      </c>
      <c r="T93" s="8">
        <f t="shared" si="25"/>
        <v>1683.1261299999999</v>
      </c>
      <c r="U93" s="8">
        <f t="shared" si="25"/>
        <v>1371.2189699999999</v>
      </c>
      <c r="V93" s="8">
        <f t="shared" si="25"/>
        <v>1991.3870300000001</v>
      </c>
      <c r="W93" s="8">
        <f t="shared" si="25"/>
        <v>737.51293999999996</v>
      </c>
      <c r="X93" s="8">
        <f t="shared" si="25"/>
        <v>452.33411999999998</v>
      </c>
      <c r="Y93" s="8">
        <f t="shared" si="25"/>
        <v>596.35950000000003</v>
      </c>
      <c r="Z93" s="8">
        <f t="shared" si="25"/>
        <v>131.24178000000001</v>
      </c>
      <c r="AA93" s="8">
        <f t="shared" si="25"/>
        <v>122.41236000000001</v>
      </c>
      <c r="AB93" s="8">
        <f>M93/1000</f>
        <v>39.807670000000002</v>
      </c>
      <c r="AC93" s="8">
        <f t="shared" si="25"/>
        <v>5.1457199999999998</v>
      </c>
      <c r="AF93" s="1011">
        <v>11.17668516</v>
      </c>
      <c r="AG93" s="1011">
        <v>225055000</v>
      </c>
      <c r="AH93" s="406">
        <f t="shared" si="21"/>
        <v>25153.688786838</v>
      </c>
      <c r="AK93" s="1160"/>
      <c r="AL93" s="1160"/>
      <c r="AM93" s="1160"/>
      <c r="AN93" s="1160"/>
      <c r="AO93" s="1161"/>
      <c r="AP93" s="1161"/>
    </row>
    <row r="94" spans="1:42" x14ac:dyDescent="0.3">
      <c r="A94" s="19">
        <v>1980</v>
      </c>
      <c r="B94" s="19"/>
      <c r="C94" s="1169">
        <v>1901026.76</v>
      </c>
      <c r="D94" s="1169">
        <v>4073435.89</v>
      </c>
      <c r="E94" s="1169">
        <v>1911788.7</v>
      </c>
      <c r="F94" s="1169">
        <v>1518791.95</v>
      </c>
      <c r="G94" s="1169">
        <v>2163078.73</v>
      </c>
      <c r="H94" s="1169">
        <v>921372.03</v>
      </c>
      <c r="I94" s="1013">
        <v>460463.11</v>
      </c>
      <c r="J94" s="1013">
        <v>660750.39</v>
      </c>
      <c r="K94" s="1013">
        <v>138071.17000000001</v>
      </c>
      <c r="L94" s="1013">
        <v>140052.79</v>
      </c>
      <c r="M94" s="1013">
        <v>39938.86</v>
      </c>
      <c r="N94" s="1013">
        <v>5315.07</v>
      </c>
      <c r="O94" s="8"/>
      <c r="P94" s="424">
        <f t="shared" si="26"/>
        <v>0.46001176766198809</v>
      </c>
      <c r="Q94" s="406">
        <f t="shared" si="24"/>
        <v>11870.3388235975</v>
      </c>
      <c r="R94" s="8">
        <f t="shared" si="25"/>
        <v>1901.02676</v>
      </c>
      <c r="S94" s="8">
        <f t="shared" si="25"/>
        <v>4073.4358900000002</v>
      </c>
      <c r="T94" s="8">
        <f t="shared" si="25"/>
        <v>1911.7887000000001</v>
      </c>
      <c r="U94" s="8">
        <f t="shared" si="25"/>
        <v>1518.79195</v>
      </c>
      <c r="V94" s="8">
        <f t="shared" si="25"/>
        <v>2163.0787300000002</v>
      </c>
      <c r="W94" s="8">
        <f t="shared" si="25"/>
        <v>921.37203</v>
      </c>
      <c r="X94" s="8">
        <f t="shared" si="25"/>
        <v>460.46310999999997</v>
      </c>
      <c r="Y94" s="8">
        <f t="shared" si="25"/>
        <v>660.75039000000004</v>
      </c>
      <c r="Z94" s="8">
        <f t="shared" si="25"/>
        <v>138.07117000000002</v>
      </c>
      <c r="AA94" s="8">
        <f t="shared" si="25"/>
        <v>140.05279000000002</v>
      </c>
      <c r="AB94" s="8">
        <f t="shared" si="25"/>
        <v>39.938859999999998</v>
      </c>
      <c r="AC94" s="8">
        <f t="shared" si="25"/>
        <v>5.3150699999999995</v>
      </c>
      <c r="AF94" s="1011">
        <v>11.35633151</v>
      </c>
      <c r="AG94" s="1011">
        <v>227225000</v>
      </c>
      <c r="AH94" s="406">
        <f t="shared" si="21"/>
        <v>25804.424273597502</v>
      </c>
      <c r="AK94" s="1160"/>
      <c r="AL94" s="1160"/>
      <c r="AM94" s="1160"/>
      <c r="AN94" s="1160"/>
      <c r="AO94" s="1161"/>
      <c r="AP94" s="1161"/>
    </row>
    <row r="95" spans="1:42" x14ac:dyDescent="0.3">
      <c r="A95" s="19">
        <v>1981</v>
      </c>
      <c r="B95" s="19"/>
      <c r="C95" s="1169">
        <v>2126591.2599999998</v>
      </c>
      <c r="D95" s="1169">
        <v>4427072.78</v>
      </c>
      <c r="E95" s="1169">
        <v>1988392.49</v>
      </c>
      <c r="F95" s="1169">
        <v>1691430.95</v>
      </c>
      <c r="G95" s="1169">
        <v>2362131.11</v>
      </c>
      <c r="H95" s="1169">
        <v>952320.62</v>
      </c>
      <c r="I95" s="1013">
        <v>539806.24</v>
      </c>
      <c r="J95" s="1013">
        <v>737330.79</v>
      </c>
      <c r="K95" s="1013">
        <v>158258.92000000001</v>
      </c>
      <c r="L95" s="1013">
        <v>143871.66</v>
      </c>
      <c r="M95" s="1013">
        <v>42619.62</v>
      </c>
      <c r="N95" s="1013">
        <v>5155.3999999999996</v>
      </c>
      <c r="O95" s="8"/>
      <c r="P95" s="424">
        <f t="shared" si="26"/>
        <v>0.42470843014915671</v>
      </c>
      <c r="Q95" s="406">
        <f t="shared" si="24"/>
        <v>11202.915273866001</v>
      </c>
      <c r="R95" s="8">
        <f t="shared" si="25"/>
        <v>2126.5912599999997</v>
      </c>
      <c r="S95" s="8">
        <f t="shared" si="25"/>
        <v>4427.0727800000004</v>
      </c>
      <c r="T95" s="8">
        <f t="shared" si="25"/>
        <v>1988.39249</v>
      </c>
      <c r="U95" s="8">
        <f t="shared" si="25"/>
        <v>1691.4309499999999</v>
      </c>
      <c r="V95" s="8">
        <f t="shared" si="25"/>
        <v>2362.1311099999998</v>
      </c>
      <c r="W95" s="8">
        <f t="shared" si="25"/>
        <v>952.32061999999996</v>
      </c>
      <c r="X95" s="8">
        <f t="shared" si="25"/>
        <v>539.80624</v>
      </c>
      <c r="Y95" s="8">
        <f t="shared" si="25"/>
        <v>737.33079000000009</v>
      </c>
      <c r="Z95" s="8">
        <f t="shared" si="25"/>
        <v>158.25892000000002</v>
      </c>
      <c r="AA95" s="8">
        <f t="shared" si="25"/>
        <v>143.87165999999999</v>
      </c>
      <c r="AB95" s="8">
        <f t="shared" si="25"/>
        <v>42.619620000000005</v>
      </c>
      <c r="AC95" s="8">
        <f t="shared" si="25"/>
        <v>5.1553999999999993</v>
      </c>
      <c r="AF95" s="1011">
        <v>11.4953401</v>
      </c>
      <c r="AG95" s="1011">
        <v>229466000</v>
      </c>
      <c r="AH95" s="406">
        <f t="shared" si="21"/>
        <v>26377.897113866002</v>
      </c>
      <c r="AK95" s="1160"/>
      <c r="AL95" s="1160"/>
      <c r="AM95" s="1160"/>
      <c r="AN95" s="1160"/>
      <c r="AO95" s="1161"/>
      <c r="AP95" s="1161"/>
    </row>
    <row r="96" spans="1:42" x14ac:dyDescent="0.3">
      <c r="A96" s="19">
        <v>1982</v>
      </c>
      <c r="B96" s="19"/>
      <c r="C96" s="1169">
        <v>2028559.3</v>
      </c>
      <c r="D96" s="1169">
        <v>4774060.6100000003</v>
      </c>
      <c r="E96" s="1169">
        <v>2172729.35</v>
      </c>
      <c r="F96" s="1169">
        <v>1843180.02</v>
      </c>
      <c r="G96" s="1169">
        <v>2588065.41</v>
      </c>
      <c r="H96" s="1169">
        <v>949149.92</v>
      </c>
      <c r="I96" s="1013">
        <v>638130.93999999994</v>
      </c>
      <c r="J96" s="1013">
        <v>746425.36</v>
      </c>
      <c r="K96" s="1013">
        <v>164685.85999999999</v>
      </c>
      <c r="L96" s="1013">
        <v>146339.70000000001</v>
      </c>
      <c r="M96" s="1013">
        <v>43285.07</v>
      </c>
      <c r="N96" s="1013">
        <v>5113.21</v>
      </c>
      <c r="O96" s="8"/>
      <c r="P96" s="424">
        <f t="shared" si="26"/>
        <v>0.40189147698962496</v>
      </c>
      <c r="Q96" s="406">
        <f t="shared" si="24"/>
        <v>10818.006950206398</v>
      </c>
      <c r="R96" s="8">
        <f t="shared" ref="R96:AC117" si="27">C96/1000</f>
        <v>2028.5593000000001</v>
      </c>
      <c r="S96" s="8">
        <f t="shared" si="27"/>
        <v>4774.0606100000005</v>
      </c>
      <c r="T96" s="8">
        <f t="shared" si="27"/>
        <v>2172.7293500000001</v>
      </c>
      <c r="U96" s="8">
        <f t="shared" si="27"/>
        <v>1843.18002</v>
      </c>
      <c r="V96" s="8">
        <f t="shared" si="27"/>
        <v>2588.0654100000002</v>
      </c>
      <c r="W96" s="8">
        <f t="shared" si="27"/>
        <v>949.14992000000007</v>
      </c>
      <c r="X96" s="8">
        <f t="shared" si="27"/>
        <v>638.1309399999999</v>
      </c>
      <c r="Y96" s="8">
        <f t="shared" si="27"/>
        <v>746.42535999999996</v>
      </c>
      <c r="Z96" s="8">
        <f t="shared" si="27"/>
        <v>164.68585999999999</v>
      </c>
      <c r="AA96" s="8">
        <f t="shared" si="27"/>
        <v>146.33970000000002</v>
      </c>
      <c r="AB96" s="8">
        <f t="shared" si="27"/>
        <v>43.285069999999997</v>
      </c>
      <c r="AC96" s="8">
        <f t="shared" si="27"/>
        <v>5.1132100000000005</v>
      </c>
      <c r="AF96" s="1011">
        <v>11.61929851</v>
      </c>
      <c r="AG96" s="1011">
        <v>231664000</v>
      </c>
      <c r="AH96" s="406">
        <f t="shared" si="21"/>
        <v>26917.731700206397</v>
      </c>
      <c r="AK96" s="1160"/>
      <c r="AL96" s="1160"/>
      <c r="AM96" s="1160"/>
      <c r="AN96" s="1160"/>
      <c r="AO96" s="1161"/>
      <c r="AP96" s="1161"/>
    </row>
    <row r="97" spans="1:42" x14ac:dyDescent="0.3">
      <c r="A97" s="19">
        <v>1983</v>
      </c>
      <c r="B97" s="19"/>
      <c r="C97" s="1169">
        <v>2405661.5699999998</v>
      </c>
      <c r="D97" s="1169">
        <v>5140611.97</v>
      </c>
      <c r="E97" s="1169">
        <v>2122034.77</v>
      </c>
      <c r="F97" s="1169">
        <v>1973596.04</v>
      </c>
      <c r="G97" s="1169">
        <v>2756259.66</v>
      </c>
      <c r="H97" s="1169">
        <v>1126169.27</v>
      </c>
      <c r="I97" s="1013">
        <v>623991.64</v>
      </c>
      <c r="J97" s="1013">
        <v>744658.88</v>
      </c>
      <c r="K97" s="1013">
        <v>152079.4</v>
      </c>
      <c r="L97" s="1013">
        <v>151502.26</v>
      </c>
      <c r="M97" s="1013">
        <v>43032.04</v>
      </c>
      <c r="N97" s="1013">
        <v>4637.93</v>
      </c>
      <c r="O97" s="8"/>
      <c r="P97" s="424">
        <f t="shared" si="26"/>
        <v>0.37166812121381515</v>
      </c>
      <c r="Q97" s="406">
        <f t="shared" si="24"/>
        <v>10200.234621897594</v>
      </c>
      <c r="R97" s="8">
        <f t="shared" si="27"/>
        <v>2405.6615699999998</v>
      </c>
      <c r="S97" s="8">
        <f t="shared" si="27"/>
        <v>5140.6119699999999</v>
      </c>
      <c r="T97" s="8">
        <f t="shared" si="27"/>
        <v>2122.0347700000002</v>
      </c>
      <c r="U97" s="8">
        <f t="shared" si="27"/>
        <v>1973.5960400000001</v>
      </c>
      <c r="V97" s="8">
        <f t="shared" si="27"/>
        <v>2756.2596600000002</v>
      </c>
      <c r="W97" s="8">
        <f t="shared" si="27"/>
        <v>1126.1692700000001</v>
      </c>
      <c r="X97" s="8">
        <f t="shared" si="27"/>
        <v>623.99163999999996</v>
      </c>
      <c r="Y97" s="8">
        <f t="shared" si="27"/>
        <v>744.65887999999995</v>
      </c>
      <c r="Z97" s="8">
        <f t="shared" si="27"/>
        <v>152.07939999999999</v>
      </c>
      <c r="AA97" s="8">
        <f t="shared" si="27"/>
        <v>151.50226000000001</v>
      </c>
      <c r="AB97" s="8">
        <f t="shared" si="27"/>
        <v>43.032040000000002</v>
      </c>
      <c r="AC97" s="8">
        <f t="shared" si="27"/>
        <v>4.6379299999999999</v>
      </c>
      <c r="AF97" s="1011">
        <v>11.738840529999999</v>
      </c>
      <c r="AG97" s="1011">
        <v>233792000</v>
      </c>
      <c r="AH97" s="406">
        <f t="shared" si="21"/>
        <v>27444.470051897595</v>
      </c>
      <c r="AK97" s="1160"/>
      <c r="AL97" s="1160"/>
      <c r="AM97" s="1160"/>
      <c r="AN97" s="1160"/>
      <c r="AO97" s="1161"/>
      <c r="AP97" s="1161"/>
    </row>
    <row r="98" spans="1:42" x14ac:dyDescent="0.3">
      <c r="A98" s="19">
        <v>1984</v>
      </c>
      <c r="B98" s="19"/>
      <c r="C98" s="1169">
        <v>2428930.87</v>
      </c>
      <c r="D98" s="1169">
        <v>5284474.53</v>
      </c>
      <c r="E98" s="1169">
        <v>2336542.65</v>
      </c>
      <c r="F98" s="1169">
        <v>2191197.2999999998</v>
      </c>
      <c r="G98" s="1169">
        <v>2733086.23</v>
      </c>
      <c r="H98" s="1169">
        <v>1192672.27</v>
      </c>
      <c r="I98" s="1013">
        <v>703081.7</v>
      </c>
      <c r="J98" s="1013">
        <v>849711.53</v>
      </c>
      <c r="K98" s="1013">
        <v>168673.26</v>
      </c>
      <c r="L98" s="1013">
        <v>179855.29</v>
      </c>
      <c r="M98" s="1013">
        <v>39219.71</v>
      </c>
      <c r="N98" s="1013">
        <v>5025.1400000000003</v>
      </c>
      <c r="O98" s="8"/>
      <c r="P98" s="424">
        <f t="shared" si="26"/>
        <v>0.35254764757781315</v>
      </c>
      <c r="Q98" s="406">
        <f t="shared" si="24"/>
        <v>9862.5154973300014</v>
      </c>
      <c r="R98" s="8">
        <f t="shared" si="27"/>
        <v>2428.9308700000001</v>
      </c>
      <c r="S98" s="8">
        <f t="shared" si="27"/>
        <v>5284.4745300000004</v>
      </c>
      <c r="T98" s="8">
        <f t="shared" si="27"/>
        <v>2336.5426499999999</v>
      </c>
      <c r="U98" s="8">
        <f t="shared" si="27"/>
        <v>2191.1972999999998</v>
      </c>
      <c r="V98" s="8">
        <f t="shared" si="27"/>
        <v>2733.0862299999999</v>
      </c>
      <c r="W98" s="8">
        <f t="shared" si="27"/>
        <v>1192.67227</v>
      </c>
      <c r="X98" s="8">
        <f t="shared" si="27"/>
        <v>703.08169999999996</v>
      </c>
      <c r="Y98" s="8">
        <f t="shared" si="27"/>
        <v>849.71153000000004</v>
      </c>
      <c r="Z98" s="8">
        <f t="shared" si="27"/>
        <v>168.67326</v>
      </c>
      <c r="AA98" s="8">
        <f t="shared" si="27"/>
        <v>179.85529</v>
      </c>
      <c r="AB98" s="8">
        <f t="shared" si="27"/>
        <v>39.219709999999999</v>
      </c>
      <c r="AC98" s="8">
        <f t="shared" si="27"/>
        <v>5.0251400000000004</v>
      </c>
      <c r="AF98" s="1011">
        <v>11.862604040000001</v>
      </c>
      <c r="AG98" s="1011">
        <v>235825000</v>
      </c>
      <c r="AH98" s="406">
        <f t="shared" si="21"/>
        <v>27974.985977330001</v>
      </c>
      <c r="AK98" s="1160"/>
      <c r="AL98" s="1160"/>
      <c r="AM98" s="1160"/>
      <c r="AN98" s="1160"/>
      <c r="AO98" s="1161"/>
      <c r="AP98" s="1161"/>
    </row>
    <row r="99" spans="1:42" x14ac:dyDescent="0.3">
      <c r="A99" s="19">
        <v>1985</v>
      </c>
      <c r="B99" s="19"/>
      <c r="C99" s="1169">
        <v>2876688.93</v>
      </c>
      <c r="D99" s="1169">
        <v>5544460.0999999996</v>
      </c>
      <c r="E99" s="1169">
        <v>2396334.92</v>
      </c>
      <c r="F99" s="1169">
        <v>2206483.39</v>
      </c>
      <c r="G99" s="1169">
        <v>2854512.95</v>
      </c>
      <c r="H99" s="1169">
        <v>1197537.52</v>
      </c>
      <c r="I99" s="1013">
        <v>775619.27</v>
      </c>
      <c r="J99" s="1013">
        <v>945747.37</v>
      </c>
      <c r="K99" s="1013">
        <v>160863.66</v>
      </c>
      <c r="L99" s="1013">
        <v>176899.09</v>
      </c>
      <c r="M99" s="1013">
        <v>52386.54</v>
      </c>
      <c r="N99" s="1013">
        <v>5339.07</v>
      </c>
      <c r="O99" s="8"/>
      <c r="P99" s="424">
        <f t="shared" si="26"/>
        <v>0.32723323095506213</v>
      </c>
      <c r="Q99" s="406">
        <f t="shared" si="24"/>
        <v>9335.398342937995</v>
      </c>
      <c r="R99" s="8">
        <f t="shared" si="27"/>
        <v>2876.6889300000003</v>
      </c>
      <c r="S99" s="8">
        <f t="shared" si="27"/>
        <v>5544.4600999999993</v>
      </c>
      <c r="T99" s="8">
        <f t="shared" si="27"/>
        <v>2396.3349199999998</v>
      </c>
      <c r="U99" s="8">
        <f t="shared" si="27"/>
        <v>2206.4833900000003</v>
      </c>
      <c r="V99" s="8">
        <f t="shared" si="27"/>
        <v>2854.5129500000003</v>
      </c>
      <c r="W99" s="8">
        <f t="shared" si="27"/>
        <v>1197.5375200000001</v>
      </c>
      <c r="X99" s="8">
        <f t="shared" si="27"/>
        <v>775.61927000000003</v>
      </c>
      <c r="Y99" s="8">
        <f t="shared" si="27"/>
        <v>945.74737000000005</v>
      </c>
      <c r="Z99" s="8">
        <f t="shared" si="27"/>
        <v>160.86366000000001</v>
      </c>
      <c r="AA99" s="8">
        <f t="shared" si="27"/>
        <v>176.89909</v>
      </c>
      <c r="AB99" s="8">
        <f t="shared" si="27"/>
        <v>52.386540000000004</v>
      </c>
      <c r="AC99" s="8">
        <f t="shared" si="27"/>
        <v>5.3390699999999995</v>
      </c>
      <c r="AF99" s="1011">
        <v>11.990497449999999</v>
      </c>
      <c r="AG99" s="1011">
        <v>237924000</v>
      </c>
      <c r="AH99" s="406">
        <f t="shared" si="21"/>
        <v>28528.271152937996</v>
      </c>
      <c r="AI99" s="1159"/>
      <c r="AJ99" s="1159"/>
      <c r="AK99" s="1170"/>
      <c r="AL99" s="1170"/>
      <c r="AM99" s="1170"/>
    </row>
    <row r="100" spans="1:42" x14ac:dyDescent="0.3">
      <c r="A100" s="19">
        <v>1986</v>
      </c>
      <c r="B100" s="19"/>
      <c r="C100" s="1169">
        <v>3053944.73</v>
      </c>
      <c r="D100" s="1169">
        <v>5870763.7800000003</v>
      </c>
      <c r="E100" s="1169">
        <v>2553907.4300000002</v>
      </c>
      <c r="F100" s="1169">
        <v>2212609.44</v>
      </c>
      <c r="G100" s="1169">
        <v>2887603.1</v>
      </c>
      <c r="H100" s="1169">
        <v>1240807.56</v>
      </c>
      <c r="I100" s="1013">
        <v>750083.41</v>
      </c>
      <c r="J100" s="1013">
        <v>913154.29</v>
      </c>
      <c r="K100" s="1013">
        <v>190711.95</v>
      </c>
      <c r="L100" s="1013">
        <v>199067.86</v>
      </c>
      <c r="M100" s="1013">
        <v>40184.81</v>
      </c>
      <c r="N100" s="1013">
        <v>5148.33</v>
      </c>
      <c r="O100" s="8"/>
      <c r="P100" s="424">
        <f t="shared" si="26"/>
        <v>0.31490186116812646</v>
      </c>
      <c r="Q100" s="406">
        <f t="shared" si="24"/>
        <v>9155.2008739906996</v>
      </c>
      <c r="R100" s="8">
        <f t="shared" si="27"/>
        <v>3053.9447300000002</v>
      </c>
      <c r="S100" s="8">
        <f t="shared" si="27"/>
        <v>5870.7637800000002</v>
      </c>
      <c r="T100" s="8">
        <f t="shared" si="27"/>
        <v>2553.9074300000002</v>
      </c>
      <c r="U100" s="8">
        <f t="shared" si="27"/>
        <v>2212.6094399999997</v>
      </c>
      <c r="V100" s="8">
        <f t="shared" si="27"/>
        <v>2887.6031000000003</v>
      </c>
      <c r="W100" s="8">
        <f t="shared" si="27"/>
        <v>1240.80756</v>
      </c>
      <c r="X100" s="8">
        <f t="shared" si="27"/>
        <v>750.08341000000007</v>
      </c>
      <c r="Y100" s="8">
        <f t="shared" si="27"/>
        <v>913.15429000000006</v>
      </c>
      <c r="Z100" s="8">
        <f t="shared" si="27"/>
        <v>190.71195</v>
      </c>
      <c r="AA100" s="8">
        <f t="shared" si="27"/>
        <v>199.06786</v>
      </c>
      <c r="AB100" s="8">
        <f t="shared" si="27"/>
        <v>40.184809999999999</v>
      </c>
      <c r="AC100" s="8">
        <f t="shared" si="27"/>
        <v>5.1483299999999996</v>
      </c>
      <c r="AF100" s="1011">
        <v>12.107118789999999</v>
      </c>
      <c r="AG100" s="1011">
        <v>240133000</v>
      </c>
      <c r="AH100" s="406">
        <f t="shared" si="21"/>
        <v>29073.187563990698</v>
      </c>
      <c r="AI100" s="1159"/>
      <c r="AJ100" s="1159"/>
      <c r="AK100" s="1170"/>
      <c r="AL100" s="1170"/>
      <c r="AM100" s="1170"/>
    </row>
    <row r="101" spans="1:42" x14ac:dyDescent="0.3">
      <c r="A101" s="19">
        <v>1987</v>
      </c>
      <c r="B101" s="19"/>
      <c r="C101" s="1169">
        <v>2973511.5</v>
      </c>
      <c r="D101" s="1169">
        <v>6214650.3499999996</v>
      </c>
      <c r="E101" s="1169">
        <v>2666198.37</v>
      </c>
      <c r="F101" s="1169">
        <v>2285647.2799999998</v>
      </c>
      <c r="G101" s="1169">
        <v>3012976.47</v>
      </c>
      <c r="H101" s="1169">
        <v>1341872.97</v>
      </c>
      <c r="I101" s="1013">
        <v>757615.82</v>
      </c>
      <c r="J101" s="1013">
        <v>870550.92</v>
      </c>
      <c r="K101" s="1013">
        <v>156323.38</v>
      </c>
      <c r="L101" s="1013">
        <v>141352.98000000001</v>
      </c>
      <c r="M101" s="1013">
        <v>37250.29</v>
      </c>
      <c r="N101" s="1013">
        <v>4593</v>
      </c>
      <c r="O101" s="8"/>
      <c r="P101" s="424">
        <f t="shared" si="26"/>
        <v>0.30911259564402432</v>
      </c>
      <c r="Q101" s="406">
        <f t="shared" si="24"/>
        <v>9155.2253555856987</v>
      </c>
      <c r="R101" s="8">
        <f t="shared" si="27"/>
        <v>2973.5115000000001</v>
      </c>
      <c r="S101" s="8">
        <f t="shared" si="27"/>
        <v>6214.6503499999999</v>
      </c>
      <c r="T101" s="8">
        <f t="shared" si="27"/>
        <v>2666.1983700000001</v>
      </c>
      <c r="U101" s="8">
        <f t="shared" si="27"/>
        <v>2285.6472799999997</v>
      </c>
      <c r="V101" s="8">
        <f t="shared" si="27"/>
        <v>3012.9764700000001</v>
      </c>
      <c r="W101" s="8">
        <f t="shared" si="27"/>
        <v>1341.8729699999999</v>
      </c>
      <c r="X101" s="8">
        <f t="shared" si="27"/>
        <v>757.61581999999999</v>
      </c>
      <c r="Y101" s="8">
        <f t="shared" si="27"/>
        <v>870.55092000000002</v>
      </c>
      <c r="Z101" s="8">
        <f t="shared" si="27"/>
        <v>156.32338000000001</v>
      </c>
      <c r="AA101" s="8">
        <f t="shared" si="27"/>
        <v>141.35298</v>
      </c>
      <c r="AB101" s="8">
        <f t="shared" si="27"/>
        <v>37.25029</v>
      </c>
      <c r="AC101" s="8">
        <f t="shared" si="27"/>
        <v>4.593</v>
      </c>
      <c r="AF101" s="1011">
        <v>12.224149130000001</v>
      </c>
      <c r="AG101" s="1011">
        <v>242289000</v>
      </c>
      <c r="AH101" s="406">
        <f t="shared" si="21"/>
        <v>29617.768685585703</v>
      </c>
      <c r="AI101" s="1159"/>
      <c r="AJ101" s="1159"/>
      <c r="AK101" s="1170"/>
      <c r="AL101" s="1170"/>
      <c r="AM101" s="1170"/>
    </row>
    <row r="102" spans="1:42" x14ac:dyDescent="0.3">
      <c r="A102" s="19">
        <v>1988</v>
      </c>
      <c r="B102" s="19"/>
      <c r="C102" s="1169">
        <v>2820612.68</v>
      </c>
      <c r="D102" s="1169">
        <v>6369101.3700000001</v>
      </c>
      <c r="E102" s="1169">
        <v>2733140.33</v>
      </c>
      <c r="F102" s="1169">
        <v>2315559.41</v>
      </c>
      <c r="G102" s="1169">
        <v>3124514.12</v>
      </c>
      <c r="H102" s="1169">
        <v>1522054.46</v>
      </c>
      <c r="I102" s="1013">
        <v>715038.74</v>
      </c>
      <c r="J102" s="1013">
        <v>837545.45</v>
      </c>
      <c r="K102" s="1013">
        <v>159168.54</v>
      </c>
      <c r="L102" s="1013">
        <v>136991.53</v>
      </c>
      <c r="M102" s="1013">
        <v>38193.96</v>
      </c>
      <c r="N102" s="1013">
        <v>4543.76</v>
      </c>
      <c r="O102" s="8"/>
      <c r="P102" s="424">
        <f t="shared" si="26"/>
        <v>0.31124258611389299</v>
      </c>
      <c r="Q102" s="406">
        <f t="shared" si="24"/>
        <v>9388.6764254365007</v>
      </c>
      <c r="R102" s="8">
        <f t="shared" si="27"/>
        <v>2820.6126800000002</v>
      </c>
      <c r="S102" s="8">
        <f t="shared" si="27"/>
        <v>6369.1013700000003</v>
      </c>
      <c r="T102" s="8">
        <f t="shared" si="27"/>
        <v>2733.1403300000002</v>
      </c>
      <c r="U102" s="8">
        <f t="shared" si="27"/>
        <v>2315.5594100000003</v>
      </c>
      <c r="V102" s="8">
        <f t="shared" si="27"/>
        <v>3124.5141200000003</v>
      </c>
      <c r="W102" s="8">
        <f t="shared" si="27"/>
        <v>1522.0544600000001</v>
      </c>
      <c r="X102" s="8">
        <f t="shared" si="27"/>
        <v>715.03873999999996</v>
      </c>
      <c r="Y102" s="8">
        <f t="shared" si="27"/>
        <v>837.54544999999996</v>
      </c>
      <c r="Z102" s="8">
        <f t="shared" si="27"/>
        <v>159.16854000000001</v>
      </c>
      <c r="AA102" s="8">
        <f t="shared" si="27"/>
        <v>136.99153000000001</v>
      </c>
      <c r="AB102" s="8">
        <f t="shared" si="27"/>
        <v>38.193959999999997</v>
      </c>
      <c r="AC102" s="8">
        <f t="shared" si="27"/>
        <v>4.5437599999999998</v>
      </c>
      <c r="AF102" s="1011">
        <v>12.337531350000001</v>
      </c>
      <c r="AG102" s="1011">
        <v>244499000</v>
      </c>
      <c r="AH102" s="406">
        <f t="shared" si="21"/>
        <v>30165.140775436503</v>
      </c>
      <c r="AI102" s="1159"/>
      <c r="AJ102" s="1159"/>
      <c r="AK102" s="1170"/>
      <c r="AL102" s="1170"/>
      <c r="AM102" s="1170"/>
    </row>
    <row r="103" spans="1:42" x14ac:dyDescent="0.3">
      <c r="A103" s="19">
        <v>1989</v>
      </c>
      <c r="B103" s="19"/>
      <c r="C103" s="1169">
        <v>2754807.26</v>
      </c>
      <c r="D103" s="1169">
        <v>6328614.6399999997</v>
      </c>
      <c r="E103" s="1169">
        <v>2808809.87</v>
      </c>
      <c r="F103" s="1169">
        <v>2320100.54</v>
      </c>
      <c r="G103" s="1169">
        <v>3295980.96</v>
      </c>
      <c r="H103" s="1169">
        <v>1708336.33</v>
      </c>
      <c r="I103" s="1013">
        <v>770635.73</v>
      </c>
      <c r="J103" s="1013">
        <v>917406.59</v>
      </c>
      <c r="K103" s="1013">
        <v>141223.38</v>
      </c>
      <c r="L103" s="1013">
        <v>134453.93</v>
      </c>
      <c r="M103" s="1013">
        <v>38271.97</v>
      </c>
      <c r="N103" s="1013">
        <v>4855</v>
      </c>
      <c r="O103" s="8"/>
      <c r="P103" s="424">
        <f t="shared" si="26"/>
        <v>0.3087031914540278</v>
      </c>
      <c r="Q103" s="406">
        <f t="shared" si="24"/>
        <v>9477.493501717403</v>
      </c>
      <c r="R103" s="8">
        <f t="shared" si="27"/>
        <v>2754.8072599999996</v>
      </c>
      <c r="S103" s="8">
        <f t="shared" si="27"/>
        <v>6328.6146399999998</v>
      </c>
      <c r="T103" s="8">
        <f t="shared" si="27"/>
        <v>2808.80987</v>
      </c>
      <c r="U103" s="8">
        <f t="shared" si="27"/>
        <v>2320.1005399999999</v>
      </c>
      <c r="V103" s="8">
        <f t="shared" si="27"/>
        <v>3295.9809599999999</v>
      </c>
      <c r="W103" s="8">
        <f t="shared" si="27"/>
        <v>1708.3363300000001</v>
      </c>
      <c r="X103" s="8">
        <f t="shared" si="27"/>
        <v>770.63572999999997</v>
      </c>
      <c r="Y103" s="8">
        <f t="shared" si="27"/>
        <v>917.40658999999994</v>
      </c>
      <c r="Z103" s="8">
        <f t="shared" si="27"/>
        <v>141.22337999999999</v>
      </c>
      <c r="AA103" s="8">
        <f t="shared" si="27"/>
        <v>134.45392999999999</v>
      </c>
      <c r="AB103" s="8">
        <f t="shared" si="27"/>
        <v>38.271970000000003</v>
      </c>
      <c r="AC103" s="8">
        <f t="shared" si="27"/>
        <v>4.8550000000000004</v>
      </c>
      <c r="AF103" s="1011">
        <v>12.438665459999999</v>
      </c>
      <c r="AG103" s="1011">
        <v>246819000</v>
      </c>
      <c r="AH103" s="406">
        <f t="shared" si="21"/>
        <v>30700.989701717401</v>
      </c>
      <c r="AI103" s="1159"/>
      <c r="AJ103" s="1159"/>
      <c r="AK103" s="1170"/>
      <c r="AL103" s="1170"/>
      <c r="AM103" s="1170"/>
    </row>
    <row r="104" spans="1:42" x14ac:dyDescent="0.3">
      <c r="A104" s="19">
        <v>1990</v>
      </c>
      <c r="B104" s="19"/>
      <c r="C104" s="1169">
        <v>2845224.91</v>
      </c>
      <c r="D104" s="1169">
        <v>6594831.1900000004</v>
      </c>
      <c r="E104" s="1169">
        <v>2838035.9</v>
      </c>
      <c r="F104" s="1169">
        <v>2528087.46</v>
      </c>
      <c r="G104" s="1169">
        <v>3477377.08</v>
      </c>
      <c r="H104" s="1169">
        <v>1722273.27</v>
      </c>
      <c r="I104" s="1013">
        <v>828291.14</v>
      </c>
      <c r="J104" s="1013">
        <v>896526.71</v>
      </c>
      <c r="K104" s="1013">
        <v>145045.22</v>
      </c>
      <c r="L104" s="1013">
        <v>131175.9</v>
      </c>
      <c r="M104" s="1013">
        <v>34464.879999999997</v>
      </c>
      <c r="N104" s="1013">
        <v>4510.59</v>
      </c>
      <c r="O104" s="8"/>
      <c r="P104" s="424">
        <f t="shared" si="26"/>
        <v>0.29472729453164065</v>
      </c>
      <c r="Q104" s="406">
        <f t="shared" si="24"/>
        <v>9212.7654750988004</v>
      </c>
      <c r="R104" s="8">
        <f t="shared" si="27"/>
        <v>2845.2249100000004</v>
      </c>
      <c r="S104" s="8">
        <f t="shared" si="27"/>
        <v>6594.8311900000008</v>
      </c>
      <c r="T104" s="8">
        <f t="shared" si="27"/>
        <v>2838.0358999999999</v>
      </c>
      <c r="U104" s="8">
        <f t="shared" si="27"/>
        <v>2528.0874599999997</v>
      </c>
      <c r="V104" s="8">
        <f t="shared" si="27"/>
        <v>3477.3770800000002</v>
      </c>
      <c r="W104" s="8">
        <f t="shared" si="27"/>
        <v>1722.2732699999999</v>
      </c>
      <c r="X104" s="8">
        <f t="shared" si="27"/>
        <v>828.29114000000004</v>
      </c>
      <c r="Y104" s="8">
        <f t="shared" si="27"/>
        <v>896.52670999999998</v>
      </c>
      <c r="Z104" s="8">
        <f t="shared" si="27"/>
        <v>145.04522</v>
      </c>
      <c r="AA104" s="8">
        <f t="shared" si="27"/>
        <v>131.17589999999998</v>
      </c>
      <c r="AB104" s="8">
        <f t="shared" si="27"/>
        <v>34.464880000000001</v>
      </c>
      <c r="AC104" s="8">
        <f t="shared" si="27"/>
        <v>4.5105900000000005</v>
      </c>
      <c r="AF104" s="1011">
        <v>12.522327560000001</v>
      </c>
      <c r="AG104" s="1011">
        <v>249623000</v>
      </c>
      <c r="AH104" s="406">
        <f t="shared" si="21"/>
        <v>31258.609725098799</v>
      </c>
      <c r="AI104" s="1159"/>
      <c r="AJ104" s="1159"/>
      <c r="AK104" s="1170"/>
      <c r="AL104" s="1170"/>
      <c r="AM104" s="1170"/>
    </row>
    <row r="105" spans="1:42" x14ac:dyDescent="0.3">
      <c r="A105" s="19">
        <v>1991</v>
      </c>
      <c r="B105" s="19"/>
      <c r="C105" s="1169">
        <v>3055287.11</v>
      </c>
      <c r="D105" s="1169">
        <v>6814448.7000000002</v>
      </c>
      <c r="E105" s="1169">
        <v>2831508.13</v>
      </c>
      <c r="F105" s="1169">
        <v>2557542.17</v>
      </c>
      <c r="G105" s="1169">
        <v>3584291.75</v>
      </c>
      <c r="H105" s="1169">
        <v>1784882.37</v>
      </c>
      <c r="I105" s="1013">
        <v>875851.69</v>
      </c>
      <c r="J105" s="1013">
        <v>844725.19</v>
      </c>
      <c r="K105" s="1013">
        <v>128590.72</v>
      </c>
      <c r="L105" s="1013">
        <v>132066.23000000001</v>
      </c>
      <c r="M105" s="1013">
        <v>35065.47</v>
      </c>
      <c r="N105" s="1013">
        <v>4549.0600000000004</v>
      </c>
      <c r="O105" s="8"/>
      <c r="P105" s="424">
        <f t="shared" si="26"/>
        <v>0.28796152794596286</v>
      </c>
      <c r="Q105" s="406">
        <f t="shared" si="24"/>
        <v>9159.5971056421949</v>
      </c>
      <c r="R105" s="8">
        <f t="shared" si="27"/>
        <v>3055.2871099999998</v>
      </c>
      <c r="S105" s="8">
        <f t="shared" si="27"/>
        <v>6814.4486999999999</v>
      </c>
      <c r="T105" s="8">
        <f t="shared" si="27"/>
        <v>2831.5081299999997</v>
      </c>
      <c r="U105" s="8">
        <f t="shared" si="27"/>
        <v>2557.5421699999997</v>
      </c>
      <c r="V105" s="8">
        <f t="shared" si="27"/>
        <v>3584.2917499999999</v>
      </c>
      <c r="W105" s="8">
        <f t="shared" si="27"/>
        <v>1784.88237</v>
      </c>
      <c r="X105" s="8">
        <f t="shared" si="27"/>
        <v>875.85168999999996</v>
      </c>
      <c r="Y105" s="8">
        <f t="shared" si="27"/>
        <v>844.72519</v>
      </c>
      <c r="Z105" s="8">
        <f t="shared" si="27"/>
        <v>128.59072</v>
      </c>
      <c r="AA105" s="8">
        <f t="shared" si="27"/>
        <v>132.06623000000002</v>
      </c>
      <c r="AB105" s="8">
        <f t="shared" si="27"/>
        <v>35.065469999999998</v>
      </c>
      <c r="AC105" s="8">
        <f t="shared" si="27"/>
        <v>4.5490600000000008</v>
      </c>
      <c r="AF105" s="1011">
        <v>12.573436620000001</v>
      </c>
      <c r="AG105" s="1011">
        <v>252981000</v>
      </c>
      <c r="AH105" s="406">
        <f t="shared" si="21"/>
        <v>31808.405695642199</v>
      </c>
      <c r="AI105" s="1159"/>
      <c r="AJ105" s="1159"/>
      <c r="AK105" s="1170"/>
      <c r="AL105" s="1170"/>
      <c r="AM105" s="1170"/>
    </row>
    <row r="106" spans="1:42" x14ac:dyDescent="0.3">
      <c r="A106" s="19">
        <v>1992</v>
      </c>
      <c r="B106" s="19"/>
      <c r="C106" s="1169">
        <v>3188340.52</v>
      </c>
      <c r="D106" s="1169">
        <v>6634712.3300000001</v>
      </c>
      <c r="E106" s="1169">
        <v>2948620.13</v>
      </c>
      <c r="F106" s="1169">
        <v>2297196.3199999998</v>
      </c>
      <c r="G106" s="1169">
        <v>3404750.04</v>
      </c>
      <c r="H106" s="1169">
        <v>1824001.51</v>
      </c>
      <c r="I106" s="1013">
        <v>860897.4</v>
      </c>
      <c r="J106" s="1013">
        <v>822949.71</v>
      </c>
      <c r="K106" s="1013">
        <v>129267.85</v>
      </c>
      <c r="L106" s="1013">
        <v>118455.33</v>
      </c>
      <c r="M106" s="1013">
        <v>33268.46</v>
      </c>
      <c r="N106" s="1013">
        <v>3937.34</v>
      </c>
      <c r="O106" s="8"/>
      <c r="P106" s="424">
        <f t="shared" si="26"/>
        <v>0.31135493281432491</v>
      </c>
      <c r="Q106" s="406">
        <f t="shared" si="24"/>
        <v>10067.2361621688</v>
      </c>
      <c r="R106" s="8">
        <f t="shared" si="27"/>
        <v>3188.3405200000002</v>
      </c>
      <c r="S106" s="8">
        <f t="shared" si="27"/>
        <v>6634.7123300000003</v>
      </c>
      <c r="T106" s="8">
        <f t="shared" si="27"/>
        <v>2948.6201299999998</v>
      </c>
      <c r="U106" s="8">
        <f t="shared" si="27"/>
        <v>2297.19632</v>
      </c>
      <c r="V106" s="8">
        <f t="shared" si="27"/>
        <v>3404.7500399999999</v>
      </c>
      <c r="W106" s="8">
        <f t="shared" si="27"/>
        <v>1824.0015100000001</v>
      </c>
      <c r="X106" s="8">
        <f t="shared" si="27"/>
        <v>860.89740000000006</v>
      </c>
      <c r="Y106" s="8">
        <f t="shared" si="27"/>
        <v>822.94970999999998</v>
      </c>
      <c r="Z106" s="8">
        <f t="shared" si="27"/>
        <v>129.26785000000001</v>
      </c>
      <c r="AA106" s="8">
        <f t="shared" si="27"/>
        <v>118.45533</v>
      </c>
      <c r="AB106" s="8">
        <f t="shared" si="27"/>
        <v>33.268459999999997</v>
      </c>
      <c r="AC106" s="8">
        <f t="shared" si="27"/>
        <v>3.9373400000000003</v>
      </c>
      <c r="AF106" s="1011">
        <v>12.605016920000001</v>
      </c>
      <c r="AG106" s="1011">
        <v>256514000</v>
      </c>
      <c r="AH106" s="406">
        <f t="shared" si="21"/>
        <v>32333.633102168802</v>
      </c>
      <c r="AI106" s="1159"/>
      <c r="AJ106" s="1159"/>
      <c r="AK106" s="1170"/>
      <c r="AL106" s="1170"/>
      <c r="AM106" s="1170"/>
    </row>
    <row r="107" spans="1:42" x14ac:dyDescent="0.3">
      <c r="A107" s="19">
        <v>1993</v>
      </c>
      <c r="B107" s="19"/>
      <c r="C107" s="1169">
        <v>3358728.31</v>
      </c>
      <c r="D107" s="1169">
        <v>6503538.2699999996</v>
      </c>
      <c r="E107" s="1169">
        <v>2930043.57</v>
      </c>
      <c r="F107" s="1169">
        <v>2187375.5499999998</v>
      </c>
      <c r="G107" s="1169">
        <v>3488585.63</v>
      </c>
      <c r="H107" s="1169">
        <v>1723778.02</v>
      </c>
      <c r="I107" s="1013">
        <v>850241.08</v>
      </c>
      <c r="J107" s="1013">
        <v>833282.21</v>
      </c>
      <c r="K107" s="1013">
        <v>136020.76</v>
      </c>
      <c r="L107" s="1013">
        <v>110528.66</v>
      </c>
      <c r="M107" s="1013">
        <v>33791.449999999997</v>
      </c>
      <c r="N107" s="1013">
        <v>4111.0600000000004</v>
      </c>
      <c r="O107" s="8"/>
      <c r="P107" s="424">
        <f t="shared" si="26"/>
        <v>0.32439168463035845</v>
      </c>
      <c r="Q107" s="406">
        <f t="shared" si="24"/>
        <v>10640.081742894799</v>
      </c>
      <c r="R107" s="8">
        <f t="shared" si="27"/>
        <v>3358.72831</v>
      </c>
      <c r="S107" s="8">
        <f t="shared" si="27"/>
        <v>6503.5382699999991</v>
      </c>
      <c r="T107" s="8">
        <f t="shared" si="27"/>
        <v>2930.0435699999998</v>
      </c>
      <c r="U107" s="8">
        <f t="shared" si="27"/>
        <v>2187.3755499999997</v>
      </c>
      <c r="V107" s="8">
        <f t="shared" si="27"/>
        <v>3488.58563</v>
      </c>
      <c r="W107" s="8">
        <f t="shared" si="27"/>
        <v>1723.77802</v>
      </c>
      <c r="X107" s="8">
        <f t="shared" si="27"/>
        <v>850.24108000000001</v>
      </c>
      <c r="Y107" s="8">
        <f t="shared" si="27"/>
        <v>833.28220999999996</v>
      </c>
      <c r="Z107" s="8">
        <f t="shared" si="27"/>
        <v>136.02076</v>
      </c>
      <c r="AA107" s="8">
        <f t="shared" si="27"/>
        <v>110.52866</v>
      </c>
      <c r="AB107" s="8">
        <f t="shared" si="27"/>
        <v>33.791449999999998</v>
      </c>
      <c r="AC107" s="8">
        <f t="shared" si="27"/>
        <v>4.1110600000000002</v>
      </c>
      <c r="AF107" s="1011">
        <v>12.61935692</v>
      </c>
      <c r="AG107" s="1011">
        <v>259919000</v>
      </c>
      <c r="AH107" s="406">
        <f t="shared" si="21"/>
        <v>32800.106312894801</v>
      </c>
      <c r="AI107" s="1159"/>
      <c r="AJ107" s="1159"/>
      <c r="AK107" s="1170"/>
      <c r="AL107" s="1170"/>
      <c r="AM107" s="1170"/>
    </row>
    <row r="108" spans="1:42" x14ac:dyDescent="0.3">
      <c r="A108" s="19">
        <v>1994</v>
      </c>
      <c r="B108" s="19"/>
      <c r="C108" s="1169">
        <v>3460993.27</v>
      </c>
      <c r="D108" s="1169">
        <v>6487882.5599999996</v>
      </c>
      <c r="E108" s="1169">
        <v>2985424.22</v>
      </c>
      <c r="F108" s="1169">
        <v>2061624.12</v>
      </c>
      <c r="G108" s="1169">
        <v>3303205.26</v>
      </c>
      <c r="H108" s="1169">
        <v>1643245.71</v>
      </c>
      <c r="I108" s="1013">
        <v>980282.12</v>
      </c>
      <c r="J108" s="1013">
        <v>976188.86</v>
      </c>
      <c r="K108" s="1013">
        <v>148915.76999999999</v>
      </c>
      <c r="L108" s="1013">
        <v>117912.92</v>
      </c>
      <c r="M108" s="1013">
        <v>35014.589999999997</v>
      </c>
      <c r="N108" s="1013">
        <v>4233.8100000000004</v>
      </c>
      <c r="O108" s="8"/>
      <c r="P108" s="424">
        <f t="shared" si="26"/>
        <v>0.33109096882483885</v>
      </c>
      <c r="Q108" s="406">
        <f t="shared" si="24"/>
        <v>10990.806216749803</v>
      </c>
      <c r="R108" s="8">
        <f t="shared" si="27"/>
        <v>3460.9932699999999</v>
      </c>
      <c r="S108" s="8">
        <f t="shared" si="27"/>
        <v>6487.88256</v>
      </c>
      <c r="T108" s="8">
        <f t="shared" si="27"/>
        <v>2985.4242200000003</v>
      </c>
      <c r="U108" s="8">
        <f t="shared" si="27"/>
        <v>2061.6241199999999</v>
      </c>
      <c r="V108" s="8">
        <f t="shared" si="27"/>
        <v>3303.2052599999997</v>
      </c>
      <c r="W108" s="8">
        <f t="shared" si="27"/>
        <v>1643.2457099999999</v>
      </c>
      <c r="X108" s="8">
        <f t="shared" si="27"/>
        <v>980.28211999999996</v>
      </c>
      <c r="Y108" s="8">
        <f t="shared" si="27"/>
        <v>976.18885999999998</v>
      </c>
      <c r="Z108" s="8">
        <f t="shared" si="27"/>
        <v>148.91576999999998</v>
      </c>
      <c r="AA108" s="8">
        <f t="shared" si="27"/>
        <v>117.91292</v>
      </c>
      <c r="AB108" s="8">
        <f t="shared" si="27"/>
        <v>35.014589999999998</v>
      </c>
      <c r="AC108" s="8">
        <f t="shared" si="27"/>
        <v>4.2338100000000001</v>
      </c>
      <c r="AF108" s="1011">
        <v>12.61590623</v>
      </c>
      <c r="AG108" s="1011">
        <v>263126000</v>
      </c>
      <c r="AH108" s="406">
        <f t="shared" si="21"/>
        <v>33195.7294267498</v>
      </c>
      <c r="AI108" s="1159"/>
      <c r="AJ108" s="1159"/>
      <c r="AK108" s="1170"/>
      <c r="AL108" s="1170"/>
      <c r="AM108" s="1170"/>
    </row>
    <row r="109" spans="1:42" x14ac:dyDescent="0.3">
      <c r="A109" s="19">
        <v>1995</v>
      </c>
      <c r="B109" s="19"/>
      <c r="C109" s="1169">
        <v>2976685.05</v>
      </c>
      <c r="D109" s="1169">
        <v>6510568.5199999996</v>
      </c>
      <c r="E109" s="1169">
        <v>3003944.93</v>
      </c>
      <c r="F109" s="1169">
        <v>2256632.87</v>
      </c>
      <c r="G109" s="1169">
        <v>3584637.66</v>
      </c>
      <c r="H109" s="1169">
        <v>2025410.55</v>
      </c>
      <c r="I109" s="1013">
        <v>1069220.25</v>
      </c>
      <c r="J109" s="1013">
        <v>993370.61</v>
      </c>
      <c r="K109" s="1013">
        <v>152401.53</v>
      </c>
      <c r="L109" s="1013">
        <v>127247.45</v>
      </c>
      <c r="M109" s="1013">
        <v>33973.01</v>
      </c>
      <c r="N109" s="1013">
        <v>4481.2299999999996</v>
      </c>
      <c r="O109" s="8"/>
      <c r="P109" s="424">
        <f t="shared" si="26"/>
        <v>0.32188343510360723</v>
      </c>
      <c r="Q109" s="406">
        <f t="shared" si="24"/>
        <v>10793.380633837598</v>
      </c>
      <c r="R109" s="8">
        <f t="shared" si="27"/>
        <v>2976.6850499999996</v>
      </c>
      <c r="S109" s="8">
        <f t="shared" si="27"/>
        <v>6510.5685199999998</v>
      </c>
      <c r="T109" s="8">
        <f t="shared" si="27"/>
        <v>3003.9449300000001</v>
      </c>
      <c r="U109" s="8">
        <f t="shared" si="27"/>
        <v>2256.6328699999999</v>
      </c>
      <c r="V109" s="8">
        <f t="shared" si="27"/>
        <v>3584.6376600000003</v>
      </c>
      <c r="W109" s="8">
        <f t="shared" si="27"/>
        <v>2025.4105500000001</v>
      </c>
      <c r="X109" s="8">
        <f t="shared" si="27"/>
        <v>1069.2202500000001</v>
      </c>
      <c r="Y109" s="8">
        <f t="shared" si="27"/>
        <v>993.37060999999994</v>
      </c>
      <c r="Z109" s="8">
        <f t="shared" si="27"/>
        <v>152.40153000000001</v>
      </c>
      <c r="AA109" s="8">
        <f t="shared" si="27"/>
        <v>127.24745</v>
      </c>
      <c r="AB109" s="8">
        <f t="shared" si="27"/>
        <v>33.973010000000002</v>
      </c>
      <c r="AC109" s="8">
        <f t="shared" si="27"/>
        <v>4.4812299999999992</v>
      </c>
      <c r="AF109" s="1011">
        <v>12.59283692</v>
      </c>
      <c r="AG109" s="1011">
        <v>266278000</v>
      </c>
      <c r="AH109" s="406">
        <f t="shared" si="21"/>
        <v>33531.954293837596</v>
      </c>
      <c r="AI109" s="1159"/>
      <c r="AJ109" s="1159"/>
      <c r="AK109" s="1170"/>
      <c r="AL109" s="1170"/>
      <c r="AM109" s="1170"/>
    </row>
    <row r="110" spans="1:42" x14ac:dyDescent="0.3">
      <c r="A110" s="19">
        <v>1996</v>
      </c>
      <c r="B110" s="19"/>
      <c r="C110" s="1169">
        <v>2856963.25</v>
      </c>
      <c r="D110" s="1169">
        <v>6471663.8799999999</v>
      </c>
      <c r="E110" s="1169">
        <v>2934807.37</v>
      </c>
      <c r="F110" s="1169">
        <v>2197378.19</v>
      </c>
      <c r="G110" s="1169">
        <v>3776567.52</v>
      </c>
      <c r="H110" s="1169">
        <v>2091115.35</v>
      </c>
      <c r="I110" s="1013">
        <v>1229080.97</v>
      </c>
      <c r="J110" s="1013">
        <v>1060130.98</v>
      </c>
      <c r="K110" s="1013">
        <v>176151.64</v>
      </c>
      <c r="L110" s="1013">
        <v>137731.5</v>
      </c>
      <c r="M110" s="1013">
        <v>35689.910000000003</v>
      </c>
      <c r="N110" s="1013">
        <v>4380.8999999999996</v>
      </c>
      <c r="O110" s="8"/>
      <c r="P110" s="424">
        <f t="shared" si="26"/>
        <v>0.32044826030333201</v>
      </c>
      <c r="Q110" s="406">
        <f t="shared" si="24"/>
        <v>10832.477530584998</v>
      </c>
      <c r="R110" s="8">
        <f t="shared" si="27"/>
        <v>2856.9632499999998</v>
      </c>
      <c r="S110" s="8">
        <f t="shared" si="27"/>
        <v>6471.6638800000001</v>
      </c>
      <c r="T110" s="8">
        <f t="shared" si="27"/>
        <v>2934.80737</v>
      </c>
      <c r="U110" s="8">
        <f t="shared" si="27"/>
        <v>2197.3781899999999</v>
      </c>
      <c r="V110" s="8">
        <f t="shared" si="27"/>
        <v>3776.5675200000001</v>
      </c>
      <c r="W110" s="8">
        <f t="shared" si="27"/>
        <v>2091.11535</v>
      </c>
      <c r="X110" s="8">
        <f t="shared" si="27"/>
        <v>1229.08097</v>
      </c>
      <c r="Y110" s="8">
        <f t="shared" si="27"/>
        <v>1060.1309799999999</v>
      </c>
      <c r="Z110" s="8">
        <f t="shared" si="27"/>
        <v>176.15164000000001</v>
      </c>
      <c r="AA110" s="8">
        <f t="shared" si="27"/>
        <v>137.73150000000001</v>
      </c>
      <c r="AB110" s="8">
        <f t="shared" si="27"/>
        <v>35.689910000000005</v>
      </c>
      <c r="AC110" s="8">
        <f t="shared" si="27"/>
        <v>4.3808999999999996</v>
      </c>
      <c r="AF110" s="1011">
        <v>12.54821525</v>
      </c>
      <c r="AG110" s="1011">
        <v>269394000</v>
      </c>
      <c r="AH110" s="406">
        <f t="shared" si="21"/>
        <v>33804.138990585001</v>
      </c>
      <c r="AI110" s="1159"/>
      <c r="AJ110" s="1159"/>
      <c r="AK110" s="1170"/>
      <c r="AL110" s="1170"/>
      <c r="AM110" s="1170"/>
    </row>
    <row r="111" spans="1:42" x14ac:dyDescent="0.3">
      <c r="A111" s="19">
        <v>1997</v>
      </c>
      <c r="B111" s="19"/>
      <c r="C111" s="1169">
        <v>2684106.85</v>
      </c>
      <c r="D111" s="1169">
        <v>6348627</v>
      </c>
      <c r="E111" s="1169">
        <v>2765535.15</v>
      </c>
      <c r="F111" s="1169">
        <v>2200331.17</v>
      </c>
      <c r="G111" s="1169">
        <v>3847919.67</v>
      </c>
      <c r="H111" s="1169">
        <v>2378144.81</v>
      </c>
      <c r="I111" s="1013">
        <v>1264753.51</v>
      </c>
      <c r="J111" s="1013">
        <v>1165950.6299999999</v>
      </c>
      <c r="K111" s="1013">
        <v>174160.76</v>
      </c>
      <c r="L111" s="1013">
        <v>143366.99</v>
      </c>
      <c r="M111" s="1013">
        <v>37136.33</v>
      </c>
      <c r="N111" s="1013">
        <v>4567.34</v>
      </c>
      <c r="O111" s="8"/>
      <c r="P111" s="424">
        <f t="shared" si="26"/>
        <v>0.32431123375337417</v>
      </c>
      <c r="Q111" s="406">
        <f t="shared" si="24"/>
        <v>11046.348202452504</v>
      </c>
      <c r="R111" s="8">
        <f t="shared" si="27"/>
        <v>2684.1068500000001</v>
      </c>
      <c r="S111" s="8">
        <f t="shared" si="27"/>
        <v>6348.6270000000004</v>
      </c>
      <c r="T111" s="8">
        <f t="shared" si="27"/>
        <v>2765.5351499999997</v>
      </c>
      <c r="U111" s="8">
        <f t="shared" si="27"/>
        <v>2200.3311699999999</v>
      </c>
      <c r="V111" s="8">
        <f t="shared" si="27"/>
        <v>3847.9196699999998</v>
      </c>
      <c r="W111" s="8">
        <f t="shared" si="27"/>
        <v>2378.1448100000002</v>
      </c>
      <c r="X111" s="8">
        <f t="shared" si="27"/>
        <v>1264.75351</v>
      </c>
      <c r="Y111" s="8">
        <f t="shared" si="27"/>
        <v>1165.9506299999998</v>
      </c>
      <c r="Z111" s="8">
        <f t="shared" si="27"/>
        <v>174.16076000000001</v>
      </c>
      <c r="AA111" s="8">
        <f t="shared" si="27"/>
        <v>143.36698999999999</v>
      </c>
      <c r="AB111" s="8">
        <f t="shared" si="27"/>
        <v>37.136330000000001</v>
      </c>
      <c r="AC111" s="8">
        <f t="shared" si="27"/>
        <v>4.5673399999999997</v>
      </c>
      <c r="AF111" s="1011">
        <v>12.49223325</v>
      </c>
      <c r="AG111" s="1011">
        <v>272657000</v>
      </c>
      <c r="AH111" s="406">
        <f t="shared" si="21"/>
        <v>34060.948412452504</v>
      </c>
      <c r="AI111" s="1159"/>
      <c r="AJ111" s="1159"/>
      <c r="AK111" s="1170"/>
      <c r="AL111" s="1170"/>
      <c r="AM111" s="1170"/>
    </row>
    <row r="112" spans="1:42" x14ac:dyDescent="0.3">
      <c r="A112" s="19">
        <v>1998</v>
      </c>
      <c r="B112" s="19"/>
      <c r="C112" s="1169">
        <v>3020144.37</v>
      </c>
      <c r="D112" s="1169">
        <v>6135976.8399999999</v>
      </c>
      <c r="E112" s="1169">
        <v>2808263.67</v>
      </c>
      <c r="F112" s="1169">
        <v>2191818.83</v>
      </c>
      <c r="G112" s="1169">
        <v>4106423.17</v>
      </c>
      <c r="H112" s="1169">
        <v>2448799.4500000002</v>
      </c>
      <c r="I112" s="1013">
        <v>1346722.89</v>
      </c>
      <c r="J112" s="1013">
        <v>1166678.8999999999</v>
      </c>
      <c r="K112" s="1013">
        <v>174790.46</v>
      </c>
      <c r="L112" s="1013">
        <v>150674.41</v>
      </c>
      <c r="M112" s="1013">
        <v>36824.910000000003</v>
      </c>
      <c r="N112" s="1013">
        <v>4590</v>
      </c>
      <c r="O112" s="8"/>
      <c r="P112" s="424">
        <f t="shared" si="26"/>
        <v>0.31205393080458266</v>
      </c>
      <c r="Q112" s="406">
        <f t="shared" si="24"/>
        <v>10701.253360163202</v>
      </c>
      <c r="R112" s="8">
        <f t="shared" si="27"/>
        <v>3020.14437</v>
      </c>
      <c r="S112" s="8">
        <f t="shared" si="27"/>
        <v>6135.9768400000003</v>
      </c>
      <c r="T112" s="8">
        <f t="shared" si="27"/>
        <v>2808.2636699999998</v>
      </c>
      <c r="U112" s="8">
        <f t="shared" si="27"/>
        <v>2191.8188300000002</v>
      </c>
      <c r="V112" s="8">
        <f t="shared" si="27"/>
        <v>4106.42317</v>
      </c>
      <c r="W112" s="8">
        <f t="shared" si="27"/>
        <v>2448.79945</v>
      </c>
      <c r="X112" s="8">
        <f t="shared" si="27"/>
        <v>1346.72289</v>
      </c>
      <c r="Y112" s="8">
        <f t="shared" si="27"/>
        <v>1166.6788999999999</v>
      </c>
      <c r="Z112" s="8">
        <f t="shared" si="27"/>
        <v>174.79046</v>
      </c>
      <c r="AA112" s="8">
        <f t="shared" si="27"/>
        <v>150.67440999999999</v>
      </c>
      <c r="AB112" s="8">
        <f t="shared" si="27"/>
        <v>36.824910000000003</v>
      </c>
      <c r="AC112" s="8">
        <f t="shared" si="27"/>
        <v>4.59</v>
      </c>
      <c r="AF112" s="1011">
        <v>12.431562080000001</v>
      </c>
      <c r="AG112" s="1011">
        <v>275854000</v>
      </c>
      <c r="AH112" s="406">
        <f t="shared" si="21"/>
        <v>34292.961260163203</v>
      </c>
      <c r="AI112" s="1159"/>
      <c r="AJ112" s="1159"/>
      <c r="AK112" s="1170"/>
      <c r="AL112" s="1170"/>
      <c r="AM112" s="1170"/>
    </row>
    <row r="113" spans="1:39" x14ac:dyDescent="0.3">
      <c r="A113" s="19">
        <v>1999</v>
      </c>
      <c r="B113" s="19"/>
      <c r="C113" s="1169">
        <v>3167010.41</v>
      </c>
      <c r="D113" s="1169">
        <v>6237578.71</v>
      </c>
      <c r="E113" s="1169">
        <v>2712077.1</v>
      </c>
      <c r="F113" s="1169">
        <v>2229422.9700000002</v>
      </c>
      <c r="G113" s="1169">
        <v>4347535.5599999996</v>
      </c>
      <c r="H113" s="1169">
        <v>2537497.2799999998</v>
      </c>
      <c r="I113" s="1013">
        <v>1325517.93</v>
      </c>
      <c r="J113" s="1013">
        <v>1215839.08</v>
      </c>
      <c r="K113" s="1013">
        <v>186144.18</v>
      </c>
      <c r="L113" s="1013">
        <v>147301.75</v>
      </c>
      <c r="M113" s="1013">
        <v>36223.47</v>
      </c>
      <c r="N113" s="1013">
        <v>4212.1400000000003</v>
      </c>
      <c r="O113" s="8"/>
      <c r="P113" s="424">
        <f t="shared" si="26"/>
        <v>0.30056912207265563</v>
      </c>
      <c r="Q113" s="406">
        <f t="shared" si="24"/>
        <v>10376.508429663998</v>
      </c>
      <c r="R113" s="8">
        <f t="shared" si="27"/>
        <v>3167.0104100000003</v>
      </c>
      <c r="S113" s="8">
        <f t="shared" si="27"/>
        <v>6237.5787099999998</v>
      </c>
      <c r="T113" s="8">
        <f t="shared" si="27"/>
        <v>2712.0771</v>
      </c>
      <c r="U113" s="8">
        <f t="shared" si="27"/>
        <v>2229.4229700000001</v>
      </c>
      <c r="V113" s="8">
        <f t="shared" si="27"/>
        <v>4347.5355599999994</v>
      </c>
      <c r="W113" s="8">
        <f t="shared" si="27"/>
        <v>2537.4972799999996</v>
      </c>
      <c r="X113" s="8">
        <f t="shared" si="27"/>
        <v>1325.51793</v>
      </c>
      <c r="Y113" s="8">
        <f t="shared" si="27"/>
        <v>1215.83908</v>
      </c>
      <c r="Z113" s="8">
        <f t="shared" si="27"/>
        <v>186.14418000000001</v>
      </c>
      <c r="AA113" s="8">
        <f t="shared" si="27"/>
        <v>147.30175</v>
      </c>
      <c r="AB113" s="8">
        <f t="shared" si="27"/>
        <v>36.223469999999999</v>
      </c>
      <c r="AC113" s="8">
        <f t="shared" si="27"/>
        <v>4.2121400000000007</v>
      </c>
      <c r="AF113" s="1011">
        <v>12.37201441</v>
      </c>
      <c r="AG113" s="1011">
        <v>279040000</v>
      </c>
      <c r="AH113" s="406">
        <f t="shared" si="21"/>
        <v>34522.869009663998</v>
      </c>
      <c r="AI113" s="1159"/>
      <c r="AJ113" s="1159"/>
      <c r="AK113" s="1170"/>
      <c r="AL113" s="1170"/>
      <c r="AM113" s="1170"/>
    </row>
    <row r="114" spans="1:39" x14ac:dyDescent="0.3">
      <c r="A114" s="19">
        <v>2000</v>
      </c>
      <c r="B114" s="19"/>
      <c r="C114" s="1169">
        <v>3112905.64</v>
      </c>
      <c r="D114" s="1169">
        <v>6392052.9900000002</v>
      </c>
      <c r="E114" s="1169">
        <v>2644513.5499999998</v>
      </c>
      <c r="F114" s="1169">
        <v>2273717.83</v>
      </c>
      <c r="G114" s="1169">
        <v>4611366.43</v>
      </c>
      <c r="H114" s="1169">
        <v>2670735.7799999998</v>
      </c>
      <c r="I114" s="1013">
        <v>1341061.1000000001</v>
      </c>
      <c r="J114" s="1013">
        <v>1271965.69</v>
      </c>
      <c r="K114" s="1013">
        <v>181750.27</v>
      </c>
      <c r="L114" s="1013">
        <v>157703.73000000001</v>
      </c>
      <c r="M114" s="1013">
        <v>35197.29</v>
      </c>
      <c r="N114" s="1013">
        <v>3854.24</v>
      </c>
      <c r="O114" s="8"/>
      <c r="P114" s="424">
        <f t="shared" si="26"/>
        <v>0.2894524411280967</v>
      </c>
      <c r="Q114" s="406">
        <f t="shared" si="24"/>
        <v>10060.630090073981</v>
      </c>
      <c r="R114" s="8">
        <f t="shared" si="27"/>
        <v>3112.9056399999999</v>
      </c>
      <c r="S114" s="8">
        <f t="shared" si="27"/>
        <v>6392.0529900000001</v>
      </c>
      <c r="T114" s="8">
        <f t="shared" si="27"/>
        <v>2644.5135499999997</v>
      </c>
      <c r="U114" s="8">
        <f t="shared" si="27"/>
        <v>2273.71783</v>
      </c>
      <c r="V114" s="8">
        <f t="shared" si="27"/>
        <v>4611.36643</v>
      </c>
      <c r="W114" s="8">
        <f t="shared" si="27"/>
        <v>2670.73578</v>
      </c>
      <c r="X114" s="8">
        <f t="shared" si="27"/>
        <v>1341.0611000000001</v>
      </c>
      <c r="Y114" s="8">
        <f t="shared" si="27"/>
        <v>1271.96569</v>
      </c>
      <c r="Z114" s="8">
        <f t="shared" si="27"/>
        <v>181.75027</v>
      </c>
      <c r="AA114" s="8">
        <f t="shared" si="27"/>
        <v>157.70373000000001</v>
      </c>
      <c r="AB114" s="8">
        <f t="shared" si="27"/>
        <v>35.197290000000002</v>
      </c>
      <c r="AC114" s="8">
        <f t="shared" si="27"/>
        <v>3.8542399999999999</v>
      </c>
      <c r="AF114" s="1011">
        <v>12.31824413</v>
      </c>
      <c r="AG114" s="1011">
        <v>282162411</v>
      </c>
      <c r="AH114" s="406">
        <f t="shared" si="21"/>
        <v>34757.454630073982</v>
      </c>
      <c r="AI114" s="1159"/>
      <c r="AJ114" s="1159"/>
      <c r="AK114" s="1170"/>
      <c r="AL114" s="1170"/>
      <c r="AM114" s="1170"/>
    </row>
    <row r="115" spans="1:39" x14ac:dyDescent="0.3">
      <c r="A115" s="19">
        <v>2001</v>
      </c>
      <c r="B115" s="19"/>
      <c r="C115" s="1169">
        <v>3538310.63</v>
      </c>
      <c r="D115" s="1169">
        <v>6642534.7300000004</v>
      </c>
      <c r="E115" s="1169">
        <v>2582214.7999999998</v>
      </c>
      <c r="F115" s="1169">
        <v>2325518.89</v>
      </c>
      <c r="G115" s="1169">
        <v>4758710.97</v>
      </c>
      <c r="H115" s="1169">
        <v>2654298.58</v>
      </c>
      <c r="I115" s="1013">
        <v>1161173.05</v>
      </c>
      <c r="J115" s="1013">
        <v>1114002.96</v>
      </c>
      <c r="K115" s="1013">
        <v>162717.19</v>
      </c>
      <c r="L115" s="1013">
        <v>140064.47</v>
      </c>
      <c r="M115" s="1013">
        <v>35744.5</v>
      </c>
      <c r="N115" s="1013">
        <v>4560.16</v>
      </c>
      <c r="O115" s="8"/>
      <c r="P115" s="424">
        <f t="shared" si="26"/>
        <v>0.28311804034864418</v>
      </c>
      <c r="Q115" s="406">
        <f t="shared" si="24"/>
        <v>9920.5774024644452</v>
      </c>
      <c r="R115" s="8">
        <f t="shared" si="27"/>
        <v>3538.3106299999999</v>
      </c>
      <c r="S115" s="8">
        <f t="shared" si="27"/>
        <v>6642.5347300000003</v>
      </c>
      <c r="T115" s="8">
        <f t="shared" si="27"/>
        <v>2582.2147999999997</v>
      </c>
      <c r="U115" s="8">
        <f t="shared" si="27"/>
        <v>2325.5188900000003</v>
      </c>
      <c r="V115" s="8">
        <f t="shared" si="27"/>
        <v>4758.7109700000001</v>
      </c>
      <c r="W115" s="8">
        <f t="shared" si="27"/>
        <v>2654.2985800000001</v>
      </c>
      <c r="X115" s="8">
        <f t="shared" si="27"/>
        <v>1161.1730500000001</v>
      </c>
      <c r="Y115" s="8">
        <f t="shared" si="27"/>
        <v>1114.00296</v>
      </c>
      <c r="Z115" s="8">
        <f t="shared" si="27"/>
        <v>162.71719000000002</v>
      </c>
      <c r="AA115" s="8">
        <f t="shared" si="27"/>
        <v>140.06447</v>
      </c>
      <c r="AB115" s="8">
        <f t="shared" si="27"/>
        <v>35.744500000000002</v>
      </c>
      <c r="AC115" s="8">
        <f t="shared" si="27"/>
        <v>4.5601599999999998</v>
      </c>
      <c r="AF115" s="1011">
        <v>12.296226559999999</v>
      </c>
      <c r="AG115" s="1011">
        <v>284968955</v>
      </c>
      <c r="AH115" s="406">
        <f t="shared" si="21"/>
        <v>35040.428332464449</v>
      </c>
      <c r="AI115" s="1159"/>
      <c r="AJ115" s="1159"/>
      <c r="AK115" s="1170"/>
      <c r="AL115" s="1170"/>
      <c r="AM115" s="1170"/>
    </row>
    <row r="116" spans="1:39" x14ac:dyDescent="0.3">
      <c r="A116" s="19">
        <v>2002</v>
      </c>
      <c r="B116" s="19"/>
      <c r="C116" s="1169">
        <v>4004305.81</v>
      </c>
      <c r="D116" s="1169">
        <v>6643699.54</v>
      </c>
      <c r="E116" s="1169">
        <v>2622413.5299999998</v>
      </c>
      <c r="F116" s="1169">
        <v>2315106.39</v>
      </c>
      <c r="G116" s="1169">
        <v>4489917.79</v>
      </c>
      <c r="H116" s="1169">
        <v>2525518.42</v>
      </c>
      <c r="I116" s="1013">
        <v>1174005.07</v>
      </c>
      <c r="J116" s="1013">
        <v>1044587.11</v>
      </c>
      <c r="K116" s="1013">
        <v>158499.04999999999</v>
      </c>
      <c r="L116" s="1013">
        <v>135202.53</v>
      </c>
      <c r="M116" s="1013">
        <v>37214.44</v>
      </c>
      <c r="N116" s="1013">
        <v>4701.32</v>
      </c>
      <c r="O116" s="8"/>
      <c r="P116" s="424">
        <f t="shared" si="26"/>
        <v>0.28780013656923292</v>
      </c>
      <c r="Q116" s="406">
        <f t="shared" si="24"/>
        <v>10165.210667617845</v>
      </c>
      <c r="R116" s="8">
        <f t="shared" si="27"/>
        <v>4004.3058099999998</v>
      </c>
      <c r="S116" s="8">
        <f t="shared" si="27"/>
        <v>6643.6995399999996</v>
      </c>
      <c r="T116" s="8">
        <f t="shared" si="27"/>
        <v>2622.4135299999998</v>
      </c>
      <c r="U116" s="8">
        <f t="shared" si="27"/>
        <v>2315.1063899999999</v>
      </c>
      <c r="V116" s="8">
        <f t="shared" si="27"/>
        <v>4489.9177900000004</v>
      </c>
      <c r="W116" s="8">
        <f t="shared" si="27"/>
        <v>2525.5184199999999</v>
      </c>
      <c r="X116" s="8">
        <f t="shared" si="27"/>
        <v>1174.0050700000002</v>
      </c>
      <c r="Y116" s="8">
        <f t="shared" si="27"/>
        <v>1044.5871099999999</v>
      </c>
      <c r="Z116" s="8">
        <f t="shared" si="27"/>
        <v>158.49904999999998</v>
      </c>
      <c r="AA116" s="8">
        <f t="shared" si="27"/>
        <v>135.20253</v>
      </c>
      <c r="AB116" s="8">
        <f t="shared" si="27"/>
        <v>37.214440000000003</v>
      </c>
      <c r="AC116" s="8">
        <f t="shared" si="27"/>
        <v>4.7013199999999999</v>
      </c>
      <c r="AF116" s="1011">
        <v>12.280002769999999</v>
      </c>
      <c r="AG116" s="1011">
        <v>287625193</v>
      </c>
      <c r="AH116" s="406">
        <f t="shared" si="21"/>
        <v>35320.381667617839</v>
      </c>
      <c r="AI116" s="1159"/>
      <c r="AJ116" s="1159"/>
      <c r="AK116" s="1170"/>
      <c r="AL116" s="1170"/>
      <c r="AM116" s="1170"/>
    </row>
    <row r="117" spans="1:39" x14ac:dyDescent="0.3">
      <c r="A117" s="19">
        <v>2003</v>
      </c>
      <c r="B117" s="19"/>
      <c r="C117" s="1169">
        <v>4144094.3</v>
      </c>
      <c r="D117" s="1169">
        <v>6681321.3099999996</v>
      </c>
      <c r="E117" s="1169">
        <v>2589383.84</v>
      </c>
      <c r="F117" s="1169">
        <v>2376124.64</v>
      </c>
      <c r="G117" s="1169">
        <v>4556588.0999999996</v>
      </c>
      <c r="H117" s="1169">
        <v>2548143.7000000002</v>
      </c>
      <c r="I117" s="1013">
        <v>1202079.8700000001</v>
      </c>
      <c r="J117" s="1013">
        <v>1031883.94</v>
      </c>
      <c r="K117" s="1013">
        <v>146702.9</v>
      </c>
      <c r="L117" s="1013">
        <v>147921.96</v>
      </c>
      <c r="M117" s="1013">
        <v>37805.32</v>
      </c>
      <c r="N117" s="1013">
        <v>5044.59</v>
      </c>
      <c r="O117" s="8"/>
      <c r="P117" s="424">
        <f t="shared" si="26"/>
        <v>0.28485233119850489</v>
      </c>
      <c r="Q117" s="406">
        <f t="shared" si="24"/>
        <v>10143.864750044595</v>
      </c>
      <c r="R117" s="8">
        <f t="shared" si="27"/>
        <v>4144.0942999999997</v>
      </c>
      <c r="S117" s="8">
        <f t="shared" si="27"/>
        <v>6681.3213099999994</v>
      </c>
      <c r="T117" s="8">
        <f t="shared" si="27"/>
        <v>2589.38384</v>
      </c>
      <c r="U117" s="8">
        <f t="shared" ref="U117:AC129" si="28">F117/1000</f>
        <v>2376.12464</v>
      </c>
      <c r="V117" s="8">
        <f t="shared" si="28"/>
        <v>4556.5880999999999</v>
      </c>
      <c r="W117" s="8">
        <f t="shared" si="28"/>
        <v>2548.1437000000001</v>
      </c>
      <c r="X117" s="8">
        <f t="shared" si="28"/>
        <v>1202.07987</v>
      </c>
      <c r="Y117" s="8">
        <f t="shared" si="28"/>
        <v>1031.8839399999999</v>
      </c>
      <c r="Z117" s="8">
        <f t="shared" si="28"/>
        <v>146.7029</v>
      </c>
      <c r="AA117" s="8">
        <f t="shared" si="28"/>
        <v>147.92195999999998</v>
      </c>
      <c r="AB117" s="8">
        <f t="shared" si="28"/>
        <v>37.805320000000002</v>
      </c>
      <c r="AC117" s="8">
        <f t="shared" si="28"/>
        <v>5.0445900000000004</v>
      </c>
      <c r="AF117" s="1011">
        <v>12.27507254</v>
      </c>
      <c r="AG117" s="1011">
        <v>290107933</v>
      </c>
      <c r="AH117" s="406">
        <f t="shared" si="21"/>
        <v>35610.959220044599</v>
      </c>
      <c r="AI117" s="1159"/>
      <c r="AJ117" s="1159"/>
      <c r="AK117" s="1170"/>
      <c r="AL117" s="1170"/>
      <c r="AM117" s="1170"/>
    </row>
    <row r="118" spans="1:39" x14ac:dyDescent="0.3">
      <c r="A118" s="19">
        <v>2004</v>
      </c>
      <c r="B118" s="19"/>
      <c r="C118" s="1169">
        <v>4146281.11</v>
      </c>
      <c r="D118" s="1169">
        <v>6597237.5800000001</v>
      </c>
      <c r="E118" s="1169">
        <v>2522876.46</v>
      </c>
      <c r="F118" s="1169">
        <v>2331870.98</v>
      </c>
      <c r="G118" s="1169">
        <v>4896829.6100000003</v>
      </c>
      <c r="H118" s="1169">
        <v>2715821.03</v>
      </c>
      <c r="I118" s="1013">
        <v>1374167.72</v>
      </c>
      <c r="J118" s="1013">
        <v>1138852.53</v>
      </c>
      <c r="K118" s="1013">
        <v>182618.83</v>
      </c>
      <c r="L118" s="1013">
        <v>161321.84</v>
      </c>
      <c r="M118" s="1013">
        <v>42069.440000000002</v>
      </c>
      <c r="N118" s="1013">
        <v>5283.5</v>
      </c>
      <c r="O118" s="8"/>
      <c r="P118" s="424">
        <f t="shared" si="26"/>
        <v>0.27413278790971357</v>
      </c>
      <c r="Q118" s="406">
        <f t="shared" si="24"/>
        <v>9862.7419178930686</v>
      </c>
      <c r="R118" s="8">
        <f t="shared" ref="R118:T129" si="29">C118/1000</f>
        <v>4146.2811099999999</v>
      </c>
      <c r="S118" s="8">
        <f t="shared" si="29"/>
        <v>6597.23758</v>
      </c>
      <c r="T118" s="8">
        <f t="shared" si="29"/>
        <v>2522.87646</v>
      </c>
      <c r="U118" s="8">
        <f t="shared" si="28"/>
        <v>2331.8709800000001</v>
      </c>
      <c r="V118" s="8">
        <f t="shared" si="28"/>
        <v>4896.8296100000007</v>
      </c>
      <c r="W118" s="8">
        <f t="shared" si="28"/>
        <v>2715.8210299999996</v>
      </c>
      <c r="X118" s="8">
        <f t="shared" si="28"/>
        <v>1374.1677199999999</v>
      </c>
      <c r="Y118" s="8">
        <f t="shared" si="28"/>
        <v>1138.8525300000001</v>
      </c>
      <c r="Z118" s="8">
        <f t="shared" si="28"/>
        <v>182.61882999999997</v>
      </c>
      <c r="AA118" s="8">
        <f t="shared" si="28"/>
        <v>161.32184000000001</v>
      </c>
      <c r="AB118" s="8">
        <f t="shared" si="28"/>
        <v>42.06944</v>
      </c>
      <c r="AC118" s="8">
        <f t="shared" si="28"/>
        <v>5.2835000000000001</v>
      </c>
      <c r="AF118" s="1011">
        <v>12.2873366</v>
      </c>
      <c r="AG118" s="1011">
        <v>292805298</v>
      </c>
      <c r="AH118" s="406">
        <f t="shared" si="21"/>
        <v>35977.97254789307</v>
      </c>
      <c r="AI118" s="1159"/>
      <c r="AJ118" s="1159"/>
      <c r="AK118" s="1170"/>
      <c r="AL118" s="1170"/>
      <c r="AM118" s="1170"/>
    </row>
    <row r="119" spans="1:39" x14ac:dyDescent="0.3">
      <c r="A119" s="19">
        <v>2005</v>
      </c>
      <c r="B119" s="19"/>
      <c r="C119" s="1169">
        <v>4073587.61</v>
      </c>
      <c r="D119" s="1169">
        <v>6338120.9699999997</v>
      </c>
      <c r="E119" s="1169">
        <v>2523834.2599999998</v>
      </c>
      <c r="F119" s="1169">
        <v>2488850.0699999998</v>
      </c>
      <c r="G119" s="1169">
        <v>5145556.5</v>
      </c>
      <c r="H119" s="1169">
        <v>2959426.81</v>
      </c>
      <c r="I119" s="1013">
        <v>1521197.81</v>
      </c>
      <c r="J119" s="1013">
        <v>1273100.8799999999</v>
      </c>
      <c r="K119" s="1013">
        <v>181814.37</v>
      </c>
      <c r="L119" s="1013">
        <v>170820.38</v>
      </c>
      <c r="M119" s="1013">
        <v>44207.13</v>
      </c>
      <c r="N119" s="1013">
        <v>5624.14</v>
      </c>
      <c r="O119" s="8"/>
      <c r="P119" s="424">
        <f t="shared" si="26"/>
        <v>0.26597230741391331</v>
      </c>
      <c r="Q119" s="406">
        <f t="shared" si="24"/>
        <v>9684.1215164206587</v>
      </c>
      <c r="R119" s="8">
        <f t="shared" si="29"/>
        <v>4073.58761</v>
      </c>
      <c r="S119" s="8">
        <f t="shared" si="29"/>
        <v>6338.1209699999999</v>
      </c>
      <c r="T119" s="8">
        <f t="shared" si="29"/>
        <v>2523.8342599999996</v>
      </c>
      <c r="U119" s="8">
        <f t="shared" si="28"/>
        <v>2488.85007</v>
      </c>
      <c r="V119" s="8">
        <f t="shared" si="28"/>
        <v>5145.5564999999997</v>
      </c>
      <c r="W119" s="8">
        <f t="shared" si="28"/>
        <v>2959.4268099999999</v>
      </c>
      <c r="X119" s="8">
        <f t="shared" si="28"/>
        <v>1521.1978100000001</v>
      </c>
      <c r="Y119" s="8">
        <f t="shared" si="28"/>
        <v>1273.10088</v>
      </c>
      <c r="Z119" s="8">
        <f t="shared" si="28"/>
        <v>181.81437</v>
      </c>
      <c r="AA119" s="8">
        <f t="shared" si="28"/>
        <v>170.82038</v>
      </c>
      <c r="AB119" s="8">
        <f t="shared" si="28"/>
        <v>44.207129999999999</v>
      </c>
      <c r="AC119" s="8">
        <f t="shared" si="28"/>
        <v>5.6241400000000006</v>
      </c>
      <c r="AF119" s="1011">
        <v>12.32088572</v>
      </c>
      <c r="AG119" s="1011">
        <v>295516599</v>
      </c>
      <c r="AH119" s="406">
        <f t="shared" si="21"/>
        <v>36410.26244642066</v>
      </c>
      <c r="AI119" s="1159"/>
      <c r="AJ119" s="1159"/>
      <c r="AK119" s="1170"/>
      <c r="AL119" s="1170"/>
      <c r="AM119" s="1170"/>
    </row>
    <row r="120" spans="1:39" x14ac:dyDescent="0.3">
      <c r="A120" s="19">
        <v>2006</v>
      </c>
      <c r="B120" s="19"/>
      <c r="C120" s="1169">
        <v>4881396.78</v>
      </c>
      <c r="D120" s="1169">
        <v>6195896.2199999997</v>
      </c>
      <c r="E120" s="1169">
        <v>2630219.86</v>
      </c>
      <c r="F120" s="1169">
        <v>2492524.0299999998</v>
      </c>
      <c r="G120" s="1169">
        <v>5613344.29</v>
      </c>
      <c r="H120" s="1169">
        <v>3216029.99</v>
      </c>
      <c r="I120" s="1013">
        <v>1615669.5</v>
      </c>
      <c r="J120" s="1013">
        <v>1430525.16</v>
      </c>
      <c r="K120" s="1013">
        <v>193464.64</v>
      </c>
      <c r="L120" s="1013">
        <v>183507.64</v>
      </c>
      <c r="M120" s="1013">
        <v>46650.55</v>
      </c>
      <c r="N120" s="1013">
        <v>6001</v>
      </c>
      <c r="O120" s="8"/>
      <c r="P120" s="424">
        <f t="shared" si="26"/>
        <v>0.22897958068312083</v>
      </c>
      <c r="Q120" s="406">
        <f t="shared" si="24"/>
        <v>8465.554700361703</v>
      </c>
      <c r="R120" s="8">
        <f t="shared" si="29"/>
        <v>4881.39678</v>
      </c>
      <c r="S120" s="8">
        <f t="shared" si="29"/>
        <v>6195.8962199999996</v>
      </c>
      <c r="T120" s="8">
        <f t="shared" si="29"/>
        <v>2630.2198599999997</v>
      </c>
      <c r="U120" s="8">
        <f t="shared" si="28"/>
        <v>2492.5240299999996</v>
      </c>
      <c r="V120" s="8">
        <f t="shared" si="28"/>
        <v>5613.34429</v>
      </c>
      <c r="W120" s="8">
        <f t="shared" si="28"/>
        <v>3216.02999</v>
      </c>
      <c r="X120" s="8">
        <f t="shared" si="28"/>
        <v>1615.6695</v>
      </c>
      <c r="Y120" s="8">
        <f t="shared" si="28"/>
        <v>1430.5251599999999</v>
      </c>
      <c r="Z120" s="8">
        <f t="shared" si="28"/>
        <v>193.46464</v>
      </c>
      <c r="AA120" s="8">
        <f t="shared" si="28"/>
        <v>183.50764000000001</v>
      </c>
      <c r="AB120" s="8">
        <f t="shared" si="28"/>
        <v>46.650550000000003</v>
      </c>
      <c r="AC120" s="8">
        <f t="shared" si="28"/>
        <v>6.0010000000000003</v>
      </c>
      <c r="AF120" s="1011">
        <v>12.39050716</v>
      </c>
      <c r="AG120" s="1011">
        <v>298379912</v>
      </c>
      <c r="AH120" s="406">
        <f t="shared" si="21"/>
        <v>36970.7843603617</v>
      </c>
      <c r="AI120" s="1159"/>
      <c r="AJ120" s="1159"/>
      <c r="AK120" s="1170"/>
      <c r="AL120" s="1170"/>
      <c r="AM120" s="1170"/>
    </row>
    <row r="121" spans="1:39" x14ac:dyDescent="0.3">
      <c r="A121" s="19">
        <v>2007</v>
      </c>
      <c r="B121" s="19"/>
      <c r="C121" s="1169">
        <v>4071389.73</v>
      </c>
      <c r="D121" s="1169">
        <v>6026498.7199999997</v>
      </c>
      <c r="E121" s="1169">
        <v>2561023.35</v>
      </c>
      <c r="F121" s="1169">
        <v>2601670.96</v>
      </c>
      <c r="G121" s="1169">
        <v>6263729.2999999998</v>
      </c>
      <c r="H121" s="1169">
        <v>3534754.33</v>
      </c>
      <c r="I121" s="1013">
        <v>1850673.39</v>
      </c>
      <c r="J121" s="1013">
        <v>1609111.49</v>
      </c>
      <c r="K121" s="1013">
        <v>229338.6</v>
      </c>
      <c r="L121" s="1013">
        <v>193588.27</v>
      </c>
      <c r="M121" s="1013">
        <v>49997.45</v>
      </c>
      <c r="N121" s="1013">
        <v>6523</v>
      </c>
      <c r="O121" s="8"/>
      <c r="P121" s="424">
        <f t="shared" si="26"/>
        <v>0.22895174096290019</v>
      </c>
      <c r="Q121" s="406">
        <f t="shared" si="24"/>
        <v>8610.6295803503781</v>
      </c>
      <c r="R121" s="8">
        <f t="shared" si="29"/>
        <v>4071.3897299999999</v>
      </c>
      <c r="S121" s="8">
        <f t="shared" si="29"/>
        <v>6026.4987199999996</v>
      </c>
      <c r="T121" s="8">
        <f t="shared" si="29"/>
        <v>2561.0233499999999</v>
      </c>
      <c r="U121" s="8">
        <f t="shared" si="28"/>
        <v>2601.6709599999999</v>
      </c>
      <c r="V121" s="8">
        <f t="shared" si="28"/>
        <v>6263.7293</v>
      </c>
      <c r="W121" s="8">
        <f t="shared" si="28"/>
        <v>3534.7543300000002</v>
      </c>
      <c r="X121" s="8">
        <f t="shared" si="28"/>
        <v>1850.6733899999999</v>
      </c>
      <c r="Y121" s="8">
        <f t="shared" si="28"/>
        <v>1609.11149</v>
      </c>
      <c r="Z121" s="8">
        <f t="shared" si="28"/>
        <v>229.33860000000001</v>
      </c>
      <c r="AA121" s="8">
        <f t="shared" si="28"/>
        <v>193.58826999999999</v>
      </c>
      <c r="AB121" s="8">
        <f t="shared" si="28"/>
        <v>49.997450000000001</v>
      </c>
      <c r="AC121" s="8">
        <f t="shared" si="28"/>
        <v>6.5229999999999997</v>
      </c>
      <c r="AF121" s="1011">
        <v>12.485070370000001</v>
      </c>
      <c r="AG121" s="1011">
        <v>301231207</v>
      </c>
      <c r="AH121" s="406">
        <f t="shared" si="21"/>
        <v>37608.928170350373</v>
      </c>
      <c r="AI121" s="1159"/>
      <c r="AJ121" s="1159"/>
      <c r="AK121" s="1170"/>
      <c r="AL121" s="1170"/>
      <c r="AM121" s="1170"/>
    </row>
    <row r="122" spans="1:39" x14ac:dyDescent="0.3">
      <c r="A122" s="19">
        <v>2008</v>
      </c>
      <c r="B122" s="19"/>
      <c r="C122" s="1169">
        <v>5022189.26</v>
      </c>
      <c r="D122" s="1169">
        <v>6330116.5300000003</v>
      </c>
      <c r="E122" s="1169">
        <v>2673755.73</v>
      </c>
      <c r="F122" s="1169">
        <v>2696085.16</v>
      </c>
      <c r="G122" s="1169">
        <v>6414123.8899999997</v>
      </c>
      <c r="H122" s="1169">
        <v>3621536.47</v>
      </c>
      <c r="I122" s="1013">
        <v>1697493.48</v>
      </c>
      <c r="J122" s="1013">
        <v>1424819.56</v>
      </c>
      <c r="K122" s="1013">
        <v>191047.71</v>
      </c>
      <c r="L122" s="1013">
        <v>176913.55</v>
      </c>
      <c r="M122" s="1013">
        <v>45922.37</v>
      </c>
      <c r="N122" s="1013">
        <v>5990.09</v>
      </c>
      <c r="O122" s="8"/>
      <c r="P122" s="424">
        <f t="shared" si="26"/>
        <v>0.21011232715638528</v>
      </c>
      <c r="Q122" s="406">
        <f t="shared" si="24"/>
        <v>8059.8829795923302</v>
      </c>
      <c r="R122" s="8">
        <f t="shared" si="29"/>
        <v>5022.1892600000001</v>
      </c>
      <c r="S122" s="8">
        <f t="shared" si="29"/>
        <v>6330.1165300000002</v>
      </c>
      <c r="T122" s="8">
        <f t="shared" si="29"/>
        <v>2673.7557299999999</v>
      </c>
      <c r="U122" s="8">
        <f t="shared" si="28"/>
        <v>2696.0851600000001</v>
      </c>
      <c r="V122" s="8">
        <f t="shared" si="28"/>
        <v>6414.1238899999998</v>
      </c>
      <c r="W122" s="8">
        <f t="shared" si="28"/>
        <v>3621.53647</v>
      </c>
      <c r="X122" s="8">
        <f t="shared" si="28"/>
        <v>1697.4934800000001</v>
      </c>
      <c r="Y122" s="8">
        <f t="shared" si="28"/>
        <v>1424.8195600000001</v>
      </c>
      <c r="Z122" s="8">
        <f t="shared" si="28"/>
        <v>191.04771</v>
      </c>
      <c r="AA122" s="8">
        <f t="shared" si="28"/>
        <v>176.91354999999999</v>
      </c>
      <c r="AB122" s="8">
        <f t="shared" si="28"/>
        <v>45.922370000000001</v>
      </c>
      <c r="AC122" s="8">
        <f t="shared" si="28"/>
        <v>5.9900900000000004</v>
      </c>
      <c r="AF122" s="1011">
        <v>12.614481400000001</v>
      </c>
      <c r="AG122" s="1011">
        <v>304093966</v>
      </c>
      <c r="AH122" s="406">
        <f t="shared" si="21"/>
        <v>38359.876779592327</v>
      </c>
      <c r="AI122" s="1159"/>
      <c r="AJ122" s="1159"/>
      <c r="AK122" s="1170"/>
      <c r="AL122" s="1170"/>
      <c r="AM122" s="1170"/>
    </row>
    <row r="123" spans="1:39" x14ac:dyDescent="0.3">
      <c r="A123" s="19">
        <v>2009</v>
      </c>
      <c r="B123" s="19"/>
      <c r="C123" s="1169">
        <v>5686524.6399999997</v>
      </c>
      <c r="D123" s="1169">
        <v>6261258.4500000002</v>
      </c>
      <c r="E123" s="1169">
        <v>2724159.94</v>
      </c>
      <c r="F123" s="1169">
        <v>2786942.12</v>
      </c>
      <c r="G123" s="1169">
        <v>6506926.9000000004</v>
      </c>
      <c r="H123" s="1169">
        <v>3623703.43</v>
      </c>
      <c r="I123" s="1013">
        <v>1638776.34</v>
      </c>
      <c r="J123" s="1013">
        <v>1318315.75</v>
      </c>
      <c r="K123" s="1013">
        <v>184099.09</v>
      </c>
      <c r="L123" s="1013">
        <v>158219.70000000001</v>
      </c>
      <c r="M123" s="1013">
        <v>42501.99</v>
      </c>
      <c r="N123" s="1013">
        <v>5644.33</v>
      </c>
      <c r="O123" s="8"/>
      <c r="P123" s="424">
        <f t="shared" si="26"/>
        <v>0.21145560708910974</v>
      </c>
      <c r="Q123" s="406">
        <f t="shared" si="24"/>
        <v>8296.0674680094671</v>
      </c>
      <c r="R123" s="8">
        <f t="shared" si="29"/>
        <v>5686.5246399999996</v>
      </c>
      <c r="S123" s="8">
        <f t="shared" si="29"/>
        <v>6261.2584500000003</v>
      </c>
      <c r="T123" s="8">
        <f t="shared" si="29"/>
        <v>2724.15994</v>
      </c>
      <c r="U123" s="8">
        <f t="shared" si="28"/>
        <v>2786.9421200000002</v>
      </c>
      <c r="V123" s="8">
        <f t="shared" si="28"/>
        <v>6506.9269000000004</v>
      </c>
      <c r="W123" s="8">
        <f t="shared" si="28"/>
        <v>3623.70343</v>
      </c>
      <c r="X123" s="8">
        <f t="shared" si="28"/>
        <v>1638.7763400000001</v>
      </c>
      <c r="Y123" s="8">
        <f t="shared" si="28"/>
        <v>1318.31575</v>
      </c>
      <c r="Z123" s="8">
        <f t="shared" si="28"/>
        <v>184.09908999999999</v>
      </c>
      <c r="AA123" s="8">
        <f t="shared" si="28"/>
        <v>158.21970000000002</v>
      </c>
      <c r="AB123" s="8">
        <f t="shared" si="28"/>
        <v>42.501989999999999</v>
      </c>
      <c r="AC123" s="8">
        <f t="shared" si="28"/>
        <v>5.6443300000000001</v>
      </c>
      <c r="AF123" s="1011">
        <v>12.78904215</v>
      </c>
      <c r="AG123" s="1011">
        <v>306771529</v>
      </c>
      <c r="AH123" s="406">
        <f t="shared" si="21"/>
        <v>39233.140148009472</v>
      </c>
      <c r="AI123" s="1159"/>
      <c r="AJ123" s="1159"/>
      <c r="AK123" s="1170"/>
      <c r="AL123" s="1170"/>
      <c r="AM123" s="1170"/>
    </row>
    <row r="124" spans="1:39" x14ac:dyDescent="0.3">
      <c r="A124" s="19">
        <v>2010</v>
      </c>
      <c r="B124" s="19"/>
      <c r="C124" s="1169">
        <v>5652335.9100000001</v>
      </c>
      <c r="D124" s="1169">
        <v>6101805.5999999996</v>
      </c>
      <c r="E124" s="1169">
        <v>2819180.75</v>
      </c>
      <c r="F124" s="1169">
        <v>2873031.12</v>
      </c>
      <c r="G124" s="1169">
        <v>6777264.0499999998</v>
      </c>
      <c r="H124" s="1169">
        <v>3841210.47</v>
      </c>
      <c r="I124" s="1013">
        <v>1862934.79</v>
      </c>
      <c r="J124" s="1013">
        <v>1493688.81</v>
      </c>
      <c r="K124" s="1013">
        <v>197737.56</v>
      </c>
      <c r="L124" s="1013">
        <v>175338.23999999999</v>
      </c>
      <c r="M124" s="1013">
        <v>45607.12</v>
      </c>
      <c r="N124" s="1013">
        <v>5762</v>
      </c>
      <c r="O124" s="8"/>
      <c r="P124" s="424">
        <f t="shared" si="26"/>
        <v>0.20886728909872693</v>
      </c>
      <c r="Q124" s="406">
        <f t="shared" si="24"/>
        <v>8407.6488843277184</v>
      </c>
      <c r="R124" s="8">
        <f t="shared" si="29"/>
        <v>5652.3359099999998</v>
      </c>
      <c r="S124" s="8">
        <f t="shared" si="29"/>
        <v>6101.8055999999997</v>
      </c>
      <c r="T124" s="8">
        <f t="shared" si="29"/>
        <v>2819.18075</v>
      </c>
      <c r="U124" s="8">
        <f t="shared" si="28"/>
        <v>2873.0311200000001</v>
      </c>
      <c r="V124" s="8">
        <f t="shared" si="28"/>
        <v>6777.2640499999998</v>
      </c>
      <c r="W124" s="8">
        <f t="shared" si="28"/>
        <v>3841.21047</v>
      </c>
      <c r="X124" s="8">
        <f t="shared" si="28"/>
        <v>1862.93479</v>
      </c>
      <c r="Y124" s="8">
        <f t="shared" si="28"/>
        <v>1493.6888100000001</v>
      </c>
      <c r="Z124" s="8">
        <f t="shared" si="28"/>
        <v>197.73756</v>
      </c>
      <c r="AA124" s="8">
        <f t="shared" si="28"/>
        <v>175.33823999999998</v>
      </c>
      <c r="AB124" s="8">
        <f t="shared" si="28"/>
        <v>45.607120000000002</v>
      </c>
      <c r="AC124" s="8">
        <f t="shared" si="28"/>
        <v>5.7619999999999996</v>
      </c>
      <c r="AF124" s="1011">
        <v>13.012430419999999</v>
      </c>
      <c r="AG124" s="1011">
        <v>309346863</v>
      </c>
      <c r="AH124" s="406">
        <f t="shared" si="21"/>
        <v>40253.545304327716</v>
      </c>
      <c r="AI124" s="1159"/>
      <c r="AJ124" s="1159"/>
      <c r="AK124" s="1170"/>
      <c r="AL124" s="1170"/>
      <c r="AM124" s="1170"/>
    </row>
    <row r="125" spans="1:39" x14ac:dyDescent="0.3">
      <c r="A125" s="19">
        <v>2011</v>
      </c>
      <c r="B125" s="19"/>
      <c r="C125" s="1169">
        <v>5594556.8300000001</v>
      </c>
      <c r="D125" s="1169">
        <v>6107797.5</v>
      </c>
      <c r="E125" s="1169">
        <v>2821561.88</v>
      </c>
      <c r="F125" s="1169">
        <v>2876384.06</v>
      </c>
      <c r="G125" s="1169">
        <v>7170155.1799999997</v>
      </c>
      <c r="H125" s="1169">
        <v>4170554.38</v>
      </c>
      <c r="I125" s="1013">
        <v>2015250.79</v>
      </c>
      <c r="J125" s="1013">
        <v>1575835.36</v>
      </c>
      <c r="K125" s="1013">
        <v>213039.2</v>
      </c>
      <c r="L125" s="1013">
        <v>188571.08</v>
      </c>
      <c r="M125" s="1013">
        <v>49430.1</v>
      </c>
      <c r="N125" s="1013">
        <v>6290</v>
      </c>
      <c r="O125" s="8"/>
      <c r="P125" s="424">
        <f t="shared" si="26"/>
        <v>0.20855564655504882</v>
      </c>
      <c r="Q125" s="406">
        <f t="shared" si="24"/>
        <v>8640.4306062872274</v>
      </c>
      <c r="R125" s="8">
        <f t="shared" si="29"/>
        <v>5594.5568300000004</v>
      </c>
      <c r="S125" s="8">
        <f t="shared" si="29"/>
        <v>6107.7974999999997</v>
      </c>
      <c r="T125" s="8">
        <f t="shared" si="29"/>
        <v>2821.5618799999997</v>
      </c>
      <c r="U125" s="8">
        <f t="shared" si="28"/>
        <v>2876.3840599999999</v>
      </c>
      <c r="V125" s="8">
        <f t="shared" si="28"/>
        <v>7170.1551799999997</v>
      </c>
      <c r="W125" s="8">
        <f t="shared" si="28"/>
        <v>4170.5543799999996</v>
      </c>
      <c r="X125" s="8">
        <f t="shared" si="28"/>
        <v>2015.2507900000001</v>
      </c>
      <c r="Y125" s="8">
        <f t="shared" si="28"/>
        <v>1575.83536</v>
      </c>
      <c r="Z125" s="8">
        <f t="shared" si="28"/>
        <v>213.03920000000002</v>
      </c>
      <c r="AA125" s="8">
        <f t="shared" si="28"/>
        <v>188.57107999999999</v>
      </c>
      <c r="AB125" s="8">
        <f t="shared" si="28"/>
        <v>49.430099999999996</v>
      </c>
      <c r="AC125" s="8">
        <f t="shared" si="28"/>
        <v>6.29</v>
      </c>
      <c r="AF125" s="1011">
        <v>13.290776620000001</v>
      </c>
      <c r="AG125" s="1011">
        <v>311718857</v>
      </c>
      <c r="AH125" s="406">
        <f t="shared" si="21"/>
        <v>41429.856966287232</v>
      </c>
      <c r="AI125" s="1159"/>
      <c r="AJ125" s="1159"/>
      <c r="AK125" s="1170"/>
      <c r="AL125" s="1170"/>
      <c r="AM125" s="1170"/>
    </row>
    <row r="126" spans="1:39" x14ac:dyDescent="0.3">
      <c r="A126" s="19">
        <v>2012</v>
      </c>
      <c r="B126" s="19"/>
      <c r="C126" s="1169">
        <v>5650685.1900000004</v>
      </c>
      <c r="D126" s="1169">
        <v>6152202.5999999996</v>
      </c>
      <c r="E126" s="1169">
        <v>2915498.11</v>
      </c>
      <c r="F126" s="1169">
        <v>2963657.37</v>
      </c>
      <c r="G126" s="1169">
        <v>7491070.6500000004</v>
      </c>
      <c r="H126" s="1169">
        <v>4412768.8499999996</v>
      </c>
      <c r="I126" s="1013">
        <v>2164386.35</v>
      </c>
      <c r="J126" s="1013">
        <v>1712776.9</v>
      </c>
      <c r="K126" s="1013">
        <v>230387.13</v>
      </c>
      <c r="L126" s="1013">
        <v>205877.32</v>
      </c>
      <c r="M126" s="1013">
        <v>56211.53</v>
      </c>
      <c r="N126" s="1013">
        <v>6946</v>
      </c>
      <c r="O126" s="8"/>
      <c r="P126" s="424">
        <f t="shared" si="26"/>
        <v>0.20633414228935432</v>
      </c>
      <c r="Q126" s="406">
        <f t="shared" si="24"/>
        <v>8829.4294591723228</v>
      </c>
      <c r="R126" s="8">
        <f t="shared" si="29"/>
        <v>5650.6851900000001</v>
      </c>
      <c r="S126" s="8">
        <f t="shared" si="29"/>
        <v>6152.2025999999996</v>
      </c>
      <c r="T126" s="8">
        <f t="shared" si="29"/>
        <v>2915.49811</v>
      </c>
      <c r="U126" s="8">
        <f t="shared" si="28"/>
        <v>2963.6573699999999</v>
      </c>
      <c r="V126" s="8">
        <f t="shared" si="28"/>
        <v>7491.0706500000006</v>
      </c>
      <c r="W126" s="8">
        <f t="shared" si="28"/>
        <v>4412.7688499999995</v>
      </c>
      <c r="X126" s="8">
        <f t="shared" si="28"/>
        <v>2164.3863500000002</v>
      </c>
      <c r="Y126" s="8">
        <f t="shared" si="28"/>
        <v>1712.7768999999998</v>
      </c>
      <c r="Z126" s="8">
        <f t="shared" si="28"/>
        <v>230.38713000000001</v>
      </c>
      <c r="AA126" s="8">
        <f t="shared" si="28"/>
        <v>205.87732</v>
      </c>
      <c r="AB126" s="8">
        <f t="shared" si="28"/>
        <v>56.211529999999996</v>
      </c>
      <c r="AC126" s="8">
        <f t="shared" si="28"/>
        <v>6.9459999999999997</v>
      </c>
      <c r="AF126" s="1011">
        <v>13.623540309999999</v>
      </c>
      <c r="AG126" s="1011">
        <v>314102623</v>
      </c>
      <c r="AH126" s="406">
        <f t="shared" si="21"/>
        <v>42791.897459172331</v>
      </c>
      <c r="AI126" s="1159"/>
      <c r="AJ126" s="1159"/>
      <c r="AK126" s="1170"/>
      <c r="AL126" s="1170"/>
      <c r="AM126" s="1170"/>
    </row>
    <row r="127" spans="1:39" x14ac:dyDescent="0.3">
      <c r="A127" s="19">
        <v>2013</v>
      </c>
      <c r="B127" s="19"/>
      <c r="C127" s="1169">
        <v>5743310.2199999997</v>
      </c>
      <c r="D127" s="1169">
        <v>6032012.4900000002</v>
      </c>
      <c r="E127" s="1169">
        <v>2903972.89</v>
      </c>
      <c r="F127" s="1169">
        <v>3094815.55</v>
      </c>
      <c r="G127" s="1169">
        <v>7850662.2999999998</v>
      </c>
      <c r="H127" s="1169">
        <v>4764494.7300000004</v>
      </c>
      <c r="I127" s="1013">
        <v>2336422.56</v>
      </c>
      <c r="J127" s="1013">
        <v>1902099.58</v>
      </c>
      <c r="K127" s="1013">
        <v>235116.97</v>
      </c>
      <c r="L127" s="1013">
        <v>202038.78</v>
      </c>
      <c r="M127" s="1013">
        <v>53356.74</v>
      </c>
      <c r="N127" s="1013">
        <v>6872</v>
      </c>
      <c r="O127" s="8"/>
      <c r="P127" s="424">
        <f t="shared" si="26"/>
        <v>0.20693408387403459</v>
      </c>
      <c r="Q127" s="406">
        <f t="shared" si="24"/>
        <v>9165.1850400139665</v>
      </c>
      <c r="R127" s="8">
        <f t="shared" si="29"/>
        <v>5743.3102199999994</v>
      </c>
      <c r="S127" s="8">
        <f t="shared" si="29"/>
        <v>6032.0124900000001</v>
      </c>
      <c r="T127" s="8">
        <f t="shared" si="29"/>
        <v>2903.97289</v>
      </c>
      <c r="U127" s="8">
        <f t="shared" si="28"/>
        <v>3094.8155499999998</v>
      </c>
      <c r="V127" s="8">
        <f t="shared" si="28"/>
        <v>7850.6623</v>
      </c>
      <c r="W127" s="8">
        <f t="shared" si="28"/>
        <v>4764.4947300000003</v>
      </c>
      <c r="X127" s="8">
        <f t="shared" si="28"/>
        <v>2336.42256</v>
      </c>
      <c r="Y127" s="8">
        <f t="shared" si="28"/>
        <v>1902.0995800000001</v>
      </c>
      <c r="Z127" s="8">
        <f t="shared" si="28"/>
        <v>235.11697000000001</v>
      </c>
      <c r="AA127" s="8">
        <f t="shared" si="28"/>
        <v>202.03878</v>
      </c>
      <c r="AB127" s="8">
        <f t="shared" si="28"/>
        <v>53.356739999999995</v>
      </c>
      <c r="AC127" s="8">
        <f t="shared" si="28"/>
        <v>6.8719999999999999</v>
      </c>
      <c r="AF127" s="1011">
        <v>13.997005489999999</v>
      </c>
      <c r="AG127" s="1011">
        <v>316427395</v>
      </c>
      <c r="AH127" s="406">
        <f t="shared" si="21"/>
        <v>44290.359850013978</v>
      </c>
      <c r="AI127" s="1159"/>
      <c r="AJ127" s="1159"/>
      <c r="AK127" s="1170"/>
      <c r="AL127" s="1170"/>
      <c r="AM127" s="1170"/>
    </row>
    <row r="128" spans="1:39" x14ac:dyDescent="0.3">
      <c r="A128" s="19">
        <f>A127+1</f>
        <v>2014</v>
      </c>
      <c r="B128" s="19"/>
      <c r="C128" s="1169">
        <v>5853009.4900000002</v>
      </c>
      <c r="D128" s="1169">
        <v>5996207.5099999998</v>
      </c>
      <c r="E128" s="1169">
        <v>2801452.5</v>
      </c>
      <c r="F128" s="1169">
        <v>2999909.2</v>
      </c>
      <c r="G128" s="1169">
        <v>8339064.8799999999</v>
      </c>
      <c r="H128" s="1169">
        <v>4846592.55</v>
      </c>
      <c r="I128" s="455">
        <v>2457719.2599999998</v>
      </c>
      <c r="J128" s="455">
        <v>2028123.53</v>
      </c>
      <c r="K128" s="455">
        <v>259602.49</v>
      </c>
      <c r="L128" s="455">
        <v>218053.26</v>
      </c>
      <c r="M128" s="455">
        <v>56517.69</v>
      </c>
      <c r="N128" s="455">
        <v>7119.16</v>
      </c>
      <c r="O128" s="34"/>
      <c r="P128" s="424">
        <f t="shared" si="26"/>
        <v>0.21849014891055016</v>
      </c>
      <c r="Q128" s="406">
        <f t="shared" si="24"/>
        <v>10026.480629662998</v>
      </c>
      <c r="R128" s="8">
        <f t="shared" si="29"/>
        <v>5853.0094900000004</v>
      </c>
      <c r="S128" s="8">
        <f t="shared" si="29"/>
        <v>5996.2075100000002</v>
      </c>
      <c r="T128" s="8">
        <f t="shared" si="29"/>
        <v>2801.4524999999999</v>
      </c>
      <c r="U128" s="8">
        <f t="shared" si="28"/>
        <v>2999.9092000000001</v>
      </c>
      <c r="V128" s="8">
        <f t="shared" si="28"/>
        <v>8339.0648799999999</v>
      </c>
      <c r="W128" s="8">
        <f t="shared" si="28"/>
        <v>4846.5925499999994</v>
      </c>
      <c r="X128" s="8">
        <f t="shared" si="28"/>
        <v>2457.7192599999998</v>
      </c>
      <c r="Y128" s="8">
        <f t="shared" si="28"/>
        <v>2028.1235300000001</v>
      </c>
      <c r="Z128" s="8">
        <f t="shared" si="28"/>
        <v>259.60248999999999</v>
      </c>
      <c r="AA128" s="8">
        <f t="shared" si="28"/>
        <v>218.05326000000002</v>
      </c>
      <c r="AB128" s="8">
        <f t="shared" si="28"/>
        <v>56.517690000000002</v>
      </c>
      <c r="AC128" s="8">
        <f t="shared" si="28"/>
        <v>7.1191599999999999</v>
      </c>
      <c r="AF128" s="1011">
        <v>14.389710620000001</v>
      </c>
      <c r="AG128" s="1011">
        <v>318907401</v>
      </c>
      <c r="AH128" s="406">
        <f t="shared" si="21"/>
        <v>45889.852149662991</v>
      </c>
      <c r="AI128" s="1159"/>
      <c r="AJ128" s="1159"/>
      <c r="AK128" s="1170"/>
      <c r="AL128" s="1170"/>
      <c r="AM128" s="1170"/>
    </row>
    <row r="129" spans="1:39" x14ac:dyDescent="0.3">
      <c r="A129" s="19">
        <f>A128+1</f>
        <v>2015</v>
      </c>
      <c r="B129" s="19"/>
      <c r="C129" s="1169">
        <v>6458120.5300000003</v>
      </c>
      <c r="D129" s="1169">
        <v>6258338.1100000003</v>
      </c>
      <c r="E129" s="1169">
        <v>2909719.37</v>
      </c>
      <c r="F129" s="1169">
        <v>3068993.93</v>
      </c>
      <c r="G129" s="1169">
        <v>8692895.5999999996</v>
      </c>
      <c r="H129" s="1169">
        <v>5065472.28</v>
      </c>
      <c r="I129" s="455">
        <v>2588270.34</v>
      </c>
      <c r="J129" s="455">
        <v>2139024.87</v>
      </c>
      <c r="K129" s="455">
        <v>286956.83</v>
      </c>
      <c r="L129" s="455">
        <v>270347.59000000003</v>
      </c>
      <c r="M129" s="455">
        <v>75446.09</v>
      </c>
      <c r="N129" s="455">
        <v>9755</v>
      </c>
      <c r="O129" s="34"/>
      <c r="P129" s="424">
        <f t="shared" si="26"/>
        <v>0.20414152795525767</v>
      </c>
      <c r="Q129" s="406">
        <f t="shared" si="24"/>
        <v>9701.8688641584959</v>
      </c>
      <c r="R129" s="8">
        <f t="shared" si="29"/>
        <v>6458.1205300000001</v>
      </c>
      <c r="S129" s="8">
        <f t="shared" si="29"/>
        <v>6258.3381100000006</v>
      </c>
      <c r="T129" s="8">
        <f t="shared" si="29"/>
        <v>2909.7193700000003</v>
      </c>
      <c r="U129" s="8">
        <f t="shared" si="28"/>
        <v>3068.9939300000001</v>
      </c>
      <c r="V129" s="8">
        <f t="shared" si="28"/>
        <v>8692.8955999999998</v>
      </c>
      <c r="W129" s="8">
        <f t="shared" si="28"/>
        <v>5065.47228</v>
      </c>
      <c r="X129" s="8">
        <f t="shared" si="28"/>
        <v>2588.27034</v>
      </c>
      <c r="Y129" s="8">
        <f t="shared" si="28"/>
        <v>2139.0248700000002</v>
      </c>
      <c r="Z129" s="8">
        <f t="shared" si="28"/>
        <v>286.95683000000002</v>
      </c>
      <c r="AA129" s="8">
        <f t="shared" si="28"/>
        <v>270.34759000000003</v>
      </c>
      <c r="AB129" s="8">
        <f t="shared" si="28"/>
        <v>75.446089999999998</v>
      </c>
      <c r="AC129" s="8">
        <f t="shared" si="28"/>
        <v>9.7550000000000008</v>
      </c>
      <c r="AF129" s="1011">
        <v>14.78606928</v>
      </c>
      <c r="AG129" s="1011">
        <v>321418820</v>
      </c>
      <c r="AH129" s="406">
        <f t="shared" si="21"/>
        <v>47525.209404158493</v>
      </c>
      <c r="AI129" s="1159"/>
      <c r="AJ129" s="1159"/>
      <c r="AK129" s="1170"/>
      <c r="AL129" s="1170"/>
      <c r="AM129" s="1170"/>
    </row>
    <row r="131" spans="1:39" x14ac:dyDescent="0.3">
      <c r="A131" s="1011" t="s">
        <v>462</v>
      </c>
    </row>
    <row r="133" spans="1:39" s="75" customFormat="1" x14ac:dyDescent="0.3">
      <c r="A133" s="75" t="s">
        <v>2041</v>
      </c>
    </row>
    <row r="134" spans="1:39" x14ac:dyDescent="0.3">
      <c r="A134" s="19">
        <v>1979</v>
      </c>
      <c r="B134" s="19"/>
      <c r="C134" s="1169">
        <v>2126627.36</v>
      </c>
      <c r="D134" s="1169">
        <v>4113170.2</v>
      </c>
      <c r="E134" s="1169">
        <v>1682099.42</v>
      </c>
      <c r="F134" s="1169">
        <v>1369293.46</v>
      </c>
      <c r="G134" s="1169">
        <v>1988290.53</v>
      </c>
      <c r="H134" s="1169">
        <v>737342.01</v>
      </c>
      <c r="I134" s="455">
        <v>452166.57</v>
      </c>
      <c r="J134" s="455">
        <v>595754.93999999994</v>
      </c>
      <c r="K134" s="455">
        <v>130885.3</v>
      </c>
      <c r="L134" s="455">
        <v>121518.94</v>
      </c>
      <c r="M134" s="455">
        <v>39115.82</v>
      </c>
      <c r="N134" s="455">
        <v>4931.72</v>
      </c>
      <c r="O134" s="24"/>
      <c r="P134" s="24"/>
      <c r="Q134" s="24"/>
      <c r="R134" s="24"/>
      <c r="S134" s="24"/>
      <c r="T134" s="24"/>
      <c r="U134" s="24"/>
      <c r="V134" s="24"/>
      <c r="W134" s="24"/>
      <c r="X134" s="24"/>
      <c r="Y134" s="24"/>
      <c r="Z134" s="24"/>
      <c r="AA134" s="24"/>
    </row>
    <row r="135" spans="1:39" x14ac:dyDescent="0.3">
      <c r="A135" s="1171" t="s">
        <v>1825</v>
      </c>
      <c r="B135" s="19"/>
      <c r="C135" s="1172">
        <f>C134/C93</f>
        <v>0.99916342165120842</v>
      </c>
      <c r="D135" s="1172">
        <f t="shared" ref="D135:N135" si="30">D134/D93</f>
        <v>1</v>
      </c>
      <c r="E135" s="1172">
        <f t="shared" si="30"/>
        <v>0.99938999818153851</v>
      </c>
      <c r="F135" s="1172">
        <f t="shared" si="30"/>
        <v>0.99859576767669722</v>
      </c>
      <c r="G135" s="1172">
        <f t="shared" si="30"/>
        <v>0.99844505364685432</v>
      </c>
      <c r="H135" s="1172">
        <f t="shared" si="30"/>
        <v>0.99976823457497577</v>
      </c>
      <c r="I135" s="1172">
        <f t="shared" si="30"/>
        <v>0.99962958796917645</v>
      </c>
      <c r="J135" s="1172">
        <f t="shared" si="30"/>
        <v>0.99898624906620914</v>
      </c>
      <c r="K135" s="1172">
        <f t="shared" si="30"/>
        <v>0.99728379179252225</v>
      </c>
      <c r="L135" s="1172">
        <f t="shared" si="30"/>
        <v>0.99270155399340398</v>
      </c>
      <c r="M135" s="1172">
        <f t="shared" si="30"/>
        <v>0.98262018349730096</v>
      </c>
      <c r="N135" s="1172">
        <f t="shared" si="30"/>
        <v>0.95841203952022258</v>
      </c>
      <c r="O135" s="24"/>
      <c r="P135" s="24"/>
      <c r="Q135" s="24"/>
      <c r="R135" s="24"/>
      <c r="S135" s="24"/>
      <c r="T135" s="24"/>
      <c r="U135" s="24"/>
      <c r="V135" s="24"/>
      <c r="W135" s="24"/>
      <c r="X135" s="24"/>
      <c r="Y135" s="24"/>
      <c r="Z135" s="24"/>
      <c r="AA135" s="24"/>
    </row>
    <row r="136" spans="1:39" x14ac:dyDescent="0.3">
      <c r="I136" s="24"/>
      <c r="J136" s="24"/>
      <c r="K136" s="24"/>
      <c r="L136" s="24"/>
      <c r="M136" s="24"/>
      <c r="N136" s="24"/>
      <c r="O136" s="24"/>
      <c r="P136" s="24"/>
      <c r="Q136" s="24"/>
      <c r="R136" s="24"/>
      <c r="S136" s="24"/>
      <c r="T136" s="24"/>
      <c r="U136" s="24"/>
      <c r="V136" s="24"/>
      <c r="W136" s="24"/>
      <c r="X136" s="24"/>
      <c r="Y136" s="34"/>
      <c r="Z136" s="24"/>
      <c r="AA136" s="1173"/>
      <c r="AB136" s="1174"/>
      <c r="AC136" s="1174"/>
      <c r="AE136" s="1166"/>
    </row>
    <row r="137" spans="1:39" x14ac:dyDescent="0.3">
      <c r="A137" s="19">
        <v>2015</v>
      </c>
      <c r="B137" s="19"/>
      <c r="C137" s="1169">
        <v>6454961.5</v>
      </c>
      <c r="D137" s="1169">
        <v>6255338.2800000003</v>
      </c>
      <c r="E137" s="1169">
        <v>2906709.01</v>
      </c>
      <c r="F137" s="1169">
        <v>3061979.84</v>
      </c>
      <c r="G137" s="1169">
        <v>8677491.3900000006</v>
      </c>
      <c r="H137" s="1169">
        <v>5056504.1900000004</v>
      </c>
      <c r="I137" s="455">
        <v>2584134.39</v>
      </c>
      <c r="J137" s="455">
        <v>2137808.33</v>
      </c>
      <c r="K137" s="455">
        <v>286950.38</v>
      </c>
      <c r="L137" s="455">
        <v>270190.75</v>
      </c>
      <c r="M137" s="455">
        <v>75423.710000000006</v>
      </c>
      <c r="N137" s="455">
        <v>9742</v>
      </c>
      <c r="O137" s="24"/>
      <c r="P137" s="24"/>
      <c r="Q137" s="24"/>
      <c r="R137" s="24"/>
      <c r="S137" s="24"/>
      <c r="T137" s="24"/>
      <c r="U137" s="24"/>
      <c r="V137" s="24"/>
      <c r="W137" s="24"/>
      <c r="X137" s="24"/>
      <c r="Y137" s="34"/>
      <c r="Z137" s="24"/>
      <c r="AA137" s="1173"/>
      <c r="AB137" s="1174"/>
      <c r="AC137" s="1174"/>
      <c r="AE137" s="1166"/>
    </row>
    <row r="138" spans="1:39" x14ac:dyDescent="0.3">
      <c r="A138" s="252" t="s">
        <v>1826</v>
      </c>
      <c r="C138" s="1175">
        <f>C137/C129</f>
        <v>0.99951084375317467</v>
      </c>
      <c r="D138" s="1175">
        <f t="shared" ref="D138:N138" si="31">D137/D129</f>
        <v>0.99952066667743522</v>
      </c>
      <c r="E138" s="1175">
        <f t="shared" si="31"/>
        <v>0.99896541225554669</v>
      </c>
      <c r="F138" s="1175">
        <f t="shared" si="31"/>
        <v>0.99771453115907582</v>
      </c>
      <c r="G138" s="1175">
        <f t="shared" si="31"/>
        <v>0.99822795410081777</v>
      </c>
      <c r="H138" s="1175">
        <f t="shared" si="31"/>
        <v>0.99822956488471792</v>
      </c>
      <c r="I138" s="1175">
        <f t="shared" si="31"/>
        <v>0.99840204095527374</v>
      </c>
      <c r="J138" s="1175">
        <f t="shared" si="31"/>
        <v>0.99943126420965833</v>
      </c>
      <c r="K138" s="1175">
        <f t="shared" si="31"/>
        <v>0.99997752275141871</v>
      </c>
      <c r="L138" s="1175">
        <f t="shared" si="31"/>
        <v>0.99941985796877264</v>
      </c>
      <c r="M138" s="1175">
        <f t="shared" si="31"/>
        <v>0.99970336434929907</v>
      </c>
      <c r="N138" s="1175">
        <f t="shared" si="31"/>
        <v>0.99866735007688368</v>
      </c>
      <c r="O138" s="24"/>
      <c r="P138" s="24"/>
      <c r="Q138" s="24"/>
      <c r="R138" s="24"/>
      <c r="S138" s="24"/>
      <c r="T138" s="24"/>
      <c r="U138" s="24"/>
      <c r="V138" s="24"/>
      <c r="W138" s="24"/>
      <c r="X138" s="24"/>
      <c r="Y138" s="34"/>
      <c r="Z138" s="24"/>
      <c r="AA138" s="1173"/>
      <c r="AB138" s="1174"/>
      <c r="AC138" s="1174"/>
      <c r="AE138" s="1166"/>
    </row>
    <row r="139" spans="1:39" x14ac:dyDescent="0.3">
      <c r="I139" s="24"/>
      <c r="J139" s="24"/>
      <c r="K139" s="24"/>
      <c r="L139" s="24"/>
      <c r="M139" s="24"/>
      <c r="N139" s="24"/>
      <c r="O139" s="24"/>
      <c r="P139" s="24"/>
      <c r="Q139" s="24"/>
      <c r="R139" s="24"/>
      <c r="S139" s="24"/>
      <c r="T139" s="24"/>
      <c r="U139" s="24"/>
      <c r="V139" s="24"/>
      <c r="W139" s="24"/>
      <c r="X139" s="24"/>
      <c r="Y139" s="34"/>
      <c r="Z139" s="24"/>
      <c r="AA139" s="1173"/>
      <c r="AB139" s="1174"/>
      <c r="AC139" s="1174"/>
      <c r="AE139" s="1166"/>
    </row>
    <row r="140" spans="1:39" x14ac:dyDescent="0.3">
      <c r="I140" s="24"/>
      <c r="J140" s="24"/>
      <c r="K140" s="24"/>
      <c r="L140" s="24"/>
      <c r="M140" s="24"/>
      <c r="N140" s="24"/>
      <c r="O140" s="24"/>
      <c r="P140" s="24"/>
      <c r="Q140" s="24"/>
      <c r="R140" s="24"/>
      <c r="S140" s="24"/>
      <c r="T140" s="24"/>
      <c r="U140" s="24"/>
      <c r="V140" s="24"/>
      <c r="W140" s="24"/>
      <c r="X140" s="24"/>
      <c r="Y140" s="34"/>
      <c r="Z140" s="24"/>
      <c r="AA140" s="1173"/>
      <c r="AB140" s="1174"/>
      <c r="AC140" s="1174"/>
      <c r="AE140" s="1166"/>
    </row>
    <row r="141" spans="1:39" x14ac:dyDescent="0.3">
      <c r="A141" s="75" t="s">
        <v>1827</v>
      </c>
      <c r="I141" s="284"/>
      <c r="J141" s="284"/>
      <c r="K141" s="284"/>
      <c r="L141" s="284"/>
      <c r="M141" s="284"/>
      <c r="N141" s="284"/>
      <c r="O141" s="284"/>
      <c r="P141" s="284"/>
      <c r="Q141" s="284"/>
      <c r="R141" s="284"/>
      <c r="S141" s="284"/>
      <c r="T141" s="284"/>
      <c r="U141" s="284"/>
      <c r="V141" s="284"/>
      <c r="W141" s="284"/>
      <c r="X141" s="284"/>
      <c r="Y141" s="24"/>
      <c r="Z141" s="24"/>
      <c r="AA141" s="24"/>
    </row>
    <row r="142" spans="1:39" x14ac:dyDescent="0.3">
      <c r="B142" s="1011" t="s">
        <v>1815</v>
      </c>
      <c r="C142" s="1011" t="s">
        <v>1828</v>
      </c>
      <c r="D142" s="1011" t="s">
        <v>1829</v>
      </c>
      <c r="E142" s="1011" t="s">
        <v>1830</v>
      </c>
      <c r="F142" s="1011" t="s">
        <v>1831</v>
      </c>
      <c r="G142" s="1011" t="s">
        <v>1832</v>
      </c>
      <c r="H142" s="1011" t="s">
        <v>1833</v>
      </c>
      <c r="I142" s="1011" t="s">
        <v>1834</v>
      </c>
      <c r="J142" s="1011" t="s">
        <v>1835</v>
      </c>
      <c r="K142" s="1011" t="s">
        <v>1836</v>
      </c>
      <c r="L142" s="1011" t="s">
        <v>1837</v>
      </c>
      <c r="M142" s="1011" t="s">
        <v>1838</v>
      </c>
      <c r="N142" s="1011" t="s">
        <v>1839</v>
      </c>
      <c r="O142" s="1011" t="s">
        <v>1840</v>
      </c>
      <c r="R142" s="24"/>
      <c r="S142" s="24"/>
      <c r="T142" s="24"/>
      <c r="U142" s="24"/>
      <c r="V142" s="24"/>
      <c r="W142" s="24"/>
      <c r="X142" s="24"/>
      <c r="Y142" s="24"/>
      <c r="Z142" s="24"/>
      <c r="AA142" s="24"/>
    </row>
    <row r="143" spans="1:39" x14ac:dyDescent="0.3">
      <c r="A143" s="1285" t="s">
        <v>2080</v>
      </c>
      <c r="B143" s="1011">
        <v>144219430934.06003</v>
      </c>
      <c r="C143" s="1011">
        <v>37097672188</v>
      </c>
      <c r="D143" s="1011">
        <v>63781664164</v>
      </c>
      <c r="E143" s="1011">
        <v>26236582405</v>
      </c>
      <c r="F143" s="1011">
        <v>21643457452</v>
      </c>
      <c r="G143" s="1011">
        <v>41476521790</v>
      </c>
      <c r="H143" s="1011">
        <v>24866037072</v>
      </c>
      <c r="I143" s="1011">
        <v>12787505884</v>
      </c>
      <c r="J143" s="1011">
        <v>12339554508</v>
      </c>
      <c r="K143" s="1011">
        <v>1787182295.8</v>
      </c>
      <c r="L143" s="1011">
        <v>1460352542.4000001</v>
      </c>
      <c r="M143" s="1011">
        <v>339707345.74000001</v>
      </c>
      <c r="N143" s="1011">
        <v>34331419</v>
      </c>
      <c r="O143" s="1011">
        <v>388070</v>
      </c>
      <c r="R143" s="284"/>
      <c r="S143" s="284"/>
      <c r="T143" s="284"/>
      <c r="U143" s="284"/>
      <c r="V143" s="284"/>
      <c r="W143" s="284"/>
      <c r="X143" s="24"/>
      <c r="Y143" s="24"/>
      <c r="Z143" s="24"/>
      <c r="AA143" s="24"/>
    </row>
    <row r="144" spans="1:39" x14ac:dyDescent="0.3">
      <c r="A144" s="1285" t="s">
        <v>2081</v>
      </c>
      <c r="B144" s="29">
        <v>0.37163251715943008</v>
      </c>
      <c r="C144" s="29">
        <v>9.5595310608910758E-2</v>
      </c>
      <c r="D144" s="29">
        <v>0.16435608051124798</v>
      </c>
      <c r="E144" s="29">
        <v>6.7607860450434196E-2</v>
      </c>
      <c r="F144" s="29">
        <v>5.5772044868193885E-2</v>
      </c>
      <c r="G144" s="29">
        <v>0.10687896974772593</v>
      </c>
      <c r="H144" s="29">
        <v>6.4076164279640274E-2</v>
      </c>
      <c r="I144" s="29">
        <v>3.2951544525472207E-2</v>
      </c>
      <c r="J144" s="29">
        <v>3.1797238920813257E-2</v>
      </c>
      <c r="K144" s="29">
        <v>4.6053090828974156E-3</v>
      </c>
      <c r="L144" s="29">
        <v>3.7631162996366639E-3</v>
      </c>
      <c r="M144" s="29">
        <v>8.7537646749297812E-4</v>
      </c>
      <c r="N144" s="29">
        <v>8.846707810446569E-5</v>
      </c>
      <c r="R144" s="24"/>
      <c r="S144" s="24"/>
      <c r="T144" s="24"/>
      <c r="U144" s="24"/>
      <c r="V144" s="24"/>
      <c r="W144" s="24"/>
      <c r="X144" s="24"/>
      <c r="Y144" s="24"/>
      <c r="Z144" s="24"/>
      <c r="AA144" s="24"/>
    </row>
    <row r="145" spans="1:27" x14ac:dyDescent="0.3">
      <c r="A145" s="1285"/>
      <c r="B145" s="1294"/>
      <c r="C145" s="1294"/>
      <c r="D145" s="1294"/>
      <c r="E145" s="1294"/>
      <c r="F145" s="1294"/>
      <c r="G145" s="1294"/>
      <c r="H145" s="1294"/>
      <c r="I145" s="1294"/>
      <c r="J145" s="1294"/>
      <c r="K145" s="1294"/>
      <c r="L145" s="1294"/>
      <c r="M145" s="1294"/>
      <c r="N145" s="1294"/>
      <c r="R145" s="24"/>
      <c r="S145" s="24"/>
      <c r="T145" s="24"/>
      <c r="U145" s="24"/>
      <c r="V145" s="24"/>
      <c r="W145" s="24"/>
      <c r="X145" s="24"/>
      <c r="Y145" s="24"/>
      <c r="Z145" s="24"/>
      <c r="AA145" s="24"/>
    </row>
    <row r="146" spans="1:27" x14ac:dyDescent="0.3">
      <c r="A146" s="1285" t="s">
        <v>2082</v>
      </c>
      <c r="B146" s="1011">
        <v>247621899969.35999</v>
      </c>
      <c r="C146" s="1011">
        <v>120704533838</v>
      </c>
      <c r="D146" s="1011">
        <v>105386597089</v>
      </c>
      <c r="E146" s="1011">
        <v>49222506775</v>
      </c>
      <c r="F146" s="1011">
        <v>49376654175</v>
      </c>
      <c r="G146" s="1011">
        <v>142364917126</v>
      </c>
      <c r="H146" s="1011">
        <v>83538761038</v>
      </c>
      <c r="I146" s="1011">
        <v>43012401284</v>
      </c>
      <c r="J146" s="1011">
        <v>33925326774</v>
      </c>
      <c r="K146" s="1011">
        <v>4231519393</v>
      </c>
      <c r="L146" s="1011">
        <v>3621260889</v>
      </c>
      <c r="M146" s="1011">
        <v>903750155.63999999</v>
      </c>
      <c r="N146" s="1011">
        <v>110871494</v>
      </c>
      <c r="O146" s="1011">
        <v>884021</v>
      </c>
      <c r="R146" s="24"/>
      <c r="S146" s="24"/>
      <c r="T146" s="24"/>
      <c r="U146" s="24"/>
      <c r="V146" s="24"/>
      <c r="W146" s="24"/>
      <c r="X146" s="24"/>
      <c r="Y146" s="24"/>
      <c r="Z146" s="24"/>
      <c r="AA146" s="24"/>
    </row>
    <row r="147" spans="1:27" x14ac:dyDescent="0.3">
      <c r="A147" s="1285" t="s">
        <v>2083</v>
      </c>
      <c r="B147" s="29">
        <v>0.28010861729456654</v>
      </c>
      <c r="C147" s="29">
        <v>0.13654034670895826</v>
      </c>
      <c r="D147" s="29">
        <v>0.11921277558904143</v>
      </c>
      <c r="E147" s="29">
        <v>5.5680246029223286E-2</v>
      </c>
      <c r="F147" s="29">
        <v>5.5854616773809672E-2</v>
      </c>
      <c r="G147" s="29">
        <v>0.16104246067231434</v>
      </c>
      <c r="H147" s="29">
        <v>9.4498616026089874E-2</v>
      </c>
      <c r="I147" s="29">
        <v>4.8655406697352209E-2</v>
      </c>
      <c r="J147" s="29">
        <v>3.8376154835688292E-2</v>
      </c>
      <c r="K147" s="29">
        <v>4.7866729331090549E-3</v>
      </c>
      <c r="L147" s="29">
        <v>4.0963516579357274E-3</v>
      </c>
      <c r="M147" s="29">
        <v>1.0223175191992045E-3</v>
      </c>
      <c r="N147" s="29">
        <v>1.254172627120849E-4</v>
      </c>
      <c r="R147" s="24"/>
      <c r="S147" s="24"/>
      <c r="T147" s="24"/>
      <c r="U147" s="24"/>
      <c r="V147" s="24"/>
      <c r="W147" s="24"/>
      <c r="X147" s="24"/>
      <c r="Y147" s="24"/>
      <c r="Z147" s="24"/>
      <c r="AA147" s="24"/>
    </row>
    <row r="148" spans="1:27" x14ac:dyDescent="0.3">
      <c r="B148" s="72"/>
      <c r="C148" s="72"/>
      <c r="D148" s="72"/>
      <c r="E148" s="72"/>
      <c r="F148" s="72"/>
      <c r="G148" s="72"/>
      <c r="H148" s="72"/>
      <c r="I148" s="72"/>
      <c r="J148" s="72"/>
      <c r="K148" s="72"/>
      <c r="L148" s="72"/>
      <c r="M148" s="72"/>
      <c r="N148" s="72"/>
      <c r="O148" s="24"/>
      <c r="P148" s="24"/>
      <c r="Q148" s="24"/>
      <c r="R148" s="24"/>
      <c r="S148" s="24"/>
      <c r="T148" s="24"/>
      <c r="U148" s="24"/>
      <c r="V148" s="1335"/>
      <c r="W148" s="24"/>
      <c r="X148" s="24"/>
      <c r="Y148" s="24"/>
      <c r="Z148" s="24"/>
      <c r="AA148" s="24"/>
    </row>
    <row r="149" spans="1:27" x14ac:dyDescent="0.3">
      <c r="A149" s="375"/>
    </row>
    <row r="150" spans="1:27" x14ac:dyDescent="0.3">
      <c r="A150" s="1319"/>
      <c r="U150" s="1319"/>
      <c r="V150" s="1319"/>
      <c r="W150" s="1319"/>
      <c r="X150" s="1319"/>
    </row>
    <row r="153" spans="1:27" x14ac:dyDescent="0.3">
      <c r="A153" s="1319"/>
    </row>
    <row r="155" spans="1:27" x14ac:dyDescent="0.3">
      <c r="S155" s="1319"/>
      <c r="T155" s="1319"/>
    </row>
  </sheetData>
  <mergeCells count="5">
    <mergeCell ref="C3:N3"/>
    <mergeCell ref="R3:AC3"/>
    <mergeCell ref="AE3:AJ3"/>
    <mergeCell ref="AF72:AH72"/>
    <mergeCell ref="C73:N73"/>
  </mergeCells>
  <hyperlinks>
    <hyperlink ref="L1" location="Index!A1" display="Index"/>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F64"/>
  <sheetViews>
    <sheetView workbookViewId="0">
      <selection activeCell="B9" sqref="B9"/>
    </sheetView>
  </sheetViews>
  <sheetFormatPr defaultRowHeight="14.4" x14ac:dyDescent="0.3"/>
  <cols>
    <col min="2" max="5" width="16.44140625" customWidth="1"/>
  </cols>
  <sheetData>
    <row r="1" spans="1:6" ht="15.6" x14ac:dyDescent="0.3">
      <c r="A1" s="75" t="s">
        <v>1113</v>
      </c>
      <c r="F1" s="463" t="s">
        <v>504</v>
      </c>
    </row>
    <row r="2" spans="1:6" x14ac:dyDescent="0.3">
      <c r="A2" s="11"/>
      <c r="B2" s="11"/>
      <c r="C2" s="11"/>
      <c r="D2" s="11"/>
      <c r="E2" s="11"/>
    </row>
    <row r="3" spans="1:6" x14ac:dyDescent="0.3">
      <c r="A3" s="11"/>
      <c r="B3" s="648" t="s">
        <v>929</v>
      </c>
      <c r="C3" s="648" t="s">
        <v>930</v>
      </c>
      <c r="D3" s="648" t="s">
        <v>931</v>
      </c>
      <c r="E3" s="648" t="s">
        <v>932</v>
      </c>
    </row>
    <row r="4" spans="1:6" x14ac:dyDescent="0.3">
      <c r="A4" s="100">
        <v>1960</v>
      </c>
      <c r="B4" s="650">
        <v>38.4</v>
      </c>
      <c r="C4" s="650">
        <v>13.1</v>
      </c>
      <c r="D4" s="650">
        <v>19.399999999999999</v>
      </c>
      <c r="E4" s="650">
        <v>8.6999999999999993</v>
      </c>
    </row>
    <row r="5" spans="1:6" x14ac:dyDescent="0.3">
      <c r="A5" s="100">
        <v>1961</v>
      </c>
      <c r="B5" s="650">
        <v>38</v>
      </c>
      <c r="C5" s="650">
        <v>13.7</v>
      </c>
      <c r="D5" s="650">
        <v>21.5</v>
      </c>
      <c r="E5" s="650">
        <v>8.4</v>
      </c>
    </row>
    <row r="6" spans="1:6" x14ac:dyDescent="0.3">
      <c r="A6" s="100">
        <v>1962</v>
      </c>
      <c r="B6" s="650">
        <v>41.8</v>
      </c>
      <c r="C6" s="650">
        <v>15.6</v>
      </c>
      <c r="D6" s="650">
        <v>23</v>
      </c>
      <c r="E6" s="650">
        <v>10.3</v>
      </c>
    </row>
    <row r="7" spans="1:6" x14ac:dyDescent="0.3">
      <c r="A7" s="100">
        <v>1963</v>
      </c>
      <c r="B7" s="650">
        <v>40.9</v>
      </c>
      <c r="C7" s="650">
        <v>17.3</v>
      </c>
      <c r="D7" s="650">
        <v>25</v>
      </c>
      <c r="E7" s="650">
        <v>11.4</v>
      </c>
    </row>
    <row r="8" spans="1:6" x14ac:dyDescent="0.3">
      <c r="A8" s="100">
        <v>1964</v>
      </c>
      <c r="B8" s="650">
        <v>41.6</v>
      </c>
      <c r="C8" s="650">
        <v>16.8</v>
      </c>
      <c r="D8" s="650">
        <v>26.3</v>
      </c>
      <c r="E8" s="650">
        <v>9.9</v>
      </c>
    </row>
    <row r="9" spans="1:6" x14ac:dyDescent="0.3">
      <c r="A9" s="100">
        <v>1965</v>
      </c>
      <c r="B9" s="650">
        <v>46.3</v>
      </c>
      <c r="C9" s="650">
        <v>19</v>
      </c>
      <c r="D9" s="650">
        <v>27.6</v>
      </c>
      <c r="E9" s="650">
        <v>13.2</v>
      </c>
    </row>
    <row r="10" spans="1:6" x14ac:dyDescent="0.3">
      <c r="A10" s="100">
        <v>1966</v>
      </c>
      <c r="B10" s="650">
        <v>47.2</v>
      </c>
      <c r="C10" s="650">
        <v>19.899999999999999</v>
      </c>
      <c r="D10" s="650">
        <v>29.9</v>
      </c>
      <c r="E10" s="650">
        <v>13.2</v>
      </c>
    </row>
    <row r="11" spans="1:6" x14ac:dyDescent="0.3">
      <c r="A11" s="100">
        <v>1967</v>
      </c>
      <c r="B11" s="650">
        <v>47.6</v>
      </c>
      <c r="C11" s="650">
        <v>22</v>
      </c>
      <c r="D11" s="650">
        <v>33.299999999999997</v>
      </c>
      <c r="E11" s="650">
        <v>13.6</v>
      </c>
    </row>
    <row r="12" spans="1:6" x14ac:dyDescent="0.3">
      <c r="A12" s="100">
        <v>1968</v>
      </c>
      <c r="B12" s="650">
        <v>50.4</v>
      </c>
      <c r="C12" s="650">
        <v>21.4</v>
      </c>
      <c r="D12" s="650">
        <v>31.2</v>
      </c>
      <c r="E12" s="650">
        <v>13.8</v>
      </c>
    </row>
    <row r="13" spans="1:6" x14ac:dyDescent="0.3">
      <c r="A13" s="100">
        <v>1969</v>
      </c>
      <c r="B13" s="650">
        <v>50.2</v>
      </c>
      <c r="C13" s="650">
        <v>23</v>
      </c>
      <c r="D13" s="650">
        <v>34.1</v>
      </c>
      <c r="E13" s="650">
        <v>15.4</v>
      </c>
    </row>
    <row r="14" spans="1:6" x14ac:dyDescent="0.3">
      <c r="A14" s="100">
        <v>1970</v>
      </c>
      <c r="B14" s="650">
        <v>47.7</v>
      </c>
      <c r="C14" s="650">
        <v>21.5</v>
      </c>
      <c r="D14" s="650">
        <v>31.9</v>
      </c>
      <c r="E14" s="650">
        <v>14.9</v>
      </c>
    </row>
    <row r="15" spans="1:6" x14ac:dyDescent="0.3">
      <c r="A15" s="100">
        <v>1971</v>
      </c>
      <c r="B15" s="650">
        <v>49.2</v>
      </c>
      <c r="C15" s="650">
        <v>21.9</v>
      </c>
      <c r="D15" s="650">
        <v>32.200000000000003</v>
      </c>
      <c r="E15" s="650">
        <v>15.4</v>
      </c>
    </row>
    <row r="16" spans="1:6" x14ac:dyDescent="0.3">
      <c r="A16" s="100">
        <v>1972</v>
      </c>
      <c r="B16" s="650">
        <v>46.3</v>
      </c>
      <c r="C16" s="650">
        <v>21.6</v>
      </c>
      <c r="D16" s="650">
        <v>31.4</v>
      </c>
      <c r="E16" s="650">
        <v>14.8</v>
      </c>
    </row>
    <row r="17" spans="1:5" x14ac:dyDescent="0.3">
      <c r="A17" s="100">
        <v>1973</v>
      </c>
      <c r="B17" s="650">
        <v>42.9</v>
      </c>
      <c r="C17" s="650">
        <v>20.8</v>
      </c>
      <c r="D17" s="650">
        <v>30.1</v>
      </c>
      <c r="E17" s="650">
        <v>14.5</v>
      </c>
    </row>
    <row r="18" spans="1:5" x14ac:dyDescent="0.3">
      <c r="A18" s="100">
        <v>1974</v>
      </c>
      <c r="B18" s="650">
        <v>43.1</v>
      </c>
      <c r="C18" s="650">
        <v>21.4</v>
      </c>
      <c r="D18" s="650">
        <v>30.2</v>
      </c>
      <c r="E18" s="650">
        <v>15.1</v>
      </c>
    </row>
    <row r="19" spans="1:5" x14ac:dyDescent="0.3">
      <c r="A19" s="100">
        <v>1975</v>
      </c>
      <c r="B19" s="650">
        <v>46.9</v>
      </c>
      <c r="C19" s="650">
        <v>22.4</v>
      </c>
      <c r="D19" s="650">
        <v>31.2</v>
      </c>
      <c r="E19" s="650">
        <v>16.2</v>
      </c>
    </row>
    <row r="20" spans="1:5" x14ac:dyDescent="0.3">
      <c r="A20" s="100">
        <v>1976</v>
      </c>
      <c r="B20" s="650">
        <v>46.2</v>
      </c>
      <c r="C20" s="650">
        <v>23.3</v>
      </c>
      <c r="D20" s="650">
        <v>32</v>
      </c>
      <c r="E20" s="650">
        <v>17.100000000000001</v>
      </c>
    </row>
    <row r="21" spans="1:5" x14ac:dyDescent="0.3">
      <c r="A21" s="100">
        <v>1977</v>
      </c>
      <c r="B21" s="650">
        <v>46.2</v>
      </c>
      <c r="C21" s="650">
        <v>22.9</v>
      </c>
      <c r="D21" s="650">
        <v>31.8</v>
      </c>
      <c r="E21" s="650">
        <v>16.5</v>
      </c>
    </row>
    <row r="22" spans="1:5" x14ac:dyDescent="0.3">
      <c r="A22" s="100">
        <v>1978</v>
      </c>
      <c r="B22" s="650">
        <v>45.4</v>
      </c>
      <c r="C22" s="650">
        <v>21.8</v>
      </c>
      <c r="D22" s="650">
        <v>29.5</v>
      </c>
      <c r="E22" s="650">
        <v>16.3</v>
      </c>
    </row>
    <row r="23" spans="1:5" x14ac:dyDescent="0.3">
      <c r="A23" s="100">
        <v>1979</v>
      </c>
      <c r="B23" s="650">
        <v>45</v>
      </c>
      <c r="C23" s="650">
        <v>21.7</v>
      </c>
      <c r="D23" s="650">
        <v>30.2</v>
      </c>
      <c r="E23" s="650">
        <v>15.8</v>
      </c>
    </row>
    <row r="24" spans="1:5" x14ac:dyDescent="0.3">
      <c r="A24" s="100">
        <v>1980</v>
      </c>
      <c r="B24" s="650">
        <v>46.4</v>
      </c>
      <c r="C24" s="650">
        <v>22.3</v>
      </c>
      <c r="D24" s="650">
        <v>31</v>
      </c>
      <c r="E24" s="650">
        <v>16.3</v>
      </c>
    </row>
    <row r="25" spans="1:5" x14ac:dyDescent="0.3">
      <c r="A25" s="100">
        <v>1981</v>
      </c>
      <c r="B25" s="650">
        <v>49</v>
      </c>
      <c r="C25" s="650">
        <v>22.5</v>
      </c>
      <c r="D25" s="650">
        <v>31.6</v>
      </c>
      <c r="E25" s="650">
        <v>16.5</v>
      </c>
    </row>
    <row r="26" spans="1:5" x14ac:dyDescent="0.3">
      <c r="A26" s="100">
        <v>1982</v>
      </c>
      <c r="B26" s="650">
        <v>47.8</v>
      </c>
      <c r="C26" s="650">
        <v>23.5</v>
      </c>
      <c r="D26" s="650">
        <v>34</v>
      </c>
      <c r="E26" s="650">
        <v>16.8</v>
      </c>
    </row>
    <row r="27" spans="1:5" x14ac:dyDescent="0.3">
      <c r="A27" s="100">
        <v>1983</v>
      </c>
      <c r="B27" s="650">
        <v>50.4</v>
      </c>
      <c r="C27" s="650">
        <v>22.7</v>
      </c>
      <c r="D27" s="650">
        <v>32.5</v>
      </c>
      <c r="E27" s="650">
        <v>16.600000000000001</v>
      </c>
    </row>
    <row r="28" spans="1:5" x14ac:dyDescent="0.3">
      <c r="A28" s="100">
        <v>1984</v>
      </c>
      <c r="B28" s="650">
        <v>50.1</v>
      </c>
      <c r="C28" s="650">
        <v>23.7</v>
      </c>
      <c r="D28" s="650">
        <v>33.9</v>
      </c>
      <c r="E28" s="650">
        <v>17.3</v>
      </c>
    </row>
    <row r="29" spans="1:5" x14ac:dyDescent="0.3">
      <c r="A29" s="100">
        <v>1985</v>
      </c>
      <c r="B29" s="651">
        <v>51.6</v>
      </c>
      <c r="C29" s="650">
        <v>24</v>
      </c>
      <c r="D29" s="650">
        <v>35.299999999999997</v>
      </c>
      <c r="E29" s="650">
        <v>16.899999999999999</v>
      </c>
    </row>
    <row r="30" spans="1:5" x14ac:dyDescent="0.3">
      <c r="A30" s="100">
        <v>1986</v>
      </c>
      <c r="B30" s="650">
        <v>54.6</v>
      </c>
      <c r="C30" s="650">
        <v>23.6</v>
      </c>
      <c r="D30" s="650">
        <v>33</v>
      </c>
      <c r="E30" s="650">
        <v>17.899999999999999</v>
      </c>
    </row>
    <row r="31" spans="1:5" x14ac:dyDescent="0.3">
      <c r="A31" s="100">
        <v>1987</v>
      </c>
      <c r="B31" s="650">
        <v>55.6</v>
      </c>
      <c r="C31" s="650">
        <v>25.5</v>
      </c>
      <c r="D31" s="650">
        <v>38.700000000000003</v>
      </c>
      <c r="E31" s="650">
        <v>17.5</v>
      </c>
    </row>
    <row r="32" spans="1:5" x14ac:dyDescent="0.3">
      <c r="A32" s="100">
        <v>1988</v>
      </c>
      <c r="B32" s="650">
        <v>55.6</v>
      </c>
      <c r="C32" s="650">
        <v>26.1</v>
      </c>
      <c r="D32" s="650">
        <v>39.1</v>
      </c>
      <c r="E32" s="650">
        <v>18.2</v>
      </c>
    </row>
    <row r="33" spans="1:5" x14ac:dyDescent="0.3">
      <c r="A33" s="100">
        <v>1989</v>
      </c>
      <c r="B33" s="650">
        <v>56</v>
      </c>
      <c r="C33" s="650">
        <v>27</v>
      </c>
      <c r="D33" s="650">
        <v>38.5</v>
      </c>
      <c r="E33" s="650">
        <v>19.899999999999999</v>
      </c>
    </row>
    <row r="34" spans="1:5" x14ac:dyDescent="0.3">
      <c r="A34" s="100">
        <v>1990</v>
      </c>
      <c r="B34" s="650">
        <v>57.2</v>
      </c>
      <c r="C34" s="650">
        <v>28.6</v>
      </c>
      <c r="D34" s="650">
        <v>39.700000000000003</v>
      </c>
      <c r="E34" s="650">
        <v>21</v>
      </c>
    </row>
    <row r="35" spans="1:5" x14ac:dyDescent="0.3">
      <c r="A35" s="100">
        <v>1991</v>
      </c>
      <c r="B35" s="650">
        <v>59.6</v>
      </c>
      <c r="C35" s="650">
        <v>30.2</v>
      </c>
      <c r="D35" s="650">
        <v>42</v>
      </c>
      <c r="E35" s="650">
        <v>22.2</v>
      </c>
    </row>
    <row r="36" spans="1:5" x14ac:dyDescent="0.3">
      <c r="A36" s="100">
        <v>1992</v>
      </c>
      <c r="B36" s="650">
        <v>61.4</v>
      </c>
      <c r="C36" s="650">
        <v>31.6</v>
      </c>
      <c r="D36" s="650">
        <v>44</v>
      </c>
      <c r="E36" s="650">
        <v>23.7</v>
      </c>
    </row>
    <row r="37" spans="1:5" x14ac:dyDescent="0.3">
      <c r="A37" s="100">
        <v>1993</v>
      </c>
      <c r="B37" s="650">
        <v>61.6</v>
      </c>
      <c r="C37" s="650">
        <v>30.8</v>
      </c>
      <c r="D37" s="650">
        <v>42.7</v>
      </c>
      <c r="E37" s="650">
        <v>23.6</v>
      </c>
    </row>
    <row r="38" spans="1:5" x14ac:dyDescent="0.3">
      <c r="A38" s="100">
        <v>1994</v>
      </c>
      <c r="B38" s="650">
        <v>60.2</v>
      </c>
      <c r="C38" s="650">
        <v>32</v>
      </c>
      <c r="D38" s="650">
        <v>44.9</v>
      </c>
      <c r="E38" s="650">
        <v>24</v>
      </c>
    </row>
    <row r="39" spans="1:5" x14ac:dyDescent="0.3">
      <c r="A39" s="100">
        <v>1995</v>
      </c>
      <c r="B39" s="651">
        <v>59.4</v>
      </c>
      <c r="C39" s="650">
        <v>31.5</v>
      </c>
      <c r="D39" s="650">
        <v>44.9</v>
      </c>
      <c r="E39" s="650">
        <v>23.2</v>
      </c>
    </row>
    <row r="40" spans="1:5" x14ac:dyDescent="0.3">
      <c r="A40" s="100">
        <v>1996</v>
      </c>
      <c r="B40" s="650">
        <v>61.5</v>
      </c>
      <c r="C40" s="650">
        <v>32.5</v>
      </c>
      <c r="D40" s="650">
        <v>44.4</v>
      </c>
      <c r="E40" s="650">
        <v>24.8</v>
      </c>
    </row>
    <row r="41" spans="1:5" x14ac:dyDescent="0.3">
      <c r="A41" s="100">
        <v>1997</v>
      </c>
      <c r="B41" s="650">
        <v>61.5</v>
      </c>
      <c r="C41" s="650">
        <v>34.299999999999997</v>
      </c>
      <c r="D41" s="650">
        <v>45.9</v>
      </c>
      <c r="E41" s="650">
        <v>26.4</v>
      </c>
    </row>
    <row r="42" spans="1:5" x14ac:dyDescent="0.3">
      <c r="A42" s="18">
        <v>1998</v>
      </c>
      <c r="B42" s="650">
        <v>62.2</v>
      </c>
      <c r="C42" s="650">
        <v>33</v>
      </c>
      <c r="D42" s="650">
        <v>44.8</v>
      </c>
      <c r="E42" s="650">
        <v>24.9</v>
      </c>
    </row>
    <row r="43" spans="1:5" x14ac:dyDescent="0.3">
      <c r="A43" s="100">
        <v>1999</v>
      </c>
      <c r="B43" s="650">
        <v>60.6</v>
      </c>
      <c r="C43" s="650">
        <v>32.799999999999997</v>
      </c>
      <c r="D43" s="650">
        <v>45.3</v>
      </c>
      <c r="E43" s="650">
        <v>24.5</v>
      </c>
    </row>
    <row r="44" spans="1:5" x14ac:dyDescent="0.3">
      <c r="A44" s="100">
        <v>2000</v>
      </c>
      <c r="B44" s="650">
        <v>61.2</v>
      </c>
      <c r="C44" s="650">
        <v>32.5</v>
      </c>
      <c r="D44" s="650">
        <v>44.1</v>
      </c>
      <c r="E44" s="650">
        <v>24.6</v>
      </c>
    </row>
    <row r="45" spans="1:5" x14ac:dyDescent="0.3">
      <c r="A45" s="100">
        <v>2001</v>
      </c>
      <c r="B45" s="650">
        <v>61.1</v>
      </c>
      <c r="C45" s="650">
        <v>34.1</v>
      </c>
      <c r="D45" s="650">
        <v>46.1</v>
      </c>
      <c r="E45" s="650">
        <v>25.5</v>
      </c>
    </row>
    <row r="46" spans="1:5" x14ac:dyDescent="0.3">
      <c r="A46" s="100">
        <v>2002</v>
      </c>
      <c r="B46" s="650">
        <v>63.3</v>
      </c>
      <c r="C46" s="650">
        <v>34.4</v>
      </c>
      <c r="D46" s="650">
        <v>47.8</v>
      </c>
      <c r="E46" s="650">
        <v>25.6</v>
      </c>
    </row>
    <row r="47" spans="1:5" x14ac:dyDescent="0.3">
      <c r="A47" s="100">
        <v>2003</v>
      </c>
      <c r="B47" s="650">
        <v>64.5</v>
      </c>
      <c r="C47" s="650">
        <v>35.6</v>
      </c>
      <c r="D47" s="650">
        <v>48.3</v>
      </c>
      <c r="E47" s="650">
        <v>27.8</v>
      </c>
    </row>
    <row r="48" spans="1:5" x14ac:dyDescent="0.3">
      <c r="A48" s="100">
        <v>2004</v>
      </c>
      <c r="B48" s="650">
        <v>64.400000000000006</v>
      </c>
      <c r="C48" s="650">
        <v>35.200000000000003</v>
      </c>
      <c r="D48" s="650">
        <v>48.9</v>
      </c>
      <c r="E48" s="650">
        <v>26.3</v>
      </c>
    </row>
    <row r="49" spans="1:5" x14ac:dyDescent="0.3">
      <c r="A49" s="100">
        <v>2005</v>
      </c>
      <c r="B49" s="650">
        <v>67.599999999999994</v>
      </c>
      <c r="C49" s="650">
        <v>36.1</v>
      </c>
      <c r="D49" s="650">
        <v>48.7</v>
      </c>
      <c r="E49" s="650">
        <v>27.3</v>
      </c>
    </row>
    <row r="50" spans="1:5" x14ac:dyDescent="0.3">
      <c r="A50" s="100">
        <v>2006</v>
      </c>
      <c r="B50" s="650">
        <v>65.5</v>
      </c>
      <c r="C50" s="650">
        <v>35</v>
      </c>
      <c r="D50" s="650">
        <v>47.5</v>
      </c>
      <c r="E50" s="650">
        <v>26.7</v>
      </c>
    </row>
    <row r="51" spans="1:5" x14ac:dyDescent="0.3">
      <c r="A51" s="100">
        <v>2007</v>
      </c>
      <c r="B51" s="650">
        <v>66.8</v>
      </c>
      <c r="C51" s="650">
        <v>35.700000000000003</v>
      </c>
      <c r="D51" s="650">
        <v>48.4</v>
      </c>
      <c r="E51" s="650">
        <v>27.3</v>
      </c>
    </row>
    <row r="52" spans="1:5" x14ac:dyDescent="0.3">
      <c r="A52" s="100">
        <v>2008</v>
      </c>
      <c r="B52" s="650">
        <v>66</v>
      </c>
      <c r="C52" s="650">
        <v>36.9</v>
      </c>
      <c r="D52" s="650">
        <v>50.1</v>
      </c>
      <c r="E52" s="650">
        <v>28.2</v>
      </c>
    </row>
    <row r="53" spans="1:5" x14ac:dyDescent="0.3">
      <c r="A53" s="100">
        <v>2009</v>
      </c>
      <c r="B53" s="650">
        <v>68.900000000000006</v>
      </c>
      <c r="C53" s="650">
        <v>38.700000000000003</v>
      </c>
      <c r="D53" s="650">
        <v>51.7</v>
      </c>
      <c r="E53" s="650">
        <v>30.4</v>
      </c>
    </row>
    <row r="54" spans="1:5" x14ac:dyDescent="0.3">
      <c r="A54" s="100">
        <v>2010</v>
      </c>
      <c r="B54" s="650">
        <v>69.2</v>
      </c>
      <c r="C54" s="650">
        <v>38.6</v>
      </c>
      <c r="D54" s="650">
        <v>52.4</v>
      </c>
      <c r="E54" s="650">
        <v>28.9</v>
      </c>
    </row>
    <row r="55" spans="1:5" x14ac:dyDescent="0.3">
      <c r="A55" s="100">
        <v>2011</v>
      </c>
      <c r="B55" s="650">
        <v>71.099999999999994</v>
      </c>
      <c r="C55" s="650">
        <v>39.9</v>
      </c>
      <c r="D55" s="650">
        <v>52.7</v>
      </c>
      <c r="E55" s="650">
        <v>31.1</v>
      </c>
    </row>
    <row r="56" spans="1:5" x14ac:dyDescent="0.3">
      <c r="A56" s="100">
        <v>2012</v>
      </c>
      <c r="B56" s="650">
        <v>69</v>
      </c>
      <c r="C56" s="650">
        <v>40.200000000000003</v>
      </c>
      <c r="D56" s="650">
        <v>54</v>
      </c>
      <c r="E56" s="650">
        <v>30.7</v>
      </c>
    </row>
    <row r="57" spans="1:5" x14ac:dyDescent="0.3">
      <c r="A57" s="100">
        <v>2013</v>
      </c>
      <c r="B57" s="650">
        <v>67.099999999999994</v>
      </c>
      <c r="C57" s="650">
        <v>38.700000000000003</v>
      </c>
      <c r="D57" s="650">
        <v>52.8</v>
      </c>
      <c r="E57" s="650">
        <v>29.7</v>
      </c>
    </row>
    <row r="58" spans="1:5" x14ac:dyDescent="0.3">
      <c r="A58" s="23">
        <v>2014</v>
      </c>
      <c r="B58" s="650">
        <v>68.400000000000006</v>
      </c>
      <c r="C58" s="650">
        <v>38</v>
      </c>
      <c r="D58" s="650">
        <v>51.4</v>
      </c>
      <c r="E58" s="650">
        <v>29.6</v>
      </c>
    </row>
    <row r="59" spans="1:5" x14ac:dyDescent="0.3">
      <c r="A59" s="581"/>
      <c r="B59" s="652"/>
      <c r="C59" s="652"/>
      <c r="D59" s="652"/>
      <c r="E59" s="652"/>
    </row>
    <row r="60" spans="1:5" x14ac:dyDescent="0.3">
      <c r="A60" s="584"/>
      <c r="C60" s="649"/>
      <c r="D60" s="649"/>
      <c r="E60" s="649"/>
    </row>
    <row r="61" spans="1:5" x14ac:dyDescent="0.3">
      <c r="A61" s="169" t="s">
        <v>928</v>
      </c>
      <c r="C61" s="649"/>
      <c r="D61" s="649"/>
      <c r="E61" s="649"/>
    </row>
    <row r="62" spans="1:5" x14ac:dyDescent="0.3">
      <c r="A62" s="653" t="s">
        <v>927</v>
      </c>
      <c r="C62" s="649"/>
      <c r="D62" s="649"/>
      <c r="E62" s="649"/>
    </row>
    <row r="63" spans="1:5" x14ac:dyDescent="0.3">
      <c r="A63" s="649"/>
      <c r="C63" s="649"/>
      <c r="D63" s="649"/>
      <c r="E63" s="649"/>
    </row>
    <row r="64" spans="1:5" x14ac:dyDescent="0.3">
      <c r="B64" s="649"/>
      <c r="C64" s="649"/>
      <c r="D64" s="649"/>
      <c r="E64" s="649"/>
    </row>
  </sheetData>
  <hyperlinks>
    <hyperlink ref="A62" r:id="rId1"/>
    <hyperlink ref="F1" location="Index!A1" display="Index"/>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AK192"/>
  <sheetViews>
    <sheetView topLeftCell="C1" zoomScale="85" zoomScaleNormal="85" workbookViewId="0">
      <selection activeCell="AG7" sqref="AG7"/>
    </sheetView>
  </sheetViews>
  <sheetFormatPr defaultRowHeight="14.4" x14ac:dyDescent="0.3"/>
  <cols>
    <col min="2" max="2" width="15.5546875" customWidth="1"/>
    <col min="3" max="3" width="12.21875" customWidth="1"/>
    <col min="4" max="4" width="9.21875" customWidth="1"/>
    <col min="5" max="5" width="9.44140625" bestFit="1" customWidth="1"/>
    <col min="6" max="8" width="10.21875" customWidth="1"/>
    <col min="9" max="9" width="11.77734375" customWidth="1"/>
    <col min="11" max="11" width="2.88671875" customWidth="1"/>
    <col min="12" max="12" width="10.44140625" customWidth="1"/>
    <col min="13" max="13" width="10" customWidth="1"/>
    <col min="14" max="17" width="8.5546875" customWidth="1"/>
    <col min="18" max="18" width="9.77734375" customWidth="1"/>
    <col min="19" max="19" width="10.21875" bestFit="1" customWidth="1"/>
    <col min="20" max="20" width="2.5546875" customWidth="1"/>
    <col min="21" max="21" width="10.5546875" customWidth="1"/>
    <col min="28" max="28" width="11.5546875" bestFit="1" customWidth="1"/>
    <col min="29" max="29" width="2" customWidth="1"/>
    <col min="30" max="30" width="10.5546875" customWidth="1"/>
    <col min="33" max="33" width="9.88671875" bestFit="1" customWidth="1"/>
  </cols>
  <sheetData>
    <row r="1" spans="1:37" ht="15.6" x14ac:dyDescent="0.3">
      <c r="A1" s="75" t="s">
        <v>1807</v>
      </c>
      <c r="H1" s="463" t="s">
        <v>504</v>
      </c>
    </row>
    <row r="2" spans="1:37" x14ac:dyDescent="0.3">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row>
    <row r="3" spans="1:37" s="721" customFormat="1" ht="15" x14ac:dyDescent="0.25">
      <c r="C3" s="1476" t="s">
        <v>1141</v>
      </c>
      <c r="D3" s="1476"/>
      <c r="E3" s="1476"/>
      <c r="F3" s="1476"/>
      <c r="G3" s="1476"/>
      <c r="H3" s="1476"/>
      <c r="I3" s="1476"/>
      <c r="J3" s="1476"/>
      <c r="L3" s="1476" t="s">
        <v>1142</v>
      </c>
      <c r="M3" s="1476"/>
      <c r="N3" s="1476"/>
      <c r="O3" s="1476"/>
      <c r="P3" s="1476"/>
      <c r="Q3" s="1476"/>
      <c r="R3" s="1476"/>
      <c r="S3" s="1476"/>
      <c r="U3" s="1476" t="s">
        <v>1143</v>
      </c>
      <c r="V3" s="1476"/>
      <c r="W3" s="1476"/>
      <c r="X3" s="1476"/>
      <c r="Y3" s="1476"/>
      <c r="Z3" s="1476"/>
      <c r="AA3" s="1476"/>
      <c r="AB3" s="1476"/>
      <c r="AD3" s="1476" t="s">
        <v>1144</v>
      </c>
      <c r="AE3" s="1476"/>
      <c r="AF3" s="1476"/>
      <c r="AG3" s="1476"/>
      <c r="AH3" s="1476"/>
      <c r="AI3" s="1476"/>
      <c r="AJ3" s="1476"/>
      <c r="AK3" s="722"/>
    </row>
    <row r="4" spans="1:37" s="721" customFormat="1" ht="15" x14ac:dyDescent="0.25">
      <c r="A4" s="723"/>
      <c r="B4" s="724" t="s">
        <v>676</v>
      </c>
      <c r="C4" s="724" t="s">
        <v>1145</v>
      </c>
      <c r="D4" s="724" t="s">
        <v>1146</v>
      </c>
      <c r="E4" s="724" t="s">
        <v>1147</v>
      </c>
      <c r="F4" s="724" t="s">
        <v>1148</v>
      </c>
      <c r="G4" s="724" t="s">
        <v>1587</v>
      </c>
      <c r="H4" s="724" t="s">
        <v>1149</v>
      </c>
      <c r="I4" s="724" t="s">
        <v>1150</v>
      </c>
      <c r="J4" s="724" t="s">
        <v>246</v>
      </c>
      <c r="K4" s="731"/>
      <c r="L4" s="724" t="s">
        <v>1145</v>
      </c>
      <c r="M4" s="724" t="s">
        <v>1146</v>
      </c>
      <c r="N4" s="724" t="s">
        <v>1147</v>
      </c>
      <c r="O4" s="724" t="s">
        <v>1148</v>
      </c>
      <c r="P4" s="724" t="s">
        <v>1587</v>
      </c>
      <c r="Q4" s="724" t="s">
        <v>1149</v>
      </c>
      <c r="R4" s="724" t="s">
        <v>1150</v>
      </c>
      <c r="S4" s="724" t="s">
        <v>246</v>
      </c>
      <c r="T4" s="731"/>
      <c r="U4" s="724" t="s">
        <v>1145</v>
      </c>
      <c r="V4" s="724" t="s">
        <v>1146</v>
      </c>
      <c r="W4" s="724" t="s">
        <v>1147</v>
      </c>
      <c r="X4" s="724" t="s">
        <v>1148</v>
      </c>
      <c r="Y4" s="724" t="s">
        <v>1587</v>
      </c>
      <c r="Z4" s="724" t="s">
        <v>1149</v>
      </c>
      <c r="AA4" s="724" t="s">
        <v>1150</v>
      </c>
      <c r="AB4" s="724" t="s">
        <v>246</v>
      </c>
      <c r="AC4" s="731"/>
      <c r="AD4" s="724" t="s">
        <v>1145</v>
      </c>
      <c r="AE4" s="724" t="s">
        <v>1146</v>
      </c>
      <c r="AF4" s="724" t="s">
        <v>1147</v>
      </c>
      <c r="AG4" s="724" t="s">
        <v>1148</v>
      </c>
      <c r="AH4" s="724" t="s">
        <v>1587</v>
      </c>
      <c r="AI4" s="724" t="s">
        <v>1149</v>
      </c>
      <c r="AJ4" s="724" t="s">
        <v>1150</v>
      </c>
      <c r="AK4" s="733"/>
    </row>
    <row r="5" spans="1:37" s="721" customFormat="1" ht="15" x14ac:dyDescent="0.25">
      <c r="A5" s="726">
        <v>1960</v>
      </c>
      <c r="B5" s="727"/>
      <c r="C5" s="728"/>
      <c r="D5" s="728"/>
      <c r="E5" s="728"/>
      <c r="F5" s="728"/>
      <c r="G5" s="729"/>
      <c r="H5" s="729"/>
      <c r="I5" s="729"/>
      <c r="J5" s="727"/>
      <c r="K5" s="730"/>
      <c r="L5" s="728"/>
      <c r="M5" s="728"/>
      <c r="N5" s="728"/>
      <c r="O5" s="729"/>
      <c r="P5" s="729"/>
      <c r="Q5" s="729"/>
      <c r="R5" s="729"/>
      <c r="S5" s="728"/>
      <c r="T5" s="729"/>
      <c r="U5" s="728"/>
      <c r="V5" s="728"/>
      <c r="W5" s="728"/>
      <c r="X5" s="728"/>
      <c r="Y5" s="728"/>
      <c r="Z5" s="728"/>
      <c r="AA5" s="728"/>
      <c r="AB5" s="727"/>
      <c r="AC5" s="730"/>
      <c r="AD5" s="729">
        <f>AD7</f>
        <v>0.67223387389846756</v>
      </c>
      <c r="AE5" s="729">
        <f t="shared" ref="AE5:AJ5" si="0">AE7</f>
        <v>0.3277661261015325</v>
      </c>
      <c r="AF5" s="729">
        <f t="shared" si="0"/>
        <v>0.21195020363227537</v>
      </c>
      <c r="AG5" s="729">
        <f t="shared" si="0"/>
        <v>4.87426878904548E-2</v>
      </c>
      <c r="AH5" s="729">
        <f t="shared" si="0"/>
        <v>2.6311104774537897E-2</v>
      </c>
      <c r="AI5" s="729">
        <f t="shared" si="0"/>
        <v>6.9286242639475266E-3</v>
      </c>
      <c r="AJ5" s="729">
        <f t="shared" si="0"/>
        <v>0</v>
      </c>
      <c r="AK5" s="733"/>
    </row>
    <row r="6" spans="1:37" s="721" customFormat="1" ht="12.75" customHeight="1" x14ac:dyDescent="0.25">
      <c r="A6" s="726">
        <v>1961</v>
      </c>
      <c r="B6" s="732"/>
      <c r="C6" s="732"/>
      <c r="D6" s="732"/>
      <c r="E6" s="732"/>
      <c r="F6" s="732"/>
      <c r="G6" s="732"/>
      <c r="H6" s="732"/>
      <c r="I6" s="732"/>
      <c r="J6" s="732"/>
      <c r="K6" s="731"/>
      <c r="L6" s="732"/>
      <c r="M6" s="732"/>
      <c r="N6" s="732"/>
      <c r="O6" s="732"/>
      <c r="P6" s="732"/>
      <c r="Q6" s="732"/>
      <c r="R6" s="732"/>
      <c r="S6" s="732"/>
      <c r="T6" s="731"/>
      <c r="U6" s="732"/>
      <c r="V6" s="732"/>
      <c r="W6" s="732"/>
      <c r="X6" s="732"/>
      <c r="Y6" s="732"/>
      <c r="Z6" s="732"/>
      <c r="AA6" s="732"/>
      <c r="AB6" s="732"/>
      <c r="AC6" s="731"/>
      <c r="AD6" s="732"/>
      <c r="AE6" s="732"/>
      <c r="AF6" s="732"/>
      <c r="AG6" s="732"/>
      <c r="AH6" s="732"/>
      <c r="AI6" s="732"/>
      <c r="AJ6" s="732"/>
      <c r="AK6" s="725"/>
    </row>
    <row r="7" spans="1:37" s="730" customFormat="1" ht="12" customHeight="1" x14ac:dyDescent="0.25">
      <c r="A7" s="726">
        <v>1962</v>
      </c>
      <c r="B7" s="727">
        <v>535.20000000000005</v>
      </c>
      <c r="C7" s="728">
        <v>27.330988103843548</v>
      </c>
      <c r="D7" s="728">
        <v>7.3109594175566128</v>
      </c>
      <c r="E7" s="728">
        <v>4.7439541280675401</v>
      </c>
      <c r="F7" s="728">
        <v>1.162560389089315</v>
      </c>
      <c r="G7" s="729">
        <v>0.63275950579774964</v>
      </c>
      <c r="H7" s="729">
        <v>0.15552975918674272</v>
      </c>
      <c r="I7" s="729">
        <v>-4.3062824981133054E-4</v>
      </c>
      <c r="J7" s="728">
        <f>C7+D7</f>
        <v>34.641947521400162</v>
      </c>
      <c r="L7" s="727">
        <f>S7-M7</f>
        <v>14.354220679999997</v>
      </c>
      <c r="M7" s="728">
        <f>('C1-Incomes'!FG10-'C1-Incomes'!EY10)/1000</f>
        <v>0.98377932000000146</v>
      </c>
      <c r="N7" s="728">
        <f>('C1-Incomes'!FH10-'C1-Incomes'!EZ10)/1000</f>
        <v>0.65247852000001871</v>
      </c>
      <c r="O7" s="728">
        <f>('C1-Incomes'!FI10-'C1-Incomes'!FA10)/1000</f>
        <v>0.2216340999999884</v>
      </c>
      <c r="P7" s="728">
        <f>('C1-Incomes'!FJ10-'C1-Incomes'!FB10)/1000</f>
        <v>0.12485132000000886</v>
      </c>
      <c r="Q7" s="728">
        <f>('C1-Incomes'!FK10-'C1-Incomes'!FC10)/1000</f>
        <v>2.1779959999999845E-2</v>
      </c>
      <c r="R7" s="728">
        <f>('C1-Incomes'!FL10-'C1-Incomes'!FD10)/1000</f>
        <v>2.7608399999999164E-3</v>
      </c>
      <c r="S7" s="728">
        <f>('C1-Incomes'!FF10-'C1-Incomes'!EX10)/1000</f>
        <v>15.337999999999999</v>
      </c>
      <c r="T7" s="729"/>
      <c r="U7" s="728">
        <f>C7-L7</f>
        <v>12.976767423843551</v>
      </c>
      <c r="V7" s="728">
        <f t="shared" ref="V7:AB7" si="1">MAX(0,D7-M7)</f>
        <v>6.327180097556611</v>
      </c>
      <c r="W7" s="728">
        <f t="shared" si="1"/>
        <v>4.0914756080675216</v>
      </c>
      <c r="X7" s="728">
        <f t="shared" si="1"/>
        <v>0.94092628908932663</v>
      </c>
      <c r="Y7" s="729">
        <f t="shared" si="1"/>
        <v>0.50790818579774077</v>
      </c>
      <c r="Z7" s="729">
        <f t="shared" si="1"/>
        <v>0.13374979918674287</v>
      </c>
      <c r="AA7" s="729">
        <f t="shared" si="1"/>
        <v>0</v>
      </c>
      <c r="AB7" s="728">
        <f t="shared" si="1"/>
        <v>19.303947521400161</v>
      </c>
      <c r="AD7" s="729">
        <f>U7/$AB7</f>
        <v>0.67223387389846756</v>
      </c>
      <c r="AE7" s="729">
        <f t="shared" ref="AE7:AJ7" si="2">V7/$AB7</f>
        <v>0.3277661261015325</v>
      </c>
      <c r="AF7" s="729">
        <f t="shared" si="2"/>
        <v>0.21195020363227537</v>
      </c>
      <c r="AG7" s="729">
        <f t="shared" si="2"/>
        <v>4.87426878904548E-2</v>
      </c>
      <c r="AH7" s="729">
        <f t="shared" si="2"/>
        <v>2.6311104774537897E-2</v>
      </c>
      <c r="AI7" s="729">
        <f t="shared" si="2"/>
        <v>6.9286242639475266E-3</v>
      </c>
      <c r="AJ7" s="729">
        <f t="shared" si="2"/>
        <v>0</v>
      </c>
      <c r="AK7" s="733"/>
    </row>
    <row r="8" spans="1:37" s="730" customFormat="1" ht="12" customHeight="1" x14ac:dyDescent="0.25">
      <c r="A8" s="726">
        <v>1963</v>
      </c>
      <c r="B8" s="727">
        <v>566.6</v>
      </c>
      <c r="C8" s="728">
        <v>29.53706211843518</v>
      </c>
      <c r="D8" s="728">
        <v>10.157144778091848</v>
      </c>
      <c r="E8" s="728">
        <v>6.6691383706153697</v>
      </c>
      <c r="F8" s="728">
        <v>1.7771580787314691</v>
      </c>
      <c r="G8" s="729">
        <v>1.0218065538388108</v>
      </c>
      <c r="H8" s="729">
        <v>0.26501609301158463</v>
      </c>
      <c r="I8" s="729">
        <v>2.3418263062079211E-2</v>
      </c>
      <c r="J8" s="728">
        <f t="shared" ref="J8:J59" si="3">C8+D8</f>
        <v>39.694206896527028</v>
      </c>
      <c r="L8" s="727">
        <f t="shared" ref="L8:L58" si="4">S8-M8</f>
        <v>15.212688415000013</v>
      </c>
      <c r="M8" s="728">
        <f>('C1-Incomes'!FG11-'C1-Incomes'!EY11)/1000</f>
        <v>1.0138115849999885</v>
      </c>
      <c r="N8" s="728">
        <f>('C1-Incomes'!FH11-'C1-Incomes'!EZ11)/1000</f>
        <v>0.68514080999998261</v>
      </c>
      <c r="O8" s="728">
        <f>('C1-Incomes'!FI11-'C1-Incomes'!FA11)/1000</f>
        <v>0.23447292500000186</v>
      </c>
      <c r="P8" s="728">
        <f>('C1-Incomes'!FJ11-'C1-Incomes'!FB11)/1000</f>
        <v>0.13704706000000441</v>
      </c>
      <c r="Q8" s="728">
        <f>('C1-Incomes'!FK11-'C1-Incomes'!FC11)/1000</f>
        <v>2.3127205000000685E-2</v>
      </c>
      <c r="R8" s="728">
        <f>('C1-Incomes'!FL11-'C1-Incomes'!FD11)/1000</f>
        <v>2.9207699999988109E-3</v>
      </c>
      <c r="S8" s="728">
        <f>('C1-Incomes'!FF11-'C1-Incomes'!EX11)/1000</f>
        <v>16.226500000000001</v>
      </c>
      <c r="T8" s="729"/>
      <c r="U8" s="728">
        <f>C8-L8</f>
        <v>14.324373703435167</v>
      </c>
      <c r="V8" s="728">
        <f t="shared" ref="V8:V59" si="5">MAX(0,D8-M8)</f>
        <v>9.1433331930918591</v>
      </c>
      <c r="W8" s="728">
        <f t="shared" ref="W8:W59" si="6">MAX(0,E8-N8)</f>
        <v>5.9839975606153875</v>
      </c>
      <c r="X8" s="728">
        <f t="shared" ref="X8:X59" si="7">MAX(0,F8-O8)</f>
        <v>1.5426851537314672</v>
      </c>
      <c r="Y8" s="729">
        <f t="shared" ref="Y8:Y59" si="8">MAX(0,G8-P8)</f>
        <v>0.88475949383880637</v>
      </c>
      <c r="Z8" s="729">
        <f t="shared" ref="Z8:Z59" si="9">MAX(0,H8-Q8)</f>
        <v>0.24188888801158395</v>
      </c>
      <c r="AA8" s="729">
        <f t="shared" ref="AA8:AA58" si="10">MAX(0,I8-R8)</f>
        <v>2.0497493062080402E-2</v>
      </c>
      <c r="AB8" s="728">
        <f t="shared" ref="AB8:AB59" si="11">MAX(0,J8-S8)</f>
        <v>23.467706896527027</v>
      </c>
      <c r="AD8" s="729">
        <f t="shared" ref="AD8:AD59" si="12">U8/$AB8</f>
        <v>0.6103865949320777</v>
      </c>
      <c r="AE8" s="729">
        <f t="shared" ref="AE8:AE59" si="13">V8/$AB8</f>
        <v>0.38961340506792236</v>
      </c>
      <c r="AF8" s="729">
        <f t="shared" ref="AF8:AF59" si="14">W8/$AB8</f>
        <v>0.25498859292046794</v>
      </c>
      <c r="AG8" s="729">
        <f t="shared" ref="AG8:AG58" si="15">X8/$AB8</f>
        <v>6.5736510198180817E-2</v>
      </c>
      <c r="AH8" s="729">
        <f t="shared" ref="AH8:AH59" si="16">Y8/$AB8</f>
        <v>3.7701148124094794E-2</v>
      </c>
      <c r="AI8" s="729">
        <f t="shared" ref="AI8:AI59" si="17">Z8/$AB8</f>
        <v>1.0307308212008603E-2</v>
      </c>
      <c r="AJ8" s="729">
        <f t="shared" ref="AJ8:AJ59" si="18">AA8/$AB8</f>
        <v>8.7343399815146899E-4</v>
      </c>
      <c r="AK8" s="733"/>
    </row>
    <row r="9" spans="1:37" s="730" customFormat="1" ht="12" customHeight="1" x14ac:dyDescent="0.25">
      <c r="A9" s="726">
        <v>1964</v>
      </c>
      <c r="B9" s="727">
        <v>608.29999999999995</v>
      </c>
      <c r="C9" s="728">
        <v>28.999892578455288</v>
      </c>
      <c r="D9" s="728">
        <v>13.489527536307467</v>
      </c>
      <c r="E9" s="728">
        <v>8.9209898840013615</v>
      </c>
      <c r="F9" s="728">
        <v>2.4925174633572027</v>
      </c>
      <c r="G9" s="729">
        <v>1.4734653263124107</v>
      </c>
      <c r="H9" s="729">
        <v>0.39199808795518698</v>
      </c>
      <c r="I9" s="729">
        <v>5.0735441835415451E-2</v>
      </c>
      <c r="J9" s="728">
        <f t="shared" si="3"/>
        <v>42.489420114762751</v>
      </c>
      <c r="L9" s="727">
        <f t="shared" si="4"/>
        <v>16.071156150000053</v>
      </c>
      <c r="M9" s="728">
        <f>('C1-Incomes'!FG12-'C1-Incomes'!EY12)/1000</f>
        <v>1.0438438499999465</v>
      </c>
      <c r="N9" s="728">
        <f>('C1-Incomes'!FH12-'C1-Incomes'!EZ12)/1000</f>
        <v>0.71780309999996095</v>
      </c>
      <c r="O9" s="728">
        <f>('C1-Incomes'!FI12-'C1-Incomes'!FA12)/1000</f>
        <v>0.24731175000000805</v>
      </c>
      <c r="P9" s="728">
        <f>('C1-Incomes'!FJ12-'C1-Incomes'!FB12)/1000</f>
        <v>0.14924279999999998</v>
      </c>
      <c r="Q9" s="728">
        <f>('C1-Incomes'!FK12-'C1-Incomes'!FC12)/1000</f>
        <v>2.4474449999997885E-2</v>
      </c>
      <c r="R9" s="728">
        <f>('C1-Incomes'!FL12-'C1-Incomes'!FD12)/1000</f>
        <v>3.0806999999986148E-3</v>
      </c>
      <c r="S9" s="728">
        <f>('C1-Incomes'!FF12-'C1-Incomes'!EX12)/1000</f>
        <v>17.114999999999998</v>
      </c>
      <c r="T9" s="729"/>
      <c r="U9" s="728">
        <f t="shared" ref="U9:U59" si="19">C9-L9</f>
        <v>12.928736428455235</v>
      </c>
      <c r="V9" s="728">
        <f t="shared" si="5"/>
        <v>12.44568368630752</v>
      </c>
      <c r="W9" s="728">
        <f t="shared" si="6"/>
        <v>8.2031867840014012</v>
      </c>
      <c r="X9" s="728">
        <f t="shared" si="7"/>
        <v>2.2452057133571945</v>
      </c>
      <c r="Y9" s="729">
        <f t="shared" si="8"/>
        <v>1.3242225263124108</v>
      </c>
      <c r="Z9" s="729">
        <f t="shared" si="9"/>
        <v>0.36752363795518911</v>
      </c>
      <c r="AA9" s="729">
        <f t="shared" si="10"/>
        <v>4.7654741835416833E-2</v>
      </c>
      <c r="AB9" s="728">
        <f t="shared" si="11"/>
        <v>25.374420114762753</v>
      </c>
      <c r="AD9" s="729">
        <f t="shared" si="12"/>
        <v>0.50951849815607564</v>
      </c>
      <c r="AE9" s="729">
        <f t="shared" si="13"/>
        <v>0.49048150184392442</v>
      </c>
      <c r="AF9" s="729">
        <f t="shared" si="14"/>
        <v>0.32328568483142656</v>
      </c>
      <c r="AG9" s="729">
        <f t="shared" si="15"/>
        <v>8.8483035403474755E-2</v>
      </c>
      <c r="AH9" s="729">
        <f t="shared" si="16"/>
        <v>5.2187302027918367E-2</v>
      </c>
      <c r="AI9" s="729">
        <f t="shared" si="17"/>
        <v>1.448402116355617E-2</v>
      </c>
      <c r="AJ9" s="729">
        <f t="shared" si="18"/>
        <v>1.8780623013209853E-3</v>
      </c>
      <c r="AK9" s="733"/>
    </row>
    <row r="10" spans="1:37" s="730" customFormat="1" ht="12" customHeight="1" x14ac:dyDescent="0.25">
      <c r="A10" s="726">
        <v>1965</v>
      </c>
      <c r="B10" s="727">
        <v>660.3</v>
      </c>
      <c r="C10" s="728">
        <v>31.905014901768347</v>
      </c>
      <c r="D10" s="728">
        <v>15.085251968879366</v>
      </c>
      <c r="E10" s="728">
        <v>9.8804353173297237</v>
      </c>
      <c r="F10" s="728">
        <v>2.7449410281251159</v>
      </c>
      <c r="G10" s="729">
        <v>1.6372255694000488</v>
      </c>
      <c r="H10" s="729">
        <v>0.45629239943722777</v>
      </c>
      <c r="I10" s="729">
        <v>7.6993403550159614E-2</v>
      </c>
      <c r="J10" s="728">
        <f t="shared" si="3"/>
        <v>46.990266870647716</v>
      </c>
      <c r="L10" s="727">
        <f t="shared" si="4"/>
        <v>17.821757775000066</v>
      </c>
      <c r="M10" s="728">
        <f>('C1-Incomes'!FG13-'C1-Incomes'!EY13)/1000</f>
        <v>1.2297422249999364</v>
      </c>
      <c r="N10" s="728">
        <f>('C1-Incomes'!FH13-'C1-Incomes'!EZ13)/1000</f>
        <v>0.84697748999999023</v>
      </c>
      <c r="O10" s="728">
        <f>('C1-Incomes'!FI13-'C1-Incomes'!FA13)/1000</f>
        <v>0.286942515000017</v>
      </c>
      <c r="P10" s="728">
        <f>('C1-Incomes'!FJ13-'C1-Incomes'!FB13)/1000</f>
        <v>0.16654884000000311</v>
      </c>
      <c r="Q10" s="728">
        <f>('C1-Incomes'!FK13-'C1-Incomes'!FC13)/1000</f>
        <v>2.7348584999999731E-2</v>
      </c>
      <c r="R10" s="728">
        <f>('C1-Incomes'!FL13-'C1-Incomes'!FD13)/1000</f>
        <v>3.4292699999987236E-3</v>
      </c>
      <c r="S10" s="728">
        <f>('C1-Incomes'!FF13-'C1-Incomes'!EX13)/1000</f>
        <v>19.051500000000001</v>
      </c>
      <c r="T10" s="729"/>
      <c r="U10" s="728">
        <f t="shared" si="19"/>
        <v>14.083257126768281</v>
      </c>
      <c r="V10" s="728">
        <f t="shared" si="5"/>
        <v>13.855509743879429</v>
      </c>
      <c r="W10" s="728">
        <f t="shared" si="6"/>
        <v>9.0334578273297339</v>
      </c>
      <c r="X10" s="728">
        <f t="shared" si="7"/>
        <v>2.4579985131250988</v>
      </c>
      <c r="Y10" s="729">
        <f t="shared" si="8"/>
        <v>1.4706767294000458</v>
      </c>
      <c r="Z10" s="729">
        <f t="shared" si="9"/>
        <v>0.42894381443722807</v>
      </c>
      <c r="AA10" s="729">
        <f t="shared" si="10"/>
        <v>7.3564133550160893E-2</v>
      </c>
      <c r="AB10" s="728">
        <f t="shared" si="11"/>
        <v>27.938766870647715</v>
      </c>
      <c r="AD10" s="729">
        <f t="shared" si="12"/>
        <v>0.50407583097606423</v>
      </c>
      <c r="AE10" s="729">
        <f t="shared" si="13"/>
        <v>0.49592416902393555</v>
      </c>
      <c r="AF10" s="729">
        <f t="shared" si="14"/>
        <v>0.32333058467302023</v>
      </c>
      <c r="AG10" s="729">
        <f t="shared" si="15"/>
        <v>8.797806018086847E-2</v>
      </c>
      <c r="AH10" s="729">
        <f t="shared" si="16"/>
        <v>5.2639285628068612E-2</v>
      </c>
      <c r="AI10" s="729">
        <f t="shared" si="17"/>
        <v>1.535299737540935E-2</v>
      </c>
      <c r="AJ10" s="729">
        <f t="shared" si="18"/>
        <v>2.6330486914741711E-3</v>
      </c>
      <c r="AK10" s="733"/>
    </row>
    <row r="11" spans="1:37" s="730" customFormat="1" ht="12" customHeight="1" x14ac:dyDescent="0.25">
      <c r="A11" s="726">
        <v>1966</v>
      </c>
      <c r="B11" s="727">
        <v>719.7</v>
      </c>
      <c r="C11" s="728">
        <v>37.91771304426301</v>
      </c>
      <c r="D11" s="728">
        <v>16.9238046142919</v>
      </c>
      <c r="E11" s="728">
        <v>10.983762542289787</v>
      </c>
      <c r="F11" s="728">
        <v>3.0352026005176338</v>
      </c>
      <c r="G11" s="729">
        <v>1.8263099634207114</v>
      </c>
      <c r="H11" s="729">
        <v>0.53104650629942651</v>
      </c>
      <c r="I11" s="729">
        <v>0.10782180952849139</v>
      </c>
      <c r="J11" s="728">
        <f t="shared" si="3"/>
        <v>54.841517658554906</v>
      </c>
      <c r="L11" s="727">
        <f t="shared" si="4"/>
        <v>19.572359400000074</v>
      </c>
      <c r="M11" s="728">
        <f>('C1-Incomes'!FG14-'C1-Incomes'!EY14)/1000</f>
        <v>1.415640599999926</v>
      </c>
      <c r="N11" s="728">
        <f>('C1-Incomes'!FH14-'C1-Incomes'!EZ14)/1000</f>
        <v>0.97615187999999031</v>
      </c>
      <c r="O11" s="728">
        <f>('C1-Incomes'!FI14-'C1-Incomes'!FA14)/1000</f>
        <v>0.32657328000001146</v>
      </c>
      <c r="P11" s="728">
        <f>('C1-Incomes'!FJ14-'C1-Incomes'!FB14)/1000</f>
        <v>0.18385488000000624</v>
      </c>
      <c r="Q11" s="728">
        <f>('C1-Incomes'!FK14-'C1-Incomes'!FC14)/1000</f>
        <v>3.0222720000005209E-2</v>
      </c>
      <c r="R11" s="728">
        <f>('C1-Incomes'!FL14-'C1-Incomes'!FD14)/1000</f>
        <v>3.7778400000006511E-3</v>
      </c>
      <c r="S11" s="728">
        <f>('C1-Incomes'!FF14-'C1-Incomes'!EX14)/1000</f>
        <v>20.988</v>
      </c>
      <c r="T11" s="729"/>
      <c r="U11" s="728">
        <f t="shared" si="19"/>
        <v>18.345353644262936</v>
      </c>
      <c r="V11" s="728">
        <f t="shared" si="5"/>
        <v>15.508164014291975</v>
      </c>
      <c r="W11" s="728">
        <f t="shared" si="6"/>
        <v>10.007610662289796</v>
      </c>
      <c r="X11" s="728">
        <f t="shared" si="7"/>
        <v>2.7086293205176224</v>
      </c>
      <c r="Y11" s="729">
        <f t="shared" si="8"/>
        <v>1.6424550834207052</v>
      </c>
      <c r="Z11" s="729">
        <f t="shared" si="9"/>
        <v>0.50082378629942126</v>
      </c>
      <c r="AA11" s="729">
        <f t="shared" si="10"/>
        <v>0.10404396952849074</v>
      </c>
      <c r="AB11" s="728">
        <f t="shared" si="11"/>
        <v>33.853517658554907</v>
      </c>
      <c r="AD11" s="729">
        <f t="shared" si="12"/>
        <v>0.54190391170847785</v>
      </c>
      <c r="AE11" s="729">
        <f t="shared" si="13"/>
        <v>0.45809608829152221</v>
      </c>
      <c r="AF11" s="729">
        <f t="shared" si="14"/>
        <v>0.29561508978848572</v>
      </c>
      <c r="AG11" s="729">
        <f t="shared" si="15"/>
        <v>8.0010276859165383E-2</v>
      </c>
      <c r="AH11" s="729">
        <f t="shared" si="16"/>
        <v>4.851652640610158E-2</v>
      </c>
      <c r="AI11" s="729">
        <f t="shared" si="17"/>
        <v>1.4793847757586315E-2</v>
      </c>
      <c r="AJ11" s="729">
        <f t="shared" si="18"/>
        <v>3.0733577106483779E-3</v>
      </c>
      <c r="AK11" s="733"/>
    </row>
    <row r="12" spans="1:37" s="730" customFormat="1" ht="12" customHeight="1" x14ac:dyDescent="0.25">
      <c r="A12" s="726">
        <v>1967</v>
      </c>
      <c r="B12" s="727">
        <v>760.2</v>
      </c>
      <c r="C12" s="728">
        <v>44.01444286932783</v>
      </c>
      <c r="D12" s="728">
        <v>15.261986015281662</v>
      </c>
      <c r="E12" s="728">
        <v>9.6202104221865969</v>
      </c>
      <c r="F12" s="728">
        <v>2.7814622696376277</v>
      </c>
      <c r="G12" s="729">
        <v>1.6678520096662717</v>
      </c>
      <c r="H12" s="729">
        <v>0.51946807762233516</v>
      </c>
      <c r="I12" s="729">
        <v>0.13628014973954652</v>
      </c>
      <c r="J12" s="728">
        <f t="shared" si="3"/>
        <v>59.276428884609494</v>
      </c>
      <c r="L12" s="727">
        <f t="shared" si="4"/>
        <v>20.98797530000002</v>
      </c>
      <c r="M12" s="728">
        <f>('C1-Incomes'!FG15-'C1-Incomes'!EY15)/1000</f>
        <v>1.44202469999998</v>
      </c>
      <c r="N12" s="728">
        <f>('C1-Incomes'!FH15-'C1-Incomes'!EZ15)/1000</f>
        <v>0.91940570000000299</v>
      </c>
      <c r="O12" s="728">
        <f>('C1-Incomes'!FI15-'C1-Incomes'!FA15)/1000</f>
        <v>0.30504799999999521</v>
      </c>
      <c r="P12" s="728">
        <f>('C1-Incomes'!FJ15-'C1-Incomes'!FB15)/1000</f>
        <v>0.17158950000000187</v>
      </c>
      <c r="Q12" s="728">
        <f>('C1-Incomes'!FK15-'C1-Incomes'!FC15)/1000</f>
        <v>3.0729100000000471E-2</v>
      </c>
      <c r="R12" s="728">
        <f>('C1-Incomes'!FL15-'C1-Incomes'!FD15)/1000</f>
        <v>3.8131000000012137E-3</v>
      </c>
      <c r="S12" s="728">
        <f>('C1-Incomes'!FF15-'C1-Incomes'!EX15)/1000</f>
        <v>22.43</v>
      </c>
      <c r="T12" s="729"/>
      <c r="U12" s="728">
        <f t="shared" si="19"/>
        <v>23.02646756932781</v>
      </c>
      <c r="V12" s="728">
        <f t="shared" si="5"/>
        <v>13.819961315281683</v>
      </c>
      <c r="W12" s="728">
        <f t="shared" si="6"/>
        <v>8.7008047221865947</v>
      </c>
      <c r="X12" s="728">
        <f t="shared" si="7"/>
        <v>2.4764142696376323</v>
      </c>
      <c r="Y12" s="729">
        <f t="shared" si="8"/>
        <v>1.4962625096662698</v>
      </c>
      <c r="Z12" s="729">
        <f t="shared" si="9"/>
        <v>0.4887389776223347</v>
      </c>
      <c r="AA12" s="729">
        <f t="shared" si="10"/>
        <v>0.13246704973954532</v>
      </c>
      <c r="AB12" s="728">
        <f t="shared" si="11"/>
        <v>36.846428884609495</v>
      </c>
      <c r="AD12" s="729">
        <f t="shared" si="12"/>
        <v>0.62493078071253227</v>
      </c>
      <c r="AE12" s="729">
        <f t="shared" si="13"/>
        <v>0.37506921928746773</v>
      </c>
      <c r="AF12" s="729">
        <f t="shared" si="14"/>
        <v>0.2361369876422641</v>
      </c>
      <c r="AG12" s="729">
        <f t="shared" si="15"/>
        <v>6.7209071397201642E-2</v>
      </c>
      <c r="AH12" s="729">
        <f t="shared" si="16"/>
        <v>4.0608073969720541E-2</v>
      </c>
      <c r="AI12" s="729">
        <f t="shared" si="17"/>
        <v>1.3264215621896473E-2</v>
      </c>
      <c r="AJ12" s="729">
        <f t="shared" si="18"/>
        <v>3.5951123012324246E-3</v>
      </c>
      <c r="AK12" s="733"/>
    </row>
    <row r="13" spans="1:37" s="730" customFormat="1" ht="12" customHeight="1" x14ac:dyDescent="0.25">
      <c r="A13" s="726">
        <v>1968</v>
      </c>
      <c r="B13" s="727">
        <v>832.1</v>
      </c>
      <c r="C13" s="728">
        <v>49.854225813129815</v>
      </c>
      <c r="D13" s="728">
        <v>16.469206452290447</v>
      </c>
      <c r="E13" s="728">
        <v>10.346593038141171</v>
      </c>
      <c r="F13" s="728">
        <v>3.247212049988093</v>
      </c>
      <c r="G13" s="729">
        <v>1.94785107874229</v>
      </c>
      <c r="H13" s="729">
        <v>0.5973027035361651</v>
      </c>
      <c r="I13" s="729">
        <v>0.19762592485535752</v>
      </c>
      <c r="J13" s="728">
        <f t="shared" si="3"/>
        <v>66.323432265420266</v>
      </c>
      <c r="L13" s="727">
        <f t="shared" si="4"/>
        <v>24.332804600000031</v>
      </c>
      <c r="M13" s="728">
        <f>('C1-Incomes'!FG16-'C1-Incomes'!EY16)/1000</f>
        <v>1.7361953999999677</v>
      </c>
      <c r="N13" s="728">
        <f>('C1-Incomes'!FH16-'C1-Incomes'!EZ16)/1000</f>
        <v>1.1418221999999951</v>
      </c>
      <c r="O13" s="728">
        <f>('C1-Incomes'!FI16-'C1-Incomes'!FA16)/1000</f>
        <v>0.37252601000000141</v>
      </c>
      <c r="P13" s="728">
        <f>('C1-Incomes'!FJ16-'C1-Incomes'!FB16)/1000</f>
        <v>0.21011613999999826</v>
      </c>
      <c r="Q13" s="728">
        <f>('C1-Incomes'!FK16-'C1-Incomes'!FC16)/1000</f>
        <v>3.9885569999998552E-2</v>
      </c>
      <c r="R13" s="728">
        <f>('C1-Incomes'!FL16-'C1-Incomes'!FD16)/1000</f>
        <v>4.6924199999994016E-3</v>
      </c>
      <c r="S13" s="728">
        <f>('C1-Incomes'!FF16-'C1-Incomes'!EX16)/1000</f>
        <v>26.068999999999999</v>
      </c>
      <c r="T13" s="729"/>
      <c r="U13" s="728">
        <f t="shared" si="19"/>
        <v>25.521421213129784</v>
      </c>
      <c r="V13" s="728">
        <f t="shared" si="5"/>
        <v>14.733011052290479</v>
      </c>
      <c r="W13" s="728">
        <f t="shared" si="6"/>
        <v>9.2047708381411759</v>
      </c>
      <c r="X13" s="728">
        <f t="shared" si="7"/>
        <v>2.8746860399880916</v>
      </c>
      <c r="Y13" s="729">
        <f t="shared" si="8"/>
        <v>1.7377349387422918</v>
      </c>
      <c r="Z13" s="729">
        <f t="shared" si="9"/>
        <v>0.55741713353616651</v>
      </c>
      <c r="AA13" s="729">
        <f t="shared" si="10"/>
        <v>0.19293350485535812</v>
      </c>
      <c r="AB13" s="728">
        <f t="shared" si="11"/>
        <v>40.254432265420263</v>
      </c>
      <c r="AD13" s="729">
        <f t="shared" si="12"/>
        <v>0.63400276135687628</v>
      </c>
      <c r="AE13" s="729">
        <f t="shared" si="13"/>
        <v>0.36599723864312372</v>
      </c>
      <c r="AF13" s="729">
        <f t="shared" si="14"/>
        <v>0.22866477851305692</v>
      </c>
      <c r="AG13" s="729">
        <f t="shared" si="15"/>
        <v>7.1412907305055479E-2</v>
      </c>
      <c r="AH13" s="729">
        <f t="shared" si="16"/>
        <v>4.3168785173379701E-2</v>
      </c>
      <c r="AI13" s="729">
        <f t="shared" si="17"/>
        <v>1.3847348035138088E-2</v>
      </c>
      <c r="AJ13" s="729">
        <f t="shared" si="18"/>
        <v>4.7928512215310425E-3</v>
      </c>
      <c r="AK13" s="733"/>
    </row>
    <row r="14" spans="1:37" s="730" customFormat="1" ht="12" customHeight="1" x14ac:dyDescent="0.25">
      <c r="A14" s="726">
        <v>1969</v>
      </c>
      <c r="B14" s="727">
        <v>899.5</v>
      </c>
      <c r="C14" s="728">
        <v>56.826082746908952</v>
      </c>
      <c r="D14" s="728">
        <v>17.942748257433927</v>
      </c>
      <c r="E14" s="728">
        <v>11.106209029434767</v>
      </c>
      <c r="F14" s="728">
        <v>2.9667451059998395</v>
      </c>
      <c r="G14" s="729">
        <v>1.7596806857643943</v>
      </c>
      <c r="H14" s="729">
        <v>0.54982881009383888</v>
      </c>
      <c r="I14" s="729">
        <v>0.13422471488198223</v>
      </c>
      <c r="J14" s="728">
        <f t="shared" si="3"/>
        <v>74.768831004342871</v>
      </c>
      <c r="L14" s="727">
        <f t="shared" si="4"/>
        <v>26.159104090000035</v>
      </c>
      <c r="M14" s="728">
        <f>('C1-Incomes'!FG17-'C1-Incomes'!EY17)/1000</f>
        <v>1.7638959099999629</v>
      </c>
      <c r="N14" s="728">
        <f>('C1-Incomes'!FH17-'C1-Incomes'!EZ17)/1000</f>
        <v>1.1269722799999873</v>
      </c>
      <c r="O14" s="728">
        <f>('C1-Incomes'!FI17-'C1-Incomes'!FA17)/1000</f>
        <v>0.3772397300000157</v>
      </c>
      <c r="P14" s="728">
        <f>('C1-Incomes'!FJ17-'C1-Incomes'!FB17)/1000</f>
        <v>0.21389018000000215</v>
      </c>
      <c r="Q14" s="728">
        <f>('C1-Incomes'!FK17-'C1-Incomes'!FC17)/1000</f>
        <v>3.7975280000002387E-2</v>
      </c>
      <c r="R14" s="728">
        <f>('C1-Incomes'!FL17-'C1-Incomes'!FD17)/1000</f>
        <v>4.746909999999843E-3</v>
      </c>
      <c r="S14" s="728">
        <f>('C1-Incomes'!FF17-'C1-Incomes'!EX17)/1000</f>
        <v>27.922999999999998</v>
      </c>
      <c r="T14" s="729"/>
      <c r="U14" s="728">
        <f t="shared" si="19"/>
        <v>30.666978656908917</v>
      </c>
      <c r="V14" s="728">
        <f t="shared" si="5"/>
        <v>16.178852347433963</v>
      </c>
      <c r="W14" s="728">
        <f t="shared" si="6"/>
        <v>9.9792367494347793</v>
      </c>
      <c r="X14" s="728">
        <f t="shared" si="7"/>
        <v>2.5895053759998237</v>
      </c>
      <c r="Y14" s="729">
        <f t="shared" si="8"/>
        <v>1.5457905057643921</v>
      </c>
      <c r="Z14" s="729">
        <f t="shared" si="9"/>
        <v>0.5118535300938365</v>
      </c>
      <c r="AA14" s="729">
        <f t="shared" si="10"/>
        <v>0.12947780488198238</v>
      </c>
      <c r="AB14" s="728">
        <f t="shared" si="11"/>
        <v>46.84583100434287</v>
      </c>
      <c r="AD14" s="729">
        <f t="shared" si="12"/>
        <v>0.65463623975559138</v>
      </c>
      <c r="AE14" s="729">
        <f t="shared" si="13"/>
        <v>0.34536376024440879</v>
      </c>
      <c r="AF14" s="729">
        <f t="shared" si="14"/>
        <v>0.21302294218048237</v>
      </c>
      <c r="AG14" s="729">
        <f t="shared" si="15"/>
        <v>5.5277178790141691E-2</v>
      </c>
      <c r="AH14" s="729">
        <f t="shared" si="16"/>
        <v>3.2997397476439018E-2</v>
      </c>
      <c r="AI14" s="729">
        <f t="shared" si="17"/>
        <v>1.0926341130470817E-2</v>
      </c>
      <c r="AJ14" s="729">
        <f t="shared" si="18"/>
        <v>2.7639130762773544E-3</v>
      </c>
      <c r="AK14" s="733"/>
    </row>
    <row r="15" spans="1:37" s="730" customFormat="1" ht="12" customHeight="1" x14ac:dyDescent="0.25">
      <c r="A15" s="726">
        <v>1970</v>
      </c>
      <c r="B15" s="727">
        <v>940.1</v>
      </c>
      <c r="C15" s="728">
        <v>62.655797330240411</v>
      </c>
      <c r="D15" s="728">
        <v>19.341173376641187</v>
      </c>
      <c r="E15" s="728">
        <v>11.811950166392373</v>
      </c>
      <c r="F15" s="728">
        <v>2.6928599537126439</v>
      </c>
      <c r="G15" s="729">
        <v>1.4882591657190292</v>
      </c>
      <c r="H15" s="729">
        <v>0.37919608519722703</v>
      </c>
      <c r="I15" s="729">
        <v>5.6957401595910888E-2</v>
      </c>
      <c r="J15" s="728">
        <f t="shared" si="3"/>
        <v>81.996970706881598</v>
      </c>
      <c r="L15" s="727">
        <f t="shared" si="4"/>
        <v>31.159693749999978</v>
      </c>
      <c r="M15" s="728">
        <f>('C1-Incomes'!FG18-'C1-Incomes'!EY18)/1000</f>
        <v>1.9653062500000233</v>
      </c>
      <c r="N15" s="728">
        <f>('C1-Incomes'!FH18-'C1-Incomes'!EZ18)/1000</f>
        <v>1.2355624999999999</v>
      </c>
      <c r="O15" s="728">
        <f>('C1-Incomes'!FI18-'C1-Incomes'!FA18)/1000</f>
        <v>0.45613125000000582</v>
      </c>
      <c r="P15" s="728">
        <f>('C1-Incomes'!FJ18-'C1-Incomes'!FB18)/1000</f>
        <v>0.23551874999999564</v>
      </c>
      <c r="Q15" s="728">
        <f>('C1-Incomes'!FK18-'C1-Incomes'!FC18)/1000</f>
        <v>4.3062499999996361E-2</v>
      </c>
      <c r="R15" s="728">
        <f>('C1-Incomes'!FL18-'C1-Incomes'!FD18)/1000</f>
        <v>5.9624999999996365E-3</v>
      </c>
      <c r="S15" s="728">
        <f>('C1-Incomes'!FF18-'C1-Incomes'!EX18)/1000</f>
        <v>33.125</v>
      </c>
      <c r="T15" s="729"/>
      <c r="U15" s="728">
        <f t="shared" si="19"/>
        <v>31.496103580240433</v>
      </c>
      <c r="V15" s="728">
        <f t="shared" si="5"/>
        <v>17.375867126641165</v>
      </c>
      <c r="W15" s="728">
        <f t="shared" si="6"/>
        <v>10.576387666392373</v>
      </c>
      <c r="X15" s="728">
        <f t="shared" si="7"/>
        <v>2.2367287037126382</v>
      </c>
      <c r="Y15" s="729">
        <f t="shared" si="8"/>
        <v>1.2527404157190336</v>
      </c>
      <c r="Z15" s="729">
        <f t="shared" si="9"/>
        <v>0.33613358519723069</v>
      </c>
      <c r="AA15" s="729">
        <f t="shared" si="10"/>
        <v>5.0994901595911253E-2</v>
      </c>
      <c r="AB15" s="728">
        <f t="shared" si="11"/>
        <v>48.871970706881598</v>
      </c>
      <c r="AD15" s="729">
        <f t="shared" si="12"/>
        <v>0.64446150062464147</v>
      </c>
      <c r="AE15" s="729">
        <f t="shared" si="13"/>
        <v>0.35553849937535853</v>
      </c>
      <c r="AF15" s="729">
        <f t="shared" si="14"/>
        <v>0.21641009178504697</v>
      </c>
      <c r="AG15" s="729">
        <f t="shared" si="15"/>
        <v>4.5767106817276089E-2</v>
      </c>
      <c r="AH15" s="729">
        <f t="shared" si="16"/>
        <v>2.5633106207903274E-2</v>
      </c>
      <c r="AI15" s="729">
        <f t="shared" si="17"/>
        <v>6.8778397992839716E-3</v>
      </c>
      <c r="AJ15" s="729">
        <f t="shared" si="18"/>
        <v>1.0434386184621511E-3</v>
      </c>
      <c r="AK15" s="733"/>
    </row>
    <row r="16" spans="1:37" s="730" customFormat="1" ht="12" customHeight="1" x14ac:dyDescent="0.25">
      <c r="A16" s="726">
        <v>1971</v>
      </c>
      <c r="B16" s="727">
        <v>1017</v>
      </c>
      <c r="C16" s="728">
        <v>72.165042006295522</v>
      </c>
      <c r="D16" s="728">
        <v>21.705573078646506</v>
      </c>
      <c r="E16" s="728">
        <v>12.890961071468471</v>
      </c>
      <c r="F16" s="728">
        <v>2.6281507603603305</v>
      </c>
      <c r="G16" s="729">
        <v>1.3510511959617859</v>
      </c>
      <c r="H16" s="729">
        <v>0.32579191828671999</v>
      </c>
      <c r="I16" s="729">
        <v>2.4361165570296814E-2</v>
      </c>
      <c r="J16" s="728">
        <f t="shared" si="3"/>
        <v>93.870615084942031</v>
      </c>
      <c r="L16" s="727">
        <f t="shared" si="4"/>
        <v>36.298368959999998</v>
      </c>
      <c r="M16" s="728">
        <f>('C1-Incomes'!FG19-'C1-Incomes'!EY19)/1000</f>
        <v>2.3136310400000073</v>
      </c>
      <c r="N16" s="728">
        <f>('C1-Incomes'!FH19-'C1-Incomes'!EZ19)/1000</f>
        <v>1.498145600000047</v>
      </c>
      <c r="O16" s="728">
        <f>('C1-Incomes'!FI19-'C1-Incomes'!FA19)/1000</f>
        <v>0.52821216000001003</v>
      </c>
      <c r="P16" s="728">
        <f>('C1-Incomes'!FJ19-'C1-Incomes'!FB19)/1000</f>
        <v>0.3031042000000016</v>
      </c>
      <c r="Q16" s="728">
        <f>('C1-Incomes'!FK19-'C1-Incomes'!FC19)/1000</f>
        <v>5.0195599999999105E-2</v>
      </c>
      <c r="R16" s="728">
        <f>('C1-Incomes'!FL19-'C1-Incomes'!FD19)/1000</f>
        <v>6.9501600000003239E-3</v>
      </c>
      <c r="S16" s="728">
        <f>('C1-Incomes'!FF19-'C1-Incomes'!EX19)/1000</f>
        <v>38.612000000000002</v>
      </c>
      <c r="T16" s="729"/>
      <c r="U16" s="728">
        <f t="shared" si="19"/>
        <v>35.866673046295524</v>
      </c>
      <c r="V16" s="728">
        <f t="shared" si="5"/>
        <v>19.391942038646498</v>
      </c>
      <c r="W16" s="728">
        <f t="shared" si="6"/>
        <v>11.392815471468424</v>
      </c>
      <c r="X16" s="728">
        <f t="shared" si="7"/>
        <v>2.0999386003603204</v>
      </c>
      <c r="Y16" s="729">
        <f t="shared" si="8"/>
        <v>1.0479469959617842</v>
      </c>
      <c r="Z16" s="729">
        <f t="shared" si="9"/>
        <v>0.27559631828672088</v>
      </c>
      <c r="AA16" s="729">
        <f t="shared" si="10"/>
        <v>1.7411005570296491E-2</v>
      </c>
      <c r="AB16" s="728">
        <f t="shared" si="11"/>
        <v>55.258615084942029</v>
      </c>
      <c r="AD16" s="729">
        <f t="shared" si="12"/>
        <v>0.64906934405001382</v>
      </c>
      <c r="AE16" s="729">
        <f t="shared" si="13"/>
        <v>0.35093065594998601</v>
      </c>
      <c r="AF16" s="729">
        <f t="shared" si="14"/>
        <v>0.20617265658858261</v>
      </c>
      <c r="AG16" s="729">
        <f t="shared" si="15"/>
        <v>3.800201284690817E-2</v>
      </c>
      <c r="AH16" s="729">
        <f t="shared" si="16"/>
        <v>1.8964409338723179E-2</v>
      </c>
      <c r="AI16" s="729">
        <f t="shared" si="17"/>
        <v>4.9873909771911903E-3</v>
      </c>
      <c r="AJ16" s="729">
        <f t="shared" si="18"/>
        <v>3.1508219204431329E-4</v>
      </c>
      <c r="AK16" s="733"/>
    </row>
    <row r="17" spans="1:37" s="730" customFormat="1" ht="12" customHeight="1" x14ac:dyDescent="0.25">
      <c r="A17" s="726">
        <v>1972</v>
      </c>
      <c r="B17" s="727">
        <v>1123</v>
      </c>
      <c r="C17" s="728">
        <v>83.632010260201426</v>
      </c>
      <c r="D17" s="728">
        <v>25.836315749286005</v>
      </c>
      <c r="E17" s="728">
        <v>15.303190532303409</v>
      </c>
      <c r="F17" s="728">
        <v>3.0076610851040759</v>
      </c>
      <c r="G17" s="729">
        <v>1.6078597082306041</v>
      </c>
      <c r="H17" s="729">
        <v>0.40981708606410028</v>
      </c>
      <c r="I17" s="729">
        <v>4.8412624104005798E-2</v>
      </c>
      <c r="J17" s="728">
        <f t="shared" si="3"/>
        <v>109.46832600948743</v>
      </c>
      <c r="L17" s="727">
        <f t="shared" si="4"/>
        <v>40.395194399999973</v>
      </c>
      <c r="M17" s="728">
        <f>('C1-Incomes'!FG20-'C1-Incomes'!EY20)/1000</f>
        <v>2.7068056000000214</v>
      </c>
      <c r="N17" s="728">
        <f>('C1-Incomes'!FH20-'C1-Incomes'!EZ20)/1000</f>
        <v>1.8046807399999816</v>
      </c>
      <c r="O17" s="728">
        <f>('C1-Incomes'!FI20-'C1-Incomes'!FA20)/1000</f>
        <v>0.58748026000002573</v>
      </c>
      <c r="P17" s="728">
        <f>('C1-Incomes'!FJ20-'C1-Incomes'!FB20)/1000</f>
        <v>0.32024785999998856</v>
      </c>
      <c r="Q17" s="728">
        <f>('C1-Incomes'!FK20-'C1-Incomes'!FC20)/1000</f>
        <v>5.34464799999987E-2</v>
      </c>
      <c r="R17" s="728">
        <f>('C1-Incomes'!FL20-'C1-Incomes'!FD20)/1000</f>
        <v>7.3273399999998221E-3</v>
      </c>
      <c r="S17" s="728">
        <f>('C1-Incomes'!FF20-'C1-Incomes'!EX20)/1000</f>
        <v>43.101999999999997</v>
      </c>
      <c r="T17" s="729"/>
      <c r="U17" s="728">
        <f t="shared" si="19"/>
        <v>43.236815860201453</v>
      </c>
      <c r="V17" s="728">
        <f t="shared" si="5"/>
        <v>23.129510149285984</v>
      </c>
      <c r="W17" s="728">
        <f t="shared" si="6"/>
        <v>13.498509792303427</v>
      </c>
      <c r="X17" s="728">
        <f t="shared" si="7"/>
        <v>2.4201808251040502</v>
      </c>
      <c r="Y17" s="729">
        <f t="shared" si="8"/>
        <v>1.2876118482306156</v>
      </c>
      <c r="Z17" s="729">
        <f t="shared" si="9"/>
        <v>0.35637060606410159</v>
      </c>
      <c r="AA17" s="729">
        <f t="shared" si="10"/>
        <v>4.1085284104005977E-2</v>
      </c>
      <c r="AB17" s="728">
        <f t="shared" si="11"/>
        <v>66.366326009487437</v>
      </c>
      <c r="AD17" s="729">
        <f t="shared" si="12"/>
        <v>0.65148725957830644</v>
      </c>
      <c r="AE17" s="729">
        <f t="shared" si="13"/>
        <v>0.34851274042169356</v>
      </c>
      <c r="AF17" s="729">
        <f t="shared" si="14"/>
        <v>0.20339395901430102</v>
      </c>
      <c r="AG17" s="729">
        <f t="shared" si="15"/>
        <v>3.6467000218726467E-2</v>
      </c>
      <c r="AH17" s="729">
        <f t="shared" si="16"/>
        <v>1.9401583990750735E-2</v>
      </c>
      <c r="AI17" s="729">
        <f t="shared" si="17"/>
        <v>5.3697504064509523E-3</v>
      </c>
      <c r="AJ17" s="729">
        <f t="shared" si="18"/>
        <v>6.1906823195444942E-4</v>
      </c>
      <c r="AK17" s="733"/>
    </row>
    <row r="18" spans="1:37" s="730" customFormat="1" ht="12" customHeight="1" x14ac:dyDescent="0.25">
      <c r="A18" s="726">
        <v>1973</v>
      </c>
      <c r="B18" s="727">
        <v>1257</v>
      </c>
      <c r="C18" s="728">
        <v>99.498766024859094</v>
      </c>
      <c r="D18" s="728">
        <v>30.725551496537122</v>
      </c>
      <c r="E18" s="728">
        <v>18.263343275402033</v>
      </c>
      <c r="F18" s="728">
        <v>3.6818188357659638</v>
      </c>
      <c r="G18" s="729">
        <v>1.9849310803260081</v>
      </c>
      <c r="H18" s="729">
        <v>0.52840741455729545</v>
      </c>
      <c r="I18" s="729">
        <v>7.4478809904764548E-2</v>
      </c>
      <c r="J18" s="728">
        <f t="shared" si="3"/>
        <v>130.22431752139622</v>
      </c>
      <c r="L18" s="727">
        <f t="shared" si="4"/>
        <v>49.778969650000043</v>
      </c>
      <c r="M18" s="728">
        <f>('C1-Incomes'!FG21-'C1-Incomes'!EY21)/1000</f>
        <v>3.4520303499999572</v>
      </c>
      <c r="N18" s="728">
        <f>('C1-Incomes'!FH21-'C1-Incomes'!EZ21)/1000</f>
        <v>2.2649790500000235</v>
      </c>
      <c r="O18" s="728">
        <f>('C1-Incomes'!FI21-'C1-Incomes'!FA21)/1000</f>
        <v>0.74842786000002526</v>
      </c>
      <c r="P18" s="728">
        <f>('C1-Incomes'!FJ21-'C1-Incomes'!FB21)/1000</f>
        <v>0.42531569000001762</v>
      </c>
      <c r="Q18" s="728">
        <f>('C1-Incomes'!FK21-'C1-Incomes'!FC21)/1000</f>
        <v>6.9200299999996787E-2</v>
      </c>
      <c r="R18" s="728">
        <f>('C1-Incomes'!FL21-'C1-Incomes'!FD21)/1000</f>
        <v>9.0492699999995246E-3</v>
      </c>
      <c r="S18" s="728">
        <f>('C1-Incomes'!FF21-'C1-Incomes'!EX21)/1000</f>
        <v>53.231000000000002</v>
      </c>
      <c r="T18" s="729"/>
      <c r="U18" s="728">
        <f t="shared" si="19"/>
        <v>49.719796374859051</v>
      </c>
      <c r="V18" s="728">
        <f t="shared" si="5"/>
        <v>27.273521146537163</v>
      </c>
      <c r="W18" s="728">
        <f t="shared" si="6"/>
        <v>15.998364225402009</v>
      </c>
      <c r="X18" s="728">
        <f t="shared" si="7"/>
        <v>2.9333909757659384</v>
      </c>
      <c r="Y18" s="729">
        <f t="shared" si="8"/>
        <v>1.5596153903259904</v>
      </c>
      <c r="Z18" s="729">
        <f t="shared" si="9"/>
        <v>0.45920711455729868</v>
      </c>
      <c r="AA18" s="729">
        <f t="shared" si="10"/>
        <v>6.5429539904765022E-2</v>
      </c>
      <c r="AB18" s="728">
        <f t="shared" si="11"/>
        <v>76.993317521396222</v>
      </c>
      <c r="AD18" s="729">
        <f t="shared" si="12"/>
        <v>0.64576768446225297</v>
      </c>
      <c r="AE18" s="729">
        <f t="shared" si="13"/>
        <v>0.35423231553774692</v>
      </c>
      <c r="AF18" s="729">
        <f t="shared" si="14"/>
        <v>0.20778899702504844</v>
      </c>
      <c r="AG18" s="729">
        <f t="shared" si="15"/>
        <v>3.8099293162043024E-2</v>
      </c>
      <c r="AH18" s="729">
        <f t="shared" si="16"/>
        <v>2.0256503298387914E-2</v>
      </c>
      <c r="AI18" s="729">
        <f t="shared" si="17"/>
        <v>5.96424637020851E-3</v>
      </c>
      <c r="AJ18" s="729">
        <f t="shared" si="18"/>
        <v>8.4980803543869036E-4</v>
      </c>
      <c r="AK18" s="733"/>
    </row>
    <row r="19" spans="1:37" s="730" customFormat="1" ht="12" customHeight="1" x14ac:dyDescent="0.25">
      <c r="A19" s="726">
        <v>1974</v>
      </c>
      <c r="B19" s="727">
        <v>1350.8</v>
      </c>
      <c r="C19" s="728">
        <v>115.27278956510347</v>
      </c>
      <c r="D19" s="728">
        <v>34.657522332749437</v>
      </c>
      <c r="E19" s="728">
        <v>20.35322430776651</v>
      </c>
      <c r="F19" s="728">
        <v>4.1419824210417016</v>
      </c>
      <c r="G19" s="729">
        <v>2.1628002620147861</v>
      </c>
      <c r="H19" s="729">
        <v>0.61961298267161091</v>
      </c>
      <c r="I19" s="729">
        <v>4.1024034854065493E-2</v>
      </c>
      <c r="J19" s="728">
        <f t="shared" si="3"/>
        <v>149.9303118978529</v>
      </c>
      <c r="L19" s="727">
        <f t="shared" si="4"/>
        <v>56.712711560000145</v>
      </c>
      <c r="M19" s="728">
        <f>('C1-Incomes'!FG22-'C1-Incomes'!EY22)/1000</f>
        <v>3.6912884399998585</v>
      </c>
      <c r="N19" s="728">
        <f>('C1-Incomes'!FH22-'C1-Incomes'!EZ22)/1000</f>
        <v>2.3521317600000184</v>
      </c>
      <c r="O19" s="728">
        <f>('C1-Incomes'!FI22-'C1-Incomes'!FA22)/1000</f>
        <v>0.784043920000011</v>
      </c>
      <c r="P19" s="728">
        <f>('C1-Incomes'!FJ22-'C1-Incomes'!FB22)/1000</f>
        <v>0.40349872000000325</v>
      </c>
      <c r="Q19" s="728">
        <f>('C1-Incomes'!FK22-'C1-Incomes'!FC22)/1000</f>
        <v>6.7652480000004289E-2</v>
      </c>
      <c r="R19" s="728">
        <f>('C1-Incomes'!FL22-'C1-Incomes'!FD22)/1000</f>
        <v>1.0268680000001041E-2</v>
      </c>
      <c r="S19" s="728">
        <f>('C1-Incomes'!FF22-'C1-Incomes'!EX22)/1000</f>
        <v>60.404000000000003</v>
      </c>
      <c r="T19" s="729"/>
      <c r="U19" s="728">
        <f t="shared" si="19"/>
        <v>58.560078005103321</v>
      </c>
      <c r="V19" s="728">
        <f t="shared" si="5"/>
        <v>30.966233892749578</v>
      </c>
      <c r="W19" s="728">
        <f t="shared" si="6"/>
        <v>18.00109254776649</v>
      </c>
      <c r="X19" s="728">
        <f t="shared" si="7"/>
        <v>3.3579385010416907</v>
      </c>
      <c r="Y19" s="729">
        <f t="shared" si="8"/>
        <v>1.7593015420147828</v>
      </c>
      <c r="Z19" s="729">
        <f t="shared" si="9"/>
        <v>0.55196050267160657</v>
      </c>
      <c r="AA19" s="729">
        <f t="shared" si="10"/>
        <v>3.075535485406445E-2</v>
      </c>
      <c r="AB19" s="728">
        <f t="shared" si="11"/>
        <v>89.526311897852906</v>
      </c>
      <c r="AD19" s="729">
        <f t="shared" si="12"/>
        <v>0.65411024718541722</v>
      </c>
      <c r="AE19" s="729">
        <f t="shared" si="13"/>
        <v>0.34588975281458273</v>
      </c>
      <c r="AF19" s="729">
        <f t="shared" si="14"/>
        <v>0.20107041344789506</v>
      </c>
      <c r="AG19" s="729">
        <f t="shared" si="15"/>
        <v>3.7507839090624079E-2</v>
      </c>
      <c r="AH19" s="729">
        <f t="shared" si="16"/>
        <v>1.9651223251797731E-2</v>
      </c>
      <c r="AI19" s="729">
        <f t="shared" si="17"/>
        <v>6.1653439192421835E-3</v>
      </c>
      <c r="AJ19" s="729">
        <f t="shared" si="18"/>
        <v>3.4353425492558519E-4</v>
      </c>
      <c r="AK19" s="733"/>
    </row>
    <row r="20" spans="1:37" s="730" customFormat="1" ht="12" customHeight="1" x14ac:dyDescent="0.25">
      <c r="A20" s="726">
        <v>1975</v>
      </c>
      <c r="B20" s="727">
        <v>1451.1</v>
      </c>
      <c r="C20" s="728">
        <v>132.68240581901151</v>
      </c>
      <c r="D20" s="728">
        <v>38.639750198402204</v>
      </c>
      <c r="E20" s="728">
        <v>22.033349708600156</v>
      </c>
      <c r="F20" s="728">
        <v>3.943784387098034</v>
      </c>
      <c r="G20" s="729">
        <v>1.9882535869805575</v>
      </c>
      <c r="H20" s="729">
        <v>0.61597463605709435</v>
      </c>
      <c r="I20" s="729">
        <v>-4.8042805361937987E-2</v>
      </c>
      <c r="J20" s="728">
        <f t="shared" si="3"/>
        <v>171.3221560174137</v>
      </c>
      <c r="L20" s="727">
        <f t="shared" si="4"/>
        <v>65.071952400000001</v>
      </c>
      <c r="M20" s="728">
        <f>('C1-Incomes'!FG23-'C1-Incomes'!EY23)/1000</f>
        <v>4.0880475999999906</v>
      </c>
      <c r="N20" s="728">
        <f>('C1-Incomes'!FH23-'C1-Incomes'!EZ23)/1000</f>
        <v>2.7207543999999761</v>
      </c>
      <c r="O20" s="728">
        <f>('C1-Incomes'!FI23-'C1-Incomes'!FA23)/1000</f>
        <v>0.86449999999997085</v>
      </c>
      <c r="P20" s="728">
        <f>('C1-Incomes'!FJ23-'C1-Incomes'!FB23)/1000</f>
        <v>0.44954000000000816</v>
      </c>
      <c r="Q20" s="728">
        <f>('C1-Incomes'!FK23-'C1-Incomes'!FC23)/1000</f>
        <v>8.0225600000005212E-2</v>
      </c>
      <c r="R20" s="728">
        <f>('C1-Incomes'!FL23-'C1-Incomes'!FD23)/1000</f>
        <v>1.1065599999999905E-2</v>
      </c>
      <c r="S20" s="728">
        <f>('C1-Incomes'!FF23-'C1-Incomes'!EX23)/1000</f>
        <v>69.16</v>
      </c>
      <c r="T20" s="729"/>
      <c r="U20" s="728">
        <f t="shared" si="19"/>
        <v>67.610453419011506</v>
      </c>
      <c r="V20" s="728">
        <f t="shared" si="5"/>
        <v>34.551702598402215</v>
      </c>
      <c r="W20" s="728">
        <f t="shared" si="6"/>
        <v>19.31259530860018</v>
      </c>
      <c r="X20" s="728">
        <f t="shared" si="7"/>
        <v>3.0792843870980633</v>
      </c>
      <c r="Y20" s="729">
        <f t="shared" si="8"/>
        <v>1.5387135869805495</v>
      </c>
      <c r="Z20" s="729">
        <f t="shared" si="9"/>
        <v>0.53574903605708912</v>
      </c>
      <c r="AA20" s="729">
        <f t="shared" si="10"/>
        <v>0</v>
      </c>
      <c r="AB20" s="728">
        <f t="shared" si="11"/>
        <v>102.16215601741371</v>
      </c>
      <c r="AD20" s="729">
        <f t="shared" si="12"/>
        <v>0.66179548332444349</v>
      </c>
      <c r="AE20" s="729">
        <f t="shared" si="13"/>
        <v>0.33820451667555668</v>
      </c>
      <c r="AF20" s="729">
        <f t="shared" si="14"/>
        <v>0.18903864269767678</v>
      </c>
      <c r="AG20" s="729">
        <f t="shared" si="15"/>
        <v>3.0141145284494526E-2</v>
      </c>
      <c r="AH20" s="729">
        <f t="shared" si="16"/>
        <v>1.5061483106506417E-2</v>
      </c>
      <c r="AI20" s="729">
        <f t="shared" si="17"/>
        <v>5.244104636610937E-3</v>
      </c>
      <c r="AJ20" s="729">
        <f t="shared" si="18"/>
        <v>0</v>
      </c>
      <c r="AK20" s="733"/>
    </row>
    <row r="21" spans="1:37" s="730" customFormat="1" ht="12" customHeight="1" x14ac:dyDescent="0.25">
      <c r="A21" s="726">
        <v>1976</v>
      </c>
      <c r="B21" s="727">
        <v>1614.8</v>
      </c>
      <c r="C21" s="728">
        <v>154.61661625506466</v>
      </c>
      <c r="D21" s="728">
        <v>45.135432882702922</v>
      </c>
      <c r="E21" s="728">
        <v>25.384294144248493</v>
      </c>
      <c r="F21" s="728">
        <v>4.3968121670125369</v>
      </c>
      <c r="G21" s="729">
        <v>2.1645069198623865</v>
      </c>
      <c r="H21" s="729">
        <v>0.49535485708654631</v>
      </c>
      <c r="I21" s="729">
        <v>-3.3742031438919406E-2</v>
      </c>
      <c r="J21" s="728">
        <f t="shared" si="3"/>
        <v>199.75204913776759</v>
      </c>
      <c r="L21" s="727">
        <f t="shared" si="4"/>
        <v>72.841876260000049</v>
      </c>
      <c r="M21" s="728">
        <f>('C1-Incomes'!FG24-'C1-Incomes'!EY24)/1000</f>
        <v>5.2091237399999519</v>
      </c>
      <c r="N21" s="728">
        <f>('C1-Incomes'!FH24-'C1-Incomes'!EZ24)/1000</f>
        <v>3.2789225099999459</v>
      </c>
      <c r="O21" s="728">
        <f>('C1-Incomes'!FI24-'C1-Incomes'!FA24)/1000</f>
        <v>1.046663910000003</v>
      </c>
      <c r="P21" s="728">
        <f>('C1-Incomes'!FJ24-'C1-Incomes'!FB24)/1000</f>
        <v>0.53152731000000497</v>
      </c>
      <c r="Q21" s="728">
        <f>('C1-Incomes'!FK24-'C1-Incomes'!FC24)/1000</f>
        <v>9.2880689999998142E-2</v>
      </c>
      <c r="R21" s="728">
        <f>('C1-Incomes'!FL24-'C1-Incomes'!FD24)/1000</f>
        <v>1.2488160000000789E-2</v>
      </c>
      <c r="S21" s="728">
        <f>('C1-Incomes'!FF24-'C1-Incomes'!EX24)/1000</f>
        <v>78.051000000000002</v>
      </c>
      <c r="T21" s="729"/>
      <c r="U21" s="728">
        <f t="shared" si="19"/>
        <v>81.774739995064607</v>
      </c>
      <c r="V21" s="728">
        <f t="shared" si="5"/>
        <v>39.926309142702969</v>
      </c>
      <c r="W21" s="728">
        <f t="shared" si="6"/>
        <v>22.105371634248549</v>
      </c>
      <c r="X21" s="728">
        <f t="shared" si="7"/>
        <v>3.3501482570125338</v>
      </c>
      <c r="Y21" s="729">
        <f t="shared" si="8"/>
        <v>1.6329796098623817</v>
      </c>
      <c r="Z21" s="729">
        <f t="shared" si="9"/>
        <v>0.40247416708654815</v>
      </c>
      <c r="AA21" s="729">
        <f t="shared" si="10"/>
        <v>0</v>
      </c>
      <c r="AB21" s="728">
        <f t="shared" si="11"/>
        <v>121.70104913776758</v>
      </c>
      <c r="AD21" s="729">
        <f t="shared" si="12"/>
        <v>0.67193126578961748</v>
      </c>
      <c r="AE21" s="729">
        <f t="shared" si="13"/>
        <v>0.32806873421038246</v>
      </c>
      <c r="AF21" s="729">
        <f t="shared" si="14"/>
        <v>0.18163665630544323</v>
      </c>
      <c r="AG21" s="729">
        <f t="shared" si="15"/>
        <v>2.7527685921754964E-2</v>
      </c>
      <c r="AH21" s="729">
        <f t="shared" si="16"/>
        <v>1.3417958361343475E-2</v>
      </c>
      <c r="AI21" s="729">
        <f t="shared" si="17"/>
        <v>3.3070722885136412E-3</v>
      </c>
      <c r="AJ21" s="729">
        <f t="shared" si="18"/>
        <v>0</v>
      </c>
      <c r="AK21" s="733"/>
    </row>
    <row r="22" spans="1:37" s="730" customFormat="1" ht="12" customHeight="1" x14ac:dyDescent="0.25">
      <c r="A22" s="726">
        <v>1977</v>
      </c>
      <c r="B22" s="727">
        <v>1798.7</v>
      </c>
      <c r="C22" s="728">
        <v>177.07242127497247</v>
      </c>
      <c r="D22" s="728">
        <v>53.450605007311871</v>
      </c>
      <c r="E22" s="728">
        <v>30.006085354653678</v>
      </c>
      <c r="F22" s="728">
        <v>5.6142601933214458</v>
      </c>
      <c r="G22" s="729">
        <v>2.9120764875317189</v>
      </c>
      <c r="H22" s="729">
        <v>0.70488888613362211</v>
      </c>
      <c r="I22" s="729">
        <v>2.6030131267228661E-2</v>
      </c>
      <c r="J22" s="728">
        <f t="shared" si="3"/>
        <v>230.52302628228435</v>
      </c>
      <c r="L22" s="727">
        <f t="shared" si="4"/>
        <v>81.184564239999986</v>
      </c>
      <c r="M22" s="728">
        <f>('C1-Incomes'!FG25-'C1-Incomes'!EY25)/1000</f>
        <v>5.8374357600000222</v>
      </c>
      <c r="N22" s="728">
        <f>('C1-Incomes'!FH25-'C1-Incomes'!EZ25)/1000</f>
        <v>3.7010456599999451</v>
      </c>
      <c r="O22" s="728">
        <f>('C1-Incomes'!FI25-'C1-Incomes'!FA25)/1000</f>
        <v>1.2113462400000135</v>
      </c>
      <c r="P22" s="728">
        <f>('C1-Incomes'!FJ25-'C1-Incomes'!FB25)/1000</f>
        <v>0.63090950000000889</v>
      </c>
      <c r="Q22" s="728">
        <f>('C1-Incomes'!FK25-'C1-Incomes'!FC25)/1000</f>
        <v>0.10442640000000393</v>
      </c>
      <c r="R22" s="728">
        <f>('C1-Incomes'!FL25-'C1-Incomes'!FD25)/1000</f>
        <v>1.3923520000000281E-2</v>
      </c>
      <c r="S22" s="728">
        <f>('C1-Incomes'!FF25-'C1-Incomes'!EX25)/1000</f>
        <v>87.022000000000006</v>
      </c>
      <c r="T22" s="729"/>
      <c r="U22" s="728">
        <f t="shared" si="19"/>
        <v>95.887857034972484</v>
      </c>
      <c r="V22" s="728">
        <f t="shared" si="5"/>
        <v>47.613169247311852</v>
      </c>
      <c r="W22" s="728">
        <f t="shared" si="6"/>
        <v>26.305039694653733</v>
      </c>
      <c r="X22" s="728">
        <f t="shared" si="7"/>
        <v>4.4029139533214323</v>
      </c>
      <c r="Y22" s="729">
        <f t="shared" si="8"/>
        <v>2.28116698753171</v>
      </c>
      <c r="Z22" s="729">
        <f t="shared" si="9"/>
        <v>0.60046248613361819</v>
      </c>
      <c r="AA22" s="729">
        <f t="shared" si="10"/>
        <v>1.210661126722838E-2</v>
      </c>
      <c r="AB22" s="728">
        <f t="shared" si="11"/>
        <v>143.50102628228433</v>
      </c>
      <c r="AD22" s="729">
        <f t="shared" si="12"/>
        <v>0.66820328410996288</v>
      </c>
      <c r="AE22" s="729">
        <f t="shared" si="13"/>
        <v>0.33179671589003717</v>
      </c>
      <c r="AF22" s="729">
        <f t="shared" si="14"/>
        <v>0.18330907015890224</v>
      </c>
      <c r="AG22" s="729">
        <f t="shared" si="15"/>
        <v>3.0682107768765041E-2</v>
      </c>
      <c r="AH22" s="729">
        <f t="shared" si="16"/>
        <v>1.5896520370832549E-2</v>
      </c>
      <c r="AI22" s="729">
        <f t="shared" si="17"/>
        <v>4.1843776430729764E-3</v>
      </c>
      <c r="AJ22" s="729">
        <f t="shared" si="18"/>
        <v>8.4366025671573752E-5</v>
      </c>
      <c r="AK22" s="733"/>
    </row>
    <row r="23" spans="1:37" s="730" customFormat="1" ht="12" customHeight="1" x14ac:dyDescent="0.25">
      <c r="A23" s="726">
        <v>1978</v>
      </c>
      <c r="B23" s="727">
        <v>2029.9</v>
      </c>
      <c r="C23" s="728">
        <v>204.72514467534356</v>
      </c>
      <c r="D23" s="728">
        <v>64.119527234377912</v>
      </c>
      <c r="E23" s="728">
        <v>36.406665290253933</v>
      </c>
      <c r="F23" s="728">
        <v>7.4838685045605544</v>
      </c>
      <c r="G23" s="729">
        <v>4.0742858530578081</v>
      </c>
      <c r="H23" s="729">
        <v>1.0870044381063038</v>
      </c>
      <c r="I23" s="729">
        <v>0.14925047370244254</v>
      </c>
      <c r="J23" s="728">
        <f t="shared" si="3"/>
        <v>268.84467190972146</v>
      </c>
      <c r="L23" s="727">
        <f t="shared" si="4"/>
        <v>89.237798750000195</v>
      </c>
      <c r="M23" s="728">
        <f>('C1-Incomes'!FG26-'C1-Incomes'!EY26)/1000</f>
        <v>6.1272012500000423</v>
      </c>
      <c r="N23" s="728">
        <f>('C1-Incomes'!FH26-'C1-Incomes'!EZ26)/1000</f>
        <v>3.9032894500000404</v>
      </c>
      <c r="O23" s="728">
        <f>('C1-Incomes'!FI26-'C1-Incomes'!FA26)/1000</f>
        <v>1.2731227500000095</v>
      </c>
      <c r="P23" s="728">
        <f>('C1-Incomes'!FJ26-'C1-Incomes'!FB26)/1000</f>
        <v>0.70284004999999883</v>
      </c>
      <c r="Q23" s="728">
        <f>('C1-Incomes'!FK26-'C1-Incomes'!FC26)/1000</f>
        <v>0.11443799999999464</v>
      </c>
      <c r="R23" s="728">
        <f>('C1-Incomes'!FL26-'C1-Incomes'!FD26)/1000</f>
        <v>1.6212049999998271E-2</v>
      </c>
      <c r="S23" s="728">
        <f>('C1-Incomes'!FF26-'C1-Incomes'!EX26)/1000</f>
        <v>95.365000000000236</v>
      </c>
      <c r="T23" s="729"/>
      <c r="U23" s="728">
        <f t="shared" si="19"/>
        <v>115.48734592534336</v>
      </c>
      <c r="V23" s="728">
        <f t="shared" si="5"/>
        <v>57.992325984377871</v>
      </c>
      <c r="W23" s="728">
        <f t="shared" si="6"/>
        <v>32.503375840253895</v>
      </c>
      <c r="X23" s="728">
        <f t="shared" si="7"/>
        <v>6.2107457545605449</v>
      </c>
      <c r="Y23" s="729">
        <f t="shared" si="8"/>
        <v>3.3714458030578092</v>
      </c>
      <c r="Z23" s="729">
        <f t="shared" si="9"/>
        <v>0.97256643810630916</v>
      </c>
      <c r="AA23" s="729">
        <f t="shared" si="10"/>
        <v>0.13303842370244429</v>
      </c>
      <c r="AB23" s="728">
        <f t="shared" si="11"/>
        <v>173.47967190972122</v>
      </c>
      <c r="AD23" s="729">
        <f t="shared" si="12"/>
        <v>0.66571111562536822</v>
      </c>
      <c r="AE23" s="729">
        <f t="shared" si="13"/>
        <v>0.33428888437463189</v>
      </c>
      <c r="AF23" s="729">
        <f t="shared" si="14"/>
        <v>0.18736129416459033</v>
      </c>
      <c r="AG23" s="729">
        <f t="shared" si="15"/>
        <v>3.5801000118288302E-2</v>
      </c>
      <c r="AH23" s="729">
        <f t="shared" si="16"/>
        <v>1.94342412914656E-2</v>
      </c>
      <c r="AI23" s="729">
        <f t="shared" si="17"/>
        <v>5.6062271008469082E-3</v>
      </c>
      <c r="AJ23" s="729">
        <f t="shared" si="18"/>
        <v>7.6688191900476646E-4</v>
      </c>
      <c r="AK23" s="733"/>
    </row>
    <row r="24" spans="1:37" s="730" customFormat="1" ht="12" customHeight="1" x14ac:dyDescent="0.25">
      <c r="A24" s="726">
        <v>1979</v>
      </c>
      <c r="B24" s="727">
        <v>2248.1999999999998</v>
      </c>
      <c r="C24" s="728">
        <v>233.23930767982898</v>
      </c>
      <c r="D24" s="728">
        <v>76.627406417954433</v>
      </c>
      <c r="E24" s="728">
        <v>43.981048805368111</v>
      </c>
      <c r="F24" s="728">
        <v>9.5856665087094655</v>
      </c>
      <c r="G24" s="729">
        <v>5.3870840179591548</v>
      </c>
      <c r="H24" s="729">
        <v>1.5949236087031515</v>
      </c>
      <c r="I24" s="729">
        <v>0.29628113113484306</v>
      </c>
      <c r="J24" s="728">
        <f t="shared" si="3"/>
        <v>309.86671409778342</v>
      </c>
      <c r="L24" s="727">
        <f t="shared" si="4"/>
        <v>100.27512352000015</v>
      </c>
      <c r="M24" s="728">
        <f>('C1-Incomes'!FG27-'C1-Incomes'!EY27)/1000</f>
        <v>6.6188764799998605</v>
      </c>
      <c r="N24" s="728">
        <f>('C1-Incomes'!FH27-'C1-Incomes'!EZ27)/1000</f>
        <v>4.3153107800000576</v>
      </c>
      <c r="O24" s="728">
        <f>('C1-Incomes'!FI27-'C1-Incomes'!FA27)/1000</f>
        <v>1.3564848600000259</v>
      </c>
      <c r="P24" s="728">
        <f>('C1-Incomes'!FJ27-'C1-Incomes'!FB27)/1000</f>
        <v>0.7204655600000115</v>
      </c>
      <c r="Q24" s="728">
        <f>('C1-Incomes'!FK27-'C1-Incomes'!FC27)/1000</f>
        <v>0.11972127999999793</v>
      </c>
      <c r="R24" s="728">
        <f>('C1-Incomes'!FL27-'C1-Incomes'!FD27)/1000</f>
        <v>1.7103039999998147E-2</v>
      </c>
      <c r="S24" s="728">
        <f>('C1-Incomes'!FF27-'C1-Incomes'!EX27)/1000</f>
        <v>106.89400000000001</v>
      </c>
      <c r="T24" s="729"/>
      <c r="U24" s="728">
        <f t="shared" si="19"/>
        <v>132.96418415982885</v>
      </c>
      <c r="V24" s="728">
        <f t="shared" si="5"/>
        <v>70.008529937954577</v>
      </c>
      <c r="W24" s="728">
        <f t="shared" si="6"/>
        <v>39.665738025368057</v>
      </c>
      <c r="X24" s="728">
        <f t="shared" si="7"/>
        <v>8.2291816487094387</v>
      </c>
      <c r="Y24" s="729">
        <f t="shared" si="8"/>
        <v>4.6666184579591432</v>
      </c>
      <c r="Z24" s="729">
        <f t="shared" si="9"/>
        <v>1.4752023287031535</v>
      </c>
      <c r="AA24" s="729">
        <f t="shared" si="10"/>
        <v>0.27917809113484493</v>
      </c>
      <c r="AB24" s="728">
        <f t="shared" si="11"/>
        <v>202.97271409778341</v>
      </c>
      <c r="AD24" s="729">
        <f t="shared" si="12"/>
        <v>0.65508403309704233</v>
      </c>
      <c r="AE24" s="729">
        <f t="shared" si="13"/>
        <v>0.34491596690295778</v>
      </c>
      <c r="AF24" s="729">
        <f t="shared" si="14"/>
        <v>0.19542399184877055</v>
      </c>
      <c r="AG24" s="729">
        <f t="shared" si="15"/>
        <v>4.0543290191926866E-2</v>
      </c>
      <c r="AH24" s="729">
        <f t="shared" si="16"/>
        <v>2.2991358610453275E-2</v>
      </c>
      <c r="AI24" s="729">
        <f t="shared" si="17"/>
        <v>7.2679834590597498E-3</v>
      </c>
      <c r="AJ24" s="729">
        <f t="shared" si="18"/>
        <v>1.3754464109907358E-3</v>
      </c>
      <c r="AK24" s="733"/>
    </row>
    <row r="25" spans="1:37" s="730" customFormat="1" ht="12" customHeight="1" x14ac:dyDescent="0.25">
      <c r="A25" s="726">
        <v>1980</v>
      </c>
      <c r="B25" s="727">
        <v>2426.8000000000002</v>
      </c>
      <c r="C25" s="728">
        <v>262.61497382453052</v>
      </c>
      <c r="D25" s="728">
        <v>85.115762459570391</v>
      </c>
      <c r="E25" s="728">
        <v>49.307701181299514</v>
      </c>
      <c r="F25" s="728">
        <v>11.347225138625802</v>
      </c>
      <c r="G25" s="729">
        <v>6.1074604446735163</v>
      </c>
      <c r="H25" s="729">
        <v>1.6706739701500355</v>
      </c>
      <c r="I25" s="729">
        <v>0.24682344586465352</v>
      </c>
      <c r="J25" s="728">
        <f t="shared" si="3"/>
        <v>347.73073628410089</v>
      </c>
      <c r="L25" s="727">
        <f t="shared" si="4"/>
        <v>116.12245392</v>
      </c>
      <c r="M25" s="728">
        <f>('C1-Incomes'!FG28-'C1-Incomes'!EY28)/1000</f>
        <v>7.2755460799999998</v>
      </c>
      <c r="N25" s="728">
        <f>('C1-Incomes'!FH28-'C1-Incomes'!EZ28)/1000</f>
        <v>4.8051181199998831</v>
      </c>
      <c r="O25" s="728">
        <f>('C1-Incomes'!FI28-'C1-Incomes'!FA28)/1000</f>
        <v>1.5190293800000509</v>
      </c>
      <c r="P25" s="728">
        <f>('C1-Incomes'!FJ28-'C1-Incomes'!FB28)/1000</f>
        <v>0.79715108000001056</v>
      </c>
      <c r="Q25" s="728">
        <f>('C1-Incomes'!FK28-'C1-Incomes'!FC28)/1000</f>
        <v>0.13326984000000811</v>
      </c>
      <c r="R25" s="728">
        <f>('C1-Incomes'!FL28-'C1-Incomes'!FD28)/1000</f>
        <v>1.9743679999999587E-2</v>
      </c>
      <c r="S25" s="728">
        <f>('C1-Incomes'!FF28-'C1-Incomes'!EX28)/1000</f>
        <v>123.398</v>
      </c>
      <c r="T25" s="729"/>
      <c r="U25" s="728">
        <f t="shared" si="19"/>
        <v>146.49251990453052</v>
      </c>
      <c r="V25" s="728">
        <f t="shared" si="5"/>
        <v>77.840216379570393</v>
      </c>
      <c r="W25" s="728">
        <f t="shared" si="6"/>
        <v>44.502583061299632</v>
      </c>
      <c r="X25" s="728">
        <f t="shared" si="7"/>
        <v>9.8281957586257516</v>
      </c>
      <c r="Y25" s="729">
        <f t="shared" si="8"/>
        <v>5.3103093646735058</v>
      </c>
      <c r="Z25" s="729">
        <f t="shared" si="9"/>
        <v>1.5374041301500274</v>
      </c>
      <c r="AA25" s="729">
        <f t="shared" si="10"/>
        <v>0.22707976586465392</v>
      </c>
      <c r="AB25" s="728">
        <f t="shared" si="11"/>
        <v>224.33273628410089</v>
      </c>
      <c r="AD25" s="729">
        <f t="shared" si="12"/>
        <v>0.65301445669975045</v>
      </c>
      <c r="AE25" s="729">
        <f t="shared" si="13"/>
        <v>0.34698554330024972</v>
      </c>
      <c r="AF25" s="729">
        <f t="shared" si="14"/>
        <v>0.19837756984758742</v>
      </c>
      <c r="AG25" s="729">
        <f t="shared" si="15"/>
        <v>4.381079605866825E-2</v>
      </c>
      <c r="AH25" s="729">
        <f t="shared" si="16"/>
        <v>2.367157577014703E-2</v>
      </c>
      <c r="AI25" s="729">
        <f t="shared" si="17"/>
        <v>6.8532313010394447E-3</v>
      </c>
      <c r="AJ25" s="729">
        <f t="shared" si="18"/>
        <v>1.0122453353266913E-3</v>
      </c>
      <c r="AK25" s="733"/>
    </row>
    <row r="26" spans="1:37" s="730" customFormat="1" ht="12" customHeight="1" x14ac:dyDescent="0.25">
      <c r="A26" s="726">
        <v>1981</v>
      </c>
      <c r="B26" s="727">
        <v>2722.1</v>
      </c>
      <c r="C26" s="728">
        <v>299.80300722440637</v>
      </c>
      <c r="D26" s="728">
        <v>106.58537782316839</v>
      </c>
      <c r="E26" s="728">
        <v>62.988579457372204</v>
      </c>
      <c r="F26" s="728">
        <v>14.319235366236223</v>
      </c>
      <c r="G26" s="729">
        <v>7.8961026254797133</v>
      </c>
      <c r="H26" s="729">
        <v>2.1538075757859469</v>
      </c>
      <c r="I26" s="729">
        <v>0.33212357937759329</v>
      </c>
      <c r="J26" s="728">
        <f t="shared" si="3"/>
        <v>406.38838504757473</v>
      </c>
      <c r="L26" s="727">
        <f t="shared" si="4"/>
        <v>134.44237620000007</v>
      </c>
      <c r="M26" s="728">
        <f>('C1-Incomes'!FG29-'C1-Incomes'!EY29)/1000</f>
        <v>9.5156237999999433</v>
      </c>
      <c r="N26" s="728">
        <f>('C1-Incomes'!FH29-'C1-Incomes'!EZ29)/1000</f>
        <v>5.9094758999999613</v>
      </c>
      <c r="O26" s="728">
        <f>('C1-Incomes'!FI29-'C1-Incomes'!FA29)/1000</f>
        <v>1.7807604600000486</v>
      </c>
      <c r="P26" s="728">
        <f>('C1-Incomes'!FJ29-'C1-Incomes'!FB29)/1000</f>
        <v>0.90549581999998185</v>
      </c>
      <c r="Q26" s="728">
        <f>('C1-Incomes'!FK29-'C1-Incomes'!FC29)/1000</f>
        <v>0.14251841999999307</v>
      </c>
      <c r="R26" s="728">
        <f>('C1-Incomes'!FL29-'C1-Incomes'!FD29)/1000</f>
        <v>2.0154119999999238E-2</v>
      </c>
      <c r="S26" s="728">
        <f>('C1-Incomes'!FF29-'C1-Incomes'!EX29)/1000</f>
        <v>143.958</v>
      </c>
      <c r="T26" s="729"/>
      <c r="U26" s="728">
        <f t="shared" si="19"/>
        <v>165.3606310244063</v>
      </c>
      <c r="V26" s="728">
        <f t="shared" si="5"/>
        <v>97.069754023168443</v>
      </c>
      <c r="W26" s="728">
        <f t="shared" si="6"/>
        <v>57.079103557372243</v>
      </c>
      <c r="X26" s="728">
        <f t="shared" si="7"/>
        <v>12.538474906236175</v>
      </c>
      <c r="Y26" s="729">
        <f t="shared" si="8"/>
        <v>6.9906068054797315</v>
      </c>
      <c r="Z26" s="729">
        <f t="shared" si="9"/>
        <v>2.011289155785954</v>
      </c>
      <c r="AA26" s="729">
        <f t="shared" si="10"/>
        <v>0.31196945937759407</v>
      </c>
      <c r="AB26" s="728">
        <f t="shared" si="11"/>
        <v>262.43038504757476</v>
      </c>
      <c r="AD26" s="729">
        <f t="shared" si="12"/>
        <v>0.63011236673081461</v>
      </c>
      <c r="AE26" s="729">
        <f t="shared" si="13"/>
        <v>0.36988763326918539</v>
      </c>
      <c r="AF26" s="729">
        <f t="shared" si="14"/>
        <v>0.21750188548869689</v>
      </c>
      <c r="AG26" s="729">
        <f t="shared" si="15"/>
        <v>4.7778289484135511E-2</v>
      </c>
      <c r="AH26" s="729">
        <f t="shared" si="16"/>
        <v>2.663794744732946E-2</v>
      </c>
      <c r="AI26" s="729">
        <f t="shared" si="17"/>
        <v>7.6640864411388065E-3</v>
      </c>
      <c r="AJ26" s="729">
        <f t="shared" si="18"/>
        <v>1.1887703450232663E-3</v>
      </c>
      <c r="AK26" s="733"/>
    </row>
    <row r="27" spans="1:37" s="730" customFormat="1" ht="12" customHeight="1" x14ac:dyDescent="0.25">
      <c r="A27" s="726">
        <v>1982</v>
      </c>
      <c r="B27" s="727">
        <v>2840.4</v>
      </c>
      <c r="C27" s="728">
        <v>345.24827582165801</v>
      </c>
      <c r="D27" s="728">
        <v>129.11165775483445</v>
      </c>
      <c r="E27" s="728">
        <v>79.556790292407172</v>
      </c>
      <c r="F27" s="728">
        <v>20.243296533532092</v>
      </c>
      <c r="G27" s="729">
        <v>11.528407736518979</v>
      </c>
      <c r="H27" s="729">
        <v>4.2522589354224767</v>
      </c>
      <c r="I27" s="729">
        <v>0.19798469806107974</v>
      </c>
      <c r="J27" s="728">
        <f t="shared" si="3"/>
        <v>474.35993357649249</v>
      </c>
      <c r="L27" s="727">
        <f t="shared" si="4"/>
        <v>149.2930762700002</v>
      </c>
      <c r="M27" s="728">
        <f>('C1-Incomes'!FG30-'C1-Incomes'!EY30)/1000</f>
        <v>10.185923729999805</v>
      </c>
      <c r="N27" s="728">
        <f>('C1-Incomes'!FH30-'C1-Incomes'!EZ30)/1000</f>
        <v>6.2595507499998204</v>
      </c>
      <c r="O27" s="728">
        <f>('C1-Incomes'!FI30-'C1-Incomes'!FA30)/1000</f>
        <v>1.9265063199999859</v>
      </c>
      <c r="P27" s="728">
        <f>('C1-Incomes'!FJ30-'C1-Incomes'!FB30)/1000</f>
        <v>0.95208962999997315</v>
      </c>
      <c r="Q27" s="728">
        <f>('C1-Incomes'!FK30-'C1-Incomes'!FC30)/1000</f>
        <v>0.15628942000000098</v>
      </c>
      <c r="R27" s="728">
        <f>('C1-Incomes'!FL30-'C1-Incomes'!FD30)/1000</f>
        <v>2.0732270000000427E-2</v>
      </c>
      <c r="S27" s="728">
        <f>('C1-Incomes'!FF30-'C1-Incomes'!EX30)/1000</f>
        <v>159.47900000000001</v>
      </c>
      <c r="T27" s="729"/>
      <c r="U27" s="728">
        <f t="shared" si="19"/>
        <v>195.95519955165781</v>
      </c>
      <c r="V27" s="728">
        <f t="shared" si="5"/>
        <v>118.92573402483465</v>
      </c>
      <c r="W27" s="728">
        <f t="shared" si="6"/>
        <v>73.297239542407354</v>
      </c>
      <c r="X27" s="728">
        <f t="shared" si="7"/>
        <v>18.316790213532105</v>
      </c>
      <c r="Y27" s="729">
        <f t="shared" si="8"/>
        <v>10.576318106519006</v>
      </c>
      <c r="Z27" s="729">
        <f t="shared" si="9"/>
        <v>4.0959695154224756</v>
      </c>
      <c r="AA27" s="729">
        <f t="shared" si="10"/>
        <v>0.17725242806107933</v>
      </c>
      <c r="AB27" s="728">
        <f t="shared" si="11"/>
        <v>314.88093357649245</v>
      </c>
      <c r="AD27" s="729">
        <f t="shared" si="12"/>
        <v>0.62231522666663908</v>
      </c>
      <c r="AE27" s="729">
        <f t="shared" si="13"/>
        <v>0.37768477333336098</v>
      </c>
      <c r="AF27" s="729">
        <f t="shared" si="14"/>
        <v>0.23277763664468309</v>
      </c>
      <c r="AG27" s="729">
        <f t="shared" si="15"/>
        <v>5.8170528159598771E-2</v>
      </c>
      <c r="AH27" s="729">
        <f t="shared" si="16"/>
        <v>3.3588309036024097E-2</v>
      </c>
      <c r="AI27" s="729">
        <f t="shared" si="17"/>
        <v>1.3007994701042965E-2</v>
      </c>
      <c r="AJ27" s="729">
        <f t="shared" si="18"/>
        <v>5.6291889778083463E-4</v>
      </c>
      <c r="AK27" s="733"/>
    </row>
    <row r="28" spans="1:37" s="730" customFormat="1" ht="12" customHeight="1" x14ac:dyDescent="0.25">
      <c r="A28" s="726">
        <v>1983</v>
      </c>
      <c r="B28" s="727">
        <v>3060.5</v>
      </c>
      <c r="C28" s="728">
        <v>388.6508088496434</v>
      </c>
      <c r="D28" s="728">
        <v>148.52649315456358</v>
      </c>
      <c r="E28" s="728">
        <v>92.171686261555635</v>
      </c>
      <c r="F28" s="728">
        <v>27.113379013001524</v>
      </c>
      <c r="G28" s="729">
        <v>16.876018160057647</v>
      </c>
      <c r="H28" s="729">
        <v>5.2787329119523099</v>
      </c>
      <c r="I28" s="729">
        <v>0.68775988021341372</v>
      </c>
      <c r="J28" s="728">
        <f t="shared" si="3"/>
        <v>537.17730200420692</v>
      </c>
      <c r="L28" s="727">
        <f t="shared" si="4"/>
        <v>159.61595487000002</v>
      </c>
      <c r="M28" s="728">
        <f>('C1-Incomes'!FG31-'C1-Incomes'!EY31)/1000</f>
        <v>10.821045129999984</v>
      </c>
      <c r="N28" s="728">
        <f>('C1-Incomes'!FH31-'C1-Incomes'!EZ31)/1000</f>
        <v>6.4817191100000633</v>
      </c>
      <c r="O28" s="728">
        <f>('C1-Incomes'!FI31-'C1-Incomes'!FA31)/1000</f>
        <v>1.9958172699999996</v>
      </c>
      <c r="P28" s="728">
        <f>('C1-Incomes'!FJ31-'C1-Incomes'!FB31)/1000</f>
        <v>1.0396657000000122</v>
      </c>
      <c r="Q28" s="728">
        <f>('C1-Incomes'!FK31-'C1-Incomes'!FC31)/1000</f>
        <v>0.17384573999998976</v>
      </c>
      <c r="R28" s="728">
        <f>('C1-Incomes'!FL31-'C1-Incomes'!FD31)/1000</f>
        <v>2.3861179999999878E-2</v>
      </c>
      <c r="S28" s="728">
        <f>('C1-Incomes'!FF31-'C1-Incomes'!EX31)/1000</f>
        <v>170.43700000000001</v>
      </c>
      <c r="T28" s="729"/>
      <c r="U28" s="728">
        <f t="shared" si="19"/>
        <v>229.03485397964337</v>
      </c>
      <c r="V28" s="728">
        <f t="shared" si="5"/>
        <v>137.70544802456359</v>
      </c>
      <c r="W28" s="728">
        <f t="shared" si="6"/>
        <v>85.689967151555578</v>
      </c>
      <c r="X28" s="728">
        <f t="shared" si="7"/>
        <v>25.117561743001524</v>
      </c>
      <c r="Y28" s="729">
        <f t="shared" si="8"/>
        <v>15.836352460057634</v>
      </c>
      <c r="Z28" s="729">
        <f t="shared" si="9"/>
        <v>5.1048871719523206</v>
      </c>
      <c r="AA28" s="729">
        <f t="shared" si="10"/>
        <v>0.66389870021341379</v>
      </c>
      <c r="AB28" s="728">
        <f t="shared" si="11"/>
        <v>366.74030200420691</v>
      </c>
      <c r="AD28" s="729">
        <f t="shared" si="12"/>
        <v>0.62451509345437606</v>
      </c>
      <c r="AE28" s="729">
        <f t="shared" si="13"/>
        <v>0.37548490654562411</v>
      </c>
      <c r="AF28" s="729">
        <f t="shared" si="14"/>
        <v>0.23365298736808213</v>
      </c>
      <c r="AG28" s="729">
        <f t="shared" si="15"/>
        <v>6.8488686969324128E-2</v>
      </c>
      <c r="AH28" s="729">
        <f t="shared" si="16"/>
        <v>4.3181380321478752E-2</v>
      </c>
      <c r="AI28" s="729">
        <f t="shared" si="17"/>
        <v>1.3919624170167592E-2</v>
      </c>
      <c r="AJ28" s="729">
        <f t="shared" si="18"/>
        <v>1.810269273884707E-3</v>
      </c>
      <c r="AK28" s="733"/>
    </row>
    <row r="29" spans="1:37" s="730" customFormat="1" ht="12" customHeight="1" x14ac:dyDescent="0.25">
      <c r="A29" s="726">
        <v>1984</v>
      </c>
      <c r="B29" s="727">
        <v>3444</v>
      </c>
      <c r="C29" s="728">
        <v>433.74632522418557</v>
      </c>
      <c r="D29" s="728">
        <v>196.60436497380115</v>
      </c>
      <c r="E29" s="728">
        <v>123.87099231401621</v>
      </c>
      <c r="F29" s="728">
        <v>40.429480069649159</v>
      </c>
      <c r="G29" s="729">
        <v>27.103931051230166</v>
      </c>
      <c r="H29" s="729">
        <v>10.100966340282872</v>
      </c>
      <c r="I29" s="729">
        <v>1.6635172352613381</v>
      </c>
      <c r="J29" s="728">
        <f t="shared" si="3"/>
        <v>630.35069019798675</v>
      </c>
      <c r="L29" s="727">
        <f t="shared" si="4"/>
        <v>167.49400208000003</v>
      </c>
      <c r="M29" s="728">
        <f>('C1-Incomes'!FG32-'C1-Incomes'!EY32)/1000</f>
        <v>11.597997919999994</v>
      </c>
      <c r="N29" s="728">
        <f>('C1-Incomes'!FH32-'C1-Incomes'!EZ32)/1000</f>
        <v>6.9756334000000502</v>
      </c>
      <c r="O29" s="728">
        <f>('C1-Incomes'!FI32-'C1-Incomes'!FA32)/1000</f>
        <v>2.1598495200000469</v>
      </c>
      <c r="P29" s="728">
        <f>('C1-Incomes'!FJ32-'C1-Incomes'!FB32)/1000</f>
        <v>1.1175340800000413</v>
      </c>
      <c r="Q29" s="728">
        <f>('C1-Incomes'!FK32-'C1-Incomes'!FC32)/1000</f>
        <v>0.15760095999999613</v>
      </c>
      <c r="R29" s="728">
        <f>('C1-Incomes'!FL32-'C1-Incomes'!FD32)/1000</f>
        <v>2.1491040000000794E-2</v>
      </c>
      <c r="S29" s="728">
        <f>('C1-Incomes'!FF32-'C1-Incomes'!EX32)/1000</f>
        <v>179.09200000000001</v>
      </c>
      <c r="T29" s="729"/>
      <c r="U29" s="728">
        <f t="shared" si="19"/>
        <v>266.25232314418554</v>
      </c>
      <c r="V29" s="728">
        <f t="shared" si="5"/>
        <v>185.00636705380117</v>
      </c>
      <c r="W29" s="728">
        <f t="shared" si="6"/>
        <v>116.89535891401616</v>
      </c>
      <c r="X29" s="728">
        <f t="shared" si="7"/>
        <v>38.269630549649115</v>
      </c>
      <c r="Y29" s="729">
        <f t="shared" si="8"/>
        <v>25.986396971230125</v>
      </c>
      <c r="Z29" s="729">
        <f t="shared" si="9"/>
        <v>9.9433653802828754</v>
      </c>
      <c r="AA29" s="729">
        <f t="shared" si="10"/>
        <v>1.6420261952613373</v>
      </c>
      <c r="AB29" s="728">
        <f t="shared" si="11"/>
        <v>451.25869019798677</v>
      </c>
      <c r="AD29" s="729">
        <f t="shared" si="12"/>
        <v>0.59002148640587748</v>
      </c>
      <c r="AE29" s="729">
        <f t="shared" si="13"/>
        <v>0.40997851359412235</v>
      </c>
      <c r="AF29" s="729">
        <f t="shared" si="14"/>
        <v>0.25904289812730052</v>
      </c>
      <c r="AG29" s="729">
        <f t="shared" si="15"/>
        <v>8.4806412332710024E-2</v>
      </c>
      <c r="AH29" s="729">
        <f t="shared" si="16"/>
        <v>5.7586474312170621E-2</v>
      </c>
      <c r="AI29" s="729">
        <f t="shared" si="17"/>
        <v>2.2034734391309537E-2</v>
      </c>
      <c r="AJ29" s="729">
        <f t="shared" si="18"/>
        <v>3.6387691382539561E-3</v>
      </c>
      <c r="AK29" s="733"/>
    </row>
    <row r="30" spans="1:37" s="730" customFormat="1" ht="12" customHeight="1" x14ac:dyDescent="0.25">
      <c r="A30" s="726">
        <v>1985</v>
      </c>
      <c r="B30" s="727">
        <v>3684.2</v>
      </c>
      <c r="C30" s="728">
        <v>482.02566135009761</v>
      </c>
      <c r="D30" s="728">
        <v>217.44180151734483</v>
      </c>
      <c r="E30" s="728">
        <v>138.0226560191544</v>
      </c>
      <c r="F30" s="728">
        <v>46.231130271145254</v>
      </c>
      <c r="G30" s="729">
        <v>29.922230194321649</v>
      </c>
      <c r="H30" s="729">
        <v>10.834547053727643</v>
      </c>
      <c r="I30" s="729">
        <v>2.7979647303895203</v>
      </c>
      <c r="J30" s="728">
        <f t="shared" si="3"/>
        <v>699.46746286744246</v>
      </c>
      <c r="L30" s="727">
        <f t="shared" si="4"/>
        <v>173.63017569300018</v>
      </c>
      <c r="M30" s="728">
        <f>('C1-Incomes'!FG33-'C1-Incomes'!EY33)/1000</f>
        <v>15.855824206999969</v>
      </c>
      <c r="N30" s="728">
        <f>('C1-Incomes'!FH33-'C1-Incomes'!EZ33)/1000</f>
        <v>10.362375517000094</v>
      </c>
      <c r="O30" s="728">
        <f>('C1-Incomes'!FI33-'C1-Incomes'!FA33)/1000</f>
        <v>3.5315600069999928</v>
      </c>
      <c r="P30" s="728">
        <f>('C1-Incomes'!FJ33-'C1-Incomes'!FB33)/1000</f>
        <v>1.7690904009999939</v>
      </c>
      <c r="Q30" s="728">
        <f>('C1-Incomes'!FK33-'C1-Incomes'!FC33)/1000</f>
        <v>0.33056892100001278</v>
      </c>
      <c r="R30" s="728">
        <f>('C1-Incomes'!FL33-'C1-Incomes'!FD33)/1000</f>
        <v>7.6097465000006193E-2</v>
      </c>
      <c r="S30" s="728">
        <f>('C1-Incomes'!FF33-'C1-Incomes'!EX33)/1000</f>
        <v>189.48599990000017</v>
      </c>
      <c r="T30" s="729"/>
      <c r="U30" s="728">
        <f t="shared" si="19"/>
        <v>308.39548565709742</v>
      </c>
      <c r="V30" s="728">
        <f t="shared" si="5"/>
        <v>201.58597731034484</v>
      </c>
      <c r="W30" s="728">
        <f t="shared" si="6"/>
        <v>127.66028050215431</v>
      </c>
      <c r="X30" s="728">
        <f t="shared" si="7"/>
        <v>42.699570264145258</v>
      </c>
      <c r="Y30" s="729">
        <f t="shared" si="8"/>
        <v>28.153139793321657</v>
      </c>
      <c r="Z30" s="729">
        <f t="shared" si="9"/>
        <v>10.50397813272763</v>
      </c>
      <c r="AA30" s="729">
        <f t="shared" si="10"/>
        <v>2.721867265389514</v>
      </c>
      <c r="AB30" s="728">
        <f t="shared" si="11"/>
        <v>509.98146296744233</v>
      </c>
      <c r="AD30" s="729">
        <f t="shared" si="12"/>
        <v>0.60471901049624166</v>
      </c>
      <c r="AE30" s="729">
        <f t="shared" si="13"/>
        <v>0.39528098950375823</v>
      </c>
      <c r="AF30" s="729">
        <f t="shared" si="14"/>
        <v>0.25032337402880123</v>
      </c>
      <c r="AG30" s="729">
        <f t="shared" si="15"/>
        <v>8.3727690837404486E-2</v>
      </c>
      <c r="AH30" s="729">
        <f t="shared" si="16"/>
        <v>5.5204241404199779E-2</v>
      </c>
      <c r="AI30" s="729">
        <f t="shared" si="17"/>
        <v>2.0596784188209236E-2</v>
      </c>
      <c r="AJ30" s="729">
        <f t="shared" si="18"/>
        <v>5.3371886294684406E-3</v>
      </c>
      <c r="AK30" s="733"/>
    </row>
    <row r="31" spans="1:37" s="730" customFormat="1" ht="12" customHeight="1" x14ac:dyDescent="0.25">
      <c r="A31" s="726">
        <v>1986</v>
      </c>
      <c r="B31" s="727">
        <v>3848.2</v>
      </c>
      <c r="C31" s="728">
        <v>500.00501082098867</v>
      </c>
      <c r="D31" s="728">
        <v>232.71399034004324</v>
      </c>
      <c r="E31" s="728">
        <v>151.30745142655223</v>
      </c>
      <c r="F31" s="728">
        <v>57.132218392162535</v>
      </c>
      <c r="G31" s="729">
        <v>38.603332833362629</v>
      </c>
      <c r="H31" s="729">
        <v>14.732620438224069</v>
      </c>
      <c r="I31" s="729">
        <v>2.7851131809683869</v>
      </c>
      <c r="J31" s="728">
        <f t="shared" si="3"/>
        <v>732.71900116103188</v>
      </c>
      <c r="L31" s="727">
        <f t="shared" si="4"/>
        <v>184.94293064399994</v>
      </c>
      <c r="M31" s="728">
        <f>('C1-Incomes'!FG34-'C1-Incomes'!EY34)/1000</f>
        <v>15.039069455999881</v>
      </c>
      <c r="N31" s="728">
        <f>('C1-Incomes'!FH34-'C1-Incomes'!EZ34)/1000</f>
        <v>9.8362335460000896</v>
      </c>
      <c r="O31" s="728">
        <f>('C1-Incomes'!FI34-'C1-Incomes'!FA34)/1000</f>
        <v>3.068966056000034</v>
      </c>
      <c r="P31" s="728">
        <f>('C1-Incomes'!FJ34-'C1-Incomes'!FB34)/1000</f>
        <v>1.8083957979999832</v>
      </c>
      <c r="Q31" s="728">
        <f>('C1-Incomes'!FK34-'C1-Incomes'!FC34)/1000</f>
        <v>0.27595574800000761</v>
      </c>
      <c r="R31" s="728">
        <f>('C1-Incomes'!FL34-'C1-Incomes'!FD34)/1000</f>
        <v>3.1008447000000161E-2</v>
      </c>
      <c r="S31" s="728">
        <f>('C1-Incomes'!FF34-'C1-Incomes'!EX34)/1000</f>
        <v>199.98200009999982</v>
      </c>
      <c r="T31" s="729"/>
      <c r="U31" s="728">
        <f t="shared" si="19"/>
        <v>315.06208017698873</v>
      </c>
      <c r="V31" s="728">
        <f t="shared" si="5"/>
        <v>217.67492088404336</v>
      </c>
      <c r="W31" s="728">
        <f t="shared" si="6"/>
        <v>141.47121788055213</v>
      </c>
      <c r="X31" s="728">
        <f t="shared" si="7"/>
        <v>54.063252336162499</v>
      </c>
      <c r="Y31" s="729">
        <f t="shared" si="8"/>
        <v>36.794937035362643</v>
      </c>
      <c r="Z31" s="729">
        <f t="shared" si="9"/>
        <v>14.456664690224061</v>
      </c>
      <c r="AA31" s="729">
        <f t="shared" si="10"/>
        <v>2.7541047339683868</v>
      </c>
      <c r="AB31" s="728">
        <f t="shared" si="11"/>
        <v>532.73700106103206</v>
      </c>
      <c r="AD31" s="729">
        <f t="shared" si="12"/>
        <v>0.59140266125591345</v>
      </c>
      <c r="AE31" s="729">
        <f t="shared" si="13"/>
        <v>0.40859733874408666</v>
      </c>
      <c r="AF31" s="729">
        <f t="shared" si="14"/>
        <v>0.26555545719330415</v>
      </c>
      <c r="AG31" s="729">
        <f t="shared" si="15"/>
        <v>0.10148206756520904</v>
      </c>
      <c r="AH31" s="729">
        <f t="shared" si="16"/>
        <v>6.9067733163042114E-2</v>
      </c>
      <c r="AI31" s="729">
        <f t="shared" si="17"/>
        <v>2.7136588338019081E-2</v>
      </c>
      <c r="AJ31" s="729">
        <f t="shared" si="18"/>
        <v>5.1697267666468462E-3</v>
      </c>
      <c r="AK31" s="733"/>
    </row>
    <row r="32" spans="1:37" s="730" customFormat="1" ht="12" customHeight="1" x14ac:dyDescent="0.25">
      <c r="A32" s="726">
        <v>1987</v>
      </c>
      <c r="B32" s="727">
        <v>4119.2</v>
      </c>
      <c r="C32" s="728">
        <v>501.0200274591063</v>
      </c>
      <c r="D32" s="728">
        <v>246.96348879164881</v>
      </c>
      <c r="E32" s="728">
        <v>168.39660945665167</v>
      </c>
      <c r="F32" s="728">
        <v>72.213462647901977</v>
      </c>
      <c r="G32" s="729">
        <v>50.743431636066902</v>
      </c>
      <c r="H32" s="729">
        <v>21.950401524592099</v>
      </c>
      <c r="I32" s="729">
        <v>3.0609560581294697</v>
      </c>
      <c r="J32" s="728">
        <f t="shared" si="3"/>
        <v>747.98351625075509</v>
      </c>
      <c r="L32" s="727">
        <f t="shared" si="4"/>
        <v>191.83649995699943</v>
      </c>
      <c r="M32" s="728">
        <f>('C1-Incomes'!FG35-'C1-Incomes'!EY35)/1000</f>
        <v>15.636499842999969</v>
      </c>
      <c r="N32" s="728">
        <f>('C1-Incomes'!FH35-'C1-Incomes'!EZ35)/1000</f>
        <v>9.5067843730000305</v>
      </c>
      <c r="O32" s="728">
        <f>('C1-Incomes'!FI35-'C1-Incomes'!FA35)/1000</f>
        <v>3.1714025029999902</v>
      </c>
      <c r="P32" s="728">
        <f>('C1-Incomes'!FJ35-'C1-Incomes'!FB35)/1000</f>
        <v>1.6365230730000184</v>
      </c>
      <c r="Q32" s="728">
        <f>('C1-Incomes'!FK35-'C1-Incomes'!FC35)/1000</f>
        <v>0.43346090300002832</v>
      </c>
      <c r="R32" s="728">
        <f>('C1-Incomes'!FL35-'C1-Incomes'!FD35)/1000</f>
        <v>3.248970100000588E-2</v>
      </c>
      <c r="S32" s="728">
        <f>('C1-Incomes'!FF35-'C1-Incomes'!EX35)/1000</f>
        <v>207.4729997999994</v>
      </c>
      <c r="T32" s="729"/>
      <c r="U32" s="728">
        <f t="shared" si="19"/>
        <v>309.18352750210687</v>
      </c>
      <c r="V32" s="728">
        <f t="shared" si="5"/>
        <v>231.32698894864885</v>
      </c>
      <c r="W32" s="728">
        <f t="shared" si="6"/>
        <v>158.88982508365166</v>
      </c>
      <c r="X32" s="728">
        <f t="shared" si="7"/>
        <v>69.042060144901981</v>
      </c>
      <c r="Y32" s="729">
        <f t="shared" si="8"/>
        <v>49.106908563066881</v>
      </c>
      <c r="Z32" s="729">
        <f t="shared" si="9"/>
        <v>21.51694062159207</v>
      </c>
      <c r="AA32" s="729">
        <f t="shared" si="10"/>
        <v>3.0284663571294637</v>
      </c>
      <c r="AB32" s="728">
        <f t="shared" si="11"/>
        <v>540.51051645075563</v>
      </c>
      <c r="AD32" s="729">
        <f t="shared" si="12"/>
        <v>0.57202129855372708</v>
      </c>
      <c r="AE32" s="729">
        <f t="shared" si="13"/>
        <v>0.42797870144627315</v>
      </c>
      <c r="AF32" s="729">
        <f t="shared" si="14"/>
        <v>0.2939625044245141</v>
      </c>
      <c r="AG32" s="729">
        <f t="shared" si="15"/>
        <v>0.12773490624801231</v>
      </c>
      <c r="AH32" s="729">
        <f t="shared" si="16"/>
        <v>9.0852827222540955E-2</v>
      </c>
      <c r="AI32" s="729">
        <f t="shared" si="17"/>
        <v>3.9808551298654363E-2</v>
      </c>
      <c r="AJ32" s="729">
        <f t="shared" si="18"/>
        <v>5.6029739754478551E-3</v>
      </c>
      <c r="AK32" s="733"/>
    </row>
    <row r="33" spans="1:37" s="730" customFormat="1" ht="12" customHeight="1" x14ac:dyDescent="0.25">
      <c r="A33" s="726">
        <v>1988</v>
      </c>
      <c r="B33" s="727">
        <v>4493.3999999999996</v>
      </c>
      <c r="C33" s="728">
        <v>534.06570268554549</v>
      </c>
      <c r="D33" s="728">
        <v>264.70012603610542</v>
      </c>
      <c r="E33" s="728">
        <v>180.17582906561583</v>
      </c>
      <c r="F33" s="728">
        <v>74.689830431594018</v>
      </c>
      <c r="G33" s="729">
        <v>54.857535966543139</v>
      </c>
      <c r="H33" s="729">
        <v>25.20715737327366</v>
      </c>
      <c r="I33" s="729">
        <v>6.2380382975699575</v>
      </c>
      <c r="J33" s="728">
        <f t="shared" si="3"/>
        <v>798.76582872165091</v>
      </c>
      <c r="L33" s="727">
        <f t="shared" si="4"/>
        <v>203.41117997099923</v>
      </c>
      <c r="M33" s="728">
        <f>('C1-Incomes'!FG36-'C1-Incomes'!EY36)/1000</f>
        <v>17.212819629000499</v>
      </c>
      <c r="N33" s="728">
        <f>('C1-Incomes'!FH36-'C1-Incomes'!EZ36)/1000</f>
        <v>10.618311299000169</v>
      </c>
      <c r="O33" s="728">
        <f>('C1-Incomes'!FI36-'C1-Incomes'!FA36)/1000</f>
        <v>2.8766447890000419</v>
      </c>
      <c r="P33" s="728">
        <f>('C1-Incomes'!FJ36-'C1-Incomes'!FB36)/1000</f>
        <v>1.8499198289999621</v>
      </c>
      <c r="Q33" s="728">
        <f>('C1-Incomes'!FK36-'C1-Incomes'!FC36)/1000</f>
        <v>0.36937890899999182</v>
      </c>
      <c r="R33" s="728">
        <f>('C1-Incomes'!FL36-'C1-Incomes'!FD36)/1000</f>
        <v>4.2137478999997258E-2</v>
      </c>
      <c r="S33" s="728">
        <f>('C1-Incomes'!FF36-'C1-Incomes'!EX36)/1000</f>
        <v>220.62399959999973</v>
      </c>
      <c r="T33" s="729"/>
      <c r="U33" s="728">
        <f t="shared" si="19"/>
        <v>330.65452271454626</v>
      </c>
      <c r="V33" s="728">
        <f t="shared" si="5"/>
        <v>247.48730640710491</v>
      </c>
      <c r="W33" s="728">
        <f t="shared" si="6"/>
        <v>169.55751776661566</v>
      </c>
      <c r="X33" s="728">
        <f t="shared" si="7"/>
        <v>71.813185642593979</v>
      </c>
      <c r="Y33" s="729">
        <f t="shared" si="8"/>
        <v>53.007616137543174</v>
      </c>
      <c r="Z33" s="729">
        <f t="shared" si="9"/>
        <v>24.837778464273669</v>
      </c>
      <c r="AA33" s="729">
        <f t="shared" si="10"/>
        <v>6.1959008185699602</v>
      </c>
      <c r="AB33" s="728">
        <f t="shared" si="11"/>
        <v>578.1418291216512</v>
      </c>
      <c r="AD33" s="729">
        <f t="shared" si="12"/>
        <v>0.57192630953013213</v>
      </c>
      <c r="AE33" s="729">
        <f t="shared" si="13"/>
        <v>0.42807369046986776</v>
      </c>
      <c r="AF33" s="729">
        <f t="shared" si="14"/>
        <v>0.29328014204441483</v>
      </c>
      <c r="AG33" s="729">
        <f t="shared" si="15"/>
        <v>0.12421378635013662</v>
      </c>
      <c r="AH33" s="729">
        <f t="shared" si="16"/>
        <v>9.1686180565892658E-2</v>
      </c>
      <c r="AI33" s="729">
        <f t="shared" si="17"/>
        <v>4.2961393231153604E-2</v>
      </c>
      <c r="AJ33" s="729">
        <f t="shared" si="18"/>
        <v>1.0716921880541243E-2</v>
      </c>
      <c r="AK33" s="733"/>
    </row>
    <row r="34" spans="1:37" s="730" customFormat="1" ht="12" customHeight="1" x14ac:dyDescent="0.25">
      <c r="A34" s="726">
        <v>1989</v>
      </c>
      <c r="B34" s="727">
        <v>4782.2</v>
      </c>
      <c r="C34" s="728">
        <v>567.56539019435922</v>
      </c>
      <c r="D34" s="728">
        <v>284.69988175673257</v>
      </c>
      <c r="E34" s="728">
        <v>197.63054568928382</v>
      </c>
      <c r="F34" s="728">
        <v>89.797164873254005</v>
      </c>
      <c r="G34" s="729">
        <v>64.84427816502324</v>
      </c>
      <c r="H34" s="729">
        <v>30.968106502059847</v>
      </c>
      <c r="I34" s="729">
        <v>5.1145120500145032</v>
      </c>
      <c r="J34" s="728">
        <f t="shared" si="3"/>
        <v>852.26527195109179</v>
      </c>
      <c r="L34" s="727">
        <f t="shared" si="4"/>
        <v>216.09753902200026</v>
      </c>
      <c r="M34" s="728">
        <f>('C1-Incomes'!FG37-'C1-Incomes'!EY37)/1000</f>
        <v>18.240461377999978</v>
      </c>
      <c r="N34" s="728">
        <f>('C1-Incomes'!FH37-'C1-Incomes'!EZ37)/1000</f>
        <v>11.282491738000186</v>
      </c>
      <c r="O34" s="728">
        <f>('C1-Incomes'!FI37-'C1-Incomes'!FA37)/1000</f>
        <v>3.7115433880001074</v>
      </c>
      <c r="P34" s="728">
        <f>('C1-Incomes'!FJ37-'C1-Incomes'!FB37)/1000</f>
        <v>1.6565313080000341</v>
      </c>
      <c r="Q34" s="728">
        <f>('C1-Incomes'!FK37-'C1-Incomes'!FC37)/1000</f>
        <v>0.7763449680000194</v>
      </c>
      <c r="R34" s="728">
        <f>('C1-Incomes'!FL37-'C1-Incomes'!FD37)/1000</f>
        <v>4.2138128000005964E-2</v>
      </c>
      <c r="S34" s="728">
        <f>('C1-Incomes'!FF37-'C1-Incomes'!EX37)/1000</f>
        <v>234.33800040000025</v>
      </c>
      <c r="T34" s="729"/>
      <c r="U34" s="728">
        <f t="shared" si="19"/>
        <v>351.46785117235896</v>
      </c>
      <c r="V34" s="728">
        <f t="shared" si="5"/>
        <v>266.4594203787326</v>
      </c>
      <c r="W34" s="728">
        <f t="shared" si="6"/>
        <v>186.34805395128365</v>
      </c>
      <c r="X34" s="728">
        <f t="shared" si="7"/>
        <v>86.085621485253895</v>
      </c>
      <c r="Y34" s="729">
        <f t="shared" si="8"/>
        <v>63.187746857023207</v>
      </c>
      <c r="Z34" s="729">
        <f t="shared" si="9"/>
        <v>30.191761534059829</v>
      </c>
      <c r="AA34" s="729">
        <f t="shared" si="10"/>
        <v>5.0723739220144974</v>
      </c>
      <c r="AB34" s="728">
        <f t="shared" si="11"/>
        <v>617.92727155109151</v>
      </c>
      <c r="AD34" s="729">
        <f t="shared" si="12"/>
        <v>0.56878514244908007</v>
      </c>
      <c r="AE34" s="729">
        <f t="shared" si="13"/>
        <v>0.43121485755092004</v>
      </c>
      <c r="AF34" s="729">
        <f t="shared" si="14"/>
        <v>0.30156955766577781</v>
      </c>
      <c r="AG34" s="729">
        <f t="shared" si="15"/>
        <v>0.13931351705705736</v>
      </c>
      <c r="AH34" s="729">
        <f t="shared" si="16"/>
        <v>0.1022575791134972</v>
      </c>
      <c r="AI34" s="729">
        <f t="shared" si="17"/>
        <v>4.8859733052846029E-2</v>
      </c>
      <c r="AJ34" s="729">
        <f t="shared" si="18"/>
        <v>8.208690820979735E-3</v>
      </c>
      <c r="AK34" s="733"/>
    </row>
    <row r="35" spans="1:37" s="730" customFormat="1" ht="12" customHeight="1" x14ac:dyDescent="0.25">
      <c r="A35" s="726">
        <v>1990</v>
      </c>
      <c r="B35" s="727">
        <v>5036.1000000000004</v>
      </c>
      <c r="C35" s="728">
        <v>596.54914302558132</v>
      </c>
      <c r="D35" s="728">
        <v>301.31290753440356</v>
      </c>
      <c r="E35" s="728">
        <v>210.45868063316402</v>
      </c>
      <c r="F35" s="728">
        <v>95.238573315686907</v>
      </c>
      <c r="G35" s="729">
        <v>69.606403533991553</v>
      </c>
      <c r="H35" s="729">
        <v>33.093334933633834</v>
      </c>
      <c r="I35" s="729">
        <v>5.7254862439478957</v>
      </c>
      <c r="J35" s="728">
        <f t="shared" si="3"/>
        <v>897.86205055998494</v>
      </c>
      <c r="L35" s="727">
        <f t="shared" si="4"/>
        <v>232.36550944199993</v>
      </c>
      <c r="M35" s="728">
        <f>('C1-Incomes'!FG38-'C1-Incomes'!EY38)/1000</f>
        <v>18.990490057999967</v>
      </c>
      <c r="N35" s="728">
        <f>('C1-Incomes'!FH38-'C1-Incomes'!EZ38)/1000</f>
        <v>11.526151548000053</v>
      </c>
      <c r="O35" s="728">
        <f>('C1-Incomes'!FI38-'C1-Incomes'!FA38)/1000</f>
        <v>3.0798679579999297</v>
      </c>
      <c r="P35" s="728">
        <f>('C1-Incomes'!FJ38-'C1-Incomes'!FB38)/1000</f>
        <v>1.5914418980000191</v>
      </c>
      <c r="Q35" s="728">
        <f>('C1-Incomes'!FK38-'C1-Incomes'!FC38)/1000</f>
        <v>0.62821785799998908</v>
      </c>
      <c r="R35" s="728">
        <f>('C1-Incomes'!FL38-'C1-Incomes'!FD38)/1000</f>
        <v>3.3563957999998818E-2</v>
      </c>
      <c r="S35" s="728">
        <f>('C1-Incomes'!FF38-'C1-Incomes'!EX38)/1000</f>
        <v>251.35599949999991</v>
      </c>
      <c r="T35" s="729"/>
      <c r="U35" s="728">
        <f t="shared" si="19"/>
        <v>364.18363358358135</v>
      </c>
      <c r="V35" s="728">
        <f t="shared" si="5"/>
        <v>282.32241747640359</v>
      </c>
      <c r="W35" s="728">
        <f t="shared" si="6"/>
        <v>198.93252908516396</v>
      </c>
      <c r="X35" s="728">
        <f t="shared" si="7"/>
        <v>92.158705357686983</v>
      </c>
      <c r="Y35" s="729">
        <f t="shared" si="8"/>
        <v>68.01496163599154</v>
      </c>
      <c r="Z35" s="729">
        <f t="shared" si="9"/>
        <v>32.465117075633842</v>
      </c>
      <c r="AA35" s="729">
        <f t="shared" si="10"/>
        <v>5.6919222859478973</v>
      </c>
      <c r="AB35" s="728">
        <f t="shared" si="11"/>
        <v>646.506051059985</v>
      </c>
      <c r="AD35" s="729">
        <f t="shared" si="12"/>
        <v>0.56331047944018575</v>
      </c>
      <c r="AE35" s="729">
        <f t="shared" si="13"/>
        <v>0.43668952055981419</v>
      </c>
      <c r="AF35" s="729">
        <f t="shared" si="14"/>
        <v>0.30770404818176456</v>
      </c>
      <c r="AG35" s="729">
        <f t="shared" si="15"/>
        <v>0.14254886741831313</v>
      </c>
      <c r="AH35" s="729">
        <f t="shared" si="16"/>
        <v>0.10520390570896743</v>
      </c>
      <c r="AI35" s="729">
        <f t="shared" si="17"/>
        <v>5.02162617386262E-2</v>
      </c>
      <c r="AJ35" s="729">
        <f t="shared" si="18"/>
        <v>8.8041284016068429E-3</v>
      </c>
      <c r="AK35" s="733"/>
    </row>
    <row r="36" spans="1:37" s="730" customFormat="1" ht="12" customHeight="1" x14ac:dyDescent="0.25">
      <c r="A36" s="726">
        <v>1991</v>
      </c>
      <c r="B36" s="727">
        <v>5186.1000000000004</v>
      </c>
      <c r="C36" s="728">
        <v>630.04447276951237</v>
      </c>
      <c r="D36" s="728">
        <v>312.18385015974758</v>
      </c>
      <c r="E36" s="728">
        <v>216.61413473022529</v>
      </c>
      <c r="F36" s="728">
        <v>91.65421917592252</v>
      </c>
      <c r="G36" s="729">
        <v>61.693512185048498</v>
      </c>
      <c r="H36" s="729">
        <v>24.910887592757348</v>
      </c>
      <c r="I36" s="729">
        <v>4.1725507057466933</v>
      </c>
      <c r="J36" s="728">
        <f t="shared" si="3"/>
        <v>942.22832292926</v>
      </c>
      <c r="L36" s="727">
        <f t="shared" si="4"/>
        <v>250.85023361199998</v>
      </c>
      <c r="M36" s="728">
        <f>('C1-Incomes'!FG39-'C1-Incomes'!EY39)/1000</f>
        <v>20.866765987999738</v>
      </c>
      <c r="N36" s="728">
        <f>('C1-Incomes'!FH39-'C1-Incomes'!EZ39)/1000</f>
        <v>12.077950987999793</v>
      </c>
      <c r="O36" s="728">
        <f>('C1-Incomes'!FI39-'C1-Incomes'!FA39)/1000</f>
        <v>3.6548241280000657</v>
      </c>
      <c r="P36" s="728">
        <f>('C1-Incomes'!FJ39-'C1-Incomes'!FB39)/1000</f>
        <v>2.0252122079999535</v>
      </c>
      <c r="Q36" s="728">
        <f>('C1-Incomes'!FK39-'C1-Incomes'!FC39)/1000</f>
        <v>0.54005634800001279</v>
      </c>
      <c r="R36" s="728">
        <f>('C1-Incomes'!FL39-'C1-Incomes'!FD39)/1000</f>
        <v>8.1061808000013114E-2</v>
      </c>
      <c r="S36" s="728">
        <f>('C1-Incomes'!FF39-'C1-Incomes'!EX39)/1000</f>
        <v>271.71699959999972</v>
      </c>
      <c r="T36" s="729"/>
      <c r="U36" s="728">
        <f t="shared" si="19"/>
        <v>379.19423915751236</v>
      </c>
      <c r="V36" s="728">
        <f t="shared" si="5"/>
        <v>291.31708417174787</v>
      </c>
      <c r="W36" s="728">
        <f t="shared" si="6"/>
        <v>204.53618374222549</v>
      </c>
      <c r="X36" s="728">
        <f t="shared" si="7"/>
        <v>87.999395047922448</v>
      </c>
      <c r="Y36" s="729">
        <f t="shared" si="8"/>
        <v>59.668299977048541</v>
      </c>
      <c r="Z36" s="729">
        <f t="shared" si="9"/>
        <v>24.370831244757333</v>
      </c>
      <c r="AA36" s="729">
        <f t="shared" si="10"/>
        <v>4.0914888977466806</v>
      </c>
      <c r="AB36" s="728">
        <f t="shared" si="11"/>
        <v>670.51132332926022</v>
      </c>
      <c r="AD36" s="729">
        <f t="shared" si="12"/>
        <v>0.5655299559666136</v>
      </c>
      <c r="AE36" s="729">
        <f t="shared" si="13"/>
        <v>0.4344700440333864</v>
      </c>
      <c r="AF36" s="729">
        <f t="shared" si="14"/>
        <v>0.30504508518461854</v>
      </c>
      <c r="AG36" s="729">
        <f t="shared" si="15"/>
        <v>0.13124222065480259</v>
      </c>
      <c r="AH36" s="729">
        <f t="shared" si="16"/>
        <v>8.8989250294506841E-2</v>
      </c>
      <c r="AI36" s="729">
        <f t="shared" si="17"/>
        <v>3.6346636360665652E-2</v>
      </c>
      <c r="AJ36" s="729">
        <f t="shared" si="18"/>
        <v>6.1020429564580527E-3</v>
      </c>
      <c r="AK36" s="733"/>
    </row>
    <row r="37" spans="1:37" s="730" customFormat="1" ht="12" customHeight="1" x14ac:dyDescent="0.25">
      <c r="A37" s="726">
        <v>1992</v>
      </c>
      <c r="B37" s="727">
        <v>5499.7</v>
      </c>
      <c r="C37" s="728">
        <v>659.10243606655854</v>
      </c>
      <c r="D37" s="728">
        <v>339.45030264659437</v>
      </c>
      <c r="E37" s="728">
        <v>242.51675603562688</v>
      </c>
      <c r="F37" s="728">
        <v>107.18944009325409</v>
      </c>
      <c r="G37" s="729">
        <v>75.323942685823596</v>
      </c>
      <c r="H37" s="729">
        <v>27.053937165374741</v>
      </c>
      <c r="I37" s="729">
        <v>5.0447561191959656</v>
      </c>
      <c r="J37" s="728">
        <f t="shared" si="3"/>
        <v>998.55273871315285</v>
      </c>
      <c r="L37" s="727">
        <f t="shared" si="4"/>
        <v>267.44908408999999</v>
      </c>
      <c r="M37" s="728">
        <f>('C1-Incomes'!FG40-'C1-Incomes'!EY40)/1000</f>
        <v>22.070916310000232</v>
      </c>
      <c r="N37" s="728">
        <f>('C1-Incomes'!FH40-'C1-Incomes'!EZ40)/1000</f>
        <v>12.845436710000271</v>
      </c>
      <c r="O37" s="728">
        <f>('C1-Incomes'!FI40-'C1-Incomes'!FA40)/1000</f>
        <v>3.3802164999999804</v>
      </c>
      <c r="P37" s="728">
        <f>('C1-Incomes'!FJ40-'C1-Incomes'!FB40)/1000</f>
        <v>1.6698064399999566</v>
      </c>
      <c r="Q37" s="728">
        <f>('C1-Incomes'!FK40-'C1-Incomes'!FC40)/1000</f>
        <v>0.54991151000000538</v>
      </c>
      <c r="R37" s="728">
        <f>('C1-Incomes'!FL40-'C1-Incomes'!FD40)/1000</f>
        <v>4.808488999999827E-2</v>
      </c>
      <c r="S37" s="728">
        <f>('C1-Incomes'!FF40-'C1-Incomes'!EX40)/1000</f>
        <v>289.52000040000024</v>
      </c>
      <c r="T37" s="729"/>
      <c r="U37" s="728">
        <f t="shared" si="19"/>
        <v>391.65335197655855</v>
      </c>
      <c r="V37" s="728">
        <f t="shared" si="5"/>
        <v>317.37938633659411</v>
      </c>
      <c r="W37" s="728">
        <f t="shared" si="6"/>
        <v>229.6713193256266</v>
      </c>
      <c r="X37" s="728">
        <f t="shared" si="7"/>
        <v>103.80922359325412</v>
      </c>
      <c r="Y37" s="729">
        <f t="shared" si="8"/>
        <v>73.654136245823636</v>
      </c>
      <c r="Z37" s="729">
        <f t="shared" si="9"/>
        <v>26.504025655374736</v>
      </c>
      <c r="AA37" s="729">
        <f t="shared" si="10"/>
        <v>4.9966712291959672</v>
      </c>
      <c r="AB37" s="728">
        <f t="shared" si="11"/>
        <v>709.03273831315255</v>
      </c>
      <c r="AD37" s="729">
        <f t="shared" si="12"/>
        <v>0.55237696486107857</v>
      </c>
      <c r="AE37" s="729">
        <f t="shared" si="13"/>
        <v>0.44762303513892165</v>
      </c>
      <c r="AF37" s="729">
        <f t="shared" si="14"/>
        <v>0.32392202350491406</v>
      </c>
      <c r="AG37" s="729">
        <f t="shared" si="15"/>
        <v>0.14640963383471522</v>
      </c>
      <c r="AH37" s="729">
        <f t="shared" si="16"/>
        <v>0.10387973963099773</v>
      </c>
      <c r="AI37" s="729">
        <f t="shared" si="17"/>
        <v>3.7380538617201232E-2</v>
      </c>
      <c r="AJ37" s="729">
        <f t="shared" si="18"/>
        <v>7.0471657501788437E-3</v>
      </c>
      <c r="AK37" s="733"/>
    </row>
    <row r="38" spans="1:37" s="730" customFormat="1" ht="12" customHeight="1" x14ac:dyDescent="0.25">
      <c r="A38" s="726">
        <v>1993</v>
      </c>
      <c r="B38" s="727">
        <v>5754.8</v>
      </c>
      <c r="C38" s="728">
        <v>700.59026651322472</v>
      </c>
      <c r="D38" s="728">
        <v>353.90547821119173</v>
      </c>
      <c r="E38" s="728">
        <v>247.7744278815276</v>
      </c>
      <c r="F38" s="728">
        <v>111.06872824862509</v>
      </c>
      <c r="G38" s="729">
        <v>78.387601831289771</v>
      </c>
      <c r="H38" s="729">
        <v>29.561881631080322</v>
      </c>
      <c r="I38" s="729">
        <v>8.0733101840727226</v>
      </c>
      <c r="J38" s="728">
        <f t="shared" si="3"/>
        <v>1054.4957447244165</v>
      </c>
      <c r="L38" s="727">
        <f t="shared" si="4"/>
        <v>284.28720675000039</v>
      </c>
      <c r="M38" s="728">
        <f>('C1-Incomes'!FG41-'C1-Incomes'!EY41)/1000</f>
        <v>21.472793149999809</v>
      </c>
      <c r="N38" s="728">
        <f>('C1-Incomes'!FH41-'C1-Incomes'!EZ41)/1000</f>
        <v>11.986630140000022</v>
      </c>
      <c r="O38" s="728">
        <f>('C1-Incomes'!FI41-'C1-Incomes'!FA41)/1000</f>
        <v>3.5803585400000446</v>
      </c>
      <c r="P38" s="728">
        <f>('C1-Incomes'!FJ41-'C1-Incomes'!FB41)/1000</f>
        <v>1.6755551999999443</v>
      </c>
      <c r="Q38" s="728">
        <f>('C1-Incomes'!FK41-'C1-Incomes'!FC41)/1000</f>
        <v>0.49563653000001795</v>
      </c>
      <c r="R38" s="728">
        <f>('C1-Incomes'!FL41-'C1-Incomes'!FD41)/1000</f>
        <v>2.2785420000000157E-2</v>
      </c>
      <c r="S38" s="728">
        <f>('C1-Incomes'!FF41-'C1-Incomes'!EX41)/1000</f>
        <v>305.7599999000002</v>
      </c>
      <c r="T38" s="729"/>
      <c r="U38" s="728">
        <f t="shared" si="19"/>
        <v>416.30305976322433</v>
      </c>
      <c r="V38" s="728">
        <f t="shared" si="5"/>
        <v>332.43268506119193</v>
      </c>
      <c r="W38" s="728">
        <f t="shared" si="6"/>
        <v>235.78779774152758</v>
      </c>
      <c r="X38" s="728">
        <f t="shared" si="7"/>
        <v>107.48836970862504</v>
      </c>
      <c r="Y38" s="729">
        <f t="shared" si="8"/>
        <v>76.712046631289823</v>
      </c>
      <c r="Z38" s="729">
        <f t="shared" si="9"/>
        <v>29.066245101080305</v>
      </c>
      <c r="AA38" s="729">
        <f t="shared" si="10"/>
        <v>8.0505247640727227</v>
      </c>
      <c r="AB38" s="728">
        <f t="shared" si="11"/>
        <v>748.73574482441632</v>
      </c>
      <c r="AD38" s="729">
        <f t="shared" si="12"/>
        <v>0.55600799433029646</v>
      </c>
      <c r="AE38" s="729">
        <f t="shared" si="13"/>
        <v>0.44399200566970354</v>
      </c>
      <c r="AF38" s="729">
        <f t="shared" si="14"/>
        <v>0.3149145734945798</v>
      </c>
      <c r="AG38" s="729">
        <f t="shared" si="15"/>
        <v>0.14355982127423583</v>
      </c>
      <c r="AH38" s="729">
        <f t="shared" si="16"/>
        <v>0.10245543526077992</v>
      </c>
      <c r="AI38" s="729">
        <f t="shared" si="17"/>
        <v>3.8820432044280907E-2</v>
      </c>
      <c r="AJ38" s="729">
        <f t="shared" si="18"/>
        <v>1.0752157646701677E-2</v>
      </c>
      <c r="AK38" s="733"/>
    </row>
    <row r="39" spans="1:37" s="730" customFormat="1" ht="12" customHeight="1" x14ac:dyDescent="0.25">
      <c r="A39" s="726">
        <v>1994</v>
      </c>
      <c r="B39" s="727">
        <v>6140.2</v>
      </c>
      <c r="C39" s="728">
        <v>748.65119729353216</v>
      </c>
      <c r="D39" s="728">
        <v>387.59189898282779</v>
      </c>
      <c r="E39" s="728">
        <v>272.16382625678909</v>
      </c>
      <c r="F39" s="728">
        <v>114.13072730115103</v>
      </c>
      <c r="G39" s="729">
        <v>79.431682019291586</v>
      </c>
      <c r="H39" s="729">
        <v>26.275668762127921</v>
      </c>
      <c r="I39" s="729">
        <v>4.0935072843506344</v>
      </c>
      <c r="J39" s="728">
        <f t="shared" si="3"/>
        <v>1136.2430962763599</v>
      </c>
      <c r="L39" s="727">
        <f t="shared" si="4"/>
        <v>296.95087934999958</v>
      </c>
      <c r="M39" s="728">
        <f>('C1-Incomes'!FG42-'C1-Incomes'!EY42)/1000</f>
        <v>23.171120449999812</v>
      </c>
      <c r="N39" s="728">
        <f>('C1-Incomes'!FH42-'C1-Incomes'!EZ42)/1000</f>
        <v>13.511191860000137</v>
      </c>
      <c r="O39" s="728">
        <f>('C1-Incomes'!FI42-'C1-Incomes'!FA42)/1000</f>
        <v>3.6458557900000597</v>
      </c>
      <c r="P39" s="728">
        <f>('C1-Incomes'!FJ42-'C1-Incomes'!FB42)/1000</f>
        <v>2.7658301200000568</v>
      </c>
      <c r="Q39" s="728">
        <f>('C1-Incomes'!FK42-'C1-Incomes'!FC42)/1000</f>
        <v>0.63840224999998463</v>
      </c>
      <c r="R39" s="728">
        <f>('C1-Incomes'!FL42-'C1-Incomes'!FD42)/1000</f>
        <v>6.7640290000010275E-2</v>
      </c>
      <c r="S39" s="728">
        <f>('C1-Incomes'!FF42-'C1-Incomes'!EX42)/1000</f>
        <v>320.1219997999994</v>
      </c>
      <c r="T39" s="729"/>
      <c r="U39" s="728">
        <f t="shared" si="19"/>
        <v>451.70031794353258</v>
      </c>
      <c r="V39" s="728">
        <f t="shared" si="5"/>
        <v>364.42077853282797</v>
      </c>
      <c r="W39" s="728">
        <f t="shared" si="6"/>
        <v>258.65263439678898</v>
      </c>
      <c r="X39" s="728">
        <f t="shared" si="7"/>
        <v>110.48487151115097</v>
      </c>
      <c r="Y39" s="729">
        <f t="shared" si="8"/>
        <v>76.665851899291525</v>
      </c>
      <c r="Z39" s="729">
        <f t="shared" si="9"/>
        <v>25.637266512127937</v>
      </c>
      <c r="AA39" s="729">
        <f t="shared" si="10"/>
        <v>4.0258669943506238</v>
      </c>
      <c r="AB39" s="728">
        <f t="shared" si="11"/>
        <v>816.12109647636044</v>
      </c>
      <c r="AD39" s="729">
        <f t="shared" si="12"/>
        <v>0.55347217452626707</v>
      </c>
      <c r="AE39" s="729">
        <f t="shared" si="13"/>
        <v>0.4465278254737331</v>
      </c>
      <c r="AF39" s="729">
        <f t="shared" si="14"/>
        <v>0.31692923453827304</v>
      </c>
      <c r="AG39" s="729">
        <f t="shared" si="15"/>
        <v>0.13537803640682047</v>
      </c>
      <c r="AH39" s="729">
        <f t="shared" si="16"/>
        <v>9.3939309044086455E-2</v>
      </c>
      <c r="AI39" s="729">
        <f t="shared" si="17"/>
        <v>3.1413556913083104E-2</v>
      </c>
      <c r="AJ39" s="729">
        <f t="shared" si="18"/>
        <v>4.9329284731548855E-3</v>
      </c>
      <c r="AK39" s="733"/>
    </row>
    <row r="40" spans="1:37" s="730" customFormat="1" ht="12" customHeight="1" x14ac:dyDescent="0.25">
      <c r="A40" s="726">
        <v>1995</v>
      </c>
      <c r="B40" s="727">
        <v>6479.5</v>
      </c>
      <c r="C40" s="728">
        <v>801.00484340410799</v>
      </c>
      <c r="D40" s="728">
        <v>432.29670054694424</v>
      </c>
      <c r="E40" s="728">
        <v>305.07308420466705</v>
      </c>
      <c r="F40" s="728">
        <v>129.1960318917601</v>
      </c>
      <c r="G40" s="729">
        <v>85.773991097962366</v>
      </c>
      <c r="H40" s="729">
        <v>29.399335620284326</v>
      </c>
      <c r="I40" s="729">
        <v>5.0185824478817782</v>
      </c>
      <c r="J40" s="728">
        <f t="shared" si="3"/>
        <v>1233.3015439510523</v>
      </c>
      <c r="L40" s="727">
        <f t="shared" si="4"/>
        <v>311.13585499999999</v>
      </c>
      <c r="M40" s="728">
        <f>('C1-Incomes'!FG43-'C1-Incomes'!EY43)/1000</f>
        <v>24.564144900000187</v>
      </c>
      <c r="N40" s="728">
        <f>('C1-Incomes'!FH43-'C1-Incomes'!EZ43)/1000</f>
        <v>14.702015419999602</v>
      </c>
      <c r="O40" s="728">
        <f>('C1-Incomes'!FI43-'C1-Incomes'!FA43)/1000</f>
        <v>4.0445310299999546</v>
      </c>
      <c r="P40" s="728">
        <f>('C1-Incomes'!FJ43-'C1-Incomes'!FB43)/1000</f>
        <v>2.0152868499999168</v>
      </c>
      <c r="Q40" s="728">
        <f>('C1-Incomes'!FK43-'C1-Incomes'!FC43)/1000</f>
        <v>0.56883055000001337</v>
      </c>
      <c r="R40" s="728">
        <f>('C1-Incomes'!FL43-'C1-Incomes'!FD43)/1000</f>
        <v>4.6807989999986602E-2</v>
      </c>
      <c r="S40" s="728">
        <f>('C1-Incomes'!FF43-'C1-Incomes'!EX43)/1000</f>
        <v>335.69999990000019</v>
      </c>
      <c r="T40" s="729"/>
      <c r="U40" s="728">
        <f t="shared" si="19"/>
        <v>489.86898840410799</v>
      </c>
      <c r="V40" s="728">
        <f t="shared" si="5"/>
        <v>407.73255564694404</v>
      </c>
      <c r="W40" s="728">
        <f t="shared" si="6"/>
        <v>290.37106878466744</v>
      </c>
      <c r="X40" s="728">
        <f t="shared" si="7"/>
        <v>125.15150086176014</v>
      </c>
      <c r="Y40" s="729">
        <f t="shared" si="8"/>
        <v>83.758704247962456</v>
      </c>
      <c r="Z40" s="729">
        <f t="shared" si="9"/>
        <v>28.830505070284314</v>
      </c>
      <c r="AA40" s="729">
        <f t="shared" si="10"/>
        <v>4.971774457881792</v>
      </c>
      <c r="AB40" s="728">
        <f t="shared" si="11"/>
        <v>897.60154405105209</v>
      </c>
      <c r="AD40" s="729">
        <f t="shared" si="12"/>
        <v>0.54575328178830107</v>
      </c>
      <c r="AE40" s="729">
        <f t="shared" si="13"/>
        <v>0.45424671821169882</v>
      </c>
      <c r="AF40" s="729">
        <f t="shared" si="14"/>
        <v>0.32349662353984571</v>
      </c>
      <c r="AG40" s="729">
        <f t="shared" si="15"/>
        <v>0.13942879409155964</v>
      </c>
      <c r="AH40" s="729">
        <f t="shared" si="16"/>
        <v>9.3313903928844602E-2</v>
      </c>
      <c r="AI40" s="729">
        <f t="shared" si="17"/>
        <v>3.2119491394997583E-2</v>
      </c>
      <c r="AJ40" s="729">
        <f t="shared" si="18"/>
        <v>5.5389548857538691E-3</v>
      </c>
      <c r="AK40" s="733"/>
    </row>
    <row r="41" spans="1:37" s="730" customFormat="1" ht="12" customHeight="1" x14ac:dyDescent="0.25">
      <c r="A41" s="726">
        <v>1996</v>
      </c>
      <c r="B41" s="727">
        <v>6899.4</v>
      </c>
      <c r="C41" s="728">
        <v>845.26543708853819</v>
      </c>
      <c r="D41" s="728">
        <v>479.06034949816615</v>
      </c>
      <c r="E41" s="728">
        <v>339.55369486668644</v>
      </c>
      <c r="F41" s="728">
        <v>141.36418024992878</v>
      </c>
      <c r="G41" s="729">
        <v>95.465350136082677</v>
      </c>
      <c r="H41" s="729">
        <v>33.564591801575183</v>
      </c>
      <c r="I41" s="729">
        <v>6.0216440394842099</v>
      </c>
      <c r="J41" s="728">
        <f t="shared" si="3"/>
        <v>1324.3257865867045</v>
      </c>
      <c r="L41" s="727">
        <f t="shared" si="4"/>
        <v>321.48414575999976</v>
      </c>
      <c r="M41" s="728">
        <f>('C1-Incomes'!FG44-'C1-Incomes'!EY44)/1000</f>
        <v>28.607853939999828</v>
      </c>
      <c r="N41" s="728">
        <f>('C1-Incomes'!FH44-'C1-Incomes'!EZ44)/1000</f>
        <v>16.629734110000079</v>
      </c>
      <c r="O41" s="728">
        <f>('C1-Incomes'!FI44-'C1-Incomes'!FA44)/1000</f>
        <v>4.2514252299998185</v>
      </c>
      <c r="P41" s="728">
        <f>('C1-Incomes'!FJ44-'C1-Incomes'!FB44)/1000</f>
        <v>2.3139037999998546</v>
      </c>
      <c r="Q41" s="728">
        <f>('C1-Incomes'!FK44-'C1-Incomes'!FC44)/1000</f>
        <v>0.58307714000000854</v>
      </c>
      <c r="R41" s="728">
        <f>('C1-Incomes'!FL44-'C1-Incomes'!FD44)/1000</f>
        <v>4.1479749999998601E-2</v>
      </c>
      <c r="S41" s="728">
        <f>('C1-Incomes'!FF44-'C1-Incomes'!EX44)/1000</f>
        <v>350.09199969999958</v>
      </c>
      <c r="T41" s="729"/>
      <c r="U41" s="728">
        <f t="shared" si="19"/>
        <v>523.78129132853837</v>
      </c>
      <c r="V41" s="728">
        <f t="shared" si="5"/>
        <v>450.45249555816633</v>
      </c>
      <c r="W41" s="728">
        <f t="shared" si="6"/>
        <v>322.92396075668637</v>
      </c>
      <c r="X41" s="728">
        <f t="shared" si="7"/>
        <v>137.11275501992895</v>
      </c>
      <c r="Y41" s="729">
        <f t="shared" si="8"/>
        <v>93.151446336082827</v>
      </c>
      <c r="Z41" s="729">
        <f t="shared" si="9"/>
        <v>32.981514661575176</v>
      </c>
      <c r="AA41" s="729">
        <f t="shared" si="10"/>
        <v>5.9801642894842111</v>
      </c>
      <c r="AB41" s="728">
        <f t="shared" si="11"/>
        <v>974.23378688670482</v>
      </c>
      <c r="AD41" s="729">
        <f t="shared" si="12"/>
        <v>0.53763408575918104</v>
      </c>
      <c r="AE41" s="729">
        <f t="shared" si="13"/>
        <v>0.46236591424081885</v>
      </c>
      <c r="AF41" s="729">
        <f t="shared" si="14"/>
        <v>0.33146454691192073</v>
      </c>
      <c r="AG41" s="729">
        <f t="shared" si="15"/>
        <v>0.14073906783513557</v>
      </c>
      <c r="AH41" s="729">
        <f t="shared" si="16"/>
        <v>9.5615084992854552E-2</v>
      </c>
      <c r="AI41" s="729">
        <f t="shared" si="17"/>
        <v>3.3853798857635647E-2</v>
      </c>
      <c r="AJ41" s="729">
        <f t="shared" si="18"/>
        <v>6.1383256975665263E-3</v>
      </c>
      <c r="AK41" s="733"/>
    </row>
    <row r="42" spans="1:37" s="730" customFormat="1" ht="12" customHeight="1" x14ac:dyDescent="0.25">
      <c r="A42" s="726">
        <v>1997</v>
      </c>
      <c r="B42" s="727">
        <v>7380.4</v>
      </c>
      <c r="C42" s="728">
        <v>888.3010988440044</v>
      </c>
      <c r="D42" s="728">
        <v>537.39269622831569</v>
      </c>
      <c r="E42" s="728">
        <v>384.62237908044455</v>
      </c>
      <c r="F42" s="728">
        <v>165.84236668636453</v>
      </c>
      <c r="G42" s="729">
        <v>118.68736503561736</v>
      </c>
      <c r="H42" s="729">
        <v>50.229927071181109</v>
      </c>
      <c r="I42" s="729">
        <v>9.2093512781278122</v>
      </c>
      <c r="J42" s="728">
        <f t="shared" si="3"/>
        <v>1425.69379507232</v>
      </c>
      <c r="L42" s="727">
        <f t="shared" si="4"/>
        <v>334.69718636999932</v>
      </c>
      <c r="M42" s="728">
        <f>('C1-Incomes'!FG45-'C1-Incomes'!EY45)/1000</f>
        <v>30.092813230000438</v>
      </c>
      <c r="N42" s="728">
        <f>('C1-Incomes'!FH45-'C1-Incomes'!EZ45)/1000</f>
        <v>17.115272000000346</v>
      </c>
      <c r="O42" s="728">
        <f>('C1-Incomes'!FI45-'C1-Incomes'!FA45)/1000</f>
        <v>4.8623457199999827</v>
      </c>
      <c r="P42" s="728">
        <f>('C1-Incomes'!FJ45-'C1-Incomes'!FB45)/1000</f>
        <v>2.4202191400000594</v>
      </c>
      <c r="Q42" s="728">
        <f>('C1-Incomes'!FK45-'C1-Incomes'!FC45)/1000</f>
        <v>0.42340330000000542</v>
      </c>
      <c r="R42" s="728">
        <f>('C1-Incomes'!FL45-'C1-Incomes'!FD45)/1000</f>
        <v>7.4032100000011272E-2</v>
      </c>
      <c r="S42" s="728">
        <f>('C1-Incomes'!FF45-'C1-Incomes'!EX45)/1000</f>
        <v>364.78999959999976</v>
      </c>
      <c r="T42" s="729"/>
      <c r="U42" s="728">
        <f t="shared" si="19"/>
        <v>553.60391247400503</v>
      </c>
      <c r="V42" s="728">
        <f t="shared" si="5"/>
        <v>507.29988299831524</v>
      </c>
      <c r="W42" s="728">
        <f t="shared" si="6"/>
        <v>367.5071070804442</v>
      </c>
      <c r="X42" s="728">
        <f t="shared" si="7"/>
        <v>160.98002096636455</v>
      </c>
      <c r="Y42" s="729">
        <f t="shared" si="8"/>
        <v>116.2671458956173</v>
      </c>
      <c r="Z42" s="729">
        <f t="shared" si="9"/>
        <v>49.806523771181105</v>
      </c>
      <c r="AA42" s="729">
        <f t="shared" si="10"/>
        <v>9.1353191781278014</v>
      </c>
      <c r="AB42" s="728">
        <f t="shared" si="11"/>
        <v>1060.9037954723203</v>
      </c>
      <c r="AD42" s="729">
        <f t="shared" si="12"/>
        <v>0.52182291630650401</v>
      </c>
      <c r="AE42" s="729">
        <f t="shared" si="13"/>
        <v>0.47817708369349599</v>
      </c>
      <c r="AF42" s="729">
        <f t="shared" si="14"/>
        <v>0.34640945639828535</v>
      </c>
      <c r="AG42" s="729">
        <f t="shared" si="15"/>
        <v>0.15173856635576966</v>
      </c>
      <c r="AH42" s="729">
        <f t="shared" si="16"/>
        <v>0.10959254400994439</v>
      </c>
      <c r="AI42" s="729">
        <f t="shared" si="17"/>
        <v>4.6947257596535376E-2</v>
      </c>
      <c r="AJ42" s="729">
        <f t="shared" si="18"/>
        <v>8.6108836796655128E-3</v>
      </c>
      <c r="AK42" s="733"/>
    </row>
    <row r="43" spans="1:37" s="730" customFormat="1" ht="12" customHeight="1" x14ac:dyDescent="0.25">
      <c r="A43" s="726">
        <v>1998</v>
      </c>
      <c r="B43" s="727">
        <v>7857.3</v>
      </c>
      <c r="C43" s="728">
        <v>908.09870566435393</v>
      </c>
      <c r="D43" s="728">
        <v>583.34559443858109</v>
      </c>
      <c r="E43" s="728">
        <v>429.62761751815833</v>
      </c>
      <c r="F43" s="728">
        <v>192.37225233900838</v>
      </c>
      <c r="G43" s="729">
        <v>130.89073020639935</v>
      </c>
      <c r="H43" s="729">
        <v>45.776962412001524</v>
      </c>
      <c r="I43" s="729">
        <v>10.070427745253586</v>
      </c>
      <c r="J43" s="728">
        <f t="shared" si="3"/>
        <v>1491.4443001029349</v>
      </c>
      <c r="L43" s="727">
        <f t="shared" si="4"/>
        <v>344.14781684000047</v>
      </c>
      <c r="M43" s="728">
        <f>('C1-Incomes'!FG46-'C1-Incomes'!EY46)/1000</f>
        <v>33.263183360000141</v>
      </c>
      <c r="N43" s="728">
        <f>('C1-Incomes'!FH46-'C1-Incomes'!EZ46)/1000</f>
        <v>18.442455559999914</v>
      </c>
      <c r="O43" s="728">
        <f>('C1-Incomes'!FI46-'C1-Incomes'!FA46)/1000</f>
        <v>4.8163981600000989</v>
      </c>
      <c r="P43" s="728">
        <f>('C1-Incomes'!FJ46-'C1-Incomes'!FB46)/1000</f>
        <v>2.6937358099998674</v>
      </c>
      <c r="Q43" s="728">
        <f>('C1-Incomes'!FK46-'C1-Incomes'!FC46)/1000</f>
        <v>-0.17433267000003252</v>
      </c>
      <c r="R43" s="728">
        <f>('C1-Incomes'!FL46-'C1-Incomes'!FD46)/1000</f>
        <v>7.5845839999994502E-2</v>
      </c>
      <c r="S43" s="728">
        <f>('C1-Incomes'!FF46-'C1-Incomes'!EX46)/1000</f>
        <v>377.41100020000061</v>
      </c>
      <c r="T43" s="729"/>
      <c r="U43" s="728">
        <f t="shared" si="19"/>
        <v>563.95088882435346</v>
      </c>
      <c r="V43" s="728">
        <f t="shared" si="5"/>
        <v>550.08241107858089</v>
      </c>
      <c r="W43" s="728">
        <f t="shared" si="6"/>
        <v>411.1851619581584</v>
      </c>
      <c r="X43" s="728">
        <f t="shared" si="7"/>
        <v>187.55585417900829</v>
      </c>
      <c r="Y43" s="729">
        <f t="shared" si="8"/>
        <v>128.19699439639948</v>
      </c>
      <c r="Z43" s="729">
        <f t="shared" si="9"/>
        <v>45.951295082001558</v>
      </c>
      <c r="AA43" s="729">
        <f t="shared" si="10"/>
        <v>9.9945819052535914</v>
      </c>
      <c r="AB43" s="728">
        <f t="shared" si="11"/>
        <v>1114.0332999029342</v>
      </c>
      <c r="AD43" s="729">
        <f t="shared" si="12"/>
        <v>0.50622444488283291</v>
      </c>
      <c r="AE43" s="729">
        <f t="shared" si="13"/>
        <v>0.49377555511716714</v>
      </c>
      <c r="AF43" s="729">
        <f t="shared" si="14"/>
        <v>0.36909593455957285</v>
      </c>
      <c r="AG43" s="729">
        <f t="shared" si="15"/>
        <v>0.16835749361832367</v>
      </c>
      <c r="AH43" s="729">
        <f t="shared" si="16"/>
        <v>0.11507465208407082</v>
      </c>
      <c r="AI43" s="729">
        <f t="shared" si="17"/>
        <v>4.1247685402227473E-2</v>
      </c>
      <c r="AJ43" s="729">
        <f t="shared" si="18"/>
        <v>8.9715288637461903E-3</v>
      </c>
      <c r="AK43" s="733"/>
    </row>
    <row r="44" spans="1:37" s="730" customFormat="1" ht="12" customHeight="1" x14ac:dyDescent="0.25">
      <c r="A44" s="726">
        <v>1999</v>
      </c>
      <c r="B44" s="727">
        <v>8324.4</v>
      </c>
      <c r="C44" s="728">
        <v>924.18037662746974</v>
      </c>
      <c r="D44" s="728">
        <v>628.06140783900264</v>
      </c>
      <c r="E44" s="728">
        <v>470.06155688689745</v>
      </c>
      <c r="F44" s="728">
        <v>226.36162333769258</v>
      </c>
      <c r="G44" s="729">
        <v>160.80782909734538</v>
      </c>
      <c r="H44" s="729">
        <v>62.36397687873292</v>
      </c>
      <c r="I44" s="729">
        <v>18.627734024116823</v>
      </c>
      <c r="J44" s="728">
        <f t="shared" si="3"/>
        <v>1552.2417844664724</v>
      </c>
      <c r="L44" s="727">
        <f t="shared" si="4"/>
        <v>356.34795679999979</v>
      </c>
      <c r="M44" s="728">
        <f>('C1-Incomes'!FG47-'C1-Incomes'!EY47)/1000</f>
        <v>31.72204360000044</v>
      </c>
      <c r="N44" s="728">
        <f>('C1-Incomes'!FH47-'C1-Incomes'!EZ47)/1000</f>
        <v>16.590580449999777</v>
      </c>
      <c r="O44" s="728">
        <f>('C1-Incomes'!FI47-'C1-Incomes'!FA47)/1000</f>
        <v>4.6875558500001206</v>
      </c>
      <c r="P44" s="728">
        <f>('C1-Incomes'!FJ47-'C1-Incomes'!FB47)/1000</f>
        <v>2.3835809799999699</v>
      </c>
      <c r="Q44" s="728">
        <f>('C1-Incomes'!FK47-'C1-Incomes'!FC47)/1000</f>
        <v>0.54567093000002209</v>
      </c>
      <c r="R44" s="728">
        <f>('C1-Incomes'!FL47-'C1-Incomes'!FD47)/1000</f>
        <v>4.1094569999986563E-2</v>
      </c>
      <c r="S44" s="728">
        <f>('C1-Incomes'!FF47-'C1-Incomes'!EX47)/1000</f>
        <v>388.07000040000025</v>
      </c>
      <c r="T44" s="729"/>
      <c r="U44" s="728">
        <f t="shared" si="19"/>
        <v>567.83241982746995</v>
      </c>
      <c r="V44" s="728">
        <f t="shared" si="5"/>
        <v>596.33936423900218</v>
      </c>
      <c r="W44" s="728">
        <f t="shared" si="6"/>
        <v>453.47097643689767</v>
      </c>
      <c r="X44" s="728">
        <f t="shared" si="7"/>
        <v>221.67406748769247</v>
      </c>
      <c r="Y44" s="729">
        <f t="shared" si="8"/>
        <v>158.4242481173454</v>
      </c>
      <c r="Z44" s="729">
        <f t="shared" si="9"/>
        <v>61.818305948732899</v>
      </c>
      <c r="AA44" s="729">
        <f t="shared" si="10"/>
        <v>18.586639454116835</v>
      </c>
      <c r="AB44" s="728">
        <f t="shared" si="11"/>
        <v>1164.1717840664721</v>
      </c>
      <c r="AD44" s="729">
        <f t="shared" si="12"/>
        <v>0.4877565558615598</v>
      </c>
      <c r="AE44" s="729">
        <f t="shared" si="13"/>
        <v>0.51224344413844025</v>
      </c>
      <c r="AF44" s="729">
        <f t="shared" si="14"/>
        <v>0.38952239063286326</v>
      </c>
      <c r="AG44" s="729">
        <f t="shared" si="15"/>
        <v>0.19041353735045968</v>
      </c>
      <c r="AH44" s="729">
        <f t="shared" si="16"/>
        <v>0.13608322267008291</v>
      </c>
      <c r="AI44" s="729">
        <f t="shared" si="17"/>
        <v>5.3100673624643685E-2</v>
      </c>
      <c r="AJ44" s="729">
        <f t="shared" si="18"/>
        <v>1.5965547102673613E-2</v>
      </c>
      <c r="AK44" s="733"/>
    </row>
    <row r="45" spans="1:37" s="730" customFormat="1" ht="12" customHeight="1" x14ac:dyDescent="0.25">
      <c r="A45" s="726">
        <v>2000</v>
      </c>
      <c r="B45" s="727">
        <v>8907</v>
      </c>
      <c r="C45" s="728">
        <v>966.70044483757317</v>
      </c>
      <c r="D45" s="728">
        <v>664.1707890826782</v>
      </c>
      <c r="E45" s="728">
        <v>496.69093963805136</v>
      </c>
      <c r="F45" s="728">
        <v>235.22413631019231</v>
      </c>
      <c r="G45" s="729">
        <v>165.74248979372487</v>
      </c>
      <c r="H45" s="729">
        <v>62.306613700927954</v>
      </c>
      <c r="I45" s="729">
        <v>18.925561947172802</v>
      </c>
      <c r="J45" s="728">
        <f t="shared" si="3"/>
        <v>1630.8712339202514</v>
      </c>
      <c r="L45" s="727">
        <f t="shared" si="4"/>
        <v>373.51489270000025</v>
      </c>
      <c r="M45" s="728">
        <f>('C1-Incomes'!FG48-'C1-Incomes'!EY48)/1000</f>
        <v>36.1451072999998</v>
      </c>
      <c r="N45" s="728">
        <f>('C1-Incomes'!FH48-'C1-Incomes'!EZ48)/1000</f>
        <v>19.998674000000115</v>
      </c>
      <c r="O45" s="728">
        <f>('C1-Incomes'!FI48-'C1-Incomes'!FA48)/1000</f>
        <v>5.6685808999999425</v>
      </c>
      <c r="P45" s="728">
        <f>('C1-Incomes'!FJ48-'C1-Incomes'!FB48)/1000</f>
        <v>2.8367321900000095</v>
      </c>
      <c r="Q45" s="728">
        <f>('C1-Incomes'!FK48-'C1-Incomes'!FC48)/1000</f>
        <v>0.57621964000002479</v>
      </c>
      <c r="R45" s="728">
        <f>('C1-Incomes'!FL48-'C1-Incomes'!FD48)/1000</f>
        <v>5.3906140000006417E-2</v>
      </c>
      <c r="S45" s="728">
        <f>('C1-Incomes'!FF48-'C1-Incomes'!EX48)/1000</f>
        <v>409.66</v>
      </c>
      <c r="T45" s="729"/>
      <c r="U45" s="728">
        <f t="shared" si="19"/>
        <v>593.18555213757293</v>
      </c>
      <c r="V45" s="728">
        <f t="shared" si="5"/>
        <v>628.02568178267836</v>
      </c>
      <c r="W45" s="728">
        <f t="shared" si="6"/>
        <v>476.69226563805125</v>
      </c>
      <c r="X45" s="728">
        <f t="shared" si="7"/>
        <v>229.55555541019237</v>
      </c>
      <c r="Y45" s="729">
        <f t="shared" si="8"/>
        <v>162.90575760372485</v>
      </c>
      <c r="Z45" s="729">
        <f t="shared" si="9"/>
        <v>61.730394060927928</v>
      </c>
      <c r="AA45" s="729">
        <f t="shared" si="10"/>
        <v>18.871655807172797</v>
      </c>
      <c r="AB45" s="728">
        <f t="shared" si="11"/>
        <v>1221.2112339202513</v>
      </c>
      <c r="AD45" s="729">
        <f t="shared" si="12"/>
        <v>0.48573542042629925</v>
      </c>
      <c r="AE45" s="729">
        <f t="shared" si="13"/>
        <v>0.51426457957370075</v>
      </c>
      <c r="AF45" s="729">
        <f t="shared" si="14"/>
        <v>0.39034382619279168</v>
      </c>
      <c r="AG45" s="729">
        <f t="shared" si="15"/>
        <v>0.18797366830084616</v>
      </c>
      <c r="AH45" s="729">
        <f t="shared" si="16"/>
        <v>0.13339687113815321</v>
      </c>
      <c r="AI45" s="729">
        <f t="shared" si="17"/>
        <v>5.0548498364828429E-2</v>
      </c>
      <c r="AJ45" s="729">
        <f t="shared" si="18"/>
        <v>1.5453228141860649E-2</v>
      </c>
      <c r="AK45" s="733"/>
    </row>
    <row r="46" spans="1:37" s="730" customFormat="1" ht="12" customHeight="1" x14ac:dyDescent="0.25">
      <c r="A46" s="726">
        <v>2001</v>
      </c>
      <c r="B46" s="727">
        <v>9184.6</v>
      </c>
      <c r="C46" s="728">
        <v>1047.1172908097099</v>
      </c>
      <c r="D46" s="728">
        <v>626.95389711840926</v>
      </c>
      <c r="E46" s="728">
        <v>456.50969973861527</v>
      </c>
      <c r="F46" s="728">
        <v>202.26437565885894</v>
      </c>
      <c r="G46" s="729">
        <v>134.59723077056029</v>
      </c>
      <c r="H46" s="729">
        <v>51.781009101395348</v>
      </c>
      <c r="I46" s="729">
        <v>10.601908487534345</v>
      </c>
      <c r="J46" s="728">
        <f t="shared" si="3"/>
        <v>1674.0711879281191</v>
      </c>
      <c r="L46" s="727">
        <f t="shared" si="4"/>
        <v>395.76161215999957</v>
      </c>
      <c r="M46" s="728">
        <f>('C1-Incomes'!FG49-'C1-Incomes'!EY49)/1000</f>
        <v>37.73438764000079</v>
      </c>
      <c r="N46" s="728">
        <f>('C1-Incomes'!FH49-'C1-Incomes'!EZ49)/1000</f>
        <v>21.213290390000214</v>
      </c>
      <c r="O46" s="728">
        <f>('C1-Incomes'!FI49-'C1-Incomes'!FA49)/1000</f>
        <v>5.5699768900000493</v>
      </c>
      <c r="P46" s="728">
        <f>('C1-Incomes'!FJ49-'C1-Incomes'!FB49)/1000</f>
        <v>3.216553239999921</v>
      </c>
      <c r="Q46" s="728">
        <f>('C1-Incomes'!FK49-'C1-Incomes'!FC49)/1000</f>
        <v>0.71016952999995553</v>
      </c>
      <c r="R46" s="728">
        <f>('C1-Incomes'!FL49-'C1-Incomes'!FD49)/1000</f>
        <v>7.5019529999990481E-2</v>
      </c>
      <c r="S46" s="728">
        <f>('C1-Incomes'!FF49-'C1-Incomes'!EX49)/1000</f>
        <v>433.49599980000033</v>
      </c>
      <c r="T46" s="729"/>
      <c r="U46" s="728">
        <f t="shared" si="19"/>
        <v>651.35567864971028</v>
      </c>
      <c r="V46" s="728">
        <f t="shared" si="5"/>
        <v>589.21950947840844</v>
      </c>
      <c r="W46" s="728">
        <f t="shared" si="6"/>
        <v>435.29640934861504</v>
      </c>
      <c r="X46" s="728">
        <f t="shared" si="7"/>
        <v>196.69439876885889</v>
      </c>
      <c r="Y46" s="729">
        <f t="shared" si="8"/>
        <v>131.38067753056038</v>
      </c>
      <c r="Z46" s="729">
        <f t="shared" si="9"/>
        <v>51.070839571395396</v>
      </c>
      <c r="AA46" s="729">
        <f t="shared" si="10"/>
        <v>10.526888957534355</v>
      </c>
      <c r="AB46" s="728">
        <f t="shared" si="11"/>
        <v>1240.5751881281187</v>
      </c>
      <c r="AD46" s="729">
        <f t="shared" si="12"/>
        <v>0.52504329030836816</v>
      </c>
      <c r="AE46" s="729">
        <f t="shared" si="13"/>
        <v>0.47495670969163184</v>
      </c>
      <c r="AF46" s="729">
        <f t="shared" si="14"/>
        <v>0.35088273045781759</v>
      </c>
      <c r="AG46" s="729">
        <f t="shared" si="15"/>
        <v>0.15855096946251801</v>
      </c>
      <c r="AH46" s="729">
        <f t="shared" si="16"/>
        <v>0.10590303496944695</v>
      </c>
      <c r="AI46" s="729">
        <f t="shared" si="17"/>
        <v>4.1167065132469122E-2</v>
      </c>
      <c r="AJ46" s="729">
        <f t="shared" si="18"/>
        <v>8.4854904872135855E-3</v>
      </c>
      <c r="AK46" s="733"/>
    </row>
    <row r="47" spans="1:37" s="730" customFormat="1" ht="12" customHeight="1" x14ac:dyDescent="0.25">
      <c r="A47" s="726">
        <v>2002</v>
      </c>
      <c r="B47" s="727">
        <v>9436.7999999999993</v>
      </c>
      <c r="C47" s="728">
        <v>1118.3866621161067</v>
      </c>
      <c r="D47" s="728">
        <v>657.81067711434935</v>
      </c>
      <c r="E47" s="728">
        <v>473.9026841649258</v>
      </c>
      <c r="F47" s="728">
        <v>203.06861899106337</v>
      </c>
      <c r="G47" s="729">
        <v>134.50069369692676</v>
      </c>
      <c r="H47" s="729">
        <v>47.623143199171182</v>
      </c>
      <c r="I47" s="729">
        <v>8.8020836811812408</v>
      </c>
      <c r="J47" s="728">
        <f t="shared" si="3"/>
        <v>1776.197339230456</v>
      </c>
      <c r="L47" s="727">
        <f t="shared" si="4"/>
        <v>414.53119494000032</v>
      </c>
      <c r="M47" s="728">
        <f>('C1-Incomes'!FG50-'C1-Incomes'!EY50)/1000</f>
        <v>41.077805159999521</v>
      </c>
      <c r="N47" s="728">
        <f>('C1-Incomes'!FH50-'C1-Incomes'!EZ50)/1000</f>
        <v>20.476768660000058</v>
      </c>
      <c r="O47" s="728">
        <f>('C1-Incomes'!FI50-'C1-Incomes'!FA50)/1000</f>
        <v>5.8900854599999732</v>
      </c>
      <c r="P47" s="728">
        <f>('C1-Incomes'!FJ50-'C1-Incomes'!FB50)/1000</f>
        <v>3.207478230000008</v>
      </c>
      <c r="Q47" s="728">
        <f>('C1-Incomes'!FK50-'C1-Incomes'!FC50)/1000</f>
        <v>0.3188938199999975</v>
      </c>
      <c r="R47" s="728">
        <f>('C1-Incomes'!FL50-'C1-Incomes'!FD50)/1000</f>
        <v>7.7911689999978995E-2</v>
      </c>
      <c r="S47" s="728">
        <f>('C1-Incomes'!FF50-'C1-Incomes'!EX50)/1000</f>
        <v>455.60900009999983</v>
      </c>
      <c r="T47" s="729"/>
      <c r="U47" s="728">
        <f t="shared" si="19"/>
        <v>703.85546717610634</v>
      </c>
      <c r="V47" s="728">
        <f t="shared" si="5"/>
        <v>616.73287195434978</v>
      </c>
      <c r="W47" s="728">
        <f t="shared" si="6"/>
        <v>453.42591550492574</v>
      </c>
      <c r="X47" s="728">
        <f t="shared" si="7"/>
        <v>197.17853353106341</v>
      </c>
      <c r="Y47" s="729">
        <f t="shared" si="8"/>
        <v>131.29321546692674</v>
      </c>
      <c r="Z47" s="729">
        <f t="shared" si="9"/>
        <v>47.304249379171182</v>
      </c>
      <c r="AA47" s="729">
        <f t="shared" si="10"/>
        <v>8.7241719911812616</v>
      </c>
      <c r="AB47" s="728">
        <f t="shared" si="11"/>
        <v>1320.5883391304562</v>
      </c>
      <c r="AD47" s="729">
        <f t="shared" si="12"/>
        <v>0.53298628067514309</v>
      </c>
      <c r="AE47" s="729">
        <f t="shared" si="13"/>
        <v>0.46701371932485686</v>
      </c>
      <c r="AF47" s="729">
        <f t="shared" si="14"/>
        <v>0.34335144576809218</v>
      </c>
      <c r="AG47" s="729">
        <f t="shared" si="15"/>
        <v>0.1493111272365891</v>
      </c>
      <c r="AH47" s="729">
        <f t="shared" si="16"/>
        <v>9.9420244429370766E-2</v>
      </c>
      <c r="AI47" s="729">
        <f t="shared" si="17"/>
        <v>3.58205869137984E-2</v>
      </c>
      <c r="AJ47" s="729">
        <f t="shared" si="18"/>
        <v>6.606276712185501E-3</v>
      </c>
      <c r="AK47" s="733"/>
    </row>
    <row r="48" spans="1:37" s="730" customFormat="1" ht="12" customHeight="1" x14ac:dyDescent="0.25">
      <c r="A48" s="726">
        <v>2003</v>
      </c>
      <c r="B48" s="727">
        <v>9864.2000000000007</v>
      </c>
      <c r="C48" s="728">
        <v>1228.2600684187819</v>
      </c>
      <c r="D48" s="728">
        <v>684.91948916949207</v>
      </c>
      <c r="E48" s="728">
        <v>487.05111428577976</v>
      </c>
      <c r="F48" s="728">
        <v>203.80781765254889</v>
      </c>
      <c r="G48" s="729">
        <v>133.32732466807556</v>
      </c>
      <c r="H48" s="729">
        <v>45.575674723118922</v>
      </c>
      <c r="I48" s="729">
        <v>9.1180834799712667</v>
      </c>
      <c r="J48" s="728">
        <f t="shared" si="3"/>
        <v>1913.1795575882738</v>
      </c>
      <c r="L48" s="727">
        <f t="shared" si="4"/>
        <v>431.50452452999957</v>
      </c>
      <c r="M48" s="728">
        <f>('C1-Incomes'!FG51-'C1-Incomes'!EY51)/1000</f>
        <v>40.880475470000412</v>
      </c>
      <c r="N48" s="728">
        <f>('C1-Incomes'!FH51-'C1-Incomes'!EZ51)/1000</f>
        <v>22.903736870000138</v>
      </c>
      <c r="O48" s="728">
        <f>('C1-Incomes'!FI51-'C1-Incomes'!FA51)/1000</f>
        <v>6.0005066699997984</v>
      </c>
      <c r="P48" s="728">
        <f>('C1-Incomes'!FJ51-'C1-Incomes'!FB51)/1000</f>
        <v>3.1354319299999625</v>
      </c>
      <c r="Q48" s="728">
        <f>('C1-Incomes'!FK51-'C1-Incomes'!FC51)/1000</f>
        <v>0.80455755999998657</v>
      </c>
      <c r="R48" s="728">
        <f>('C1-Incomes'!FL51-'C1-Incomes'!FD51)/1000</f>
        <v>0.12418121000000974</v>
      </c>
      <c r="S48" s="728">
        <f>('C1-Incomes'!FF51-'C1-Incomes'!EX51)/1000</f>
        <v>472.38499999999999</v>
      </c>
      <c r="T48" s="729"/>
      <c r="U48" s="728">
        <f t="shared" si="19"/>
        <v>796.75554388878231</v>
      </c>
      <c r="V48" s="728">
        <f t="shared" si="5"/>
        <v>644.03901369949165</v>
      </c>
      <c r="W48" s="728">
        <f t="shared" si="6"/>
        <v>464.1473774157796</v>
      </c>
      <c r="X48" s="728">
        <f t="shared" si="7"/>
        <v>197.8073109825491</v>
      </c>
      <c r="Y48" s="729">
        <f t="shared" si="8"/>
        <v>130.19189273807561</v>
      </c>
      <c r="Z48" s="729">
        <f t="shared" si="9"/>
        <v>44.771117163118937</v>
      </c>
      <c r="AA48" s="729">
        <f t="shared" si="10"/>
        <v>8.9939022699712563</v>
      </c>
      <c r="AB48" s="728">
        <f t="shared" si="11"/>
        <v>1440.7945575882738</v>
      </c>
      <c r="AD48" s="729">
        <f t="shared" si="12"/>
        <v>0.55299733032199982</v>
      </c>
      <c r="AE48" s="729">
        <f t="shared" si="13"/>
        <v>0.44700266967800023</v>
      </c>
      <c r="AF48" s="729">
        <f t="shared" si="14"/>
        <v>0.32214681473582846</v>
      </c>
      <c r="AG48" s="729">
        <f t="shared" si="15"/>
        <v>0.13729043460134666</v>
      </c>
      <c r="AH48" s="729">
        <f t="shared" si="16"/>
        <v>9.0361177485291183E-2</v>
      </c>
      <c r="AI48" s="729">
        <f t="shared" si="17"/>
        <v>3.1073907745779311E-2</v>
      </c>
      <c r="AJ48" s="729">
        <f t="shared" si="18"/>
        <v>6.2423211016468753E-3</v>
      </c>
      <c r="AK48" s="733"/>
    </row>
    <row r="49" spans="1:37" s="730" customFormat="1" ht="12" customHeight="1" x14ac:dyDescent="0.25">
      <c r="A49" s="726">
        <v>2004</v>
      </c>
      <c r="B49" s="727">
        <v>10540.9</v>
      </c>
      <c r="C49" s="728">
        <v>1261.6611394254526</v>
      </c>
      <c r="D49" s="728">
        <v>752.07253605504548</v>
      </c>
      <c r="E49" s="728">
        <v>545.04321479095836</v>
      </c>
      <c r="F49" s="728">
        <v>236.05046295351758</v>
      </c>
      <c r="G49" s="729">
        <v>154.93397921120007</v>
      </c>
      <c r="H49" s="729">
        <v>51.990287592965146</v>
      </c>
      <c r="I49" s="729">
        <v>12.331774261494642</v>
      </c>
      <c r="J49" s="728">
        <f t="shared" si="3"/>
        <v>2013.7336754804981</v>
      </c>
      <c r="L49" s="727">
        <f t="shared" si="4"/>
        <v>449.84972082000132</v>
      </c>
      <c r="M49" s="728">
        <f>('C1-Incomes'!FG52-'C1-Incomes'!EY52)/1000</f>
        <v>44.67127917999867</v>
      </c>
      <c r="N49" s="728">
        <f>('C1-Incomes'!FH52-'C1-Incomes'!EZ52)/1000</f>
        <v>24.915930679999757</v>
      </c>
      <c r="O49" s="728">
        <f>('C1-Incomes'!FI52-'C1-Incomes'!FA52)/1000</f>
        <v>6.133717879999895</v>
      </c>
      <c r="P49" s="728">
        <f>('C1-Incomes'!FJ52-'C1-Incomes'!FB52)/1000</f>
        <v>3.5442281199998686</v>
      </c>
      <c r="Q49" s="728">
        <f>('C1-Incomes'!FK52-'C1-Incomes'!FC52)/1000</f>
        <v>0.80185560000000988</v>
      </c>
      <c r="R49" s="728">
        <f>('C1-Incomes'!FL52-'C1-Incomes'!FD52)/1000</f>
        <v>9.1033649999997579E-2</v>
      </c>
      <c r="S49" s="728">
        <f>('C1-Incomes'!FF52-'C1-Incomes'!EX52)/1000</f>
        <v>494.52100000000002</v>
      </c>
      <c r="T49" s="729"/>
      <c r="U49" s="728">
        <f t="shared" si="19"/>
        <v>811.81141860545131</v>
      </c>
      <c r="V49" s="728">
        <f t="shared" si="5"/>
        <v>707.40125687504678</v>
      </c>
      <c r="W49" s="728">
        <f t="shared" si="6"/>
        <v>520.12728411095861</v>
      </c>
      <c r="X49" s="728">
        <f t="shared" si="7"/>
        <v>229.91674507351769</v>
      </c>
      <c r="Y49" s="729">
        <f t="shared" si="8"/>
        <v>151.3897510912002</v>
      </c>
      <c r="Z49" s="729">
        <f t="shared" si="9"/>
        <v>51.188431992965135</v>
      </c>
      <c r="AA49" s="729">
        <f t="shared" si="10"/>
        <v>12.240740611494644</v>
      </c>
      <c r="AB49" s="728">
        <f t="shared" si="11"/>
        <v>1519.2126754804981</v>
      </c>
      <c r="AD49" s="729">
        <f t="shared" si="12"/>
        <v>0.53436324729761142</v>
      </c>
      <c r="AE49" s="729">
        <f t="shared" si="13"/>
        <v>0.46563675270238858</v>
      </c>
      <c r="AF49" s="729">
        <f t="shared" si="14"/>
        <v>0.34236634047728193</v>
      </c>
      <c r="AG49" s="729">
        <f t="shared" si="15"/>
        <v>0.15133940677581523</v>
      </c>
      <c r="AH49" s="729">
        <f t="shared" si="16"/>
        <v>9.9650136899574318E-2</v>
      </c>
      <c r="AI49" s="729">
        <f t="shared" si="17"/>
        <v>3.3694052728183835E-2</v>
      </c>
      <c r="AJ49" s="729">
        <f t="shared" si="18"/>
        <v>8.0572923126929086E-3</v>
      </c>
      <c r="AK49" s="733"/>
    </row>
    <row r="50" spans="1:37" s="730" customFormat="1" ht="12" customHeight="1" x14ac:dyDescent="0.25">
      <c r="A50" s="726">
        <v>2005</v>
      </c>
      <c r="B50" s="727">
        <v>11239.8</v>
      </c>
      <c r="C50" s="728">
        <v>1327.1523348299781</v>
      </c>
      <c r="D50" s="728">
        <v>842.22950098878562</v>
      </c>
      <c r="E50" s="728">
        <v>609.6971279642255</v>
      </c>
      <c r="F50" s="728">
        <v>262.90076445234888</v>
      </c>
      <c r="G50" s="729">
        <v>179.66942681228539</v>
      </c>
      <c r="H50" s="729">
        <v>69.110116126989453</v>
      </c>
      <c r="I50" s="729">
        <v>17.952101582329469</v>
      </c>
      <c r="J50" s="728">
        <f t="shared" si="3"/>
        <v>2169.3818358187636</v>
      </c>
      <c r="L50" s="727">
        <f t="shared" si="4"/>
        <v>477.97335102</v>
      </c>
      <c r="M50" s="728">
        <f>('C1-Incomes'!FG53-'C1-Incomes'!EY53)/1000</f>
        <v>43.948648980000058</v>
      </c>
      <c r="N50" s="728">
        <f>('C1-Incomes'!FH53-'C1-Incomes'!EZ53)/1000</f>
        <v>25.050643980000167</v>
      </c>
      <c r="O50" s="728">
        <f>('C1-Incomes'!FI53-'C1-Incomes'!FA53)/1000</f>
        <v>6.4831240799999792</v>
      </c>
      <c r="P50" s="728">
        <f>('C1-Incomes'!FJ53-'C1-Incomes'!FB53)/1000</f>
        <v>3.5844810599999035</v>
      </c>
      <c r="Q50" s="728">
        <f>('C1-Incomes'!FK53-'C1-Incomes'!FC53)/1000</f>
        <v>0.71076740999997123</v>
      </c>
      <c r="R50" s="728">
        <f>('C1-Incomes'!FL53-'C1-Incomes'!FD53)/1000</f>
        <v>5.0870690000010654E-2</v>
      </c>
      <c r="S50" s="728">
        <f>('C1-Incomes'!FF53-'C1-Incomes'!EX53)/1000</f>
        <v>521.92200000000003</v>
      </c>
      <c r="T50" s="729"/>
      <c r="U50" s="728">
        <f t="shared" si="19"/>
        <v>849.17898380997815</v>
      </c>
      <c r="V50" s="728">
        <f t="shared" si="5"/>
        <v>798.28085200878559</v>
      </c>
      <c r="W50" s="728">
        <f t="shared" si="6"/>
        <v>584.64648398422537</v>
      </c>
      <c r="X50" s="728">
        <f t="shared" si="7"/>
        <v>256.4176403723489</v>
      </c>
      <c r="Y50" s="729">
        <f t="shared" si="8"/>
        <v>176.08494575228548</v>
      </c>
      <c r="Z50" s="729">
        <f t="shared" si="9"/>
        <v>68.399348716989479</v>
      </c>
      <c r="AA50" s="729">
        <f t="shared" si="10"/>
        <v>17.901230892329458</v>
      </c>
      <c r="AB50" s="728">
        <f t="shared" si="11"/>
        <v>1647.4598358187636</v>
      </c>
      <c r="AD50" s="729">
        <f t="shared" si="12"/>
        <v>0.51544745756302368</v>
      </c>
      <c r="AE50" s="729">
        <f t="shared" si="13"/>
        <v>0.48455254243697637</v>
      </c>
      <c r="AF50" s="729">
        <f t="shared" si="14"/>
        <v>0.35487753405148392</v>
      </c>
      <c r="AG50" s="729">
        <f t="shared" si="15"/>
        <v>0.15564424382152725</v>
      </c>
      <c r="AH50" s="729">
        <f t="shared" si="16"/>
        <v>0.10688269414760805</v>
      </c>
      <c r="AI50" s="729">
        <f t="shared" si="17"/>
        <v>4.151806753030552E-2</v>
      </c>
      <c r="AJ50" s="729">
        <f t="shared" si="18"/>
        <v>1.0865958916341536E-2</v>
      </c>
      <c r="AK50" s="733"/>
    </row>
    <row r="51" spans="1:37" s="730" customFormat="1" ht="12" customHeight="1" x14ac:dyDescent="0.25">
      <c r="A51" s="726">
        <v>2006</v>
      </c>
      <c r="B51" s="727">
        <v>12004.8</v>
      </c>
      <c r="C51" s="728">
        <v>1397.9828990022327</v>
      </c>
      <c r="D51" s="728">
        <v>949.07181820460141</v>
      </c>
      <c r="E51" s="728">
        <v>699.35800563336863</v>
      </c>
      <c r="F51" s="728">
        <v>303.98099960374833</v>
      </c>
      <c r="G51" s="729">
        <v>203.91594986138085</v>
      </c>
      <c r="H51" s="729">
        <v>71.340328232902721</v>
      </c>
      <c r="I51" s="729">
        <v>15.231627668914216</v>
      </c>
      <c r="J51" s="728">
        <f t="shared" si="3"/>
        <v>2347.0547172068341</v>
      </c>
      <c r="L51" s="727">
        <f t="shared" si="4"/>
        <v>502.34750485999973</v>
      </c>
      <c r="M51" s="728">
        <f>('C1-Incomes'!FG54-'C1-Incomes'!EY54)/1000</f>
        <v>51.26749514000025</v>
      </c>
      <c r="N51" s="728">
        <f>('C1-Incomes'!FH54-'C1-Incomes'!EZ54)/1000</f>
        <v>28.609244740000459</v>
      </c>
      <c r="O51" s="728">
        <f>('C1-Incomes'!FI54-'C1-Incomes'!FA54)/1000</f>
        <v>7.2115412399999332</v>
      </c>
      <c r="P51" s="728">
        <f>('C1-Incomes'!FJ54-'C1-Incomes'!FB54)/1000</f>
        <v>3.923777820000192</v>
      </c>
      <c r="Q51" s="728">
        <f>('C1-Incomes'!FK54-'C1-Incomes'!FC54)/1000</f>
        <v>0.9415855199999642</v>
      </c>
      <c r="R51" s="728">
        <f>('C1-Incomes'!FL54-'C1-Incomes'!FD54)/1000</f>
        <v>0.12183623999997507</v>
      </c>
      <c r="S51" s="728">
        <f>('C1-Incomes'!FF54-'C1-Incomes'!EX54)/1000</f>
        <v>553.61500000000001</v>
      </c>
      <c r="T51" s="729"/>
      <c r="U51" s="728">
        <f t="shared" si="19"/>
        <v>895.63539414223294</v>
      </c>
      <c r="V51" s="728">
        <f t="shared" si="5"/>
        <v>897.80432306460114</v>
      </c>
      <c r="W51" s="728">
        <f t="shared" si="6"/>
        <v>670.74876089336817</v>
      </c>
      <c r="X51" s="728">
        <f t="shared" si="7"/>
        <v>296.76945836374841</v>
      </c>
      <c r="Y51" s="729">
        <f t="shared" si="8"/>
        <v>199.99217204138066</v>
      </c>
      <c r="Z51" s="729">
        <f t="shared" si="9"/>
        <v>70.398742712902759</v>
      </c>
      <c r="AA51" s="729">
        <f t="shared" si="10"/>
        <v>15.109791428914241</v>
      </c>
      <c r="AB51" s="728">
        <f t="shared" si="11"/>
        <v>1793.4397172068341</v>
      </c>
      <c r="AD51" s="729">
        <f t="shared" si="12"/>
        <v>0.49939531591121833</v>
      </c>
      <c r="AE51" s="729">
        <f t="shared" si="13"/>
        <v>0.50060468408878167</v>
      </c>
      <c r="AF51" s="729">
        <f t="shared" si="14"/>
        <v>0.37400128616422962</v>
      </c>
      <c r="AG51" s="729">
        <f t="shared" si="15"/>
        <v>0.16547501179796975</v>
      </c>
      <c r="AH51" s="729">
        <f t="shared" si="16"/>
        <v>0.11151318336635005</v>
      </c>
      <c r="AI51" s="729">
        <f t="shared" si="17"/>
        <v>3.9253475897447078E-2</v>
      </c>
      <c r="AJ51" s="729">
        <f t="shared" si="18"/>
        <v>8.425034465304895E-3</v>
      </c>
      <c r="AK51" s="733"/>
    </row>
    <row r="52" spans="1:37" s="730" customFormat="1" ht="12" customHeight="1" x14ac:dyDescent="0.25">
      <c r="A52" s="726">
        <v>2007</v>
      </c>
      <c r="B52" s="727">
        <v>12321.4</v>
      </c>
      <c r="C52" s="728">
        <v>1448.4566020823015</v>
      </c>
      <c r="D52" s="728">
        <v>978.53464436140041</v>
      </c>
      <c r="E52" s="728">
        <v>716.91656463372249</v>
      </c>
      <c r="F52" s="728">
        <v>307.23409994137683</v>
      </c>
      <c r="G52" s="729">
        <v>199.52675059114952</v>
      </c>
      <c r="H52" s="729">
        <v>68.233104611773683</v>
      </c>
      <c r="I52" s="729">
        <v>15.647606302601407</v>
      </c>
      <c r="J52" s="728">
        <f t="shared" si="3"/>
        <v>2426.991246443702</v>
      </c>
      <c r="L52" s="727">
        <f t="shared" si="4"/>
        <v>531.4462411799999</v>
      </c>
      <c r="M52" s="728">
        <f>('C1-Incomes'!FG55-'C1-Incomes'!EY55)/1000</f>
        <v>54.019759820000267</v>
      </c>
      <c r="N52" s="728">
        <f>('C1-Incomes'!FH55-'C1-Incomes'!EZ55)/1000</f>
        <v>31.18306742000021</v>
      </c>
      <c r="O52" s="728">
        <f>('C1-Incomes'!FI55-'C1-Incomes'!FA55)/1000</f>
        <v>6.9976280200001781</v>
      </c>
      <c r="P52" s="728">
        <f>('C1-Incomes'!FJ55-'C1-Incomes'!FB55)/1000</f>
        <v>3.7637137599999551</v>
      </c>
      <c r="Q52" s="728">
        <f>('C1-Incomes'!FK55-'C1-Incomes'!FC55)/1000</f>
        <v>0.84188626000005751</v>
      </c>
      <c r="R52" s="728">
        <f>('C1-Incomes'!FL55-'C1-Incomes'!FD55)/1000</f>
        <v>0.1120310799999861</v>
      </c>
      <c r="S52" s="728">
        <f>('C1-Incomes'!FF55-'C1-Incomes'!EX55)/1000</f>
        <v>585.46600100000012</v>
      </c>
      <c r="T52" s="729"/>
      <c r="U52" s="728">
        <f t="shared" si="19"/>
        <v>917.01036090230161</v>
      </c>
      <c r="V52" s="728">
        <f t="shared" si="5"/>
        <v>924.51488454140019</v>
      </c>
      <c r="W52" s="728">
        <f t="shared" si="6"/>
        <v>685.73349721372233</v>
      </c>
      <c r="X52" s="728">
        <f t="shared" si="7"/>
        <v>300.23647192137662</v>
      </c>
      <c r="Y52" s="729">
        <f t="shared" si="8"/>
        <v>195.76303683114958</v>
      </c>
      <c r="Z52" s="729">
        <f t="shared" si="9"/>
        <v>67.391218351773631</v>
      </c>
      <c r="AA52" s="729">
        <f t="shared" si="10"/>
        <v>15.535575222601421</v>
      </c>
      <c r="AB52" s="728">
        <f t="shared" si="11"/>
        <v>1841.5252454437018</v>
      </c>
      <c r="AD52" s="729">
        <f t="shared" si="12"/>
        <v>0.4979624163020121</v>
      </c>
      <c r="AE52" s="729">
        <f t="shared" si="13"/>
        <v>0.5020375836979879</v>
      </c>
      <c r="AF52" s="729">
        <f t="shared" si="14"/>
        <v>0.37237257480469671</v>
      </c>
      <c r="AG52" s="729">
        <f t="shared" si="15"/>
        <v>0.16303684821276337</v>
      </c>
      <c r="AH52" s="729">
        <f t="shared" si="16"/>
        <v>0.10630483470998082</v>
      </c>
      <c r="AI52" s="729">
        <f t="shared" si="17"/>
        <v>3.6595326900086142E-2</v>
      </c>
      <c r="AJ52" s="729">
        <f t="shared" si="18"/>
        <v>8.4362542740261167E-3</v>
      </c>
      <c r="AK52" s="733"/>
    </row>
    <row r="53" spans="1:37" s="730" customFormat="1" ht="12" customHeight="1" x14ac:dyDescent="0.25">
      <c r="A53" s="726">
        <v>2008</v>
      </c>
      <c r="B53" s="727">
        <v>12427.8</v>
      </c>
      <c r="C53" s="728">
        <v>1499.8736334110727</v>
      </c>
      <c r="D53" s="728">
        <v>943.12841697080569</v>
      </c>
      <c r="E53" s="728">
        <v>685.04313670323006</v>
      </c>
      <c r="F53" s="728">
        <v>297.79539911595248</v>
      </c>
      <c r="G53" s="729">
        <v>198.46761848591919</v>
      </c>
      <c r="H53" s="729">
        <v>67.734341716404586</v>
      </c>
      <c r="I53" s="729">
        <v>13.68525754550766</v>
      </c>
      <c r="J53" s="728">
        <f t="shared" si="3"/>
        <v>2443.0020503818782</v>
      </c>
      <c r="L53" s="727">
        <f t="shared" si="4"/>
        <v>559.82004845000063</v>
      </c>
      <c r="M53" s="728">
        <f>('C1-Incomes'!FG56-'C1-Incomes'!EY56)/1000</f>
        <v>55.789951549999415</v>
      </c>
      <c r="N53" s="728">
        <f>('C1-Incomes'!FH56-'C1-Incomes'!EZ56)/1000</f>
        <v>30.022228049999569</v>
      </c>
      <c r="O53" s="728">
        <f>('C1-Incomes'!FI56-'C1-Incomes'!FA56)/1000</f>
        <v>7.5658631499998741</v>
      </c>
      <c r="P53" s="728">
        <f>('C1-Incomes'!FJ56-'C1-Incomes'!FB56)/1000</f>
        <v>4.1788506700000729</v>
      </c>
      <c r="Q53" s="728">
        <f>('C1-Incomes'!FK56-'C1-Incomes'!FC56)/1000</f>
        <v>1.0395592600000092</v>
      </c>
      <c r="R53" s="728">
        <f>('C1-Incomes'!FL56-'C1-Incomes'!FD56)/1000</f>
        <v>0.11381138999998802</v>
      </c>
      <c r="S53" s="728">
        <f>('C1-Incomes'!FF56-'C1-Incomes'!EX56)/1000</f>
        <v>615.61</v>
      </c>
      <c r="T53" s="729"/>
      <c r="U53" s="728">
        <f t="shared" si="19"/>
        <v>940.05358496107203</v>
      </c>
      <c r="V53" s="728">
        <f t="shared" si="5"/>
        <v>887.3384654208063</v>
      </c>
      <c r="W53" s="728">
        <f t="shared" si="6"/>
        <v>655.02090865323044</v>
      </c>
      <c r="X53" s="728">
        <f t="shared" si="7"/>
        <v>290.22953596595261</v>
      </c>
      <c r="Y53" s="729">
        <f t="shared" si="8"/>
        <v>194.28876781591913</v>
      </c>
      <c r="Z53" s="729">
        <f t="shared" si="9"/>
        <v>66.694782456404582</v>
      </c>
      <c r="AA53" s="729">
        <f t="shared" si="10"/>
        <v>13.571446155507672</v>
      </c>
      <c r="AB53" s="728">
        <f t="shared" si="11"/>
        <v>1827.3920503818781</v>
      </c>
      <c r="AD53" s="729">
        <f t="shared" si="12"/>
        <v>0.51442359331957521</v>
      </c>
      <c r="AE53" s="729">
        <f t="shared" si="13"/>
        <v>0.4855764066804249</v>
      </c>
      <c r="AF53" s="729">
        <f t="shared" si="14"/>
        <v>0.35844574705047438</v>
      </c>
      <c r="AG53" s="729">
        <f t="shared" si="15"/>
        <v>0.15882171311038706</v>
      </c>
      <c r="AH53" s="729">
        <f t="shared" si="16"/>
        <v>0.10632024352700765</v>
      </c>
      <c r="AI53" s="729">
        <f t="shared" si="17"/>
        <v>3.6497248875777412E-2</v>
      </c>
      <c r="AJ53" s="729">
        <f t="shared" si="18"/>
        <v>7.4266746167969749E-3</v>
      </c>
      <c r="AK53" s="733"/>
    </row>
    <row r="54" spans="1:37" s="730" customFormat="1" ht="12" customHeight="1" x14ac:dyDescent="0.25">
      <c r="A54" s="726">
        <v>2009</v>
      </c>
      <c r="B54" s="727">
        <v>12126.1</v>
      </c>
      <c r="C54" s="728">
        <v>1572.2014120552624</v>
      </c>
      <c r="D54" s="728">
        <v>869.05964995094178</v>
      </c>
      <c r="E54" s="728">
        <v>612.40616144026694</v>
      </c>
      <c r="F54" s="728">
        <v>256.65390657080002</v>
      </c>
      <c r="G54" s="729">
        <v>170.83135030870758</v>
      </c>
      <c r="H54" s="729">
        <v>62.282888569314892</v>
      </c>
      <c r="I54" s="729">
        <v>21.895832525414583</v>
      </c>
      <c r="J54" s="728">
        <f t="shared" si="3"/>
        <v>2441.2610620062042</v>
      </c>
      <c r="L54" s="727">
        <f t="shared" si="4"/>
        <v>611.90843590000077</v>
      </c>
      <c r="M54" s="728">
        <f>('C1-Incomes'!FG57-'C1-Incomes'!EY57)/1000</f>
        <v>63.191565099999309</v>
      </c>
      <c r="N54" s="728">
        <f>('C1-Incomes'!FH57-'C1-Incomes'!EZ57)/1000</f>
        <v>34.342648600000423</v>
      </c>
      <c r="O54" s="728">
        <f>('C1-Incomes'!FI57-'C1-Incomes'!FA57)/1000</f>
        <v>8.8816843000000816</v>
      </c>
      <c r="P54" s="728">
        <f>('C1-Incomes'!FJ57-'C1-Incomes'!FB57)/1000</f>
        <v>4.9320207199999135</v>
      </c>
      <c r="Q54" s="728">
        <f>('C1-Incomes'!FK57-'C1-Incomes'!FC57)/1000</f>
        <v>1.0866947800000197</v>
      </c>
      <c r="R54" s="728">
        <f>('C1-Incomes'!FL57-'C1-Incomes'!FD57)/1000</f>
        <v>0.12661255000001984</v>
      </c>
      <c r="S54" s="728">
        <f>('C1-Incomes'!FF57-'C1-Incomes'!EX57)/1000</f>
        <v>675.10000100000013</v>
      </c>
      <c r="T54" s="729"/>
      <c r="U54" s="728">
        <f t="shared" si="19"/>
        <v>960.29297615526161</v>
      </c>
      <c r="V54" s="728">
        <f t="shared" si="5"/>
        <v>805.86808485094252</v>
      </c>
      <c r="W54" s="728">
        <f t="shared" si="6"/>
        <v>578.06351284026653</v>
      </c>
      <c r="X54" s="728">
        <f t="shared" si="7"/>
        <v>247.77222227079994</v>
      </c>
      <c r="Y54" s="729">
        <f t="shared" si="8"/>
        <v>165.89932958870767</v>
      </c>
      <c r="Z54" s="729">
        <f t="shared" si="9"/>
        <v>61.196193789314876</v>
      </c>
      <c r="AA54" s="729">
        <f t="shared" si="10"/>
        <v>21.769219975414565</v>
      </c>
      <c r="AB54" s="728">
        <f t="shared" si="11"/>
        <v>1766.1610610062039</v>
      </c>
      <c r="AD54" s="729">
        <f t="shared" si="12"/>
        <v>0.54371766955850043</v>
      </c>
      <c r="AE54" s="729">
        <f t="shared" si="13"/>
        <v>0.45628233044149974</v>
      </c>
      <c r="AF54" s="729">
        <f t="shared" si="14"/>
        <v>0.32729943242601928</v>
      </c>
      <c r="AG54" s="729">
        <f t="shared" si="15"/>
        <v>0.14028857715255086</v>
      </c>
      <c r="AH54" s="729">
        <f t="shared" si="16"/>
        <v>9.3932163522047515E-2</v>
      </c>
      <c r="AI54" s="729">
        <f t="shared" si="17"/>
        <v>3.4649271315295924E-2</v>
      </c>
      <c r="AJ54" s="729">
        <f t="shared" si="18"/>
        <v>1.2325727509252395E-2</v>
      </c>
      <c r="AK54" s="733"/>
    </row>
    <row r="55" spans="1:37" s="730" customFormat="1" ht="12" customHeight="1" x14ac:dyDescent="0.25">
      <c r="A55" s="726">
        <v>2010</v>
      </c>
      <c r="B55" s="727">
        <v>12739.5</v>
      </c>
      <c r="C55" s="728">
        <v>1649.6337696418382</v>
      </c>
      <c r="D55" s="728">
        <v>1003.3985915610336</v>
      </c>
      <c r="E55" s="728">
        <v>711.94260384420795</v>
      </c>
      <c r="F55" s="728">
        <v>297.59014492195269</v>
      </c>
      <c r="G55" s="729">
        <v>193.17991748201288</v>
      </c>
      <c r="H55" s="729">
        <v>66.141412756105908</v>
      </c>
      <c r="I55" s="729">
        <v>15.258604525253475</v>
      </c>
      <c r="J55" s="728">
        <f t="shared" si="3"/>
        <v>2653.0323612028719</v>
      </c>
      <c r="L55" s="727">
        <f t="shared" si="4"/>
        <v>629.74760582999977</v>
      </c>
      <c r="M55" s="728">
        <f>('C1-Incomes'!FG58-'C1-Incomes'!EY58)/1000</f>
        <v>71.205394170000218</v>
      </c>
      <c r="N55" s="728">
        <f>('C1-Incomes'!FH58-'C1-Incomes'!EZ58)/1000</f>
        <v>37.459700170000083</v>
      </c>
      <c r="O55" s="728">
        <f>('C1-Incomes'!FI58-'C1-Incomes'!FA58)/1000</f>
        <v>9.0572735699999605</v>
      </c>
      <c r="P55" s="728">
        <f>('C1-Incomes'!FJ58-'C1-Incomes'!FB58)/1000</f>
        <v>4.9521483499999155</v>
      </c>
      <c r="Q55" s="728">
        <f>('C1-Incomes'!FK58-'C1-Incomes'!FC58)/1000</f>
        <v>1.180288840000052</v>
      </c>
      <c r="R55" s="728">
        <f>('C1-Incomes'!FL58-'C1-Incomes'!FD58)/1000</f>
        <v>0.11891174000001047</v>
      </c>
      <c r="S55" s="728">
        <f>('C1-Incomes'!FF58-'C1-Incomes'!EX58)/1000</f>
        <v>700.95299999999997</v>
      </c>
      <c r="T55" s="729"/>
      <c r="U55" s="728">
        <f t="shared" si="19"/>
        <v>1019.8861638118384</v>
      </c>
      <c r="V55" s="728">
        <f t="shared" si="5"/>
        <v>932.19319739103344</v>
      </c>
      <c r="W55" s="728">
        <f t="shared" si="6"/>
        <v>674.48290367420782</v>
      </c>
      <c r="X55" s="728">
        <f t="shared" si="7"/>
        <v>288.53287135195274</v>
      </c>
      <c r="Y55" s="729">
        <f t="shared" si="8"/>
        <v>188.22776913201298</v>
      </c>
      <c r="Z55" s="729">
        <f t="shared" si="9"/>
        <v>64.961123916105862</v>
      </c>
      <c r="AA55" s="729">
        <f t="shared" si="10"/>
        <v>15.139692785253464</v>
      </c>
      <c r="AB55" s="728">
        <f t="shared" si="11"/>
        <v>1952.079361202872</v>
      </c>
      <c r="AD55" s="729">
        <f t="shared" si="12"/>
        <v>0.5224614245106225</v>
      </c>
      <c r="AE55" s="729">
        <f t="shared" si="13"/>
        <v>0.4775385754893775</v>
      </c>
      <c r="AF55" s="729">
        <f t="shared" si="14"/>
        <v>0.34552022683063011</v>
      </c>
      <c r="AG55" s="729">
        <f t="shared" si="15"/>
        <v>0.14780796164668156</v>
      </c>
      <c r="AH55" s="729">
        <f t="shared" si="16"/>
        <v>9.6424240157954935E-2</v>
      </c>
      <c r="AI55" s="729">
        <f t="shared" si="17"/>
        <v>3.3277911342742127E-2</v>
      </c>
      <c r="AJ55" s="729">
        <f t="shared" si="18"/>
        <v>7.7556748389186287E-3</v>
      </c>
      <c r="AK55" s="733"/>
    </row>
    <row r="56" spans="1:37" s="730" customFormat="1" ht="12" customHeight="1" x14ac:dyDescent="0.25">
      <c r="A56" s="726">
        <v>2011</v>
      </c>
      <c r="B56" s="727">
        <v>13352.3</v>
      </c>
      <c r="C56" s="728">
        <v>1659.4030165153215</v>
      </c>
      <c r="D56" s="728">
        <v>1013.0734889643891</v>
      </c>
      <c r="E56" s="728">
        <v>718.00289471378039</v>
      </c>
      <c r="F56" s="728">
        <v>292.8512680670641</v>
      </c>
      <c r="G56" s="729">
        <v>189.51539153564676</v>
      </c>
      <c r="H56" s="729">
        <v>57.372155184790103</v>
      </c>
      <c r="I56" s="729">
        <v>7.6597089623075414</v>
      </c>
      <c r="J56" s="728">
        <f t="shared" si="3"/>
        <v>2672.4765054797108</v>
      </c>
      <c r="L56" s="727">
        <f t="shared" si="4"/>
        <v>655.89010110000049</v>
      </c>
      <c r="M56" s="728">
        <f>('C1-Incomes'!FG59-'C1-Incomes'!EY59)/1000</f>
        <v>68.331898899999445</v>
      </c>
      <c r="N56" s="728">
        <f>('C1-Incomes'!FH59-'C1-Incomes'!EZ59)/1000</f>
        <v>36.471560999999753</v>
      </c>
      <c r="O56" s="728">
        <f>('C1-Incomes'!FI59-'C1-Incomes'!FA59)/1000</f>
        <v>8.2861936000001144</v>
      </c>
      <c r="P56" s="728">
        <f>('C1-Incomes'!FJ59-'C1-Incomes'!FB59)/1000</f>
        <v>5.5205530200002251</v>
      </c>
      <c r="Q56" s="728">
        <f>('C1-Incomes'!FK59-'C1-Incomes'!FC59)/1000</f>
        <v>1.1802684300001711</v>
      </c>
      <c r="R56" s="728">
        <f>('C1-Incomes'!FL59-'C1-Incomes'!FD59)/1000</f>
        <v>0.15786007000005339</v>
      </c>
      <c r="S56" s="728">
        <f>('C1-Incomes'!FF59-'C1-Incomes'!EX59)/1000</f>
        <v>724.22199999999998</v>
      </c>
      <c r="T56" s="729"/>
      <c r="U56" s="728">
        <f t="shared" si="19"/>
        <v>1003.512915415321</v>
      </c>
      <c r="V56" s="728">
        <f t="shared" si="5"/>
        <v>944.74159006438958</v>
      </c>
      <c r="W56" s="728">
        <f t="shared" si="6"/>
        <v>681.53133371378067</v>
      </c>
      <c r="X56" s="728">
        <f t="shared" si="7"/>
        <v>284.56507446706399</v>
      </c>
      <c r="Y56" s="729">
        <f t="shared" si="8"/>
        <v>183.99483851564653</v>
      </c>
      <c r="Z56" s="729">
        <f t="shared" si="9"/>
        <v>56.191886754789934</v>
      </c>
      <c r="AA56" s="729">
        <f t="shared" si="10"/>
        <v>7.5018488923074882</v>
      </c>
      <c r="AB56" s="728">
        <f t="shared" si="11"/>
        <v>1948.2545054797108</v>
      </c>
      <c r="AD56" s="729">
        <f t="shared" si="12"/>
        <v>0.51508307184344482</v>
      </c>
      <c r="AE56" s="729">
        <f t="shared" si="13"/>
        <v>0.48491692815655502</v>
      </c>
      <c r="AF56" s="729">
        <f t="shared" si="14"/>
        <v>0.34981637758151624</v>
      </c>
      <c r="AG56" s="729">
        <f t="shared" si="15"/>
        <v>0.14606155082238431</v>
      </c>
      <c r="AH56" s="729">
        <f t="shared" si="16"/>
        <v>9.4440863859489563E-2</v>
      </c>
      <c r="AI56" s="729">
        <f t="shared" si="17"/>
        <v>2.8842169540346595E-2</v>
      </c>
      <c r="AJ56" s="729">
        <f t="shared" si="18"/>
        <v>3.8505487199991554E-3</v>
      </c>
      <c r="AK56" s="733"/>
    </row>
    <row r="57" spans="1:37" s="730" customFormat="1" ht="12" customHeight="1" x14ac:dyDescent="0.25">
      <c r="A57" s="726">
        <v>2012</v>
      </c>
      <c r="B57" s="727">
        <v>14061.9</v>
      </c>
      <c r="C57" s="728">
        <v>1706.4096329248587</v>
      </c>
      <c r="D57" s="728">
        <v>1097.9550460155608</v>
      </c>
      <c r="E57" s="728">
        <v>788.27792861080377</v>
      </c>
      <c r="F57" s="728">
        <v>328.09346143359846</v>
      </c>
      <c r="G57" s="729">
        <v>209.98285013712899</v>
      </c>
      <c r="H57" s="729">
        <v>65.687159802828418</v>
      </c>
      <c r="I57" s="729">
        <v>10.046395840289287</v>
      </c>
      <c r="J57" s="728">
        <f t="shared" si="3"/>
        <v>2804.3646789404193</v>
      </c>
      <c r="L57" s="727">
        <f t="shared" si="4"/>
        <v>697.76505031000079</v>
      </c>
      <c r="M57" s="728">
        <f>('C1-Incomes'!FG60-'C1-Incomes'!EY60)/1000</f>
        <v>75.783949689999218</v>
      </c>
      <c r="N57" s="728">
        <f>('C1-Incomes'!FH60-'C1-Incomes'!EZ60)/1000</f>
        <v>39.810399389999915</v>
      </c>
      <c r="O57" s="728">
        <f>('C1-Incomes'!FI60-'C1-Incomes'!FA60)/1000</f>
        <v>9.4098660899996762</v>
      </c>
      <c r="P57" s="728">
        <f>('C1-Incomes'!FJ60-'C1-Incomes'!FB60)/1000</f>
        <v>5.767819449999835</v>
      </c>
      <c r="Q57" s="728">
        <f>('C1-Incomes'!FK60-'C1-Incomes'!FC60)/1000</f>
        <v>1.1589629399999977</v>
      </c>
      <c r="R57" s="728">
        <f>('C1-Incomes'!FL60-'C1-Incomes'!FD60)/1000</f>
        <v>0.14929934999998659</v>
      </c>
      <c r="S57" s="728">
        <f>('C1-Incomes'!FF60-'C1-Incomes'!EX60)/1000</f>
        <v>773.54899999999998</v>
      </c>
      <c r="T57" s="729"/>
      <c r="U57" s="728">
        <f t="shared" si="19"/>
        <v>1008.6445826148579</v>
      </c>
      <c r="V57" s="728">
        <f t="shared" si="5"/>
        <v>1022.1710963255616</v>
      </c>
      <c r="W57" s="728">
        <f t="shared" si="6"/>
        <v>748.46752922080384</v>
      </c>
      <c r="X57" s="728">
        <f t="shared" si="7"/>
        <v>318.68359534359877</v>
      </c>
      <c r="Y57" s="729">
        <f t="shared" si="8"/>
        <v>204.21503068712914</v>
      </c>
      <c r="Z57" s="729">
        <f t="shared" si="9"/>
        <v>64.528196862828423</v>
      </c>
      <c r="AA57" s="729">
        <f t="shared" si="10"/>
        <v>9.8970964902893002</v>
      </c>
      <c r="AB57" s="728">
        <f t="shared" si="11"/>
        <v>2030.8156789404193</v>
      </c>
      <c r="AD57" s="729">
        <f t="shared" si="12"/>
        <v>0.49666968453834248</v>
      </c>
      <c r="AE57" s="729">
        <f t="shared" si="13"/>
        <v>0.50333031546165763</v>
      </c>
      <c r="AF57" s="729">
        <f t="shared" si="14"/>
        <v>0.36855512638710658</v>
      </c>
      <c r="AG57" s="729">
        <f t="shared" si="15"/>
        <v>0.15692393881352756</v>
      </c>
      <c r="AH57" s="729">
        <f t="shared" si="16"/>
        <v>0.100558131791497</v>
      </c>
      <c r="AI57" s="729">
        <f t="shared" si="17"/>
        <v>3.1774521701790334E-2</v>
      </c>
      <c r="AJ57" s="729">
        <f t="shared" si="18"/>
        <v>4.8734587746797004E-3</v>
      </c>
      <c r="AK57" s="733"/>
    </row>
    <row r="58" spans="1:37" s="730" customFormat="1" ht="12" customHeight="1" x14ac:dyDescent="0.25">
      <c r="A58" s="726">
        <v>2013</v>
      </c>
      <c r="B58" s="727">
        <v>14444.8</v>
      </c>
      <c r="C58" s="728">
        <v>1805.3946507318615</v>
      </c>
      <c r="D58" s="728">
        <v>1138.4714182344164</v>
      </c>
      <c r="E58" s="728">
        <v>818.46257218145649</v>
      </c>
      <c r="F58" s="728">
        <v>335.52555314321734</v>
      </c>
      <c r="G58" s="729">
        <v>213.23079225603092</v>
      </c>
      <c r="H58" s="729">
        <v>61.758107826964839</v>
      </c>
      <c r="I58" s="729">
        <v>10.767958708317718</v>
      </c>
      <c r="J58" s="728">
        <f t="shared" si="3"/>
        <v>2943.8660689662779</v>
      </c>
      <c r="L58" s="727">
        <f t="shared" si="4"/>
        <v>725.61618915999964</v>
      </c>
      <c r="M58" s="728">
        <f>('C1-Incomes'!FG61-'C1-Incomes'!EY61)/1000</f>
        <v>85.103810840000392</v>
      </c>
      <c r="N58" s="728">
        <f>('C1-Incomes'!FH61-'C1-Incomes'!EZ61)/1000</f>
        <v>45.139713640000203</v>
      </c>
      <c r="O58" s="728">
        <f>('C1-Incomes'!FI61-'C1-Incomes'!FA61)/1000</f>
        <v>10.702365340000485</v>
      </c>
      <c r="P58" s="728">
        <f>('C1-Incomes'!FJ61-'C1-Incomes'!FB61)/1000</f>
        <v>5.317931110000238</v>
      </c>
      <c r="Q58" s="728">
        <f>('C1-Incomes'!FK61-'C1-Incomes'!FC61)/1000</f>
        <v>1.3475133499999066</v>
      </c>
      <c r="R58" s="728">
        <f>('C1-Incomes'!FL61-'C1-Incomes'!FD61)/1000</f>
        <v>0.14347286999999778</v>
      </c>
      <c r="S58" s="728">
        <f>('C1-Incomes'!FF61-'C1-Incomes'!EX61)/1000</f>
        <v>810.72</v>
      </c>
      <c r="T58" s="729"/>
      <c r="U58" s="728">
        <f t="shared" si="19"/>
        <v>1079.778461571862</v>
      </c>
      <c r="V58" s="728">
        <f t="shared" si="5"/>
        <v>1053.3676073944162</v>
      </c>
      <c r="W58" s="728">
        <f t="shared" si="6"/>
        <v>773.3228585414563</v>
      </c>
      <c r="X58" s="728">
        <f>MAX(0,F58-O58)</f>
        <v>324.82318780321685</v>
      </c>
      <c r="Y58" s="729">
        <f t="shared" si="8"/>
        <v>207.91286114603068</v>
      </c>
      <c r="Z58" s="729">
        <f t="shared" si="9"/>
        <v>60.410594476964931</v>
      </c>
      <c r="AA58" s="729">
        <f t="shared" si="10"/>
        <v>10.624485838317719</v>
      </c>
      <c r="AB58" s="728">
        <f t="shared" si="11"/>
        <v>2133.1460689662781</v>
      </c>
      <c r="AD58" s="729">
        <f t="shared" si="12"/>
        <v>0.50619058735866229</v>
      </c>
      <c r="AE58" s="729">
        <f t="shared" si="13"/>
        <v>0.49380941264133765</v>
      </c>
      <c r="AF58" s="729">
        <f t="shared" si="14"/>
        <v>0.36252691261607239</v>
      </c>
      <c r="AG58" s="729">
        <f t="shared" si="15"/>
        <v>0.1522742359413887</v>
      </c>
      <c r="AH58" s="729">
        <f t="shared" si="16"/>
        <v>9.7467709394502541E-2</v>
      </c>
      <c r="AI58" s="729">
        <f t="shared" si="17"/>
        <v>2.8319952091344539E-2</v>
      </c>
      <c r="AJ58" s="729">
        <f t="shared" si="18"/>
        <v>4.9806649403368528E-3</v>
      </c>
      <c r="AK58" s="733"/>
    </row>
    <row r="59" spans="1:37" s="730" customFormat="1" ht="12" customHeight="1" x14ac:dyDescent="0.25">
      <c r="A59" s="726">
        <v>2014</v>
      </c>
      <c r="B59" s="727">
        <v>15153.9</v>
      </c>
      <c r="C59" s="728">
        <v>1877.4001474046092</v>
      </c>
      <c r="D59" s="728">
        <v>1230.6287970349447</v>
      </c>
      <c r="E59" s="728">
        <v>889.51527994903097</v>
      </c>
      <c r="F59" s="728">
        <v>367.08653986259009</v>
      </c>
      <c r="G59" s="729">
        <v>233.17596963575261</v>
      </c>
      <c r="H59" s="729">
        <v>67.070386935768695</v>
      </c>
      <c r="I59" s="729">
        <v>10.242618920507772</v>
      </c>
      <c r="J59" s="728">
        <f t="shared" si="3"/>
        <v>3108.0289444395539</v>
      </c>
      <c r="L59" s="727">
        <f>S59-M59</f>
        <v>761.45400765000011</v>
      </c>
      <c r="M59" s="728">
        <f>('C1-Incomes'!FG62-'C1-Incomes'!EY62)/1000</f>
        <v>85.140992349999962</v>
      </c>
      <c r="N59" s="728">
        <f>('C1-Incomes'!FH62-'C1-Incomes'!EZ62)/1000</f>
        <v>45.90981425000075</v>
      </c>
      <c r="O59" s="728">
        <f>('C1-Incomes'!FI62-'C1-Incomes'!FA62)/1000</f>
        <v>11.023249350000173</v>
      </c>
      <c r="P59" s="728">
        <f>('C1-Incomes'!FJ62-'C1-Incomes'!FB62)/1000</f>
        <v>5.9750114100000351</v>
      </c>
      <c r="Q59" s="728">
        <f>('C1-Incomes'!FK62-'C1-Incomes'!FC62)/1000</f>
        <v>1.3048223999999464</v>
      </c>
      <c r="R59" s="728">
        <f>('C1-Incomes'!FL62-'C1-Incomes'!FD62)/1000</f>
        <v>0.13933630999998423</v>
      </c>
      <c r="S59" s="728">
        <f>('C1-Incomes'!FF62-'C1-Incomes'!EX62)/1000</f>
        <v>846.59500000000003</v>
      </c>
      <c r="T59" s="729"/>
      <c r="U59" s="728">
        <f t="shared" si="19"/>
        <v>1115.9461397546092</v>
      </c>
      <c r="V59" s="728">
        <f t="shared" si="5"/>
        <v>1145.4878046849446</v>
      </c>
      <c r="W59" s="728">
        <f t="shared" si="6"/>
        <v>843.60546569903022</v>
      </c>
      <c r="X59" s="728">
        <f t="shared" si="7"/>
        <v>356.0632905125899</v>
      </c>
      <c r="Y59" s="729">
        <f t="shared" si="8"/>
        <v>227.20095822575257</v>
      </c>
      <c r="Z59" s="729">
        <f t="shared" si="9"/>
        <v>65.765564535768746</v>
      </c>
      <c r="AA59" s="729">
        <f>MAX(0,I59-R59)</f>
        <v>10.103282610507787</v>
      </c>
      <c r="AB59" s="728">
        <f t="shared" si="11"/>
        <v>2261.4339444395537</v>
      </c>
      <c r="AD59" s="729">
        <f t="shared" si="12"/>
        <v>0.49346837766299284</v>
      </c>
      <c r="AE59" s="729">
        <f t="shared" si="13"/>
        <v>0.50653162233700721</v>
      </c>
      <c r="AF59" s="729">
        <f t="shared" si="14"/>
        <v>0.3730400650318792</v>
      </c>
      <c r="AG59" s="729">
        <f>X59/$AB59</f>
        <v>0.15745022815637991</v>
      </c>
      <c r="AH59" s="729">
        <f t="shared" si="16"/>
        <v>0.10046765185620281</v>
      </c>
      <c r="AI59" s="729">
        <f t="shared" si="17"/>
        <v>2.9081355525539032E-2</v>
      </c>
      <c r="AJ59" s="729">
        <f t="shared" si="18"/>
        <v>4.4676443613795944E-3</v>
      </c>
      <c r="AK59" s="733"/>
    </row>
    <row r="60" spans="1:37" x14ac:dyDescent="0.3">
      <c r="A60" s="726">
        <v>2015</v>
      </c>
      <c r="S60" s="81"/>
      <c r="AD60" s="729">
        <f>AD59</f>
        <v>0.49346837766299284</v>
      </c>
      <c r="AE60" s="729">
        <f t="shared" ref="AE60:AJ60" si="20">AE59</f>
        <v>0.50653162233700721</v>
      </c>
      <c r="AF60" s="729">
        <f t="shared" si="20"/>
        <v>0.3730400650318792</v>
      </c>
      <c r="AG60" s="729">
        <f t="shared" si="20"/>
        <v>0.15745022815637991</v>
      </c>
      <c r="AH60" s="729">
        <f t="shared" si="20"/>
        <v>0.10046765185620281</v>
      </c>
      <c r="AI60" s="729">
        <f t="shared" si="20"/>
        <v>2.9081355525539032E-2</v>
      </c>
      <c r="AJ60" s="729">
        <f t="shared" si="20"/>
        <v>4.4676443613795944E-3</v>
      </c>
    </row>
    <row r="62" spans="1:37" x14ac:dyDescent="0.3">
      <c r="A62" t="s">
        <v>1152</v>
      </c>
    </row>
    <row r="63" spans="1:37" x14ac:dyDescent="0.3">
      <c r="A63" t="s">
        <v>1151</v>
      </c>
      <c r="L63" s="697"/>
      <c r="M63" s="697"/>
      <c r="N63" s="697"/>
      <c r="O63" s="697"/>
      <c r="P63" s="697"/>
      <c r="Q63" s="697"/>
      <c r="R63" s="697"/>
    </row>
    <row r="64" spans="1:37" x14ac:dyDescent="0.3">
      <c r="AD64" s="75"/>
      <c r="AE64" s="81"/>
      <c r="AG64" s="81"/>
    </row>
    <row r="65" spans="1:33" x14ac:dyDescent="0.3">
      <c r="B65" s="34"/>
      <c r="AD65" s="75"/>
      <c r="AE65" s="579"/>
    </row>
    <row r="66" spans="1:33" x14ac:dyDescent="0.3">
      <c r="H66" s="24"/>
    </row>
    <row r="67" spans="1:33" ht="15.6" x14ac:dyDescent="0.3">
      <c r="A67" s="75" t="s">
        <v>1806</v>
      </c>
      <c r="B67" s="1011"/>
      <c r="C67" s="1011"/>
      <c r="D67" s="1011"/>
      <c r="E67" s="1011"/>
      <c r="F67" s="1011"/>
      <c r="G67" s="1011"/>
      <c r="H67" s="466"/>
      <c r="I67" s="1011"/>
      <c r="J67" s="1011"/>
      <c r="AD67" s="75"/>
      <c r="AE67" s="81"/>
      <c r="AF67" s="1011"/>
      <c r="AG67" s="81"/>
    </row>
    <row r="68" spans="1:33" x14ac:dyDescent="0.3">
      <c r="A68" s="11"/>
      <c r="B68" s="11"/>
      <c r="C68" s="11"/>
      <c r="D68" s="11"/>
      <c r="E68" s="11"/>
      <c r="F68" s="11"/>
      <c r="G68" s="11"/>
      <c r="H68" s="11"/>
      <c r="I68" s="11"/>
      <c r="J68" s="11"/>
      <c r="K68" s="12"/>
      <c r="L68" s="12"/>
      <c r="M68" s="12"/>
      <c r="N68" s="12"/>
      <c r="O68" s="12"/>
      <c r="P68" s="12"/>
      <c r="Q68" s="12"/>
      <c r="R68" s="12"/>
      <c r="S68" s="12"/>
      <c r="T68" s="12"/>
      <c r="U68" s="12"/>
      <c r="V68" s="12"/>
      <c r="W68" s="12"/>
      <c r="X68" s="12"/>
      <c r="Y68" s="12"/>
      <c r="Z68" s="12"/>
      <c r="AA68" s="12"/>
      <c r="AB68" s="12"/>
      <c r="AC68" s="12"/>
      <c r="AD68" s="75"/>
      <c r="AE68" s="579"/>
      <c r="AF68" s="1011"/>
      <c r="AG68" s="1011"/>
    </row>
    <row r="69" spans="1:33" ht="15.6" x14ac:dyDescent="0.3">
      <c r="A69" s="721"/>
      <c r="B69" s="721"/>
      <c r="C69" s="1476" t="s">
        <v>1713</v>
      </c>
      <c r="D69" s="1476"/>
      <c r="E69" s="1476"/>
      <c r="F69" s="1476"/>
      <c r="G69" s="1476"/>
      <c r="H69" s="1476"/>
      <c r="I69" s="1476"/>
      <c r="J69" s="1476"/>
      <c r="K69" s="12"/>
      <c r="L69" s="722"/>
      <c r="M69" s="722"/>
      <c r="N69" s="722"/>
      <c r="O69" s="722"/>
      <c r="P69" s="722"/>
      <c r="Q69" s="722"/>
      <c r="R69" s="722"/>
      <c r="S69" s="722"/>
      <c r="T69" s="12"/>
      <c r="U69" s="1110"/>
      <c r="V69" s="1110"/>
      <c r="W69" s="1110"/>
      <c r="X69" s="1110"/>
      <c r="Y69" s="1110"/>
      <c r="Z69" s="1110"/>
      <c r="AA69" s="1110"/>
      <c r="AB69" s="1110"/>
      <c r="AC69" s="12"/>
      <c r="AD69" s="12"/>
      <c r="AE69" s="12"/>
    </row>
    <row r="70" spans="1:33" ht="15.6" x14ac:dyDescent="0.3">
      <c r="A70" s="723"/>
      <c r="B70" s="724"/>
      <c r="C70" s="724" t="s">
        <v>1145</v>
      </c>
      <c r="D70" s="724" t="s">
        <v>1146</v>
      </c>
      <c r="E70" s="724" t="s">
        <v>1147</v>
      </c>
      <c r="F70" s="724" t="s">
        <v>1148</v>
      </c>
      <c r="G70" s="724" t="s">
        <v>1587</v>
      </c>
      <c r="H70" s="724" t="s">
        <v>1149</v>
      </c>
      <c r="I70" s="724" t="s">
        <v>1150</v>
      </c>
      <c r="J70" s="724" t="s">
        <v>246</v>
      </c>
      <c r="K70" s="12"/>
      <c r="L70" s="1106"/>
      <c r="M70" s="732"/>
      <c r="N70" s="732"/>
      <c r="O70" s="732"/>
      <c r="P70" s="732"/>
      <c r="Q70" s="732"/>
      <c r="R70" s="732"/>
      <c r="S70" s="1106"/>
      <c r="T70" s="488"/>
      <c r="U70" s="1106"/>
      <c r="V70" s="732"/>
      <c r="W70" s="732"/>
      <c r="X70" s="732"/>
      <c r="Y70" s="732"/>
      <c r="Z70" s="732"/>
      <c r="AA70" s="732"/>
      <c r="AB70" s="1106"/>
      <c r="AC70" s="12"/>
      <c r="AD70" s="12"/>
      <c r="AE70" s="12"/>
    </row>
    <row r="71" spans="1:33" ht="12.75" customHeight="1" x14ac:dyDescent="0.3">
      <c r="A71" s="726">
        <v>1960</v>
      </c>
      <c r="C71" s="987">
        <f>1-ROUND(D71,3)</f>
        <v>9.4999999999999973E-2</v>
      </c>
      <c r="D71" s="987">
        <v>0.90515669335288806</v>
      </c>
      <c r="E71" s="987">
        <v>0.85260433049019779</v>
      </c>
      <c r="F71" s="987">
        <v>0.61202433433163062</v>
      </c>
      <c r="G71" s="987">
        <v>0.51757340274400976</v>
      </c>
      <c r="H71" s="987">
        <v>0.33445804872885937</v>
      </c>
      <c r="I71" s="987">
        <v>0.15446571234382636</v>
      </c>
      <c r="J71" s="1038">
        <f>C71+D71</f>
        <v>1.000156693352888</v>
      </c>
      <c r="K71" s="12"/>
      <c r="L71" s="1107"/>
      <c r="M71" s="1107"/>
      <c r="N71" s="1107"/>
      <c r="O71" s="1107"/>
      <c r="P71" s="1107"/>
      <c r="Q71" s="1107"/>
      <c r="R71" s="1107"/>
      <c r="S71" s="1108"/>
      <c r="T71" s="12"/>
      <c r="U71" s="330"/>
      <c r="V71" s="1109"/>
      <c r="W71" s="1109"/>
      <c r="X71" s="1109"/>
      <c r="Y71" s="1109"/>
      <c r="Z71" s="1109"/>
      <c r="AA71" s="1109"/>
      <c r="AB71" s="330"/>
      <c r="AC71" s="12"/>
      <c r="AD71" s="12"/>
      <c r="AE71" s="12"/>
    </row>
    <row r="72" spans="1:33" ht="12.75" customHeight="1" x14ac:dyDescent="0.3">
      <c r="A72" s="726">
        <v>1961</v>
      </c>
      <c r="C72" s="987">
        <f t="shared" ref="C72:C125" si="21">1-ROUND(D72,3)</f>
        <v>0.10499999999999998</v>
      </c>
      <c r="D72" s="987">
        <v>0.89529033343773612</v>
      </c>
      <c r="E72" s="987">
        <v>0.83198460822604914</v>
      </c>
      <c r="F72" s="987">
        <v>0.6095321084721167</v>
      </c>
      <c r="G72" s="987">
        <v>0.51850982803091494</v>
      </c>
      <c r="H72" s="987">
        <v>0.33768510466203705</v>
      </c>
      <c r="I72" s="987">
        <v>0.1572240773458464</v>
      </c>
      <c r="J72" s="1038">
        <f t="shared" ref="J72:J125" si="22">C72+D72</f>
        <v>1.0002903334377362</v>
      </c>
      <c r="K72" s="12"/>
      <c r="L72" s="1107"/>
      <c r="M72" s="1107"/>
      <c r="N72" s="1107"/>
      <c r="O72" s="1107"/>
      <c r="P72" s="1107"/>
      <c r="Q72" s="1107"/>
      <c r="R72" s="1107"/>
      <c r="S72" s="1108"/>
      <c r="T72" s="12"/>
      <c r="U72" s="330"/>
      <c r="V72" s="1109"/>
      <c r="W72" s="1109"/>
      <c r="X72" s="1109"/>
      <c r="Y72" s="1109"/>
      <c r="Z72" s="1109"/>
      <c r="AA72" s="1109"/>
      <c r="AB72" s="330"/>
      <c r="AC72" s="12"/>
      <c r="AD72" s="12"/>
      <c r="AE72" s="12"/>
    </row>
    <row r="73" spans="1:33" ht="12.75" customHeight="1" x14ac:dyDescent="0.3">
      <c r="A73" s="726">
        <v>1962</v>
      </c>
      <c r="C73" s="987">
        <f t="shared" si="21"/>
        <v>0.10999999999999999</v>
      </c>
      <c r="D73" s="987">
        <v>0.89044728918144789</v>
      </c>
      <c r="E73" s="987">
        <v>0.82766620264572421</v>
      </c>
      <c r="F73" s="987">
        <v>0.60383981249423924</v>
      </c>
      <c r="G73" s="987">
        <v>0.51198357903536895</v>
      </c>
      <c r="H73" s="987">
        <v>0.33054666280468659</v>
      </c>
      <c r="I73" s="987">
        <v>0.15016670838205323</v>
      </c>
      <c r="J73" s="1038">
        <f t="shared" si="22"/>
        <v>1.000447289181448</v>
      </c>
      <c r="K73" s="12"/>
      <c r="L73" s="1107"/>
      <c r="M73" s="1107"/>
      <c r="N73" s="1107"/>
      <c r="O73" s="1107"/>
      <c r="P73" s="1107"/>
      <c r="Q73" s="1107"/>
      <c r="R73" s="1107"/>
      <c r="S73" s="1108"/>
      <c r="T73" s="12"/>
      <c r="U73" s="330"/>
      <c r="V73" s="1109"/>
      <c r="W73" s="1109"/>
      <c r="X73" s="1109"/>
      <c r="Y73" s="1109"/>
      <c r="Z73" s="1109"/>
      <c r="AA73" s="1109"/>
      <c r="AB73" s="330"/>
      <c r="AC73" s="12"/>
      <c r="AD73" s="12"/>
      <c r="AE73" s="12"/>
    </row>
    <row r="74" spans="1:33" ht="12.75" customHeight="1" x14ac:dyDescent="0.3">
      <c r="A74" s="726">
        <v>1963</v>
      </c>
      <c r="C74" s="987">
        <f t="shared" si="21"/>
        <v>0.10399999999999998</v>
      </c>
      <c r="D74" s="987">
        <v>0.89562097901985038</v>
      </c>
      <c r="E74" s="987">
        <v>0.8304845589256814</v>
      </c>
      <c r="F74" s="987">
        <v>0.60708853372207305</v>
      </c>
      <c r="G74" s="987">
        <v>0.51523269573211128</v>
      </c>
      <c r="H74" s="987">
        <v>0.33321656804900213</v>
      </c>
      <c r="I74" s="987">
        <v>0.15278346417171898</v>
      </c>
      <c r="J74" s="1038">
        <f t="shared" si="22"/>
        <v>0.99962097901985036</v>
      </c>
      <c r="K74" s="12"/>
      <c r="L74" s="1107"/>
      <c r="M74" s="1107"/>
      <c r="N74" s="1107"/>
      <c r="O74" s="1107"/>
      <c r="P74" s="1107"/>
      <c r="Q74" s="1107"/>
      <c r="R74" s="1107"/>
      <c r="S74" s="1108"/>
      <c r="T74" s="12"/>
      <c r="U74" s="330"/>
      <c r="V74" s="1109"/>
      <c r="W74" s="1109"/>
      <c r="X74" s="1109"/>
      <c r="Y74" s="1109"/>
      <c r="Z74" s="1109"/>
      <c r="AA74" s="1109"/>
      <c r="AB74" s="330"/>
      <c r="AC74" s="12"/>
      <c r="AD74" s="12"/>
      <c r="AE74" s="12"/>
    </row>
    <row r="75" spans="1:33" ht="12.75" customHeight="1" x14ac:dyDescent="0.3">
      <c r="A75" s="726">
        <v>1964</v>
      </c>
      <c r="C75" s="987">
        <f t="shared" si="21"/>
        <v>8.7999999999999967E-2</v>
      </c>
      <c r="D75" s="987">
        <v>0.9122665888971232</v>
      </c>
      <c r="E75" s="987">
        <v>0.844079369406038</v>
      </c>
      <c r="F75" s="987">
        <v>0.61815286176210116</v>
      </c>
      <c r="G75" s="987">
        <v>0.52508164080219044</v>
      </c>
      <c r="H75" s="987">
        <v>0.3401413266328116</v>
      </c>
      <c r="I75" s="987">
        <v>0.15726202329199157</v>
      </c>
      <c r="J75" s="1038">
        <f t="shared" si="22"/>
        <v>1.0002665888971232</v>
      </c>
      <c r="K75" s="12"/>
      <c r="L75" s="1107"/>
      <c r="M75" s="1107"/>
      <c r="N75" s="1107"/>
      <c r="O75" s="1107"/>
      <c r="P75" s="1107"/>
      <c r="Q75" s="1107"/>
      <c r="R75" s="1107"/>
      <c r="S75" s="1108"/>
      <c r="T75" s="12"/>
      <c r="U75" s="330"/>
      <c r="V75" s="1109"/>
      <c r="W75" s="1109"/>
      <c r="X75" s="1109"/>
      <c r="Y75" s="1109"/>
      <c r="Z75" s="1109"/>
      <c r="AA75" s="1109"/>
      <c r="AB75" s="330"/>
      <c r="AC75" s="12"/>
      <c r="AD75" s="12"/>
      <c r="AE75" s="12"/>
    </row>
    <row r="76" spans="1:33" ht="12.75" customHeight="1" x14ac:dyDescent="0.3">
      <c r="A76" s="726">
        <v>1965</v>
      </c>
      <c r="C76" s="987">
        <f t="shared" si="21"/>
        <v>0.15000000000000002</v>
      </c>
      <c r="D76" s="987">
        <v>0.84967201862273678</v>
      </c>
      <c r="E76" s="987">
        <v>0.78361696847588547</v>
      </c>
      <c r="F76" s="987">
        <v>0.56667606882948263</v>
      </c>
      <c r="G76" s="987">
        <v>0.47963355199679164</v>
      </c>
      <c r="H76" s="987">
        <v>0.31213351057744104</v>
      </c>
      <c r="I76" s="987">
        <v>0.14317584427476174</v>
      </c>
      <c r="J76" s="1038">
        <f t="shared" si="22"/>
        <v>0.9996720186227368</v>
      </c>
      <c r="K76" s="12"/>
      <c r="L76" s="1107"/>
      <c r="M76" s="1107"/>
      <c r="N76" s="1107"/>
      <c r="O76" s="1107"/>
      <c r="P76" s="1107"/>
      <c r="Q76" s="1107"/>
      <c r="R76" s="1107"/>
      <c r="S76" s="1108"/>
      <c r="T76" s="12"/>
      <c r="U76" s="330"/>
      <c r="V76" s="1109"/>
      <c r="W76" s="1109"/>
      <c r="X76" s="1109"/>
      <c r="Y76" s="1109"/>
      <c r="Z76" s="1109"/>
      <c r="AA76" s="1109"/>
      <c r="AB76" s="330"/>
      <c r="AC76" s="12"/>
      <c r="AD76" s="12"/>
      <c r="AE76" s="12"/>
    </row>
    <row r="77" spans="1:33" ht="12.75" customHeight="1" x14ac:dyDescent="0.3">
      <c r="A77" s="726">
        <v>1966</v>
      </c>
      <c r="C77" s="987">
        <f t="shared" si="21"/>
        <v>0.10699999999999998</v>
      </c>
      <c r="D77" s="987">
        <v>0.8932795928300209</v>
      </c>
      <c r="E77" s="987">
        <v>0.82116056825335415</v>
      </c>
      <c r="F77" s="987">
        <v>0.58624718483413407</v>
      </c>
      <c r="G77" s="987">
        <v>0.49436704770640055</v>
      </c>
      <c r="H77" s="987">
        <v>0.32325707199578596</v>
      </c>
      <c r="I77" s="987">
        <v>0.14705849151528591</v>
      </c>
      <c r="J77" s="1038">
        <f t="shared" si="22"/>
        <v>1.000279592830021</v>
      </c>
      <c r="K77" s="12"/>
      <c r="L77" s="1107"/>
      <c r="M77" s="1107"/>
      <c r="N77" s="1107"/>
      <c r="O77" s="1107"/>
      <c r="P77" s="1107"/>
      <c r="Q77" s="1107"/>
      <c r="R77" s="1107"/>
      <c r="S77" s="1108"/>
      <c r="T77" s="12"/>
      <c r="U77" s="330"/>
      <c r="V77" s="1109"/>
      <c r="W77" s="1109"/>
      <c r="X77" s="1109"/>
      <c r="Y77" s="1109"/>
      <c r="Z77" s="1109"/>
      <c r="AA77" s="1109"/>
      <c r="AB77" s="330"/>
      <c r="AC77" s="12"/>
      <c r="AD77" s="12"/>
      <c r="AE77" s="12"/>
    </row>
    <row r="78" spans="1:33" ht="12.75" customHeight="1" x14ac:dyDescent="0.3">
      <c r="A78" s="726">
        <v>1967</v>
      </c>
      <c r="C78" s="987">
        <f t="shared" si="21"/>
        <v>0.11399999999999999</v>
      </c>
      <c r="D78" s="987">
        <v>0.88629567831576761</v>
      </c>
      <c r="E78" s="987">
        <v>0.81308507196752811</v>
      </c>
      <c r="F78" s="987">
        <v>0.57867528269911483</v>
      </c>
      <c r="G78" s="987">
        <v>0.48810579352387917</v>
      </c>
      <c r="H78" s="987">
        <v>0.31052757488394239</v>
      </c>
      <c r="I78" s="987">
        <v>0.14053608491661365</v>
      </c>
      <c r="J78" s="1038">
        <f t="shared" si="22"/>
        <v>1.0002956783157675</v>
      </c>
      <c r="K78" s="12"/>
      <c r="L78" s="1107"/>
      <c r="M78" s="1107"/>
      <c r="N78" s="1107"/>
      <c r="O78" s="1107"/>
      <c r="P78" s="1107"/>
      <c r="Q78" s="1107"/>
      <c r="R78" s="1107"/>
      <c r="S78" s="1108"/>
      <c r="T78" s="12"/>
      <c r="U78" s="330"/>
      <c r="V78" s="1109"/>
      <c r="W78" s="1109"/>
      <c r="X78" s="1109"/>
      <c r="Y78" s="1109"/>
      <c r="Z78" s="1109"/>
      <c r="AA78" s="1109"/>
      <c r="AB78" s="330"/>
      <c r="AC78" s="12"/>
      <c r="AD78" s="12"/>
      <c r="AE78" s="12"/>
    </row>
    <row r="79" spans="1:33" ht="12.75" customHeight="1" x14ac:dyDescent="0.3">
      <c r="A79" s="726">
        <v>1968</v>
      </c>
      <c r="C79" s="987">
        <f t="shared" si="21"/>
        <v>0.12</v>
      </c>
      <c r="D79" s="987">
        <v>0.88033468761109412</v>
      </c>
      <c r="E79" s="987">
        <v>0.80686541967718373</v>
      </c>
      <c r="F79" s="987">
        <v>0.57921538191077016</v>
      </c>
      <c r="G79" s="987">
        <v>0.49094258800854018</v>
      </c>
      <c r="H79" s="987">
        <v>0.31824531124241784</v>
      </c>
      <c r="I79" s="987">
        <v>0.14687472471344426</v>
      </c>
      <c r="J79" s="1038">
        <f t="shared" si="22"/>
        <v>1.0003346876110941</v>
      </c>
      <c r="K79" s="12"/>
      <c r="L79" s="1107"/>
      <c r="M79" s="1107"/>
      <c r="N79" s="1107"/>
      <c r="O79" s="1107"/>
      <c r="P79" s="1107"/>
      <c r="Q79" s="1107"/>
      <c r="R79" s="1107"/>
      <c r="S79" s="1108"/>
      <c r="T79" s="12"/>
      <c r="U79" s="330"/>
      <c r="V79" s="1109"/>
      <c r="W79" s="1109"/>
      <c r="X79" s="1109"/>
      <c r="Y79" s="1109"/>
      <c r="Z79" s="1109"/>
      <c r="AA79" s="1109"/>
      <c r="AB79" s="330"/>
      <c r="AC79" s="12"/>
      <c r="AD79" s="12"/>
      <c r="AE79" s="12"/>
    </row>
    <row r="80" spans="1:33" ht="12.75" customHeight="1" x14ac:dyDescent="0.3">
      <c r="A80" s="726">
        <v>1969</v>
      </c>
      <c r="C80" s="987">
        <f t="shared" si="21"/>
        <v>0.13300000000000001</v>
      </c>
      <c r="D80" s="987">
        <v>0.86728830814691449</v>
      </c>
      <c r="E80" s="987">
        <v>0.79412548609849454</v>
      </c>
      <c r="F80" s="987">
        <v>0.57323120900732327</v>
      </c>
      <c r="G80" s="987">
        <v>0.48699287719645623</v>
      </c>
      <c r="H80" s="987">
        <v>0.32173332788516967</v>
      </c>
      <c r="I80" s="987">
        <v>0.15367311305727832</v>
      </c>
      <c r="J80" s="1038">
        <f t="shared" si="22"/>
        <v>1.0002883081469145</v>
      </c>
      <c r="K80" s="12"/>
      <c r="L80" s="1107"/>
      <c r="M80" s="1107"/>
      <c r="N80" s="1107"/>
      <c r="O80" s="1107"/>
      <c r="P80" s="1107"/>
      <c r="Q80" s="1107"/>
      <c r="R80" s="1107"/>
      <c r="S80" s="1108"/>
      <c r="T80" s="12"/>
      <c r="U80" s="330"/>
      <c r="V80" s="1109"/>
      <c r="W80" s="1109"/>
      <c r="X80" s="1109"/>
      <c r="Y80" s="1109"/>
      <c r="Z80" s="1109"/>
      <c r="AA80" s="1109"/>
      <c r="AB80" s="330"/>
      <c r="AC80" s="12"/>
      <c r="AD80" s="12"/>
      <c r="AE80" s="12"/>
    </row>
    <row r="81" spans="1:31" ht="12.75" customHeight="1" x14ac:dyDescent="0.3">
      <c r="A81" s="726">
        <v>1970</v>
      </c>
      <c r="C81" s="987">
        <f t="shared" si="21"/>
        <v>0.13300000000000001</v>
      </c>
      <c r="D81" s="987">
        <v>0.8669199037258688</v>
      </c>
      <c r="E81" s="987">
        <v>0.79290775896669008</v>
      </c>
      <c r="F81" s="987">
        <v>0.55984314685722392</v>
      </c>
      <c r="G81" s="987">
        <v>0.47172222229281247</v>
      </c>
      <c r="H81" s="987">
        <v>0.30606996518926749</v>
      </c>
      <c r="I81" s="987">
        <v>0.14290523333747157</v>
      </c>
      <c r="J81" s="1038">
        <f t="shared" si="22"/>
        <v>0.99991990372586881</v>
      </c>
      <c r="K81" s="12"/>
      <c r="L81" s="1107"/>
      <c r="M81" s="1107"/>
      <c r="N81" s="1107"/>
      <c r="O81" s="1107"/>
      <c r="P81" s="1107"/>
      <c r="Q81" s="1107"/>
      <c r="R81" s="1107"/>
      <c r="S81" s="1108"/>
      <c r="T81" s="12"/>
      <c r="U81" s="330"/>
      <c r="V81" s="1109"/>
      <c r="W81" s="1109"/>
      <c r="X81" s="1109"/>
      <c r="Y81" s="1109"/>
      <c r="Z81" s="1109"/>
      <c r="AA81" s="1109"/>
      <c r="AB81" s="330"/>
      <c r="AC81" s="12"/>
      <c r="AD81" s="12"/>
      <c r="AE81" s="12"/>
    </row>
    <row r="82" spans="1:31" ht="12.75" customHeight="1" x14ac:dyDescent="0.3">
      <c r="A82" s="726">
        <v>1971</v>
      </c>
      <c r="C82" s="987">
        <f t="shared" si="21"/>
        <v>0.13700000000000001</v>
      </c>
      <c r="D82" s="987">
        <v>0.86270270974864882</v>
      </c>
      <c r="E82" s="987">
        <v>0.79174487940522198</v>
      </c>
      <c r="F82" s="987">
        <v>0.55283667805582604</v>
      </c>
      <c r="G82" s="987">
        <v>0.46179307468966307</v>
      </c>
      <c r="H82" s="987">
        <v>0.29692958559236632</v>
      </c>
      <c r="I82" s="987">
        <v>0.13807155481988592</v>
      </c>
      <c r="J82" s="1038">
        <f t="shared" si="22"/>
        <v>0.99970270974864883</v>
      </c>
      <c r="K82" s="12"/>
      <c r="L82" s="1107"/>
      <c r="M82" s="1107"/>
      <c r="N82" s="1107"/>
      <c r="O82" s="1107"/>
      <c r="P82" s="1107"/>
      <c r="Q82" s="1107"/>
      <c r="R82" s="1107"/>
      <c r="S82" s="1108"/>
      <c r="T82" s="12"/>
      <c r="U82" s="330"/>
      <c r="V82" s="1109"/>
      <c r="W82" s="1109"/>
      <c r="X82" s="1109"/>
      <c r="Y82" s="1109"/>
      <c r="Z82" s="1109"/>
      <c r="AA82" s="1109"/>
      <c r="AB82" s="330"/>
      <c r="AC82" s="12"/>
      <c r="AD82" s="12"/>
      <c r="AE82" s="12"/>
    </row>
    <row r="83" spans="1:31" ht="12.75" customHeight="1" x14ac:dyDescent="0.3">
      <c r="A83" s="726">
        <v>1972</v>
      </c>
      <c r="C83" s="987">
        <f t="shared" si="21"/>
        <v>0.14000000000000001</v>
      </c>
      <c r="D83" s="987">
        <v>0.86047473839817878</v>
      </c>
      <c r="E83" s="987">
        <v>0.78174221666645727</v>
      </c>
      <c r="F83" s="987">
        <v>0.53760232627055182</v>
      </c>
      <c r="G83" s="987">
        <v>0.44690875229330518</v>
      </c>
      <c r="H83" s="987">
        <v>0.28360526814560677</v>
      </c>
      <c r="I83" s="987">
        <v>0.13020346894710694</v>
      </c>
      <c r="J83" s="1038">
        <f t="shared" si="22"/>
        <v>1.0004747383981787</v>
      </c>
      <c r="K83" s="12"/>
      <c r="L83" s="1107"/>
      <c r="M83" s="1107"/>
      <c r="N83" s="1107"/>
      <c r="O83" s="1107"/>
      <c r="P83" s="1107"/>
      <c r="Q83" s="1107"/>
      <c r="R83" s="1107"/>
      <c r="S83" s="1108"/>
      <c r="T83" s="12"/>
      <c r="U83" s="330"/>
      <c r="V83" s="1109"/>
      <c r="W83" s="1109"/>
      <c r="X83" s="1109"/>
      <c r="Y83" s="1109"/>
      <c r="Z83" s="1109"/>
      <c r="AA83" s="1109"/>
      <c r="AB83" s="330"/>
      <c r="AC83" s="12"/>
      <c r="AD83" s="12"/>
      <c r="AE83" s="12"/>
    </row>
    <row r="84" spans="1:31" ht="12.75" customHeight="1" x14ac:dyDescent="0.3">
      <c r="A84" s="726">
        <v>1973</v>
      </c>
      <c r="C84" s="987">
        <f t="shared" si="21"/>
        <v>0.15000000000000002</v>
      </c>
      <c r="D84" s="987">
        <v>0.85009509082080781</v>
      </c>
      <c r="E84" s="987">
        <v>0.76272765893990924</v>
      </c>
      <c r="F84" s="987">
        <v>0.51661850638583684</v>
      </c>
      <c r="G84" s="987">
        <v>0.42756825202264076</v>
      </c>
      <c r="H84" s="987">
        <v>0.26646173636384179</v>
      </c>
      <c r="I84" s="987">
        <v>0.11825535021563398</v>
      </c>
      <c r="J84" s="1038">
        <f t="shared" si="22"/>
        <v>1.0000950908208077</v>
      </c>
      <c r="K84" s="12"/>
      <c r="L84" s="1107"/>
      <c r="M84" s="1107"/>
      <c r="N84" s="1107"/>
      <c r="O84" s="1107"/>
      <c r="P84" s="1107"/>
      <c r="Q84" s="1107"/>
      <c r="R84" s="1107"/>
      <c r="S84" s="1108"/>
      <c r="T84" s="12"/>
      <c r="U84" s="330"/>
      <c r="V84" s="1109"/>
      <c r="W84" s="1109"/>
      <c r="X84" s="1109"/>
      <c r="Y84" s="1109"/>
      <c r="Z84" s="1109"/>
      <c r="AA84" s="1109"/>
      <c r="AB84" s="330"/>
      <c r="AC84" s="12"/>
      <c r="AD84" s="12"/>
      <c r="AE84" s="12"/>
    </row>
    <row r="85" spans="1:31" ht="12.75" customHeight="1" x14ac:dyDescent="0.3">
      <c r="A85" s="726">
        <v>1974</v>
      </c>
      <c r="C85" s="987">
        <f t="shared" si="21"/>
        <v>0.16300000000000003</v>
      </c>
      <c r="D85" s="987">
        <v>0.8370678722329763</v>
      </c>
      <c r="E85" s="987">
        <v>0.74862350930628441</v>
      </c>
      <c r="F85" s="987">
        <v>0.49897566802334331</v>
      </c>
      <c r="G85" s="987">
        <v>0.41273477739059317</v>
      </c>
      <c r="H85" s="987">
        <v>0.25738230447703137</v>
      </c>
      <c r="I85" s="987">
        <v>0.11372513875763625</v>
      </c>
      <c r="J85" s="1038">
        <f t="shared" si="22"/>
        <v>1.0000678722329763</v>
      </c>
      <c r="K85" s="12"/>
      <c r="L85" s="1107"/>
      <c r="M85" s="1107"/>
      <c r="N85" s="1107"/>
      <c r="O85" s="1107"/>
      <c r="P85" s="1107"/>
      <c r="Q85" s="1107"/>
      <c r="R85" s="1107"/>
      <c r="S85" s="1108"/>
      <c r="T85" s="12"/>
      <c r="U85" s="330"/>
      <c r="V85" s="1109"/>
      <c r="W85" s="1109"/>
      <c r="X85" s="1109"/>
      <c r="Y85" s="1109"/>
      <c r="Z85" s="1109"/>
      <c r="AA85" s="1109"/>
      <c r="AB85" s="330"/>
      <c r="AC85" s="12"/>
      <c r="AD85" s="12"/>
      <c r="AE85" s="12"/>
    </row>
    <row r="86" spans="1:31" ht="12.75" customHeight="1" x14ac:dyDescent="0.3">
      <c r="A86" s="726">
        <v>1975</v>
      </c>
      <c r="C86" s="987">
        <f t="shared" si="21"/>
        <v>0.16200000000000003</v>
      </c>
      <c r="D86" s="987">
        <v>0.83759596150254145</v>
      </c>
      <c r="E86" s="987">
        <v>0.74464845831096416</v>
      </c>
      <c r="F86" s="987">
        <v>0.48803311701089408</v>
      </c>
      <c r="G86" s="987">
        <v>0.39696382859067908</v>
      </c>
      <c r="H86" s="987">
        <v>0.24482830978996031</v>
      </c>
      <c r="I86" s="987">
        <v>0.11030912019574084</v>
      </c>
      <c r="J86" s="1038">
        <f t="shared" si="22"/>
        <v>0.99959596150254149</v>
      </c>
      <c r="K86" s="12"/>
      <c r="L86" s="1107"/>
      <c r="M86" s="1107"/>
      <c r="N86" s="1107"/>
      <c r="O86" s="1107"/>
      <c r="P86" s="1107"/>
      <c r="Q86" s="1107"/>
      <c r="R86" s="1107"/>
      <c r="S86" s="1108"/>
      <c r="T86" s="12"/>
      <c r="U86" s="330"/>
      <c r="V86" s="1109"/>
      <c r="W86" s="1109"/>
      <c r="X86" s="1109"/>
      <c r="Y86" s="1109"/>
      <c r="Z86" s="1109"/>
      <c r="AA86" s="1109"/>
      <c r="AB86" s="330"/>
      <c r="AC86" s="12"/>
      <c r="AD86" s="12"/>
      <c r="AE86" s="12"/>
    </row>
    <row r="87" spans="1:31" ht="12.75" customHeight="1" x14ac:dyDescent="0.3">
      <c r="A87" s="726">
        <v>1976</v>
      </c>
      <c r="C87" s="987">
        <f t="shared" si="21"/>
        <v>0.16000000000000003</v>
      </c>
      <c r="D87" s="987">
        <v>0.84021402537761947</v>
      </c>
      <c r="E87" s="987">
        <v>0.7415944786368579</v>
      </c>
      <c r="F87" s="987">
        <v>0.48313168273706708</v>
      </c>
      <c r="G87" s="987">
        <v>0.39137178774339543</v>
      </c>
      <c r="H87" s="987">
        <v>0.23987645057932747</v>
      </c>
      <c r="I87" s="987">
        <v>0.10835304355064605</v>
      </c>
      <c r="J87" s="1038">
        <f t="shared" si="22"/>
        <v>1.0002140253776195</v>
      </c>
      <c r="K87" s="12"/>
      <c r="L87" s="1107"/>
      <c r="M87" s="1107"/>
      <c r="N87" s="1107"/>
      <c r="O87" s="1107"/>
      <c r="P87" s="1107"/>
      <c r="Q87" s="1107"/>
      <c r="R87" s="1107"/>
      <c r="S87" s="1108"/>
      <c r="T87" s="12"/>
      <c r="U87" s="330"/>
      <c r="V87" s="1109"/>
      <c r="W87" s="1109"/>
      <c r="X87" s="1109"/>
      <c r="Y87" s="1109"/>
      <c r="Z87" s="1109"/>
      <c r="AA87" s="1109"/>
      <c r="AB87" s="330"/>
      <c r="AC87" s="12"/>
      <c r="AD87" s="12"/>
      <c r="AE87" s="12"/>
    </row>
    <row r="88" spans="1:31" ht="12.75" customHeight="1" x14ac:dyDescent="0.3">
      <c r="A88" s="726">
        <v>1977</v>
      </c>
      <c r="C88" s="987">
        <f t="shared" si="21"/>
        <v>0.15100000000000002</v>
      </c>
      <c r="D88" s="987">
        <v>0.84880229225349424</v>
      </c>
      <c r="E88" s="987">
        <v>0.75050113031483723</v>
      </c>
      <c r="F88" s="987">
        <v>0.48664319720631771</v>
      </c>
      <c r="G88" s="987">
        <v>0.39566485738415508</v>
      </c>
      <c r="H88" s="987">
        <v>0.24209037363614769</v>
      </c>
      <c r="I88" s="987">
        <v>0.10944773073220022</v>
      </c>
      <c r="J88" s="1038">
        <f t="shared" si="22"/>
        <v>0.99980229225349426</v>
      </c>
      <c r="K88" s="12"/>
      <c r="L88" s="1107"/>
      <c r="M88" s="1107"/>
      <c r="N88" s="1107"/>
      <c r="O88" s="1107"/>
      <c r="P88" s="1107"/>
      <c r="Q88" s="1107"/>
      <c r="R88" s="1107"/>
      <c r="S88" s="1108"/>
      <c r="T88" s="12"/>
      <c r="U88" s="330"/>
      <c r="V88" s="1109"/>
      <c r="W88" s="1109"/>
      <c r="X88" s="1109"/>
      <c r="Y88" s="1109"/>
      <c r="Z88" s="1109"/>
      <c r="AA88" s="1109"/>
      <c r="AB88" s="330"/>
      <c r="AC88" s="12"/>
      <c r="AD88" s="12"/>
      <c r="AE88" s="12"/>
    </row>
    <row r="89" spans="1:31" ht="12.75" customHeight="1" x14ac:dyDescent="0.3">
      <c r="A89" s="726">
        <v>1978</v>
      </c>
      <c r="C89" s="987">
        <f t="shared" si="21"/>
        <v>0.15100000000000002</v>
      </c>
      <c r="D89" s="987">
        <v>0.84913342979659123</v>
      </c>
      <c r="E89" s="987">
        <v>0.750513312515108</v>
      </c>
      <c r="F89" s="987">
        <v>0.48787945530196808</v>
      </c>
      <c r="G89" s="987">
        <v>0.40163124910071923</v>
      </c>
      <c r="H89" s="987">
        <v>0.24894828551011464</v>
      </c>
      <c r="I89" s="987">
        <v>0.11377735023934811</v>
      </c>
      <c r="J89" s="1038">
        <f t="shared" si="22"/>
        <v>1.0001334297965911</v>
      </c>
      <c r="K89" s="12"/>
      <c r="L89" s="1107"/>
      <c r="M89" s="1107"/>
      <c r="N89" s="1107"/>
      <c r="O89" s="1107"/>
      <c r="P89" s="1107"/>
      <c r="Q89" s="1107"/>
      <c r="R89" s="1107"/>
      <c r="S89" s="1108"/>
      <c r="T89" s="12"/>
      <c r="U89" s="330"/>
      <c r="V89" s="1109"/>
      <c r="W89" s="1109"/>
      <c r="X89" s="1109"/>
      <c r="Y89" s="1109"/>
      <c r="Z89" s="1109"/>
      <c r="AA89" s="1109"/>
      <c r="AB89" s="330"/>
      <c r="AC89" s="12"/>
      <c r="AD89" s="12"/>
      <c r="AE89" s="12"/>
    </row>
    <row r="90" spans="1:31" ht="12.75" customHeight="1" x14ac:dyDescent="0.3">
      <c r="A90" s="726">
        <v>1979</v>
      </c>
      <c r="C90" s="987">
        <f t="shared" si="21"/>
        <v>0.14600000000000002</v>
      </c>
      <c r="D90" s="987">
        <v>0.85372624819139742</v>
      </c>
      <c r="E90" s="987">
        <v>0.76237347581165937</v>
      </c>
      <c r="F90" s="987">
        <v>0.52002072841446001</v>
      </c>
      <c r="G90" s="987">
        <v>0.44113678187163929</v>
      </c>
      <c r="H90" s="987">
        <v>0.2865879137478537</v>
      </c>
      <c r="I90" s="987">
        <v>0.14260559251744179</v>
      </c>
      <c r="J90" s="1038">
        <f t="shared" si="22"/>
        <v>0.99972624819139744</v>
      </c>
      <c r="K90" s="12"/>
      <c r="L90" s="1107"/>
      <c r="M90" s="1107"/>
      <c r="N90" s="1107"/>
      <c r="O90" s="1107"/>
      <c r="P90" s="1107"/>
      <c r="Q90" s="1107"/>
      <c r="R90" s="1107"/>
      <c r="S90" s="1108"/>
      <c r="T90" s="12"/>
      <c r="U90" s="330"/>
      <c r="V90" s="1109"/>
      <c r="W90" s="1109"/>
      <c r="X90" s="1109"/>
      <c r="Y90" s="1109"/>
      <c r="Z90" s="1109"/>
      <c r="AA90" s="1109"/>
      <c r="AB90" s="330"/>
      <c r="AC90" s="12"/>
      <c r="AD90" s="12"/>
      <c r="AE90" s="12"/>
    </row>
    <row r="91" spans="1:31" ht="12.75" customHeight="1" x14ac:dyDescent="0.3">
      <c r="A91" s="726">
        <v>1980</v>
      </c>
      <c r="C91" s="987">
        <f t="shared" si="21"/>
        <v>0.16200000000000003</v>
      </c>
      <c r="D91" s="987">
        <v>0.83786422461582599</v>
      </c>
      <c r="E91" s="987">
        <v>0.74890817177822333</v>
      </c>
      <c r="F91" s="987">
        <v>0.51207135103725043</v>
      </c>
      <c r="G91" s="987">
        <v>0.42875012941947954</v>
      </c>
      <c r="H91" s="987">
        <v>0.27435848401481272</v>
      </c>
      <c r="I91" s="987">
        <v>0.12703637494895686</v>
      </c>
      <c r="J91" s="1038">
        <f t="shared" si="22"/>
        <v>0.99986422461582602</v>
      </c>
      <c r="K91" s="12"/>
      <c r="L91" s="1107"/>
      <c r="M91" s="1107"/>
      <c r="N91" s="1107"/>
      <c r="O91" s="1107"/>
      <c r="P91" s="1107"/>
      <c r="Q91" s="1107"/>
      <c r="R91" s="1107"/>
      <c r="S91" s="1108"/>
      <c r="T91" s="12"/>
      <c r="U91" s="330"/>
      <c r="V91" s="1109"/>
      <c r="W91" s="1109"/>
      <c r="X91" s="1109"/>
      <c r="Y91" s="1109"/>
      <c r="Z91" s="1109"/>
      <c r="AA91" s="1109"/>
      <c r="AB91" s="330"/>
      <c r="AC91" s="12"/>
      <c r="AD91" s="12"/>
      <c r="AE91" s="12"/>
    </row>
    <row r="92" spans="1:31" ht="12.75" customHeight="1" x14ac:dyDescent="0.3">
      <c r="A92" s="726">
        <v>1981</v>
      </c>
      <c r="C92" s="987">
        <f t="shared" si="21"/>
        <v>0.16300000000000003</v>
      </c>
      <c r="D92" s="987">
        <v>0.83651218367245739</v>
      </c>
      <c r="E92" s="987">
        <v>0.75455876028484981</v>
      </c>
      <c r="F92" s="987">
        <v>0.53058431855671817</v>
      </c>
      <c r="G92" s="987">
        <v>0.45329146772087242</v>
      </c>
      <c r="H92" s="987">
        <v>0.2954443949126912</v>
      </c>
      <c r="I92" s="987">
        <v>0.13740163086722634</v>
      </c>
      <c r="J92" s="1038">
        <f t="shared" si="22"/>
        <v>0.99951218367245742</v>
      </c>
      <c r="K92" s="12"/>
      <c r="L92" s="1107"/>
      <c r="M92" s="1107"/>
      <c r="N92" s="1107"/>
      <c r="O92" s="1107"/>
      <c r="P92" s="1107"/>
      <c r="Q92" s="1107"/>
      <c r="R92" s="1107"/>
      <c r="S92" s="1108"/>
      <c r="T92" s="12"/>
      <c r="U92" s="330"/>
      <c r="V92" s="1109"/>
      <c r="W92" s="1109"/>
      <c r="X92" s="1109"/>
      <c r="Y92" s="1109"/>
      <c r="Z92" s="1109"/>
      <c r="AA92" s="1109"/>
      <c r="AB92" s="330"/>
      <c r="AC92" s="12"/>
      <c r="AD92" s="12"/>
      <c r="AE92" s="12"/>
    </row>
    <row r="93" spans="1:31" ht="12.75" customHeight="1" x14ac:dyDescent="0.3">
      <c r="A93" s="726">
        <v>1982</v>
      </c>
      <c r="C93" s="987">
        <f t="shared" si="21"/>
        <v>0.16700000000000004</v>
      </c>
      <c r="D93" s="987">
        <v>0.83287494995055489</v>
      </c>
      <c r="E93" s="987">
        <v>0.76121618860280882</v>
      </c>
      <c r="F93" s="987">
        <v>0.56083226238728345</v>
      </c>
      <c r="G93" s="987">
        <v>0.48223801663081034</v>
      </c>
      <c r="H93" s="987">
        <v>0.32974861559397212</v>
      </c>
      <c r="I93" s="987">
        <v>0.16225966489074581</v>
      </c>
      <c r="J93" s="1038">
        <f t="shared" si="22"/>
        <v>0.99987494995055493</v>
      </c>
      <c r="K93" s="12"/>
      <c r="L93" s="1107"/>
      <c r="M93" s="1107"/>
      <c r="N93" s="1107"/>
      <c r="O93" s="1107"/>
      <c r="P93" s="1107"/>
      <c r="Q93" s="1107"/>
      <c r="R93" s="1107"/>
      <c r="S93" s="1108"/>
      <c r="T93" s="12"/>
      <c r="U93" s="330"/>
      <c r="V93" s="1109"/>
      <c r="W93" s="1109"/>
      <c r="X93" s="1109"/>
      <c r="Y93" s="1109"/>
      <c r="Z93" s="1109"/>
      <c r="AA93" s="1109"/>
      <c r="AB93" s="330"/>
      <c r="AC93" s="12"/>
      <c r="AD93" s="12"/>
      <c r="AE93" s="12"/>
    </row>
    <row r="94" spans="1:31" ht="12.75" customHeight="1" x14ac:dyDescent="0.3">
      <c r="A94" s="726">
        <v>1983</v>
      </c>
      <c r="C94" s="987">
        <f t="shared" si="21"/>
        <v>0.16400000000000003</v>
      </c>
      <c r="D94" s="987">
        <v>0.83613953573843602</v>
      </c>
      <c r="E94" s="987">
        <v>0.75859977440171611</v>
      </c>
      <c r="F94" s="987">
        <v>0.55421481910841575</v>
      </c>
      <c r="G94" s="987">
        <v>0.47052577591806205</v>
      </c>
      <c r="H94" s="987">
        <v>0.31677365710861188</v>
      </c>
      <c r="I94" s="987">
        <v>0.14623058204224651</v>
      </c>
      <c r="J94" s="1038">
        <f t="shared" si="22"/>
        <v>1.0001395357384362</v>
      </c>
      <c r="K94" s="12"/>
      <c r="L94" s="1107"/>
      <c r="M94" s="1107"/>
      <c r="N94" s="1107"/>
      <c r="O94" s="1107"/>
      <c r="P94" s="1107"/>
      <c r="Q94" s="1107"/>
      <c r="R94" s="1107"/>
      <c r="S94" s="1108"/>
      <c r="T94" s="12"/>
      <c r="U94" s="330"/>
      <c r="V94" s="1109"/>
      <c r="W94" s="1109"/>
      <c r="X94" s="1109"/>
      <c r="Y94" s="1109"/>
      <c r="Z94" s="1109"/>
      <c r="AA94" s="1109"/>
      <c r="AB94" s="330"/>
      <c r="AC94" s="12"/>
      <c r="AD94" s="12"/>
      <c r="AE94" s="12"/>
    </row>
    <row r="95" spans="1:31" ht="12.75" customHeight="1" x14ac:dyDescent="0.3">
      <c r="A95" s="726">
        <v>1984</v>
      </c>
      <c r="C95" s="987">
        <f t="shared" si="21"/>
        <v>0.15800000000000003</v>
      </c>
      <c r="D95" s="987">
        <v>0.84193378579834732</v>
      </c>
      <c r="E95" s="987">
        <v>0.77097932308743555</v>
      </c>
      <c r="F95" s="987">
        <v>0.5697324410497786</v>
      </c>
      <c r="G95" s="987">
        <v>0.48632833051055024</v>
      </c>
      <c r="H95" s="987">
        <v>0.34414540020068568</v>
      </c>
      <c r="I95" s="987">
        <v>0.17195656097710985</v>
      </c>
      <c r="J95" s="1038">
        <f t="shared" si="22"/>
        <v>0.99993378579834735</v>
      </c>
      <c r="K95" s="12"/>
      <c r="L95" s="1107"/>
      <c r="M95" s="1107"/>
      <c r="N95" s="1107"/>
      <c r="O95" s="1107"/>
      <c r="P95" s="1107"/>
      <c r="Q95" s="1107"/>
      <c r="R95" s="1107"/>
      <c r="S95" s="1108"/>
      <c r="T95" s="12"/>
      <c r="U95" s="330"/>
      <c r="V95" s="1109"/>
      <c r="W95" s="1109"/>
      <c r="X95" s="1109"/>
      <c r="Y95" s="1109"/>
      <c r="Z95" s="1109"/>
      <c r="AA95" s="1109"/>
      <c r="AB95" s="330"/>
      <c r="AC95" s="12"/>
      <c r="AD95" s="12"/>
      <c r="AE95" s="12"/>
    </row>
    <row r="96" spans="1:31" ht="12.75" customHeight="1" x14ac:dyDescent="0.3">
      <c r="A96" s="726">
        <v>1985</v>
      </c>
      <c r="C96" s="987">
        <f t="shared" si="21"/>
        <v>0.16200000000000003</v>
      </c>
      <c r="D96" s="987">
        <v>0.83791222918405905</v>
      </c>
      <c r="E96" s="987">
        <v>0.76249867029311835</v>
      </c>
      <c r="F96" s="987">
        <v>0.57000725837299304</v>
      </c>
      <c r="G96" s="987">
        <v>0.49335895801504714</v>
      </c>
      <c r="H96" s="987">
        <v>0.33651471093481583</v>
      </c>
      <c r="I96" s="987">
        <v>0.15892238334261133</v>
      </c>
      <c r="J96" s="1038">
        <f t="shared" si="22"/>
        <v>0.99991222918405909</v>
      </c>
      <c r="K96" s="12"/>
      <c r="L96" s="1107"/>
      <c r="M96" s="1107"/>
      <c r="N96" s="1107"/>
      <c r="O96" s="1107"/>
      <c r="P96" s="1107"/>
      <c r="Q96" s="1107"/>
      <c r="R96" s="1107"/>
      <c r="S96" s="1108"/>
      <c r="T96" s="12"/>
      <c r="U96" s="330"/>
      <c r="V96" s="1109"/>
      <c r="W96" s="1109"/>
      <c r="X96" s="1109"/>
      <c r="Y96" s="1109"/>
      <c r="Z96" s="1109"/>
      <c r="AA96" s="1109"/>
      <c r="AB96" s="330"/>
      <c r="AC96" s="12"/>
      <c r="AD96" s="12"/>
      <c r="AE96" s="12"/>
    </row>
    <row r="97" spans="1:31" ht="12.75" customHeight="1" x14ac:dyDescent="0.3">
      <c r="A97" s="726">
        <v>1986</v>
      </c>
      <c r="C97" s="987">
        <f t="shared" si="21"/>
        <v>0.17500000000000004</v>
      </c>
      <c r="D97" s="987">
        <v>0.82455769706176563</v>
      </c>
      <c r="E97" s="987">
        <v>0.75570817574255411</v>
      </c>
      <c r="F97" s="987">
        <v>0.55265241340783056</v>
      </c>
      <c r="G97" s="987">
        <v>0.47697997162352823</v>
      </c>
      <c r="H97" s="987">
        <v>0.32740494049548174</v>
      </c>
      <c r="I97" s="987">
        <v>0.16548339870989201</v>
      </c>
      <c r="J97" s="1038">
        <f t="shared" si="22"/>
        <v>0.99955769706176567</v>
      </c>
      <c r="K97" s="12"/>
      <c r="L97" s="1107"/>
      <c r="M97" s="1107"/>
      <c r="N97" s="1107"/>
      <c r="O97" s="1107"/>
      <c r="P97" s="1107"/>
      <c r="Q97" s="1107"/>
      <c r="R97" s="1107"/>
      <c r="S97" s="1108"/>
      <c r="T97" s="12"/>
      <c r="U97" s="330"/>
      <c r="V97" s="1109"/>
      <c r="W97" s="1109"/>
      <c r="X97" s="1109"/>
      <c r="Y97" s="1109"/>
      <c r="Z97" s="1109"/>
      <c r="AA97" s="1109"/>
      <c r="AB97" s="330"/>
      <c r="AC97" s="12"/>
      <c r="AD97" s="12"/>
      <c r="AE97" s="12"/>
    </row>
    <row r="98" spans="1:31" ht="12.75" customHeight="1" x14ac:dyDescent="0.3">
      <c r="A98" s="726">
        <v>1987</v>
      </c>
      <c r="C98" s="987">
        <f t="shared" si="21"/>
        <v>0.19699999999999995</v>
      </c>
      <c r="D98" s="987">
        <v>0.80272674906272012</v>
      </c>
      <c r="E98" s="987">
        <v>0.72138896910750594</v>
      </c>
      <c r="F98" s="987">
        <v>0.50287802022443129</v>
      </c>
      <c r="G98" s="987">
        <v>0.42199373665431805</v>
      </c>
      <c r="H98" s="987">
        <v>0.27095555551392903</v>
      </c>
      <c r="I98" s="987">
        <v>0.12636554082546506</v>
      </c>
      <c r="J98" s="1038">
        <f t="shared" si="22"/>
        <v>0.99972674906272008</v>
      </c>
      <c r="K98" s="12"/>
      <c r="L98" s="1107"/>
      <c r="M98" s="1107"/>
      <c r="N98" s="1107"/>
      <c r="O98" s="1107"/>
      <c r="P98" s="1107"/>
      <c r="Q98" s="1107"/>
      <c r="R98" s="1107"/>
      <c r="S98" s="1108"/>
      <c r="T98" s="12"/>
      <c r="U98" s="330"/>
      <c r="V98" s="1109"/>
      <c r="W98" s="1109"/>
      <c r="X98" s="1109"/>
      <c r="Y98" s="1109"/>
      <c r="Z98" s="1109"/>
      <c r="AA98" s="1109"/>
      <c r="AB98" s="330"/>
      <c r="AC98" s="12"/>
      <c r="AD98" s="12"/>
      <c r="AE98" s="12"/>
    </row>
    <row r="99" spans="1:31" ht="12.75" customHeight="1" x14ac:dyDescent="0.3">
      <c r="A99" s="726">
        <v>1988</v>
      </c>
      <c r="C99" s="987">
        <f t="shared" si="21"/>
        <v>0.16000000000000003</v>
      </c>
      <c r="D99" s="987">
        <v>0.8397928841179878</v>
      </c>
      <c r="E99" s="987">
        <v>0.77855585278694739</v>
      </c>
      <c r="F99" s="987">
        <v>0.59793199886157955</v>
      </c>
      <c r="G99" s="987">
        <v>0.51724779820184008</v>
      </c>
      <c r="H99" s="987">
        <v>0.35724107632828545</v>
      </c>
      <c r="I99" s="987">
        <v>0.1740958232216156</v>
      </c>
      <c r="J99" s="1038">
        <f t="shared" si="22"/>
        <v>0.99979288411798783</v>
      </c>
      <c r="K99" s="12"/>
      <c r="L99" s="1107"/>
      <c r="M99" s="1107"/>
      <c r="N99" s="1107"/>
      <c r="O99" s="1107"/>
      <c r="P99" s="1107"/>
      <c r="Q99" s="1107"/>
      <c r="R99" s="1107"/>
      <c r="S99" s="1108"/>
      <c r="T99" s="12"/>
      <c r="U99" s="330"/>
      <c r="V99" s="1109"/>
      <c r="W99" s="1109"/>
      <c r="X99" s="1109"/>
      <c r="Y99" s="1109"/>
      <c r="Z99" s="1109"/>
      <c r="AA99" s="1109"/>
      <c r="AB99" s="330"/>
      <c r="AC99" s="12"/>
      <c r="AD99" s="12"/>
      <c r="AE99" s="12"/>
    </row>
    <row r="100" spans="1:31" ht="12.75" customHeight="1" x14ac:dyDescent="0.3">
      <c r="A100" s="726">
        <v>1989</v>
      </c>
      <c r="C100" s="987">
        <f t="shared" si="21"/>
        <v>0.18799999999999994</v>
      </c>
      <c r="D100" s="987">
        <v>0.81171186805574058</v>
      </c>
      <c r="E100" s="987">
        <v>0.73905994670971287</v>
      </c>
      <c r="F100" s="987">
        <v>0.55876640938698952</v>
      </c>
      <c r="G100" s="987">
        <v>0.47869150672428401</v>
      </c>
      <c r="H100" s="987">
        <v>0.31866908312128694</v>
      </c>
      <c r="I100" s="987">
        <v>0.16205680009284928</v>
      </c>
      <c r="J100" s="1038">
        <f t="shared" si="22"/>
        <v>0.99971186805574053</v>
      </c>
      <c r="K100" s="12"/>
      <c r="L100" s="1107"/>
      <c r="M100" s="1107"/>
      <c r="N100" s="1107"/>
      <c r="O100" s="1107"/>
      <c r="P100" s="1107"/>
      <c r="Q100" s="1107"/>
      <c r="R100" s="1107"/>
      <c r="S100" s="1108"/>
      <c r="T100" s="12"/>
      <c r="U100" s="330"/>
      <c r="V100" s="1109"/>
      <c r="W100" s="1109"/>
      <c r="X100" s="1109"/>
      <c r="Y100" s="1109"/>
      <c r="Z100" s="1109"/>
      <c r="AA100" s="1109"/>
      <c r="AB100" s="330"/>
      <c r="AC100" s="12"/>
      <c r="AD100" s="12"/>
      <c r="AE100" s="12"/>
    </row>
    <row r="101" spans="1:31" ht="12.75" customHeight="1" x14ac:dyDescent="0.3">
      <c r="A101" s="726">
        <v>1990</v>
      </c>
      <c r="C101" s="987">
        <f t="shared" si="21"/>
        <v>0.18700000000000006</v>
      </c>
      <c r="D101" s="987">
        <v>0.81279499865110383</v>
      </c>
      <c r="E101" s="987">
        <v>0.74153116866222457</v>
      </c>
      <c r="F101" s="987">
        <v>0.5550140184645358</v>
      </c>
      <c r="G101" s="987">
        <v>0.47908625156784607</v>
      </c>
      <c r="H101" s="987">
        <v>0.32441897905955502</v>
      </c>
      <c r="I101" s="987">
        <v>0.16524465085153517</v>
      </c>
      <c r="J101" s="1038">
        <f t="shared" si="22"/>
        <v>0.99979499865110388</v>
      </c>
      <c r="K101" s="12"/>
      <c r="L101" s="1107"/>
      <c r="M101" s="1107"/>
      <c r="N101" s="1107"/>
      <c r="O101" s="1107"/>
      <c r="P101" s="1107"/>
      <c r="Q101" s="1107"/>
      <c r="R101" s="1107"/>
      <c r="S101" s="1108"/>
      <c r="T101" s="12"/>
      <c r="U101" s="330"/>
      <c r="V101" s="1109"/>
      <c r="W101" s="1109"/>
      <c r="X101" s="1109"/>
      <c r="Y101" s="1109"/>
      <c r="Z101" s="1109"/>
      <c r="AA101" s="1109"/>
      <c r="AB101" s="330"/>
      <c r="AC101" s="12"/>
      <c r="AD101" s="12"/>
      <c r="AE101" s="12"/>
    </row>
    <row r="102" spans="1:31" ht="12.75" customHeight="1" x14ac:dyDescent="0.3">
      <c r="A102" s="726">
        <v>1991</v>
      </c>
      <c r="C102" s="987">
        <f t="shared" si="21"/>
        <v>0.19599999999999995</v>
      </c>
      <c r="D102" s="987">
        <v>0.80376570864553432</v>
      </c>
      <c r="E102" s="987">
        <v>0.72677270538585292</v>
      </c>
      <c r="F102" s="987">
        <v>0.52769049222301645</v>
      </c>
      <c r="G102" s="987">
        <v>0.45188286809579981</v>
      </c>
      <c r="H102" s="987">
        <v>0.30155760720291569</v>
      </c>
      <c r="I102" s="987">
        <v>0.15051717778642484</v>
      </c>
      <c r="J102" s="1038">
        <f t="shared" si="22"/>
        <v>0.99976570864553427</v>
      </c>
      <c r="K102" s="12"/>
      <c r="L102" s="1107"/>
      <c r="M102" s="1107"/>
      <c r="N102" s="1107"/>
      <c r="O102" s="1107"/>
      <c r="P102" s="1107"/>
      <c r="Q102" s="1107"/>
      <c r="R102" s="1107"/>
      <c r="S102" s="1108"/>
      <c r="T102" s="12"/>
      <c r="U102" s="330"/>
      <c r="V102" s="1109"/>
      <c r="W102" s="1109"/>
      <c r="X102" s="1109"/>
      <c r="Y102" s="1109"/>
      <c r="Z102" s="1109"/>
      <c r="AA102" s="1109"/>
      <c r="AB102" s="330"/>
      <c r="AC102" s="12"/>
      <c r="AD102" s="12"/>
      <c r="AE102" s="12"/>
    </row>
    <row r="103" spans="1:31" ht="12.75" customHeight="1" x14ac:dyDescent="0.3">
      <c r="A103" s="726">
        <v>1992</v>
      </c>
      <c r="C103" s="987">
        <f t="shared" si="21"/>
        <v>0.18400000000000005</v>
      </c>
      <c r="D103" s="987">
        <v>0.81646555847371538</v>
      </c>
      <c r="E103" s="987">
        <v>0.7432621525238382</v>
      </c>
      <c r="F103" s="987">
        <v>0.54630451583971096</v>
      </c>
      <c r="G103" s="987">
        <v>0.46973716289834144</v>
      </c>
      <c r="H103" s="987">
        <v>0.32429602174871647</v>
      </c>
      <c r="I103" s="987">
        <v>0.16685290218317353</v>
      </c>
      <c r="J103" s="1038">
        <f t="shared" si="22"/>
        <v>1.0004655584737154</v>
      </c>
      <c r="K103" s="12"/>
      <c r="L103" s="1107"/>
      <c r="M103" s="1107"/>
      <c r="N103" s="1107"/>
      <c r="O103" s="1107"/>
      <c r="P103" s="1107"/>
      <c r="Q103" s="1107"/>
      <c r="R103" s="1107"/>
      <c r="S103" s="1108"/>
      <c r="T103" s="12"/>
      <c r="U103" s="330"/>
      <c r="V103" s="1109"/>
      <c r="W103" s="1109"/>
      <c r="X103" s="1109"/>
      <c r="Y103" s="1109"/>
      <c r="Z103" s="1109"/>
      <c r="AA103" s="1109"/>
      <c r="AB103" s="330"/>
      <c r="AC103" s="12"/>
      <c r="AD103" s="12"/>
      <c r="AE103" s="12"/>
    </row>
    <row r="104" spans="1:31" ht="12.75" customHeight="1" x14ac:dyDescent="0.3">
      <c r="A104" s="726">
        <v>1993</v>
      </c>
      <c r="C104" s="987">
        <f t="shared" si="21"/>
        <v>0.18999999999999995</v>
      </c>
      <c r="D104" s="987">
        <v>0.81006534332122304</v>
      </c>
      <c r="E104" s="987">
        <v>0.73239259726370853</v>
      </c>
      <c r="F104" s="987">
        <v>0.53633055799329843</v>
      </c>
      <c r="G104" s="987">
        <v>0.46511155538799087</v>
      </c>
      <c r="H104" s="987">
        <v>0.32272810826075948</v>
      </c>
      <c r="I104" s="987">
        <v>0.16867560795206879</v>
      </c>
      <c r="J104" s="1038">
        <f t="shared" si="22"/>
        <v>1.000065343321223</v>
      </c>
      <c r="K104" s="12"/>
      <c r="L104" s="1107"/>
      <c r="M104" s="1107"/>
      <c r="N104" s="1107"/>
      <c r="O104" s="1107"/>
      <c r="P104" s="1107"/>
      <c r="Q104" s="1107"/>
      <c r="R104" s="1107"/>
      <c r="S104" s="1108"/>
      <c r="T104" s="12"/>
      <c r="U104" s="330"/>
      <c r="V104" s="1109"/>
      <c r="W104" s="1109"/>
      <c r="X104" s="1109"/>
      <c r="Y104" s="1109"/>
      <c r="Z104" s="1109"/>
      <c r="AA104" s="1109"/>
      <c r="AB104" s="330"/>
      <c r="AC104" s="12"/>
      <c r="AD104" s="12"/>
      <c r="AE104" s="12"/>
    </row>
    <row r="105" spans="1:31" ht="12.75" customHeight="1" x14ac:dyDescent="0.3">
      <c r="A105" s="726">
        <v>1994</v>
      </c>
      <c r="C105" s="987">
        <f t="shared" si="21"/>
        <v>0.17300000000000004</v>
      </c>
      <c r="D105" s="987">
        <v>0.82654096988540016</v>
      </c>
      <c r="E105" s="987">
        <v>0.75743561435237583</v>
      </c>
      <c r="F105" s="987">
        <v>0.56559271425102442</v>
      </c>
      <c r="G105" s="987">
        <v>0.49084090073232423</v>
      </c>
      <c r="H105" s="987">
        <v>0.34694547390594327</v>
      </c>
      <c r="I105" s="987">
        <v>0.18414709818737449</v>
      </c>
      <c r="J105" s="1038">
        <f t="shared" si="22"/>
        <v>0.9995409698854002</v>
      </c>
      <c r="K105" s="12"/>
      <c r="L105" s="1107"/>
      <c r="M105" s="1107"/>
      <c r="N105" s="1107"/>
      <c r="O105" s="1107"/>
      <c r="P105" s="1107"/>
      <c r="Q105" s="1107"/>
      <c r="R105" s="1107"/>
      <c r="S105" s="1108"/>
      <c r="T105" s="12"/>
      <c r="U105" s="330"/>
      <c r="V105" s="1109"/>
      <c r="W105" s="1109"/>
      <c r="X105" s="1109"/>
      <c r="Y105" s="1109"/>
      <c r="Z105" s="1109"/>
      <c r="AA105" s="1109"/>
      <c r="AB105" s="330"/>
      <c r="AC105" s="12"/>
      <c r="AD105" s="12"/>
      <c r="AE105" s="12"/>
    </row>
    <row r="106" spans="1:31" ht="12.75" customHeight="1" x14ac:dyDescent="0.3">
      <c r="A106" s="726">
        <v>1995</v>
      </c>
      <c r="C106" s="987">
        <f t="shared" si="21"/>
        <v>0.17200000000000004</v>
      </c>
      <c r="D106" s="987">
        <v>0.82839289094980528</v>
      </c>
      <c r="E106" s="987">
        <v>0.75614717120149855</v>
      </c>
      <c r="F106" s="987">
        <v>0.5650443082700225</v>
      </c>
      <c r="G106" s="987">
        <v>0.49558969624450083</v>
      </c>
      <c r="H106" s="987">
        <v>0.34546985159540972</v>
      </c>
      <c r="I106" s="987">
        <v>0.17802743939759497</v>
      </c>
      <c r="J106" s="1038">
        <f t="shared" si="22"/>
        <v>1.0003928909498052</v>
      </c>
      <c r="K106" s="12"/>
      <c r="L106" s="1107"/>
      <c r="M106" s="1107"/>
      <c r="N106" s="1107"/>
      <c r="O106" s="1107"/>
      <c r="P106" s="1107"/>
      <c r="Q106" s="1107"/>
      <c r="R106" s="1107"/>
      <c r="S106" s="1108"/>
      <c r="T106" s="12"/>
      <c r="U106" s="330"/>
      <c r="V106" s="1109"/>
      <c r="W106" s="1109"/>
      <c r="X106" s="1109"/>
      <c r="Y106" s="1109"/>
      <c r="Z106" s="1109"/>
      <c r="AA106" s="1109"/>
      <c r="AB106" s="330"/>
      <c r="AC106" s="12"/>
      <c r="AD106" s="12"/>
      <c r="AE106" s="12"/>
    </row>
    <row r="107" spans="1:31" ht="12.75" customHeight="1" x14ac:dyDescent="0.3">
      <c r="A107" s="726">
        <v>1996</v>
      </c>
      <c r="C107" s="987">
        <f t="shared" si="21"/>
        <v>0.16200000000000003</v>
      </c>
      <c r="D107" s="987">
        <v>0.83754192677850658</v>
      </c>
      <c r="E107" s="987">
        <v>0.76656471701343742</v>
      </c>
      <c r="F107" s="987">
        <v>0.58514880672927327</v>
      </c>
      <c r="G107" s="987">
        <v>0.51116272697284337</v>
      </c>
      <c r="H107" s="987">
        <v>0.36559351562613157</v>
      </c>
      <c r="I107" s="987">
        <v>0.1950809220227385</v>
      </c>
      <c r="J107" s="1038">
        <f t="shared" si="22"/>
        <v>0.99954192677850662</v>
      </c>
      <c r="K107" s="12"/>
      <c r="L107" s="1107"/>
      <c r="M107" s="1107"/>
      <c r="N107" s="1107"/>
      <c r="O107" s="1107"/>
      <c r="P107" s="1107"/>
      <c r="Q107" s="1107"/>
      <c r="R107" s="1107"/>
      <c r="S107" s="1108"/>
      <c r="T107" s="12"/>
      <c r="U107" s="330"/>
      <c r="V107" s="1109"/>
      <c r="W107" s="1109"/>
      <c r="X107" s="1109"/>
      <c r="Y107" s="1109"/>
      <c r="Z107" s="1109"/>
      <c r="AA107" s="1109"/>
      <c r="AB107" s="330"/>
      <c r="AC107" s="12"/>
      <c r="AD107" s="12"/>
      <c r="AE107" s="12"/>
    </row>
    <row r="108" spans="1:31" ht="12.75" customHeight="1" x14ac:dyDescent="0.3">
      <c r="A108" s="726">
        <v>1997</v>
      </c>
      <c r="C108" s="987">
        <f t="shared" si="21"/>
        <v>0.17300000000000004</v>
      </c>
      <c r="D108" s="987">
        <v>0.82713922745390223</v>
      </c>
      <c r="E108" s="987">
        <v>0.75743191281434707</v>
      </c>
      <c r="F108" s="987">
        <v>0.57704374616686283</v>
      </c>
      <c r="G108" s="987">
        <v>0.50561758005462354</v>
      </c>
      <c r="H108" s="987">
        <v>0.35553928594132761</v>
      </c>
      <c r="I108" s="987">
        <v>0.18696632146202882</v>
      </c>
      <c r="J108" s="1038">
        <f t="shared" si="22"/>
        <v>1.0001392274539023</v>
      </c>
      <c r="K108" s="12"/>
      <c r="L108" s="1107"/>
      <c r="M108" s="1107"/>
      <c r="N108" s="1107"/>
      <c r="O108" s="1107"/>
      <c r="P108" s="1107"/>
      <c r="Q108" s="1107"/>
      <c r="R108" s="1107"/>
      <c r="S108" s="1108"/>
      <c r="T108" s="12"/>
      <c r="U108" s="330"/>
      <c r="V108" s="1109"/>
      <c r="W108" s="1109"/>
      <c r="X108" s="1109"/>
      <c r="Y108" s="1109"/>
      <c r="Z108" s="1109"/>
      <c r="AA108" s="1109"/>
      <c r="AB108" s="330"/>
      <c r="AC108" s="12"/>
      <c r="AD108" s="12"/>
      <c r="AE108" s="12"/>
    </row>
    <row r="109" spans="1:31" ht="12.75" customHeight="1" x14ac:dyDescent="0.3">
      <c r="A109" s="726">
        <v>1998</v>
      </c>
      <c r="C109" s="987">
        <f t="shared" si="21"/>
        <v>0.16800000000000004</v>
      </c>
      <c r="D109" s="987">
        <v>0.83195442066817704</v>
      </c>
      <c r="E109" s="987">
        <v>0.76038050980141747</v>
      </c>
      <c r="F109" s="987">
        <v>0.58715454667110634</v>
      </c>
      <c r="G109" s="987">
        <v>0.51907849461934974</v>
      </c>
      <c r="H109" s="987">
        <v>0.37232399518292025</v>
      </c>
      <c r="I109" s="987">
        <v>0.19166863951251098</v>
      </c>
      <c r="J109" s="1038">
        <f t="shared" si="22"/>
        <v>0.99995442066817708</v>
      </c>
      <c r="K109" s="12"/>
      <c r="L109" s="1107"/>
      <c r="M109" s="1107"/>
      <c r="N109" s="1107"/>
      <c r="O109" s="1107"/>
      <c r="P109" s="1107"/>
      <c r="Q109" s="1107"/>
      <c r="R109" s="1107"/>
      <c r="S109" s="1108"/>
      <c r="T109" s="12"/>
      <c r="U109" s="330"/>
      <c r="V109" s="1109"/>
      <c r="W109" s="1109"/>
      <c r="X109" s="1109"/>
      <c r="Y109" s="1109"/>
      <c r="Z109" s="1109"/>
      <c r="AA109" s="1109"/>
      <c r="AB109" s="330"/>
      <c r="AC109" s="12"/>
      <c r="AD109" s="12"/>
      <c r="AE109" s="12"/>
    </row>
    <row r="110" spans="1:31" ht="12.75" customHeight="1" x14ac:dyDescent="0.3">
      <c r="A110" s="726">
        <v>1999</v>
      </c>
      <c r="C110" s="987">
        <f t="shared" si="21"/>
        <v>0.17200000000000004</v>
      </c>
      <c r="D110" s="987">
        <v>0.82757917712265783</v>
      </c>
      <c r="E110" s="987">
        <v>0.75927235520286129</v>
      </c>
      <c r="F110" s="987">
        <v>0.57781460718917399</v>
      </c>
      <c r="G110" s="987">
        <v>0.50730555487013251</v>
      </c>
      <c r="H110" s="987">
        <v>0.36008811656318207</v>
      </c>
      <c r="I110" s="987">
        <v>0.18497018232679685</v>
      </c>
      <c r="J110" s="1038">
        <f t="shared" si="22"/>
        <v>0.99957917712265787</v>
      </c>
      <c r="K110" s="12"/>
      <c r="L110" s="1107"/>
      <c r="M110" s="1107"/>
      <c r="N110" s="1107"/>
      <c r="O110" s="1107"/>
      <c r="P110" s="1107"/>
      <c r="Q110" s="1107"/>
      <c r="R110" s="1107"/>
      <c r="S110" s="1108"/>
      <c r="T110" s="12"/>
      <c r="U110" s="330"/>
      <c r="V110" s="1109"/>
      <c r="W110" s="1109"/>
      <c r="X110" s="1109"/>
      <c r="Y110" s="1109"/>
      <c r="Z110" s="1109"/>
      <c r="AA110" s="1109"/>
      <c r="AB110" s="330"/>
      <c r="AC110" s="12"/>
      <c r="AD110" s="12"/>
      <c r="AE110" s="12"/>
    </row>
    <row r="111" spans="1:31" ht="12.75" customHeight="1" x14ac:dyDescent="0.3">
      <c r="A111" s="726">
        <v>2000</v>
      </c>
      <c r="C111" s="987">
        <f t="shared" si="21"/>
        <v>0.16900000000000004</v>
      </c>
      <c r="D111" s="987">
        <v>0.83083704641260658</v>
      </c>
      <c r="E111" s="987">
        <v>0.76521474845506632</v>
      </c>
      <c r="F111" s="987">
        <v>0.59674305031244823</v>
      </c>
      <c r="G111" s="987">
        <v>0.52518770868032683</v>
      </c>
      <c r="H111" s="987">
        <v>0.37995269639813983</v>
      </c>
      <c r="I111" s="987">
        <v>0.20007037703932234</v>
      </c>
      <c r="J111" s="1038">
        <f t="shared" si="22"/>
        <v>0.99983704641260662</v>
      </c>
      <c r="K111" s="12"/>
      <c r="L111" s="1107"/>
      <c r="M111" s="1107"/>
      <c r="N111" s="1107"/>
      <c r="O111" s="1107"/>
      <c r="P111" s="1107"/>
      <c r="Q111" s="1107"/>
      <c r="R111" s="1107"/>
      <c r="S111" s="1108"/>
      <c r="T111" s="12"/>
      <c r="U111" s="330"/>
      <c r="V111" s="1109"/>
      <c r="W111" s="1109"/>
      <c r="X111" s="1109"/>
      <c r="Y111" s="1109"/>
      <c r="Z111" s="1109"/>
      <c r="AA111" s="1109"/>
      <c r="AB111" s="330"/>
      <c r="AC111" s="12"/>
      <c r="AD111" s="12"/>
      <c r="AE111" s="12"/>
    </row>
    <row r="112" spans="1:31" ht="12.75" customHeight="1" x14ac:dyDescent="0.3">
      <c r="A112" s="726">
        <v>2001</v>
      </c>
      <c r="C112" s="987">
        <f t="shared" si="21"/>
        <v>0.14700000000000002</v>
      </c>
      <c r="D112" s="987">
        <v>0.85310872164680518</v>
      </c>
      <c r="E112" s="987">
        <v>0.79398559607276009</v>
      </c>
      <c r="F112" s="987">
        <v>0.62508655958682102</v>
      </c>
      <c r="G112" s="987">
        <v>0.55940023354633495</v>
      </c>
      <c r="H112" s="987">
        <v>0.40995971060842157</v>
      </c>
      <c r="I112" s="987">
        <v>0.22960352936439418</v>
      </c>
      <c r="J112" s="1038">
        <f t="shared" si="22"/>
        <v>1.0001087216468052</v>
      </c>
      <c r="K112" s="12"/>
      <c r="L112" s="1107"/>
      <c r="M112" s="1107"/>
      <c r="N112" s="1107"/>
      <c r="O112" s="1107"/>
      <c r="P112" s="1107"/>
      <c r="Q112" s="1107"/>
      <c r="R112" s="1107"/>
      <c r="S112" s="1108"/>
      <c r="T112" s="12"/>
      <c r="U112" s="330"/>
      <c r="V112" s="1109"/>
      <c r="W112" s="1109"/>
      <c r="X112" s="1109"/>
      <c r="Y112" s="1109"/>
      <c r="Z112" s="1109"/>
      <c r="AA112" s="1109"/>
      <c r="AB112" s="330"/>
      <c r="AC112" s="12"/>
      <c r="AD112" s="12"/>
      <c r="AE112" s="12"/>
    </row>
    <row r="113" spans="1:31" ht="12.75" customHeight="1" x14ac:dyDescent="0.3">
      <c r="A113" s="726">
        <v>2002</v>
      </c>
      <c r="C113" s="987">
        <f t="shared" si="21"/>
        <v>0.124</v>
      </c>
      <c r="D113" s="987">
        <v>0.87587399784108444</v>
      </c>
      <c r="E113" s="987">
        <v>0.81621097017142241</v>
      </c>
      <c r="F113" s="987">
        <v>0.64035635197141427</v>
      </c>
      <c r="G113" s="987">
        <v>0.56870079271475338</v>
      </c>
      <c r="H113" s="987">
        <v>0.40952039084158154</v>
      </c>
      <c r="I113" s="987">
        <v>0.23137860273821392</v>
      </c>
      <c r="J113" s="1038">
        <f t="shared" si="22"/>
        <v>0.99987399784108444</v>
      </c>
      <c r="K113" s="12"/>
      <c r="L113" s="1107"/>
      <c r="M113" s="1107"/>
      <c r="N113" s="1107"/>
      <c r="O113" s="1107"/>
      <c r="P113" s="1107"/>
      <c r="Q113" s="1107"/>
      <c r="R113" s="1107"/>
      <c r="S113" s="1108"/>
      <c r="T113" s="12"/>
      <c r="U113" s="330"/>
      <c r="V113" s="1109"/>
      <c r="W113" s="1109"/>
      <c r="X113" s="1109"/>
      <c r="Y113" s="1109"/>
      <c r="Z113" s="1109"/>
      <c r="AA113" s="1109"/>
      <c r="AB113" s="330"/>
      <c r="AC113" s="12"/>
      <c r="AD113" s="12"/>
      <c r="AE113" s="12"/>
    </row>
    <row r="114" spans="1:31" ht="12.75" customHeight="1" x14ac:dyDescent="0.3">
      <c r="A114" s="726">
        <v>2003</v>
      </c>
      <c r="C114" s="987">
        <f t="shared" si="21"/>
        <v>0.11899999999999999</v>
      </c>
      <c r="D114" s="987">
        <v>0.88122842592960515</v>
      </c>
      <c r="E114" s="987">
        <v>0.82475210083249517</v>
      </c>
      <c r="F114" s="987">
        <v>0.64742511981981921</v>
      </c>
      <c r="G114" s="987">
        <v>0.57338382561913603</v>
      </c>
      <c r="H114" s="987">
        <v>0.41616688212872166</v>
      </c>
      <c r="I114" s="987">
        <v>0.23595377034739876</v>
      </c>
      <c r="J114" s="1038">
        <f t="shared" si="22"/>
        <v>1.0002284259296053</v>
      </c>
      <c r="K114" s="12"/>
      <c r="L114" s="1107"/>
      <c r="M114" s="1107"/>
      <c r="N114" s="1107"/>
      <c r="O114" s="1107"/>
      <c r="P114" s="1107"/>
      <c r="Q114" s="1107"/>
      <c r="R114" s="1107"/>
      <c r="S114" s="1108"/>
      <c r="T114" s="12"/>
      <c r="U114" s="330"/>
      <c r="V114" s="1109"/>
      <c r="W114" s="1109"/>
      <c r="X114" s="1109"/>
      <c r="Y114" s="1109"/>
      <c r="Z114" s="1109"/>
      <c r="AA114" s="1109"/>
      <c r="AB114" s="330"/>
      <c r="AC114" s="12"/>
      <c r="AD114" s="12"/>
      <c r="AE114" s="12"/>
    </row>
    <row r="115" spans="1:31" ht="12.75" customHeight="1" x14ac:dyDescent="0.3">
      <c r="A115" s="726">
        <v>2004</v>
      </c>
      <c r="C115" s="987">
        <f t="shared" si="21"/>
        <v>0.122</v>
      </c>
      <c r="D115" s="987">
        <v>0.87788385890850773</v>
      </c>
      <c r="E115" s="987">
        <v>0.82168538794582135</v>
      </c>
      <c r="F115" s="987">
        <v>0.64665756177459588</v>
      </c>
      <c r="G115" s="987">
        <v>0.57432772448578462</v>
      </c>
      <c r="H115" s="987">
        <v>0.41839166995013161</v>
      </c>
      <c r="I115" s="987">
        <v>0.23078799024308963</v>
      </c>
      <c r="J115" s="1038">
        <f t="shared" si="22"/>
        <v>0.99988385890850773</v>
      </c>
      <c r="K115" s="12"/>
      <c r="L115" s="1107"/>
      <c r="M115" s="1107"/>
      <c r="N115" s="1107"/>
      <c r="O115" s="1107"/>
      <c r="P115" s="1107"/>
      <c r="Q115" s="1107"/>
      <c r="R115" s="1107"/>
      <c r="S115" s="1108"/>
      <c r="T115" s="12"/>
      <c r="U115" s="330"/>
      <c r="V115" s="1109"/>
      <c r="W115" s="1109"/>
      <c r="X115" s="1109"/>
      <c r="Y115" s="1109"/>
      <c r="Z115" s="1109"/>
      <c r="AA115" s="1109"/>
      <c r="AB115" s="330"/>
      <c r="AC115" s="12"/>
      <c r="AD115" s="12"/>
      <c r="AE115" s="12"/>
    </row>
    <row r="116" spans="1:31" ht="12.75" customHeight="1" x14ac:dyDescent="0.3">
      <c r="A116" s="726">
        <v>2005</v>
      </c>
      <c r="C116" s="987">
        <f t="shared" si="21"/>
        <v>0.125</v>
      </c>
      <c r="D116" s="987">
        <v>0.87501278878283062</v>
      </c>
      <c r="E116" s="987">
        <v>0.81560024962077549</v>
      </c>
      <c r="F116" s="987">
        <v>0.64366169638036763</v>
      </c>
      <c r="G116" s="987">
        <v>0.57175495590758352</v>
      </c>
      <c r="H116" s="987">
        <v>0.41507869673594533</v>
      </c>
      <c r="I116" s="987">
        <v>0.22304703322915309</v>
      </c>
      <c r="J116" s="1038">
        <f t="shared" si="22"/>
        <v>1.0000127887828305</v>
      </c>
      <c r="K116" s="12"/>
      <c r="L116" s="1107"/>
      <c r="M116" s="1107"/>
      <c r="N116" s="1107"/>
      <c r="O116" s="1107"/>
      <c r="P116" s="1107"/>
      <c r="Q116" s="1107"/>
      <c r="R116" s="1107"/>
      <c r="S116" s="1108"/>
      <c r="T116" s="12"/>
      <c r="U116" s="330"/>
      <c r="V116" s="1109"/>
      <c r="W116" s="1109"/>
      <c r="X116" s="1109"/>
      <c r="Y116" s="1109"/>
      <c r="Z116" s="1109"/>
      <c r="AA116" s="1109"/>
      <c r="AB116" s="330"/>
      <c r="AC116" s="12"/>
      <c r="AD116" s="12"/>
      <c r="AE116" s="12"/>
    </row>
    <row r="117" spans="1:31" ht="12.75" customHeight="1" x14ac:dyDescent="0.3">
      <c r="A117" s="726">
        <v>2006</v>
      </c>
      <c r="C117" s="987">
        <f t="shared" si="21"/>
        <v>0.126</v>
      </c>
      <c r="D117" s="987">
        <v>0.87436604341688384</v>
      </c>
      <c r="E117" s="987">
        <v>0.81532220588501136</v>
      </c>
      <c r="F117" s="987">
        <v>0.65069357791403992</v>
      </c>
      <c r="G117" s="987">
        <v>0.57611196325544578</v>
      </c>
      <c r="H117" s="987">
        <v>0.41967965224392606</v>
      </c>
      <c r="I117" s="987">
        <v>0.22573870662054538</v>
      </c>
      <c r="J117" s="1038">
        <f t="shared" si="22"/>
        <v>1.000366043416884</v>
      </c>
      <c r="K117" s="12"/>
      <c r="L117" s="1107"/>
      <c r="M117" s="1107"/>
      <c r="N117" s="1107"/>
      <c r="O117" s="1107"/>
      <c r="P117" s="1107"/>
      <c r="Q117" s="1107"/>
      <c r="R117" s="1107"/>
      <c r="S117" s="1108"/>
      <c r="T117" s="12"/>
      <c r="U117" s="330"/>
      <c r="V117" s="1109"/>
      <c r="W117" s="1109"/>
      <c r="X117" s="1109"/>
      <c r="Y117" s="1109"/>
      <c r="Z117" s="1109"/>
      <c r="AA117" s="1109"/>
      <c r="AB117" s="330"/>
      <c r="AC117" s="12"/>
      <c r="AD117" s="12"/>
      <c r="AE117" s="12"/>
    </row>
    <row r="118" spans="1:31" ht="12.75" customHeight="1" x14ac:dyDescent="0.3">
      <c r="A118" s="726">
        <v>2007</v>
      </c>
      <c r="C118" s="987">
        <f t="shared" si="21"/>
        <v>0.13300000000000001</v>
      </c>
      <c r="D118" s="987">
        <v>0.86734800594420924</v>
      </c>
      <c r="E118" s="987">
        <v>0.809862769961055</v>
      </c>
      <c r="F118" s="987">
        <v>0.64971821520042927</v>
      </c>
      <c r="G118" s="987">
        <v>0.57910786176962425</v>
      </c>
      <c r="H118" s="987">
        <v>0.42603613161512199</v>
      </c>
      <c r="I118" s="987">
        <v>0.23674248895703984</v>
      </c>
      <c r="J118" s="1038">
        <f t="shared" si="22"/>
        <v>1.0003480059442094</v>
      </c>
      <c r="K118" s="12"/>
      <c r="L118" s="1107"/>
      <c r="M118" s="1107"/>
      <c r="N118" s="1107"/>
      <c r="O118" s="1107"/>
      <c r="P118" s="1107"/>
      <c r="Q118" s="1107"/>
      <c r="R118" s="1107"/>
      <c r="S118" s="1108"/>
      <c r="T118" s="12"/>
      <c r="U118" s="330"/>
      <c r="V118" s="1109"/>
      <c r="W118" s="1109"/>
      <c r="X118" s="1109"/>
      <c r="Y118" s="1109"/>
      <c r="Z118" s="1109"/>
      <c r="AA118" s="1109"/>
      <c r="AB118" s="330"/>
      <c r="AC118" s="12"/>
      <c r="AD118" s="12"/>
      <c r="AE118" s="12"/>
    </row>
    <row r="119" spans="1:31" ht="12.75" customHeight="1" x14ac:dyDescent="0.3">
      <c r="A119" s="726">
        <v>2008</v>
      </c>
      <c r="C119" s="987">
        <f t="shared" si="21"/>
        <v>0.11199999999999999</v>
      </c>
      <c r="D119" s="987">
        <v>0.88792149526324193</v>
      </c>
      <c r="E119" s="987">
        <v>0.83769667974226614</v>
      </c>
      <c r="F119" s="987">
        <v>0.68917512846604467</v>
      </c>
      <c r="G119" s="987">
        <v>0.61878324202654</v>
      </c>
      <c r="H119" s="987">
        <v>0.46540878039512346</v>
      </c>
      <c r="I119" s="987">
        <v>0.26831404878967807</v>
      </c>
      <c r="J119" s="1038">
        <f t="shared" si="22"/>
        <v>0.99992149526324192</v>
      </c>
      <c r="K119" s="12"/>
      <c r="L119" s="1107"/>
      <c r="M119" s="1107"/>
      <c r="N119" s="1107"/>
      <c r="O119" s="1107"/>
      <c r="P119" s="1107"/>
      <c r="Q119" s="1107"/>
      <c r="R119" s="1107"/>
      <c r="S119" s="1108"/>
      <c r="T119" s="12"/>
      <c r="U119" s="330"/>
      <c r="V119" s="1109"/>
      <c r="W119" s="1109"/>
      <c r="X119" s="1109"/>
      <c r="Y119" s="1109"/>
      <c r="Z119" s="1109"/>
      <c r="AA119" s="1109"/>
      <c r="AB119" s="330"/>
      <c r="AC119" s="12"/>
      <c r="AD119" s="12"/>
      <c r="AE119" s="12"/>
    </row>
    <row r="120" spans="1:31" ht="12.75" customHeight="1" x14ac:dyDescent="0.3">
      <c r="A120" s="726">
        <v>2009</v>
      </c>
      <c r="C120" s="987">
        <f t="shared" si="21"/>
        <v>0.10299999999999998</v>
      </c>
      <c r="D120" s="987">
        <v>0.89713713080599566</v>
      </c>
      <c r="E120" s="987">
        <v>0.8422499750026442</v>
      </c>
      <c r="F120" s="987">
        <v>0.685789868492787</v>
      </c>
      <c r="G120" s="987">
        <v>0.61611537656775162</v>
      </c>
      <c r="H120" s="987">
        <v>0.46274760862828895</v>
      </c>
      <c r="I120" s="987">
        <v>0.2831763310046721</v>
      </c>
      <c r="J120" s="1038">
        <f t="shared" si="22"/>
        <v>1.0001371308059956</v>
      </c>
      <c r="K120" s="12"/>
      <c r="L120" s="1107"/>
      <c r="M120" s="1107"/>
      <c r="N120" s="1107"/>
      <c r="O120" s="1107"/>
      <c r="P120" s="1107"/>
      <c r="Q120" s="1107"/>
      <c r="R120" s="1107"/>
      <c r="S120" s="1108"/>
      <c r="T120" s="12"/>
      <c r="U120" s="330"/>
      <c r="V120" s="1109"/>
      <c r="W120" s="1109"/>
      <c r="X120" s="1109"/>
      <c r="Y120" s="1109"/>
      <c r="Z120" s="1109"/>
      <c r="AA120" s="1109"/>
      <c r="AB120" s="330"/>
      <c r="AC120" s="12"/>
      <c r="AD120" s="12"/>
      <c r="AE120" s="12"/>
    </row>
    <row r="121" spans="1:31" ht="12.75" customHeight="1" x14ac:dyDescent="0.3">
      <c r="A121" s="726">
        <v>2010</v>
      </c>
      <c r="C121" s="987">
        <f t="shared" si="21"/>
        <v>9.3999999999999972E-2</v>
      </c>
      <c r="D121" s="987">
        <v>0.90564099266378917</v>
      </c>
      <c r="E121" s="987">
        <v>0.85633313916657916</v>
      </c>
      <c r="F121" s="987">
        <v>0.71541938505817326</v>
      </c>
      <c r="G121" s="987">
        <v>0.65270349871722921</v>
      </c>
      <c r="H121" s="987">
        <v>0.50949908704296287</v>
      </c>
      <c r="I121" s="987">
        <v>0.32140036357803381</v>
      </c>
      <c r="J121" s="1038">
        <f t="shared" si="22"/>
        <v>0.99964099266378914</v>
      </c>
      <c r="K121" s="12"/>
      <c r="L121" s="1107"/>
      <c r="M121" s="1107"/>
      <c r="N121" s="1107"/>
      <c r="O121" s="1107"/>
      <c r="P121" s="1107"/>
      <c r="Q121" s="1107"/>
      <c r="R121" s="1107"/>
      <c r="S121" s="1108"/>
      <c r="T121" s="12"/>
      <c r="U121" s="330"/>
      <c r="V121" s="1109"/>
      <c r="W121" s="1109"/>
      <c r="X121" s="1109"/>
      <c r="Y121" s="1109"/>
      <c r="Z121" s="1109"/>
      <c r="AA121" s="1109"/>
      <c r="AB121" s="330"/>
      <c r="AC121" s="12"/>
      <c r="AD121" s="12"/>
      <c r="AE121" s="12"/>
    </row>
    <row r="122" spans="1:31" ht="12.75" customHeight="1" x14ac:dyDescent="0.3">
      <c r="A122" s="726">
        <v>2011</v>
      </c>
      <c r="C122" s="987">
        <f t="shared" si="21"/>
        <v>0.11399999999999999</v>
      </c>
      <c r="D122" s="987">
        <v>0.88560177397250583</v>
      </c>
      <c r="E122" s="987">
        <v>0.83477480403632276</v>
      </c>
      <c r="F122" s="987">
        <v>0.68721240061522648</v>
      </c>
      <c r="G122" s="987">
        <v>0.62354693285544638</v>
      </c>
      <c r="H122" s="987">
        <v>0.47769969370133469</v>
      </c>
      <c r="I122" s="987">
        <v>0.28482950488896264</v>
      </c>
      <c r="J122" s="1038">
        <f t="shared" si="22"/>
        <v>0.99960177397250582</v>
      </c>
      <c r="K122" s="12"/>
      <c r="L122" s="1107"/>
      <c r="M122" s="1107"/>
      <c r="N122" s="1107"/>
      <c r="O122" s="1107"/>
      <c r="P122" s="1107"/>
      <c r="Q122" s="1107"/>
      <c r="R122" s="1107"/>
      <c r="S122" s="1108"/>
      <c r="T122" s="12"/>
      <c r="U122" s="330"/>
      <c r="V122" s="1109"/>
      <c r="W122" s="1109"/>
      <c r="X122" s="1109"/>
      <c r="Y122" s="1109"/>
      <c r="Z122" s="1109"/>
      <c r="AA122" s="1109"/>
      <c r="AB122" s="330"/>
      <c r="AC122" s="12"/>
      <c r="AD122" s="12"/>
      <c r="AE122" s="12"/>
    </row>
    <row r="123" spans="1:31" ht="12.75" customHeight="1" x14ac:dyDescent="0.3">
      <c r="A123" s="726">
        <v>2012</v>
      </c>
      <c r="C123" s="987">
        <f t="shared" si="21"/>
        <v>9.7999999999999976E-2</v>
      </c>
      <c r="D123" s="987">
        <v>0.90202148175844643</v>
      </c>
      <c r="E123" s="987">
        <v>0.85413724916726574</v>
      </c>
      <c r="F123" s="987">
        <v>0.71585593612460341</v>
      </c>
      <c r="G123" s="987">
        <v>0.65151610945081695</v>
      </c>
      <c r="H123" s="987">
        <v>0.49786395502488978</v>
      </c>
      <c r="I123" s="987">
        <v>0.29366478408067526</v>
      </c>
      <c r="J123" s="1038">
        <f t="shared" si="22"/>
        <v>1.0000214817584463</v>
      </c>
      <c r="K123" s="12"/>
      <c r="L123" s="1107"/>
      <c r="M123" s="1107"/>
      <c r="N123" s="1107"/>
      <c r="O123" s="1107"/>
      <c r="P123" s="1107"/>
      <c r="Q123" s="1107"/>
      <c r="R123" s="1107"/>
      <c r="S123" s="1108"/>
      <c r="T123" s="12"/>
      <c r="U123" s="330"/>
      <c r="V123" s="1109"/>
      <c r="W123" s="1109"/>
      <c r="X123" s="1109"/>
      <c r="Y123" s="1109"/>
      <c r="Z123" s="1109"/>
      <c r="AA123" s="1109"/>
      <c r="AB123" s="330"/>
      <c r="AC123" s="12"/>
      <c r="AD123" s="12"/>
      <c r="AE123" s="12"/>
    </row>
    <row r="124" spans="1:31" ht="12.75" customHeight="1" x14ac:dyDescent="0.3">
      <c r="A124" s="726">
        <v>2013</v>
      </c>
      <c r="C124" s="987">
        <f t="shared" si="21"/>
        <v>0.124</v>
      </c>
      <c r="D124" s="987">
        <v>0.87576579015609801</v>
      </c>
      <c r="E124" s="987">
        <v>0.81165822101096197</v>
      </c>
      <c r="F124" s="987">
        <v>0.63879331555752517</v>
      </c>
      <c r="G124" s="987">
        <v>0.56900831701078458</v>
      </c>
      <c r="H124" s="987">
        <v>0.42624049306970974</v>
      </c>
      <c r="I124" s="987">
        <v>0.24882771770952111</v>
      </c>
      <c r="J124" s="1038">
        <f>C124+D124</f>
        <v>0.99976579015609801</v>
      </c>
      <c r="K124" s="12"/>
      <c r="L124" s="1107"/>
      <c r="M124" s="1107"/>
      <c r="N124" s="1107"/>
      <c r="O124" s="1107"/>
      <c r="P124" s="1107"/>
      <c r="Q124" s="1107"/>
      <c r="R124" s="1107"/>
      <c r="S124" s="1108"/>
      <c r="T124" s="12"/>
      <c r="U124" s="330"/>
      <c r="V124" s="1109"/>
      <c r="W124" s="1109"/>
      <c r="X124" s="1109"/>
      <c r="Y124" s="1109"/>
      <c r="Z124" s="1109"/>
      <c r="AA124" s="1109"/>
      <c r="AB124" s="330"/>
      <c r="AC124" s="12"/>
      <c r="AD124" s="12"/>
      <c r="AE124" s="12"/>
    </row>
    <row r="125" spans="1:31" ht="12.75" customHeight="1" x14ac:dyDescent="0.3">
      <c r="A125" s="726">
        <v>2014</v>
      </c>
      <c r="C125" s="987">
        <f t="shared" si="21"/>
        <v>0.124</v>
      </c>
      <c r="D125" s="987">
        <v>0.87578507669422667</v>
      </c>
      <c r="E125" s="987">
        <v>0.8137658054289072</v>
      </c>
      <c r="F125" s="987">
        <v>0.64380945298506242</v>
      </c>
      <c r="G125" s="987">
        <v>0.57661739568090631</v>
      </c>
      <c r="H125" s="987">
        <v>0.43095586985118428</v>
      </c>
      <c r="I125" s="987">
        <v>0.2500794358674317</v>
      </c>
      <c r="J125" s="1038">
        <f t="shared" si="22"/>
        <v>0.99978507669422667</v>
      </c>
      <c r="K125" s="12"/>
      <c r="L125" s="1107"/>
      <c r="M125" s="1107"/>
      <c r="N125" s="1107"/>
      <c r="O125" s="1107"/>
      <c r="P125" s="1107"/>
      <c r="Q125" s="1107"/>
      <c r="R125" s="1107"/>
      <c r="S125" s="1108"/>
      <c r="T125" s="12"/>
      <c r="U125" s="330"/>
      <c r="V125" s="1109"/>
      <c r="W125" s="1109"/>
      <c r="X125" s="1109"/>
      <c r="Y125" s="1109"/>
      <c r="Z125" s="1109"/>
      <c r="AA125" s="1109"/>
      <c r="AB125" s="330"/>
      <c r="AC125" s="12"/>
      <c r="AD125" s="12"/>
      <c r="AE125" s="12"/>
    </row>
    <row r="126" spans="1:31" ht="12.75" customHeight="1" x14ac:dyDescent="0.3">
      <c r="A126" s="726">
        <v>2015</v>
      </c>
      <c r="C126" s="987"/>
      <c r="D126" s="987"/>
      <c r="E126" s="987"/>
      <c r="F126" s="987"/>
      <c r="G126" s="987"/>
      <c r="H126" s="987"/>
      <c r="I126" s="987"/>
      <c r="J126" s="1038"/>
      <c r="K126" s="12"/>
      <c r="L126" s="1107"/>
      <c r="M126" s="1107"/>
      <c r="N126" s="1107"/>
      <c r="O126" s="1107"/>
      <c r="P126" s="1107"/>
      <c r="Q126" s="1107"/>
      <c r="R126" s="1107"/>
      <c r="S126" s="1108"/>
      <c r="T126" s="12"/>
      <c r="U126" s="330"/>
      <c r="V126" s="1109"/>
      <c r="W126" s="1109"/>
      <c r="X126" s="1109"/>
      <c r="Y126" s="1109"/>
      <c r="Z126" s="1109"/>
      <c r="AA126" s="1109"/>
      <c r="AB126" s="330"/>
      <c r="AC126" s="12"/>
      <c r="AD126" s="12"/>
      <c r="AE126" s="12"/>
    </row>
    <row r="127" spans="1:31" x14ac:dyDescent="0.3">
      <c r="K127" s="12"/>
      <c r="L127" s="12"/>
      <c r="M127" s="12"/>
      <c r="N127" s="12"/>
      <c r="O127" s="12"/>
      <c r="P127" s="12"/>
      <c r="Q127" s="12"/>
      <c r="R127" s="12"/>
      <c r="S127" s="12"/>
      <c r="T127" s="12"/>
      <c r="U127" s="12"/>
      <c r="V127" s="12"/>
      <c r="W127" s="12"/>
      <c r="X127" s="12"/>
      <c r="Y127" s="12"/>
      <c r="Z127" s="12"/>
      <c r="AA127" s="12"/>
      <c r="AB127" s="12"/>
      <c r="AC127" s="12"/>
      <c r="AD127" s="12"/>
      <c r="AE127" s="12"/>
    </row>
    <row r="128" spans="1:31" x14ac:dyDescent="0.3">
      <c r="A128" t="s">
        <v>1695</v>
      </c>
    </row>
    <row r="129" spans="1:27" x14ac:dyDescent="0.3">
      <c r="C129" s="697"/>
      <c r="D129" s="697"/>
      <c r="E129" s="697"/>
      <c r="F129" s="697"/>
      <c r="G129" s="697"/>
      <c r="H129" s="697"/>
      <c r="I129" s="697"/>
    </row>
    <row r="130" spans="1:27" x14ac:dyDescent="0.3">
      <c r="C130" s="697"/>
      <c r="D130" s="697"/>
      <c r="E130" s="697"/>
      <c r="F130" s="697"/>
      <c r="G130" s="697"/>
      <c r="H130" s="697"/>
      <c r="I130" s="697"/>
      <c r="J130" s="1011"/>
    </row>
    <row r="131" spans="1:27" x14ac:dyDescent="0.3">
      <c r="A131" s="575"/>
      <c r="B131" s="575"/>
      <c r="C131" s="575"/>
      <c r="D131" s="575"/>
      <c r="E131" s="575"/>
      <c r="F131" s="575"/>
      <c r="G131" s="575"/>
      <c r="H131" s="575"/>
      <c r="I131" s="575"/>
      <c r="J131" s="575"/>
      <c r="K131" s="575"/>
      <c r="L131" s="575"/>
      <c r="M131" s="575"/>
      <c r="N131" s="575"/>
      <c r="O131" s="575"/>
      <c r="P131" s="575"/>
      <c r="Q131" s="575"/>
      <c r="R131" s="575"/>
      <c r="S131" s="575"/>
      <c r="T131" s="575"/>
      <c r="U131" s="575"/>
      <c r="V131" s="575"/>
      <c r="W131" s="575"/>
      <c r="X131" s="575"/>
      <c r="Y131" s="575"/>
      <c r="Z131" s="575"/>
      <c r="AA131" s="575"/>
    </row>
    <row r="132" spans="1:27" ht="15.6" x14ac:dyDescent="0.3">
      <c r="A132" s="1264" t="s">
        <v>1929</v>
      </c>
      <c r="B132" s="575"/>
      <c r="C132" s="575"/>
      <c r="D132" s="575"/>
      <c r="E132" s="575"/>
      <c r="F132" s="575"/>
      <c r="G132" s="575"/>
      <c r="H132" s="575"/>
      <c r="I132" s="575"/>
      <c r="J132" s="575"/>
      <c r="K132" s="575"/>
      <c r="L132" s="575"/>
      <c r="M132" s="575"/>
      <c r="N132" s="575"/>
      <c r="O132" s="575"/>
      <c r="P132" s="575"/>
      <c r="Q132" s="575"/>
      <c r="R132" s="575"/>
      <c r="S132" s="575"/>
      <c r="T132" s="575"/>
      <c r="U132" s="575"/>
      <c r="V132" s="575"/>
      <c r="W132" s="575"/>
      <c r="X132" s="575"/>
      <c r="Y132" s="575"/>
      <c r="Z132" s="575"/>
      <c r="AA132" s="575"/>
    </row>
    <row r="133" spans="1:27" ht="15.6" x14ac:dyDescent="0.3">
      <c r="A133" s="1264"/>
      <c r="B133" s="575"/>
      <c r="C133" s="575"/>
      <c r="D133" s="575"/>
      <c r="E133" s="575"/>
      <c r="F133" s="575"/>
      <c r="G133" s="575"/>
      <c r="H133" s="575"/>
      <c r="I133" s="575"/>
      <c r="J133" s="575"/>
      <c r="K133" s="575"/>
      <c r="L133" s="575"/>
      <c r="M133" s="575"/>
      <c r="N133" s="575"/>
      <c r="O133" s="575"/>
      <c r="P133" s="575"/>
      <c r="Q133" s="575"/>
      <c r="R133" s="575"/>
      <c r="S133" s="575"/>
      <c r="T133" s="575"/>
      <c r="U133" s="575"/>
      <c r="V133" s="575"/>
      <c r="W133" s="575"/>
      <c r="X133" s="575"/>
      <c r="Y133" s="575"/>
      <c r="Z133" s="575"/>
      <c r="AA133" s="575"/>
    </row>
    <row r="134" spans="1:27" ht="15.6" x14ac:dyDescent="0.3">
      <c r="A134" s="1264" t="s">
        <v>1921</v>
      </c>
      <c r="B134" s="575"/>
      <c r="C134" s="575"/>
      <c r="D134" s="575"/>
      <c r="E134" s="575"/>
      <c r="F134" s="575"/>
      <c r="G134" s="575"/>
      <c r="H134" s="575"/>
      <c r="I134" s="575"/>
      <c r="J134" s="575"/>
      <c r="K134" s="575"/>
      <c r="L134" s="575"/>
      <c r="M134" s="575"/>
      <c r="N134" s="575"/>
      <c r="O134" s="575"/>
      <c r="P134" s="575"/>
      <c r="Q134" s="575"/>
      <c r="R134" s="575"/>
      <c r="S134" s="575"/>
      <c r="T134" s="575"/>
      <c r="U134" s="575"/>
      <c r="V134" s="575"/>
      <c r="W134" s="575"/>
      <c r="X134" s="575"/>
      <c r="Y134" s="575"/>
      <c r="Z134" s="575"/>
      <c r="AA134" s="575"/>
    </row>
    <row r="135" spans="1:27" ht="15.6" x14ac:dyDescent="0.3">
      <c r="A135" s="1264" t="s">
        <v>1922</v>
      </c>
      <c r="B135" s="575"/>
      <c r="C135" s="575"/>
      <c r="D135" s="575"/>
      <c r="E135" s="575"/>
      <c r="F135" s="575"/>
      <c r="G135" s="575"/>
      <c r="H135" s="575"/>
      <c r="I135" s="575"/>
      <c r="J135" s="575"/>
      <c r="K135" s="575"/>
      <c r="L135" s="575"/>
      <c r="M135" s="575"/>
      <c r="N135" s="575"/>
      <c r="O135" s="575"/>
      <c r="P135" s="575"/>
      <c r="Q135" s="575"/>
      <c r="R135" s="575"/>
      <c r="S135" s="575"/>
      <c r="T135" s="575"/>
      <c r="U135" s="575"/>
      <c r="V135" s="575"/>
      <c r="W135" s="575"/>
      <c r="X135" s="575"/>
      <c r="Y135" s="575"/>
      <c r="Z135" s="575"/>
      <c r="AA135" s="575"/>
    </row>
    <row r="136" spans="1:27" ht="15.6" x14ac:dyDescent="0.3">
      <c r="A136" s="1264" t="s">
        <v>1923</v>
      </c>
      <c r="B136" s="575"/>
      <c r="C136" s="575"/>
      <c r="D136" s="575"/>
      <c r="E136" s="575"/>
      <c r="F136" s="575"/>
      <c r="G136" s="575"/>
      <c r="H136" s="575"/>
      <c r="I136" s="575"/>
      <c r="J136" s="575"/>
      <c r="K136" s="575"/>
      <c r="L136" s="575"/>
      <c r="M136" s="575"/>
      <c r="N136" s="575"/>
      <c r="O136" s="575"/>
      <c r="P136" s="575"/>
      <c r="Q136" s="575"/>
      <c r="R136" s="575"/>
      <c r="S136" s="575"/>
      <c r="T136" s="575"/>
      <c r="U136" s="575"/>
      <c r="V136" s="575"/>
      <c r="W136" s="575"/>
      <c r="X136" s="575"/>
      <c r="Y136" s="575"/>
      <c r="Z136" s="575"/>
      <c r="AA136" s="575"/>
    </row>
    <row r="137" spans="1:27" ht="15.6" x14ac:dyDescent="0.3">
      <c r="A137" s="1264" t="s">
        <v>1924</v>
      </c>
      <c r="B137" s="575"/>
      <c r="C137" s="575"/>
      <c r="D137" s="575"/>
      <c r="E137" s="575"/>
      <c r="F137" s="575"/>
      <c r="G137" s="575"/>
      <c r="H137" s="575"/>
      <c r="I137" s="575"/>
      <c r="J137" s="575"/>
      <c r="K137" s="575"/>
      <c r="L137" s="575"/>
      <c r="M137" s="575"/>
      <c r="N137" s="575"/>
      <c r="O137" s="575"/>
      <c r="P137" s="575"/>
      <c r="Q137" s="575"/>
      <c r="R137" s="575"/>
      <c r="S137" s="575"/>
      <c r="T137" s="575"/>
      <c r="U137" s="575"/>
      <c r="V137" s="575"/>
      <c r="W137" s="575"/>
      <c r="X137" s="575"/>
      <c r="Y137" s="575"/>
      <c r="Z137" s="575"/>
      <c r="AA137" s="575"/>
    </row>
    <row r="138" spans="1:27" ht="15.6" x14ac:dyDescent="0.3">
      <c r="A138" s="1264" t="s">
        <v>1925</v>
      </c>
      <c r="B138" s="575"/>
      <c r="C138" s="575"/>
      <c r="D138" s="575"/>
      <c r="E138" s="575"/>
      <c r="F138" s="575"/>
      <c r="G138" s="575"/>
      <c r="H138" s="575"/>
      <c r="I138" s="575"/>
      <c r="J138" s="575"/>
      <c r="K138" s="575"/>
      <c r="L138" s="575"/>
      <c r="M138" s="575"/>
      <c r="N138" s="575"/>
      <c r="O138" s="575"/>
      <c r="P138" s="575"/>
      <c r="Q138" s="575"/>
      <c r="R138" s="575"/>
      <c r="S138" s="575"/>
      <c r="T138" s="575"/>
      <c r="U138" s="575"/>
      <c r="V138" s="575"/>
      <c r="W138" s="575"/>
      <c r="X138" s="575"/>
      <c r="Y138" s="575"/>
      <c r="Z138" s="575"/>
      <c r="AA138" s="575"/>
    </row>
    <row r="139" spans="1:27" ht="15.6" x14ac:dyDescent="0.3">
      <c r="A139" s="1264" t="s">
        <v>1926</v>
      </c>
      <c r="B139" s="575"/>
      <c r="C139" s="575"/>
      <c r="D139" s="575"/>
      <c r="E139" s="575"/>
      <c r="F139" s="575"/>
      <c r="G139" s="575"/>
      <c r="H139" s="575"/>
      <c r="I139" s="575"/>
      <c r="J139" s="575"/>
      <c r="K139" s="575"/>
      <c r="L139" s="575"/>
      <c r="M139" s="575"/>
      <c r="N139" s="575"/>
      <c r="O139" s="575"/>
      <c r="P139" s="575"/>
      <c r="Q139" s="575"/>
      <c r="R139" s="575"/>
      <c r="S139" s="575"/>
      <c r="T139" s="575"/>
      <c r="U139" s="575"/>
      <c r="V139" s="575"/>
      <c r="W139" s="575"/>
      <c r="X139" s="575"/>
      <c r="Y139" s="575"/>
      <c r="Z139" s="575"/>
      <c r="AA139" s="575"/>
    </row>
    <row r="140" spans="1:27" ht="15.6" x14ac:dyDescent="0.3">
      <c r="A140" s="1264" t="s">
        <v>1927</v>
      </c>
      <c r="B140" s="575"/>
      <c r="C140" s="575"/>
      <c r="D140" s="575"/>
      <c r="E140" s="575"/>
      <c r="F140" s="575"/>
      <c r="G140" s="575"/>
      <c r="H140" s="575"/>
      <c r="I140" s="575"/>
      <c r="J140" s="575"/>
      <c r="K140" s="575"/>
      <c r="L140" s="575"/>
      <c r="M140" s="575"/>
      <c r="N140" s="575"/>
      <c r="O140" s="575"/>
      <c r="P140" s="575"/>
      <c r="Q140" s="575"/>
      <c r="R140" s="575"/>
      <c r="S140" s="575"/>
      <c r="T140" s="575"/>
      <c r="U140" s="575"/>
      <c r="V140" s="575"/>
      <c r="W140" s="575"/>
      <c r="X140" s="575"/>
      <c r="Y140" s="575"/>
      <c r="Z140" s="575"/>
      <c r="AA140" s="575"/>
    </row>
    <row r="141" spans="1:27" ht="15.6" x14ac:dyDescent="0.3">
      <c r="A141" s="1264" t="s">
        <v>1928</v>
      </c>
      <c r="B141" s="575"/>
      <c r="C141" s="575"/>
      <c r="D141" s="575"/>
      <c r="E141" s="575"/>
      <c r="F141" s="575"/>
      <c r="G141" s="575"/>
      <c r="H141" s="575"/>
      <c r="I141" s="575"/>
      <c r="J141" s="575"/>
      <c r="K141" s="575"/>
      <c r="L141" s="575"/>
      <c r="M141" s="575"/>
      <c r="N141" s="575"/>
      <c r="O141" s="575"/>
      <c r="P141" s="575"/>
      <c r="Q141" s="575"/>
      <c r="R141" s="575"/>
      <c r="S141" s="575"/>
      <c r="T141" s="575"/>
      <c r="U141" s="575"/>
      <c r="V141" s="575"/>
      <c r="W141" s="575"/>
      <c r="X141" s="575"/>
      <c r="Y141" s="575"/>
      <c r="Z141" s="575"/>
      <c r="AA141" s="575"/>
    </row>
    <row r="142" spans="1:27" s="1011" customFormat="1" ht="15.6" x14ac:dyDescent="0.3">
      <c r="A142" s="1264"/>
      <c r="B142" s="575"/>
      <c r="C142" s="575"/>
      <c r="D142" s="575"/>
      <c r="E142" s="575"/>
      <c r="F142" s="575"/>
      <c r="G142" s="575"/>
      <c r="H142" s="575"/>
      <c r="I142" s="575"/>
      <c r="J142" s="575"/>
      <c r="K142" s="575"/>
      <c r="L142" s="575"/>
      <c r="M142" s="575"/>
      <c r="N142" s="575"/>
      <c r="O142" s="575"/>
      <c r="P142" s="575"/>
      <c r="Q142" s="575"/>
      <c r="R142" s="575"/>
      <c r="S142" s="575"/>
      <c r="T142" s="575"/>
      <c r="U142" s="575"/>
      <c r="V142" s="575"/>
      <c r="W142" s="575"/>
      <c r="X142" s="575"/>
      <c r="Y142" s="575"/>
      <c r="Z142" s="575"/>
      <c r="AA142" s="575"/>
    </row>
    <row r="143" spans="1:27" x14ac:dyDescent="0.3">
      <c r="A143" s="575"/>
      <c r="B143" s="575"/>
      <c r="C143" s="575"/>
      <c r="D143" s="575"/>
      <c r="E143" s="575"/>
      <c r="F143" s="575"/>
      <c r="G143" s="1265" t="s">
        <v>1973</v>
      </c>
      <c r="H143" s="1265"/>
      <c r="I143" s="575"/>
      <c r="J143" s="575"/>
      <c r="K143" s="575"/>
      <c r="L143" s="575"/>
      <c r="M143" s="575"/>
      <c r="N143" s="575"/>
      <c r="O143" s="575"/>
      <c r="P143" s="575"/>
      <c r="Q143" s="575"/>
      <c r="R143" s="575"/>
      <c r="S143" s="575"/>
      <c r="T143" s="575"/>
      <c r="U143" s="575"/>
      <c r="V143" s="575"/>
      <c r="W143" s="575"/>
      <c r="X143" s="575"/>
      <c r="Y143" s="575"/>
      <c r="Z143" s="575"/>
      <c r="AA143" s="575"/>
    </row>
    <row r="144" spans="1:27" x14ac:dyDescent="0.3">
      <c r="A144" s="1266" t="s">
        <v>1935</v>
      </c>
      <c r="B144" s="575"/>
      <c r="C144" s="1267" t="s">
        <v>1930</v>
      </c>
      <c r="D144" s="1267" t="s">
        <v>1931</v>
      </c>
      <c r="E144" s="1267" t="s">
        <v>1932</v>
      </c>
      <c r="F144" s="575"/>
      <c r="G144" s="1267" t="s">
        <v>1962</v>
      </c>
      <c r="H144" s="1267" t="s">
        <v>1963</v>
      </c>
      <c r="I144" s="1267" t="s">
        <v>1964</v>
      </c>
      <c r="J144" s="575"/>
      <c r="K144" s="575"/>
      <c r="L144" s="575" t="s">
        <v>1961</v>
      </c>
      <c r="M144" s="575"/>
      <c r="N144" s="575"/>
      <c r="O144" s="575"/>
      <c r="P144" s="575"/>
      <c r="Q144" s="575"/>
      <c r="R144" s="575"/>
      <c r="S144" s="575"/>
      <c r="T144" s="575"/>
      <c r="U144" s="575"/>
      <c r="V144" s="575"/>
      <c r="W144" s="575"/>
      <c r="X144" s="575"/>
      <c r="Y144" s="575"/>
      <c r="Z144" s="575"/>
      <c r="AA144" s="575"/>
    </row>
    <row r="145" spans="1:27" x14ac:dyDescent="0.3">
      <c r="A145" s="575"/>
      <c r="B145" s="1268" t="s">
        <v>1934</v>
      </c>
      <c r="C145" s="1269">
        <v>2261.4</v>
      </c>
      <c r="D145" s="1269">
        <v>949.57550000000003</v>
      </c>
      <c r="E145" s="1269">
        <v>1311.9</v>
      </c>
      <c r="F145" s="575"/>
      <c r="G145" s="1263">
        <f>(TOTALS!L120-TOTALS!AD120)/1000000000</f>
        <v>488.39903405699999</v>
      </c>
      <c r="H145" s="1263">
        <f>Q151/1000</f>
        <v>794.4807487999999</v>
      </c>
      <c r="I145" s="1270"/>
      <c r="J145" s="575"/>
      <c r="K145" s="575"/>
      <c r="L145" s="575"/>
      <c r="M145" s="575"/>
      <c r="N145" s="575"/>
      <c r="O145" s="575"/>
      <c r="P145" s="575"/>
      <c r="Q145" s="575"/>
      <c r="R145" s="575"/>
      <c r="S145" s="575"/>
      <c r="T145" s="575"/>
      <c r="U145" s="575"/>
      <c r="V145" s="575"/>
      <c r="W145" s="575"/>
      <c r="X145" s="575"/>
      <c r="Y145" s="575"/>
      <c r="Z145" s="575"/>
      <c r="AA145" s="575"/>
    </row>
    <row r="146" spans="1:27" x14ac:dyDescent="0.3">
      <c r="A146" s="575"/>
      <c r="B146" s="1268" t="s">
        <v>1933</v>
      </c>
      <c r="C146" s="1271">
        <f>(D146*D$145+E146*E$145)/(D$145+E$145)</f>
        <v>0.15762375714439533</v>
      </c>
      <c r="D146" s="1272">
        <v>0.03</v>
      </c>
      <c r="E146" s="1272">
        <v>0.25</v>
      </c>
      <c r="F146" s="575"/>
      <c r="G146" s="1273">
        <f>SUM(E151:H151)/I151</f>
        <v>0.11917723012436292</v>
      </c>
      <c r="H146" s="1273">
        <f>SUM(M151:P151)/Q151</f>
        <v>3.7686493282906852E-2</v>
      </c>
      <c r="I146" s="1273">
        <f>SUM(E158:H158)/SUM(B158:H158)</f>
        <v>0.11843234384128939</v>
      </c>
      <c r="J146" s="575"/>
      <c r="K146" s="575"/>
      <c r="L146" s="1273">
        <f>0.4*I146+0.6*(G146*G145+H146*H145)/(G145+H145)</f>
        <v>8.8599203000488652E-2</v>
      </c>
      <c r="M146" s="575"/>
      <c r="N146" s="575"/>
      <c r="O146" s="575"/>
      <c r="P146" s="575"/>
      <c r="Q146" s="575"/>
      <c r="R146" s="575"/>
      <c r="S146" s="575"/>
      <c r="T146" s="575"/>
      <c r="U146" s="575"/>
      <c r="V146" s="575"/>
      <c r="W146" s="575"/>
      <c r="X146" s="575"/>
      <c r="Y146" s="575"/>
      <c r="Z146" s="575"/>
      <c r="AA146" s="575"/>
    </row>
    <row r="147" spans="1:27" x14ac:dyDescent="0.3">
      <c r="A147" s="575"/>
      <c r="B147" s="575"/>
      <c r="C147" s="1271">
        <f>(D147*D$145+E147*E$145)/(D$145+E$145)</f>
        <v>0.14086342926143569</v>
      </c>
      <c r="D147" s="1273">
        <f>P152</f>
        <v>3.1531135882001876E-2</v>
      </c>
      <c r="E147" s="575">
        <v>0.22</v>
      </c>
      <c r="F147" s="575"/>
      <c r="G147" s="575"/>
      <c r="H147" s="575"/>
      <c r="I147" s="575"/>
      <c r="J147" s="575"/>
      <c r="K147" s="575"/>
      <c r="L147" s="575"/>
      <c r="M147" s="575"/>
      <c r="N147" s="575"/>
      <c r="O147" s="575"/>
      <c r="P147" s="575"/>
      <c r="Q147" s="575"/>
      <c r="R147" s="575"/>
      <c r="S147" s="575"/>
      <c r="T147" s="575"/>
      <c r="U147" s="575"/>
      <c r="V147" s="575"/>
      <c r="W147" s="575"/>
      <c r="X147" s="575"/>
      <c r="Y147" s="575"/>
      <c r="Z147" s="575"/>
      <c r="AA147" s="575"/>
    </row>
    <row r="148" spans="1:27" x14ac:dyDescent="0.3">
      <c r="A148" s="575"/>
      <c r="B148" s="575"/>
      <c r="C148" s="575"/>
      <c r="D148" s="575"/>
      <c r="E148" s="575"/>
      <c r="F148" s="575"/>
      <c r="G148" s="575"/>
      <c r="H148" s="575"/>
      <c r="I148" s="575"/>
      <c r="J148" s="575"/>
      <c r="K148" s="575"/>
      <c r="L148" s="575"/>
      <c r="M148" s="575"/>
      <c r="N148" s="575"/>
      <c r="O148" s="575"/>
      <c r="P148" s="575"/>
      <c r="Q148" s="575"/>
      <c r="R148" s="575"/>
      <c r="S148" s="575"/>
      <c r="T148" s="575"/>
      <c r="U148" s="575"/>
      <c r="V148" s="575"/>
      <c r="W148" s="575"/>
      <c r="X148" s="575"/>
      <c r="Y148" s="575"/>
      <c r="Z148" s="575"/>
      <c r="AA148" s="575"/>
    </row>
    <row r="149" spans="1:27" x14ac:dyDescent="0.3">
      <c r="A149" s="575"/>
      <c r="B149" s="575"/>
      <c r="C149" s="575"/>
      <c r="D149" s="575"/>
      <c r="E149" s="575"/>
      <c r="F149" s="575"/>
      <c r="G149" s="575"/>
      <c r="H149" s="575"/>
      <c r="I149" s="575"/>
      <c r="J149" s="575"/>
      <c r="K149" s="575"/>
      <c r="L149" s="575"/>
      <c r="M149" s="575"/>
      <c r="N149" s="575"/>
      <c r="O149" s="575"/>
      <c r="P149" s="575"/>
      <c r="Q149" s="575"/>
      <c r="R149" s="575"/>
      <c r="S149" s="575"/>
      <c r="T149" s="575"/>
      <c r="U149" s="575"/>
      <c r="V149" s="575"/>
      <c r="W149" s="575"/>
      <c r="X149" s="575"/>
      <c r="Y149" s="575"/>
      <c r="Z149" s="575"/>
      <c r="AA149" s="575"/>
    </row>
    <row r="150" spans="1:27" x14ac:dyDescent="0.3">
      <c r="A150" s="575" t="s">
        <v>1960</v>
      </c>
      <c r="B150" s="575" t="s">
        <v>1936</v>
      </c>
      <c r="C150" s="575" t="s">
        <v>1937</v>
      </c>
      <c r="D150" s="575" t="s">
        <v>1938</v>
      </c>
      <c r="E150" s="575" t="s">
        <v>1939</v>
      </c>
      <c r="F150" s="575" t="s">
        <v>1940</v>
      </c>
      <c r="G150" s="575" t="s">
        <v>1941</v>
      </c>
      <c r="H150" s="575" t="s">
        <v>1942</v>
      </c>
      <c r="I150" s="575" t="s">
        <v>1943</v>
      </c>
      <c r="J150" s="575" t="s">
        <v>1944</v>
      </c>
      <c r="K150" s="575" t="s">
        <v>1945</v>
      </c>
      <c r="L150" s="575" t="s">
        <v>1946</v>
      </c>
      <c r="M150" s="575" t="s">
        <v>1947</v>
      </c>
      <c r="N150" s="575" t="s">
        <v>1948</v>
      </c>
      <c r="O150" s="575" t="s">
        <v>1949</v>
      </c>
      <c r="P150" s="575" t="s">
        <v>1950</v>
      </c>
      <c r="Q150" s="575" t="s">
        <v>1951</v>
      </c>
      <c r="R150" s="575" t="s">
        <v>1952</v>
      </c>
      <c r="S150" s="575" t="s">
        <v>1953</v>
      </c>
      <c r="T150" s="575" t="s">
        <v>1954</v>
      </c>
      <c r="U150" s="575" t="s">
        <v>1955</v>
      </c>
      <c r="V150" s="575" t="s">
        <v>1956</v>
      </c>
      <c r="W150" s="575" t="s">
        <v>1957</v>
      </c>
      <c r="X150" s="575" t="s">
        <v>1958</v>
      </c>
      <c r="Y150" s="575" t="s">
        <v>1959</v>
      </c>
      <c r="Z150" s="575"/>
      <c r="AA150" s="575"/>
    </row>
    <row r="151" spans="1:27" x14ac:dyDescent="0.3">
      <c r="A151" s="575">
        <v>12</v>
      </c>
      <c r="B151" s="575">
        <v>197985.61240000001</v>
      </c>
      <c r="C151" s="575">
        <v>76107.067194999996</v>
      </c>
      <c r="D151" s="575">
        <v>112510.25079999999</v>
      </c>
      <c r="E151" s="575">
        <v>23801.635955000002</v>
      </c>
      <c r="F151" s="575">
        <v>22593.891645</v>
      </c>
      <c r="G151" s="575">
        <v>6806.4117790999999</v>
      </c>
      <c r="H151" s="575">
        <v>1093.8309002999999</v>
      </c>
      <c r="I151" s="575">
        <v>455588.45614000002</v>
      </c>
      <c r="J151" s="575">
        <v>512458.13152</v>
      </c>
      <c r="K151" s="575">
        <v>111018.02337</v>
      </c>
      <c r="L151" s="575">
        <v>117419.77625</v>
      </c>
      <c r="M151" s="575">
        <v>14880.270521</v>
      </c>
      <c r="N151" s="575">
        <v>11181.807615</v>
      </c>
      <c r="O151" s="575">
        <v>3012.5853983000002</v>
      </c>
      <c r="P151" s="575">
        <v>866.52986874999999</v>
      </c>
      <c r="Q151" s="575">
        <v>794480.74879999994</v>
      </c>
      <c r="R151" s="575">
        <v>710443.74390999996</v>
      </c>
      <c r="S151" s="575">
        <v>187125.09056000001</v>
      </c>
      <c r="T151" s="575">
        <v>229930.02705</v>
      </c>
      <c r="U151" s="575">
        <v>38681.906475999996</v>
      </c>
      <c r="V151" s="575">
        <v>33775.699260000001</v>
      </c>
      <c r="W151" s="575">
        <v>9818.9971772999997</v>
      </c>
      <c r="X151" s="575">
        <v>1960.3607691</v>
      </c>
      <c r="Y151" s="575">
        <v>1346392.3485999999</v>
      </c>
      <c r="Z151" s="575"/>
      <c r="AA151" s="575"/>
    </row>
    <row r="152" spans="1:27" x14ac:dyDescent="0.3">
      <c r="A152" s="575"/>
      <c r="B152" s="575"/>
      <c r="C152" s="575"/>
      <c r="D152" s="575"/>
      <c r="E152" s="575"/>
      <c r="F152" s="575"/>
      <c r="G152" s="575"/>
      <c r="H152" s="1273">
        <f>SUM(E151:H151)/I151</f>
        <v>0.11917723012436292</v>
      </c>
      <c r="I152" s="575"/>
      <c r="J152" s="575"/>
      <c r="K152" s="575"/>
      <c r="L152" s="575"/>
      <c r="M152" s="575"/>
      <c r="N152" s="575"/>
      <c r="O152" s="575"/>
      <c r="P152" s="1273">
        <f>SUM(M151:P151)/'T-T1'!BI63</f>
        <v>3.1531135882001876E-2</v>
      </c>
      <c r="Q152" s="575"/>
      <c r="R152" s="575"/>
      <c r="S152" s="575"/>
      <c r="T152" s="575"/>
      <c r="U152" s="575"/>
      <c r="V152" s="575"/>
      <c r="W152" s="575"/>
      <c r="X152" s="1273">
        <f>SUM(U151:X151)/Y151</f>
        <v>6.2564945329636593E-2</v>
      </c>
      <c r="Y152" s="575"/>
      <c r="Z152" s="575"/>
      <c r="AA152" s="575"/>
    </row>
    <row r="153" spans="1:27" x14ac:dyDescent="0.3">
      <c r="A153" s="575"/>
      <c r="B153" s="575"/>
      <c r="C153" s="575"/>
      <c r="D153" s="575"/>
      <c r="E153" s="575"/>
      <c r="F153" s="575"/>
      <c r="G153" s="575"/>
      <c r="H153" s="575"/>
      <c r="I153" s="575"/>
      <c r="J153" s="575"/>
      <c r="K153" s="575"/>
      <c r="L153" s="575"/>
      <c r="M153" s="575"/>
      <c r="N153" s="575"/>
      <c r="O153" s="575"/>
      <c r="P153" s="575"/>
      <c r="Q153" s="575"/>
      <c r="R153" s="575"/>
      <c r="S153" s="575"/>
      <c r="T153" s="575"/>
      <c r="U153" s="575"/>
      <c r="V153" s="575"/>
      <c r="W153" s="575"/>
      <c r="X153" s="575"/>
      <c r="Y153" s="575"/>
      <c r="Z153" s="575"/>
      <c r="AA153" s="575"/>
    </row>
    <row r="154" spans="1:27" x14ac:dyDescent="0.3">
      <c r="A154" s="575"/>
      <c r="B154" s="575">
        <v>208063.11658</v>
      </c>
      <c r="C154" s="575">
        <v>74600.470612000005</v>
      </c>
      <c r="D154" s="575">
        <v>103624.99159000001</v>
      </c>
      <c r="E154" s="575">
        <v>21193.575947000001</v>
      </c>
      <c r="F154" s="575">
        <v>19495.759300999998</v>
      </c>
      <c r="G154" s="575">
        <v>5799.0791583999999</v>
      </c>
      <c r="H154" s="575">
        <v>1012.7370117</v>
      </c>
      <c r="I154" s="575">
        <v>444484.05375000002</v>
      </c>
      <c r="J154" s="575">
        <v>488415.68953999999</v>
      </c>
      <c r="K154" s="575">
        <v>95114.442739000006</v>
      </c>
      <c r="L154" s="575">
        <v>96466.782206999997</v>
      </c>
      <c r="M154" s="575">
        <v>12877.536235</v>
      </c>
      <c r="N154" s="575">
        <v>10814.452325</v>
      </c>
      <c r="O154" s="575">
        <v>3153.7646500000001</v>
      </c>
      <c r="P154" s="575">
        <v>911.96905628000002</v>
      </c>
      <c r="Q154" s="575">
        <v>720116.12557999999</v>
      </c>
      <c r="R154" s="575">
        <v>696478.80611999996</v>
      </c>
      <c r="S154" s="575">
        <v>169714.91334999999</v>
      </c>
      <c r="T154" s="575">
        <v>200091.7738</v>
      </c>
      <c r="U154" s="575">
        <v>34071.112181999997</v>
      </c>
      <c r="V154" s="575">
        <v>30310.211626</v>
      </c>
      <c r="W154" s="575">
        <v>8952.8438084000009</v>
      </c>
      <c r="X154" s="575">
        <v>1924.706068</v>
      </c>
      <c r="Y154" s="575">
        <v>1189089.2875999999</v>
      </c>
      <c r="Z154" s="575"/>
      <c r="AA154" s="575"/>
    </row>
    <row r="155" spans="1:27" x14ac:dyDescent="0.3">
      <c r="A155" s="575"/>
      <c r="B155" s="575"/>
      <c r="C155" s="575"/>
      <c r="D155" s="575"/>
      <c r="E155" s="575"/>
      <c r="F155" s="575"/>
      <c r="G155" s="575"/>
      <c r="H155" s="1273">
        <f>SUM(E154:H154)/I154</f>
        <v>0.10686806650844896</v>
      </c>
      <c r="I155" s="575"/>
      <c r="J155" s="575"/>
      <c r="K155" s="575"/>
      <c r="L155" s="575"/>
      <c r="M155" s="575"/>
      <c r="N155" s="575"/>
      <c r="O155" s="575"/>
      <c r="P155" s="1273">
        <f>SUM(M154:P154)/'T-T1'!BI63</f>
        <v>2.9231717679756439E-2</v>
      </c>
      <c r="Q155" s="575"/>
      <c r="R155" s="575"/>
      <c r="S155" s="575"/>
      <c r="T155" s="575"/>
      <c r="U155" s="575"/>
      <c r="V155" s="575"/>
      <c r="W155" s="575"/>
      <c r="X155" s="1273">
        <f>SUM(U154:X154)/Y154</f>
        <v>6.3291188028696183E-2</v>
      </c>
      <c r="Y155" s="575"/>
      <c r="Z155" s="575"/>
      <c r="AA155" s="575"/>
    </row>
    <row r="156" spans="1:27" x14ac:dyDescent="0.3">
      <c r="A156" s="575"/>
      <c r="B156" s="575"/>
      <c r="C156" s="575"/>
      <c r="D156" s="575"/>
      <c r="E156" s="575"/>
      <c r="F156" s="575"/>
      <c r="G156" s="575"/>
      <c r="H156" s="575"/>
      <c r="I156" s="575"/>
      <c r="J156" s="575"/>
      <c r="K156" s="575"/>
      <c r="L156" s="575"/>
      <c r="M156" s="575"/>
      <c r="N156" s="575"/>
      <c r="O156" s="575"/>
      <c r="P156" s="575"/>
      <c r="Q156" s="575"/>
      <c r="R156" s="575"/>
      <c r="S156" s="575"/>
      <c r="T156" s="575"/>
      <c r="U156" s="575"/>
      <c r="V156" s="575"/>
      <c r="W156" s="575"/>
      <c r="X156" s="575"/>
      <c r="Y156" s="575"/>
      <c r="Z156" s="575"/>
      <c r="AA156" s="575"/>
    </row>
    <row r="157" spans="1:27" x14ac:dyDescent="0.3">
      <c r="A157" s="575"/>
      <c r="B157" s="575" t="s">
        <v>1965</v>
      </c>
      <c r="C157" s="575" t="s">
        <v>1966</v>
      </c>
      <c r="D157" s="575" t="s">
        <v>1967</v>
      </c>
      <c r="E157" s="575" t="s">
        <v>1968</v>
      </c>
      <c r="F157" s="575" t="s">
        <v>1969</v>
      </c>
      <c r="G157" s="575" t="s">
        <v>1970</v>
      </c>
      <c r="H157" s="575" t="s">
        <v>1971</v>
      </c>
      <c r="I157" s="575" t="s">
        <v>1972</v>
      </c>
      <c r="J157" s="575"/>
      <c r="K157" s="575"/>
      <c r="L157" s="575"/>
      <c r="M157" s="575"/>
      <c r="N157" s="575"/>
      <c r="O157" s="575"/>
      <c r="P157" s="575"/>
      <c r="Q157" s="575"/>
      <c r="R157" s="575"/>
      <c r="S157" s="575"/>
      <c r="T157" s="575"/>
      <c r="U157" s="575"/>
      <c r="V157" s="575"/>
      <c r="W157" s="575"/>
      <c r="X157" s="575"/>
      <c r="Y157" s="575"/>
      <c r="Z157" s="575"/>
      <c r="AA157" s="575"/>
    </row>
    <row r="158" spans="1:27" x14ac:dyDescent="0.3">
      <c r="A158" s="575"/>
      <c r="B158" s="575">
        <v>3419175.9224999999</v>
      </c>
      <c r="C158" s="575">
        <v>817674.13535999996</v>
      </c>
      <c r="D158" s="575">
        <v>1008589.2347</v>
      </c>
      <c r="E158" s="575">
        <v>214038.54105999999</v>
      </c>
      <c r="F158" s="575">
        <v>253848.96814000001</v>
      </c>
      <c r="G158" s="575">
        <v>155608.60545</v>
      </c>
      <c r="H158" s="575">
        <v>81191.342466999995</v>
      </c>
      <c r="I158" s="575">
        <v>7034342.9820999997</v>
      </c>
      <c r="J158" s="575"/>
      <c r="K158" s="575"/>
      <c r="L158" s="575"/>
      <c r="M158" s="575"/>
      <c r="N158" s="575"/>
      <c r="O158" s="575"/>
      <c r="P158" s="575"/>
      <c r="Q158" s="575"/>
      <c r="R158" s="575"/>
      <c r="S158" s="575"/>
      <c r="T158" s="575"/>
      <c r="U158" s="575"/>
      <c r="V158" s="575"/>
      <c r="W158" s="575"/>
      <c r="X158" s="575"/>
      <c r="Y158" s="575"/>
      <c r="Z158" s="575"/>
      <c r="AA158" s="575"/>
    </row>
    <row r="159" spans="1:27" x14ac:dyDescent="0.3">
      <c r="A159" s="575"/>
      <c r="B159" s="575"/>
      <c r="C159" s="575"/>
      <c r="D159" s="575"/>
      <c r="E159" s="575"/>
      <c r="F159" s="575"/>
      <c r="G159" s="575"/>
      <c r="H159" s="1273">
        <f>SUM(E158:H158)/I158</f>
        <v>0.1001781486785886</v>
      </c>
      <c r="I159" s="575"/>
      <c r="J159" s="575"/>
      <c r="K159" s="575"/>
      <c r="L159" s="575"/>
      <c r="M159" s="575"/>
      <c r="N159" s="575"/>
      <c r="O159" s="575"/>
      <c r="P159" s="575"/>
      <c r="Q159" s="575"/>
      <c r="R159" s="575"/>
      <c r="S159" s="575"/>
      <c r="T159" s="575"/>
      <c r="U159" s="575"/>
      <c r="V159" s="575"/>
      <c r="W159" s="575"/>
      <c r="X159" s="575"/>
      <c r="Y159" s="575"/>
      <c r="Z159" s="575"/>
      <c r="AA159" s="575"/>
    </row>
    <row r="160" spans="1:27" x14ac:dyDescent="0.3">
      <c r="A160" s="575"/>
      <c r="B160" s="575"/>
      <c r="C160" s="575"/>
      <c r="D160" s="575"/>
      <c r="E160" s="575"/>
      <c r="F160" s="575"/>
      <c r="G160" s="575"/>
      <c r="H160" s="575"/>
      <c r="I160" s="575"/>
      <c r="J160" s="575"/>
      <c r="K160" s="575"/>
      <c r="L160" s="575"/>
      <c r="M160" s="575"/>
      <c r="N160" s="575"/>
      <c r="O160" s="575"/>
      <c r="P160" s="575"/>
      <c r="Q160" s="575"/>
      <c r="R160" s="575"/>
      <c r="S160" s="575"/>
      <c r="T160" s="575"/>
      <c r="U160" s="575"/>
      <c r="V160" s="575"/>
      <c r="W160" s="575"/>
      <c r="X160" s="575"/>
      <c r="Y160" s="575"/>
      <c r="Z160" s="575"/>
      <c r="AA160" s="575"/>
    </row>
    <row r="163" spans="1:6" ht="15.6" x14ac:dyDescent="0.3">
      <c r="A163" s="1345" t="s">
        <v>2191</v>
      </c>
    </row>
    <row r="164" spans="1:6" ht="15.6" x14ac:dyDescent="0.3">
      <c r="A164" s="1346" t="s">
        <v>2192</v>
      </c>
    </row>
    <row r="165" spans="1:6" ht="15.6" x14ac:dyDescent="0.3">
      <c r="A165" s="1346" t="s">
        <v>2193</v>
      </c>
    </row>
    <row r="166" spans="1:6" ht="15.6" x14ac:dyDescent="0.3">
      <c r="A166" s="1346" t="s">
        <v>2210</v>
      </c>
    </row>
    <row r="167" spans="1:6" ht="15.6" x14ac:dyDescent="0.3">
      <c r="A167" s="1346" t="s">
        <v>1922</v>
      </c>
    </row>
    <row r="168" spans="1:6" ht="15.6" x14ac:dyDescent="0.3">
      <c r="A168" s="1346" t="s">
        <v>1923</v>
      </c>
    </row>
    <row r="169" spans="1:6" ht="15.6" x14ac:dyDescent="0.3">
      <c r="A169" s="1346" t="s">
        <v>1924</v>
      </c>
    </row>
    <row r="170" spans="1:6" ht="15.6" x14ac:dyDescent="0.3">
      <c r="A170" s="1346" t="s">
        <v>2211</v>
      </c>
      <c r="F170" s="1347" t="s">
        <v>2212</v>
      </c>
    </row>
    <row r="171" spans="1:6" ht="15.6" x14ac:dyDescent="0.3">
      <c r="A171" s="1346" t="s">
        <v>1926</v>
      </c>
    </row>
    <row r="172" spans="1:6" ht="15.6" x14ac:dyDescent="0.3">
      <c r="A172" s="1346" t="s">
        <v>1927</v>
      </c>
    </row>
    <row r="173" spans="1:6" ht="15.6" x14ac:dyDescent="0.3">
      <c r="A173" s="1346" t="s">
        <v>2194</v>
      </c>
    </row>
    <row r="174" spans="1:6" ht="15.6" x14ac:dyDescent="0.3">
      <c r="A174" s="1346"/>
    </row>
    <row r="175" spans="1:6" ht="15.6" x14ac:dyDescent="0.3">
      <c r="A175" s="1346" t="s">
        <v>2195</v>
      </c>
    </row>
    <row r="176" spans="1:6" ht="15.6" x14ac:dyDescent="0.3">
      <c r="A176" s="1346" t="s">
        <v>2196</v>
      </c>
    </row>
    <row r="177" spans="1:1" ht="15.6" x14ac:dyDescent="0.3">
      <c r="A177" s="1346" t="s">
        <v>2197</v>
      </c>
    </row>
    <row r="178" spans="1:1" ht="15.6" x14ac:dyDescent="0.3">
      <c r="A178" s="1346"/>
    </row>
    <row r="179" spans="1:1" ht="15.6" x14ac:dyDescent="0.3">
      <c r="A179" s="1346" t="s">
        <v>2198</v>
      </c>
    </row>
    <row r="180" spans="1:1" ht="15.6" x14ac:dyDescent="0.3">
      <c r="A180" s="1346" t="s">
        <v>2199</v>
      </c>
    </row>
    <row r="181" spans="1:1" ht="15.6" x14ac:dyDescent="0.3">
      <c r="A181" s="1346" t="s">
        <v>2200</v>
      </c>
    </row>
    <row r="182" spans="1:1" ht="15.6" x14ac:dyDescent="0.3">
      <c r="A182" s="1346" t="s">
        <v>2201</v>
      </c>
    </row>
    <row r="183" spans="1:1" ht="15.6" x14ac:dyDescent="0.3">
      <c r="A183" s="1346" t="s">
        <v>2202</v>
      </c>
    </row>
    <row r="184" spans="1:1" ht="15.6" x14ac:dyDescent="0.3">
      <c r="A184" s="1346" t="s">
        <v>2203</v>
      </c>
    </row>
    <row r="185" spans="1:1" ht="15.6" x14ac:dyDescent="0.3">
      <c r="A185" s="1346"/>
    </row>
    <row r="186" spans="1:1" ht="15.6" x14ac:dyDescent="0.3">
      <c r="A186" s="1346" t="s">
        <v>2204</v>
      </c>
    </row>
    <row r="187" spans="1:1" ht="15.6" x14ac:dyDescent="0.3">
      <c r="A187" s="1346" t="s">
        <v>2205</v>
      </c>
    </row>
    <row r="188" spans="1:1" ht="15.6" x14ac:dyDescent="0.3">
      <c r="A188" s="1346" t="s">
        <v>2206</v>
      </c>
    </row>
    <row r="189" spans="1:1" ht="15.6" x14ac:dyDescent="0.3">
      <c r="A189" s="1346"/>
    </row>
    <row r="190" spans="1:1" ht="15.6" x14ac:dyDescent="0.3">
      <c r="A190" s="1346" t="s">
        <v>2207</v>
      </c>
    </row>
    <row r="191" spans="1:1" ht="15.6" x14ac:dyDescent="0.3">
      <c r="A191" s="1346" t="s">
        <v>2208</v>
      </c>
    </row>
    <row r="192" spans="1:1" ht="15.6" x14ac:dyDescent="0.3">
      <c r="A192" s="1346" t="s">
        <v>2209</v>
      </c>
    </row>
  </sheetData>
  <mergeCells count="5">
    <mergeCell ref="C3:J3"/>
    <mergeCell ref="L3:S3"/>
    <mergeCell ref="U3:AB3"/>
    <mergeCell ref="AD3:AJ3"/>
    <mergeCell ref="C69:J69"/>
  </mergeCells>
  <hyperlinks>
    <hyperlink ref="H1" location="Index!A1" display="Index"/>
  </hyperlink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Z137"/>
  <sheetViews>
    <sheetView workbookViewId="0">
      <selection activeCell="H1" sqref="H1"/>
    </sheetView>
  </sheetViews>
  <sheetFormatPr defaultRowHeight="14.4" x14ac:dyDescent="0.3"/>
  <cols>
    <col min="1" max="1" width="16" customWidth="1"/>
    <col min="3" max="3" width="15" customWidth="1"/>
    <col min="4" max="4" width="10.44140625" customWidth="1"/>
    <col min="5" max="5" width="12.21875" bestFit="1" customWidth="1"/>
    <col min="6" max="6" width="10.88671875" bestFit="1" customWidth="1"/>
    <col min="7" max="7" width="12.44140625" bestFit="1" customWidth="1"/>
    <col min="8" max="8" width="12.21875" customWidth="1"/>
    <col min="9" max="9" width="14.5546875" customWidth="1"/>
    <col min="10" max="10" width="14.88671875" customWidth="1"/>
    <col min="11" max="11" width="9.21875" bestFit="1" customWidth="1"/>
    <col min="12" max="12" width="10.109375" bestFit="1" customWidth="1"/>
    <col min="13" max="13" width="11.77734375" customWidth="1"/>
    <col min="14" max="14" width="10.109375" bestFit="1" customWidth="1"/>
    <col min="15" max="15" width="9.21875" bestFit="1" customWidth="1"/>
  </cols>
  <sheetData>
    <row r="1" spans="1:23" ht="15.6" x14ac:dyDescent="0.3">
      <c r="A1" s="75" t="s">
        <v>1167</v>
      </c>
      <c r="H1" s="463" t="s">
        <v>504</v>
      </c>
    </row>
    <row r="3" spans="1:23" x14ac:dyDescent="0.3">
      <c r="A3" s="75" t="s">
        <v>1023</v>
      </c>
    </row>
    <row r="4" spans="1:23" x14ac:dyDescent="0.3">
      <c r="A4" s="75" t="s">
        <v>1019</v>
      </c>
      <c r="B4" s="287" t="s">
        <v>1020</v>
      </c>
      <c r="C4" s="287" t="s">
        <v>1021</v>
      </c>
      <c r="D4" s="287" t="s">
        <v>764</v>
      </c>
      <c r="G4" s="979"/>
      <c r="Q4" s="975"/>
      <c r="R4" s="975"/>
      <c r="S4" s="975"/>
      <c r="T4" s="975"/>
      <c r="U4" s="975"/>
      <c r="V4" s="975"/>
      <c r="W4" s="975"/>
    </row>
    <row r="5" spans="1:23" x14ac:dyDescent="0.3">
      <c r="A5" s="502" t="s">
        <v>1022</v>
      </c>
      <c r="B5" s="170">
        <v>0.3</v>
      </c>
      <c r="C5" s="170">
        <v>0.1</v>
      </c>
      <c r="D5" s="80">
        <f t="shared" ref="D5:D17" si="0">B5-C5</f>
        <v>0.19999999999999998</v>
      </c>
      <c r="Q5" s="975"/>
      <c r="R5" s="975"/>
      <c r="S5" s="975"/>
      <c r="T5" s="975"/>
      <c r="U5" s="975"/>
      <c r="V5" s="975"/>
      <c r="W5" s="975"/>
    </row>
    <row r="6" spans="1:23" x14ac:dyDescent="0.3">
      <c r="A6" s="502" t="s">
        <v>1008</v>
      </c>
      <c r="B6" s="170">
        <v>1.6</v>
      </c>
      <c r="C6" s="170">
        <v>1.6</v>
      </c>
      <c r="D6" s="80">
        <f t="shared" si="0"/>
        <v>0</v>
      </c>
      <c r="Q6" s="975"/>
      <c r="R6" s="975"/>
      <c r="S6" s="975"/>
      <c r="T6" s="976"/>
      <c r="U6" s="975"/>
      <c r="V6" s="975"/>
      <c r="W6" s="975"/>
    </row>
    <row r="7" spans="1:23" x14ac:dyDescent="0.3">
      <c r="A7" s="502" t="s">
        <v>1009</v>
      </c>
      <c r="B7" s="170">
        <v>2.7</v>
      </c>
      <c r="C7" s="170">
        <v>2.7</v>
      </c>
      <c r="D7" s="80">
        <f t="shared" si="0"/>
        <v>0</v>
      </c>
      <c r="O7" s="73"/>
      <c r="T7" s="24"/>
    </row>
    <row r="8" spans="1:23" x14ac:dyDescent="0.3">
      <c r="A8" s="502" t="s">
        <v>1010</v>
      </c>
      <c r="B8" s="170">
        <v>3.9</v>
      </c>
      <c r="C8" s="170">
        <v>3.9</v>
      </c>
      <c r="D8" s="80">
        <f t="shared" si="0"/>
        <v>0</v>
      </c>
    </row>
    <row r="9" spans="1:23" x14ac:dyDescent="0.3">
      <c r="A9" s="502" t="s">
        <v>1011</v>
      </c>
      <c r="B9" s="170">
        <v>5.2</v>
      </c>
      <c r="C9" s="170">
        <v>5.2</v>
      </c>
      <c r="D9" s="80">
        <f t="shared" si="0"/>
        <v>0</v>
      </c>
    </row>
    <row r="10" spans="1:23" x14ac:dyDescent="0.3">
      <c r="A10" s="502" t="s">
        <v>1012</v>
      </c>
      <c r="B10" s="170">
        <v>6.7</v>
      </c>
      <c r="C10" s="170">
        <v>6.8</v>
      </c>
      <c r="D10" s="80">
        <f t="shared" si="0"/>
        <v>-9.9999999999999645E-2</v>
      </c>
    </row>
    <row r="11" spans="1:23" x14ac:dyDescent="0.3">
      <c r="A11" s="502" t="s">
        <v>1013</v>
      </c>
      <c r="B11" s="170">
        <v>8.8000000000000007</v>
      </c>
      <c r="C11" s="170">
        <v>8.9</v>
      </c>
      <c r="D11" s="80">
        <f t="shared" si="0"/>
        <v>-9.9999999999999645E-2</v>
      </c>
    </row>
    <row r="12" spans="1:23" x14ac:dyDescent="0.3">
      <c r="A12" s="502" t="s">
        <v>1014</v>
      </c>
      <c r="B12" s="170">
        <v>11.5</v>
      </c>
      <c r="C12" s="170">
        <v>11.7</v>
      </c>
      <c r="D12" s="80">
        <f t="shared" si="0"/>
        <v>-0.19999999999999929</v>
      </c>
    </row>
    <row r="13" spans="1:23" x14ac:dyDescent="0.3">
      <c r="A13" s="502" t="s">
        <v>1015</v>
      </c>
      <c r="B13" s="170">
        <v>15.6</v>
      </c>
      <c r="C13" s="80">
        <v>16</v>
      </c>
      <c r="D13" s="80">
        <f t="shared" si="0"/>
        <v>-0.40000000000000036</v>
      </c>
      <c r="G13" s="984"/>
      <c r="H13" s="879"/>
      <c r="I13" s="879"/>
      <c r="J13" s="879"/>
      <c r="K13" s="879"/>
      <c r="L13" s="879"/>
      <c r="M13" s="879"/>
      <c r="N13" s="879"/>
      <c r="O13" s="879"/>
    </row>
    <row r="14" spans="1:23" x14ac:dyDescent="0.3">
      <c r="A14" s="502" t="s">
        <v>1016</v>
      </c>
      <c r="B14" s="170">
        <v>10.9</v>
      </c>
      <c r="C14" s="80">
        <v>11</v>
      </c>
      <c r="D14" s="80">
        <f t="shared" si="0"/>
        <v>-9.9999999999999645E-2</v>
      </c>
      <c r="G14" s="983"/>
    </row>
    <row r="15" spans="1:23" x14ac:dyDescent="0.3">
      <c r="A15" s="502" t="s">
        <v>1017</v>
      </c>
      <c r="B15" s="170">
        <v>14.9</v>
      </c>
      <c r="C15" s="170">
        <v>14.4</v>
      </c>
      <c r="D15" s="80">
        <f t="shared" si="0"/>
        <v>0.5</v>
      </c>
      <c r="O15" s="879"/>
    </row>
    <row r="16" spans="1:23" x14ac:dyDescent="0.3">
      <c r="A16" s="502" t="s">
        <v>1018</v>
      </c>
      <c r="B16" s="170">
        <v>3.8</v>
      </c>
      <c r="C16" s="170">
        <v>3.7</v>
      </c>
      <c r="D16" s="80">
        <f t="shared" si="0"/>
        <v>9.9999999999999645E-2</v>
      </c>
      <c r="O16" s="73"/>
    </row>
    <row r="17" spans="1:26" x14ac:dyDescent="0.3">
      <c r="A17" t="s">
        <v>28</v>
      </c>
      <c r="B17" s="80">
        <v>14</v>
      </c>
      <c r="C17" s="170">
        <v>14.1</v>
      </c>
      <c r="D17" s="80">
        <f t="shared" si="0"/>
        <v>-9.9999999999999645E-2</v>
      </c>
    </row>
    <row r="18" spans="1:26" x14ac:dyDescent="0.3">
      <c r="A18" s="75" t="s">
        <v>246</v>
      </c>
      <c r="B18" s="287">
        <f>SUM(B5:B17)</f>
        <v>99.9</v>
      </c>
      <c r="C18" s="287">
        <f>SUM(C5:C17)</f>
        <v>100.10000000000001</v>
      </c>
      <c r="D18" s="287">
        <f>SUM(D5:D17)</f>
        <v>-0.19999999999999862</v>
      </c>
    </row>
    <row r="19" spans="1:26" s="655" customFormat="1" x14ac:dyDescent="0.3">
      <c r="A19" s="252" t="s">
        <v>1692</v>
      </c>
      <c r="B19" s="287"/>
      <c r="C19" s="287"/>
      <c r="D19" s="287"/>
    </row>
    <row r="21" spans="1:26" x14ac:dyDescent="0.3">
      <c r="A21" s="75" t="s">
        <v>1168</v>
      </c>
      <c r="B21" s="655"/>
      <c r="C21" s="655"/>
      <c r="D21" s="655"/>
      <c r="I21" s="738"/>
    </row>
    <row r="22" spans="1:26" x14ac:dyDescent="0.3">
      <c r="A22" s="75" t="s">
        <v>1021</v>
      </c>
      <c r="B22" s="738" t="s">
        <v>1169</v>
      </c>
      <c r="C22" s="287"/>
      <c r="D22" s="287"/>
      <c r="J22" s="738"/>
      <c r="L22" s="738"/>
    </row>
    <row r="23" spans="1:26" x14ac:dyDescent="0.3">
      <c r="A23" s="655" t="s">
        <v>1022</v>
      </c>
      <c r="B23" s="170">
        <v>13</v>
      </c>
      <c r="C23" s="170"/>
      <c r="D23" s="80"/>
      <c r="I23" s="1477"/>
      <c r="L23" s="80"/>
    </row>
    <row r="24" spans="1:26" x14ac:dyDescent="0.3">
      <c r="A24" s="655" t="s">
        <v>1008</v>
      </c>
      <c r="B24" s="170">
        <v>8</v>
      </c>
      <c r="C24" s="170"/>
      <c r="D24" s="80"/>
      <c r="I24" s="1477"/>
      <c r="J24" s="80"/>
      <c r="L24" s="80"/>
    </row>
    <row r="25" spans="1:26" x14ac:dyDescent="0.3">
      <c r="A25" s="655" t="s">
        <v>1009</v>
      </c>
      <c r="B25" s="170">
        <v>8</v>
      </c>
      <c r="C25" s="170"/>
      <c r="D25" s="80"/>
      <c r="J25" s="80"/>
      <c r="L25" s="80"/>
    </row>
    <row r="26" spans="1:26" x14ac:dyDescent="0.3">
      <c r="A26" s="655" t="s">
        <v>1010</v>
      </c>
      <c r="B26" s="170">
        <v>10</v>
      </c>
      <c r="C26" s="170"/>
      <c r="D26" s="80"/>
      <c r="J26" s="80"/>
      <c r="L26" s="80"/>
    </row>
    <row r="27" spans="1:26" x14ac:dyDescent="0.3">
      <c r="A27" s="655" t="s">
        <v>1011</v>
      </c>
      <c r="B27" s="170">
        <v>9</v>
      </c>
      <c r="C27" s="170"/>
      <c r="D27" s="80"/>
      <c r="J27" s="80"/>
      <c r="L27" s="80"/>
    </row>
    <row r="28" spans="1:26" x14ac:dyDescent="0.3">
      <c r="A28" s="655" t="s">
        <v>1012</v>
      </c>
      <c r="B28" s="170">
        <v>7</v>
      </c>
      <c r="C28" s="170"/>
      <c r="D28" s="80"/>
      <c r="J28" s="80"/>
      <c r="L28" s="80"/>
    </row>
    <row r="29" spans="1:26" x14ac:dyDescent="0.3">
      <c r="A29" s="655" t="s">
        <v>1013</v>
      </c>
      <c r="B29" s="170">
        <v>8</v>
      </c>
      <c r="C29" s="170"/>
      <c r="D29" s="80"/>
      <c r="J29" s="80"/>
      <c r="L29" s="80"/>
    </row>
    <row r="30" spans="1:26" x14ac:dyDescent="0.3">
      <c r="A30" s="655" t="s">
        <v>1014</v>
      </c>
      <c r="B30" s="170">
        <v>8</v>
      </c>
      <c r="C30" s="170"/>
      <c r="D30" s="80"/>
      <c r="J30" s="80"/>
      <c r="L30" s="80"/>
    </row>
    <row r="31" spans="1:26" x14ac:dyDescent="0.3">
      <c r="A31" s="655" t="s">
        <v>1015</v>
      </c>
      <c r="B31" s="170">
        <v>8</v>
      </c>
      <c r="C31" s="80"/>
      <c r="D31" s="80"/>
      <c r="I31" s="75"/>
      <c r="J31" s="982"/>
      <c r="L31" s="982"/>
      <c r="S31" s="12"/>
      <c r="T31" s="12"/>
      <c r="U31" s="12"/>
      <c r="V31" s="12"/>
      <c r="W31" s="12"/>
      <c r="X31" s="12"/>
      <c r="Y31" s="12"/>
      <c r="Z31" s="12"/>
    </row>
    <row r="32" spans="1:26" x14ac:dyDescent="0.3">
      <c r="A32" s="655" t="s">
        <v>1016</v>
      </c>
      <c r="B32" s="170">
        <v>5</v>
      </c>
      <c r="C32" s="80"/>
      <c r="D32" s="80"/>
      <c r="S32" s="12"/>
      <c r="T32" s="12"/>
      <c r="U32" s="12"/>
      <c r="V32" s="12"/>
      <c r="W32" s="12"/>
      <c r="X32" s="12"/>
      <c r="Y32" s="12"/>
      <c r="Z32" s="12"/>
    </row>
    <row r="33" spans="1:26" x14ac:dyDescent="0.3">
      <c r="A33" s="655" t="s">
        <v>1017</v>
      </c>
      <c r="B33" s="170">
        <v>10</v>
      </c>
      <c r="C33" s="170"/>
      <c r="D33" s="80"/>
      <c r="S33" s="732"/>
      <c r="T33" s="732"/>
      <c r="U33" s="732"/>
      <c r="V33" s="1082"/>
      <c r="W33" s="732"/>
      <c r="X33" s="732"/>
      <c r="Y33" s="732"/>
      <c r="Z33" s="12"/>
    </row>
    <row r="34" spans="1:26" x14ac:dyDescent="0.3">
      <c r="A34" s="655" t="s">
        <v>1018</v>
      </c>
      <c r="B34" s="170">
        <v>2</v>
      </c>
      <c r="C34" s="170"/>
      <c r="D34" s="80"/>
      <c r="J34" s="879"/>
      <c r="K34" s="879"/>
      <c r="L34" s="879"/>
      <c r="M34" s="879"/>
      <c r="N34" s="879"/>
      <c r="O34" s="879"/>
      <c r="P34" s="879"/>
      <c r="Q34" s="879"/>
      <c r="S34" s="1083"/>
      <c r="T34" s="1083"/>
      <c r="U34" s="1083"/>
      <c r="V34" s="1084"/>
      <c r="W34" s="1083"/>
      <c r="X34" s="1083"/>
      <c r="Y34" s="1083"/>
      <c r="Z34" s="12"/>
    </row>
    <row r="35" spans="1:26" x14ac:dyDescent="0.3">
      <c r="A35" s="655" t="s">
        <v>28</v>
      </c>
      <c r="B35" s="739">
        <v>3</v>
      </c>
      <c r="C35" s="170"/>
      <c r="D35" s="80"/>
      <c r="I35" s="984"/>
      <c r="S35" s="1083"/>
      <c r="T35" s="1083"/>
      <c r="U35" s="1083"/>
      <c r="V35" s="1084"/>
      <c r="W35" s="1083"/>
      <c r="X35" s="1083"/>
      <c r="Y35" s="1083"/>
      <c r="Z35" s="12"/>
    </row>
    <row r="36" spans="1:26" x14ac:dyDescent="0.3">
      <c r="A36" s="75" t="s">
        <v>246</v>
      </c>
      <c r="B36" s="287">
        <f>SUM(B23:B35)</f>
        <v>99</v>
      </c>
      <c r="C36" s="287"/>
      <c r="D36" s="287"/>
      <c r="Q36" s="879"/>
      <c r="S36" s="1083"/>
      <c r="T36" s="1083"/>
      <c r="U36" s="1083"/>
      <c r="V36" s="1084"/>
      <c r="W36" s="1083"/>
      <c r="X36" s="1083"/>
      <c r="Y36" s="1083"/>
      <c r="Z36" s="12"/>
    </row>
    <row r="37" spans="1:26" x14ac:dyDescent="0.3">
      <c r="A37" s="252" t="s">
        <v>1692</v>
      </c>
      <c r="Q37" s="73"/>
      <c r="V37" s="29"/>
    </row>
    <row r="39" spans="1:26" x14ac:dyDescent="0.3">
      <c r="A39" s="495" t="s">
        <v>1601</v>
      </c>
      <c r="B39" s="24"/>
      <c r="C39" s="24"/>
      <c r="D39" s="24"/>
      <c r="E39" s="24"/>
      <c r="F39" s="24"/>
      <c r="G39" s="24"/>
      <c r="H39" s="24"/>
      <c r="I39" s="738"/>
      <c r="J39" s="879"/>
    </row>
    <row r="40" spans="1:26" x14ac:dyDescent="0.3">
      <c r="A40" s="495" t="s">
        <v>1021</v>
      </c>
      <c r="B40" s="1176" t="s">
        <v>1169</v>
      </c>
      <c r="C40" s="563"/>
      <c r="D40" s="563"/>
      <c r="E40" s="24"/>
      <c r="F40" s="24"/>
      <c r="G40" s="24"/>
      <c r="H40" s="24"/>
      <c r="I40" s="879"/>
      <c r="J40" s="738"/>
    </row>
    <row r="41" spans="1:26" s="655" customFormat="1" x14ac:dyDescent="0.3">
      <c r="A41" s="1028" t="s">
        <v>1174</v>
      </c>
      <c r="B41" s="1178">
        <v>16.3</v>
      </c>
      <c r="C41" s="1029"/>
      <c r="D41" s="24"/>
      <c r="E41" s="1178"/>
      <c r="F41" s="24"/>
      <c r="G41" s="516"/>
      <c r="H41" s="516"/>
      <c r="J41" s="80"/>
    </row>
    <row r="42" spans="1:26" x14ac:dyDescent="0.3">
      <c r="A42" s="682" t="s">
        <v>1602</v>
      </c>
      <c r="B42" s="1178">
        <v>13.4</v>
      </c>
      <c r="C42" s="1029"/>
      <c r="D42" s="24"/>
      <c r="E42" s="1178"/>
      <c r="F42" s="24"/>
      <c r="G42" s="516"/>
      <c r="H42" s="516"/>
      <c r="I42" s="879"/>
      <c r="J42" s="80"/>
    </row>
    <row r="43" spans="1:26" x14ac:dyDescent="0.3">
      <c r="A43" s="24" t="s">
        <v>1170</v>
      </c>
      <c r="B43" s="1178">
        <v>11.8</v>
      </c>
      <c r="C43" s="1029"/>
      <c r="D43" s="24"/>
      <c r="E43" s="1178"/>
      <c r="F43" s="24"/>
      <c r="G43" s="516"/>
      <c r="H43" s="24"/>
      <c r="I43" s="879"/>
      <c r="J43" s="80"/>
    </row>
    <row r="44" spans="1:26" x14ac:dyDescent="0.3">
      <c r="A44" s="24" t="s">
        <v>1171</v>
      </c>
      <c r="B44" s="1178">
        <v>14.1</v>
      </c>
      <c r="C44" s="1029"/>
      <c r="D44" s="24"/>
      <c r="E44" s="1178"/>
      <c r="F44" s="24"/>
      <c r="G44" s="516"/>
      <c r="H44" s="516"/>
      <c r="I44" s="879"/>
      <c r="J44" s="80"/>
    </row>
    <row r="45" spans="1:26" x14ac:dyDescent="0.3">
      <c r="A45" s="24" t="s">
        <v>1172</v>
      </c>
      <c r="B45" s="1178">
        <v>14.6</v>
      </c>
      <c r="C45" s="1029"/>
      <c r="D45" s="24"/>
      <c r="E45" s="1178"/>
      <c r="F45" s="24"/>
      <c r="G45" s="516"/>
      <c r="H45" s="24"/>
      <c r="I45" s="879"/>
      <c r="J45" s="80"/>
    </row>
    <row r="46" spans="1:26" x14ac:dyDescent="0.3">
      <c r="A46" s="24" t="s">
        <v>1015</v>
      </c>
      <c r="B46" s="1178">
        <v>8.4</v>
      </c>
      <c r="C46" s="1029"/>
      <c r="D46" s="24"/>
      <c r="E46" s="1178"/>
      <c r="F46" s="24"/>
      <c r="G46" s="516"/>
      <c r="H46" s="24"/>
      <c r="I46" s="879"/>
      <c r="J46" s="80"/>
    </row>
    <row r="47" spans="1:26" x14ac:dyDescent="0.3">
      <c r="A47" s="24" t="s">
        <v>1016</v>
      </c>
      <c r="B47" s="1178">
        <v>6.1</v>
      </c>
      <c r="C47" s="1029"/>
      <c r="D47" s="24"/>
      <c r="E47" s="1178"/>
      <c r="F47" s="24"/>
      <c r="G47" s="516"/>
      <c r="H47" s="516"/>
      <c r="I47" s="879"/>
      <c r="J47" s="80"/>
    </row>
    <row r="48" spans="1:26" x14ac:dyDescent="0.3">
      <c r="A48" s="24" t="s">
        <v>1017</v>
      </c>
      <c r="B48" s="1178">
        <v>7.5</v>
      </c>
      <c r="C48" s="1029"/>
      <c r="D48" s="24"/>
      <c r="E48" s="1178"/>
      <c r="F48" s="24"/>
      <c r="G48" s="516"/>
      <c r="H48" s="516"/>
      <c r="I48" s="879"/>
      <c r="J48" s="80"/>
    </row>
    <row r="49" spans="1:10" s="1011" customFormat="1" x14ac:dyDescent="0.3">
      <c r="A49" s="24" t="s">
        <v>1018</v>
      </c>
      <c r="B49" s="1178">
        <v>2.6</v>
      </c>
      <c r="C49" s="1029"/>
      <c r="D49" s="248"/>
      <c r="E49" s="1178"/>
      <c r="F49" s="24"/>
      <c r="G49" s="516"/>
      <c r="H49" s="516"/>
      <c r="J49" s="80"/>
    </row>
    <row r="50" spans="1:10" x14ac:dyDescent="0.3">
      <c r="A50" s="24" t="s">
        <v>1842</v>
      </c>
      <c r="B50" s="1178">
        <v>2.9</v>
      </c>
      <c r="C50" s="1029"/>
      <c r="D50" s="24"/>
      <c r="E50" s="1178"/>
      <c r="F50" s="24"/>
      <c r="G50" s="516"/>
      <c r="H50" s="516"/>
      <c r="I50" s="75"/>
      <c r="J50" s="982"/>
    </row>
    <row r="51" spans="1:10" s="655" customFormat="1" x14ac:dyDescent="0.3">
      <c r="A51" s="24" t="s">
        <v>27</v>
      </c>
      <c r="B51" s="1178">
        <v>2.2999999999999998</v>
      </c>
      <c r="C51" s="1029"/>
      <c r="D51" s="24"/>
      <c r="E51" s="1178"/>
      <c r="F51" s="248"/>
      <c r="G51" s="516"/>
      <c r="H51" s="516"/>
      <c r="I51" s="579"/>
    </row>
    <row r="52" spans="1:10" x14ac:dyDescent="0.3">
      <c r="A52" s="495" t="s">
        <v>246</v>
      </c>
      <c r="B52" s="1177">
        <f>SUM(B41:B51)</f>
        <v>100</v>
      </c>
      <c r="C52" s="1177"/>
      <c r="D52" s="24"/>
      <c r="E52" s="1029"/>
      <c r="F52" s="24"/>
      <c r="G52" s="516"/>
      <c r="H52" s="445"/>
    </row>
    <row r="53" spans="1:10" x14ac:dyDescent="0.3">
      <c r="A53" s="682" t="s">
        <v>1841</v>
      </c>
      <c r="B53" s="24"/>
      <c r="C53" s="24"/>
      <c r="D53" s="24"/>
      <c r="E53" s="24"/>
      <c r="F53" s="24"/>
      <c r="G53" s="24"/>
      <c r="H53" s="24"/>
    </row>
    <row r="54" spans="1:10" x14ac:dyDescent="0.3">
      <c r="D54" s="75"/>
      <c r="G54" s="655"/>
    </row>
    <row r="55" spans="1:10" s="1011" customFormat="1" x14ac:dyDescent="0.3">
      <c r="A55" s="682"/>
      <c r="B55" s="24"/>
      <c r="C55" s="24"/>
      <c r="D55" s="1032"/>
      <c r="E55" s="24"/>
      <c r="F55" s="24"/>
      <c r="G55" s="24"/>
      <c r="H55" s="24"/>
      <c r="I55" s="24"/>
    </row>
    <row r="56" spans="1:10" x14ac:dyDescent="0.3">
      <c r="A56" s="404" t="s">
        <v>1693</v>
      </c>
      <c r="B56" s="11"/>
      <c r="C56" s="11"/>
      <c r="D56" s="12"/>
      <c r="F56" s="24"/>
      <c r="G56" s="24"/>
      <c r="H56" s="24"/>
      <c r="I56" s="24"/>
    </row>
    <row r="57" spans="1:10" x14ac:dyDescent="0.3">
      <c r="A57" s="24"/>
      <c r="B57" s="1453" t="s">
        <v>1169</v>
      </c>
      <c r="C57" s="1453"/>
      <c r="D57" s="760"/>
      <c r="E57" s="75" t="s">
        <v>2032</v>
      </c>
      <c r="F57" s="24"/>
      <c r="G57" s="24"/>
      <c r="H57" s="24"/>
      <c r="I57" s="24"/>
    </row>
    <row r="58" spans="1:10" x14ac:dyDescent="0.3">
      <c r="A58" s="1030" t="s">
        <v>1021</v>
      </c>
      <c r="B58" s="1021">
        <v>2001</v>
      </c>
      <c r="C58" s="1021">
        <v>1988</v>
      </c>
      <c r="E58" s="1278" t="s">
        <v>2028</v>
      </c>
      <c r="F58" s="1278" t="s">
        <v>2029</v>
      </c>
      <c r="G58" s="24"/>
      <c r="H58" s="24"/>
      <c r="I58" s="24"/>
    </row>
    <row r="59" spans="1:10" x14ac:dyDescent="0.3">
      <c r="A59" s="1028" t="s">
        <v>1174</v>
      </c>
      <c r="B59" s="1478">
        <f>B23+B24</f>
        <v>21</v>
      </c>
      <c r="C59" s="1178">
        <f t="shared" ref="C59:C67" si="1">B41</f>
        <v>16.3</v>
      </c>
      <c r="E59" s="1178">
        <f>$C59-SUM(C$76:D$78)*$C59/SUM($C$59:$C$66)</f>
        <v>16.172711496746203</v>
      </c>
      <c r="F59" s="1178">
        <f t="shared" ref="F59:F66" si="2">$C59-SUM($C$82:$D$84)*$C59/SUM($C$59:$C$66)</f>
        <v>16.045422993492409</v>
      </c>
      <c r="G59" s="24"/>
      <c r="H59" s="24"/>
      <c r="I59" s="24"/>
    </row>
    <row r="60" spans="1:10" x14ac:dyDescent="0.3">
      <c r="A60" s="682" t="s">
        <v>1602</v>
      </c>
      <c r="B60" s="1478"/>
      <c r="C60" s="1178">
        <f t="shared" si="1"/>
        <v>13.4</v>
      </c>
      <c r="E60" s="1178">
        <f t="shared" ref="E60:E66" si="3">C60-SUM(C$76:D$78)*C60/SUM(C$59:C$66)</f>
        <v>13.295357917570499</v>
      </c>
      <c r="F60" s="1178">
        <f t="shared" si="2"/>
        <v>13.190715835140999</v>
      </c>
      <c r="G60" s="24"/>
      <c r="H60" s="516"/>
      <c r="I60" s="24"/>
    </row>
    <row r="61" spans="1:10" x14ac:dyDescent="0.3">
      <c r="A61" s="24" t="s">
        <v>1170</v>
      </c>
      <c r="B61" s="170">
        <f>B25+B26</f>
        <v>18</v>
      </c>
      <c r="C61" s="1178">
        <f t="shared" si="1"/>
        <v>11.8</v>
      </c>
      <c r="E61" s="1178">
        <f t="shared" si="3"/>
        <v>11.707852494577008</v>
      </c>
      <c r="F61" s="1178">
        <f t="shared" si="2"/>
        <v>11.615704989154013</v>
      </c>
      <c r="G61" s="24"/>
      <c r="H61" s="24"/>
      <c r="I61" s="24"/>
    </row>
    <row r="62" spans="1:10" x14ac:dyDescent="0.3">
      <c r="A62" s="24" t="s">
        <v>1171</v>
      </c>
      <c r="B62" s="170">
        <f>B27+B28</f>
        <v>16</v>
      </c>
      <c r="C62" s="1178">
        <f t="shared" si="1"/>
        <v>14.1</v>
      </c>
      <c r="E62" s="1178">
        <f t="shared" si="3"/>
        <v>13.989891540130152</v>
      </c>
      <c r="F62" s="1178">
        <f t="shared" si="2"/>
        <v>13.879783080260303</v>
      </c>
      <c r="G62" s="24"/>
      <c r="H62" s="516"/>
      <c r="I62" s="24"/>
    </row>
    <row r="63" spans="1:10" x14ac:dyDescent="0.3">
      <c r="A63" s="24" t="s">
        <v>1172</v>
      </c>
      <c r="B63" s="170">
        <f>B29+B30</f>
        <v>16</v>
      </c>
      <c r="C63" s="1178">
        <f t="shared" si="1"/>
        <v>14.6</v>
      </c>
      <c r="E63" s="1178">
        <f t="shared" si="3"/>
        <v>14.485986984815618</v>
      </c>
      <c r="F63" s="1178">
        <f t="shared" si="2"/>
        <v>14.371973969631236</v>
      </c>
      <c r="G63" s="24"/>
      <c r="H63" s="24"/>
      <c r="I63" s="24"/>
    </row>
    <row r="64" spans="1:10" x14ac:dyDescent="0.3">
      <c r="A64" s="24" t="s">
        <v>1015</v>
      </c>
      <c r="B64" s="170">
        <f>B31</f>
        <v>8</v>
      </c>
      <c r="C64" s="1178">
        <f t="shared" si="1"/>
        <v>8.4</v>
      </c>
      <c r="E64" s="1178">
        <f t="shared" si="3"/>
        <v>8.3344034707158361</v>
      </c>
      <c r="F64" s="1178">
        <f t="shared" si="2"/>
        <v>8.2688069414316701</v>
      </c>
      <c r="G64" s="24"/>
      <c r="H64" s="24"/>
      <c r="I64" s="24"/>
    </row>
    <row r="65" spans="1:9" x14ac:dyDescent="0.3">
      <c r="A65" s="24" t="s">
        <v>1016</v>
      </c>
      <c r="B65" s="170">
        <f>B32</f>
        <v>5</v>
      </c>
      <c r="C65" s="1178">
        <f t="shared" si="1"/>
        <v>6.1</v>
      </c>
      <c r="E65" s="1178">
        <f t="shared" si="3"/>
        <v>6.0523644251626898</v>
      </c>
      <c r="F65" s="1178">
        <f t="shared" si="2"/>
        <v>6.0047288503253791</v>
      </c>
      <c r="G65" s="24"/>
      <c r="H65" s="24"/>
      <c r="I65" s="24"/>
    </row>
    <row r="66" spans="1:9" x14ac:dyDescent="0.3">
      <c r="A66" s="24" t="s">
        <v>1017</v>
      </c>
      <c r="B66" s="170">
        <f>B33</f>
        <v>10</v>
      </c>
      <c r="C66" s="1178">
        <f t="shared" si="1"/>
        <v>7.5</v>
      </c>
      <c r="E66" s="1178">
        <f t="shared" si="3"/>
        <v>7.4414316702819958</v>
      </c>
      <c r="F66" s="1178">
        <f t="shared" si="2"/>
        <v>7.3828633405639916</v>
      </c>
      <c r="G66" s="24"/>
      <c r="H66" s="24"/>
      <c r="I66" s="24"/>
    </row>
    <row r="67" spans="1:9" x14ac:dyDescent="0.3">
      <c r="A67" s="24" t="s">
        <v>1173</v>
      </c>
      <c r="B67" s="1479">
        <f>B34+B35</f>
        <v>5</v>
      </c>
      <c r="C67" s="1178">
        <f t="shared" si="1"/>
        <v>2.6</v>
      </c>
      <c r="E67" s="1178">
        <f>C67+C76+D76</f>
        <v>2.6985000000000001</v>
      </c>
      <c r="F67" s="1178">
        <f>C67+C82+D82</f>
        <v>2.7970000000000002</v>
      </c>
      <c r="G67" s="24"/>
      <c r="H67" s="24"/>
      <c r="I67" s="24"/>
    </row>
    <row r="68" spans="1:9" s="1011" customFormat="1" x14ac:dyDescent="0.3">
      <c r="A68" s="24" t="s">
        <v>1842</v>
      </c>
      <c r="B68" s="1479"/>
      <c r="C68" s="1178">
        <f>B50</f>
        <v>2.9</v>
      </c>
      <c r="E68" s="1178">
        <f>C68+C77+D77</f>
        <v>3.0205000000000002</v>
      </c>
      <c r="F68" s="1178">
        <f>C68+C83+D83</f>
        <v>3.1409999999999996</v>
      </c>
      <c r="G68" s="24"/>
      <c r="H68" s="24"/>
      <c r="I68" s="516"/>
    </row>
    <row r="69" spans="1:9" x14ac:dyDescent="0.3">
      <c r="A69" s="24" t="s">
        <v>27</v>
      </c>
      <c r="B69" s="1478"/>
      <c r="C69" s="1178">
        <f>B51</f>
        <v>2.2999999999999998</v>
      </c>
      <c r="E69" s="1178">
        <f>C69+C78+D78</f>
        <v>2.8009999999999997</v>
      </c>
      <c r="F69" s="1178">
        <f>C69+C84+D84</f>
        <v>3.302</v>
      </c>
      <c r="G69" s="24"/>
      <c r="H69" s="24"/>
      <c r="I69" s="24"/>
    </row>
    <row r="70" spans="1:9" x14ac:dyDescent="0.3">
      <c r="A70" s="1030" t="s">
        <v>246</v>
      </c>
      <c r="B70" s="1031">
        <f>SUM(B59:B69)</f>
        <v>99</v>
      </c>
      <c r="C70" s="1031">
        <f>SUM(C59:C69)</f>
        <v>100</v>
      </c>
      <c r="E70" s="1031">
        <f>SUM(E59:E69)</f>
        <v>100.00000000000001</v>
      </c>
      <c r="F70" s="1031">
        <f>SUM(F59:F69)</f>
        <v>100</v>
      </c>
      <c r="G70" s="24"/>
      <c r="H70" s="24"/>
      <c r="I70" s="24"/>
    </row>
    <row r="73" spans="1:9" x14ac:dyDescent="0.3">
      <c r="A73" s="75" t="s">
        <v>2026</v>
      </c>
    </row>
    <row r="74" spans="1:9" x14ac:dyDescent="0.3">
      <c r="B74" s="1281"/>
      <c r="C74" s="1281" t="s">
        <v>2019</v>
      </c>
      <c r="D74" s="1281" t="s">
        <v>2020</v>
      </c>
      <c r="E74" s="170" t="s">
        <v>2031</v>
      </c>
    </row>
    <row r="75" spans="1:9" s="1281" customFormat="1" x14ac:dyDescent="0.3">
      <c r="A75" s="1283" t="s">
        <v>2102</v>
      </c>
    </row>
    <row r="76" spans="1:9" s="1281" customFormat="1" x14ac:dyDescent="0.3">
      <c r="A76" s="24" t="s">
        <v>1173</v>
      </c>
      <c r="C76" s="424">
        <f>C82/2</f>
        <v>2.4000000000000021E-2</v>
      </c>
      <c r="D76" s="424">
        <f>D82/2</f>
        <v>7.4500000000000011E-2</v>
      </c>
      <c r="E76" s="424">
        <f>C76+D76</f>
        <v>9.8500000000000032E-2</v>
      </c>
    </row>
    <row r="77" spans="1:9" s="1281" customFormat="1" x14ac:dyDescent="0.3">
      <c r="A77" s="24" t="s">
        <v>1842</v>
      </c>
      <c r="C77" s="424">
        <f t="shared" ref="C77:D78" si="4">C83/2</f>
        <v>4.2999999999999983E-2</v>
      </c>
      <c r="D77" s="424">
        <f t="shared" si="4"/>
        <v>7.7499999999999986E-2</v>
      </c>
      <c r="E77" s="424">
        <f t="shared" ref="E77:E79" si="5">C77+D77</f>
        <v>0.12049999999999997</v>
      </c>
    </row>
    <row r="78" spans="1:9" s="1281" customFormat="1" x14ac:dyDescent="0.3">
      <c r="A78" s="24" t="s">
        <v>27</v>
      </c>
      <c r="C78" s="424">
        <f t="shared" si="4"/>
        <v>0.33</v>
      </c>
      <c r="D78" s="424">
        <f t="shared" si="4"/>
        <v>0.17100000000000001</v>
      </c>
      <c r="E78" s="424">
        <f t="shared" si="5"/>
        <v>0.501</v>
      </c>
    </row>
    <row r="79" spans="1:9" s="1281" customFormat="1" x14ac:dyDescent="0.3">
      <c r="A79" s="24" t="s">
        <v>2030</v>
      </c>
      <c r="C79" s="424">
        <f>SUM(C76:C78)</f>
        <v>0.39700000000000002</v>
      </c>
      <c r="D79" s="424">
        <f>SUM(D76:D78)</f>
        <v>0.32300000000000001</v>
      </c>
      <c r="E79" s="424">
        <f t="shared" si="5"/>
        <v>0.72</v>
      </c>
    </row>
    <row r="80" spans="1:9" s="1281" customFormat="1" x14ac:dyDescent="0.3">
      <c r="A80" s="24"/>
      <c r="C80" s="424"/>
      <c r="D80" s="170"/>
    </row>
    <row r="81" spans="1:5" s="1281" customFormat="1" x14ac:dyDescent="0.3">
      <c r="A81" s="1283" t="s">
        <v>2027</v>
      </c>
    </row>
    <row r="82" spans="1:5" s="1281" customFormat="1" x14ac:dyDescent="0.3">
      <c r="A82" s="24" t="s">
        <v>1173</v>
      </c>
      <c r="C82" s="424">
        <f>0.794-C83-C84</f>
        <v>4.8000000000000043E-2</v>
      </c>
      <c r="D82" s="424">
        <f>0.646-D83-D84</f>
        <v>0.14900000000000002</v>
      </c>
      <c r="E82" s="424">
        <f>C82+D82</f>
        <v>0.19700000000000006</v>
      </c>
    </row>
    <row r="83" spans="1:5" s="1281" customFormat="1" x14ac:dyDescent="0.3">
      <c r="A83" s="24" t="s">
        <v>1842</v>
      </c>
      <c r="C83" s="170">
        <f>0.746-C84</f>
        <v>8.5999999999999965E-2</v>
      </c>
      <c r="D83" s="424">
        <f>0.497-D84</f>
        <v>0.15499999999999997</v>
      </c>
      <c r="E83" s="424">
        <f t="shared" ref="E83:E85" si="6">C83+D83</f>
        <v>0.24099999999999994</v>
      </c>
    </row>
    <row r="84" spans="1:5" s="1281" customFormat="1" x14ac:dyDescent="0.3">
      <c r="A84" s="24" t="s">
        <v>27</v>
      </c>
      <c r="C84" s="424">
        <v>0.66</v>
      </c>
      <c r="D84" s="170">
        <v>0.34200000000000003</v>
      </c>
      <c r="E84" s="424">
        <f t="shared" si="6"/>
        <v>1.002</v>
      </c>
    </row>
    <row r="85" spans="1:5" s="1281" customFormat="1" x14ac:dyDescent="0.3">
      <c r="A85" s="24" t="s">
        <v>2030</v>
      </c>
      <c r="C85" s="424">
        <f>SUM(C82:C84)</f>
        <v>0.79400000000000004</v>
      </c>
      <c r="D85" s="424">
        <f>SUM(D82:D84)</f>
        <v>0.64600000000000002</v>
      </c>
      <c r="E85" s="424">
        <f t="shared" si="6"/>
        <v>1.44</v>
      </c>
    </row>
    <row r="86" spans="1:5" s="1281" customFormat="1" x14ac:dyDescent="0.3"/>
    <row r="87" spans="1:5" s="1281" customFormat="1" x14ac:dyDescent="0.3"/>
    <row r="88" spans="1:5" s="1281" customFormat="1" x14ac:dyDescent="0.3">
      <c r="A88" s="75" t="s">
        <v>2025</v>
      </c>
    </row>
    <row r="89" spans="1:5" x14ac:dyDescent="0.3">
      <c r="B89" t="s">
        <v>2021</v>
      </c>
      <c r="C89" t="s">
        <v>2019</v>
      </c>
      <c r="D89" t="s">
        <v>2020</v>
      </c>
    </row>
    <row r="90" spans="1:5" x14ac:dyDescent="0.3">
      <c r="A90" s="1281" t="s">
        <v>1976</v>
      </c>
      <c r="B90">
        <v>1933</v>
      </c>
      <c r="C90">
        <v>1956</v>
      </c>
      <c r="D90">
        <v>1970</v>
      </c>
    </row>
    <row r="91" spans="1:5" x14ac:dyDescent="0.3">
      <c r="A91" s="1281" t="s">
        <v>1977</v>
      </c>
      <c r="B91">
        <v>1959</v>
      </c>
      <c r="C91">
        <v>1959</v>
      </c>
      <c r="D91">
        <v>1967</v>
      </c>
    </row>
    <row r="92" spans="1:5" x14ac:dyDescent="0.3">
      <c r="A92" s="1281" t="s">
        <v>1978</v>
      </c>
      <c r="B92">
        <v>1933</v>
      </c>
      <c r="C92">
        <v>1954</v>
      </c>
      <c r="D92">
        <v>1966</v>
      </c>
    </row>
    <row r="93" spans="1:5" x14ac:dyDescent="0.3">
      <c r="A93" s="1281" t="s">
        <v>1979</v>
      </c>
      <c r="B93">
        <v>1929</v>
      </c>
      <c r="C93">
        <v>1956</v>
      </c>
      <c r="D93">
        <v>1963</v>
      </c>
    </row>
    <row r="94" spans="1:5" x14ac:dyDescent="0.3">
      <c r="A94" s="1281" t="s">
        <v>1980</v>
      </c>
      <c r="B94">
        <v>1935</v>
      </c>
      <c r="C94">
        <v>1971</v>
      </c>
      <c r="D94">
        <v>1961</v>
      </c>
    </row>
    <row r="95" spans="1:5" x14ac:dyDescent="0.3">
      <c r="A95" s="1281" t="s">
        <v>1981</v>
      </c>
      <c r="B95">
        <v>1937</v>
      </c>
      <c r="C95">
        <v>1954</v>
      </c>
      <c r="D95">
        <v>1952</v>
      </c>
    </row>
    <row r="96" spans="1:5" x14ac:dyDescent="0.3">
      <c r="A96" s="1281" t="s">
        <v>1982</v>
      </c>
      <c r="B96">
        <v>1969</v>
      </c>
      <c r="C96">
        <v>1970</v>
      </c>
    </row>
    <row r="97" spans="1:4" x14ac:dyDescent="0.3">
      <c r="A97" s="1281" t="s">
        <v>1983</v>
      </c>
      <c r="B97">
        <v>1917</v>
      </c>
      <c r="C97">
        <v>1949</v>
      </c>
      <c r="D97">
        <v>1965</v>
      </c>
    </row>
    <row r="98" spans="1:4" x14ac:dyDescent="0.3">
      <c r="A98" s="1281" t="s">
        <v>1984</v>
      </c>
      <c r="B98">
        <v>1929</v>
      </c>
      <c r="C98">
        <v>1960</v>
      </c>
      <c r="D98">
        <v>1968</v>
      </c>
    </row>
    <row r="99" spans="1:4" x14ac:dyDescent="0.3">
      <c r="A99" s="1281" t="s">
        <v>1985</v>
      </c>
      <c r="B99">
        <v>1959</v>
      </c>
      <c r="C99">
        <v>1959</v>
      </c>
      <c r="D99">
        <v>1965</v>
      </c>
    </row>
    <row r="100" spans="1:4" x14ac:dyDescent="0.3">
      <c r="A100" s="1281" t="s">
        <v>1986</v>
      </c>
      <c r="B100">
        <v>1931</v>
      </c>
      <c r="C100">
        <v>1955</v>
      </c>
      <c r="D100">
        <v>1964</v>
      </c>
    </row>
    <row r="101" spans="1:4" x14ac:dyDescent="0.3">
      <c r="A101" s="1281" t="s">
        <v>1987</v>
      </c>
      <c r="B101">
        <v>1969</v>
      </c>
      <c r="C101">
        <v>1969</v>
      </c>
      <c r="D101">
        <v>1963</v>
      </c>
    </row>
    <row r="102" spans="1:4" x14ac:dyDescent="0.3">
      <c r="A102" s="1281" t="s">
        <v>1988</v>
      </c>
      <c r="B102">
        <v>1963</v>
      </c>
      <c r="C102">
        <v>1963</v>
      </c>
      <c r="D102">
        <v>1961</v>
      </c>
    </row>
    <row r="103" spans="1:4" x14ac:dyDescent="0.3">
      <c r="A103" s="1281" t="s">
        <v>1989</v>
      </c>
      <c r="B103">
        <v>1934</v>
      </c>
      <c r="C103">
        <v>1966</v>
      </c>
      <c r="D103">
        <v>1962</v>
      </c>
    </row>
    <row r="104" spans="1:4" x14ac:dyDescent="0.3">
      <c r="A104" s="1281" t="s">
        <v>1990</v>
      </c>
      <c r="B104">
        <v>1933</v>
      </c>
      <c r="C104">
        <v>1966</v>
      </c>
      <c r="D104">
        <v>1960</v>
      </c>
    </row>
    <row r="105" spans="1:4" x14ac:dyDescent="0.3">
      <c r="A105" s="1281" t="s">
        <v>1991</v>
      </c>
      <c r="B105">
        <v>1936</v>
      </c>
      <c r="C105">
        <v>1954</v>
      </c>
      <c r="D105">
        <v>1951</v>
      </c>
    </row>
    <row r="106" spans="1:4" x14ac:dyDescent="0.3">
      <c r="A106" s="1281" t="s">
        <v>1992</v>
      </c>
      <c r="B106">
        <v>1934</v>
      </c>
      <c r="C106">
        <v>1961</v>
      </c>
      <c r="D106">
        <v>1971</v>
      </c>
    </row>
    <row r="107" spans="1:4" x14ac:dyDescent="0.3">
      <c r="A107" s="1281" t="s">
        <v>1993</v>
      </c>
      <c r="B107">
        <v>1969</v>
      </c>
      <c r="C107">
        <v>1969</v>
      </c>
      <c r="D107">
        <v>1964</v>
      </c>
    </row>
    <row r="108" spans="1:4" x14ac:dyDescent="0.3">
      <c r="A108" s="1281" t="s">
        <v>1994</v>
      </c>
      <c r="B108">
        <v>1937</v>
      </c>
      <c r="C108">
        <v>1955</v>
      </c>
      <c r="D108">
        <v>1963</v>
      </c>
    </row>
    <row r="109" spans="1:4" x14ac:dyDescent="0.3">
      <c r="A109" s="1281" t="s">
        <v>1995</v>
      </c>
      <c r="B109">
        <v>1916</v>
      </c>
      <c r="C109">
        <v>1959</v>
      </c>
      <c r="D109">
        <v>1963</v>
      </c>
    </row>
    <row r="110" spans="1:4" x14ac:dyDescent="0.3">
      <c r="A110" s="1281" t="s">
        <v>1996</v>
      </c>
      <c r="B110">
        <v>1967</v>
      </c>
      <c r="C110">
        <v>1967</v>
      </c>
      <c r="D110">
        <v>1965</v>
      </c>
    </row>
    <row r="111" spans="1:4" x14ac:dyDescent="0.3">
      <c r="A111" s="1281" t="s">
        <v>1997</v>
      </c>
      <c r="B111">
        <v>1933</v>
      </c>
      <c r="C111">
        <v>1961</v>
      </c>
      <c r="D111">
        <v>1957</v>
      </c>
    </row>
    <row r="112" spans="1:4" x14ac:dyDescent="0.3">
      <c r="A112" s="1281" t="s">
        <v>1998</v>
      </c>
      <c r="B112">
        <v>1912</v>
      </c>
      <c r="C112">
        <v>1968</v>
      </c>
      <c r="D112">
        <v>1966</v>
      </c>
    </row>
    <row r="113" spans="1:4" x14ac:dyDescent="0.3">
      <c r="A113" s="1281" t="s">
        <v>1999</v>
      </c>
      <c r="B113">
        <v>1917</v>
      </c>
      <c r="C113">
        <v>1961</v>
      </c>
      <c r="D113">
        <v>1962</v>
      </c>
    </row>
    <row r="114" spans="1:4" x14ac:dyDescent="0.3">
      <c r="A114" s="1281" t="s">
        <v>2000</v>
      </c>
      <c r="B114">
        <v>1933</v>
      </c>
      <c r="C114">
        <v>1955</v>
      </c>
      <c r="D114">
        <v>1951</v>
      </c>
    </row>
    <row r="115" spans="1:4" x14ac:dyDescent="0.3">
      <c r="A115" s="1281" t="s">
        <v>2001</v>
      </c>
      <c r="B115">
        <v>1967</v>
      </c>
      <c r="C115">
        <v>1967</v>
      </c>
      <c r="D115">
        <v>1963</v>
      </c>
    </row>
    <row r="116" spans="1:4" x14ac:dyDescent="0.3">
      <c r="A116" s="1281" t="s">
        <v>2012</v>
      </c>
      <c r="B116">
        <v>1976</v>
      </c>
      <c r="C116">
        <v>1976</v>
      </c>
      <c r="D116">
        <v>1966</v>
      </c>
    </row>
    <row r="117" spans="1:4" x14ac:dyDescent="0.3">
      <c r="A117" s="1281" t="s">
        <v>2013</v>
      </c>
      <c r="B117">
        <v>1933</v>
      </c>
      <c r="C117">
        <v>1961</v>
      </c>
      <c r="D117">
        <v>1963</v>
      </c>
    </row>
    <row r="118" spans="1:4" x14ac:dyDescent="0.3">
      <c r="A118" s="1281" t="s">
        <v>2014</v>
      </c>
      <c r="B118">
        <v>1919</v>
      </c>
      <c r="C118">
        <v>1959</v>
      </c>
      <c r="D118">
        <v>1963</v>
      </c>
    </row>
    <row r="119" spans="1:4" x14ac:dyDescent="0.3">
      <c r="A119" s="1281" t="s">
        <v>2015</v>
      </c>
      <c r="B119">
        <v>1921</v>
      </c>
      <c r="C119">
        <v>1959</v>
      </c>
      <c r="D119">
        <v>1950</v>
      </c>
    </row>
    <row r="120" spans="1:4" x14ac:dyDescent="0.3">
      <c r="A120" s="1281" t="s">
        <v>2016</v>
      </c>
      <c r="B120">
        <v>1919</v>
      </c>
      <c r="D120">
        <v>1964</v>
      </c>
    </row>
    <row r="121" spans="1:4" x14ac:dyDescent="0.3">
      <c r="A121" s="1281" t="s">
        <v>2002</v>
      </c>
      <c r="B121">
        <v>1971</v>
      </c>
      <c r="C121">
        <v>1971</v>
      </c>
      <c r="D121">
        <v>1961</v>
      </c>
    </row>
    <row r="122" spans="1:4" x14ac:dyDescent="0.3">
      <c r="A122" s="1281" t="s">
        <v>2003</v>
      </c>
      <c r="B122">
        <v>1915</v>
      </c>
      <c r="C122">
        <v>1961</v>
      </c>
      <c r="D122">
        <v>1963</v>
      </c>
    </row>
    <row r="123" spans="1:4" x14ac:dyDescent="0.3">
      <c r="A123" s="1281" t="s">
        <v>2004</v>
      </c>
      <c r="B123">
        <v>1930</v>
      </c>
      <c r="C123">
        <v>1948</v>
      </c>
      <c r="D123">
        <v>1961</v>
      </c>
    </row>
    <row r="124" spans="1:4" x14ac:dyDescent="0.3">
      <c r="A124" s="1281" t="s">
        <v>2005</v>
      </c>
      <c r="B124">
        <v>1971</v>
      </c>
      <c r="C124">
        <v>1971</v>
      </c>
      <c r="D124">
        <v>1965</v>
      </c>
    </row>
    <row r="125" spans="1:4" x14ac:dyDescent="0.3">
      <c r="A125" s="1281" t="s">
        <v>2017</v>
      </c>
      <c r="B125">
        <v>1971</v>
      </c>
      <c r="C125">
        <v>1971</v>
      </c>
      <c r="D125">
        <v>1970</v>
      </c>
    </row>
    <row r="126" spans="1:4" x14ac:dyDescent="0.3">
      <c r="A126" s="1281" t="s">
        <v>2018</v>
      </c>
      <c r="B126">
        <v>1922</v>
      </c>
      <c r="C126">
        <v>1959</v>
      </c>
      <c r="D126">
        <v>1964</v>
      </c>
    </row>
    <row r="127" spans="1:4" x14ac:dyDescent="0.3">
      <c r="A127" s="1281" t="s">
        <v>2006</v>
      </c>
      <c r="B127">
        <v>1931</v>
      </c>
      <c r="D127">
        <v>1963</v>
      </c>
    </row>
    <row r="128" spans="1:4" x14ac:dyDescent="0.3">
      <c r="A128" s="1281" t="s">
        <v>2007</v>
      </c>
      <c r="B128">
        <v>1931</v>
      </c>
      <c r="C128">
        <v>1959</v>
      </c>
      <c r="D128">
        <v>1961</v>
      </c>
    </row>
    <row r="129" spans="1:4" x14ac:dyDescent="0.3">
      <c r="A129" s="1281" t="s">
        <v>2008</v>
      </c>
      <c r="B129">
        <v>1931</v>
      </c>
      <c r="C129">
        <v>1951</v>
      </c>
      <c r="D129">
        <v>1965</v>
      </c>
    </row>
    <row r="130" spans="1:4" x14ac:dyDescent="0.3">
      <c r="A130" s="1281" t="s">
        <v>2009</v>
      </c>
      <c r="B130">
        <v>1961</v>
      </c>
      <c r="C130">
        <v>1963</v>
      </c>
      <c r="D130">
        <v>1963</v>
      </c>
    </row>
    <row r="131" spans="1:4" x14ac:dyDescent="0.3">
      <c r="A131" s="1281" t="s">
        <v>2011</v>
      </c>
      <c r="B131">
        <v>1961</v>
      </c>
      <c r="C131">
        <v>1961</v>
      </c>
      <c r="D131">
        <v>1962</v>
      </c>
    </row>
    <row r="132" spans="1:4" x14ac:dyDescent="0.3">
      <c r="A132" s="1281" t="s">
        <v>2010</v>
      </c>
      <c r="B132">
        <v>1911</v>
      </c>
      <c r="C132">
        <v>1962</v>
      </c>
      <c r="D132">
        <v>1950</v>
      </c>
    </row>
    <row r="134" spans="1:4" x14ac:dyDescent="0.3">
      <c r="A134" t="s">
        <v>2022</v>
      </c>
      <c r="B134" s="1281"/>
      <c r="C134">
        <f>MEDIAN(C90:C132)</f>
        <v>1961</v>
      </c>
      <c r="D134" s="1281">
        <f>MEDIAN(D90:D132)</f>
        <v>1963</v>
      </c>
    </row>
    <row r="135" spans="1:4" x14ac:dyDescent="0.3">
      <c r="A135" t="s">
        <v>1327</v>
      </c>
      <c r="B135" s="988"/>
      <c r="C135" s="988">
        <f>AVERAGE(C90:C132)</f>
        <v>1961.3658536585365</v>
      </c>
      <c r="D135" s="988">
        <f>AVERAGE(D90:D132)</f>
        <v>1962.3095238095239</v>
      </c>
    </row>
    <row r="136" spans="1:4" x14ac:dyDescent="0.3">
      <c r="A136" t="s">
        <v>2023</v>
      </c>
      <c r="B136" s="1281"/>
      <c r="C136">
        <f>MIN(C90:C132)</f>
        <v>1948</v>
      </c>
      <c r="D136" s="1281">
        <f>MIN(D90:D132)</f>
        <v>1950</v>
      </c>
    </row>
    <row r="137" spans="1:4" x14ac:dyDescent="0.3">
      <c r="A137" t="s">
        <v>2024</v>
      </c>
      <c r="B137" s="1281"/>
      <c r="C137">
        <f>MAX(C90:C132)</f>
        <v>1976</v>
      </c>
      <c r="D137" s="1281">
        <f>MAX(D90:D132)</f>
        <v>1971</v>
      </c>
    </row>
  </sheetData>
  <mergeCells count="4">
    <mergeCell ref="I23:I24"/>
    <mergeCell ref="B59:B60"/>
    <mergeCell ref="B67:B69"/>
    <mergeCell ref="B57:C57"/>
  </mergeCells>
  <hyperlinks>
    <hyperlink ref="H1" location="Index!A1" display="Index"/>
  </hyperlinks>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S62"/>
  <sheetViews>
    <sheetView workbookViewId="0"/>
  </sheetViews>
  <sheetFormatPr defaultColWidth="9.109375" defaultRowHeight="14.4" x14ac:dyDescent="0.3"/>
  <cols>
    <col min="1" max="1" width="8" style="655" customWidth="1"/>
    <col min="2" max="13" width="7.88671875" style="655" customWidth="1"/>
    <col min="14" max="14" width="11.5546875" style="655" customWidth="1"/>
    <col min="15" max="15" width="2.88671875" style="655" customWidth="1"/>
    <col min="16" max="16" width="11.21875" style="655" customWidth="1"/>
    <col min="17" max="16384" width="9.109375" style="655"/>
  </cols>
  <sheetData>
    <row r="1" spans="1:19" ht="15.6" x14ac:dyDescent="0.3">
      <c r="A1" s="740" t="s">
        <v>1196</v>
      </c>
      <c r="B1" s="585"/>
      <c r="C1" s="585"/>
      <c r="D1" s="585"/>
      <c r="E1" s="585"/>
      <c r="F1" s="585"/>
      <c r="K1" s="463" t="s">
        <v>504</v>
      </c>
    </row>
    <row r="2" spans="1:19" x14ac:dyDescent="0.3">
      <c r="A2" s="756" t="s">
        <v>1195</v>
      </c>
      <c r="B2" s="585"/>
      <c r="C2" s="585"/>
      <c r="D2" s="585"/>
      <c r="E2" s="585"/>
      <c r="F2" s="585"/>
    </row>
    <row r="3" spans="1:19" x14ac:dyDescent="0.3">
      <c r="A3" s="741"/>
      <c r="B3" s="742"/>
      <c r="C3" s="743"/>
      <c r="D3" s="743"/>
      <c r="E3" s="743"/>
      <c r="F3" s="743"/>
      <c r="G3" s="11"/>
      <c r="H3" s="11"/>
      <c r="I3" s="11"/>
      <c r="J3" s="11"/>
      <c r="K3" s="11"/>
      <c r="L3" s="11"/>
      <c r="M3" s="11"/>
      <c r="N3" s="744"/>
      <c r="O3" s="744"/>
      <c r="P3" s="745"/>
      <c r="Q3" s="745"/>
    </row>
    <row r="4" spans="1:19" x14ac:dyDescent="0.3">
      <c r="B4" s="1445" t="s">
        <v>1176</v>
      </c>
      <c r="C4" s="1445"/>
      <c r="D4" s="1445"/>
      <c r="E4" s="1445"/>
      <c r="F4" s="1445"/>
      <c r="G4" s="1445"/>
      <c r="H4" s="1445"/>
      <c r="I4" s="1445"/>
      <c r="J4" s="1445"/>
      <c r="K4" s="1445"/>
      <c r="L4" s="1445"/>
      <c r="M4" s="1445"/>
      <c r="N4" s="1445"/>
      <c r="O4" s="746"/>
      <c r="P4" s="1480" t="s">
        <v>1177</v>
      </c>
      <c r="Q4" s="1480"/>
    </row>
    <row r="5" spans="1:19" x14ac:dyDescent="0.3">
      <c r="A5" s="747" t="s">
        <v>6</v>
      </c>
      <c r="B5" s="747" t="s">
        <v>1178</v>
      </c>
      <c r="C5" s="747" t="s">
        <v>1179</v>
      </c>
      <c r="D5" s="747" t="s">
        <v>1180</v>
      </c>
      <c r="E5" s="747" t="s">
        <v>1181</v>
      </c>
      <c r="F5" s="747" t="s">
        <v>1182</v>
      </c>
      <c r="G5" s="747" t="s">
        <v>1183</v>
      </c>
      <c r="H5" s="747" t="s">
        <v>1184</v>
      </c>
      <c r="I5" s="747" t="s">
        <v>1185</v>
      </c>
      <c r="J5" s="747" t="s">
        <v>1186</v>
      </c>
      <c r="K5" s="747" t="s">
        <v>1187</v>
      </c>
      <c r="L5" s="747" t="s">
        <v>1188</v>
      </c>
      <c r="M5" s="747" t="s">
        <v>1189</v>
      </c>
      <c r="N5" s="747" t="s">
        <v>1190</v>
      </c>
      <c r="O5" s="748"/>
      <c r="P5" s="749" t="s">
        <v>1191</v>
      </c>
      <c r="Q5" s="749" t="s">
        <v>1192</v>
      </c>
      <c r="S5" s="749" t="s">
        <v>1194</v>
      </c>
    </row>
    <row r="6" spans="1:19" x14ac:dyDescent="0.3">
      <c r="A6" s="750">
        <v>1960</v>
      </c>
      <c r="B6" s="751">
        <v>4710</v>
      </c>
      <c r="C6" s="751">
        <v>4746</v>
      </c>
      <c r="D6" s="751">
        <v>4697</v>
      </c>
      <c r="E6" s="751">
        <v>4902</v>
      </c>
      <c r="F6" s="751">
        <v>4883</v>
      </c>
      <c r="G6" s="751">
        <v>5063</v>
      </c>
      <c r="H6" s="751">
        <v>4833</v>
      </c>
      <c r="I6" s="751">
        <v>4814</v>
      </c>
      <c r="J6" s="751">
        <v>4876</v>
      </c>
      <c r="K6" s="751">
        <v>4877</v>
      </c>
      <c r="L6" s="751">
        <v>4905</v>
      </c>
      <c r="M6" s="751">
        <v>4821</v>
      </c>
      <c r="N6" s="8">
        <f t="shared" ref="N6:N62" si="0">SUM(B6:M6)/12</f>
        <v>4843.916666666667</v>
      </c>
      <c r="O6" s="8"/>
      <c r="P6" s="8">
        <f>N6*Q6</f>
        <v>5580.4149824250626</v>
      </c>
      <c r="Q6" s="752">
        <f>AVERAGE(Q$25:Q$32)</f>
        <v>1.1520460334973548</v>
      </c>
      <c r="S6" s="8">
        <f>'C0-Ref Stats'!D6</f>
        <v>5285.2738163000004</v>
      </c>
    </row>
    <row r="7" spans="1:19" x14ac:dyDescent="0.3">
      <c r="A7" s="750">
        <v>1961</v>
      </c>
      <c r="B7" s="751">
        <v>4932</v>
      </c>
      <c r="C7" s="751">
        <v>4864</v>
      </c>
      <c r="D7" s="751">
        <v>4969</v>
      </c>
      <c r="E7" s="751">
        <v>4813</v>
      </c>
      <c r="F7" s="751">
        <v>4809</v>
      </c>
      <c r="G7" s="751">
        <v>5032</v>
      </c>
      <c r="H7" s="751">
        <v>4969</v>
      </c>
      <c r="I7" s="751">
        <v>5077</v>
      </c>
      <c r="J7" s="751">
        <v>4912</v>
      </c>
      <c r="K7" s="751">
        <v>4903</v>
      </c>
      <c r="L7" s="751">
        <v>4997</v>
      </c>
      <c r="M7" s="751">
        <v>4816</v>
      </c>
      <c r="N7" s="8">
        <f t="shared" si="0"/>
        <v>4924.416666666667</v>
      </c>
      <c r="O7" s="8"/>
      <c r="P7" s="8">
        <f t="shared" ref="P7:P23" si="1">N7*Q7</f>
        <v>5673.1546881215991</v>
      </c>
      <c r="Q7" s="752">
        <f t="shared" ref="Q7:Q24" si="2">AVERAGE(Q$25:Q$32)</f>
        <v>1.1520460334973548</v>
      </c>
      <c r="S7" s="8"/>
    </row>
    <row r="8" spans="1:19" x14ac:dyDescent="0.3">
      <c r="A8" s="750">
        <v>1962</v>
      </c>
      <c r="B8" s="751">
        <v>4842</v>
      </c>
      <c r="C8" s="751">
        <v>4879</v>
      </c>
      <c r="D8" s="751">
        <v>4982</v>
      </c>
      <c r="E8" s="751">
        <v>4895</v>
      </c>
      <c r="F8" s="751">
        <v>4992</v>
      </c>
      <c r="G8" s="751">
        <v>5048</v>
      </c>
      <c r="H8" s="751">
        <v>4901</v>
      </c>
      <c r="I8" s="751">
        <v>4923</v>
      </c>
      <c r="J8" s="751">
        <v>4899</v>
      </c>
      <c r="K8" s="751">
        <v>4869</v>
      </c>
      <c r="L8" s="751">
        <v>4859</v>
      </c>
      <c r="M8" s="751">
        <v>4886</v>
      </c>
      <c r="N8" s="8">
        <f t="shared" si="0"/>
        <v>4914.583333333333</v>
      </c>
      <c r="O8" s="8"/>
      <c r="P8" s="8">
        <f t="shared" si="1"/>
        <v>5661.8262354588742</v>
      </c>
      <c r="Q8" s="752">
        <f t="shared" si="2"/>
        <v>1.1520460334973548</v>
      </c>
      <c r="S8" s="8">
        <f>'C0-Ref Stats'!D8</f>
        <v>5718.6880700000002</v>
      </c>
    </row>
    <row r="9" spans="1:19" x14ac:dyDescent="0.3">
      <c r="A9" s="750">
        <v>1963</v>
      </c>
      <c r="B9" s="751">
        <v>4987</v>
      </c>
      <c r="C9" s="751">
        <v>4987</v>
      </c>
      <c r="D9" s="751">
        <v>4994</v>
      </c>
      <c r="E9" s="751">
        <v>5083</v>
      </c>
      <c r="F9" s="751">
        <v>5220</v>
      </c>
      <c r="G9" s="751">
        <v>5067</v>
      </c>
      <c r="H9" s="751">
        <v>5141</v>
      </c>
      <c r="I9" s="751">
        <v>5152</v>
      </c>
      <c r="J9" s="751">
        <v>5272</v>
      </c>
      <c r="K9" s="751">
        <v>5306</v>
      </c>
      <c r="L9" s="751">
        <v>5223</v>
      </c>
      <c r="M9" s="751">
        <v>5146</v>
      </c>
      <c r="N9" s="8">
        <f t="shared" si="0"/>
        <v>5131.5</v>
      </c>
      <c r="O9" s="8"/>
      <c r="P9" s="8">
        <f t="shared" si="1"/>
        <v>5911.7242208916759</v>
      </c>
      <c r="Q9" s="752">
        <f t="shared" si="2"/>
        <v>1.1520460334973548</v>
      </c>
      <c r="S9" s="8"/>
    </row>
    <row r="10" spans="1:19" x14ac:dyDescent="0.3">
      <c r="A10" s="750">
        <v>1964</v>
      </c>
      <c r="B10" s="751">
        <v>5225</v>
      </c>
      <c r="C10" s="751">
        <v>5366</v>
      </c>
      <c r="D10" s="751">
        <v>5353</v>
      </c>
      <c r="E10" s="751">
        <v>5257</v>
      </c>
      <c r="F10" s="751">
        <v>5388</v>
      </c>
      <c r="G10" s="751">
        <v>5363</v>
      </c>
      <c r="H10" s="751">
        <v>5339</v>
      </c>
      <c r="I10" s="751">
        <v>5397</v>
      </c>
      <c r="J10" s="751">
        <v>5580</v>
      </c>
      <c r="K10" s="751">
        <v>5431</v>
      </c>
      <c r="L10" s="751">
        <v>5461</v>
      </c>
      <c r="M10" s="751">
        <v>5512</v>
      </c>
      <c r="N10" s="8">
        <f t="shared" si="0"/>
        <v>5389.333333333333</v>
      </c>
      <c r="O10" s="8"/>
      <c r="P10" s="8">
        <f t="shared" si="1"/>
        <v>6208.7600898617438</v>
      </c>
      <c r="Q10" s="752">
        <f t="shared" si="2"/>
        <v>1.1520460334973548</v>
      </c>
      <c r="S10" s="8">
        <f>'C0-Ref Stats'!D10</f>
        <v>5984.3459999999995</v>
      </c>
    </row>
    <row r="11" spans="1:19" x14ac:dyDescent="0.3">
      <c r="A11" s="750">
        <v>1965</v>
      </c>
      <c r="B11" s="751">
        <v>5381</v>
      </c>
      <c r="C11" s="751">
        <v>5491</v>
      </c>
      <c r="D11" s="751">
        <v>5574</v>
      </c>
      <c r="E11" s="751">
        <v>5752</v>
      </c>
      <c r="F11" s="751">
        <v>5821</v>
      </c>
      <c r="G11" s="751">
        <v>5643</v>
      </c>
      <c r="H11" s="751">
        <v>5999</v>
      </c>
      <c r="I11" s="751">
        <v>5960</v>
      </c>
      <c r="J11" s="751">
        <v>6133</v>
      </c>
      <c r="K11" s="751">
        <v>6331</v>
      </c>
      <c r="L11" s="751">
        <v>6264</v>
      </c>
      <c r="M11" s="751">
        <v>6423</v>
      </c>
      <c r="N11" s="8">
        <f t="shared" si="0"/>
        <v>5897.666666666667</v>
      </c>
      <c r="O11" s="8"/>
      <c r="P11" s="8">
        <f t="shared" si="1"/>
        <v>6794.3834902229</v>
      </c>
      <c r="Q11" s="752">
        <f t="shared" si="2"/>
        <v>1.1520460334973548</v>
      </c>
      <c r="S11" s="8"/>
    </row>
    <row r="12" spans="1:19" x14ac:dyDescent="0.3">
      <c r="A12" s="750">
        <v>1966</v>
      </c>
      <c r="B12" s="751">
        <v>6445</v>
      </c>
      <c r="C12" s="751">
        <v>6297</v>
      </c>
      <c r="D12" s="751">
        <v>6332</v>
      </c>
      <c r="E12" s="751">
        <v>6440</v>
      </c>
      <c r="F12" s="751">
        <v>6369</v>
      </c>
      <c r="G12" s="751">
        <v>6616</v>
      </c>
      <c r="H12" s="751">
        <v>6729</v>
      </c>
      <c r="I12" s="751">
        <v>6742</v>
      </c>
      <c r="J12" s="751">
        <v>6490</v>
      </c>
      <c r="K12" s="751">
        <v>6571</v>
      </c>
      <c r="L12" s="751">
        <v>6698</v>
      </c>
      <c r="M12" s="751">
        <v>6697</v>
      </c>
      <c r="N12" s="8">
        <f t="shared" si="0"/>
        <v>6535.5</v>
      </c>
      <c r="O12" s="8"/>
      <c r="P12" s="8">
        <f t="shared" si="1"/>
        <v>7529.1968519219627</v>
      </c>
      <c r="Q12" s="752">
        <f t="shared" si="2"/>
        <v>1.1520460334973548</v>
      </c>
      <c r="S12" s="8">
        <f>'C0-Ref Stats'!D12</f>
        <v>7608.8879299999999</v>
      </c>
    </row>
    <row r="13" spans="1:19" x14ac:dyDescent="0.3">
      <c r="A13" s="750">
        <v>1967</v>
      </c>
      <c r="B13" s="751">
        <v>6550</v>
      </c>
      <c r="C13" s="751">
        <v>6536</v>
      </c>
      <c r="D13" s="751">
        <v>6431</v>
      </c>
      <c r="E13" s="751">
        <v>6436</v>
      </c>
      <c r="F13" s="751">
        <v>6389</v>
      </c>
      <c r="G13" s="751">
        <v>6593</v>
      </c>
      <c r="H13" s="751">
        <v>6599</v>
      </c>
      <c r="I13" s="751">
        <v>6650</v>
      </c>
      <c r="J13" s="751">
        <v>6469</v>
      </c>
      <c r="K13" s="751">
        <v>6537</v>
      </c>
      <c r="L13" s="751">
        <v>6479</v>
      </c>
      <c r="M13" s="751">
        <v>6491</v>
      </c>
      <c r="N13" s="8">
        <f t="shared" si="0"/>
        <v>6513.333333333333</v>
      </c>
      <c r="O13" s="8"/>
      <c r="P13" s="8">
        <f t="shared" si="1"/>
        <v>7503.6598315127703</v>
      </c>
      <c r="Q13" s="752">
        <f t="shared" si="2"/>
        <v>1.1520460334973548</v>
      </c>
      <c r="S13" s="8">
        <f>'C0-Ref Stats'!D13</f>
        <v>7508.9924499999997</v>
      </c>
    </row>
    <row r="14" spans="1:19" x14ac:dyDescent="0.3">
      <c r="A14" s="750">
        <v>1968</v>
      </c>
      <c r="B14" s="751">
        <v>6265</v>
      </c>
      <c r="C14" s="751">
        <v>6533</v>
      </c>
      <c r="D14" s="751">
        <v>6525</v>
      </c>
      <c r="E14" s="751">
        <v>6506</v>
      </c>
      <c r="F14" s="751">
        <v>6578</v>
      </c>
      <c r="G14" s="751">
        <v>6735</v>
      </c>
      <c r="H14" s="751">
        <v>6737</v>
      </c>
      <c r="I14" s="751">
        <v>6759</v>
      </c>
      <c r="J14" s="751">
        <v>6630</v>
      </c>
      <c r="K14" s="751">
        <v>6650</v>
      </c>
      <c r="L14" s="751">
        <v>6630</v>
      </c>
      <c r="M14" s="751">
        <v>6647</v>
      </c>
      <c r="N14" s="8">
        <f t="shared" si="0"/>
        <v>6599.583333333333</v>
      </c>
      <c r="O14" s="8"/>
      <c r="P14" s="8">
        <f t="shared" si="1"/>
        <v>7603.0238019019171</v>
      </c>
      <c r="Q14" s="752">
        <f t="shared" si="2"/>
        <v>1.1520460334973548</v>
      </c>
      <c r="S14" s="8">
        <f>'C0-Ref Stats'!D14</f>
        <v>7912.2640000000001</v>
      </c>
    </row>
    <row r="15" spans="1:19" x14ac:dyDescent="0.3">
      <c r="A15" s="750">
        <v>1969</v>
      </c>
      <c r="B15" s="751">
        <v>6672</v>
      </c>
      <c r="C15" s="751">
        <v>6693</v>
      </c>
      <c r="D15" s="751">
        <v>6778</v>
      </c>
      <c r="E15" s="751">
        <v>6853</v>
      </c>
      <c r="F15" s="751">
        <v>6681</v>
      </c>
      <c r="G15" s="751">
        <v>6993</v>
      </c>
      <c r="H15" s="751">
        <v>7042</v>
      </c>
      <c r="I15" s="751">
        <v>7037</v>
      </c>
      <c r="J15" s="751">
        <v>7131</v>
      </c>
      <c r="K15" s="751">
        <v>7210</v>
      </c>
      <c r="L15" s="751">
        <v>7224</v>
      </c>
      <c r="M15" s="751">
        <v>7176</v>
      </c>
      <c r="N15" s="8">
        <f t="shared" si="0"/>
        <v>6957.5</v>
      </c>
      <c r="O15" s="8"/>
      <c r="P15" s="8">
        <f t="shared" si="1"/>
        <v>8015.3602780578458</v>
      </c>
      <c r="Q15" s="752">
        <f t="shared" si="2"/>
        <v>1.1520460334973548</v>
      </c>
      <c r="S15" s="8">
        <f>'C0-Ref Stats'!D15</f>
        <v>7996.74</v>
      </c>
    </row>
    <row r="16" spans="1:19" x14ac:dyDescent="0.3">
      <c r="A16" s="750">
        <v>1970</v>
      </c>
      <c r="B16" s="751">
        <v>7185</v>
      </c>
      <c r="C16" s="751">
        <v>7202</v>
      </c>
      <c r="D16" s="751">
        <v>7231</v>
      </c>
      <c r="E16" s="751">
        <v>7197</v>
      </c>
      <c r="F16" s="751">
        <v>7181</v>
      </c>
      <c r="G16" s="751">
        <v>7112</v>
      </c>
      <c r="H16" s="751">
        <v>7187</v>
      </c>
      <c r="I16" s="751">
        <v>7255</v>
      </c>
      <c r="J16" s="751">
        <v>7370</v>
      </c>
      <c r="K16" s="751">
        <v>7347</v>
      </c>
      <c r="L16" s="751">
        <v>7369</v>
      </c>
      <c r="M16" s="751">
        <v>7349</v>
      </c>
      <c r="N16" s="8">
        <f t="shared" si="0"/>
        <v>7248.75</v>
      </c>
      <c r="O16" s="8"/>
      <c r="P16" s="8">
        <f t="shared" si="1"/>
        <v>8350.8936853139512</v>
      </c>
      <c r="Q16" s="752">
        <f t="shared" si="2"/>
        <v>1.1520460334973548</v>
      </c>
      <c r="S16" s="8">
        <f>'C0-Ref Stats'!D16</f>
        <v>7652.7669999999998</v>
      </c>
    </row>
    <row r="17" spans="1:19" x14ac:dyDescent="0.3">
      <c r="A17" s="750">
        <v>1971</v>
      </c>
      <c r="B17" s="751">
        <v>7413</v>
      </c>
      <c r="C17" s="751">
        <v>7410</v>
      </c>
      <c r="D17" s="751">
        <v>7346</v>
      </c>
      <c r="E17" s="751">
        <v>7424</v>
      </c>
      <c r="F17" s="751">
        <v>7407</v>
      </c>
      <c r="G17" s="751">
        <v>7130</v>
      </c>
      <c r="H17" s="751">
        <v>7597</v>
      </c>
      <c r="I17" s="751">
        <v>7607</v>
      </c>
      <c r="J17" s="751">
        <v>7452</v>
      </c>
      <c r="K17" s="751">
        <v>7523</v>
      </c>
      <c r="L17" s="751">
        <v>7661</v>
      </c>
      <c r="M17" s="751">
        <v>7702</v>
      </c>
      <c r="N17" s="8">
        <f t="shared" si="0"/>
        <v>7472.666666666667</v>
      </c>
      <c r="O17" s="8"/>
      <c r="P17" s="8">
        <f t="shared" si="1"/>
        <v>8608.8559929812327</v>
      </c>
      <c r="Q17" s="752">
        <f t="shared" si="2"/>
        <v>1.1520460334973548</v>
      </c>
      <c r="S17" s="8">
        <f>'C0-Ref Stats'!D17</f>
        <v>7744.1310000000003</v>
      </c>
    </row>
    <row r="18" spans="1:19" x14ac:dyDescent="0.3">
      <c r="A18" s="750">
        <v>1972</v>
      </c>
      <c r="B18" s="751">
        <v>7856</v>
      </c>
      <c r="C18" s="751">
        <v>7921</v>
      </c>
      <c r="D18" s="751">
        <v>8005</v>
      </c>
      <c r="E18" s="751">
        <v>7999</v>
      </c>
      <c r="F18" s="751">
        <v>7971</v>
      </c>
      <c r="G18" s="751">
        <v>8037</v>
      </c>
      <c r="H18" s="751">
        <v>8012</v>
      </c>
      <c r="I18" s="751">
        <v>8232</v>
      </c>
      <c r="J18" s="751">
        <v>8046</v>
      </c>
      <c r="K18" s="751">
        <v>8100</v>
      </c>
      <c r="L18" s="751">
        <v>8182</v>
      </c>
      <c r="M18" s="751">
        <v>8244</v>
      </c>
      <c r="N18" s="8">
        <f t="shared" si="0"/>
        <v>8050.416666666667</v>
      </c>
      <c r="O18" s="8"/>
      <c r="P18" s="8">
        <f t="shared" si="1"/>
        <v>9274.4505888343301</v>
      </c>
      <c r="Q18" s="752">
        <f t="shared" si="2"/>
        <v>1.1520460334973548</v>
      </c>
      <c r="S18" s="8">
        <f>'C0-Ref Stats'!D18</f>
        <v>7663.335</v>
      </c>
    </row>
    <row r="19" spans="1:19" x14ac:dyDescent="0.3">
      <c r="A19" s="750">
        <v>1973</v>
      </c>
      <c r="B19" s="751">
        <v>7950</v>
      </c>
      <c r="C19" s="751">
        <v>8300</v>
      </c>
      <c r="D19" s="751">
        <v>8426</v>
      </c>
      <c r="E19" s="751">
        <v>8466</v>
      </c>
      <c r="F19" s="751">
        <v>8403</v>
      </c>
      <c r="G19" s="751">
        <v>8630</v>
      </c>
      <c r="H19" s="751">
        <v>8462</v>
      </c>
      <c r="I19" s="751">
        <v>8457</v>
      </c>
      <c r="J19" s="751">
        <v>8638</v>
      </c>
      <c r="K19" s="751">
        <v>8732</v>
      </c>
      <c r="L19" s="751">
        <v>8803</v>
      </c>
      <c r="M19" s="751">
        <v>8796</v>
      </c>
      <c r="N19" s="8">
        <f t="shared" si="0"/>
        <v>8505.25</v>
      </c>
      <c r="O19" s="8"/>
      <c r="P19" s="8">
        <f t="shared" si="1"/>
        <v>9798.4395264033774</v>
      </c>
      <c r="Q19" s="752">
        <f t="shared" si="2"/>
        <v>1.1520460334973548</v>
      </c>
      <c r="S19" s="8">
        <f>'C0-Ref Stats'!D19</f>
        <v>8958.3359999999993</v>
      </c>
    </row>
    <row r="20" spans="1:19" x14ac:dyDescent="0.3">
      <c r="A20" s="750">
        <v>1974</v>
      </c>
      <c r="B20" s="751">
        <v>8846</v>
      </c>
      <c r="C20" s="751">
        <v>8873</v>
      </c>
      <c r="D20" s="751">
        <v>8858</v>
      </c>
      <c r="E20" s="751">
        <v>8683</v>
      </c>
      <c r="F20" s="751">
        <v>8779</v>
      </c>
      <c r="G20" s="751">
        <v>8940</v>
      </c>
      <c r="H20" s="751">
        <v>8894</v>
      </c>
      <c r="I20" s="751">
        <v>8726</v>
      </c>
      <c r="J20" s="751">
        <v>9045</v>
      </c>
      <c r="K20" s="751">
        <v>9014</v>
      </c>
      <c r="L20" s="751">
        <v>8963</v>
      </c>
      <c r="M20" s="751">
        <v>8869</v>
      </c>
      <c r="N20" s="8">
        <f t="shared" si="0"/>
        <v>8874.1666666666661</v>
      </c>
      <c r="O20" s="8"/>
      <c r="P20" s="8">
        <f t="shared" si="1"/>
        <v>10223.448508927775</v>
      </c>
      <c r="Q20" s="752">
        <f t="shared" si="2"/>
        <v>1.1520460334973548</v>
      </c>
      <c r="S20" s="8">
        <f>'C0-Ref Stats'!D20</f>
        <v>9350.116</v>
      </c>
    </row>
    <row r="21" spans="1:19" x14ac:dyDescent="0.3">
      <c r="A21" s="750">
        <v>1975</v>
      </c>
      <c r="B21" s="751">
        <v>8943</v>
      </c>
      <c r="C21" s="751">
        <v>8825</v>
      </c>
      <c r="D21" s="751">
        <v>8837</v>
      </c>
      <c r="E21" s="751">
        <v>8767</v>
      </c>
      <c r="F21" s="751">
        <v>8956</v>
      </c>
      <c r="G21" s="751">
        <v>8823</v>
      </c>
      <c r="H21" s="751">
        <v>8887</v>
      </c>
      <c r="I21" s="751">
        <v>8861</v>
      </c>
      <c r="J21" s="751">
        <v>8912</v>
      </c>
      <c r="K21" s="751">
        <v>8835</v>
      </c>
      <c r="L21" s="751">
        <v>8791</v>
      </c>
      <c r="M21" s="751">
        <v>8891</v>
      </c>
      <c r="N21" s="8">
        <f t="shared" si="0"/>
        <v>8860.6666666666661</v>
      </c>
      <c r="O21" s="8"/>
      <c r="P21" s="8">
        <f t="shared" si="1"/>
        <v>10207.895887475561</v>
      </c>
      <c r="Q21" s="752">
        <f t="shared" si="2"/>
        <v>1.1520460334973548</v>
      </c>
      <c r="S21" s="8">
        <f>'C0-Ref Stats'!D21</f>
        <v>9432.1959999999999</v>
      </c>
    </row>
    <row r="22" spans="1:19" x14ac:dyDescent="0.3">
      <c r="A22" s="750">
        <v>1976</v>
      </c>
      <c r="B22" s="751">
        <v>8967</v>
      </c>
      <c r="C22" s="751">
        <v>8981</v>
      </c>
      <c r="D22" s="751">
        <v>9007</v>
      </c>
      <c r="E22" s="751">
        <v>9151</v>
      </c>
      <c r="F22" s="751">
        <v>9155</v>
      </c>
      <c r="G22" s="751">
        <v>8943</v>
      </c>
      <c r="H22" s="751">
        <v>9204</v>
      </c>
      <c r="I22" s="751">
        <v>9168</v>
      </c>
      <c r="J22" s="751">
        <v>8968</v>
      </c>
      <c r="K22" s="751">
        <v>9054</v>
      </c>
      <c r="L22" s="751">
        <v>9055</v>
      </c>
      <c r="M22" s="751">
        <v>9011</v>
      </c>
      <c r="N22" s="8">
        <f t="shared" si="0"/>
        <v>9055.3333333333339</v>
      </c>
      <c r="O22" s="8"/>
      <c r="P22" s="8">
        <f t="shared" si="1"/>
        <v>10432.160848663047</v>
      </c>
      <c r="Q22" s="752">
        <f t="shared" si="2"/>
        <v>1.1520460334973548</v>
      </c>
      <c r="S22" s="8">
        <f>'C0-Ref Stats'!D22</f>
        <v>9929.3039100000005</v>
      </c>
    </row>
    <row r="23" spans="1:19" x14ac:dyDescent="0.3">
      <c r="A23" s="750">
        <v>1977</v>
      </c>
      <c r="B23" s="751">
        <v>9025</v>
      </c>
      <c r="C23" s="751">
        <v>9198</v>
      </c>
      <c r="D23" s="751">
        <v>9257</v>
      </c>
      <c r="E23" s="751">
        <v>9289</v>
      </c>
      <c r="F23" s="751">
        <v>9279</v>
      </c>
      <c r="G23" s="751">
        <v>9525</v>
      </c>
      <c r="H23" s="751">
        <v>9377</v>
      </c>
      <c r="I23" s="751">
        <v>9550</v>
      </c>
      <c r="J23" s="751">
        <v>9340</v>
      </c>
      <c r="K23" s="751">
        <v>9441</v>
      </c>
      <c r="L23" s="751">
        <v>9551</v>
      </c>
      <c r="M23" s="751">
        <v>9406</v>
      </c>
      <c r="N23" s="8">
        <f t="shared" si="0"/>
        <v>9353.1666666666661</v>
      </c>
      <c r="O23" s="8"/>
      <c r="P23" s="8">
        <f t="shared" si="1"/>
        <v>10775.278558973008</v>
      </c>
      <c r="Q23" s="752">
        <f t="shared" si="2"/>
        <v>1.1520460334973548</v>
      </c>
      <c r="S23" s="8">
        <f>'C0-Ref Stats'!D23</f>
        <v>10124.928519999999</v>
      </c>
    </row>
    <row r="24" spans="1:19" x14ac:dyDescent="0.3">
      <c r="A24" s="750">
        <v>1978</v>
      </c>
      <c r="B24" s="751">
        <v>9473</v>
      </c>
      <c r="C24" s="751">
        <v>9448</v>
      </c>
      <c r="D24" s="751">
        <v>9441</v>
      </c>
      <c r="E24" s="751">
        <v>9518</v>
      </c>
      <c r="F24" s="751">
        <v>9668</v>
      </c>
      <c r="G24" s="751">
        <v>9781</v>
      </c>
      <c r="H24" s="751">
        <v>9749</v>
      </c>
      <c r="I24" s="751">
        <v>9903</v>
      </c>
      <c r="J24" s="751">
        <v>9700</v>
      </c>
      <c r="K24" s="751">
        <v>9727</v>
      </c>
      <c r="L24" s="751">
        <v>9704</v>
      </c>
      <c r="M24" s="751">
        <v>9708</v>
      </c>
      <c r="N24" s="8">
        <f t="shared" si="0"/>
        <v>9651.6666666666661</v>
      </c>
      <c r="O24" s="8"/>
      <c r="P24" s="8">
        <f>N24*Q24</f>
        <v>11119.164299971968</v>
      </c>
      <c r="Q24" s="752">
        <f t="shared" si="2"/>
        <v>1.1520460334973548</v>
      </c>
      <c r="S24" s="8">
        <f>'C0-Ref Stats'!D24</f>
        <v>10911.81508</v>
      </c>
    </row>
    <row r="25" spans="1:19" x14ac:dyDescent="0.3">
      <c r="A25" s="750">
        <v>1979</v>
      </c>
      <c r="B25" s="751">
        <v>9749</v>
      </c>
      <c r="C25" s="751">
        <v>9762</v>
      </c>
      <c r="D25" s="751">
        <v>9751</v>
      </c>
      <c r="E25" s="751">
        <v>9652</v>
      </c>
      <c r="F25" s="751">
        <v>9553</v>
      </c>
      <c r="G25" s="751">
        <v>9664</v>
      </c>
      <c r="H25" s="751">
        <v>9606</v>
      </c>
      <c r="I25" s="751">
        <v>9456</v>
      </c>
      <c r="J25" s="751">
        <v>9623</v>
      </c>
      <c r="K25" s="751">
        <v>9574</v>
      </c>
      <c r="L25" s="751">
        <v>9599</v>
      </c>
      <c r="M25" s="751">
        <v>9690</v>
      </c>
      <c r="N25" s="8">
        <f t="shared" si="0"/>
        <v>9639.9166666666661</v>
      </c>
      <c r="O25" s="8"/>
      <c r="P25" s="8">
        <f>'C0-Ref Stats'!D25</f>
        <v>11684.56063</v>
      </c>
      <c r="Q25" s="753">
        <f t="shared" ref="Q25:Q61" si="3">P25/M25</f>
        <v>1.2058370103199174</v>
      </c>
      <c r="S25" s="8"/>
    </row>
    <row r="26" spans="1:19" x14ac:dyDescent="0.3">
      <c r="A26" s="750">
        <v>1980</v>
      </c>
      <c r="B26" s="751">
        <v>9590</v>
      </c>
      <c r="C26" s="751">
        <v>9501</v>
      </c>
      <c r="D26" s="751">
        <v>9500</v>
      </c>
      <c r="E26" s="751">
        <v>9272</v>
      </c>
      <c r="F26" s="751">
        <v>9457</v>
      </c>
      <c r="G26" s="751">
        <v>9438</v>
      </c>
      <c r="H26" s="751">
        <v>9499</v>
      </c>
      <c r="I26" s="751">
        <v>9247</v>
      </c>
      <c r="J26" s="751">
        <v>9289</v>
      </c>
      <c r="K26" s="751">
        <v>9319</v>
      </c>
      <c r="L26" s="751">
        <v>9246</v>
      </c>
      <c r="M26" s="751">
        <v>9175</v>
      </c>
      <c r="N26" s="8">
        <f t="shared" si="0"/>
        <v>9377.75</v>
      </c>
      <c r="O26" s="8"/>
      <c r="P26" s="8">
        <f>'C0-Ref Stats'!D26</f>
        <v>10963.276800000001</v>
      </c>
      <c r="Q26" s="753">
        <f t="shared" si="3"/>
        <v>1.1949075531335152</v>
      </c>
      <c r="S26" s="8"/>
    </row>
    <row r="27" spans="1:19" x14ac:dyDescent="0.3">
      <c r="A27" s="750">
        <v>1981</v>
      </c>
      <c r="B27" s="751">
        <v>9300</v>
      </c>
      <c r="C27" s="751">
        <v>9257</v>
      </c>
      <c r="D27" s="751">
        <v>9212</v>
      </c>
      <c r="E27" s="751">
        <v>9289</v>
      </c>
      <c r="F27" s="751">
        <v>9160</v>
      </c>
      <c r="G27" s="751">
        <v>8780</v>
      </c>
      <c r="H27" s="751">
        <v>8839</v>
      </c>
      <c r="I27" s="751">
        <v>8931</v>
      </c>
      <c r="J27" s="751">
        <v>8835</v>
      </c>
      <c r="K27" s="751">
        <v>8851</v>
      </c>
      <c r="L27" s="751">
        <v>8852</v>
      </c>
      <c r="M27" s="751">
        <v>8602</v>
      </c>
      <c r="N27" s="8">
        <f t="shared" si="0"/>
        <v>8992.3333333333339</v>
      </c>
      <c r="O27" s="8"/>
      <c r="P27" s="8">
        <f>'C0-Ref Stats'!D27</f>
        <v>10263.38139</v>
      </c>
      <c r="Q27" s="753">
        <f t="shared" si="3"/>
        <v>1.1931389665194141</v>
      </c>
      <c r="S27" s="8"/>
    </row>
    <row r="28" spans="1:19" x14ac:dyDescent="0.3">
      <c r="A28" s="750">
        <v>1982</v>
      </c>
      <c r="B28" s="751">
        <v>8676</v>
      </c>
      <c r="C28" s="751">
        <v>8697</v>
      </c>
      <c r="D28" s="751">
        <v>8550</v>
      </c>
      <c r="E28" s="751">
        <v>8605</v>
      </c>
      <c r="F28" s="751">
        <v>8753</v>
      </c>
      <c r="G28" s="751">
        <v>8293</v>
      </c>
      <c r="H28" s="751">
        <v>8380</v>
      </c>
      <c r="I28" s="751">
        <v>8514</v>
      </c>
      <c r="J28" s="751">
        <v>8469</v>
      </c>
      <c r="K28" s="751">
        <v>8499</v>
      </c>
      <c r="L28" s="751">
        <v>8520</v>
      </c>
      <c r="M28" s="751">
        <v>8397</v>
      </c>
      <c r="N28" s="8">
        <f t="shared" si="0"/>
        <v>8529.4166666666661</v>
      </c>
      <c r="O28" s="8"/>
      <c r="P28" s="8">
        <f>'C0-Ref Stats'!D28</f>
        <v>9145.1214099999997</v>
      </c>
      <c r="Q28" s="753">
        <f t="shared" si="3"/>
        <v>1.0890938918661426</v>
      </c>
      <c r="S28" s="8"/>
    </row>
    <row r="29" spans="1:19" x14ac:dyDescent="0.3">
      <c r="A29" s="750">
        <v>1983</v>
      </c>
      <c r="B29" s="751">
        <v>8335</v>
      </c>
      <c r="C29" s="751">
        <v>8159</v>
      </c>
      <c r="D29" s="751">
        <v>8098</v>
      </c>
      <c r="E29" s="751">
        <v>8094</v>
      </c>
      <c r="F29" s="751">
        <v>8006</v>
      </c>
      <c r="G29" s="751">
        <v>8448</v>
      </c>
      <c r="H29" s="751">
        <v>8207</v>
      </c>
      <c r="I29" s="751">
        <v>8379</v>
      </c>
      <c r="J29" s="751">
        <v>8147</v>
      </c>
      <c r="K29" s="751">
        <v>8010</v>
      </c>
      <c r="L29" s="751">
        <v>8075</v>
      </c>
      <c r="M29" s="751">
        <v>8089</v>
      </c>
      <c r="N29" s="8">
        <f t="shared" si="0"/>
        <v>8170.583333333333</v>
      </c>
      <c r="O29" s="8"/>
      <c r="P29" s="8">
        <f>'C0-Ref Stats'!D29</f>
        <v>8863.3448200000003</v>
      </c>
      <c r="Q29" s="753">
        <f t="shared" si="3"/>
        <v>1.0957281270861665</v>
      </c>
      <c r="S29" s="8"/>
    </row>
    <row r="30" spans="1:19" x14ac:dyDescent="0.3">
      <c r="A30" s="750">
        <v>1984</v>
      </c>
      <c r="B30" s="751">
        <v>7965</v>
      </c>
      <c r="C30" s="751">
        <v>7958</v>
      </c>
      <c r="D30" s="751">
        <v>7926</v>
      </c>
      <c r="E30" s="751">
        <v>7988</v>
      </c>
      <c r="F30" s="751">
        <v>7944</v>
      </c>
      <c r="G30" s="751">
        <v>8131</v>
      </c>
      <c r="H30" s="751">
        <v>8045</v>
      </c>
      <c r="I30" s="751">
        <v>7809</v>
      </c>
      <c r="J30" s="751">
        <v>7951</v>
      </c>
      <c r="K30" s="751">
        <v>7862</v>
      </c>
      <c r="L30" s="751">
        <v>7844</v>
      </c>
      <c r="M30" s="751">
        <v>7933</v>
      </c>
      <c r="N30" s="8">
        <f t="shared" si="0"/>
        <v>7946.333333333333</v>
      </c>
      <c r="O30" s="8"/>
      <c r="P30" s="8">
        <f>'C0-Ref Stats'!D30</f>
        <v>9087.6333000000013</v>
      </c>
      <c r="Q30" s="753">
        <f t="shared" si="3"/>
        <v>1.1455481280726083</v>
      </c>
      <c r="S30" s="8"/>
    </row>
    <row r="31" spans="1:19" x14ac:dyDescent="0.3">
      <c r="A31" s="750">
        <v>1985</v>
      </c>
      <c r="B31" s="751">
        <v>8036</v>
      </c>
      <c r="C31" s="751">
        <v>8020</v>
      </c>
      <c r="D31" s="751">
        <v>8062</v>
      </c>
      <c r="E31" s="751">
        <v>7958</v>
      </c>
      <c r="F31" s="751">
        <v>7966</v>
      </c>
      <c r="G31" s="751">
        <v>7680</v>
      </c>
      <c r="H31" s="751">
        <v>8013</v>
      </c>
      <c r="I31" s="751">
        <v>7714</v>
      </c>
      <c r="J31" s="751">
        <v>7818</v>
      </c>
      <c r="K31" s="751">
        <v>7889</v>
      </c>
      <c r="L31" s="751">
        <v>7852</v>
      </c>
      <c r="M31" s="751">
        <v>7826</v>
      </c>
      <c r="N31" s="8">
        <f t="shared" si="0"/>
        <v>7902.833333333333</v>
      </c>
      <c r="O31" s="8"/>
      <c r="P31" s="8">
        <f>'C0-Ref Stats'!D31</f>
        <v>8981.768759999999</v>
      </c>
      <c r="Q31" s="753">
        <f t="shared" si="3"/>
        <v>1.1476832047022743</v>
      </c>
      <c r="S31" s="8"/>
    </row>
    <row r="32" spans="1:19" x14ac:dyDescent="0.3">
      <c r="A32" s="750">
        <v>1986</v>
      </c>
      <c r="B32" s="751">
        <v>7704</v>
      </c>
      <c r="C32" s="751">
        <v>7895</v>
      </c>
      <c r="D32" s="751">
        <v>7977</v>
      </c>
      <c r="E32" s="751">
        <v>8058</v>
      </c>
      <c r="F32" s="751">
        <v>7997</v>
      </c>
      <c r="G32" s="751">
        <v>8024</v>
      </c>
      <c r="H32" s="751">
        <v>7914</v>
      </c>
      <c r="I32" s="751">
        <v>7920</v>
      </c>
      <c r="J32" s="751">
        <v>7945</v>
      </c>
      <c r="K32" s="751">
        <v>7977</v>
      </c>
      <c r="L32" s="751">
        <v>7891</v>
      </c>
      <c r="M32" s="751">
        <v>7769</v>
      </c>
      <c r="N32" s="8">
        <f t="shared" si="0"/>
        <v>7922.583333333333</v>
      </c>
      <c r="O32" s="8"/>
      <c r="P32" s="8">
        <f>'C0-Ref Stats'!D32</f>
        <v>8891.0874399999993</v>
      </c>
      <c r="Q32" s="753">
        <f t="shared" si="3"/>
        <v>1.1444313862788003</v>
      </c>
      <c r="S32" s="8"/>
    </row>
    <row r="33" spans="1:18" x14ac:dyDescent="0.3">
      <c r="A33" s="750">
        <v>1987</v>
      </c>
      <c r="B33" s="751">
        <v>7861</v>
      </c>
      <c r="C33" s="751">
        <v>7969</v>
      </c>
      <c r="D33" s="751">
        <v>7913</v>
      </c>
      <c r="E33" s="751">
        <v>7916</v>
      </c>
      <c r="F33" s="751">
        <v>8075</v>
      </c>
      <c r="G33" s="751">
        <v>7857</v>
      </c>
      <c r="H33" s="751">
        <v>7911</v>
      </c>
      <c r="I33" s="751">
        <v>8232</v>
      </c>
      <c r="J33" s="751">
        <v>7945</v>
      </c>
      <c r="K33" s="751">
        <v>8074</v>
      </c>
      <c r="L33" s="751">
        <v>8002</v>
      </c>
      <c r="M33" s="751">
        <v>8092</v>
      </c>
      <c r="N33" s="8">
        <f t="shared" si="0"/>
        <v>7987.25</v>
      </c>
      <c r="O33" s="8"/>
      <c r="P33" s="8">
        <f>'C0-Ref Stats'!D33</f>
        <v>10805.763510000001</v>
      </c>
      <c r="Q33" s="249">
        <f t="shared" si="3"/>
        <v>1.335363755561048</v>
      </c>
      <c r="R33" s="75" t="s">
        <v>1193</v>
      </c>
    </row>
    <row r="34" spans="1:18" x14ac:dyDescent="0.3">
      <c r="A34" s="750">
        <v>1988</v>
      </c>
      <c r="B34" s="751">
        <v>8110</v>
      </c>
      <c r="C34" s="751">
        <v>8025</v>
      </c>
      <c r="D34" s="751">
        <v>7854</v>
      </c>
      <c r="E34" s="751">
        <v>7937</v>
      </c>
      <c r="F34" s="751">
        <v>7912</v>
      </c>
      <c r="G34" s="751">
        <v>8193</v>
      </c>
      <c r="H34" s="751">
        <v>8198</v>
      </c>
      <c r="I34" s="751">
        <v>8201</v>
      </c>
      <c r="J34" s="751">
        <v>8124</v>
      </c>
      <c r="K34" s="751">
        <v>7961</v>
      </c>
      <c r="L34" s="751">
        <v>7904</v>
      </c>
      <c r="M34" s="751">
        <v>7966</v>
      </c>
      <c r="N34" s="8">
        <f t="shared" si="0"/>
        <v>8032.083333333333</v>
      </c>
      <c r="O34" s="8"/>
      <c r="P34" s="8">
        <f>'C0-Ref Stats'!D34</f>
        <v>11254.865320000001</v>
      </c>
      <c r="Q34" s="249">
        <f t="shared" si="3"/>
        <v>1.4128628320361538</v>
      </c>
    </row>
    <row r="35" spans="1:18" x14ac:dyDescent="0.3">
      <c r="A35" s="750">
        <v>1989</v>
      </c>
      <c r="B35" s="751">
        <v>8019</v>
      </c>
      <c r="C35" s="751">
        <v>7871</v>
      </c>
      <c r="D35" s="751">
        <v>7809</v>
      </c>
      <c r="E35" s="751">
        <v>7929</v>
      </c>
      <c r="F35" s="751">
        <v>7890</v>
      </c>
      <c r="G35" s="751">
        <v>8094</v>
      </c>
      <c r="H35" s="751">
        <v>7961</v>
      </c>
      <c r="I35" s="751">
        <v>8126</v>
      </c>
      <c r="J35" s="751">
        <v>7870</v>
      </c>
      <c r="K35" s="751">
        <v>7940</v>
      </c>
      <c r="L35" s="751">
        <v>7964</v>
      </c>
      <c r="M35" s="751">
        <v>7851</v>
      </c>
      <c r="N35" s="8">
        <f t="shared" si="0"/>
        <v>7943.666666666667</v>
      </c>
      <c r="O35" s="8"/>
      <c r="P35" s="8">
        <f>'C0-Ref Stats'!D35</f>
        <v>11530.378429999999</v>
      </c>
      <c r="Q35" s="249">
        <f t="shared" si="3"/>
        <v>1.4686509272704114</v>
      </c>
    </row>
    <row r="36" spans="1:18" x14ac:dyDescent="0.3">
      <c r="A36" s="750">
        <v>1990</v>
      </c>
      <c r="B36" s="751">
        <v>8103</v>
      </c>
      <c r="C36" s="751">
        <v>8015</v>
      </c>
      <c r="D36" s="751">
        <v>8061</v>
      </c>
      <c r="E36" s="751">
        <v>7987</v>
      </c>
      <c r="F36" s="751">
        <v>7911</v>
      </c>
      <c r="G36" s="751">
        <v>7783</v>
      </c>
      <c r="H36" s="751">
        <v>7777</v>
      </c>
      <c r="I36" s="751">
        <v>7708</v>
      </c>
      <c r="J36" s="751">
        <v>7575</v>
      </c>
      <c r="K36" s="751">
        <v>7565</v>
      </c>
      <c r="L36" s="751">
        <v>7506</v>
      </c>
      <c r="M36" s="751">
        <v>7516</v>
      </c>
      <c r="N36" s="8">
        <f t="shared" si="0"/>
        <v>7792.25</v>
      </c>
      <c r="O36" s="8"/>
      <c r="P36" s="8">
        <f>'C0-Ref Stats'!D36</f>
        <v>11164.796249999999</v>
      </c>
      <c r="Q36" s="72">
        <f t="shared" si="3"/>
        <v>1.4854704962746141</v>
      </c>
    </row>
    <row r="37" spans="1:18" x14ac:dyDescent="0.3">
      <c r="A37" s="750">
        <v>1991</v>
      </c>
      <c r="B37" s="751">
        <v>7478</v>
      </c>
      <c r="C37" s="751">
        <v>7405</v>
      </c>
      <c r="D37" s="751">
        <v>7447</v>
      </c>
      <c r="E37" s="751">
        <v>7381</v>
      </c>
      <c r="F37" s="751">
        <v>7303</v>
      </c>
      <c r="G37" s="751">
        <v>7248</v>
      </c>
      <c r="H37" s="751">
        <v>7138</v>
      </c>
      <c r="I37" s="751">
        <v>7105</v>
      </c>
      <c r="J37" s="751">
        <v>7123</v>
      </c>
      <c r="K37" s="751">
        <v>7185</v>
      </c>
      <c r="L37" s="751">
        <v>7169</v>
      </c>
      <c r="M37" s="751">
        <v>7104</v>
      </c>
      <c r="N37" s="8">
        <f t="shared" si="0"/>
        <v>7257.166666666667</v>
      </c>
      <c r="O37" s="8"/>
      <c r="P37" s="8">
        <f>'C0-Ref Stats'!D37</f>
        <v>10034.648650000001</v>
      </c>
      <c r="Q37" s="72">
        <f t="shared" si="3"/>
        <v>1.4125350014076579</v>
      </c>
    </row>
    <row r="38" spans="1:18" x14ac:dyDescent="0.3">
      <c r="A38" s="750">
        <v>1992</v>
      </c>
      <c r="B38" s="751">
        <v>7138</v>
      </c>
      <c r="C38" s="751">
        <v>7083</v>
      </c>
      <c r="D38" s="751">
        <v>6998</v>
      </c>
      <c r="E38" s="751">
        <v>6910</v>
      </c>
      <c r="F38" s="751">
        <v>7028</v>
      </c>
      <c r="G38" s="751">
        <v>7137</v>
      </c>
      <c r="H38" s="751">
        <v>7087</v>
      </c>
      <c r="I38" s="751">
        <v>7194</v>
      </c>
      <c r="J38" s="751">
        <v>7216</v>
      </c>
      <c r="K38" s="751">
        <v>6985</v>
      </c>
      <c r="L38" s="751">
        <v>7164</v>
      </c>
      <c r="M38" s="751">
        <v>7174</v>
      </c>
      <c r="N38" s="8">
        <f t="shared" si="0"/>
        <v>7092.833333333333</v>
      </c>
      <c r="O38" s="8"/>
      <c r="P38" s="8">
        <f>'C0-Ref Stats'!D38</f>
        <v>9658.6286700000001</v>
      </c>
      <c r="Q38" s="72">
        <f t="shared" si="3"/>
        <v>1.3463379802063005</v>
      </c>
    </row>
    <row r="39" spans="1:18" x14ac:dyDescent="0.3">
      <c r="A39" s="750">
        <v>1993</v>
      </c>
      <c r="B39" s="751">
        <v>7089</v>
      </c>
      <c r="C39" s="751">
        <v>7144</v>
      </c>
      <c r="D39" s="751">
        <v>7132</v>
      </c>
      <c r="E39" s="751">
        <v>7091</v>
      </c>
      <c r="F39" s="751">
        <v>7244</v>
      </c>
      <c r="G39" s="751">
        <v>7114</v>
      </c>
      <c r="H39" s="751">
        <v>7205</v>
      </c>
      <c r="I39" s="751">
        <v>7264</v>
      </c>
      <c r="J39" s="751">
        <v>7180</v>
      </c>
      <c r="K39" s="751">
        <v>7171</v>
      </c>
      <c r="L39" s="751">
        <v>7248</v>
      </c>
      <c r="M39" s="751">
        <v>7178</v>
      </c>
      <c r="N39" s="8">
        <f t="shared" si="0"/>
        <v>7171.666666666667</v>
      </c>
      <c r="O39" s="8"/>
      <c r="P39" s="8">
        <f>'C0-Ref Stats'!D39</f>
        <v>9468.8713499999994</v>
      </c>
      <c r="Q39" s="72">
        <f t="shared" si="3"/>
        <v>1.3191517623293396</v>
      </c>
    </row>
    <row r="40" spans="1:18" x14ac:dyDescent="0.3">
      <c r="A40" s="750">
        <v>1994</v>
      </c>
      <c r="B40" s="751">
        <v>7486</v>
      </c>
      <c r="C40" s="751">
        <v>7457</v>
      </c>
      <c r="D40" s="751">
        <v>7381</v>
      </c>
      <c r="E40" s="751">
        <v>7551</v>
      </c>
      <c r="F40" s="751">
        <v>7466</v>
      </c>
      <c r="G40" s="751">
        <v>7527</v>
      </c>
      <c r="H40" s="751">
        <v>7453</v>
      </c>
      <c r="I40" s="751">
        <v>7619</v>
      </c>
      <c r="J40" s="751">
        <v>7352</v>
      </c>
      <c r="K40" s="751">
        <v>7543</v>
      </c>
      <c r="L40" s="751">
        <v>7423</v>
      </c>
      <c r="M40" s="751">
        <v>7599</v>
      </c>
      <c r="N40" s="8">
        <f t="shared" si="0"/>
        <v>7488.083333333333</v>
      </c>
      <c r="O40" s="8"/>
      <c r="P40" s="8">
        <f>'C0-Ref Stats'!D40</f>
        <v>9663.2570399999986</v>
      </c>
      <c r="Q40" s="72">
        <f t="shared" si="3"/>
        <v>1.271648511646269</v>
      </c>
    </row>
    <row r="41" spans="1:18" x14ac:dyDescent="0.3">
      <c r="A41" s="750">
        <v>1995</v>
      </c>
      <c r="B41" s="751">
        <v>7650</v>
      </c>
      <c r="C41" s="751">
        <v>7659</v>
      </c>
      <c r="D41" s="751">
        <v>7742</v>
      </c>
      <c r="E41" s="751">
        <v>7774</v>
      </c>
      <c r="F41" s="751">
        <v>7664</v>
      </c>
      <c r="G41" s="751">
        <v>7850</v>
      </c>
      <c r="H41" s="751">
        <v>7798</v>
      </c>
      <c r="I41" s="751">
        <v>7910</v>
      </c>
      <c r="J41" s="751">
        <v>7825</v>
      </c>
      <c r="K41" s="751">
        <v>7774</v>
      </c>
      <c r="L41" s="751">
        <v>7765</v>
      </c>
      <c r="M41" s="751">
        <v>7768</v>
      </c>
      <c r="N41" s="8">
        <f t="shared" si="0"/>
        <v>7764.916666666667</v>
      </c>
      <c r="O41" s="8"/>
      <c r="P41" s="8">
        <f>'C0-Ref Stats'!D41</f>
        <v>10123.177439999999</v>
      </c>
      <c r="Q41" s="72">
        <f t="shared" si="3"/>
        <v>1.3031896807415035</v>
      </c>
    </row>
    <row r="42" spans="1:18" x14ac:dyDescent="0.3">
      <c r="A42" s="750">
        <v>1996</v>
      </c>
      <c r="B42" s="751">
        <v>7733</v>
      </c>
      <c r="C42" s="751">
        <v>7688</v>
      </c>
      <c r="D42" s="751">
        <v>7673</v>
      </c>
      <c r="E42" s="751">
        <v>7774</v>
      </c>
      <c r="F42" s="751">
        <v>7841</v>
      </c>
      <c r="G42" s="751">
        <v>7739</v>
      </c>
      <c r="H42" s="751">
        <v>7859</v>
      </c>
      <c r="I42" s="751">
        <v>7731</v>
      </c>
      <c r="J42" s="751">
        <v>7935</v>
      </c>
      <c r="K42" s="751">
        <v>7980</v>
      </c>
      <c r="L42" s="751">
        <v>7875</v>
      </c>
      <c r="M42" s="751">
        <v>7883</v>
      </c>
      <c r="N42" s="8">
        <f t="shared" si="0"/>
        <v>7809.25</v>
      </c>
      <c r="O42" s="8"/>
      <c r="P42" s="8">
        <f>'C0-Ref Stats'!D42</f>
        <v>10578.68534</v>
      </c>
      <c r="Q42" s="72">
        <f t="shared" si="3"/>
        <v>1.3419618596980845</v>
      </c>
    </row>
    <row r="43" spans="1:18" x14ac:dyDescent="0.3">
      <c r="A43" s="750">
        <v>1997</v>
      </c>
      <c r="B43" s="751">
        <v>7930</v>
      </c>
      <c r="C43" s="751">
        <v>7948</v>
      </c>
      <c r="D43" s="751">
        <v>7951</v>
      </c>
      <c r="E43" s="751">
        <v>7974</v>
      </c>
      <c r="F43" s="751">
        <v>7964</v>
      </c>
      <c r="G43" s="751">
        <v>7849</v>
      </c>
      <c r="H43" s="751">
        <v>7975</v>
      </c>
      <c r="I43" s="751">
        <v>7922</v>
      </c>
      <c r="J43" s="751">
        <v>7873</v>
      </c>
      <c r="K43" s="751">
        <v>7876</v>
      </c>
      <c r="L43" s="751">
        <v>8042</v>
      </c>
      <c r="M43" s="751">
        <v>7923</v>
      </c>
      <c r="N43" s="8">
        <f t="shared" si="0"/>
        <v>7935.583333333333</v>
      </c>
      <c r="O43" s="8"/>
      <c r="P43" s="8">
        <f>'C0-Ref Stats'!D43</f>
        <v>11206.34871</v>
      </c>
      <c r="Q43" s="72">
        <f t="shared" si="3"/>
        <v>1.4144072586141614</v>
      </c>
    </row>
    <row r="44" spans="1:18" x14ac:dyDescent="0.3">
      <c r="A44" s="750">
        <v>1998</v>
      </c>
      <c r="B44" s="751">
        <v>8171</v>
      </c>
      <c r="C44" s="751">
        <v>8137</v>
      </c>
      <c r="D44" s="751">
        <v>8235</v>
      </c>
      <c r="E44" s="751">
        <v>8071</v>
      </c>
      <c r="F44" s="751">
        <v>8228</v>
      </c>
      <c r="G44" s="751">
        <v>8268</v>
      </c>
      <c r="H44" s="751">
        <v>8221</v>
      </c>
      <c r="I44" s="751">
        <v>8289</v>
      </c>
      <c r="J44" s="751">
        <v>8489</v>
      </c>
      <c r="K44" s="751">
        <v>8347</v>
      </c>
      <c r="L44" s="751">
        <v>8269</v>
      </c>
      <c r="M44" s="751">
        <v>8340</v>
      </c>
      <c r="N44" s="8">
        <f t="shared" si="0"/>
        <v>8255.4166666666661</v>
      </c>
      <c r="O44" s="8"/>
      <c r="P44" s="8">
        <f>'C0-Ref Stats'!D44</f>
        <v>11092.42016</v>
      </c>
      <c r="Q44" s="72">
        <f t="shared" si="3"/>
        <v>1.3300263980815348</v>
      </c>
    </row>
    <row r="45" spans="1:18" x14ac:dyDescent="0.3">
      <c r="A45" s="750">
        <v>1999</v>
      </c>
      <c r="B45" s="751">
        <v>8367</v>
      </c>
      <c r="C45" s="751">
        <v>8399</v>
      </c>
      <c r="D45" s="751">
        <v>8343</v>
      </c>
      <c r="E45" s="751">
        <v>8334</v>
      </c>
      <c r="F45" s="751">
        <v>8454</v>
      </c>
      <c r="G45" s="751">
        <v>8175</v>
      </c>
      <c r="H45" s="751">
        <v>8306</v>
      </c>
      <c r="I45" s="751">
        <v>8208</v>
      </c>
      <c r="J45" s="751">
        <v>8323</v>
      </c>
      <c r="K45" s="751">
        <v>8394</v>
      </c>
      <c r="L45" s="751">
        <v>8358</v>
      </c>
      <c r="M45" s="751">
        <v>8370</v>
      </c>
      <c r="N45" s="8">
        <f t="shared" si="0"/>
        <v>8335.9166666666661</v>
      </c>
      <c r="O45" s="8"/>
      <c r="P45" s="8">
        <f>'C0-Ref Stats'!D45</f>
        <v>11522.98151</v>
      </c>
      <c r="Q45" s="72">
        <f t="shared" si="3"/>
        <v>1.3767002998805256</v>
      </c>
    </row>
    <row r="46" spans="1:18" x14ac:dyDescent="0.3">
      <c r="A46" s="750">
        <v>2000</v>
      </c>
      <c r="B46" s="751">
        <v>8360</v>
      </c>
      <c r="C46" s="751">
        <v>8359</v>
      </c>
      <c r="D46" s="751">
        <v>8355</v>
      </c>
      <c r="E46" s="751">
        <v>8458</v>
      </c>
      <c r="F46" s="751">
        <v>8344</v>
      </c>
      <c r="G46" s="751">
        <v>8308</v>
      </c>
      <c r="H46" s="751">
        <v>8078</v>
      </c>
      <c r="I46" s="751">
        <v>8280</v>
      </c>
      <c r="J46" s="751">
        <v>8176</v>
      </c>
      <c r="K46" s="751">
        <v>8124</v>
      </c>
      <c r="L46" s="751">
        <v>8211</v>
      </c>
      <c r="M46" s="751">
        <v>8258</v>
      </c>
      <c r="N46" s="8">
        <f t="shared" si="0"/>
        <v>8275.9166666666661</v>
      </c>
      <c r="O46" s="8"/>
      <c r="P46" s="8">
        <f>'C0-Ref Stats'!D46</f>
        <v>11687.26669</v>
      </c>
      <c r="Q46" s="72">
        <f t="shared" si="3"/>
        <v>1.4152660075078711</v>
      </c>
    </row>
    <row r="47" spans="1:18" x14ac:dyDescent="0.3">
      <c r="A47" s="750">
        <v>2001</v>
      </c>
      <c r="B47" s="751">
        <v>8243</v>
      </c>
      <c r="C47" s="751">
        <v>8154</v>
      </c>
      <c r="D47" s="751">
        <v>8120</v>
      </c>
      <c r="E47" s="751">
        <v>7970</v>
      </c>
      <c r="F47" s="751">
        <v>7760</v>
      </c>
      <c r="G47" s="751">
        <v>7942</v>
      </c>
      <c r="H47" s="751">
        <v>7929</v>
      </c>
      <c r="I47" s="751">
        <v>7531</v>
      </c>
      <c r="J47" s="751">
        <v>7836</v>
      </c>
      <c r="K47" s="751">
        <v>7858</v>
      </c>
      <c r="L47" s="751">
        <v>7873</v>
      </c>
      <c r="M47" s="751">
        <v>7712</v>
      </c>
      <c r="N47" s="8">
        <f t="shared" si="0"/>
        <v>7910.666666666667</v>
      </c>
      <c r="O47" s="8"/>
      <c r="P47" s="8">
        <f>'C0-Ref Stats'!D47</f>
        <v>10729.76261</v>
      </c>
      <c r="Q47" s="72">
        <f t="shared" si="3"/>
        <v>1.3913073923755186</v>
      </c>
    </row>
    <row r="48" spans="1:18" x14ac:dyDescent="0.3">
      <c r="A48" s="750">
        <v>2002</v>
      </c>
      <c r="B48" s="751">
        <v>7619</v>
      </c>
      <c r="C48" s="751">
        <v>7650</v>
      </c>
      <c r="D48" s="751">
        <v>7802</v>
      </c>
      <c r="E48" s="751">
        <v>7621</v>
      </c>
      <c r="F48" s="751">
        <v>7588</v>
      </c>
      <c r="G48" s="751">
        <v>7617</v>
      </c>
      <c r="H48" s="751">
        <v>7591</v>
      </c>
      <c r="I48" s="751">
        <v>7477</v>
      </c>
      <c r="J48" s="751">
        <v>7667</v>
      </c>
      <c r="K48" s="751">
        <v>7537</v>
      </c>
      <c r="L48" s="751">
        <v>7487</v>
      </c>
      <c r="M48" s="751">
        <v>7385</v>
      </c>
      <c r="N48" s="8">
        <f t="shared" si="0"/>
        <v>7586.75</v>
      </c>
      <c r="O48" s="8"/>
      <c r="P48" s="8">
        <f>'C0-Ref Stats'!D48</f>
        <v>9621.8385399999988</v>
      </c>
      <c r="Q48" s="72">
        <f t="shared" si="3"/>
        <v>1.3028894434664859</v>
      </c>
    </row>
    <row r="49" spans="1:17" x14ac:dyDescent="0.3">
      <c r="A49" s="750">
        <v>2003</v>
      </c>
      <c r="B49" s="751">
        <v>7358</v>
      </c>
      <c r="C49" s="751">
        <v>7322</v>
      </c>
      <c r="D49" s="751">
        <v>7143</v>
      </c>
      <c r="E49" s="751">
        <v>7223</v>
      </c>
      <c r="F49" s="751">
        <v>7228</v>
      </c>
      <c r="G49" s="751">
        <v>7268</v>
      </c>
      <c r="H49" s="751">
        <v>7150</v>
      </c>
      <c r="I49" s="751">
        <v>7035</v>
      </c>
      <c r="J49" s="751">
        <v>7112</v>
      </c>
      <c r="K49" s="751">
        <v>7060</v>
      </c>
      <c r="L49" s="751">
        <v>7112</v>
      </c>
      <c r="M49" s="751">
        <v>6978</v>
      </c>
      <c r="N49" s="8">
        <f t="shared" si="0"/>
        <v>7165.75</v>
      </c>
      <c r="O49" s="8"/>
      <c r="P49" s="8">
        <f>'C0-Ref Stats'!D49</f>
        <v>9142.7773400000005</v>
      </c>
      <c r="Q49" s="72">
        <f t="shared" si="3"/>
        <v>1.3102289108627114</v>
      </c>
    </row>
    <row r="50" spans="1:17" x14ac:dyDescent="0.3">
      <c r="A50" s="750">
        <v>2004</v>
      </c>
      <c r="B50" s="751">
        <v>7194</v>
      </c>
      <c r="C50" s="751">
        <v>7077</v>
      </c>
      <c r="D50" s="751">
        <v>6930</v>
      </c>
      <c r="E50" s="751">
        <v>7093</v>
      </c>
      <c r="F50" s="751">
        <v>7126</v>
      </c>
      <c r="G50" s="751">
        <v>7007</v>
      </c>
      <c r="H50" s="751">
        <v>7166</v>
      </c>
      <c r="I50" s="751">
        <v>7123</v>
      </c>
      <c r="J50" s="751">
        <v>7056</v>
      </c>
      <c r="K50" s="751">
        <v>7180</v>
      </c>
      <c r="L50" s="751">
        <v>7216</v>
      </c>
      <c r="M50" s="751">
        <v>7202</v>
      </c>
      <c r="N50" s="8">
        <f t="shared" si="0"/>
        <v>7114.166666666667</v>
      </c>
      <c r="O50" s="8"/>
      <c r="P50" s="8">
        <f>'C0-Ref Stats'!D50</f>
        <v>9061.6188499999989</v>
      </c>
      <c r="Q50" s="72">
        <f t="shared" si="3"/>
        <v>1.2582086712024436</v>
      </c>
    </row>
    <row r="51" spans="1:17" x14ac:dyDescent="0.3">
      <c r="A51" s="750">
        <v>2005</v>
      </c>
      <c r="B51" s="751">
        <v>7071</v>
      </c>
      <c r="C51" s="751">
        <v>7073</v>
      </c>
      <c r="D51" s="751">
        <v>7185</v>
      </c>
      <c r="E51" s="751">
        <v>7190</v>
      </c>
      <c r="F51" s="751">
        <v>7201</v>
      </c>
      <c r="G51" s="751">
        <v>7140</v>
      </c>
      <c r="H51" s="751">
        <v>7150</v>
      </c>
      <c r="I51" s="751">
        <v>7240</v>
      </c>
      <c r="J51" s="751">
        <v>7141</v>
      </c>
      <c r="K51" s="751">
        <v>7124</v>
      </c>
      <c r="L51" s="751">
        <v>7265</v>
      </c>
      <c r="M51" s="751">
        <v>7139</v>
      </c>
      <c r="N51" s="8">
        <f t="shared" si="0"/>
        <v>7159.916666666667</v>
      </c>
      <c r="O51" s="8"/>
      <c r="P51" s="8">
        <f>'C0-Ref Stats'!D51</f>
        <v>9146.8094899999996</v>
      </c>
      <c r="Q51" s="72">
        <f t="shared" si="3"/>
        <v>1.2812452010085447</v>
      </c>
    </row>
    <row r="52" spans="1:17" x14ac:dyDescent="0.3">
      <c r="A52" s="750">
        <v>2006</v>
      </c>
      <c r="B52" s="751">
        <v>7197</v>
      </c>
      <c r="C52" s="751">
        <v>7298</v>
      </c>
      <c r="D52" s="751">
        <v>7342</v>
      </c>
      <c r="E52" s="751">
        <v>7198</v>
      </c>
      <c r="F52" s="751">
        <v>7215</v>
      </c>
      <c r="G52" s="751">
        <v>7393</v>
      </c>
      <c r="H52" s="751">
        <v>7324</v>
      </c>
      <c r="I52" s="751">
        <v>7266</v>
      </c>
      <c r="J52" s="751">
        <v>7196</v>
      </c>
      <c r="K52" s="751">
        <v>7289</v>
      </c>
      <c r="L52" s="751">
        <v>7331</v>
      </c>
      <c r="M52" s="751">
        <v>7287</v>
      </c>
      <c r="N52" s="8">
        <f t="shared" si="0"/>
        <v>7278</v>
      </c>
      <c r="O52" s="8"/>
      <c r="P52" s="8">
        <f>'C0-Ref Stats'!D52</f>
        <v>9355.8645399999987</v>
      </c>
      <c r="Q52" s="72">
        <f t="shared" si="3"/>
        <v>1.2839116975435705</v>
      </c>
    </row>
    <row r="53" spans="1:17" x14ac:dyDescent="0.3">
      <c r="A53" s="750">
        <v>2007</v>
      </c>
      <c r="B53" s="751">
        <v>7240</v>
      </c>
      <c r="C53" s="751">
        <v>7133</v>
      </c>
      <c r="D53" s="751">
        <v>7061</v>
      </c>
      <c r="E53" s="751">
        <v>6985</v>
      </c>
      <c r="F53" s="751">
        <v>6888</v>
      </c>
      <c r="G53" s="751">
        <v>7109</v>
      </c>
      <c r="H53" s="751">
        <v>6953</v>
      </c>
      <c r="I53" s="751">
        <v>6714</v>
      </c>
      <c r="J53" s="751">
        <v>7001</v>
      </c>
      <c r="K53" s="751">
        <v>7039</v>
      </c>
      <c r="L53" s="751">
        <v>7071</v>
      </c>
      <c r="M53" s="751">
        <v>7032</v>
      </c>
      <c r="N53" s="8">
        <f t="shared" si="0"/>
        <v>7018.833333333333</v>
      </c>
      <c r="O53" s="8"/>
      <c r="P53" s="8">
        <f>'C0-Ref Stats'!D53</f>
        <v>9617.1281199999994</v>
      </c>
      <c r="Q53" s="72">
        <f t="shared" si="3"/>
        <v>1.3676234527872582</v>
      </c>
    </row>
    <row r="54" spans="1:17" x14ac:dyDescent="0.3">
      <c r="A54" s="750">
        <v>2008</v>
      </c>
      <c r="B54" s="751">
        <v>7015</v>
      </c>
      <c r="C54" s="751">
        <v>6820</v>
      </c>
      <c r="D54" s="751">
        <v>6813</v>
      </c>
      <c r="E54" s="751">
        <v>6947</v>
      </c>
      <c r="F54" s="751">
        <v>7182</v>
      </c>
      <c r="G54" s="751">
        <v>6925</v>
      </c>
      <c r="H54" s="751">
        <v>6909</v>
      </c>
      <c r="I54" s="751">
        <v>6801</v>
      </c>
      <c r="J54" s="751">
        <v>6850</v>
      </c>
      <c r="K54" s="751">
        <v>6793</v>
      </c>
      <c r="L54" s="751">
        <v>6612</v>
      </c>
      <c r="M54" s="751">
        <v>6601</v>
      </c>
      <c r="N54" s="8">
        <f t="shared" si="0"/>
        <v>6855.666666666667</v>
      </c>
      <c r="O54" s="8"/>
      <c r="P54" s="8">
        <f>'C0-Ref Stats'!D54</f>
        <v>9056.9333999999999</v>
      </c>
      <c r="Q54" s="72">
        <f t="shared" si="3"/>
        <v>1.372054749280412</v>
      </c>
    </row>
    <row r="55" spans="1:17" x14ac:dyDescent="0.3">
      <c r="A55" s="750">
        <v>2009</v>
      </c>
      <c r="B55" s="751">
        <v>6582</v>
      </c>
      <c r="C55" s="751">
        <v>6671</v>
      </c>
      <c r="D55" s="751">
        <v>6491</v>
      </c>
      <c r="E55" s="751">
        <v>6472</v>
      </c>
      <c r="F55" s="751">
        <v>6566</v>
      </c>
      <c r="G55" s="751">
        <v>6557</v>
      </c>
      <c r="H55" s="751">
        <v>6431</v>
      </c>
      <c r="I55" s="751">
        <v>6328</v>
      </c>
      <c r="J55" s="751">
        <v>6272</v>
      </c>
      <c r="K55" s="751">
        <v>6102</v>
      </c>
      <c r="L55" s="751">
        <v>6108</v>
      </c>
      <c r="M55" s="751">
        <v>6071</v>
      </c>
      <c r="N55" s="8">
        <f t="shared" si="0"/>
        <v>6387.583333333333</v>
      </c>
      <c r="O55" s="8"/>
      <c r="P55" s="8">
        <f>'C0-Ref Stats'!D55</f>
        <v>7081.6924200000003</v>
      </c>
      <c r="Q55" s="72">
        <f t="shared" si="3"/>
        <v>1.1664787382638775</v>
      </c>
    </row>
    <row r="56" spans="1:17" x14ac:dyDescent="0.3">
      <c r="A56" s="750">
        <v>2010</v>
      </c>
      <c r="B56" s="751">
        <v>5996</v>
      </c>
      <c r="C56" s="751">
        <v>6045</v>
      </c>
      <c r="D56" s="751">
        <v>6091</v>
      </c>
      <c r="E56" s="751">
        <v>6076</v>
      </c>
      <c r="F56" s="751">
        <v>6030</v>
      </c>
      <c r="G56" s="751">
        <v>5724</v>
      </c>
      <c r="H56" s="751">
        <v>5814</v>
      </c>
      <c r="I56" s="751">
        <v>5912</v>
      </c>
      <c r="J56" s="751">
        <v>5748</v>
      </c>
      <c r="K56" s="751">
        <v>5902</v>
      </c>
      <c r="L56" s="751">
        <v>5835</v>
      </c>
      <c r="M56" s="751">
        <v>5760</v>
      </c>
      <c r="N56" s="8">
        <f t="shared" si="0"/>
        <v>5911.083333333333</v>
      </c>
      <c r="O56" s="8"/>
      <c r="P56" s="8">
        <f>'C0-Ref Stats'!D56</f>
        <v>6874.2098800000003</v>
      </c>
      <c r="Q56" s="72">
        <f t="shared" si="3"/>
        <v>1.1934392152777777</v>
      </c>
    </row>
    <row r="57" spans="1:17" x14ac:dyDescent="0.3">
      <c r="A57" s="750">
        <v>2011</v>
      </c>
      <c r="B57" s="751">
        <v>5834</v>
      </c>
      <c r="C57" s="751">
        <v>5696</v>
      </c>
      <c r="D57" s="751">
        <v>5759</v>
      </c>
      <c r="E57" s="751">
        <v>5692</v>
      </c>
      <c r="F57" s="751">
        <v>5598</v>
      </c>
      <c r="G57" s="751">
        <v>5667</v>
      </c>
      <c r="H57" s="751">
        <v>5621</v>
      </c>
      <c r="I57" s="751">
        <v>5823</v>
      </c>
      <c r="J57" s="751">
        <v>5789</v>
      </c>
      <c r="K57" s="751">
        <v>5769</v>
      </c>
      <c r="L57" s="751">
        <v>5786</v>
      </c>
      <c r="M57" s="751">
        <v>5723</v>
      </c>
      <c r="N57" s="8">
        <f t="shared" si="0"/>
        <v>5729.75</v>
      </c>
      <c r="O57" s="8"/>
      <c r="P57" s="8">
        <f>'C0-Ref Stats'!D57</f>
        <v>7263.12583</v>
      </c>
      <c r="Q57" s="72">
        <f t="shared" si="3"/>
        <v>1.2691116250218417</v>
      </c>
    </row>
    <row r="58" spans="1:17" x14ac:dyDescent="0.3">
      <c r="A58" s="750">
        <v>2012</v>
      </c>
      <c r="B58" s="751">
        <v>5737</v>
      </c>
      <c r="C58" s="751">
        <v>5776</v>
      </c>
      <c r="D58" s="751">
        <v>5799</v>
      </c>
      <c r="E58" s="751">
        <v>5816</v>
      </c>
      <c r="F58" s="751">
        <v>5812</v>
      </c>
      <c r="G58" s="751">
        <v>5884</v>
      </c>
      <c r="H58" s="751">
        <v>5938</v>
      </c>
      <c r="I58" s="751">
        <v>5813</v>
      </c>
      <c r="J58" s="751">
        <v>5790</v>
      </c>
      <c r="K58" s="751">
        <v>5851</v>
      </c>
      <c r="L58" s="751">
        <v>5863</v>
      </c>
      <c r="M58" s="751">
        <v>5766</v>
      </c>
      <c r="N58" s="8">
        <f t="shared" si="0"/>
        <v>5820.416666666667</v>
      </c>
      <c r="O58" s="8"/>
      <c r="P58" s="8">
        <f>'C0-Ref Stats'!D58</f>
        <v>7204.7182699999994</v>
      </c>
      <c r="Q58" s="72">
        <f t="shared" si="3"/>
        <v>1.2495175633021158</v>
      </c>
    </row>
    <row r="59" spans="1:17" x14ac:dyDescent="0.3">
      <c r="A59" s="750">
        <v>2013</v>
      </c>
      <c r="B59" s="751">
        <v>5919</v>
      </c>
      <c r="C59" s="751">
        <v>5837</v>
      </c>
      <c r="D59" s="751">
        <v>5704</v>
      </c>
      <c r="E59" s="751">
        <v>5754</v>
      </c>
      <c r="F59" s="751">
        <v>5859</v>
      </c>
      <c r="G59" s="751">
        <v>5822</v>
      </c>
      <c r="H59" s="751">
        <v>5867</v>
      </c>
      <c r="I59" s="751">
        <v>5777</v>
      </c>
      <c r="J59" s="751">
        <v>5821</v>
      </c>
      <c r="K59" s="751">
        <v>5701</v>
      </c>
      <c r="L59" s="751">
        <v>5711</v>
      </c>
      <c r="M59" s="751">
        <v>5625</v>
      </c>
      <c r="N59" s="8">
        <f t="shared" si="0"/>
        <v>5783.083333333333</v>
      </c>
      <c r="O59" s="8"/>
      <c r="P59" s="8">
        <f>'C0-Ref Stats'!D59</f>
        <v>7403.1486299999997</v>
      </c>
      <c r="Q59" s="72">
        <f t="shared" si="3"/>
        <v>1.316115312</v>
      </c>
    </row>
    <row r="60" spans="1:17" x14ac:dyDescent="0.3">
      <c r="A60" s="750">
        <v>2014</v>
      </c>
      <c r="B60" s="751">
        <v>5516</v>
      </c>
      <c r="C60" s="751">
        <v>5446</v>
      </c>
      <c r="D60" s="751">
        <v>5650</v>
      </c>
      <c r="E60" s="751">
        <v>5548</v>
      </c>
      <c r="F60" s="751">
        <v>5620</v>
      </c>
      <c r="G60" s="751">
        <v>5620</v>
      </c>
      <c r="H60" s="751">
        <v>5698</v>
      </c>
      <c r="I60" s="751">
        <v>5614</v>
      </c>
      <c r="J60" s="751">
        <v>5656</v>
      </c>
      <c r="K60" s="751">
        <v>5903</v>
      </c>
      <c r="L60" s="751">
        <v>5805</v>
      </c>
      <c r="M60" s="751">
        <v>5720</v>
      </c>
      <c r="N60" s="8">
        <f t="shared" si="0"/>
        <v>5649.666666666667</v>
      </c>
      <c r="O60" s="8"/>
      <c r="P60" s="8">
        <f>'C0-Ref Stats'!D60</f>
        <v>7389.8115900000003</v>
      </c>
      <c r="Q60" s="72">
        <f t="shared" si="3"/>
        <v>1.2919251031468533</v>
      </c>
    </row>
    <row r="61" spans="1:17" x14ac:dyDescent="0.3">
      <c r="A61" s="750">
        <v>2015</v>
      </c>
      <c r="B61" s="751">
        <v>5786</v>
      </c>
      <c r="C61" s="751">
        <v>5754</v>
      </c>
      <c r="D61" s="751">
        <v>5778</v>
      </c>
      <c r="E61" s="751">
        <v>5755</v>
      </c>
      <c r="F61" s="751">
        <v>5820</v>
      </c>
      <c r="G61" s="751">
        <v>5681</v>
      </c>
      <c r="H61" s="751">
        <v>5588</v>
      </c>
      <c r="I61" s="751">
        <v>5609</v>
      </c>
      <c r="J61" s="751">
        <v>5595</v>
      </c>
      <c r="K61" s="751">
        <v>5620</v>
      </c>
      <c r="L61" s="751">
        <v>5610</v>
      </c>
      <c r="M61" s="751">
        <v>5848</v>
      </c>
      <c r="N61" s="8">
        <f t="shared" si="0"/>
        <v>5703.666666666667</v>
      </c>
      <c r="O61" s="8"/>
      <c r="P61" s="8">
        <f>'C0-Ref Stats'!D61</f>
        <v>7608.66</v>
      </c>
      <c r="Q61" s="72">
        <f t="shared" si="3"/>
        <v>1.3010704514363884</v>
      </c>
    </row>
    <row r="62" spans="1:17" x14ac:dyDescent="0.3">
      <c r="A62" s="754">
        <v>2016</v>
      </c>
      <c r="B62" s="755">
        <v>5838</v>
      </c>
      <c r="C62" s="755">
        <v>5918</v>
      </c>
      <c r="D62" s="755">
        <v>5861</v>
      </c>
      <c r="E62" s="755">
        <v>5879</v>
      </c>
      <c r="F62" s="755">
        <v>5864</v>
      </c>
      <c r="G62" s="755">
        <v>5798</v>
      </c>
      <c r="H62" s="755">
        <v>5889</v>
      </c>
      <c r="I62" s="755">
        <v>5999</v>
      </c>
      <c r="J62" s="755">
        <v>5987</v>
      </c>
      <c r="K62" s="755">
        <v>5892</v>
      </c>
      <c r="L62" s="755">
        <v>5903</v>
      </c>
      <c r="M62" s="755">
        <v>5826</v>
      </c>
      <c r="N62" s="482">
        <f t="shared" si="0"/>
        <v>5887.833333333333</v>
      </c>
      <c r="O62" s="482"/>
      <c r="P62" s="482"/>
      <c r="Q62" s="482"/>
    </row>
  </sheetData>
  <mergeCells count="2">
    <mergeCell ref="B4:N4"/>
    <mergeCell ref="P4:Q4"/>
  </mergeCells>
  <hyperlinks>
    <hyperlink ref="K1" location="Index!A1" display="Index"/>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AC71"/>
  <sheetViews>
    <sheetView workbookViewId="0"/>
  </sheetViews>
  <sheetFormatPr defaultRowHeight="14.4" x14ac:dyDescent="0.3"/>
  <cols>
    <col min="1" max="1" width="8.109375" customWidth="1"/>
    <col min="6" max="6" width="10.88671875" customWidth="1"/>
    <col min="7" max="7" width="2.109375" customWidth="1"/>
    <col min="10" max="10" width="15.109375" customWidth="1"/>
    <col min="11" max="11" width="11.109375" customWidth="1"/>
    <col min="13" max="13" width="2.77734375" customWidth="1"/>
    <col min="17" max="17" width="9.109375" customWidth="1"/>
    <col min="18" max="18" width="1.88671875" customWidth="1"/>
    <col min="21" max="21" width="13.44140625" customWidth="1"/>
    <col min="22" max="22" width="2.21875" customWidth="1"/>
    <col min="23" max="23" width="15.88671875" customWidth="1"/>
    <col min="24" max="24" width="2" customWidth="1"/>
    <col min="25" max="26" width="2" style="655" customWidth="1"/>
    <col min="27" max="27" width="18.44140625" customWidth="1"/>
    <col min="28" max="28" width="3.21875" customWidth="1"/>
    <col min="29" max="29" width="8.21875" customWidth="1"/>
  </cols>
  <sheetData>
    <row r="1" spans="1:29" ht="15.6" x14ac:dyDescent="0.3">
      <c r="A1" s="770" t="s">
        <v>1232</v>
      </c>
      <c r="B1" s="110"/>
      <c r="C1" s="655"/>
      <c r="D1" s="655"/>
      <c r="E1" s="655"/>
      <c r="F1" s="655"/>
      <c r="G1" s="655"/>
      <c r="H1" s="655"/>
      <c r="I1" s="463" t="s">
        <v>504</v>
      </c>
      <c r="J1" s="655"/>
      <c r="K1" s="655"/>
      <c r="L1" s="655"/>
      <c r="M1" s="655"/>
      <c r="N1" s="655"/>
      <c r="O1" s="655"/>
      <c r="P1" s="655"/>
      <c r="Q1" s="655"/>
      <c r="R1" s="655"/>
      <c r="S1" s="655"/>
      <c r="T1" s="655"/>
      <c r="U1" s="655"/>
    </row>
    <row r="2" spans="1:29" x14ac:dyDescent="0.3">
      <c r="A2" s="11"/>
      <c r="B2" s="11"/>
      <c r="C2" s="11"/>
      <c r="D2" s="11"/>
      <c r="E2" s="11"/>
      <c r="F2" s="11"/>
      <c r="G2" s="11"/>
      <c r="H2" s="11"/>
      <c r="I2" s="11"/>
      <c r="J2" s="11"/>
      <c r="K2" s="11"/>
      <c r="L2" s="771"/>
      <c r="M2" s="11"/>
      <c r="N2" s="11"/>
      <c r="O2" s="11"/>
      <c r="P2" s="11"/>
      <c r="Q2" s="11"/>
      <c r="R2" s="11"/>
      <c r="S2" s="11"/>
      <c r="T2" s="11"/>
      <c r="U2" s="11"/>
      <c r="W2" s="11"/>
      <c r="AA2" s="11"/>
    </row>
    <row r="3" spans="1:29" x14ac:dyDescent="0.3">
      <c r="A3" s="655"/>
      <c r="B3" s="1481" t="s">
        <v>1213</v>
      </c>
      <c r="C3" s="1481"/>
      <c r="D3" s="1481"/>
      <c r="E3" s="1481"/>
      <c r="F3" s="1481"/>
      <c r="G3" s="655"/>
      <c r="H3" s="1481" t="s">
        <v>1214</v>
      </c>
      <c r="I3" s="1481"/>
      <c r="J3" s="1481"/>
      <c r="K3" s="1481"/>
      <c r="L3" s="1481"/>
      <c r="M3" s="772"/>
      <c r="N3" s="1481" t="s">
        <v>1275</v>
      </c>
      <c r="O3" s="1481"/>
      <c r="P3" s="1481"/>
      <c r="Q3" s="1481"/>
      <c r="R3" s="655"/>
      <c r="S3" s="655"/>
      <c r="T3" s="655"/>
      <c r="U3" s="655"/>
      <c r="W3" s="12"/>
      <c r="AA3" s="12"/>
    </row>
    <row r="4" spans="1:29" ht="58.5" customHeight="1" x14ac:dyDescent="0.3">
      <c r="A4" s="781" t="s">
        <v>1215</v>
      </c>
      <c r="B4" s="773" t="s">
        <v>491</v>
      </c>
      <c r="C4" s="773" t="s">
        <v>211</v>
      </c>
      <c r="D4" s="773" t="s">
        <v>38</v>
      </c>
      <c r="E4" s="773" t="s">
        <v>1216</v>
      </c>
      <c r="F4" s="773" t="s">
        <v>1217</v>
      </c>
      <c r="G4" s="11"/>
      <c r="H4" s="773" t="s">
        <v>1255</v>
      </c>
      <c r="I4" s="773" t="s">
        <v>1218</v>
      </c>
      <c r="J4" s="773" t="s">
        <v>1219</v>
      </c>
      <c r="K4" s="773" t="s">
        <v>1220</v>
      </c>
      <c r="L4" s="773" t="s">
        <v>1221</v>
      </c>
      <c r="M4" s="773"/>
      <c r="N4" s="773" t="s">
        <v>211</v>
      </c>
      <c r="O4" s="773" t="s">
        <v>38</v>
      </c>
      <c r="P4" s="773" t="s">
        <v>1246</v>
      </c>
      <c r="Q4" s="773" t="s">
        <v>215</v>
      </c>
      <c r="R4" s="774"/>
      <c r="S4" s="773" t="s">
        <v>1222</v>
      </c>
      <c r="T4" s="773" t="s">
        <v>1223</v>
      </c>
      <c r="U4" s="782" t="s">
        <v>1224</v>
      </c>
      <c r="W4" s="782" t="s">
        <v>1252</v>
      </c>
      <c r="AA4" s="782" t="s">
        <v>1272</v>
      </c>
      <c r="AC4" s="773" t="s">
        <v>1505</v>
      </c>
    </row>
    <row r="5" spans="1:29" ht="10.5" customHeight="1" x14ac:dyDescent="0.3">
      <c r="A5" s="268">
        <v>1960</v>
      </c>
      <c r="B5" s="775">
        <v>5267</v>
      </c>
      <c r="C5" s="775">
        <v>487.3</v>
      </c>
      <c r="D5" s="775">
        <v>2183.1</v>
      </c>
      <c r="E5" s="775">
        <v>1237.2</v>
      </c>
      <c r="F5" s="775">
        <f>B5-SUM(C5:E5)</f>
        <v>1359.3999999999996</v>
      </c>
      <c r="G5" s="802"/>
      <c r="H5" s="775">
        <v>71.599999999999994</v>
      </c>
      <c r="I5" s="775">
        <v>193.3</v>
      </c>
      <c r="J5" s="775">
        <v>898.9</v>
      </c>
      <c r="K5" s="775">
        <v>2398.1999999999998</v>
      </c>
      <c r="L5" s="775">
        <v>361.7</v>
      </c>
      <c r="M5" s="775"/>
      <c r="N5" s="775">
        <f>$S5*C5/$B5</f>
        <v>175.62969242453008</v>
      </c>
      <c r="O5" s="775">
        <f>$S5*D5/$B5</f>
        <v>786.8195804063032</v>
      </c>
      <c r="P5" s="775">
        <f>$S5*E5/$B5</f>
        <v>445.90407442566919</v>
      </c>
      <c r="Q5" s="775">
        <f>$S5*F5/$B5</f>
        <v>489.94665274349705</v>
      </c>
      <c r="R5" s="775"/>
      <c r="S5" s="775">
        <f>B5-H5-K5-J5</f>
        <v>1898.2999999999997</v>
      </c>
      <c r="T5" s="775">
        <f>N5+O5+Q5</f>
        <v>1452.3959255743302</v>
      </c>
      <c r="U5" s="776">
        <f>T5/'C1-Incomes'!J8</f>
        <v>3.0267142635976175E-3</v>
      </c>
      <c r="V5" s="372"/>
      <c r="W5" s="798">
        <f>K5/B5</f>
        <v>0.45532561230301877</v>
      </c>
      <c r="X5" s="372"/>
      <c r="Y5" s="372"/>
      <c r="Z5" s="372"/>
      <c r="AA5" s="826"/>
      <c r="AC5" s="775">
        <f>I5</f>
        <v>193.3</v>
      </c>
    </row>
    <row r="6" spans="1:29" ht="10.5" customHeight="1" x14ac:dyDescent="0.3">
      <c r="A6" s="268">
        <v>1961</v>
      </c>
      <c r="B6" s="803"/>
      <c r="C6" s="804"/>
      <c r="D6" s="803"/>
      <c r="E6" s="803"/>
      <c r="F6" s="803"/>
      <c r="G6" s="802"/>
      <c r="H6" s="785"/>
      <c r="I6" s="777">
        <f>I5+(I$7-I$5)/2</f>
        <v>196.65</v>
      </c>
      <c r="J6" s="785"/>
      <c r="K6" s="785"/>
      <c r="L6" s="777">
        <f>L5+(L$7-L$5)/2</f>
        <v>395.85</v>
      </c>
      <c r="M6" s="802"/>
      <c r="N6" s="777">
        <f>N5+(N$7-N$5)/2</f>
        <v>195.54265486983621</v>
      </c>
      <c r="O6" s="777">
        <f>O5+(O$7-O$5)/2</f>
        <v>863.59877453867466</v>
      </c>
      <c r="P6" s="777">
        <f>P5+(P$7-P$5)/2</f>
        <v>525.94364913804941</v>
      </c>
      <c r="Q6" s="777">
        <f>Q5+(Q$7-Q$5)/2</f>
        <v>496.06492145343952</v>
      </c>
      <c r="R6" s="805"/>
      <c r="S6" s="800"/>
      <c r="T6" s="775">
        <f t="shared" ref="T6:T60" si="0">N6+O6+Q6</f>
        <v>1555.2063508619503</v>
      </c>
      <c r="U6" s="778"/>
      <c r="V6" s="372"/>
      <c r="W6" s="799"/>
      <c r="X6" s="372"/>
      <c r="Y6" s="372"/>
      <c r="Z6" s="372"/>
      <c r="AA6" s="826"/>
      <c r="AC6" s="775">
        <f t="shared" ref="AC6:AC60" si="1">I6</f>
        <v>196.65</v>
      </c>
    </row>
    <row r="7" spans="1:29" ht="10.5" customHeight="1" x14ac:dyDescent="0.3">
      <c r="A7" s="268">
        <v>1962</v>
      </c>
      <c r="B7" s="806">
        <v>5937</v>
      </c>
      <c r="C7" s="807">
        <v>565</v>
      </c>
      <c r="D7" s="806">
        <v>2466</v>
      </c>
      <c r="E7" s="806">
        <v>1589.1000000000001</v>
      </c>
      <c r="F7" s="775">
        <f>B7-SUM(C7:E7)</f>
        <v>1316.8999999999996</v>
      </c>
      <c r="G7" s="802"/>
      <c r="H7" s="806">
        <v>78</v>
      </c>
      <c r="I7" s="806">
        <v>200</v>
      </c>
      <c r="J7" s="806">
        <v>858</v>
      </c>
      <c r="K7" s="806">
        <v>2737</v>
      </c>
      <c r="L7" s="806">
        <v>430</v>
      </c>
      <c r="M7" s="802"/>
      <c r="N7" s="775">
        <f>$S7*C7/$B7</f>
        <v>215.45561731514232</v>
      </c>
      <c r="O7" s="775">
        <f>$S7*D7/$B7</f>
        <v>940.37796867104601</v>
      </c>
      <c r="P7" s="775">
        <f>$S7*E7/$B7</f>
        <v>605.98322385042957</v>
      </c>
      <c r="Q7" s="775">
        <f>$S7*F7/$B7</f>
        <v>502.18319016338205</v>
      </c>
      <c r="R7" s="805"/>
      <c r="S7" s="775">
        <f>B7-H7-K7-J7</f>
        <v>2264</v>
      </c>
      <c r="T7" s="775">
        <f t="shared" si="0"/>
        <v>1658.0167761495704</v>
      </c>
      <c r="U7" s="776">
        <f>T7/'C1-Incomes'!J10</f>
        <v>3.098008751732825E-3</v>
      </c>
      <c r="V7" s="372"/>
      <c r="W7" s="798">
        <f>K7/B7</f>
        <v>0.46100724271517601</v>
      </c>
      <c r="X7" s="372"/>
      <c r="Y7" s="372"/>
      <c r="Z7" s="372"/>
      <c r="AA7" s="826"/>
      <c r="AC7" s="775">
        <f t="shared" si="1"/>
        <v>200</v>
      </c>
    </row>
    <row r="8" spans="1:29" ht="10.5" customHeight="1" x14ac:dyDescent="0.3">
      <c r="A8" s="268">
        <v>1963</v>
      </c>
      <c r="B8" s="806"/>
      <c r="C8" s="806"/>
      <c r="D8" s="806"/>
      <c r="E8" s="808"/>
      <c r="F8" s="808"/>
      <c r="G8" s="809"/>
      <c r="H8" s="808"/>
      <c r="I8" s="777">
        <f>I7+(I$10-I$5)/3</f>
        <v>233.57083333333333</v>
      </c>
      <c r="J8" s="808"/>
      <c r="K8" s="808"/>
      <c r="L8" s="777">
        <f>L7+(L$10-L$5)/3</f>
        <v>529.1</v>
      </c>
      <c r="M8" s="802"/>
      <c r="N8" s="777">
        <f>N7+(N$10-N$5)/3</f>
        <v>274.97793808121378</v>
      </c>
      <c r="O8" s="777">
        <f t="shared" ref="O8:Q9" si="2">O7+(O$10-O$5)/3</f>
        <v>1147.5020447433185</v>
      </c>
      <c r="P8" s="777">
        <f t="shared" si="2"/>
        <v>884.978039737362</v>
      </c>
      <c r="Q8" s="777">
        <f t="shared" si="2"/>
        <v>607.2669774381061</v>
      </c>
      <c r="R8" s="805"/>
      <c r="S8" s="800"/>
      <c r="T8" s="775">
        <f t="shared" si="0"/>
        <v>2029.7469602626384</v>
      </c>
      <c r="U8" s="778"/>
      <c r="V8" s="372"/>
      <c r="W8" s="799"/>
      <c r="X8" s="372"/>
      <c r="Y8" s="372"/>
      <c r="Z8" s="372"/>
      <c r="AA8" s="826"/>
      <c r="AC8" s="775">
        <f t="shared" si="1"/>
        <v>233.57083333333333</v>
      </c>
    </row>
    <row r="9" spans="1:29" ht="10.5" customHeight="1" x14ac:dyDescent="0.3">
      <c r="A9" s="268">
        <v>1964</v>
      </c>
      <c r="B9" s="806"/>
      <c r="C9" s="806"/>
      <c r="D9" s="806"/>
      <c r="E9" s="806"/>
      <c r="F9" s="806"/>
      <c r="G9" s="802"/>
      <c r="H9" s="806"/>
      <c r="I9" s="777">
        <f>I8+(I$10-I$5)/3</f>
        <v>267.14166666666665</v>
      </c>
      <c r="J9" s="806"/>
      <c r="K9" s="806"/>
      <c r="L9" s="777">
        <f>L8+(L$10-L$5)/3</f>
        <v>628.20000000000005</v>
      </c>
      <c r="M9" s="802"/>
      <c r="N9" s="777">
        <f>N8+(N$10-N$5)/3</f>
        <v>334.50025884728518</v>
      </c>
      <c r="O9" s="777">
        <f t="shared" si="2"/>
        <v>1354.6261208155909</v>
      </c>
      <c r="P9" s="777">
        <f t="shared" si="2"/>
        <v>1163.9728556242944</v>
      </c>
      <c r="Q9" s="777">
        <f t="shared" si="2"/>
        <v>712.35076471283014</v>
      </c>
      <c r="R9" s="805"/>
      <c r="S9" s="800"/>
      <c r="T9" s="775">
        <f t="shared" si="0"/>
        <v>2401.4771443757063</v>
      </c>
      <c r="U9" s="776"/>
      <c r="V9" s="372"/>
      <c r="W9" s="799"/>
      <c r="X9" s="372"/>
      <c r="Y9" s="372"/>
      <c r="Z9" s="372"/>
      <c r="AA9" s="826"/>
      <c r="AC9" s="775">
        <f t="shared" si="1"/>
        <v>267.14166666666665</v>
      </c>
    </row>
    <row r="10" spans="1:29" ht="10.5" customHeight="1" x14ac:dyDescent="0.3">
      <c r="A10" s="268">
        <v>1965</v>
      </c>
      <c r="B10" s="806">
        <v>8512</v>
      </c>
      <c r="C10" s="806">
        <v>783</v>
      </c>
      <c r="D10" s="806">
        <v>3113</v>
      </c>
      <c r="E10" s="806">
        <v>2836</v>
      </c>
      <c r="F10" s="775">
        <f>B10-SUM(C10:E10)</f>
        <v>1780</v>
      </c>
      <c r="G10" s="802"/>
      <c r="H10" s="785">
        <v>153.14999999999998</v>
      </c>
      <c r="I10" s="785">
        <v>294.01249999999999</v>
      </c>
      <c r="J10" s="785">
        <v>1215.375</v>
      </c>
      <c r="K10" s="806">
        <v>3293</v>
      </c>
      <c r="L10" s="806">
        <v>659</v>
      </c>
      <c r="M10" s="802"/>
      <c r="N10" s="775">
        <f>$S10*C10/$B10</f>
        <v>354.19665472274437</v>
      </c>
      <c r="O10" s="775">
        <f>$S10*D10/$B10</f>
        <v>1408.1918086231203</v>
      </c>
      <c r="P10" s="775">
        <f>$S10*E10/$B10</f>
        <v>1282.8885220864663</v>
      </c>
      <c r="Q10" s="775">
        <f>$S10*F10/$B10</f>
        <v>805.19801456766925</v>
      </c>
      <c r="R10" s="805"/>
      <c r="S10" s="775">
        <f>B10-H10-K10-J10</f>
        <v>3850.4750000000004</v>
      </c>
      <c r="T10" s="775">
        <f t="shared" si="0"/>
        <v>2567.5864779135341</v>
      </c>
      <c r="U10" s="780" t="s">
        <v>50</v>
      </c>
      <c r="V10" s="372"/>
      <c r="W10" s="798">
        <f>K10/B10</f>
        <v>0.38686560150375937</v>
      </c>
      <c r="X10" s="372"/>
      <c r="Y10" s="372"/>
      <c r="Z10" s="372"/>
      <c r="AA10" s="826"/>
      <c r="AC10" s="775">
        <f t="shared" si="1"/>
        <v>294.01249999999999</v>
      </c>
    </row>
    <row r="11" spans="1:29" ht="10.5" customHeight="1" x14ac:dyDescent="0.3">
      <c r="A11" s="268">
        <v>1966</v>
      </c>
      <c r="B11" s="806"/>
      <c r="C11" s="806"/>
      <c r="D11" s="806"/>
      <c r="E11" s="806"/>
      <c r="F11" s="806"/>
      <c r="G11" s="802"/>
      <c r="H11" s="785"/>
      <c r="I11" s="777">
        <f>I10+(I$15-I$10)/5</f>
        <v>325.34999999999997</v>
      </c>
      <c r="J11" s="785"/>
      <c r="K11" s="785"/>
      <c r="L11" s="777">
        <f>L10+(L$15-L$10)/5</f>
        <v>649.41999999999996</v>
      </c>
      <c r="M11" s="802"/>
      <c r="N11" s="777">
        <f>N10+(N$15-N$10)/5</f>
        <v>393.68399215703312</v>
      </c>
      <c r="O11" s="777">
        <f t="shared" ref="O11:Q14" si="3">O10+(O$15-O$10)/5</f>
        <v>1388.7958942492412</v>
      </c>
      <c r="P11" s="777">
        <f t="shared" si="3"/>
        <v>1143.5176598992098</v>
      </c>
      <c r="Q11" s="777">
        <f t="shared" si="3"/>
        <v>804.12245369451637</v>
      </c>
      <c r="R11" s="805"/>
      <c r="S11" s="800"/>
      <c r="T11" s="775">
        <f t="shared" si="0"/>
        <v>2586.6023401007906</v>
      </c>
      <c r="U11" s="776"/>
      <c r="V11" s="372"/>
      <c r="W11" s="799"/>
      <c r="X11" s="372"/>
      <c r="Y11" s="372"/>
      <c r="Z11" s="372"/>
      <c r="AA11" s="826">
        <f>TOTALS!V11/1000000</f>
        <v>1042.2184133999999</v>
      </c>
      <c r="AC11" s="775">
        <f t="shared" si="1"/>
        <v>325.34999999999997</v>
      </c>
    </row>
    <row r="12" spans="1:29" ht="10.5" customHeight="1" x14ac:dyDescent="0.3">
      <c r="A12" s="268">
        <v>1967</v>
      </c>
      <c r="B12" s="806"/>
      <c r="C12" s="806"/>
      <c r="D12" s="806"/>
      <c r="E12" s="806"/>
      <c r="F12" s="806"/>
      <c r="G12" s="802"/>
      <c r="H12" s="785"/>
      <c r="I12" s="777">
        <f>I11+(I$15-I$10)/5</f>
        <v>356.68749999999994</v>
      </c>
      <c r="J12" s="785"/>
      <c r="K12" s="785"/>
      <c r="L12" s="777">
        <f t="shared" ref="L12:N14" si="4">L11+(L$15-L$10)/5</f>
        <v>639.83999999999992</v>
      </c>
      <c r="M12" s="802"/>
      <c r="N12" s="777">
        <f t="shared" si="4"/>
        <v>433.17132959132186</v>
      </c>
      <c r="O12" s="777">
        <f t="shared" si="3"/>
        <v>1369.3999798753621</v>
      </c>
      <c r="P12" s="777">
        <f t="shared" si="3"/>
        <v>1004.1467977119532</v>
      </c>
      <c r="Q12" s="777">
        <f t="shared" si="3"/>
        <v>803.04689282136349</v>
      </c>
      <c r="R12" s="805"/>
      <c r="S12" s="800"/>
      <c r="T12" s="775">
        <f t="shared" si="0"/>
        <v>2605.6182022880475</v>
      </c>
      <c r="U12" s="776"/>
      <c r="V12" s="372"/>
      <c r="W12" s="799"/>
      <c r="X12" s="372"/>
      <c r="Y12" s="372"/>
      <c r="Z12" s="372"/>
      <c r="AA12" s="826">
        <f>TOTALS!V12/1000000</f>
        <v>1077.5884440999998</v>
      </c>
      <c r="AC12" s="775"/>
    </row>
    <row r="13" spans="1:29" ht="10.5" customHeight="1" x14ac:dyDescent="0.3">
      <c r="A13" s="268">
        <v>1968</v>
      </c>
      <c r="B13" s="806"/>
      <c r="C13" s="806"/>
      <c r="D13" s="806"/>
      <c r="E13" s="806"/>
      <c r="F13" s="806"/>
      <c r="G13" s="802"/>
      <c r="H13" s="785"/>
      <c r="I13" s="777">
        <f>I12+(I$15-I$10)/5</f>
        <v>388.02499999999992</v>
      </c>
      <c r="J13" s="785"/>
      <c r="K13" s="785"/>
      <c r="L13" s="777">
        <f t="shared" si="4"/>
        <v>630.25999999999988</v>
      </c>
      <c r="M13" s="802"/>
      <c r="N13" s="777">
        <f t="shared" si="4"/>
        <v>472.65866702561061</v>
      </c>
      <c r="O13" s="777">
        <f t="shared" si="3"/>
        <v>1350.004065501483</v>
      </c>
      <c r="P13" s="777">
        <f t="shared" si="3"/>
        <v>864.77593552469671</v>
      </c>
      <c r="Q13" s="777">
        <f t="shared" si="3"/>
        <v>801.9713319482106</v>
      </c>
      <c r="R13" s="805"/>
      <c r="S13" s="800"/>
      <c r="T13" s="775">
        <f t="shared" si="0"/>
        <v>2624.6340644753041</v>
      </c>
      <c r="U13" s="776"/>
      <c r="V13" s="372"/>
      <c r="W13" s="799"/>
      <c r="X13" s="372"/>
      <c r="Y13" s="372"/>
      <c r="Z13" s="372"/>
      <c r="AA13" s="826">
        <f>TOTALS!V13/1000000</f>
        <v>1127.426923</v>
      </c>
      <c r="AC13" s="775"/>
    </row>
    <row r="14" spans="1:29" ht="10.5" customHeight="1" x14ac:dyDescent="0.3">
      <c r="A14" s="268">
        <v>1969</v>
      </c>
      <c r="B14" s="802"/>
      <c r="C14" s="802"/>
      <c r="D14" s="802"/>
      <c r="E14" s="802"/>
      <c r="F14" s="802"/>
      <c r="G14" s="802"/>
      <c r="H14" s="802"/>
      <c r="I14" s="777">
        <f>I13+(I$15-I$10)/5</f>
        <v>419.3624999999999</v>
      </c>
      <c r="J14" s="802"/>
      <c r="K14" s="802"/>
      <c r="L14" s="777">
        <f t="shared" si="4"/>
        <v>620.67999999999984</v>
      </c>
      <c r="M14" s="802"/>
      <c r="N14" s="777">
        <f t="shared" si="4"/>
        <v>512.14600445989936</v>
      </c>
      <c r="O14" s="777">
        <f t="shared" si="3"/>
        <v>1330.6081511276038</v>
      </c>
      <c r="P14" s="777">
        <f t="shared" si="3"/>
        <v>725.40507333744017</v>
      </c>
      <c r="Q14" s="777">
        <f t="shared" si="3"/>
        <v>800.89577107505772</v>
      </c>
      <c r="R14" s="805"/>
      <c r="S14" s="800"/>
      <c r="T14" s="775">
        <f t="shared" si="0"/>
        <v>2643.649926662561</v>
      </c>
      <c r="U14" s="776"/>
      <c r="V14" s="372"/>
      <c r="W14" s="799"/>
      <c r="X14" s="372"/>
      <c r="Y14" s="372"/>
      <c r="Z14" s="372"/>
      <c r="AA14" s="826">
        <f>TOTALS!V14/1000000</f>
        <v>1529.115053</v>
      </c>
      <c r="AC14" s="775"/>
    </row>
    <row r="15" spans="1:29" ht="10.5" customHeight="1" x14ac:dyDescent="0.3">
      <c r="A15" s="268">
        <v>1970</v>
      </c>
      <c r="B15" s="775">
        <v>10123.6</v>
      </c>
      <c r="C15" s="775">
        <v>1719</v>
      </c>
      <c r="D15" s="775">
        <v>4086</v>
      </c>
      <c r="E15" s="775">
        <v>1826.2</v>
      </c>
      <c r="F15" s="775">
        <f>B15-SUM(C15:E15)</f>
        <v>2492.4000000000005</v>
      </c>
      <c r="G15" s="802"/>
      <c r="H15" s="775">
        <v>278.39999999999998</v>
      </c>
      <c r="I15" s="775">
        <v>450.7</v>
      </c>
      <c r="J15" s="775">
        <v>1811</v>
      </c>
      <c r="K15" s="775">
        <v>4785.5</v>
      </c>
      <c r="L15" s="775">
        <v>611.1</v>
      </c>
      <c r="M15" s="775"/>
      <c r="N15" s="775">
        <f>$S15*C15/$B15</f>
        <v>551.63334189418799</v>
      </c>
      <c r="O15" s="775">
        <f>$S15*D15/$B15</f>
        <v>1311.2122367537243</v>
      </c>
      <c r="P15" s="775">
        <f>$S15*E15/$B15</f>
        <v>586.03421115018386</v>
      </c>
      <c r="Q15" s="775">
        <f>$S15*F15/$B15</f>
        <v>799.82021020190484</v>
      </c>
      <c r="R15" s="805"/>
      <c r="S15" s="775">
        <f>B15-H15-K15-J15</f>
        <v>3248.7000000000007</v>
      </c>
      <c r="T15" s="775">
        <f t="shared" si="0"/>
        <v>2662.6657888498171</v>
      </c>
      <c r="U15" s="776">
        <f>T15/'C1-Incomes'!J18</f>
        <v>2.8321751439216083E-3</v>
      </c>
      <c r="V15" s="372"/>
      <c r="W15" s="798">
        <f>K15/B15</f>
        <v>0.47270733731083803</v>
      </c>
      <c r="X15" s="372"/>
      <c r="Y15" s="372"/>
      <c r="Z15" s="372"/>
      <c r="AA15" s="826">
        <f>TOTALS!V15/1000000</f>
        <v>1416.4257190000001</v>
      </c>
      <c r="AC15" s="775"/>
    </row>
    <row r="16" spans="1:29" ht="10.5" customHeight="1" x14ac:dyDescent="0.3">
      <c r="A16" s="268">
        <v>1971</v>
      </c>
      <c r="B16" s="802"/>
      <c r="C16" s="802"/>
      <c r="D16" s="802"/>
      <c r="E16" s="802"/>
      <c r="F16" s="802"/>
      <c r="G16" s="802"/>
      <c r="H16" s="802"/>
      <c r="I16" s="777">
        <f>I15+(I$19-I$15)/4</f>
        <v>474.15</v>
      </c>
      <c r="J16" s="802"/>
      <c r="K16" s="802"/>
      <c r="L16" s="777">
        <f>L15+(L$19-L$15)/4</f>
        <v>664.92499999999995</v>
      </c>
      <c r="M16" s="802"/>
      <c r="N16" s="777">
        <f>N15+(N$19-N$15)/4</f>
        <v>733.85771702415389</v>
      </c>
      <c r="O16" s="777">
        <f t="shared" ref="O16:Q18" si="5">O15+(O$19-O$15)/4</f>
        <v>1456.8798120873089</v>
      </c>
      <c r="P16" s="777">
        <f t="shared" si="5"/>
        <v>646.20275821050404</v>
      </c>
      <c r="Q16" s="777">
        <f t="shared" si="5"/>
        <v>941.15971267803377</v>
      </c>
      <c r="R16" s="805"/>
      <c r="S16" s="800"/>
      <c r="T16" s="775">
        <f t="shared" si="0"/>
        <v>3131.8972417894965</v>
      </c>
      <c r="U16" s="776"/>
      <c r="V16" s="372"/>
      <c r="W16" s="799"/>
      <c r="X16" s="372"/>
      <c r="Y16" s="372"/>
      <c r="Z16" s="372"/>
      <c r="AA16" s="826">
        <f>TOTALS!V16/1000000</f>
        <v>1608.5432519999999</v>
      </c>
      <c r="AC16" s="775"/>
    </row>
    <row r="17" spans="1:29" ht="10.5" customHeight="1" x14ac:dyDescent="0.3">
      <c r="A17" s="268">
        <v>1972</v>
      </c>
      <c r="B17" s="802"/>
      <c r="C17" s="802"/>
      <c r="D17" s="802"/>
      <c r="E17" s="802"/>
      <c r="F17" s="802"/>
      <c r="G17" s="802"/>
      <c r="H17" s="802"/>
      <c r="I17" s="777">
        <f>I16+(I$19-I$15)/4</f>
        <v>497.59999999999997</v>
      </c>
      <c r="J17" s="802"/>
      <c r="K17" s="802"/>
      <c r="L17" s="777">
        <f t="shared" ref="L17:N18" si="6">L16+(L$19-L$15)/4</f>
        <v>718.75</v>
      </c>
      <c r="M17" s="802"/>
      <c r="N17" s="777">
        <f t="shared" si="6"/>
        <v>916.08209215411978</v>
      </c>
      <c r="O17" s="777">
        <f t="shared" si="5"/>
        <v>1602.5473874208935</v>
      </c>
      <c r="P17" s="777">
        <f t="shared" si="5"/>
        <v>706.37130527082422</v>
      </c>
      <c r="Q17" s="777">
        <f t="shared" si="5"/>
        <v>1082.4992151541628</v>
      </c>
      <c r="R17" s="805"/>
      <c r="S17" s="800"/>
      <c r="T17" s="775">
        <f t="shared" si="0"/>
        <v>3601.128694729176</v>
      </c>
      <c r="U17" s="776"/>
      <c r="V17" s="372"/>
      <c r="W17" s="799"/>
      <c r="X17" s="372"/>
      <c r="Y17" s="372"/>
      <c r="Z17" s="372"/>
      <c r="AA17" s="826">
        <f>TOTALS!V17/1000000</f>
        <v>1759.2615659999999</v>
      </c>
      <c r="AC17" s="775">
        <f t="shared" si="1"/>
        <v>497.59999999999997</v>
      </c>
    </row>
    <row r="18" spans="1:29" ht="10.5" customHeight="1" x14ac:dyDescent="0.3">
      <c r="A18" s="268">
        <v>1973</v>
      </c>
      <c r="B18" s="802"/>
      <c r="C18" s="802"/>
      <c r="D18" s="802"/>
      <c r="E18" s="802"/>
      <c r="F18" s="802"/>
      <c r="G18" s="802"/>
      <c r="H18" s="802"/>
      <c r="I18" s="777">
        <f>I17+(I$19-I$15)/4</f>
        <v>521.04999999999995</v>
      </c>
      <c r="J18" s="802"/>
      <c r="K18" s="802"/>
      <c r="L18" s="777">
        <f t="shared" si="6"/>
        <v>772.57500000000005</v>
      </c>
      <c r="M18" s="802"/>
      <c r="N18" s="777">
        <f t="shared" si="6"/>
        <v>1098.3064672840856</v>
      </c>
      <c r="O18" s="777">
        <f t="shared" si="5"/>
        <v>1748.2149627544782</v>
      </c>
      <c r="P18" s="777">
        <f t="shared" si="5"/>
        <v>766.5398523311444</v>
      </c>
      <c r="Q18" s="777">
        <f t="shared" si="5"/>
        <v>1223.8387176302917</v>
      </c>
      <c r="R18" s="805"/>
      <c r="S18" s="800"/>
      <c r="T18" s="775">
        <f t="shared" si="0"/>
        <v>4070.3601476688555</v>
      </c>
      <c r="U18" s="776"/>
      <c r="V18" s="372"/>
      <c r="W18" s="799"/>
      <c r="X18" s="372"/>
      <c r="Y18" s="372"/>
      <c r="Z18" s="372"/>
      <c r="AA18" s="826">
        <f>TOTALS!V18/1000000</f>
        <v>1926.685387</v>
      </c>
      <c r="AC18" s="775">
        <f t="shared" si="1"/>
        <v>521.04999999999995</v>
      </c>
    </row>
    <row r="19" spans="1:29" ht="10.5" customHeight="1" x14ac:dyDescent="0.3">
      <c r="A19" s="268">
        <v>1974</v>
      </c>
      <c r="B19" s="775">
        <v>13737.9</v>
      </c>
      <c r="C19" s="775">
        <v>3278.2</v>
      </c>
      <c r="D19" s="775">
        <v>4848.3999999999996</v>
      </c>
      <c r="E19" s="775">
        <v>2116.4</v>
      </c>
      <c r="F19" s="775">
        <f>B19-SUM(C19:E19)</f>
        <v>3494.8999999999996</v>
      </c>
      <c r="G19" s="802"/>
      <c r="H19" s="775">
        <v>424.7</v>
      </c>
      <c r="I19" s="775">
        <v>544.5</v>
      </c>
      <c r="J19" s="775">
        <v>899</v>
      </c>
      <c r="K19" s="775">
        <v>7047.9</v>
      </c>
      <c r="L19" s="775">
        <v>826.4</v>
      </c>
      <c r="M19" s="775"/>
      <c r="N19" s="775">
        <f>$S19*C19/$B19</f>
        <v>1280.5308424140514</v>
      </c>
      <c r="O19" s="775">
        <f>$S19*D19/$B19</f>
        <v>1893.8825380880626</v>
      </c>
      <c r="P19" s="775">
        <f>$S19*E19/$B19</f>
        <v>826.70839939146435</v>
      </c>
      <c r="Q19" s="775">
        <f>$S19*F19/$B19</f>
        <v>1365.1782201064207</v>
      </c>
      <c r="R19" s="805"/>
      <c r="S19" s="775">
        <f>B19-H19-K19-J19</f>
        <v>5366.2999999999993</v>
      </c>
      <c r="T19" s="775">
        <f t="shared" si="0"/>
        <v>4539.5916006085345</v>
      </c>
      <c r="U19" s="776">
        <f>T19/'C1-Incomes'!J22</f>
        <v>3.360745039293601E-3</v>
      </c>
      <c r="V19" s="372"/>
      <c r="W19" s="798">
        <f>K19/B19</f>
        <v>0.51302600834188627</v>
      </c>
      <c r="X19" s="372"/>
      <c r="Y19" s="372"/>
      <c r="Z19" s="372"/>
      <c r="AA19" s="826">
        <f>TOTALS!V19/1000000</f>
        <v>2356.4347899999998</v>
      </c>
      <c r="AC19" s="775"/>
    </row>
    <row r="20" spans="1:29" ht="10.5" customHeight="1" x14ac:dyDescent="0.3">
      <c r="A20" s="268">
        <v>1975</v>
      </c>
      <c r="B20" s="815"/>
      <c r="C20" s="805"/>
      <c r="D20" s="802"/>
      <c r="E20" s="802"/>
      <c r="F20" s="805"/>
      <c r="G20" s="805"/>
      <c r="H20" s="805"/>
      <c r="I20" s="777">
        <f>I19+(I$27-I$19)/8</f>
        <v>570.1875</v>
      </c>
      <c r="J20" s="805"/>
      <c r="K20" s="802"/>
      <c r="L20" s="777">
        <f>L19+(L$27-L$19)/8</f>
        <v>812.22500000000002</v>
      </c>
      <c r="M20" s="802"/>
      <c r="N20" s="777">
        <f>N19+(N$27-N$19)/8</f>
        <v>1664.6492974942207</v>
      </c>
      <c r="O20" s="777">
        <f t="shared" ref="O20:Q26" si="7">O19+(O$27-O$19)/8</f>
        <v>2036.4091694553495</v>
      </c>
      <c r="P20" s="777">
        <f t="shared" si="7"/>
        <v>1142.9097028833462</v>
      </c>
      <c r="Q20" s="777">
        <f t="shared" si="7"/>
        <v>1461.7943301670825</v>
      </c>
      <c r="R20" s="805"/>
      <c r="S20" s="800"/>
      <c r="T20" s="775">
        <f t="shared" si="0"/>
        <v>5162.8527971166532</v>
      </c>
      <c r="U20" s="776"/>
      <c r="V20" s="372"/>
      <c r="W20" s="799"/>
      <c r="X20" s="372"/>
      <c r="Y20" s="372"/>
      <c r="Z20" s="372"/>
      <c r="AA20" s="826">
        <f>TOTALS!V20/1000000</f>
        <v>2627.3712620000001</v>
      </c>
      <c r="AC20" s="775">
        <f t="shared" si="1"/>
        <v>570.1875</v>
      </c>
    </row>
    <row r="21" spans="1:29" ht="10.5" customHeight="1" x14ac:dyDescent="0.3">
      <c r="A21" s="268">
        <v>1976</v>
      </c>
      <c r="B21" s="802"/>
      <c r="C21" s="805"/>
      <c r="D21" s="802"/>
      <c r="E21" s="802"/>
      <c r="F21" s="805"/>
      <c r="G21" s="805"/>
      <c r="H21" s="805"/>
      <c r="I21" s="777">
        <f t="shared" ref="I21:I26" si="8">I20+(I$27-I$19)/8</f>
        <v>595.875</v>
      </c>
      <c r="J21" s="805"/>
      <c r="K21" s="805"/>
      <c r="L21" s="777">
        <f t="shared" ref="L21:L26" si="9">L20+(L$27-L$19)/8</f>
        <v>798.05000000000007</v>
      </c>
      <c r="M21" s="805"/>
      <c r="N21" s="777">
        <f t="shared" ref="N21:N26" si="10">N20+(N$27-N$19)/8</f>
        <v>2048.7677525743902</v>
      </c>
      <c r="O21" s="777">
        <f t="shared" si="7"/>
        <v>2178.9358008226363</v>
      </c>
      <c r="P21" s="777">
        <f t="shared" si="7"/>
        <v>1459.111006375228</v>
      </c>
      <c r="Q21" s="777">
        <f t="shared" si="7"/>
        <v>1558.4104402277444</v>
      </c>
      <c r="R21" s="805"/>
      <c r="S21" s="801"/>
      <c r="T21" s="775">
        <f t="shared" si="0"/>
        <v>5786.113993624771</v>
      </c>
      <c r="U21" s="776"/>
      <c r="V21" s="372"/>
      <c r="W21" s="799"/>
      <c r="X21" s="372"/>
      <c r="Y21" s="372"/>
      <c r="Z21" s="372"/>
      <c r="AA21" s="826">
        <f>TOTALS!V21/1000000</f>
        <v>2870.9713488000002</v>
      </c>
      <c r="AC21" s="775"/>
    </row>
    <row r="22" spans="1:29" ht="10.5" customHeight="1" x14ac:dyDescent="0.3">
      <c r="A22" s="268">
        <v>1977</v>
      </c>
      <c r="B22" s="802"/>
      <c r="C22" s="805"/>
      <c r="D22" s="802"/>
      <c r="E22" s="802"/>
      <c r="F22" s="805"/>
      <c r="G22" s="805"/>
      <c r="H22" s="805"/>
      <c r="I22" s="777">
        <f t="shared" si="8"/>
        <v>621.5625</v>
      </c>
      <c r="J22" s="805"/>
      <c r="K22" s="805"/>
      <c r="L22" s="777">
        <f t="shared" si="9"/>
        <v>783.87500000000011</v>
      </c>
      <c r="M22" s="805"/>
      <c r="N22" s="777">
        <f t="shared" si="10"/>
        <v>2432.8862076545597</v>
      </c>
      <c r="O22" s="777">
        <f t="shared" si="7"/>
        <v>2321.4624321899232</v>
      </c>
      <c r="P22" s="777">
        <f t="shared" si="7"/>
        <v>1775.3123098671099</v>
      </c>
      <c r="Q22" s="777">
        <f t="shared" si="7"/>
        <v>1655.0265502884063</v>
      </c>
      <c r="R22" s="805"/>
      <c r="S22" s="801"/>
      <c r="T22" s="775">
        <f t="shared" si="0"/>
        <v>6409.3751901328887</v>
      </c>
      <c r="U22" s="776"/>
      <c r="V22" s="372"/>
      <c r="W22" s="799"/>
      <c r="X22" s="372"/>
      <c r="Y22" s="372"/>
      <c r="Z22" s="372"/>
      <c r="AA22" s="826">
        <f>TOTALS!V22/1000000</f>
        <v>2763.3552052</v>
      </c>
      <c r="AC22" s="775">
        <f t="shared" si="1"/>
        <v>621.5625</v>
      </c>
    </row>
    <row r="23" spans="1:29" ht="10.5" customHeight="1" x14ac:dyDescent="0.3">
      <c r="A23" s="268">
        <v>1978</v>
      </c>
      <c r="B23" s="802"/>
      <c r="C23" s="805"/>
      <c r="D23" s="802"/>
      <c r="E23" s="802"/>
      <c r="F23" s="805"/>
      <c r="G23" s="805"/>
      <c r="H23" s="805"/>
      <c r="I23" s="777">
        <f t="shared" si="8"/>
        <v>647.25</v>
      </c>
      <c r="J23" s="805"/>
      <c r="K23" s="805"/>
      <c r="L23" s="777">
        <f t="shared" si="9"/>
        <v>769.70000000000016</v>
      </c>
      <c r="M23" s="805"/>
      <c r="N23" s="777">
        <f t="shared" si="10"/>
        <v>2817.0046627347292</v>
      </c>
      <c r="O23" s="777">
        <f t="shared" si="7"/>
        <v>2463.9890635572101</v>
      </c>
      <c r="P23" s="777">
        <f t="shared" si="7"/>
        <v>2091.5136133589917</v>
      </c>
      <c r="Q23" s="777">
        <f t="shared" si="7"/>
        <v>1751.6426603490681</v>
      </c>
      <c r="R23" s="805"/>
      <c r="S23" s="801"/>
      <c r="T23" s="775">
        <f t="shared" si="0"/>
        <v>7032.6363866410074</v>
      </c>
      <c r="U23" s="776"/>
      <c r="V23" s="372"/>
      <c r="W23" s="799"/>
      <c r="X23" s="372"/>
      <c r="Y23" s="372"/>
      <c r="Z23" s="372"/>
      <c r="AA23" s="826">
        <f>TOTALS!V23/1000000</f>
        <v>3081.5205369999999</v>
      </c>
      <c r="AC23" s="775"/>
    </row>
    <row r="24" spans="1:29" ht="10.5" customHeight="1" x14ac:dyDescent="0.3">
      <c r="A24" s="268">
        <v>1979</v>
      </c>
      <c r="B24" s="802"/>
      <c r="C24" s="805"/>
      <c r="D24" s="802"/>
      <c r="E24" s="802"/>
      <c r="F24" s="805"/>
      <c r="G24" s="805"/>
      <c r="H24" s="805"/>
      <c r="I24" s="777">
        <f t="shared" si="8"/>
        <v>672.9375</v>
      </c>
      <c r="J24" s="805"/>
      <c r="K24" s="805"/>
      <c r="L24" s="777">
        <f t="shared" si="9"/>
        <v>755.5250000000002</v>
      </c>
      <c r="M24" s="805"/>
      <c r="N24" s="777">
        <f t="shared" si="10"/>
        <v>3201.1231178148987</v>
      </c>
      <c r="O24" s="777">
        <f t="shared" si="7"/>
        <v>2606.515694924497</v>
      </c>
      <c r="P24" s="777">
        <f t="shared" si="7"/>
        <v>2407.7149168508736</v>
      </c>
      <c r="Q24" s="777">
        <f t="shared" si="7"/>
        <v>1848.25877040973</v>
      </c>
      <c r="R24" s="805"/>
      <c r="S24" s="801"/>
      <c r="T24" s="775">
        <f t="shared" si="0"/>
        <v>7655.8975831491261</v>
      </c>
      <c r="U24" s="776"/>
      <c r="V24" s="372"/>
      <c r="W24" s="799"/>
      <c r="X24" s="372"/>
      <c r="Y24" s="372"/>
      <c r="Z24" s="372"/>
      <c r="AA24" s="826">
        <f>TOTALS!V24/1000000</f>
        <v>3780.4204275000002</v>
      </c>
      <c r="AC24" s="775">
        <f t="shared" si="1"/>
        <v>672.9375</v>
      </c>
    </row>
    <row r="25" spans="1:29" ht="10.5" customHeight="1" x14ac:dyDescent="0.3">
      <c r="A25" s="268">
        <v>1980</v>
      </c>
      <c r="B25" s="802"/>
      <c r="C25" s="805"/>
      <c r="D25" s="802"/>
      <c r="E25" s="802"/>
      <c r="F25" s="805"/>
      <c r="G25" s="805"/>
      <c r="H25" s="805"/>
      <c r="I25" s="777">
        <f t="shared" si="8"/>
        <v>698.625</v>
      </c>
      <c r="J25" s="805"/>
      <c r="K25" s="805"/>
      <c r="L25" s="777">
        <f t="shared" si="9"/>
        <v>741.35000000000025</v>
      </c>
      <c r="M25" s="805"/>
      <c r="N25" s="777">
        <f t="shared" si="10"/>
        <v>3585.2415728950682</v>
      </c>
      <c r="O25" s="777">
        <f t="shared" si="7"/>
        <v>2749.0423262917839</v>
      </c>
      <c r="P25" s="777">
        <f t="shared" si="7"/>
        <v>2723.9162203427554</v>
      </c>
      <c r="Q25" s="777">
        <f t="shared" si="7"/>
        <v>1944.8748804703919</v>
      </c>
      <c r="R25" s="805"/>
      <c r="S25" s="801"/>
      <c r="T25" s="775">
        <f t="shared" si="0"/>
        <v>8279.1587796572439</v>
      </c>
      <c r="U25" s="776"/>
      <c r="V25" s="372"/>
      <c r="W25" s="799"/>
      <c r="X25" s="372"/>
      <c r="Y25" s="372"/>
      <c r="Z25" s="372"/>
      <c r="AA25" s="826">
        <f>TOTALS!V25/1000000</f>
        <v>4560.5504860999999</v>
      </c>
      <c r="AC25" s="775">
        <f t="shared" si="1"/>
        <v>698.625</v>
      </c>
    </row>
    <row r="26" spans="1:29" ht="10.5" customHeight="1" x14ac:dyDescent="0.3">
      <c r="A26" s="268">
        <v>1981</v>
      </c>
      <c r="B26" s="802"/>
      <c r="C26" s="805"/>
      <c r="D26" s="802"/>
      <c r="E26" s="802"/>
      <c r="F26" s="805"/>
      <c r="G26" s="805"/>
      <c r="H26" s="805"/>
      <c r="I26" s="777">
        <f t="shared" si="8"/>
        <v>724.3125</v>
      </c>
      <c r="J26" s="805"/>
      <c r="K26" s="805"/>
      <c r="L26" s="777">
        <f t="shared" si="9"/>
        <v>727.1750000000003</v>
      </c>
      <c r="M26" s="805"/>
      <c r="N26" s="777">
        <f t="shared" si="10"/>
        <v>3969.3600279752377</v>
      </c>
      <c r="O26" s="777">
        <f t="shared" si="7"/>
        <v>2891.5689576590707</v>
      </c>
      <c r="P26" s="777">
        <f t="shared" si="7"/>
        <v>3040.1175238346373</v>
      </c>
      <c r="Q26" s="777">
        <f t="shared" si="7"/>
        <v>2041.4909905310537</v>
      </c>
      <c r="R26" s="805"/>
      <c r="S26" s="801"/>
      <c r="T26" s="775">
        <f t="shared" si="0"/>
        <v>8902.4199761653617</v>
      </c>
      <c r="U26" s="776"/>
      <c r="V26" s="372"/>
      <c r="W26" s="799"/>
      <c r="X26" s="372"/>
      <c r="Y26" s="372"/>
      <c r="Z26" s="372"/>
      <c r="AA26" s="826">
        <f>TOTALS!V26/1000000</f>
        <v>3967.0923693</v>
      </c>
      <c r="AC26" s="775">
        <f t="shared" si="1"/>
        <v>724.3125</v>
      </c>
    </row>
    <row r="27" spans="1:29" ht="10.5" customHeight="1" x14ac:dyDescent="0.3">
      <c r="A27" s="268">
        <v>1982</v>
      </c>
      <c r="B27" s="775">
        <f>30054+7126</f>
        <v>37180</v>
      </c>
      <c r="C27" s="775">
        <f>9718+2847</f>
        <v>12565</v>
      </c>
      <c r="D27" s="775">
        <f>7517+1240</f>
        <v>8757</v>
      </c>
      <c r="E27" s="775">
        <f>7951-87+1878-55</f>
        <v>9687</v>
      </c>
      <c r="F27" s="775">
        <f>B27-SUM(C27:E27)</f>
        <v>6171</v>
      </c>
      <c r="G27" s="805"/>
      <c r="H27" s="775">
        <f>596+313</f>
        <v>909</v>
      </c>
      <c r="I27" s="775">
        <f>513+237</f>
        <v>750</v>
      </c>
      <c r="J27" s="775">
        <f>909+240+951+373+268+525+393+145</f>
        <v>3804</v>
      </c>
      <c r="K27" s="775">
        <f>17142+2443</f>
        <v>19585</v>
      </c>
      <c r="L27" s="775">
        <v>713</v>
      </c>
      <c r="M27" s="805"/>
      <c r="N27" s="775">
        <f>$S27*C27/$B27</f>
        <v>4353.4784830554063</v>
      </c>
      <c r="O27" s="775">
        <f>$S27*D27/$B27</f>
        <v>3034.0955890263581</v>
      </c>
      <c r="P27" s="775">
        <f>$S27*E27/$B27</f>
        <v>3356.3188273265196</v>
      </c>
      <c r="Q27" s="775">
        <f>$S27*F27/$B27</f>
        <v>2138.1071005917161</v>
      </c>
      <c r="R27" s="805"/>
      <c r="S27" s="775">
        <f>B27-H27-K27-J27</f>
        <v>12882</v>
      </c>
      <c r="T27" s="775">
        <f t="shared" si="0"/>
        <v>9525.6811726734813</v>
      </c>
      <c r="U27" s="776">
        <f>T27/'C1-Incomes'!J30</f>
        <v>3.3536245008330334E-3</v>
      </c>
      <c r="V27" s="372"/>
      <c r="W27" s="798">
        <f>K27/B27</f>
        <v>0.52676169983862287</v>
      </c>
      <c r="X27" s="372"/>
      <c r="Y27" s="372"/>
      <c r="Z27" s="372"/>
      <c r="AA27" s="826">
        <f>TOTALS!V27/1000000</f>
        <v>6310.4130095</v>
      </c>
      <c r="AC27" s="775">
        <f t="shared" si="1"/>
        <v>750</v>
      </c>
    </row>
    <row r="28" spans="1:29" ht="10.5" customHeight="1" x14ac:dyDescent="0.3">
      <c r="A28" s="268">
        <v>1983</v>
      </c>
      <c r="B28" s="802"/>
      <c r="C28" s="805"/>
      <c r="D28" s="802"/>
      <c r="E28" s="802"/>
      <c r="F28" s="805"/>
      <c r="G28" s="805"/>
      <c r="H28" s="805"/>
      <c r="I28" s="777">
        <f>I27+(I$42-I$27)/15</f>
        <v>827.52333333333331</v>
      </c>
      <c r="J28" s="805"/>
      <c r="K28" s="805"/>
      <c r="L28" s="777">
        <f>L27+(L$42-L$27)/15</f>
        <v>1479.2422000000001</v>
      </c>
      <c r="M28" s="805"/>
      <c r="N28" s="777">
        <f>N27+(N$42-N$27)/15</f>
        <v>4560.3326844658341</v>
      </c>
      <c r="O28" s="777">
        <f>O27+(O$42-O$27)/15</f>
        <v>3421.264885455641</v>
      </c>
      <c r="P28" s="777">
        <f>P27+(P$42-P$27)/15</f>
        <v>4792.2567183567317</v>
      </c>
      <c r="Q28" s="777">
        <f>Q27+(Q$42-Q$27)/15</f>
        <v>2452.3919117217929</v>
      </c>
      <c r="R28" s="805"/>
      <c r="S28" s="801"/>
      <c r="T28" s="775">
        <f t="shared" si="0"/>
        <v>10433.989481643268</v>
      </c>
      <c r="U28" s="776"/>
      <c r="V28" s="372"/>
      <c r="W28" s="799"/>
      <c r="X28" s="372"/>
      <c r="Y28" s="372"/>
      <c r="Z28" s="372"/>
      <c r="AA28" s="826">
        <f>TOTALS!V28/1000000</f>
        <v>6534.1826871000003</v>
      </c>
      <c r="AC28" s="775">
        <f t="shared" si="1"/>
        <v>827.52333333333331</v>
      </c>
    </row>
    <row r="29" spans="1:29" ht="10.5" customHeight="1" x14ac:dyDescent="0.3">
      <c r="A29" s="268">
        <v>1984</v>
      </c>
      <c r="B29" s="802"/>
      <c r="C29" s="805"/>
      <c r="D29" s="802"/>
      <c r="E29" s="802"/>
      <c r="F29" s="805"/>
      <c r="G29" s="805"/>
      <c r="H29" s="805"/>
      <c r="I29" s="777">
        <f t="shared" ref="I29:I41" si="11">I28+(I$42-I$27)/15</f>
        <v>905.04666666666662</v>
      </c>
      <c r="J29" s="805"/>
      <c r="K29" s="805"/>
      <c r="L29" s="777">
        <f t="shared" ref="L29:L41" si="12">L28+(L$42-L$27)/15</f>
        <v>2245.4844000000003</v>
      </c>
      <c r="M29" s="805"/>
      <c r="N29" s="777">
        <f t="shared" ref="N29:Q41" si="13">N28+(N$42-N$27)/15</f>
        <v>4767.1868858762618</v>
      </c>
      <c r="O29" s="777">
        <f t="shared" si="13"/>
        <v>3808.4341818849243</v>
      </c>
      <c r="P29" s="777">
        <f t="shared" si="13"/>
        <v>6228.1946093869446</v>
      </c>
      <c r="Q29" s="777">
        <f t="shared" si="13"/>
        <v>2766.6767228518697</v>
      </c>
      <c r="R29" s="805"/>
      <c r="S29" s="801"/>
      <c r="T29" s="775">
        <f t="shared" si="0"/>
        <v>11342.297790613055</v>
      </c>
      <c r="U29" s="776"/>
      <c r="V29" s="372"/>
      <c r="W29" s="799"/>
      <c r="X29" s="372"/>
      <c r="Y29" s="372"/>
      <c r="Z29" s="372"/>
      <c r="AA29" s="826">
        <f>TOTALS!V29/1000000</f>
        <v>7138.1870003000004</v>
      </c>
      <c r="AC29" s="775">
        <f t="shared" si="1"/>
        <v>905.04666666666662</v>
      </c>
    </row>
    <row r="30" spans="1:29" ht="10.5" customHeight="1" x14ac:dyDescent="0.3">
      <c r="A30" s="268">
        <v>1985</v>
      </c>
      <c r="B30" s="802"/>
      <c r="C30" s="805"/>
      <c r="D30" s="802"/>
      <c r="E30" s="802"/>
      <c r="F30" s="805"/>
      <c r="G30" s="805"/>
      <c r="H30" s="805"/>
      <c r="I30" s="777">
        <f t="shared" si="11"/>
        <v>982.56999999999994</v>
      </c>
      <c r="J30" s="805"/>
      <c r="K30" s="805"/>
      <c r="L30" s="777">
        <f t="shared" si="12"/>
        <v>3011.7266000000004</v>
      </c>
      <c r="M30" s="805"/>
      <c r="N30" s="777">
        <f t="shared" si="13"/>
        <v>4974.0410872866896</v>
      </c>
      <c r="O30" s="777">
        <f t="shared" si="13"/>
        <v>4195.6034783142077</v>
      </c>
      <c r="P30" s="777">
        <f t="shared" si="13"/>
        <v>7664.1325004171576</v>
      </c>
      <c r="Q30" s="777">
        <f t="shared" si="13"/>
        <v>3080.9615339819466</v>
      </c>
      <c r="R30" s="805"/>
      <c r="S30" s="801"/>
      <c r="T30" s="775">
        <f t="shared" si="0"/>
        <v>12250.606099582845</v>
      </c>
      <c r="U30" s="776"/>
      <c r="V30" s="372"/>
      <c r="W30" s="799"/>
      <c r="X30" s="372"/>
      <c r="Y30" s="372"/>
      <c r="Z30" s="372"/>
      <c r="AA30" s="826">
        <f>TOTALS!V30/1000000</f>
        <v>9726.0871645000007</v>
      </c>
      <c r="AC30" s="775">
        <f t="shared" si="1"/>
        <v>982.56999999999994</v>
      </c>
    </row>
    <row r="31" spans="1:29" ht="10.5" customHeight="1" x14ac:dyDescent="0.3">
      <c r="A31" s="268">
        <v>1986</v>
      </c>
      <c r="B31" s="802"/>
      <c r="C31" s="805"/>
      <c r="D31" s="802"/>
      <c r="E31" s="802"/>
      <c r="F31" s="805"/>
      <c r="G31" s="805"/>
      <c r="H31" s="805"/>
      <c r="I31" s="777">
        <f t="shared" si="11"/>
        <v>1060.0933333333332</v>
      </c>
      <c r="J31" s="805"/>
      <c r="K31" s="805"/>
      <c r="L31" s="777">
        <f t="shared" si="12"/>
        <v>3777.9688000000006</v>
      </c>
      <c r="M31" s="805"/>
      <c r="N31" s="777">
        <f t="shared" si="13"/>
        <v>5180.8952886971174</v>
      </c>
      <c r="O31" s="777">
        <f t="shared" si="13"/>
        <v>4582.772774743491</v>
      </c>
      <c r="P31" s="777">
        <f t="shared" si="13"/>
        <v>9100.0703914473706</v>
      </c>
      <c r="Q31" s="777">
        <f t="shared" si="13"/>
        <v>3395.2463451120234</v>
      </c>
      <c r="R31" s="805"/>
      <c r="S31" s="801"/>
      <c r="T31" s="775">
        <f t="shared" si="0"/>
        <v>13158.914408552631</v>
      </c>
      <c r="U31" s="776"/>
      <c r="V31" s="372"/>
      <c r="W31" s="799"/>
      <c r="X31" s="372"/>
      <c r="Y31" s="372"/>
      <c r="Z31" s="372"/>
      <c r="AA31" s="826">
        <f>TOTALS!V31/1000000</f>
        <v>7006.3490558999993</v>
      </c>
      <c r="AC31" s="775">
        <f t="shared" si="1"/>
        <v>1060.0933333333332</v>
      </c>
    </row>
    <row r="32" spans="1:29" ht="10.5" customHeight="1" x14ac:dyDescent="0.3">
      <c r="A32" s="268">
        <v>1987</v>
      </c>
      <c r="B32" s="802"/>
      <c r="C32" s="805"/>
      <c r="D32" s="802"/>
      <c r="E32" s="802"/>
      <c r="F32" s="805"/>
      <c r="G32" s="805"/>
      <c r="H32" s="805"/>
      <c r="I32" s="777">
        <f t="shared" si="11"/>
        <v>1137.6166666666666</v>
      </c>
      <c r="J32" s="805"/>
      <c r="K32" s="805"/>
      <c r="L32" s="777">
        <f t="shared" si="12"/>
        <v>4544.2110000000002</v>
      </c>
      <c r="M32" s="805"/>
      <c r="N32" s="777">
        <f t="shared" si="13"/>
        <v>5387.7494901075452</v>
      </c>
      <c r="O32" s="777">
        <f t="shared" si="13"/>
        <v>4969.9420711727744</v>
      </c>
      <c r="P32" s="777">
        <f t="shared" si="13"/>
        <v>10536.008282477584</v>
      </c>
      <c r="Q32" s="777">
        <f t="shared" si="13"/>
        <v>3709.5311562421002</v>
      </c>
      <c r="R32" s="805"/>
      <c r="S32" s="801"/>
      <c r="T32" s="775">
        <f t="shared" si="0"/>
        <v>14067.222717522422</v>
      </c>
      <c r="U32" s="776"/>
      <c r="V32" s="372"/>
      <c r="W32" s="799"/>
      <c r="X32" s="372"/>
      <c r="Y32" s="372"/>
      <c r="Z32" s="372"/>
      <c r="AA32" s="826">
        <f>TOTALS!V32/1000000</f>
        <v>4318.2967765000003</v>
      </c>
      <c r="AC32" s="775">
        <f t="shared" si="1"/>
        <v>1137.6166666666666</v>
      </c>
    </row>
    <row r="33" spans="1:29" ht="10.5" customHeight="1" x14ac:dyDescent="0.3">
      <c r="A33" s="268">
        <v>1988</v>
      </c>
      <c r="B33" s="802"/>
      <c r="C33" s="805"/>
      <c r="D33" s="802"/>
      <c r="E33" s="802"/>
      <c r="F33" s="805"/>
      <c r="G33" s="805"/>
      <c r="H33" s="805"/>
      <c r="I33" s="777">
        <f t="shared" si="11"/>
        <v>1215.1399999999999</v>
      </c>
      <c r="J33" s="805"/>
      <c r="K33" s="805"/>
      <c r="L33" s="777">
        <f t="shared" si="12"/>
        <v>5310.4531999999999</v>
      </c>
      <c r="M33" s="805"/>
      <c r="N33" s="777">
        <f t="shared" si="13"/>
        <v>5594.6036915179729</v>
      </c>
      <c r="O33" s="777">
        <f t="shared" si="13"/>
        <v>5357.1113676020577</v>
      </c>
      <c r="P33" s="777">
        <f t="shared" si="13"/>
        <v>11971.946173507797</v>
      </c>
      <c r="Q33" s="777">
        <f t="shared" si="13"/>
        <v>4023.8159673721771</v>
      </c>
      <c r="R33" s="805"/>
      <c r="S33" s="801"/>
      <c r="T33" s="775">
        <f t="shared" si="0"/>
        <v>14975.531026492206</v>
      </c>
      <c r="U33" s="776"/>
      <c r="V33" s="372"/>
      <c r="W33" s="799"/>
      <c r="X33" s="372"/>
      <c r="Y33" s="372"/>
      <c r="Z33" s="372"/>
      <c r="AA33" s="826">
        <f>TOTALS!V33/1000000</f>
        <v>4094.2590412</v>
      </c>
      <c r="AC33" s="775">
        <f t="shared" si="1"/>
        <v>1215.1399999999999</v>
      </c>
    </row>
    <row r="34" spans="1:29" ht="10.5" customHeight="1" x14ac:dyDescent="0.3">
      <c r="A34" s="268">
        <v>1989</v>
      </c>
      <c r="B34" s="802"/>
      <c r="C34" s="805"/>
      <c r="D34" s="802"/>
      <c r="E34" s="802"/>
      <c r="F34" s="805"/>
      <c r="G34" s="805"/>
      <c r="H34" s="805"/>
      <c r="I34" s="777">
        <f t="shared" si="11"/>
        <v>1292.6633333333332</v>
      </c>
      <c r="J34" s="805"/>
      <c r="K34" s="805"/>
      <c r="L34" s="777">
        <f t="shared" si="12"/>
        <v>6076.6953999999996</v>
      </c>
      <c r="M34" s="805"/>
      <c r="N34" s="777">
        <f t="shared" si="13"/>
        <v>5801.4578929284007</v>
      </c>
      <c r="O34" s="777">
        <f t="shared" si="13"/>
        <v>5744.2806640313411</v>
      </c>
      <c r="P34" s="777">
        <f t="shared" si="13"/>
        <v>13407.88406453801</v>
      </c>
      <c r="Q34" s="777">
        <f t="shared" si="13"/>
        <v>4338.1007785022539</v>
      </c>
      <c r="R34" s="805"/>
      <c r="S34" s="801"/>
      <c r="T34" s="775">
        <f t="shared" si="0"/>
        <v>15883.839335461997</v>
      </c>
      <c r="U34" s="776"/>
      <c r="V34" s="372"/>
      <c r="W34" s="799"/>
      <c r="X34" s="372"/>
      <c r="Y34" s="372"/>
      <c r="Z34" s="372"/>
      <c r="AA34" s="826">
        <f>TOTALS!V34/1000000</f>
        <v>3958.8960824000001</v>
      </c>
      <c r="AC34" s="775">
        <f t="shared" si="1"/>
        <v>1292.6633333333332</v>
      </c>
    </row>
    <row r="35" spans="1:29" ht="10.5" customHeight="1" x14ac:dyDescent="0.3">
      <c r="A35" s="268">
        <v>1990</v>
      </c>
      <c r="B35" s="802"/>
      <c r="C35" s="805"/>
      <c r="D35" s="802"/>
      <c r="E35" s="802"/>
      <c r="F35" s="805"/>
      <c r="G35" s="805"/>
      <c r="H35" s="805"/>
      <c r="I35" s="777">
        <f t="shared" si="11"/>
        <v>1370.1866666666665</v>
      </c>
      <c r="J35" s="805"/>
      <c r="K35" s="805"/>
      <c r="L35" s="777">
        <f t="shared" si="12"/>
        <v>6842.9375999999993</v>
      </c>
      <c r="M35" s="805"/>
      <c r="N35" s="777">
        <f t="shared" si="13"/>
        <v>6008.3120943388285</v>
      </c>
      <c r="O35" s="777">
        <f t="shared" si="13"/>
        <v>6131.4499604606244</v>
      </c>
      <c r="P35" s="777">
        <f t="shared" si="13"/>
        <v>14843.821955568223</v>
      </c>
      <c r="Q35" s="777">
        <f t="shared" si="13"/>
        <v>4652.3855896323303</v>
      </c>
      <c r="R35" s="805"/>
      <c r="S35" s="801"/>
      <c r="T35" s="775">
        <f t="shared" si="0"/>
        <v>16792.147644431781</v>
      </c>
      <c r="U35" s="776"/>
      <c r="V35" s="372"/>
      <c r="W35" s="799"/>
      <c r="X35" s="372"/>
      <c r="Y35" s="372"/>
      <c r="Z35" s="372"/>
      <c r="AA35" s="826">
        <f>TOTALS!V35/1000000</f>
        <v>4165.1871331000002</v>
      </c>
      <c r="AC35" s="775">
        <f t="shared" si="1"/>
        <v>1370.1866666666665</v>
      </c>
    </row>
    <row r="36" spans="1:29" ht="10.5" customHeight="1" x14ac:dyDescent="0.3">
      <c r="A36" s="268">
        <v>1991</v>
      </c>
      <c r="B36" s="802"/>
      <c r="C36" s="805"/>
      <c r="D36" s="802"/>
      <c r="E36" s="802"/>
      <c r="F36" s="805"/>
      <c r="G36" s="805"/>
      <c r="H36" s="805"/>
      <c r="I36" s="777">
        <f t="shared" si="11"/>
        <v>1447.7099999999998</v>
      </c>
      <c r="J36" s="805"/>
      <c r="K36" s="805"/>
      <c r="L36" s="777">
        <f t="shared" si="12"/>
        <v>7609.179799999999</v>
      </c>
      <c r="M36" s="805"/>
      <c r="N36" s="777">
        <f t="shared" si="13"/>
        <v>6215.1662957492563</v>
      </c>
      <c r="O36" s="777">
        <f t="shared" si="13"/>
        <v>6518.6192568899078</v>
      </c>
      <c r="P36" s="777">
        <f t="shared" si="13"/>
        <v>16279.759846598436</v>
      </c>
      <c r="Q36" s="777">
        <f t="shared" si="13"/>
        <v>4966.6704007624066</v>
      </c>
      <c r="R36" s="805"/>
      <c r="S36" s="801"/>
      <c r="T36" s="775">
        <f t="shared" si="0"/>
        <v>17700.455953401572</v>
      </c>
      <c r="U36" s="776"/>
      <c r="V36" s="372"/>
      <c r="W36" s="799"/>
      <c r="X36" s="372"/>
      <c r="Y36" s="372"/>
      <c r="Z36" s="372"/>
      <c r="AA36" s="826">
        <f>TOTALS!V36/1000000</f>
        <v>3705.3989621000001</v>
      </c>
      <c r="AC36" s="775">
        <f t="shared" si="1"/>
        <v>1447.7099999999998</v>
      </c>
    </row>
    <row r="37" spans="1:29" ht="10.5" customHeight="1" x14ac:dyDescent="0.3">
      <c r="A37" s="268">
        <v>1992</v>
      </c>
      <c r="B37" s="802"/>
      <c r="C37" s="805"/>
      <c r="D37" s="802"/>
      <c r="E37" s="802"/>
      <c r="F37" s="805"/>
      <c r="G37" s="805"/>
      <c r="H37" s="805"/>
      <c r="I37" s="777">
        <f t="shared" si="11"/>
        <v>1525.2333333333331</v>
      </c>
      <c r="J37" s="805"/>
      <c r="K37" s="805"/>
      <c r="L37" s="777">
        <f t="shared" si="12"/>
        <v>8375.4219999999987</v>
      </c>
      <c r="M37" s="805"/>
      <c r="N37" s="777">
        <f t="shared" si="13"/>
        <v>6422.0204971596841</v>
      </c>
      <c r="O37" s="777">
        <f t="shared" si="13"/>
        <v>6905.7885533191911</v>
      </c>
      <c r="P37" s="777">
        <f t="shared" si="13"/>
        <v>17715.697737628649</v>
      </c>
      <c r="Q37" s="777">
        <f t="shared" si="13"/>
        <v>5280.955211892483</v>
      </c>
      <c r="R37" s="805"/>
      <c r="S37" s="801"/>
      <c r="T37" s="775">
        <f t="shared" si="0"/>
        <v>18608.764262371358</v>
      </c>
      <c r="U37" s="776"/>
      <c r="V37" s="372"/>
      <c r="W37" s="799"/>
      <c r="X37" s="372"/>
      <c r="Y37" s="372"/>
      <c r="Z37" s="372"/>
      <c r="AA37" s="826">
        <f>TOTALS!V37/1000000</f>
        <v>3963.2188030000002</v>
      </c>
      <c r="AC37" s="775">
        <f t="shared" si="1"/>
        <v>1525.2333333333331</v>
      </c>
    </row>
    <row r="38" spans="1:29" ht="10.5" customHeight="1" x14ac:dyDescent="0.3">
      <c r="A38" s="268">
        <v>1993</v>
      </c>
      <c r="B38" s="802"/>
      <c r="C38" s="805"/>
      <c r="D38" s="802"/>
      <c r="E38" s="802"/>
      <c r="F38" s="805"/>
      <c r="G38" s="805"/>
      <c r="H38" s="805"/>
      <c r="I38" s="777">
        <f t="shared" si="11"/>
        <v>1602.7566666666664</v>
      </c>
      <c r="J38" s="805"/>
      <c r="K38" s="805"/>
      <c r="L38" s="777">
        <f t="shared" si="12"/>
        <v>9141.6641999999993</v>
      </c>
      <c r="M38" s="805"/>
      <c r="N38" s="777">
        <f t="shared" si="13"/>
        <v>6628.8746985701118</v>
      </c>
      <c r="O38" s="777">
        <f t="shared" si="13"/>
        <v>7292.9578497484745</v>
      </c>
      <c r="P38" s="777">
        <f t="shared" si="13"/>
        <v>19151.63562865886</v>
      </c>
      <c r="Q38" s="777">
        <f t="shared" si="13"/>
        <v>5595.2400230225594</v>
      </c>
      <c r="R38" s="805"/>
      <c r="S38" s="801"/>
      <c r="T38" s="775">
        <f t="shared" si="0"/>
        <v>19517.072571341145</v>
      </c>
      <c r="U38" s="776"/>
      <c r="V38" s="372"/>
      <c r="W38" s="799"/>
      <c r="X38" s="372"/>
      <c r="Y38" s="372"/>
      <c r="Z38" s="372"/>
      <c r="AA38" s="826">
        <f>TOTALS!V38/1000000</f>
        <v>4564.4246661000006</v>
      </c>
      <c r="AC38" s="775">
        <f t="shared" si="1"/>
        <v>1602.7566666666664</v>
      </c>
    </row>
    <row r="39" spans="1:29" ht="10.5" customHeight="1" x14ac:dyDescent="0.3">
      <c r="A39" s="268">
        <v>1994</v>
      </c>
      <c r="B39" s="802"/>
      <c r="C39" s="805"/>
      <c r="D39" s="802"/>
      <c r="E39" s="802"/>
      <c r="F39" s="805"/>
      <c r="G39" s="805"/>
      <c r="H39" s="805"/>
      <c r="I39" s="777">
        <f t="shared" si="11"/>
        <v>1680.2799999999997</v>
      </c>
      <c r="J39" s="805"/>
      <c r="K39" s="805"/>
      <c r="L39" s="777">
        <f t="shared" si="12"/>
        <v>9907.9063999999998</v>
      </c>
      <c r="M39" s="805"/>
      <c r="N39" s="777">
        <f t="shared" si="13"/>
        <v>6835.7288999805396</v>
      </c>
      <c r="O39" s="777">
        <f t="shared" si="13"/>
        <v>7680.1271461777578</v>
      </c>
      <c r="P39" s="777">
        <f t="shared" si="13"/>
        <v>20587.573519689071</v>
      </c>
      <c r="Q39" s="777">
        <f t="shared" si="13"/>
        <v>5909.5248341526358</v>
      </c>
      <c r="R39" s="805"/>
      <c r="S39" s="801"/>
      <c r="T39" s="775">
        <f t="shared" si="0"/>
        <v>20425.380880310931</v>
      </c>
      <c r="U39" s="776"/>
      <c r="V39" s="372"/>
      <c r="W39" s="799"/>
      <c r="X39" s="372"/>
      <c r="Y39" s="372"/>
      <c r="Z39" s="372"/>
      <c r="AA39" s="826">
        <f>TOTALS!V39/1000000</f>
        <v>5493.2351016000002</v>
      </c>
      <c r="AC39" s="775">
        <f t="shared" si="1"/>
        <v>1680.2799999999997</v>
      </c>
    </row>
    <row r="40" spans="1:29" ht="10.5" customHeight="1" x14ac:dyDescent="0.3">
      <c r="A40" s="268">
        <v>1995</v>
      </c>
      <c r="B40" s="802"/>
      <c r="C40" s="805"/>
      <c r="D40" s="802"/>
      <c r="E40" s="802"/>
      <c r="F40" s="805"/>
      <c r="G40" s="805"/>
      <c r="H40" s="805"/>
      <c r="I40" s="777">
        <f t="shared" si="11"/>
        <v>1757.8033333333331</v>
      </c>
      <c r="J40" s="805"/>
      <c r="K40" s="805"/>
      <c r="L40" s="777">
        <f t="shared" si="12"/>
        <v>10674.1486</v>
      </c>
      <c r="M40" s="805"/>
      <c r="N40" s="777">
        <f t="shared" si="13"/>
        <v>7042.5831013909674</v>
      </c>
      <c r="O40" s="777">
        <f t="shared" si="13"/>
        <v>8067.2964426070412</v>
      </c>
      <c r="P40" s="777">
        <f t="shared" si="13"/>
        <v>22023.511410719282</v>
      </c>
      <c r="Q40" s="777">
        <f t="shared" si="13"/>
        <v>6223.8096452827122</v>
      </c>
      <c r="R40" s="805"/>
      <c r="S40" s="801"/>
      <c r="T40" s="775">
        <f t="shared" si="0"/>
        <v>21333.689189280722</v>
      </c>
      <c r="U40" s="776"/>
      <c r="V40" s="372"/>
      <c r="W40" s="799"/>
      <c r="X40" s="372"/>
      <c r="Y40" s="372"/>
      <c r="Z40" s="372"/>
      <c r="AA40" s="826">
        <f>TOTALS!V40/1000000</f>
        <v>6054.3668310000003</v>
      </c>
      <c r="AC40" s="775">
        <f t="shared" si="1"/>
        <v>1757.8033333333331</v>
      </c>
    </row>
    <row r="41" spans="1:29" ht="10.5" customHeight="1" x14ac:dyDescent="0.3">
      <c r="A41" s="268">
        <v>1996</v>
      </c>
      <c r="B41" s="802"/>
      <c r="C41" s="805"/>
      <c r="D41" s="802"/>
      <c r="E41" s="802"/>
      <c r="F41" s="805"/>
      <c r="G41" s="805"/>
      <c r="H41" s="805"/>
      <c r="I41" s="777">
        <f t="shared" si="11"/>
        <v>1835.3266666666664</v>
      </c>
      <c r="J41" s="805"/>
      <c r="K41" s="805"/>
      <c r="L41" s="777">
        <f t="shared" si="12"/>
        <v>11440.390800000001</v>
      </c>
      <c r="M41" s="805"/>
      <c r="N41" s="777">
        <f t="shared" si="13"/>
        <v>7249.4373028013952</v>
      </c>
      <c r="O41" s="777">
        <f t="shared" si="13"/>
        <v>8454.4657390363245</v>
      </c>
      <c r="P41" s="777">
        <f t="shared" si="13"/>
        <v>23459.449301749493</v>
      </c>
      <c r="Q41" s="777">
        <f t="shared" si="13"/>
        <v>6538.0944564127885</v>
      </c>
      <c r="R41" s="805"/>
      <c r="S41" s="801"/>
      <c r="T41" s="775">
        <f t="shared" si="0"/>
        <v>22241.997498250508</v>
      </c>
      <c r="U41" s="776"/>
      <c r="V41" s="372"/>
      <c r="W41" s="799"/>
      <c r="X41" s="372"/>
      <c r="Y41" s="372"/>
      <c r="Z41" s="372"/>
      <c r="AA41" s="826">
        <f>TOTALS!V41/1000000</f>
        <v>7716.7360522999998</v>
      </c>
      <c r="AC41" s="775">
        <f t="shared" si="1"/>
        <v>1835.3266666666664</v>
      </c>
    </row>
    <row r="42" spans="1:29" ht="10.5" customHeight="1" x14ac:dyDescent="0.3">
      <c r="A42" s="268">
        <v>1997</v>
      </c>
      <c r="B42" s="775">
        <v>92457.324999999997</v>
      </c>
      <c r="C42" s="775">
        <v>14348.607</v>
      </c>
      <c r="D42" s="775">
        <v>17014.509999999998</v>
      </c>
      <c r="E42" s="775">
        <v>47907.747000000003</v>
      </c>
      <c r="F42" s="775">
        <f>B42-SUM(C42:E42)</f>
        <v>13186.460999999996</v>
      </c>
      <c r="G42" s="805"/>
      <c r="H42" s="775">
        <v>1567.836</v>
      </c>
      <c r="I42" s="775">
        <v>1912.85</v>
      </c>
      <c r="J42" s="775">
        <v>9786.5580000000009</v>
      </c>
      <c r="K42" s="775">
        <v>33057.237999999998</v>
      </c>
      <c r="L42" s="775">
        <v>12206.633</v>
      </c>
      <c r="M42" s="805"/>
      <c r="N42" s="775">
        <f>$S42*C42/$B42</f>
        <v>7456.2915042118184</v>
      </c>
      <c r="O42" s="775">
        <f>$S42*D42/$B42</f>
        <v>8841.6350354656042</v>
      </c>
      <c r="P42" s="775">
        <f>$S42*E42/$B42</f>
        <v>24895.387192779708</v>
      </c>
      <c r="Q42" s="775">
        <f>$S42*F42/$B42</f>
        <v>6852.3792675428667</v>
      </c>
      <c r="R42" s="805"/>
      <c r="S42" s="775">
        <f>B42-H42-K42-J42</f>
        <v>48045.692999999999</v>
      </c>
      <c r="T42" s="775">
        <f t="shared" si="0"/>
        <v>23150.305807220291</v>
      </c>
      <c r="U42" s="776">
        <f>T42/'C1-Incomes'!J45</f>
        <v>3.1367401456036011E-3</v>
      </c>
      <c r="V42" s="372"/>
      <c r="W42" s="798">
        <f>K42/B42</f>
        <v>0.35754049773774005</v>
      </c>
      <c r="X42" s="372"/>
      <c r="Y42" s="372"/>
      <c r="Z42" s="372"/>
      <c r="AA42" s="826">
        <f>TOTALS!V42/1000000</f>
        <v>8134.1388258000006</v>
      </c>
      <c r="AC42" s="775">
        <f t="shared" si="1"/>
        <v>1912.85</v>
      </c>
    </row>
    <row r="43" spans="1:29" ht="10.5" customHeight="1" x14ac:dyDescent="0.3">
      <c r="A43" s="268">
        <v>1998</v>
      </c>
      <c r="B43" s="775"/>
      <c r="C43" s="802"/>
      <c r="D43" s="802"/>
      <c r="E43" s="802"/>
      <c r="F43" s="805"/>
      <c r="G43" s="805"/>
      <c r="H43" s="802"/>
      <c r="I43" s="777">
        <f>I42+(I$45-I$42)/3</f>
        <v>2291.424</v>
      </c>
      <c r="J43" s="802"/>
      <c r="K43" s="802"/>
      <c r="L43" s="777">
        <f>L42+(L$45-L$42)/3</f>
        <v>13687.843333333332</v>
      </c>
      <c r="M43" s="805"/>
      <c r="N43" s="777">
        <f>N42+(N$45-N$42)/3</f>
        <v>7506.4087495143103</v>
      </c>
      <c r="O43" s="777">
        <f t="shared" ref="O43:Q44" si="14">O42+(O$45-O$42)/3</f>
        <v>9225.0326254699321</v>
      </c>
      <c r="P43" s="777">
        <f t="shared" si="14"/>
        <v>27820.49058371178</v>
      </c>
      <c r="Q43" s="777">
        <f t="shared" si="14"/>
        <v>7765.5617079706399</v>
      </c>
      <c r="R43" s="805"/>
      <c r="S43" s="800"/>
      <c r="T43" s="775">
        <f t="shared" si="0"/>
        <v>24497.003082954881</v>
      </c>
      <c r="U43" s="776"/>
      <c r="V43" s="372"/>
      <c r="W43" s="799"/>
      <c r="X43" s="372"/>
      <c r="Y43" s="372"/>
      <c r="Z43" s="372"/>
      <c r="AA43" s="826">
        <f>TOTALS!V43/1000000</f>
        <v>9464.1319012999993</v>
      </c>
      <c r="AC43" s="775">
        <f t="shared" si="1"/>
        <v>2291.424</v>
      </c>
    </row>
    <row r="44" spans="1:29" ht="10.5" customHeight="1" x14ac:dyDescent="0.3">
      <c r="A44" s="268">
        <v>1999</v>
      </c>
      <c r="B44" s="775"/>
      <c r="C44" s="802"/>
      <c r="D44" s="802"/>
      <c r="E44" s="802"/>
      <c r="F44" s="805"/>
      <c r="G44" s="805"/>
      <c r="H44" s="802"/>
      <c r="I44" s="777">
        <f>I43+(I$45-I$42)/3</f>
        <v>2669.998</v>
      </c>
      <c r="J44" s="802"/>
      <c r="K44" s="802"/>
      <c r="L44" s="777">
        <f>L43+(L$45-L$42)/3</f>
        <v>15169.053666666665</v>
      </c>
      <c r="M44" s="805"/>
      <c r="N44" s="777">
        <f>N43+(N$45-N$42)/3</f>
        <v>7556.5259948168023</v>
      </c>
      <c r="O44" s="777">
        <f t="shared" si="14"/>
        <v>9608.43021547426</v>
      </c>
      <c r="P44" s="777">
        <f t="shared" si="14"/>
        <v>30745.593974643853</v>
      </c>
      <c r="Q44" s="777">
        <f t="shared" si="14"/>
        <v>8678.744148398413</v>
      </c>
      <c r="R44" s="805"/>
      <c r="S44" s="800"/>
      <c r="T44" s="775">
        <f t="shared" si="0"/>
        <v>25843.700358689479</v>
      </c>
      <c r="U44" s="776"/>
      <c r="V44" s="372"/>
      <c r="W44" s="799"/>
      <c r="X44" s="372"/>
      <c r="Y44" s="372"/>
      <c r="Z44" s="372"/>
      <c r="AA44" s="826">
        <f>TOTALS!V44/1000000</f>
        <v>9933.5811192000001</v>
      </c>
      <c r="AC44" s="775">
        <f t="shared" si="1"/>
        <v>2669.998</v>
      </c>
    </row>
    <row r="45" spans="1:29" ht="10.5" customHeight="1" x14ac:dyDescent="0.3">
      <c r="A45" s="268">
        <v>2000</v>
      </c>
      <c r="B45" s="775">
        <v>124270.55100000001</v>
      </c>
      <c r="C45" s="775">
        <v>15531.79</v>
      </c>
      <c r="D45" s="775">
        <v>20402.030999999999</v>
      </c>
      <c r="E45" s="775">
        <v>68751.245999999999</v>
      </c>
      <c r="F45" s="775">
        <f t="shared" ref="F45:F57" si="15">B45-SUM(C45:E45)</f>
        <v>19585.484000000011</v>
      </c>
      <c r="G45" s="805"/>
      <c r="H45" s="775">
        <v>2472.232</v>
      </c>
      <c r="I45" s="775">
        <v>3048.5720000000001</v>
      </c>
      <c r="J45" s="775">
        <v>12347.601000000001</v>
      </c>
      <c r="K45" s="775">
        <v>48589.623</v>
      </c>
      <c r="L45" s="775">
        <v>16650.263999999999</v>
      </c>
      <c r="M45" s="805"/>
      <c r="N45" s="775">
        <f t="shared" ref="N45:N58" si="16">$S45*C45/$B45</f>
        <v>7606.6432401192933</v>
      </c>
      <c r="O45" s="775">
        <f t="shared" ref="O45:O58" si="17">$S45*D45/$B45</f>
        <v>9991.827805478586</v>
      </c>
      <c r="P45" s="775">
        <f t="shared" ref="P45:P57" si="18">$S45*E45/$B45</f>
        <v>33670.697365575928</v>
      </c>
      <c r="Q45" s="775">
        <f t="shared" ref="Q45:Q58" si="19">$S45*F45/$B45</f>
        <v>9591.9265888261853</v>
      </c>
      <c r="R45" s="805"/>
      <c r="S45" s="775">
        <f t="shared" ref="S45:S58" si="20">B45-H45-K45-J45</f>
        <v>60861.094999999994</v>
      </c>
      <c r="T45" s="775">
        <f t="shared" si="0"/>
        <v>27190.397634424065</v>
      </c>
      <c r="U45" s="776">
        <f>T45/'C1-Incomes'!J48</f>
        <v>3.0526933402217145E-3</v>
      </c>
      <c r="V45" s="372"/>
      <c r="W45" s="798">
        <f>K45/B45</f>
        <v>0.39099869284397071</v>
      </c>
      <c r="X45" s="372"/>
      <c r="Y45" s="372"/>
      <c r="Z45" s="372"/>
      <c r="AA45" s="826">
        <f>TOTALS!V45/1000000</f>
        <v>11048.769613</v>
      </c>
      <c r="AC45" s="775">
        <f t="shared" si="1"/>
        <v>3048.5720000000001</v>
      </c>
    </row>
    <row r="46" spans="1:29" ht="10.5" customHeight="1" x14ac:dyDescent="0.3">
      <c r="A46" s="268">
        <v>2001</v>
      </c>
      <c r="B46" s="775">
        <v>89530.311000000002</v>
      </c>
      <c r="C46" s="775">
        <v>15850.396000000001</v>
      </c>
      <c r="D46" s="775">
        <v>18151.810000000001</v>
      </c>
      <c r="E46" s="775">
        <v>37764.74</v>
      </c>
      <c r="F46" s="775">
        <f t="shared" si="15"/>
        <v>17763.365000000005</v>
      </c>
      <c r="G46" s="805"/>
      <c r="H46" s="775">
        <v>2162.2429999999999</v>
      </c>
      <c r="I46" s="775">
        <v>3106.8380000000002</v>
      </c>
      <c r="J46" s="775">
        <v>12292.950999999999</v>
      </c>
      <c r="K46" s="775">
        <v>35104.226999999999</v>
      </c>
      <c r="L46" s="775">
        <v>10732.985000000001</v>
      </c>
      <c r="M46" s="805"/>
      <c r="N46" s="775">
        <f t="shared" si="16"/>
        <v>7076.4239272266122</v>
      </c>
      <c r="O46" s="775">
        <f t="shared" si="17"/>
        <v>8103.8923321834554</v>
      </c>
      <c r="P46" s="775">
        <f t="shared" si="18"/>
        <v>16860.103037267454</v>
      </c>
      <c r="Q46" s="775">
        <f t="shared" si="19"/>
        <v>7930.4707033224777</v>
      </c>
      <c r="R46" s="805"/>
      <c r="S46" s="775">
        <f t="shared" si="20"/>
        <v>39970.89</v>
      </c>
      <c r="T46" s="775">
        <f t="shared" si="0"/>
        <v>23110.786962732545</v>
      </c>
      <c r="U46" s="776">
        <f>T46/'C1-Incomes'!J49</f>
        <v>2.5162451838567071E-3</v>
      </c>
      <c r="V46" s="372"/>
      <c r="W46" s="798">
        <f>K46/B46</f>
        <v>0.3920932096393589</v>
      </c>
      <c r="X46" s="372"/>
      <c r="Y46" s="372"/>
      <c r="Z46" s="372"/>
      <c r="AA46" s="826">
        <f>TOTALS!V46/1000000</f>
        <v>10219.451068</v>
      </c>
      <c r="AC46" s="775">
        <f t="shared" si="1"/>
        <v>3106.8380000000002</v>
      </c>
    </row>
    <row r="47" spans="1:29" ht="10.5" customHeight="1" x14ac:dyDescent="0.3">
      <c r="A47" s="268">
        <v>2002</v>
      </c>
      <c r="B47" s="775">
        <v>71330.78</v>
      </c>
      <c r="C47" s="775">
        <v>12276.053</v>
      </c>
      <c r="D47" s="775">
        <v>16698.887999999999</v>
      </c>
      <c r="E47" s="775">
        <v>25266.739000000001</v>
      </c>
      <c r="F47" s="775">
        <f t="shared" si="15"/>
        <v>17089.099999999999</v>
      </c>
      <c r="G47" s="805"/>
      <c r="H47" s="775">
        <v>1795.191</v>
      </c>
      <c r="I47" s="775">
        <v>2082.86</v>
      </c>
      <c r="J47" s="775">
        <v>12912.353999999999</v>
      </c>
      <c r="K47" s="775">
        <v>31799.625</v>
      </c>
      <c r="L47" s="775">
        <v>7884.4970000000003</v>
      </c>
      <c r="M47" s="805"/>
      <c r="N47" s="775">
        <f t="shared" si="16"/>
        <v>4272.1522463560595</v>
      </c>
      <c r="O47" s="775">
        <f t="shared" si="17"/>
        <v>5811.3297393590801</v>
      </c>
      <c r="P47" s="775">
        <f t="shared" si="18"/>
        <v>8793.0017715744852</v>
      </c>
      <c r="Q47" s="775">
        <f t="shared" si="19"/>
        <v>5947.1262427103675</v>
      </c>
      <c r="R47" s="805"/>
      <c r="S47" s="775">
        <f t="shared" si="20"/>
        <v>24823.609999999993</v>
      </c>
      <c r="T47" s="775">
        <f t="shared" si="0"/>
        <v>16030.608228425506</v>
      </c>
      <c r="U47" s="776">
        <f>T47/'C1-Incomes'!J50</f>
        <v>1.6987295119610733E-3</v>
      </c>
      <c r="V47" s="372"/>
      <c r="W47" s="798">
        <f t="shared" ref="W47:W58" si="21">K47/B47</f>
        <v>0.4458050928365006</v>
      </c>
      <c r="X47" s="372"/>
      <c r="Y47" s="372"/>
      <c r="Z47" s="372"/>
      <c r="AA47" s="826">
        <f>TOTALS!V47/1000000</f>
        <v>11240.324710000001</v>
      </c>
      <c r="AC47" s="775">
        <f t="shared" si="1"/>
        <v>2082.86</v>
      </c>
    </row>
    <row r="48" spans="1:29" ht="10.5" customHeight="1" x14ac:dyDescent="0.3">
      <c r="A48" s="268">
        <f>A47+1</f>
        <v>2003</v>
      </c>
      <c r="B48" s="775">
        <v>85169.273000000001</v>
      </c>
      <c r="C48" s="775">
        <v>11336.18</v>
      </c>
      <c r="D48" s="775">
        <v>19594.041000000001</v>
      </c>
      <c r="E48" s="775">
        <v>35235.796999999999</v>
      </c>
      <c r="F48" s="775">
        <f t="shared" si="15"/>
        <v>19003.255000000005</v>
      </c>
      <c r="G48" s="805"/>
      <c r="H48" s="775">
        <v>1690.0050000000001</v>
      </c>
      <c r="I48" s="775">
        <v>2018.816</v>
      </c>
      <c r="J48" s="775">
        <v>13736.147999999999</v>
      </c>
      <c r="K48" s="775">
        <v>35732.396000000001</v>
      </c>
      <c r="L48" s="775">
        <v>9360.018</v>
      </c>
      <c r="M48" s="805"/>
      <c r="N48" s="775">
        <f t="shared" si="16"/>
        <v>4526.8871696758524</v>
      </c>
      <c r="O48" s="775">
        <f t="shared" si="17"/>
        <v>7824.5063861902863</v>
      </c>
      <c r="P48" s="775">
        <f t="shared" si="18"/>
        <v>14070.743173855995</v>
      </c>
      <c r="Q48" s="775">
        <f t="shared" si="19"/>
        <v>7588.5872702778624</v>
      </c>
      <c r="R48" s="805"/>
      <c r="S48" s="775">
        <f t="shared" si="20"/>
        <v>34010.723999999995</v>
      </c>
      <c r="T48" s="775">
        <f t="shared" si="0"/>
        <v>19939.980826144001</v>
      </c>
      <c r="U48" s="776">
        <f>T48/'C1-Incomes'!J51</f>
        <v>2.0214518280218894E-3</v>
      </c>
      <c r="V48" s="372"/>
      <c r="W48" s="798">
        <f t="shared" si="21"/>
        <v>0.41954562650781346</v>
      </c>
      <c r="X48" s="372"/>
      <c r="Y48" s="372"/>
      <c r="Z48" s="372"/>
      <c r="AA48" s="826">
        <f>TOTALS!V48/1000000</f>
        <v>12414.779879</v>
      </c>
      <c r="AC48" s="775">
        <f t="shared" si="1"/>
        <v>2018.816</v>
      </c>
    </row>
    <row r="49" spans="1:29" ht="10.5" customHeight="1" x14ac:dyDescent="0.3">
      <c r="A49" s="268">
        <f>A48+1</f>
        <v>2004</v>
      </c>
      <c r="B49" s="775">
        <v>108624.322</v>
      </c>
      <c r="C49" s="775">
        <v>10273.203</v>
      </c>
      <c r="D49" s="775">
        <v>22971.087</v>
      </c>
      <c r="E49" s="775">
        <v>55864.402999999998</v>
      </c>
      <c r="F49" s="775">
        <f t="shared" si="15"/>
        <v>19515.629000000001</v>
      </c>
      <c r="G49" s="805"/>
      <c r="H49" s="775">
        <v>1892.259</v>
      </c>
      <c r="I49" s="775">
        <v>2456.067</v>
      </c>
      <c r="J49" s="775">
        <v>14370.942999999999</v>
      </c>
      <c r="K49" s="775">
        <v>37121.544000000002</v>
      </c>
      <c r="L49" s="775">
        <v>11457.529</v>
      </c>
      <c r="M49" s="805"/>
      <c r="N49" s="775">
        <f t="shared" si="16"/>
        <v>5224.312266657259</v>
      </c>
      <c r="O49" s="775">
        <f t="shared" si="17"/>
        <v>11681.666525284383</v>
      </c>
      <c r="P49" s="775">
        <f t="shared" si="18"/>
        <v>28409.161764094861</v>
      </c>
      <c r="Q49" s="775">
        <f t="shared" si="19"/>
        <v>9924.435443963499</v>
      </c>
      <c r="R49" s="805"/>
      <c r="S49" s="775">
        <f t="shared" si="20"/>
        <v>55239.576000000001</v>
      </c>
      <c r="T49" s="775">
        <f t="shared" si="0"/>
        <v>26830.41423590514</v>
      </c>
      <c r="U49" s="776">
        <f>T49/'C1-Incomes'!J52</f>
        <v>2.5453516966789419E-3</v>
      </c>
      <c r="V49" s="372"/>
      <c r="W49" s="798">
        <f t="shared" si="21"/>
        <v>0.34174246905771255</v>
      </c>
      <c r="X49" s="372"/>
      <c r="Y49" s="372"/>
      <c r="Z49" s="372"/>
      <c r="AA49" s="826">
        <f>TOTALS!V49/1000000</f>
        <v>14000.604703999999</v>
      </c>
      <c r="AC49" s="775">
        <f t="shared" si="1"/>
        <v>2456.067</v>
      </c>
    </row>
    <row r="50" spans="1:29" ht="10.5" customHeight="1" x14ac:dyDescent="0.3">
      <c r="A50" s="268">
        <v>2005</v>
      </c>
      <c r="B50" s="775">
        <v>129747.655</v>
      </c>
      <c r="C50" s="775">
        <v>12783.625</v>
      </c>
      <c r="D50" s="775">
        <v>25254.605</v>
      </c>
      <c r="E50" s="775">
        <v>69199.764999999999</v>
      </c>
      <c r="F50" s="775">
        <f t="shared" si="15"/>
        <v>22509.660000000003</v>
      </c>
      <c r="G50" s="805"/>
      <c r="H50" s="775">
        <v>2554.4949999999999</v>
      </c>
      <c r="I50" s="775">
        <v>3456.81</v>
      </c>
      <c r="J50" s="775">
        <v>14642.679</v>
      </c>
      <c r="K50" s="775">
        <v>42259.345000000001</v>
      </c>
      <c r="L50" s="775">
        <v>14751.201999999999</v>
      </c>
      <c r="M50" s="805"/>
      <c r="N50" s="775">
        <f t="shared" si="16"/>
        <v>6925.5627274959224</v>
      </c>
      <c r="O50" s="775">
        <f t="shared" si="17"/>
        <v>13681.749197557981</v>
      </c>
      <c r="P50" s="775">
        <f t="shared" si="18"/>
        <v>37489.156106775416</v>
      </c>
      <c r="Q50" s="775">
        <f t="shared" si="19"/>
        <v>12194.667968170679</v>
      </c>
      <c r="R50" s="805"/>
      <c r="S50" s="775">
        <f t="shared" si="20"/>
        <v>70291.135999999999</v>
      </c>
      <c r="T50" s="775">
        <f t="shared" si="0"/>
        <v>32801.979893224583</v>
      </c>
      <c r="U50" s="776">
        <f>T50/'C1-Incomes'!J53</f>
        <v>2.9183724027827887E-3</v>
      </c>
      <c r="V50" s="372"/>
      <c r="W50" s="798">
        <f t="shared" si="21"/>
        <v>0.32570411388167286</v>
      </c>
      <c r="X50" s="372"/>
      <c r="Y50" s="372"/>
      <c r="Z50" s="372"/>
      <c r="AA50" s="826">
        <f>TOTALS!V50/1000000</f>
        <v>16483.976997999998</v>
      </c>
      <c r="AC50" s="775">
        <f t="shared" si="1"/>
        <v>3456.81</v>
      </c>
    </row>
    <row r="51" spans="1:29" ht="10.5" customHeight="1" x14ac:dyDescent="0.3">
      <c r="A51" s="268">
        <v>2006</v>
      </c>
      <c r="B51" s="775">
        <v>162823.503</v>
      </c>
      <c r="C51" s="775">
        <v>17229.335999999999</v>
      </c>
      <c r="D51" s="775">
        <v>34075.481</v>
      </c>
      <c r="E51" s="775">
        <v>87702.831999999995</v>
      </c>
      <c r="F51" s="775">
        <f t="shared" si="15"/>
        <v>23815.854000000021</v>
      </c>
      <c r="G51" s="805"/>
      <c r="H51" s="775">
        <v>3535.5129999999999</v>
      </c>
      <c r="I51" s="775">
        <v>3898.9969999999998</v>
      </c>
      <c r="J51" s="775">
        <v>15518.718000000001</v>
      </c>
      <c r="K51" s="775">
        <v>48671.385000000002</v>
      </c>
      <c r="L51" s="775">
        <v>19460.651999999998</v>
      </c>
      <c r="M51" s="805"/>
      <c r="N51" s="775">
        <f t="shared" si="16"/>
        <v>10062.88046764988</v>
      </c>
      <c r="O51" s="775">
        <f t="shared" si="17"/>
        <v>19901.956301779395</v>
      </c>
      <c r="P51" s="775">
        <f t="shared" si="18"/>
        <v>51223.280751526283</v>
      </c>
      <c r="Q51" s="775">
        <f t="shared" si="19"/>
        <v>13909.769479044433</v>
      </c>
      <c r="R51" s="805"/>
      <c r="S51" s="775">
        <f t="shared" si="20"/>
        <v>95097.886999999988</v>
      </c>
      <c r="T51" s="775">
        <f t="shared" si="0"/>
        <v>43874.606248473705</v>
      </c>
      <c r="U51" s="776">
        <f>T51/'C1-Incomes'!J54</f>
        <v>3.6547703094919099E-3</v>
      </c>
      <c r="V51" s="372"/>
      <c r="W51" s="798">
        <f t="shared" si="21"/>
        <v>0.29892112688424349</v>
      </c>
      <c r="X51" s="372"/>
      <c r="Y51" s="372"/>
      <c r="Z51" s="372"/>
      <c r="AA51" s="826">
        <f>TOTALS!V51/1000000</f>
        <v>17183.4234</v>
      </c>
      <c r="AC51" s="775">
        <f t="shared" si="1"/>
        <v>3898.9969999999998</v>
      </c>
    </row>
    <row r="52" spans="1:29" ht="10.5" customHeight="1" x14ac:dyDescent="0.3">
      <c r="A52" s="268">
        <v>2007</v>
      </c>
      <c r="B52" s="775">
        <v>188180.32699999999</v>
      </c>
      <c r="C52" s="775">
        <v>19328.397000000001</v>
      </c>
      <c r="D52" s="775">
        <v>36451.862999999998</v>
      </c>
      <c r="E52" s="775">
        <v>107953.519</v>
      </c>
      <c r="F52" s="775">
        <f t="shared" si="15"/>
        <v>24446.54800000001</v>
      </c>
      <c r="G52" s="805"/>
      <c r="H52" s="775">
        <v>3960.915</v>
      </c>
      <c r="I52" s="775">
        <v>4568.4960000000001</v>
      </c>
      <c r="J52" s="775">
        <v>16268.263999999999</v>
      </c>
      <c r="K52" s="775">
        <v>54219.108999999997</v>
      </c>
      <c r="L52" s="775">
        <v>23138.727999999999</v>
      </c>
      <c r="M52" s="805"/>
      <c r="N52" s="775">
        <f t="shared" si="16"/>
        <v>11681.656825962913</v>
      </c>
      <c r="O52" s="775">
        <f t="shared" si="17"/>
        <v>22030.701989048284</v>
      </c>
      <c r="P52" s="775">
        <f t="shared" si="18"/>
        <v>65244.7257841955</v>
      </c>
      <c r="Q52" s="775">
        <f t="shared" si="19"/>
        <v>14774.954400793305</v>
      </c>
      <c r="R52" s="805"/>
      <c r="S52" s="775">
        <f t="shared" si="20"/>
        <v>113732.03899999999</v>
      </c>
      <c r="T52" s="775">
        <f t="shared" si="0"/>
        <v>48487.313215804505</v>
      </c>
      <c r="U52" s="776">
        <f>T52/'C1-Incomes'!J55</f>
        <v>3.9352194352354182E-3</v>
      </c>
      <c r="V52" s="372"/>
      <c r="W52" s="798">
        <f t="shared" si="21"/>
        <v>0.2881231522145245</v>
      </c>
      <c r="X52" s="372"/>
      <c r="Y52" s="372"/>
      <c r="Z52" s="372"/>
      <c r="AA52" s="826">
        <f>TOTALS!V52/1000000</f>
        <v>18136.028052000001</v>
      </c>
      <c r="AC52" s="775">
        <f t="shared" si="1"/>
        <v>4568.4960000000001</v>
      </c>
    </row>
    <row r="53" spans="1:29" ht="10.5" customHeight="1" x14ac:dyDescent="0.3">
      <c r="A53" s="268">
        <v>2008</v>
      </c>
      <c r="B53" s="775">
        <v>134432.44399999999</v>
      </c>
      <c r="C53" s="775">
        <v>16685.085999999999</v>
      </c>
      <c r="D53" s="775">
        <v>34103.722999999998</v>
      </c>
      <c r="E53" s="775">
        <v>57092.004999999997</v>
      </c>
      <c r="F53" s="775">
        <f t="shared" si="15"/>
        <v>26551.630000000005</v>
      </c>
      <c r="G53" s="805"/>
      <c r="H53" s="775">
        <v>3491.2359999999999</v>
      </c>
      <c r="I53" s="775">
        <v>5184.9009999999998</v>
      </c>
      <c r="J53" s="775">
        <v>20289.127</v>
      </c>
      <c r="K53" s="775">
        <v>46015.957999999999</v>
      </c>
      <c r="L53" s="775">
        <v>16135.96</v>
      </c>
      <c r="M53" s="805"/>
      <c r="N53" s="775">
        <f t="shared" si="16"/>
        <v>8022.3139509505436</v>
      </c>
      <c r="O53" s="775">
        <f t="shared" si="17"/>
        <v>16397.324700768877</v>
      </c>
      <c r="P53" s="775">
        <f t="shared" si="18"/>
        <v>27450.262360004512</v>
      </c>
      <c r="Q53" s="775">
        <f t="shared" si="19"/>
        <v>12766.22198827606</v>
      </c>
      <c r="R53" s="805"/>
      <c r="S53" s="775">
        <f t="shared" si="20"/>
        <v>64636.122999999985</v>
      </c>
      <c r="T53" s="775">
        <f t="shared" si="0"/>
        <v>37185.860639995481</v>
      </c>
      <c r="U53" s="776">
        <f>T53/'C1-Incomes'!J56</f>
        <v>2.9921462502489082E-3</v>
      </c>
      <c r="V53" s="372"/>
      <c r="W53" s="798">
        <f t="shared" si="21"/>
        <v>0.3422980095489449</v>
      </c>
      <c r="X53" s="372"/>
      <c r="Y53" s="372"/>
      <c r="Z53" s="372"/>
      <c r="AA53" s="826">
        <f>TOTALS!V53/1000000</f>
        <v>17551.444473</v>
      </c>
      <c r="AC53" s="775">
        <f t="shared" si="1"/>
        <v>5184.9009999999998</v>
      </c>
    </row>
    <row r="54" spans="1:29" ht="10.5" customHeight="1" x14ac:dyDescent="0.3">
      <c r="A54" s="268">
        <v>2009</v>
      </c>
      <c r="B54" s="775">
        <v>91736.633000000002</v>
      </c>
      <c r="C54" s="775">
        <v>12725.787</v>
      </c>
      <c r="D54" s="775">
        <v>26039.262999999999</v>
      </c>
      <c r="E54" s="775">
        <v>32114.207999999999</v>
      </c>
      <c r="F54" s="775">
        <f t="shared" si="15"/>
        <v>20857.375</v>
      </c>
      <c r="G54" s="805"/>
      <c r="H54" s="775">
        <v>2252.1779999999999</v>
      </c>
      <c r="I54" s="775">
        <v>3433.9989999999998</v>
      </c>
      <c r="J54" s="775">
        <v>20966.273000000001</v>
      </c>
      <c r="K54" s="775">
        <v>41217.076000000001</v>
      </c>
      <c r="L54" s="775">
        <v>10478.778</v>
      </c>
      <c r="M54" s="805"/>
      <c r="N54" s="775">
        <f t="shared" si="16"/>
        <v>3787.233610595039</v>
      </c>
      <c r="O54" s="775">
        <f t="shared" si="17"/>
        <v>7749.3652870917767</v>
      </c>
      <c r="P54" s="775">
        <f t="shared" si="18"/>
        <v>9557.2877272926271</v>
      </c>
      <c r="Q54" s="775">
        <f t="shared" si="19"/>
        <v>6207.2193750205543</v>
      </c>
      <c r="R54" s="805"/>
      <c r="S54" s="775">
        <f t="shared" si="20"/>
        <v>27301.106</v>
      </c>
      <c r="T54" s="775">
        <f t="shared" si="0"/>
        <v>17743.818272707369</v>
      </c>
      <c r="U54" s="776">
        <f>T54/'C1-Incomes'!J57</f>
        <v>1.4632774886549481E-3</v>
      </c>
      <c r="V54" s="372"/>
      <c r="W54" s="798">
        <f t="shared" si="21"/>
        <v>0.44929789389588781</v>
      </c>
      <c r="X54" s="372"/>
      <c r="Y54" s="372"/>
      <c r="Z54" s="372"/>
      <c r="AA54" s="826">
        <f>TOTALS!V54/1000000</f>
        <v>17382.152087999999</v>
      </c>
      <c r="AC54" s="775">
        <f t="shared" si="1"/>
        <v>3433.9989999999998</v>
      </c>
    </row>
    <row r="55" spans="1:29" ht="10.5" customHeight="1" x14ac:dyDescent="0.3">
      <c r="A55" s="268">
        <v>2010</v>
      </c>
      <c r="B55" s="775">
        <v>101595.86</v>
      </c>
      <c r="C55" s="775">
        <v>11719.218000000001</v>
      </c>
      <c r="D55" s="775">
        <v>28141.33</v>
      </c>
      <c r="E55" s="775">
        <v>36333.841999999997</v>
      </c>
      <c r="F55" s="775">
        <f t="shared" si="15"/>
        <v>25401.47</v>
      </c>
      <c r="G55" s="805"/>
      <c r="H55" s="775">
        <v>2149.79</v>
      </c>
      <c r="I55" s="775">
        <v>2887.7820000000002</v>
      </c>
      <c r="J55" s="775">
        <v>20859.61</v>
      </c>
      <c r="K55" s="775">
        <v>39574.625</v>
      </c>
      <c r="L55" s="775">
        <v>13254.433000000001</v>
      </c>
      <c r="M55" s="805"/>
      <c r="N55" s="775">
        <f t="shared" si="16"/>
        <v>4500.0672167648372</v>
      </c>
      <c r="O55" s="775">
        <f t="shared" si="17"/>
        <v>10806.000585462341</v>
      </c>
      <c r="P55" s="775">
        <f t="shared" si="18"/>
        <v>13951.846551818844</v>
      </c>
      <c r="Q55" s="775">
        <f t="shared" si="19"/>
        <v>9753.9206459539801</v>
      </c>
      <c r="R55" s="805"/>
      <c r="S55" s="775">
        <f t="shared" si="20"/>
        <v>39011.835000000006</v>
      </c>
      <c r="T55" s="775">
        <f t="shared" si="0"/>
        <v>25059.98844818116</v>
      </c>
      <c r="U55" s="776">
        <f>T55/'C1-Incomes'!J58</f>
        <v>1.9671027357967522E-3</v>
      </c>
      <c r="V55" s="372"/>
      <c r="W55" s="798">
        <f t="shared" si="21"/>
        <v>0.38952989816711037</v>
      </c>
      <c r="X55" s="372"/>
      <c r="Y55" s="372"/>
      <c r="Z55" s="372"/>
      <c r="AA55" s="826">
        <f>TOTALS!V55/1000000</f>
        <v>19692.363850000002</v>
      </c>
      <c r="AC55" s="775">
        <f t="shared" si="1"/>
        <v>2887.7820000000002</v>
      </c>
    </row>
    <row r="56" spans="1:29" ht="10.5" customHeight="1" x14ac:dyDescent="0.3">
      <c r="A56" s="268">
        <f>A55+1</f>
        <v>2011</v>
      </c>
      <c r="B56" s="775">
        <v>114439.253</v>
      </c>
      <c r="C56" s="775">
        <v>11092.598</v>
      </c>
      <c r="D56" s="775">
        <v>29759.669000000002</v>
      </c>
      <c r="E56" s="775">
        <v>47567.781999999999</v>
      </c>
      <c r="F56" s="775">
        <f t="shared" si="15"/>
        <v>26019.203999999998</v>
      </c>
      <c r="G56" s="805"/>
      <c r="H56" s="775">
        <v>2269.4180000000001</v>
      </c>
      <c r="I56" s="775">
        <v>3351.058</v>
      </c>
      <c r="J56" s="775">
        <v>23050.6</v>
      </c>
      <c r="K56" s="775">
        <v>40948.260999999999</v>
      </c>
      <c r="L56" s="775">
        <v>14471.726000000001</v>
      </c>
      <c r="M56" s="805"/>
      <c r="N56" s="775">
        <f t="shared" si="16"/>
        <v>4669.2130177610643</v>
      </c>
      <c r="O56" s="775">
        <f t="shared" si="17"/>
        <v>12526.752876022407</v>
      </c>
      <c r="P56" s="775">
        <f t="shared" si="18"/>
        <v>20022.73109873994</v>
      </c>
      <c r="Q56" s="775">
        <f t="shared" si="19"/>
        <v>10952.277007476585</v>
      </c>
      <c r="R56" s="805"/>
      <c r="S56" s="775">
        <f t="shared" si="20"/>
        <v>48170.973999999995</v>
      </c>
      <c r="T56" s="775">
        <f t="shared" si="0"/>
        <v>28148.242901260055</v>
      </c>
      <c r="U56" s="776">
        <f>T56/'C1-Incomes'!J59</f>
        <v>2.108126497439417E-3</v>
      </c>
      <c r="V56" s="372"/>
      <c r="W56" s="798">
        <f t="shared" si="21"/>
        <v>0.35781657015884227</v>
      </c>
      <c r="X56" s="372"/>
      <c r="Y56" s="372"/>
      <c r="Z56" s="372"/>
      <c r="AA56" s="826">
        <f>TOTALS!V56/1000000</f>
        <v>19607.052385999999</v>
      </c>
      <c r="AC56" s="775">
        <f t="shared" si="1"/>
        <v>3351.058</v>
      </c>
    </row>
    <row r="57" spans="1:29" ht="10.5" customHeight="1" x14ac:dyDescent="0.3">
      <c r="A57" s="268">
        <f>A56+1</f>
        <v>2012</v>
      </c>
      <c r="B57" s="775">
        <v>160808.49299999999</v>
      </c>
      <c r="C57" s="775">
        <v>10938.761</v>
      </c>
      <c r="D57" s="775">
        <v>40582.538</v>
      </c>
      <c r="E57" s="775">
        <v>77295.962</v>
      </c>
      <c r="F57" s="775">
        <f t="shared" si="15"/>
        <v>31991.231999999989</v>
      </c>
      <c r="G57" s="805"/>
      <c r="H57" s="775">
        <v>2441.8310000000001</v>
      </c>
      <c r="I57" s="775">
        <v>3647.404</v>
      </c>
      <c r="J57" s="775">
        <v>25881.242999999999</v>
      </c>
      <c r="K57" s="775">
        <v>49967.608</v>
      </c>
      <c r="L57" s="775">
        <v>20778.492999999999</v>
      </c>
      <c r="M57" s="805"/>
      <c r="N57" s="775">
        <f t="shared" si="16"/>
        <v>5613.1526136008924</v>
      </c>
      <c r="O57" s="775">
        <f t="shared" si="17"/>
        <v>20824.660054393502</v>
      </c>
      <c r="P57" s="775">
        <f t="shared" si="18"/>
        <v>39663.909936517972</v>
      </c>
      <c r="Q57" s="775">
        <f t="shared" si="19"/>
        <v>16416.088395487612</v>
      </c>
      <c r="R57" s="805"/>
      <c r="S57" s="775">
        <f t="shared" si="20"/>
        <v>82517.810999999972</v>
      </c>
      <c r="T57" s="775">
        <f t="shared" si="0"/>
        <v>42853.901063482008</v>
      </c>
      <c r="U57" s="776">
        <f>T57/'C1-Incomes'!J60</f>
        <v>3.0475234378603447E-3</v>
      </c>
      <c r="V57" s="372"/>
      <c r="W57" s="798">
        <f t="shared" si="21"/>
        <v>0.3107274191046614</v>
      </c>
      <c r="X57" s="372"/>
      <c r="Y57" s="372"/>
      <c r="Z57" s="372"/>
      <c r="AA57" s="826">
        <f>TOTALS!V57/1000000</f>
        <v>25182.205682</v>
      </c>
      <c r="AC57" s="775">
        <f t="shared" si="1"/>
        <v>3647.404</v>
      </c>
    </row>
    <row r="58" spans="1:29" ht="10.5" customHeight="1" x14ac:dyDescent="0.3">
      <c r="A58" s="268">
        <f>A57+1</f>
        <v>2013</v>
      </c>
      <c r="B58" s="775">
        <v>141596.81899999999</v>
      </c>
      <c r="C58" s="775">
        <v>10327.722</v>
      </c>
      <c r="D58" s="775">
        <v>32979.61</v>
      </c>
      <c r="E58" s="775">
        <v>63919.665999999997</v>
      </c>
      <c r="F58" s="775">
        <f>B58-SUM(C58:E58)</f>
        <v>34369.820999999996</v>
      </c>
      <c r="G58" s="805"/>
      <c r="H58" s="775">
        <v>2563.2159999999999</v>
      </c>
      <c r="I58" s="775">
        <v>5323.1679999999997</v>
      </c>
      <c r="J58" s="775">
        <v>20110.739000000001</v>
      </c>
      <c r="K58" s="775">
        <v>49188.555</v>
      </c>
      <c r="L58" s="775">
        <v>23865.966</v>
      </c>
      <c r="M58" s="810"/>
      <c r="N58" s="775">
        <f t="shared" si="16"/>
        <v>5086.2481396146204</v>
      </c>
      <c r="O58" s="775">
        <f t="shared" si="17"/>
        <v>16241.963136470535</v>
      </c>
      <c r="P58" s="775">
        <f>$S58*E58/$B58</f>
        <v>31479.476527087761</v>
      </c>
      <c r="Q58" s="775">
        <f t="shared" si="19"/>
        <v>16926.621196827095</v>
      </c>
      <c r="R58" s="805"/>
      <c r="S58" s="775">
        <f t="shared" si="20"/>
        <v>69734.309000000008</v>
      </c>
      <c r="T58" s="775">
        <f t="shared" si="0"/>
        <v>38254.832472912254</v>
      </c>
      <c r="U58" s="776">
        <f>T58/'C1-Incomes'!J61</f>
        <v>2.6483421608806284E-3</v>
      </c>
      <c r="V58" s="372"/>
      <c r="W58" s="798">
        <f t="shared" si="21"/>
        <v>0.34738460473465865</v>
      </c>
      <c r="X58" s="372"/>
      <c r="Y58" s="372"/>
      <c r="Z58" s="372"/>
      <c r="AA58" s="826">
        <f>TOTALS!V58/1000000</f>
        <v>24421.439273</v>
      </c>
      <c r="AC58" s="775">
        <f t="shared" si="1"/>
        <v>5323.1679999999997</v>
      </c>
    </row>
    <row r="59" spans="1:29" ht="10.5" customHeight="1" x14ac:dyDescent="0.3">
      <c r="A59" s="268">
        <f>A58+1</f>
        <v>2014</v>
      </c>
      <c r="B59" s="805"/>
      <c r="C59" s="805"/>
      <c r="D59" s="805"/>
      <c r="E59" s="805"/>
      <c r="F59" s="805"/>
      <c r="G59" s="805"/>
      <c r="H59" s="805"/>
      <c r="I59" s="777">
        <f>AVERAGE(I55:I58)</f>
        <v>3802.3530000000001</v>
      </c>
      <c r="J59" s="805"/>
      <c r="K59" s="805"/>
      <c r="L59" s="777">
        <f>AVERAGE(L55:L58)</f>
        <v>18092.654500000001</v>
      </c>
      <c r="M59" s="805"/>
      <c r="N59" s="777">
        <f>AVERAGE(N55:N58)</f>
        <v>4967.1702469353531</v>
      </c>
      <c r="O59" s="777">
        <f>AVERAGE(O55:O58)</f>
        <v>15099.844163087195</v>
      </c>
      <c r="P59" s="777">
        <f>AVERAGE(P55:P58)</f>
        <v>26279.491028541132</v>
      </c>
      <c r="Q59" s="777">
        <f>AVERAGE(Q55:Q58)</f>
        <v>13512.226811436318</v>
      </c>
      <c r="R59" s="805"/>
      <c r="S59" s="805"/>
      <c r="T59" s="775">
        <f t="shared" si="0"/>
        <v>33579.241221458869</v>
      </c>
      <c r="U59" s="811"/>
      <c r="V59" s="372"/>
      <c r="W59" s="799"/>
      <c r="X59" s="372"/>
      <c r="Y59" s="372"/>
      <c r="Z59" s="372"/>
      <c r="AA59" s="826">
        <f>TOTALS!V59/1000000</f>
        <v>29784.238928999999</v>
      </c>
      <c r="AC59" s="775">
        <f t="shared" si="1"/>
        <v>3802.3530000000001</v>
      </c>
    </row>
    <row r="60" spans="1:29" ht="10.5" customHeight="1" x14ac:dyDescent="0.3">
      <c r="A60" s="268">
        <f>A59+1</f>
        <v>2015</v>
      </c>
      <c r="B60" s="805"/>
      <c r="C60" s="805"/>
      <c r="D60" s="805"/>
      <c r="E60" s="805"/>
      <c r="F60" s="805"/>
      <c r="G60" s="805"/>
      <c r="H60" s="805"/>
      <c r="I60" s="777">
        <f>I59*'C0-Ref Stats'!$AA60</f>
        <v>3813.6391508835895</v>
      </c>
      <c r="J60" s="805"/>
      <c r="K60" s="805"/>
      <c r="L60" s="777">
        <f>L59*'C0-Ref Stats'!$AA60</f>
        <v>18146.357149010142</v>
      </c>
      <c r="M60" s="805"/>
      <c r="N60" s="777">
        <f>N59*'C0-Ref Stats'!$AA60</f>
        <v>4981.9138104265357</v>
      </c>
      <c r="O60" s="777">
        <f>O59*'C0-Ref Stats'!$AA60</f>
        <v>15144.663547174703</v>
      </c>
      <c r="P60" s="777">
        <f>P59*'C0-Ref Stats'!$AA60</f>
        <v>26357.493860180395</v>
      </c>
      <c r="Q60" s="777">
        <f>Q59*'C0-Ref Stats'!$AA60</f>
        <v>13552.333826899416</v>
      </c>
      <c r="R60" s="805"/>
      <c r="S60" s="805"/>
      <c r="T60" s="775">
        <f t="shared" si="0"/>
        <v>33678.911184500656</v>
      </c>
      <c r="U60" s="812"/>
      <c r="V60" s="372"/>
      <c r="W60" s="797"/>
      <c r="X60" s="372"/>
      <c r="Y60" s="372"/>
      <c r="Z60" s="372"/>
      <c r="AA60" s="826">
        <f>TOTALS!V60/1000000</f>
        <v>27357.209851</v>
      </c>
      <c r="AC60" s="775">
        <f t="shared" si="1"/>
        <v>3813.6391508835895</v>
      </c>
    </row>
    <row r="61" spans="1:29" ht="10.5" customHeight="1" x14ac:dyDescent="0.3">
      <c r="A61" s="11"/>
      <c r="B61" s="813"/>
      <c r="C61" s="813"/>
      <c r="D61" s="813"/>
      <c r="E61" s="813"/>
      <c r="F61" s="813"/>
      <c r="G61" s="813"/>
      <c r="H61" s="813"/>
      <c r="I61" s="813"/>
      <c r="J61" s="813"/>
      <c r="K61" s="813"/>
      <c r="L61" s="813"/>
      <c r="M61" s="813"/>
      <c r="N61" s="813"/>
      <c r="O61" s="813"/>
      <c r="P61" s="813"/>
      <c r="Q61" s="813"/>
      <c r="R61" s="813"/>
      <c r="S61" s="813"/>
      <c r="T61" s="813"/>
      <c r="U61" s="813"/>
      <c r="V61" s="372"/>
      <c r="W61" s="814"/>
      <c r="X61" s="372"/>
      <c r="Y61" s="372"/>
      <c r="Z61" s="372"/>
      <c r="AA61" s="11"/>
    </row>
    <row r="62" spans="1:29" x14ac:dyDescent="0.3">
      <c r="A62" s="12"/>
      <c r="B62" s="12"/>
      <c r="C62" s="12"/>
      <c r="D62" s="12"/>
      <c r="E62" s="12"/>
      <c r="F62" s="12"/>
      <c r="G62" s="12"/>
      <c r="H62" s="12"/>
      <c r="I62" s="12"/>
      <c r="J62" s="12"/>
      <c r="K62" s="12"/>
      <c r="L62" s="12"/>
      <c r="M62" s="12"/>
      <c r="N62" s="12"/>
      <c r="O62" s="12"/>
      <c r="P62" s="12"/>
      <c r="Q62" s="12"/>
      <c r="R62" s="12"/>
      <c r="S62" s="12"/>
      <c r="T62" s="12"/>
      <c r="U62" s="12"/>
    </row>
    <row r="63" spans="1:29" x14ac:dyDescent="0.3">
      <c r="A63" s="779" t="s">
        <v>1225</v>
      </c>
      <c r="B63" s="12"/>
      <c r="C63" s="12"/>
      <c r="D63" s="12"/>
      <c r="E63" s="12"/>
      <c r="F63" s="12"/>
      <c r="G63" s="12"/>
      <c r="H63" s="12"/>
      <c r="I63" s="12"/>
      <c r="J63" s="12"/>
      <c r="K63" s="12"/>
      <c r="L63" s="12"/>
      <c r="M63" s="12"/>
      <c r="N63" s="12"/>
      <c r="O63" s="12"/>
      <c r="P63" s="12"/>
      <c r="Q63" s="12"/>
      <c r="R63" s="12"/>
      <c r="S63" s="12"/>
      <c r="T63" s="12"/>
      <c r="U63" s="12"/>
    </row>
    <row r="64" spans="1:29" x14ac:dyDescent="0.3">
      <c r="A64" s="779" t="s">
        <v>1226</v>
      </c>
      <c r="B64" s="655"/>
      <c r="C64" s="655"/>
      <c r="D64" s="655"/>
      <c r="E64" s="655"/>
      <c r="F64" s="655"/>
      <c r="G64" s="655"/>
      <c r="H64" s="655"/>
      <c r="I64" s="655"/>
      <c r="J64" s="655"/>
      <c r="K64" s="655"/>
      <c r="L64" s="655"/>
      <c r="M64" s="655"/>
      <c r="N64" s="655"/>
      <c r="O64" s="655"/>
      <c r="P64" s="655"/>
      <c r="Q64" s="655"/>
      <c r="R64" s="655"/>
      <c r="S64" s="655"/>
      <c r="T64" s="655"/>
      <c r="U64" s="655"/>
    </row>
    <row r="65" spans="1:21" x14ac:dyDescent="0.3">
      <c r="A65" s="9" t="s">
        <v>1227</v>
      </c>
      <c r="B65" s="655"/>
      <c r="C65" s="655"/>
      <c r="D65" s="655"/>
      <c r="E65" s="655"/>
      <c r="F65" s="655"/>
      <c r="G65" s="655"/>
      <c r="H65" s="655"/>
      <c r="I65" s="655"/>
      <c r="J65" s="655"/>
      <c r="K65" s="655"/>
      <c r="L65" s="655"/>
      <c r="M65" s="655"/>
      <c r="N65" s="655"/>
      <c r="O65" s="655"/>
      <c r="P65" s="655"/>
      <c r="Q65" s="655"/>
      <c r="R65" s="655"/>
      <c r="S65" s="655"/>
      <c r="T65" s="655"/>
      <c r="U65" s="655"/>
    </row>
    <row r="66" spans="1:21" x14ac:dyDescent="0.3">
      <c r="A66" s="9" t="s">
        <v>1228</v>
      </c>
      <c r="B66" s="655"/>
      <c r="C66" s="655"/>
      <c r="D66" s="655"/>
      <c r="E66" s="655"/>
      <c r="F66" s="655"/>
      <c r="G66" s="655"/>
      <c r="H66" s="655"/>
      <c r="I66" s="655"/>
      <c r="J66" s="655"/>
      <c r="K66" s="655"/>
      <c r="L66" s="655"/>
      <c r="M66" s="655"/>
      <c r="N66" s="655"/>
      <c r="O66" s="655"/>
      <c r="P66" s="655"/>
      <c r="Q66" s="655"/>
      <c r="R66" s="655"/>
      <c r="S66" s="655"/>
      <c r="T66" s="655"/>
      <c r="U66" s="655"/>
    </row>
    <row r="67" spans="1:21" x14ac:dyDescent="0.3">
      <c r="A67" s="9" t="s">
        <v>1229</v>
      </c>
      <c r="B67" s="655"/>
      <c r="C67" s="655"/>
      <c r="D67" s="655"/>
      <c r="E67" s="655"/>
      <c r="F67" s="655"/>
      <c r="G67" s="655"/>
      <c r="H67" s="655"/>
      <c r="I67" s="655"/>
      <c r="J67" s="655"/>
      <c r="K67" s="655"/>
      <c r="L67" s="655"/>
      <c r="M67" s="655"/>
      <c r="N67" s="655"/>
      <c r="O67" s="655"/>
      <c r="P67" s="655"/>
      <c r="Q67" s="655"/>
      <c r="R67" s="655"/>
      <c r="S67" s="655"/>
      <c r="T67" s="655"/>
      <c r="U67" s="655"/>
    </row>
    <row r="68" spans="1:21" x14ac:dyDescent="0.3">
      <c r="A68" s="9" t="s">
        <v>1253</v>
      </c>
      <c r="B68" s="655"/>
      <c r="C68" s="655"/>
      <c r="D68" s="655"/>
      <c r="E68" s="655"/>
      <c r="F68" s="655"/>
      <c r="G68" s="655"/>
      <c r="H68" s="655"/>
      <c r="I68" s="655"/>
      <c r="J68" s="655"/>
      <c r="K68" s="655"/>
      <c r="L68" s="655"/>
      <c r="M68" s="655"/>
      <c r="N68" s="655"/>
      <c r="O68" s="655"/>
      <c r="P68" s="655"/>
      <c r="Q68" s="655"/>
      <c r="R68" s="655"/>
      <c r="S68" s="655"/>
      <c r="T68" s="655"/>
      <c r="U68" s="655"/>
    </row>
    <row r="69" spans="1:21" x14ac:dyDescent="0.3">
      <c r="A69" s="9" t="s">
        <v>1230</v>
      </c>
      <c r="B69" s="655"/>
      <c r="C69" s="655"/>
      <c r="D69" s="655"/>
      <c r="E69" s="655"/>
      <c r="F69" s="655"/>
      <c r="G69" s="655"/>
      <c r="H69" s="655"/>
      <c r="I69" s="655"/>
      <c r="J69" s="655"/>
      <c r="K69" s="655"/>
      <c r="L69" s="655"/>
      <c r="M69" s="655"/>
      <c r="N69" s="655"/>
      <c r="O69" s="655"/>
      <c r="P69" s="655"/>
      <c r="Q69" s="655"/>
      <c r="R69" s="655"/>
      <c r="S69" s="655"/>
      <c r="T69" s="655"/>
      <c r="U69" s="655"/>
    </row>
    <row r="70" spans="1:21" x14ac:dyDescent="0.3">
      <c r="A70" s="9" t="s">
        <v>1231</v>
      </c>
      <c r="B70" s="655"/>
      <c r="C70" s="655"/>
      <c r="D70" s="655"/>
      <c r="E70" s="655"/>
      <c r="F70" s="655"/>
      <c r="G70" s="655"/>
      <c r="H70" s="655"/>
      <c r="I70" s="655"/>
      <c r="J70" s="655"/>
      <c r="K70" s="655"/>
      <c r="L70" s="655"/>
      <c r="M70" s="655"/>
      <c r="N70" s="655"/>
      <c r="O70" s="655"/>
      <c r="P70" s="655"/>
      <c r="Q70" s="655"/>
      <c r="R70" s="655"/>
      <c r="S70" s="655"/>
      <c r="T70" s="655"/>
      <c r="U70" s="655"/>
    </row>
    <row r="71" spans="1:21" x14ac:dyDescent="0.3">
      <c r="A71" s="655" t="s">
        <v>1254</v>
      </c>
      <c r="B71" s="655"/>
      <c r="C71" s="655"/>
      <c r="D71" s="655"/>
      <c r="E71" s="655"/>
      <c r="F71" s="655"/>
      <c r="G71" s="655"/>
      <c r="H71" s="655"/>
      <c r="I71" s="655"/>
      <c r="J71" s="655"/>
      <c r="K71" s="655"/>
      <c r="L71" s="655"/>
      <c r="M71" s="655"/>
      <c r="N71" s="655"/>
      <c r="O71" s="655"/>
      <c r="P71" s="655"/>
      <c r="Q71" s="655"/>
      <c r="R71" s="655"/>
      <c r="S71" s="655"/>
      <c r="T71" s="655"/>
      <c r="U71" s="655"/>
    </row>
  </sheetData>
  <mergeCells count="3">
    <mergeCell ref="B3:F3"/>
    <mergeCell ref="H3:L3"/>
    <mergeCell ref="N3:Q3"/>
  </mergeCells>
  <hyperlinks>
    <hyperlink ref="A65" r:id="rId1"/>
    <hyperlink ref="A70" r:id="rId2"/>
    <hyperlink ref="A67" r:id="rId3"/>
    <hyperlink ref="I1" location="Index!A1" display="Index"/>
    <hyperlink ref="A68" r:id="rId4"/>
  </hyperlinks>
  <pageMargins left="0.7" right="0.7" top="0.75" bottom="0.75" header="0.3" footer="0.3"/>
  <pageSetup orientation="portrait" r:id="rId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AG94"/>
  <sheetViews>
    <sheetView workbookViewId="0"/>
  </sheetViews>
  <sheetFormatPr defaultRowHeight="14.4" x14ac:dyDescent="0.3"/>
  <cols>
    <col min="2" max="5" width="9.109375" style="1011"/>
  </cols>
  <sheetData>
    <row r="1" spans="1:33" ht="15.6" x14ac:dyDescent="0.3">
      <c r="A1" s="770" t="s">
        <v>1446</v>
      </c>
      <c r="B1" s="770"/>
      <c r="C1" s="770"/>
      <c r="D1" s="770"/>
      <c r="E1" s="770"/>
      <c r="O1" s="463" t="s">
        <v>504</v>
      </c>
    </row>
    <row r="2" spans="1:33" x14ac:dyDescent="0.3">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row>
    <row r="3" spans="1:33" x14ac:dyDescent="0.3">
      <c r="A3" s="655"/>
      <c r="B3" s="1392" t="s">
        <v>1805</v>
      </c>
      <c r="C3" s="1392"/>
      <c r="D3" s="1392"/>
      <c r="E3" s="1392"/>
      <c r="F3" s="1392" t="s">
        <v>1804</v>
      </c>
      <c r="G3" s="1392"/>
      <c r="H3" s="1392"/>
      <c r="I3" s="1392"/>
      <c r="J3" s="1392" t="s">
        <v>1305</v>
      </c>
      <c r="K3" s="1392"/>
      <c r="L3" s="1392"/>
      <c r="M3" s="1392"/>
      <c r="N3" s="1392" t="s">
        <v>1306</v>
      </c>
      <c r="O3" s="1392"/>
      <c r="P3" s="1392"/>
      <c r="Q3" s="1392"/>
      <c r="R3" s="1392" t="s">
        <v>1307</v>
      </c>
      <c r="S3" s="1392"/>
      <c r="T3" s="1392"/>
      <c r="U3" s="1392"/>
      <c r="V3" s="1392" t="s">
        <v>1308</v>
      </c>
      <c r="W3" s="1392"/>
      <c r="X3" s="1392"/>
      <c r="Y3" s="1392"/>
      <c r="Z3" s="1392" t="s">
        <v>1309</v>
      </c>
      <c r="AA3" s="1392"/>
      <c r="AB3" s="1392"/>
      <c r="AC3" s="1392"/>
      <c r="AD3" s="1392" t="s">
        <v>1310</v>
      </c>
      <c r="AE3" s="1392"/>
      <c r="AF3" s="1392"/>
      <c r="AG3" s="1392"/>
    </row>
    <row r="4" spans="1:33" x14ac:dyDescent="0.3">
      <c r="A4" s="655"/>
      <c r="B4" s="1482" t="s">
        <v>1311</v>
      </c>
      <c r="C4" s="1482"/>
      <c r="D4" s="1482"/>
      <c r="E4" s="1482"/>
      <c r="F4" s="1482" t="s">
        <v>1311</v>
      </c>
      <c r="G4" s="1482"/>
      <c r="H4" s="1482"/>
      <c r="I4" s="1482"/>
      <c r="J4" s="1482" t="s">
        <v>1311</v>
      </c>
      <c r="K4" s="1482"/>
      <c r="L4" s="1482"/>
      <c r="M4" s="1482"/>
      <c r="N4" s="1482" t="s">
        <v>1311</v>
      </c>
      <c r="O4" s="1482"/>
      <c r="P4" s="1482"/>
      <c r="Q4" s="1482"/>
      <c r="R4" s="1482" t="s">
        <v>1311</v>
      </c>
      <c r="S4" s="1482"/>
      <c r="T4" s="1482"/>
      <c r="U4" s="1482"/>
      <c r="V4" s="1482" t="s">
        <v>1311</v>
      </c>
      <c r="W4" s="1482"/>
      <c r="X4" s="1482"/>
      <c r="Y4" s="1482"/>
      <c r="Z4" s="1482" t="s">
        <v>1311</v>
      </c>
      <c r="AA4" s="1482"/>
      <c r="AB4" s="1482"/>
      <c r="AC4" s="1482"/>
      <c r="AD4" s="1482" t="s">
        <v>1311</v>
      </c>
      <c r="AE4" s="1482"/>
      <c r="AF4" s="1482"/>
      <c r="AG4" s="1482"/>
    </row>
    <row r="5" spans="1:33" x14ac:dyDescent="0.3">
      <c r="A5" s="11"/>
      <c r="B5" s="859" t="s">
        <v>1312</v>
      </c>
      <c r="C5" s="859" t="s">
        <v>1313</v>
      </c>
      <c r="D5" s="859" t="s">
        <v>1318</v>
      </c>
      <c r="E5" s="859" t="s">
        <v>1314</v>
      </c>
      <c r="F5" s="859" t="s">
        <v>1312</v>
      </c>
      <c r="G5" s="859" t="s">
        <v>1313</v>
      </c>
      <c r="H5" s="859" t="s">
        <v>1318</v>
      </c>
      <c r="I5" s="859" t="s">
        <v>1314</v>
      </c>
      <c r="J5" s="859" t="s">
        <v>1312</v>
      </c>
      <c r="K5" s="859" t="s">
        <v>1313</v>
      </c>
      <c r="L5" s="859" t="s">
        <v>1318</v>
      </c>
      <c r="M5" s="859" t="s">
        <v>1314</v>
      </c>
      <c r="N5" s="859" t="s">
        <v>1312</v>
      </c>
      <c r="O5" s="859" t="s">
        <v>1313</v>
      </c>
      <c r="P5" s="859" t="s">
        <v>1318</v>
      </c>
      <c r="Q5" s="859" t="s">
        <v>1314</v>
      </c>
      <c r="R5" s="859" t="s">
        <v>1312</v>
      </c>
      <c r="S5" s="859" t="s">
        <v>1313</v>
      </c>
      <c r="T5" s="859" t="s">
        <v>1318</v>
      </c>
      <c r="U5" s="859" t="s">
        <v>1314</v>
      </c>
      <c r="V5" s="859" t="s">
        <v>1312</v>
      </c>
      <c r="W5" s="859" t="s">
        <v>1313</v>
      </c>
      <c r="X5" s="859" t="s">
        <v>1318</v>
      </c>
      <c r="Y5" s="859" t="s">
        <v>1314</v>
      </c>
      <c r="Z5" s="859" t="s">
        <v>1312</v>
      </c>
      <c r="AA5" s="859" t="s">
        <v>1313</v>
      </c>
      <c r="AB5" s="859" t="s">
        <v>1318</v>
      </c>
      <c r="AC5" s="859" t="s">
        <v>1314</v>
      </c>
      <c r="AD5" s="859" t="s">
        <v>1312</v>
      </c>
      <c r="AE5" s="859" t="s">
        <v>1313</v>
      </c>
      <c r="AF5" s="859" t="s">
        <v>1318</v>
      </c>
      <c r="AG5" s="859" t="s">
        <v>1314</v>
      </c>
    </row>
    <row r="6" spans="1:33" x14ac:dyDescent="0.3">
      <c r="A6" s="655">
        <v>1989</v>
      </c>
      <c r="B6" s="424">
        <v>6.7678188E-2</v>
      </c>
      <c r="C6" s="424">
        <v>0.36581111989999998</v>
      </c>
      <c r="D6" s="424">
        <v>0.22522769740000001</v>
      </c>
      <c r="E6" s="424">
        <v>4.9918416399999999E-2</v>
      </c>
      <c r="F6" s="424">
        <v>0.12696134849999999</v>
      </c>
      <c r="G6" s="424">
        <v>0.37404926080000001</v>
      </c>
      <c r="H6" s="424">
        <v>0.89188021269999995</v>
      </c>
      <c r="I6" s="424">
        <v>0.26975247330000002</v>
      </c>
      <c r="J6" s="424">
        <v>0.59674655489999995</v>
      </c>
      <c r="K6" s="424">
        <v>0.67912333160000005</v>
      </c>
      <c r="L6" s="424">
        <v>0.52211534029999995</v>
      </c>
      <c r="M6" s="424">
        <v>3.9231671000000003E-2</v>
      </c>
      <c r="N6" s="424">
        <v>0.2479717756</v>
      </c>
      <c r="O6" s="424">
        <v>0.59008059489999998</v>
      </c>
      <c r="P6" s="424">
        <v>0.65060982749999996</v>
      </c>
      <c r="Q6" s="424">
        <v>4.92589602E-2</v>
      </c>
      <c r="R6" s="424">
        <v>0.29785000900000003</v>
      </c>
      <c r="S6" s="424">
        <v>0.94351125199999997</v>
      </c>
      <c r="T6" s="424">
        <v>0.66635251790000005</v>
      </c>
      <c r="U6" s="424">
        <v>8.1088528500000007E-2</v>
      </c>
      <c r="V6" s="424">
        <v>3.9170471300000002E-2</v>
      </c>
      <c r="W6" s="424">
        <v>0.30775310179999998</v>
      </c>
      <c r="X6" s="424">
        <v>0.38867476340000001</v>
      </c>
      <c r="Y6" s="424">
        <v>1.5100235E-2</v>
      </c>
      <c r="Z6" s="424">
        <v>8.8308516099999998E-2</v>
      </c>
      <c r="AA6" s="424">
        <v>0.14812002299999999</v>
      </c>
      <c r="AB6" s="424">
        <v>0.46703851010000003</v>
      </c>
      <c r="AC6" s="424">
        <v>7.2988376999999997E-3</v>
      </c>
      <c r="AD6" s="424">
        <v>6.1770525000000003E-3</v>
      </c>
      <c r="AE6" s="424">
        <v>0.1784291371</v>
      </c>
      <c r="AF6" s="424">
        <v>0</v>
      </c>
      <c r="AG6" s="424">
        <v>1.9464875E-3</v>
      </c>
    </row>
    <row r="7" spans="1:33" x14ac:dyDescent="0.3">
      <c r="A7" s="655">
        <f>A6+1</f>
        <v>1990</v>
      </c>
      <c r="B7" s="424">
        <f t="shared" ref="B7:I7" si="0">B6+(B9-B6)/3*1</f>
        <v>5.9914206633333335E-2</v>
      </c>
      <c r="C7" s="424">
        <f t="shared" si="0"/>
        <v>0.36908133599999998</v>
      </c>
      <c r="D7" s="424">
        <f t="shared" si="0"/>
        <v>0.2649975245666667</v>
      </c>
      <c r="E7" s="424">
        <f t="shared" si="0"/>
        <v>4.5927292433333329E-2</v>
      </c>
      <c r="F7" s="424">
        <f t="shared" si="0"/>
        <v>0.14641354796666667</v>
      </c>
      <c r="G7" s="424">
        <f t="shared" si="0"/>
        <v>0.41673329326666669</v>
      </c>
      <c r="H7" s="424">
        <f t="shared" si="0"/>
        <v>0.82421577059999995</v>
      </c>
      <c r="I7" s="424">
        <f t="shared" si="0"/>
        <v>0.24079168533333334</v>
      </c>
      <c r="J7" s="424">
        <f t="shared" ref="J7:AG7" si="1">J6+(J9-J6)/3*1</f>
        <v>0.47724111966666666</v>
      </c>
      <c r="K7" s="424">
        <f t="shared" si="1"/>
        <v>0.67904819510000003</v>
      </c>
      <c r="L7" s="424">
        <f t="shared" si="1"/>
        <v>0.5800377766</v>
      </c>
      <c r="M7" s="424">
        <f t="shared" si="1"/>
        <v>0.21005189226666665</v>
      </c>
      <c r="N7" s="424">
        <f t="shared" si="1"/>
        <v>0.26187260856666666</v>
      </c>
      <c r="O7" s="424">
        <f t="shared" si="1"/>
        <v>0.67487424516666661</v>
      </c>
      <c r="P7" s="424">
        <f t="shared" si="1"/>
        <v>0.69672164039999995</v>
      </c>
      <c r="Q7" s="424">
        <f t="shared" si="1"/>
        <v>0.41959570086666664</v>
      </c>
      <c r="R7" s="424">
        <f t="shared" si="1"/>
        <v>0.35177979860000003</v>
      </c>
      <c r="S7" s="424">
        <f t="shared" si="1"/>
        <v>0.95941044646666662</v>
      </c>
      <c r="T7" s="424">
        <f t="shared" si="1"/>
        <v>0.64401321316666671</v>
      </c>
      <c r="U7" s="424">
        <f t="shared" si="1"/>
        <v>6.9893732366666669E-2</v>
      </c>
      <c r="V7" s="424">
        <f t="shared" si="1"/>
        <v>0.15953673600000001</v>
      </c>
      <c r="W7" s="424">
        <f t="shared" si="1"/>
        <v>0.48945795949999998</v>
      </c>
      <c r="X7" s="424">
        <f t="shared" si="1"/>
        <v>0.54749199903333334</v>
      </c>
      <c r="Y7" s="424">
        <f t="shared" si="1"/>
        <v>9.8931942233333334E-2</v>
      </c>
      <c r="Z7" s="424">
        <f t="shared" si="1"/>
        <v>8.2285772733333332E-2</v>
      </c>
      <c r="AA7" s="424">
        <f t="shared" si="1"/>
        <v>0.19690950266666665</v>
      </c>
      <c r="AB7" s="424">
        <f t="shared" si="1"/>
        <v>0.44507301120000003</v>
      </c>
      <c r="AC7" s="424">
        <f t="shared" si="1"/>
        <v>4.9642968233333327E-2</v>
      </c>
      <c r="AD7" s="424">
        <f t="shared" si="1"/>
        <v>1.0086325733333335E-2</v>
      </c>
      <c r="AE7" s="424">
        <f t="shared" si="1"/>
        <v>0.16331449249999999</v>
      </c>
      <c r="AF7" s="424">
        <f t="shared" si="1"/>
        <v>6.6372176999999997E-3</v>
      </c>
      <c r="AG7" s="424">
        <f t="shared" si="1"/>
        <v>1.4414629199999999E-2</v>
      </c>
    </row>
    <row r="8" spans="1:33" x14ac:dyDescent="0.3">
      <c r="A8" s="655">
        <f t="shared" ref="A8:A33" si="2">A7+1</f>
        <v>1991</v>
      </c>
      <c r="B8" s="424">
        <f t="shared" ref="B8:I8" si="3">B6+(B9-B6)/3*2</f>
        <v>5.2150225266666662E-2</v>
      </c>
      <c r="C8" s="424">
        <f t="shared" si="3"/>
        <v>0.37235155209999998</v>
      </c>
      <c r="D8" s="424">
        <f t="shared" si="3"/>
        <v>0.30476735173333336</v>
      </c>
      <c r="E8" s="424">
        <f t="shared" si="3"/>
        <v>4.1936168466666666E-2</v>
      </c>
      <c r="F8" s="424">
        <f t="shared" si="3"/>
        <v>0.16586574743333332</v>
      </c>
      <c r="G8" s="424">
        <f t="shared" si="3"/>
        <v>0.45941732573333333</v>
      </c>
      <c r="H8" s="424">
        <f t="shared" si="3"/>
        <v>0.75655132849999995</v>
      </c>
      <c r="I8" s="424">
        <f t="shared" si="3"/>
        <v>0.21183089736666669</v>
      </c>
      <c r="J8" s="424">
        <f t="shared" ref="J8:AG8" si="4">J6+(J9-J6)/3*2</f>
        <v>0.35773568443333337</v>
      </c>
      <c r="K8" s="424">
        <f t="shared" si="4"/>
        <v>0.67897305860000001</v>
      </c>
      <c r="L8" s="424">
        <f t="shared" si="4"/>
        <v>0.63796021289999993</v>
      </c>
      <c r="M8" s="424">
        <f t="shared" si="4"/>
        <v>0.38087211353333333</v>
      </c>
      <c r="N8" s="424">
        <f t="shared" si="4"/>
        <v>0.27577344153333333</v>
      </c>
      <c r="O8" s="424">
        <f t="shared" si="4"/>
        <v>0.75966789543333335</v>
      </c>
      <c r="P8" s="424">
        <f t="shared" si="4"/>
        <v>0.74283345330000006</v>
      </c>
      <c r="Q8" s="424">
        <f t="shared" si="4"/>
        <v>0.78993244153333331</v>
      </c>
      <c r="R8" s="424">
        <f t="shared" si="4"/>
        <v>0.40570958820000003</v>
      </c>
      <c r="S8" s="424">
        <f t="shared" si="4"/>
        <v>0.97530964093333339</v>
      </c>
      <c r="T8" s="424">
        <f t="shared" si="4"/>
        <v>0.62167390843333337</v>
      </c>
      <c r="U8" s="424">
        <f t="shared" si="4"/>
        <v>5.8698936233333332E-2</v>
      </c>
      <c r="V8" s="424">
        <f t="shared" si="4"/>
        <v>0.27990300070000002</v>
      </c>
      <c r="W8" s="424">
        <f t="shared" si="4"/>
        <v>0.67116281719999993</v>
      </c>
      <c r="X8" s="424">
        <f t="shared" si="4"/>
        <v>0.70630923466666662</v>
      </c>
      <c r="Y8" s="424">
        <f t="shared" si="4"/>
        <v>0.18276364946666665</v>
      </c>
      <c r="Z8" s="424">
        <f t="shared" si="4"/>
        <v>7.6263029366666665E-2</v>
      </c>
      <c r="AA8" s="424">
        <f t="shared" si="4"/>
        <v>0.24569898233333332</v>
      </c>
      <c r="AB8" s="424">
        <f t="shared" si="4"/>
        <v>0.42310751229999999</v>
      </c>
      <c r="AC8" s="424">
        <f t="shared" si="4"/>
        <v>9.1987098766666664E-2</v>
      </c>
      <c r="AD8" s="424">
        <f t="shared" si="4"/>
        <v>1.3995598966666668E-2</v>
      </c>
      <c r="AE8" s="424">
        <f t="shared" si="4"/>
        <v>0.14819984790000001</v>
      </c>
      <c r="AF8" s="424">
        <f t="shared" si="4"/>
        <v>1.3274435399999999E-2</v>
      </c>
      <c r="AG8" s="424">
        <f t="shared" si="4"/>
        <v>2.6882770899999998E-2</v>
      </c>
    </row>
    <row r="9" spans="1:33" x14ac:dyDescent="0.3">
      <c r="A9" s="655">
        <f t="shared" si="2"/>
        <v>1992</v>
      </c>
      <c r="B9" s="424">
        <v>4.4386243899999997E-2</v>
      </c>
      <c r="C9" s="424">
        <v>0.37562176819999998</v>
      </c>
      <c r="D9" s="424">
        <v>0.34453717890000002</v>
      </c>
      <c r="E9" s="424">
        <v>3.7945044499999997E-2</v>
      </c>
      <c r="F9" s="424">
        <v>0.1853179469</v>
      </c>
      <c r="G9" s="424">
        <v>0.50210135820000001</v>
      </c>
      <c r="H9" s="424">
        <v>0.68888688639999995</v>
      </c>
      <c r="I9" s="424">
        <v>0.18287010940000001</v>
      </c>
      <c r="J9" s="424">
        <v>0.23823024919999999</v>
      </c>
      <c r="K9" s="424">
        <v>0.6788979221</v>
      </c>
      <c r="L9" s="424">
        <v>0.69588264919999998</v>
      </c>
      <c r="M9" s="424">
        <v>0.55169233480000002</v>
      </c>
      <c r="N9" s="424">
        <v>0.2896742745</v>
      </c>
      <c r="O9" s="424">
        <v>0.84446154569999998</v>
      </c>
      <c r="P9" s="424">
        <v>0.78894526620000005</v>
      </c>
      <c r="Q9" s="424">
        <v>1.1602691822</v>
      </c>
      <c r="R9" s="424">
        <v>0.45963937780000003</v>
      </c>
      <c r="S9" s="424">
        <v>0.99120883540000004</v>
      </c>
      <c r="T9" s="424">
        <v>0.59933460370000002</v>
      </c>
      <c r="U9" s="424">
        <v>4.7504140100000002E-2</v>
      </c>
      <c r="V9" s="424">
        <v>0.40026926540000002</v>
      </c>
      <c r="W9" s="424">
        <v>0.85286767490000004</v>
      </c>
      <c r="X9" s="424">
        <v>0.86512647030000001</v>
      </c>
      <c r="Y9" s="424">
        <v>0.26659535670000001</v>
      </c>
      <c r="Z9" s="424">
        <v>7.0240285999999999E-2</v>
      </c>
      <c r="AA9" s="424">
        <v>0.29448846200000001</v>
      </c>
      <c r="AB9" s="424">
        <v>0.4011420134</v>
      </c>
      <c r="AC9" s="424">
        <v>0.13433122929999999</v>
      </c>
      <c r="AD9" s="424">
        <v>1.7904872200000001E-2</v>
      </c>
      <c r="AE9" s="424">
        <v>0.13308520330000001</v>
      </c>
      <c r="AF9" s="424">
        <v>1.9911653099999999E-2</v>
      </c>
      <c r="AG9" s="424">
        <v>3.9350912600000003E-2</v>
      </c>
    </row>
    <row r="10" spans="1:33" x14ac:dyDescent="0.3">
      <c r="A10" s="655">
        <f t="shared" si="2"/>
        <v>1993</v>
      </c>
      <c r="B10" s="424">
        <f t="shared" ref="B10:I10" si="5">B9+(B12-B9)/3*1</f>
        <v>0.11581962376666666</v>
      </c>
      <c r="C10" s="424">
        <f t="shared" si="5"/>
        <v>0.41384353696666665</v>
      </c>
      <c r="D10" s="424">
        <f t="shared" si="5"/>
        <v>0.37835988646666668</v>
      </c>
      <c r="E10" s="424">
        <f t="shared" si="5"/>
        <v>9.8311140599999985E-2</v>
      </c>
      <c r="F10" s="424">
        <f t="shared" si="5"/>
        <v>0.21654792743333334</v>
      </c>
      <c r="G10" s="424">
        <f t="shared" si="5"/>
        <v>0.52852229406666673</v>
      </c>
      <c r="H10" s="424">
        <f t="shared" si="5"/>
        <v>0.69240280446666669</v>
      </c>
      <c r="I10" s="424">
        <f t="shared" si="5"/>
        <v>0.25319273856666669</v>
      </c>
      <c r="J10" s="424">
        <f t="shared" ref="J10:AG10" si="6">J9+(J12-J9)/3*1</f>
        <v>0.28463777276666669</v>
      </c>
      <c r="K10" s="424">
        <f t="shared" si="6"/>
        <v>0.78056922426666664</v>
      </c>
      <c r="L10" s="424">
        <f t="shared" si="6"/>
        <v>1.0320282705666668</v>
      </c>
      <c r="M10" s="424">
        <f t="shared" si="6"/>
        <v>0.482577229</v>
      </c>
      <c r="N10" s="424">
        <f t="shared" si="6"/>
        <v>0.27041370273333332</v>
      </c>
      <c r="O10" s="424">
        <f t="shared" si="6"/>
        <v>0.95461621389999995</v>
      </c>
      <c r="P10" s="424">
        <f t="shared" si="6"/>
        <v>0.87910261543333335</v>
      </c>
      <c r="Q10" s="424">
        <f t="shared" si="6"/>
        <v>1.2478854404666666</v>
      </c>
      <c r="R10" s="424">
        <f t="shared" si="6"/>
        <v>0.39239713393333336</v>
      </c>
      <c r="S10" s="424">
        <f t="shared" si="6"/>
        <v>1.0190098667333334</v>
      </c>
      <c r="T10" s="424">
        <f t="shared" si="6"/>
        <v>1.3664577676333334</v>
      </c>
      <c r="U10" s="424">
        <f t="shared" si="6"/>
        <v>5.2453253366666668E-2</v>
      </c>
      <c r="V10" s="424">
        <f t="shared" si="6"/>
        <v>0.37812914790000002</v>
      </c>
      <c r="W10" s="424">
        <f t="shared" si="6"/>
        <v>0.78502097199999998</v>
      </c>
      <c r="X10" s="424">
        <f t="shared" si="6"/>
        <v>0.84229983163333333</v>
      </c>
      <c r="Y10" s="424">
        <f t="shared" si="6"/>
        <v>0.2224556416</v>
      </c>
      <c r="Z10" s="424">
        <f t="shared" si="6"/>
        <v>6.7880632866666665E-2</v>
      </c>
      <c r="AA10" s="424">
        <f t="shared" si="6"/>
        <v>0.27820572046666669</v>
      </c>
      <c r="AB10" s="424">
        <f t="shared" si="6"/>
        <v>0.54651688080000005</v>
      </c>
      <c r="AC10" s="424">
        <f t="shared" si="6"/>
        <v>0.10999336186666667</v>
      </c>
      <c r="AD10" s="424">
        <f t="shared" si="6"/>
        <v>0.2530642642</v>
      </c>
      <c r="AE10" s="424">
        <f t="shared" si="6"/>
        <v>0.15364437826666669</v>
      </c>
      <c r="AF10" s="424">
        <f t="shared" si="6"/>
        <v>3.9613565900000001E-2</v>
      </c>
      <c r="AG10" s="424">
        <f t="shared" si="6"/>
        <v>3.2630403333333335E-2</v>
      </c>
    </row>
    <row r="11" spans="1:33" x14ac:dyDescent="0.3">
      <c r="A11" s="655">
        <f t="shared" si="2"/>
        <v>1994</v>
      </c>
      <c r="B11" s="424">
        <f t="shared" ref="B11:I11" si="7">B9+(B12-B9)/3*2</f>
        <v>0.1872530036333333</v>
      </c>
      <c r="C11" s="424">
        <f t="shared" si="7"/>
        <v>0.45206530573333331</v>
      </c>
      <c r="D11" s="424">
        <f t="shared" si="7"/>
        <v>0.41218259403333335</v>
      </c>
      <c r="E11" s="424">
        <f t="shared" si="7"/>
        <v>0.1586772367</v>
      </c>
      <c r="F11" s="424">
        <f t="shared" si="7"/>
        <v>0.24777790796666668</v>
      </c>
      <c r="G11" s="424">
        <f t="shared" si="7"/>
        <v>0.55494322993333334</v>
      </c>
      <c r="H11" s="424">
        <f t="shared" si="7"/>
        <v>0.69591872253333331</v>
      </c>
      <c r="I11" s="424">
        <f t="shared" si="7"/>
        <v>0.32351536773333334</v>
      </c>
      <c r="J11" s="424">
        <f t="shared" ref="J11:AG11" si="8">J9+(J12-J9)/3*2</f>
        <v>0.33104529633333335</v>
      </c>
      <c r="K11" s="424">
        <f t="shared" si="8"/>
        <v>0.88224052643333339</v>
      </c>
      <c r="L11" s="424">
        <f t="shared" si="8"/>
        <v>1.3681738919333335</v>
      </c>
      <c r="M11" s="424">
        <f t="shared" si="8"/>
        <v>0.41346212319999998</v>
      </c>
      <c r="N11" s="424">
        <f t="shared" si="8"/>
        <v>0.25115313096666664</v>
      </c>
      <c r="O11" s="424">
        <f t="shared" si="8"/>
        <v>1.0647708820999999</v>
      </c>
      <c r="P11" s="424">
        <f t="shared" si="8"/>
        <v>0.96925996466666675</v>
      </c>
      <c r="Q11" s="424">
        <f t="shared" si="8"/>
        <v>1.3355016987333335</v>
      </c>
      <c r="R11" s="424">
        <f t="shared" si="8"/>
        <v>0.32515489006666665</v>
      </c>
      <c r="S11" s="424">
        <f t="shared" si="8"/>
        <v>1.0468108980666666</v>
      </c>
      <c r="T11" s="424">
        <f t="shared" si="8"/>
        <v>2.1335809315666667</v>
      </c>
      <c r="U11" s="424">
        <f t="shared" si="8"/>
        <v>5.7402366633333334E-2</v>
      </c>
      <c r="V11" s="424">
        <f t="shared" si="8"/>
        <v>0.35598903040000002</v>
      </c>
      <c r="W11" s="424">
        <f t="shared" si="8"/>
        <v>0.71717426910000004</v>
      </c>
      <c r="X11" s="424">
        <f t="shared" si="8"/>
        <v>0.81947319296666665</v>
      </c>
      <c r="Y11" s="424">
        <f t="shared" si="8"/>
        <v>0.1783159265</v>
      </c>
      <c r="Z11" s="424">
        <f t="shared" si="8"/>
        <v>6.5520979733333332E-2</v>
      </c>
      <c r="AA11" s="424">
        <f t="shared" si="8"/>
        <v>0.26192297893333333</v>
      </c>
      <c r="AB11" s="424">
        <f t="shared" si="8"/>
        <v>0.69189174819999999</v>
      </c>
      <c r="AC11" s="424">
        <f t="shared" si="8"/>
        <v>8.565549443333334E-2</v>
      </c>
      <c r="AD11" s="424">
        <f t="shared" si="8"/>
        <v>0.48822365619999997</v>
      </c>
      <c r="AE11" s="424">
        <f t="shared" si="8"/>
        <v>0.17420355323333334</v>
      </c>
      <c r="AF11" s="424">
        <f t="shared" si="8"/>
        <v>5.9315478700000007E-2</v>
      </c>
      <c r="AG11" s="424">
        <f t="shared" si="8"/>
        <v>2.5909894066666668E-2</v>
      </c>
    </row>
    <row r="12" spans="1:33" x14ac:dyDescent="0.3">
      <c r="A12" s="655">
        <f t="shared" si="2"/>
        <v>1995</v>
      </c>
      <c r="B12" s="424">
        <v>0.25868638350000001</v>
      </c>
      <c r="C12" s="424">
        <v>0.49028707449999998</v>
      </c>
      <c r="D12" s="424">
        <v>0.44600530160000001</v>
      </c>
      <c r="E12" s="424">
        <v>0.21904333279999999</v>
      </c>
      <c r="F12" s="424">
        <v>0.27900788850000002</v>
      </c>
      <c r="G12" s="424">
        <v>0.58136416580000005</v>
      </c>
      <c r="H12" s="424">
        <v>0.69943464060000005</v>
      </c>
      <c r="I12" s="424">
        <v>0.39383799689999999</v>
      </c>
      <c r="J12" s="424">
        <v>0.37745281990000001</v>
      </c>
      <c r="K12" s="424">
        <v>0.98391182860000004</v>
      </c>
      <c r="L12" s="424">
        <v>1.7043195133</v>
      </c>
      <c r="M12" s="424">
        <v>0.34434701740000001</v>
      </c>
      <c r="N12" s="424">
        <v>0.23189255919999999</v>
      </c>
      <c r="O12" s="424">
        <v>1.1749255503</v>
      </c>
      <c r="P12" s="424">
        <v>1.0594173139</v>
      </c>
      <c r="Q12" s="424">
        <v>1.4231179570000001</v>
      </c>
      <c r="R12" s="424">
        <v>0.25791264619999998</v>
      </c>
      <c r="S12" s="424">
        <v>1.0746119294000001</v>
      </c>
      <c r="T12" s="424">
        <v>2.9007040955000001</v>
      </c>
      <c r="U12" s="424">
        <v>6.2351479899999999E-2</v>
      </c>
      <c r="V12" s="424">
        <v>0.33384891290000002</v>
      </c>
      <c r="W12" s="424">
        <v>0.64932756619999998</v>
      </c>
      <c r="X12" s="424">
        <v>0.79664655429999998</v>
      </c>
      <c r="Y12" s="424">
        <v>0.1341762114</v>
      </c>
      <c r="Z12" s="424">
        <v>6.3161326599999998E-2</v>
      </c>
      <c r="AA12" s="424">
        <v>0.24564023739999999</v>
      </c>
      <c r="AB12" s="424">
        <v>0.83726661560000004</v>
      </c>
      <c r="AC12" s="424">
        <v>6.1317627E-2</v>
      </c>
      <c r="AD12" s="424">
        <v>0.72338304819999999</v>
      </c>
      <c r="AE12" s="424">
        <v>0.19476272820000001</v>
      </c>
      <c r="AF12" s="424">
        <v>7.9017391500000006E-2</v>
      </c>
      <c r="AG12" s="424">
        <v>1.9189384800000001E-2</v>
      </c>
    </row>
    <row r="13" spans="1:33" x14ac:dyDescent="0.3">
      <c r="A13" s="655">
        <f t="shared" si="2"/>
        <v>1996</v>
      </c>
      <c r="B13" s="424">
        <f t="shared" ref="B13:I13" si="9">B12+(B15-B12)/3*1</f>
        <v>0.20600712286666667</v>
      </c>
      <c r="C13" s="424">
        <f t="shared" si="9"/>
        <v>0.53389771880000003</v>
      </c>
      <c r="D13" s="424">
        <f t="shared" si="9"/>
        <v>0.48012080633333337</v>
      </c>
      <c r="E13" s="424">
        <f t="shared" si="9"/>
        <v>0.22967851893333333</v>
      </c>
      <c r="F13" s="424">
        <f t="shared" si="9"/>
        <v>0.30686231593333335</v>
      </c>
      <c r="G13" s="424">
        <f t="shared" si="9"/>
        <v>0.65486631433333342</v>
      </c>
      <c r="H13" s="424">
        <f t="shared" si="9"/>
        <v>0.86642185559999996</v>
      </c>
      <c r="I13" s="424">
        <f t="shared" si="9"/>
        <v>0.42057056926666664</v>
      </c>
      <c r="J13" s="424">
        <f t="shared" ref="J13:AG13" si="10">J12+(J15-J12)/3*1</f>
        <v>0.42669813946666668</v>
      </c>
      <c r="K13" s="424">
        <f t="shared" si="10"/>
        <v>0.99145146996666667</v>
      </c>
      <c r="L13" s="424">
        <f t="shared" si="10"/>
        <v>1.4042931243000001</v>
      </c>
      <c r="M13" s="424">
        <f t="shared" si="10"/>
        <v>0.95945113579999997</v>
      </c>
      <c r="N13" s="424">
        <f t="shared" si="10"/>
        <v>0.36788145620000001</v>
      </c>
      <c r="O13" s="424">
        <f t="shared" si="10"/>
        <v>1.195144481</v>
      </c>
      <c r="P13" s="424">
        <f t="shared" si="10"/>
        <v>1.3922589686666667</v>
      </c>
      <c r="Q13" s="424">
        <f t="shared" si="10"/>
        <v>1.5547758589333334</v>
      </c>
      <c r="R13" s="424">
        <f t="shared" si="10"/>
        <v>0.26460089209999998</v>
      </c>
      <c r="S13" s="424">
        <f t="shared" si="10"/>
        <v>1.0798401510666666</v>
      </c>
      <c r="T13" s="424">
        <f t="shared" si="10"/>
        <v>2.2021481906</v>
      </c>
      <c r="U13" s="424">
        <f t="shared" si="10"/>
        <v>0.10503677813333334</v>
      </c>
      <c r="V13" s="424">
        <f t="shared" si="10"/>
        <v>0.27294605506666669</v>
      </c>
      <c r="W13" s="424">
        <f t="shared" si="10"/>
        <v>0.66861222943333332</v>
      </c>
      <c r="X13" s="424">
        <f t="shared" si="10"/>
        <v>0.83971132166666662</v>
      </c>
      <c r="Y13" s="424">
        <f t="shared" si="10"/>
        <v>0.16964351106666667</v>
      </c>
      <c r="Z13" s="424">
        <f t="shared" si="10"/>
        <v>0.12310543533333333</v>
      </c>
      <c r="AA13" s="424">
        <f t="shared" si="10"/>
        <v>0.31653582219999998</v>
      </c>
      <c r="AB13" s="424">
        <f t="shared" si="10"/>
        <v>0.66240769686666667</v>
      </c>
      <c r="AC13" s="424">
        <f t="shared" si="10"/>
        <v>0.12257346693333333</v>
      </c>
      <c r="AD13" s="424">
        <f t="shared" si="10"/>
        <v>0.51036171549999998</v>
      </c>
      <c r="AE13" s="424">
        <f t="shared" si="10"/>
        <v>0.20165310716666668</v>
      </c>
      <c r="AF13" s="424">
        <f t="shared" si="10"/>
        <v>9.7445998233333345E-2</v>
      </c>
      <c r="AG13" s="424">
        <f t="shared" si="10"/>
        <v>1.4079087766666668E-2</v>
      </c>
    </row>
    <row r="14" spans="1:33" x14ac:dyDescent="0.3">
      <c r="A14" s="655">
        <f t="shared" si="2"/>
        <v>1997</v>
      </c>
      <c r="B14" s="424">
        <f t="shared" ref="B14:I14" si="11">B12+(B15-B12)/3*2</f>
        <v>0.15332786223333333</v>
      </c>
      <c r="C14" s="424">
        <f t="shared" si="11"/>
        <v>0.57750836309999998</v>
      </c>
      <c r="D14" s="424">
        <f t="shared" si="11"/>
        <v>0.51423631106666667</v>
      </c>
      <c r="E14" s="424">
        <f t="shared" si="11"/>
        <v>0.24031370506666669</v>
      </c>
      <c r="F14" s="424">
        <f t="shared" si="11"/>
        <v>0.33471674336666668</v>
      </c>
      <c r="G14" s="424">
        <f t="shared" si="11"/>
        <v>0.72836846286666668</v>
      </c>
      <c r="H14" s="424">
        <f t="shared" si="11"/>
        <v>1.0334090705999999</v>
      </c>
      <c r="I14" s="424">
        <f t="shared" si="11"/>
        <v>0.44730314163333335</v>
      </c>
      <c r="J14" s="424">
        <f t="shared" ref="J14:AG14" si="12">J12+(J15-J12)/3*2</f>
        <v>0.47594345903333335</v>
      </c>
      <c r="K14" s="424">
        <f t="shared" si="12"/>
        <v>0.9989911113333334</v>
      </c>
      <c r="L14" s="424">
        <f t="shared" si="12"/>
        <v>1.1042667353</v>
      </c>
      <c r="M14" s="424">
        <f t="shared" si="12"/>
        <v>1.5745552542000001</v>
      </c>
      <c r="N14" s="424">
        <f t="shared" si="12"/>
        <v>0.50387035320000007</v>
      </c>
      <c r="O14" s="424">
        <f t="shared" si="12"/>
        <v>1.2153634117000001</v>
      </c>
      <c r="P14" s="424">
        <f t="shared" si="12"/>
        <v>1.7251006234333333</v>
      </c>
      <c r="Q14" s="424">
        <f t="shared" si="12"/>
        <v>1.6864337608666666</v>
      </c>
      <c r="R14" s="424">
        <f t="shared" si="12"/>
        <v>0.27128913799999999</v>
      </c>
      <c r="S14" s="424">
        <f t="shared" si="12"/>
        <v>1.0850683727333335</v>
      </c>
      <c r="T14" s="424">
        <f t="shared" si="12"/>
        <v>1.5035922856999999</v>
      </c>
      <c r="U14" s="424">
        <f t="shared" si="12"/>
        <v>0.14772207636666668</v>
      </c>
      <c r="V14" s="424">
        <f t="shared" si="12"/>
        <v>0.21204319723333331</v>
      </c>
      <c r="W14" s="424">
        <f t="shared" si="12"/>
        <v>0.68789689266666665</v>
      </c>
      <c r="X14" s="424">
        <f t="shared" si="12"/>
        <v>0.88277608903333338</v>
      </c>
      <c r="Y14" s="424">
        <f t="shared" si="12"/>
        <v>0.20511081073333332</v>
      </c>
      <c r="Z14" s="424">
        <f t="shared" si="12"/>
        <v>0.18304954406666668</v>
      </c>
      <c r="AA14" s="424">
        <f t="shared" si="12"/>
        <v>0.38743140700000001</v>
      </c>
      <c r="AB14" s="424">
        <f t="shared" si="12"/>
        <v>0.4875487781333333</v>
      </c>
      <c r="AC14" s="424">
        <f t="shared" si="12"/>
        <v>0.18382930686666665</v>
      </c>
      <c r="AD14" s="424">
        <f t="shared" si="12"/>
        <v>0.29734038279999997</v>
      </c>
      <c r="AE14" s="424">
        <f t="shared" si="12"/>
        <v>0.20854348613333334</v>
      </c>
      <c r="AF14" s="424">
        <f t="shared" si="12"/>
        <v>0.11587460496666668</v>
      </c>
      <c r="AG14" s="424">
        <f t="shared" si="12"/>
        <v>8.9687907333333341E-3</v>
      </c>
    </row>
    <row r="15" spans="1:33" x14ac:dyDescent="0.3">
      <c r="A15" s="655">
        <f t="shared" si="2"/>
        <v>1998</v>
      </c>
      <c r="B15" s="424">
        <v>0.1006486016</v>
      </c>
      <c r="C15" s="424">
        <v>0.62111900740000003</v>
      </c>
      <c r="D15" s="424">
        <v>0.54835181580000003</v>
      </c>
      <c r="E15" s="424">
        <v>0.25094889120000002</v>
      </c>
      <c r="F15" s="424">
        <v>0.36257117080000001</v>
      </c>
      <c r="G15" s="424">
        <v>0.80187061140000004</v>
      </c>
      <c r="H15" s="424">
        <v>1.2003962855999999</v>
      </c>
      <c r="I15" s="424">
        <v>0.474035714</v>
      </c>
      <c r="J15" s="424">
        <v>0.52518877860000002</v>
      </c>
      <c r="K15" s="424">
        <v>1.0065307527</v>
      </c>
      <c r="L15" s="424">
        <v>0.80424034629999996</v>
      </c>
      <c r="M15" s="424">
        <v>2.1896593726</v>
      </c>
      <c r="N15" s="424">
        <v>0.63985925020000001</v>
      </c>
      <c r="O15" s="424">
        <v>1.2355823424000001</v>
      </c>
      <c r="P15" s="424">
        <v>2.0579422782000001</v>
      </c>
      <c r="Q15" s="424">
        <v>1.8180916627999999</v>
      </c>
      <c r="R15" s="424">
        <v>0.27797738389999999</v>
      </c>
      <c r="S15" s="424">
        <v>1.0902965944</v>
      </c>
      <c r="T15" s="424">
        <v>0.80503638079999995</v>
      </c>
      <c r="U15" s="424">
        <v>0.19040737460000001</v>
      </c>
      <c r="V15" s="424">
        <v>0.15114033939999999</v>
      </c>
      <c r="W15" s="424">
        <v>0.70718155589999998</v>
      </c>
      <c r="X15" s="424">
        <v>0.92584085640000002</v>
      </c>
      <c r="Y15" s="424">
        <v>0.24057811039999999</v>
      </c>
      <c r="Z15" s="424">
        <v>0.24299365279999999</v>
      </c>
      <c r="AA15" s="424">
        <v>0.45832699180000003</v>
      </c>
      <c r="AB15" s="424">
        <v>0.31268985939999999</v>
      </c>
      <c r="AC15" s="424">
        <v>0.24508514679999999</v>
      </c>
      <c r="AD15" s="424">
        <v>8.4319050100000001E-2</v>
      </c>
      <c r="AE15" s="424">
        <v>0.21543386510000001</v>
      </c>
      <c r="AF15" s="424">
        <v>0.13430321170000001</v>
      </c>
      <c r="AG15" s="424">
        <v>3.8584937E-3</v>
      </c>
    </row>
    <row r="16" spans="1:33" x14ac:dyDescent="0.3">
      <c r="A16" s="655">
        <f t="shared" si="2"/>
        <v>1999</v>
      </c>
      <c r="B16" s="424">
        <f t="shared" ref="B16:I16" si="13">B15+(B18-B15)/3*1</f>
        <v>0.10075830466666666</v>
      </c>
      <c r="C16" s="424">
        <f t="shared" si="13"/>
        <v>0.74518530270000005</v>
      </c>
      <c r="D16" s="424">
        <f t="shared" si="13"/>
        <v>0.62013482399999997</v>
      </c>
      <c r="E16" s="424">
        <f t="shared" si="13"/>
        <v>0.3376223756666667</v>
      </c>
      <c r="F16" s="424">
        <f t="shared" si="13"/>
        <v>0.34823962016666665</v>
      </c>
      <c r="G16" s="424">
        <f t="shared" si="13"/>
        <v>0.8647818665</v>
      </c>
      <c r="H16" s="424">
        <f t="shared" si="13"/>
        <v>1.2760676163</v>
      </c>
      <c r="I16" s="424">
        <f t="shared" si="13"/>
        <v>0.64163348499999995</v>
      </c>
      <c r="J16" s="424">
        <f t="shared" ref="J16:AG16" si="14">J15+(J18-J15)/3*1</f>
        <v>0.49845996583333335</v>
      </c>
      <c r="K16" s="424">
        <f t="shared" si="14"/>
        <v>1.0975860533666666</v>
      </c>
      <c r="L16" s="424">
        <f t="shared" si="14"/>
        <v>1.4275550623333333</v>
      </c>
      <c r="M16" s="424">
        <f t="shared" si="14"/>
        <v>1.8653180151333333</v>
      </c>
      <c r="N16" s="424">
        <f t="shared" si="14"/>
        <v>0.57122094403333334</v>
      </c>
      <c r="O16" s="424">
        <f t="shared" si="14"/>
        <v>1.2941291727666668</v>
      </c>
      <c r="P16" s="424">
        <f t="shared" si="14"/>
        <v>2.0654998620000002</v>
      </c>
      <c r="Q16" s="424">
        <f t="shared" si="14"/>
        <v>1.4838154584999999</v>
      </c>
      <c r="R16" s="424">
        <f t="shared" si="14"/>
        <v>0.30743388533333332</v>
      </c>
      <c r="S16" s="424">
        <f t="shared" si="14"/>
        <v>1.1212112945333335</v>
      </c>
      <c r="T16" s="424">
        <f t="shared" si="14"/>
        <v>0.79697433613333335</v>
      </c>
      <c r="U16" s="424">
        <f t="shared" si="14"/>
        <v>0.50357147006666669</v>
      </c>
      <c r="V16" s="424">
        <f t="shared" si="14"/>
        <v>0.1775078662</v>
      </c>
      <c r="W16" s="424">
        <f t="shared" si="14"/>
        <v>0.66007209296666669</v>
      </c>
      <c r="X16" s="424">
        <f t="shared" si="14"/>
        <v>0.94485009143333332</v>
      </c>
      <c r="Y16" s="424">
        <f t="shared" si="14"/>
        <v>0.58710655646666665</v>
      </c>
      <c r="Z16" s="424">
        <f t="shared" si="14"/>
        <v>0.16658819836666666</v>
      </c>
      <c r="AA16" s="424">
        <f t="shared" si="14"/>
        <v>0.37658426463333333</v>
      </c>
      <c r="AB16" s="424">
        <f t="shared" si="14"/>
        <v>0.25998682923333333</v>
      </c>
      <c r="AC16" s="424">
        <f t="shared" si="14"/>
        <v>0.20428410413333331</v>
      </c>
      <c r="AD16" s="424">
        <f t="shared" si="14"/>
        <v>5.9566702166666666E-2</v>
      </c>
      <c r="AE16" s="424">
        <f t="shared" si="14"/>
        <v>0.15532478663333335</v>
      </c>
      <c r="AF16" s="424">
        <f t="shared" si="14"/>
        <v>0.12490410293333334</v>
      </c>
      <c r="AG16" s="424">
        <f t="shared" si="14"/>
        <v>2.572329133333333E-3</v>
      </c>
    </row>
    <row r="17" spans="1:33" x14ac:dyDescent="0.3">
      <c r="A17" s="655">
        <f t="shared" si="2"/>
        <v>2000</v>
      </c>
      <c r="B17" s="424">
        <f t="shared" ref="B17:I17" si="15">B15+(B18-B15)/3*2</f>
        <v>0.10086800773333333</v>
      </c>
      <c r="C17" s="424">
        <f t="shared" si="15"/>
        <v>0.86925159799999996</v>
      </c>
      <c r="D17" s="424">
        <f t="shared" si="15"/>
        <v>0.69191783220000003</v>
      </c>
      <c r="E17" s="424">
        <f t="shared" si="15"/>
        <v>0.42429586013333331</v>
      </c>
      <c r="F17" s="424">
        <f t="shared" si="15"/>
        <v>0.33390806953333335</v>
      </c>
      <c r="G17" s="424">
        <f t="shared" si="15"/>
        <v>0.92769312160000006</v>
      </c>
      <c r="H17" s="424">
        <f t="shared" si="15"/>
        <v>1.3517389469999999</v>
      </c>
      <c r="I17" s="424">
        <f t="shared" si="15"/>
        <v>0.8092312559999999</v>
      </c>
      <c r="J17" s="424">
        <f t="shared" ref="J17:AG17" si="16">J15+(J18-J15)/3*2</f>
        <v>0.47173115306666669</v>
      </c>
      <c r="K17" s="424">
        <f t="shared" si="16"/>
        <v>1.1886413540333334</v>
      </c>
      <c r="L17" s="424">
        <f t="shared" si="16"/>
        <v>2.0508697783666667</v>
      </c>
      <c r="M17" s="424">
        <f t="shared" si="16"/>
        <v>1.5409766576666666</v>
      </c>
      <c r="N17" s="424">
        <f t="shared" si="16"/>
        <v>0.50258263786666668</v>
      </c>
      <c r="O17" s="424">
        <f t="shared" si="16"/>
        <v>1.3526760031333334</v>
      </c>
      <c r="P17" s="424">
        <f t="shared" si="16"/>
        <v>2.0730574458</v>
      </c>
      <c r="Q17" s="424">
        <f t="shared" si="16"/>
        <v>1.1495392542</v>
      </c>
      <c r="R17" s="424">
        <f t="shared" si="16"/>
        <v>0.33689038676666666</v>
      </c>
      <c r="S17" s="424">
        <f t="shared" si="16"/>
        <v>1.1521259946666667</v>
      </c>
      <c r="T17" s="424">
        <f t="shared" si="16"/>
        <v>0.78891229146666664</v>
      </c>
      <c r="U17" s="424">
        <f t="shared" si="16"/>
        <v>0.81673556553333337</v>
      </c>
      <c r="V17" s="424">
        <f t="shared" si="16"/>
        <v>0.20387539299999999</v>
      </c>
      <c r="W17" s="424">
        <f t="shared" si="16"/>
        <v>0.61296263003333329</v>
      </c>
      <c r="X17" s="424">
        <f t="shared" si="16"/>
        <v>0.96385932646666672</v>
      </c>
      <c r="Y17" s="424">
        <f t="shared" si="16"/>
        <v>0.93363500253333331</v>
      </c>
      <c r="Z17" s="424">
        <f t="shared" si="16"/>
        <v>9.0182743933333337E-2</v>
      </c>
      <c r="AA17" s="424">
        <f t="shared" si="16"/>
        <v>0.29484153746666664</v>
      </c>
      <c r="AB17" s="424">
        <f t="shared" si="16"/>
        <v>0.20728379906666666</v>
      </c>
      <c r="AC17" s="424">
        <f t="shared" si="16"/>
        <v>0.16348306146666666</v>
      </c>
      <c r="AD17" s="424">
        <f t="shared" si="16"/>
        <v>3.4814354233333331E-2</v>
      </c>
      <c r="AE17" s="424">
        <f t="shared" si="16"/>
        <v>9.5215708166666677E-2</v>
      </c>
      <c r="AF17" s="424">
        <f t="shared" si="16"/>
        <v>0.11550499416666667</v>
      </c>
      <c r="AG17" s="424">
        <f t="shared" si="16"/>
        <v>1.2861645666666665E-3</v>
      </c>
    </row>
    <row r="18" spans="1:33" x14ac:dyDescent="0.3">
      <c r="A18" s="655">
        <f t="shared" si="2"/>
        <v>2001</v>
      </c>
      <c r="B18" s="424">
        <v>0.1009777108</v>
      </c>
      <c r="C18" s="424">
        <v>0.99331789329999998</v>
      </c>
      <c r="D18" s="424">
        <v>0.76370084039999997</v>
      </c>
      <c r="E18" s="424">
        <v>0.51096934459999999</v>
      </c>
      <c r="F18" s="424">
        <v>0.3195765189</v>
      </c>
      <c r="G18" s="424">
        <v>0.99060437670000001</v>
      </c>
      <c r="H18" s="424">
        <v>1.4274102777</v>
      </c>
      <c r="I18" s="424">
        <v>0.97682902699999996</v>
      </c>
      <c r="J18" s="424">
        <v>0.44500234030000002</v>
      </c>
      <c r="K18" s="424">
        <v>1.2796966546999999</v>
      </c>
      <c r="L18" s="424">
        <v>2.6741844943999999</v>
      </c>
      <c r="M18" s="424">
        <v>1.2166353002000001</v>
      </c>
      <c r="N18" s="424">
        <v>0.43394433170000002</v>
      </c>
      <c r="O18" s="424">
        <v>1.4112228335000001</v>
      </c>
      <c r="P18" s="424">
        <v>2.0806150296000001</v>
      </c>
      <c r="Q18" s="424">
        <v>0.81526304989999998</v>
      </c>
      <c r="R18" s="424">
        <v>0.3663468882</v>
      </c>
      <c r="S18" s="424">
        <v>1.1830406948000001</v>
      </c>
      <c r="T18" s="424">
        <v>0.78085024680000004</v>
      </c>
      <c r="U18" s="424">
        <v>1.1298996610000001</v>
      </c>
      <c r="V18" s="424">
        <v>0.2302429198</v>
      </c>
      <c r="W18" s="424">
        <v>0.5658531671</v>
      </c>
      <c r="X18" s="424">
        <v>0.98286856150000002</v>
      </c>
      <c r="Y18" s="424">
        <v>1.2801634486</v>
      </c>
      <c r="Z18" s="424">
        <v>1.37772895E-2</v>
      </c>
      <c r="AA18" s="424">
        <v>0.2130988103</v>
      </c>
      <c r="AB18" s="424">
        <v>0.1545807689</v>
      </c>
      <c r="AC18" s="424">
        <v>0.1226820188</v>
      </c>
      <c r="AD18" s="424">
        <v>1.0062006300000001E-2</v>
      </c>
      <c r="AE18" s="424">
        <v>3.5106629700000003E-2</v>
      </c>
      <c r="AF18" s="424">
        <v>0.1061058854</v>
      </c>
      <c r="AG18" s="424">
        <v>0</v>
      </c>
    </row>
    <row r="19" spans="1:33" x14ac:dyDescent="0.3">
      <c r="A19" s="655">
        <f t="shared" si="2"/>
        <v>2002</v>
      </c>
      <c r="B19" s="424">
        <f t="shared" ref="B19:I19" si="17">B18+(B21-B18)/3*1</f>
        <v>9.2388931066666666E-2</v>
      </c>
      <c r="C19" s="424">
        <f t="shared" si="17"/>
        <v>0.81015200373333329</v>
      </c>
      <c r="D19" s="424">
        <f t="shared" si="17"/>
        <v>0.73663986339999998</v>
      </c>
      <c r="E19" s="424">
        <f t="shared" si="17"/>
        <v>0.47595910129999996</v>
      </c>
      <c r="F19" s="424">
        <f t="shared" si="17"/>
        <v>0.31438287353333333</v>
      </c>
      <c r="G19" s="424">
        <f t="shared" si="17"/>
        <v>1.0039277471666668</v>
      </c>
      <c r="H19" s="424">
        <f t="shared" si="17"/>
        <v>1.4132490256333332</v>
      </c>
      <c r="I19" s="424">
        <f t="shared" si="17"/>
        <v>0.96712551423333326</v>
      </c>
      <c r="J19" s="424">
        <f t="shared" ref="J19:AG19" si="18">J18+(J21-J18)/3*1</f>
        <v>0.48311569776666669</v>
      </c>
      <c r="K19" s="424">
        <f t="shared" si="18"/>
        <v>1.2673684547333333</v>
      </c>
      <c r="L19" s="424">
        <f t="shared" si="18"/>
        <v>2.4015108594666668</v>
      </c>
      <c r="M19" s="424">
        <f t="shared" si="18"/>
        <v>1.9967156779000002</v>
      </c>
      <c r="N19" s="424">
        <f t="shared" si="18"/>
        <v>0.46603838796666669</v>
      </c>
      <c r="O19" s="424">
        <f t="shared" si="18"/>
        <v>1.4639344945666668</v>
      </c>
      <c r="P19" s="424">
        <f t="shared" si="18"/>
        <v>2.0155172094333333</v>
      </c>
      <c r="Q19" s="424">
        <f t="shared" si="18"/>
        <v>0.99421524090000002</v>
      </c>
      <c r="R19" s="424">
        <f t="shared" si="18"/>
        <v>0.47780467273333332</v>
      </c>
      <c r="S19" s="424">
        <f t="shared" si="18"/>
        <v>1.0225133782666667</v>
      </c>
      <c r="T19" s="424">
        <f t="shared" si="18"/>
        <v>1.3576908191333334</v>
      </c>
      <c r="U19" s="424">
        <f t="shared" si="18"/>
        <v>1.2247039633666668</v>
      </c>
      <c r="V19" s="424">
        <f t="shared" si="18"/>
        <v>0.22471927373333334</v>
      </c>
      <c r="W19" s="424">
        <f t="shared" si="18"/>
        <v>0.66196857379999996</v>
      </c>
      <c r="X19" s="424">
        <f t="shared" si="18"/>
        <v>1.7817772628333333</v>
      </c>
      <c r="Y19" s="424">
        <f t="shared" si="18"/>
        <v>1.0372591342333333</v>
      </c>
      <c r="Z19" s="424">
        <f t="shared" si="18"/>
        <v>0.11515893746666665</v>
      </c>
      <c r="AA19" s="424">
        <f t="shared" si="18"/>
        <v>0.2538029483</v>
      </c>
      <c r="AB19" s="424">
        <f t="shared" si="18"/>
        <v>0.19065468896666668</v>
      </c>
      <c r="AC19" s="424">
        <f t="shared" si="18"/>
        <v>0.22593374493333335</v>
      </c>
      <c r="AD19" s="424">
        <f t="shared" si="18"/>
        <v>1.7486128900000002E-2</v>
      </c>
      <c r="AE19" s="424">
        <f t="shared" si="18"/>
        <v>3.9936986933333335E-2</v>
      </c>
      <c r="AF19" s="424">
        <f t="shared" si="18"/>
        <v>0.11656686796666667</v>
      </c>
      <c r="AG19" s="424">
        <f t="shared" si="18"/>
        <v>6.1084275699999996E-2</v>
      </c>
    </row>
    <row r="20" spans="1:33" x14ac:dyDescent="0.3">
      <c r="A20" s="655">
        <f t="shared" si="2"/>
        <v>2003</v>
      </c>
      <c r="B20" s="424">
        <f t="shared" ref="B20:I20" si="19">B18+(B21-B18)/3*2</f>
        <v>8.3800151333333323E-2</v>
      </c>
      <c r="C20" s="424">
        <f t="shared" si="19"/>
        <v>0.62698611416666661</v>
      </c>
      <c r="D20" s="424">
        <f t="shared" si="19"/>
        <v>0.7095788864</v>
      </c>
      <c r="E20" s="424">
        <f t="shared" si="19"/>
        <v>0.440948858</v>
      </c>
      <c r="F20" s="424">
        <f t="shared" si="19"/>
        <v>0.30918922816666666</v>
      </c>
      <c r="G20" s="424">
        <f t="shared" si="19"/>
        <v>1.0172511176333334</v>
      </c>
      <c r="H20" s="424">
        <f t="shared" si="19"/>
        <v>1.3990877735666667</v>
      </c>
      <c r="I20" s="424">
        <f t="shared" si="19"/>
        <v>0.95742200146666667</v>
      </c>
      <c r="J20" s="424">
        <f t="shared" ref="J20:AG20" si="20">J18+(J21-J18)/3*2</f>
        <v>0.52122905523333329</v>
      </c>
      <c r="K20" s="424">
        <f t="shared" si="20"/>
        <v>1.2550402547666666</v>
      </c>
      <c r="L20" s="424">
        <f t="shared" si="20"/>
        <v>2.1288372245333331</v>
      </c>
      <c r="M20" s="424">
        <f t="shared" si="20"/>
        <v>2.7767960556000002</v>
      </c>
      <c r="N20" s="424">
        <f t="shared" si="20"/>
        <v>0.4981324442333333</v>
      </c>
      <c r="O20" s="424">
        <f t="shared" si="20"/>
        <v>1.5166461556333333</v>
      </c>
      <c r="P20" s="424">
        <f t="shared" si="20"/>
        <v>1.9504193892666668</v>
      </c>
      <c r="Q20" s="424">
        <f t="shared" si="20"/>
        <v>1.1731674319000001</v>
      </c>
      <c r="R20" s="424">
        <f t="shared" si="20"/>
        <v>0.58926245726666671</v>
      </c>
      <c r="S20" s="424">
        <f t="shared" si="20"/>
        <v>0.86198606173333325</v>
      </c>
      <c r="T20" s="424">
        <f t="shared" si="20"/>
        <v>1.9345313914666666</v>
      </c>
      <c r="U20" s="424">
        <f t="shared" si="20"/>
        <v>1.3195082657333332</v>
      </c>
      <c r="V20" s="424">
        <f t="shared" si="20"/>
        <v>0.21919562766666667</v>
      </c>
      <c r="W20" s="424">
        <f t="shared" si="20"/>
        <v>0.75808398050000003</v>
      </c>
      <c r="X20" s="424">
        <f t="shared" si="20"/>
        <v>2.5806859641666664</v>
      </c>
      <c r="Y20" s="424">
        <f t="shared" si="20"/>
        <v>0.79435481986666656</v>
      </c>
      <c r="Z20" s="424">
        <f t="shared" si="20"/>
        <v>0.21654058543333332</v>
      </c>
      <c r="AA20" s="424">
        <f t="shared" si="20"/>
        <v>0.2945070863</v>
      </c>
      <c r="AB20" s="424">
        <f t="shared" si="20"/>
        <v>0.22672860903333336</v>
      </c>
      <c r="AC20" s="424">
        <f t="shared" si="20"/>
        <v>0.32918547106666668</v>
      </c>
      <c r="AD20" s="424">
        <f t="shared" si="20"/>
        <v>2.4910251500000001E-2</v>
      </c>
      <c r="AE20" s="424">
        <f t="shared" si="20"/>
        <v>4.4767344166666667E-2</v>
      </c>
      <c r="AF20" s="424">
        <f t="shared" si="20"/>
        <v>0.12702785053333335</v>
      </c>
      <c r="AG20" s="424">
        <f t="shared" si="20"/>
        <v>0.12216855139999999</v>
      </c>
    </row>
    <row r="21" spans="1:33" x14ac:dyDescent="0.3">
      <c r="A21" s="655">
        <f t="shared" si="2"/>
        <v>2004</v>
      </c>
      <c r="B21" s="424">
        <v>7.5211371599999993E-2</v>
      </c>
      <c r="C21" s="424">
        <v>0.44382022459999998</v>
      </c>
      <c r="D21" s="424">
        <v>0.68251790940000001</v>
      </c>
      <c r="E21" s="424">
        <v>0.40593861469999998</v>
      </c>
      <c r="F21" s="424">
        <v>0.3039955828</v>
      </c>
      <c r="G21" s="424">
        <v>1.0305744881000001</v>
      </c>
      <c r="H21" s="424">
        <v>1.3849265215</v>
      </c>
      <c r="I21" s="424">
        <v>0.94771848869999997</v>
      </c>
      <c r="J21" s="424">
        <v>0.55934241269999996</v>
      </c>
      <c r="K21" s="424">
        <v>1.2427120547999999</v>
      </c>
      <c r="L21" s="424">
        <v>1.8561635895999999</v>
      </c>
      <c r="M21" s="424">
        <v>3.5568764332999998</v>
      </c>
      <c r="N21" s="424">
        <v>0.53022650049999998</v>
      </c>
      <c r="O21" s="424">
        <v>1.5693578167</v>
      </c>
      <c r="P21" s="424">
        <v>1.8853215691</v>
      </c>
      <c r="Q21" s="424">
        <v>1.3521196229000001</v>
      </c>
      <c r="R21" s="424">
        <v>0.70072024180000003</v>
      </c>
      <c r="S21" s="424">
        <v>0.70145874519999996</v>
      </c>
      <c r="T21" s="424">
        <v>2.5113719637999998</v>
      </c>
      <c r="U21" s="424">
        <v>1.4143125680999999</v>
      </c>
      <c r="V21" s="424">
        <v>0.2136719816</v>
      </c>
      <c r="W21" s="424">
        <v>0.85419938719999999</v>
      </c>
      <c r="X21" s="424">
        <v>3.3795946655</v>
      </c>
      <c r="Y21" s="424">
        <v>0.55145050549999997</v>
      </c>
      <c r="Z21" s="424">
        <v>0.31792223339999998</v>
      </c>
      <c r="AA21" s="424">
        <v>0.3352112243</v>
      </c>
      <c r="AB21" s="424">
        <v>0.26280252910000002</v>
      </c>
      <c r="AC21" s="424">
        <v>0.43243719720000001</v>
      </c>
      <c r="AD21" s="424">
        <v>3.23343741E-2</v>
      </c>
      <c r="AE21" s="424">
        <v>4.9597701399999999E-2</v>
      </c>
      <c r="AF21" s="424">
        <v>0.13748883310000001</v>
      </c>
      <c r="AG21" s="424">
        <v>0.18325282709999999</v>
      </c>
    </row>
    <row r="22" spans="1:33" x14ac:dyDescent="0.3">
      <c r="A22" s="655">
        <f t="shared" si="2"/>
        <v>2005</v>
      </c>
      <c r="B22" s="424">
        <f t="shared" ref="B22:I22" si="21">B21+(B24-B21)/3*1</f>
        <v>7.7106720833333323E-2</v>
      </c>
      <c r="C22" s="424">
        <f t="shared" si="21"/>
        <v>0.46873999353333334</v>
      </c>
      <c r="D22" s="424">
        <f t="shared" si="21"/>
        <v>0.74468693153333332</v>
      </c>
      <c r="E22" s="424">
        <f t="shared" si="21"/>
        <v>0.42604172823333331</v>
      </c>
      <c r="F22" s="424">
        <f t="shared" si="21"/>
        <v>0.31044438236666666</v>
      </c>
      <c r="G22" s="424">
        <f t="shared" si="21"/>
        <v>1.0833801057333334</v>
      </c>
      <c r="H22" s="424">
        <f t="shared" si="21"/>
        <v>1.4905428602666666</v>
      </c>
      <c r="I22" s="424">
        <f t="shared" si="21"/>
        <v>1.0424252541666668</v>
      </c>
      <c r="J22" s="424">
        <f t="shared" ref="J22:AG22" si="22">J21+(J24-J21)/3*1</f>
        <v>0.56079404443333336</v>
      </c>
      <c r="K22" s="424">
        <f t="shared" si="22"/>
        <v>1.2867978686999999</v>
      </c>
      <c r="L22" s="424">
        <f t="shared" si="22"/>
        <v>1.841869499</v>
      </c>
      <c r="M22" s="424">
        <f t="shared" si="22"/>
        <v>2.7076607945333331</v>
      </c>
      <c r="N22" s="424">
        <f t="shared" si="22"/>
        <v>0.51719739229999995</v>
      </c>
      <c r="O22" s="424">
        <f t="shared" si="22"/>
        <v>1.5555936261000001</v>
      </c>
      <c r="P22" s="424">
        <f t="shared" si="22"/>
        <v>2.3485659950666666</v>
      </c>
      <c r="Q22" s="424">
        <f t="shared" si="22"/>
        <v>1.2617024028333335</v>
      </c>
      <c r="R22" s="424">
        <f t="shared" si="22"/>
        <v>0.54592189356666665</v>
      </c>
      <c r="S22" s="424">
        <f t="shared" si="22"/>
        <v>0.80958829603333327</v>
      </c>
      <c r="T22" s="424">
        <f t="shared" si="22"/>
        <v>2.2015866943333333</v>
      </c>
      <c r="U22" s="424">
        <f t="shared" si="22"/>
        <v>1.2053953637999999</v>
      </c>
      <c r="V22" s="424">
        <f t="shared" si="22"/>
        <v>0.21452177046666668</v>
      </c>
      <c r="W22" s="424">
        <f t="shared" si="22"/>
        <v>0.88604045433333334</v>
      </c>
      <c r="X22" s="424">
        <f t="shared" si="22"/>
        <v>2.4313654888666667</v>
      </c>
      <c r="Y22" s="424">
        <f t="shared" si="22"/>
        <v>0.58807556793333327</v>
      </c>
      <c r="Z22" s="424">
        <f t="shared" si="22"/>
        <v>0.21981894866666662</v>
      </c>
      <c r="AA22" s="424">
        <f t="shared" si="22"/>
        <v>0.34143234733333333</v>
      </c>
      <c r="AB22" s="424">
        <f t="shared" si="22"/>
        <v>0.24688642990000001</v>
      </c>
      <c r="AC22" s="424">
        <f t="shared" si="22"/>
        <v>0.38026486993333336</v>
      </c>
      <c r="AD22" s="424">
        <f t="shared" si="22"/>
        <v>2.6159522133333335E-2</v>
      </c>
      <c r="AE22" s="424">
        <f t="shared" si="22"/>
        <v>7.5690571599999992E-2</v>
      </c>
      <c r="AF22" s="424">
        <f t="shared" si="22"/>
        <v>0.1619506772</v>
      </c>
      <c r="AG22" s="424">
        <f t="shared" si="22"/>
        <v>0.13756441449999998</v>
      </c>
    </row>
    <row r="23" spans="1:33" x14ac:dyDescent="0.3">
      <c r="A23" s="655">
        <f t="shared" si="2"/>
        <v>2006</v>
      </c>
      <c r="B23" s="424">
        <f t="shared" ref="B23:I23" si="23">B21+(B24-B21)/3*2</f>
        <v>7.9002070066666666E-2</v>
      </c>
      <c r="C23" s="424">
        <f t="shared" si="23"/>
        <v>0.49365976246666665</v>
      </c>
      <c r="D23" s="424">
        <f t="shared" si="23"/>
        <v>0.80685595366666674</v>
      </c>
      <c r="E23" s="424">
        <f t="shared" si="23"/>
        <v>0.44614484176666669</v>
      </c>
      <c r="F23" s="424">
        <f t="shared" si="23"/>
        <v>0.31689318193333332</v>
      </c>
      <c r="G23" s="424">
        <f t="shared" si="23"/>
        <v>1.1361857233666666</v>
      </c>
      <c r="H23" s="424">
        <f t="shared" si="23"/>
        <v>1.5961591990333333</v>
      </c>
      <c r="I23" s="424">
        <f t="shared" si="23"/>
        <v>1.1371320196333334</v>
      </c>
      <c r="J23" s="424">
        <f t="shared" ref="J23:AG23" si="24">J21+(J24-J21)/3*2</f>
        <v>0.56224567616666665</v>
      </c>
      <c r="K23" s="424">
        <f t="shared" si="24"/>
        <v>1.3308836826000001</v>
      </c>
      <c r="L23" s="424">
        <f t="shared" si="24"/>
        <v>1.8275754084</v>
      </c>
      <c r="M23" s="424">
        <f t="shared" si="24"/>
        <v>1.8584451557666666</v>
      </c>
      <c r="N23" s="424">
        <f t="shared" si="24"/>
        <v>0.50416828410000003</v>
      </c>
      <c r="O23" s="424">
        <f t="shared" si="24"/>
        <v>1.5418294355</v>
      </c>
      <c r="P23" s="424">
        <f t="shared" si="24"/>
        <v>2.811810421033333</v>
      </c>
      <c r="Q23" s="424">
        <f t="shared" si="24"/>
        <v>1.1712851827666666</v>
      </c>
      <c r="R23" s="424">
        <f t="shared" si="24"/>
        <v>0.39112354533333332</v>
      </c>
      <c r="S23" s="424">
        <f t="shared" si="24"/>
        <v>0.91771784686666669</v>
      </c>
      <c r="T23" s="424">
        <f t="shared" si="24"/>
        <v>1.8918014248666668</v>
      </c>
      <c r="U23" s="424">
        <f t="shared" si="24"/>
        <v>0.99647815950000007</v>
      </c>
      <c r="V23" s="424">
        <f t="shared" si="24"/>
        <v>0.21537155933333332</v>
      </c>
      <c r="W23" s="424">
        <f t="shared" si="24"/>
        <v>0.91788152146666668</v>
      </c>
      <c r="X23" s="424">
        <f t="shared" si="24"/>
        <v>1.4831363122333334</v>
      </c>
      <c r="Y23" s="424">
        <f t="shared" si="24"/>
        <v>0.62470063036666668</v>
      </c>
      <c r="Z23" s="424">
        <f t="shared" si="24"/>
        <v>0.1217156639333333</v>
      </c>
      <c r="AA23" s="424">
        <f t="shared" si="24"/>
        <v>0.34765347036666666</v>
      </c>
      <c r="AB23" s="424">
        <f t="shared" si="24"/>
        <v>0.2309703307</v>
      </c>
      <c r="AC23" s="424">
        <f t="shared" si="24"/>
        <v>0.32809254266666665</v>
      </c>
      <c r="AD23" s="424">
        <f t="shared" si="24"/>
        <v>1.998467016666667E-2</v>
      </c>
      <c r="AE23" s="424">
        <f t="shared" si="24"/>
        <v>0.10178344179999999</v>
      </c>
      <c r="AF23" s="424">
        <f t="shared" si="24"/>
        <v>0.18641252130000002</v>
      </c>
      <c r="AG23" s="424">
        <f t="shared" si="24"/>
        <v>9.187600189999999E-2</v>
      </c>
    </row>
    <row r="24" spans="1:33" x14ac:dyDescent="0.3">
      <c r="A24" s="655">
        <f t="shared" si="2"/>
        <v>2007</v>
      </c>
      <c r="B24" s="424">
        <v>8.0897419299999995E-2</v>
      </c>
      <c r="C24" s="424">
        <v>0.51857953140000002</v>
      </c>
      <c r="D24" s="424">
        <v>0.86902497580000004</v>
      </c>
      <c r="E24" s="424">
        <v>0.46624795530000002</v>
      </c>
      <c r="F24" s="424">
        <v>0.32334198149999999</v>
      </c>
      <c r="G24" s="424">
        <v>1.1889913409999999</v>
      </c>
      <c r="H24" s="424">
        <v>1.7017755377999999</v>
      </c>
      <c r="I24" s="424">
        <v>1.2318387851000001</v>
      </c>
      <c r="J24" s="424">
        <v>0.56369730790000006</v>
      </c>
      <c r="K24" s="424">
        <v>1.3749694965000001</v>
      </c>
      <c r="L24" s="424">
        <v>1.8132813178</v>
      </c>
      <c r="M24" s="424">
        <v>1.0092295170000001</v>
      </c>
      <c r="N24" s="424">
        <v>0.4911391759</v>
      </c>
      <c r="O24" s="424">
        <v>1.5280652449000001</v>
      </c>
      <c r="P24" s="424">
        <v>3.2750548469999998</v>
      </c>
      <c r="Q24" s="424">
        <v>1.0808679627</v>
      </c>
      <c r="R24" s="424">
        <v>0.2363251971</v>
      </c>
      <c r="S24" s="424">
        <v>1.0258473977</v>
      </c>
      <c r="T24" s="424">
        <v>1.5820161554000001</v>
      </c>
      <c r="U24" s="424">
        <v>0.78756095520000002</v>
      </c>
      <c r="V24" s="424">
        <v>0.2162213482</v>
      </c>
      <c r="W24" s="424">
        <v>0.94972258860000003</v>
      </c>
      <c r="X24" s="424">
        <v>0.53490713560000003</v>
      </c>
      <c r="Y24" s="424">
        <v>0.66132569279999998</v>
      </c>
      <c r="Z24" s="424">
        <v>2.3612379199999999E-2</v>
      </c>
      <c r="AA24" s="424">
        <v>0.35387459339999999</v>
      </c>
      <c r="AB24" s="424">
        <v>0.2150542315</v>
      </c>
      <c r="AC24" s="424">
        <v>0.2759202154</v>
      </c>
      <c r="AD24" s="424">
        <v>1.3809818200000001E-2</v>
      </c>
      <c r="AE24" s="424">
        <v>0.12787631199999999</v>
      </c>
      <c r="AF24" s="424">
        <v>0.21087436540000001</v>
      </c>
      <c r="AG24" s="424">
        <v>4.6187589299999998E-2</v>
      </c>
    </row>
    <row r="25" spans="1:33" x14ac:dyDescent="0.3">
      <c r="A25" s="655">
        <f t="shared" si="2"/>
        <v>2008</v>
      </c>
      <c r="B25" s="424">
        <f t="shared" ref="B25:I25" si="25">B24+(B27-B24)/3*1</f>
        <v>8.2833334766666669E-2</v>
      </c>
      <c r="C25" s="424">
        <f t="shared" si="25"/>
        <v>0.57551326963333338</v>
      </c>
      <c r="D25" s="424">
        <f t="shared" si="25"/>
        <v>0.80015765633333336</v>
      </c>
      <c r="E25" s="424">
        <f t="shared" si="25"/>
        <v>0.53194169663333335</v>
      </c>
      <c r="F25" s="424">
        <f t="shared" si="25"/>
        <v>0.32771255569999996</v>
      </c>
      <c r="G25" s="424">
        <f t="shared" si="25"/>
        <v>1.1471115150333333</v>
      </c>
      <c r="H25" s="424">
        <f t="shared" si="25"/>
        <v>1.8402011226666666</v>
      </c>
      <c r="I25" s="424">
        <f t="shared" si="25"/>
        <v>1.2904100216666667</v>
      </c>
      <c r="J25" s="424">
        <f t="shared" ref="J25:AG25" si="26">J24+(J27-J24)/3*1</f>
        <v>0.55431643559999999</v>
      </c>
      <c r="K25" s="424">
        <f t="shared" si="26"/>
        <v>1.5232655913333335</v>
      </c>
      <c r="L25" s="424">
        <f t="shared" si="26"/>
        <v>2.1257180007333334</v>
      </c>
      <c r="M25" s="424">
        <f t="shared" si="26"/>
        <v>1.6837974228333334</v>
      </c>
      <c r="N25" s="424">
        <f t="shared" si="26"/>
        <v>0.46361919073333335</v>
      </c>
      <c r="O25" s="424">
        <f t="shared" si="26"/>
        <v>1.6154779638333334</v>
      </c>
      <c r="P25" s="424">
        <f t="shared" si="26"/>
        <v>2.8413741377999999</v>
      </c>
      <c r="Q25" s="424">
        <f t="shared" si="26"/>
        <v>1.7137804323000001</v>
      </c>
      <c r="R25" s="424">
        <f t="shared" si="26"/>
        <v>0.26949437389999997</v>
      </c>
      <c r="S25" s="424">
        <f t="shared" si="26"/>
        <v>1.1356519891666668</v>
      </c>
      <c r="T25" s="424">
        <f t="shared" si="26"/>
        <v>1.7719211285333334</v>
      </c>
      <c r="U25" s="424">
        <f t="shared" si="26"/>
        <v>1.4414084500666666</v>
      </c>
      <c r="V25" s="424">
        <f t="shared" si="26"/>
        <v>0.16642781946666665</v>
      </c>
      <c r="W25" s="424">
        <f t="shared" si="26"/>
        <v>0.92544085603333337</v>
      </c>
      <c r="X25" s="424">
        <f t="shared" si="26"/>
        <v>0.59099296646666666</v>
      </c>
      <c r="Y25" s="424">
        <f t="shared" si="26"/>
        <v>1.2415841429666665</v>
      </c>
      <c r="Z25" s="424">
        <f t="shared" si="26"/>
        <v>3.400742453333333E-2</v>
      </c>
      <c r="AA25" s="424">
        <f t="shared" si="26"/>
        <v>0.43723403216666668</v>
      </c>
      <c r="AB25" s="424">
        <f t="shared" si="26"/>
        <v>0.29264851963333333</v>
      </c>
      <c r="AC25" s="424">
        <f t="shared" si="26"/>
        <v>0.27742105313333332</v>
      </c>
      <c r="AD25" s="424">
        <f t="shared" si="26"/>
        <v>3.0625386000000001E-2</v>
      </c>
      <c r="AE25" s="424">
        <f t="shared" si="26"/>
        <v>0.12910542156666666</v>
      </c>
      <c r="AF25" s="424">
        <f t="shared" si="26"/>
        <v>0.24629161160000002</v>
      </c>
      <c r="AG25" s="424">
        <f t="shared" si="26"/>
        <v>0.12903142839999998</v>
      </c>
    </row>
    <row r="26" spans="1:33" x14ac:dyDescent="0.3">
      <c r="A26" s="655">
        <f t="shared" si="2"/>
        <v>2009</v>
      </c>
      <c r="B26" s="424">
        <f t="shared" ref="B26:I26" si="27">B24+(B27-B24)/3*2</f>
        <v>8.4769250233333329E-2</v>
      </c>
      <c r="C26" s="424">
        <f t="shared" si="27"/>
        <v>0.63244700786666663</v>
      </c>
      <c r="D26" s="424">
        <f t="shared" si="27"/>
        <v>0.73129033686666667</v>
      </c>
      <c r="E26" s="424">
        <f t="shared" si="27"/>
        <v>0.59763543796666663</v>
      </c>
      <c r="F26" s="424">
        <f t="shared" si="27"/>
        <v>0.3320831299</v>
      </c>
      <c r="G26" s="424">
        <f t="shared" si="27"/>
        <v>1.1052316890666667</v>
      </c>
      <c r="H26" s="424">
        <f t="shared" si="27"/>
        <v>1.9786267075333333</v>
      </c>
      <c r="I26" s="424">
        <f t="shared" si="27"/>
        <v>1.3489812582333334</v>
      </c>
      <c r="J26" s="424">
        <f t="shared" ref="J26:AG26" si="28">J24+(J27-J24)/3*2</f>
        <v>0.54493556330000004</v>
      </c>
      <c r="K26" s="424">
        <f t="shared" si="28"/>
        <v>1.6715616861666667</v>
      </c>
      <c r="L26" s="424">
        <f t="shared" si="28"/>
        <v>2.4381546836666668</v>
      </c>
      <c r="M26" s="424">
        <f t="shared" si="28"/>
        <v>2.3583653286666668</v>
      </c>
      <c r="N26" s="424">
        <f t="shared" si="28"/>
        <v>0.43609920556666665</v>
      </c>
      <c r="O26" s="424">
        <f t="shared" si="28"/>
        <v>1.7028906827666666</v>
      </c>
      <c r="P26" s="424">
        <f t="shared" si="28"/>
        <v>2.4076934286</v>
      </c>
      <c r="Q26" s="424">
        <f t="shared" si="28"/>
        <v>2.3466929019</v>
      </c>
      <c r="R26" s="424">
        <f t="shared" si="28"/>
        <v>0.30266355070000001</v>
      </c>
      <c r="S26" s="424">
        <f t="shared" si="28"/>
        <v>1.2454565806333333</v>
      </c>
      <c r="T26" s="424">
        <f t="shared" si="28"/>
        <v>1.9618261016666665</v>
      </c>
      <c r="U26" s="424">
        <f t="shared" si="28"/>
        <v>2.0952559449333332</v>
      </c>
      <c r="V26" s="424">
        <f t="shared" si="28"/>
        <v>0.11663429073333333</v>
      </c>
      <c r="W26" s="424">
        <f t="shared" si="28"/>
        <v>0.90115912346666671</v>
      </c>
      <c r="X26" s="424">
        <f t="shared" si="28"/>
        <v>0.6470787973333334</v>
      </c>
      <c r="Y26" s="424">
        <f t="shared" si="28"/>
        <v>1.8218425931333333</v>
      </c>
      <c r="Z26" s="424">
        <f t="shared" si="28"/>
        <v>4.4402469866666669E-2</v>
      </c>
      <c r="AA26" s="424">
        <f t="shared" si="28"/>
        <v>0.5205934709333333</v>
      </c>
      <c r="AB26" s="424">
        <f t="shared" si="28"/>
        <v>0.37024280776666663</v>
      </c>
      <c r="AC26" s="424">
        <f t="shared" si="28"/>
        <v>0.27892189086666669</v>
      </c>
      <c r="AD26" s="424">
        <f t="shared" si="28"/>
        <v>4.7440953800000005E-2</v>
      </c>
      <c r="AE26" s="424">
        <f t="shared" si="28"/>
        <v>0.13033453113333335</v>
      </c>
      <c r="AF26" s="424">
        <f t="shared" si="28"/>
        <v>0.28170885779999999</v>
      </c>
      <c r="AG26" s="424">
        <f t="shared" si="28"/>
        <v>0.21187526749999999</v>
      </c>
    </row>
    <row r="27" spans="1:33" x14ac:dyDescent="0.3">
      <c r="A27" s="655">
        <f t="shared" si="2"/>
        <v>2010</v>
      </c>
      <c r="B27" s="424">
        <v>8.6705165700000003E-2</v>
      </c>
      <c r="C27" s="424">
        <v>0.6893807461</v>
      </c>
      <c r="D27" s="424">
        <v>0.66242301739999998</v>
      </c>
      <c r="E27" s="424">
        <v>0.66332917930000002</v>
      </c>
      <c r="F27" s="424">
        <v>0.33645370409999997</v>
      </c>
      <c r="G27" s="424">
        <v>1.0633518631000001</v>
      </c>
      <c r="H27" s="424">
        <v>2.1170522923999999</v>
      </c>
      <c r="I27" s="424">
        <v>1.4075524948</v>
      </c>
      <c r="J27" s="424">
        <v>0.53555469099999997</v>
      </c>
      <c r="K27" s="424">
        <v>1.8198577810000001</v>
      </c>
      <c r="L27" s="424">
        <v>2.7505913666000001</v>
      </c>
      <c r="M27" s="424">
        <v>3.0329332345000002</v>
      </c>
      <c r="N27" s="424">
        <v>0.4085792204</v>
      </c>
      <c r="O27" s="424">
        <v>1.7903034016999999</v>
      </c>
      <c r="P27" s="424">
        <v>1.9740127193999999</v>
      </c>
      <c r="Q27" s="424">
        <v>2.9796053714999999</v>
      </c>
      <c r="R27" s="424">
        <v>0.33583272749999998</v>
      </c>
      <c r="S27" s="424">
        <v>1.3552611721000001</v>
      </c>
      <c r="T27" s="424">
        <v>2.1517310747999998</v>
      </c>
      <c r="U27" s="424">
        <v>2.7491034397999998</v>
      </c>
      <c r="V27" s="424">
        <v>6.6840761999999998E-2</v>
      </c>
      <c r="W27" s="424">
        <v>0.87687739090000005</v>
      </c>
      <c r="X27" s="424">
        <v>0.70316462820000003</v>
      </c>
      <c r="Y27" s="424">
        <v>2.4021010433000001</v>
      </c>
      <c r="Z27" s="424">
        <v>5.4797515200000001E-2</v>
      </c>
      <c r="AA27" s="424">
        <v>0.60395290970000004</v>
      </c>
      <c r="AB27" s="424">
        <v>0.44783709589999998</v>
      </c>
      <c r="AC27" s="424">
        <v>0.2804227286</v>
      </c>
      <c r="AD27" s="424">
        <v>6.4256521600000005E-2</v>
      </c>
      <c r="AE27" s="424">
        <v>0.13156364070000001</v>
      </c>
      <c r="AF27" s="424">
        <v>0.31712610400000002</v>
      </c>
      <c r="AG27" s="424">
        <v>0.2947191066</v>
      </c>
    </row>
    <row r="28" spans="1:33" x14ac:dyDescent="0.3">
      <c r="A28" s="655">
        <f t="shared" si="2"/>
        <v>2011</v>
      </c>
      <c r="B28" s="424">
        <f t="shared" ref="B28:I28" si="29">B27+(B30-B27)/3*1</f>
        <v>9.1620621266666674E-2</v>
      </c>
      <c r="C28" s="424">
        <f t="shared" si="29"/>
        <v>0.67182656100000004</v>
      </c>
      <c r="D28" s="424">
        <f t="shared" si="29"/>
        <v>0.78859551676666662</v>
      </c>
      <c r="E28" s="424">
        <f t="shared" si="29"/>
        <v>0.5646842496333333</v>
      </c>
      <c r="F28" s="424">
        <f t="shared" si="29"/>
        <v>0.34418648946666663</v>
      </c>
      <c r="G28" s="424">
        <f t="shared" si="29"/>
        <v>1.146246839</v>
      </c>
      <c r="H28" s="424">
        <f t="shared" si="29"/>
        <v>2.1145000611666664</v>
      </c>
      <c r="I28" s="424">
        <f t="shared" si="29"/>
        <v>1.5208638526</v>
      </c>
      <c r="J28" s="424">
        <f t="shared" ref="J28:AG28" si="30">J27+(J30-J27)/3*1</f>
        <v>0.54189548516666664</v>
      </c>
      <c r="K28" s="424">
        <f t="shared" si="30"/>
        <v>1.7492381171</v>
      </c>
      <c r="L28" s="424">
        <f t="shared" si="30"/>
        <v>2.5664735531333336</v>
      </c>
      <c r="M28" s="424">
        <f t="shared" si="30"/>
        <v>3.6312075405333335</v>
      </c>
      <c r="N28" s="424">
        <f t="shared" si="30"/>
        <v>0.47850962533333335</v>
      </c>
      <c r="O28" s="424">
        <f t="shared" si="30"/>
        <v>1.7164939968999999</v>
      </c>
      <c r="P28" s="424">
        <f t="shared" si="30"/>
        <v>2.4255843016666665</v>
      </c>
      <c r="Q28" s="424">
        <f t="shared" si="30"/>
        <v>3.1036592881999998</v>
      </c>
      <c r="R28" s="424">
        <f t="shared" si="30"/>
        <v>0.3771799350333333</v>
      </c>
      <c r="S28" s="424">
        <f t="shared" si="30"/>
        <v>1.2702644235</v>
      </c>
      <c r="T28" s="424">
        <f t="shared" si="30"/>
        <v>2.3506418014999997</v>
      </c>
      <c r="U28" s="424">
        <f t="shared" si="30"/>
        <v>1.9832808066333332</v>
      </c>
      <c r="V28" s="424">
        <f t="shared" si="30"/>
        <v>0.14925262340000001</v>
      </c>
      <c r="W28" s="424">
        <f t="shared" si="30"/>
        <v>0.87560086206666665</v>
      </c>
      <c r="X28" s="424">
        <f t="shared" si="30"/>
        <v>1.1367288146666668</v>
      </c>
      <c r="Y28" s="424">
        <f t="shared" si="30"/>
        <v>1.9667478088666668</v>
      </c>
      <c r="Z28" s="424">
        <f t="shared" si="30"/>
        <v>4.3060166666666663E-2</v>
      </c>
      <c r="AA28" s="424">
        <f t="shared" si="30"/>
        <v>0.53686834243333337</v>
      </c>
      <c r="AB28" s="424">
        <f t="shared" si="30"/>
        <v>0.43299873843333331</v>
      </c>
      <c r="AC28" s="424">
        <f t="shared" si="30"/>
        <v>0.53185673150000001</v>
      </c>
      <c r="AD28" s="424">
        <f t="shared" si="30"/>
        <v>4.2837681066666675E-2</v>
      </c>
      <c r="AE28" s="424">
        <f t="shared" si="30"/>
        <v>0.10166769346666667</v>
      </c>
      <c r="AF28" s="424">
        <f t="shared" si="30"/>
        <v>0.22186947663333334</v>
      </c>
      <c r="AG28" s="424">
        <f t="shared" si="30"/>
        <v>0.25708109963333337</v>
      </c>
    </row>
    <row r="29" spans="1:33" x14ac:dyDescent="0.3">
      <c r="A29" s="655">
        <f t="shared" si="2"/>
        <v>2012</v>
      </c>
      <c r="B29" s="424">
        <f t="shared" ref="B29:I29" si="31">B27+(B30-B27)/3*2</f>
        <v>9.6536076833333331E-2</v>
      </c>
      <c r="C29" s="424">
        <f t="shared" si="31"/>
        <v>0.65427237589999998</v>
      </c>
      <c r="D29" s="424">
        <f t="shared" si="31"/>
        <v>0.91476801613333336</v>
      </c>
      <c r="E29" s="424">
        <f t="shared" si="31"/>
        <v>0.4660393199666667</v>
      </c>
      <c r="F29" s="424">
        <f t="shared" si="31"/>
        <v>0.35191927483333335</v>
      </c>
      <c r="G29" s="424">
        <f t="shared" si="31"/>
        <v>1.2291418149</v>
      </c>
      <c r="H29" s="424">
        <f t="shared" si="31"/>
        <v>2.1119478299333334</v>
      </c>
      <c r="I29" s="424">
        <f t="shared" si="31"/>
        <v>1.6341752104</v>
      </c>
      <c r="J29" s="424">
        <f t="shared" ref="J29:AG29" si="32">J27+(J30-J27)/3*2</f>
        <v>0.5482362793333333</v>
      </c>
      <c r="K29" s="424">
        <f t="shared" si="32"/>
        <v>1.6786184532000001</v>
      </c>
      <c r="L29" s="424">
        <f t="shared" si="32"/>
        <v>2.3823557396666666</v>
      </c>
      <c r="M29" s="424">
        <f t="shared" si="32"/>
        <v>4.2294818465666673</v>
      </c>
      <c r="N29" s="424">
        <f t="shared" si="32"/>
        <v>0.54844003026666666</v>
      </c>
      <c r="O29" s="424">
        <f t="shared" si="32"/>
        <v>1.6426845921</v>
      </c>
      <c r="P29" s="424">
        <f t="shared" si="32"/>
        <v>2.8771558839333333</v>
      </c>
      <c r="Q29" s="424">
        <f t="shared" si="32"/>
        <v>3.2277132049000001</v>
      </c>
      <c r="R29" s="424">
        <f t="shared" si="32"/>
        <v>0.41852714256666668</v>
      </c>
      <c r="S29" s="424">
        <f t="shared" si="32"/>
        <v>1.1852676749</v>
      </c>
      <c r="T29" s="424">
        <f t="shared" si="32"/>
        <v>2.5495525282</v>
      </c>
      <c r="U29" s="424">
        <f t="shared" si="32"/>
        <v>1.2174581734666665</v>
      </c>
      <c r="V29" s="424">
        <f t="shared" si="32"/>
        <v>0.23166448480000001</v>
      </c>
      <c r="W29" s="424">
        <f t="shared" si="32"/>
        <v>0.87432433323333336</v>
      </c>
      <c r="X29" s="424">
        <f t="shared" si="32"/>
        <v>1.5702930011333334</v>
      </c>
      <c r="Y29" s="424">
        <f t="shared" si="32"/>
        <v>1.5313945744333335</v>
      </c>
      <c r="Z29" s="424">
        <f t="shared" si="32"/>
        <v>3.1322818133333333E-2</v>
      </c>
      <c r="AA29" s="424">
        <f t="shared" si="32"/>
        <v>0.4697837751666667</v>
      </c>
      <c r="AB29" s="424">
        <f t="shared" si="32"/>
        <v>0.41816038096666669</v>
      </c>
      <c r="AC29" s="424">
        <f t="shared" si="32"/>
        <v>0.78329073439999997</v>
      </c>
      <c r="AD29" s="424">
        <f t="shared" si="32"/>
        <v>2.1418840533333337E-2</v>
      </c>
      <c r="AE29" s="424">
        <f t="shared" si="32"/>
        <v>7.1771746233333322E-2</v>
      </c>
      <c r="AF29" s="424">
        <f t="shared" si="32"/>
        <v>0.12661284926666666</v>
      </c>
      <c r="AG29" s="424">
        <f t="shared" si="32"/>
        <v>0.21944309266666667</v>
      </c>
    </row>
    <row r="30" spans="1:33" x14ac:dyDescent="0.3">
      <c r="A30" s="655">
        <f t="shared" si="2"/>
        <v>2013</v>
      </c>
      <c r="B30" s="424">
        <v>0.1014515324</v>
      </c>
      <c r="C30" s="424">
        <v>0.63671819080000003</v>
      </c>
      <c r="D30" s="424">
        <v>1.0409405155</v>
      </c>
      <c r="E30" s="424">
        <v>0.36739439029999998</v>
      </c>
      <c r="F30" s="424">
        <v>0.35965206020000001</v>
      </c>
      <c r="G30" s="424">
        <v>1.3120367907999999</v>
      </c>
      <c r="H30" s="424">
        <v>2.1093955986999999</v>
      </c>
      <c r="I30" s="424">
        <v>1.7474865682</v>
      </c>
      <c r="J30" s="424">
        <v>0.55457707349999996</v>
      </c>
      <c r="K30" s="424">
        <v>1.6079987893000001</v>
      </c>
      <c r="L30" s="424">
        <v>2.1982379262</v>
      </c>
      <c r="M30" s="424">
        <v>4.8277561526000001</v>
      </c>
      <c r="N30" s="424">
        <v>0.61837043520000001</v>
      </c>
      <c r="O30" s="424">
        <v>1.5688751873</v>
      </c>
      <c r="P30" s="424">
        <v>3.3287274662000002</v>
      </c>
      <c r="Q30" s="424">
        <v>3.3517671216</v>
      </c>
      <c r="R30" s="424">
        <v>0.4598743501</v>
      </c>
      <c r="S30" s="424">
        <v>1.1002709262999999</v>
      </c>
      <c r="T30" s="424">
        <v>2.7484632548999999</v>
      </c>
      <c r="U30" s="424">
        <v>0.45163554030000003</v>
      </c>
      <c r="V30" s="424">
        <v>0.31407634620000002</v>
      </c>
      <c r="W30" s="424">
        <v>0.87304780439999996</v>
      </c>
      <c r="X30" s="424">
        <v>2.0038571876</v>
      </c>
      <c r="Y30" s="424">
        <v>1.09604134</v>
      </c>
      <c r="Z30" s="424">
        <v>1.9585469599999999E-2</v>
      </c>
      <c r="AA30" s="424">
        <v>0.40269920790000002</v>
      </c>
      <c r="AB30" s="424">
        <v>0.40332202350000002</v>
      </c>
      <c r="AC30" s="424">
        <v>1.0347247372999999</v>
      </c>
      <c r="AD30" s="424">
        <v>0</v>
      </c>
      <c r="AE30" s="424">
        <v>4.1875798999999998E-2</v>
      </c>
      <c r="AF30" s="424">
        <v>3.1356221900000002E-2</v>
      </c>
      <c r="AG30" s="424">
        <v>0.18180508570000001</v>
      </c>
    </row>
    <row r="31" spans="1:33" x14ac:dyDescent="0.3">
      <c r="A31" s="655">
        <f t="shared" si="2"/>
        <v>2014</v>
      </c>
      <c r="B31" s="424">
        <f t="shared" ref="B31:I31" si="33">B30+(B33-B30)/3*1</f>
        <v>0.10629697766666667</v>
      </c>
      <c r="C31" s="424">
        <f t="shared" si="33"/>
        <v>0.7153783001666667</v>
      </c>
      <c r="D31" s="424">
        <f t="shared" si="33"/>
        <v>0.87572778023333331</v>
      </c>
      <c r="E31" s="424">
        <f t="shared" si="33"/>
        <v>0.43559607886666668</v>
      </c>
      <c r="F31" s="424">
        <f t="shared" si="33"/>
        <v>0.34910222899999999</v>
      </c>
      <c r="G31" s="424">
        <f t="shared" si="33"/>
        <v>1.3034016174333334</v>
      </c>
      <c r="H31" s="424">
        <f t="shared" si="33"/>
        <v>2.0300504767333334</v>
      </c>
      <c r="I31" s="424">
        <f t="shared" si="33"/>
        <v>1.8560099876666667</v>
      </c>
      <c r="J31" s="424">
        <f t="shared" ref="J31:AG31" si="34">J30+(J33-J30)/3*1</f>
        <v>0.64784572499999993</v>
      </c>
      <c r="K31" s="424">
        <f t="shared" si="34"/>
        <v>1.6402514546</v>
      </c>
      <c r="L31" s="424">
        <f t="shared" si="34"/>
        <v>2.4120479589666668</v>
      </c>
      <c r="M31" s="424">
        <f t="shared" si="34"/>
        <v>4.4563631305666664</v>
      </c>
      <c r="N31" s="424">
        <f t="shared" si="34"/>
        <v>0.60350259589999999</v>
      </c>
      <c r="O31" s="424">
        <f t="shared" si="34"/>
        <v>1.6969807311666667</v>
      </c>
      <c r="P31" s="424">
        <f t="shared" si="34"/>
        <v>3.2853928412666669</v>
      </c>
      <c r="Q31" s="424">
        <f t="shared" si="34"/>
        <v>3.0359050004333334</v>
      </c>
      <c r="R31" s="424">
        <f t="shared" si="34"/>
        <v>0.47678864326666665</v>
      </c>
      <c r="S31" s="424">
        <f t="shared" si="34"/>
        <v>1.1799967348333333</v>
      </c>
      <c r="T31" s="424">
        <f t="shared" si="34"/>
        <v>2.1704055713999999</v>
      </c>
      <c r="U31" s="424">
        <f t="shared" si="34"/>
        <v>0.93312701843333334</v>
      </c>
      <c r="V31" s="424">
        <f t="shared" si="34"/>
        <v>0.25641418563333335</v>
      </c>
      <c r="W31" s="424">
        <f t="shared" si="34"/>
        <v>0.80875104286666666</v>
      </c>
      <c r="X31" s="424">
        <f t="shared" si="34"/>
        <v>1.7227357660666667</v>
      </c>
      <c r="Y31" s="424">
        <f t="shared" si="34"/>
        <v>1.0311109451666667</v>
      </c>
      <c r="Z31" s="424">
        <f t="shared" si="34"/>
        <v>2.7532531466666663E-2</v>
      </c>
      <c r="AA31" s="424">
        <f t="shared" si="34"/>
        <v>0.38514794810000003</v>
      </c>
      <c r="AB31" s="424">
        <f t="shared" si="34"/>
        <v>0.44172643960000002</v>
      </c>
      <c r="AC31" s="424">
        <f t="shared" si="34"/>
        <v>0.83753117973333324</v>
      </c>
      <c r="AD31" s="424">
        <f t="shared" si="34"/>
        <v>3.3620704933333335E-2</v>
      </c>
      <c r="AE31" s="424">
        <f t="shared" si="34"/>
        <v>4.1463028233333331E-2</v>
      </c>
      <c r="AF31" s="424">
        <f t="shared" si="34"/>
        <v>2.7998878800000002E-2</v>
      </c>
      <c r="AG31" s="424">
        <f t="shared" si="34"/>
        <v>0.21129371150000001</v>
      </c>
    </row>
    <row r="32" spans="1:33" x14ac:dyDescent="0.3">
      <c r="A32" s="655">
        <f t="shared" si="2"/>
        <v>2015</v>
      </c>
      <c r="B32" s="424">
        <f t="shared" ref="B32:I32" si="35">B30+(B33-B30)/3*2</f>
        <v>0.11114242293333333</v>
      </c>
      <c r="C32" s="424">
        <f t="shared" si="35"/>
        <v>0.79403840953333338</v>
      </c>
      <c r="D32" s="424">
        <f t="shared" si="35"/>
        <v>0.71051504496666662</v>
      </c>
      <c r="E32" s="424">
        <f t="shared" si="35"/>
        <v>0.50379776743333338</v>
      </c>
      <c r="F32" s="424">
        <f t="shared" si="35"/>
        <v>0.33855239780000002</v>
      </c>
      <c r="G32" s="424">
        <f t="shared" si="35"/>
        <v>1.2947664440666666</v>
      </c>
      <c r="H32" s="424">
        <f t="shared" si="35"/>
        <v>1.9507053547666666</v>
      </c>
      <c r="I32" s="424">
        <f t="shared" si="35"/>
        <v>1.9645334071333331</v>
      </c>
      <c r="J32" s="424">
        <f t="shared" ref="J32:AG32" si="36">J30+(J33-J30)/3*2</f>
        <v>0.7411143765</v>
      </c>
      <c r="K32" s="424">
        <f t="shared" si="36"/>
        <v>1.6725041199000001</v>
      </c>
      <c r="L32" s="424">
        <f t="shared" si="36"/>
        <v>2.6258579917333331</v>
      </c>
      <c r="M32" s="424">
        <f t="shared" si="36"/>
        <v>4.0849701085333336</v>
      </c>
      <c r="N32" s="424">
        <f t="shared" si="36"/>
        <v>0.58863475659999998</v>
      </c>
      <c r="O32" s="424">
        <f t="shared" si="36"/>
        <v>1.8250862750333332</v>
      </c>
      <c r="P32" s="424">
        <f t="shared" si="36"/>
        <v>3.2420582163333331</v>
      </c>
      <c r="Q32" s="424">
        <f t="shared" si="36"/>
        <v>2.7200428792666664</v>
      </c>
      <c r="R32" s="424">
        <f t="shared" si="36"/>
        <v>0.49370293643333335</v>
      </c>
      <c r="S32" s="424">
        <f t="shared" si="36"/>
        <v>1.2597225433666666</v>
      </c>
      <c r="T32" s="424">
        <f t="shared" si="36"/>
        <v>1.5923478878999999</v>
      </c>
      <c r="U32" s="424">
        <f t="shared" si="36"/>
        <v>1.4146184965666666</v>
      </c>
      <c r="V32" s="424">
        <f t="shared" si="36"/>
        <v>0.19875202506666667</v>
      </c>
      <c r="W32" s="424">
        <f t="shared" si="36"/>
        <v>0.74445428133333336</v>
      </c>
      <c r="X32" s="424">
        <f t="shared" si="36"/>
        <v>1.4416143445333334</v>
      </c>
      <c r="Y32" s="424">
        <f t="shared" si="36"/>
        <v>0.96618055033333328</v>
      </c>
      <c r="Z32" s="424">
        <f t="shared" si="36"/>
        <v>3.547959333333333E-2</v>
      </c>
      <c r="AA32" s="424">
        <f t="shared" si="36"/>
        <v>0.36759668829999997</v>
      </c>
      <c r="AB32" s="424">
        <f t="shared" si="36"/>
        <v>0.48013085570000003</v>
      </c>
      <c r="AC32" s="424">
        <f t="shared" si="36"/>
        <v>0.64033762216666656</v>
      </c>
      <c r="AD32" s="424">
        <f t="shared" si="36"/>
        <v>6.7241409866666671E-2</v>
      </c>
      <c r="AE32" s="424">
        <f t="shared" si="36"/>
        <v>4.105025746666667E-2</v>
      </c>
      <c r="AF32" s="424">
        <f t="shared" si="36"/>
        <v>2.4641535700000002E-2</v>
      </c>
      <c r="AG32" s="424">
        <f t="shared" si="36"/>
        <v>0.24078233729999998</v>
      </c>
    </row>
    <row r="33" spans="1:33" x14ac:dyDescent="0.3">
      <c r="A33" s="655">
        <f t="shared" si="2"/>
        <v>2016</v>
      </c>
      <c r="B33" s="424">
        <v>0.1159878682</v>
      </c>
      <c r="C33" s="424">
        <v>0.87269851890000005</v>
      </c>
      <c r="D33" s="424">
        <v>0.54530230970000004</v>
      </c>
      <c r="E33" s="424">
        <v>0.57199945600000002</v>
      </c>
      <c r="F33" s="424">
        <v>0.32800256659999999</v>
      </c>
      <c r="G33" s="424">
        <v>1.2861312707000001</v>
      </c>
      <c r="H33" s="424">
        <v>1.8713602328000001</v>
      </c>
      <c r="I33" s="424">
        <v>2.0730568265999998</v>
      </c>
      <c r="J33" s="424">
        <v>0.83438302799999997</v>
      </c>
      <c r="K33" s="424">
        <v>1.7047567852000001</v>
      </c>
      <c r="L33" s="424">
        <v>2.8396680244999999</v>
      </c>
      <c r="M33" s="424">
        <v>3.7135770865</v>
      </c>
      <c r="N33" s="424">
        <v>0.57376691729999996</v>
      </c>
      <c r="O33" s="424">
        <v>1.9531918188999999</v>
      </c>
      <c r="P33" s="424">
        <v>3.1987235913999998</v>
      </c>
      <c r="Q33" s="424">
        <v>2.4041807580999999</v>
      </c>
      <c r="R33" s="424">
        <v>0.5106172296</v>
      </c>
      <c r="S33" s="424">
        <v>1.3394483519</v>
      </c>
      <c r="T33" s="424">
        <v>1.0142902044</v>
      </c>
      <c r="U33" s="424">
        <v>1.8961099747000001</v>
      </c>
      <c r="V33" s="424">
        <v>0.1410898645</v>
      </c>
      <c r="W33" s="424">
        <v>0.68015751980000005</v>
      </c>
      <c r="X33" s="424">
        <v>1.1604929230000001</v>
      </c>
      <c r="Y33" s="424">
        <v>0.90125015549999998</v>
      </c>
      <c r="Z33" s="424">
        <v>4.3426655199999997E-2</v>
      </c>
      <c r="AA33" s="424">
        <v>0.35004542849999998</v>
      </c>
      <c r="AB33" s="424">
        <v>0.51853527180000003</v>
      </c>
      <c r="AC33" s="424">
        <v>0.4431440646</v>
      </c>
      <c r="AD33" s="424">
        <v>0.1008621148</v>
      </c>
      <c r="AE33" s="424">
        <v>4.0637486700000003E-2</v>
      </c>
      <c r="AF33" s="424">
        <v>2.1284192600000001E-2</v>
      </c>
      <c r="AG33" s="424">
        <v>0.27027096309999998</v>
      </c>
    </row>
    <row r="36" spans="1:33" x14ac:dyDescent="0.3">
      <c r="A36" s="779" t="s">
        <v>1316</v>
      </c>
      <c r="B36" s="779"/>
      <c r="C36" s="779"/>
      <c r="D36" s="779"/>
      <c r="E36" s="779"/>
    </row>
    <row r="37" spans="1:33" s="655" customFormat="1" x14ac:dyDescent="0.3">
      <c r="A37" s="111" t="s">
        <v>1317</v>
      </c>
      <c r="B37" s="111"/>
      <c r="C37" s="111"/>
      <c r="D37" s="111"/>
      <c r="E37" s="111"/>
    </row>
    <row r="38" spans="1:33" x14ac:dyDescent="0.3">
      <c r="A38" s="779" t="s">
        <v>1315</v>
      </c>
      <c r="B38" s="779"/>
      <c r="C38" s="779"/>
      <c r="D38" s="779"/>
      <c r="E38" s="779"/>
    </row>
    <row r="40" spans="1:33" s="655" customFormat="1" x14ac:dyDescent="0.3">
      <c r="B40" s="1011">
        <v>1</v>
      </c>
      <c r="C40" s="1011">
        <v>1</v>
      </c>
      <c r="D40" s="1011">
        <v>1</v>
      </c>
      <c r="E40" s="1011">
        <v>1</v>
      </c>
      <c r="F40" s="1011">
        <f>B40+1</f>
        <v>2</v>
      </c>
      <c r="G40" s="1011">
        <f>C40+1</f>
        <v>2</v>
      </c>
      <c r="H40" s="1011">
        <f>D40+1</f>
        <v>2</v>
      </c>
      <c r="I40" s="1011">
        <f>E40+1</f>
        <v>2</v>
      </c>
      <c r="J40" s="655">
        <f>F40+1</f>
        <v>3</v>
      </c>
      <c r="K40" s="655">
        <f t="shared" ref="K40:AG40" si="37">G40+1</f>
        <v>3</v>
      </c>
      <c r="L40" s="655">
        <f t="shared" si="37"/>
        <v>3</v>
      </c>
      <c r="M40" s="655">
        <f t="shared" si="37"/>
        <v>3</v>
      </c>
      <c r="N40" s="655">
        <f t="shared" si="37"/>
        <v>4</v>
      </c>
      <c r="O40" s="655">
        <f t="shared" si="37"/>
        <v>4</v>
      </c>
      <c r="P40" s="655">
        <f t="shared" si="37"/>
        <v>4</v>
      </c>
      <c r="Q40" s="655">
        <f t="shared" si="37"/>
        <v>4</v>
      </c>
      <c r="R40" s="655">
        <f t="shared" si="37"/>
        <v>5</v>
      </c>
      <c r="S40" s="655">
        <f t="shared" si="37"/>
        <v>5</v>
      </c>
      <c r="T40" s="655">
        <f t="shared" si="37"/>
        <v>5</v>
      </c>
      <c r="U40" s="655">
        <f t="shared" si="37"/>
        <v>5</v>
      </c>
      <c r="V40" s="655">
        <f t="shared" si="37"/>
        <v>6</v>
      </c>
      <c r="W40" s="655">
        <f t="shared" si="37"/>
        <v>6</v>
      </c>
      <c r="X40" s="655">
        <f t="shared" si="37"/>
        <v>6</v>
      </c>
      <c r="Y40" s="655">
        <f t="shared" si="37"/>
        <v>6</v>
      </c>
      <c r="Z40" s="655">
        <f t="shared" si="37"/>
        <v>7</v>
      </c>
      <c r="AA40" s="655">
        <f t="shared" si="37"/>
        <v>7</v>
      </c>
      <c r="AB40" s="655">
        <f t="shared" si="37"/>
        <v>7</v>
      </c>
      <c r="AC40" s="655">
        <f t="shared" si="37"/>
        <v>7</v>
      </c>
      <c r="AD40" s="655">
        <f t="shared" si="37"/>
        <v>8</v>
      </c>
      <c r="AE40" s="655">
        <f t="shared" si="37"/>
        <v>8</v>
      </c>
      <c r="AF40" s="655">
        <f t="shared" si="37"/>
        <v>8</v>
      </c>
      <c r="AG40" s="655">
        <f t="shared" si="37"/>
        <v>8</v>
      </c>
    </row>
    <row r="41" spans="1:33" s="655" customFormat="1" x14ac:dyDescent="0.3">
      <c r="B41" s="1011">
        <v>1</v>
      </c>
      <c r="C41" s="1011">
        <v>2</v>
      </c>
      <c r="D41" s="1011">
        <v>3</v>
      </c>
      <c r="E41" s="1011">
        <v>4</v>
      </c>
      <c r="F41" s="1011">
        <v>1</v>
      </c>
      <c r="G41" s="1011">
        <v>2</v>
      </c>
      <c r="H41" s="1011">
        <v>3</v>
      </c>
      <c r="I41" s="1011">
        <v>4</v>
      </c>
      <c r="J41" s="655">
        <v>1</v>
      </c>
      <c r="K41" s="655">
        <v>2</v>
      </c>
      <c r="L41" s="655">
        <v>3</v>
      </c>
      <c r="M41" s="655">
        <v>4</v>
      </c>
      <c r="N41" s="655">
        <v>1</v>
      </c>
      <c r="O41" s="655">
        <v>2</v>
      </c>
      <c r="P41" s="655">
        <v>3</v>
      </c>
      <c r="Q41" s="655">
        <v>4</v>
      </c>
      <c r="R41" s="655">
        <v>1</v>
      </c>
      <c r="S41" s="655">
        <v>2</v>
      </c>
      <c r="T41" s="655">
        <v>3</v>
      </c>
      <c r="U41" s="655">
        <v>4</v>
      </c>
      <c r="V41" s="655">
        <v>1</v>
      </c>
      <c r="W41" s="655">
        <v>2</v>
      </c>
      <c r="X41" s="655">
        <v>3</v>
      </c>
      <c r="Y41" s="655">
        <v>4</v>
      </c>
      <c r="Z41" s="655">
        <v>1</v>
      </c>
      <c r="AA41" s="655">
        <v>2</v>
      </c>
      <c r="AB41" s="655">
        <v>3</v>
      </c>
      <c r="AC41" s="655">
        <v>4</v>
      </c>
      <c r="AD41" s="655">
        <v>1</v>
      </c>
      <c r="AE41" s="655">
        <v>2</v>
      </c>
      <c r="AF41" s="655">
        <v>3</v>
      </c>
      <c r="AG41" s="655">
        <v>4</v>
      </c>
    </row>
    <row r="42" spans="1:33" x14ac:dyDescent="0.3">
      <c r="B42" s="1011" t="str">
        <f>CONCATENATE("%let dc_",B$40,"_",B$41,"_",$A6,"=",ROUND(B6,3),";")</f>
        <v>%let dc_1_1_1989=0.068;</v>
      </c>
      <c r="C42" s="1011" t="str">
        <f>CONCATENATE("%let dc_",C$40,"_",C$41,"_",$A6,"=",ROUND(C6,3),";")</f>
        <v>%let dc_1_2_1989=0.366;</v>
      </c>
      <c r="D42" s="1011" t="str">
        <f t="shared" ref="D42:I42" si="38">CONCATENATE("%let dc_",D$40,"_",D$41,"_",$A6,"=",ROUND(D6,3),";")</f>
        <v>%let dc_1_3_1989=0.225;</v>
      </c>
      <c r="E42" s="1011" t="str">
        <f t="shared" si="38"/>
        <v>%let dc_1_4_1989=0.05;</v>
      </c>
      <c r="F42" s="1011" t="str">
        <f t="shared" si="38"/>
        <v>%let dc_2_1_1989=0.127;</v>
      </c>
      <c r="G42" s="1011" t="str">
        <f t="shared" si="38"/>
        <v>%let dc_2_2_1989=0.374;</v>
      </c>
      <c r="H42" s="1011" t="str">
        <f t="shared" si="38"/>
        <v>%let dc_2_3_1989=0.892;</v>
      </c>
      <c r="I42" s="1011" t="str">
        <f t="shared" si="38"/>
        <v>%let dc_2_4_1989=0.27;</v>
      </c>
      <c r="J42" s="655" t="str">
        <f t="shared" ref="J42:AG42" si="39">CONCATENATE("%let dc_",J$40,"_",J$41,"_",$A6,"=",ROUND(J6,3),";")</f>
        <v>%let dc_3_1_1989=0.597;</v>
      </c>
      <c r="K42" s="655" t="str">
        <f t="shared" si="39"/>
        <v>%let dc_3_2_1989=0.679;</v>
      </c>
      <c r="L42" s="655" t="str">
        <f t="shared" si="39"/>
        <v>%let dc_3_3_1989=0.522;</v>
      </c>
      <c r="M42" s="655" t="str">
        <f t="shared" si="39"/>
        <v>%let dc_3_4_1989=0.039;</v>
      </c>
      <c r="N42" s="655" t="str">
        <f t="shared" si="39"/>
        <v>%let dc_4_1_1989=0.248;</v>
      </c>
      <c r="O42" s="655" t="str">
        <f t="shared" si="39"/>
        <v>%let dc_4_2_1989=0.59;</v>
      </c>
      <c r="P42" s="655" t="str">
        <f t="shared" si="39"/>
        <v>%let dc_4_3_1989=0.651;</v>
      </c>
      <c r="Q42" s="655" t="str">
        <f t="shared" si="39"/>
        <v>%let dc_4_4_1989=0.049;</v>
      </c>
      <c r="R42" s="655" t="str">
        <f t="shared" si="39"/>
        <v>%let dc_5_1_1989=0.298;</v>
      </c>
      <c r="S42" s="655" t="str">
        <f t="shared" si="39"/>
        <v>%let dc_5_2_1989=0.944;</v>
      </c>
      <c r="T42" s="655" t="str">
        <f t="shared" si="39"/>
        <v>%let dc_5_3_1989=0.666;</v>
      </c>
      <c r="U42" s="655" t="str">
        <f t="shared" si="39"/>
        <v>%let dc_5_4_1989=0.081;</v>
      </c>
      <c r="V42" s="655" t="str">
        <f t="shared" si="39"/>
        <v>%let dc_6_1_1989=0.039;</v>
      </c>
      <c r="W42" s="655" t="str">
        <f t="shared" si="39"/>
        <v>%let dc_6_2_1989=0.308;</v>
      </c>
      <c r="X42" s="655" t="str">
        <f t="shared" si="39"/>
        <v>%let dc_6_3_1989=0.389;</v>
      </c>
      <c r="Y42" s="655" t="str">
        <f t="shared" si="39"/>
        <v>%let dc_6_4_1989=0.015;</v>
      </c>
      <c r="Z42" s="655" t="str">
        <f t="shared" si="39"/>
        <v>%let dc_7_1_1989=0.088;</v>
      </c>
      <c r="AA42" s="655" t="str">
        <f t="shared" si="39"/>
        <v>%let dc_7_2_1989=0.148;</v>
      </c>
      <c r="AB42" s="655" t="str">
        <f t="shared" si="39"/>
        <v>%let dc_7_3_1989=0.467;</v>
      </c>
      <c r="AC42" s="655" t="str">
        <f t="shared" si="39"/>
        <v>%let dc_7_4_1989=0.007;</v>
      </c>
      <c r="AD42" s="655" t="str">
        <f t="shared" si="39"/>
        <v>%let dc_8_1_1989=0.006;</v>
      </c>
      <c r="AE42" s="655" t="str">
        <f t="shared" si="39"/>
        <v>%let dc_8_2_1989=0.178;</v>
      </c>
      <c r="AF42" s="655" t="str">
        <f t="shared" si="39"/>
        <v>%let dc_8_3_1989=0;</v>
      </c>
      <c r="AG42" s="655" t="str">
        <f t="shared" si="39"/>
        <v>%let dc_8_4_1989=0.002;</v>
      </c>
    </row>
    <row r="43" spans="1:33" x14ac:dyDescent="0.3">
      <c r="B43" s="1011" t="str">
        <f t="shared" ref="B43:I43" si="40">CONCATENATE("%let dc_",B$40,"_",B$41,"_",$A7,"=",ROUND(B7,3),";")</f>
        <v>%let dc_1_1_1990=0.06;</v>
      </c>
      <c r="C43" s="1011" t="str">
        <f t="shared" si="40"/>
        <v>%let dc_1_2_1990=0.369;</v>
      </c>
      <c r="D43" s="1011" t="str">
        <f t="shared" si="40"/>
        <v>%let dc_1_3_1990=0.265;</v>
      </c>
      <c r="E43" s="1011" t="str">
        <f t="shared" si="40"/>
        <v>%let dc_1_4_1990=0.046;</v>
      </c>
      <c r="F43" s="1011" t="str">
        <f t="shared" si="40"/>
        <v>%let dc_2_1_1990=0.146;</v>
      </c>
      <c r="G43" s="1011" t="str">
        <f t="shared" si="40"/>
        <v>%let dc_2_2_1990=0.417;</v>
      </c>
      <c r="H43" s="1011" t="str">
        <f t="shared" si="40"/>
        <v>%let dc_2_3_1990=0.824;</v>
      </c>
      <c r="I43" s="1011" t="str">
        <f t="shared" si="40"/>
        <v>%let dc_2_4_1990=0.241;</v>
      </c>
      <c r="J43" s="655" t="str">
        <f t="shared" ref="J43:AG43" si="41">CONCATENATE("%let dc_",J$40,"_",J$41,"_",$A7,"=",ROUND(J7,3),";")</f>
        <v>%let dc_3_1_1990=0.477;</v>
      </c>
      <c r="K43" s="655" t="str">
        <f t="shared" si="41"/>
        <v>%let dc_3_2_1990=0.679;</v>
      </c>
      <c r="L43" s="655" t="str">
        <f t="shared" si="41"/>
        <v>%let dc_3_3_1990=0.58;</v>
      </c>
      <c r="M43" s="655" t="str">
        <f t="shared" si="41"/>
        <v>%let dc_3_4_1990=0.21;</v>
      </c>
      <c r="N43" s="655" t="str">
        <f t="shared" si="41"/>
        <v>%let dc_4_1_1990=0.262;</v>
      </c>
      <c r="O43" s="655" t="str">
        <f t="shared" si="41"/>
        <v>%let dc_4_2_1990=0.675;</v>
      </c>
      <c r="P43" s="655" t="str">
        <f t="shared" si="41"/>
        <v>%let dc_4_3_1990=0.697;</v>
      </c>
      <c r="Q43" s="655" t="str">
        <f t="shared" si="41"/>
        <v>%let dc_4_4_1990=0.42;</v>
      </c>
      <c r="R43" s="655" t="str">
        <f t="shared" si="41"/>
        <v>%let dc_5_1_1990=0.352;</v>
      </c>
      <c r="S43" s="655" t="str">
        <f t="shared" si="41"/>
        <v>%let dc_5_2_1990=0.959;</v>
      </c>
      <c r="T43" s="655" t="str">
        <f t="shared" si="41"/>
        <v>%let dc_5_3_1990=0.644;</v>
      </c>
      <c r="U43" s="655" t="str">
        <f t="shared" si="41"/>
        <v>%let dc_5_4_1990=0.07;</v>
      </c>
      <c r="V43" s="655" t="str">
        <f t="shared" si="41"/>
        <v>%let dc_6_1_1990=0.16;</v>
      </c>
      <c r="W43" s="655" t="str">
        <f t="shared" si="41"/>
        <v>%let dc_6_2_1990=0.489;</v>
      </c>
      <c r="X43" s="655" t="str">
        <f t="shared" si="41"/>
        <v>%let dc_6_3_1990=0.547;</v>
      </c>
      <c r="Y43" s="655" t="str">
        <f t="shared" si="41"/>
        <v>%let dc_6_4_1990=0.099;</v>
      </c>
      <c r="Z43" s="655" t="str">
        <f t="shared" si="41"/>
        <v>%let dc_7_1_1990=0.082;</v>
      </c>
      <c r="AA43" s="655" t="str">
        <f t="shared" si="41"/>
        <v>%let dc_7_2_1990=0.197;</v>
      </c>
      <c r="AB43" s="655" t="str">
        <f t="shared" si="41"/>
        <v>%let dc_7_3_1990=0.445;</v>
      </c>
      <c r="AC43" s="655" t="str">
        <f t="shared" si="41"/>
        <v>%let dc_7_4_1990=0.05;</v>
      </c>
      <c r="AD43" s="655" t="str">
        <f t="shared" si="41"/>
        <v>%let dc_8_1_1990=0.01;</v>
      </c>
      <c r="AE43" s="655" t="str">
        <f t="shared" si="41"/>
        <v>%let dc_8_2_1990=0.163;</v>
      </c>
      <c r="AF43" s="655" t="str">
        <f t="shared" si="41"/>
        <v>%let dc_8_3_1990=0.007;</v>
      </c>
      <c r="AG43" s="655" t="str">
        <f t="shared" si="41"/>
        <v>%let dc_8_4_1990=0.014;</v>
      </c>
    </row>
    <row r="44" spans="1:33" x14ac:dyDescent="0.3">
      <c r="B44" s="1011" t="str">
        <f t="shared" ref="B44:I44" si="42">CONCATENATE("%let dc_",B$40,"_",B$41,"_",$A8,"=",ROUND(B8,3),";")</f>
        <v>%let dc_1_1_1991=0.052;</v>
      </c>
      <c r="C44" s="1011" t="str">
        <f t="shared" si="42"/>
        <v>%let dc_1_2_1991=0.372;</v>
      </c>
      <c r="D44" s="1011" t="str">
        <f t="shared" si="42"/>
        <v>%let dc_1_3_1991=0.305;</v>
      </c>
      <c r="E44" s="1011" t="str">
        <f t="shared" si="42"/>
        <v>%let dc_1_4_1991=0.042;</v>
      </c>
      <c r="F44" s="1011" t="str">
        <f t="shared" si="42"/>
        <v>%let dc_2_1_1991=0.166;</v>
      </c>
      <c r="G44" s="1011" t="str">
        <f t="shared" si="42"/>
        <v>%let dc_2_2_1991=0.459;</v>
      </c>
      <c r="H44" s="1011" t="str">
        <f t="shared" si="42"/>
        <v>%let dc_2_3_1991=0.757;</v>
      </c>
      <c r="I44" s="1011" t="str">
        <f t="shared" si="42"/>
        <v>%let dc_2_4_1991=0.212;</v>
      </c>
      <c r="J44" s="655" t="str">
        <f t="shared" ref="J44:AG44" si="43">CONCATENATE("%let dc_",J$40,"_",J$41,"_",$A8,"=",ROUND(J8,3),";")</f>
        <v>%let dc_3_1_1991=0.358;</v>
      </c>
      <c r="K44" s="655" t="str">
        <f t="shared" si="43"/>
        <v>%let dc_3_2_1991=0.679;</v>
      </c>
      <c r="L44" s="655" t="str">
        <f t="shared" si="43"/>
        <v>%let dc_3_3_1991=0.638;</v>
      </c>
      <c r="M44" s="655" t="str">
        <f t="shared" si="43"/>
        <v>%let dc_3_4_1991=0.381;</v>
      </c>
      <c r="N44" s="655" t="str">
        <f t="shared" si="43"/>
        <v>%let dc_4_1_1991=0.276;</v>
      </c>
      <c r="O44" s="655" t="str">
        <f t="shared" si="43"/>
        <v>%let dc_4_2_1991=0.76;</v>
      </c>
      <c r="P44" s="655" t="str">
        <f t="shared" si="43"/>
        <v>%let dc_4_3_1991=0.743;</v>
      </c>
      <c r="Q44" s="655" t="str">
        <f t="shared" si="43"/>
        <v>%let dc_4_4_1991=0.79;</v>
      </c>
      <c r="R44" s="655" t="str">
        <f t="shared" si="43"/>
        <v>%let dc_5_1_1991=0.406;</v>
      </c>
      <c r="S44" s="655" t="str">
        <f t="shared" si="43"/>
        <v>%let dc_5_2_1991=0.975;</v>
      </c>
      <c r="T44" s="655" t="str">
        <f t="shared" si="43"/>
        <v>%let dc_5_3_1991=0.622;</v>
      </c>
      <c r="U44" s="655" t="str">
        <f t="shared" si="43"/>
        <v>%let dc_5_4_1991=0.059;</v>
      </c>
      <c r="V44" s="655" t="str">
        <f t="shared" si="43"/>
        <v>%let dc_6_1_1991=0.28;</v>
      </c>
      <c r="W44" s="655" t="str">
        <f t="shared" si="43"/>
        <v>%let dc_6_2_1991=0.671;</v>
      </c>
      <c r="X44" s="655" t="str">
        <f t="shared" si="43"/>
        <v>%let dc_6_3_1991=0.706;</v>
      </c>
      <c r="Y44" s="655" t="str">
        <f t="shared" si="43"/>
        <v>%let dc_6_4_1991=0.183;</v>
      </c>
      <c r="Z44" s="655" t="str">
        <f t="shared" si="43"/>
        <v>%let dc_7_1_1991=0.076;</v>
      </c>
      <c r="AA44" s="655" t="str">
        <f t="shared" si="43"/>
        <v>%let dc_7_2_1991=0.246;</v>
      </c>
      <c r="AB44" s="655" t="str">
        <f t="shared" si="43"/>
        <v>%let dc_7_3_1991=0.423;</v>
      </c>
      <c r="AC44" s="655" t="str">
        <f t="shared" si="43"/>
        <v>%let dc_7_4_1991=0.092;</v>
      </c>
      <c r="AD44" s="655" t="str">
        <f t="shared" si="43"/>
        <v>%let dc_8_1_1991=0.014;</v>
      </c>
      <c r="AE44" s="655" t="str">
        <f t="shared" si="43"/>
        <v>%let dc_8_2_1991=0.148;</v>
      </c>
      <c r="AF44" s="655" t="str">
        <f t="shared" si="43"/>
        <v>%let dc_8_3_1991=0.013;</v>
      </c>
      <c r="AG44" s="655" t="str">
        <f t="shared" si="43"/>
        <v>%let dc_8_4_1991=0.027;</v>
      </c>
    </row>
    <row r="45" spans="1:33" x14ac:dyDescent="0.3">
      <c r="B45" s="1011" t="str">
        <f t="shared" ref="B45:I45" si="44">CONCATENATE("%let dc_",B$40,"_",B$41,"_",$A9,"=",ROUND(B9,3),";")</f>
        <v>%let dc_1_1_1992=0.044;</v>
      </c>
      <c r="C45" s="1011" t="str">
        <f t="shared" si="44"/>
        <v>%let dc_1_2_1992=0.376;</v>
      </c>
      <c r="D45" s="1011" t="str">
        <f t="shared" si="44"/>
        <v>%let dc_1_3_1992=0.345;</v>
      </c>
      <c r="E45" s="1011" t="str">
        <f t="shared" si="44"/>
        <v>%let dc_1_4_1992=0.038;</v>
      </c>
      <c r="F45" s="1011" t="str">
        <f t="shared" si="44"/>
        <v>%let dc_2_1_1992=0.185;</v>
      </c>
      <c r="G45" s="1011" t="str">
        <f t="shared" si="44"/>
        <v>%let dc_2_2_1992=0.502;</v>
      </c>
      <c r="H45" s="1011" t="str">
        <f t="shared" si="44"/>
        <v>%let dc_2_3_1992=0.689;</v>
      </c>
      <c r="I45" s="1011" t="str">
        <f t="shared" si="44"/>
        <v>%let dc_2_4_1992=0.183;</v>
      </c>
      <c r="J45" s="655" t="str">
        <f t="shared" ref="J45:AG45" si="45">CONCATENATE("%let dc_",J$40,"_",J$41,"_",$A9,"=",ROUND(J9,3),";")</f>
        <v>%let dc_3_1_1992=0.238;</v>
      </c>
      <c r="K45" s="655" t="str">
        <f t="shared" si="45"/>
        <v>%let dc_3_2_1992=0.679;</v>
      </c>
      <c r="L45" s="655" t="str">
        <f t="shared" si="45"/>
        <v>%let dc_3_3_1992=0.696;</v>
      </c>
      <c r="M45" s="655" t="str">
        <f t="shared" si="45"/>
        <v>%let dc_3_4_1992=0.552;</v>
      </c>
      <c r="N45" s="655" t="str">
        <f t="shared" si="45"/>
        <v>%let dc_4_1_1992=0.29;</v>
      </c>
      <c r="O45" s="655" t="str">
        <f t="shared" si="45"/>
        <v>%let dc_4_2_1992=0.844;</v>
      </c>
      <c r="P45" s="655" t="str">
        <f t="shared" si="45"/>
        <v>%let dc_4_3_1992=0.789;</v>
      </c>
      <c r="Q45" s="655" t="str">
        <f t="shared" si="45"/>
        <v>%let dc_4_4_1992=1.16;</v>
      </c>
      <c r="R45" s="655" t="str">
        <f t="shared" si="45"/>
        <v>%let dc_5_1_1992=0.46;</v>
      </c>
      <c r="S45" s="655" t="str">
        <f t="shared" si="45"/>
        <v>%let dc_5_2_1992=0.991;</v>
      </c>
      <c r="T45" s="655" t="str">
        <f t="shared" si="45"/>
        <v>%let dc_5_3_1992=0.599;</v>
      </c>
      <c r="U45" s="655" t="str">
        <f t="shared" si="45"/>
        <v>%let dc_5_4_1992=0.048;</v>
      </c>
      <c r="V45" s="655" t="str">
        <f t="shared" si="45"/>
        <v>%let dc_6_1_1992=0.4;</v>
      </c>
      <c r="W45" s="655" t="str">
        <f t="shared" si="45"/>
        <v>%let dc_6_2_1992=0.853;</v>
      </c>
      <c r="X45" s="655" t="str">
        <f t="shared" si="45"/>
        <v>%let dc_6_3_1992=0.865;</v>
      </c>
      <c r="Y45" s="655" t="str">
        <f t="shared" si="45"/>
        <v>%let dc_6_4_1992=0.267;</v>
      </c>
      <c r="Z45" s="655" t="str">
        <f t="shared" si="45"/>
        <v>%let dc_7_1_1992=0.07;</v>
      </c>
      <c r="AA45" s="655" t="str">
        <f t="shared" si="45"/>
        <v>%let dc_7_2_1992=0.294;</v>
      </c>
      <c r="AB45" s="655" t="str">
        <f t="shared" si="45"/>
        <v>%let dc_7_3_1992=0.401;</v>
      </c>
      <c r="AC45" s="655" t="str">
        <f t="shared" si="45"/>
        <v>%let dc_7_4_1992=0.134;</v>
      </c>
      <c r="AD45" s="655" t="str">
        <f t="shared" si="45"/>
        <v>%let dc_8_1_1992=0.018;</v>
      </c>
      <c r="AE45" s="655" t="str">
        <f t="shared" si="45"/>
        <v>%let dc_8_2_1992=0.133;</v>
      </c>
      <c r="AF45" s="655" t="str">
        <f t="shared" si="45"/>
        <v>%let dc_8_3_1992=0.02;</v>
      </c>
      <c r="AG45" s="655" t="str">
        <f t="shared" si="45"/>
        <v>%let dc_8_4_1992=0.039;</v>
      </c>
    </row>
    <row r="46" spans="1:33" x14ac:dyDescent="0.3">
      <c r="B46" s="1011" t="str">
        <f t="shared" ref="B46:I46" si="46">CONCATENATE("%let dc_",B$40,"_",B$41,"_",$A10,"=",ROUND(B10,3),";")</f>
        <v>%let dc_1_1_1993=0.116;</v>
      </c>
      <c r="C46" s="1011" t="str">
        <f t="shared" si="46"/>
        <v>%let dc_1_2_1993=0.414;</v>
      </c>
      <c r="D46" s="1011" t="str">
        <f t="shared" si="46"/>
        <v>%let dc_1_3_1993=0.378;</v>
      </c>
      <c r="E46" s="1011" t="str">
        <f t="shared" si="46"/>
        <v>%let dc_1_4_1993=0.098;</v>
      </c>
      <c r="F46" s="1011" t="str">
        <f t="shared" si="46"/>
        <v>%let dc_2_1_1993=0.217;</v>
      </c>
      <c r="G46" s="1011" t="str">
        <f t="shared" si="46"/>
        <v>%let dc_2_2_1993=0.529;</v>
      </c>
      <c r="H46" s="1011" t="str">
        <f t="shared" si="46"/>
        <v>%let dc_2_3_1993=0.692;</v>
      </c>
      <c r="I46" s="1011" t="str">
        <f t="shared" si="46"/>
        <v>%let dc_2_4_1993=0.253;</v>
      </c>
      <c r="J46" s="655" t="str">
        <f t="shared" ref="J46:AG46" si="47">CONCATENATE("%let dc_",J$40,"_",J$41,"_",$A10,"=",ROUND(J10,3),";")</f>
        <v>%let dc_3_1_1993=0.285;</v>
      </c>
      <c r="K46" s="655" t="str">
        <f t="shared" si="47"/>
        <v>%let dc_3_2_1993=0.781;</v>
      </c>
      <c r="L46" s="655" t="str">
        <f t="shared" si="47"/>
        <v>%let dc_3_3_1993=1.032;</v>
      </c>
      <c r="M46" s="655" t="str">
        <f t="shared" si="47"/>
        <v>%let dc_3_4_1993=0.483;</v>
      </c>
      <c r="N46" s="655" t="str">
        <f t="shared" si="47"/>
        <v>%let dc_4_1_1993=0.27;</v>
      </c>
      <c r="O46" s="655" t="str">
        <f t="shared" si="47"/>
        <v>%let dc_4_2_1993=0.955;</v>
      </c>
      <c r="P46" s="655" t="str">
        <f t="shared" si="47"/>
        <v>%let dc_4_3_1993=0.879;</v>
      </c>
      <c r="Q46" s="655" t="str">
        <f t="shared" si="47"/>
        <v>%let dc_4_4_1993=1.248;</v>
      </c>
      <c r="R46" s="655" t="str">
        <f t="shared" si="47"/>
        <v>%let dc_5_1_1993=0.392;</v>
      </c>
      <c r="S46" s="655" t="str">
        <f t="shared" si="47"/>
        <v>%let dc_5_2_1993=1.019;</v>
      </c>
      <c r="T46" s="655" t="str">
        <f t="shared" si="47"/>
        <v>%let dc_5_3_1993=1.366;</v>
      </c>
      <c r="U46" s="655" t="str">
        <f t="shared" si="47"/>
        <v>%let dc_5_4_1993=0.052;</v>
      </c>
      <c r="V46" s="655" t="str">
        <f t="shared" si="47"/>
        <v>%let dc_6_1_1993=0.378;</v>
      </c>
      <c r="W46" s="655" t="str">
        <f t="shared" si="47"/>
        <v>%let dc_6_2_1993=0.785;</v>
      </c>
      <c r="X46" s="655" t="str">
        <f t="shared" si="47"/>
        <v>%let dc_6_3_1993=0.842;</v>
      </c>
      <c r="Y46" s="655" t="str">
        <f t="shared" si="47"/>
        <v>%let dc_6_4_1993=0.222;</v>
      </c>
      <c r="Z46" s="655" t="str">
        <f t="shared" si="47"/>
        <v>%let dc_7_1_1993=0.068;</v>
      </c>
      <c r="AA46" s="655" t="str">
        <f t="shared" si="47"/>
        <v>%let dc_7_2_1993=0.278;</v>
      </c>
      <c r="AB46" s="655" t="str">
        <f t="shared" si="47"/>
        <v>%let dc_7_3_1993=0.547;</v>
      </c>
      <c r="AC46" s="655" t="str">
        <f t="shared" si="47"/>
        <v>%let dc_7_4_1993=0.11;</v>
      </c>
      <c r="AD46" s="655" t="str">
        <f t="shared" si="47"/>
        <v>%let dc_8_1_1993=0.253;</v>
      </c>
      <c r="AE46" s="655" t="str">
        <f t="shared" si="47"/>
        <v>%let dc_8_2_1993=0.154;</v>
      </c>
      <c r="AF46" s="655" t="str">
        <f t="shared" si="47"/>
        <v>%let dc_8_3_1993=0.04;</v>
      </c>
      <c r="AG46" s="655" t="str">
        <f t="shared" si="47"/>
        <v>%let dc_8_4_1993=0.033;</v>
      </c>
    </row>
    <row r="47" spans="1:33" x14ac:dyDescent="0.3">
      <c r="B47" s="1011" t="str">
        <f t="shared" ref="B47:I47" si="48">CONCATENATE("%let dc_",B$40,"_",B$41,"_",$A11,"=",ROUND(B11,3),";")</f>
        <v>%let dc_1_1_1994=0.187;</v>
      </c>
      <c r="C47" s="1011" t="str">
        <f t="shared" si="48"/>
        <v>%let dc_1_2_1994=0.452;</v>
      </c>
      <c r="D47" s="1011" t="str">
        <f t="shared" si="48"/>
        <v>%let dc_1_3_1994=0.412;</v>
      </c>
      <c r="E47" s="1011" t="str">
        <f t="shared" si="48"/>
        <v>%let dc_1_4_1994=0.159;</v>
      </c>
      <c r="F47" s="1011" t="str">
        <f t="shared" si="48"/>
        <v>%let dc_2_1_1994=0.248;</v>
      </c>
      <c r="G47" s="1011" t="str">
        <f t="shared" si="48"/>
        <v>%let dc_2_2_1994=0.555;</v>
      </c>
      <c r="H47" s="1011" t="str">
        <f t="shared" si="48"/>
        <v>%let dc_2_3_1994=0.696;</v>
      </c>
      <c r="I47" s="1011" t="str">
        <f t="shared" si="48"/>
        <v>%let dc_2_4_1994=0.324;</v>
      </c>
      <c r="J47" s="655" t="str">
        <f t="shared" ref="J47:AG47" si="49">CONCATENATE("%let dc_",J$40,"_",J$41,"_",$A11,"=",ROUND(J11,3),";")</f>
        <v>%let dc_3_1_1994=0.331;</v>
      </c>
      <c r="K47" s="655" t="str">
        <f t="shared" si="49"/>
        <v>%let dc_3_2_1994=0.882;</v>
      </c>
      <c r="L47" s="655" t="str">
        <f t="shared" si="49"/>
        <v>%let dc_3_3_1994=1.368;</v>
      </c>
      <c r="M47" s="655" t="str">
        <f t="shared" si="49"/>
        <v>%let dc_3_4_1994=0.413;</v>
      </c>
      <c r="N47" s="655" t="str">
        <f t="shared" si="49"/>
        <v>%let dc_4_1_1994=0.251;</v>
      </c>
      <c r="O47" s="655" t="str">
        <f t="shared" si="49"/>
        <v>%let dc_4_2_1994=1.065;</v>
      </c>
      <c r="P47" s="655" t="str">
        <f t="shared" si="49"/>
        <v>%let dc_4_3_1994=0.969;</v>
      </c>
      <c r="Q47" s="655" t="str">
        <f t="shared" si="49"/>
        <v>%let dc_4_4_1994=1.336;</v>
      </c>
      <c r="R47" s="655" t="str">
        <f t="shared" si="49"/>
        <v>%let dc_5_1_1994=0.325;</v>
      </c>
      <c r="S47" s="655" t="str">
        <f t="shared" si="49"/>
        <v>%let dc_5_2_1994=1.047;</v>
      </c>
      <c r="T47" s="655" t="str">
        <f t="shared" si="49"/>
        <v>%let dc_5_3_1994=2.134;</v>
      </c>
      <c r="U47" s="655" t="str">
        <f t="shared" si="49"/>
        <v>%let dc_5_4_1994=0.057;</v>
      </c>
      <c r="V47" s="655" t="str">
        <f t="shared" si="49"/>
        <v>%let dc_6_1_1994=0.356;</v>
      </c>
      <c r="W47" s="655" t="str">
        <f t="shared" si="49"/>
        <v>%let dc_6_2_1994=0.717;</v>
      </c>
      <c r="X47" s="655" t="str">
        <f t="shared" si="49"/>
        <v>%let dc_6_3_1994=0.819;</v>
      </c>
      <c r="Y47" s="655" t="str">
        <f t="shared" si="49"/>
        <v>%let dc_6_4_1994=0.178;</v>
      </c>
      <c r="Z47" s="655" t="str">
        <f t="shared" si="49"/>
        <v>%let dc_7_1_1994=0.066;</v>
      </c>
      <c r="AA47" s="655" t="str">
        <f t="shared" si="49"/>
        <v>%let dc_7_2_1994=0.262;</v>
      </c>
      <c r="AB47" s="655" t="str">
        <f t="shared" si="49"/>
        <v>%let dc_7_3_1994=0.692;</v>
      </c>
      <c r="AC47" s="655" t="str">
        <f t="shared" si="49"/>
        <v>%let dc_7_4_1994=0.086;</v>
      </c>
      <c r="AD47" s="655" t="str">
        <f t="shared" si="49"/>
        <v>%let dc_8_1_1994=0.488;</v>
      </c>
      <c r="AE47" s="655" t="str">
        <f t="shared" si="49"/>
        <v>%let dc_8_2_1994=0.174;</v>
      </c>
      <c r="AF47" s="655" t="str">
        <f t="shared" si="49"/>
        <v>%let dc_8_3_1994=0.059;</v>
      </c>
      <c r="AG47" s="655" t="str">
        <f t="shared" si="49"/>
        <v>%let dc_8_4_1994=0.026;</v>
      </c>
    </row>
    <row r="48" spans="1:33" x14ac:dyDescent="0.3">
      <c r="B48" s="1011" t="str">
        <f t="shared" ref="B48:I48" si="50">CONCATENATE("%let dc_",B$40,"_",B$41,"_",$A12,"=",ROUND(B12,3),";")</f>
        <v>%let dc_1_1_1995=0.259;</v>
      </c>
      <c r="C48" s="1011" t="str">
        <f t="shared" si="50"/>
        <v>%let dc_1_2_1995=0.49;</v>
      </c>
      <c r="D48" s="1011" t="str">
        <f t="shared" si="50"/>
        <v>%let dc_1_3_1995=0.446;</v>
      </c>
      <c r="E48" s="1011" t="str">
        <f t="shared" si="50"/>
        <v>%let dc_1_4_1995=0.219;</v>
      </c>
      <c r="F48" s="1011" t="str">
        <f t="shared" si="50"/>
        <v>%let dc_2_1_1995=0.279;</v>
      </c>
      <c r="G48" s="1011" t="str">
        <f t="shared" si="50"/>
        <v>%let dc_2_2_1995=0.581;</v>
      </c>
      <c r="H48" s="1011" t="str">
        <f t="shared" si="50"/>
        <v>%let dc_2_3_1995=0.699;</v>
      </c>
      <c r="I48" s="1011" t="str">
        <f t="shared" si="50"/>
        <v>%let dc_2_4_1995=0.394;</v>
      </c>
      <c r="J48" s="655" t="str">
        <f t="shared" ref="J48:AG48" si="51">CONCATENATE("%let dc_",J$40,"_",J$41,"_",$A12,"=",ROUND(J12,3),";")</f>
        <v>%let dc_3_1_1995=0.377;</v>
      </c>
      <c r="K48" s="655" t="str">
        <f t="shared" si="51"/>
        <v>%let dc_3_2_1995=0.984;</v>
      </c>
      <c r="L48" s="655" t="str">
        <f t="shared" si="51"/>
        <v>%let dc_3_3_1995=1.704;</v>
      </c>
      <c r="M48" s="655" t="str">
        <f t="shared" si="51"/>
        <v>%let dc_3_4_1995=0.344;</v>
      </c>
      <c r="N48" s="655" t="str">
        <f t="shared" si="51"/>
        <v>%let dc_4_1_1995=0.232;</v>
      </c>
      <c r="O48" s="655" t="str">
        <f t="shared" si="51"/>
        <v>%let dc_4_2_1995=1.175;</v>
      </c>
      <c r="P48" s="655" t="str">
        <f t="shared" si="51"/>
        <v>%let dc_4_3_1995=1.059;</v>
      </c>
      <c r="Q48" s="655" t="str">
        <f t="shared" si="51"/>
        <v>%let dc_4_4_1995=1.423;</v>
      </c>
      <c r="R48" s="655" t="str">
        <f t="shared" si="51"/>
        <v>%let dc_5_1_1995=0.258;</v>
      </c>
      <c r="S48" s="655" t="str">
        <f t="shared" si="51"/>
        <v>%let dc_5_2_1995=1.075;</v>
      </c>
      <c r="T48" s="655" t="str">
        <f t="shared" si="51"/>
        <v>%let dc_5_3_1995=2.901;</v>
      </c>
      <c r="U48" s="655" t="str">
        <f t="shared" si="51"/>
        <v>%let dc_5_4_1995=0.062;</v>
      </c>
      <c r="V48" s="655" t="str">
        <f t="shared" si="51"/>
        <v>%let dc_6_1_1995=0.334;</v>
      </c>
      <c r="W48" s="655" t="str">
        <f t="shared" si="51"/>
        <v>%let dc_6_2_1995=0.649;</v>
      </c>
      <c r="X48" s="655" t="str">
        <f t="shared" si="51"/>
        <v>%let dc_6_3_1995=0.797;</v>
      </c>
      <c r="Y48" s="655" t="str">
        <f t="shared" si="51"/>
        <v>%let dc_6_4_1995=0.134;</v>
      </c>
      <c r="Z48" s="655" t="str">
        <f t="shared" si="51"/>
        <v>%let dc_7_1_1995=0.063;</v>
      </c>
      <c r="AA48" s="655" t="str">
        <f t="shared" si="51"/>
        <v>%let dc_7_2_1995=0.246;</v>
      </c>
      <c r="AB48" s="655" t="str">
        <f t="shared" si="51"/>
        <v>%let dc_7_3_1995=0.837;</v>
      </c>
      <c r="AC48" s="655" t="str">
        <f t="shared" si="51"/>
        <v>%let dc_7_4_1995=0.061;</v>
      </c>
      <c r="AD48" s="655" t="str">
        <f t="shared" si="51"/>
        <v>%let dc_8_1_1995=0.723;</v>
      </c>
      <c r="AE48" s="655" t="str">
        <f t="shared" si="51"/>
        <v>%let dc_8_2_1995=0.195;</v>
      </c>
      <c r="AF48" s="655" t="str">
        <f t="shared" si="51"/>
        <v>%let dc_8_3_1995=0.079;</v>
      </c>
      <c r="AG48" s="655" t="str">
        <f t="shared" si="51"/>
        <v>%let dc_8_4_1995=0.019;</v>
      </c>
    </row>
    <row r="49" spans="2:33" x14ac:dyDescent="0.3">
      <c r="B49" s="1011" t="str">
        <f t="shared" ref="B49:I49" si="52">CONCATENATE("%let dc_",B$40,"_",B$41,"_",$A13,"=",ROUND(B13,3),";")</f>
        <v>%let dc_1_1_1996=0.206;</v>
      </c>
      <c r="C49" s="1011" t="str">
        <f t="shared" si="52"/>
        <v>%let dc_1_2_1996=0.534;</v>
      </c>
      <c r="D49" s="1011" t="str">
        <f t="shared" si="52"/>
        <v>%let dc_1_3_1996=0.48;</v>
      </c>
      <c r="E49" s="1011" t="str">
        <f t="shared" si="52"/>
        <v>%let dc_1_4_1996=0.23;</v>
      </c>
      <c r="F49" s="1011" t="str">
        <f t="shared" si="52"/>
        <v>%let dc_2_1_1996=0.307;</v>
      </c>
      <c r="G49" s="1011" t="str">
        <f t="shared" si="52"/>
        <v>%let dc_2_2_1996=0.655;</v>
      </c>
      <c r="H49" s="1011" t="str">
        <f t="shared" si="52"/>
        <v>%let dc_2_3_1996=0.866;</v>
      </c>
      <c r="I49" s="1011" t="str">
        <f t="shared" si="52"/>
        <v>%let dc_2_4_1996=0.421;</v>
      </c>
      <c r="J49" s="655" t="str">
        <f t="shared" ref="J49:AG49" si="53">CONCATENATE("%let dc_",J$40,"_",J$41,"_",$A13,"=",ROUND(J13,3),";")</f>
        <v>%let dc_3_1_1996=0.427;</v>
      </c>
      <c r="K49" s="655" t="str">
        <f t="shared" si="53"/>
        <v>%let dc_3_2_1996=0.991;</v>
      </c>
      <c r="L49" s="655" t="str">
        <f t="shared" si="53"/>
        <v>%let dc_3_3_1996=1.404;</v>
      </c>
      <c r="M49" s="655" t="str">
        <f t="shared" si="53"/>
        <v>%let dc_3_4_1996=0.959;</v>
      </c>
      <c r="N49" s="655" t="str">
        <f t="shared" si="53"/>
        <v>%let dc_4_1_1996=0.368;</v>
      </c>
      <c r="O49" s="655" t="str">
        <f t="shared" si="53"/>
        <v>%let dc_4_2_1996=1.195;</v>
      </c>
      <c r="P49" s="655" t="str">
        <f t="shared" si="53"/>
        <v>%let dc_4_3_1996=1.392;</v>
      </c>
      <c r="Q49" s="655" t="str">
        <f t="shared" si="53"/>
        <v>%let dc_4_4_1996=1.555;</v>
      </c>
      <c r="R49" s="655" t="str">
        <f t="shared" si="53"/>
        <v>%let dc_5_1_1996=0.265;</v>
      </c>
      <c r="S49" s="655" t="str">
        <f t="shared" si="53"/>
        <v>%let dc_5_2_1996=1.08;</v>
      </c>
      <c r="T49" s="655" t="str">
        <f t="shared" si="53"/>
        <v>%let dc_5_3_1996=2.202;</v>
      </c>
      <c r="U49" s="655" t="str">
        <f t="shared" si="53"/>
        <v>%let dc_5_4_1996=0.105;</v>
      </c>
      <c r="V49" s="655" t="str">
        <f t="shared" si="53"/>
        <v>%let dc_6_1_1996=0.273;</v>
      </c>
      <c r="W49" s="655" t="str">
        <f t="shared" si="53"/>
        <v>%let dc_6_2_1996=0.669;</v>
      </c>
      <c r="X49" s="655" t="str">
        <f t="shared" si="53"/>
        <v>%let dc_6_3_1996=0.84;</v>
      </c>
      <c r="Y49" s="655" t="str">
        <f t="shared" si="53"/>
        <v>%let dc_6_4_1996=0.17;</v>
      </c>
      <c r="Z49" s="655" t="str">
        <f t="shared" si="53"/>
        <v>%let dc_7_1_1996=0.123;</v>
      </c>
      <c r="AA49" s="655" t="str">
        <f t="shared" si="53"/>
        <v>%let dc_7_2_1996=0.317;</v>
      </c>
      <c r="AB49" s="655" t="str">
        <f t="shared" si="53"/>
        <v>%let dc_7_3_1996=0.662;</v>
      </c>
      <c r="AC49" s="655" t="str">
        <f t="shared" si="53"/>
        <v>%let dc_7_4_1996=0.123;</v>
      </c>
      <c r="AD49" s="655" t="str">
        <f t="shared" si="53"/>
        <v>%let dc_8_1_1996=0.51;</v>
      </c>
      <c r="AE49" s="655" t="str">
        <f t="shared" si="53"/>
        <v>%let dc_8_2_1996=0.202;</v>
      </c>
      <c r="AF49" s="655" t="str">
        <f t="shared" si="53"/>
        <v>%let dc_8_3_1996=0.097;</v>
      </c>
      <c r="AG49" s="655" t="str">
        <f t="shared" si="53"/>
        <v>%let dc_8_4_1996=0.014;</v>
      </c>
    </row>
    <row r="50" spans="2:33" x14ac:dyDescent="0.3">
      <c r="B50" s="1011" t="str">
        <f t="shared" ref="B50:I50" si="54">CONCATENATE("%let dc_",B$40,"_",B$41,"_",$A14,"=",ROUND(B14,3),";")</f>
        <v>%let dc_1_1_1997=0.153;</v>
      </c>
      <c r="C50" s="1011" t="str">
        <f t="shared" si="54"/>
        <v>%let dc_1_2_1997=0.578;</v>
      </c>
      <c r="D50" s="1011" t="str">
        <f t="shared" si="54"/>
        <v>%let dc_1_3_1997=0.514;</v>
      </c>
      <c r="E50" s="1011" t="str">
        <f t="shared" si="54"/>
        <v>%let dc_1_4_1997=0.24;</v>
      </c>
      <c r="F50" s="1011" t="str">
        <f t="shared" si="54"/>
        <v>%let dc_2_1_1997=0.335;</v>
      </c>
      <c r="G50" s="1011" t="str">
        <f t="shared" si="54"/>
        <v>%let dc_2_2_1997=0.728;</v>
      </c>
      <c r="H50" s="1011" t="str">
        <f t="shared" si="54"/>
        <v>%let dc_2_3_1997=1.033;</v>
      </c>
      <c r="I50" s="1011" t="str">
        <f t="shared" si="54"/>
        <v>%let dc_2_4_1997=0.447;</v>
      </c>
      <c r="J50" s="655" t="str">
        <f t="shared" ref="J50:AG50" si="55">CONCATENATE("%let dc_",J$40,"_",J$41,"_",$A14,"=",ROUND(J14,3),";")</f>
        <v>%let dc_3_1_1997=0.476;</v>
      </c>
      <c r="K50" s="655" t="str">
        <f t="shared" si="55"/>
        <v>%let dc_3_2_1997=0.999;</v>
      </c>
      <c r="L50" s="655" t="str">
        <f t="shared" si="55"/>
        <v>%let dc_3_3_1997=1.104;</v>
      </c>
      <c r="M50" s="655" t="str">
        <f t="shared" si="55"/>
        <v>%let dc_3_4_1997=1.575;</v>
      </c>
      <c r="N50" s="655" t="str">
        <f t="shared" si="55"/>
        <v>%let dc_4_1_1997=0.504;</v>
      </c>
      <c r="O50" s="655" t="str">
        <f t="shared" si="55"/>
        <v>%let dc_4_2_1997=1.215;</v>
      </c>
      <c r="P50" s="655" t="str">
        <f t="shared" si="55"/>
        <v>%let dc_4_3_1997=1.725;</v>
      </c>
      <c r="Q50" s="655" t="str">
        <f t="shared" si="55"/>
        <v>%let dc_4_4_1997=1.686;</v>
      </c>
      <c r="R50" s="655" t="str">
        <f t="shared" si="55"/>
        <v>%let dc_5_1_1997=0.271;</v>
      </c>
      <c r="S50" s="655" t="str">
        <f t="shared" si="55"/>
        <v>%let dc_5_2_1997=1.085;</v>
      </c>
      <c r="T50" s="655" t="str">
        <f t="shared" si="55"/>
        <v>%let dc_5_3_1997=1.504;</v>
      </c>
      <c r="U50" s="655" t="str">
        <f t="shared" si="55"/>
        <v>%let dc_5_4_1997=0.148;</v>
      </c>
      <c r="V50" s="655" t="str">
        <f t="shared" si="55"/>
        <v>%let dc_6_1_1997=0.212;</v>
      </c>
      <c r="W50" s="655" t="str">
        <f t="shared" si="55"/>
        <v>%let dc_6_2_1997=0.688;</v>
      </c>
      <c r="X50" s="655" t="str">
        <f t="shared" si="55"/>
        <v>%let dc_6_3_1997=0.883;</v>
      </c>
      <c r="Y50" s="655" t="str">
        <f t="shared" si="55"/>
        <v>%let dc_6_4_1997=0.205;</v>
      </c>
      <c r="Z50" s="655" t="str">
        <f t="shared" si="55"/>
        <v>%let dc_7_1_1997=0.183;</v>
      </c>
      <c r="AA50" s="655" t="str">
        <f t="shared" si="55"/>
        <v>%let dc_7_2_1997=0.387;</v>
      </c>
      <c r="AB50" s="655" t="str">
        <f t="shared" si="55"/>
        <v>%let dc_7_3_1997=0.488;</v>
      </c>
      <c r="AC50" s="655" t="str">
        <f t="shared" si="55"/>
        <v>%let dc_7_4_1997=0.184;</v>
      </c>
      <c r="AD50" s="655" t="str">
        <f t="shared" si="55"/>
        <v>%let dc_8_1_1997=0.297;</v>
      </c>
      <c r="AE50" s="655" t="str">
        <f t="shared" si="55"/>
        <v>%let dc_8_2_1997=0.209;</v>
      </c>
      <c r="AF50" s="655" t="str">
        <f t="shared" si="55"/>
        <v>%let dc_8_3_1997=0.116;</v>
      </c>
      <c r="AG50" s="655" t="str">
        <f t="shared" si="55"/>
        <v>%let dc_8_4_1997=0.009;</v>
      </c>
    </row>
    <row r="51" spans="2:33" x14ac:dyDescent="0.3">
      <c r="B51" s="1011" t="str">
        <f t="shared" ref="B51:I51" si="56">CONCATENATE("%let dc_",B$40,"_",B$41,"_",$A15,"=",ROUND(B15,3),";")</f>
        <v>%let dc_1_1_1998=0.101;</v>
      </c>
      <c r="C51" s="1011" t="str">
        <f t="shared" si="56"/>
        <v>%let dc_1_2_1998=0.621;</v>
      </c>
      <c r="D51" s="1011" t="str">
        <f t="shared" si="56"/>
        <v>%let dc_1_3_1998=0.548;</v>
      </c>
      <c r="E51" s="1011" t="str">
        <f t="shared" si="56"/>
        <v>%let dc_1_4_1998=0.251;</v>
      </c>
      <c r="F51" s="1011" t="str">
        <f t="shared" si="56"/>
        <v>%let dc_2_1_1998=0.363;</v>
      </c>
      <c r="G51" s="1011" t="str">
        <f t="shared" si="56"/>
        <v>%let dc_2_2_1998=0.802;</v>
      </c>
      <c r="H51" s="1011" t="str">
        <f t="shared" si="56"/>
        <v>%let dc_2_3_1998=1.2;</v>
      </c>
      <c r="I51" s="1011" t="str">
        <f t="shared" si="56"/>
        <v>%let dc_2_4_1998=0.474;</v>
      </c>
      <c r="J51" s="655" t="str">
        <f t="shared" ref="J51:AG51" si="57">CONCATENATE("%let dc_",J$40,"_",J$41,"_",$A15,"=",ROUND(J15,3),";")</f>
        <v>%let dc_3_1_1998=0.525;</v>
      </c>
      <c r="K51" s="655" t="str">
        <f t="shared" si="57"/>
        <v>%let dc_3_2_1998=1.007;</v>
      </c>
      <c r="L51" s="655" t="str">
        <f t="shared" si="57"/>
        <v>%let dc_3_3_1998=0.804;</v>
      </c>
      <c r="M51" s="655" t="str">
        <f t="shared" si="57"/>
        <v>%let dc_3_4_1998=2.19;</v>
      </c>
      <c r="N51" s="655" t="str">
        <f t="shared" si="57"/>
        <v>%let dc_4_1_1998=0.64;</v>
      </c>
      <c r="O51" s="655" t="str">
        <f t="shared" si="57"/>
        <v>%let dc_4_2_1998=1.236;</v>
      </c>
      <c r="P51" s="655" t="str">
        <f t="shared" si="57"/>
        <v>%let dc_4_3_1998=2.058;</v>
      </c>
      <c r="Q51" s="655" t="str">
        <f t="shared" si="57"/>
        <v>%let dc_4_4_1998=1.818;</v>
      </c>
      <c r="R51" s="655" t="str">
        <f t="shared" si="57"/>
        <v>%let dc_5_1_1998=0.278;</v>
      </c>
      <c r="S51" s="655" t="str">
        <f t="shared" si="57"/>
        <v>%let dc_5_2_1998=1.09;</v>
      </c>
      <c r="T51" s="655" t="str">
        <f t="shared" si="57"/>
        <v>%let dc_5_3_1998=0.805;</v>
      </c>
      <c r="U51" s="655" t="str">
        <f t="shared" si="57"/>
        <v>%let dc_5_4_1998=0.19;</v>
      </c>
      <c r="V51" s="655" t="str">
        <f t="shared" si="57"/>
        <v>%let dc_6_1_1998=0.151;</v>
      </c>
      <c r="W51" s="655" t="str">
        <f t="shared" si="57"/>
        <v>%let dc_6_2_1998=0.707;</v>
      </c>
      <c r="X51" s="655" t="str">
        <f t="shared" si="57"/>
        <v>%let dc_6_3_1998=0.926;</v>
      </c>
      <c r="Y51" s="655" t="str">
        <f t="shared" si="57"/>
        <v>%let dc_6_4_1998=0.241;</v>
      </c>
      <c r="Z51" s="655" t="str">
        <f t="shared" si="57"/>
        <v>%let dc_7_1_1998=0.243;</v>
      </c>
      <c r="AA51" s="655" t="str">
        <f t="shared" si="57"/>
        <v>%let dc_7_2_1998=0.458;</v>
      </c>
      <c r="AB51" s="655" t="str">
        <f t="shared" si="57"/>
        <v>%let dc_7_3_1998=0.313;</v>
      </c>
      <c r="AC51" s="655" t="str">
        <f t="shared" si="57"/>
        <v>%let dc_7_4_1998=0.245;</v>
      </c>
      <c r="AD51" s="655" t="str">
        <f t="shared" si="57"/>
        <v>%let dc_8_1_1998=0.084;</v>
      </c>
      <c r="AE51" s="655" t="str">
        <f t="shared" si="57"/>
        <v>%let dc_8_2_1998=0.215;</v>
      </c>
      <c r="AF51" s="655" t="str">
        <f t="shared" si="57"/>
        <v>%let dc_8_3_1998=0.134;</v>
      </c>
      <c r="AG51" s="655" t="str">
        <f t="shared" si="57"/>
        <v>%let dc_8_4_1998=0.004;</v>
      </c>
    </row>
    <row r="52" spans="2:33" x14ac:dyDescent="0.3">
      <c r="B52" s="1011" t="str">
        <f t="shared" ref="B52:I52" si="58">CONCATENATE("%let dc_",B$40,"_",B$41,"_",$A16,"=",ROUND(B16,3),";")</f>
        <v>%let dc_1_1_1999=0.101;</v>
      </c>
      <c r="C52" s="1011" t="str">
        <f t="shared" si="58"/>
        <v>%let dc_1_2_1999=0.745;</v>
      </c>
      <c r="D52" s="1011" t="str">
        <f t="shared" si="58"/>
        <v>%let dc_1_3_1999=0.62;</v>
      </c>
      <c r="E52" s="1011" t="str">
        <f t="shared" si="58"/>
        <v>%let dc_1_4_1999=0.338;</v>
      </c>
      <c r="F52" s="1011" t="str">
        <f t="shared" si="58"/>
        <v>%let dc_2_1_1999=0.348;</v>
      </c>
      <c r="G52" s="1011" t="str">
        <f t="shared" si="58"/>
        <v>%let dc_2_2_1999=0.865;</v>
      </c>
      <c r="H52" s="1011" t="str">
        <f t="shared" si="58"/>
        <v>%let dc_2_3_1999=1.276;</v>
      </c>
      <c r="I52" s="1011" t="str">
        <f t="shared" si="58"/>
        <v>%let dc_2_4_1999=0.642;</v>
      </c>
      <c r="J52" s="655" t="str">
        <f t="shared" ref="J52:AG52" si="59">CONCATENATE("%let dc_",J$40,"_",J$41,"_",$A16,"=",ROUND(J16,3),";")</f>
        <v>%let dc_3_1_1999=0.498;</v>
      </c>
      <c r="K52" s="655" t="str">
        <f t="shared" si="59"/>
        <v>%let dc_3_2_1999=1.098;</v>
      </c>
      <c r="L52" s="655" t="str">
        <f t="shared" si="59"/>
        <v>%let dc_3_3_1999=1.428;</v>
      </c>
      <c r="M52" s="655" t="str">
        <f t="shared" si="59"/>
        <v>%let dc_3_4_1999=1.865;</v>
      </c>
      <c r="N52" s="655" t="str">
        <f t="shared" si="59"/>
        <v>%let dc_4_1_1999=0.571;</v>
      </c>
      <c r="O52" s="655" t="str">
        <f t="shared" si="59"/>
        <v>%let dc_4_2_1999=1.294;</v>
      </c>
      <c r="P52" s="655" t="str">
        <f t="shared" si="59"/>
        <v>%let dc_4_3_1999=2.065;</v>
      </c>
      <c r="Q52" s="655" t="str">
        <f t="shared" si="59"/>
        <v>%let dc_4_4_1999=1.484;</v>
      </c>
      <c r="R52" s="655" t="str">
        <f t="shared" si="59"/>
        <v>%let dc_5_1_1999=0.307;</v>
      </c>
      <c r="S52" s="655" t="str">
        <f t="shared" si="59"/>
        <v>%let dc_5_2_1999=1.121;</v>
      </c>
      <c r="T52" s="655" t="str">
        <f t="shared" si="59"/>
        <v>%let dc_5_3_1999=0.797;</v>
      </c>
      <c r="U52" s="655" t="str">
        <f t="shared" si="59"/>
        <v>%let dc_5_4_1999=0.504;</v>
      </c>
      <c r="V52" s="655" t="str">
        <f t="shared" si="59"/>
        <v>%let dc_6_1_1999=0.178;</v>
      </c>
      <c r="W52" s="655" t="str">
        <f t="shared" si="59"/>
        <v>%let dc_6_2_1999=0.66;</v>
      </c>
      <c r="X52" s="655" t="str">
        <f t="shared" si="59"/>
        <v>%let dc_6_3_1999=0.945;</v>
      </c>
      <c r="Y52" s="655" t="str">
        <f t="shared" si="59"/>
        <v>%let dc_6_4_1999=0.587;</v>
      </c>
      <c r="Z52" s="655" t="str">
        <f t="shared" si="59"/>
        <v>%let dc_7_1_1999=0.167;</v>
      </c>
      <c r="AA52" s="655" t="str">
        <f t="shared" si="59"/>
        <v>%let dc_7_2_1999=0.377;</v>
      </c>
      <c r="AB52" s="655" t="str">
        <f t="shared" si="59"/>
        <v>%let dc_7_3_1999=0.26;</v>
      </c>
      <c r="AC52" s="655" t="str">
        <f t="shared" si="59"/>
        <v>%let dc_7_4_1999=0.204;</v>
      </c>
      <c r="AD52" s="655" t="str">
        <f t="shared" si="59"/>
        <v>%let dc_8_1_1999=0.06;</v>
      </c>
      <c r="AE52" s="655" t="str">
        <f t="shared" si="59"/>
        <v>%let dc_8_2_1999=0.155;</v>
      </c>
      <c r="AF52" s="655" t="str">
        <f t="shared" si="59"/>
        <v>%let dc_8_3_1999=0.125;</v>
      </c>
      <c r="AG52" s="655" t="str">
        <f t="shared" si="59"/>
        <v>%let dc_8_4_1999=0.003;</v>
      </c>
    </row>
    <row r="53" spans="2:33" x14ac:dyDescent="0.3">
      <c r="B53" s="1011" t="str">
        <f t="shared" ref="B53:I53" si="60">CONCATENATE("%let dc_",B$40,"_",B$41,"_",$A17,"=",ROUND(B17,3),";")</f>
        <v>%let dc_1_1_2000=0.101;</v>
      </c>
      <c r="C53" s="1011" t="str">
        <f t="shared" si="60"/>
        <v>%let dc_1_2_2000=0.869;</v>
      </c>
      <c r="D53" s="1011" t="str">
        <f t="shared" si="60"/>
        <v>%let dc_1_3_2000=0.692;</v>
      </c>
      <c r="E53" s="1011" t="str">
        <f t="shared" si="60"/>
        <v>%let dc_1_4_2000=0.424;</v>
      </c>
      <c r="F53" s="1011" t="str">
        <f t="shared" si="60"/>
        <v>%let dc_2_1_2000=0.334;</v>
      </c>
      <c r="G53" s="1011" t="str">
        <f t="shared" si="60"/>
        <v>%let dc_2_2_2000=0.928;</v>
      </c>
      <c r="H53" s="1011" t="str">
        <f t="shared" si="60"/>
        <v>%let dc_2_3_2000=1.352;</v>
      </c>
      <c r="I53" s="1011" t="str">
        <f t="shared" si="60"/>
        <v>%let dc_2_4_2000=0.809;</v>
      </c>
      <c r="J53" s="655" t="str">
        <f t="shared" ref="J53:AG53" si="61">CONCATENATE("%let dc_",J$40,"_",J$41,"_",$A17,"=",ROUND(J17,3),";")</f>
        <v>%let dc_3_1_2000=0.472;</v>
      </c>
      <c r="K53" s="655" t="str">
        <f t="shared" si="61"/>
        <v>%let dc_3_2_2000=1.189;</v>
      </c>
      <c r="L53" s="655" t="str">
        <f t="shared" si="61"/>
        <v>%let dc_3_3_2000=2.051;</v>
      </c>
      <c r="M53" s="655" t="str">
        <f t="shared" si="61"/>
        <v>%let dc_3_4_2000=1.541;</v>
      </c>
      <c r="N53" s="655" t="str">
        <f t="shared" si="61"/>
        <v>%let dc_4_1_2000=0.503;</v>
      </c>
      <c r="O53" s="655" t="str">
        <f t="shared" si="61"/>
        <v>%let dc_4_2_2000=1.353;</v>
      </c>
      <c r="P53" s="655" t="str">
        <f t="shared" si="61"/>
        <v>%let dc_4_3_2000=2.073;</v>
      </c>
      <c r="Q53" s="655" t="str">
        <f t="shared" si="61"/>
        <v>%let dc_4_4_2000=1.15;</v>
      </c>
      <c r="R53" s="655" t="str">
        <f t="shared" si="61"/>
        <v>%let dc_5_1_2000=0.337;</v>
      </c>
      <c r="S53" s="655" t="str">
        <f t="shared" si="61"/>
        <v>%let dc_5_2_2000=1.152;</v>
      </c>
      <c r="T53" s="655" t="str">
        <f t="shared" si="61"/>
        <v>%let dc_5_3_2000=0.789;</v>
      </c>
      <c r="U53" s="655" t="str">
        <f t="shared" si="61"/>
        <v>%let dc_5_4_2000=0.817;</v>
      </c>
      <c r="V53" s="655" t="str">
        <f t="shared" si="61"/>
        <v>%let dc_6_1_2000=0.204;</v>
      </c>
      <c r="W53" s="655" t="str">
        <f t="shared" si="61"/>
        <v>%let dc_6_2_2000=0.613;</v>
      </c>
      <c r="X53" s="655" t="str">
        <f t="shared" si="61"/>
        <v>%let dc_6_3_2000=0.964;</v>
      </c>
      <c r="Y53" s="655" t="str">
        <f t="shared" si="61"/>
        <v>%let dc_6_4_2000=0.934;</v>
      </c>
      <c r="Z53" s="655" t="str">
        <f t="shared" si="61"/>
        <v>%let dc_7_1_2000=0.09;</v>
      </c>
      <c r="AA53" s="655" t="str">
        <f t="shared" si="61"/>
        <v>%let dc_7_2_2000=0.295;</v>
      </c>
      <c r="AB53" s="655" t="str">
        <f t="shared" si="61"/>
        <v>%let dc_7_3_2000=0.207;</v>
      </c>
      <c r="AC53" s="655" t="str">
        <f t="shared" si="61"/>
        <v>%let dc_7_4_2000=0.163;</v>
      </c>
      <c r="AD53" s="655" t="str">
        <f t="shared" si="61"/>
        <v>%let dc_8_1_2000=0.035;</v>
      </c>
      <c r="AE53" s="655" t="str">
        <f t="shared" si="61"/>
        <v>%let dc_8_2_2000=0.095;</v>
      </c>
      <c r="AF53" s="655" t="str">
        <f t="shared" si="61"/>
        <v>%let dc_8_3_2000=0.116;</v>
      </c>
      <c r="AG53" s="655" t="str">
        <f t="shared" si="61"/>
        <v>%let dc_8_4_2000=0.001;</v>
      </c>
    </row>
    <row r="54" spans="2:33" x14ac:dyDescent="0.3">
      <c r="B54" s="1011" t="str">
        <f t="shared" ref="B54:I54" si="62">CONCATENATE("%let dc_",B$40,"_",B$41,"_",$A18,"=",ROUND(B18,3),";")</f>
        <v>%let dc_1_1_2001=0.101;</v>
      </c>
      <c r="C54" s="1011" t="str">
        <f t="shared" si="62"/>
        <v>%let dc_1_2_2001=0.993;</v>
      </c>
      <c r="D54" s="1011" t="str">
        <f t="shared" si="62"/>
        <v>%let dc_1_3_2001=0.764;</v>
      </c>
      <c r="E54" s="1011" t="str">
        <f t="shared" si="62"/>
        <v>%let dc_1_4_2001=0.511;</v>
      </c>
      <c r="F54" s="1011" t="str">
        <f t="shared" si="62"/>
        <v>%let dc_2_1_2001=0.32;</v>
      </c>
      <c r="G54" s="1011" t="str">
        <f t="shared" si="62"/>
        <v>%let dc_2_2_2001=0.991;</v>
      </c>
      <c r="H54" s="1011" t="str">
        <f t="shared" si="62"/>
        <v>%let dc_2_3_2001=1.427;</v>
      </c>
      <c r="I54" s="1011" t="str">
        <f t="shared" si="62"/>
        <v>%let dc_2_4_2001=0.977;</v>
      </c>
      <c r="J54" s="655" t="str">
        <f t="shared" ref="J54:AG54" si="63">CONCATENATE("%let dc_",J$40,"_",J$41,"_",$A18,"=",ROUND(J18,3),";")</f>
        <v>%let dc_3_1_2001=0.445;</v>
      </c>
      <c r="K54" s="655" t="str">
        <f t="shared" si="63"/>
        <v>%let dc_3_2_2001=1.28;</v>
      </c>
      <c r="L54" s="655" t="str">
        <f t="shared" si="63"/>
        <v>%let dc_3_3_2001=2.674;</v>
      </c>
      <c r="M54" s="655" t="str">
        <f t="shared" si="63"/>
        <v>%let dc_3_4_2001=1.217;</v>
      </c>
      <c r="N54" s="655" t="str">
        <f t="shared" si="63"/>
        <v>%let dc_4_1_2001=0.434;</v>
      </c>
      <c r="O54" s="655" t="str">
        <f t="shared" si="63"/>
        <v>%let dc_4_2_2001=1.411;</v>
      </c>
      <c r="P54" s="655" t="str">
        <f t="shared" si="63"/>
        <v>%let dc_4_3_2001=2.081;</v>
      </c>
      <c r="Q54" s="655" t="str">
        <f t="shared" si="63"/>
        <v>%let dc_4_4_2001=0.815;</v>
      </c>
      <c r="R54" s="655" t="str">
        <f t="shared" si="63"/>
        <v>%let dc_5_1_2001=0.366;</v>
      </c>
      <c r="S54" s="655" t="str">
        <f t="shared" si="63"/>
        <v>%let dc_5_2_2001=1.183;</v>
      </c>
      <c r="T54" s="655" t="str">
        <f t="shared" si="63"/>
        <v>%let dc_5_3_2001=0.781;</v>
      </c>
      <c r="U54" s="655" t="str">
        <f t="shared" si="63"/>
        <v>%let dc_5_4_2001=1.13;</v>
      </c>
      <c r="V54" s="655" t="str">
        <f t="shared" si="63"/>
        <v>%let dc_6_1_2001=0.23;</v>
      </c>
      <c r="W54" s="655" t="str">
        <f t="shared" si="63"/>
        <v>%let dc_6_2_2001=0.566;</v>
      </c>
      <c r="X54" s="655" t="str">
        <f t="shared" si="63"/>
        <v>%let dc_6_3_2001=0.983;</v>
      </c>
      <c r="Y54" s="655" t="str">
        <f t="shared" si="63"/>
        <v>%let dc_6_4_2001=1.28;</v>
      </c>
      <c r="Z54" s="655" t="str">
        <f t="shared" si="63"/>
        <v>%let dc_7_1_2001=0.014;</v>
      </c>
      <c r="AA54" s="655" t="str">
        <f t="shared" si="63"/>
        <v>%let dc_7_2_2001=0.213;</v>
      </c>
      <c r="AB54" s="655" t="str">
        <f t="shared" si="63"/>
        <v>%let dc_7_3_2001=0.155;</v>
      </c>
      <c r="AC54" s="655" t="str">
        <f t="shared" si="63"/>
        <v>%let dc_7_4_2001=0.123;</v>
      </c>
      <c r="AD54" s="655" t="str">
        <f t="shared" si="63"/>
        <v>%let dc_8_1_2001=0.01;</v>
      </c>
      <c r="AE54" s="655" t="str">
        <f t="shared" si="63"/>
        <v>%let dc_8_2_2001=0.035;</v>
      </c>
      <c r="AF54" s="655" t="str">
        <f t="shared" si="63"/>
        <v>%let dc_8_3_2001=0.106;</v>
      </c>
      <c r="AG54" s="655" t="str">
        <f t="shared" si="63"/>
        <v>%let dc_8_4_2001=0;</v>
      </c>
    </row>
    <row r="55" spans="2:33" x14ac:dyDescent="0.3">
      <c r="B55" s="1011" t="str">
        <f t="shared" ref="B55:I55" si="64">CONCATENATE("%let dc_",B$40,"_",B$41,"_",$A19,"=",ROUND(B19,3),";")</f>
        <v>%let dc_1_1_2002=0.092;</v>
      </c>
      <c r="C55" s="1011" t="str">
        <f t="shared" si="64"/>
        <v>%let dc_1_2_2002=0.81;</v>
      </c>
      <c r="D55" s="1011" t="str">
        <f t="shared" si="64"/>
        <v>%let dc_1_3_2002=0.737;</v>
      </c>
      <c r="E55" s="1011" t="str">
        <f t="shared" si="64"/>
        <v>%let dc_1_4_2002=0.476;</v>
      </c>
      <c r="F55" s="1011" t="str">
        <f t="shared" si="64"/>
        <v>%let dc_2_1_2002=0.314;</v>
      </c>
      <c r="G55" s="1011" t="str">
        <f t="shared" si="64"/>
        <v>%let dc_2_2_2002=1.004;</v>
      </c>
      <c r="H55" s="1011" t="str">
        <f t="shared" si="64"/>
        <v>%let dc_2_3_2002=1.413;</v>
      </c>
      <c r="I55" s="1011" t="str">
        <f t="shared" si="64"/>
        <v>%let dc_2_4_2002=0.967;</v>
      </c>
      <c r="J55" s="655" t="str">
        <f t="shared" ref="J55:AG55" si="65">CONCATENATE("%let dc_",J$40,"_",J$41,"_",$A19,"=",ROUND(J19,3),";")</f>
        <v>%let dc_3_1_2002=0.483;</v>
      </c>
      <c r="K55" s="655" t="str">
        <f t="shared" si="65"/>
        <v>%let dc_3_2_2002=1.267;</v>
      </c>
      <c r="L55" s="655" t="str">
        <f t="shared" si="65"/>
        <v>%let dc_3_3_2002=2.402;</v>
      </c>
      <c r="M55" s="655" t="str">
        <f t="shared" si="65"/>
        <v>%let dc_3_4_2002=1.997;</v>
      </c>
      <c r="N55" s="655" t="str">
        <f t="shared" si="65"/>
        <v>%let dc_4_1_2002=0.466;</v>
      </c>
      <c r="O55" s="655" t="str">
        <f t="shared" si="65"/>
        <v>%let dc_4_2_2002=1.464;</v>
      </c>
      <c r="P55" s="655" t="str">
        <f t="shared" si="65"/>
        <v>%let dc_4_3_2002=2.016;</v>
      </c>
      <c r="Q55" s="655" t="str">
        <f t="shared" si="65"/>
        <v>%let dc_4_4_2002=0.994;</v>
      </c>
      <c r="R55" s="655" t="str">
        <f t="shared" si="65"/>
        <v>%let dc_5_1_2002=0.478;</v>
      </c>
      <c r="S55" s="655" t="str">
        <f t="shared" si="65"/>
        <v>%let dc_5_2_2002=1.023;</v>
      </c>
      <c r="T55" s="655" t="str">
        <f t="shared" si="65"/>
        <v>%let dc_5_3_2002=1.358;</v>
      </c>
      <c r="U55" s="655" t="str">
        <f t="shared" si="65"/>
        <v>%let dc_5_4_2002=1.225;</v>
      </c>
      <c r="V55" s="655" t="str">
        <f t="shared" si="65"/>
        <v>%let dc_6_1_2002=0.225;</v>
      </c>
      <c r="W55" s="655" t="str">
        <f t="shared" si="65"/>
        <v>%let dc_6_2_2002=0.662;</v>
      </c>
      <c r="X55" s="655" t="str">
        <f t="shared" si="65"/>
        <v>%let dc_6_3_2002=1.782;</v>
      </c>
      <c r="Y55" s="655" t="str">
        <f t="shared" si="65"/>
        <v>%let dc_6_4_2002=1.037;</v>
      </c>
      <c r="Z55" s="655" t="str">
        <f t="shared" si="65"/>
        <v>%let dc_7_1_2002=0.115;</v>
      </c>
      <c r="AA55" s="655" t="str">
        <f t="shared" si="65"/>
        <v>%let dc_7_2_2002=0.254;</v>
      </c>
      <c r="AB55" s="655" t="str">
        <f t="shared" si="65"/>
        <v>%let dc_7_3_2002=0.191;</v>
      </c>
      <c r="AC55" s="655" t="str">
        <f t="shared" si="65"/>
        <v>%let dc_7_4_2002=0.226;</v>
      </c>
      <c r="AD55" s="655" t="str">
        <f t="shared" si="65"/>
        <v>%let dc_8_1_2002=0.017;</v>
      </c>
      <c r="AE55" s="655" t="str">
        <f t="shared" si="65"/>
        <v>%let dc_8_2_2002=0.04;</v>
      </c>
      <c r="AF55" s="655" t="str">
        <f t="shared" si="65"/>
        <v>%let dc_8_3_2002=0.117;</v>
      </c>
      <c r="AG55" s="655" t="str">
        <f t="shared" si="65"/>
        <v>%let dc_8_4_2002=0.061;</v>
      </c>
    </row>
    <row r="56" spans="2:33" x14ac:dyDescent="0.3">
      <c r="B56" s="1011" t="str">
        <f t="shared" ref="B56:I56" si="66">CONCATENATE("%let dc_",B$40,"_",B$41,"_",$A20,"=",ROUND(B20,3),";")</f>
        <v>%let dc_1_1_2003=0.084;</v>
      </c>
      <c r="C56" s="1011" t="str">
        <f t="shared" si="66"/>
        <v>%let dc_1_2_2003=0.627;</v>
      </c>
      <c r="D56" s="1011" t="str">
        <f t="shared" si="66"/>
        <v>%let dc_1_3_2003=0.71;</v>
      </c>
      <c r="E56" s="1011" t="str">
        <f t="shared" si="66"/>
        <v>%let dc_1_4_2003=0.441;</v>
      </c>
      <c r="F56" s="1011" t="str">
        <f t="shared" si="66"/>
        <v>%let dc_2_1_2003=0.309;</v>
      </c>
      <c r="G56" s="1011" t="str">
        <f t="shared" si="66"/>
        <v>%let dc_2_2_2003=1.017;</v>
      </c>
      <c r="H56" s="1011" t="str">
        <f t="shared" si="66"/>
        <v>%let dc_2_3_2003=1.399;</v>
      </c>
      <c r="I56" s="1011" t="str">
        <f t="shared" si="66"/>
        <v>%let dc_2_4_2003=0.957;</v>
      </c>
      <c r="J56" s="655" t="str">
        <f t="shared" ref="J56:AG56" si="67">CONCATENATE("%let dc_",J$40,"_",J$41,"_",$A20,"=",ROUND(J20,3),";")</f>
        <v>%let dc_3_1_2003=0.521;</v>
      </c>
      <c r="K56" s="655" t="str">
        <f t="shared" si="67"/>
        <v>%let dc_3_2_2003=1.255;</v>
      </c>
      <c r="L56" s="655" t="str">
        <f t="shared" si="67"/>
        <v>%let dc_3_3_2003=2.129;</v>
      </c>
      <c r="M56" s="655" t="str">
        <f t="shared" si="67"/>
        <v>%let dc_3_4_2003=2.777;</v>
      </c>
      <c r="N56" s="655" t="str">
        <f t="shared" si="67"/>
        <v>%let dc_4_1_2003=0.498;</v>
      </c>
      <c r="O56" s="655" t="str">
        <f t="shared" si="67"/>
        <v>%let dc_4_2_2003=1.517;</v>
      </c>
      <c r="P56" s="655" t="str">
        <f t="shared" si="67"/>
        <v>%let dc_4_3_2003=1.95;</v>
      </c>
      <c r="Q56" s="655" t="str">
        <f t="shared" si="67"/>
        <v>%let dc_4_4_2003=1.173;</v>
      </c>
      <c r="R56" s="655" t="str">
        <f t="shared" si="67"/>
        <v>%let dc_5_1_2003=0.589;</v>
      </c>
      <c r="S56" s="655" t="str">
        <f t="shared" si="67"/>
        <v>%let dc_5_2_2003=0.862;</v>
      </c>
      <c r="T56" s="655" t="str">
        <f t="shared" si="67"/>
        <v>%let dc_5_3_2003=1.935;</v>
      </c>
      <c r="U56" s="655" t="str">
        <f t="shared" si="67"/>
        <v>%let dc_5_4_2003=1.32;</v>
      </c>
      <c r="V56" s="655" t="str">
        <f t="shared" si="67"/>
        <v>%let dc_6_1_2003=0.219;</v>
      </c>
      <c r="W56" s="655" t="str">
        <f t="shared" si="67"/>
        <v>%let dc_6_2_2003=0.758;</v>
      </c>
      <c r="X56" s="655" t="str">
        <f t="shared" si="67"/>
        <v>%let dc_6_3_2003=2.581;</v>
      </c>
      <c r="Y56" s="655" t="str">
        <f t="shared" si="67"/>
        <v>%let dc_6_4_2003=0.794;</v>
      </c>
      <c r="Z56" s="655" t="str">
        <f t="shared" si="67"/>
        <v>%let dc_7_1_2003=0.217;</v>
      </c>
      <c r="AA56" s="655" t="str">
        <f t="shared" si="67"/>
        <v>%let dc_7_2_2003=0.295;</v>
      </c>
      <c r="AB56" s="655" t="str">
        <f t="shared" si="67"/>
        <v>%let dc_7_3_2003=0.227;</v>
      </c>
      <c r="AC56" s="655" t="str">
        <f t="shared" si="67"/>
        <v>%let dc_7_4_2003=0.329;</v>
      </c>
      <c r="AD56" s="655" t="str">
        <f t="shared" si="67"/>
        <v>%let dc_8_1_2003=0.025;</v>
      </c>
      <c r="AE56" s="655" t="str">
        <f t="shared" si="67"/>
        <v>%let dc_8_2_2003=0.045;</v>
      </c>
      <c r="AF56" s="655" t="str">
        <f t="shared" si="67"/>
        <v>%let dc_8_3_2003=0.127;</v>
      </c>
      <c r="AG56" s="655" t="str">
        <f t="shared" si="67"/>
        <v>%let dc_8_4_2003=0.122;</v>
      </c>
    </row>
    <row r="57" spans="2:33" x14ac:dyDescent="0.3">
      <c r="B57" s="1011" t="str">
        <f t="shared" ref="B57:I57" si="68">CONCATENATE("%let dc_",B$40,"_",B$41,"_",$A21,"=",ROUND(B21,3),";")</f>
        <v>%let dc_1_1_2004=0.075;</v>
      </c>
      <c r="C57" s="1011" t="str">
        <f t="shared" si="68"/>
        <v>%let dc_1_2_2004=0.444;</v>
      </c>
      <c r="D57" s="1011" t="str">
        <f t="shared" si="68"/>
        <v>%let dc_1_3_2004=0.683;</v>
      </c>
      <c r="E57" s="1011" t="str">
        <f t="shared" si="68"/>
        <v>%let dc_1_4_2004=0.406;</v>
      </c>
      <c r="F57" s="1011" t="str">
        <f t="shared" si="68"/>
        <v>%let dc_2_1_2004=0.304;</v>
      </c>
      <c r="G57" s="1011" t="str">
        <f t="shared" si="68"/>
        <v>%let dc_2_2_2004=1.031;</v>
      </c>
      <c r="H57" s="1011" t="str">
        <f t="shared" si="68"/>
        <v>%let dc_2_3_2004=1.385;</v>
      </c>
      <c r="I57" s="1011" t="str">
        <f t="shared" si="68"/>
        <v>%let dc_2_4_2004=0.948;</v>
      </c>
      <c r="J57" s="655" t="str">
        <f t="shared" ref="J57:AG57" si="69">CONCATENATE("%let dc_",J$40,"_",J$41,"_",$A21,"=",ROUND(J21,3),";")</f>
        <v>%let dc_3_1_2004=0.559;</v>
      </c>
      <c r="K57" s="655" t="str">
        <f t="shared" si="69"/>
        <v>%let dc_3_2_2004=1.243;</v>
      </c>
      <c r="L57" s="655" t="str">
        <f t="shared" si="69"/>
        <v>%let dc_3_3_2004=1.856;</v>
      </c>
      <c r="M57" s="655" t="str">
        <f t="shared" si="69"/>
        <v>%let dc_3_4_2004=3.557;</v>
      </c>
      <c r="N57" s="655" t="str">
        <f t="shared" si="69"/>
        <v>%let dc_4_1_2004=0.53;</v>
      </c>
      <c r="O57" s="655" t="str">
        <f t="shared" si="69"/>
        <v>%let dc_4_2_2004=1.569;</v>
      </c>
      <c r="P57" s="655" t="str">
        <f t="shared" si="69"/>
        <v>%let dc_4_3_2004=1.885;</v>
      </c>
      <c r="Q57" s="655" t="str">
        <f t="shared" si="69"/>
        <v>%let dc_4_4_2004=1.352;</v>
      </c>
      <c r="R57" s="655" t="str">
        <f t="shared" si="69"/>
        <v>%let dc_5_1_2004=0.701;</v>
      </c>
      <c r="S57" s="655" t="str">
        <f t="shared" si="69"/>
        <v>%let dc_5_2_2004=0.701;</v>
      </c>
      <c r="T57" s="655" t="str">
        <f t="shared" si="69"/>
        <v>%let dc_5_3_2004=2.511;</v>
      </c>
      <c r="U57" s="655" t="str">
        <f t="shared" si="69"/>
        <v>%let dc_5_4_2004=1.414;</v>
      </c>
      <c r="V57" s="655" t="str">
        <f t="shared" si="69"/>
        <v>%let dc_6_1_2004=0.214;</v>
      </c>
      <c r="W57" s="655" t="str">
        <f t="shared" si="69"/>
        <v>%let dc_6_2_2004=0.854;</v>
      </c>
      <c r="X57" s="655" t="str">
        <f t="shared" si="69"/>
        <v>%let dc_6_3_2004=3.38;</v>
      </c>
      <c r="Y57" s="655" t="str">
        <f t="shared" si="69"/>
        <v>%let dc_6_4_2004=0.551;</v>
      </c>
      <c r="Z57" s="655" t="str">
        <f t="shared" si="69"/>
        <v>%let dc_7_1_2004=0.318;</v>
      </c>
      <c r="AA57" s="655" t="str">
        <f t="shared" si="69"/>
        <v>%let dc_7_2_2004=0.335;</v>
      </c>
      <c r="AB57" s="655" t="str">
        <f t="shared" si="69"/>
        <v>%let dc_7_3_2004=0.263;</v>
      </c>
      <c r="AC57" s="655" t="str">
        <f t="shared" si="69"/>
        <v>%let dc_7_4_2004=0.432;</v>
      </c>
      <c r="AD57" s="655" t="str">
        <f t="shared" si="69"/>
        <v>%let dc_8_1_2004=0.032;</v>
      </c>
      <c r="AE57" s="655" t="str">
        <f t="shared" si="69"/>
        <v>%let dc_8_2_2004=0.05;</v>
      </c>
      <c r="AF57" s="655" t="str">
        <f t="shared" si="69"/>
        <v>%let dc_8_3_2004=0.137;</v>
      </c>
      <c r="AG57" s="655" t="str">
        <f t="shared" si="69"/>
        <v>%let dc_8_4_2004=0.183;</v>
      </c>
    </row>
    <row r="58" spans="2:33" x14ac:dyDescent="0.3">
      <c r="B58" s="1011" t="str">
        <f t="shared" ref="B58:I58" si="70">CONCATENATE("%let dc_",B$40,"_",B$41,"_",$A22,"=",ROUND(B22,3),";")</f>
        <v>%let dc_1_1_2005=0.077;</v>
      </c>
      <c r="C58" s="1011" t="str">
        <f t="shared" si="70"/>
        <v>%let dc_1_2_2005=0.469;</v>
      </c>
      <c r="D58" s="1011" t="str">
        <f t="shared" si="70"/>
        <v>%let dc_1_3_2005=0.745;</v>
      </c>
      <c r="E58" s="1011" t="str">
        <f t="shared" si="70"/>
        <v>%let dc_1_4_2005=0.426;</v>
      </c>
      <c r="F58" s="1011" t="str">
        <f t="shared" si="70"/>
        <v>%let dc_2_1_2005=0.31;</v>
      </c>
      <c r="G58" s="1011" t="str">
        <f t="shared" si="70"/>
        <v>%let dc_2_2_2005=1.083;</v>
      </c>
      <c r="H58" s="1011" t="str">
        <f t="shared" si="70"/>
        <v>%let dc_2_3_2005=1.491;</v>
      </c>
      <c r="I58" s="1011" t="str">
        <f t="shared" si="70"/>
        <v>%let dc_2_4_2005=1.042;</v>
      </c>
      <c r="J58" s="655" t="str">
        <f t="shared" ref="J58:AG58" si="71">CONCATENATE("%let dc_",J$40,"_",J$41,"_",$A22,"=",ROUND(J22,3),";")</f>
        <v>%let dc_3_1_2005=0.561;</v>
      </c>
      <c r="K58" s="655" t="str">
        <f t="shared" si="71"/>
        <v>%let dc_3_2_2005=1.287;</v>
      </c>
      <c r="L58" s="655" t="str">
        <f t="shared" si="71"/>
        <v>%let dc_3_3_2005=1.842;</v>
      </c>
      <c r="M58" s="655" t="str">
        <f t="shared" si="71"/>
        <v>%let dc_3_4_2005=2.708;</v>
      </c>
      <c r="N58" s="655" t="str">
        <f t="shared" si="71"/>
        <v>%let dc_4_1_2005=0.517;</v>
      </c>
      <c r="O58" s="655" t="str">
        <f t="shared" si="71"/>
        <v>%let dc_4_2_2005=1.556;</v>
      </c>
      <c r="P58" s="655" t="str">
        <f t="shared" si="71"/>
        <v>%let dc_4_3_2005=2.349;</v>
      </c>
      <c r="Q58" s="655" t="str">
        <f t="shared" si="71"/>
        <v>%let dc_4_4_2005=1.262;</v>
      </c>
      <c r="R58" s="655" t="str">
        <f t="shared" si="71"/>
        <v>%let dc_5_1_2005=0.546;</v>
      </c>
      <c r="S58" s="655" t="str">
        <f t="shared" si="71"/>
        <v>%let dc_5_2_2005=0.81;</v>
      </c>
      <c r="T58" s="655" t="str">
        <f t="shared" si="71"/>
        <v>%let dc_5_3_2005=2.202;</v>
      </c>
      <c r="U58" s="655" t="str">
        <f t="shared" si="71"/>
        <v>%let dc_5_4_2005=1.205;</v>
      </c>
      <c r="V58" s="655" t="str">
        <f t="shared" si="71"/>
        <v>%let dc_6_1_2005=0.215;</v>
      </c>
      <c r="W58" s="655" t="str">
        <f t="shared" si="71"/>
        <v>%let dc_6_2_2005=0.886;</v>
      </c>
      <c r="X58" s="655" t="str">
        <f t="shared" si="71"/>
        <v>%let dc_6_3_2005=2.431;</v>
      </c>
      <c r="Y58" s="655" t="str">
        <f t="shared" si="71"/>
        <v>%let dc_6_4_2005=0.588;</v>
      </c>
      <c r="Z58" s="655" t="str">
        <f t="shared" si="71"/>
        <v>%let dc_7_1_2005=0.22;</v>
      </c>
      <c r="AA58" s="655" t="str">
        <f t="shared" si="71"/>
        <v>%let dc_7_2_2005=0.341;</v>
      </c>
      <c r="AB58" s="655" t="str">
        <f t="shared" si="71"/>
        <v>%let dc_7_3_2005=0.247;</v>
      </c>
      <c r="AC58" s="655" t="str">
        <f t="shared" si="71"/>
        <v>%let dc_7_4_2005=0.38;</v>
      </c>
      <c r="AD58" s="655" t="str">
        <f t="shared" si="71"/>
        <v>%let dc_8_1_2005=0.026;</v>
      </c>
      <c r="AE58" s="655" t="str">
        <f t="shared" si="71"/>
        <v>%let dc_8_2_2005=0.076;</v>
      </c>
      <c r="AF58" s="655" t="str">
        <f t="shared" si="71"/>
        <v>%let dc_8_3_2005=0.162;</v>
      </c>
      <c r="AG58" s="655" t="str">
        <f t="shared" si="71"/>
        <v>%let dc_8_4_2005=0.138;</v>
      </c>
    </row>
    <row r="59" spans="2:33" x14ac:dyDescent="0.3">
      <c r="B59" s="1011" t="str">
        <f t="shared" ref="B59:I59" si="72">CONCATENATE("%let dc_",B$40,"_",B$41,"_",$A23,"=",ROUND(B23,3),";")</f>
        <v>%let dc_1_1_2006=0.079;</v>
      </c>
      <c r="C59" s="1011" t="str">
        <f t="shared" si="72"/>
        <v>%let dc_1_2_2006=0.494;</v>
      </c>
      <c r="D59" s="1011" t="str">
        <f t="shared" si="72"/>
        <v>%let dc_1_3_2006=0.807;</v>
      </c>
      <c r="E59" s="1011" t="str">
        <f t="shared" si="72"/>
        <v>%let dc_1_4_2006=0.446;</v>
      </c>
      <c r="F59" s="1011" t="str">
        <f t="shared" si="72"/>
        <v>%let dc_2_1_2006=0.317;</v>
      </c>
      <c r="G59" s="1011" t="str">
        <f t="shared" si="72"/>
        <v>%let dc_2_2_2006=1.136;</v>
      </c>
      <c r="H59" s="1011" t="str">
        <f t="shared" si="72"/>
        <v>%let dc_2_3_2006=1.596;</v>
      </c>
      <c r="I59" s="1011" t="str">
        <f t="shared" si="72"/>
        <v>%let dc_2_4_2006=1.137;</v>
      </c>
      <c r="J59" s="655" t="str">
        <f t="shared" ref="J59:AG59" si="73">CONCATENATE("%let dc_",J$40,"_",J$41,"_",$A23,"=",ROUND(J23,3),";")</f>
        <v>%let dc_3_1_2006=0.562;</v>
      </c>
      <c r="K59" s="655" t="str">
        <f t="shared" si="73"/>
        <v>%let dc_3_2_2006=1.331;</v>
      </c>
      <c r="L59" s="655" t="str">
        <f t="shared" si="73"/>
        <v>%let dc_3_3_2006=1.828;</v>
      </c>
      <c r="M59" s="655" t="str">
        <f t="shared" si="73"/>
        <v>%let dc_3_4_2006=1.858;</v>
      </c>
      <c r="N59" s="655" t="str">
        <f t="shared" si="73"/>
        <v>%let dc_4_1_2006=0.504;</v>
      </c>
      <c r="O59" s="655" t="str">
        <f t="shared" si="73"/>
        <v>%let dc_4_2_2006=1.542;</v>
      </c>
      <c r="P59" s="655" t="str">
        <f t="shared" si="73"/>
        <v>%let dc_4_3_2006=2.812;</v>
      </c>
      <c r="Q59" s="655" t="str">
        <f t="shared" si="73"/>
        <v>%let dc_4_4_2006=1.171;</v>
      </c>
      <c r="R59" s="655" t="str">
        <f t="shared" si="73"/>
        <v>%let dc_5_1_2006=0.391;</v>
      </c>
      <c r="S59" s="655" t="str">
        <f t="shared" si="73"/>
        <v>%let dc_5_2_2006=0.918;</v>
      </c>
      <c r="T59" s="655" t="str">
        <f t="shared" si="73"/>
        <v>%let dc_5_3_2006=1.892;</v>
      </c>
      <c r="U59" s="655" t="str">
        <f t="shared" si="73"/>
        <v>%let dc_5_4_2006=0.996;</v>
      </c>
      <c r="V59" s="655" t="str">
        <f t="shared" si="73"/>
        <v>%let dc_6_1_2006=0.215;</v>
      </c>
      <c r="W59" s="655" t="str">
        <f t="shared" si="73"/>
        <v>%let dc_6_2_2006=0.918;</v>
      </c>
      <c r="X59" s="655" t="str">
        <f t="shared" si="73"/>
        <v>%let dc_6_3_2006=1.483;</v>
      </c>
      <c r="Y59" s="655" t="str">
        <f t="shared" si="73"/>
        <v>%let dc_6_4_2006=0.625;</v>
      </c>
      <c r="Z59" s="655" t="str">
        <f t="shared" si="73"/>
        <v>%let dc_7_1_2006=0.122;</v>
      </c>
      <c r="AA59" s="655" t="str">
        <f t="shared" si="73"/>
        <v>%let dc_7_2_2006=0.348;</v>
      </c>
      <c r="AB59" s="655" t="str">
        <f t="shared" si="73"/>
        <v>%let dc_7_3_2006=0.231;</v>
      </c>
      <c r="AC59" s="655" t="str">
        <f t="shared" si="73"/>
        <v>%let dc_7_4_2006=0.328;</v>
      </c>
      <c r="AD59" s="655" t="str">
        <f t="shared" si="73"/>
        <v>%let dc_8_1_2006=0.02;</v>
      </c>
      <c r="AE59" s="655" t="str">
        <f t="shared" si="73"/>
        <v>%let dc_8_2_2006=0.102;</v>
      </c>
      <c r="AF59" s="655" t="str">
        <f t="shared" si="73"/>
        <v>%let dc_8_3_2006=0.186;</v>
      </c>
      <c r="AG59" s="655" t="str">
        <f t="shared" si="73"/>
        <v>%let dc_8_4_2006=0.092;</v>
      </c>
    </row>
    <row r="60" spans="2:33" x14ac:dyDescent="0.3">
      <c r="B60" s="1011" t="str">
        <f t="shared" ref="B60:I60" si="74">CONCATENATE("%let dc_",B$40,"_",B$41,"_",$A24,"=",ROUND(B24,3),";")</f>
        <v>%let dc_1_1_2007=0.081;</v>
      </c>
      <c r="C60" s="1011" t="str">
        <f t="shared" si="74"/>
        <v>%let dc_1_2_2007=0.519;</v>
      </c>
      <c r="D60" s="1011" t="str">
        <f t="shared" si="74"/>
        <v>%let dc_1_3_2007=0.869;</v>
      </c>
      <c r="E60" s="1011" t="str">
        <f t="shared" si="74"/>
        <v>%let dc_1_4_2007=0.466;</v>
      </c>
      <c r="F60" s="1011" t="str">
        <f t="shared" si="74"/>
        <v>%let dc_2_1_2007=0.323;</v>
      </c>
      <c r="G60" s="1011" t="str">
        <f t="shared" si="74"/>
        <v>%let dc_2_2_2007=1.189;</v>
      </c>
      <c r="H60" s="1011" t="str">
        <f t="shared" si="74"/>
        <v>%let dc_2_3_2007=1.702;</v>
      </c>
      <c r="I60" s="1011" t="str">
        <f t="shared" si="74"/>
        <v>%let dc_2_4_2007=1.232;</v>
      </c>
      <c r="J60" s="655" t="str">
        <f t="shared" ref="J60:AG60" si="75">CONCATENATE("%let dc_",J$40,"_",J$41,"_",$A24,"=",ROUND(J24,3),";")</f>
        <v>%let dc_3_1_2007=0.564;</v>
      </c>
      <c r="K60" s="655" t="str">
        <f t="shared" si="75"/>
        <v>%let dc_3_2_2007=1.375;</v>
      </c>
      <c r="L60" s="655" t="str">
        <f t="shared" si="75"/>
        <v>%let dc_3_3_2007=1.813;</v>
      </c>
      <c r="M60" s="655" t="str">
        <f t="shared" si="75"/>
        <v>%let dc_3_4_2007=1.009;</v>
      </c>
      <c r="N60" s="655" t="str">
        <f t="shared" si="75"/>
        <v>%let dc_4_1_2007=0.491;</v>
      </c>
      <c r="O60" s="655" t="str">
        <f t="shared" si="75"/>
        <v>%let dc_4_2_2007=1.528;</v>
      </c>
      <c r="P60" s="655" t="str">
        <f t="shared" si="75"/>
        <v>%let dc_4_3_2007=3.275;</v>
      </c>
      <c r="Q60" s="655" t="str">
        <f t="shared" si="75"/>
        <v>%let dc_4_4_2007=1.081;</v>
      </c>
      <c r="R60" s="655" t="str">
        <f t="shared" si="75"/>
        <v>%let dc_5_1_2007=0.236;</v>
      </c>
      <c r="S60" s="655" t="str">
        <f t="shared" si="75"/>
        <v>%let dc_5_2_2007=1.026;</v>
      </c>
      <c r="T60" s="655" t="str">
        <f t="shared" si="75"/>
        <v>%let dc_5_3_2007=1.582;</v>
      </c>
      <c r="U60" s="655" t="str">
        <f t="shared" si="75"/>
        <v>%let dc_5_4_2007=0.788;</v>
      </c>
      <c r="V60" s="655" t="str">
        <f t="shared" si="75"/>
        <v>%let dc_6_1_2007=0.216;</v>
      </c>
      <c r="W60" s="655" t="str">
        <f t="shared" si="75"/>
        <v>%let dc_6_2_2007=0.95;</v>
      </c>
      <c r="X60" s="655" t="str">
        <f t="shared" si="75"/>
        <v>%let dc_6_3_2007=0.535;</v>
      </c>
      <c r="Y60" s="655" t="str">
        <f t="shared" si="75"/>
        <v>%let dc_6_4_2007=0.661;</v>
      </c>
      <c r="Z60" s="655" t="str">
        <f t="shared" si="75"/>
        <v>%let dc_7_1_2007=0.024;</v>
      </c>
      <c r="AA60" s="655" t="str">
        <f t="shared" si="75"/>
        <v>%let dc_7_2_2007=0.354;</v>
      </c>
      <c r="AB60" s="655" t="str">
        <f t="shared" si="75"/>
        <v>%let dc_7_3_2007=0.215;</v>
      </c>
      <c r="AC60" s="655" t="str">
        <f t="shared" si="75"/>
        <v>%let dc_7_4_2007=0.276;</v>
      </c>
      <c r="AD60" s="655" t="str">
        <f t="shared" si="75"/>
        <v>%let dc_8_1_2007=0.014;</v>
      </c>
      <c r="AE60" s="655" t="str">
        <f t="shared" si="75"/>
        <v>%let dc_8_2_2007=0.128;</v>
      </c>
      <c r="AF60" s="655" t="str">
        <f t="shared" si="75"/>
        <v>%let dc_8_3_2007=0.211;</v>
      </c>
      <c r="AG60" s="655" t="str">
        <f t="shared" si="75"/>
        <v>%let dc_8_4_2007=0.046;</v>
      </c>
    </row>
    <row r="61" spans="2:33" x14ac:dyDescent="0.3">
      <c r="B61" s="1011" t="str">
        <f t="shared" ref="B61:I61" si="76">CONCATENATE("%let dc_",B$40,"_",B$41,"_",$A25,"=",ROUND(B25,3),";")</f>
        <v>%let dc_1_1_2008=0.083;</v>
      </c>
      <c r="C61" s="1011" t="str">
        <f t="shared" si="76"/>
        <v>%let dc_1_2_2008=0.576;</v>
      </c>
      <c r="D61" s="1011" t="str">
        <f t="shared" si="76"/>
        <v>%let dc_1_3_2008=0.8;</v>
      </c>
      <c r="E61" s="1011" t="str">
        <f t="shared" si="76"/>
        <v>%let dc_1_4_2008=0.532;</v>
      </c>
      <c r="F61" s="1011" t="str">
        <f t="shared" si="76"/>
        <v>%let dc_2_1_2008=0.328;</v>
      </c>
      <c r="G61" s="1011" t="str">
        <f t="shared" si="76"/>
        <v>%let dc_2_2_2008=1.147;</v>
      </c>
      <c r="H61" s="1011" t="str">
        <f t="shared" si="76"/>
        <v>%let dc_2_3_2008=1.84;</v>
      </c>
      <c r="I61" s="1011" t="str">
        <f t="shared" si="76"/>
        <v>%let dc_2_4_2008=1.29;</v>
      </c>
      <c r="J61" s="655" t="str">
        <f t="shared" ref="J61:AG61" si="77">CONCATENATE("%let dc_",J$40,"_",J$41,"_",$A25,"=",ROUND(J25,3),";")</f>
        <v>%let dc_3_1_2008=0.554;</v>
      </c>
      <c r="K61" s="655" t="str">
        <f t="shared" si="77"/>
        <v>%let dc_3_2_2008=1.523;</v>
      </c>
      <c r="L61" s="655" t="str">
        <f t="shared" si="77"/>
        <v>%let dc_3_3_2008=2.126;</v>
      </c>
      <c r="M61" s="655" t="str">
        <f t="shared" si="77"/>
        <v>%let dc_3_4_2008=1.684;</v>
      </c>
      <c r="N61" s="655" t="str">
        <f t="shared" si="77"/>
        <v>%let dc_4_1_2008=0.464;</v>
      </c>
      <c r="O61" s="655" t="str">
        <f t="shared" si="77"/>
        <v>%let dc_4_2_2008=1.615;</v>
      </c>
      <c r="P61" s="655" t="str">
        <f t="shared" si="77"/>
        <v>%let dc_4_3_2008=2.841;</v>
      </c>
      <c r="Q61" s="655" t="str">
        <f t="shared" si="77"/>
        <v>%let dc_4_4_2008=1.714;</v>
      </c>
      <c r="R61" s="655" t="str">
        <f t="shared" si="77"/>
        <v>%let dc_5_1_2008=0.269;</v>
      </c>
      <c r="S61" s="655" t="str">
        <f t="shared" si="77"/>
        <v>%let dc_5_2_2008=1.136;</v>
      </c>
      <c r="T61" s="655" t="str">
        <f t="shared" si="77"/>
        <v>%let dc_5_3_2008=1.772;</v>
      </c>
      <c r="U61" s="655" t="str">
        <f t="shared" si="77"/>
        <v>%let dc_5_4_2008=1.441;</v>
      </c>
      <c r="V61" s="655" t="str">
        <f t="shared" si="77"/>
        <v>%let dc_6_1_2008=0.166;</v>
      </c>
      <c r="W61" s="655" t="str">
        <f t="shared" si="77"/>
        <v>%let dc_6_2_2008=0.925;</v>
      </c>
      <c r="X61" s="655" t="str">
        <f t="shared" si="77"/>
        <v>%let dc_6_3_2008=0.591;</v>
      </c>
      <c r="Y61" s="655" t="str">
        <f t="shared" si="77"/>
        <v>%let dc_6_4_2008=1.242;</v>
      </c>
      <c r="Z61" s="655" t="str">
        <f t="shared" si="77"/>
        <v>%let dc_7_1_2008=0.034;</v>
      </c>
      <c r="AA61" s="655" t="str">
        <f t="shared" si="77"/>
        <v>%let dc_7_2_2008=0.437;</v>
      </c>
      <c r="AB61" s="655" t="str">
        <f t="shared" si="77"/>
        <v>%let dc_7_3_2008=0.293;</v>
      </c>
      <c r="AC61" s="655" t="str">
        <f t="shared" si="77"/>
        <v>%let dc_7_4_2008=0.277;</v>
      </c>
      <c r="AD61" s="655" t="str">
        <f t="shared" si="77"/>
        <v>%let dc_8_1_2008=0.031;</v>
      </c>
      <c r="AE61" s="655" t="str">
        <f t="shared" si="77"/>
        <v>%let dc_8_2_2008=0.129;</v>
      </c>
      <c r="AF61" s="655" t="str">
        <f t="shared" si="77"/>
        <v>%let dc_8_3_2008=0.246;</v>
      </c>
      <c r="AG61" s="655" t="str">
        <f t="shared" si="77"/>
        <v>%let dc_8_4_2008=0.129;</v>
      </c>
    </row>
    <row r="62" spans="2:33" x14ac:dyDescent="0.3">
      <c r="B62" s="1011" t="str">
        <f t="shared" ref="B62:I62" si="78">CONCATENATE("%let dc_",B$40,"_",B$41,"_",$A26,"=",ROUND(B26,3),";")</f>
        <v>%let dc_1_1_2009=0.085;</v>
      </c>
      <c r="C62" s="1011" t="str">
        <f t="shared" si="78"/>
        <v>%let dc_1_2_2009=0.632;</v>
      </c>
      <c r="D62" s="1011" t="str">
        <f t="shared" si="78"/>
        <v>%let dc_1_3_2009=0.731;</v>
      </c>
      <c r="E62" s="1011" t="str">
        <f t="shared" si="78"/>
        <v>%let dc_1_4_2009=0.598;</v>
      </c>
      <c r="F62" s="1011" t="str">
        <f t="shared" si="78"/>
        <v>%let dc_2_1_2009=0.332;</v>
      </c>
      <c r="G62" s="1011" t="str">
        <f t="shared" si="78"/>
        <v>%let dc_2_2_2009=1.105;</v>
      </c>
      <c r="H62" s="1011" t="str">
        <f t="shared" si="78"/>
        <v>%let dc_2_3_2009=1.979;</v>
      </c>
      <c r="I62" s="1011" t="str">
        <f t="shared" si="78"/>
        <v>%let dc_2_4_2009=1.349;</v>
      </c>
      <c r="J62" s="655" t="str">
        <f t="shared" ref="J62:AG62" si="79">CONCATENATE("%let dc_",J$40,"_",J$41,"_",$A26,"=",ROUND(J26,3),";")</f>
        <v>%let dc_3_1_2009=0.545;</v>
      </c>
      <c r="K62" s="655" t="str">
        <f t="shared" si="79"/>
        <v>%let dc_3_2_2009=1.672;</v>
      </c>
      <c r="L62" s="655" t="str">
        <f t="shared" si="79"/>
        <v>%let dc_3_3_2009=2.438;</v>
      </c>
      <c r="M62" s="655" t="str">
        <f t="shared" si="79"/>
        <v>%let dc_3_4_2009=2.358;</v>
      </c>
      <c r="N62" s="655" t="str">
        <f t="shared" si="79"/>
        <v>%let dc_4_1_2009=0.436;</v>
      </c>
      <c r="O62" s="655" t="str">
        <f t="shared" si="79"/>
        <v>%let dc_4_2_2009=1.703;</v>
      </c>
      <c r="P62" s="655" t="str">
        <f t="shared" si="79"/>
        <v>%let dc_4_3_2009=2.408;</v>
      </c>
      <c r="Q62" s="655" t="str">
        <f t="shared" si="79"/>
        <v>%let dc_4_4_2009=2.347;</v>
      </c>
      <c r="R62" s="655" t="str">
        <f t="shared" si="79"/>
        <v>%let dc_5_1_2009=0.303;</v>
      </c>
      <c r="S62" s="655" t="str">
        <f t="shared" si="79"/>
        <v>%let dc_5_2_2009=1.245;</v>
      </c>
      <c r="T62" s="655" t="str">
        <f t="shared" si="79"/>
        <v>%let dc_5_3_2009=1.962;</v>
      </c>
      <c r="U62" s="655" t="str">
        <f t="shared" si="79"/>
        <v>%let dc_5_4_2009=2.095;</v>
      </c>
      <c r="V62" s="655" t="str">
        <f t="shared" si="79"/>
        <v>%let dc_6_1_2009=0.117;</v>
      </c>
      <c r="W62" s="655" t="str">
        <f t="shared" si="79"/>
        <v>%let dc_6_2_2009=0.901;</v>
      </c>
      <c r="X62" s="655" t="str">
        <f t="shared" si="79"/>
        <v>%let dc_6_3_2009=0.647;</v>
      </c>
      <c r="Y62" s="655" t="str">
        <f t="shared" si="79"/>
        <v>%let dc_6_4_2009=1.822;</v>
      </c>
      <c r="Z62" s="655" t="str">
        <f t="shared" si="79"/>
        <v>%let dc_7_1_2009=0.044;</v>
      </c>
      <c r="AA62" s="655" t="str">
        <f t="shared" si="79"/>
        <v>%let dc_7_2_2009=0.521;</v>
      </c>
      <c r="AB62" s="655" t="str">
        <f t="shared" si="79"/>
        <v>%let dc_7_3_2009=0.37;</v>
      </c>
      <c r="AC62" s="655" t="str">
        <f t="shared" si="79"/>
        <v>%let dc_7_4_2009=0.279;</v>
      </c>
      <c r="AD62" s="655" t="str">
        <f t="shared" si="79"/>
        <v>%let dc_8_1_2009=0.047;</v>
      </c>
      <c r="AE62" s="655" t="str">
        <f t="shared" si="79"/>
        <v>%let dc_8_2_2009=0.13;</v>
      </c>
      <c r="AF62" s="655" t="str">
        <f t="shared" si="79"/>
        <v>%let dc_8_3_2009=0.282;</v>
      </c>
      <c r="AG62" s="655" t="str">
        <f t="shared" si="79"/>
        <v>%let dc_8_4_2009=0.212;</v>
      </c>
    </row>
    <row r="63" spans="2:33" x14ac:dyDescent="0.3">
      <c r="B63" s="1011" t="str">
        <f t="shared" ref="B63:I63" si="80">CONCATENATE("%let dc_",B$40,"_",B$41,"_",$A27,"=",ROUND(B27,3),";")</f>
        <v>%let dc_1_1_2010=0.087;</v>
      </c>
      <c r="C63" s="1011" t="str">
        <f t="shared" si="80"/>
        <v>%let dc_1_2_2010=0.689;</v>
      </c>
      <c r="D63" s="1011" t="str">
        <f t="shared" si="80"/>
        <v>%let dc_1_3_2010=0.662;</v>
      </c>
      <c r="E63" s="1011" t="str">
        <f t="shared" si="80"/>
        <v>%let dc_1_4_2010=0.663;</v>
      </c>
      <c r="F63" s="1011" t="str">
        <f t="shared" si="80"/>
        <v>%let dc_2_1_2010=0.336;</v>
      </c>
      <c r="G63" s="1011" t="str">
        <f t="shared" si="80"/>
        <v>%let dc_2_2_2010=1.063;</v>
      </c>
      <c r="H63" s="1011" t="str">
        <f t="shared" si="80"/>
        <v>%let dc_2_3_2010=2.117;</v>
      </c>
      <c r="I63" s="1011" t="str">
        <f t="shared" si="80"/>
        <v>%let dc_2_4_2010=1.408;</v>
      </c>
      <c r="J63" s="655" t="str">
        <f t="shared" ref="J63:AG63" si="81">CONCATENATE("%let dc_",J$40,"_",J$41,"_",$A27,"=",ROUND(J27,3),";")</f>
        <v>%let dc_3_1_2010=0.536;</v>
      </c>
      <c r="K63" s="655" t="str">
        <f t="shared" si="81"/>
        <v>%let dc_3_2_2010=1.82;</v>
      </c>
      <c r="L63" s="655" t="str">
        <f t="shared" si="81"/>
        <v>%let dc_3_3_2010=2.751;</v>
      </c>
      <c r="M63" s="655" t="str">
        <f t="shared" si="81"/>
        <v>%let dc_3_4_2010=3.033;</v>
      </c>
      <c r="N63" s="655" t="str">
        <f t="shared" si="81"/>
        <v>%let dc_4_1_2010=0.409;</v>
      </c>
      <c r="O63" s="655" t="str">
        <f t="shared" si="81"/>
        <v>%let dc_4_2_2010=1.79;</v>
      </c>
      <c r="P63" s="655" t="str">
        <f t="shared" si="81"/>
        <v>%let dc_4_3_2010=1.974;</v>
      </c>
      <c r="Q63" s="655" t="str">
        <f t="shared" si="81"/>
        <v>%let dc_4_4_2010=2.98;</v>
      </c>
      <c r="R63" s="655" t="str">
        <f t="shared" si="81"/>
        <v>%let dc_5_1_2010=0.336;</v>
      </c>
      <c r="S63" s="655" t="str">
        <f t="shared" si="81"/>
        <v>%let dc_5_2_2010=1.355;</v>
      </c>
      <c r="T63" s="655" t="str">
        <f t="shared" si="81"/>
        <v>%let dc_5_3_2010=2.152;</v>
      </c>
      <c r="U63" s="655" t="str">
        <f t="shared" si="81"/>
        <v>%let dc_5_4_2010=2.749;</v>
      </c>
      <c r="V63" s="655" t="str">
        <f t="shared" si="81"/>
        <v>%let dc_6_1_2010=0.067;</v>
      </c>
      <c r="W63" s="655" t="str">
        <f t="shared" si="81"/>
        <v>%let dc_6_2_2010=0.877;</v>
      </c>
      <c r="X63" s="655" t="str">
        <f t="shared" si="81"/>
        <v>%let dc_6_3_2010=0.703;</v>
      </c>
      <c r="Y63" s="655" t="str">
        <f t="shared" si="81"/>
        <v>%let dc_6_4_2010=2.402;</v>
      </c>
      <c r="Z63" s="655" t="str">
        <f t="shared" si="81"/>
        <v>%let dc_7_1_2010=0.055;</v>
      </c>
      <c r="AA63" s="655" t="str">
        <f t="shared" si="81"/>
        <v>%let dc_7_2_2010=0.604;</v>
      </c>
      <c r="AB63" s="655" t="str">
        <f t="shared" si="81"/>
        <v>%let dc_7_3_2010=0.448;</v>
      </c>
      <c r="AC63" s="655" t="str">
        <f t="shared" si="81"/>
        <v>%let dc_7_4_2010=0.28;</v>
      </c>
      <c r="AD63" s="655" t="str">
        <f t="shared" si="81"/>
        <v>%let dc_8_1_2010=0.064;</v>
      </c>
      <c r="AE63" s="655" t="str">
        <f t="shared" si="81"/>
        <v>%let dc_8_2_2010=0.132;</v>
      </c>
      <c r="AF63" s="655" t="str">
        <f t="shared" si="81"/>
        <v>%let dc_8_3_2010=0.317;</v>
      </c>
      <c r="AG63" s="655" t="str">
        <f t="shared" si="81"/>
        <v>%let dc_8_4_2010=0.295;</v>
      </c>
    </row>
    <row r="64" spans="2:33" x14ac:dyDescent="0.3">
      <c r="B64" s="1011" t="str">
        <f t="shared" ref="B64:I64" si="82">CONCATENATE("%let dc_",B$40,"_",B$41,"_",$A28,"=",ROUND(B28,3),";")</f>
        <v>%let dc_1_1_2011=0.092;</v>
      </c>
      <c r="C64" s="1011" t="str">
        <f t="shared" si="82"/>
        <v>%let dc_1_2_2011=0.672;</v>
      </c>
      <c r="D64" s="1011" t="str">
        <f t="shared" si="82"/>
        <v>%let dc_1_3_2011=0.789;</v>
      </c>
      <c r="E64" s="1011" t="str">
        <f t="shared" si="82"/>
        <v>%let dc_1_4_2011=0.565;</v>
      </c>
      <c r="F64" s="1011" t="str">
        <f t="shared" si="82"/>
        <v>%let dc_2_1_2011=0.344;</v>
      </c>
      <c r="G64" s="1011" t="str">
        <f t="shared" si="82"/>
        <v>%let dc_2_2_2011=1.146;</v>
      </c>
      <c r="H64" s="1011" t="str">
        <f t="shared" si="82"/>
        <v>%let dc_2_3_2011=2.115;</v>
      </c>
      <c r="I64" s="1011" t="str">
        <f t="shared" si="82"/>
        <v>%let dc_2_4_2011=1.521;</v>
      </c>
      <c r="J64" s="655" t="str">
        <f t="shared" ref="J64:AG64" si="83">CONCATENATE("%let dc_",J$40,"_",J$41,"_",$A28,"=",ROUND(J28,3),";")</f>
        <v>%let dc_3_1_2011=0.542;</v>
      </c>
      <c r="K64" s="655" t="str">
        <f t="shared" si="83"/>
        <v>%let dc_3_2_2011=1.749;</v>
      </c>
      <c r="L64" s="655" t="str">
        <f t="shared" si="83"/>
        <v>%let dc_3_3_2011=2.566;</v>
      </c>
      <c r="M64" s="655" t="str">
        <f t="shared" si="83"/>
        <v>%let dc_3_4_2011=3.631;</v>
      </c>
      <c r="N64" s="655" t="str">
        <f t="shared" si="83"/>
        <v>%let dc_4_1_2011=0.479;</v>
      </c>
      <c r="O64" s="655" t="str">
        <f t="shared" si="83"/>
        <v>%let dc_4_2_2011=1.716;</v>
      </c>
      <c r="P64" s="655" t="str">
        <f t="shared" si="83"/>
        <v>%let dc_4_3_2011=2.426;</v>
      </c>
      <c r="Q64" s="655" t="str">
        <f t="shared" si="83"/>
        <v>%let dc_4_4_2011=3.104;</v>
      </c>
      <c r="R64" s="655" t="str">
        <f t="shared" si="83"/>
        <v>%let dc_5_1_2011=0.377;</v>
      </c>
      <c r="S64" s="655" t="str">
        <f t="shared" si="83"/>
        <v>%let dc_5_2_2011=1.27;</v>
      </c>
      <c r="T64" s="655" t="str">
        <f t="shared" si="83"/>
        <v>%let dc_5_3_2011=2.351;</v>
      </c>
      <c r="U64" s="655" t="str">
        <f t="shared" si="83"/>
        <v>%let dc_5_4_2011=1.983;</v>
      </c>
      <c r="V64" s="655" t="str">
        <f t="shared" si="83"/>
        <v>%let dc_6_1_2011=0.149;</v>
      </c>
      <c r="W64" s="655" t="str">
        <f t="shared" si="83"/>
        <v>%let dc_6_2_2011=0.876;</v>
      </c>
      <c r="X64" s="655" t="str">
        <f t="shared" si="83"/>
        <v>%let dc_6_3_2011=1.137;</v>
      </c>
      <c r="Y64" s="655" t="str">
        <f t="shared" si="83"/>
        <v>%let dc_6_4_2011=1.967;</v>
      </c>
      <c r="Z64" s="655" t="str">
        <f t="shared" si="83"/>
        <v>%let dc_7_1_2011=0.043;</v>
      </c>
      <c r="AA64" s="655" t="str">
        <f t="shared" si="83"/>
        <v>%let dc_7_2_2011=0.537;</v>
      </c>
      <c r="AB64" s="655" t="str">
        <f t="shared" si="83"/>
        <v>%let dc_7_3_2011=0.433;</v>
      </c>
      <c r="AC64" s="655" t="str">
        <f t="shared" si="83"/>
        <v>%let dc_7_4_2011=0.532;</v>
      </c>
      <c r="AD64" s="655" t="str">
        <f t="shared" si="83"/>
        <v>%let dc_8_1_2011=0.043;</v>
      </c>
      <c r="AE64" s="655" t="str">
        <f t="shared" si="83"/>
        <v>%let dc_8_2_2011=0.102;</v>
      </c>
      <c r="AF64" s="655" t="str">
        <f t="shared" si="83"/>
        <v>%let dc_8_3_2011=0.222;</v>
      </c>
      <c r="AG64" s="655" t="str">
        <f t="shared" si="83"/>
        <v>%let dc_8_4_2011=0.257;</v>
      </c>
    </row>
    <row r="65" spans="2:33" x14ac:dyDescent="0.3">
      <c r="B65" s="1011" t="str">
        <f t="shared" ref="B65:I65" si="84">CONCATENATE("%let dc_",B$40,"_",B$41,"_",$A29,"=",ROUND(B29,3),";")</f>
        <v>%let dc_1_1_2012=0.097;</v>
      </c>
      <c r="C65" s="1011" t="str">
        <f t="shared" si="84"/>
        <v>%let dc_1_2_2012=0.654;</v>
      </c>
      <c r="D65" s="1011" t="str">
        <f t="shared" si="84"/>
        <v>%let dc_1_3_2012=0.915;</v>
      </c>
      <c r="E65" s="1011" t="str">
        <f t="shared" si="84"/>
        <v>%let dc_1_4_2012=0.466;</v>
      </c>
      <c r="F65" s="1011" t="str">
        <f t="shared" si="84"/>
        <v>%let dc_2_1_2012=0.352;</v>
      </c>
      <c r="G65" s="1011" t="str">
        <f t="shared" si="84"/>
        <v>%let dc_2_2_2012=1.229;</v>
      </c>
      <c r="H65" s="1011" t="str">
        <f t="shared" si="84"/>
        <v>%let dc_2_3_2012=2.112;</v>
      </c>
      <c r="I65" s="1011" t="str">
        <f t="shared" si="84"/>
        <v>%let dc_2_4_2012=1.634;</v>
      </c>
      <c r="J65" s="655" t="str">
        <f t="shared" ref="J65:AG65" si="85">CONCATENATE("%let dc_",J$40,"_",J$41,"_",$A29,"=",ROUND(J29,3),";")</f>
        <v>%let dc_3_1_2012=0.548;</v>
      </c>
      <c r="K65" s="655" t="str">
        <f t="shared" si="85"/>
        <v>%let dc_3_2_2012=1.679;</v>
      </c>
      <c r="L65" s="655" t="str">
        <f t="shared" si="85"/>
        <v>%let dc_3_3_2012=2.382;</v>
      </c>
      <c r="M65" s="655" t="str">
        <f t="shared" si="85"/>
        <v>%let dc_3_4_2012=4.229;</v>
      </c>
      <c r="N65" s="655" t="str">
        <f t="shared" si="85"/>
        <v>%let dc_4_1_2012=0.548;</v>
      </c>
      <c r="O65" s="655" t="str">
        <f t="shared" si="85"/>
        <v>%let dc_4_2_2012=1.643;</v>
      </c>
      <c r="P65" s="655" t="str">
        <f t="shared" si="85"/>
        <v>%let dc_4_3_2012=2.877;</v>
      </c>
      <c r="Q65" s="655" t="str">
        <f t="shared" si="85"/>
        <v>%let dc_4_4_2012=3.228;</v>
      </c>
      <c r="R65" s="655" t="str">
        <f t="shared" si="85"/>
        <v>%let dc_5_1_2012=0.419;</v>
      </c>
      <c r="S65" s="655" t="str">
        <f t="shared" si="85"/>
        <v>%let dc_5_2_2012=1.185;</v>
      </c>
      <c r="T65" s="655" t="str">
        <f t="shared" si="85"/>
        <v>%let dc_5_3_2012=2.55;</v>
      </c>
      <c r="U65" s="655" t="str">
        <f t="shared" si="85"/>
        <v>%let dc_5_4_2012=1.217;</v>
      </c>
      <c r="V65" s="655" t="str">
        <f t="shared" si="85"/>
        <v>%let dc_6_1_2012=0.232;</v>
      </c>
      <c r="W65" s="655" t="str">
        <f t="shared" si="85"/>
        <v>%let dc_6_2_2012=0.874;</v>
      </c>
      <c r="X65" s="655" t="str">
        <f t="shared" si="85"/>
        <v>%let dc_6_3_2012=1.57;</v>
      </c>
      <c r="Y65" s="655" t="str">
        <f t="shared" si="85"/>
        <v>%let dc_6_4_2012=1.531;</v>
      </c>
      <c r="Z65" s="655" t="str">
        <f t="shared" si="85"/>
        <v>%let dc_7_1_2012=0.031;</v>
      </c>
      <c r="AA65" s="655" t="str">
        <f t="shared" si="85"/>
        <v>%let dc_7_2_2012=0.47;</v>
      </c>
      <c r="AB65" s="655" t="str">
        <f t="shared" si="85"/>
        <v>%let dc_7_3_2012=0.418;</v>
      </c>
      <c r="AC65" s="655" t="str">
        <f t="shared" si="85"/>
        <v>%let dc_7_4_2012=0.783;</v>
      </c>
      <c r="AD65" s="655" t="str">
        <f t="shared" si="85"/>
        <v>%let dc_8_1_2012=0.021;</v>
      </c>
      <c r="AE65" s="655" t="str">
        <f t="shared" si="85"/>
        <v>%let dc_8_2_2012=0.072;</v>
      </c>
      <c r="AF65" s="655" t="str">
        <f t="shared" si="85"/>
        <v>%let dc_8_3_2012=0.127;</v>
      </c>
      <c r="AG65" s="655" t="str">
        <f t="shared" si="85"/>
        <v>%let dc_8_4_2012=0.219;</v>
      </c>
    </row>
    <row r="66" spans="2:33" x14ac:dyDescent="0.3">
      <c r="B66" s="1011" t="str">
        <f t="shared" ref="B66:I66" si="86">CONCATENATE("%let dc_",B$40,"_",B$41,"_",$A30,"=",ROUND(B30,3),";")</f>
        <v>%let dc_1_1_2013=0.101;</v>
      </c>
      <c r="C66" s="1011" t="str">
        <f t="shared" si="86"/>
        <v>%let dc_1_2_2013=0.637;</v>
      </c>
      <c r="D66" s="1011" t="str">
        <f t="shared" si="86"/>
        <v>%let dc_1_3_2013=1.041;</v>
      </c>
      <c r="E66" s="1011" t="str">
        <f t="shared" si="86"/>
        <v>%let dc_1_4_2013=0.367;</v>
      </c>
      <c r="F66" s="1011" t="str">
        <f t="shared" si="86"/>
        <v>%let dc_2_1_2013=0.36;</v>
      </c>
      <c r="G66" s="1011" t="str">
        <f t="shared" si="86"/>
        <v>%let dc_2_2_2013=1.312;</v>
      </c>
      <c r="H66" s="1011" t="str">
        <f t="shared" si="86"/>
        <v>%let dc_2_3_2013=2.109;</v>
      </c>
      <c r="I66" s="1011" t="str">
        <f t="shared" si="86"/>
        <v>%let dc_2_4_2013=1.747;</v>
      </c>
      <c r="J66" s="655" t="str">
        <f t="shared" ref="J66:AG66" si="87">CONCATENATE("%let dc_",J$40,"_",J$41,"_",$A30,"=",ROUND(J30,3),";")</f>
        <v>%let dc_3_1_2013=0.555;</v>
      </c>
      <c r="K66" s="655" t="str">
        <f t="shared" si="87"/>
        <v>%let dc_3_2_2013=1.608;</v>
      </c>
      <c r="L66" s="655" t="str">
        <f t="shared" si="87"/>
        <v>%let dc_3_3_2013=2.198;</v>
      </c>
      <c r="M66" s="655" t="str">
        <f t="shared" si="87"/>
        <v>%let dc_3_4_2013=4.828;</v>
      </c>
      <c r="N66" s="655" t="str">
        <f t="shared" si="87"/>
        <v>%let dc_4_1_2013=0.618;</v>
      </c>
      <c r="O66" s="655" t="str">
        <f t="shared" si="87"/>
        <v>%let dc_4_2_2013=1.569;</v>
      </c>
      <c r="P66" s="655" t="str">
        <f t="shared" si="87"/>
        <v>%let dc_4_3_2013=3.329;</v>
      </c>
      <c r="Q66" s="655" t="str">
        <f t="shared" si="87"/>
        <v>%let dc_4_4_2013=3.352;</v>
      </c>
      <c r="R66" s="655" t="str">
        <f t="shared" si="87"/>
        <v>%let dc_5_1_2013=0.46;</v>
      </c>
      <c r="S66" s="655" t="str">
        <f t="shared" si="87"/>
        <v>%let dc_5_2_2013=1.1;</v>
      </c>
      <c r="T66" s="655" t="str">
        <f t="shared" si="87"/>
        <v>%let dc_5_3_2013=2.748;</v>
      </c>
      <c r="U66" s="655" t="str">
        <f t="shared" si="87"/>
        <v>%let dc_5_4_2013=0.452;</v>
      </c>
      <c r="V66" s="655" t="str">
        <f t="shared" si="87"/>
        <v>%let dc_6_1_2013=0.314;</v>
      </c>
      <c r="W66" s="655" t="str">
        <f t="shared" si="87"/>
        <v>%let dc_6_2_2013=0.873;</v>
      </c>
      <c r="X66" s="655" t="str">
        <f t="shared" si="87"/>
        <v>%let dc_6_3_2013=2.004;</v>
      </c>
      <c r="Y66" s="655" t="str">
        <f t="shared" si="87"/>
        <v>%let dc_6_4_2013=1.096;</v>
      </c>
      <c r="Z66" s="655" t="str">
        <f t="shared" si="87"/>
        <v>%let dc_7_1_2013=0.02;</v>
      </c>
      <c r="AA66" s="655" t="str">
        <f t="shared" si="87"/>
        <v>%let dc_7_2_2013=0.403;</v>
      </c>
      <c r="AB66" s="655" t="str">
        <f t="shared" si="87"/>
        <v>%let dc_7_3_2013=0.403;</v>
      </c>
      <c r="AC66" s="655" t="str">
        <f t="shared" si="87"/>
        <v>%let dc_7_4_2013=1.035;</v>
      </c>
      <c r="AD66" s="655" t="str">
        <f t="shared" si="87"/>
        <v>%let dc_8_1_2013=0;</v>
      </c>
      <c r="AE66" s="655" t="str">
        <f t="shared" si="87"/>
        <v>%let dc_8_2_2013=0.042;</v>
      </c>
      <c r="AF66" s="655" t="str">
        <f t="shared" si="87"/>
        <v>%let dc_8_3_2013=0.031;</v>
      </c>
      <c r="AG66" s="655" t="str">
        <f t="shared" si="87"/>
        <v>%let dc_8_4_2013=0.182;</v>
      </c>
    </row>
    <row r="67" spans="2:33" x14ac:dyDescent="0.3">
      <c r="B67" s="1011" t="str">
        <f t="shared" ref="B67:I67" si="88">CONCATENATE("%let dc_",B$40,"_",B$41,"_",$A31,"=",ROUND(B31,3),";")</f>
        <v>%let dc_1_1_2014=0.106;</v>
      </c>
      <c r="C67" s="1011" t="str">
        <f t="shared" si="88"/>
        <v>%let dc_1_2_2014=0.715;</v>
      </c>
      <c r="D67" s="1011" t="str">
        <f t="shared" si="88"/>
        <v>%let dc_1_3_2014=0.876;</v>
      </c>
      <c r="E67" s="1011" t="str">
        <f t="shared" si="88"/>
        <v>%let dc_1_4_2014=0.436;</v>
      </c>
      <c r="F67" s="1011" t="str">
        <f t="shared" si="88"/>
        <v>%let dc_2_1_2014=0.349;</v>
      </c>
      <c r="G67" s="1011" t="str">
        <f t="shared" si="88"/>
        <v>%let dc_2_2_2014=1.303;</v>
      </c>
      <c r="H67" s="1011" t="str">
        <f t="shared" si="88"/>
        <v>%let dc_2_3_2014=2.03;</v>
      </c>
      <c r="I67" s="1011" t="str">
        <f t="shared" si="88"/>
        <v>%let dc_2_4_2014=1.856;</v>
      </c>
      <c r="J67" s="655" t="str">
        <f t="shared" ref="J67:AG67" si="89">CONCATENATE("%let dc_",J$40,"_",J$41,"_",$A31,"=",ROUND(J31,3),";")</f>
        <v>%let dc_3_1_2014=0.648;</v>
      </c>
      <c r="K67" s="655" t="str">
        <f t="shared" si="89"/>
        <v>%let dc_3_2_2014=1.64;</v>
      </c>
      <c r="L67" s="655" t="str">
        <f t="shared" si="89"/>
        <v>%let dc_3_3_2014=2.412;</v>
      </c>
      <c r="M67" s="655" t="str">
        <f t="shared" si="89"/>
        <v>%let dc_3_4_2014=4.456;</v>
      </c>
      <c r="N67" s="655" t="str">
        <f t="shared" si="89"/>
        <v>%let dc_4_1_2014=0.604;</v>
      </c>
      <c r="O67" s="655" t="str">
        <f t="shared" si="89"/>
        <v>%let dc_4_2_2014=1.697;</v>
      </c>
      <c r="P67" s="655" t="str">
        <f t="shared" si="89"/>
        <v>%let dc_4_3_2014=3.285;</v>
      </c>
      <c r="Q67" s="655" t="str">
        <f t="shared" si="89"/>
        <v>%let dc_4_4_2014=3.036;</v>
      </c>
      <c r="R67" s="655" t="str">
        <f t="shared" si="89"/>
        <v>%let dc_5_1_2014=0.477;</v>
      </c>
      <c r="S67" s="655" t="str">
        <f t="shared" si="89"/>
        <v>%let dc_5_2_2014=1.18;</v>
      </c>
      <c r="T67" s="655" t="str">
        <f t="shared" si="89"/>
        <v>%let dc_5_3_2014=2.17;</v>
      </c>
      <c r="U67" s="655" t="str">
        <f t="shared" si="89"/>
        <v>%let dc_5_4_2014=0.933;</v>
      </c>
      <c r="V67" s="655" t="str">
        <f t="shared" si="89"/>
        <v>%let dc_6_1_2014=0.256;</v>
      </c>
      <c r="W67" s="655" t="str">
        <f t="shared" si="89"/>
        <v>%let dc_6_2_2014=0.809;</v>
      </c>
      <c r="X67" s="655" t="str">
        <f t="shared" si="89"/>
        <v>%let dc_6_3_2014=1.723;</v>
      </c>
      <c r="Y67" s="655" t="str">
        <f t="shared" si="89"/>
        <v>%let dc_6_4_2014=1.031;</v>
      </c>
      <c r="Z67" s="655" t="str">
        <f t="shared" si="89"/>
        <v>%let dc_7_1_2014=0.028;</v>
      </c>
      <c r="AA67" s="655" t="str">
        <f t="shared" si="89"/>
        <v>%let dc_7_2_2014=0.385;</v>
      </c>
      <c r="AB67" s="655" t="str">
        <f t="shared" si="89"/>
        <v>%let dc_7_3_2014=0.442;</v>
      </c>
      <c r="AC67" s="655" t="str">
        <f t="shared" si="89"/>
        <v>%let dc_7_4_2014=0.838;</v>
      </c>
      <c r="AD67" s="655" t="str">
        <f t="shared" si="89"/>
        <v>%let dc_8_1_2014=0.034;</v>
      </c>
      <c r="AE67" s="655" t="str">
        <f t="shared" si="89"/>
        <v>%let dc_8_2_2014=0.041;</v>
      </c>
      <c r="AF67" s="655" t="str">
        <f t="shared" si="89"/>
        <v>%let dc_8_3_2014=0.028;</v>
      </c>
      <c r="AG67" s="655" t="str">
        <f t="shared" si="89"/>
        <v>%let dc_8_4_2014=0.211;</v>
      </c>
    </row>
    <row r="68" spans="2:33" x14ac:dyDescent="0.3">
      <c r="B68" s="1011" t="str">
        <f t="shared" ref="B68:I68" si="90">CONCATENATE("%let dc_",B$40,"_",B$41,"_",$A32,"=",ROUND(B32,3),";")</f>
        <v>%let dc_1_1_2015=0.111;</v>
      </c>
      <c r="C68" s="1011" t="str">
        <f t="shared" si="90"/>
        <v>%let dc_1_2_2015=0.794;</v>
      </c>
      <c r="D68" s="1011" t="str">
        <f t="shared" si="90"/>
        <v>%let dc_1_3_2015=0.711;</v>
      </c>
      <c r="E68" s="1011" t="str">
        <f t="shared" si="90"/>
        <v>%let dc_1_4_2015=0.504;</v>
      </c>
      <c r="F68" s="1011" t="str">
        <f t="shared" si="90"/>
        <v>%let dc_2_1_2015=0.339;</v>
      </c>
      <c r="G68" s="1011" t="str">
        <f t="shared" si="90"/>
        <v>%let dc_2_2_2015=1.295;</v>
      </c>
      <c r="H68" s="1011" t="str">
        <f t="shared" si="90"/>
        <v>%let dc_2_3_2015=1.951;</v>
      </c>
      <c r="I68" s="1011" t="str">
        <f t="shared" si="90"/>
        <v>%let dc_2_4_2015=1.965;</v>
      </c>
      <c r="J68" s="655" t="str">
        <f t="shared" ref="J68:AG68" si="91">CONCATENATE("%let dc_",J$40,"_",J$41,"_",$A32,"=",ROUND(J32,3),";")</f>
        <v>%let dc_3_1_2015=0.741;</v>
      </c>
      <c r="K68" s="655" t="str">
        <f t="shared" si="91"/>
        <v>%let dc_3_2_2015=1.673;</v>
      </c>
      <c r="L68" s="655" t="str">
        <f t="shared" si="91"/>
        <v>%let dc_3_3_2015=2.626;</v>
      </c>
      <c r="M68" s="655" t="str">
        <f t="shared" si="91"/>
        <v>%let dc_3_4_2015=4.085;</v>
      </c>
      <c r="N68" s="655" t="str">
        <f t="shared" si="91"/>
        <v>%let dc_4_1_2015=0.589;</v>
      </c>
      <c r="O68" s="655" t="str">
        <f t="shared" si="91"/>
        <v>%let dc_4_2_2015=1.825;</v>
      </c>
      <c r="P68" s="655" t="str">
        <f t="shared" si="91"/>
        <v>%let dc_4_3_2015=3.242;</v>
      </c>
      <c r="Q68" s="655" t="str">
        <f t="shared" si="91"/>
        <v>%let dc_4_4_2015=2.72;</v>
      </c>
      <c r="R68" s="655" t="str">
        <f t="shared" si="91"/>
        <v>%let dc_5_1_2015=0.494;</v>
      </c>
      <c r="S68" s="655" t="str">
        <f t="shared" si="91"/>
        <v>%let dc_5_2_2015=1.26;</v>
      </c>
      <c r="T68" s="655" t="str">
        <f t="shared" si="91"/>
        <v>%let dc_5_3_2015=1.592;</v>
      </c>
      <c r="U68" s="655" t="str">
        <f t="shared" si="91"/>
        <v>%let dc_5_4_2015=1.415;</v>
      </c>
      <c r="V68" s="655" t="str">
        <f t="shared" si="91"/>
        <v>%let dc_6_1_2015=0.199;</v>
      </c>
      <c r="W68" s="655" t="str">
        <f t="shared" si="91"/>
        <v>%let dc_6_2_2015=0.744;</v>
      </c>
      <c r="X68" s="655" t="str">
        <f t="shared" si="91"/>
        <v>%let dc_6_3_2015=1.442;</v>
      </c>
      <c r="Y68" s="655" t="str">
        <f t="shared" si="91"/>
        <v>%let dc_6_4_2015=0.966;</v>
      </c>
      <c r="Z68" s="655" t="str">
        <f t="shared" si="91"/>
        <v>%let dc_7_1_2015=0.035;</v>
      </c>
      <c r="AA68" s="655" t="str">
        <f t="shared" si="91"/>
        <v>%let dc_7_2_2015=0.368;</v>
      </c>
      <c r="AB68" s="655" t="str">
        <f t="shared" si="91"/>
        <v>%let dc_7_3_2015=0.48;</v>
      </c>
      <c r="AC68" s="655" t="str">
        <f t="shared" si="91"/>
        <v>%let dc_7_4_2015=0.64;</v>
      </c>
      <c r="AD68" s="655" t="str">
        <f t="shared" si="91"/>
        <v>%let dc_8_1_2015=0.067;</v>
      </c>
      <c r="AE68" s="655" t="str">
        <f t="shared" si="91"/>
        <v>%let dc_8_2_2015=0.041;</v>
      </c>
      <c r="AF68" s="655" t="str">
        <f t="shared" si="91"/>
        <v>%let dc_8_3_2015=0.025;</v>
      </c>
      <c r="AG68" s="655" t="str">
        <f t="shared" si="91"/>
        <v>%let dc_8_4_2015=0.241;</v>
      </c>
    </row>
    <row r="69" spans="2:33" x14ac:dyDescent="0.3">
      <c r="B69" s="1011" t="str">
        <f t="shared" ref="B69:I69" si="92">CONCATENATE("%let dc_",B$40,"_",B$41,"_",$A33,"=",ROUND(B33,3),";")</f>
        <v>%let dc_1_1_2016=0.116;</v>
      </c>
      <c r="C69" s="1011" t="str">
        <f t="shared" si="92"/>
        <v>%let dc_1_2_2016=0.873;</v>
      </c>
      <c r="D69" s="1011" t="str">
        <f t="shared" si="92"/>
        <v>%let dc_1_3_2016=0.545;</v>
      </c>
      <c r="E69" s="1011" t="str">
        <f t="shared" si="92"/>
        <v>%let dc_1_4_2016=0.572;</v>
      </c>
      <c r="F69" s="1011" t="str">
        <f t="shared" si="92"/>
        <v>%let dc_2_1_2016=0.328;</v>
      </c>
      <c r="G69" s="1011" t="str">
        <f t="shared" si="92"/>
        <v>%let dc_2_2_2016=1.286;</v>
      </c>
      <c r="H69" s="1011" t="str">
        <f t="shared" si="92"/>
        <v>%let dc_2_3_2016=1.871;</v>
      </c>
      <c r="I69" s="1011" t="str">
        <f t="shared" si="92"/>
        <v>%let dc_2_4_2016=2.073;</v>
      </c>
      <c r="J69" s="655" t="str">
        <f t="shared" ref="J69:AG69" si="93">CONCATENATE("%let dc_",J$40,"_",J$41,"_",$A33,"=",ROUND(J33,3),";")</f>
        <v>%let dc_3_1_2016=0.834;</v>
      </c>
      <c r="K69" s="655" t="str">
        <f t="shared" si="93"/>
        <v>%let dc_3_2_2016=1.705;</v>
      </c>
      <c r="L69" s="655" t="str">
        <f t="shared" si="93"/>
        <v>%let dc_3_3_2016=2.84;</v>
      </c>
      <c r="M69" s="655" t="str">
        <f t="shared" si="93"/>
        <v>%let dc_3_4_2016=3.714;</v>
      </c>
      <c r="N69" s="655" t="str">
        <f t="shared" si="93"/>
        <v>%let dc_4_1_2016=0.574;</v>
      </c>
      <c r="O69" s="655" t="str">
        <f t="shared" si="93"/>
        <v>%let dc_4_2_2016=1.953;</v>
      </c>
      <c r="P69" s="655" t="str">
        <f t="shared" si="93"/>
        <v>%let dc_4_3_2016=3.199;</v>
      </c>
      <c r="Q69" s="655" t="str">
        <f t="shared" si="93"/>
        <v>%let dc_4_4_2016=2.404;</v>
      </c>
      <c r="R69" s="655" t="str">
        <f t="shared" si="93"/>
        <v>%let dc_5_1_2016=0.511;</v>
      </c>
      <c r="S69" s="655" t="str">
        <f t="shared" si="93"/>
        <v>%let dc_5_2_2016=1.339;</v>
      </c>
      <c r="T69" s="655" t="str">
        <f t="shared" si="93"/>
        <v>%let dc_5_3_2016=1.014;</v>
      </c>
      <c r="U69" s="655" t="str">
        <f t="shared" si="93"/>
        <v>%let dc_5_4_2016=1.896;</v>
      </c>
      <c r="V69" s="655" t="str">
        <f t="shared" si="93"/>
        <v>%let dc_6_1_2016=0.141;</v>
      </c>
      <c r="W69" s="655" t="str">
        <f t="shared" si="93"/>
        <v>%let dc_6_2_2016=0.68;</v>
      </c>
      <c r="X69" s="655" t="str">
        <f t="shared" si="93"/>
        <v>%let dc_6_3_2016=1.16;</v>
      </c>
      <c r="Y69" s="655" t="str">
        <f t="shared" si="93"/>
        <v>%let dc_6_4_2016=0.901;</v>
      </c>
      <c r="Z69" s="655" t="str">
        <f t="shared" si="93"/>
        <v>%let dc_7_1_2016=0.043;</v>
      </c>
      <c r="AA69" s="655" t="str">
        <f t="shared" si="93"/>
        <v>%let dc_7_2_2016=0.35;</v>
      </c>
      <c r="AB69" s="655" t="str">
        <f t="shared" si="93"/>
        <v>%let dc_7_3_2016=0.519;</v>
      </c>
      <c r="AC69" s="655" t="str">
        <f t="shared" si="93"/>
        <v>%let dc_7_4_2016=0.443;</v>
      </c>
      <c r="AD69" s="655" t="str">
        <f t="shared" si="93"/>
        <v>%let dc_8_1_2016=0.101;</v>
      </c>
      <c r="AE69" s="655" t="str">
        <f t="shared" si="93"/>
        <v>%let dc_8_2_2016=0.041;</v>
      </c>
      <c r="AF69" s="655" t="str">
        <f t="shared" si="93"/>
        <v>%let dc_8_3_2016=0.021;</v>
      </c>
      <c r="AG69" s="655" t="str">
        <f t="shared" si="93"/>
        <v>%let dc_8_4_2016=0.27;</v>
      </c>
    </row>
    <row r="70" spans="2:33" x14ac:dyDescent="0.3">
      <c r="B70" s="1011" t="str">
        <f t="shared" ref="B70:I70" si="94">CONCATENATE("%let dc_",B$40,"_",B$41,"_",$A34,"=",ROUND(B34,3),";")</f>
        <v>%let dc_1_1_=0;</v>
      </c>
      <c r="C70" s="1011" t="str">
        <f t="shared" si="94"/>
        <v>%let dc_1_2_=0;</v>
      </c>
      <c r="D70" s="1011" t="str">
        <f t="shared" si="94"/>
        <v>%let dc_1_3_=0;</v>
      </c>
      <c r="E70" s="1011" t="str">
        <f t="shared" si="94"/>
        <v>%let dc_1_4_=0;</v>
      </c>
      <c r="F70" s="1011" t="str">
        <f t="shared" si="94"/>
        <v>%let dc_2_1_=0;</v>
      </c>
      <c r="G70" s="1011" t="str">
        <f t="shared" si="94"/>
        <v>%let dc_2_2_=0;</v>
      </c>
      <c r="H70" s="1011" t="str">
        <f t="shared" si="94"/>
        <v>%let dc_2_3_=0;</v>
      </c>
      <c r="I70" s="1011" t="str">
        <f t="shared" si="94"/>
        <v>%let dc_2_4_=0;</v>
      </c>
      <c r="J70" s="655" t="str">
        <f t="shared" ref="J70:AG70" si="95">CONCATENATE("%let dc_",J$40,"_",J$41,"_",$A34,"=",ROUND(J34,3),";")</f>
        <v>%let dc_3_1_=0;</v>
      </c>
      <c r="K70" s="655" t="str">
        <f t="shared" si="95"/>
        <v>%let dc_3_2_=0;</v>
      </c>
      <c r="L70" s="655" t="str">
        <f t="shared" si="95"/>
        <v>%let dc_3_3_=0;</v>
      </c>
      <c r="M70" s="655" t="str">
        <f t="shared" si="95"/>
        <v>%let dc_3_4_=0;</v>
      </c>
      <c r="N70" s="655" t="str">
        <f t="shared" si="95"/>
        <v>%let dc_4_1_=0;</v>
      </c>
      <c r="O70" s="655" t="str">
        <f t="shared" si="95"/>
        <v>%let dc_4_2_=0;</v>
      </c>
      <c r="P70" s="655" t="str">
        <f t="shared" si="95"/>
        <v>%let dc_4_3_=0;</v>
      </c>
      <c r="Q70" s="655" t="str">
        <f t="shared" si="95"/>
        <v>%let dc_4_4_=0;</v>
      </c>
      <c r="R70" s="655" t="str">
        <f t="shared" si="95"/>
        <v>%let dc_5_1_=0;</v>
      </c>
      <c r="S70" s="655" t="str">
        <f t="shared" si="95"/>
        <v>%let dc_5_2_=0;</v>
      </c>
      <c r="T70" s="655" t="str">
        <f t="shared" si="95"/>
        <v>%let dc_5_3_=0;</v>
      </c>
      <c r="U70" s="655" t="str">
        <f t="shared" si="95"/>
        <v>%let dc_5_4_=0;</v>
      </c>
      <c r="V70" s="655" t="str">
        <f t="shared" si="95"/>
        <v>%let dc_6_1_=0;</v>
      </c>
      <c r="W70" s="655" t="str">
        <f t="shared" si="95"/>
        <v>%let dc_6_2_=0;</v>
      </c>
      <c r="X70" s="655" t="str">
        <f t="shared" si="95"/>
        <v>%let dc_6_3_=0;</v>
      </c>
      <c r="Y70" s="655" t="str">
        <f t="shared" si="95"/>
        <v>%let dc_6_4_=0;</v>
      </c>
      <c r="Z70" s="655" t="str">
        <f t="shared" si="95"/>
        <v>%let dc_7_1_=0;</v>
      </c>
      <c r="AA70" s="655" t="str">
        <f t="shared" si="95"/>
        <v>%let dc_7_2_=0;</v>
      </c>
      <c r="AB70" s="655" t="str">
        <f t="shared" si="95"/>
        <v>%let dc_7_3_=0;</v>
      </c>
      <c r="AC70" s="655" t="str">
        <f t="shared" si="95"/>
        <v>%let dc_7_4_=0;</v>
      </c>
      <c r="AD70" s="655" t="str">
        <f t="shared" si="95"/>
        <v>%let dc_8_1_=0;</v>
      </c>
      <c r="AE70" s="655" t="str">
        <f t="shared" si="95"/>
        <v>%let dc_8_2_=0;</v>
      </c>
      <c r="AF70" s="655" t="str">
        <f t="shared" si="95"/>
        <v>%let dc_8_3_=0;</v>
      </c>
      <c r="AG70" s="655" t="str">
        <f t="shared" si="95"/>
        <v>%let dc_8_4_=0;</v>
      </c>
    </row>
    <row r="71" spans="2:33" x14ac:dyDescent="0.3">
      <c r="B71" s="1011" t="str">
        <f t="shared" ref="B71:I71" si="96">CONCATENATE("%let dc_",B$40,"_",B$41,"_",$A35,"=",ROUND(B35,3),";")</f>
        <v>%let dc_1_1_=0;</v>
      </c>
      <c r="C71" s="1011" t="str">
        <f t="shared" si="96"/>
        <v>%let dc_1_2_=0;</v>
      </c>
      <c r="D71" s="1011" t="str">
        <f t="shared" si="96"/>
        <v>%let dc_1_3_=0;</v>
      </c>
      <c r="E71" s="1011" t="str">
        <f t="shared" si="96"/>
        <v>%let dc_1_4_=0;</v>
      </c>
      <c r="F71" s="1011" t="str">
        <f t="shared" si="96"/>
        <v>%let dc_2_1_=0;</v>
      </c>
      <c r="G71" s="1011" t="str">
        <f t="shared" si="96"/>
        <v>%let dc_2_2_=0;</v>
      </c>
      <c r="H71" s="1011" t="str">
        <f t="shared" si="96"/>
        <v>%let dc_2_3_=0;</v>
      </c>
      <c r="I71" s="1011" t="str">
        <f t="shared" si="96"/>
        <v>%let dc_2_4_=0;</v>
      </c>
      <c r="J71" s="655" t="str">
        <f t="shared" ref="J71:AG71" si="97">CONCATENATE("%let dc_",J$40,"_",J$41,"_",$A35,"=",ROUND(J35,3),";")</f>
        <v>%let dc_3_1_=0;</v>
      </c>
      <c r="K71" s="655" t="str">
        <f t="shared" si="97"/>
        <v>%let dc_3_2_=0;</v>
      </c>
      <c r="L71" s="655" t="str">
        <f t="shared" si="97"/>
        <v>%let dc_3_3_=0;</v>
      </c>
      <c r="M71" s="655" t="str">
        <f t="shared" si="97"/>
        <v>%let dc_3_4_=0;</v>
      </c>
      <c r="N71" s="655" t="str">
        <f t="shared" si="97"/>
        <v>%let dc_4_1_=0;</v>
      </c>
      <c r="O71" s="655" t="str">
        <f t="shared" si="97"/>
        <v>%let dc_4_2_=0;</v>
      </c>
      <c r="P71" s="655" t="str">
        <f t="shared" si="97"/>
        <v>%let dc_4_3_=0;</v>
      </c>
      <c r="Q71" s="655" t="str">
        <f t="shared" si="97"/>
        <v>%let dc_4_4_=0;</v>
      </c>
      <c r="R71" s="655" t="str">
        <f t="shared" si="97"/>
        <v>%let dc_5_1_=0;</v>
      </c>
      <c r="S71" s="655" t="str">
        <f t="shared" si="97"/>
        <v>%let dc_5_2_=0;</v>
      </c>
      <c r="T71" s="655" t="str">
        <f t="shared" si="97"/>
        <v>%let dc_5_3_=0;</v>
      </c>
      <c r="U71" s="655" t="str">
        <f t="shared" si="97"/>
        <v>%let dc_5_4_=0;</v>
      </c>
      <c r="V71" s="655" t="str">
        <f t="shared" si="97"/>
        <v>%let dc_6_1_=0;</v>
      </c>
      <c r="W71" s="655" t="str">
        <f t="shared" si="97"/>
        <v>%let dc_6_2_=0;</v>
      </c>
      <c r="X71" s="655" t="str">
        <f t="shared" si="97"/>
        <v>%let dc_6_3_=0;</v>
      </c>
      <c r="Y71" s="655" t="str">
        <f t="shared" si="97"/>
        <v>%let dc_6_4_=0;</v>
      </c>
      <c r="Z71" s="655" t="str">
        <f t="shared" si="97"/>
        <v>%let dc_7_1_=0;</v>
      </c>
      <c r="AA71" s="655" t="str">
        <f t="shared" si="97"/>
        <v>%let dc_7_2_=0;</v>
      </c>
      <c r="AB71" s="655" t="str">
        <f t="shared" si="97"/>
        <v>%let dc_7_3_=0;</v>
      </c>
      <c r="AC71" s="655" t="str">
        <f t="shared" si="97"/>
        <v>%let dc_7_4_=0;</v>
      </c>
      <c r="AD71" s="655" t="str">
        <f t="shared" si="97"/>
        <v>%let dc_8_1_=0;</v>
      </c>
      <c r="AE71" s="655" t="str">
        <f t="shared" si="97"/>
        <v>%let dc_8_2_=0;</v>
      </c>
      <c r="AF71" s="655" t="str">
        <f t="shared" si="97"/>
        <v>%let dc_8_3_=0;</v>
      </c>
      <c r="AG71" s="655" t="str">
        <f t="shared" si="97"/>
        <v>%let dc_8_4_=0;</v>
      </c>
    </row>
    <row r="72" spans="2:33" x14ac:dyDescent="0.3">
      <c r="B72" s="1011" t="str">
        <f t="shared" ref="B72:I72" si="98">CONCATENATE("%let dc_",B$40,"_",B$41,"_",$A36,"=",ROUND(B36,3),";")</f>
        <v>%let dc_1_1_Notes: Survey of Consumer Finances only conducted every three years since 1989. Intermediate years are interpolated. SCF income definition is similar to AGI. =0;</v>
      </c>
      <c r="C72" s="1011" t="str">
        <f t="shared" si="98"/>
        <v>%let dc_1_2_Notes: Survey of Consumer Finances only conducted every three years since 1989. Intermediate years are interpolated. SCF income definition is similar to AGI. =0;</v>
      </c>
      <c r="D72" s="1011" t="str">
        <f t="shared" si="98"/>
        <v>%let dc_1_3_Notes: Survey of Consumer Finances only conducted every three years since 1989. Intermediate years are interpolated. SCF income definition is similar to AGI. =0;</v>
      </c>
      <c r="E72" s="1011" t="str">
        <f t="shared" si="98"/>
        <v>%let dc_1_4_Notes: Survey of Consumer Finances only conducted every three years since 1989. Intermediate years are interpolated. SCF income definition is similar to AGI. =0;</v>
      </c>
      <c r="F72" s="1011" t="str">
        <f t="shared" si="98"/>
        <v>%let dc_2_1_Notes: Survey of Consumer Finances only conducted every three years since 1989. Intermediate years are interpolated. SCF income definition is similar to AGI. =0;</v>
      </c>
      <c r="G72" s="1011" t="str">
        <f t="shared" si="98"/>
        <v>%let dc_2_2_Notes: Survey of Consumer Finances only conducted every three years since 1989. Intermediate years are interpolated. SCF income definition is similar to AGI. =0;</v>
      </c>
      <c r="H72" s="1011" t="str">
        <f t="shared" si="98"/>
        <v>%let dc_2_3_Notes: Survey of Consumer Finances only conducted every three years since 1989. Intermediate years are interpolated. SCF income definition is similar to AGI. =0;</v>
      </c>
      <c r="I72" s="1011" t="str">
        <f t="shared" si="98"/>
        <v>%let dc_2_4_Notes: Survey of Consumer Finances only conducted every three years since 1989. Intermediate years are interpolated. SCF income definition is similar to AGI. =0;</v>
      </c>
      <c r="J72" s="655" t="str">
        <f t="shared" ref="J72:AG72" si="99">CONCATENATE("%let dc_",J$40,"_",J$41,"_",$A36,"=",ROUND(J36,3),";")</f>
        <v>%let dc_3_1_Notes: Survey of Consumer Finances only conducted every three years since 1989. Intermediate years are interpolated. SCF income definition is similar to AGI. =0;</v>
      </c>
      <c r="K72" s="655" t="str">
        <f t="shared" si="99"/>
        <v>%let dc_3_2_Notes: Survey of Consumer Finances only conducted every three years since 1989. Intermediate years are interpolated. SCF income definition is similar to AGI. =0;</v>
      </c>
      <c r="L72" s="655" t="str">
        <f t="shared" si="99"/>
        <v>%let dc_3_3_Notes: Survey of Consumer Finances only conducted every three years since 1989. Intermediate years are interpolated. SCF income definition is similar to AGI. =0;</v>
      </c>
      <c r="M72" s="655" t="str">
        <f t="shared" si="99"/>
        <v>%let dc_3_4_Notes: Survey of Consumer Finances only conducted every three years since 1989. Intermediate years are interpolated. SCF income definition is similar to AGI. =0;</v>
      </c>
      <c r="N72" s="655" t="str">
        <f t="shared" si="99"/>
        <v>%let dc_4_1_Notes: Survey of Consumer Finances only conducted every three years since 1989. Intermediate years are interpolated. SCF income definition is similar to AGI. =0;</v>
      </c>
      <c r="O72" s="655" t="str">
        <f t="shared" si="99"/>
        <v>%let dc_4_2_Notes: Survey of Consumer Finances only conducted every three years since 1989. Intermediate years are interpolated. SCF income definition is similar to AGI. =0;</v>
      </c>
      <c r="P72" s="655" t="str">
        <f t="shared" si="99"/>
        <v>%let dc_4_3_Notes: Survey of Consumer Finances only conducted every three years since 1989. Intermediate years are interpolated. SCF income definition is similar to AGI. =0;</v>
      </c>
      <c r="Q72" s="655" t="str">
        <f t="shared" si="99"/>
        <v>%let dc_4_4_Notes: Survey of Consumer Finances only conducted every three years since 1989. Intermediate years are interpolated. SCF income definition is similar to AGI. =0;</v>
      </c>
      <c r="R72" s="655" t="str">
        <f t="shared" si="99"/>
        <v>%let dc_5_1_Notes: Survey of Consumer Finances only conducted every three years since 1989. Intermediate years are interpolated. SCF income definition is similar to AGI. =0;</v>
      </c>
      <c r="S72" s="655" t="str">
        <f t="shared" si="99"/>
        <v>%let dc_5_2_Notes: Survey of Consumer Finances only conducted every three years since 1989. Intermediate years are interpolated. SCF income definition is similar to AGI. =0;</v>
      </c>
      <c r="T72" s="655" t="str">
        <f t="shared" si="99"/>
        <v>%let dc_5_3_Notes: Survey of Consumer Finances only conducted every three years since 1989. Intermediate years are interpolated. SCF income definition is similar to AGI. =0;</v>
      </c>
      <c r="U72" s="655" t="str">
        <f t="shared" si="99"/>
        <v>%let dc_5_4_Notes: Survey of Consumer Finances only conducted every three years since 1989. Intermediate years are interpolated. SCF income definition is similar to AGI. =0;</v>
      </c>
      <c r="V72" s="655" t="str">
        <f t="shared" si="99"/>
        <v>%let dc_6_1_Notes: Survey of Consumer Finances only conducted every three years since 1989. Intermediate years are interpolated. SCF income definition is similar to AGI. =0;</v>
      </c>
      <c r="W72" s="655" t="str">
        <f t="shared" si="99"/>
        <v>%let dc_6_2_Notes: Survey of Consumer Finances only conducted every three years since 1989. Intermediate years are interpolated. SCF income definition is similar to AGI. =0;</v>
      </c>
      <c r="X72" s="655" t="str">
        <f t="shared" si="99"/>
        <v>%let dc_6_3_Notes: Survey of Consumer Finances only conducted every three years since 1989. Intermediate years are interpolated. SCF income definition is similar to AGI. =0;</v>
      </c>
      <c r="Y72" s="655" t="str">
        <f t="shared" si="99"/>
        <v>%let dc_6_4_Notes: Survey of Consumer Finances only conducted every three years since 1989. Intermediate years are interpolated. SCF income definition is similar to AGI. =0;</v>
      </c>
      <c r="Z72" s="655" t="str">
        <f t="shared" si="99"/>
        <v>%let dc_7_1_Notes: Survey of Consumer Finances only conducted every three years since 1989. Intermediate years are interpolated. SCF income definition is similar to AGI. =0;</v>
      </c>
      <c r="AA72" s="655" t="str">
        <f t="shared" si="99"/>
        <v>%let dc_7_2_Notes: Survey of Consumer Finances only conducted every three years since 1989. Intermediate years are interpolated. SCF income definition is similar to AGI. =0;</v>
      </c>
      <c r="AB72" s="655" t="str">
        <f t="shared" si="99"/>
        <v>%let dc_7_3_Notes: Survey of Consumer Finances only conducted every three years since 1989. Intermediate years are interpolated. SCF income definition is similar to AGI. =0;</v>
      </c>
      <c r="AC72" s="655" t="str">
        <f t="shared" si="99"/>
        <v>%let dc_7_4_Notes: Survey of Consumer Finances only conducted every three years since 1989. Intermediate years are interpolated. SCF income definition is similar to AGI. =0;</v>
      </c>
      <c r="AD72" s="655" t="str">
        <f t="shared" si="99"/>
        <v>%let dc_8_1_Notes: Survey of Consumer Finances only conducted every three years since 1989. Intermediate years are interpolated. SCF income definition is similar to AGI. =0;</v>
      </c>
      <c r="AE72" s="655" t="str">
        <f t="shared" si="99"/>
        <v>%let dc_8_2_Notes: Survey of Consumer Finances only conducted every three years since 1989. Intermediate years are interpolated. SCF income definition is similar to AGI. =0;</v>
      </c>
      <c r="AF72" s="655" t="str">
        <f t="shared" si="99"/>
        <v>%let dc_8_3_Notes: Survey of Consumer Finances only conducted every three years since 1989. Intermediate years are interpolated. SCF income definition is similar to AGI. =0;</v>
      </c>
      <c r="AG72" s="655" t="str">
        <f t="shared" si="99"/>
        <v>%let dc_8_4_Notes: Survey of Consumer Finances only conducted every three years since 1989. Intermediate years are interpolated. SCF income definition is similar to AGI. =0;</v>
      </c>
    </row>
    <row r="73" spans="2:33" x14ac:dyDescent="0.3">
      <c r="B73" s="1011" t="str">
        <f t="shared" ref="B73:I73" si="100">CONCATENATE("%let dc_",B$40,"_",B$41,"_",$A37,"=",ROUND(B37,3),";")</f>
        <v>%let dc_1_1_Defined contribution wealth includes IRAs, Keoghs, thrift-type accounts, and other account-type pensions.  For more details of the data, see http://sda.berkeley.edu/sdaweb/docs/scfcomb/DOC/hcbkfx0.htm =0;</v>
      </c>
      <c r="C73" s="1011" t="str">
        <f t="shared" si="100"/>
        <v>%let dc_1_2_Defined contribution wealth includes IRAs, Keoghs, thrift-type accounts, and other account-type pensions.  For more details of the data, see http://sda.berkeley.edu/sdaweb/docs/scfcomb/DOC/hcbkfx0.htm =0;</v>
      </c>
      <c r="D73" s="1011" t="str">
        <f t="shared" si="100"/>
        <v>%let dc_1_3_Defined contribution wealth includes IRAs, Keoghs, thrift-type accounts, and other account-type pensions.  For more details of the data, see http://sda.berkeley.edu/sdaweb/docs/scfcomb/DOC/hcbkfx0.htm =0;</v>
      </c>
      <c r="E73" s="1011" t="str">
        <f t="shared" si="100"/>
        <v>%let dc_1_4_Defined contribution wealth includes IRAs, Keoghs, thrift-type accounts, and other account-type pensions.  For more details of the data, see http://sda.berkeley.edu/sdaweb/docs/scfcomb/DOC/hcbkfx0.htm =0;</v>
      </c>
      <c r="F73" s="1011" t="str">
        <f t="shared" si="100"/>
        <v>%let dc_2_1_Defined contribution wealth includes IRAs, Keoghs, thrift-type accounts, and other account-type pensions.  For more details of the data, see http://sda.berkeley.edu/sdaweb/docs/scfcomb/DOC/hcbkfx0.htm =0;</v>
      </c>
      <c r="G73" s="1011" t="str">
        <f t="shared" si="100"/>
        <v>%let dc_2_2_Defined contribution wealth includes IRAs, Keoghs, thrift-type accounts, and other account-type pensions.  For more details of the data, see http://sda.berkeley.edu/sdaweb/docs/scfcomb/DOC/hcbkfx0.htm =0;</v>
      </c>
      <c r="H73" s="1011" t="str">
        <f t="shared" si="100"/>
        <v>%let dc_2_3_Defined contribution wealth includes IRAs, Keoghs, thrift-type accounts, and other account-type pensions.  For more details of the data, see http://sda.berkeley.edu/sdaweb/docs/scfcomb/DOC/hcbkfx0.htm =0;</v>
      </c>
      <c r="I73" s="1011" t="str">
        <f t="shared" si="100"/>
        <v>%let dc_2_4_Defined contribution wealth includes IRAs, Keoghs, thrift-type accounts, and other account-type pensions.  For more details of the data, see http://sda.berkeley.edu/sdaweb/docs/scfcomb/DOC/hcbkfx0.htm =0;</v>
      </c>
      <c r="J73" s="655" t="str">
        <f t="shared" ref="J73:AG73" si="101">CONCATENATE("%let dc_",J$40,"_",J$41,"_",$A37,"=",ROUND(J37,3),";")</f>
        <v>%let dc_3_1_Defined contribution wealth includes IRAs, Keoghs, thrift-type accounts, and other account-type pensions.  For more details of the data, see http://sda.berkeley.edu/sdaweb/docs/scfcomb/DOC/hcbkfx0.htm =0;</v>
      </c>
      <c r="K73" s="655" t="str">
        <f t="shared" si="101"/>
        <v>%let dc_3_2_Defined contribution wealth includes IRAs, Keoghs, thrift-type accounts, and other account-type pensions.  For more details of the data, see http://sda.berkeley.edu/sdaweb/docs/scfcomb/DOC/hcbkfx0.htm =0;</v>
      </c>
      <c r="L73" s="655" t="str">
        <f t="shared" si="101"/>
        <v>%let dc_3_3_Defined contribution wealth includes IRAs, Keoghs, thrift-type accounts, and other account-type pensions.  For more details of the data, see http://sda.berkeley.edu/sdaweb/docs/scfcomb/DOC/hcbkfx0.htm =0;</v>
      </c>
      <c r="M73" s="655" t="str">
        <f t="shared" si="101"/>
        <v>%let dc_3_4_Defined contribution wealth includes IRAs, Keoghs, thrift-type accounts, and other account-type pensions.  For more details of the data, see http://sda.berkeley.edu/sdaweb/docs/scfcomb/DOC/hcbkfx0.htm =0;</v>
      </c>
      <c r="N73" s="655" t="str">
        <f t="shared" si="101"/>
        <v>%let dc_4_1_Defined contribution wealth includes IRAs, Keoghs, thrift-type accounts, and other account-type pensions.  For more details of the data, see http://sda.berkeley.edu/sdaweb/docs/scfcomb/DOC/hcbkfx0.htm =0;</v>
      </c>
      <c r="O73" s="655" t="str">
        <f t="shared" si="101"/>
        <v>%let dc_4_2_Defined contribution wealth includes IRAs, Keoghs, thrift-type accounts, and other account-type pensions.  For more details of the data, see http://sda.berkeley.edu/sdaweb/docs/scfcomb/DOC/hcbkfx0.htm =0;</v>
      </c>
      <c r="P73" s="655" t="str">
        <f t="shared" si="101"/>
        <v>%let dc_4_3_Defined contribution wealth includes IRAs, Keoghs, thrift-type accounts, and other account-type pensions.  For more details of the data, see http://sda.berkeley.edu/sdaweb/docs/scfcomb/DOC/hcbkfx0.htm =0;</v>
      </c>
      <c r="Q73" s="655" t="str">
        <f t="shared" si="101"/>
        <v>%let dc_4_4_Defined contribution wealth includes IRAs, Keoghs, thrift-type accounts, and other account-type pensions.  For more details of the data, see http://sda.berkeley.edu/sdaweb/docs/scfcomb/DOC/hcbkfx0.htm =0;</v>
      </c>
      <c r="R73" s="655" t="str">
        <f t="shared" si="101"/>
        <v>%let dc_5_1_Defined contribution wealth includes IRAs, Keoghs, thrift-type accounts, and other account-type pensions.  For more details of the data, see http://sda.berkeley.edu/sdaweb/docs/scfcomb/DOC/hcbkfx0.htm =0;</v>
      </c>
      <c r="S73" s="655" t="str">
        <f t="shared" si="101"/>
        <v>%let dc_5_2_Defined contribution wealth includes IRAs, Keoghs, thrift-type accounts, and other account-type pensions.  For more details of the data, see http://sda.berkeley.edu/sdaweb/docs/scfcomb/DOC/hcbkfx0.htm =0;</v>
      </c>
      <c r="T73" s="655" t="str">
        <f t="shared" si="101"/>
        <v>%let dc_5_3_Defined contribution wealth includes IRAs, Keoghs, thrift-type accounts, and other account-type pensions.  For more details of the data, see http://sda.berkeley.edu/sdaweb/docs/scfcomb/DOC/hcbkfx0.htm =0;</v>
      </c>
      <c r="U73" s="655" t="str">
        <f t="shared" si="101"/>
        <v>%let dc_5_4_Defined contribution wealth includes IRAs, Keoghs, thrift-type accounts, and other account-type pensions.  For more details of the data, see http://sda.berkeley.edu/sdaweb/docs/scfcomb/DOC/hcbkfx0.htm =0;</v>
      </c>
      <c r="V73" s="655" t="str">
        <f t="shared" si="101"/>
        <v>%let dc_6_1_Defined contribution wealth includes IRAs, Keoghs, thrift-type accounts, and other account-type pensions.  For more details of the data, see http://sda.berkeley.edu/sdaweb/docs/scfcomb/DOC/hcbkfx0.htm =0;</v>
      </c>
      <c r="W73" s="655" t="str">
        <f t="shared" si="101"/>
        <v>%let dc_6_2_Defined contribution wealth includes IRAs, Keoghs, thrift-type accounts, and other account-type pensions.  For more details of the data, see http://sda.berkeley.edu/sdaweb/docs/scfcomb/DOC/hcbkfx0.htm =0;</v>
      </c>
      <c r="X73" s="655" t="str">
        <f t="shared" si="101"/>
        <v>%let dc_6_3_Defined contribution wealth includes IRAs, Keoghs, thrift-type accounts, and other account-type pensions.  For more details of the data, see http://sda.berkeley.edu/sdaweb/docs/scfcomb/DOC/hcbkfx0.htm =0;</v>
      </c>
      <c r="Y73" s="655" t="str">
        <f t="shared" si="101"/>
        <v>%let dc_6_4_Defined contribution wealth includes IRAs, Keoghs, thrift-type accounts, and other account-type pensions.  For more details of the data, see http://sda.berkeley.edu/sdaweb/docs/scfcomb/DOC/hcbkfx0.htm =0;</v>
      </c>
      <c r="Z73" s="655" t="str">
        <f t="shared" si="101"/>
        <v>%let dc_7_1_Defined contribution wealth includes IRAs, Keoghs, thrift-type accounts, and other account-type pensions.  For more details of the data, see http://sda.berkeley.edu/sdaweb/docs/scfcomb/DOC/hcbkfx0.htm =0;</v>
      </c>
      <c r="AA73" s="655" t="str">
        <f t="shared" si="101"/>
        <v>%let dc_7_2_Defined contribution wealth includes IRAs, Keoghs, thrift-type accounts, and other account-type pensions.  For more details of the data, see http://sda.berkeley.edu/sdaweb/docs/scfcomb/DOC/hcbkfx0.htm =0;</v>
      </c>
      <c r="AB73" s="655" t="str">
        <f t="shared" si="101"/>
        <v>%let dc_7_3_Defined contribution wealth includes IRAs, Keoghs, thrift-type accounts, and other account-type pensions.  For more details of the data, see http://sda.berkeley.edu/sdaweb/docs/scfcomb/DOC/hcbkfx0.htm =0;</v>
      </c>
      <c r="AC73" s="655" t="str">
        <f t="shared" si="101"/>
        <v>%let dc_7_4_Defined contribution wealth includes IRAs, Keoghs, thrift-type accounts, and other account-type pensions.  For more details of the data, see http://sda.berkeley.edu/sdaweb/docs/scfcomb/DOC/hcbkfx0.htm =0;</v>
      </c>
      <c r="AD73" s="655" t="str">
        <f t="shared" si="101"/>
        <v>%let dc_8_1_Defined contribution wealth includes IRAs, Keoghs, thrift-type accounts, and other account-type pensions.  For more details of the data, see http://sda.berkeley.edu/sdaweb/docs/scfcomb/DOC/hcbkfx0.htm =0;</v>
      </c>
      <c r="AE73" s="655" t="str">
        <f t="shared" si="101"/>
        <v>%let dc_8_2_Defined contribution wealth includes IRAs, Keoghs, thrift-type accounts, and other account-type pensions.  For more details of the data, see http://sda.berkeley.edu/sdaweb/docs/scfcomb/DOC/hcbkfx0.htm =0;</v>
      </c>
      <c r="AF73" s="655" t="str">
        <f t="shared" si="101"/>
        <v>%let dc_8_3_Defined contribution wealth includes IRAs, Keoghs, thrift-type accounts, and other account-type pensions.  For more details of the data, see http://sda.berkeley.edu/sdaweb/docs/scfcomb/DOC/hcbkfx0.htm =0;</v>
      </c>
      <c r="AG73" s="655" t="str">
        <f t="shared" si="101"/>
        <v>%let dc_8_4_Defined contribution wealth includes IRAs, Keoghs, thrift-type accounts, and other account-type pensions.  For more details of the data, see http://sda.berkeley.edu/sdaweb/docs/scfcomb/DOC/hcbkfx0.htm =0;</v>
      </c>
    </row>
    <row r="74" spans="2:33" x14ac:dyDescent="0.3">
      <c r="B74" s="1011" t="str">
        <f t="shared" ref="B74:I74" si="102">CONCATENATE("%let dc_",B$40,"_",B$41,"_",$A38,"=",ROUND(B38,3),";")</f>
        <v>%let dc_1_1_Sources: Survey of Consumer Finances, microdata extracted Feb. 10, 2018 from http://sda.berkeley.edu/sdaweb/analysis/.=0;</v>
      </c>
      <c r="C74" s="1011" t="str">
        <f t="shared" si="102"/>
        <v>%let dc_1_2_Sources: Survey of Consumer Finances, microdata extracted Feb. 10, 2018 from http://sda.berkeley.edu/sdaweb/analysis/.=0;</v>
      </c>
      <c r="D74" s="1011" t="str">
        <f t="shared" si="102"/>
        <v>%let dc_1_3_Sources: Survey of Consumer Finances, microdata extracted Feb. 10, 2018 from http://sda.berkeley.edu/sdaweb/analysis/.=0;</v>
      </c>
      <c r="E74" s="1011" t="str">
        <f t="shared" si="102"/>
        <v>%let dc_1_4_Sources: Survey of Consumer Finances, microdata extracted Feb. 10, 2018 from http://sda.berkeley.edu/sdaweb/analysis/.=0;</v>
      </c>
      <c r="F74" s="1011" t="str">
        <f t="shared" si="102"/>
        <v>%let dc_2_1_Sources: Survey of Consumer Finances, microdata extracted Feb. 10, 2018 from http://sda.berkeley.edu/sdaweb/analysis/.=0;</v>
      </c>
      <c r="G74" s="1011" t="str">
        <f t="shared" si="102"/>
        <v>%let dc_2_2_Sources: Survey of Consumer Finances, microdata extracted Feb. 10, 2018 from http://sda.berkeley.edu/sdaweb/analysis/.=0;</v>
      </c>
      <c r="H74" s="1011" t="str">
        <f t="shared" si="102"/>
        <v>%let dc_2_3_Sources: Survey of Consumer Finances, microdata extracted Feb. 10, 2018 from http://sda.berkeley.edu/sdaweb/analysis/.=0;</v>
      </c>
      <c r="I74" s="1011" t="str">
        <f t="shared" si="102"/>
        <v>%let dc_2_4_Sources: Survey of Consumer Finances, microdata extracted Feb. 10, 2018 from http://sda.berkeley.edu/sdaweb/analysis/.=0;</v>
      </c>
      <c r="J74" s="655" t="str">
        <f t="shared" ref="J74:AG74" si="103">CONCATENATE("%let dc_",J$40,"_",J$41,"_",$A38,"=",ROUND(J38,3),";")</f>
        <v>%let dc_3_1_Sources: Survey of Consumer Finances, microdata extracted Feb. 10, 2018 from http://sda.berkeley.edu/sdaweb/analysis/.=0;</v>
      </c>
      <c r="K74" s="655" t="str">
        <f t="shared" si="103"/>
        <v>%let dc_3_2_Sources: Survey of Consumer Finances, microdata extracted Feb. 10, 2018 from http://sda.berkeley.edu/sdaweb/analysis/.=0;</v>
      </c>
      <c r="L74" s="655" t="str">
        <f t="shared" si="103"/>
        <v>%let dc_3_3_Sources: Survey of Consumer Finances, microdata extracted Feb. 10, 2018 from http://sda.berkeley.edu/sdaweb/analysis/.=0;</v>
      </c>
      <c r="M74" s="655" t="str">
        <f t="shared" si="103"/>
        <v>%let dc_3_4_Sources: Survey of Consumer Finances, microdata extracted Feb. 10, 2018 from http://sda.berkeley.edu/sdaweb/analysis/.=0;</v>
      </c>
      <c r="N74" s="655" t="str">
        <f t="shared" si="103"/>
        <v>%let dc_4_1_Sources: Survey of Consumer Finances, microdata extracted Feb. 10, 2018 from http://sda.berkeley.edu/sdaweb/analysis/.=0;</v>
      </c>
      <c r="O74" s="655" t="str">
        <f t="shared" si="103"/>
        <v>%let dc_4_2_Sources: Survey of Consumer Finances, microdata extracted Feb. 10, 2018 from http://sda.berkeley.edu/sdaweb/analysis/.=0;</v>
      </c>
      <c r="P74" s="655" t="str">
        <f t="shared" si="103"/>
        <v>%let dc_4_3_Sources: Survey of Consumer Finances, microdata extracted Feb. 10, 2018 from http://sda.berkeley.edu/sdaweb/analysis/.=0;</v>
      </c>
      <c r="Q74" s="655" t="str">
        <f t="shared" si="103"/>
        <v>%let dc_4_4_Sources: Survey of Consumer Finances, microdata extracted Feb. 10, 2018 from http://sda.berkeley.edu/sdaweb/analysis/.=0;</v>
      </c>
      <c r="R74" s="655" t="str">
        <f t="shared" si="103"/>
        <v>%let dc_5_1_Sources: Survey of Consumer Finances, microdata extracted Feb. 10, 2018 from http://sda.berkeley.edu/sdaweb/analysis/.=0;</v>
      </c>
      <c r="S74" s="655" t="str">
        <f t="shared" si="103"/>
        <v>%let dc_5_2_Sources: Survey of Consumer Finances, microdata extracted Feb. 10, 2018 from http://sda.berkeley.edu/sdaweb/analysis/.=0;</v>
      </c>
      <c r="T74" s="655" t="str">
        <f t="shared" si="103"/>
        <v>%let dc_5_3_Sources: Survey of Consumer Finances, microdata extracted Feb. 10, 2018 from http://sda.berkeley.edu/sdaweb/analysis/.=0;</v>
      </c>
      <c r="U74" s="655" t="str">
        <f t="shared" si="103"/>
        <v>%let dc_5_4_Sources: Survey of Consumer Finances, microdata extracted Feb. 10, 2018 from http://sda.berkeley.edu/sdaweb/analysis/.=0;</v>
      </c>
      <c r="V74" s="655" t="str">
        <f t="shared" si="103"/>
        <v>%let dc_6_1_Sources: Survey of Consumer Finances, microdata extracted Feb. 10, 2018 from http://sda.berkeley.edu/sdaweb/analysis/.=0;</v>
      </c>
      <c r="W74" s="655" t="str">
        <f t="shared" si="103"/>
        <v>%let dc_6_2_Sources: Survey of Consumer Finances, microdata extracted Feb. 10, 2018 from http://sda.berkeley.edu/sdaweb/analysis/.=0;</v>
      </c>
      <c r="X74" s="655" t="str">
        <f t="shared" si="103"/>
        <v>%let dc_6_3_Sources: Survey of Consumer Finances, microdata extracted Feb. 10, 2018 from http://sda.berkeley.edu/sdaweb/analysis/.=0;</v>
      </c>
      <c r="Y74" s="655" t="str">
        <f t="shared" si="103"/>
        <v>%let dc_6_4_Sources: Survey of Consumer Finances, microdata extracted Feb. 10, 2018 from http://sda.berkeley.edu/sdaweb/analysis/.=0;</v>
      </c>
      <c r="Z74" s="655" t="str">
        <f t="shared" si="103"/>
        <v>%let dc_7_1_Sources: Survey of Consumer Finances, microdata extracted Feb. 10, 2018 from http://sda.berkeley.edu/sdaweb/analysis/.=0;</v>
      </c>
      <c r="AA74" s="655" t="str">
        <f t="shared" si="103"/>
        <v>%let dc_7_2_Sources: Survey of Consumer Finances, microdata extracted Feb. 10, 2018 from http://sda.berkeley.edu/sdaweb/analysis/.=0;</v>
      </c>
      <c r="AB74" s="655" t="str">
        <f t="shared" si="103"/>
        <v>%let dc_7_3_Sources: Survey of Consumer Finances, microdata extracted Feb. 10, 2018 from http://sda.berkeley.edu/sdaweb/analysis/.=0;</v>
      </c>
      <c r="AC74" s="655" t="str">
        <f t="shared" si="103"/>
        <v>%let dc_7_4_Sources: Survey of Consumer Finances, microdata extracted Feb. 10, 2018 from http://sda.berkeley.edu/sdaweb/analysis/.=0;</v>
      </c>
      <c r="AD74" s="655" t="str">
        <f t="shared" si="103"/>
        <v>%let dc_8_1_Sources: Survey of Consumer Finances, microdata extracted Feb. 10, 2018 from http://sda.berkeley.edu/sdaweb/analysis/.=0;</v>
      </c>
      <c r="AE74" s="655" t="str">
        <f t="shared" si="103"/>
        <v>%let dc_8_2_Sources: Survey of Consumer Finances, microdata extracted Feb. 10, 2018 from http://sda.berkeley.edu/sdaweb/analysis/.=0;</v>
      </c>
      <c r="AF74" s="655" t="str">
        <f t="shared" si="103"/>
        <v>%let dc_8_3_Sources: Survey of Consumer Finances, microdata extracted Feb. 10, 2018 from http://sda.berkeley.edu/sdaweb/analysis/.=0;</v>
      </c>
      <c r="AG74" s="655" t="str">
        <f t="shared" si="103"/>
        <v>%let dc_8_4_Sources: Survey of Consumer Finances, microdata extracted Feb. 10, 2018 from http://sda.berkeley.edu/sdaweb/analysis/.=0;</v>
      </c>
    </row>
    <row r="75" spans="2:33" x14ac:dyDescent="0.3">
      <c r="B75" s="1011" t="str">
        <f t="shared" ref="B75:I75" si="104">CONCATENATE("%let dc_",B$40,"_",B$41,"_",$A39,"=",ROUND(B39,3),";")</f>
        <v>%let dc_1_1_=0;</v>
      </c>
      <c r="C75" s="1011" t="str">
        <f t="shared" si="104"/>
        <v>%let dc_1_2_=0;</v>
      </c>
      <c r="D75" s="1011" t="str">
        <f t="shared" si="104"/>
        <v>%let dc_1_3_=0;</v>
      </c>
      <c r="E75" s="1011" t="str">
        <f t="shared" si="104"/>
        <v>%let dc_1_4_=0;</v>
      </c>
      <c r="F75" s="1011" t="str">
        <f t="shared" si="104"/>
        <v>%let dc_2_1_=0;</v>
      </c>
      <c r="G75" s="1011" t="str">
        <f t="shared" si="104"/>
        <v>%let dc_2_2_=0;</v>
      </c>
      <c r="H75" s="1011" t="str">
        <f t="shared" si="104"/>
        <v>%let dc_2_3_=0;</v>
      </c>
      <c r="I75" s="1011" t="str">
        <f t="shared" si="104"/>
        <v>%let dc_2_4_=0;</v>
      </c>
      <c r="J75" s="655" t="str">
        <f t="shared" ref="J75:AG75" si="105">CONCATENATE("%let dc_",J$40,"_",J$41,"_",$A39,"=",ROUND(J39,3),";")</f>
        <v>%let dc_3_1_=0;</v>
      </c>
      <c r="K75" s="655" t="str">
        <f t="shared" si="105"/>
        <v>%let dc_3_2_=0;</v>
      </c>
      <c r="L75" s="655" t="str">
        <f t="shared" si="105"/>
        <v>%let dc_3_3_=0;</v>
      </c>
      <c r="M75" s="655" t="str">
        <f t="shared" si="105"/>
        <v>%let dc_3_4_=0;</v>
      </c>
      <c r="N75" s="655" t="str">
        <f t="shared" si="105"/>
        <v>%let dc_4_1_=0;</v>
      </c>
      <c r="O75" s="655" t="str">
        <f t="shared" si="105"/>
        <v>%let dc_4_2_=0;</v>
      </c>
      <c r="P75" s="655" t="str">
        <f t="shared" si="105"/>
        <v>%let dc_4_3_=0;</v>
      </c>
      <c r="Q75" s="655" t="str">
        <f t="shared" si="105"/>
        <v>%let dc_4_4_=0;</v>
      </c>
      <c r="R75" s="655" t="str">
        <f t="shared" si="105"/>
        <v>%let dc_5_1_=0;</v>
      </c>
      <c r="S75" s="655" t="str">
        <f t="shared" si="105"/>
        <v>%let dc_5_2_=0;</v>
      </c>
      <c r="T75" s="655" t="str">
        <f t="shared" si="105"/>
        <v>%let dc_5_3_=0;</v>
      </c>
      <c r="U75" s="655" t="str">
        <f t="shared" si="105"/>
        <v>%let dc_5_4_=0;</v>
      </c>
      <c r="V75" s="655" t="str">
        <f t="shared" si="105"/>
        <v>%let dc_6_1_=0;</v>
      </c>
      <c r="W75" s="655" t="str">
        <f t="shared" si="105"/>
        <v>%let dc_6_2_=0;</v>
      </c>
      <c r="X75" s="655" t="str">
        <f t="shared" si="105"/>
        <v>%let dc_6_3_=0;</v>
      </c>
      <c r="Y75" s="655" t="str">
        <f t="shared" si="105"/>
        <v>%let dc_6_4_=0;</v>
      </c>
      <c r="Z75" s="655" t="str">
        <f t="shared" si="105"/>
        <v>%let dc_7_1_=0;</v>
      </c>
      <c r="AA75" s="655" t="str">
        <f t="shared" si="105"/>
        <v>%let dc_7_2_=0;</v>
      </c>
      <c r="AB75" s="655" t="str">
        <f t="shared" si="105"/>
        <v>%let dc_7_3_=0;</v>
      </c>
      <c r="AC75" s="655" t="str">
        <f t="shared" si="105"/>
        <v>%let dc_7_4_=0;</v>
      </c>
      <c r="AD75" s="655" t="str">
        <f t="shared" si="105"/>
        <v>%let dc_8_1_=0;</v>
      </c>
      <c r="AE75" s="655" t="str">
        <f t="shared" si="105"/>
        <v>%let dc_8_2_=0;</v>
      </c>
      <c r="AF75" s="655" t="str">
        <f t="shared" si="105"/>
        <v>%let dc_8_3_=0;</v>
      </c>
      <c r="AG75" s="655" t="str">
        <f t="shared" si="105"/>
        <v>%let dc_8_4_=0;</v>
      </c>
    </row>
    <row r="76" spans="2:33" x14ac:dyDescent="0.3">
      <c r="B76" s="1011" t="str">
        <f t="shared" ref="B76:I76" si="106">CONCATENATE("%let dc_",B$40,"_",B$41,"_",$A40,"=",ROUND(B40,3),";")</f>
        <v>%let dc_1_1_=1;</v>
      </c>
      <c r="C76" s="1011" t="str">
        <f t="shared" si="106"/>
        <v>%let dc_1_2_=1;</v>
      </c>
      <c r="D76" s="1011" t="str">
        <f t="shared" si="106"/>
        <v>%let dc_1_3_=1;</v>
      </c>
      <c r="E76" s="1011" t="str">
        <f t="shared" si="106"/>
        <v>%let dc_1_4_=1;</v>
      </c>
      <c r="F76" s="1011" t="str">
        <f t="shared" si="106"/>
        <v>%let dc_2_1_=2;</v>
      </c>
      <c r="G76" s="1011" t="str">
        <f t="shared" si="106"/>
        <v>%let dc_2_2_=2;</v>
      </c>
      <c r="H76" s="1011" t="str">
        <f t="shared" si="106"/>
        <v>%let dc_2_3_=2;</v>
      </c>
      <c r="I76" s="1011" t="str">
        <f t="shared" si="106"/>
        <v>%let dc_2_4_=2;</v>
      </c>
      <c r="J76" s="655" t="str">
        <f t="shared" ref="J76:AG76" si="107">CONCATENATE("%let dc_",J$40,"_",J$41,"_",$A40,"=",ROUND(J40,3),";")</f>
        <v>%let dc_3_1_=3;</v>
      </c>
      <c r="K76" s="655" t="str">
        <f t="shared" si="107"/>
        <v>%let dc_3_2_=3;</v>
      </c>
      <c r="L76" s="655" t="str">
        <f t="shared" si="107"/>
        <v>%let dc_3_3_=3;</v>
      </c>
      <c r="M76" s="655" t="str">
        <f t="shared" si="107"/>
        <v>%let dc_3_4_=3;</v>
      </c>
      <c r="N76" s="655" t="str">
        <f t="shared" si="107"/>
        <v>%let dc_4_1_=4;</v>
      </c>
      <c r="O76" s="655" t="str">
        <f t="shared" si="107"/>
        <v>%let dc_4_2_=4;</v>
      </c>
      <c r="P76" s="655" t="str">
        <f t="shared" si="107"/>
        <v>%let dc_4_3_=4;</v>
      </c>
      <c r="Q76" s="655" t="str">
        <f t="shared" si="107"/>
        <v>%let dc_4_4_=4;</v>
      </c>
      <c r="R76" s="655" t="str">
        <f t="shared" si="107"/>
        <v>%let dc_5_1_=5;</v>
      </c>
      <c r="S76" s="655" t="str">
        <f t="shared" si="107"/>
        <v>%let dc_5_2_=5;</v>
      </c>
      <c r="T76" s="655" t="str">
        <f t="shared" si="107"/>
        <v>%let dc_5_3_=5;</v>
      </c>
      <c r="U76" s="655" t="str">
        <f t="shared" si="107"/>
        <v>%let dc_5_4_=5;</v>
      </c>
      <c r="V76" s="655" t="str">
        <f t="shared" si="107"/>
        <v>%let dc_6_1_=6;</v>
      </c>
      <c r="W76" s="655" t="str">
        <f t="shared" si="107"/>
        <v>%let dc_6_2_=6;</v>
      </c>
      <c r="X76" s="655" t="str">
        <f t="shared" si="107"/>
        <v>%let dc_6_3_=6;</v>
      </c>
      <c r="Y76" s="655" t="str">
        <f t="shared" si="107"/>
        <v>%let dc_6_4_=6;</v>
      </c>
      <c r="Z76" s="655" t="str">
        <f t="shared" si="107"/>
        <v>%let dc_7_1_=7;</v>
      </c>
      <c r="AA76" s="655" t="str">
        <f t="shared" si="107"/>
        <v>%let dc_7_2_=7;</v>
      </c>
      <c r="AB76" s="655" t="str">
        <f t="shared" si="107"/>
        <v>%let dc_7_3_=7;</v>
      </c>
      <c r="AC76" s="655" t="str">
        <f t="shared" si="107"/>
        <v>%let dc_7_4_=7;</v>
      </c>
      <c r="AD76" s="655" t="str">
        <f t="shared" si="107"/>
        <v>%let dc_8_1_=8;</v>
      </c>
      <c r="AE76" s="655" t="str">
        <f t="shared" si="107"/>
        <v>%let dc_8_2_=8;</v>
      </c>
      <c r="AF76" s="655" t="str">
        <f t="shared" si="107"/>
        <v>%let dc_8_3_=8;</v>
      </c>
      <c r="AG76" s="655" t="str">
        <f t="shared" si="107"/>
        <v>%let dc_8_4_=8;</v>
      </c>
    </row>
    <row r="77" spans="2:33" x14ac:dyDescent="0.3">
      <c r="B77" s="1011" t="str">
        <f t="shared" ref="B77:I77" si="108">CONCATENATE("%let dc_",B$40,"_",B$41,"_",$A41,"=",ROUND(B41,3),";")</f>
        <v>%let dc_1_1_=1;</v>
      </c>
      <c r="C77" s="1011" t="str">
        <f t="shared" si="108"/>
        <v>%let dc_1_2_=2;</v>
      </c>
      <c r="D77" s="1011" t="str">
        <f t="shared" si="108"/>
        <v>%let dc_1_3_=3;</v>
      </c>
      <c r="E77" s="1011" t="str">
        <f t="shared" si="108"/>
        <v>%let dc_1_4_=4;</v>
      </c>
      <c r="F77" s="1011" t="str">
        <f t="shared" si="108"/>
        <v>%let dc_2_1_=1;</v>
      </c>
      <c r="G77" s="1011" t="str">
        <f t="shared" si="108"/>
        <v>%let dc_2_2_=2;</v>
      </c>
      <c r="H77" s="1011" t="str">
        <f t="shared" si="108"/>
        <v>%let dc_2_3_=3;</v>
      </c>
      <c r="I77" s="1011" t="str">
        <f t="shared" si="108"/>
        <v>%let dc_2_4_=4;</v>
      </c>
      <c r="J77" s="655" t="str">
        <f t="shared" ref="J77:AG77" si="109">CONCATENATE("%let dc_",J$40,"_",J$41,"_",$A41,"=",ROUND(J41,3),";")</f>
        <v>%let dc_3_1_=1;</v>
      </c>
      <c r="K77" s="655" t="str">
        <f t="shared" si="109"/>
        <v>%let dc_3_2_=2;</v>
      </c>
      <c r="L77" s="655" t="str">
        <f t="shared" si="109"/>
        <v>%let dc_3_3_=3;</v>
      </c>
      <c r="M77" s="655" t="str">
        <f t="shared" si="109"/>
        <v>%let dc_3_4_=4;</v>
      </c>
      <c r="N77" s="655" t="str">
        <f t="shared" si="109"/>
        <v>%let dc_4_1_=1;</v>
      </c>
      <c r="O77" s="655" t="str">
        <f t="shared" si="109"/>
        <v>%let dc_4_2_=2;</v>
      </c>
      <c r="P77" s="655" t="str">
        <f t="shared" si="109"/>
        <v>%let dc_4_3_=3;</v>
      </c>
      <c r="Q77" s="655" t="str">
        <f t="shared" si="109"/>
        <v>%let dc_4_4_=4;</v>
      </c>
      <c r="R77" s="655" t="str">
        <f t="shared" si="109"/>
        <v>%let dc_5_1_=1;</v>
      </c>
      <c r="S77" s="655" t="str">
        <f t="shared" si="109"/>
        <v>%let dc_5_2_=2;</v>
      </c>
      <c r="T77" s="655" t="str">
        <f t="shared" si="109"/>
        <v>%let dc_5_3_=3;</v>
      </c>
      <c r="U77" s="655" t="str">
        <f t="shared" si="109"/>
        <v>%let dc_5_4_=4;</v>
      </c>
      <c r="V77" s="655" t="str">
        <f t="shared" si="109"/>
        <v>%let dc_6_1_=1;</v>
      </c>
      <c r="W77" s="655" t="str">
        <f t="shared" si="109"/>
        <v>%let dc_6_2_=2;</v>
      </c>
      <c r="X77" s="655" t="str">
        <f t="shared" si="109"/>
        <v>%let dc_6_3_=3;</v>
      </c>
      <c r="Y77" s="655" t="str">
        <f t="shared" si="109"/>
        <v>%let dc_6_4_=4;</v>
      </c>
      <c r="Z77" s="655" t="str">
        <f t="shared" si="109"/>
        <v>%let dc_7_1_=1;</v>
      </c>
      <c r="AA77" s="655" t="str">
        <f t="shared" si="109"/>
        <v>%let dc_7_2_=2;</v>
      </c>
      <c r="AB77" s="655" t="str">
        <f t="shared" si="109"/>
        <v>%let dc_7_3_=3;</v>
      </c>
      <c r="AC77" s="655" t="str">
        <f t="shared" si="109"/>
        <v>%let dc_7_4_=4;</v>
      </c>
      <c r="AD77" s="655" t="str">
        <f t="shared" si="109"/>
        <v>%let dc_8_1_=1;</v>
      </c>
      <c r="AE77" s="655" t="str">
        <f t="shared" si="109"/>
        <v>%let dc_8_2_=2;</v>
      </c>
      <c r="AF77" s="655" t="str">
        <f t="shared" si="109"/>
        <v>%let dc_8_3_=3;</v>
      </c>
      <c r="AG77" s="655" t="str">
        <f t="shared" si="109"/>
        <v>%let dc_8_4_=4;</v>
      </c>
    </row>
    <row r="78" spans="2:33" x14ac:dyDescent="0.3">
      <c r="F78" s="655"/>
      <c r="G78" s="655"/>
      <c r="H78" s="655"/>
      <c r="I78" s="655"/>
      <c r="J78" s="655"/>
      <c r="K78" s="655"/>
      <c r="L78" s="655"/>
      <c r="M78" s="655"/>
      <c r="N78" s="655"/>
      <c r="O78" s="655"/>
      <c r="P78" s="655"/>
      <c r="Q78" s="655"/>
      <c r="R78" s="655"/>
      <c r="S78" s="655"/>
      <c r="T78" s="655"/>
      <c r="U78" s="655"/>
      <c r="V78" s="655"/>
      <c r="W78" s="655"/>
      <c r="X78" s="655"/>
      <c r="Y78" s="655"/>
      <c r="Z78" s="655"/>
      <c r="AA78" s="655"/>
      <c r="AB78" s="655"/>
      <c r="AC78" s="655"/>
      <c r="AD78" s="655"/>
      <c r="AE78" s="655"/>
      <c r="AF78" s="655"/>
      <c r="AG78" s="655"/>
    </row>
    <row r="79" spans="2:33" x14ac:dyDescent="0.3">
      <c r="F79" s="655"/>
      <c r="G79" s="655"/>
      <c r="H79" s="655"/>
      <c r="I79" s="655"/>
      <c r="J79" s="655"/>
      <c r="K79" s="655"/>
      <c r="L79" s="655"/>
      <c r="M79" s="655"/>
      <c r="N79" s="655"/>
      <c r="O79" s="655"/>
      <c r="P79" s="655"/>
      <c r="Q79" s="655"/>
      <c r="R79" s="655"/>
      <c r="S79" s="655"/>
      <c r="T79" s="655"/>
      <c r="U79" s="655"/>
      <c r="V79" s="655"/>
      <c r="W79" s="655"/>
      <c r="X79" s="655"/>
      <c r="Y79" s="655"/>
      <c r="Z79" s="655"/>
      <c r="AA79" s="655"/>
      <c r="AB79" s="655"/>
      <c r="AC79" s="655"/>
      <c r="AD79" s="655"/>
      <c r="AE79" s="655"/>
      <c r="AF79" s="655"/>
      <c r="AG79" s="655"/>
    </row>
    <row r="80" spans="2:33" x14ac:dyDescent="0.3">
      <c r="F80" s="655"/>
      <c r="G80" s="655"/>
      <c r="H80" s="655"/>
      <c r="I80" s="655"/>
      <c r="J80" s="655"/>
      <c r="K80" s="655"/>
      <c r="L80" s="655"/>
      <c r="M80" s="655"/>
      <c r="N80" s="655"/>
      <c r="O80" s="655"/>
      <c r="P80" s="655"/>
      <c r="Q80" s="655"/>
      <c r="R80" s="655"/>
      <c r="S80" s="655"/>
      <c r="T80" s="655"/>
      <c r="U80" s="655"/>
      <c r="V80" s="655"/>
      <c r="W80" s="655"/>
      <c r="X80" s="655"/>
      <c r="Y80" s="655"/>
      <c r="Z80" s="655"/>
      <c r="AA80" s="655"/>
      <c r="AB80" s="655"/>
      <c r="AC80" s="655"/>
      <c r="AD80" s="655"/>
      <c r="AE80" s="655"/>
      <c r="AF80" s="655"/>
      <c r="AG80" s="655"/>
    </row>
    <row r="82" spans="1:14" x14ac:dyDescent="0.3">
      <c r="A82" s="75"/>
    </row>
    <row r="83" spans="1:14" s="1281" customFormat="1" x14ac:dyDescent="0.3">
      <c r="A83" s="75"/>
      <c r="B83" s="1292"/>
      <c r="C83" s="1292"/>
      <c r="E83" s="1292"/>
      <c r="F83" s="1292"/>
    </row>
    <row r="84" spans="1:14" x14ac:dyDescent="0.3">
      <c r="A84" s="1285"/>
      <c r="B84" s="1285"/>
      <c r="C84" s="1285"/>
      <c r="D84" s="1285"/>
      <c r="E84" s="1285"/>
      <c r="F84" s="1285"/>
      <c r="M84" s="655"/>
    </row>
    <row r="85" spans="1:14" x14ac:dyDescent="0.3">
      <c r="A85" s="170"/>
      <c r="B85" s="654"/>
      <c r="C85" s="654"/>
      <c r="D85" s="654"/>
      <c r="E85" s="72"/>
      <c r="F85" s="72"/>
      <c r="G85" s="655"/>
      <c r="M85" s="72"/>
      <c r="N85" s="72"/>
    </row>
    <row r="86" spans="1:14" x14ac:dyDescent="0.3">
      <c r="A86" s="170"/>
      <c r="B86" s="654"/>
      <c r="C86" s="654"/>
      <c r="D86" s="654"/>
      <c r="E86" s="249"/>
      <c r="F86" s="249"/>
      <c r="G86" s="655"/>
      <c r="M86" s="72"/>
      <c r="N86" s="72"/>
    </row>
    <row r="87" spans="1:14" x14ac:dyDescent="0.3">
      <c r="A87" s="170"/>
      <c r="B87" s="654"/>
      <c r="C87" s="654"/>
      <c r="D87" s="654"/>
      <c r="E87" s="249"/>
      <c r="F87" s="249"/>
      <c r="G87" s="655"/>
      <c r="M87" s="72"/>
      <c r="N87" s="72"/>
    </row>
    <row r="88" spans="1:14" x14ac:dyDescent="0.3">
      <c r="A88" s="170"/>
      <c r="B88" s="655"/>
      <c r="C88" s="654"/>
      <c r="D88" s="655"/>
      <c r="E88" s="73"/>
      <c r="F88" s="73"/>
      <c r="G88" s="655"/>
      <c r="M88" s="73"/>
      <c r="N88" s="72"/>
    </row>
    <row r="89" spans="1:14" x14ac:dyDescent="0.3">
      <c r="A89" s="170"/>
      <c r="B89" s="655"/>
      <c r="C89" s="654"/>
      <c r="D89" s="655"/>
      <c r="E89" s="73"/>
      <c r="F89" s="73"/>
      <c r="G89" s="655"/>
      <c r="M89" s="73"/>
      <c r="N89" s="72"/>
    </row>
    <row r="90" spans="1:14" x14ac:dyDescent="0.3">
      <c r="A90" s="170"/>
      <c r="B90" s="655"/>
      <c r="C90" s="654"/>
      <c r="D90" s="655"/>
      <c r="E90" s="73"/>
      <c r="F90" s="73"/>
      <c r="G90" s="655"/>
      <c r="M90" s="73"/>
      <c r="N90" s="72"/>
    </row>
    <row r="91" spans="1:14" x14ac:dyDescent="0.3">
      <c r="A91" s="170"/>
      <c r="B91" s="655"/>
      <c r="C91" s="654"/>
      <c r="D91" s="655"/>
      <c r="E91" s="73"/>
      <c r="F91" s="73"/>
      <c r="G91" s="655"/>
      <c r="M91" s="73"/>
      <c r="N91" s="72"/>
    </row>
    <row r="92" spans="1:14" x14ac:dyDescent="0.3">
      <c r="A92" s="170"/>
      <c r="B92" s="654"/>
      <c r="C92" s="654"/>
      <c r="D92" s="654"/>
      <c r="E92" s="655"/>
      <c r="F92" s="655"/>
      <c r="G92" s="655"/>
      <c r="M92" s="655"/>
      <c r="N92" s="72"/>
    </row>
    <row r="93" spans="1:14" x14ac:dyDescent="0.3">
      <c r="A93" s="655"/>
      <c r="B93" s="655"/>
      <c r="C93" s="654"/>
      <c r="D93" s="655"/>
      <c r="E93" s="655"/>
      <c r="F93" s="655"/>
      <c r="G93" s="655"/>
      <c r="M93" s="655"/>
      <c r="N93" s="655"/>
    </row>
    <row r="94" spans="1:14" x14ac:dyDescent="0.3">
      <c r="A94" s="655"/>
      <c r="B94" s="655"/>
      <c r="C94" s="654"/>
      <c r="D94"/>
      <c r="E94" s="74"/>
      <c r="F94" s="74"/>
      <c r="G94" s="655"/>
      <c r="M94" s="74"/>
      <c r="N94" s="655"/>
    </row>
  </sheetData>
  <mergeCells count="16">
    <mergeCell ref="B3:E3"/>
    <mergeCell ref="B4:E4"/>
    <mergeCell ref="AD3:AG3"/>
    <mergeCell ref="F4:I4"/>
    <mergeCell ref="J4:M4"/>
    <mergeCell ref="N4:Q4"/>
    <mergeCell ref="R4:U4"/>
    <mergeCell ref="V4:Y4"/>
    <mergeCell ref="Z4:AC4"/>
    <mergeCell ref="AD4:AG4"/>
    <mergeCell ref="F3:I3"/>
    <mergeCell ref="J3:M3"/>
    <mergeCell ref="N3:Q3"/>
    <mergeCell ref="R3:U3"/>
    <mergeCell ref="V3:Y3"/>
    <mergeCell ref="Z3:AC3"/>
  </mergeCells>
  <hyperlinks>
    <hyperlink ref="O1" location="Index!A1" display="Index"/>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B159"/>
  <sheetViews>
    <sheetView zoomScale="85" zoomScaleNormal="85" workbookViewId="0"/>
  </sheetViews>
  <sheetFormatPr defaultRowHeight="14.4" x14ac:dyDescent="0.3"/>
  <cols>
    <col min="2" max="2" width="9.21875" bestFit="1" customWidth="1"/>
    <col min="3" max="3" width="12.5546875" style="655" customWidth="1"/>
    <col min="4" max="4" width="12" customWidth="1"/>
    <col min="5" max="5" width="9.21875" bestFit="1" customWidth="1"/>
    <col min="6" max="6" width="11.109375" customWidth="1"/>
    <col min="7" max="7" width="10.88671875" customWidth="1"/>
    <col min="8" max="8" width="10.109375" bestFit="1" customWidth="1"/>
    <col min="10" max="10" width="13.77734375" customWidth="1"/>
    <col min="11" max="11" width="10.109375" customWidth="1"/>
    <col min="12" max="12" width="13.21875" style="655" customWidth="1"/>
    <col min="13" max="13" width="11" customWidth="1"/>
    <col min="16" max="16" width="12.21875" customWidth="1"/>
    <col min="17" max="17" width="22.44140625" customWidth="1"/>
    <col min="18" max="18" width="21.5546875" customWidth="1"/>
    <col min="19" max="19" width="21.44140625" customWidth="1"/>
    <col min="20" max="24" width="13.88671875" customWidth="1"/>
  </cols>
  <sheetData>
    <row r="1" spans="1:24" s="655" customFormat="1" ht="15.6" x14ac:dyDescent="0.3">
      <c r="A1" s="75" t="s">
        <v>1383</v>
      </c>
      <c r="G1" s="463" t="s">
        <v>504</v>
      </c>
      <c r="J1" s="1392" t="s">
        <v>1344</v>
      </c>
      <c r="K1" s="1392"/>
      <c r="L1" s="1392" t="s">
        <v>1343</v>
      </c>
      <c r="M1" s="1392"/>
    </row>
    <row r="2" spans="1:24" s="655" customFormat="1" x14ac:dyDescent="0.3">
      <c r="A2" s="11"/>
      <c r="B2" s="288" t="s">
        <v>1330</v>
      </c>
      <c r="C2" s="288" t="s">
        <v>1331</v>
      </c>
      <c r="D2" s="288" t="s">
        <v>20</v>
      </c>
      <c r="E2" s="288" t="s">
        <v>21</v>
      </c>
      <c r="F2" s="288" t="s">
        <v>225</v>
      </c>
      <c r="G2" s="288" t="s">
        <v>22</v>
      </c>
      <c r="H2" s="288" t="s">
        <v>23</v>
      </c>
      <c r="J2" s="870" t="s">
        <v>1346</v>
      </c>
      <c r="K2" s="870" t="s">
        <v>1332</v>
      </c>
      <c r="L2" s="870" t="s">
        <v>1346</v>
      </c>
      <c r="M2" s="870" t="s">
        <v>1332</v>
      </c>
      <c r="N2" s="870" t="s">
        <v>1364</v>
      </c>
      <c r="O2" s="870" t="s">
        <v>1096</v>
      </c>
      <c r="Q2" s="655">
        <v>1</v>
      </c>
      <c r="R2" s="1011">
        <f t="shared" ref="R2:X2" si="0">Q2+1</f>
        <v>2</v>
      </c>
      <c r="S2" s="655">
        <f t="shared" si="0"/>
        <v>3</v>
      </c>
      <c r="T2" s="1011">
        <f t="shared" si="0"/>
        <v>4</v>
      </c>
      <c r="U2" s="1011">
        <f t="shared" si="0"/>
        <v>5</v>
      </c>
      <c r="V2" s="1011">
        <f t="shared" si="0"/>
        <v>6</v>
      </c>
      <c r="W2" s="1011">
        <f t="shared" si="0"/>
        <v>7</v>
      </c>
      <c r="X2" s="1011">
        <f t="shared" si="0"/>
        <v>8</v>
      </c>
    </row>
    <row r="3" spans="1:24" s="252" customFormat="1" ht="11.25" customHeight="1" x14ac:dyDescent="0.3">
      <c r="A3" s="315">
        <v>1960</v>
      </c>
      <c r="B3" s="882">
        <f t="shared" ref="B3:B23" si="1">B4</f>
        <v>0.31989698768266517</v>
      </c>
      <c r="C3" s="882">
        <f t="shared" ref="C3:C23" si="2">C4</f>
        <v>9.2325475507558874E-2</v>
      </c>
      <c r="D3" s="882">
        <f t="shared" ref="D3:D23" si="3">D4</f>
        <v>0.24560751946468709</v>
      </c>
      <c r="E3" s="882">
        <f t="shared" ref="E3:E23" si="4">E4</f>
        <v>9.7708723004621134E-2</v>
      </c>
      <c r="F3" s="882">
        <f t="shared" ref="F3:F23" si="5">F4</f>
        <v>0.11844245268227409</v>
      </c>
      <c r="G3" s="882">
        <f t="shared" ref="G3:G23" si="6">G4</f>
        <v>6.4389088326381294E-2</v>
      </c>
      <c r="H3" s="882">
        <f t="shared" ref="H3:H23" si="7">H4</f>
        <v>6.1629753331812323E-2</v>
      </c>
      <c r="I3" s="987"/>
      <c r="J3" s="872">
        <v>10</v>
      </c>
      <c r="K3" s="872">
        <f>J3*'C0-Ref Stats'!AA6/'C0-Ref Stats'!AA$61</f>
        <v>62.396557619970359</v>
      </c>
      <c r="L3" s="873">
        <v>0.06</v>
      </c>
      <c r="M3" s="872">
        <f>L3*'C0-Ref Stats'!AA6/'C0-Ref Stats'!AA$61</f>
        <v>0.37437934571982218</v>
      </c>
      <c r="N3" s="891">
        <f>SUM(E3:H3)</f>
        <v>0.34217001734508884</v>
      </c>
      <c r="O3" s="873">
        <f t="shared" ref="O3:O34" si="8">SUM(B3:H3)-1</f>
        <v>0</v>
      </c>
      <c r="Q3" s="1011" t="str">
        <f>CONCATENATE("%let est_",Q$2,"_",$A3,"=",ROUND((1-ROUND(C3,3)-ROUND(D3,3)-ROUND(E3,3)-ROUND(F3,3)-ROUND(G3,3)-ROUND(H3,3))/3,3),";")</f>
        <v>%let est_1_1960=0.107;</v>
      </c>
      <c r="R3" s="991" t="str">
        <f>CONCATENATE("%let est_",R$2,"_",$A3,"=",ROUND((1-ROUND(C3,3)-ROUND(D3,3)-ROUND(E3,3)-ROUND(F3,3)-ROUND(G3,3)-ROUND(H3,3))*2/3,3),";")</f>
        <v>%let est_2_1960=0.213;</v>
      </c>
      <c r="S3" s="655" t="str">
        <f t="shared" ref="S3:S34" si="9">CONCATENATE("%let est_",S$2,"_",$A3,"=",ROUND(C3,3),";")</f>
        <v>%let est_3_1960=0.092;</v>
      </c>
      <c r="T3" s="655" t="str">
        <f t="shared" ref="T3:T34" si="10">CONCATENATE("%let est_",T$2,"_",$A3,"=",ROUND(D3,3),";")</f>
        <v>%let est_4_1960=0.246;</v>
      </c>
      <c r="U3" s="655" t="str">
        <f t="shared" ref="U3:U34" si="11">CONCATENATE("%let est_",U$2,"_",$A3,"=",ROUND(E3,3),";")</f>
        <v>%let est_5_1960=0.098;</v>
      </c>
      <c r="V3" s="655" t="str">
        <f t="shared" ref="V3:V34" si="12">CONCATENATE("%let est_",V$2,"_",$A3,"=",ROUND(F3,3),";")</f>
        <v>%let est_6_1960=0.118;</v>
      </c>
      <c r="W3" s="655" t="str">
        <f t="shared" ref="W3:W34" si="13">CONCATENATE("%let est_",W$2,"_",$A3,"=",ROUND(G3,3),";")</f>
        <v>%let est_7_1960=0.064;</v>
      </c>
      <c r="X3" s="655" t="str">
        <f t="shared" ref="X3:X34" si="14">CONCATENATE("%let est_",X$2,"_",$A3,"=",ROUND(H3,3),";")</f>
        <v>%let est_8_1960=0.062;</v>
      </c>
    </row>
    <row r="4" spans="1:24" s="252" customFormat="1" ht="11.25" customHeight="1" x14ac:dyDescent="0.3">
      <c r="A4" s="315">
        <f>A3+1</f>
        <v>1961</v>
      </c>
      <c r="B4" s="882">
        <f t="shared" si="1"/>
        <v>0.31989698768266517</v>
      </c>
      <c r="C4" s="882">
        <f t="shared" si="2"/>
        <v>9.2325475507558874E-2</v>
      </c>
      <c r="D4" s="882">
        <f t="shared" si="3"/>
        <v>0.24560751946468709</v>
      </c>
      <c r="E4" s="882">
        <f t="shared" si="4"/>
        <v>9.7708723004621134E-2</v>
      </c>
      <c r="F4" s="882">
        <f t="shared" si="5"/>
        <v>0.11844245268227409</v>
      </c>
      <c r="G4" s="882">
        <f t="shared" si="6"/>
        <v>6.4389088326381294E-2</v>
      </c>
      <c r="H4" s="882">
        <f t="shared" si="7"/>
        <v>6.1629753331812323E-2</v>
      </c>
      <c r="J4" s="872">
        <v>10</v>
      </c>
      <c r="K4" s="872">
        <f>J4*'C0-Ref Stats'!AA7/'C0-Ref Stats'!AA$61</f>
        <v>61.749012972363218</v>
      </c>
      <c r="L4" s="873">
        <f t="shared" ref="L4:L19" si="15">L3</f>
        <v>0.06</v>
      </c>
      <c r="M4" s="872">
        <f>L4*'C0-Ref Stats'!AA7/'C0-Ref Stats'!AA$61</f>
        <v>0.37049407783417931</v>
      </c>
      <c r="N4" s="891">
        <f t="shared" ref="N4:N58" si="16">SUM(E4:H4)</f>
        <v>0.34217001734508884</v>
      </c>
      <c r="O4" s="873">
        <f t="shared" si="8"/>
        <v>0</v>
      </c>
      <c r="Q4" s="1011" t="str">
        <f t="shared" ref="Q4:Q58" si="17">CONCATENATE("%let est_",Q$2,"_",$A4,"=",ROUND((1-ROUND(C4,3)-ROUND(D4,3)-ROUND(E4,3)-ROUND(F4,3)-ROUND(G4,3)-ROUND(H4,3))/3,3),";")</f>
        <v>%let est_1_1961=0.107;</v>
      </c>
      <c r="R4" s="1011" t="str">
        <f t="shared" ref="R4:R58" si="18">CONCATENATE("%let est_",R$2,"_",$A4,"=",ROUND((1-ROUND(C4,3)-ROUND(D4,3)-ROUND(E4,3)-ROUND(F4,3)-ROUND(G4,3)-ROUND(H4,3))*2/3,3),";")</f>
        <v>%let est_2_1961=0.213;</v>
      </c>
      <c r="S4" s="655" t="str">
        <f t="shared" si="9"/>
        <v>%let est_3_1961=0.092;</v>
      </c>
      <c r="T4" s="655" t="str">
        <f t="shared" si="10"/>
        <v>%let est_4_1961=0.246;</v>
      </c>
      <c r="U4" s="655" t="str">
        <f t="shared" si="11"/>
        <v>%let est_5_1961=0.098;</v>
      </c>
      <c r="V4" s="655" t="str">
        <f t="shared" si="12"/>
        <v>%let est_6_1961=0.118;</v>
      </c>
      <c r="W4" s="655" t="str">
        <f t="shared" si="13"/>
        <v>%let est_7_1961=0.064;</v>
      </c>
      <c r="X4" s="655" t="str">
        <f t="shared" si="14"/>
        <v>%let est_8_1961=0.062;</v>
      </c>
    </row>
    <row r="5" spans="1:24" s="252" customFormat="1" ht="11.25" customHeight="1" x14ac:dyDescent="0.3">
      <c r="A5" s="315">
        <f t="shared" ref="A5:A58" si="19">A4+1</f>
        <v>1962</v>
      </c>
      <c r="B5" s="882">
        <f t="shared" si="1"/>
        <v>0.31989698768266517</v>
      </c>
      <c r="C5" s="882">
        <f t="shared" si="2"/>
        <v>9.2325475507558874E-2</v>
      </c>
      <c r="D5" s="882">
        <f t="shared" si="3"/>
        <v>0.24560751946468709</v>
      </c>
      <c r="E5" s="882">
        <f t="shared" si="4"/>
        <v>9.7708723004621134E-2</v>
      </c>
      <c r="F5" s="882">
        <f t="shared" si="5"/>
        <v>0.11844245268227409</v>
      </c>
      <c r="G5" s="882">
        <f t="shared" si="6"/>
        <v>6.4389088326381294E-2</v>
      </c>
      <c r="H5" s="882">
        <f t="shared" si="7"/>
        <v>6.1629753331812323E-2</v>
      </c>
      <c r="J5" s="872">
        <v>10</v>
      </c>
      <c r="K5" s="872">
        <f>J5*'C0-Ref Stats'!AA8/'C0-Ref Stats'!AA$61</f>
        <v>61.029600312169016</v>
      </c>
      <c r="L5" s="873">
        <f t="shared" si="15"/>
        <v>0.06</v>
      </c>
      <c r="M5" s="872">
        <f>L5*'C0-Ref Stats'!AA8/'C0-Ref Stats'!AA$61</f>
        <v>0.36617760187301407</v>
      </c>
      <c r="N5" s="891">
        <f t="shared" si="16"/>
        <v>0.34217001734508884</v>
      </c>
      <c r="O5" s="873">
        <f t="shared" si="8"/>
        <v>0</v>
      </c>
      <c r="Q5" s="1011" t="str">
        <f t="shared" si="17"/>
        <v>%let est_1_1962=0.107;</v>
      </c>
      <c r="R5" s="1011" t="str">
        <f t="shared" si="18"/>
        <v>%let est_2_1962=0.213;</v>
      </c>
      <c r="S5" s="655" t="str">
        <f t="shared" si="9"/>
        <v>%let est_3_1962=0.092;</v>
      </c>
      <c r="T5" s="655" t="str">
        <f t="shared" si="10"/>
        <v>%let est_4_1962=0.246;</v>
      </c>
      <c r="U5" s="655" t="str">
        <f t="shared" si="11"/>
        <v>%let est_5_1962=0.098;</v>
      </c>
      <c r="V5" s="655" t="str">
        <f t="shared" si="12"/>
        <v>%let est_6_1962=0.118;</v>
      </c>
      <c r="W5" s="655" t="str">
        <f t="shared" si="13"/>
        <v>%let est_7_1962=0.064;</v>
      </c>
      <c r="X5" s="655" t="str">
        <f t="shared" si="14"/>
        <v>%let est_8_1962=0.062;</v>
      </c>
    </row>
    <row r="6" spans="1:24" s="252" customFormat="1" ht="11.25" customHeight="1" x14ac:dyDescent="0.3">
      <c r="A6" s="315">
        <f t="shared" si="19"/>
        <v>1963</v>
      </c>
      <c r="B6" s="882">
        <f t="shared" si="1"/>
        <v>0.31989698768266517</v>
      </c>
      <c r="C6" s="882">
        <f t="shared" si="2"/>
        <v>9.2325475507558874E-2</v>
      </c>
      <c r="D6" s="882">
        <f t="shared" si="3"/>
        <v>0.24560751946468709</v>
      </c>
      <c r="E6" s="882">
        <f t="shared" si="4"/>
        <v>9.7708723004621134E-2</v>
      </c>
      <c r="F6" s="882">
        <f t="shared" si="5"/>
        <v>0.11844245268227409</v>
      </c>
      <c r="G6" s="882">
        <f t="shared" si="6"/>
        <v>6.4389088326381294E-2</v>
      </c>
      <c r="H6" s="882">
        <f t="shared" si="7"/>
        <v>6.1629753331812323E-2</v>
      </c>
      <c r="J6" s="872">
        <v>10</v>
      </c>
      <c r="K6" s="872">
        <f>J6*'C0-Ref Stats'!AA9/'C0-Ref Stats'!AA$61</f>
        <v>60.323433798005397</v>
      </c>
      <c r="L6" s="873">
        <f t="shared" si="15"/>
        <v>0.06</v>
      </c>
      <c r="M6" s="872">
        <f>L6*'C0-Ref Stats'!AA9/'C0-Ref Stats'!AA$61</f>
        <v>0.36194060278803236</v>
      </c>
      <c r="N6" s="891">
        <f t="shared" si="16"/>
        <v>0.34217001734508884</v>
      </c>
      <c r="O6" s="873">
        <f t="shared" si="8"/>
        <v>0</v>
      </c>
      <c r="Q6" s="1011" t="str">
        <f t="shared" si="17"/>
        <v>%let est_1_1963=0.107;</v>
      </c>
      <c r="R6" s="1011" t="str">
        <f t="shared" si="18"/>
        <v>%let est_2_1963=0.213;</v>
      </c>
      <c r="S6" s="655" t="str">
        <f t="shared" si="9"/>
        <v>%let est_3_1963=0.092;</v>
      </c>
      <c r="T6" s="655" t="str">
        <f t="shared" si="10"/>
        <v>%let est_4_1963=0.246;</v>
      </c>
      <c r="U6" s="655" t="str">
        <f t="shared" si="11"/>
        <v>%let est_5_1963=0.098;</v>
      </c>
      <c r="V6" s="655" t="str">
        <f t="shared" si="12"/>
        <v>%let est_6_1963=0.118;</v>
      </c>
      <c r="W6" s="655" t="str">
        <f t="shared" si="13"/>
        <v>%let est_7_1963=0.064;</v>
      </c>
      <c r="X6" s="655" t="str">
        <f t="shared" si="14"/>
        <v>%let est_8_1963=0.062;</v>
      </c>
    </row>
    <row r="7" spans="1:24" s="252" customFormat="1" ht="11.25" customHeight="1" x14ac:dyDescent="0.3">
      <c r="A7" s="315">
        <f t="shared" si="19"/>
        <v>1964</v>
      </c>
      <c r="B7" s="882">
        <f t="shared" si="1"/>
        <v>0.31989698768266517</v>
      </c>
      <c r="C7" s="882">
        <f t="shared" si="2"/>
        <v>9.2325475507558874E-2</v>
      </c>
      <c r="D7" s="882">
        <f t="shared" si="3"/>
        <v>0.24560751946468709</v>
      </c>
      <c r="E7" s="882">
        <f t="shared" si="4"/>
        <v>9.7708723004621134E-2</v>
      </c>
      <c r="F7" s="882">
        <f t="shared" si="5"/>
        <v>0.11844245268227409</v>
      </c>
      <c r="G7" s="882">
        <f t="shared" si="6"/>
        <v>6.4389088326381294E-2</v>
      </c>
      <c r="H7" s="882">
        <f t="shared" si="7"/>
        <v>6.1629753331812323E-2</v>
      </c>
      <c r="J7" s="872">
        <v>10</v>
      </c>
      <c r="K7" s="872">
        <f>J7*'C0-Ref Stats'!AA10/'C0-Ref Stats'!AA$61</f>
        <v>59.455305745628316</v>
      </c>
      <c r="L7" s="873">
        <f t="shared" si="15"/>
        <v>0.06</v>
      </c>
      <c r="M7" s="872">
        <f>L7*'C0-Ref Stats'!AA10/'C0-Ref Stats'!AA$61</f>
        <v>0.35673183447376988</v>
      </c>
      <c r="N7" s="891">
        <f t="shared" si="16"/>
        <v>0.34217001734508884</v>
      </c>
      <c r="O7" s="873">
        <f t="shared" si="8"/>
        <v>0</v>
      </c>
      <c r="Q7" s="1011" t="str">
        <f t="shared" si="17"/>
        <v>%let est_1_1964=0.107;</v>
      </c>
      <c r="R7" s="1011" t="str">
        <f t="shared" si="18"/>
        <v>%let est_2_1964=0.213;</v>
      </c>
      <c r="S7" s="655" t="str">
        <f t="shared" si="9"/>
        <v>%let est_3_1964=0.092;</v>
      </c>
      <c r="T7" s="655" t="str">
        <f t="shared" si="10"/>
        <v>%let est_4_1964=0.246;</v>
      </c>
      <c r="U7" s="655" t="str">
        <f t="shared" si="11"/>
        <v>%let est_5_1964=0.098;</v>
      </c>
      <c r="V7" s="655" t="str">
        <f t="shared" si="12"/>
        <v>%let est_6_1964=0.118;</v>
      </c>
      <c r="W7" s="655" t="str">
        <f t="shared" si="13"/>
        <v>%let est_7_1964=0.064;</v>
      </c>
      <c r="X7" s="655" t="str">
        <f t="shared" si="14"/>
        <v>%let est_8_1964=0.062;</v>
      </c>
    </row>
    <row r="8" spans="1:24" s="252" customFormat="1" ht="11.25" customHeight="1" x14ac:dyDescent="0.3">
      <c r="A8" s="315">
        <f t="shared" si="19"/>
        <v>1965</v>
      </c>
      <c r="B8" s="882">
        <f t="shared" si="1"/>
        <v>0.31989698768266517</v>
      </c>
      <c r="C8" s="882">
        <f t="shared" si="2"/>
        <v>9.2325475507558874E-2</v>
      </c>
      <c r="D8" s="882">
        <f t="shared" si="3"/>
        <v>0.24560751946468709</v>
      </c>
      <c r="E8" s="882">
        <f t="shared" si="4"/>
        <v>9.7708723004621134E-2</v>
      </c>
      <c r="F8" s="882">
        <f t="shared" si="5"/>
        <v>0.11844245268227409</v>
      </c>
      <c r="G8" s="882">
        <f t="shared" si="6"/>
        <v>6.4389088326381294E-2</v>
      </c>
      <c r="H8" s="882">
        <f t="shared" si="7"/>
        <v>6.1629753331812323E-2</v>
      </c>
      <c r="J8" s="872">
        <v>10</v>
      </c>
      <c r="K8" s="872">
        <f>J8*'C0-Ref Stats'!AA11/'C0-Ref Stats'!AA$61</f>
        <v>58.605535035597654</v>
      </c>
      <c r="L8" s="873">
        <f t="shared" si="15"/>
        <v>0.06</v>
      </c>
      <c r="M8" s="872">
        <f>L8*'C0-Ref Stats'!AA11/'C0-Ref Stats'!AA$61</f>
        <v>0.35163321021358596</v>
      </c>
      <c r="N8" s="891">
        <f t="shared" si="16"/>
        <v>0.34217001734508884</v>
      </c>
      <c r="O8" s="873">
        <f t="shared" si="8"/>
        <v>0</v>
      </c>
      <c r="P8" s="871"/>
      <c r="Q8" s="1011" t="str">
        <f t="shared" si="17"/>
        <v>%let est_1_1965=0.107;</v>
      </c>
      <c r="R8" s="1011" t="str">
        <f t="shared" si="18"/>
        <v>%let est_2_1965=0.213;</v>
      </c>
      <c r="S8" s="655" t="str">
        <f t="shared" si="9"/>
        <v>%let est_3_1965=0.092;</v>
      </c>
      <c r="T8" s="655" t="str">
        <f t="shared" si="10"/>
        <v>%let est_4_1965=0.246;</v>
      </c>
      <c r="U8" s="655" t="str">
        <f t="shared" si="11"/>
        <v>%let est_5_1965=0.098;</v>
      </c>
      <c r="V8" s="655" t="str">
        <f t="shared" si="12"/>
        <v>%let est_6_1965=0.118;</v>
      </c>
      <c r="W8" s="655" t="str">
        <f t="shared" si="13"/>
        <v>%let est_7_1965=0.064;</v>
      </c>
      <c r="X8" s="655" t="str">
        <f t="shared" si="14"/>
        <v>%let est_8_1965=0.062;</v>
      </c>
    </row>
    <row r="9" spans="1:24" s="252" customFormat="1" ht="11.25" customHeight="1" x14ac:dyDescent="0.3">
      <c r="A9" s="315">
        <f t="shared" si="19"/>
        <v>1966</v>
      </c>
      <c r="B9" s="882">
        <f t="shared" si="1"/>
        <v>0.31989698768266517</v>
      </c>
      <c r="C9" s="882">
        <f t="shared" si="2"/>
        <v>9.2325475507558874E-2</v>
      </c>
      <c r="D9" s="882">
        <f t="shared" si="3"/>
        <v>0.24560751946468709</v>
      </c>
      <c r="E9" s="882">
        <f t="shared" si="4"/>
        <v>9.7708723004621134E-2</v>
      </c>
      <c r="F9" s="882">
        <f t="shared" si="5"/>
        <v>0.11844245268227409</v>
      </c>
      <c r="G9" s="882">
        <f t="shared" si="6"/>
        <v>6.4389088326381294E-2</v>
      </c>
      <c r="H9" s="882">
        <f t="shared" si="7"/>
        <v>6.1629753331812323E-2</v>
      </c>
      <c r="J9" s="872">
        <v>10</v>
      </c>
      <c r="K9" s="872">
        <f>J9*'C0-Ref Stats'!AA12/'C0-Ref Stats'!AA$61</f>
        <v>57.155311929000248</v>
      </c>
      <c r="L9" s="873">
        <f t="shared" si="15"/>
        <v>0.06</v>
      </c>
      <c r="M9" s="872">
        <f>L9*'C0-Ref Stats'!AA12/'C0-Ref Stats'!AA$61</f>
        <v>0.34293187157400151</v>
      </c>
      <c r="N9" s="891">
        <f t="shared" si="16"/>
        <v>0.34217001734508884</v>
      </c>
      <c r="O9" s="873">
        <f t="shared" si="8"/>
        <v>0</v>
      </c>
      <c r="P9" s="871"/>
      <c r="Q9" s="1011" t="str">
        <f t="shared" si="17"/>
        <v>%let est_1_1966=0.107;</v>
      </c>
      <c r="R9" s="1011" t="str">
        <f t="shared" si="18"/>
        <v>%let est_2_1966=0.213;</v>
      </c>
      <c r="S9" s="655" t="str">
        <f t="shared" si="9"/>
        <v>%let est_3_1966=0.092;</v>
      </c>
      <c r="T9" s="655" t="str">
        <f t="shared" si="10"/>
        <v>%let est_4_1966=0.246;</v>
      </c>
      <c r="U9" s="655" t="str">
        <f t="shared" si="11"/>
        <v>%let est_5_1966=0.098;</v>
      </c>
      <c r="V9" s="655" t="str">
        <f t="shared" si="12"/>
        <v>%let est_6_1966=0.118;</v>
      </c>
      <c r="W9" s="655" t="str">
        <f t="shared" si="13"/>
        <v>%let est_7_1966=0.064;</v>
      </c>
      <c r="X9" s="655" t="str">
        <f t="shared" si="14"/>
        <v>%let est_8_1966=0.062;</v>
      </c>
    </row>
    <row r="10" spans="1:24" s="252" customFormat="1" ht="11.25" customHeight="1" x14ac:dyDescent="0.3">
      <c r="A10" s="315">
        <f t="shared" si="19"/>
        <v>1967</v>
      </c>
      <c r="B10" s="882">
        <f t="shared" si="1"/>
        <v>0.31989698768266517</v>
      </c>
      <c r="C10" s="882">
        <f t="shared" si="2"/>
        <v>9.2325475507558874E-2</v>
      </c>
      <c r="D10" s="882">
        <f t="shared" si="3"/>
        <v>0.24560751946468709</v>
      </c>
      <c r="E10" s="882">
        <f t="shared" si="4"/>
        <v>9.7708723004621134E-2</v>
      </c>
      <c r="F10" s="882">
        <f t="shared" si="5"/>
        <v>0.11844245268227409</v>
      </c>
      <c r="G10" s="882">
        <f t="shared" si="6"/>
        <v>6.4389088326381294E-2</v>
      </c>
      <c r="H10" s="882">
        <f t="shared" si="7"/>
        <v>6.1629753331812323E-2</v>
      </c>
      <c r="J10" s="872">
        <v>10</v>
      </c>
      <c r="K10" s="872">
        <f>J10*'C0-Ref Stats'!AA13/'C0-Ref Stats'!AA$61</f>
        <v>55.752406172022198</v>
      </c>
      <c r="L10" s="873">
        <f t="shared" si="15"/>
        <v>0.06</v>
      </c>
      <c r="M10" s="872">
        <f>L10*'C0-Ref Stats'!AA13/'C0-Ref Stats'!AA$61</f>
        <v>0.33451443703213318</v>
      </c>
      <c r="N10" s="891">
        <f t="shared" si="16"/>
        <v>0.34217001734508884</v>
      </c>
      <c r="O10" s="873">
        <f t="shared" si="8"/>
        <v>0</v>
      </c>
      <c r="P10" s="871"/>
      <c r="Q10" s="1011" t="str">
        <f t="shared" si="17"/>
        <v>%let est_1_1967=0.107;</v>
      </c>
      <c r="R10" s="1011" t="str">
        <f t="shared" si="18"/>
        <v>%let est_2_1967=0.213;</v>
      </c>
      <c r="S10" s="655" t="str">
        <f t="shared" si="9"/>
        <v>%let est_3_1967=0.092;</v>
      </c>
      <c r="T10" s="655" t="str">
        <f t="shared" si="10"/>
        <v>%let est_4_1967=0.246;</v>
      </c>
      <c r="U10" s="655" t="str">
        <f t="shared" si="11"/>
        <v>%let est_5_1967=0.098;</v>
      </c>
      <c r="V10" s="655" t="str">
        <f t="shared" si="12"/>
        <v>%let est_6_1967=0.118;</v>
      </c>
      <c r="W10" s="655" t="str">
        <f t="shared" si="13"/>
        <v>%let est_7_1967=0.064;</v>
      </c>
      <c r="X10" s="655" t="str">
        <f t="shared" si="14"/>
        <v>%let est_8_1967=0.062;</v>
      </c>
    </row>
    <row r="11" spans="1:24" s="252" customFormat="1" ht="11.25" customHeight="1" x14ac:dyDescent="0.3">
      <c r="A11" s="315">
        <f t="shared" si="19"/>
        <v>1968</v>
      </c>
      <c r="B11" s="882">
        <f t="shared" si="1"/>
        <v>0.31989698768266517</v>
      </c>
      <c r="C11" s="882">
        <f t="shared" si="2"/>
        <v>9.2325475507558874E-2</v>
      </c>
      <c r="D11" s="882">
        <f t="shared" si="3"/>
        <v>0.24560751946468709</v>
      </c>
      <c r="E11" s="882">
        <f t="shared" si="4"/>
        <v>9.7708723004621134E-2</v>
      </c>
      <c r="F11" s="882">
        <f t="shared" si="5"/>
        <v>0.11844245268227409</v>
      </c>
      <c r="G11" s="882">
        <f t="shared" si="6"/>
        <v>6.4389088326381294E-2</v>
      </c>
      <c r="H11" s="882">
        <f t="shared" si="7"/>
        <v>6.1629753331812323E-2</v>
      </c>
      <c r="J11" s="872">
        <v>10</v>
      </c>
      <c r="K11" s="872">
        <f>J11*'C0-Ref Stats'!AA14/'C0-Ref Stats'!AA$61</f>
        <v>53.661895892559542</v>
      </c>
      <c r="L11" s="873">
        <f t="shared" si="15"/>
        <v>0.06</v>
      </c>
      <c r="M11" s="872">
        <f>L11*'C0-Ref Stats'!AA14/'C0-Ref Stats'!AA$61</f>
        <v>0.32197137535535725</v>
      </c>
      <c r="N11" s="891">
        <f t="shared" si="16"/>
        <v>0.34217001734508884</v>
      </c>
      <c r="O11" s="873">
        <f t="shared" si="8"/>
        <v>0</v>
      </c>
      <c r="P11" s="871"/>
      <c r="Q11" s="1011" t="str">
        <f t="shared" si="17"/>
        <v>%let est_1_1968=0.107;</v>
      </c>
      <c r="R11" s="1011" t="str">
        <f t="shared" si="18"/>
        <v>%let est_2_1968=0.213;</v>
      </c>
      <c r="S11" s="655" t="str">
        <f t="shared" si="9"/>
        <v>%let est_3_1968=0.092;</v>
      </c>
      <c r="T11" s="655" t="str">
        <f t="shared" si="10"/>
        <v>%let est_4_1968=0.246;</v>
      </c>
      <c r="U11" s="655" t="str">
        <f t="shared" si="11"/>
        <v>%let est_5_1968=0.098;</v>
      </c>
      <c r="V11" s="655" t="str">
        <f t="shared" si="12"/>
        <v>%let est_6_1968=0.118;</v>
      </c>
      <c r="W11" s="655" t="str">
        <f t="shared" si="13"/>
        <v>%let est_7_1968=0.064;</v>
      </c>
      <c r="X11" s="655" t="str">
        <f t="shared" si="14"/>
        <v>%let est_8_1968=0.062;</v>
      </c>
    </row>
    <row r="12" spans="1:24" s="252" customFormat="1" ht="11.25" customHeight="1" x14ac:dyDescent="0.3">
      <c r="A12" s="315">
        <f t="shared" si="19"/>
        <v>1969</v>
      </c>
      <c r="B12" s="882">
        <f t="shared" si="1"/>
        <v>0.31989698768266517</v>
      </c>
      <c r="C12" s="882">
        <f t="shared" si="2"/>
        <v>9.2325475507558874E-2</v>
      </c>
      <c r="D12" s="882">
        <f t="shared" si="3"/>
        <v>0.24560751946468709</v>
      </c>
      <c r="E12" s="882">
        <f t="shared" si="4"/>
        <v>9.7708723004621134E-2</v>
      </c>
      <c r="F12" s="882">
        <f t="shared" si="5"/>
        <v>0.11844245268227409</v>
      </c>
      <c r="G12" s="882">
        <f t="shared" si="6"/>
        <v>6.4389088326381294E-2</v>
      </c>
      <c r="H12" s="882">
        <f t="shared" si="7"/>
        <v>6.1629753331812323E-2</v>
      </c>
      <c r="J12" s="872">
        <v>10</v>
      </c>
      <c r="K12" s="872">
        <f>J12*'C0-Ref Stats'!AA15/'C0-Ref Stats'!AA$61</f>
        <v>51.334458667416882</v>
      </c>
      <c r="L12" s="873">
        <f t="shared" si="15"/>
        <v>0.06</v>
      </c>
      <c r="M12" s="872">
        <f>L12*'C0-Ref Stats'!AA15/'C0-Ref Stats'!AA$61</f>
        <v>0.30800675200450128</v>
      </c>
      <c r="N12" s="891">
        <f t="shared" si="16"/>
        <v>0.34217001734508884</v>
      </c>
      <c r="O12" s="873">
        <f t="shared" si="8"/>
        <v>0</v>
      </c>
      <c r="P12" s="871"/>
      <c r="Q12" s="1011" t="str">
        <f t="shared" si="17"/>
        <v>%let est_1_1969=0.107;</v>
      </c>
      <c r="R12" s="1011" t="str">
        <f t="shared" si="18"/>
        <v>%let est_2_1969=0.213;</v>
      </c>
      <c r="S12" s="655" t="str">
        <f t="shared" si="9"/>
        <v>%let est_3_1969=0.092;</v>
      </c>
      <c r="T12" s="655" t="str">
        <f t="shared" si="10"/>
        <v>%let est_4_1969=0.246;</v>
      </c>
      <c r="U12" s="655" t="str">
        <f t="shared" si="11"/>
        <v>%let est_5_1969=0.098;</v>
      </c>
      <c r="V12" s="655" t="str">
        <f t="shared" si="12"/>
        <v>%let est_6_1969=0.118;</v>
      </c>
      <c r="W12" s="655" t="str">
        <f t="shared" si="13"/>
        <v>%let est_7_1969=0.064;</v>
      </c>
      <c r="X12" s="655" t="str">
        <f t="shared" si="14"/>
        <v>%let est_8_1969=0.062;</v>
      </c>
    </row>
    <row r="13" spans="1:24" s="252" customFormat="1" ht="11.25" customHeight="1" x14ac:dyDescent="0.3">
      <c r="A13" s="315">
        <f t="shared" si="19"/>
        <v>1970</v>
      </c>
      <c r="B13" s="882">
        <f t="shared" si="1"/>
        <v>0.31989698768266517</v>
      </c>
      <c r="C13" s="882">
        <f t="shared" si="2"/>
        <v>9.2325475507558874E-2</v>
      </c>
      <c r="D13" s="882">
        <f t="shared" si="3"/>
        <v>0.24560751946468709</v>
      </c>
      <c r="E13" s="882">
        <f t="shared" si="4"/>
        <v>9.7708723004621134E-2</v>
      </c>
      <c r="F13" s="882">
        <f t="shared" si="5"/>
        <v>0.11844245268227409</v>
      </c>
      <c r="G13" s="882">
        <f t="shared" si="6"/>
        <v>6.4389088326381294E-2</v>
      </c>
      <c r="H13" s="882">
        <f t="shared" si="7"/>
        <v>6.1629753331812323E-2</v>
      </c>
      <c r="J13" s="872">
        <v>10</v>
      </c>
      <c r="K13" s="872">
        <f>J13*'C0-Ref Stats'!AA16/'C0-Ref Stats'!AA$61</f>
        <v>49.039641657334826</v>
      </c>
      <c r="L13" s="873">
        <f t="shared" si="15"/>
        <v>0.06</v>
      </c>
      <c r="M13" s="872">
        <f>L13*'C0-Ref Stats'!AA16/'C0-Ref Stats'!AA$61</f>
        <v>0.29423784994400892</v>
      </c>
      <c r="N13" s="891">
        <f t="shared" si="16"/>
        <v>0.34217001734508884</v>
      </c>
      <c r="O13" s="873">
        <f t="shared" si="8"/>
        <v>0</v>
      </c>
      <c r="P13" s="871"/>
      <c r="Q13" s="1011" t="str">
        <f t="shared" si="17"/>
        <v>%let est_1_1970=0.107;</v>
      </c>
      <c r="R13" s="1011" t="str">
        <f t="shared" si="18"/>
        <v>%let est_2_1970=0.213;</v>
      </c>
      <c r="S13" s="655" t="str">
        <f t="shared" si="9"/>
        <v>%let est_3_1970=0.092;</v>
      </c>
      <c r="T13" s="655" t="str">
        <f t="shared" si="10"/>
        <v>%let est_4_1970=0.246;</v>
      </c>
      <c r="U13" s="655" t="str">
        <f t="shared" si="11"/>
        <v>%let est_5_1970=0.098;</v>
      </c>
      <c r="V13" s="655" t="str">
        <f t="shared" si="12"/>
        <v>%let est_6_1970=0.118;</v>
      </c>
      <c r="W13" s="655" t="str">
        <f t="shared" si="13"/>
        <v>%let est_7_1970=0.064;</v>
      </c>
      <c r="X13" s="655" t="str">
        <f t="shared" si="14"/>
        <v>%let est_8_1970=0.062;</v>
      </c>
    </row>
    <row r="14" spans="1:24" s="252" customFormat="1" ht="11.25" customHeight="1" x14ac:dyDescent="0.3">
      <c r="A14" s="315">
        <f t="shared" si="19"/>
        <v>1971</v>
      </c>
      <c r="B14" s="882">
        <f t="shared" si="1"/>
        <v>0.31989698768266517</v>
      </c>
      <c r="C14" s="882">
        <f t="shared" si="2"/>
        <v>9.2325475507558874E-2</v>
      </c>
      <c r="D14" s="882">
        <f t="shared" si="3"/>
        <v>0.24560751946468709</v>
      </c>
      <c r="E14" s="882">
        <f t="shared" si="4"/>
        <v>9.7708723004621134E-2</v>
      </c>
      <c r="F14" s="882">
        <f t="shared" si="5"/>
        <v>0.11844245268227409</v>
      </c>
      <c r="G14" s="882">
        <f t="shared" si="6"/>
        <v>6.4389088326381294E-2</v>
      </c>
      <c r="H14" s="882">
        <f t="shared" si="7"/>
        <v>6.1629753331812323E-2</v>
      </c>
      <c r="J14" s="872">
        <v>10</v>
      </c>
      <c r="K14" s="872">
        <f>J14*'C0-Ref Stats'!AA17/'C0-Ref Stats'!AA$61</f>
        <v>47.040044685056287</v>
      </c>
      <c r="L14" s="873">
        <f t="shared" si="15"/>
        <v>0.06</v>
      </c>
      <c r="M14" s="872">
        <f>L14*'C0-Ref Stats'!AA17/'C0-Ref Stats'!AA$61</f>
        <v>0.2822402681103377</v>
      </c>
      <c r="N14" s="891">
        <f t="shared" si="16"/>
        <v>0.34217001734508884</v>
      </c>
      <c r="O14" s="873">
        <f t="shared" si="8"/>
        <v>0</v>
      </c>
      <c r="P14" s="871"/>
      <c r="Q14" s="1011" t="str">
        <f t="shared" si="17"/>
        <v>%let est_1_1971=0.107;</v>
      </c>
      <c r="R14" s="1011" t="str">
        <f t="shared" si="18"/>
        <v>%let est_2_1971=0.213;</v>
      </c>
      <c r="S14" s="655" t="str">
        <f t="shared" si="9"/>
        <v>%let est_3_1971=0.092;</v>
      </c>
      <c r="T14" s="655" t="str">
        <f t="shared" si="10"/>
        <v>%let est_4_1971=0.246;</v>
      </c>
      <c r="U14" s="655" t="str">
        <f t="shared" si="11"/>
        <v>%let est_5_1971=0.098;</v>
      </c>
      <c r="V14" s="655" t="str">
        <f t="shared" si="12"/>
        <v>%let est_6_1971=0.118;</v>
      </c>
      <c r="W14" s="655" t="str">
        <f t="shared" si="13"/>
        <v>%let est_7_1971=0.064;</v>
      </c>
      <c r="X14" s="655" t="str">
        <f t="shared" si="14"/>
        <v>%let est_8_1971=0.062;</v>
      </c>
    </row>
    <row r="15" spans="1:24" s="252" customFormat="1" ht="11.25" customHeight="1" x14ac:dyDescent="0.3">
      <c r="A15" s="315">
        <f t="shared" si="19"/>
        <v>1972</v>
      </c>
      <c r="B15" s="882">
        <f t="shared" si="1"/>
        <v>0.31989698768266517</v>
      </c>
      <c r="C15" s="882">
        <f t="shared" si="2"/>
        <v>9.2325475507558874E-2</v>
      </c>
      <c r="D15" s="882">
        <f t="shared" si="3"/>
        <v>0.24560751946468709</v>
      </c>
      <c r="E15" s="882">
        <f t="shared" si="4"/>
        <v>9.7708723004621134E-2</v>
      </c>
      <c r="F15" s="882">
        <f t="shared" si="5"/>
        <v>0.11844245268227409</v>
      </c>
      <c r="G15" s="882">
        <f t="shared" si="6"/>
        <v>6.4389088326381294E-2</v>
      </c>
      <c r="H15" s="882">
        <f t="shared" si="7"/>
        <v>6.1629753331812323E-2</v>
      </c>
      <c r="J15" s="872">
        <v>10</v>
      </c>
      <c r="K15" s="872">
        <f>J15*'C0-Ref Stats'!AA18/'C0-Ref Stats'!AA$61</f>
        <v>45.484420440382216</v>
      </c>
      <c r="L15" s="873">
        <f t="shared" si="15"/>
        <v>0.06</v>
      </c>
      <c r="M15" s="872">
        <f>L15*'C0-Ref Stats'!AA18/'C0-Ref Stats'!AA$61</f>
        <v>0.27290652264229326</v>
      </c>
      <c r="N15" s="891">
        <f t="shared" si="16"/>
        <v>0.34217001734508884</v>
      </c>
      <c r="O15" s="873">
        <f t="shared" si="8"/>
        <v>0</v>
      </c>
      <c r="P15" s="871"/>
      <c r="Q15" s="1011" t="str">
        <f t="shared" si="17"/>
        <v>%let est_1_1972=0.107;</v>
      </c>
      <c r="R15" s="1011" t="str">
        <f t="shared" si="18"/>
        <v>%let est_2_1972=0.213;</v>
      </c>
      <c r="S15" s="655" t="str">
        <f t="shared" si="9"/>
        <v>%let est_3_1972=0.092;</v>
      </c>
      <c r="T15" s="655" t="str">
        <f t="shared" si="10"/>
        <v>%let est_4_1972=0.246;</v>
      </c>
      <c r="U15" s="655" t="str">
        <f t="shared" si="11"/>
        <v>%let est_5_1972=0.098;</v>
      </c>
      <c r="V15" s="655" t="str">
        <f t="shared" si="12"/>
        <v>%let est_6_1972=0.118;</v>
      </c>
      <c r="W15" s="655" t="str">
        <f t="shared" si="13"/>
        <v>%let est_7_1972=0.064;</v>
      </c>
      <c r="X15" s="655" t="str">
        <f t="shared" si="14"/>
        <v>%let est_8_1972=0.062;</v>
      </c>
    </row>
    <row r="16" spans="1:24" s="252" customFormat="1" ht="11.25" customHeight="1" x14ac:dyDescent="0.3">
      <c r="A16" s="315">
        <f t="shared" si="19"/>
        <v>1973</v>
      </c>
      <c r="B16" s="882">
        <f t="shared" si="1"/>
        <v>0.31989698768266517</v>
      </c>
      <c r="C16" s="882">
        <f t="shared" si="2"/>
        <v>9.2325475507558874E-2</v>
      </c>
      <c r="D16" s="882">
        <f t="shared" si="3"/>
        <v>0.24560751946468709</v>
      </c>
      <c r="E16" s="882">
        <f t="shared" si="4"/>
        <v>9.7708723004621134E-2</v>
      </c>
      <c r="F16" s="882">
        <f t="shared" si="5"/>
        <v>0.11844245268227409</v>
      </c>
      <c r="G16" s="882">
        <f t="shared" si="6"/>
        <v>6.4389088326381294E-2</v>
      </c>
      <c r="H16" s="882">
        <f t="shared" si="7"/>
        <v>6.1629753331812323E-2</v>
      </c>
      <c r="J16" s="872">
        <v>10</v>
      </c>
      <c r="K16" s="872">
        <f>J16*'C0-Ref Stats'!AA19/'C0-Ref Stats'!AA$61</f>
        <v>43.157127089246295</v>
      </c>
      <c r="L16" s="873">
        <f t="shared" si="15"/>
        <v>0.06</v>
      </c>
      <c r="M16" s="872">
        <f>L16*'C0-Ref Stats'!AA19/'C0-Ref Stats'!AA$61</f>
        <v>0.25894276253547777</v>
      </c>
      <c r="N16" s="891">
        <f t="shared" si="16"/>
        <v>0.34217001734508884</v>
      </c>
      <c r="O16" s="873">
        <f t="shared" si="8"/>
        <v>0</v>
      </c>
      <c r="P16" s="871"/>
      <c r="Q16" s="1011" t="str">
        <f t="shared" si="17"/>
        <v>%let est_1_1973=0.107;</v>
      </c>
      <c r="R16" s="1011" t="str">
        <f t="shared" si="18"/>
        <v>%let est_2_1973=0.213;</v>
      </c>
      <c r="S16" s="655" t="str">
        <f t="shared" si="9"/>
        <v>%let est_3_1973=0.092;</v>
      </c>
      <c r="T16" s="655" t="str">
        <f t="shared" si="10"/>
        <v>%let est_4_1973=0.246;</v>
      </c>
      <c r="U16" s="655" t="str">
        <f t="shared" si="11"/>
        <v>%let est_5_1973=0.098;</v>
      </c>
      <c r="V16" s="655" t="str">
        <f t="shared" si="12"/>
        <v>%let est_6_1973=0.118;</v>
      </c>
      <c r="W16" s="655" t="str">
        <f t="shared" si="13"/>
        <v>%let est_7_1973=0.064;</v>
      </c>
      <c r="X16" s="655" t="str">
        <f t="shared" si="14"/>
        <v>%let est_8_1973=0.062;</v>
      </c>
    </row>
    <row r="17" spans="1:24" s="252" customFormat="1" ht="11.25" customHeight="1" x14ac:dyDescent="0.3">
      <c r="A17" s="315">
        <f t="shared" si="19"/>
        <v>1974</v>
      </c>
      <c r="B17" s="882">
        <f t="shared" si="1"/>
        <v>0.31989698768266517</v>
      </c>
      <c r="C17" s="882">
        <f t="shared" si="2"/>
        <v>9.2325475507558874E-2</v>
      </c>
      <c r="D17" s="882">
        <f t="shared" si="3"/>
        <v>0.24560751946468709</v>
      </c>
      <c r="E17" s="882">
        <f t="shared" si="4"/>
        <v>9.7708723004621134E-2</v>
      </c>
      <c r="F17" s="882">
        <f t="shared" si="5"/>
        <v>0.11844245268227409</v>
      </c>
      <c r="G17" s="882">
        <f t="shared" si="6"/>
        <v>6.4389088326381294E-2</v>
      </c>
      <c r="H17" s="882">
        <f t="shared" si="7"/>
        <v>6.1629753331812323E-2</v>
      </c>
      <c r="J17" s="872">
        <v>10</v>
      </c>
      <c r="K17" s="872">
        <f>J17*'C0-Ref Stats'!AA20/'C0-Ref Stats'!AA$61</f>
        <v>39.087793209325568</v>
      </c>
      <c r="L17" s="873">
        <f t="shared" si="15"/>
        <v>0.06</v>
      </c>
      <c r="M17" s="872">
        <f>L17*'C0-Ref Stats'!AA20/'C0-Ref Stats'!AA$61</f>
        <v>0.2345267592559534</v>
      </c>
      <c r="N17" s="891">
        <f t="shared" si="16"/>
        <v>0.34217001734508884</v>
      </c>
      <c r="O17" s="873">
        <f t="shared" si="8"/>
        <v>0</v>
      </c>
      <c r="P17" s="871"/>
      <c r="Q17" s="1011" t="str">
        <f t="shared" si="17"/>
        <v>%let est_1_1974=0.107;</v>
      </c>
      <c r="R17" s="1011" t="str">
        <f t="shared" si="18"/>
        <v>%let est_2_1974=0.213;</v>
      </c>
      <c r="S17" s="655" t="str">
        <f t="shared" si="9"/>
        <v>%let est_3_1974=0.092;</v>
      </c>
      <c r="T17" s="655" t="str">
        <f t="shared" si="10"/>
        <v>%let est_4_1974=0.246;</v>
      </c>
      <c r="U17" s="655" t="str">
        <f t="shared" si="11"/>
        <v>%let est_5_1974=0.098;</v>
      </c>
      <c r="V17" s="655" t="str">
        <f t="shared" si="12"/>
        <v>%let est_6_1974=0.118;</v>
      </c>
      <c r="W17" s="655" t="str">
        <f t="shared" si="13"/>
        <v>%let est_7_1974=0.064;</v>
      </c>
      <c r="X17" s="655" t="str">
        <f t="shared" si="14"/>
        <v>%let est_8_1974=0.062;</v>
      </c>
    </row>
    <row r="18" spans="1:24" s="252" customFormat="1" ht="11.25" customHeight="1" x14ac:dyDescent="0.3">
      <c r="A18" s="315">
        <f t="shared" si="19"/>
        <v>1975</v>
      </c>
      <c r="B18" s="882">
        <f t="shared" si="1"/>
        <v>0.31989698768266517</v>
      </c>
      <c r="C18" s="882">
        <f t="shared" si="2"/>
        <v>9.2325475507558874E-2</v>
      </c>
      <c r="D18" s="882">
        <f t="shared" si="3"/>
        <v>0.24560751946468709</v>
      </c>
      <c r="E18" s="882">
        <f t="shared" si="4"/>
        <v>9.7708723004621134E-2</v>
      </c>
      <c r="F18" s="882">
        <f t="shared" si="5"/>
        <v>0.11844245268227409</v>
      </c>
      <c r="G18" s="882">
        <f t="shared" si="6"/>
        <v>6.4389088326381294E-2</v>
      </c>
      <c r="H18" s="882">
        <f t="shared" si="7"/>
        <v>6.1629753331812323E-2</v>
      </c>
      <c r="J18" s="872">
        <v>10</v>
      </c>
      <c r="K18" s="872">
        <f>J18*'C0-Ref Stats'!AA21/'C0-Ref Stats'!AA$61</f>
        <v>36.075194411493342</v>
      </c>
      <c r="L18" s="873">
        <f t="shared" si="15"/>
        <v>0.06</v>
      </c>
      <c r="M18" s="872">
        <f>L18*'C0-Ref Stats'!AA21/'C0-Ref Stats'!AA$61</f>
        <v>0.21645116646896004</v>
      </c>
      <c r="N18" s="891">
        <f t="shared" si="16"/>
        <v>0.34217001734508884</v>
      </c>
      <c r="O18" s="873">
        <f t="shared" si="8"/>
        <v>0</v>
      </c>
      <c r="P18" s="871"/>
      <c r="Q18" s="1011" t="str">
        <f t="shared" si="17"/>
        <v>%let est_1_1975=0.107;</v>
      </c>
      <c r="R18" s="1011" t="str">
        <f t="shared" si="18"/>
        <v>%let est_2_1975=0.213;</v>
      </c>
      <c r="S18" s="655" t="str">
        <f t="shared" si="9"/>
        <v>%let est_3_1975=0.092;</v>
      </c>
      <c r="T18" s="655" t="str">
        <f t="shared" si="10"/>
        <v>%let est_4_1975=0.246;</v>
      </c>
      <c r="U18" s="655" t="str">
        <f t="shared" si="11"/>
        <v>%let est_5_1975=0.098;</v>
      </c>
      <c r="V18" s="655" t="str">
        <f t="shared" si="12"/>
        <v>%let est_6_1975=0.118;</v>
      </c>
      <c r="W18" s="655" t="str">
        <f t="shared" si="13"/>
        <v>%let est_7_1975=0.064;</v>
      </c>
      <c r="X18" s="655" t="str">
        <f t="shared" si="14"/>
        <v>%let est_8_1975=0.062;</v>
      </c>
    </row>
    <row r="19" spans="1:24" s="252" customFormat="1" ht="11.25" customHeight="1" x14ac:dyDescent="0.3">
      <c r="A19" s="315">
        <f t="shared" si="19"/>
        <v>1976</v>
      </c>
      <c r="B19" s="882">
        <f t="shared" si="1"/>
        <v>0.31989698768266517</v>
      </c>
      <c r="C19" s="882">
        <f t="shared" si="2"/>
        <v>9.2325475507558874E-2</v>
      </c>
      <c r="D19" s="882">
        <f t="shared" si="3"/>
        <v>0.24560751946468709</v>
      </c>
      <c r="E19" s="882">
        <f t="shared" si="4"/>
        <v>9.7708723004621134E-2</v>
      </c>
      <c r="F19" s="882">
        <f t="shared" si="5"/>
        <v>0.11844245268227409</v>
      </c>
      <c r="G19" s="882">
        <f t="shared" si="6"/>
        <v>6.4389088326381294E-2</v>
      </c>
      <c r="H19" s="882">
        <f t="shared" si="7"/>
        <v>6.1629753331812323E-2</v>
      </c>
      <c r="J19" s="872">
        <v>5</v>
      </c>
      <c r="K19" s="872">
        <f>J19*'C0-Ref Stats'!AA22/'C0-Ref Stats'!AA$61</f>
        <v>17.09945959453972</v>
      </c>
      <c r="L19" s="873">
        <f t="shared" si="15"/>
        <v>0.06</v>
      </c>
      <c r="M19" s="872">
        <f>L19*'C0-Ref Stats'!AA22/'C0-Ref Stats'!AA$61</f>
        <v>0.20519351513447662</v>
      </c>
      <c r="N19" s="891">
        <f t="shared" si="16"/>
        <v>0.34217001734508884</v>
      </c>
      <c r="O19" s="873">
        <f t="shared" si="8"/>
        <v>0</v>
      </c>
      <c r="P19" s="871"/>
      <c r="Q19" s="1011" t="str">
        <f t="shared" si="17"/>
        <v>%let est_1_1976=0.107;</v>
      </c>
      <c r="R19" s="1011" t="str">
        <f t="shared" si="18"/>
        <v>%let est_2_1976=0.213;</v>
      </c>
      <c r="S19" s="655" t="str">
        <f t="shared" si="9"/>
        <v>%let est_3_1976=0.092;</v>
      </c>
      <c r="T19" s="655" t="str">
        <f t="shared" si="10"/>
        <v>%let est_4_1976=0.246;</v>
      </c>
      <c r="U19" s="655" t="str">
        <f t="shared" si="11"/>
        <v>%let est_5_1976=0.098;</v>
      </c>
      <c r="V19" s="655" t="str">
        <f t="shared" si="12"/>
        <v>%let est_6_1976=0.118;</v>
      </c>
      <c r="W19" s="655" t="str">
        <f t="shared" si="13"/>
        <v>%let est_7_1976=0.064;</v>
      </c>
      <c r="X19" s="655" t="str">
        <f t="shared" si="14"/>
        <v>%let est_8_1976=0.062;</v>
      </c>
    </row>
    <row r="20" spans="1:24" s="252" customFormat="1" ht="11.25" customHeight="1" x14ac:dyDescent="0.3">
      <c r="A20" s="315">
        <f t="shared" si="19"/>
        <v>1977</v>
      </c>
      <c r="B20" s="882">
        <f t="shared" si="1"/>
        <v>0.31989698768266517</v>
      </c>
      <c r="C20" s="882">
        <f t="shared" si="2"/>
        <v>9.2325475507558874E-2</v>
      </c>
      <c r="D20" s="882">
        <f t="shared" si="3"/>
        <v>0.24560751946468709</v>
      </c>
      <c r="E20" s="882">
        <f t="shared" si="4"/>
        <v>9.7708723004621134E-2</v>
      </c>
      <c r="F20" s="882">
        <f t="shared" si="5"/>
        <v>0.11844245268227409</v>
      </c>
      <c r="G20" s="882">
        <f t="shared" si="6"/>
        <v>6.4389088326381294E-2</v>
      </c>
      <c r="H20" s="882">
        <f t="shared" si="7"/>
        <v>6.1629753331812323E-2</v>
      </c>
      <c r="J20" s="872">
        <v>5</v>
      </c>
      <c r="K20" s="872">
        <f>J20*'C0-Ref Stats'!AA23/'C0-Ref Stats'!AA$61</f>
        <v>16.057170514211961</v>
      </c>
      <c r="L20" s="873">
        <v>0.12</v>
      </c>
      <c r="M20" s="872">
        <f>L20*'C0-Ref Stats'!AA23/'C0-Ref Stats'!AA$61</f>
        <v>0.38537209234108705</v>
      </c>
      <c r="N20" s="891">
        <f t="shared" si="16"/>
        <v>0.34217001734508884</v>
      </c>
      <c r="O20" s="873">
        <f t="shared" si="8"/>
        <v>0</v>
      </c>
      <c r="P20" s="871"/>
      <c r="Q20" s="1011" t="str">
        <f t="shared" si="17"/>
        <v>%let est_1_1977=0.107;</v>
      </c>
      <c r="R20" s="1011" t="str">
        <f t="shared" si="18"/>
        <v>%let est_2_1977=0.213;</v>
      </c>
      <c r="S20" s="655" t="str">
        <f t="shared" si="9"/>
        <v>%let est_3_1977=0.092;</v>
      </c>
      <c r="T20" s="655" t="str">
        <f t="shared" si="10"/>
        <v>%let est_4_1977=0.246;</v>
      </c>
      <c r="U20" s="655" t="str">
        <f t="shared" si="11"/>
        <v>%let est_5_1977=0.098;</v>
      </c>
      <c r="V20" s="655" t="str">
        <f t="shared" si="12"/>
        <v>%let est_6_1977=0.118;</v>
      </c>
      <c r="W20" s="655" t="str">
        <f t="shared" si="13"/>
        <v>%let est_7_1977=0.064;</v>
      </c>
      <c r="X20" s="655" t="str">
        <f t="shared" si="14"/>
        <v>%let est_8_1977=0.062;</v>
      </c>
    </row>
    <row r="21" spans="1:24" s="252" customFormat="1" ht="11.25" customHeight="1" x14ac:dyDescent="0.3">
      <c r="A21" s="315">
        <f t="shared" si="19"/>
        <v>1978</v>
      </c>
      <c r="B21" s="882">
        <f t="shared" si="1"/>
        <v>0.31989698768266517</v>
      </c>
      <c r="C21" s="882">
        <f t="shared" si="2"/>
        <v>9.2325475507558874E-2</v>
      </c>
      <c r="D21" s="882">
        <f t="shared" si="3"/>
        <v>0.24560751946468709</v>
      </c>
      <c r="E21" s="882">
        <f t="shared" si="4"/>
        <v>9.7708723004621134E-2</v>
      </c>
      <c r="F21" s="882">
        <f t="shared" si="5"/>
        <v>0.11844245268227409</v>
      </c>
      <c r="G21" s="882">
        <f t="shared" si="6"/>
        <v>6.4389088326381294E-2</v>
      </c>
      <c r="H21" s="882">
        <f t="shared" si="7"/>
        <v>6.1629753331812323E-2</v>
      </c>
      <c r="J21" s="872">
        <v>5</v>
      </c>
      <c r="K21" s="872">
        <f>J21*'C0-Ref Stats'!AA24/'C0-Ref Stats'!AA$61</f>
        <v>15.006030867074207</v>
      </c>
      <c r="L21" s="873">
        <v>0.13400000000000001</v>
      </c>
      <c r="M21" s="872">
        <f>L21*'C0-Ref Stats'!AA24/'C0-Ref Stats'!AA$61</f>
        <v>0.40216162723758875</v>
      </c>
      <c r="N21" s="891">
        <f t="shared" si="16"/>
        <v>0.34217001734508884</v>
      </c>
      <c r="O21" s="873">
        <f t="shared" si="8"/>
        <v>0</v>
      </c>
      <c r="P21" s="871"/>
      <c r="Q21" s="1011" t="str">
        <f t="shared" si="17"/>
        <v>%let est_1_1978=0.107;</v>
      </c>
      <c r="R21" s="1011" t="str">
        <f t="shared" si="18"/>
        <v>%let est_2_1978=0.213;</v>
      </c>
      <c r="S21" s="655" t="str">
        <f t="shared" si="9"/>
        <v>%let est_3_1978=0.092;</v>
      </c>
      <c r="T21" s="655" t="str">
        <f t="shared" si="10"/>
        <v>%let est_4_1978=0.246;</v>
      </c>
      <c r="U21" s="655" t="str">
        <f t="shared" si="11"/>
        <v>%let est_5_1978=0.098;</v>
      </c>
      <c r="V21" s="655" t="str">
        <f t="shared" si="12"/>
        <v>%let est_6_1978=0.118;</v>
      </c>
      <c r="W21" s="655" t="str">
        <f t="shared" si="13"/>
        <v>%let est_7_1978=0.064;</v>
      </c>
      <c r="X21" s="655" t="str">
        <f t="shared" si="14"/>
        <v>%let est_8_1978=0.062;</v>
      </c>
    </row>
    <row r="22" spans="1:24" s="252" customFormat="1" ht="11.25" customHeight="1" x14ac:dyDescent="0.3">
      <c r="A22" s="315">
        <f t="shared" si="19"/>
        <v>1979</v>
      </c>
      <c r="B22" s="882">
        <f t="shared" si="1"/>
        <v>0.31989698768266517</v>
      </c>
      <c r="C22" s="882">
        <f t="shared" si="2"/>
        <v>9.2325475507558874E-2</v>
      </c>
      <c r="D22" s="882">
        <f t="shared" si="3"/>
        <v>0.24560751946468709</v>
      </c>
      <c r="E22" s="882">
        <f t="shared" si="4"/>
        <v>9.7708723004621134E-2</v>
      </c>
      <c r="F22" s="882">
        <f t="shared" si="5"/>
        <v>0.11844245268227409</v>
      </c>
      <c r="G22" s="882">
        <f t="shared" si="6"/>
        <v>6.4389088326381294E-2</v>
      </c>
      <c r="H22" s="882">
        <f t="shared" si="7"/>
        <v>6.1629753331812323E-2</v>
      </c>
      <c r="J22" s="872">
        <v>5</v>
      </c>
      <c r="K22" s="872">
        <f>J22*'C0-Ref Stats'!AA25/'C0-Ref Stats'!AA$61</f>
        <v>13.783678299843885</v>
      </c>
      <c r="L22" s="873">
        <v>0.14699999999999999</v>
      </c>
      <c r="M22" s="872">
        <f>L22*'C0-Ref Stats'!AA25/'C0-Ref Stats'!AA$61</f>
        <v>0.4052401420154102</v>
      </c>
      <c r="N22" s="891">
        <f t="shared" si="16"/>
        <v>0.34217001734508884</v>
      </c>
      <c r="O22" s="873">
        <f t="shared" si="8"/>
        <v>0</v>
      </c>
      <c r="P22" s="871"/>
      <c r="Q22" s="1011" t="str">
        <f t="shared" si="17"/>
        <v>%let est_1_1979=0.107;</v>
      </c>
      <c r="R22" s="1011" t="str">
        <f t="shared" si="18"/>
        <v>%let est_2_1979=0.213;</v>
      </c>
      <c r="S22" s="655" t="str">
        <f t="shared" si="9"/>
        <v>%let est_3_1979=0.092;</v>
      </c>
      <c r="T22" s="655" t="str">
        <f t="shared" si="10"/>
        <v>%let est_4_1979=0.246;</v>
      </c>
      <c r="U22" s="655" t="str">
        <f t="shared" si="11"/>
        <v>%let est_5_1979=0.098;</v>
      </c>
      <c r="V22" s="655" t="str">
        <f t="shared" si="12"/>
        <v>%let est_6_1979=0.118;</v>
      </c>
      <c r="W22" s="655" t="str">
        <f t="shared" si="13"/>
        <v>%let est_7_1979=0.064;</v>
      </c>
      <c r="X22" s="655" t="str">
        <f t="shared" si="14"/>
        <v>%let est_8_1979=0.062;</v>
      </c>
    </row>
    <row r="23" spans="1:24" s="252" customFormat="1" ht="11.25" customHeight="1" x14ac:dyDescent="0.3">
      <c r="A23" s="315">
        <f t="shared" si="19"/>
        <v>1980</v>
      </c>
      <c r="B23" s="882">
        <f t="shared" si="1"/>
        <v>0.31989698768266517</v>
      </c>
      <c r="C23" s="882">
        <f t="shared" si="2"/>
        <v>9.2325475507558874E-2</v>
      </c>
      <c r="D23" s="882">
        <f t="shared" si="3"/>
        <v>0.24560751946468709</v>
      </c>
      <c r="E23" s="882">
        <f t="shared" si="4"/>
        <v>9.7708723004621134E-2</v>
      </c>
      <c r="F23" s="882">
        <f t="shared" si="5"/>
        <v>0.11844245268227409</v>
      </c>
      <c r="G23" s="882">
        <f t="shared" si="6"/>
        <v>6.4389088326381294E-2</v>
      </c>
      <c r="H23" s="882">
        <f t="shared" si="7"/>
        <v>6.1629753331812323E-2</v>
      </c>
      <c r="J23" s="872">
        <v>5</v>
      </c>
      <c r="K23" s="872">
        <f>J23*'C0-Ref Stats'!AA26/'C0-Ref Stats'!AA$61</f>
        <v>12.44724635044795</v>
      </c>
      <c r="L23" s="873">
        <v>0.161</v>
      </c>
      <c r="M23" s="872">
        <f>L23*'C0-Ref Stats'!AA26/'C0-Ref Stats'!AA$61</f>
        <v>0.40080133248442396</v>
      </c>
      <c r="N23" s="891">
        <f t="shared" si="16"/>
        <v>0.34217001734508884</v>
      </c>
      <c r="O23" s="873">
        <f t="shared" si="8"/>
        <v>0</v>
      </c>
      <c r="P23" s="871"/>
      <c r="Q23" s="1011" t="str">
        <f t="shared" si="17"/>
        <v>%let est_1_1980=0.107;</v>
      </c>
      <c r="R23" s="1011" t="str">
        <f t="shared" si="18"/>
        <v>%let est_2_1980=0.213;</v>
      </c>
      <c r="S23" s="655" t="str">
        <f t="shared" si="9"/>
        <v>%let est_3_1980=0.092;</v>
      </c>
      <c r="T23" s="655" t="str">
        <f t="shared" si="10"/>
        <v>%let est_4_1980=0.246;</v>
      </c>
      <c r="U23" s="655" t="str">
        <f t="shared" si="11"/>
        <v>%let est_5_1980=0.098;</v>
      </c>
      <c r="V23" s="655" t="str">
        <f t="shared" si="12"/>
        <v>%let est_6_1980=0.118;</v>
      </c>
      <c r="W23" s="655" t="str">
        <f t="shared" si="13"/>
        <v>%let est_7_1980=0.064;</v>
      </c>
      <c r="X23" s="655" t="str">
        <f t="shared" si="14"/>
        <v>%let est_8_1980=0.062;</v>
      </c>
    </row>
    <row r="24" spans="1:24" s="252" customFormat="1" ht="11.25" customHeight="1" x14ac:dyDescent="0.3">
      <c r="A24" s="315">
        <f t="shared" si="19"/>
        <v>1981</v>
      </c>
      <c r="B24" s="882">
        <f>B25</f>
        <v>0.31989698768266517</v>
      </c>
      <c r="C24" s="882">
        <f t="shared" ref="C24:H24" si="20">C25</f>
        <v>9.2325475507558874E-2</v>
      </c>
      <c r="D24" s="882">
        <f t="shared" si="20"/>
        <v>0.24560751946468709</v>
      </c>
      <c r="E24" s="882">
        <f t="shared" si="20"/>
        <v>9.7708723004621134E-2</v>
      </c>
      <c r="F24" s="882">
        <f t="shared" si="20"/>
        <v>0.11844245268227409</v>
      </c>
      <c r="G24" s="882">
        <f t="shared" si="20"/>
        <v>6.4389088326381294E-2</v>
      </c>
      <c r="H24" s="882">
        <f t="shared" si="20"/>
        <v>6.1629753331812323E-2</v>
      </c>
      <c r="J24" s="872">
        <v>5</v>
      </c>
      <c r="K24" s="872">
        <f>J24*'C0-Ref Stats'!AA27/'C0-Ref Stats'!AA$61</f>
        <v>11.426170994405943</v>
      </c>
      <c r="L24" s="873">
        <v>0.17499999999999999</v>
      </c>
      <c r="M24" s="872">
        <f>L24*'C0-Ref Stats'!AA27/'C0-Ref Stats'!AA$61</f>
        <v>0.39991598480420804</v>
      </c>
      <c r="N24" s="891">
        <f t="shared" si="16"/>
        <v>0.34217001734508884</v>
      </c>
      <c r="O24" s="873">
        <f t="shared" si="8"/>
        <v>0</v>
      </c>
      <c r="P24" s="871"/>
      <c r="Q24" s="1011" t="str">
        <f t="shared" si="17"/>
        <v>%let est_1_1981=0.107;</v>
      </c>
      <c r="R24" s="1011" t="str">
        <f t="shared" si="18"/>
        <v>%let est_2_1981=0.213;</v>
      </c>
      <c r="S24" s="655" t="str">
        <f t="shared" si="9"/>
        <v>%let est_3_1981=0.092;</v>
      </c>
      <c r="T24" s="655" t="str">
        <f t="shared" si="10"/>
        <v>%let est_4_1981=0.246;</v>
      </c>
      <c r="U24" s="655" t="str">
        <f t="shared" si="11"/>
        <v>%let est_5_1981=0.098;</v>
      </c>
      <c r="V24" s="655" t="str">
        <f t="shared" si="12"/>
        <v>%let est_6_1981=0.118;</v>
      </c>
      <c r="W24" s="655" t="str">
        <f t="shared" si="13"/>
        <v>%let est_7_1981=0.064;</v>
      </c>
      <c r="X24" s="655" t="str">
        <f t="shared" si="14"/>
        <v>%let est_8_1981=0.062;</v>
      </c>
    </row>
    <row r="25" spans="1:24" s="252" customFormat="1" ht="11.25" customHeight="1" x14ac:dyDescent="0.3">
      <c r="A25" s="315">
        <f t="shared" si="19"/>
        <v>1982</v>
      </c>
      <c r="B25" s="873">
        <f>B$49+(B$58-B$49)*($M25-$M$49)/($M$58-$M$49)</f>
        <v>0.31989698768266517</v>
      </c>
      <c r="C25" s="873">
        <f t="shared" ref="B25:H29" si="21">C$49+(C$58-C$49)*($M25-$M$49)/($M$58-$M$49)</f>
        <v>9.2325475507558874E-2</v>
      </c>
      <c r="D25" s="873">
        <f t="shared" si="21"/>
        <v>0.24560751946468709</v>
      </c>
      <c r="E25" s="873">
        <f t="shared" si="21"/>
        <v>9.7708723004621134E-2</v>
      </c>
      <c r="F25" s="873">
        <f t="shared" si="21"/>
        <v>0.11844245268227409</v>
      </c>
      <c r="G25" s="873">
        <f t="shared" si="21"/>
        <v>6.4389088326381294E-2</v>
      </c>
      <c r="H25" s="873">
        <f t="shared" si="21"/>
        <v>6.1629753331812323E-2</v>
      </c>
      <c r="J25" s="872">
        <v>4</v>
      </c>
      <c r="K25" s="872">
        <f>J25*'C0-Ref Stats'!AA28/'C0-Ref Stats'!AA$61</f>
        <v>8.662670860285246</v>
      </c>
      <c r="L25" s="873">
        <v>0.22500000000000001</v>
      </c>
      <c r="M25" s="872">
        <f>L25*'C0-Ref Stats'!AA28/'C0-Ref Stats'!AA$61</f>
        <v>0.4872752358910451</v>
      </c>
      <c r="N25" s="891">
        <f t="shared" si="16"/>
        <v>0.34217001734508884</v>
      </c>
      <c r="O25" s="873">
        <f t="shared" si="8"/>
        <v>0</v>
      </c>
      <c r="P25" s="871"/>
      <c r="Q25" s="1011" t="str">
        <f t="shared" si="17"/>
        <v>%let est_1_1982=0.107;</v>
      </c>
      <c r="R25" s="1011" t="str">
        <f t="shared" si="18"/>
        <v>%let est_2_1982=0.213;</v>
      </c>
      <c r="S25" s="655" t="str">
        <f t="shared" si="9"/>
        <v>%let est_3_1982=0.092;</v>
      </c>
      <c r="T25" s="655" t="str">
        <f t="shared" si="10"/>
        <v>%let est_4_1982=0.246;</v>
      </c>
      <c r="U25" s="655" t="str">
        <f t="shared" si="11"/>
        <v>%let est_5_1982=0.098;</v>
      </c>
      <c r="V25" s="655" t="str">
        <f t="shared" si="12"/>
        <v>%let est_6_1982=0.118;</v>
      </c>
      <c r="W25" s="655" t="str">
        <f t="shared" si="13"/>
        <v>%let est_7_1982=0.064;</v>
      </c>
      <c r="X25" s="655" t="str">
        <f t="shared" si="14"/>
        <v>%let est_8_1982=0.062;</v>
      </c>
    </row>
    <row r="26" spans="1:24" s="252" customFormat="1" ht="11.25" customHeight="1" x14ac:dyDescent="0.3">
      <c r="A26" s="315">
        <f t="shared" si="19"/>
        <v>1983</v>
      </c>
      <c r="B26" s="873">
        <f t="shared" si="21"/>
        <v>0.31780844414159415</v>
      </c>
      <c r="C26" s="873">
        <f t="shared" si="21"/>
        <v>9.1190560724010522E-2</v>
      </c>
      <c r="D26" s="873">
        <f t="shared" si="21"/>
        <v>0.24362949828036945</v>
      </c>
      <c r="E26" s="873">
        <f t="shared" si="21"/>
        <v>9.7524669226750238E-2</v>
      </c>
      <c r="F26" s="873">
        <f t="shared" si="21"/>
        <v>0.12014160274121308</v>
      </c>
      <c r="G26" s="873">
        <f t="shared" si="21"/>
        <v>6.6876312054194226E-2</v>
      </c>
      <c r="H26" s="873">
        <f t="shared" si="21"/>
        <v>6.2828912831868255E-2</v>
      </c>
      <c r="J26" s="872">
        <v>3.5</v>
      </c>
      <c r="K26" s="872">
        <f>J26*'C0-Ref Stats'!AA29/'C0-Ref Stats'!AA$61</f>
        <v>7.2670352178118298</v>
      </c>
      <c r="L26" s="873">
        <v>0.27500000000000002</v>
      </c>
      <c r="M26" s="872">
        <f>L26*'C0-Ref Stats'!AA29/'C0-Ref Stats'!AA$61</f>
        <v>0.57098133854235811</v>
      </c>
      <c r="N26" s="891">
        <f t="shared" si="16"/>
        <v>0.3473714968540258</v>
      </c>
      <c r="O26" s="873">
        <f t="shared" si="8"/>
        <v>0</v>
      </c>
      <c r="P26" s="993"/>
      <c r="Q26" s="1011" t="str">
        <f t="shared" si="17"/>
        <v>%let est_1_1983=0.106;</v>
      </c>
      <c r="R26" s="1011" t="str">
        <f t="shared" si="18"/>
        <v>%let est_2_1983=0.211;</v>
      </c>
      <c r="S26" s="655" t="str">
        <f t="shared" si="9"/>
        <v>%let est_3_1983=0.091;</v>
      </c>
      <c r="T26" s="655" t="str">
        <f t="shared" si="10"/>
        <v>%let est_4_1983=0.244;</v>
      </c>
      <c r="U26" s="655" t="str">
        <f t="shared" si="11"/>
        <v>%let est_5_1983=0.098;</v>
      </c>
      <c r="V26" s="655" t="str">
        <f t="shared" si="12"/>
        <v>%let est_6_1983=0.12;</v>
      </c>
      <c r="W26" s="655" t="str">
        <f t="shared" si="13"/>
        <v>%let est_7_1983=0.067;</v>
      </c>
      <c r="X26" s="655" t="str">
        <f t="shared" si="14"/>
        <v>%let est_8_1983=0.063;</v>
      </c>
    </row>
    <row r="27" spans="1:24" s="252" customFormat="1" ht="11.25" customHeight="1" x14ac:dyDescent="0.3">
      <c r="A27" s="315">
        <f t="shared" si="19"/>
        <v>1984</v>
      </c>
      <c r="B27" s="873">
        <f t="shared" si="21"/>
        <v>0.31583196656344842</v>
      </c>
      <c r="C27" s="873">
        <f t="shared" si="21"/>
        <v>9.0116542596699101E-2</v>
      </c>
      <c r="D27" s="873">
        <f t="shared" si="21"/>
        <v>0.24175761270890733</v>
      </c>
      <c r="E27" s="873">
        <f t="shared" si="21"/>
        <v>9.7350491308990247E-2</v>
      </c>
      <c r="F27" s="873">
        <f t="shared" si="21"/>
        <v>0.1217495807064107</v>
      </c>
      <c r="G27" s="873">
        <f t="shared" si="21"/>
        <v>6.923007764882172E-2</v>
      </c>
      <c r="H27" s="873">
        <f t="shared" si="21"/>
        <v>6.3963728466722408E-2</v>
      </c>
      <c r="J27" s="872">
        <v>3</v>
      </c>
      <c r="K27" s="872">
        <f>J27*'C0-Ref Stats'!AA30/'C0-Ref Stats'!AA$61</f>
        <v>6.0018090782837508</v>
      </c>
      <c r="L27" s="873">
        <v>0.32500000000000001</v>
      </c>
      <c r="M27" s="872">
        <f>L27*'C0-Ref Stats'!AA30/'C0-Ref Stats'!AA$61</f>
        <v>0.6501959834807397</v>
      </c>
      <c r="N27" s="891">
        <f t="shared" si="16"/>
        <v>0.35229387813094504</v>
      </c>
      <c r="O27" s="873">
        <f t="shared" si="8"/>
        <v>0</v>
      </c>
      <c r="P27" s="871"/>
      <c r="Q27" s="1011" t="str">
        <f t="shared" si="17"/>
        <v>%let est_1_1984=0.105;</v>
      </c>
      <c r="R27" s="1011" t="str">
        <f t="shared" si="18"/>
        <v>%let est_2_1984=0.211;</v>
      </c>
      <c r="S27" s="655" t="str">
        <f t="shared" si="9"/>
        <v>%let est_3_1984=0.09;</v>
      </c>
      <c r="T27" s="655" t="str">
        <f t="shared" si="10"/>
        <v>%let est_4_1984=0.242;</v>
      </c>
      <c r="U27" s="655" t="str">
        <f t="shared" si="11"/>
        <v>%let est_5_1984=0.097;</v>
      </c>
      <c r="V27" s="655" t="str">
        <f t="shared" si="12"/>
        <v>%let est_6_1984=0.122;</v>
      </c>
      <c r="W27" s="655" t="str">
        <f t="shared" si="13"/>
        <v>%let est_7_1984=0.069;</v>
      </c>
      <c r="X27" s="655" t="str">
        <f t="shared" si="14"/>
        <v>%let est_8_1984=0.064;</v>
      </c>
    </row>
    <row r="28" spans="1:24" s="252" customFormat="1" ht="11.25" customHeight="1" x14ac:dyDescent="0.3">
      <c r="A28" s="315">
        <f t="shared" si="19"/>
        <v>1985</v>
      </c>
      <c r="B28" s="873">
        <f t="shared" si="21"/>
        <v>0.31277078008341969</v>
      </c>
      <c r="C28" s="873">
        <f t="shared" si="21"/>
        <v>8.8453093536115274E-2</v>
      </c>
      <c r="D28" s="873">
        <f t="shared" si="21"/>
        <v>0.23885841928173143</v>
      </c>
      <c r="E28" s="873">
        <f t="shared" si="21"/>
        <v>9.7080722963089422E-2</v>
      </c>
      <c r="F28" s="873">
        <f t="shared" si="21"/>
        <v>0.12424003162863417</v>
      </c>
      <c r="G28" s="873">
        <f t="shared" si="21"/>
        <v>7.2875611246116676E-2</v>
      </c>
      <c r="H28" s="873">
        <f t="shared" si="21"/>
        <v>6.5721341260893268E-2</v>
      </c>
      <c r="J28" s="872">
        <v>3</v>
      </c>
      <c r="K28" s="872">
        <f>J28*'C0-Ref Stats'!AA31/'C0-Ref Stats'!AA$61</f>
        <v>5.7966326044369136</v>
      </c>
      <c r="L28" s="873">
        <v>0.4</v>
      </c>
      <c r="M28" s="872">
        <f>L28*'C0-Ref Stats'!AA31/'C0-Ref Stats'!AA$61</f>
        <v>0.77288434725825528</v>
      </c>
      <c r="N28" s="891">
        <f t="shared" si="16"/>
        <v>0.3599177070987335</v>
      </c>
      <c r="O28" s="873">
        <f t="shared" si="8"/>
        <v>0</v>
      </c>
      <c r="Q28" s="1011" t="str">
        <f t="shared" si="17"/>
        <v>%let est_1_1985=0.104;</v>
      </c>
      <c r="R28" s="1011" t="str">
        <f t="shared" si="18"/>
        <v>%let est_2_1985=0.209;</v>
      </c>
      <c r="S28" s="655" t="str">
        <f t="shared" si="9"/>
        <v>%let est_3_1985=0.088;</v>
      </c>
      <c r="T28" s="655" t="str">
        <f t="shared" si="10"/>
        <v>%let est_4_1985=0.239;</v>
      </c>
      <c r="U28" s="655" t="str">
        <f t="shared" si="11"/>
        <v>%let est_5_1985=0.097;</v>
      </c>
      <c r="V28" s="655" t="str">
        <f t="shared" si="12"/>
        <v>%let est_6_1985=0.124;</v>
      </c>
      <c r="W28" s="655" t="str">
        <f t="shared" si="13"/>
        <v>%let est_7_1985=0.073;</v>
      </c>
      <c r="X28" s="655" t="str">
        <f t="shared" si="14"/>
        <v>%let est_8_1985=0.066;</v>
      </c>
    </row>
    <row r="29" spans="1:24" s="252" customFormat="1" ht="11.25" customHeight="1" x14ac:dyDescent="0.3">
      <c r="A29" s="315">
        <f t="shared" si="19"/>
        <v>1986</v>
      </c>
      <c r="B29" s="873">
        <f t="shared" si="21"/>
        <v>0.3084602668267426</v>
      </c>
      <c r="C29" s="873">
        <f t="shared" si="21"/>
        <v>8.6110760171508788E-2</v>
      </c>
      <c r="D29" s="873">
        <f t="shared" si="21"/>
        <v>0.23477601143658916</v>
      </c>
      <c r="E29" s="873">
        <f t="shared" si="21"/>
        <v>9.6700857169605831E-2</v>
      </c>
      <c r="F29" s="873">
        <f t="shared" si="21"/>
        <v>0.12774688159853448</v>
      </c>
      <c r="G29" s="873">
        <f t="shared" si="21"/>
        <v>7.8008954478004378E-2</v>
      </c>
      <c r="H29" s="873">
        <f t="shared" si="21"/>
        <v>6.8196268319014736E-2</v>
      </c>
      <c r="J29" s="872">
        <v>3</v>
      </c>
      <c r="K29" s="872">
        <f>J29*'C0-Ref Stats'!AA32/'C0-Ref Stats'!AA$61</f>
        <v>5.6738645982690414</v>
      </c>
      <c r="L29" s="873">
        <v>0.5</v>
      </c>
      <c r="M29" s="872">
        <f>L29*'C0-Ref Stats'!AA32/'C0-Ref Stats'!AA$61</f>
        <v>0.94564409971150687</v>
      </c>
      <c r="N29" s="891">
        <f t="shared" si="16"/>
        <v>0.37065296156515937</v>
      </c>
      <c r="O29" s="873">
        <f t="shared" si="8"/>
        <v>0</v>
      </c>
      <c r="Q29" s="1011" t="str">
        <f t="shared" si="17"/>
        <v>%let est_1_1986=0.103;</v>
      </c>
      <c r="R29" s="1011" t="str">
        <f t="shared" si="18"/>
        <v>%let est_2_1986=0.205;</v>
      </c>
      <c r="S29" s="655" t="str">
        <f t="shared" si="9"/>
        <v>%let est_3_1986=0.086;</v>
      </c>
      <c r="T29" s="655" t="str">
        <f t="shared" si="10"/>
        <v>%let est_4_1986=0.235;</v>
      </c>
      <c r="U29" s="655" t="str">
        <f t="shared" si="11"/>
        <v>%let est_5_1986=0.097;</v>
      </c>
      <c r="V29" s="655" t="str">
        <f t="shared" si="12"/>
        <v>%let est_6_1986=0.128;</v>
      </c>
      <c r="W29" s="655" t="str">
        <f t="shared" si="13"/>
        <v>%let est_7_1986=0.078;</v>
      </c>
      <c r="X29" s="655" t="str">
        <f t="shared" si="14"/>
        <v>%let est_8_1986=0.068;</v>
      </c>
    </row>
    <row r="30" spans="1:24" s="252" customFormat="1" ht="11.25" customHeight="1" x14ac:dyDescent="0.3">
      <c r="A30" s="315">
        <f t="shared" si="19"/>
        <v>1987</v>
      </c>
      <c r="B30" s="873">
        <f t="shared" ref="B30:H47" si="22">B$49+(B$58-B$49)*($M30-$M$49)/($M$58-$M$49)</f>
        <v>0.30457816041630209</v>
      </c>
      <c r="C30" s="873">
        <f t="shared" si="22"/>
        <v>8.4001223132957298E-2</v>
      </c>
      <c r="D30" s="873">
        <f t="shared" si="22"/>
        <v>0.2310993398381177</v>
      </c>
      <c r="E30" s="873">
        <f t="shared" si="22"/>
        <v>9.6358744909608635E-2</v>
      </c>
      <c r="F30" s="873">
        <f t="shared" si="22"/>
        <v>0.1309051980072625</v>
      </c>
      <c r="G30" s="873">
        <f t="shared" si="22"/>
        <v>8.263211266842016E-2</v>
      </c>
      <c r="H30" s="873">
        <f t="shared" si="22"/>
        <v>7.042522102733155E-2</v>
      </c>
      <c r="J30" s="872">
        <v>3</v>
      </c>
      <c r="K30" s="872">
        <f>J30*'C0-Ref Stats'!AA33/'C0-Ref Stats'!AA$61</f>
        <v>5.5061693210393967</v>
      </c>
      <c r="L30" s="873">
        <v>0.6</v>
      </c>
      <c r="M30" s="872">
        <f>L30*'C0-Ref Stats'!AA33/'C0-Ref Stats'!AA$61</f>
        <v>1.1012338642078792</v>
      </c>
      <c r="N30" s="891">
        <f t="shared" si="16"/>
        <v>0.38032127661262288</v>
      </c>
      <c r="O30" s="873">
        <f t="shared" si="8"/>
        <v>0</v>
      </c>
      <c r="Q30" s="1011" t="str">
        <f t="shared" si="17"/>
        <v>%let est_1_1987=0.102;</v>
      </c>
      <c r="R30" s="1011" t="str">
        <f t="shared" si="18"/>
        <v>%let est_2_1987=0.203;</v>
      </c>
      <c r="S30" s="655" t="str">
        <f t="shared" si="9"/>
        <v>%let est_3_1987=0.084;</v>
      </c>
      <c r="T30" s="655" t="str">
        <f t="shared" si="10"/>
        <v>%let est_4_1987=0.231;</v>
      </c>
      <c r="U30" s="655" t="str">
        <f t="shared" si="11"/>
        <v>%let est_5_1987=0.096;</v>
      </c>
      <c r="V30" s="655" t="str">
        <f t="shared" si="12"/>
        <v>%let est_6_1987=0.131;</v>
      </c>
      <c r="W30" s="655" t="str">
        <f t="shared" si="13"/>
        <v>%let est_7_1987=0.083;</v>
      </c>
      <c r="X30" s="655" t="str">
        <f t="shared" si="14"/>
        <v>%let est_8_1987=0.07;</v>
      </c>
    </row>
    <row r="31" spans="1:24" s="252" customFormat="1" ht="11.25" customHeight="1" x14ac:dyDescent="0.3">
      <c r="A31" s="315">
        <f t="shared" si="19"/>
        <v>1988</v>
      </c>
      <c r="B31" s="873">
        <f t="shared" si="22"/>
        <v>0.30560852889907836</v>
      </c>
      <c r="C31" s="873">
        <f t="shared" si="22"/>
        <v>8.4561125476676421E-2</v>
      </c>
      <c r="D31" s="873">
        <f t="shared" si="22"/>
        <v>0.23207518288208873</v>
      </c>
      <c r="E31" s="873">
        <f t="shared" si="22"/>
        <v>9.6449546565463423E-2</v>
      </c>
      <c r="F31" s="873">
        <f t="shared" si="22"/>
        <v>0.13006693410047296</v>
      </c>
      <c r="G31" s="873">
        <f t="shared" si="22"/>
        <v>8.1405058078292902E-2</v>
      </c>
      <c r="H31" s="873">
        <f t="shared" si="22"/>
        <v>6.9833623997927113E-2</v>
      </c>
      <c r="J31" s="872">
        <v>3</v>
      </c>
      <c r="K31" s="872">
        <f>J31*'C0-Ref Stats'!AA34/'C0-Ref Stats'!AA$61</f>
        <v>5.2996901926614388</v>
      </c>
      <c r="L31" s="873">
        <v>0.6</v>
      </c>
      <c r="M31" s="872">
        <f>L31*'C0-Ref Stats'!AA34/'C0-Ref Stats'!AA$61</f>
        <v>1.0599380385322876</v>
      </c>
      <c r="N31" s="891">
        <f t="shared" si="16"/>
        <v>0.37775516274215637</v>
      </c>
      <c r="O31" s="873">
        <f t="shared" si="8"/>
        <v>0</v>
      </c>
      <c r="Q31" s="1011" t="str">
        <f t="shared" si="17"/>
        <v>%let est_1_1988=0.102;</v>
      </c>
      <c r="R31" s="1011" t="str">
        <f t="shared" si="18"/>
        <v>%let est_2_1988=0.204;</v>
      </c>
      <c r="S31" s="655" t="str">
        <f t="shared" si="9"/>
        <v>%let est_3_1988=0.085;</v>
      </c>
      <c r="T31" s="655" t="str">
        <f t="shared" si="10"/>
        <v>%let est_4_1988=0.232;</v>
      </c>
      <c r="U31" s="655" t="str">
        <f t="shared" si="11"/>
        <v>%let est_5_1988=0.096;</v>
      </c>
      <c r="V31" s="655" t="str">
        <f t="shared" si="12"/>
        <v>%let est_6_1988=0.13;</v>
      </c>
      <c r="W31" s="655" t="str">
        <f t="shared" si="13"/>
        <v>%let est_7_1988=0.081;</v>
      </c>
      <c r="X31" s="655" t="str">
        <f t="shared" si="14"/>
        <v>%let est_8_1988=0.07;</v>
      </c>
    </row>
    <row r="32" spans="1:24" s="252" customFormat="1" ht="11.25" customHeight="1" x14ac:dyDescent="0.3">
      <c r="A32" s="315">
        <f t="shared" si="19"/>
        <v>1989</v>
      </c>
      <c r="B32" s="873">
        <f t="shared" si="22"/>
        <v>0.30669967232268636</v>
      </c>
      <c r="C32" s="873">
        <f t="shared" si="22"/>
        <v>8.5154052929742236E-2</v>
      </c>
      <c r="D32" s="873">
        <f t="shared" si="22"/>
        <v>0.23310858475501248</v>
      </c>
      <c r="E32" s="873">
        <f t="shared" si="22"/>
        <v>9.6545704038537239E-2</v>
      </c>
      <c r="F32" s="873">
        <f t="shared" si="22"/>
        <v>0.12917922629066417</v>
      </c>
      <c r="G32" s="873">
        <f t="shared" si="22"/>
        <v>8.0105627273870605E-2</v>
      </c>
      <c r="H32" s="873">
        <f t="shared" si="22"/>
        <v>6.920713238948685E-2</v>
      </c>
      <c r="J32" s="872">
        <v>3</v>
      </c>
      <c r="K32" s="872">
        <f>J32*'C0-Ref Stats'!AA35/'C0-Ref Stats'!AA$61</f>
        <v>5.081032162249965</v>
      </c>
      <c r="L32" s="873">
        <v>0.6</v>
      </c>
      <c r="M32" s="872">
        <f>L32*'C0-Ref Stats'!AA35/'C0-Ref Stats'!AA$61</f>
        <v>1.0162064324499929</v>
      </c>
      <c r="N32" s="891">
        <f t="shared" si="16"/>
        <v>0.37503768999255882</v>
      </c>
      <c r="O32" s="873">
        <f t="shared" si="8"/>
        <v>0</v>
      </c>
      <c r="Q32" s="1011" t="str">
        <f t="shared" si="17"/>
        <v>%let est_1_1989=0.102;</v>
      </c>
      <c r="R32" s="1011" t="str">
        <f t="shared" si="18"/>
        <v>%let est_2_1989=0.205;</v>
      </c>
      <c r="S32" s="655" t="str">
        <f t="shared" si="9"/>
        <v>%let est_3_1989=0.085;</v>
      </c>
      <c r="T32" s="655" t="str">
        <f t="shared" si="10"/>
        <v>%let est_4_1989=0.233;</v>
      </c>
      <c r="U32" s="655" t="str">
        <f t="shared" si="11"/>
        <v>%let est_5_1989=0.097;</v>
      </c>
      <c r="V32" s="655" t="str">
        <f t="shared" si="12"/>
        <v>%let est_6_1989=0.129;</v>
      </c>
      <c r="W32" s="655" t="str">
        <f t="shared" si="13"/>
        <v>%let est_7_1989=0.08;</v>
      </c>
      <c r="X32" s="655" t="str">
        <f t="shared" si="14"/>
        <v>%let est_8_1989=0.069;</v>
      </c>
    </row>
    <row r="33" spans="1:24" s="252" customFormat="1" ht="11.25" customHeight="1" x14ac:dyDescent="0.3">
      <c r="A33" s="315">
        <f t="shared" si="19"/>
        <v>1990</v>
      </c>
      <c r="B33" s="873">
        <f t="shared" si="22"/>
        <v>0.3077520065314362</v>
      </c>
      <c r="C33" s="873">
        <f t="shared" si="22"/>
        <v>8.5725891451304187E-2</v>
      </c>
      <c r="D33" s="873">
        <f t="shared" si="22"/>
        <v>0.23410523113415468</v>
      </c>
      <c r="E33" s="873">
        <f t="shared" si="22"/>
        <v>9.6638441433230887E-2</v>
      </c>
      <c r="F33" s="873">
        <f t="shared" si="22"/>
        <v>0.12832309200490069</v>
      </c>
      <c r="G33" s="873">
        <f t="shared" si="22"/>
        <v>7.8852413940214375E-2</v>
      </c>
      <c r="H33" s="873">
        <f t="shared" si="22"/>
        <v>6.8602923504758939E-2</v>
      </c>
      <c r="J33" s="872">
        <v>3</v>
      </c>
      <c r="K33" s="872">
        <f>J33*'C0-Ref Stats'!AA36/'C0-Ref Stats'!AA$61</f>
        <v>4.8701512455516012</v>
      </c>
      <c r="L33" s="873">
        <v>0.6</v>
      </c>
      <c r="M33" s="872">
        <f>L33*'C0-Ref Stats'!AA36/'C0-Ref Stats'!AA$61</f>
        <v>0.97403024911032021</v>
      </c>
      <c r="N33" s="891">
        <f t="shared" si="16"/>
        <v>0.37241687088310488</v>
      </c>
      <c r="O33" s="873">
        <f t="shared" si="8"/>
        <v>0</v>
      </c>
      <c r="Q33" s="1011" t="str">
        <f t="shared" si="17"/>
        <v>%let est_1_1990=0.102;</v>
      </c>
      <c r="R33" s="1011" t="str">
        <f t="shared" si="18"/>
        <v>%let est_2_1990=0.205;</v>
      </c>
      <c r="S33" s="655" t="str">
        <f t="shared" si="9"/>
        <v>%let est_3_1990=0.086;</v>
      </c>
      <c r="T33" s="655" t="str">
        <f t="shared" si="10"/>
        <v>%let est_4_1990=0.234;</v>
      </c>
      <c r="U33" s="655" t="str">
        <f t="shared" si="11"/>
        <v>%let est_5_1990=0.097;</v>
      </c>
      <c r="V33" s="655" t="str">
        <f t="shared" si="12"/>
        <v>%let est_6_1990=0.128;</v>
      </c>
      <c r="W33" s="655" t="str">
        <f t="shared" si="13"/>
        <v>%let est_7_1990=0.079;</v>
      </c>
      <c r="X33" s="655" t="str">
        <f t="shared" si="14"/>
        <v>%let est_8_1990=0.069;</v>
      </c>
    </row>
    <row r="34" spans="1:24" s="252" customFormat="1" ht="11.25" customHeight="1" x14ac:dyDescent="0.3">
      <c r="A34" s="315">
        <f t="shared" si="19"/>
        <v>1991</v>
      </c>
      <c r="B34" s="873">
        <f t="shared" si="22"/>
        <v>0.30852381650729904</v>
      </c>
      <c r="C34" s="873">
        <f t="shared" si="22"/>
        <v>8.6145293074718618E-2</v>
      </c>
      <c r="D34" s="873">
        <f t="shared" si="22"/>
        <v>0.23483619817051421</v>
      </c>
      <c r="E34" s="873">
        <f t="shared" si="22"/>
        <v>9.6706457511929994E-2</v>
      </c>
      <c r="F34" s="873">
        <f t="shared" si="22"/>
        <v>0.12769518028547125</v>
      </c>
      <c r="G34" s="873">
        <f>G$49+(G$58-G$49)*($M34-$M$49)/($M$58-$M$49)</f>
        <v>7.7933273856429244E-2</v>
      </c>
      <c r="H34" s="873">
        <f t="shared" si="22"/>
        <v>6.8159780593637587E-2</v>
      </c>
      <c r="J34" s="872">
        <v>3</v>
      </c>
      <c r="K34" s="872">
        <f>J34*'C0-Ref Stats'!AA37/'C0-Ref Stats'!AA$61</f>
        <v>4.7154855567679324</v>
      </c>
      <c r="L34" s="873">
        <v>0.6</v>
      </c>
      <c r="M34" s="872">
        <f>L34*'C0-Ref Stats'!AA37/'C0-Ref Stats'!AA$61</f>
        <v>0.94309711135358631</v>
      </c>
      <c r="N34" s="891">
        <f t="shared" si="16"/>
        <v>0.37049469224746806</v>
      </c>
      <c r="O34" s="873">
        <f t="shared" si="8"/>
        <v>0</v>
      </c>
      <c r="Q34" s="1011" t="str">
        <f t="shared" si="17"/>
        <v>%let est_1_1991=0.103;</v>
      </c>
      <c r="R34" s="1011" t="str">
        <f t="shared" si="18"/>
        <v>%let est_2_1991=0.205;</v>
      </c>
      <c r="S34" s="655" t="str">
        <f t="shared" si="9"/>
        <v>%let est_3_1991=0.086;</v>
      </c>
      <c r="T34" s="655" t="str">
        <f t="shared" si="10"/>
        <v>%let est_4_1991=0.235;</v>
      </c>
      <c r="U34" s="655" t="str">
        <f t="shared" si="11"/>
        <v>%let est_5_1991=0.097;</v>
      </c>
      <c r="V34" s="655" t="str">
        <f t="shared" si="12"/>
        <v>%let est_6_1991=0.128;</v>
      </c>
      <c r="W34" s="655" t="str">
        <f t="shared" si="13"/>
        <v>%let est_7_1991=0.078;</v>
      </c>
      <c r="X34" s="655" t="str">
        <f t="shared" si="14"/>
        <v>%let est_8_1991=0.068;</v>
      </c>
    </row>
    <row r="35" spans="1:24" s="252" customFormat="1" ht="11.25" customHeight="1" x14ac:dyDescent="0.3">
      <c r="A35" s="315">
        <f t="shared" si="19"/>
        <v>1992</v>
      </c>
      <c r="B35" s="873">
        <f t="shared" si="22"/>
        <v>0.30913008200930414</v>
      </c>
      <c r="C35" s="873">
        <f t="shared" si="22"/>
        <v>8.6474737813336852E-2</v>
      </c>
      <c r="D35" s="873">
        <f t="shared" si="22"/>
        <v>0.2354103810796587</v>
      </c>
      <c r="E35" s="873">
        <f t="shared" si="22"/>
        <v>9.6759884914252484E-2</v>
      </c>
      <c r="F35" s="873">
        <f t="shared" si="22"/>
        <v>0.12720194849824387</v>
      </c>
      <c r="G35" s="873">
        <f t="shared" si="22"/>
        <v>7.7211278881324133E-2</v>
      </c>
      <c r="H35" s="873">
        <f t="shared" si="22"/>
        <v>6.7811686803879778E-2</v>
      </c>
      <c r="J35" s="872">
        <v>3</v>
      </c>
      <c r="K35" s="872">
        <f>J35*'C0-Ref Stats'!AA38/'C0-Ref Stats'!AA$61</f>
        <v>4.5939939015861473</v>
      </c>
      <c r="L35" s="873">
        <v>0.6</v>
      </c>
      <c r="M35" s="872">
        <f>L35*'C0-Ref Stats'!AA38/'C0-Ref Stats'!AA$61</f>
        <v>0.91879878031722939</v>
      </c>
      <c r="N35" s="891">
        <f t="shared" si="16"/>
        <v>0.36898479909770027</v>
      </c>
      <c r="O35" s="873">
        <f t="shared" ref="O35:O58" si="23">SUM(B35:H35)-1</f>
        <v>0</v>
      </c>
      <c r="Q35" s="1011" t="str">
        <f t="shared" si="17"/>
        <v>%let est_1_1992=0.103;</v>
      </c>
      <c r="R35" s="1011" t="str">
        <f t="shared" si="18"/>
        <v>%let est_2_1992=0.207;</v>
      </c>
      <c r="S35" s="655" t="str">
        <f t="shared" ref="S35:S58" si="24">CONCATENATE("%let est_",S$2,"_",$A35,"=",ROUND(C35,3),";")</f>
        <v>%let est_3_1992=0.086;</v>
      </c>
      <c r="T35" s="655" t="str">
        <f t="shared" ref="T35:T58" si="25">CONCATENATE("%let est_",T$2,"_",$A35,"=",ROUND(D35,3),";")</f>
        <v>%let est_4_1992=0.235;</v>
      </c>
      <c r="U35" s="655" t="str">
        <f t="shared" ref="U35:U58" si="26">CONCATENATE("%let est_",U$2,"_",$A35,"=",ROUND(E35,3),";")</f>
        <v>%let est_5_1992=0.097;</v>
      </c>
      <c r="V35" s="655" t="str">
        <f t="shared" ref="V35:V58" si="27">CONCATENATE("%let est_",V$2,"_",$A35,"=",ROUND(F35,3),";")</f>
        <v>%let est_6_1992=0.127;</v>
      </c>
      <c r="W35" s="655" t="str">
        <f t="shared" ref="W35:W58" si="28">CONCATENATE("%let est_",W$2,"_",$A35,"=",ROUND(G35,3),";")</f>
        <v>%let est_7_1992=0.077;</v>
      </c>
      <c r="X35" s="655" t="str">
        <f t="shared" ref="X35:X58" si="29">CONCATENATE("%let est_",X$2,"_",$A35,"=",ROUND(H35,3),";")</f>
        <v>%let est_8_1992=0.068;</v>
      </c>
    </row>
    <row r="36" spans="1:24" s="252" customFormat="1" ht="11.25" customHeight="1" x14ac:dyDescent="0.3">
      <c r="A36" s="315">
        <f t="shared" si="19"/>
        <v>1993</v>
      </c>
      <c r="B36" s="873">
        <f t="shared" si="22"/>
        <v>0.30968850785210988</v>
      </c>
      <c r="C36" s="873">
        <f t="shared" si="22"/>
        <v>8.6778186476030611E-2</v>
      </c>
      <c r="D36" s="873">
        <f t="shared" si="22"/>
        <v>0.23593925592723491</v>
      </c>
      <c r="E36" s="873">
        <f t="shared" si="22"/>
        <v>9.6809096426489577E-2</v>
      </c>
      <c r="F36" s="873">
        <f t="shared" si="22"/>
        <v>0.12674763701990627</v>
      </c>
      <c r="G36" s="873">
        <f t="shared" si="22"/>
        <v>7.6546255634675348E-2</v>
      </c>
      <c r="H36" s="873">
        <f t="shared" si="22"/>
        <v>6.7491060663553371E-2</v>
      </c>
      <c r="J36" s="872">
        <v>3</v>
      </c>
      <c r="K36" s="872">
        <f>J36*'C0-Ref Stats'!AA39/'C0-Ref Stats'!AA$61</f>
        <v>4.4820890023062541</v>
      </c>
      <c r="L36" s="873">
        <v>0.6</v>
      </c>
      <c r="M36" s="872">
        <f>L36*'C0-Ref Stats'!AA39/'C0-Ref Stats'!AA$61</f>
        <v>0.89641780046125086</v>
      </c>
      <c r="N36" s="891">
        <f t="shared" si="16"/>
        <v>0.36759404974462456</v>
      </c>
      <c r="O36" s="873">
        <f t="shared" si="23"/>
        <v>0</v>
      </c>
      <c r="Q36" s="1011" t="str">
        <f t="shared" si="17"/>
        <v>%let est_1_1993=0.103;</v>
      </c>
      <c r="R36" s="1011" t="str">
        <f t="shared" si="18"/>
        <v>%let est_2_1993=0.206;</v>
      </c>
      <c r="S36" s="655" t="str">
        <f t="shared" si="24"/>
        <v>%let est_3_1993=0.087;</v>
      </c>
      <c r="T36" s="655" t="str">
        <f t="shared" si="25"/>
        <v>%let est_4_1993=0.236;</v>
      </c>
      <c r="U36" s="655" t="str">
        <f t="shared" si="26"/>
        <v>%let est_5_1993=0.097;</v>
      </c>
      <c r="V36" s="655" t="str">
        <f t="shared" si="27"/>
        <v>%let est_6_1993=0.127;</v>
      </c>
      <c r="W36" s="655" t="str">
        <f t="shared" si="28"/>
        <v>%let est_7_1993=0.077;</v>
      </c>
      <c r="X36" s="655" t="str">
        <f t="shared" si="29"/>
        <v>%let est_8_1993=0.067;</v>
      </c>
    </row>
    <row r="37" spans="1:24" s="252" customFormat="1" ht="11.25" customHeight="1" x14ac:dyDescent="0.3">
      <c r="A37" s="315">
        <f t="shared" si="19"/>
        <v>1994</v>
      </c>
      <c r="B37" s="873">
        <f t="shared" si="22"/>
        <v>0.31014419086083345</v>
      </c>
      <c r="C37" s="873">
        <f t="shared" si="22"/>
        <v>8.702580467169771E-2</v>
      </c>
      <c r="D37" s="873">
        <f t="shared" si="22"/>
        <v>0.23637082492585229</v>
      </c>
      <c r="E37" s="873">
        <f t="shared" si="22"/>
        <v>9.6849253683265815E-2</v>
      </c>
      <c r="F37" s="873">
        <f t="shared" si="22"/>
        <v>0.12637691273482235</v>
      </c>
      <c r="G37" s="873">
        <f t="shared" si="22"/>
        <v>7.6003587708740106E-2</v>
      </c>
      <c r="H37" s="873">
        <f t="shared" si="22"/>
        <v>6.7229425414788227E-2</v>
      </c>
      <c r="J37" s="872">
        <v>3</v>
      </c>
      <c r="K37" s="872">
        <f>J37*'C0-Ref Stats'!AA40/'C0-Ref Stats'!AA$61</f>
        <v>4.3907730973356687</v>
      </c>
      <c r="L37" s="873">
        <v>0.6</v>
      </c>
      <c r="M37" s="872">
        <f>L37*'C0-Ref Stats'!AA40/'C0-Ref Stats'!AA$61</f>
        <v>0.87815461946713369</v>
      </c>
      <c r="N37" s="891">
        <f t="shared" si="16"/>
        <v>0.3664591795416165</v>
      </c>
      <c r="O37" s="873">
        <f t="shared" si="23"/>
        <v>0</v>
      </c>
      <c r="Q37" s="1011" t="str">
        <f t="shared" si="17"/>
        <v>%let est_1_1994=0.104;</v>
      </c>
      <c r="R37" s="1011" t="str">
        <f t="shared" si="18"/>
        <v>%let est_2_1994=0.207;</v>
      </c>
      <c r="S37" s="655" t="str">
        <f t="shared" si="24"/>
        <v>%let est_3_1994=0.087;</v>
      </c>
      <c r="T37" s="655" t="str">
        <f t="shared" si="25"/>
        <v>%let est_4_1994=0.236;</v>
      </c>
      <c r="U37" s="655" t="str">
        <f t="shared" si="26"/>
        <v>%let est_5_1994=0.097;</v>
      </c>
      <c r="V37" s="655" t="str">
        <f t="shared" si="27"/>
        <v>%let est_6_1994=0.126;</v>
      </c>
      <c r="W37" s="655" t="str">
        <f t="shared" si="28"/>
        <v>%let est_7_1994=0.076;</v>
      </c>
      <c r="X37" s="655" t="str">
        <f t="shared" si="29"/>
        <v>%let est_8_1994=0.067;</v>
      </c>
    </row>
    <row r="38" spans="1:24" s="252" customFormat="1" ht="11.25" customHeight="1" x14ac:dyDescent="0.3">
      <c r="A38" s="315">
        <f t="shared" si="19"/>
        <v>1995</v>
      </c>
      <c r="B38" s="873">
        <f t="shared" si="22"/>
        <v>0.31058983242375365</v>
      </c>
      <c r="C38" s="873">
        <f t="shared" si="22"/>
        <v>8.7267966344641512E-2</v>
      </c>
      <c r="D38" s="873">
        <f t="shared" si="22"/>
        <v>0.23679288385578801</v>
      </c>
      <c r="E38" s="873">
        <f t="shared" si="22"/>
        <v>9.6888526033407821E-2</v>
      </c>
      <c r="F38" s="873">
        <f t="shared" si="22"/>
        <v>0.12601435774230674</v>
      </c>
      <c r="G38" s="873">
        <f t="shared" si="22"/>
        <v>7.5472878031111662E-2</v>
      </c>
      <c r="H38" s="873">
        <f t="shared" si="22"/>
        <v>6.6973555568990567E-2</v>
      </c>
      <c r="J38" s="872">
        <v>3</v>
      </c>
      <c r="K38" s="872">
        <f>J38*'C0-Ref Stats'!AA41/'C0-Ref Stats'!AA$61</f>
        <v>4.3014694326575516</v>
      </c>
      <c r="L38" s="873">
        <v>0.6</v>
      </c>
      <c r="M38" s="872">
        <f>L38*'C0-Ref Stats'!AA41/'C0-Ref Stats'!AA$61</f>
        <v>0.86029388653151029</v>
      </c>
      <c r="N38" s="891">
        <f t="shared" si="16"/>
        <v>0.36534931737581677</v>
      </c>
      <c r="O38" s="873">
        <f t="shared" si="23"/>
        <v>0</v>
      </c>
      <c r="Q38" s="1011" t="str">
        <f t="shared" si="17"/>
        <v>%let est_1_1995=0.104;</v>
      </c>
      <c r="R38" s="1011" t="str">
        <f t="shared" si="18"/>
        <v>%let est_2_1995=0.207;</v>
      </c>
      <c r="S38" s="655" t="str">
        <f t="shared" si="24"/>
        <v>%let est_3_1995=0.087;</v>
      </c>
      <c r="T38" s="655" t="str">
        <f t="shared" si="25"/>
        <v>%let est_4_1995=0.237;</v>
      </c>
      <c r="U38" s="655" t="str">
        <f t="shared" si="26"/>
        <v>%let est_5_1995=0.097;</v>
      </c>
      <c r="V38" s="655" t="str">
        <f t="shared" si="27"/>
        <v>%let est_6_1995=0.126;</v>
      </c>
      <c r="W38" s="655" t="str">
        <f t="shared" si="28"/>
        <v>%let est_7_1995=0.075;</v>
      </c>
      <c r="X38" s="655" t="str">
        <f t="shared" si="29"/>
        <v>%let est_8_1995=0.067;</v>
      </c>
    </row>
    <row r="39" spans="1:24" s="252" customFormat="1" ht="11.25" customHeight="1" x14ac:dyDescent="0.3">
      <c r="A39" s="315">
        <f t="shared" si="19"/>
        <v>1996</v>
      </c>
      <c r="B39" s="873">
        <f t="shared" si="22"/>
        <v>0.31103713130700456</v>
      </c>
      <c r="C39" s="873">
        <f t="shared" si="22"/>
        <v>8.7511028605630245E-2</v>
      </c>
      <c r="D39" s="873">
        <f t="shared" si="22"/>
        <v>0.23721651240333472</v>
      </c>
      <c r="E39" s="873">
        <f t="shared" si="22"/>
        <v>9.6927944435600932E-2</v>
      </c>
      <c r="F39" s="873">
        <f t="shared" si="22"/>
        <v>0.12565045442456724</v>
      </c>
      <c r="G39" s="873">
        <f t="shared" si="22"/>
        <v>7.4940194668774163E-2</v>
      </c>
      <c r="H39" s="873">
        <f t="shared" si="22"/>
        <v>6.6716734155088081E-2</v>
      </c>
      <c r="J39" s="872">
        <v>3</v>
      </c>
      <c r="K39" s="872">
        <f>J39*'C0-Ref Stats'!AA42/'C0-Ref Stats'!AA$61</f>
        <v>4.2118336517869741</v>
      </c>
      <c r="L39" s="873">
        <v>0.6</v>
      </c>
      <c r="M39" s="872">
        <f>L39*'C0-Ref Stats'!AA42/'C0-Ref Stats'!AA$61</f>
        <v>0.84236673035739484</v>
      </c>
      <c r="N39" s="891">
        <f t="shared" si="16"/>
        <v>0.36423532768403044</v>
      </c>
      <c r="O39" s="873">
        <f t="shared" si="23"/>
        <v>0</v>
      </c>
      <c r="Q39" s="1011" t="str">
        <f t="shared" si="17"/>
        <v>%let est_1_1996=0.103;</v>
      </c>
      <c r="R39" s="1011" t="str">
        <f t="shared" si="18"/>
        <v>%let est_2_1996=0.207;</v>
      </c>
      <c r="S39" s="655" t="str">
        <f t="shared" si="24"/>
        <v>%let est_3_1996=0.088;</v>
      </c>
      <c r="T39" s="655" t="str">
        <f t="shared" si="25"/>
        <v>%let est_4_1996=0.237;</v>
      </c>
      <c r="U39" s="655" t="str">
        <f t="shared" si="26"/>
        <v>%let est_5_1996=0.097;</v>
      </c>
      <c r="V39" s="655" t="str">
        <f t="shared" si="27"/>
        <v>%let est_6_1996=0.126;</v>
      </c>
      <c r="W39" s="655" t="str">
        <f t="shared" si="28"/>
        <v>%let est_7_1996=0.075;</v>
      </c>
      <c r="X39" s="655" t="str">
        <f t="shared" si="29"/>
        <v>%let est_8_1996=0.067;</v>
      </c>
    </row>
    <row r="40" spans="1:24" s="252" customFormat="1" ht="11.25" customHeight="1" x14ac:dyDescent="0.3">
      <c r="A40" s="315">
        <f t="shared" si="19"/>
        <v>1997</v>
      </c>
      <c r="B40" s="873">
        <f t="shared" si="22"/>
        <v>0.31139375619425874</v>
      </c>
      <c r="C40" s="873">
        <f t="shared" si="22"/>
        <v>8.7704818607498458E-2</v>
      </c>
      <c r="D40" s="873">
        <f t="shared" si="22"/>
        <v>0.2375542652765556</v>
      </c>
      <c r="E40" s="873">
        <f t="shared" si="22"/>
        <v>9.6959372153764878E-2</v>
      </c>
      <c r="F40" s="873">
        <f t="shared" si="22"/>
        <v>0.12536031960751368</v>
      </c>
      <c r="G40" s="873">
        <f t="shared" si="22"/>
        <v>7.4515493979483149E-2</v>
      </c>
      <c r="H40" s="873">
        <f t="shared" si="22"/>
        <v>6.6511974180925457E-2</v>
      </c>
      <c r="J40" s="872">
        <v>3</v>
      </c>
      <c r="K40" s="872">
        <f>J40*'C0-Ref Stats'!AA43/'C0-Ref Stats'!AA$61</f>
        <v>4.1403683487337224</v>
      </c>
      <c r="L40" s="873">
        <v>0.6</v>
      </c>
      <c r="M40" s="872">
        <f>L40*'C0-Ref Stats'!AA43/'C0-Ref Stats'!AA$61</f>
        <v>0.82807366974674446</v>
      </c>
      <c r="N40" s="891">
        <f t="shared" si="16"/>
        <v>0.3633471599216872</v>
      </c>
      <c r="O40" s="873">
        <f t="shared" si="23"/>
        <v>0</v>
      </c>
      <c r="Q40" s="1011" t="str">
        <f t="shared" si="17"/>
        <v>%let est_1_1997=0.103;</v>
      </c>
      <c r="R40" s="1011" t="str">
        <f t="shared" si="18"/>
        <v>%let est_2_1997=0.207;</v>
      </c>
      <c r="S40" s="655" t="str">
        <f t="shared" si="24"/>
        <v>%let est_3_1997=0.088;</v>
      </c>
      <c r="T40" s="655" t="str">
        <f t="shared" si="25"/>
        <v>%let est_4_1997=0.238;</v>
      </c>
      <c r="U40" s="655" t="str">
        <f t="shared" si="26"/>
        <v>%let est_5_1997=0.097;</v>
      </c>
      <c r="V40" s="655" t="str">
        <f t="shared" si="27"/>
        <v>%let est_6_1997=0.125;</v>
      </c>
      <c r="W40" s="655" t="str">
        <f t="shared" si="28"/>
        <v>%let est_7_1997=0.075;</v>
      </c>
      <c r="X40" s="655" t="str">
        <f t="shared" si="29"/>
        <v>%let est_8_1997=0.067;</v>
      </c>
    </row>
    <row r="41" spans="1:24" s="252" customFormat="1" ht="11.25" customHeight="1" x14ac:dyDescent="0.3">
      <c r="A41" s="315">
        <f t="shared" si="19"/>
        <v>1998</v>
      </c>
      <c r="B41" s="873">
        <f t="shared" si="22"/>
        <v>0.31069684114199436</v>
      </c>
      <c r="C41" s="873">
        <f t="shared" si="22"/>
        <v>8.7326114893576071E-2</v>
      </c>
      <c r="D41" s="873">
        <f t="shared" si="22"/>
        <v>0.23689422984519376</v>
      </c>
      <c r="E41" s="873">
        <f t="shared" si="22"/>
        <v>9.6897956221704121E-2</v>
      </c>
      <c r="F41" s="873">
        <f t="shared" si="22"/>
        <v>0.12592730000741631</v>
      </c>
      <c r="G41" s="873">
        <f t="shared" si="22"/>
        <v>7.5345442515472538E-2</v>
      </c>
      <c r="H41" s="873">
        <f t="shared" si="22"/>
        <v>6.6912115374642811E-2</v>
      </c>
      <c r="J41" s="872">
        <v>3</v>
      </c>
      <c r="K41" s="872">
        <f>J41*'C0-Ref Stats'!AA44/'C0-Ref Stats'!AA$61</f>
        <v>4.1088245596477169</v>
      </c>
      <c r="L41" s="873">
        <v>0.625</v>
      </c>
      <c r="M41" s="872">
        <f>L41*'C0-Ref Stats'!AA44/'C0-Ref Stats'!AA$61</f>
        <v>0.8560051165932745</v>
      </c>
      <c r="N41" s="891">
        <f t="shared" si="16"/>
        <v>0.36508281411923577</v>
      </c>
      <c r="O41" s="873">
        <f t="shared" si="23"/>
        <v>0</v>
      </c>
      <c r="Q41" s="1011" t="str">
        <f t="shared" si="17"/>
        <v>%let est_1_1998=0.104;</v>
      </c>
      <c r="R41" s="1011" t="str">
        <f t="shared" si="18"/>
        <v>%let est_2_1998=0.207;</v>
      </c>
      <c r="S41" s="655" t="str">
        <f t="shared" si="24"/>
        <v>%let est_3_1998=0.087;</v>
      </c>
      <c r="T41" s="655" t="str">
        <f t="shared" si="25"/>
        <v>%let est_4_1998=0.237;</v>
      </c>
      <c r="U41" s="655" t="str">
        <f t="shared" si="26"/>
        <v>%let est_5_1998=0.097;</v>
      </c>
      <c r="V41" s="655" t="str">
        <f t="shared" si="27"/>
        <v>%let est_6_1998=0.126;</v>
      </c>
      <c r="W41" s="655" t="str">
        <f t="shared" si="28"/>
        <v>%let est_7_1998=0.075;</v>
      </c>
      <c r="X41" s="655" t="str">
        <f t="shared" si="29"/>
        <v>%let est_8_1998=0.067;</v>
      </c>
    </row>
    <row r="42" spans="1:24" s="252" customFormat="1" ht="11.25" customHeight="1" x14ac:dyDescent="0.3">
      <c r="A42" s="315">
        <f t="shared" si="19"/>
        <v>1999</v>
      </c>
      <c r="B42" s="873">
        <f t="shared" si="22"/>
        <v>0.31016402336997789</v>
      </c>
      <c r="C42" s="873">
        <f t="shared" si="22"/>
        <v>8.7036581659287501E-2</v>
      </c>
      <c r="D42" s="873">
        <f t="shared" si="22"/>
        <v>0.23638960793058952</v>
      </c>
      <c r="E42" s="873">
        <f t="shared" si="22"/>
        <v>9.6851001431474515E-2</v>
      </c>
      <c r="F42" s="873">
        <f t="shared" si="22"/>
        <v>0.12636077785019151</v>
      </c>
      <c r="G42" s="873">
        <f t="shared" si="22"/>
        <v>7.5979969389870478E-2</v>
      </c>
      <c r="H42" s="873">
        <f t="shared" si="22"/>
        <v>6.7218038368608526E-2</v>
      </c>
      <c r="J42" s="872">
        <v>3</v>
      </c>
      <c r="K42" s="872">
        <f>J42*'C0-Ref Stats'!AA45/'C0-Ref Stats'!AA$61</f>
        <v>4.0493527308593267</v>
      </c>
      <c r="L42" s="873">
        <v>0.65</v>
      </c>
      <c r="M42" s="872">
        <f>L42*'C0-Ref Stats'!AA45/'C0-Ref Stats'!AA$61</f>
        <v>0.87735975835285418</v>
      </c>
      <c r="N42" s="891">
        <f t="shared" si="16"/>
        <v>0.36640978704014504</v>
      </c>
      <c r="O42" s="873">
        <f t="shared" si="23"/>
        <v>0</v>
      </c>
      <c r="Q42" s="1011" t="str">
        <f t="shared" si="17"/>
        <v>%let est_1_1999=0.104;</v>
      </c>
      <c r="R42" s="1011" t="str">
        <f t="shared" si="18"/>
        <v>%let est_2_1999=0.207;</v>
      </c>
      <c r="S42" s="655" t="str">
        <f t="shared" si="24"/>
        <v>%let est_3_1999=0.087;</v>
      </c>
      <c r="T42" s="655" t="str">
        <f t="shared" si="25"/>
        <v>%let est_4_1999=0.236;</v>
      </c>
      <c r="U42" s="655" t="str">
        <f t="shared" si="26"/>
        <v>%let est_5_1999=0.097;</v>
      </c>
      <c r="V42" s="655" t="str">
        <f t="shared" si="27"/>
        <v>%let est_6_1999=0.126;</v>
      </c>
      <c r="W42" s="655" t="str">
        <f t="shared" si="28"/>
        <v>%let est_7_1999=0.076;</v>
      </c>
      <c r="X42" s="655" t="str">
        <f t="shared" si="29"/>
        <v>%let est_8_1999=0.067;</v>
      </c>
    </row>
    <row r="43" spans="1:24" s="252" customFormat="1" ht="11.25" customHeight="1" x14ac:dyDescent="0.3">
      <c r="A43" s="315">
        <f t="shared" si="19"/>
        <v>2000</v>
      </c>
      <c r="B43" s="873">
        <f t="shared" si="22"/>
        <v>0.30987472446185949</v>
      </c>
      <c r="C43" s="873">
        <f t="shared" si="22"/>
        <v>8.6879376601680908E-2</v>
      </c>
      <c r="D43" s="873">
        <f t="shared" si="22"/>
        <v>0.23611561825424088</v>
      </c>
      <c r="E43" s="873">
        <f t="shared" si="22"/>
        <v>9.6825506843535109E-2</v>
      </c>
      <c r="F43" s="873">
        <f t="shared" si="22"/>
        <v>0.12659613911851741</v>
      </c>
      <c r="G43" s="873">
        <f t="shared" si="22"/>
        <v>7.6324492304788244E-2</v>
      </c>
      <c r="H43" s="873">
        <f t="shared" si="22"/>
        <v>6.7384142415377921E-2</v>
      </c>
      <c r="J43" s="872">
        <v>3</v>
      </c>
      <c r="K43" s="872">
        <f>J43*'C0-Ref Stats'!AA46/'C0-Ref Stats'!AA$61</f>
        <v>3.9509088065823819</v>
      </c>
      <c r="L43" s="873">
        <v>0.67500000000000004</v>
      </c>
      <c r="M43" s="872">
        <f>L43*'C0-Ref Stats'!AA46/'C0-Ref Stats'!AA$61</f>
        <v>0.88895448148103595</v>
      </c>
      <c r="N43" s="891">
        <f t="shared" si="16"/>
        <v>0.3671302806822187</v>
      </c>
      <c r="O43" s="873">
        <f t="shared" si="23"/>
        <v>0</v>
      </c>
      <c r="Q43" s="1011" t="str">
        <f t="shared" si="17"/>
        <v>%let est_1_2000=0.103;</v>
      </c>
      <c r="R43" s="1011" t="str">
        <f t="shared" si="18"/>
        <v>%let est_2_2000=0.207;</v>
      </c>
      <c r="S43" s="655" t="str">
        <f t="shared" si="24"/>
        <v>%let est_3_2000=0.087;</v>
      </c>
      <c r="T43" s="655" t="str">
        <f t="shared" si="25"/>
        <v>%let est_4_2000=0.236;</v>
      </c>
      <c r="U43" s="655" t="str">
        <f t="shared" si="26"/>
        <v>%let est_5_2000=0.097;</v>
      </c>
      <c r="V43" s="655" t="str">
        <f t="shared" si="27"/>
        <v>%let est_6_2000=0.127;</v>
      </c>
      <c r="W43" s="655" t="str">
        <f t="shared" si="28"/>
        <v>%let est_7_2000=0.076;</v>
      </c>
      <c r="X43" s="655" t="str">
        <f t="shared" si="29"/>
        <v>%let est_8_2000=0.067;</v>
      </c>
    </row>
    <row r="44" spans="1:24" s="252" customFormat="1" ht="11.25" customHeight="1" x14ac:dyDescent="0.3">
      <c r="A44" s="315">
        <f t="shared" si="19"/>
        <v>2001</v>
      </c>
      <c r="B44" s="873">
        <f t="shared" si="22"/>
        <v>0.31029484412959024</v>
      </c>
      <c r="C44" s="873">
        <f t="shared" si="22"/>
        <v>8.7107669674049676E-2</v>
      </c>
      <c r="D44" s="873">
        <f t="shared" si="22"/>
        <v>0.23651350586653061</v>
      </c>
      <c r="E44" s="873">
        <f t="shared" si="22"/>
        <v>9.6862530065930583E-2</v>
      </c>
      <c r="F44" s="873">
        <f t="shared" si="22"/>
        <v>0.12625434765276705</v>
      </c>
      <c r="G44" s="873">
        <f t="shared" si="22"/>
        <v>7.5824176373828531E-2</v>
      </c>
      <c r="H44" s="873">
        <f t="shared" si="22"/>
        <v>6.7142926237303252E-2</v>
      </c>
      <c r="J44" s="872">
        <v>3</v>
      </c>
      <c r="K44" s="872">
        <f>J44*'C0-Ref Stats'!AA47/'C0-Ref Stats'!AA$61</f>
        <v>3.876073923716012</v>
      </c>
      <c r="L44" s="873">
        <f>L43</f>
        <v>0.67500000000000004</v>
      </c>
      <c r="M44" s="872">
        <f>L44*'C0-Ref Stats'!AA47/'C0-Ref Stats'!AA$61</f>
        <v>0.87211663283610275</v>
      </c>
      <c r="N44" s="891">
        <f t="shared" si="16"/>
        <v>0.36608398032982947</v>
      </c>
      <c r="O44" s="873">
        <f t="shared" si="23"/>
        <v>0</v>
      </c>
      <c r="Q44" s="1011" t="str">
        <f t="shared" si="17"/>
        <v>%let est_1_2001=0.103;</v>
      </c>
      <c r="R44" s="1011" t="str">
        <f t="shared" si="18"/>
        <v>%let est_2_2001=0.207;</v>
      </c>
      <c r="S44" s="655" t="str">
        <f t="shared" si="24"/>
        <v>%let est_3_2001=0.087;</v>
      </c>
      <c r="T44" s="655" t="str">
        <f t="shared" si="25"/>
        <v>%let est_4_2001=0.237;</v>
      </c>
      <c r="U44" s="655" t="str">
        <f t="shared" si="26"/>
        <v>%let est_5_2001=0.097;</v>
      </c>
      <c r="V44" s="655" t="str">
        <f t="shared" si="27"/>
        <v>%let est_6_2001=0.126;</v>
      </c>
      <c r="W44" s="655" t="str">
        <f t="shared" si="28"/>
        <v>%let est_7_2001=0.076;</v>
      </c>
      <c r="X44" s="655" t="str">
        <f t="shared" si="29"/>
        <v>%let est_8_2001=0.067;</v>
      </c>
    </row>
    <row r="45" spans="1:24" s="252" customFormat="1" ht="11.25" customHeight="1" x14ac:dyDescent="0.3">
      <c r="A45" s="315">
        <f t="shared" si="19"/>
        <v>2002</v>
      </c>
      <c r="B45" s="873">
        <f t="shared" si="22"/>
        <v>0.30024459266158227</v>
      </c>
      <c r="C45" s="873">
        <f t="shared" si="22"/>
        <v>8.1646361951649149E-2</v>
      </c>
      <c r="D45" s="873">
        <f t="shared" si="22"/>
        <v>0.22699509750179747</v>
      </c>
      <c r="E45" s="873">
        <f t="shared" si="22"/>
        <v>9.5976847428789716E-2</v>
      </c>
      <c r="F45" s="873">
        <f t="shared" si="22"/>
        <v>0.13443080413471362</v>
      </c>
      <c r="G45" s="873">
        <f t="shared" si="22"/>
        <v>8.7792911250621164E-2</v>
      </c>
      <c r="H45" s="873">
        <f t="shared" si="22"/>
        <v>7.2913385070846562E-2</v>
      </c>
      <c r="J45" s="872">
        <v>2.5</v>
      </c>
      <c r="K45" s="872">
        <f>J45*'C0-Ref Stats'!AA48/'C0-Ref Stats'!AA$61</f>
        <v>3.1872940272262524</v>
      </c>
      <c r="L45" s="872">
        <v>1</v>
      </c>
      <c r="M45" s="872">
        <f>L45*'C0-Ref Stats'!AA48/'C0-Ref Stats'!AA$61</f>
        <v>1.2749176108905009</v>
      </c>
      <c r="N45" s="891">
        <f t="shared" si="16"/>
        <v>0.39111394788497106</v>
      </c>
      <c r="O45" s="873">
        <f t="shared" si="23"/>
        <v>0</v>
      </c>
      <c r="Q45" s="1011" t="str">
        <f t="shared" si="17"/>
        <v>%let est_1_2002=0.1;</v>
      </c>
      <c r="R45" s="1011" t="str">
        <f t="shared" si="18"/>
        <v>%let est_2_2002=0.2;</v>
      </c>
      <c r="S45" s="655" t="str">
        <f t="shared" si="24"/>
        <v>%let est_3_2002=0.082;</v>
      </c>
      <c r="T45" s="655" t="str">
        <f t="shared" si="25"/>
        <v>%let est_4_2002=0.227;</v>
      </c>
      <c r="U45" s="655" t="str">
        <f t="shared" si="26"/>
        <v>%let est_5_2002=0.096;</v>
      </c>
      <c r="V45" s="655" t="str">
        <f t="shared" si="27"/>
        <v>%let est_6_2002=0.134;</v>
      </c>
      <c r="W45" s="655" t="str">
        <f t="shared" si="28"/>
        <v>%let est_7_2002=0.088;</v>
      </c>
      <c r="X45" s="655" t="str">
        <f t="shared" si="29"/>
        <v>%let est_8_2002=0.073;</v>
      </c>
    </row>
    <row r="46" spans="1:24" s="252" customFormat="1" ht="11.25" customHeight="1" x14ac:dyDescent="0.3">
      <c r="A46" s="315">
        <f t="shared" si="19"/>
        <v>2003</v>
      </c>
      <c r="B46" s="873">
        <f t="shared" si="22"/>
        <v>0.30086175105909824</v>
      </c>
      <c r="C46" s="873">
        <f t="shared" si="22"/>
        <v>8.19817258908528E-2</v>
      </c>
      <c r="D46" s="873">
        <f t="shared" si="22"/>
        <v>0.22757959687198545</v>
      </c>
      <c r="E46" s="873">
        <f t="shared" si="22"/>
        <v>9.603123477210998E-2</v>
      </c>
      <c r="F46" s="873">
        <f t="shared" si="22"/>
        <v>0.13392871035170528</v>
      </c>
      <c r="G46" s="873">
        <f t="shared" si="22"/>
        <v>8.7057944045037486E-2</v>
      </c>
      <c r="H46" s="873">
        <f t="shared" si="22"/>
        <v>7.2559037009210708E-2</v>
      </c>
      <c r="J46" s="872">
        <v>2</v>
      </c>
      <c r="K46" s="872">
        <f>J46*'C0-Ref Stats'!AA49/'C0-Ref Stats'!AA$61</f>
        <v>2.5003654136025211</v>
      </c>
      <c r="L46" s="872">
        <f>L45</f>
        <v>1</v>
      </c>
      <c r="M46" s="872">
        <f>L46*'C0-Ref Stats'!AA49/'C0-Ref Stats'!AA$61</f>
        <v>1.2501827068012605</v>
      </c>
      <c r="N46" s="891">
        <f t="shared" si="16"/>
        <v>0.3895769261780635</v>
      </c>
      <c r="O46" s="873">
        <f t="shared" si="23"/>
        <v>0</v>
      </c>
      <c r="Q46" s="1011" t="str">
        <f t="shared" si="17"/>
        <v>%let est_1_2003=0.1;</v>
      </c>
      <c r="R46" s="1011" t="str">
        <f t="shared" si="18"/>
        <v>%let est_2_2003=0.2;</v>
      </c>
      <c r="S46" s="655" t="str">
        <f t="shared" si="24"/>
        <v>%let est_3_2003=0.082;</v>
      </c>
      <c r="T46" s="655" t="str">
        <f t="shared" si="25"/>
        <v>%let est_4_2003=0.228;</v>
      </c>
      <c r="U46" s="655" t="str">
        <f t="shared" si="26"/>
        <v>%let est_5_2003=0.096;</v>
      </c>
      <c r="V46" s="655" t="str">
        <f t="shared" si="27"/>
        <v>%let est_6_2003=0.134;</v>
      </c>
      <c r="W46" s="655" t="str">
        <f t="shared" si="28"/>
        <v>%let est_7_2003=0.087;</v>
      </c>
      <c r="X46" s="655" t="str">
        <f t="shared" si="29"/>
        <v>%let est_8_2003=0.073;</v>
      </c>
    </row>
    <row r="47" spans="1:24" s="252" customFormat="1" ht="11.25" customHeight="1" x14ac:dyDescent="0.3">
      <c r="A47" s="315">
        <f t="shared" si="19"/>
        <v>2004</v>
      </c>
      <c r="B47" s="873">
        <f t="shared" si="22"/>
        <v>0.28637669866901599</v>
      </c>
      <c r="C47" s="873">
        <f t="shared" si="22"/>
        <v>7.4110546873178723E-2</v>
      </c>
      <c r="D47" s="873">
        <f t="shared" si="22"/>
        <v>0.21386107009957181</v>
      </c>
      <c r="E47" s="873">
        <f t="shared" si="22"/>
        <v>9.475473343870458E-2</v>
      </c>
      <c r="F47" s="873">
        <f t="shared" si="22"/>
        <v>0.14571313195381458</v>
      </c>
      <c r="G47" s="873">
        <f t="shared" si="22"/>
        <v>0.10430803497910129</v>
      </c>
      <c r="H47" s="873">
        <f t="shared" si="22"/>
        <v>8.0875783986612965E-2</v>
      </c>
      <c r="J47" s="872">
        <v>2</v>
      </c>
      <c r="K47" s="872">
        <f>J47*'C0-Ref Stats'!AA50/'C0-Ref Stats'!AA$61</f>
        <v>2.4409662999007833</v>
      </c>
      <c r="L47" s="872">
        <v>1.5</v>
      </c>
      <c r="M47" s="872">
        <f>L47*'C0-Ref Stats'!AA50/'C0-Ref Stats'!AA$61</f>
        <v>1.8307247249255876</v>
      </c>
      <c r="N47" s="891">
        <f t="shared" si="16"/>
        <v>0.42565168435823342</v>
      </c>
      <c r="O47" s="873">
        <f t="shared" si="23"/>
        <v>0</v>
      </c>
      <c r="Q47" s="1011" t="str">
        <f t="shared" si="17"/>
        <v>%let est_1_2004=0.095;</v>
      </c>
      <c r="R47" s="1011" t="str">
        <f t="shared" si="18"/>
        <v>%let est_2_2004=0.191;</v>
      </c>
      <c r="S47" s="655" t="str">
        <f t="shared" si="24"/>
        <v>%let est_3_2004=0.074;</v>
      </c>
      <c r="T47" s="655" t="str">
        <f t="shared" si="25"/>
        <v>%let est_4_2004=0.214;</v>
      </c>
      <c r="U47" s="655" t="str">
        <f t="shared" si="26"/>
        <v>%let est_5_2004=0.095;</v>
      </c>
      <c r="V47" s="655" t="str">
        <f t="shared" si="27"/>
        <v>%let est_6_2004=0.146;</v>
      </c>
      <c r="W47" s="655" t="str">
        <f t="shared" si="28"/>
        <v>%let est_7_2004=0.104;</v>
      </c>
      <c r="X47" s="655" t="str">
        <f t="shared" si="29"/>
        <v>%let est_8_2004=0.081;</v>
      </c>
    </row>
    <row r="48" spans="1:24" s="252" customFormat="1" ht="11.25" customHeight="1" x14ac:dyDescent="0.3">
      <c r="A48" s="315">
        <f t="shared" si="19"/>
        <v>2005</v>
      </c>
      <c r="B48" s="873">
        <f>B$49+(B$58-B$49)*($M48-$M$49)/($M$58-$M$49)</f>
        <v>0.28764315973054588</v>
      </c>
      <c r="C48" s="873">
        <f t="shared" ref="C48:H48" si="30">C$49+(C$58-C$49)*($M48-$M$49)/($M$58-$M$49)</f>
        <v>7.4798741949438211E-2</v>
      </c>
      <c r="D48" s="873">
        <f t="shared" si="30"/>
        <v>0.21506051208369006</v>
      </c>
      <c r="E48" s="873">
        <f t="shared" si="30"/>
        <v>9.4866340852348172E-2</v>
      </c>
      <c r="F48" s="873">
        <f t="shared" si="30"/>
        <v>0.14468279318183047</v>
      </c>
      <c r="G48" s="873">
        <f t="shared" si="30"/>
        <v>0.1027998203114899</v>
      </c>
      <c r="H48" s="873">
        <f t="shared" si="30"/>
        <v>8.0148631890657268E-2</v>
      </c>
      <c r="J48" s="872">
        <v>2</v>
      </c>
      <c r="K48" s="872">
        <f>J48*'C0-Ref Stats'!AA51/'C0-Ref Stats'!AA$61</f>
        <v>2.3732888219290924</v>
      </c>
      <c r="L48" s="872">
        <v>1.5</v>
      </c>
      <c r="M48" s="872">
        <f>L48*'C0-Ref Stats'!AA51/'C0-Ref Stats'!AA$61</f>
        <v>1.7799666164468193</v>
      </c>
      <c r="N48" s="891">
        <f t="shared" si="16"/>
        <v>0.42249758623632583</v>
      </c>
      <c r="O48" s="873">
        <f t="shared" si="23"/>
        <v>0</v>
      </c>
      <c r="Q48" s="1011" t="str">
        <f t="shared" si="17"/>
        <v>%let est_1_2005=0.096;</v>
      </c>
      <c r="R48" s="1011" t="str">
        <f t="shared" si="18"/>
        <v>%let est_2_2005=0.191;</v>
      </c>
      <c r="S48" s="655" t="str">
        <f t="shared" si="24"/>
        <v>%let est_3_2005=0.075;</v>
      </c>
      <c r="T48" s="655" t="str">
        <f t="shared" si="25"/>
        <v>%let est_4_2005=0.215;</v>
      </c>
      <c r="U48" s="655" t="str">
        <f t="shared" si="26"/>
        <v>%let est_5_2005=0.095;</v>
      </c>
      <c r="V48" s="655" t="str">
        <f t="shared" si="27"/>
        <v>%let est_6_2005=0.145;</v>
      </c>
      <c r="W48" s="655" t="str">
        <f t="shared" si="28"/>
        <v>%let est_7_2005=0.103;</v>
      </c>
      <c r="X48" s="655" t="str">
        <f t="shared" si="29"/>
        <v>%let est_8_2005=0.08;</v>
      </c>
    </row>
    <row r="49" spans="1:28" s="252" customFormat="1" ht="11.25" customHeight="1" x14ac:dyDescent="0.3">
      <c r="A49" s="315">
        <f t="shared" si="19"/>
        <v>2006</v>
      </c>
      <c r="B49" s="874">
        <f t="shared" ref="B49:H49" si="31">K74</f>
        <v>0.27438199299714267</v>
      </c>
      <c r="C49" s="874">
        <f t="shared" si="31"/>
        <v>6.7592622528475019E-2</v>
      </c>
      <c r="D49" s="874">
        <f t="shared" si="31"/>
        <v>0.20250110491232254</v>
      </c>
      <c r="E49" s="874">
        <f t="shared" si="31"/>
        <v>9.3697694957129249E-2</v>
      </c>
      <c r="F49" s="874">
        <f t="shared" si="31"/>
        <v>0.15547151354774991</v>
      </c>
      <c r="G49" s="874">
        <f t="shared" si="31"/>
        <v>0.11859239916330094</v>
      </c>
      <c r="H49" s="874">
        <f t="shared" si="31"/>
        <v>8.7762671893879679E-2</v>
      </c>
      <c r="J49" s="884">
        <v>2</v>
      </c>
      <c r="K49" s="872">
        <f>J49*'C0-Ref Stats'!AA52/'C0-Ref Stats'!AA$61</f>
        <v>2.3114568928205723</v>
      </c>
      <c r="L49" s="884">
        <f>J49</f>
        <v>2</v>
      </c>
      <c r="M49" s="872">
        <f>L49*'C0-Ref Stats'!AA52/'C0-Ref Stats'!AA$61</f>
        <v>2.3114568928205723</v>
      </c>
      <c r="N49" s="891">
        <f t="shared" si="16"/>
        <v>0.45552427956205976</v>
      </c>
      <c r="O49" s="873">
        <f t="shared" si="23"/>
        <v>0</v>
      </c>
      <c r="Q49" s="1011" t="str">
        <f t="shared" si="17"/>
        <v>%let est_1_2006=0.091;</v>
      </c>
      <c r="R49" s="1011" t="str">
        <f t="shared" si="18"/>
        <v>%let est_2_2006=0.182;</v>
      </c>
      <c r="S49" s="655" t="str">
        <f t="shared" si="24"/>
        <v>%let est_3_2006=0.068;</v>
      </c>
      <c r="T49" s="655" t="str">
        <f t="shared" si="25"/>
        <v>%let est_4_2006=0.203;</v>
      </c>
      <c r="U49" s="655" t="str">
        <f t="shared" si="26"/>
        <v>%let est_5_2006=0.094;</v>
      </c>
      <c r="V49" s="655" t="str">
        <f t="shared" si="27"/>
        <v>%let est_6_2006=0.155;</v>
      </c>
      <c r="W49" s="655" t="str">
        <f t="shared" si="28"/>
        <v>%let est_7_2006=0.119;</v>
      </c>
      <c r="X49" s="655" t="str">
        <f t="shared" si="29"/>
        <v>%let est_8_2006=0.088;</v>
      </c>
    </row>
    <row r="50" spans="1:28" s="252" customFormat="1" ht="11.25" customHeight="1" x14ac:dyDescent="0.3">
      <c r="A50" s="315">
        <f t="shared" si="19"/>
        <v>2007</v>
      </c>
      <c r="B50" s="873">
        <f t="shared" ref="B50:G57" si="32">B$49+(B$58-B$49)*($K50-$K$49)/($K$58-$K$49)</f>
        <v>0.27579083792474685</v>
      </c>
      <c r="C50" s="873">
        <f t="shared" si="32"/>
        <v>6.8358189012784551E-2</v>
      </c>
      <c r="D50" s="873">
        <f t="shared" si="32"/>
        <v>0.2038353960378935</v>
      </c>
      <c r="E50" s="873">
        <f t="shared" si="32"/>
        <v>9.3821850008848601E-2</v>
      </c>
      <c r="F50" s="873">
        <f>F$49+(F$58-F$49)*($K50-$K$49)/($K$58-$K$49)</f>
        <v>0.15432533732747966</v>
      </c>
      <c r="G50" s="873">
        <f t="shared" si="32"/>
        <v>0.11691462110225598</v>
      </c>
      <c r="H50" s="873">
        <f>H$49+(H$58-H$49)*($K50-$K$49)/($K$58-$K$49)</f>
        <v>8.695376858599084E-2</v>
      </c>
      <c r="J50" s="884">
        <v>2</v>
      </c>
      <c r="K50" s="872">
        <f>J50*'C0-Ref Stats'!AA53/'C0-Ref Stats'!AA$61</f>
        <v>2.25499222459089</v>
      </c>
      <c r="L50" s="884">
        <f t="shared" ref="L50:L58" si="33">J50</f>
        <v>2</v>
      </c>
      <c r="M50" s="872">
        <f>L50*'C0-Ref Stats'!AA53/'C0-Ref Stats'!AA$61</f>
        <v>2.25499222459089</v>
      </c>
      <c r="N50" s="891">
        <f t="shared" si="16"/>
        <v>0.45201557702457512</v>
      </c>
      <c r="O50" s="873">
        <f t="shared" si="23"/>
        <v>0</v>
      </c>
      <c r="Q50" s="1011" t="str">
        <f t="shared" si="17"/>
        <v>%let est_1_2007=0.092;</v>
      </c>
      <c r="R50" s="1011" t="str">
        <f t="shared" si="18"/>
        <v>%let est_2_2007=0.184;</v>
      </c>
      <c r="S50" s="655" t="str">
        <f t="shared" si="24"/>
        <v>%let est_3_2007=0.068;</v>
      </c>
      <c r="T50" s="655" t="str">
        <f t="shared" si="25"/>
        <v>%let est_4_2007=0.204;</v>
      </c>
      <c r="U50" s="655" t="str">
        <f t="shared" si="26"/>
        <v>%let est_5_2007=0.094;</v>
      </c>
      <c r="V50" s="655" t="str">
        <f t="shared" si="27"/>
        <v>%let est_6_2007=0.154;</v>
      </c>
      <c r="W50" s="655" t="str">
        <f t="shared" si="28"/>
        <v>%let est_7_2007=0.117;</v>
      </c>
      <c r="X50" s="655" t="str">
        <f t="shared" si="29"/>
        <v>%let est_8_2007=0.087;</v>
      </c>
    </row>
    <row r="51" spans="1:28" s="252" customFormat="1" ht="11.25" customHeight="1" x14ac:dyDescent="0.3">
      <c r="A51" s="315">
        <f t="shared" si="19"/>
        <v>2008</v>
      </c>
      <c r="B51" s="873">
        <f t="shared" si="32"/>
        <v>0.277457422892746</v>
      </c>
      <c r="C51" s="873">
        <f t="shared" si="32"/>
        <v>6.9263811462605143E-2</v>
      </c>
      <c r="D51" s="873">
        <f t="shared" si="32"/>
        <v>0.20541378801648605</v>
      </c>
      <c r="E51" s="873">
        <f t="shared" si="32"/>
        <v>9.3968718510017493E-2</v>
      </c>
      <c r="F51" s="873">
        <f t="shared" si="32"/>
        <v>0.15296947478934436</v>
      </c>
      <c r="G51" s="873">
        <f t="shared" si="32"/>
        <v>0.11492990323772047</v>
      </c>
      <c r="H51" s="873">
        <f t="shared" ref="H51:H57" si="34">H$49+(H$58-H$49)*($K51-$K$49)/($K$58-$K$49)</f>
        <v>8.5996881091080488E-2</v>
      </c>
      <c r="J51" s="884">
        <v>2</v>
      </c>
      <c r="K51" s="872">
        <f>J51*'C0-Ref Stats'!AA54/'C0-Ref Stats'!AA$61</f>
        <v>2.1881976715135161</v>
      </c>
      <c r="L51" s="884">
        <f t="shared" si="33"/>
        <v>2</v>
      </c>
      <c r="M51" s="872">
        <f>L51*'C0-Ref Stats'!AA54/'C0-Ref Stats'!AA$61</f>
        <v>2.1881976715135161</v>
      </c>
      <c r="N51" s="891">
        <f t="shared" si="16"/>
        <v>0.4478649776281628</v>
      </c>
      <c r="O51" s="873">
        <f t="shared" si="23"/>
        <v>0</v>
      </c>
      <c r="Q51" s="1011" t="str">
        <f t="shared" si="17"/>
        <v>%let est_1_2008=0.093;</v>
      </c>
      <c r="R51" s="1011" t="str">
        <f t="shared" si="18"/>
        <v>%let est_2_2008=0.185;</v>
      </c>
      <c r="S51" s="655" t="str">
        <f t="shared" si="24"/>
        <v>%let est_3_2008=0.069;</v>
      </c>
      <c r="T51" s="655" t="str">
        <f t="shared" si="25"/>
        <v>%let est_4_2008=0.205;</v>
      </c>
      <c r="U51" s="655" t="str">
        <f t="shared" si="26"/>
        <v>%let est_5_2008=0.094;</v>
      </c>
      <c r="V51" s="655" t="str">
        <f t="shared" si="27"/>
        <v>%let est_6_2008=0.153;</v>
      </c>
      <c r="W51" s="655" t="str">
        <f t="shared" si="28"/>
        <v>%let est_7_2008=0.115;</v>
      </c>
      <c r="X51" s="655" t="str">
        <f t="shared" si="29"/>
        <v>%let est_8_2008=0.086;</v>
      </c>
    </row>
    <row r="52" spans="1:28" s="252" customFormat="1" ht="11.25" customHeight="1" x14ac:dyDescent="0.3">
      <c r="A52" s="315">
        <f t="shared" si="19"/>
        <v>2009</v>
      </c>
      <c r="B52" s="873">
        <f t="shared" si="32"/>
        <v>0.23644717372879515</v>
      </c>
      <c r="C52" s="873">
        <f t="shared" si="32"/>
        <v>4.6978837681640948E-2</v>
      </c>
      <c r="D52" s="873">
        <f t="shared" si="32"/>
        <v>0.16657373511586832</v>
      </c>
      <c r="E52" s="873">
        <f t="shared" si="32"/>
        <v>9.0354673056035284E-2</v>
      </c>
      <c r="F52" s="873">
        <f t="shared" si="32"/>
        <v>0.1863336665879495</v>
      </c>
      <c r="G52" s="873">
        <f t="shared" si="32"/>
        <v>0.16376856175656274</v>
      </c>
      <c r="H52" s="873">
        <f t="shared" si="34"/>
        <v>0.10954335207314816</v>
      </c>
      <c r="J52" s="884">
        <v>3.5</v>
      </c>
      <c r="K52" s="872">
        <f>J52*'C0-Ref Stats'!AA55/'C0-Ref Stats'!AA$61</f>
        <v>3.8318349999999994</v>
      </c>
      <c r="L52" s="884">
        <f t="shared" si="33"/>
        <v>3.5</v>
      </c>
      <c r="M52" s="872">
        <f>L52*'C0-Ref Stats'!AA55/'C0-Ref Stats'!AA$61</f>
        <v>3.8318349999999994</v>
      </c>
      <c r="N52" s="891">
        <f t="shared" si="16"/>
        <v>0.55000025347369563</v>
      </c>
      <c r="O52" s="873">
        <f t="shared" si="23"/>
        <v>0</v>
      </c>
      <c r="Q52" s="1011" t="str">
        <f t="shared" si="17"/>
        <v>%let est_1_2009=0.079;</v>
      </c>
      <c r="R52" s="1011" t="str">
        <f t="shared" si="18"/>
        <v>%let est_2_2009=0.157;</v>
      </c>
      <c r="S52" s="655" t="str">
        <f t="shared" si="24"/>
        <v>%let est_3_2009=0.047;</v>
      </c>
      <c r="T52" s="655" t="str">
        <f t="shared" si="25"/>
        <v>%let est_4_2009=0.167;</v>
      </c>
      <c r="U52" s="655" t="str">
        <f t="shared" si="26"/>
        <v>%let est_5_2009=0.09;</v>
      </c>
      <c r="V52" s="655" t="str">
        <f t="shared" si="27"/>
        <v>%let est_6_2009=0.186;</v>
      </c>
      <c r="W52" s="655" t="str">
        <f t="shared" si="28"/>
        <v>%let est_7_2009=0.164;</v>
      </c>
      <c r="X52" s="655" t="str">
        <f t="shared" si="29"/>
        <v>%let est_8_2009=0.11;</v>
      </c>
    </row>
    <row r="53" spans="1:28" s="252" customFormat="1" ht="11.25" customHeight="1" x14ac:dyDescent="0.3">
      <c r="A53" s="315">
        <f t="shared" si="19"/>
        <v>2010</v>
      </c>
      <c r="B53" s="873">
        <f t="shared" si="32"/>
        <v>0.19769340920724529</v>
      </c>
      <c r="C53" s="873">
        <f t="shared" si="32"/>
        <v>2.5920037896645966E-2</v>
      </c>
      <c r="D53" s="873">
        <f t="shared" si="32"/>
        <v>0.12987075732859388</v>
      </c>
      <c r="E53" s="873">
        <f t="shared" si="32"/>
        <v>8.6939481260104437E-2</v>
      </c>
      <c r="F53" s="873">
        <f t="shared" si="32"/>
        <v>0.21786207860139173</v>
      </c>
      <c r="G53" s="873">
        <f t="shared" si="32"/>
        <v>0.20991999732139022</v>
      </c>
      <c r="H53" s="873">
        <f t="shared" si="34"/>
        <v>0.13179423838462861</v>
      </c>
      <c r="J53" s="884">
        <v>5</v>
      </c>
      <c r="K53" s="872">
        <f>J53*'C0-Ref Stats'!AA56/'C0-Ref Stats'!AA$61</f>
        <v>5.3850353654097756</v>
      </c>
      <c r="L53" s="884">
        <f t="shared" si="33"/>
        <v>5</v>
      </c>
      <c r="M53" s="872">
        <f>L53*'C0-Ref Stats'!AA56/'C0-Ref Stats'!AA$61</f>
        <v>5.3850353654097756</v>
      </c>
      <c r="N53" s="891">
        <f t="shared" si="16"/>
        <v>0.64651579556751493</v>
      </c>
      <c r="O53" s="873">
        <f t="shared" si="23"/>
        <v>0</v>
      </c>
      <c r="Q53" s="1011" t="str">
        <f t="shared" si="17"/>
        <v>%let est_1_2010=0.066;</v>
      </c>
      <c r="R53" s="1011" t="str">
        <f t="shared" si="18"/>
        <v>%let est_2_2010=0.131;</v>
      </c>
      <c r="S53" s="655" t="str">
        <f t="shared" si="24"/>
        <v>%let est_3_2010=0.026;</v>
      </c>
      <c r="T53" s="655" t="str">
        <f t="shared" si="25"/>
        <v>%let est_4_2010=0.13;</v>
      </c>
      <c r="U53" s="655" t="str">
        <f t="shared" si="26"/>
        <v>%let est_5_2010=0.087;</v>
      </c>
      <c r="V53" s="655" t="str">
        <f t="shared" si="27"/>
        <v>%let est_6_2010=0.218;</v>
      </c>
      <c r="W53" s="655" t="str">
        <f t="shared" si="28"/>
        <v>%let est_7_2010=0.21;</v>
      </c>
      <c r="X53" s="655" t="str">
        <f t="shared" si="29"/>
        <v>%let est_8_2010=0.132;</v>
      </c>
    </row>
    <row r="54" spans="1:28" s="252" customFormat="1" ht="11.25" customHeight="1" x14ac:dyDescent="0.3">
      <c r="A54" s="315">
        <f t="shared" si="19"/>
        <v>2011</v>
      </c>
      <c r="B54" s="873">
        <f t="shared" si="32"/>
        <v>0.20091347279866067</v>
      </c>
      <c r="C54" s="873">
        <f t="shared" si="32"/>
        <v>2.7669820796546209E-2</v>
      </c>
      <c r="D54" s="873">
        <f t="shared" si="32"/>
        <v>0.13292042034658558</v>
      </c>
      <c r="E54" s="873">
        <f t="shared" si="32"/>
        <v>8.7223250718260231E-2</v>
      </c>
      <c r="F54" s="873">
        <f t="shared" si="32"/>
        <v>0.21524237202906185</v>
      </c>
      <c r="G54" s="873">
        <f t="shared" si="32"/>
        <v>0.20608525870467553</v>
      </c>
      <c r="H54" s="873">
        <f t="shared" si="34"/>
        <v>0.12994540460621001</v>
      </c>
      <c r="J54" s="884">
        <v>5</v>
      </c>
      <c r="K54" s="872">
        <f>J54*'C0-Ref Stats'!AA57/'C0-Ref Stats'!AA$61</f>
        <v>5.2559794141086327</v>
      </c>
      <c r="L54" s="884">
        <f t="shared" si="33"/>
        <v>5</v>
      </c>
      <c r="M54" s="872">
        <f>L54*'C0-Ref Stats'!AA57/'C0-Ref Stats'!AA$61</f>
        <v>5.2559794141086327</v>
      </c>
      <c r="N54" s="891">
        <f t="shared" si="16"/>
        <v>0.63849628605820774</v>
      </c>
      <c r="O54" s="873">
        <f t="shared" si="23"/>
        <v>0</v>
      </c>
      <c r="Q54" s="1011" t="str">
        <f t="shared" si="17"/>
        <v>%let est_1_2011=0.067;</v>
      </c>
      <c r="R54" s="1011" t="str">
        <f t="shared" si="18"/>
        <v>%let est_2_2011=0.134;</v>
      </c>
      <c r="S54" s="655" t="str">
        <f t="shared" si="24"/>
        <v>%let est_3_2011=0.028;</v>
      </c>
      <c r="T54" s="655" t="str">
        <f t="shared" si="25"/>
        <v>%let est_4_2011=0.133;</v>
      </c>
      <c r="U54" s="655" t="str">
        <f t="shared" si="26"/>
        <v>%let est_5_2011=0.087;</v>
      </c>
      <c r="V54" s="655" t="str">
        <f t="shared" si="27"/>
        <v>%let est_6_2011=0.215;</v>
      </c>
      <c r="W54" s="655" t="str">
        <f t="shared" si="28"/>
        <v>%let est_7_2011=0.206;</v>
      </c>
      <c r="X54" s="655" t="str">
        <f t="shared" si="29"/>
        <v>%let est_8_2011=0.13;</v>
      </c>
    </row>
    <row r="55" spans="1:28" s="252" customFormat="1" ht="11.25" customHeight="1" x14ac:dyDescent="0.3">
      <c r="A55" s="315">
        <f t="shared" si="19"/>
        <v>2012</v>
      </c>
      <c r="B55" s="873">
        <f t="shared" si="32"/>
        <v>0.20026150857502495</v>
      </c>
      <c r="C55" s="873">
        <f t="shared" si="32"/>
        <v>2.7315543367707251E-2</v>
      </c>
      <c r="D55" s="873">
        <f t="shared" si="32"/>
        <v>0.1323029570184773</v>
      </c>
      <c r="E55" s="873">
        <f t="shared" si="32"/>
        <v>8.7165796096875942E-2</v>
      </c>
      <c r="F55" s="873">
        <f t="shared" si="32"/>
        <v>0.21577278234957104</v>
      </c>
      <c r="G55" s="873">
        <f t="shared" si="32"/>
        <v>0.20686167578903303</v>
      </c>
      <c r="H55" s="873">
        <f t="shared" si="34"/>
        <v>0.13031973680331063</v>
      </c>
      <c r="J55" s="315">
        <v>5.12</v>
      </c>
      <c r="K55" s="872">
        <f>J55*'C0-Ref Stats'!AA58/'C0-Ref Stats'!AA$61</f>
        <v>5.2821092903383873</v>
      </c>
      <c r="L55" s="884">
        <f t="shared" si="33"/>
        <v>5.12</v>
      </c>
      <c r="M55" s="872">
        <f>L55*'C0-Ref Stats'!AA58/'C0-Ref Stats'!AA$61</f>
        <v>5.2821092903383873</v>
      </c>
      <c r="N55" s="891">
        <f t="shared" si="16"/>
        <v>0.64011999103879069</v>
      </c>
      <c r="O55" s="873">
        <f t="shared" si="23"/>
        <v>0</v>
      </c>
      <c r="Q55" s="1011" t="str">
        <f t="shared" si="17"/>
        <v>%let est_1_2012=0.067;</v>
      </c>
      <c r="R55" s="1011" t="str">
        <f t="shared" si="18"/>
        <v>%let est_2_2012=0.134;</v>
      </c>
      <c r="S55" s="655" t="str">
        <f t="shared" si="24"/>
        <v>%let est_3_2012=0.027;</v>
      </c>
      <c r="T55" s="655" t="str">
        <f t="shared" si="25"/>
        <v>%let est_4_2012=0.132;</v>
      </c>
      <c r="U55" s="655" t="str">
        <f t="shared" si="26"/>
        <v>%let est_5_2012=0.087;</v>
      </c>
      <c r="V55" s="655" t="str">
        <f t="shared" si="27"/>
        <v>%let est_6_2012=0.216;</v>
      </c>
      <c r="W55" s="655" t="str">
        <f t="shared" si="28"/>
        <v>%let est_7_2012=0.207;</v>
      </c>
      <c r="X55" s="655" t="str">
        <f t="shared" si="29"/>
        <v>%let est_8_2012=0.13;</v>
      </c>
    </row>
    <row r="56" spans="1:28" s="252" customFormat="1" ht="11.25" customHeight="1" x14ac:dyDescent="0.3">
      <c r="A56" s="315">
        <f t="shared" si="19"/>
        <v>2013</v>
      </c>
      <c r="B56" s="873">
        <f t="shared" si="32"/>
        <v>0.19868845079584549</v>
      </c>
      <c r="C56" s="873">
        <f t="shared" si="32"/>
        <v>2.646074360229226E-2</v>
      </c>
      <c r="D56" s="873">
        <f t="shared" si="32"/>
        <v>0.13081314292066967</v>
      </c>
      <c r="E56" s="873">
        <f t="shared" si="32"/>
        <v>8.7027169718553621E-2</v>
      </c>
      <c r="F56" s="873">
        <f t="shared" si="32"/>
        <v>0.21705255515087762</v>
      </c>
      <c r="G56" s="873">
        <f t="shared" si="32"/>
        <v>0.20873501314430287</v>
      </c>
      <c r="H56" s="873">
        <f t="shared" si="34"/>
        <v>0.13122292466745861</v>
      </c>
      <c r="J56" s="315">
        <v>5.25</v>
      </c>
      <c r="K56" s="872">
        <f>J56*'C0-Ref Stats'!AA59/'C0-Ref Stats'!AA$61</f>
        <v>5.345155395603169</v>
      </c>
      <c r="L56" s="884">
        <f t="shared" si="33"/>
        <v>5.25</v>
      </c>
      <c r="M56" s="872">
        <f>L56*'C0-Ref Stats'!AA59/'C0-Ref Stats'!AA$61</f>
        <v>5.345155395603169</v>
      </c>
      <c r="N56" s="891">
        <f t="shared" si="16"/>
        <v>0.64403766268119278</v>
      </c>
      <c r="O56" s="873">
        <f t="shared" si="23"/>
        <v>0</v>
      </c>
      <c r="Q56" s="1011" t="str">
        <f t="shared" si="17"/>
        <v>%let est_1_2013=0.066;</v>
      </c>
      <c r="R56" s="1011" t="str">
        <f t="shared" si="18"/>
        <v>%let est_2_2013=0.133;</v>
      </c>
      <c r="S56" s="655" t="str">
        <f t="shared" si="24"/>
        <v>%let est_3_2013=0.026;</v>
      </c>
      <c r="T56" s="655" t="str">
        <f t="shared" si="25"/>
        <v>%let est_4_2013=0.131;</v>
      </c>
      <c r="U56" s="655" t="str">
        <f t="shared" si="26"/>
        <v>%let est_5_2013=0.087;</v>
      </c>
      <c r="V56" s="655" t="str">
        <f t="shared" si="27"/>
        <v>%let est_6_2013=0.217;</v>
      </c>
      <c r="W56" s="655" t="str">
        <f t="shared" si="28"/>
        <v>%let est_7_2013=0.209;</v>
      </c>
      <c r="X56" s="655" t="str">
        <f t="shared" si="29"/>
        <v>%let est_8_2013=0.131;</v>
      </c>
    </row>
    <row r="57" spans="1:28" s="252" customFormat="1" ht="11.25" customHeight="1" x14ac:dyDescent="0.3">
      <c r="A57" s="315">
        <f t="shared" si="19"/>
        <v>2014</v>
      </c>
      <c r="B57" s="873">
        <f t="shared" si="32"/>
        <v>0.19842160574447659</v>
      </c>
      <c r="C57" s="873">
        <f t="shared" si="32"/>
        <v>2.6315739972844338E-2</v>
      </c>
      <c r="D57" s="873">
        <f t="shared" si="32"/>
        <v>0.13056041887917452</v>
      </c>
      <c r="E57" s="873">
        <f t="shared" si="32"/>
        <v>8.7003653886182988E-2</v>
      </c>
      <c r="F57" s="873">
        <f t="shared" si="32"/>
        <v>0.21726964891782324</v>
      </c>
      <c r="G57" s="873">
        <f t="shared" si="32"/>
        <v>0.20905279600607354</v>
      </c>
      <c r="H57" s="873">
        <f t="shared" si="34"/>
        <v>0.1313761365934249</v>
      </c>
      <c r="J57" s="315">
        <v>5.34</v>
      </c>
      <c r="K57" s="872">
        <f>J57*'C0-Ref Stats'!AA60/'C0-Ref Stats'!AA$61</f>
        <v>5.3558501974220611</v>
      </c>
      <c r="L57" s="884">
        <f t="shared" si="33"/>
        <v>5.34</v>
      </c>
      <c r="M57" s="872">
        <f>L57*'C0-Ref Stats'!AA60/'C0-Ref Stats'!AA$61</f>
        <v>5.3558501974220611</v>
      </c>
      <c r="N57" s="891">
        <f t="shared" si="16"/>
        <v>0.64470223540350458</v>
      </c>
      <c r="O57" s="873">
        <f t="shared" si="23"/>
        <v>0</v>
      </c>
      <c r="Q57" s="1011" t="str">
        <f t="shared" si="17"/>
        <v>%let est_1_2014=0.066;</v>
      </c>
      <c r="R57" s="1011" t="str">
        <f t="shared" si="18"/>
        <v>%let est_2_2014=0.133;</v>
      </c>
      <c r="S57" s="655" t="str">
        <f t="shared" si="24"/>
        <v>%let est_3_2014=0.026;</v>
      </c>
      <c r="T57" s="655" t="str">
        <f t="shared" si="25"/>
        <v>%let est_4_2014=0.131;</v>
      </c>
      <c r="U57" s="655" t="str">
        <f t="shared" si="26"/>
        <v>%let est_5_2014=0.087;</v>
      </c>
      <c r="V57" s="655" t="str">
        <f t="shared" si="27"/>
        <v>%let est_6_2014=0.217;</v>
      </c>
      <c r="W57" s="655" t="str">
        <f t="shared" si="28"/>
        <v>%let est_7_2014=0.209;</v>
      </c>
      <c r="X57" s="655" t="str">
        <f t="shared" si="29"/>
        <v>%let est_8_2014=0.131;</v>
      </c>
    </row>
    <row r="58" spans="1:28" s="252" customFormat="1" ht="11.25" customHeight="1" x14ac:dyDescent="0.3">
      <c r="A58" s="315">
        <f t="shared" si="19"/>
        <v>2015</v>
      </c>
      <c r="B58" s="874">
        <f t="shared" ref="B58:H58" si="35">K88</f>
        <v>0.19657150059872694</v>
      </c>
      <c r="C58" s="874">
        <f t="shared" si="35"/>
        <v>2.531039263881011E-2</v>
      </c>
      <c r="D58" s="874">
        <f t="shared" si="35"/>
        <v>0.12880821831474132</v>
      </c>
      <c r="E58" s="874">
        <f t="shared" si="35"/>
        <v>8.6840612592172434E-2</v>
      </c>
      <c r="F58" s="874">
        <f t="shared" si="35"/>
        <v>0.21877481565513332</v>
      </c>
      <c r="G58" s="874">
        <f t="shared" si="35"/>
        <v>0.2112560660490326</v>
      </c>
      <c r="H58" s="874">
        <f t="shared" si="35"/>
        <v>0.13243839415138339</v>
      </c>
      <c r="J58" s="315">
        <v>5.43</v>
      </c>
      <c r="K58" s="872">
        <f>J58*'C0-Ref Stats'!AA61/'C0-Ref Stats'!AA$61</f>
        <v>5.43</v>
      </c>
      <c r="L58" s="884">
        <f t="shared" si="33"/>
        <v>5.43</v>
      </c>
      <c r="M58" s="872">
        <f>L58*'C0-Ref Stats'!AA61/'C0-Ref Stats'!AA$61</f>
        <v>5.43</v>
      </c>
      <c r="N58" s="891">
        <f t="shared" si="16"/>
        <v>0.64930988844772175</v>
      </c>
      <c r="O58" s="873">
        <f t="shared" si="23"/>
        <v>0</v>
      </c>
      <c r="Q58" s="1011" t="str">
        <f t="shared" si="17"/>
        <v>%let est_1_2015=0.066;</v>
      </c>
      <c r="R58" s="1011" t="str">
        <f t="shared" si="18"/>
        <v>%let est_2_2015=0.131;</v>
      </c>
      <c r="S58" s="655" t="str">
        <f t="shared" si="24"/>
        <v>%let est_3_2015=0.025;</v>
      </c>
      <c r="T58" s="655" t="str">
        <f t="shared" si="25"/>
        <v>%let est_4_2015=0.129;</v>
      </c>
      <c r="U58" s="655" t="str">
        <f t="shared" si="26"/>
        <v>%let est_5_2015=0.087;</v>
      </c>
      <c r="V58" s="655" t="str">
        <f t="shared" si="27"/>
        <v>%let est_6_2015=0.219;</v>
      </c>
      <c r="W58" s="655" t="str">
        <f t="shared" si="28"/>
        <v>%let est_7_2015=0.211;</v>
      </c>
      <c r="X58" s="655" t="str">
        <f t="shared" si="29"/>
        <v>%let est_8_2015=0.132;</v>
      </c>
    </row>
    <row r="59" spans="1:28" x14ac:dyDescent="0.3">
      <c r="A59" s="170"/>
      <c r="B59" s="991"/>
      <c r="C59" s="991"/>
      <c r="D59" s="991"/>
      <c r="E59" s="991"/>
      <c r="F59" s="991"/>
      <c r="G59" s="991"/>
      <c r="H59" s="991"/>
      <c r="I59" s="991"/>
      <c r="J59" s="883" t="s">
        <v>1345</v>
      </c>
    </row>
    <row r="60" spans="1:28" x14ac:dyDescent="0.3">
      <c r="B60" s="879"/>
      <c r="C60" s="991"/>
      <c r="D60" s="991"/>
      <c r="E60" s="991"/>
      <c r="F60" s="991"/>
      <c r="G60" s="991"/>
      <c r="H60" s="991"/>
      <c r="I60" s="879"/>
      <c r="J60" s="655" t="s">
        <v>1333</v>
      </c>
      <c r="U60" s="879"/>
      <c r="V60" s="879"/>
      <c r="W60" s="879"/>
      <c r="X60" s="879"/>
      <c r="Y60" s="879"/>
      <c r="Z60" s="879"/>
      <c r="AA60" s="879"/>
      <c r="AB60" s="879"/>
    </row>
    <row r="61" spans="1:28" x14ac:dyDescent="0.3">
      <c r="C61" s="879"/>
      <c r="D61" s="879"/>
      <c r="E61" s="879"/>
      <c r="F61" s="879"/>
      <c r="G61" s="879"/>
      <c r="H61" s="879"/>
      <c r="U61" s="879"/>
      <c r="V61" s="879"/>
      <c r="W61" s="879"/>
      <c r="X61" s="879"/>
      <c r="Y61" s="879"/>
      <c r="Z61" s="879"/>
      <c r="AA61" s="879"/>
      <c r="AB61" s="879"/>
    </row>
    <row r="62" spans="1:28" x14ac:dyDescent="0.3">
      <c r="A62" s="738" t="s">
        <v>1341</v>
      </c>
      <c r="B62" s="655"/>
      <c r="D62" s="655"/>
      <c r="E62" s="655"/>
      <c r="F62" s="655"/>
      <c r="G62" s="655"/>
      <c r="H62" s="655"/>
      <c r="I62" s="655"/>
      <c r="J62" s="655"/>
      <c r="K62" s="75" t="s">
        <v>1329</v>
      </c>
      <c r="L62" s="75"/>
      <c r="M62" s="655"/>
      <c r="N62" s="655"/>
      <c r="O62" s="655"/>
      <c r="P62" s="655"/>
      <c r="Q62" s="655"/>
      <c r="R62" s="655"/>
      <c r="S62" s="12"/>
      <c r="T62" s="12"/>
      <c r="U62" s="12"/>
    </row>
    <row r="63" spans="1:28" x14ac:dyDescent="0.3">
      <c r="A63" s="853"/>
      <c r="B63" s="288" t="s">
        <v>1330</v>
      </c>
      <c r="C63" s="288" t="s">
        <v>1331</v>
      </c>
      <c r="D63" s="288" t="s">
        <v>20</v>
      </c>
      <c r="E63" s="288" t="s">
        <v>21</v>
      </c>
      <c r="F63" s="288" t="s">
        <v>225</v>
      </c>
      <c r="G63" s="288" t="s">
        <v>22</v>
      </c>
      <c r="H63" s="288" t="s">
        <v>23</v>
      </c>
      <c r="I63" s="288" t="s">
        <v>246</v>
      </c>
      <c r="J63" s="655"/>
      <c r="K63" s="288" t="s">
        <v>1330</v>
      </c>
      <c r="L63" s="288" t="s">
        <v>1331</v>
      </c>
      <c r="M63" s="288" t="s">
        <v>20</v>
      </c>
      <c r="N63" s="288" t="s">
        <v>21</v>
      </c>
      <c r="O63" s="288" t="s">
        <v>225</v>
      </c>
      <c r="P63" s="288" t="s">
        <v>22</v>
      </c>
      <c r="Q63" s="288" t="s">
        <v>23</v>
      </c>
      <c r="R63" s="655"/>
      <c r="S63" s="1274"/>
      <c r="T63" s="1274"/>
      <c r="U63" s="1274"/>
    </row>
    <row r="64" spans="1:28" x14ac:dyDescent="0.3">
      <c r="A64" s="170">
        <v>1996</v>
      </c>
      <c r="B64" s="864">
        <f>I65-SUM(C64:H64)</f>
        <v>7329</v>
      </c>
      <c r="C64" s="864">
        <v>1301</v>
      </c>
      <c r="D64" s="864">
        <v>4605</v>
      </c>
      <c r="E64" s="864">
        <v>2713</v>
      </c>
      <c r="F64" s="864">
        <v>3758</v>
      </c>
      <c r="G64" s="864">
        <v>2962</v>
      </c>
      <c r="H64" s="864">
        <v>2395</v>
      </c>
      <c r="I64" s="864">
        <f t="shared" ref="I64:I70" si="36">SUM(B64:H64)</f>
        <v>25063</v>
      </c>
      <c r="J64" s="655"/>
      <c r="K64" s="866">
        <f>B64/$I64</f>
        <v>0.29242309380361486</v>
      </c>
      <c r="L64" s="866">
        <f t="shared" ref="K64:Q67" si="37">C64/$I64</f>
        <v>5.1909188844112837E-2</v>
      </c>
      <c r="M64" s="866">
        <f t="shared" si="37"/>
        <v>0.18373698280333559</v>
      </c>
      <c r="N64" s="866">
        <f t="shared" si="37"/>
        <v>0.10824721701312692</v>
      </c>
      <c r="O64" s="866">
        <f t="shared" si="37"/>
        <v>0.14994214579260265</v>
      </c>
      <c r="P64" s="866">
        <f t="shared" si="37"/>
        <v>0.11818218090412161</v>
      </c>
      <c r="Q64" s="866">
        <f t="shared" si="37"/>
        <v>9.5559190839085498E-2</v>
      </c>
      <c r="R64" s="655"/>
      <c r="S64" s="1275"/>
      <c r="T64" s="1275"/>
      <c r="U64" s="1275"/>
    </row>
    <row r="65" spans="1:26" x14ac:dyDescent="0.3">
      <c r="A65" s="170">
        <f>A64+1</f>
        <v>1997</v>
      </c>
      <c r="B65" s="864">
        <v>7213</v>
      </c>
      <c r="C65" s="864">
        <v>1486</v>
      </c>
      <c r="D65" s="864">
        <v>4645</v>
      </c>
      <c r="E65" s="864">
        <v>2260</v>
      </c>
      <c r="F65" s="864">
        <v>3950</v>
      </c>
      <c r="G65" s="864">
        <v>3047</v>
      </c>
      <c r="H65" s="864">
        <v>2462</v>
      </c>
      <c r="I65" s="864">
        <f t="shared" si="36"/>
        <v>25063</v>
      </c>
      <c r="J65" s="655"/>
      <c r="K65" s="866">
        <f t="shared" si="37"/>
        <v>0.28779475721182618</v>
      </c>
      <c r="L65" s="866">
        <f t="shared" si="37"/>
        <v>5.9290587718948254E-2</v>
      </c>
      <c r="M65" s="866">
        <f t="shared" si="37"/>
        <v>0.18533296093843515</v>
      </c>
      <c r="N65" s="866">
        <f t="shared" si="37"/>
        <v>9.0172764633124528E-2</v>
      </c>
      <c r="O65" s="866">
        <f t="shared" si="37"/>
        <v>0.15760284084108048</v>
      </c>
      <c r="P65" s="866">
        <f t="shared" si="37"/>
        <v>0.12157363444120815</v>
      </c>
      <c r="Q65" s="866">
        <f t="shared" si="37"/>
        <v>9.8232454215377255E-2</v>
      </c>
      <c r="R65" s="655"/>
      <c r="S65" s="1275"/>
      <c r="T65" s="1275"/>
      <c r="U65" s="1275"/>
    </row>
    <row r="66" spans="1:26" x14ac:dyDescent="0.3">
      <c r="A66" s="170">
        <f t="shared" ref="A66:A73" si="38">A65+1</f>
        <v>1998</v>
      </c>
      <c r="B66" s="864">
        <v>7121</v>
      </c>
      <c r="C66" s="864">
        <v>1492</v>
      </c>
      <c r="D66" s="864">
        <v>4893</v>
      </c>
      <c r="E66" s="864">
        <v>2277</v>
      </c>
      <c r="F66" s="864">
        <v>3823</v>
      </c>
      <c r="G66" s="864">
        <v>3097</v>
      </c>
      <c r="H66" s="864">
        <v>2360</v>
      </c>
      <c r="I66" s="864">
        <f t="shared" si="36"/>
        <v>25063</v>
      </c>
      <c r="J66" s="655"/>
      <c r="K66" s="866">
        <f t="shared" si="37"/>
        <v>0.28412400750109723</v>
      </c>
      <c r="L66" s="866">
        <f t="shared" si="37"/>
        <v>5.9529984439213181E-2</v>
      </c>
      <c r="M66" s="866">
        <f t="shared" si="37"/>
        <v>0.19522802537605236</v>
      </c>
      <c r="N66" s="866">
        <f t="shared" si="37"/>
        <v>9.0851055340541831E-2</v>
      </c>
      <c r="O66" s="866">
        <f t="shared" si="37"/>
        <v>0.15253561026213941</v>
      </c>
      <c r="P66" s="866">
        <f t="shared" si="37"/>
        <v>0.12356860711008259</v>
      </c>
      <c r="Q66" s="866">
        <f t="shared" si="37"/>
        <v>9.4162709970873393E-2</v>
      </c>
      <c r="R66" s="655"/>
      <c r="S66" s="1275"/>
      <c r="T66" s="1275"/>
      <c r="U66" s="1275"/>
    </row>
    <row r="67" spans="1:26" x14ac:dyDescent="0.3">
      <c r="A67" s="170">
        <f t="shared" si="38"/>
        <v>1999</v>
      </c>
      <c r="B67" s="864">
        <v>7446</v>
      </c>
      <c r="C67" s="864">
        <v>1385</v>
      </c>
      <c r="D67" s="864">
        <v>5072</v>
      </c>
      <c r="E67" s="864">
        <v>2271</v>
      </c>
      <c r="F67" s="864">
        <v>3870</v>
      </c>
      <c r="G67" s="864">
        <v>2996</v>
      </c>
      <c r="H67" s="864">
        <v>2023</v>
      </c>
      <c r="I67" s="864">
        <f t="shared" si="36"/>
        <v>25063</v>
      </c>
      <c r="J67" s="655"/>
      <c r="K67" s="866">
        <f t="shared" si="37"/>
        <v>0.29709132984878106</v>
      </c>
      <c r="L67" s="866">
        <f t="shared" si="37"/>
        <v>5.526074292782189E-2</v>
      </c>
      <c r="M67" s="866">
        <f t="shared" si="37"/>
        <v>0.20237002753062283</v>
      </c>
      <c r="N67" s="866">
        <f t="shared" si="37"/>
        <v>9.0611658620276897E-2</v>
      </c>
      <c r="O67" s="866">
        <f t="shared" si="37"/>
        <v>0.15441088457088137</v>
      </c>
      <c r="P67" s="866">
        <f t="shared" si="37"/>
        <v>0.11953876231895623</v>
      </c>
      <c r="Q67" s="866">
        <f t="shared" si="37"/>
        <v>8.0716594182659696E-2</v>
      </c>
      <c r="R67" s="655"/>
      <c r="S67" s="1275"/>
      <c r="T67" s="1275"/>
      <c r="U67" s="1275"/>
    </row>
    <row r="68" spans="1:26" x14ac:dyDescent="0.3">
      <c r="A68" s="170">
        <f t="shared" si="38"/>
        <v>2000</v>
      </c>
      <c r="B68" s="864">
        <v>6277</v>
      </c>
      <c r="C68" s="864">
        <v>1648</v>
      </c>
      <c r="D68" s="864">
        <v>5301</v>
      </c>
      <c r="E68" s="864">
        <v>2623</v>
      </c>
      <c r="F68" s="864">
        <v>4295</v>
      </c>
      <c r="G68" s="864">
        <v>2804</v>
      </c>
      <c r="H68" s="864">
        <v>2115</v>
      </c>
      <c r="I68" s="864">
        <f t="shared" si="36"/>
        <v>25063</v>
      </c>
      <c r="J68" s="655"/>
      <c r="K68" s="866">
        <f t="shared" ref="K68:Q72" si="39">B68/$I68</f>
        <v>0.25044886885049678</v>
      </c>
      <c r="L68" s="866">
        <f t="shared" si="39"/>
        <v>6.5754299166101426E-2</v>
      </c>
      <c r="M68" s="866">
        <f t="shared" si="39"/>
        <v>0.21150700235406775</v>
      </c>
      <c r="N68" s="866">
        <f t="shared" si="39"/>
        <v>0.10465626620915293</v>
      </c>
      <c r="O68" s="866">
        <f t="shared" si="39"/>
        <v>0.17136815225631408</v>
      </c>
      <c r="P68" s="866">
        <f t="shared" si="39"/>
        <v>0.1118780672704784</v>
      </c>
      <c r="Q68" s="866">
        <f t="shared" si="39"/>
        <v>8.4387343893388658E-2</v>
      </c>
      <c r="R68" s="655"/>
      <c r="S68" s="1275"/>
      <c r="T68" s="1275"/>
      <c r="U68" s="1275"/>
    </row>
    <row r="69" spans="1:26" x14ac:dyDescent="0.3">
      <c r="A69" s="170">
        <f t="shared" si="38"/>
        <v>2001</v>
      </c>
      <c r="B69" s="864">
        <v>6577</v>
      </c>
      <c r="C69" s="864">
        <v>1914</v>
      </c>
      <c r="D69" s="864">
        <v>5269</v>
      </c>
      <c r="E69" s="864">
        <v>2379</v>
      </c>
      <c r="F69" s="864">
        <v>3779</v>
      </c>
      <c r="G69" s="864">
        <v>2959</v>
      </c>
      <c r="H69" s="864">
        <v>2186</v>
      </c>
      <c r="I69" s="864">
        <f t="shared" si="36"/>
        <v>25063</v>
      </c>
      <c r="J69" s="655"/>
      <c r="K69" s="866">
        <f t="shared" si="39"/>
        <v>0.26241870486374336</v>
      </c>
      <c r="L69" s="866">
        <f t="shared" si="39"/>
        <v>7.6367553764513429E-2</v>
      </c>
      <c r="M69" s="866">
        <f t="shared" si="39"/>
        <v>0.21023021984598811</v>
      </c>
      <c r="N69" s="866">
        <f t="shared" si="39"/>
        <v>9.4920799585045679E-2</v>
      </c>
      <c r="O69" s="866">
        <f t="shared" si="39"/>
        <v>0.1507800343135299</v>
      </c>
      <c r="P69" s="866">
        <f t="shared" si="39"/>
        <v>0.11806248254398914</v>
      </c>
      <c r="Q69" s="866">
        <f t="shared" si="39"/>
        <v>8.7220205083190366E-2</v>
      </c>
      <c r="R69" s="655"/>
      <c r="S69" s="1275"/>
      <c r="T69" s="1275"/>
      <c r="U69" s="1275"/>
    </row>
    <row r="70" spans="1:26" x14ac:dyDescent="0.3">
      <c r="A70" s="170">
        <f t="shared" si="38"/>
        <v>2002</v>
      </c>
      <c r="B70" s="864">
        <v>7046</v>
      </c>
      <c r="C70" s="864">
        <v>1975</v>
      </c>
      <c r="D70" s="864">
        <v>5206</v>
      </c>
      <c r="E70" s="864">
        <v>2118</v>
      </c>
      <c r="F70" s="864">
        <v>3721</v>
      </c>
      <c r="G70" s="864">
        <v>2975</v>
      </c>
      <c r="H70" s="864">
        <v>2022</v>
      </c>
      <c r="I70" s="864">
        <f t="shared" si="36"/>
        <v>25063</v>
      </c>
      <c r="J70" s="655"/>
      <c r="K70" s="866">
        <f t="shared" si="39"/>
        <v>0.2811315484977856</v>
      </c>
      <c r="L70" s="866">
        <f t="shared" si="39"/>
        <v>7.8801420420540239E-2</v>
      </c>
      <c r="M70" s="866">
        <f t="shared" si="39"/>
        <v>0.20771655428320632</v>
      </c>
      <c r="N70" s="866">
        <f t="shared" si="39"/>
        <v>8.4507042253521125E-2</v>
      </c>
      <c r="O70" s="866">
        <f t="shared" si="39"/>
        <v>0.14846586601763556</v>
      </c>
      <c r="P70" s="866">
        <f t="shared" si="39"/>
        <v>0.11870087379802896</v>
      </c>
      <c r="Q70" s="866">
        <f t="shared" si="39"/>
        <v>8.0676694729282211E-2</v>
      </c>
      <c r="R70" s="655"/>
      <c r="S70" s="1275"/>
      <c r="T70" s="1275"/>
      <c r="U70" s="1275"/>
      <c r="V70" s="655"/>
      <c r="W70" s="655"/>
      <c r="X70" s="655"/>
      <c r="Y70" s="655"/>
      <c r="Z70" s="655"/>
    </row>
    <row r="71" spans="1:26" x14ac:dyDescent="0.3">
      <c r="A71" s="170">
        <f t="shared" si="38"/>
        <v>2003</v>
      </c>
      <c r="B71" s="864">
        <v>6636</v>
      </c>
      <c r="C71" s="864">
        <v>2095</v>
      </c>
      <c r="D71" s="864">
        <v>5312</v>
      </c>
      <c r="E71" s="864">
        <v>2078</v>
      </c>
      <c r="F71" s="864">
        <v>3899</v>
      </c>
      <c r="G71" s="864">
        <v>3013</v>
      </c>
      <c r="H71" s="864">
        <v>2030</v>
      </c>
      <c r="I71" s="864">
        <f>SUM(B71:H71)</f>
        <v>25063</v>
      </c>
      <c r="J71" s="655"/>
      <c r="K71" s="866">
        <f t="shared" si="39"/>
        <v>0.26477277261301518</v>
      </c>
      <c r="L71" s="866">
        <f t="shared" si="39"/>
        <v>8.3589354825838888E-2</v>
      </c>
      <c r="M71" s="866">
        <f t="shared" si="39"/>
        <v>0.21194589634122013</v>
      </c>
      <c r="N71" s="866">
        <f t="shared" si="39"/>
        <v>8.2911064118421571E-2</v>
      </c>
      <c r="O71" s="866">
        <f t="shared" si="39"/>
        <v>0.15556796871882855</v>
      </c>
      <c r="P71" s="866">
        <f t="shared" si="39"/>
        <v>0.12021705302637353</v>
      </c>
      <c r="Q71" s="866">
        <f t="shared" si="39"/>
        <v>8.0995890356302114E-2</v>
      </c>
      <c r="R71" s="655"/>
      <c r="S71" s="1275"/>
      <c r="T71" s="1275"/>
      <c r="U71" s="1275"/>
      <c r="V71" s="655"/>
      <c r="W71" s="655"/>
      <c r="X71" s="655"/>
      <c r="Y71" s="655"/>
      <c r="Z71" s="655"/>
    </row>
    <row r="72" spans="1:26" x14ac:dyDescent="0.3">
      <c r="A72" s="170">
        <f t="shared" si="38"/>
        <v>2004</v>
      </c>
      <c r="B72" s="864">
        <v>6254</v>
      </c>
      <c r="C72" s="864">
        <v>1953</v>
      </c>
      <c r="D72" s="864">
        <v>5381</v>
      </c>
      <c r="E72" s="864">
        <v>2419</v>
      </c>
      <c r="F72" s="864">
        <v>3979</v>
      </c>
      <c r="G72" s="864">
        <v>2901</v>
      </c>
      <c r="H72" s="864">
        <v>2206</v>
      </c>
      <c r="I72" s="864">
        <f>SUM(B72:H72)</f>
        <v>25093</v>
      </c>
      <c r="J72" s="869"/>
      <c r="K72" s="866">
        <f t="shared" si="39"/>
        <v>0.24923285378392379</v>
      </c>
      <c r="L72" s="866">
        <f t="shared" si="39"/>
        <v>7.7830470649185038E-2</v>
      </c>
      <c r="M72" s="866">
        <f t="shared" si="39"/>
        <v>0.21444227473797473</v>
      </c>
      <c r="N72" s="866">
        <f t="shared" si="39"/>
        <v>9.6401386840951661E-2</v>
      </c>
      <c r="O72" s="866">
        <f t="shared" si="39"/>
        <v>0.15857011915673694</v>
      </c>
      <c r="P72" s="866">
        <f t="shared" si="39"/>
        <v>0.11560993105646993</v>
      </c>
      <c r="Q72" s="866">
        <f t="shared" si="39"/>
        <v>8.7912963774757907E-2</v>
      </c>
      <c r="R72" s="655"/>
      <c r="S72" s="1275"/>
      <c r="T72" s="1275"/>
      <c r="U72" s="1275"/>
      <c r="V72" s="655"/>
      <c r="W72" s="655"/>
      <c r="X72" s="655"/>
      <c r="Y72" s="655"/>
      <c r="Z72" s="655"/>
    </row>
    <row r="73" spans="1:26" x14ac:dyDescent="0.3">
      <c r="A73" s="853">
        <f t="shared" si="38"/>
        <v>2005</v>
      </c>
      <c r="B73" s="865">
        <v>12682</v>
      </c>
      <c r="C73" s="865">
        <v>1600</v>
      </c>
      <c r="D73" s="865">
        <v>4015</v>
      </c>
      <c r="E73" s="865">
        <v>1513</v>
      </c>
      <c r="F73" s="865">
        <v>2212</v>
      </c>
      <c r="G73" s="865">
        <v>1335</v>
      </c>
      <c r="H73" s="865">
        <v>1706</v>
      </c>
      <c r="I73" s="865">
        <f>SUM(B73:H73)</f>
        <v>25063</v>
      </c>
      <c r="J73" s="655"/>
      <c r="K73" s="867"/>
      <c r="L73" s="867"/>
      <c r="M73" s="867"/>
      <c r="N73" s="867"/>
      <c r="O73" s="867"/>
      <c r="P73" s="867"/>
      <c r="Q73" s="867"/>
      <c r="R73" s="655"/>
      <c r="S73" s="12"/>
      <c r="T73" s="12"/>
      <c r="U73" s="12"/>
      <c r="V73" s="655"/>
      <c r="W73" s="655"/>
      <c r="X73" s="655"/>
      <c r="Y73" s="655"/>
      <c r="Z73" s="655"/>
    </row>
    <row r="74" spans="1:26" x14ac:dyDescent="0.3">
      <c r="A74" s="287" t="s">
        <v>1327</v>
      </c>
      <c r="B74" s="329"/>
      <c r="C74" s="329"/>
      <c r="D74" s="329"/>
      <c r="E74" s="329"/>
      <c r="F74" s="329"/>
      <c r="G74" s="329"/>
      <c r="H74" s="329"/>
      <c r="I74" s="655"/>
      <c r="J74" s="655"/>
      <c r="K74" s="868">
        <f>AVERAGE(K64:K73)</f>
        <v>0.27438199299714267</v>
      </c>
      <c r="L74" s="868">
        <f t="shared" ref="L74:Q74" si="40">AVERAGE(L64:L73)</f>
        <v>6.7592622528475019E-2</v>
      </c>
      <c r="M74" s="868">
        <f t="shared" si="40"/>
        <v>0.20250110491232254</v>
      </c>
      <c r="N74" s="868">
        <f t="shared" si="40"/>
        <v>9.3697694957129249E-2</v>
      </c>
      <c r="O74" s="868">
        <f t="shared" si="40"/>
        <v>0.15547151354774991</v>
      </c>
      <c r="P74" s="868">
        <f t="shared" si="40"/>
        <v>0.11859239916330094</v>
      </c>
      <c r="Q74" s="868">
        <f t="shared" si="40"/>
        <v>8.7762671893879679E-2</v>
      </c>
      <c r="R74" s="697"/>
      <c r="S74" s="1276"/>
      <c r="T74" s="1276"/>
      <c r="U74" s="1276"/>
      <c r="V74" s="655"/>
      <c r="W74" s="655"/>
      <c r="X74" s="655"/>
      <c r="Y74" s="655"/>
      <c r="Z74" s="655"/>
    </row>
    <row r="75" spans="1:26" x14ac:dyDescent="0.3">
      <c r="S75" s="12"/>
      <c r="T75" s="12"/>
      <c r="U75" s="12"/>
    </row>
    <row r="76" spans="1:26" x14ac:dyDescent="0.3">
      <c r="A76" s="75" t="s">
        <v>1340</v>
      </c>
      <c r="K76" s="75" t="s">
        <v>1328</v>
      </c>
      <c r="L76" s="75"/>
    </row>
    <row r="77" spans="1:26" x14ac:dyDescent="0.3">
      <c r="A77" s="11"/>
      <c r="B77" s="288" t="s">
        <v>1330</v>
      </c>
      <c r="C77" s="288" t="s">
        <v>1331</v>
      </c>
      <c r="D77" s="288" t="s">
        <v>20</v>
      </c>
      <c r="E77" s="288" t="s">
        <v>21</v>
      </c>
      <c r="F77" s="288" t="s">
        <v>225</v>
      </c>
      <c r="G77" s="288" t="s">
        <v>22</v>
      </c>
      <c r="H77" s="288" t="s">
        <v>23</v>
      </c>
      <c r="I77" s="288" t="s">
        <v>246</v>
      </c>
      <c r="J77" s="655"/>
      <c r="K77" s="288" t="s">
        <v>1330</v>
      </c>
      <c r="L77" s="288" t="s">
        <v>1331</v>
      </c>
      <c r="M77" s="288" t="s">
        <v>20</v>
      </c>
      <c r="N77" s="288" t="s">
        <v>21</v>
      </c>
      <c r="O77" s="288" t="s">
        <v>225</v>
      </c>
      <c r="P77" s="288" t="s">
        <v>22</v>
      </c>
      <c r="Q77" s="288" t="s">
        <v>23</v>
      </c>
    </row>
    <row r="78" spans="1:26" x14ac:dyDescent="0.3">
      <c r="A78" s="170">
        <v>2005</v>
      </c>
      <c r="B78" s="864">
        <v>4458</v>
      </c>
      <c r="C78" s="864">
        <v>347</v>
      </c>
      <c r="D78" s="864">
        <v>1847</v>
      </c>
      <c r="E78" s="864">
        <v>1405</v>
      </c>
      <c r="F78" s="864">
        <v>3941</v>
      </c>
      <c r="G78" s="864">
        <v>3137</v>
      </c>
      <c r="H78" s="864">
        <f t="shared" ref="H78:H84" si="41">I78-SUM(B78:G78)</f>
        <v>2495</v>
      </c>
      <c r="I78" s="864">
        <v>17630</v>
      </c>
      <c r="J78" s="655"/>
      <c r="K78" s="866">
        <f t="shared" ref="K78:K86" si="42">B78/$I78</f>
        <v>0.25286443562110039</v>
      </c>
      <c r="L78" s="866">
        <f t="shared" ref="L78:L86" si="43">C78/$I78</f>
        <v>1.9682359614293817E-2</v>
      </c>
      <c r="M78" s="866">
        <f t="shared" ref="M78:M86" si="44">D78/$I78</f>
        <v>0.10476460578559274</v>
      </c>
      <c r="N78" s="866">
        <f t="shared" ref="N78:N86" si="45">E78/$I78</f>
        <v>7.9693703913783318E-2</v>
      </c>
      <c r="O78" s="866">
        <f t="shared" ref="O78:O86" si="46">F78/$I78</f>
        <v>0.22353942144072603</v>
      </c>
      <c r="P78" s="866">
        <f t="shared" ref="P78:P86" si="47">G78/$I78</f>
        <v>0.17793533749290982</v>
      </c>
      <c r="Q78" s="866">
        <f t="shared" ref="Q78:Q86" si="48">H78/$I78</f>
        <v>0.14152013613159387</v>
      </c>
    </row>
    <row r="79" spans="1:26" x14ac:dyDescent="0.3">
      <c r="A79" s="170">
        <v>2006</v>
      </c>
      <c r="B79" s="864">
        <v>3983</v>
      </c>
      <c r="C79" s="864">
        <v>272</v>
      </c>
      <c r="D79" s="864">
        <v>1723</v>
      </c>
      <c r="E79" s="864">
        <v>1378</v>
      </c>
      <c r="F79" s="864">
        <v>4077</v>
      </c>
      <c r="G79" s="864">
        <v>3900</v>
      </c>
      <c r="H79" s="864">
        <f t="shared" si="41"/>
        <v>2297</v>
      </c>
      <c r="I79" s="864">
        <v>17630</v>
      </c>
      <c r="J79" s="655"/>
      <c r="K79" s="866">
        <f t="shared" si="42"/>
        <v>0.22592172433352239</v>
      </c>
      <c r="L79" s="866">
        <f t="shared" si="43"/>
        <v>1.5428247305728872E-2</v>
      </c>
      <c r="M79" s="866">
        <f t="shared" si="44"/>
        <v>9.7731140102098699E-2</v>
      </c>
      <c r="N79" s="866">
        <f t="shared" si="45"/>
        <v>7.8162223482699938E-2</v>
      </c>
      <c r="O79" s="866">
        <f t="shared" si="46"/>
        <v>0.23125354509359047</v>
      </c>
      <c r="P79" s="866">
        <f t="shared" si="47"/>
        <v>0.2212138400453772</v>
      </c>
      <c r="Q79" s="866">
        <f t="shared" si="48"/>
        <v>0.13028927963698242</v>
      </c>
    </row>
    <row r="80" spans="1:26" x14ac:dyDescent="0.3">
      <c r="A80" s="170">
        <f t="shared" ref="A80:A87" si="49">A79+1</f>
        <v>2007</v>
      </c>
      <c r="B80" s="864">
        <v>3280</v>
      </c>
      <c r="C80" s="864">
        <v>211</v>
      </c>
      <c r="D80" s="864">
        <v>1706</v>
      </c>
      <c r="E80" s="864">
        <v>1538</v>
      </c>
      <c r="F80" s="864">
        <v>4145</v>
      </c>
      <c r="G80" s="864">
        <v>4298</v>
      </c>
      <c r="H80" s="864">
        <f t="shared" si="41"/>
        <v>2452</v>
      </c>
      <c r="I80" s="864">
        <v>17630</v>
      </c>
      <c r="J80" s="655"/>
      <c r="K80" s="866">
        <f t="shared" si="42"/>
        <v>0.18604651162790697</v>
      </c>
      <c r="L80" s="866">
        <f t="shared" si="43"/>
        <v>1.1968235961429381E-2</v>
      </c>
      <c r="M80" s="866">
        <f t="shared" si="44"/>
        <v>9.6766874645490636E-2</v>
      </c>
      <c r="N80" s="866">
        <f t="shared" si="45"/>
        <v>8.7237663074305166E-2</v>
      </c>
      <c r="O80" s="866">
        <f t="shared" si="46"/>
        <v>0.2351106069200227</v>
      </c>
      <c r="P80" s="866">
        <f t="shared" si="47"/>
        <v>0.24378899602949519</v>
      </c>
      <c r="Q80" s="866">
        <f t="shared" si="48"/>
        <v>0.13908111174134996</v>
      </c>
    </row>
    <row r="81" spans="1:19" x14ac:dyDescent="0.3">
      <c r="A81" s="170">
        <f t="shared" si="49"/>
        <v>2008</v>
      </c>
      <c r="B81" s="864">
        <v>3550</v>
      </c>
      <c r="C81" s="864">
        <v>405</v>
      </c>
      <c r="D81" s="864">
        <v>2278</v>
      </c>
      <c r="E81" s="864">
        <v>1461</v>
      </c>
      <c r="F81" s="864">
        <v>4047</v>
      </c>
      <c r="G81" s="864">
        <v>3683</v>
      </c>
      <c r="H81" s="864">
        <f t="shared" si="41"/>
        <v>2206</v>
      </c>
      <c r="I81" s="864">
        <v>17630</v>
      </c>
      <c r="J81" s="655"/>
      <c r="K81" s="866">
        <f t="shared" si="42"/>
        <v>0.20136131593874079</v>
      </c>
      <c r="L81" s="866">
        <f t="shared" si="43"/>
        <v>2.297220646625071E-2</v>
      </c>
      <c r="M81" s="866">
        <f t="shared" si="44"/>
        <v>0.1292115711854793</v>
      </c>
      <c r="N81" s="866">
        <f t="shared" si="45"/>
        <v>8.287010777084515E-2</v>
      </c>
      <c r="O81" s="866">
        <f t="shared" si="46"/>
        <v>0.2295519001701645</v>
      </c>
      <c r="P81" s="866">
        <f t="shared" si="47"/>
        <v>0.20890527509926263</v>
      </c>
      <c r="Q81" s="866">
        <f t="shared" si="48"/>
        <v>0.12512762336925695</v>
      </c>
    </row>
    <row r="82" spans="1:19" x14ac:dyDescent="0.3">
      <c r="A82" s="170">
        <f t="shared" si="49"/>
        <v>2009</v>
      </c>
      <c r="B82" s="864">
        <v>3831</v>
      </c>
      <c r="C82" s="864">
        <v>626</v>
      </c>
      <c r="D82" s="864">
        <v>2518</v>
      </c>
      <c r="E82" s="864">
        <v>1415</v>
      </c>
      <c r="F82" s="864">
        <v>3853</v>
      </c>
      <c r="G82" s="864">
        <v>3320</v>
      </c>
      <c r="H82" s="864">
        <f t="shared" si="41"/>
        <v>2067</v>
      </c>
      <c r="I82" s="864">
        <v>17630</v>
      </c>
      <c r="J82" s="655"/>
      <c r="K82" s="866">
        <f t="shared" si="42"/>
        <v>0.21730005672149744</v>
      </c>
      <c r="L82" s="866">
        <f t="shared" si="43"/>
        <v>3.5507657402155418E-2</v>
      </c>
      <c r="M82" s="866">
        <f t="shared" si="44"/>
        <v>0.14282473057288714</v>
      </c>
      <c r="N82" s="866">
        <f t="shared" si="45"/>
        <v>8.0260918888258648E-2</v>
      </c>
      <c r="O82" s="866">
        <f t="shared" si="46"/>
        <v>0.21854792966534317</v>
      </c>
      <c r="P82" s="866">
        <f t="shared" si="47"/>
        <v>0.18831537152580829</v>
      </c>
      <c r="Q82" s="866">
        <f t="shared" si="48"/>
        <v>0.11724333522404992</v>
      </c>
    </row>
    <row r="83" spans="1:19" x14ac:dyDescent="0.3">
      <c r="A83" s="170">
        <f t="shared" si="49"/>
        <v>2010</v>
      </c>
      <c r="B83" s="864">
        <v>3396</v>
      </c>
      <c r="C83" s="864">
        <v>532</v>
      </c>
      <c r="D83" s="864">
        <v>2518</v>
      </c>
      <c r="E83" s="864">
        <v>1562</v>
      </c>
      <c r="F83" s="864">
        <v>3381</v>
      </c>
      <c r="G83" s="864">
        <v>3832</v>
      </c>
      <c r="H83" s="864">
        <f t="shared" si="41"/>
        <v>2409</v>
      </c>
      <c r="I83" s="864">
        <v>17630</v>
      </c>
      <c r="J83" s="655"/>
      <c r="K83" s="866">
        <f t="shared" si="42"/>
        <v>0.19262620533182076</v>
      </c>
      <c r="L83" s="866">
        <f t="shared" si="43"/>
        <v>3.017583664208735E-2</v>
      </c>
      <c r="M83" s="866">
        <f t="shared" si="44"/>
        <v>0.14282473057288714</v>
      </c>
      <c r="N83" s="866">
        <f t="shared" si="45"/>
        <v>8.8598979013045948E-2</v>
      </c>
      <c r="O83" s="866">
        <f t="shared" si="46"/>
        <v>0.19177538287010776</v>
      </c>
      <c r="P83" s="866">
        <f t="shared" si="47"/>
        <v>0.21735677821894497</v>
      </c>
      <c r="Q83" s="866">
        <f t="shared" si="48"/>
        <v>0.13664208735110606</v>
      </c>
    </row>
    <row r="84" spans="1:19" x14ac:dyDescent="0.3">
      <c r="A84" s="170">
        <f t="shared" si="49"/>
        <v>2011</v>
      </c>
      <c r="B84" s="864">
        <v>3391</v>
      </c>
      <c r="C84" s="864">
        <v>565</v>
      </c>
      <c r="D84" s="864">
        <v>2515</v>
      </c>
      <c r="E84" s="864">
        <v>1536</v>
      </c>
      <c r="F84" s="864">
        <v>4036</v>
      </c>
      <c r="G84" s="864">
        <v>3282</v>
      </c>
      <c r="H84" s="864">
        <f t="shared" si="41"/>
        <v>2305</v>
      </c>
      <c r="I84" s="864">
        <v>17630</v>
      </c>
      <c r="J84" s="655"/>
      <c r="K84" s="866">
        <f t="shared" si="42"/>
        <v>0.1923425978445831</v>
      </c>
      <c r="L84" s="866">
        <f t="shared" si="43"/>
        <v>3.2047646057855927E-2</v>
      </c>
      <c r="M84" s="866">
        <f t="shared" si="44"/>
        <v>0.14265456608054453</v>
      </c>
      <c r="N84" s="866">
        <f t="shared" si="45"/>
        <v>8.7124220079410092E-2</v>
      </c>
      <c r="O84" s="866">
        <f t="shared" si="46"/>
        <v>0.22892796369824164</v>
      </c>
      <c r="P84" s="866">
        <f t="shared" si="47"/>
        <v>0.18615995462280205</v>
      </c>
      <c r="Q84" s="866">
        <f t="shared" si="48"/>
        <v>0.13074305161656269</v>
      </c>
    </row>
    <row r="85" spans="1:19" x14ac:dyDescent="0.3">
      <c r="A85" s="170">
        <f t="shared" si="49"/>
        <v>2012</v>
      </c>
      <c r="B85" s="864">
        <v>2579</v>
      </c>
      <c r="C85" s="864">
        <v>473</v>
      </c>
      <c r="D85" s="864">
        <v>2516</v>
      </c>
      <c r="E85" s="864">
        <v>1700</v>
      </c>
      <c r="F85" s="864">
        <v>3713</v>
      </c>
      <c r="G85" s="864">
        <v>4442</v>
      </c>
      <c r="H85" s="864">
        <f>I85-SUM(B85:G85)</f>
        <v>2207</v>
      </c>
      <c r="I85" s="864">
        <v>17630</v>
      </c>
      <c r="J85" s="655"/>
      <c r="K85" s="866">
        <f t="shared" si="42"/>
        <v>0.1462847419171866</v>
      </c>
      <c r="L85" s="866">
        <f t="shared" si="43"/>
        <v>2.6829268292682926E-2</v>
      </c>
      <c r="M85" s="866">
        <f t="shared" si="44"/>
        <v>0.14271128757799206</v>
      </c>
      <c r="N85" s="866">
        <f t="shared" si="45"/>
        <v>9.6426545660805441E-2</v>
      </c>
      <c r="O85" s="866">
        <f t="shared" si="46"/>
        <v>0.2106069200226886</v>
      </c>
      <c r="P85" s="866">
        <f t="shared" si="47"/>
        <v>0.25195689166193985</v>
      </c>
      <c r="Q85" s="866">
        <f t="shared" si="48"/>
        <v>0.12518434486670449</v>
      </c>
    </row>
    <row r="86" spans="1:19" x14ac:dyDescent="0.3">
      <c r="A86" s="170">
        <f t="shared" si="49"/>
        <v>2013</v>
      </c>
      <c r="B86" s="864">
        <v>2722</v>
      </c>
      <c r="C86" s="864">
        <v>585</v>
      </c>
      <c r="D86" s="864">
        <v>2817</v>
      </c>
      <c r="E86" s="864">
        <v>1784</v>
      </c>
      <c r="F86" s="864">
        <v>3520</v>
      </c>
      <c r="G86" s="864">
        <v>3626</v>
      </c>
      <c r="H86" s="864">
        <f>I86-SUM(B86:G86)</f>
        <v>2576</v>
      </c>
      <c r="I86" s="864">
        <v>17630</v>
      </c>
      <c r="J86" s="655"/>
      <c r="K86" s="866">
        <f t="shared" si="42"/>
        <v>0.15439591605218378</v>
      </c>
      <c r="L86" s="866">
        <f t="shared" si="43"/>
        <v>3.3182076006806581E-2</v>
      </c>
      <c r="M86" s="866">
        <f t="shared" si="44"/>
        <v>0.15978445830969937</v>
      </c>
      <c r="N86" s="866">
        <f t="shared" si="45"/>
        <v>0.10119115144639819</v>
      </c>
      <c r="O86" s="866">
        <f t="shared" si="46"/>
        <v>0.19965967101531482</v>
      </c>
      <c r="P86" s="866">
        <f t="shared" si="47"/>
        <v>0.20567214974475326</v>
      </c>
      <c r="Q86" s="866">
        <f t="shared" si="48"/>
        <v>0.14611457742484402</v>
      </c>
    </row>
    <row r="87" spans="1:19" x14ac:dyDescent="0.3">
      <c r="A87" s="853">
        <f t="shared" si="49"/>
        <v>2014</v>
      </c>
      <c r="B87" s="865">
        <v>8609</v>
      </c>
      <c r="C87" s="865">
        <v>1007</v>
      </c>
      <c r="D87" s="865">
        <v>2468</v>
      </c>
      <c r="E87" s="865">
        <v>1005</v>
      </c>
      <c r="F87" s="865">
        <v>2199</v>
      </c>
      <c r="G87" s="865">
        <v>1788</v>
      </c>
      <c r="H87" s="865">
        <f>I87-SUM(B87:G87)</f>
        <v>554</v>
      </c>
      <c r="I87" s="865">
        <v>17630</v>
      </c>
      <c r="J87" s="655"/>
      <c r="K87" s="867"/>
      <c r="L87" s="867"/>
      <c r="M87" s="867"/>
      <c r="N87" s="867"/>
      <c r="O87" s="867"/>
      <c r="P87" s="867"/>
      <c r="Q87" s="867"/>
    </row>
    <row r="88" spans="1:19" x14ac:dyDescent="0.3">
      <c r="A88" s="287" t="s">
        <v>1327</v>
      </c>
      <c r="B88" s="329"/>
      <c r="C88" s="329"/>
      <c r="D88" s="329"/>
      <c r="E88" s="329"/>
      <c r="F88" s="329"/>
      <c r="G88" s="329"/>
      <c r="H88" s="329"/>
      <c r="I88" s="655"/>
      <c r="J88" s="655"/>
      <c r="K88" s="868">
        <f t="shared" ref="K88:Q88" si="50">AVERAGE(K78:K87)</f>
        <v>0.19657150059872694</v>
      </c>
      <c r="L88" s="868">
        <f t="shared" si="50"/>
        <v>2.531039263881011E-2</v>
      </c>
      <c r="M88" s="868">
        <f t="shared" si="50"/>
        <v>0.12880821831474132</v>
      </c>
      <c r="N88" s="868">
        <f t="shared" si="50"/>
        <v>8.6840612592172434E-2</v>
      </c>
      <c r="O88" s="868">
        <f t="shared" si="50"/>
        <v>0.21877481565513332</v>
      </c>
      <c r="P88" s="868">
        <f t="shared" si="50"/>
        <v>0.2112560660490326</v>
      </c>
      <c r="Q88" s="868">
        <f t="shared" si="50"/>
        <v>0.13243839415138339</v>
      </c>
      <c r="S88" s="1276"/>
    </row>
    <row r="89" spans="1:19" x14ac:dyDescent="0.3">
      <c r="A89" s="170"/>
      <c r="B89" s="329"/>
      <c r="C89" s="329"/>
      <c r="D89" s="329"/>
      <c r="E89" s="329"/>
      <c r="F89" s="329"/>
      <c r="G89" s="329"/>
      <c r="H89" s="329"/>
      <c r="I89" s="655"/>
      <c r="J89" s="655"/>
      <c r="K89" s="868"/>
      <c r="L89" s="868"/>
      <c r="M89" s="868"/>
      <c r="N89" s="868"/>
      <c r="O89" s="868"/>
      <c r="P89" s="868"/>
      <c r="Q89" s="868"/>
    </row>
    <row r="91" spans="1:19" x14ac:dyDescent="0.3">
      <c r="A91" s="75" t="s">
        <v>1326</v>
      </c>
      <c r="B91" s="655"/>
      <c r="C91"/>
      <c r="H91" s="655"/>
    </row>
    <row r="92" spans="1:19" x14ac:dyDescent="0.3">
      <c r="A92" s="11"/>
      <c r="B92" s="288" t="s">
        <v>219</v>
      </c>
      <c r="C92" s="288" t="s">
        <v>220</v>
      </c>
      <c r="D92" s="288" t="s">
        <v>221</v>
      </c>
      <c r="E92" s="288" t="s">
        <v>222</v>
      </c>
      <c r="F92" s="288" t="s">
        <v>223</v>
      </c>
      <c r="G92" s="288" t="s">
        <v>224</v>
      </c>
      <c r="H92" s="655"/>
    </row>
    <row r="93" spans="1:19" x14ac:dyDescent="0.3">
      <c r="A93" s="655">
        <v>1996</v>
      </c>
      <c r="B93" s="8">
        <v>73000</v>
      </c>
      <c r="C93" s="8">
        <v>98000</v>
      </c>
      <c r="D93" s="8">
        <v>220000</v>
      </c>
      <c r="E93" s="8">
        <v>333000</v>
      </c>
      <c r="F93" s="8">
        <v>915000</v>
      </c>
      <c r="G93" s="8">
        <v>4416000</v>
      </c>
      <c r="H93" s="655"/>
    </row>
    <row r="94" spans="1:19" x14ac:dyDescent="0.3">
      <c r="A94" s="655">
        <f>A93+1</f>
        <v>1997</v>
      </c>
      <c r="B94" s="8">
        <v>77000</v>
      </c>
      <c r="C94" s="8">
        <v>105000</v>
      </c>
      <c r="D94" s="8">
        <v>243000</v>
      </c>
      <c r="E94" s="8">
        <v>371000</v>
      </c>
      <c r="F94" s="8">
        <v>1080000</v>
      </c>
      <c r="G94" s="8">
        <v>5409000</v>
      </c>
      <c r="H94" s="655"/>
    </row>
    <row r="95" spans="1:19" x14ac:dyDescent="0.3">
      <c r="A95" s="655">
        <f>A94+1</f>
        <v>1998</v>
      </c>
      <c r="B95" s="8">
        <v>81000</v>
      </c>
      <c r="C95" s="8">
        <v>111000</v>
      </c>
      <c r="D95" s="8">
        <v>261000</v>
      </c>
      <c r="E95" s="8">
        <v>406000</v>
      </c>
      <c r="F95" s="8">
        <v>1218000</v>
      </c>
      <c r="G95" s="8">
        <v>6449000</v>
      </c>
      <c r="H95" s="655"/>
    </row>
    <row r="96" spans="1:19" x14ac:dyDescent="0.3">
      <c r="A96" s="655">
        <f>A95+1</f>
        <v>1999</v>
      </c>
      <c r="B96" s="8">
        <v>86000</v>
      </c>
      <c r="C96" s="8">
        <v>119000</v>
      </c>
      <c r="D96" s="8">
        <v>286000</v>
      </c>
      <c r="E96" s="8">
        <v>447000</v>
      </c>
      <c r="F96" s="8">
        <v>1374000</v>
      </c>
      <c r="G96" s="8">
        <v>7377000</v>
      </c>
      <c r="H96" s="655"/>
    </row>
    <row r="97" spans="1:8" x14ac:dyDescent="0.3">
      <c r="A97">
        <v>2000</v>
      </c>
      <c r="B97" s="8">
        <v>90000</v>
      </c>
      <c r="C97" s="8">
        <v>126000</v>
      </c>
      <c r="D97" s="8">
        <v>305000</v>
      </c>
      <c r="E97" s="8">
        <v>482000</v>
      </c>
      <c r="F97" s="8">
        <v>1544000</v>
      </c>
      <c r="G97" s="8">
        <v>8780000</v>
      </c>
      <c r="H97" s="655"/>
    </row>
    <row r="98" spans="1:8" x14ac:dyDescent="0.3">
      <c r="A98">
        <f>A97+1</f>
        <v>2001</v>
      </c>
      <c r="B98" s="8">
        <v>90000</v>
      </c>
      <c r="C98" s="8">
        <v>124000</v>
      </c>
      <c r="D98" s="8">
        <v>284000</v>
      </c>
      <c r="E98" s="8">
        <v>431000</v>
      </c>
      <c r="F98" s="8">
        <v>1267000</v>
      </c>
      <c r="G98" s="8">
        <v>6265000</v>
      </c>
      <c r="H98" s="655"/>
    </row>
    <row r="99" spans="1:8" x14ac:dyDescent="0.3">
      <c r="A99" s="655">
        <f t="shared" ref="A99:A112" si="51">A98+1</f>
        <v>2002</v>
      </c>
      <c r="B99" s="8">
        <v>89000</v>
      </c>
      <c r="C99" s="8">
        <v>122000</v>
      </c>
      <c r="D99" s="8">
        <v>271000</v>
      </c>
      <c r="E99" s="8">
        <v>408000</v>
      </c>
      <c r="F99" s="8">
        <v>1126000</v>
      </c>
      <c r="G99" s="8">
        <v>5345000</v>
      </c>
      <c r="H99" s="655"/>
    </row>
    <row r="100" spans="1:8" x14ac:dyDescent="0.3">
      <c r="A100" s="655">
        <f t="shared" si="51"/>
        <v>2003</v>
      </c>
      <c r="B100" s="8">
        <v>91000</v>
      </c>
      <c r="C100" s="8">
        <v>124000</v>
      </c>
      <c r="D100" s="8">
        <v>278000</v>
      </c>
      <c r="E100" s="8">
        <v>418000</v>
      </c>
      <c r="F100" s="8">
        <v>1180000</v>
      </c>
      <c r="G100" s="8">
        <v>5723000</v>
      </c>
      <c r="H100" s="655"/>
    </row>
    <row r="101" spans="1:8" x14ac:dyDescent="0.3">
      <c r="A101" s="655">
        <f t="shared" si="51"/>
        <v>2004</v>
      </c>
      <c r="B101" s="8">
        <v>95000</v>
      </c>
      <c r="C101" s="8">
        <v>131000</v>
      </c>
      <c r="D101" s="8">
        <v>309000</v>
      </c>
      <c r="E101" s="8">
        <v>476000</v>
      </c>
      <c r="F101" s="8">
        <v>1439000</v>
      </c>
      <c r="G101" s="8">
        <v>7540000</v>
      </c>
      <c r="H101" s="655"/>
    </row>
    <row r="102" spans="1:8" x14ac:dyDescent="0.3">
      <c r="A102" s="655">
        <f t="shared" si="51"/>
        <v>2005</v>
      </c>
      <c r="B102" s="8">
        <v>99000</v>
      </c>
      <c r="C102" s="8">
        <v>139000</v>
      </c>
      <c r="D102" s="8">
        <v>343000</v>
      </c>
      <c r="E102" s="8">
        <v>544000</v>
      </c>
      <c r="F102" s="8">
        <v>1722000</v>
      </c>
      <c r="G102" s="8">
        <v>9583000</v>
      </c>
      <c r="H102" s="655"/>
    </row>
    <row r="103" spans="1:8" x14ac:dyDescent="0.3">
      <c r="A103" s="655">
        <f t="shared" si="51"/>
        <v>2006</v>
      </c>
      <c r="B103" s="8">
        <v>104000</v>
      </c>
      <c r="C103" s="8">
        <v>147000</v>
      </c>
      <c r="D103" s="8">
        <v>365000</v>
      </c>
      <c r="E103" s="8">
        <v>589000</v>
      </c>
      <c r="F103" s="8">
        <v>1908000</v>
      </c>
      <c r="G103" s="8">
        <v>10530000</v>
      </c>
      <c r="H103" s="655"/>
    </row>
    <row r="104" spans="1:8" x14ac:dyDescent="0.3">
      <c r="A104" s="655">
        <f t="shared" si="51"/>
        <v>2007</v>
      </c>
      <c r="B104" s="8">
        <v>110000</v>
      </c>
      <c r="C104" s="8">
        <v>155000</v>
      </c>
      <c r="D104" s="8">
        <v>393000</v>
      </c>
      <c r="E104" s="8">
        <v>629000</v>
      </c>
      <c r="F104" s="8">
        <v>2054000</v>
      </c>
      <c r="G104" s="8">
        <v>11659000</v>
      </c>
      <c r="H104" s="655"/>
    </row>
    <row r="105" spans="1:8" x14ac:dyDescent="0.3">
      <c r="A105" s="655">
        <f t="shared" si="51"/>
        <v>2008</v>
      </c>
      <c r="B105" s="8">
        <v>109000</v>
      </c>
      <c r="C105" s="8">
        <v>153000</v>
      </c>
      <c r="D105" s="8">
        <v>361000</v>
      </c>
      <c r="E105" s="8">
        <v>557000</v>
      </c>
      <c r="F105" s="8">
        <v>1698000</v>
      </c>
      <c r="G105" s="8">
        <v>9185000</v>
      </c>
      <c r="H105" s="655"/>
    </row>
    <row r="106" spans="1:8" x14ac:dyDescent="0.3">
      <c r="A106" s="655">
        <f t="shared" si="51"/>
        <v>2009</v>
      </c>
      <c r="B106" s="8">
        <v>107000</v>
      </c>
      <c r="C106" s="8">
        <v>147000</v>
      </c>
      <c r="D106" s="8">
        <v>323000</v>
      </c>
      <c r="E106" s="8">
        <v>486000</v>
      </c>
      <c r="F106" s="8">
        <v>1332000</v>
      </c>
      <c r="G106" s="8">
        <v>6515000</v>
      </c>
      <c r="H106" s="655"/>
    </row>
    <row r="107" spans="1:8" x14ac:dyDescent="0.3">
      <c r="A107" s="655">
        <f t="shared" si="51"/>
        <v>2010</v>
      </c>
      <c r="B107" s="8">
        <v>108000</v>
      </c>
      <c r="C107" s="8">
        <v>152000</v>
      </c>
      <c r="D107" s="8">
        <v>341000</v>
      </c>
      <c r="E107" s="8">
        <v>519000</v>
      </c>
      <c r="F107" s="8">
        <v>1482000</v>
      </c>
      <c r="G107" s="8">
        <v>7896000</v>
      </c>
      <c r="H107" s="655"/>
    </row>
    <row r="108" spans="1:8" x14ac:dyDescent="0.3">
      <c r="A108" s="655">
        <f t="shared" si="51"/>
        <v>2011</v>
      </c>
      <c r="B108" s="8">
        <v>111000</v>
      </c>
      <c r="C108" s="8">
        <v>156000</v>
      </c>
      <c r="D108" s="8">
        <v>357000</v>
      </c>
      <c r="E108" s="8">
        <v>540000</v>
      </c>
      <c r="F108" s="8">
        <v>1548000</v>
      </c>
      <c r="G108" s="8">
        <v>7973000</v>
      </c>
      <c r="H108" s="655"/>
    </row>
    <row r="109" spans="1:8" x14ac:dyDescent="0.3">
      <c r="A109" s="655">
        <f t="shared" si="51"/>
        <v>2012</v>
      </c>
      <c r="B109" s="8">
        <v>115000</v>
      </c>
      <c r="C109" s="8">
        <v>163000</v>
      </c>
      <c r="D109" s="8">
        <v>393000</v>
      </c>
      <c r="E109" s="8">
        <v>615000</v>
      </c>
      <c r="F109" s="8">
        <v>1916000</v>
      </c>
      <c r="G109" s="8">
        <v>10731000</v>
      </c>
      <c r="H109" s="655"/>
    </row>
    <row r="110" spans="1:8" x14ac:dyDescent="0.3">
      <c r="A110" s="655">
        <f t="shared" si="51"/>
        <v>2013</v>
      </c>
      <c r="B110" s="8">
        <v>118000</v>
      </c>
      <c r="C110" s="8">
        <v>166000</v>
      </c>
      <c r="D110" s="8">
        <v>388000</v>
      </c>
      <c r="E110" s="8">
        <v>589000</v>
      </c>
      <c r="F110" s="8">
        <v>1665000</v>
      </c>
      <c r="G110" s="8">
        <v>8431000</v>
      </c>
      <c r="H110" s="655"/>
    </row>
    <row r="111" spans="1:8" x14ac:dyDescent="0.3">
      <c r="A111" s="655">
        <f t="shared" si="51"/>
        <v>2014</v>
      </c>
      <c r="B111" s="8">
        <v>122000</v>
      </c>
      <c r="C111" s="8">
        <v>174000</v>
      </c>
      <c r="D111" s="8">
        <v>421000</v>
      </c>
      <c r="E111" s="8">
        <v>642000</v>
      </c>
      <c r="F111" s="8">
        <v>1889000</v>
      </c>
      <c r="G111" s="8">
        <v>10095000</v>
      </c>
      <c r="H111" s="655"/>
    </row>
    <row r="112" spans="1:8" x14ac:dyDescent="0.3">
      <c r="A112" s="655">
        <f t="shared" si="51"/>
        <v>2015</v>
      </c>
      <c r="B112" s="8">
        <v>126000</v>
      </c>
      <c r="C112" s="8">
        <v>180000</v>
      </c>
      <c r="D112" s="8">
        <v>435000</v>
      </c>
      <c r="E112" s="8">
        <v>666000</v>
      </c>
      <c r="F112" s="8">
        <v>1968000</v>
      </c>
      <c r="G112" s="8">
        <v>10553000</v>
      </c>
      <c r="H112" s="655"/>
    </row>
    <row r="115" spans="1:9" x14ac:dyDescent="0.3">
      <c r="A115" s="75" t="s">
        <v>1353</v>
      </c>
      <c r="B115" s="879"/>
      <c r="C115" s="879"/>
      <c r="D115" s="879"/>
      <c r="E115" s="879"/>
      <c r="F115" s="879"/>
      <c r="G115" s="879"/>
    </row>
    <row r="116" spans="1:9" ht="4.5" customHeight="1" x14ac:dyDescent="0.3">
      <c r="A116" s="879"/>
      <c r="B116" s="879"/>
      <c r="C116" s="879"/>
      <c r="D116" s="879"/>
      <c r="E116" s="879"/>
      <c r="F116" s="879"/>
      <c r="G116" s="879"/>
    </row>
    <row r="117" spans="1:9" x14ac:dyDescent="0.3">
      <c r="A117" s="885" t="s">
        <v>1355</v>
      </c>
      <c r="B117" s="885" t="s">
        <v>1356</v>
      </c>
      <c r="C117" s="885" t="s">
        <v>1348</v>
      </c>
      <c r="D117" s="837" t="s">
        <v>1357</v>
      </c>
      <c r="E117" s="879"/>
      <c r="F117" s="837" t="s">
        <v>1358</v>
      </c>
      <c r="G117" s="837" t="s">
        <v>1360</v>
      </c>
      <c r="H117" s="837" t="s">
        <v>1363</v>
      </c>
      <c r="I117" s="12"/>
    </row>
    <row r="118" spans="1:9" x14ac:dyDescent="0.3">
      <c r="A118" s="170"/>
      <c r="B118" s="170">
        <v>5</v>
      </c>
      <c r="C118" s="8">
        <v>352848</v>
      </c>
      <c r="D118" s="588">
        <f t="shared" ref="D118:D123" si="52">C118/C$123</f>
        <v>2.0667235992647963E-2</v>
      </c>
      <c r="E118" s="879"/>
      <c r="F118" s="908">
        <f>D130</f>
        <v>0.48391583073223654</v>
      </c>
      <c r="G118" s="908">
        <f>D140</f>
        <v>0.20550130140261252</v>
      </c>
      <c r="H118" s="588">
        <f>D150</f>
        <v>0.29783478586445927</v>
      </c>
      <c r="I118" s="888" t="s">
        <v>1361</v>
      </c>
    </row>
    <row r="119" spans="1:9" x14ac:dyDescent="0.3">
      <c r="A119" s="170">
        <v>5</v>
      </c>
      <c r="B119" s="170">
        <v>10</v>
      </c>
      <c r="C119" s="8">
        <v>1928559</v>
      </c>
      <c r="D119" s="588">
        <f t="shared" si="52"/>
        <v>0.11296077625137499</v>
      </c>
      <c r="E119" s="879"/>
      <c r="F119" s="588">
        <f>D131</f>
        <v>0.14554403082268799</v>
      </c>
      <c r="G119" s="588">
        <f>D141</f>
        <v>0.34610259352804851</v>
      </c>
      <c r="H119" s="588">
        <f>D151</f>
        <v>0.10560465584965907</v>
      </c>
      <c r="I119" s="12"/>
    </row>
    <row r="120" spans="1:9" x14ac:dyDescent="0.3">
      <c r="A120" s="739">
        <v>10</v>
      </c>
      <c r="B120" s="739">
        <v>20</v>
      </c>
      <c r="C120" s="8">
        <v>3337364</v>
      </c>
      <c r="D120" s="588">
        <f t="shared" si="52"/>
        <v>0.19547819282344686</v>
      </c>
      <c r="E120" s="879"/>
      <c r="F120" s="588">
        <f>D132</f>
        <v>0.15636792977409381</v>
      </c>
      <c r="G120" s="588">
        <f>D142</f>
        <v>0.20726222076143974</v>
      </c>
      <c r="H120" s="588">
        <f>D152</f>
        <v>0.15697747570169196</v>
      </c>
      <c r="I120" s="12"/>
    </row>
    <row r="121" spans="1:9" x14ac:dyDescent="0.3">
      <c r="A121" s="739">
        <v>20</v>
      </c>
      <c r="B121" s="739">
        <v>50</v>
      </c>
      <c r="C121" s="8">
        <v>4061333</v>
      </c>
      <c r="D121" s="588">
        <f t="shared" si="52"/>
        <v>0.23788296251000127</v>
      </c>
      <c r="E121" s="879"/>
      <c r="F121" s="588">
        <f>D133</f>
        <v>6.6235910210880364E-2</v>
      </c>
      <c r="G121" s="588">
        <f>D143</f>
        <v>0.14260861755143753</v>
      </c>
      <c r="H121" s="588">
        <f>D153</f>
        <v>0.11682418859586995</v>
      </c>
      <c r="I121" s="12"/>
    </row>
    <row r="122" spans="1:9" x14ac:dyDescent="0.3">
      <c r="A122" s="739">
        <v>50</v>
      </c>
      <c r="B122" s="739"/>
      <c r="C122" s="8">
        <v>7392716</v>
      </c>
      <c r="D122" s="588">
        <f t="shared" si="52"/>
        <v>0.43301083242252891</v>
      </c>
      <c r="E122" s="879"/>
      <c r="F122" s="588">
        <f>D134</f>
        <v>0.14793629846010128</v>
      </c>
      <c r="G122" s="588">
        <f>D144</f>
        <v>9.8525266756461699E-2</v>
      </c>
      <c r="H122" s="588">
        <f>D154</f>
        <v>0.32275889398831975</v>
      </c>
      <c r="I122" s="12"/>
    </row>
    <row r="123" spans="1:9" x14ac:dyDescent="0.3">
      <c r="A123" s="404" t="s">
        <v>246</v>
      </c>
      <c r="B123" s="11"/>
      <c r="C123" s="886">
        <f>SUM(C118:C122)</f>
        <v>17072820</v>
      </c>
      <c r="D123" s="887">
        <f t="shared" si="52"/>
        <v>1</v>
      </c>
      <c r="E123" s="879"/>
      <c r="F123" s="889"/>
      <c r="G123" s="879"/>
    </row>
    <row r="124" spans="1:9" ht="12" customHeight="1" x14ac:dyDescent="0.3"/>
    <row r="127" spans="1:9" x14ac:dyDescent="0.3">
      <c r="A127" s="75" t="s">
        <v>1347</v>
      </c>
    </row>
    <row r="129" spans="1:9" x14ac:dyDescent="0.3">
      <c r="A129" s="404" t="s">
        <v>1355</v>
      </c>
      <c r="B129" s="404" t="s">
        <v>1356</v>
      </c>
      <c r="C129" s="885" t="s">
        <v>1348</v>
      </c>
      <c r="D129" s="837" t="s">
        <v>1349</v>
      </c>
      <c r="E129" s="879"/>
      <c r="F129" s="885" t="s">
        <v>1350</v>
      </c>
      <c r="G129" s="885" t="s">
        <v>1351</v>
      </c>
      <c r="H129" s="879"/>
      <c r="I129" s="879"/>
    </row>
    <row r="130" spans="1:9" x14ac:dyDescent="0.3">
      <c r="A130" s="170"/>
      <c r="B130" s="170">
        <v>1</v>
      </c>
      <c r="C130" s="8">
        <f>221+1945+4539+6607+18902+38879+75535+142532+212935+281146</f>
        <v>783241</v>
      </c>
      <c r="D130" s="588">
        <f t="shared" ref="D130:D135" si="53">C130/C$135</f>
        <v>0.48391583073223654</v>
      </c>
      <c r="E130" s="879"/>
      <c r="F130" s="739">
        <f>A130*'C0-Ref Stats'!AA14/'C0-Ref Stats'!AA$61</f>
        <v>0</v>
      </c>
      <c r="G130" s="739">
        <f>B130*'C0-Ref Stats'!AA14/'C0-Ref Stats'!AA$61</f>
        <v>5.3661895892559546</v>
      </c>
      <c r="H130" s="879"/>
      <c r="I130" s="879"/>
    </row>
    <row r="131" spans="1:9" x14ac:dyDescent="0.3">
      <c r="A131" s="170">
        <v>1</v>
      </c>
      <c r="B131" s="170">
        <v>2</v>
      </c>
      <c r="C131" s="8">
        <v>235570</v>
      </c>
      <c r="D131" s="588">
        <f t="shared" si="53"/>
        <v>0.14554403082268799</v>
      </c>
      <c r="E131" s="879"/>
      <c r="F131" s="739">
        <f>A131*'C0-Ref Stats'!AA$14/'C0-Ref Stats'!AA$61</f>
        <v>5.3661895892559546</v>
      </c>
      <c r="G131" s="739">
        <f>B131*'C0-Ref Stats'!AA$14/'C0-Ref Stats'!AA$61</f>
        <v>10.732379178511909</v>
      </c>
      <c r="H131" s="879"/>
      <c r="I131" s="879"/>
    </row>
    <row r="132" spans="1:9" x14ac:dyDescent="0.3">
      <c r="A132" s="80">
        <v>2</v>
      </c>
      <c r="B132" s="80">
        <v>5</v>
      </c>
      <c r="C132" s="8">
        <f>118499+134590</f>
        <v>253089</v>
      </c>
      <c r="D132" s="588">
        <f t="shared" si="53"/>
        <v>0.15636792977409381</v>
      </c>
      <c r="E132" s="879"/>
      <c r="F132" s="739">
        <f>A132*'C0-Ref Stats'!AA$14/'C0-Ref Stats'!AA$61</f>
        <v>10.732379178511909</v>
      </c>
      <c r="G132" s="739">
        <f>B132*'C0-Ref Stats'!AA$14/'C0-Ref Stats'!AA$61</f>
        <v>26.830947946279771</v>
      </c>
      <c r="H132" s="879"/>
      <c r="I132" s="879"/>
    </row>
    <row r="133" spans="1:9" x14ac:dyDescent="0.3">
      <c r="A133" s="80">
        <v>5</v>
      </c>
      <c r="B133" s="80">
        <v>10</v>
      </c>
      <c r="C133" s="8">
        <v>107206</v>
      </c>
      <c r="D133" s="588">
        <f t="shared" si="53"/>
        <v>6.6235910210880364E-2</v>
      </c>
      <c r="E133" s="879"/>
      <c r="F133" s="739">
        <f>A133*'C0-Ref Stats'!AA$14/'C0-Ref Stats'!AA$61</f>
        <v>26.830947946279771</v>
      </c>
      <c r="G133" s="739">
        <f>B133*'C0-Ref Stats'!AA$14/'C0-Ref Stats'!AA$61</f>
        <v>53.661895892559542</v>
      </c>
      <c r="H133" s="879"/>
      <c r="I133" s="879"/>
    </row>
    <row r="134" spans="1:9" x14ac:dyDescent="0.3">
      <c r="A134" s="80">
        <v>10</v>
      </c>
      <c r="B134" s="80"/>
      <c r="C134" s="8">
        <f>84917+154525</f>
        <v>239442</v>
      </c>
      <c r="D134" s="588">
        <f t="shared" si="53"/>
        <v>0.14793629846010128</v>
      </c>
      <c r="E134" s="879"/>
      <c r="F134" s="739">
        <f>A134*'C0-Ref Stats'!AA$14/'C0-Ref Stats'!AA$61</f>
        <v>53.661895892559542</v>
      </c>
      <c r="G134" s="739"/>
      <c r="H134" s="879"/>
      <c r="I134" s="879"/>
    </row>
    <row r="135" spans="1:9" x14ac:dyDescent="0.3">
      <c r="A135" s="404" t="s">
        <v>246</v>
      </c>
      <c r="B135" s="11"/>
      <c r="C135" s="886">
        <f>SUM(C130:C134)</f>
        <v>1618548</v>
      </c>
      <c r="D135" s="887">
        <f t="shared" si="53"/>
        <v>1</v>
      </c>
      <c r="E135" s="879"/>
      <c r="F135" s="879"/>
      <c r="G135" s="879"/>
      <c r="H135" s="879"/>
      <c r="I135" s="879"/>
    </row>
    <row r="136" spans="1:9" x14ac:dyDescent="0.3">
      <c r="A136" s="879"/>
      <c r="B136" s="879"/>
      <c r="C136" s="879"/>
      <c r="D136" s="879"/>
      <c r="E136" s="879"/>
      <c r="F136" s="879"/>
      <c r="G136" s="879"/>
      <c r="H136" s="879"/>
      <c r="I136" s="879"/>
    </row>
    <row r="137" spans="1:9" x14ac:dyDescent="0.3">
      <c r="A137" s="75" t="s">
        <v>1359</v>
      </c>
      <c r="B137" s="879"/>
      <c r="C137" s="879"/>
      <c r="D137" s="879"/>
      <c r="E137" s="879"/>
    </row>
    <row r="138" spans="1:9" ht="7.5" customHeight="1" x14ac:dyDescent="0.3">
      <c r="A138" s="879"/>
      <c r="B138" s="879"/>
      <c r="C138" s="879"/>
      <c r="D138" s="879"/>
      <c r="E138" s="879"/>
    </row>
    <row r="139" spans="1:9" x14ac:dyDescent="0.3">
      <c r="A139" s="885" t="s">
        <v>1355</v>
      </c>
      <c r="B139" s="885" t="s">
        <v>1356</v>
      </c>
      <c r="C139" s="885" t="s">
        <v>1348</v>
      </c>
      <c r="D139" s="837" t="s">
        <v>1357</v>
      </c>
      <c r="E139" s="879"/>
      <c r="F139" s="885" t="s">
        <v>1350</v>
      </c>
      <c r="G139" s="885" t="s">
        <v>1351</v>
      </c>
    </row>
    <row r="140" spans="1:9" x14ac:dyDescent="0.3">
      <c r="A140" s="170"/>
      <c r="B140" s="170">
        <v>2.5</v>
      </c>
      <c r="C140" s="8">
        <v>11193040</v>
      </c>
      <c r="D140" s="588">
        <f t="shared" ref="D140:D145" si="54">C140/C$145</f>
        <v>0.20550130140261252</v>
      </c>
      <c r="E140" s="879"/>
      <c r="F140" s="739">
        <f>A140*'C0-Ref Stats'!AA$41/'C0-Ref Stats'!AA$61</f>
        <v>0</v>
      </c>
      <c r="G140" s="739">
        <f>B140*'C0-Ref Stats'!AA$41/'C0-Ref Stats'!AA$61</f>
        <v>3.5845578605479593</v>
      </c>
    </row>
    <row r="141" spans="1:9" x14ac:dyDescent="0.3">
      <c r="A141" s="170">
        <v>2.5</v>
      </c>
      <c r="B141" s="170">
        <v>5</v>
      </c>
      <c r="C141" s="8">
        <v>18851171</v>
      </c>
      <c r="D141" s="588">
        <f t="shared" si="54"/>
        <v>0.34610259352804851</v>
      </c>
      <c r="E141" s="879"/>
      <c r="F141" s="739">
        <f>A141*'C0-Ref Stats'!AA$41/'C0-Ref Stats'!AA$61</f>
        <v>3.5845578605479593</v>
      </c>
      <c r="G141" s="739">
        <f>B141*'C0-Ref Stats'!AA$41/'C0-Ref Stats'!AA$61</f>
        <v>7.1691157210959187</v>
      </c>
    </row>
    <row r="142" spans="1:9" x14ac:dyDescent="0.3">
      <c r="A142" s="739">
        <v>5</v>
      </c>
      <c r="B142" s="739">
        <v>10</v>
      </c>
      <c r="C142" s="8">
        <v>11288952</v>
      </c>
      <c r="D142" s="588">
        <f t="shared" si="54"/>
        <v>0.20726222076143974</v>
      </c>
      <c r="E142" s="879"/>
      <c r="F142" s="739">
        <f>A142*'C0-Ref Stats'!AA$41/'C0-Ref Stats'!AA$61</f>
        <v>7.1691157210959187</v>
      </c>
      <c r="G142" s="739">
        <f>B142*'C0-Ref Stats'!AA$41/'C0-Ref Stats'!AA$61</f>
        <v>14.338231442191837</v>
      </c>
    </row>
    <row r="143" spans="1:9" x14ac:dyDescent="0.3">
      <c r="A143" s="739">
        <v>10</v>
      </c>
      <c r="B143" s="739">
        <v>20</v>
      </c>
      <c r="C143" s="8">
        <v>7767464</v>
      </c>
      <c r="D143" s="588">
        <f t="shared" si="54"/>
        <v>0.14260861755143753</v>
      </c>
      <c r="E143" s="879"/>
      <c r="F143" s="739">
        <f>A143*'C0-Ref Stats'!AA$41/'C0-Ref Stats'!AA$61</f>
        <v>14.338231442191837</v>
      </c>
      <c r="G143" s="739">
        <f>B143*'C0-Ref Stats'!AA$41/'C0-Ref Stats'!AA$61</f>
        <v>28.676462884383675</v>
      </c>
    </row>
    <row r="144" spans="1:9" x14ac:dyDescent="0.3">
      <c r="A144" s="739">
        <v>20</v>
      </c>
      <c r="B144" s="739"/>
      <c r="C144" s="8">
        <v>5366376</v>
      </c>
      <c r="D144" s="588">
        <f t="shared" si="54"/>
        <v>9.8525266756461699E-2</v>
      </c>
      <c r="E144" s="879"/>
      <c r="F144" s="739">
        <f>A144*'C0-Ref Stats'!AA$41/'C0-Ref Stats'!AA$61</f>
        <v>28.676462884383675</v>
      </c>
      <c r="G144" s="739"/>
    </row>
    <row r="145" spans="1:7" x14ac:dyDescent="0.3">
      <c r="A145" s="404" t="s">
        <v>246</v>
      </c>
      <c r="B145" s="11"/>
      <c r="C145" s="886">
        <f>SUM(C140:C144)</f>
        <v>54467003</v>
      </c>
      <c r="D145" s="887">
        <f t="shared" si="54"/>
        <v>1</v>
      </c>
      <c r="E145" s="879"/>
    </row>
    <row r="147" spans="1:7" x14ac:dyDescent="0.3">
      <c r="A147" s="75" t="s">
        <v>1362</v>
      </c>
      <c r="B147" s="879"/>
      <c r="C147" s="879"/>
      <c r="D147" s="879"/>
      <c r="E147" s="879"/>
      <c r="F147" s="879"/>
      <c r="G147" s="879"/>
    </row>
    <row r="148" spans="1:7" x14ac:dyDescent="0.3">
      <c r="A148" s="879"/>
      <c r="B148" s="879"/>
      <c r="C148" s="879"/>
      <c r="D148" s="879"/>
      <c r="E148" s="879"/>
      <c r="F148" s="879"/>
      <c r="G148" s="879"/>
    </row>
    <row r="149" spans="1:7" x14ac:dyDescent="0.3">
      <c r="A149" s="885" t="s">
        <v>1355</v>
      </c>
      <c r="B149" s="885" t="s">
        <v>1356</v>
      </c>
      <c r="C149" s="885" t="s">
        <v>1348</v>
      </c>
      <c r="D149" s="837" t="s">
        <v>1357</v>
      </c>
      <c r="E149" s="879"/>
      <c r="F149" s="885" t="s">
        <v>1350</v>
      </c>
      <c r="G149" s="885" t="s">
        <v>1351</v>
      </c>
    </row>
    <row r="150" spans="1:7" x14ac:dyDescent="0.3">
      <c r="A150" s="170"/>
      <c r="B150" s="170">
        <v>3.5</v>
      </c>
      <c r="C150" s="8">
        <f>983337+10104337+23489093</f>
        <v>34576767</v>
      </c>
      <c r="D150" s="588">
        <f t="shared" ref="D150:D155" si="55">C150/C$155</f>
        <v>0.29783478586445927</v>
      </c>
      <c r="E150" s="879"/>
      <c r="F150" s="739">
        <f>A150*'C0-Ref Stats'!AA$52/'C0-Ref Stats'!AA$61</f>
        <v>0</v>
      </c>
      <c r="G150" s="739">
        <f>B150*'C0-Ref Stats'!AA$52/'C0-Ref Stats'!AA$61</f>
        <v>4.0450495624360014</v>
      </c>
    </row>
    <row r="151" spans="1:7" x14ac:dyDescent="0.3">
      <c r="A151" s="170">
        <v>3.5</v>
      </c>
      <c r="B151" s="170">
        <v>5</v>
      </c>
      <c r="C151" s="8">
        <f>12260044</f>
        <v>12260044</v>
      </c>
      <c r="D151" s="588">
        <f t="shared" si="55"/>
        <v>0.10560465584965907</v>
      </c>
      <c r="E151" s="879"/>
      <c r="F151" s="739">
        <f>A151*'C0-Ref Stats'!AA$52/'C0-Ref Stats'!AA$61</f>
        <v>4.0450495624360014</v>
      </c>
      <c r="G151" s="739">
        <f>B151*'C0-Ref Stats'!AA$52/'C0-Ref Stats'!AA$61</f>
        <v>5.778642232051431</v>
      </c>
    </row>
    <row r="152" spans="1:7" x14ac:dyDescent="0.3">
      <c r="A152" s="739">
        <v>5</v>
      </c>
      <c r="B152" s="739">
        <v>10</v>
      </c>
      <c r="C152" s="8">
        <v>18224109</v>
      </c>
      <c r="D152" s="588">
        <f t="shared" si="55"/>
        <v>0.15697747570169196</v>
      </c>
      <c r="E152" s="879"/>
      <c r="F152" s="739">
        <f>A152*'C0-Ref Stats'!AA$52/'C0-Ref Stats'!AA$61</f>
        <v>5.778642232051431</v>
      </c>
      <c r="G152" s="739">
        <f>B152*'C0-Ref Stats'!AA$52/'C0-Ref Stats'!AA$61</f>
        <v>11.557284464102862</v>
      </c>
    </row>
    <row r="153" spans="1:7" x14ac:dyDescent="0.3">
      <c r="A153" s="739">
        <v>10</v>
      </c>
      <c r="B153" s="739">
        <v>20</v>
      </c>
      <c r="C153" s="8">
        <v>13562562</v>
      </c>
      <c r="D153" s="588">
        <f t="shared" si="55"/>
        <v>0.11682418859586995</v>
      </c>
      <c r="E153" s="879"/>
      <c r="F153" s="739">
        <f>A153*'C0-Ref Stats'!AA$52/'C0-Ref Stats'!AA$61</f>
        <v>11.557284464102862</v>
      </c>
      <c r="G153" s="739">
        <f>B153*'C0-Ref Stats'!AA$52/'C0-Ref Stats'!AA$61</f>
        <v>23.114568928205724</v>
      </c>
    </row>
    <row r="154" spans="1:7" x14ac:dyDescent="0.3">
      <c r="A154" s="739">
        <v>20</v>
      </c>
      <c r="B154" s="739"/>
      <c r="C154" s="8">
        <v>37470301</v>
      </c>
      <c r="D154" s="588">
        <f t="shared" si="55"/>
        <v>0.32275889398831975</v>
      </c>
      <c r="E154" s="879"/>
      <c r="F154" s="739">
        <f>A154*'C0-Ref Stats'!AA$52/'C0-Ref Stats'!AA$61</f>
        <v>23.114568928205724</v>
      </c>
      <c r="G154" s="739"/>
    </row>
    <row r="155" spans="1:7" x14ac:dyDescent="0.3">
      <c r="A155" s="404" t="s">
        <v>246</v>
      </c>
      <c r="B155" s="11"/>
      <c r="C155" s="890">
        <f>SUM(C150:C154)</f>
        <v>116093783</v>
      </c>
      <c r="D155" s="887">
        <f t="shared" si="55"/>
        <v>1</v>
      </c>
      <c r="E155" s="879"/>
      <c r="F155" s="879"/>
      <c r="G155" s="879"/>
    </row>
    <row r="157" spans="1:7" x14ac:dyDescent="0.3">
      <c r="A157" s="879" t="s">
        <v>1354</v>
      </c>
    </row>
    <row r="158" spans="1:7" x14ac:dyDescent="0.3">
      <c r="A158" s="9" t="s">
        <v>1227</v>
      </c>
    </row>
    <row r="159" spans="1:7" x14ac:dyDescent="0.3">
      <c r="A159" s="879" t="s">
        <v>1352</v>
      </c>
    </row>
  </sheetData>
  <mergeCells count="2">
    <mergeCell ref="J1:K1"/>
    <mergeCell ref="L1:M1"/>
  </mergeCells>
  <hyperlinks>
    <hyperlink ref="A158" r:id="rId1"/>
    <hyperlink ref="G1" location="Index!A1" display="Index"/>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Q226"/>
  <sheetViews>
    <sheetView workbookViewId="0"/>
  </sheetViews>
  <sheetFormatPr defaultColWidth="9.109375" defaultRowHeight="14.4" x14ac:dyDescent="0.3"/>
  <cols>
    <col min="1" max="1" width="22.109375" style="879" customWidth="1"/>
    <col min="2" max="2" width="11.21875" style="879" customWidth="1"/>
    <col min="3" max="8" width="9.109375" style="879"/>
    <col min="9" max="10" width="11.21875" style="879" customWidth="1"/>
    <col min="11" max="11" width="9.109375" style="879"/>
    <col min="12" max="12" width="12" style="879" bestFit="1" customWidth="1"/>
    <col min="13" max="16" width="9.109375" style="879"/>
    <col min="17" max="17" width="17.77734375" style="879" customWidth="1"/>
    <col min="18" max="16384" width="9.109375" style="879"/>
  </cols>
  <sheetData>
    <row r="1" spans="1:9" ht="15.6" x14ac:dyDescent="0.3">
      <c r="A1" s="75" t="s">
        <v>1445</v>
      </c>
      <c r="F1" s="463" t="s">
        <v>504</v>
      </c>
    </row>
    <row r="3" spans="1:9" x14ac:dyDescent="0.3">
      <c r="B3" s="835" t="s">
        <v>1419</v>
      </c>
    </row>
    <row r="4" spans="1:9" s="1011" customFormat="1" x14ac:dyDescent="0.3">
      <c r="A4" s="75" t="s">
        <v>1420</v>
      </c>
      <c r="B4" s="11">
        <v>1969</v>
      </c>
      <c r="C4" s="11">
        <v>1979</v>
      </c>
      <c r="D4" s="11">
        <v>1989</v>
      </c>
      <c r="E4" s="11">
        <v>1999</v>
      </c>
      <c r="F4" s="11">
        <v>2009</v>
      </c>
      <c r="G4" s="75" t="s">
        <v>1019</v>
      </c>
      <c r="H4" s="879"/>
      <c r="I4" s="553">
        <v>2014</v>
      </c>
    </row>
    <row r="5" spans="1:9" s="1011" customFormat="1" x14ac:dyDescent="0.3">
      <c r="A5" s="940">
        <f t="shared" ref="A5:A17" si="0">AVERAGE(C5,I5)</f>
        <v>0.74870117380966783</v>
      </c>
      <c r="B5" s="940">
        <f t="shared" ref="B5:B17" si="1">M33</f>
        <v>0.82907241942416299</v>
      </c>
      <c r="C5" s="1056">
        <f t="shared" ref="C5:C17" si="2">M74</f>
        <v>0.7992334251947576</v>
      </c>
      <c r="D5" s="1056">
        <f t="shared" ref="D5:D17" si="3">M115</f>
        <v>0.73644155037526748</v>
      </c>
      <c r="E5" s="1056">
        <f t="shared" ref="E5:E17" si="4">M115</f>
        <v>0.73644155037526748</v>
      </c>
      <c r="F5" s="1056">
        <f t="shared" ref="F5:F17" si="5">M156</f>
        <v>0.71092646507480783</v>
      </c>
      <c r="G5" s="936" t="s">
        <v>246</v>
      </c>
      <c r="H5" s="879"/>
      <c r="I5" s="579">
        <f t="shared" ref="I5:I17" si="6">F5+(F5-E5)/10*5</f>
        <v>0.69816892242457795</v>
      </c>
    </row>
    <row r="6" spans="1:9" s="1011" customFormat="1" x14ac:dyDescent="0.3">
      <c r="A6" s="940">
        <f t="shared" si="0"/>
        <v>0.65085019660068943</v>
      </c>
      <c r="B6" s="579">
        <f t="shared" si="1"/>
        <v>0.78679512782705341</v>
      </c>
      <c r="C6" s="445">
        <f t="shared" si="2"/>
        <v>0.70017914887554666</v>
      </c>
      <c r="D6" s="445">
        <f t="shared" si="3"/>
        <v>0.69105471440530719</v>
      </c>
      <c r="E6" s="445">
        <f t="shared" si="4"/>
        <v>0.69105471440530719</v>
      </c>
      <c r="F6" s="445">
        <f t="shared" si="5"/>
        <v>0.6313657343523239</v>
      </c>
      <c r="G6" s="941" t="s">
        <v>1421</v>
      </c>
      <c r="H6" s="879"/>
      <c r="I6" s="579">
        <f t="shared" si="6"/>
        <v>0.60152124432583221</v>
      </c>
    </row>
    <row r="7" spans="1:9" s="1011" customFormat="1" x14ac:dyDescent="0.3">
      <c r="A7" s="940">
        <f t="shared" si="0"/>
        <v>0.6386872096108458</v>
      </c>
      <c r="B7" s="579">
        <f t="shared" si="1"/>
        <v>0.85022449503843267</v>
      </c>
      <c r="C7" s="445">
        <f t="shared" si="2"/>
        <v>0.72347679665183129</v>
      </c>
      <c r="D7" s="445">
        <f t="shared" si="3"/>
        <v>0.63838641126144047</v>
      </c>
      <c r="E7" s="445">
        <f t="shared" si="4"/>
        <v>0.63838641126144047</v>
      </c>
      <c r="F7" s="445">
        <f t="shared" si="5"/>
        <v>0.58206055213372032</v>
      </c>
      <c r="G7" s="941" t="s">
        <v>1422</v>
      </c>
      <c r="H7" s="879"/>
      <c r="I7" s="579">
        <f t="shared" si="6"/>
        <v>0.55389762256986019</v>
      </c>
    </row>
    <row r="8" spans="1:9" s="1011" customFormat="1" x14ac:dyDescent="0.3">
      <c r="A8" s="940">
        <f t="shared" si="0"/>
        <v>0.6644586375429693</v>
      </c>
      <c r="B8" s="579">
        <f t="shared" si="1"/>
        <v>0.81992495527873266</v>
      </c>
      <c r="C8" s="445">
        <f t="shared" si="2"/>
        <v>0.77357782712176848</v>
      </c>
      <c r="D8" s="445">
        <f t="shared" si="3"/>
        <v>0.66009294895551185</v>
      </c>
      <c r="E8" s="445">
        <f t="shared" si="4"/>
        <v>0.66009294895551185</v>
      </c>
      <c r="F8" s="445">
        <f t="shared" si="5"/>
        <v>0.59025728162795077</v>
      </c>
      <c r="G8" s="941" t="s">
        <v>1423</v>
      </c>
      <c r="H8" s="879"/>
      <c r="I8" s="579">
        <f t="shared" si="6"/>
        <v>0.55533944796417023</v>
      </c>
    </row>
    <row r="9" spans="1:9" s="1011" customFormat="1" x14ac:dyDescent="0.3">
      <c r="A9" s="940">
        <f t="shared" si="0"/>
        <v>0.68679168394641166</v>
      </c>
      <c r="B9" s="579">
        <f t="shared" si="1"/>
        <v>0.78722227009525514</v>
      </c>
      <c r="C9" s="445">
        <f t="shared" si="2"/>
        <v>0.79611220342638656</v>
      </c>
      <c r="D9" s="445">
        <f t="shared" si="3"/>
        <v>0.68577111747763864</v>
      </c>
      <c r="E9" s="445">
        <f t="shared" si="4"/>
        <v>0.68577111747763864</v>
      </c>
      <c r="F9" s="445">
        <f t="shared" si="5"/>
        <v>0.61357114880350405</v>
      </c>
      <c r="G9" s="941" t="s">
        <v>1424</v>
      </c>
      <c r="H9" s="879"/>
      <c r="I9" s="579">
        <f t="shared" si="6"/>
        <v>0.57747116446643676</v>
      </c>
    </row>
    <row r="10" spans="1:9" s="1011" customFormat="1" x14ac:dyDescent="0.3">
      <c r="A10" s="940">
        <f t="shared" si="0"/>
        <v>0.71450587644618602</v>
      </c>
      <c r="B10" s="579">
        <f t="shared" si="1"/>
        <v>0.81359901415941993</v>
      </c>
      <c r="C10" s="445">
        <f t="shared" si="2"/>
        <v>0.80608274876018904</v>
      </c>
      <c r="D10" s="445">
        <f t="shared" si="3"/>
        <v>0.70143115303446324</v>
      </c>
      <c r="E10" s="445">
        <f t="shared" si="4"/>
        <v>0.70143115303446324</v>
      </c>
      <c r="F10" s="445">
        <f t="shared" si="5"/>
        <v>0.64909638709960982</v>
      </c>
      <c r="G10" s="941" t="s">
        <v>1425</v>
      </c>
      <c r="H10" s="879"/>
      <c r="I10" s="579">
        <f t="shared" si="6"/>
        <v>0.62292900413218311</v>
      </c>
    </row>
    <row r="11" spans="1:9" s="1011" customFormat="1" x14ac:dyDescent="0.3">
      <c r="A11" s="940">
        <f t="shared" si="0"/>
        <v>0.71698616088009814</v>
      </c>
      <c r="B11" s="579">
        <f t="shared" si="1"/>
        <v>0.8589402042119777</v>
      </c>
      <c r="C11" s="445">
        <f t="shared" si="2"/>
        <v>0.79278628664494999</v>
      </c>
      <c r="D11" s="445">
        <f t="shared" si="3"/>
        <v>0.71692507693166507</v>
      </c>
      <c r="E11" s="445">
        <f t="shared" si="4"/>
        <v>0.71692507693166507</v>
      </c>
      <c r="F11" s="445">
        <f t="shared" si="5"/>
        <v>0.66643238238738589</v>
      </c>
      <c r="G11" s="941" t="s">
        <v>1426</v>
      </c>
      <c r="H11" s="879"/>
      <c r="I11" s="579">
        <f t="shared" si="6"/>
        <v>0.6411860351152463</v>
      </c>
    </row>
    <row r="12" spans="1:9" s="1011" customFormat="1" x14ac:dyDescent="0.3">
      <c r="A12" s="940">
        <f t="shared" si="0"/>
        <v>0.7183400768001269</v>
      </c>
      <c r="B12" s="579">
        <f t="shared" si="1"/>
        <v>0.91225141309813695</v>
      </c>
      <c r="C12" s="445">
        <f t="shared" si="2"/>
        <v>0.775932493075007</v>
      </c>
      <c r="D12" s="445">
        <f t="shared" si="3"/>
        <v>0.71685091565102477</v>
      </c>
      <c r="E12" s="445">
        <f t="shared" si="4"/>
        <v>0.71685091565102477</v>
      </c>
      <c r="F12" s="445">
        <f t="shared" si="5"/>
        <v>0.67944874556717272</v>
      </c>
      <c r="G12" s="941" t="s">
        <v>1427</v>
      </c>
      <c r="H12" s="879"/>
      <c r="I12" s="579">
        <f t="shared" si="6"/>
        <v>0.66074766052524669</v>
      </c>
    </row>
    <row r="13" spans="1:9" s="1011" customFormat="1" x14ac:dyDescent="0.3">
      <c r="A13" s="940">
        <f t="shared" si="0"/>
        <v>0.75309346765243657</v>
      </c>
      <c r="B13" s="579">
        <f t="shared" si="1"/>
        <v>0.95190946988894942</v>
      </c>
      <c r="C13" s="445">
        <f t="shared" si="2"/>
        <v>0.86746140070142153</v>
      </c>
      <c r="D13" s="445">
        <f t="shared" si="3"/>
        <v>0.70569686777380702</v>
      </c>
      <c r="E13" s="445">
        <f t="shared" si="4"/>
        <v>0.70569686777380702</v>
      </c>
      <c r="F13" s="445">
        <f t="shared" si="5"/>
        <v>0.66104931232690345</v>
      </c>
      <c r="G13" s="941" t="s">
        <v>1428</v>
      </c>
      <c r="H13" s="879"/>
      <c r="I13" s="579">
        <f t="shared" si="6"/>
        <v>0.63872553460345172</v>
      </c>
    </row>
    <row r="14" spans="1:9" s="1011" customFormat="1" x14ac:dyDescent="0.3">
      <c r="A14" s="940">
        <f t="shared" si="0"/>
        <v>0.7925006150611853</v>
      </c>
      <c r="B14" s="579">
        <f t="shared" si="1"/>
        <v>0.96616747841925155</v>
      </c>
      <c r="C14" s="445">
        <f t="shared" si="2"/>
        <v>0.93873351586486276</v>
      </c>
      <c r="D14" s="445">
        <f t="shared" si="3"/>
        <v>0.81369447616078405</v>
      </c>
      <c r="E14" s="445">
        <f t="shared" si="4"/>
        <v>0.81369447616078405</v>
      </c>
      <c r="F14" s="445">
        <f t="shared" si="5"/>
        <v>0.70207663489193328</v>
      </c>
      <c r="G14" s="941" t="s">
        <v>1429</v>
      </c>
      <c r="H14" s="879"/>
      <c r="I14" s="579">
        <f t="shared" si="6"/>
        <v>0.64626771425750795</v>
      </c>
    </row>
    <row r="15" spans="1:9" s="1011" customFormat="1" x14ac:dyDescent="0.3">
      <c r="A15" s="940">
        <f t="shared" si="0"/>
        <v>0.86199345892971602</v>
      </c>
      <c r="B15" s="579">
        <f t="shared" si="1"/>
        <v>0.97354370029652515</v>
      </c>
      <c r="C15" s="445">
        <f t="shared" si="2"/>
        <v>0.95217419625439426</v>
      </c>
      <c r="D15" s="445">
        <f t="shared" si="3"/>
        <v>0.89388190484753427</v>
      </c>
      <c r="E15" s="445">
        <f t="shared" si="4"/>
        <v>0.89388190484753427</v>
      </c>
      <c r="F15" s="445">
        <f t="shared" si="5"/>
        <v>0.81250244935253657</v>
      </c>
      <c r="G15" s="941" t="s">
        <v>1430</v>
      </c>
      <c r="H15" s="879"/>
      <c r="I15" s="579">
        <f t="shared" si="6"/>
        <v>0.77181272160503767</v>
      </c>
    </row>
    <row r="16" spans="1:9" s="1011" customFormat="1" x14ac:dyDescent="0.3">
      <c r="A16" s="940">
        <f t="shared" si="0"/>
        <v>0.90145637759100072</v>
      </c>
      <c r="B16" s="579">
        <f t="shared" si="1"/>
        <v>0.97946355137049534</v>
      </c>
      <c r="C16" s="445">
        <f t="shared" si="2"/>
        <v>0.95295379907672439</v>
      </c>
      <c r="D16" s="445">
        <f t="shared" si="3"/>
        <v>0.91978443379527908</v>
      </c>
      <c r="E16" s="445">
        <f t="shared" si="4"/>
        <v>0.91978443379527908</v>
      </c>
      <c r="F16" s="445">
        <f t="shared" si="5"/>
        <v>0.87323411533527762</v>
      </c>
      <c r="G16" s="941" t="s">
        <v>1431</v>
      </c>
      <c r="H16" s="879"/>
      <c r="I16" s="579">
        <f t="shared" si="6"/>
        <v>0.84995895610527694</v>
      </c>
    </row>
    <row r="17" spans="1:13" s="1011" customFormat="1" x14ac:dyDescent="0.3">
      <c r="A17" s="940">
        <f t="shared" si="0"/>
        <v>0.92142698001846579</v>
      </c>
      <c r="B17" s="579">
        <f t="shared" si="1"/>
        <v>0.95596571962118182</v>
      </c>
      <c r="C17" s="445">
        <f t="shared" si="2"/>
        <v>0.94628064294413428</v>
      </c>
      <c r="D17" s="445">
        <f t="shared" si="3"/>
        <v>0.94619358168425327</v>
      </c>
      <c r="E17" s="445">
        <f t="shared" si="4"/>
        <v>0.94619358168425327</v>
      </c>
      <c r="F17" s="445">
        <f t="shared" si="5"/>
        <v>0.91311340528994933</v>
      </c>
      <c r="G17" s="941" t="s">
        <v>1432</v>
      </c>
      <c r="H17" s="879"/>
      <c r="I17" s="579">
        <f t="shared" si="6"/>
        <v>0.89657331709279742</v>
      </c>
    </row>
    <row r="18" spans="1:13" s="1011" customFormat="1" x14ac:dyDescent="0.3">
      <c r="A18" s="879"/>
      <c r="B18" s="879"/>
      <c r="C18" s="879"/>
      <c r="D18" s="879"/>
      <c r="E18" s="879"/>
      <c r="F18" s="879"/>
      <c r="G18" s="879"/>
      <c r="H18" s="879"/>
      <c r="I18" s="879"/>
    </row>
    <row r="19" spans="1:13" s="1011" customFormat="1" x14ac:dyDescent="0.3">
      <c r="A19" s="879" t="s">
        <v>1436</v>
      </c>
      <c r="B19" s="879"/>
      <c r="C19" s="579">
        <f>C5</f>
        <v>0.7992334251947576</v>
      </c>
      <c r="D19" s="579">
        <f>$C19+($F19-$C19)/30*10</f>
        <v>0.76979777182144105</v>
      </c>
      <c r="E19" s="579">
        <f>$C19+($F19-$C19)/30*20</f>
        <v>0.74036211844812438</v>
      </c>
      <c r="F19" s="579">
        <f>F5</f>
        <v>0.71092646507480783</v>
      </c>
      <c r="G19" s="879"/>
      <c r="H19" s="879"/>
      <c r="I19" s="579">
        <f>$C19+($F19-$C19)/30*35</f>
        <v>0.6962086383881495</v>
      </c>
    </row>
    <row r="20" spans="1:13" s="1011" customFormat="1" x14ac:dyDescent="0.3"/>
    <row r="21" spans="1:13" s="1011" customFormat="1" x14ac:dyDescent="0.3"/>
    <row r="22" spans="1:13" s="1011" customFormat="1" x14ac:dyDescent="0.3"/>
    <row r="23" spans="1:13" s="1011" customFormat="1" x14ac:dyDescent="0.3"/>
    <row r="24" spans="1:13" x14ac:dyDescent="0.3">
      <c r="A24" s="915" t="s">
        <v>1444</v>
      </c>
      <c r="B24" s="916"/>
      <c r="C24" s="916"/>
      <c r="D24" s="916"/>
      <c r="E24" s="916"/>
      <c r="F24" s="916"/>
      <c r="G24" s="916"/>
      <c r="H24" s="916"/>
      <c r="I24" s="916"/>
      <c r="J24" s="916"/>
    </row>
    <row r="25" spans="1:13" x14ac:dyDescent="0.3">
      <c r="A25" s="915" t="s">
        <v>1407</v>
      </c>
      <c r="B25" s="916"/>
      <c r="C25" s="916"/>
      <c r="D25" s="916"/>
      <c r="E25" s="916"/>
      <c r="F25" s="916"/>
      <c r="G25" s="916"/>
      <c r="H25" s="916"/>
      <c r="I25" s="916"/>
      <c r="J25" s="916"/>
    </row>
    <row r="26" spans="1:13" x14ac:dyDescent="0.3">
      <c r="A26" s="917" t="s">
        <v>1408</v>
      </c>
      <c r="B26" s="916"/>
      <c r="C26" s="916"/>
      <c r="D26" s="916"/>
      <c r="E26" s="916"/>
      <c r="F26" s="916"/>
      <c r="G26" s="916"/>
      <c r="H26" s="916"/>
      <c r="I26" s="916"/>
      <c r="J26" s="916"/>
    </row>
    <row r="27" spans="1:13" ht="15" thickBot="1" x14ac:dyDescent="0.35">
      <c r="A27" s="918"/>
      <c r="B27" s="919"/>
      <c r="C27" s="919"/>
      <c r="D27" s="919"/>
      <c r="E27" s="919"/>
      <c r="F27" s="919"/>
      <c r="G27" s="919"/>
      <c r="H27" s="919"/>
      <c r="I27" s="919"/>
      <c r="J27" s="919"/>
    </row>
    <row r="28" spans="1:13" ht="15" thickTop="1" x14ac:dyDescent="0.3">
      <c r="A28" s="920"/>
      <c r="B28" s="921" t="s">
        <v>1409</v>
      </c>
      <c r="C28" s="921"/>
      <c r="D28" s="921"/>
      <c r="E28" s="921" t="s">
        <v>1410</v>
      </c>
      <c r="F28" s="921"/>
      <c r="G28" s="921"/>
      <c r="H28" s="921" t="s">
        <v>1411</v>
      </c>
      <c r="I28" s="921"/>
      <c r="J28" s="922"/>
    </row>
    <row r="29" spans="1:13" x14ac:dyDescent="0.3">
      <c r="A29" s="923" t="s">
        <v>1412</v>
      </c>
      <c r="B29" s="924" t="s">
        <v>1413</v>
      </c>
      <c r="C29" s="925" t="s">
        <v>1414</v>
      </c>
      <c r="D29" s="925"/>
      <c r="E29" s="924" t="s">
        <v>1413</v>
      </c>
      <c r="F29" s="925" t="s">
        <v>1414</v>
      </c>
      <c r="G29" s="925"/>
      <c r="H29" s="924" t="s">
        <v>1413</v>
      </c>
      <c r="I29" s="926" t="s">
        <v>1415</v>
      </c>
      <c r="J29" s="927"/>
    </row>
    <row r="30" spans="1:13" x14ac:dyDescent="0.3">
      <c r="A30" s="923" t="s">
        <v>1416</v>
      </c>
      <c r="B30" s="924" t="s">
        <v>1417</v>
      </c>
      <c r="C30" s="928" t="s">
        <v>246</v>
      </c>
      <c r="D30" s="928" t="s">
        <v>1327</v>
      </c>
      <c r="E30" s="924" t="s">
        <v>1417</v>
      </c>
      <c r="F30" s="928" t="s">
        <v>246</v>
      </c>
      <c r="G30" s="928" t="s">
        <v>1327</v>
      </c>
      <c r="H30" s="924" t="s">
        <v>1417</v>
      </c>
      <c r="I30" s="928" t="s">
        <v>246</v>
      </c>
      <c r="J30" s="929" t="s">
        <v>1327</v>
      </c>
    </row>
    <row r="31" spans="1:13" x14ac:dyDescent="0.3">
      <c r="A31" s="930"/>
      <c r="B31" s="924" t="s">
        <v>1418</v>
      </c>
      <c r="C31" s="931"/>
      <c r="D31" s="931"/>
      <c r="E31" s="924" t="s">
        <v>1418</v>
      </c>
      <c r="F31" s="931"/>
      <c r="G31" s="931"/>
      <c r="H31" s="924" t="s">
        <v>1418</v>
      </c>
      <c r="I31" s="931"/>
      <c r="J31" s="932"/>
    </row>
    <row r="32" spans="1:13" x14ac:dyDescent="0.3">
      <c r="A32" s="933"/>
      <c r="B32" s="934">
        <v>1</v>
      </c>
      <c r="C32" s="934">
        <v>2</v>
      </c>
      <c r="D32" s="934">
        <v>3</v>
      </c>
      <c r="E32" s="934">
        <v>4</v>
      </c>
      <c r="F32" s="934">
        <v>5</v>
      </c>
      <c r="G32" s="934">
        <v>6</v>
      </c>
      <c r="H32" s="934">
        <v>7</v>
      </c>
      <c r="I32" s="934">
        <v>8</v>
      </c>
      <c r="J32" s="935">
        <v>9</v>
      </c>
      <c r="M32" s="12" t="s">
        <v>1419</v>
      </c>
    </row>
    <row r="33" spans="1:13" x14ac:dyDescent="0.3">
      <c r="A33" s="936" t="s">
        <v>246</v>
      </c>
      <c r="B33" s="937">
        <v>51707592.651380457</v>
      </c>
      <c r="C33" s="937">
        <v>380755574.2550835</v>
      </c>
      <c r="D33" s="937">
        <v>7363.6298797004292</v>
      </c>
      <c r="E33" s="937">
        <v>16048305.436750511</v>
      </c>
      <c r="F33" s="937">
        <v>61558487.360806085</v>
      </c>
      <c r="G33" s="937">
        <v>3835.8247606527707</v>
      </c>
      <c r="H33" s="937">
        <v>35659287.214629948</v>
      </c>
      <c r="I33" s="937">
        <v>319197086.89427739</v>
      </c>
      <c r="J33" s="938">
        <v>8951.3030637168849</v>
      </c>
      <c r="M33" s="939">
        <f>I33/(I33+I51)</f>
        <v>0.82907241942416299</v>
      </c>
    </row>
    <row r="34" spans="1:13" x14ac:dyDescent="0.3">
      <c r="A34" s="941" t="s">
        <v>1421</v>
      </c>
      <c r="B34" s="942">
        <v>15796319</v>
      </c>
      <c r="C34" s="942">
        <v>35223473</v>
      </c>
      <c r="D34" s="942">
        <v>2229.8532335286468</v>
      </c>
      <c r="E34" s="942">
        <v>11295648</v>
      </c>
      <c r="F34" s="942">
        <v>21967673</v>
      </c>
      <c r="G34" s="942">
        <v>1944.7908610466616</v>
      </c>
      <c r="H34" s="942">
        <v>4500671</v>
      </c>
      <c r="I34" s="942">
        <v>13255800</v>
      </c>
      <c r="J34" s="943">
        <v>2945.2941572489972</v>
      </c>
      <c r="M34" s="944">
        <f t="shared" ref="M34:M45" si="7">I34/(I34+I52)</f>
        <v>0.78679512782705341</v>
      </c>
    </row>
    <row r="35" spans="1:13" x14ac:dyDescent="0.3">
      <c r="A35" s="941" t="s">
        <v>1422</v>
      </c>
      <c r="B35" s="942">
        <v>16887945</v>
      </c>
      <c r="C35" s="942">
        <v>113257731</v>
      </c>
      <c r="D35" s="942">
        <v>6706.4246715630588</v>
      </c>
      <c r="E35" s="942">
        <v>3699480</v>
      </c>
      <c r="F35" s="942">
        <v>25942669</v>
      </c>
      <c r="G35" s="942">
        <v>7012.5177051909995</v>
      </c>
      <c r="H35" s="942">
        <v>13188465</v>
      </c>
      <c r="I35" s="942">
        <v>87315062</v>
      </c>
      <c r="J35" s="943">
        <v>6620.5628934072311</v>
      </c>
      <c r="M35" s="944">
        <f t="shared" si="7"/>
        <v>0.85022449503843267</v>
      </c>
    </row>
    <row r="36" spans="1:13" x14ac:dyDescent="0.3">
      <c r="A36" s="941" t="s">
        <v>1423</v>
      </c>
      <c r="B36" s="942">
        <v>12236536</v>
      </c>
      <c r="C36" s="942">
        <v>121486585</v>
      </c>
      <c r="D36" s="942">
        <v>9928.1843325594764</v>
      </c>
      <c r="E36" s="942">
        <v>822059</v>
      </c>
      <c r="F36" s="942">
        <v>9289580</v>
      </c>
      <c r="G36" s="942">
        <v>11300.381116197255</v>
      </c>
      <c r="H36" s="942">
        <v>11414477</v>
      </c>
      <c r="I36" s="942">
        <v>112197005</v>
      </c>
      <c r="J36" s="943">
        <v>9829.3601187334298</v>
      </c>
      <c r="M36" s="944">
        <f t="shared" si="7"/>
        <v>0.81992495527873266</v>
      </c>
    </row>
    <row r="37" spans="1:13" x14ac:dyDescent="0.3">
      <c r="A37" s="941" t="s">
        <v>1424</v>
      </c>
      <c r="B37" s="942">
        <v>4214591.9759752704</v>
      </c>
      <c r="C37" s="942">
        <v>54572382.052913353</v>
      </c>
      <c r="D37" s="942">
        <v>12948.437799909474</v>
      </c>
      <c r="E37" s="942">
        <v>140634.62427546317</v>
      </c>
      <c r="F37" s="942">
        <v>2175860.4381556101</v>
      </c>
      <c r="G37" s="942">
        <v>15471.726463987412</v>
      </c>
      <c r="H37" s="942">
        <v>4073957.3516998072</v>
      </c>
      <c r="I37" s="942">
        <v>52396521.614757746</v>
      </c>
      <c r="J37" s="943">
        <v>12861.332874016454</v>
      </c>
      <c r="M37" s="944">
        <f t="shared" si="7"/>
        <v>0.78722227009525514</v>
      </c>
    </row>
    <row r="38" spans="1:13" x14ac:dyDescent="0.3">
      <c r="A38" s="941" t="s">
        <v>1425</v>
      </c>
      <c r="B38" s="942">
        <v>1275533.0315482437</v>
      </c>
      <c r="C38" s="942">
        <v>21175289.934277598</v>
      </c>
      <c r="D38" s="942">
        <v>16601.130202465243</v>
      </c>
      <c r="E38" s="942">
        <v>41213.726480833669</v>
      </c>
      <c r="F38" s="942">
        <v>780438.96382276365</v>
      </c>
      <c r="G38" s="942">
        <v>18936.384318115583</v>
      </c>
      <c r="H38" s="942">
        <v>1234319.30506741</v>
      </c>
      <c r="I38" s="942">
        <v>20394850.970454834</v>
      </c>
      <c r="J38" s="943">
        <v>16523.15643668962</v>
      </c>
      <c r="M38" s="944">
        <f t="shared" si="7"/>
        <v>0.81359901415941993</v>
      </c>
    </row>
    <row r="39" spans="1:13" x14ac:dyDescent="0.3">
      <c r="A39" s="941" t="s">
        <v>1426</v>
      </c>
      <c r="B39" s="942">
        <v>498470.97839471622</v>
      </c>
      <c r="C39" s="942">
        <v>10058828.519708054</v>
      </c>
      <c r="D39" s="942">
        <v>20179.366413871601</v>
      </c>
      <c r="E39" s="942">
        <v>18689.410052613905</v>
      </c>
      <c r="F39" s="942">
        <v>396461.39360707247</v>
      </c>
      <c r="G39" s="942">
        <v>21213.157209936828</v>
      </c>
      <c r="H39" s="942">
        <v>479781.56834210234</v>
      </c>
      <c r="I39" s="942">
        <v>9662367.1261009816</v>
      </c>
      <c r="J39" s="943">
        <v>20139.096129702401</v>
      </c>
      <c r="M39" s="944">
        <f t="shared" si="7"/>
        <v>0.8589402042119777</v>
      </c>
    </row>
    <row r="40" spans="1:13" x14ac:dyDescent="0.3">
      <c r="A40" s="941" t="s">
        <v>1427</v>
      </c>
      <c r="B40" s="942">
        <v>540220.26661868428</v>
      </c>
      <c r="C40" s="942">
        <v>13945493.805069769</v>
      </c>
      <c r="D40" s="942">
        <v>25814.45878059445</v>
      </c>
      <c r="E40" s="942">
        <v>19439.757726093787</v>
      </c>
      <c r="F40" s="942">
        <v>532254.16099805955</v>
      </c>
      <c r="G40" s="942">
        <v>27379.670492684192</v>
      </c>
      <c r="H40" s="942">
        <v>520780.50889259047</v>
      </c>
      <c r="I40" s="942">
        <v>13413239.644071709</v>
      </c>
      <c r="J40" s="943">
        <v>25756.032368788503</v>
      </c>
      <c r="M40" s="944">
        <f t="shared" si="7"/>
        <v>0.91225141309813695</v>
      </c>
    </row>
    <row r="41" spans="1:13" x14ac:dyDescent="0.3">
      <c r="A41" s="941" t="s">
        <v>1428</v>
      </c>
      <c r="B41" s="942">
        <v>206142.99117663316</v>
      </c>
      <c r="C41" s="942">
        <v>7899052.9280290147</v>
      </c>
      <c r="D41" s="942">
        <v>38318.319157699269</v>
      </c>
      <c r="E41" s="942">
        <v>8215.5637897529887</v>
      </c>
      <c r="F41" s="942">
        <v>318135.42584370339</v>
      </c>
      <c r="G41" s="942">
        <v>38723.505043014033</v>
      </c>
      <c r="H41" s="942">
        <v>197927.42738688018</v>
      </c>
      <c r="I41" s="942">
        <v>7580917.5021853112</v>
      </c>
      <c r="J41" s="943">
        <v>38301.500718074909</v>
      </c>
      <c r="M41" s="944">
        <f t="shared" si="7"/>
        <v>0.95190946988894942</v>
      </c>
    </row>
    <row r="42" spans="1:13" x14ac:dyDescent="0.3">
      <c r="A42" s="941" t="s">
        <v>1429</v>
      </c>
      <c r="B42" s="942">
        <v>39752.298296920693</v>
      </c>
      <c r="C42" s="942">
        <v>2284586.2884774082</v>
      </c>
      <c r="D42" s="942">
        <v>57470.546015055879</v>
      </c>
      <c r="E42" s="942">
        <v>1776.9933769138138</v>
      </c>
      <c r="F42" s="942">
        <v>94687.088203017513</v>
      </c>
      <c r="G42" s="942">
        <v>53284.997813252936</v>
      </c>
      <c r="H42" s="942">
        <v>37975.304920006878</v>
      </c>
      <c r="I42" s="942">
        <v>2189899.2002743906</v>
      </c>
      <c r="J42" s="943">
        <v>57666.402018030036</v>
      </c>
      <c r="M42" s="944">
        <f t="shared" si="7"/>
        <v>0.96616747841925155</v>
      </c>
    </row>
    <row r="43" spans="1:13" x14ac:dyDescent="0.3">
      <c r="A43" s="941" t="s">
        <v>1430</v>
      </c>
      <c r="B43" s="942">
        <v>9532.9368945474671</v>
      </c>
      <c r="C43" s="942">
        <v>648315.22803031642</v>
      </c>
      <c r="D43" s="942">
        <v>68007.921923948947</v>
      </c>
      <c r="E43" s="942">
        <v>854.17769166897313</v>
      </c>
      <c r="F43" s="942">
        <v>36682.289537176235</v>
      </c>
      <c r="G43" s="942">
        <v>42944.565158922509</v>
      </c>
      <c r="H43" s="942">
        <v>8678.7592028784948</v>
      </c>
      <c r="I43" s="942">
        <v>611632.93849314016</v>
      </c>
      <c r="J43" s="943">
        <v>70474.698536431228</v>
      </c>
      <c r="M43" s="944">
        <f t="shared" si="7"/>
        <v>0.97354370029652515</v>
      </c>
    </row>
    <row r="44" spans="1:13" x14ac:dyDescent="0.3">
      <c r="A44" s="941" t="s">
        <v>1431</v>
      </c>
      <c r="B44" s="942">
        <v>1689.5327695560254</v>
      </c>
      <c r="C44" s="942">
        <v>129483.67468936171</v>
      </c>
      <c r="D44" s="942">
        <v>76638.74712734182</v>
      </c>
      <c r="E44" s="942">
        <v>193.42600422832982</v>
      </c>
      <c r="F44" s="942">
        <v>9534.7032170212769</v>
      </c>
      <c r="G44" s="942">
        <v>49293.802325389668</v>
      </c>
      <c r="H44" s="942">
        <v>1496.1067653276955</v>
      </c>
      <c r="I44" s="942">
        <v>119948.97147234043</v>
      </c>
      <c r="J44" s="943">
        <v>80174.071966092437</v>
      </c>
      <c r="M44" s="944">
        <f t="shared" si="7"/>
        <v>0.97946355137049534</v>
      </c>
    </row>
    <row r="45" spans="1:13" ht="15" thickBot="1" x14ac:dyDescent="0.35">
      <c r="A45" s="941" t="s">
        <v>1432</v>
      </c>
      <c r="B45" s="942">
        <v>858.63970588235293</v>
      </c>
      <c r="C45" s="942">
        <v>74352.823888676823</v>
      </c>
      <c r="D45" s="942">
        <v>86593.740516891863</v>
      </c>
      <c r="E45" s="942">
        <v>100.75735294117646</v>
      </c>
      <c r="F45" s="942">
        <v>14510.897421660826</v>
      </c>
      <c r="G45" s="942">
        <v>144018.24778120648</v>
      </c>
      <c r="H45" s="942">
        <v>757.88235294117646</v>
      </c>
      <c r="I45" s="942">
        <v>59841.926467015997</v>
      </c>
      <c r="J45" s="943">
        <v>78959.387607829238</v>
      </c>
      <c r="M45" s="944">
        <f t="shared" si="7"/>
        <v>0.95596571962118182</v>
      </c>
    </row>
    <row r="46" spans="1:13" ht="15" thickTop="1" x14ac:dyDescent="0.3">
      <c r="A46" s="930"/>
      <c r="B46" s="921" t="s">
        <v>1433</v>
      </c>
      <c r="C46" s="921"/>
      <c r="D46" s="921"/>
      <c r="E46" s="921" t="s">
        <v>1434</v>
      </c>
      <c r="F46" s="921"/>
      <c r="G46" s="921"/>
      <c r="H46" s="921" t="s">
        <v>1435</v>
      </c>
      <c r="I46" s="921"/>
      <c r="J46" s="922"/>
    </row>
    <row r="47" spans="1:13" x14ac:dyDescent="0.3">
      <c r="A47" s="923" t="s">
        <v>1412</v>
      </c>
      <c r="B47" s="924" t="s">
        <v>1413</v>
      </c>
      <c r="C47" s="925" t="s">
        <v>1414</v>
      </c>
      <c r="D47" s="925"/>
      <c r="E47" s="924" t="s">
        <v>1413</v>
      </c>
      <c r="F47" s="925" t="s">
        <v>1414</v>
      </c>
      <c r="G47" s="925"/>
      <c r="H47" s="924" t="s">
        <v>1413</v>
      </c>
      <c r="I47" s="925" t="s">
        <v>1414</v>
      </c>
      <c r="J47" s="927"/>
    </row>
    <row r="48" spans="1:13" x14ac:dyDescent="0.3">
      <c r="A48" s="923" t="s">
        <v>1416</v>
      </c>
      <c r="B48" s="924" t="s">
        <v>1417</v>
      </c>
      <c r="C48" s="928" t="s">
        <v>246</v>
      </c>
      <c r="D48" s="928" t="s">
        <v>1327</v>
      </c>
      <c r="E48" s="924" t="s">
        <v>1417</v>
      </c>
      <c r="F48" s="928" t="s">
        <v>246</v>
      </c>
      <c r="G48" s="928" t="s">
        <v>1327</v>
      </c>
      <c r="H48" s="924" t="s">
        <v>1417</v>
      </c>
      <c r="I48" s="928" t="s">
        <v>246</v>
      </c>
      <c r="J48" s="929" t="s">
        <v>1327</v>
      </c>
    </row>
    <row r="49" spans="1:10" x14ac:dyDescent="0.3">
      <c r="A49" s="923"/>
      <c r="B49" s="924" t="s">
        <v>1418</v>
      </c>
      <c r="C49" s="931"/>
      <c r="D49" s="931"/>
      <c r="E49" s="924" t="s">
        <v>1418</v>
      </c>
      <c r="F49" s="931"/>
      <c r="G49" s="931"/>
      <c r="H49" s="924" t="s">
        <v>1418</v>
      </c>
      <c r="I49" s="931"/>
      <c r="J49" s="932"/>
    </row>
    <row r="50" spans="1:10" x14ac:dyDescent="0.3">
      <c r="A50" s="933"/>
      <c r="B50" s="934">
        <v>1</v>
      </c>
      <c r="C50" s="934">
        <v>2</v>
      </c>
      <c r="D50" s="934">
        <v>3</v>
      </c>
      <c r="E50" s="934">
        <v>4</v>
      </c>
      <c r="F50" s="934">
        <v>5</v>
      </c>
      <c r="G50" s="934">
        <v>6</v>
      </c>
      <c r="H50" s="934">
        <v>7</v>
      </c>
      <c r="I50" s="934">
        <v>8</v>
      </c>
      <c r="J50" s="935">
        <v>9</v>
      </c>
    </row>
    <row r="51" spans="1:10" x14ac:dyDescent="0.3">
      <c r="A51" s="936" t="s">
        <v>246</v>
      </c>
      <c r="B51" s="937">
        <v>32301389.884593584</v>
      </c>
      <c r="C51" s="937">
        <v>111627904.15514714</v>
      </c>
      <c r="D51" s="937">
        <v>3455.8235591091079</v>
      </c>
      <c r="E51" s="937">
        <v>13108381.930558644</v>
      </c>
      <c r="F51" s="937">
        <v>45819918.614404291</v>
      </c>
      <c r="G51" s="937">
        <v>3495.4671642262383</v>
      </c>
      <c r="H51" s="937">
        <v>19193007.954034943</v>
      </c>
      <c r="I51" s="937">
        <v>65807985.540742859</v>
      </c>
      <c r="J51" s="938">
        <v>3428.7478908123962</v>
      </c>
    </row>
    <row r="52" spans="1:10" x14ac:dyDescent="0.3">
      <c r="A52" s="941" t="s">
        <v>1421</v>
      </c>
      <c r="B52" s="942">
        <v>11485024</v>
      </c>
      <c r="C52" s="942">
        <v>22911845</v>
      </c>
      <c r="D52" s="942">
        <v>1994.9322700588175</v>
      </c>
      <c r="E52" s="942">
        <v>9332352</v>
      </c>
      <c r="F52" s="942">
        <v>19319803</v>
      </c>
      <c r="G52" s="942">
        <v>2070.1965592382285</v>
      </c>
      <c r="H52" s="942">
        <v>2152672</v>
      </c>
      <c r="I52" s="942">
        <v>3592042</v>
      </c>
      <c r="J52" s="943">
        <v>1668.6434347638653</v>
      </c>
    </row>
    <row r="53" spans="1:10" x14ac:dyDescent="0.3">
      <c r="A53" s="941" t="s">
        <v>1422</v>
      </c>
      <c r="B53" s="942">
        <v>9521736</v>
      </c>
      <c r="C53" s="942">
        <v>36292852</v>
      </c>
      <c r="D53" s="942">
        <v>3811.5793170489083</v>
      </c>
      <c r="E53" s="942">
        <v>3257817</v>
      </c>
      <c r="F53" s="942">
        <v>20911435</v>
      </c>
      <c r="G53" s="942">
        <v>6418.8488794797249</v>
      </c>
      <c r="H53" s="942">
        <v>6263919</v>
      </c>
      <c r="I53" s="942">
        <v>15381417</v>
      </c>
      <c r="J53" s="943">
        <v>2455.5580939025554</v>
      </c>
    </row>
    <row r="54" spans="1:10" x14ac:dyDescent="0.3">
      <c r="A54" s="941" t="s">
        <v>1423</v>
      </c>
      <c r="B54" s="942">
        <v>7257123</v>
      </c>
      <c r="C54" s="942">
        <v>28911747</v>
      </c>
      <c r="D54" s="942">
        <v>3983.9130465337294</v>
      </c>
      <c r="E54" s="942">
        <v>419380</v>
      </c>
      <c r="F54" s="942">
        <v>4270613</v>
      </c>
      <c r="G54" s="942">
        <v>10183.15847203014</v>
      </c>
      <c r="H54" s="942">
        <v>6837743</v>
      </c>
      <c r="I54" s="942">
        <v>24641134</v>
      </c>
      <c r="J54" s="943">
        <v>3603.694084436926</v>
      </c>
    </row>
    <row r="55" spans="1:10" x14ac:dyDescent="0.3">
      <c r="A55" s="941" t="s">
        <v>1424</v>
      </c>
      <c r="B55" s="942">
        <v>2765259.6637474736</v>
      </c>
      <c r="C55" s="942">
        <v>15001264.038372293</v>
      </c>
      <c r="D55" s="942">
        <v>5424.9024910892504</v>
      </c>
      <c r="E55" s="942">
        <v>66761.503750823147</v>
      </c>
      <c r="F55" s="942">
        <v>839046.6474135333</v>
      </c>
      <c r="G55" s="942">
        <v>12567.821278339437</v>
      </c>
      <c r="H55" s="942">
        <v>2698498.1599966506</v>
      </c>
      <c r="I55" s="942">
        <v>14162217.39095876</v>
      </c>
      <c r="J55" s="943">
        <v>5248.1849351997844</v>
      </c>
    </row>
    <row r="56" spans="1:10" x14ac:dyDescent="0.3">
      <c r="A56" s="941" t="s">
        <v>1425</v>
      </c>
      <c r="B56" s="942">
        <v>761380.65011721873</v>
      </c>
      <c r="C56" s="942">
        <v>4881745.2973922221</v>
      </c>
      <c r="D56" s="942">
        <v>6411.7012911224501</v>
      </c>
      <c r="E56" s="942">
        <v>15587.993960256012</v>
      </c>
      <c r="F56" s="942">
        <v>209148.27993862695</v>
      </c>
      <c r="G56" s="942">
        <v>13417.26719113971</v>
      </c>
      <c r="H56" s="942">
        <v>745792.65615696274</v>
      </c>
      <c r="I56" s="942">
        <v>4672597.0174535951</v>
      </c>
      <c r="J56" s="943">
        <v>6265.2762518892114</v>
      </c>
    </row>
    <row r="57" spans="1:10" x14ac:dyDescent="0.3">
      <c r="A57" s="941" t="s">
        <v>1426</v>
      </c>
      <c r="B57" s="942">
        <v>241616.65314004253</v>
      </c>
      <c r="C57" s="942">
        <v>1667343.0011264111</v>
      </c>
      <c r="D57" s="942">
        <v>6900.7784830129594</v>
      </c>
      <c r="E57" s="942">
        <v>6018.0300570916825</v>
      </c>
      <c r="F57" s="942">
        <v>80536.926671969559</v>
      </c>
      <c r="G57" s="942">
        <v>13382.606252865813</v>
      </c>
      <c r="H57" s="942">
        <v>235598.62308295086</v>
      </c>
      <c r="I57" s="942">
        <v>1586806.0744544417</v>
      </c>
      <c r="J57" s="943">
        <v>6735.2094578912302</v>
      </c>
    </row>
    <row r="58" spans="1:10" x14ac:dyDescent="0.3">
      <c r="A58" s="941" t="s">
        <v>1427</v>
      </c>
      <c r="B58" s="942">
        <v>203753.7496991537</v>
      </c>
      <c r="C58" s="942">
        <v>1398251.8848025426</v>
      </c>
      <c r="D58" s="942">
        <v>6862.4596448756802</v>
      </c>
      <c r="E58" s="942">
        <v>7162.9124824164765</v>
      </c>
      <c r="F58" s="942">
        <v>108045.25136351808</v>
      </c>
      <c r="G58" s="942">
        <v>15083.983174267123</v>
      </c>
      <c r="H58" s="942">
        <v>196590.83721673721</v>
      </c>
      <c r="I58" s="942">
        <v>1290206.6334390244</v>
      </c>
      <c r="J58" s="943">
        <v>6562.9031937872005</v>
      </c>
    </row>
    <row r="59" spans="1:10" x14ac:dyDescent="0.3">
      <c r="A59" s="941" t="s">
        <v>1428</v>
      </c>
      <c r="B59" s="942">
        <v>55385.789463836954</v>
      </c>
      <c r="C59" s="942">
        <v>437986.53754410788</v>
      </c>
      <c r="D59" s="942">
        <v>7907.9226239084746</v>
      </c>
      <c r="E59" s="942">
        <v>2536.7460528721654</v>
      </c>
      <c r="F59" s="942">
        <v>54998.078094529381</v>
      </c>
      <c r="G59" s="942">
        <v>21680.561218281673</v>
      </c>
      <c r="H59" s="942">
        <v>52849.04341096479</v>
      </c>
      <c r="I59" s="942">
        <v>382988.45944957848</v>
      </c>
      <c r="J59" s="943">
        <v>7246.8380642461816</v>
      </c>
    </row>
    <row r="60" spans="1:10" x14ac:dyDescent="0.3">
      <c r="A60" s="941" t="s">
        <v>1429</v>
      </c>
      <c r="B60" s="942">
        <v>8163.0947875451575</v>
      </c>
      <c r="C60" s="942">
        <v>93932.272602406738</v>
      </c>
      <c r="D60" s="942">
        <v>11506.943756885428</v>
      </c>
      <c r="E60" s="942">
        <v>522.52666437295716</v>
      </c>
      <c r="F60" s="942">
        <v>17248.039684356514</v>
      </c>
      <c r="G60" s="942">
        <v>33008.917745957559</v>
      </c>
      <c r="H60" s="942">
        <v>7640.5681231722001</v>
      </c>
      <c r="I60" s="942">
        <v>76684.232918050227</v>
      </c>
      <c r="J60" s="943">
        <v>10036.456933808815</v>
      </c>
    </row>
    <row r="61" spans="1:10" x14ac:dyDescent="0.3">
      <c r="A61" s="941" t="s">
        <v>1430</v>
      </c>
      <c r="B61" s="942">
        <v>1570.9690008303348</v>
      </c>
      <c r="C61" s="942">
        <v>24395.999167802198</v>
      </c>
      <c r="D61" s="942">
        <v>15529.268340054899</v>
      </c>
      <c r="E61" s="942">
        <v>206.17962911707718</v>
      </c>
      <c r="F61" s="942">
        <v>7774.717221893703</v>
      </c>
      <c r="G61" s="942">
        <v>37708.464484039308</v>
      </c>
      <c r="H61" s="942">
        <v>1364.7893717132577</v>
      </c>
      <c r="I61" s="942">
        <v>16621.281945908497</v>
      </c>
      <c r="J61" s="943">
        <v>12178.642573280993</v>
      </c>
    </row>
    <row r="62" spans="1:10" x14ac:dyDescent="0.3">
      <c r="A62" s="941" t="s">
        <v>1431</v>
      </c>
      <c r="B62" s="942">
        <v>247.75581395348837</v>
      </c>
      <c r="C62" s="942">
        <v>3464.2252255319145</v>
      </c>
      <c r="D62" s="942">
        <v>13982.417487011058</v>
      </c>
      <c r="E62" s="942">
        <v>22.523255813953487</v>
      </c>
      <c r="F62" s="942">
        <v>949.25068936170214</v>
      </c>
      <c r="G62" s="942">
        <v>42145.358433198962</v>
      </c>
      <c r="H62" s="942">
        <v>225.23255813953489</v>
      </c>
      <c r="I62" s="942">
        <v>2514.9745361702126</v>
      </c>
      <c r="J62" s="943">
        <v>11166.12339239227</v>
      </c>
    </row>
    <row r="63" spans="1:10" x14ac:dyDescent="0.3">
      <c r="A63" s="941" t="s">
        <v>1432</v>
      </c>
      <c r="B63" s="942">
        <v>128.55882352941177</v>
      </c>
      <c r="C63" s="942">
        <v>3076.8989138355832</v>
      </c>
      <c r="D63" s="942">
        <v>23933.782445758367</v>
      </c>
      <c r="E63" s="942">
        <v>14.514705882352942</v>
      </c>
      <c r="F63" s="942">
        <v>320.42332650865808</v>
      </c>
      <c r="G63" s="942">
        <v>22075.771228560028</v>
      </c>
      <c r="H63" s="942">
        <v>114.04411764705883</v>
      </c>
      <c r="I63" s="942">
        <v>2756.4755873269251</v>
      </c>
      <c r="J63" s="943">
        <v>24170.256600674518</v>
      </c>
    </row>
    <row r="64" spans="1:10" x14ac:dyDescent="0.3">
      <c r="A64" s="945"/>
      <c r="B64" s="946"/>
      <c r="C64" s="946"/>
      <c r="D64" s="946"/>
      <c r="E64" s="946"/>
      <c r="F64" s="946"/>
      <c r="G64" s="946"/>
      <c r="H64" s="946"/>
      <c r="I64" s="946"/>
      <c r="J64" s="946"/>
    </row>
    <row r="65" spans="1:13" x14ac:dyDescent="0.3">
      <c r="A65" s="915" t="s">
        <v>1406</v>
      </c>
      <c r="B65" s="916"/>
      <c r="C65" s="916"/>
      <c r="D65" s="916"/>
      <c r="E65" s="916"/>
      <c r="F65" s="916"/>
      <c r="G65" s="916"/>
      <c r="H65" s="916"/>
      <c r="I65" s="916"/>
      <c r="J65" s="916"/>
    </row>
    <row r="66" spans="1:13" x14ac:dyDescent="0.3">
      <c r="A66" s="915" t="s">
        <v>1437</v>
      </c>
      <c r="B66" s="916"/>
      <c r="C66" s="916"/>
      <c r="D66" s="916"/>
      <c r="E66" s="916"/>
      <c r="F66" s="916"/>
      <c r="G66" s="916"/>
      <c r="H66" s="916"/>
      <c r="I66" s="916"/>
      <c r="J66" s="916"/>
    </row>
    <row r="67" spans="1:13" x14ac:dyDescent="0.3">
      <c r="A67" s="917" t="s">
        <v>1408</v>
      </c>
      <c r="B67" s="916"/>
      <c r="C67" s="916"/>
      <c r="D67" s="916"/>
      <c r="E67" s="916"/>
      <c r="F67" s="916"/>
      <c r="G67" s="916"/>
      <c r="H67" s="916"/>
      <c r="I67" s="916"/>
      <c r="J67" s="916"/>
    </row>
    <row r="68" spans="1:13" ht="15" thickBot="1" x14ac:dyDescent="0.35">
      <c r="A68" s="918"/>
      <c r="B68" s="919"/>
      <c r="C68" s="919"/>
      <c r="D68" s="919"/>
      <c r="E68" s="919"/>
      <c r="F68" s="919"/>
      <c r="G68" s="919"/>
      <c r="H68" s="919"/>
      <c r="I68" s="919"/>
      <c r="J68" s="919"/>
    </row>
    <row r="69" spans="1:13" ht="15" thickTop="1" x14ac:dyDescent="0.3">
      <c r="A69" s="920"/>
      <c r="B69" s="921" t="s">
        <v>1409</v>
      </c>
      <c r="C69" s="921"/>
      <c r="D69" s="921"/>
      <c r="E69" s="921" t="s">
        <v>1410</v>
      </c>
      <c r="F69" s="921"/>
      <c r="G69" s="921"/>
      <c r="H69" s="921" t="s">
        <v>1411</v>
      </c>
      <c r="I69" s="921"/>
      <c r="J69" s="922"/>
    </row>
    <row r="70" spans="1:13" x14ac:dyDescent="0.3">
      <c r="A70" s="923" t="s">
        <v>1412</v>
      </c>
      <c r="B70" s="924" t="s">
        <v>1413</v>
      </c>
      <c r="C70" s="925" t="s">
        <v>1414</v>
      </c>
      <c r="D70" s="925"/>
      <c r="E70" s="924" t="s">
        <v>1413</v>
      </c>
      <c r="F70" s="925" t="s">
        <v>1414</v>
      </c>
      <c r="G70" s="925"/>
      <c r="H70" s="924" t="s">
        <v>1413</v>
      </c>
      <c r="I70" s="925" t="s">
        <v>1414</v>
      </c>
      <c r="J70" s="927"/>
    </row>
    <row r="71" spans="1:13" x14ac:dyDescent="0.3">
      <c r="A71" s="923" t="s">
        <v>1416</v>
      </c>
      <c r="B71" s="924" t="s">
        <v>1417</v>
      </c>
      <c r="C71" s="928" t="s">
        <v>246</v>
      </c>
      <c r="D71" s="928" t="s">
        <v>1327</v>
      </c>
      <c r="E71" s="924" t="s">
        <v>1417</v>
      </c>
      <c r="F71" s="928" t="s">
        <v>246</v>
      </c>
      <c r="G71" s="928" t="s">
        <v>1327</v>
      </c>
      <c r="H71" s="924" t="s">
        <v>1417</v>
      </c>
      <c r="I71" s="928" t="s">
        <v>246</v>
      </c>
      <c r="J71" s="929" t="s">
        <v>1327</v>
      </c>
    </row>
    <row r="72" spans="1:13" x14ac:dyDescent="0.3">
      <c r="A72" s="930"/>
      <c r="B72" s="924" t="s">
        <v>1418</v>
      </c>
      <c r="C72" s="931"/>
      <c r="D72" s="931"/>
      <c r="E72" s="924" t="s">
        <v>1418</v>
      </c>
      <c r="F72" s="931"/>
      <c r="G72" s="931"/>
      <c r="H72" s="924" t="s">
        <v>1418</v>
      </c>
      <c r="I72" s="931"/>
      <c r="J72" s="932"/>
    </row>
    <row r="73" spans="1:13" x14ac:dyDescent="0.3">
      <c r="A73" s="933"/>
      <c r="B73" s="934">
        <v>1</v>
      </c>
      <c r="C73" s="934">
        <v>2</v>
      </c>
      <c r="D73" s="934">
        <v>3</v>
      </c>
      <c r="E73" s="934">
        <v>4</v>
      </c>
      <c r="F73" s="934">
        <v>5</v>
      </c>
      <c r="G73" s="934">
        <v>6</v>
      </c>
      <c r="H73" s="934">
        <v>7</v>
      </c>
      <c r="I73" s="934">
        <v>8</v>
      </c>
      <c r="J73" s="935">
        <v>9</v>
      </c>
      <c r="M73" s="12" t="s">
        <v>1419</v>
      </c>
    </row>
    <row r="74" spans="1:13" x14ac:dyDescent="0.3">
      <c r="A74" s="936" t="s">
        <v>246</v>
      </c>
      <c r="B74" s="937">
        <v>59100521</v>
      </c>
      <c r="C74" s="937">
        <v>886442685</v>
      </c>
      <c r="D74" s="937">
        <v>14998.897979258083</v>
      </c>
      <c r="E74" s="937">
        <v>22262706</v>
      </c>
      <c r="F74" s="937">
        <v>197901207</v>
      </c>
      <c r="G74" s="937">
        <v>8889.359945731665</v>
      </c>
      <c r="H74" s="937">
        <v>36837815</v>
      </c>
      <c r="I74" s="937">
        <v>688541478</v>
      </c>
      <c r="J74" s="938">
        <v>18691.159559816457</v>
      </c>
      <c r="M74" s="939">
        <f>I74/(I74+I92)</f>
        <v>0.7992334251947576</v>
      </c>
    </row>
    <row r="75" spans="1:13" x14ac:dyDescent="0.3">
      <c r="A75" s="941" t="s">
        <v>1421</v>
      </c>
      <c r="B75" s="942">
        <v>9566955</v>
      </c>
      <c r="C75" s="942">
        <v>25105421</v>
      </c>
      <c r="D75" s="942">
        <v>2624.1809436753911</v>
      </c>
      <c r="E75" s="942">
        <v>8317155</v>
      </c>
      <c r="F75" s="942">
        <v>20480653</v>
      </c>
      <c r="G75" s="942">
        <v>2462.4589778596164</v>
      </c>
      <c r="H75" s="942">
        <v>1249800</v>
      </c>
      <c r="I75" s="942">
        <v>4624768</v>
      </c>
      <c r="J75" s="943">
        <v>3700.4064650344053</v>
      </c>
      <c r="M75" s="944">
        <f t="shared" ref="M75:M86" si="8">I75/(I75+I93)</f>
        <v>0.70017914887554666</v>
      </c>
    </row>
    <row r="76" spans="1:13" x14ac:dyDescent="0.3">
      <c r="A76" s="941" t="s">
        <v>1422</v>
      </c>
      <c r="B76" s="942">
        <v>9539842</v>
      </c>
      <c r="C76" s="942">
        <v>64155026</v>
      </c>
      <c r="D76" s="942">
        <v>6724.9568703548757</v>
      </c>
      <c r="E76" s="942">
        <v>6148287</v>
      </c>
      <c r="F76" s="942">
        <v>43027111</v>
      </c>
      <c r="G76" s="942">
        <v>6998.2274737662701</v>
      </c>
      <c r="H76" s="942">
        <v>3391555</v>
      </c>
      <c r="I76" s="942">
        <v>21127915</v>
      </c>
      <c r="J76" s="943">
        <v>6229.5657891439178</v>
      </c>
      <c r="M76" s="944">
        <f t="shared" si="8"/>
        <v>0.72347679665183129</v>
      </c>
    </row>
    <row r="77" spans="1:13" x14ac:dyDescent="0.3">
      <c r="A77" s="941" t="s">
        <v>1423</v>
      </c>
      <c r="B77" s="942">
        <v>8661542</v>
      </c>
      <c r="C77" s="942">
        <v>92896884</v>
      </c>
      <c r="D77" s="942">
        <v>10725.213131795701</v>
      </c>
      <c r="E77" s="942">
        <v>3638390</v>
      </c>
      <c r="F77" s="942">
        <v>43279449</v>
      </c>
      <c r="G77" s="942">
        <v>11895.219863730936</v>
      </c>
      <c r="H77" s="942">
        <v>5023152</v>
      </c>
      <c r="I77" s="942">
        <v>49617435</v>
      </c>
      <c r="J77" s="943">
        <v>9877.7490707030156</v>
      </c>
      <c r="M77" s="944">
        <f t="shared" si="8"/>
        <v>0.77357782712176848</v>
      </c>
    </row>
    <row r="78" spans="1:13" x14ac:dyDescent="0.3">
      <c r="A78" s="941" t="s">
        <v>1424</v>
      </c>
      <c r="B78" s="942">
        <v>8591576</v>
      </c>
      <c r="C78" s="942">
        <v>124327459</v>
      </c>
      <c r="D78" s="942">
        <v>14470.855987306637</v>
      </c>
      <c r="E78" s="942">
        <v>2162415</v>
      </c>
      <c r="F78" s="942">
        <v>36101366</v>
      </c>
      <c r="G78" s="942">
        <v>16694.929511680228</v>
      </c>
      <c r="H78" s="942">
        <v>6429161</v>
      </c>
      <c r="I78" s="942">
        <v>88226093</v>
      </c>
      <c r="J78" s="943">
        <v>13722.800377840902</v>
      </c>
      <c r="M78" s="944">
        <f t="shared" si="8"/>
        <v>0.79611220342638656</v>
      </c>
    </row>
    <row r="79" spans="1:13" x14ac:dyDescent="0.3">
      <c r="A79" s="941" t="s">
        <v>1425</v>
      </c>
      <c r="B79" s="942">
        <v>7668049</v>
      </c>
      <c r="C79" s="942">
        <v>140676610</v>
      </c>
      <c r="D79" s="942">
        <v>18345.815213230904</v>
      </c>
      <c r="E79" s="942">
        <v>1080209</v>
      </c>
      <c r="F79" s="942">
        <v>25430163</v>
      </c>
      <c r="G79" s="942">
        <v>23541.891430269512</v>
      </c>
      <c r="H79" s="942">
        <v>6587840</v>
      </c>
      <c r="I79" s="942">
        <v>115246447</v>
      </c>
      <c r="J79" s="943">
        <v>17493.813905620053</v>
      </c>
      <c r="M79" s="944">
        <f t="shared" si="8"/>
        <v>0.80608274876018904</v>
      </c>
    </row>
    <row r="80" spans="1:13" x14ac:dyDescent="0.3">
      <c r="A80" s="941" t="s">
        <v>1426</v>
      </c>
      <c r="B80" s="942">
        <v>5579860</v>
      </c>
      <c r="C80" s="942">
        <v>118735706</v>
      </c>
      <c r="D80" s="942">
        <v>21279.334248529532</v>
      </c>
      <c r="E80" s="942">
        <v>449199</v>
      </c>
      <c r="F80" s="942">
        <v>11607054</v>
      </c>
      <c r="G80" s="942">
        <v>25839.447549972283</v>
      </c>
      <c r="H80" s="942">
        <v>5130661</v>
      </c>
      <c r="I80" s="942">
        <v>107128652</v>
      </c>
      <c r="J80" s="943">
        <v>20880.087770367212</v>
      </c>
      <c r="M80" s="944">
        <f t="shared" si="8"/>
        <v>0.79278628664494999</v>
      </c>
    </row>
    <row r="81" spans="1:13" x14ac:dyDescent="0.3">
      <c r="A81" s="941" t="s">
        <v>1427</v>
      </c>
      <c r="B81" s="942">
        <v>7675495</v>
      </c>
      <c r="C81" s="942">
        <v>210471957</v>
      </c>
      <c r="D81" s="942">
        <v>27421.287747565464</v>
      </c>
      <c r="E81" s="942">
        <v>370740</v>
      </c>
      <c r="F81" s="942">
        <v>11940603</v>
      </c>
      <c r="G81" s="942">
        <v>32207.485029940115</v>
      </c>
      <c r="H81" s="942">
        <v>7304755</v>
      </c>
      <c r="I81" s="942">
        <v>198531354</v>
      </c>
      <c r="J81" s="943">
        <v>27178.372717497026</v>
      </c>
      <c r="M81" s="944">
        <f t="shared" si="8"/>
        <v>0.775932493075007</v>
      </c>
    </row>
    <row r="82" spans="1:13" x14ac:dyDescent="0.3">
      <c r="A82" s="941" t="s">
        <v>1428</v>
      </c>
      <c r="B82" s="942">
        <v>1473524</v>
      </c>
      <c r="C82" s="942">
        <v>73624416</v>
      </c>
      <c r="D82" s="942">
        <v>49964.85703660069</v>
      </c>
      <c r="E82" s="942">
        <v>76874</v>
      </c>
      <c r="F82" s="942">
        <v>3860599</v>
      </c>
      <c r="G82" s="942">
        <v>50219.827249785361</v>
      </c>
      <c r="H82" s="942">
        <v>1396650</v>
      </c>
      <c r="I82" s="942">
        <v>69763817</v>
      </c>
      <c r="J82" s="943">
        <v>49950.823040847747</v>
      </c>
      <c r="M82" s="944">
        <f t="shared" si="8"/>
        <v>0.86746140070142153</v>
      </c>
    </row>
    <row r="83" spans="1:13" x14ac:dyDescent="0.3">
      <c r="A83" s="941" t="s">
        <v>1429</v>
      </c>
      <c r="B83" s="942">
        <v>273024</v>
      </c>
      <c r="C83" s="942">
        <v>24383434</v>
      </c>
      <c r="D83" s="942">
        <v>89308.756739334276</v>
      </c>
      <c r="E83" s="942">
        <v>14664</v>
      </c>
      <c r="F83" s="942">
        <v>1318407</v>
      </c>
      <c r="G83" s="942">
        <v>89907.733224222582</v>
      </c>
      <c r="H83" s="942">
        <v>258360</v>
      </c>
      <c r="I83" s="942">
        <v>23065027</v>
      </c>
      <c r="J83" s="943">
        <v>89274.760024771633</v>
      </c>
      <c r="M83" s="944">
        <f t="shared" si="8"/>
        <v>0.93873351586486276</v>
      </c>
    </row>
    <row r="84" spans="1:13" x14ac:dyDescent="0.3">
      <c r="A84" s="941" t="s">
        <v>1430</v>
      </c>
      <c r="B84" s="942">
        <v>60886</v>
      </c>
      <c r="C84" s="942">
        <v>9354710</v>
      </c>
      <c r="D84" s="942">
        <v>153643.03780836318</v>
      </c>
      <c r="E84" s="942">
        <v>3948</v>
      </c>
      <c r="F84" s="942">
        <v>598717</v>
      </c>
      <c r="G84" s="942">
        <v>151650.70921985817</v>
      </c>
      <c r="H84" s="942">
        <v>56938</v>
      </c>
      <c r="I84" s="942">
        <v>8755993</v>
      </c>
      <c r="J84" s="943">
        <v>153781.18304120272</v>
      </c>
      <c r="M84" s="944">
        <f t="shared" si="8"/>
        <v>0.95217419625439426</v>
      </c>
    </row>
    <row r="85" spans="1:13" x14ac:dyDescent="0.3">
      <c r="A85" s="941" t="s">
        <v>1431</v>
      </c>
      <c r="B85" s="942">
        <v>7192</v>
      </c>
      <c r="C85" s="942">
        <v>1747317</v>
      </c>
      <c r="D85" s="942">
        <v>242952.86429365963</v>
      </c>
      <c r="E85" s="942">
        <v>584</v>
      </c>
      <c r="F85" s="942">
        <v>156576</v>
      </c>
      <c r="G85" s="942">
        <v>268109.58904109587</v>
      </c>
      <c r="H85" s="942">
        <v>6608</v>
      </c>
      <c r="I85" s="942">
        <v>1590741</v>
      </c>
      <c r="J85" s="943">
        <v>240729.57021791767</v>
      </c>
      <c r="M85" s="944">
        <f t="shared" si="8"/>
        <v>0.95295379907672439</v>
      </c>
    </row>
    <row r="86" spans="1:13" ht="15" thickBot="1" x14ac:dyDescent="0.35">
      <c r="A86" s="947" t="s">
        <v>1432</v>
      </c>
      <c r="B86" s="942">
        <v>2576</v>
      </c>
      <c r="C86" s="942">
        <v>963745</v>
      </c>
      <c r="D86" s="942">
        <v>374124.61180124222</v>
      </c>
      <c r="E86" s="942">
        <v>241</v>
      </c>
      <c r="F86" s="942">
        <v>100509</v>
      </c>
      <c r="G86" s="942">
        <v>417049.7925311203</v>
      </c>
      <c r="H86" s="942">
        <v>2335</v>
      </c>
      <c r="I86" s="942">
        <v>863236</v>
      </c>
      <c r="J86" s="943">
        <v>369694.21841541753</v>
      </c>
      <c r="M86" s="944">
        <f t="shared" si="8"/>
        <v>0.94628064294413428</v>
      </c>
    </row>
    <row r="87" spans="1:13" ht="15" thickTop="1" x14ac:dyDescent="0.3">
      <c r="A87" s="930"/>
      <c r="B87" s="921" t="s">
        <v>1433</v>
      </c>
      <c r="C87" s="921"/>
      <c r="D87" s="921"/>
      <c r="E87" s="921" t="s">
        <v>1438</v>
      </c>
      <c r="F87" s="921"/>
      <c r="G87" s="921"/>
      <c r="H87" s="921" t="s">
        <v>1435</v>
      </c>
      <c r="I87" s="921"/>
      <c r="J87" s="922"/>
    </row>
    <row r="88" spans="1:13" x14ac:dyDescent="0.3">
      <c r="A88" s="923" t="s">
        <v>1412</v>
      </c>
      <c r="B88" s="924" t="s">
        <v>1413</v>
      </c>
      <c r="C88" s="925" t="s">
        <v>1414</v>
      </c>
      <c r="D88" s="925"/>
      <c r="E88" s="924" t="s">
        <v>1413</v>
      </c>
      <c r="F88" s="925" t="s">
        <v>1414</v>
      </c>
      <c r="G88" s="925"/>
      <c r="H88" s="924" t="s">
        <v>1413</v>
      </c>
      <c r="I88" s="925" t="s">
        <v>1414</v>
      </c>
      <c r="J88" s="927"/>
    </row>
    <row r="89" spans="1:13" x14ac:dyDescent="0.3">
      <c r="A89" s="923" t="s">
        <v>1416</v>
      </c>
      <c r="B89" s="924" t="s">
        <v>1417</v>
      </c>
      <c r="C89" s="928" t="s">
        <v>246</v>
      </c>
      <c r="D89" s="928" t="s">
        <v>1327</v>
      </c>
      <c r="E89" s="924" t="s">
        <v>1417</v>
      </c>
      <c r="F89" s="928" t="s">
        <v>246</v>
      </c>
      <c r="G89" s="928" t="s">
        <v>1327</v>
      </c>
      <c r="H89" s="924" t="s">
        <v>1417</v>
      </c>
      <c r="I89" s="928" t="s">
        <v>246</v>
      </c>
      <c r="J89" s="929" t="s">
        <v>1327</v>
      </c>
    </row>
    <row r="90" spans="1:13" x14ac:dyDescent="0.3">
      <c r="A90" s="923"/>
      <c r="B90" s="924" t="s">
        <v>1418</v>
      </c>
      <c r="C90" s="931"/>
      <c r="D90" s="931"/>
      <c r="E90" s="924" t="s">
        <v>1418</v>
      </c>
      <c r="F90" s="931"/>
      <c r="G90" s="931"/>
      <c r="H90" s="924" t="s">
        <v>1418</v>
      </c>
      <c r="I90" s="931"/>
      <c r="J90" s="932"/>
    </row>
    <row r="91" spans="1:13" x14ac:dyDescent="0.3">
      <c r="A91" s="933"/>
      <c r="B91" s="934">
        <v>1</v>
      </c>
      <c r="C91" s="934">
        <v>2</v>
      </c>
      <c r="D91" s="934">
        <v>3</v>
      </c>
      <c r="E91" s="934">
        <v>4</v>
      </c>
      <c r="F91" s="934">
        <v>5</v>
      </c>
      <c r="G91" s="934">
        <v>6</v>
      </c>
      <c r="H91" s="934">
        <v>7</v>
      </c>
      <c r="I91" s="934">
        <v>8</v>
      </c>
      <c r="J91" s="935">
        <v>9</v>
      </c>
    </row>
    <row r="92" spans="1:13" x14ac:dyDescent="0.3">
      <c r="A92" s="936" t="s">
        <v>246</v>
      </c>
      <c r="B92" s="937">
        <v>43097510</v>
      </c>
      <c r="C92" s="937">
        <v>320487143</v>
      </c>
      <c r="D92" s="937">
        <v>7436.3262053886638</v>
      </c>
      <c r="E92" s="937">
        <v>20054049</v>
      </c>
      <c r="F92" s="937">
        <v>152655721</v>
      </c>
      <c r="G92" s="937">
        <v>7612.2144211375962</v>
      </c>
      <c r="H92" s="937">
        <v>23263171</v>
      </c>
      <c r="I92" s="937">
        <v>172960877</v>
      </c>
      <c r="J92" s="938">
        <v>7434.9656373157377</v>
      </c>
    </row>
    <row r="93" spans="1:13" x14ac:dyDescent="0.3">
      <c r="A93" s="941" t="s">
        <v>1421</v>
      </c>
      <c r="B93" s="942">
        <v>8656245</v>
      </c>
      <c r="C93" s="942">
        <v>20619112</v>
      </c>
      <c r="D93" s="942">
        <v>2381.9926538585723</v>
      </c>
      <c r="E93" s="942">
        <v>7909862</v>
      </c>
      <c r="F93" s="942">
        <v>18638759</v>
      </c>
      <c r="G93" s="942">
        <v>2356.3949661827223</v>
      </c>
      <c r="H93" s="942">
        <v>746383</v>
      </c>
      <c r="I93" s="942">
        <v>1980353</v>
      </c>
      <c r="J93" s="943">
        <v>2653.2664865089369</v>
      </c>
    </row>
    <row r="94" spans="1:13" x14ac:dyDescent="0.3">
      <c r="A94" s="941" t="s">
        <v>1422</v>
      </c>
      <c r="B94" s="942">
        <v>8371492</v>
      </c>
      <c r="C94" s="942">
        <v>53447585</v>
      </c>
      <c r="D94" s="942">
        <v>6384.4754316195958</v>
      </c>
      <c r="E94" s="942">
        <v>6286280</v>
      </c>
      <c r="F94" s="942">
        <v>45372193</v>
      </c>
      <c r="G94" s="942">
        <v>7217.6538429723141</v>
      </c>
      <c r="H94" s="942">
        <v>2085212</v>
      </c>
      <c r="I94" s="942">
        <v>8075392</v>
      </c>
      <c r="J94" s="943">
        <v>3872.6959177292283</v>
      </c>
    </row>
    <row r="95" spans="1:13" x14ac:dyDescent="0.3">
      <c r="A95" s="941" t="s">
        <v>1423</v>
      </c>
      <c r="B95" s="942">
        <v>6473626</v>
      </c>
      <c r="C95" s="942">
        <v>57130851</v>
      </c>
      <c r="D95" s="942">
        <v>8825.1701596601342</v>
      </c>
      <c r="E95" s="942">
        <v>3534069</v>
      </c>
      <c r="F95" s="942">
        <v>42608088</v>
      </c>
      <c r="G95" s="942">
        <v>12056.382600339723</v>
      </c>
      <c r="H95" s="942">
        <v>2939557</v>
      </c>
      <c r="I95" s="942">
        <v>14522763</v>
      </c>
      <c r="J95" s="943">
        <v>4940.4597359398031</v>
      </c>
    </row>
    <row r="96" spans="1:13" x14ac:dyDescent="0.3">
      <c r="A96" s="941" t="s">
        <v>1424</v>
      </c>
      <c r="B96" s="942">
        <v>5338205</v>
      </c>
      <c r="C96" s="942">
        <v>48498174</v>
      </c>
      <c r="D96" s="942">
        <v>9085.108945797323</v>
      </c>
      <c r="E96" s="942">
        <v>1458807</v>
      </c>
      <c r="F96" s="942">
        <v>25903088</v>
      </c>
      <c r="G96" s="942">
        <v>17756.350223161804</v>
      </c>
      <c r="H96" s="942">
        <v>3879398</v>
      </c>
      <c r="I96" s="942">
        <v>22595086</v>
      </c>
      <c r="J96" s="943">
        <v>5824.3794526882775</v>
      </c>
    </row>
    <row r="97" spans="1:10" x14ac:dyDescent="0.3">
      <c r="A97" s="941" t="s">
        <v>1425</v>
      </c>
      <c r="B97" s="942">
        <v>4399575</v>
      </c>
      <c r="C97" s="942">
        <v>34338104</v>
      </c>
      <c r="D97" s="942">
        <v>7804.8684247910305</v>
      </c>
      <c r="E97" s="942">
        <v>520177</v>
      </c>
      <c r="F97" s="942">
        <v>11743018</v>
      </c>
      <c r="G97" s="942">
        <v>22575.042725841395</v>
      </c>
      <c r="H97" s="942">
        <v>4099108</v>
      </c>
      <c r="I97" s="942">
        <v>27724541</v>
      </c>
      <c r="J97" s="943">
        <v>5824.3794526882775</v>
      </c>
    </row>
    <row r="98" spans="1:10" x14ac:dyDescent="0.3">
      <c r="A98" s="941" t="s">
        <v>1426</v>
      </c>
      <c r="B98" s="942">
        <v>3667079</v>
      </c>
      <c r="C98" s="942">
        <v>32514481</v>
      </c>
      <c r="D98" s="942">
        <v>8866.5886390775868</v>
      </c>
      <c r="E98" s="942">
        <v>194125</v>
      </c>
      <c r="F98" s="942">
        <v>4513838</v>
      </c>
      <c r="G98" s="942">
        <v>23252.224082421119</v>
      </c>
      <c r="H98" s="942">
        <v>3472954</v>
      </c>
      <c r="I98" s="942">
        <v>28000643</v>
      </c>
      <c r="J98" s="943">
        <v>8062.4859989507486</v>
      </c>
    </row>
    <row r="99" spans="1:10" x14ac:dyDescent="0.3">
      <c r="A99" s="941" t="s">
        <v>1427</v>
      </c>
      <c r="B99" s="942">
        <v>5307451</v>
      </c>
      <c r="C99" s="942">
        <v>60184195</v>
      </c>
      <c r="D99" s="942">
        <v>11339.566771318285</v>
      </c>
      <c r="E99" s="942">
        <v>122167</v>
      </c>
      <c r="F99" s="942">
        <v>2853917</v>
      </c>
      <c r="G99" s="942">
        <v>23360.78482732653</v>
      </c>
      <c r="H99" s="942">
        <v>5185284</v>
      </c>
      <c r="I99" s="942">
        <v>57330278</v>
      </c>
      <c r="J99" s="943">
        <v>11056.342911979364</v>
      </c>
    </row>
    <row r="100" spans="1:10" x14ac:dyDescent="0.3">
      <c r="A100" s="941" t="s">
        <v>1428</v>
      </c>
      <c r="B100" s="942">
        <v>762024</v>
      </c>
      <c r="C100" s="942">
        <v>11401023</v>
      </c>
      <c r="D100" s="942">
        <v>14961.501212560235</v>
      </c>
      <c r="E100" s="942">
        <v>23210</v>
      </c>
      <c r="F100" s="942">
        <v>741876</v>
      </c>
      <c r="G100" s="942">
        <v>31963.636363636364</v>
      </c>
      <c r="H100" s="942">
        <v>738814</v>
      </c>
      <c r="I100" s="942">
        <v>10659147</v>
      </c>
      <c r="J100" s="943">
        <v>14427.375496403696</v>
      </c>
    </row>
    <row r="101" spans="1:10" x14ac:dyDescent="0.3">
      <c r="A101" s="941" t="s">
        <v>1429</v>
      </c>
      <c r="B101" s="942">
        <v>99964</v>
      </c>
      <c r="C101" s="942">
        <v>1710500</v>
      </c>
      <c r="D101" s="942">
        <v>17111.160017606337</v>
      </c>
      <c r="E101" s="942">
        <v>4293</v>
      </c>
      <c r="F101" s="942">
        <v>205160</v>
      </c>
      <c r="G101" s="942">
        <v>47789.424644770559</v>
      </c>
      <c r="H101" s="942">
        <v>95671</v>
      </c>
      <c r="I101" s="942">
        <v>1505340</v>
      </c>
      <c r="J101" s="943">
        <v>15734.548609296442</v>
      </c>
    </row>
    <row r="102" spans="1:10" x14ac:dyDescent="0.3">
      <c r="A102" s="941" t="s">
        <v>1430</v>
      </c>
      <c r="B102" s="942">
        <v>18982</v>
      </c>
      <c r="C102" s="942">
        <v>482979</v>
      </c>
      <c r="D102" s="942">
        <v>25444.052260035824</v>
      </c>
      <c r="E102" s="942">
        <v>774</v>
      </c>
      <c r="F102" s="942">
        <v>43183</v>
      </c>
      <c r="G102" s="942">
        <v>55791.989664082685</v>
      </c>
      <c r="H102" s="942">
        <v>18208</v>
      </c>
      <c r="I102" s="942">
        <v>439796</v>
      </c>
      <c r="J102" s="943">
        <v>24153.998242530753</v>
      </c>
    </row>
    <row r="103" spans="1:10" x14ac:dyDescent="0.3">
      <c r="A103" s="941" t="s">
        <v>1431</v>
      </c>
      <c r="B103" s="942">
        <v>2114</v>
      </c>
      <c r="C103" s="942">
        <v>96175</v>
      </c>
      <c r="D103" s="942">
        <v>45494.323557237462</v>
      </c>
      <c r="E103" s="942">
        <v>192</v>
      </c>
      <c r="F103" s="942">
        <v>17642</v>
      </c>
      <c r="G103" s="942">
        <v>91885.416666666672</v>
      </c>
      <c r="H103" s="942">
        <v>1922</v>
      </c>
      <c r="I103" s="942">
        <v>78533</v>
      </c>
      <c r="J103" s="943">
        <v>40860.041623309051</v>
      </c>
    </row>
    <row r="104" spans="1:10" x14ac:dyDescent="0.3">
      <c r="A104" s="941" t="s">
        <v>1432</v>
      </c>
      <c r="B104" s="942">
        <v>753</v>
      </c>
      <c r="C104" s="942">
        <v>63964</v>
      </c>
      <c r="D104" s="942">
        <v>84945.551128818071</v>
      </c>
      <c r="E104" s="942">
        <v>93</v>
      </c>
      <c r="F104" s="942">
        <v>14959</v>
      </c>
      <c r="G104" s="942">
        <v>160849.4623655914</v>
      </c>
      <c r="H104" s="942">
        <v>660</v>
      </c>
      <c r="I104" s="942">
        <v>49005</v>
      </c>
      <c r="J104" s="943">
        <v>74250</v>
      </c>
    </row>
    <row r="105" spans="1:10" x14ac:dyDescent="0.3">
      <c r="A105" s="945"/>
      <c r="B105" s="946"/>
      <c r="C105" s="946"/>
      <c r="D105" s="946"/>
      <c r="E105" s="946"/>
      <c r="F105" s="946"/>
      <c r="G105" s="946"/>
      <c r="H105" s="946"/>
      <c r="I105" s="946"/>
      <c r="J105" s="946"/>
    </row>
    <row r="106" spans="1:10" x14ac:dyDescent="0.3">
      <c r="A106" s="915" t="s">
        <v>1406</v>
      </c>
      <c r="B106" s="916"/>
      <c r="C106" s="916"/>
      <c r="D106" s="916"/>
      <c r="E106" s="916"/>
      <c r="F106" s="916"/>
      <c r="G106" s="916"/>
      <c r="H106" s="916"/>
      <c r="I106" s="916"/>
      <c r="J106" s="916"/>
    </row>
    <row r="107" spans="1:10" x14ac:dyDescent="0.3">
      <c r="A107" s="915" t="s">
        <v>1439</v>
      </c>
      <c r="B107" s="916"/>
      <c r="C107" s="916"/>
      <c r="D107" s="916"/>
      <c r="E107" s="916"/>
      <c r="F107" s="916"/>
      <c r="G107" s="916"/>
      <c r="H107" s="916"/>
      <c r="I107" s="916"/>
      <c r="J107" s="916"/>
    </row>
    <row r="108" spans="1:10" x14ac:dyDescent="0.3">
      <c r="A108" s="917" t="s">
        <v>1408</v>
      </c>
      <c r="B108" s="916"/>
      <c r="C108" s="916"/>
      <c r="D108" s="916"/>
      <c r="E108" s="916"/>
      <c r="F108" s="916"/>
      <c r="G108" s="916"/>
      <c r="H108" s="916"/>
      <c r="I108" s="916"/>
      <c r="J108" s="916"/>
    </row>
    <row r="109" spans="1:10" ht="15" thickBot="1" x14ac:dyDescent="0.35">
      <c r="A109" s="918"/>
      <c r="B109" s="919"/>
      <c r="C109" s="919"/>
      <c r="D109" s="919"/>
      <c r="E109" s="919"/>
      <c r="F109" s="919"/>
      <c r="G109" s="919"/>
      <c r="H109" s="919"/>
      <c r="I109" s="919"/>
      <c r="J109" s="919"/>
    </row>
    <row r="110" spans="1:10" ht="15" thickTop="1" x14ac:dyDescent="0.3">
      <c r="A110" s="920"/>
      <c r="B110" s="921" t="s">
        <v>1409</v>
      </c>
      <c r="C110" s="921"/>
      <c r="D110" s="921"/>
      <c r="E110" s="921" t="s">
        <v>1410</v>
      </c>
      <c r="F110" s="921"/>
      <c r="G110" s="921"/>
      <c r="H110" s="921" t="s">
        <v>1411</v>
      </c>
      <c r="I110" s="921"/>
      <c r="J110" s="922"/>
    </row>
    <row r="111" spans="1:10" x14ac:dyDescent="0.3">
      <c r="A111" s="923" t="s">
        <v>1412</v>
      </c>
      <c r="B111" s="924" t="s">
        <v>1413</v>
      </c>
      <c r="C111" s="925" t="s">
        <v>1414</v>
      </c>
      <c r="D111" s="925"/>
      <c r="E111" s="924" t="s">
        <v>1413</v>
      </c>
      <c r="F111" s="925" t="s">
        <v>1414</v>
      </c>
      <c r="G111" s="925"/>
      <c r="H111" s="924" t="s">
        <v>1413</v>
      </c>
      <c r="I111" s="925" t="s">
        <v>1414</v>
      </c>
      <c r="J111" s="927"/>
    </row>
    <row r="112" spans="1:10" x14ac:dyDescent="0.3">
      <c r="A112" s="923" t="s">
        <v>1416</v>
      </c>
      <c r="B112" s="924" t="s">
        <v>1417</v>
      </c>
      <c r="C112" s="928" t="s">
        <v>246</v>
      </c>
      <c r="D112" s="928" t="s">
        <v>1327</v>
      </c>
      <c r="E112" s="924" t="s">
        <v>1417</v>
      </c>
      <c r="F112" s="928" t="s">
        <v>246</v>
      </c>
      <c r="G112" s="928" t="s">
        <v>1327</v>
      </c>
      <c r="H112" s="924" t="s">
        <v>1417</v>
      </c>
      <c r="I112" s="928" t="s">
        <v>246</v>
      </c>
      <c r="J112" s="929" t="s">
        <v>1327</v>
      </c>
    </row>
    <row r="113" spans="1:13" x14ac:dyDescent="0.3">
      <c r="A113" s="930"/>
      <c r="B113" s="924" t="s">
        <v>1418</v>
      </c>
      <c r="C113" s="931"/>
      <c r="D113" s="931"/>
      <c r="E113" s="924" t="s">
        <v>1418</v>
      </c>
      <c r="F113" s="931"/>
      <c r="G113" s="931"/>
      <c r="H113" s="924" t="s">
        <v>1418</v>
      </c>
      <c r="I113" s="931"/>
      <c r="J113" s="932"/>
    </row>
    <row r="114" spans="1:13" x14ac:dyDescent="0.3">
      <c r="A114" s="933"/>
      <c r="B114" s="934">
        <v>1</v>
      </c>
      <c r="C114" s="934">
        <v>2</v>
      </c>
      <c r="D114" s="934">
        <v>3</v>
      </c>
      <c r="E114" s="934">
        <v>4</v>
      </c>
      <c r="F114" s="934">
        <v>5</v>
      </c>
      <c r="G114" s="934">
        <v>6</v>
      </c>
      <c r="H114" s="934">
        <v>7</v>
      </c>
      <c r="I114" s="934">
        <v>8</v>
      </c>
      <c r="J114" s="935">
        <v>9</v>
      </c>
      <c r="M114" s="12" t="s">
        <v>1419</v>
      </c>
    </row>
    <row r="115" spans="1:13" x14ac:dyDescent="0.3">
      <c r="A115" s="936" t="s">
        <v>246</v>
      </c>
      <c r="B115" s="937">
        <v>63104659.329999998</v>
      </c>
      <c r="C115" s="948">
        <v>1637616454</v>
      </c>
      <c r="D115" s="937">
        <v>25950.800961244964</v>
      </c>
      <c r="E115" s="937">
        <v>27174782.490000002</v>
      </c>
      <c r="F115" s="937">
        <v>433297016</v>
      </c>
      <c r="G115" s="937">
        <v>15944.820024206198</v>
      </c>
      <c r="H115" s="937">
        <v>35929876.839999989</v>
      </c>
      <c r="I115" s="948">
        <v>1204319438</v>
      </c>
      <c r="J115" s="938">
        <v>33518.60746316993</v>
      </c>
      <c r="M115" s="939">
        <f>I115/(I115+I133)</f>
        <v>0.73644155037526748</v>
      </c>
    </row>
    <row r="116" spans="1:13" x14ac:dyDescent="0.3">
      <c r="A116" s="941" t="s">
        <v>1421</v>
      </c>
      <c r="B116" s="942">
        <v>7179739.7999999998</v>
      </c>
      <c r="C116" s="949">
        <v>22790163</v>
      </c>
      <c r="D116" s="942">
        <v>3174.2324422397596</v>
      </c>
      <c r="E116" s="942">
        <v>6592260</v>
      </c>
      <c r="F116" s="942">
        <v>18039497</v>
      </c>
      <c r="G116" s="942">
        <v>2736.4662498141761</v>
      </c>
      <c r="H116" s="942">
        <v>587479.80000000005</v>
      </c>
      <c r="I116" s="949">
        <v>4750666</v>
      </c>
      <c r="J116" s="943">
        <v>8086.5180385776657</v>
      </c>
      <c r="M116" s="944">
        <f t="shared" ref="M116:M127" si="9">I116/(I116+I134)</f>
        <v>0.69105471440530719</v>
      </c>
    </row>
    <row r="117" spans="1:13" x14ac:dyDescent="0.3">
      <c r="A117" s="941" t="s">
        <v>1422</v>
      </c>
      <c r="B117" s="942">
        <v>6100763</v>
      </c>
      <c r="C117" s="949">
        <v>41990190</v>
      </c>
      <c r="D117" s="942">
        <v>6882.7767936567934</v>
      </c>
      <c r="E117" s="942">
        <v>4954203</v>
      </c>
      <c r="F117" s="942">
        <v>34999177</v>
      </c>
      <c r="G117" s="942">
        <v>7064.5423693780813</v>
      </c>
      <c r="H117" s="942">
        <v>1146560</v>
      </c>
      <c r="I117" s="949">
        <v>6991013</v>
      </c>
      <c r="J117" s="943">
        <v>6097.380861010326</v>
      </c>
      <c r="M117" s="944">
        <f t="shared" si="9"/>
        <v>0.63838641126144047</v>
      </c>
    </row>
    <row r="118" spans="1:13" x14ac:dyDescent="0.3">
      <c r="A118" s="941" t="s">
        <v>1423</v>
      </c>
      <c r="B118" s="942">
        <v>6194371</v>
      </c>
      <c r="C118" s="949">
        <v>68396999</v>
      </c>
      <c r="D118" s="942">
        <v>11041.79891711362</v>
      </c>
      <c r="E118" s="942">
        <v>4272296</v>
      </c>
      <c r="F118" s="942">
        <v>50888254</v>
      </c>
      <c r="G118" s="942">
        <v>11911.21916646225</v>
      </c>
      <c r="H118" s="942">
        <v>1922075</v>
      </c>
      <c r="I118" s="949">
        <v>17508745</v>
      </c>
      <c r="J118" s="943">
        <v>9109.2933418310949</v>
      </c>
      <c r="M118" s="944">
        <f t="shared" si="9"/>
        <v>0.66009294895551185</v>
      </c>
    </row>
    <row r="119" spans="1:13" x14ac:dyDescent="0.3">
      <c r="A119" s="941" t="s">
        <v>1424</v>
      </c>
      <c r="B119" s="942">
        <v>5579716</v>
      </c>
      <c r="C119" s="949">
        <v>84433829</v>
      </c>
      <c r="D119" s="942">
        <v>15132.280746905397</v>
      </c>
      <c r="E119" s="942">
        <v>3255587</v>
      </c>
      <c r="F119" s="942">
        <v>54757363</v>
      </c>
      <c r="G119" s="942">
        <v>16819.505361091564</v>
      </c>
      <c r="H119" s="942">
        <v>2324129</v>
      </c>
      <c r="I119" s="949">
        <v>29676466</v>
      </c>
      <c r="J119" s="943">
        <v>12768.85491295879</v>
      </c>
      <c r="M119" s="944">
        <f t="shared" si="9"/>
        <v>0.68577111747763864</v>
      </c>
    </row>
    <row r="120" spans="1:13" x14ac:dyDescent="0.3">
      <c r="A120" s="941" t="s">
        <v>1425</v>
      </c>
      <c r="B120" s="942">
        <v>5018564</v>
      </c>
      <c r="C120" s="949">
        <v>94458851</v>
      </c>
      <c r="D120" s="942">
        <v>18821.88829314521</v>
      </c>
      <c r="E120" s="942">
        <v>2324913</v>
      </c>
      <c r="F120" s="942">
        <v>50144023</v>
      </c>
      <c r="G120" s="942">
        <v>21568.128785894354</v>
      </c>
      <c r="H120" s="942">
        <v>2693651</v>
      </c>
      <c r="I120" s="949">
        <v>44314828</v>
      </c>
      <c r="J120" s="943">
        <v>16451.58485639008</v>
      </c>
      <c r="M120" s="944">
        <f t="shared" si="9"/>
        <v>0.70143115303446324</v>
      </c>
    </row>
    <row r="121" spans="1:13" x14ac:dyDescent="0.3">
      <c r="A121" s="941" t="s">
        <v>1426</v>
      </c>
      <c r="B121" s="942">
        <v>4798555</v>
      </c>
      <c r="C121" s="949">
        <v>107600367</v>
      </c>
      <c r="D121" s="942">
        <v>22423.49353086502</v>
      </c>
      <c r="E121" s="942">
        <v>1801760</v>
      </c>
      <c r="F121" s="942">
        <v>47971207</v>
      </c>
      <c r="G121" s="942">
        <v>26624.637576591776</v>
      </c>
      <c r="H121" s="942">
        <v>2996795</v>
      </c>
      <c r="I121" s="949">
        <v>59629160</v>
      </c>
      <c r="J121" s="943">
        <v>19897.643982988491</v>
      </c>
      <c r="M121" s="944">
        <f t="shared" si="9"/>
        <v>0.71692507693166507</v>
      </c>
    </row>
    <row r="122" spans="1:13" x14ac:dyDescent="0.3">
      <c r="A122" s="941" t="s">
        <v>1427</v>
      </c>
      <c r="B122" s="942">
        <v>15315373</v>
      </c>
      <c r="C122" s="949">
        <v>449300000</v>
      </c>
      <c r="D122" s="942">
        <v>29336.536563621401</v>
      </c>
      <c r="E122" s="942">
        <v>3058678</v>
      </c>
      <c r="F122" s="942">
        <v>107570000</v>
      </c>
      <c r="G122" s="942">
        <v>35168.788607365663</v>
      </c>
      <c r="H122" s="942">
        <v>12256695</v>
      </c>
      <c r="I122" s="949">
        <v>341730000</v>
      </c>
      <c r="J122" s="943">
        <v>27881.088662155664</v>
      </c>
      <c r="M122" s="944">
        <f t="shared" si="9"/>
        <v>0.71685091565102477</v>
      </c>
    </row>
    <row r="123" spans="1:13" x14ac:dyDescent="0.3">
      <c r="A123" s="941" t="s">
        <v>1428</v>
      </c>
      <c r="B123" s="942">
        <v>10772240.1</v>
      </c>
      <c r="C123" s="949">
        <v>480280629</v>
      </c>
      <c r="D123" s="942">
        <v>44585.028233821118</v>
      </c>
      <c r="E123" s="942">
        <v>765920.1</v>
      </c>
      <c r="F123" s="942">
        <v>43870629</v>
      </c>
      <c r="G123" s="942">
        <v>57278.336212876515</v>
      </c>
      <c r="H123" s="942">
        <v>10006320</v>
      </c>
      <c r="I123" s="949">
        <v>436410000</v>
      </c>
      <c r="J123" s="943">
        <v>43613.436308253185</v>
      </c>
      <c r="M123" s="944">
        <f t="shared" si="9"/>
        <v>0.70569686777380702</v>
      </c>
    </row>
    <row r="124" spans="1:13" x14ac:dyDescent="0.3">
      <c r="A124" s="941" t="s">
        <v>1429</v>
      </c>
      <c r="B124" s="942">
        <v>1574966.1</v>
      </c>
      <c r="C124" s="949">
        <v>141217901</v>
      </c>
      <c r="D124" s="942">
        <v>89664.089277858089</v>
      </c>
      <c r="E124" s="942">
        <v>100301.1</v>
      </c>
      <c r="F124" s="942">
        <v>10887901</v>
      </c>
      <c r="G124" s="942">
        <v>108552.15944790235</v>
      </c>
      <c r="H124" s="942">
        <v>1474665</v>
      </c>
      <c r="I124" s="949">
        <v>130330000</v>
      </c>
      <c r="J124" s="943">
        <v>88379.394642172963</v>
      </c>
      <c r="M124" s="944">
        <f t="shared" si="9"/>
        <v>0.81369447616078405</v>
      </c>
    </row>
    <row r="125" spans="1:13" x14ac:dyDescent="0.3">
      <c r="A125" s="941" t="s">
        <v>1430</v>
      </c>
      <c r="B125" s="942">
        <v>442718.51</v>
      </c>
      <c r="C125" s="949">
        <v>82590380</v>
      </c>
      <c r="D125" s="942">
        <v>186552.80530285486</v>
      </c>
      <c r="E125" s="942">
        <v>35390.61</v>
      </c>
      <c r="F125" s="942">
        <v>7032308</v>
      </c>
      <c r="G125" s="942">
        <v>198705.47583101844</v>
      </c>
      <c r="H125" s="942">
        <v>407327.9</v>
      </c>
      <c r="I125" s="949">
        <v>75558072</v>
      </c>
      <c r="J125" s="943">
        <v>185496.92274946056</v>
      </c>
      <c r="M125" s="944">
        <f t="shared" si="9"/>
        <v>0.89388190484753427</v>
      </c>
    </row>
    <row r="126" spans="1:13" x14ac:dyDescent="0.3">
      <c r="A126" s="941" t="s">
        <v>1431</v>
      </c>
      <c r="B126" s="942">
        <v>84913.71</v>
      </c>
      <c r="C126" s="949">
        <v>30890948</v>
      </c>
      <c r="D126" s="942">
        <v>363792.2309601123</v>
      </c>
      <c r="E126" s="942">
        <v>8800.2999999999993</v>
      </c>
      <c r="F126" s="942">
        <v>3144774</v>
      </c>
      <c r="G126" s="942">
        <v>357348.4994829722</v>
      </c>
      <c r="H126" s="942">
        <v>76113.41</v>
      </c>
      <c r="I126" s="949">
        <v>27746174</v>
      </c>
      <c r="J126" s="943">
        <v>364537.26091105363</v>
      </c>
      <c r="M126" s="944">
        <f t="shared" si="9"/>
        <v>0.91978443379527908</v>
      </c>
    </row>
    <row r="127" spans="1:13" ht="15" thickBot="1" x14ac:dyDescent="0.35">
      <c r="A127" s="941" t="s">
        <v>1432</v>
      </c>
      <c r="B127" s="942">
        <v>42739.11</v>
      </c>
      <c r="C127" s="949">
        <v>33666197</v>
      </c>
      <c r="D127" s="942">
        <v>787714.03990396613</v>
      </c>
      <c r="E127" s="942">
        <v>4673.38</v>
      </c>
      <c r="F127" s="942">
        <v>3991883</v>
      </c>
      <c r="G127" s="942">
        <v>854174.70866910031</v>
      </c>
      <c r="H127" s="942">
        <v>38065.730000000003</v>
      </c>
      <c r="I127" s="949">
        <v>29674314</v>
      </c>
      <c r="J127" s="943">
        <v>779554.57572992821</v>
      </c>
      <c r="M127" s="944">
        <f t="shared" si="9"/>
        <v>0.94619358168425327</v>
      </c>
    </row>
    <row r="128" spans="1:13" ht="15" thickTop="1" x14ac:dyDescent="0.3">
      <c r="A128" s="920"/>
      <c r="B128" s="921" t="s">
        <v>1433</v>
      </c>
      <c r="C128" s="921"/>
      <c r="D128" s="921"/>
      <c r="E128" s="921" t="s">
        <v>1434</v>
      </c>
      <c r="F128" s="921"/>
      <c r="G128" s="921"/>
      <c r="H128" s="921" t="s">
        <v>1435</v>
      </c>
      <c r="I128" s="921"/>
      <c r="J128" s="922"/>
    </row>
    <row r="129" spans="1:10" x14ac:dyDescent="0.3">
      <c r="A129" s="923" t="s">
        <v>1412</v>
      </c>
      <c r="B129" s="924" t="s">
        <v>1413</v>
      </c>
      <c r="C129" s="925" t="s">
        <v>1414</v>
      </c>
      <c r="D129" s="925"/>
      <c r="E129" s="924" t="s">
        <v>1413</v>
      </c>
      <c r="F129" s="925" t="s">
        <v>1414</v>
      </c>
      <c r="G129" s="925"/>
      <c r="H129" s="924" t="s">
        <v>1413</v>
      </c>
      <c r="I129" s="925" t="s">
        <v>1414</v>
      </c>
      <c r="J129" s="927"/>
    </row>
    <row r="130" spans="1:10" x14ac:dyDescent="0.3">
      <c r="A130" s="923" t="s">
        <v>1416</v>
      </c>
      <c r="B130" s="924" t="s">
        <v>1417</v>
      </c>
      <c r="C130" s="928" t="s">
        <v>246</v>
      </c>
      <c r="D130" s="928" t="s">
        <v>1327</v>
      </c>
      <c r="E130" s="924" t="s">
        <v>1417</v>
      </c>
      <c r="F130" s="928" t="s">
        <v>246</v>
      </c>
      <c r="G130" s="928" t="s">
        <v>1327</v>
      </c>
      <c r="H130" s="924" t="s">
        <v>1417</v>
      </c>
      <c r="I130" s="928" t="s">
        <v>246</v>
      </c>
      <c r="J130" s="929" t="s">
        <v>1327</v>
      </c>
    </row>
    <row r="131" spans="1:10" x14ac:dyDescent="0.3">
      <c r="A131" s="923"/>
      <c r="B131" s="924" t="s">
        <v>1418</v>
      </c>
      <c r="C131" s="931"/>
      <c r="D131" s="931"/>
      <c r="E131" s="924" t="s">
        <v>1418</v>
      </c>
      <c r="F131" s="931"/>
      <c r="G131" s="931"/>
      <c r="H131" s="924" t="s">
        <v>1418</v>
      </c>
      <c r="I131" s="931"/>
      <c r="J131" s="932"/>
    </row>
    <row r="132" spans="1:10" x14ac:dyDescent="0.3">
      <c r="A132" s="933"/>
      <c r="B132" s="934">
        <v>1</v>
      </c>
      <c r="C132" s="934">
        <v>2</v>
      </c>
      <c r="D132" s="934">
        <v>3</v>
      </c>
      <c r="E132" s="934">
        <v>4</v>
      </c>
      <c r="F132" s="934">
        <v>5</v>
      </c>
      <c r="G132" s="934">
        <v>6</v>
      </c>
      <c r="H132" s="934">
        <v>7</v>
      </c>
      <c r="I132" s="934">
        <v>8</v>
      </c>
      <c r="J132" s="935">
        <v>9</v>
      </c>
    </row>
    <row r="133" spans="1:10" x14ac:dyDescent="0.3">
      <c r="A133" s="936" t="s">
        <v>246</v>
      </c>
      <c r="B133" s="937">
        <v>54941520.629999995</v>
      </c>
      <c r="C133" s="948">
        <v>796595721</v>
      </c>
      <c r="D133" s="937">
        <v>14498.974761995043</v>
      </c>
      <c r="E133" s="937">
        <v>26534045.999999996</v>
      </c>
      <c r="F133" s="937">
        <v>365592658</v>
      </c>
      <c r="G133" s="937">
        <v>13778.247689779389</v>
      </c>
      <c r="H133" s="937">
        <v>28407474.629999999</v>
      </c>
      <c r="I133" s="948">
        <v>431003063</v>
      </c>
      <c r="J133" s="938">
        <v>15172.171008289308</v>
      </c>
    </row>
    <row r="134" spans="1:10" x14ac:dyDescent="0.3">
      <c r="A134" s="941" t="s">
        <v>1421</v>
      </c>
      <c r="B134" s="942">
        <v>6707958.5</v>
      </c>
      <c r="C134" s="949">
        <v>18064471</v>
      </c>
      <c r="D134" s="942">
        <v>2692.990870471247</v>
      </c>
      <c r="E134" s="942">
        <v>6300308</v>
      </c>
      <c r="F134" s="942">
        <v>15940622</v>
      </c>
      <c r="G134" s="942">
        <v>2530.1337648889544</v>
      </c>
      <c r="H134" s="942">
        <v>407650.5</v>
      </c>
      <c r="I134" s="949">
        <v>2123849</v>
      </c>
      <c r="J134" s="943">
        <v>5209.9752116089639</v>
      </c>
    </row>
    <row r="135" spans="1:10" x14ac:dyDescent="0.3">
      <c r="A135" s="941" t="s">
        <v>1422</v>
      </c>
      <c r="B135" s="942">
        <v>5893891.7000000002</v>
      </c>
      <c r="C135" s="949">
        <v>38520525</v>
      </c>
      <c r="D135" s="942">
        <v>6535.6689536728336</v>
      </c>
      <c r="E135" s="942">
        <v>5013751</v>
      </c>
      <c r="F135" s="942">
        <v>34560470</v>
      </c>
      <c r="G135" s="942">
        <v>6893.1364960086767</v>
      </c>
      <c r="H135" s="942">
        <v>880140.7</v>
      </c>
      <c r="I135" s="949">
        <v>3960055</v>
      </c>
      <c r="J135" s="943">
        <v>4499.3431163903679</v>
      </c>
    </row>
    <row r="136" spans="1:10" x14ac:dyDescent="0.3">
      <c r="A136" s="941" t="s">
        <v>1423</v>
      </c>
      <c r="B136" s="942">
        <v>6011498</v>
      </c>
      <c r="C136" s="949">
        <v>61503165</v>
      </c>
      <c r="D136" s="942">
        <v>10230.921643823222</v>
      </c>
      <c r="E136" s="942">
        <v>4492788</v>
      </c>
      <c r="F136" s="942">
        <v>52487244</v>
      </c>
      <c r="G136" s="942">
        <v>11682.555241867633</v>
      </c>
      <c r="H136" s="942">
        <v>1518710</v>
      </c>
      <c r="I136" s="949">
        <v>9015921</v>
      </c>
      <c r="J136" s="943">
        <v>5936.5652428705935</v>
      </c>
    </row>
    <row r="137" spans="1:10" x14ac:dyDescent="0.3">
      <c r="A137" s="941" t="s">
        <v>1424</v>
      </c>
      <c r="B137" s="942">
        <v>5499241</v>
      </c>
      <c r="C137" s="949">
        <v>73537073</v>
      </c>
      <c r="D137" s="942">
        <v>13372.222275764965</v>
      </c>
      <c r="E137" s="942">
        <v>3641170</v>
      </c>
      <c r="F137" s="942">
        <v>59938946</v>
      </c>
      <c r="G137" s="942">
        <v>16461.452225520919</v>
      </c>
      <c r="H137" s="942">
        <v>1858071</v>
      </c>
      <c r="I137" s="949">
        <v>13598127</v>
      </c>
      <c r="J137" s="943">
        <v>7318.4108680454083</v>
      </c>
    </row>
    <row r="138" spans="1:10" x14ac:dyDescent="0.3">
      <c r="A138" s="941" t="s">
        <v>1425</v>
      </c>
      <c r="B138" s="942">
        <v>4661957</v>
      </c>
      <c r="C138" s="949">
        <v>72423907</v>
      </c>
      <c r="D138" s="942">
        <v>15535.086874460661</v>
      </c>
      <c r="E138" s="942">
        <v>2553589</v>
      </c>
      <c r="F138" s="942">
        <v>53561005</v>
      </c>
      <c r="G138" s="942">
        <v>20974.794690923245</v>
      </c>
      <c r="H138" s="942">
        <v>2108368</v>
      </c>
      <c r="I138" s="949">
        <v>18862902</v>
      </c>
      <c r="J138" s="943">
        <v>8946.6838806128708</v>
      </c>
    </row>
    <row r="139" spans="1:10" x14ac:dyDescent="0.3">
      <c r="A139" s="941" t="s">
        <v>1426</v>
      </c>
      <c r="B139" s="942">
        <v>3876856</v>
      </c>
      <c r="C139" s="949">
        <v>64052696</v>
      </c>
      <c r="D139" s="942">
        <v>16521.814583776129</v>
      </c>
      <c r="E139" s="942">
        <v>1591975</v>
      </c>
      <c r="F139" s="942">
        <v>40508367</v>
      </c>
      <c r="G139" s="942">
        <v>25445.353727288431</v>
      </c>
      <c r="H139" s="942">
        <v>2284881</v>
      </c>
      <c r="I139" s="949">
        <v>23544329</v>
      </c>
      <c r="J139" s="943">
        <v>10304.40053552023</v>
      </c>
    </row>
    <row r="140" spans="1:10" x14ac:dyDescent="0.3">
      <c r="A140" s="941" t="s">
        <v>1427</v>
      </c>
      <c r="B140" s="942">
        <v>12164255</v>
      </c>
      <c r="C140" s="949">
        <v>216080529</v>
      </c>
      <c r="D140" s="942">
        <v>17763.564558618677</v>
      </c>
      <c r="E140" s="942">
        <v>2446721</v>
      </c>
      <c r="F140" s="942">
        <v>81100529</v>
      </c>
      <c r="G140" s="942">
        <v>33146.619087341787</v>
      </c>
      <c r="H140" s="942">
        <v>9717534</v>
      </c>
      <c r="I140" s="949">
        <v>134980000</v>
      </c>
      <c r="J140" s="943">
        <v>13890.35531030815</v>
      </c>
    </row>
    <row r="141" spans="1:10" x14ac:dyDescent="0.3">
      <c r="A141" s="941" t="s">
        <v>1428</v>
      </c>
      <c r="B141" s="942">
        <v>8750627.5</v>
      </c>
      <c r="C141" s="949">
        <v>202680569</v>
      </c>
      <c r="D141" s="942">
        <v>23161.832565721717</v>
      </c>
      <c r="E141" s="942">
        <v>427582.5</v>
      </c>
      <c r="F141" s="942">
        <v>20680569</v>
      </c>
      <c r="G141" s="942">
        <v>48366.266159162267</v>
      </c>
      <c r="H141" s="942">
        <v>8323045</v>
      </c>
      <c r="I141" s="949">
        <v>182000000</v>
      </c>
      <c r="J141" s="943">
        <v>21866.996994489396</v>
      </c>
    </row>
    <row r="142" spans="1:10" x14ac:dyDescent="0.3">
      <c r="A142" s="941" t="s">
        <v>1429</v>
      </c>
      <c r="B142" s="942">
        <v>1077318.72</v>
      </c>
      <c r="C142" s="949">
        <v>33764110</v>
      </c>
      <c r="D142" s="942">
        <v>31340.873757396512</v>
      </c>
      <c r="E142" s="942">
        <v>48092.72</v>
      </c>
      <c r="F142" s="942">
        <v>3923427</v>
      </c>
      <c r="G142" s="942">
        <v>81580.476213447677</v>
      </c>
      <c r="H142" s="942">
        <v>1029226</v>
      </c>
      <c r="I142" s="949">
        <v>29840683</v>
      </c>
      <c r="J142" s="943">
        <v>28993.324109573601</v>
      </c>
    </row>
    <row r="143" spans="1:10" x14ac:dyDescent="0.3">
      <c r="A143" s="941" t="s">
        <v>1430</v>
      </c>
      <c r="B143" s="942">
        <v>244621.83</v>
      </c>
      <c r="C143" s="949">
        <v>10987645</v>
      </c>
      <c r="D143" s="942">
        <v>44916.862080542858</v>
      </c>
      <c r="E143" s="942">
        <v>15019.83</v>
      </c>
      <c r="F143" s="942">
        <v>2017692</v>
      </c>
      <c r="G143" s="942">
        <v>134335.20885389516</v>
      </c>
      <c r="H143" s="942">
        <v>229602</v>
      </c>
      <c r="I143" s="949">
        <v>8969953</v>
      </c>
      <c r="J143" s="943">
        <v>39067.399238682592</v>
      </c>
    </row>
    <row r="144" spans="1:10" x14ac:dyDescent="0.3">
      <c r="A144" s="941" t="s">
        <v>1431</v>
      </c>
      <c r="B144" s="942">
        <v>36861.619999999995</v>
      </c>
      <c r="C144" s="949">
        <v>2840929.8</v>
      </c>
      <c r="D144" s="942">
        <v>77070.128768079099</v>
      </c>
      <c r="E144" s="942">
        <v>1844.24</v>
      </c>
      <c r="F144" s="942">
        <v>421150.8</v>
      </c>
      <c r="G144" s="942">
        <v>228360.08328634017</v>
      </c>
      <c r="H144" s="942">
        <v>35017.379999999997</v>
      </c>
      <c r="I144" s="949">
        <v>2419779</v>
      </c>
      <c r="J144" s="943">
        <v>69102.22866473734</v>
      </c>
    </row>
    <row r="145" spans="1:17" x14ac:dyDescent="0.3">
      <c r="A145" s="941" t="s">
        <v>1432</v>
      </c>
      <c r="B145" s="942">
        <v>16433.759999999998</v>
      </c>
      <c r="C145" s="949">
        <v>2140101.2000000002</v>
      </c>
      <c r="D145" s="942">
        <v>130225.90082853836</v>
      </c>
      <c r="E145" s="942">
        <v>1204.71</v>
      </c>
      <c r="F145" s="942">
        <v>452636.2</v>
      </c>
      <c r="G145" s="942">
        <v>375722.12399664649</v>
      </c>
      <c r="H145" s="942">
        <v>15229.05</v>
      </c>
      <c r="I145" s="949">
        <v>1687465</v>
      </c>
      <c r="J145" s="943">
        <v>110805.66417471871</v>
      </c>
    </row>
    <row r="146" spans="1:17" x14ac:dyDescent="0.3">
      <c r="A146" s="945"/>
      <c r="B146" s="946"/>
      <c r="C146" s="946"/>
      <c r="D146" s="946"/>
      <c r="E146" s="946"/>
      <c r="F146" s="946"/>
      <c r="G146" s="946"/>
      <c r="H146" s="946"/>
      <c r="I146" s="946"/>
      <c r="J146" s="946"/>
    </row>
    <row r="147" spans="1:17" x14ac:dyDescent="0.3">
      <c r="A147" s="915" t="s">
        <v>1406</v>
      </c>
      <c r="B147" s="916"/>
      <c r="C147" s="916"/>
      <c r="D147" s="916"/>
      <c r="E147" s="916"/>
      <c r="F147" s="916"/>
      <c r="G147" s="916"/>
      <c r="H147" s="916"/>
      <c r="I147" s="916"/>
      <c r="J147" s="916"/>
    </row>
    <row r="148" spans="1:17" x14ac:dyDescent="0.3">
      <c r="A148" s="915" t="s">
        <v>1440</v>
      </c>
      <c r="B148" s="916"/>
      <c r="C148" s="916"/>
      <c r="D148" s="916"/>
      <c r="E148" s="916"/>
      <c r="F148" s="916"/>
      <c r="G148" s="916"/>
      <c r="H148" s="916"/>
      <c r="I148" s="916"/>
      <c r="J148" s="916"/>
    </row>
    <row r="149" spans="1:17" x14ac:dyDescent="0.3">
      <c r="A149" s="917" t="s">
        <v>1408</v>
      </c>
      <c r="B149" s="916"/>
      <c r="C149" s="916"/>
      <c r="D149" s="916"/>
      <c r="E149" s="916"/>
      <c r="F149" s="916"/>
      <c r="G149" s="916"/>
      <c r="H149" s="916"/>
      <c r="I149" s="916"/>
      <c r="J149" s="916"/>
    </row>
    <row r="150" spans="1:17" ht="15" thickBot="1" x14ac:dyDescent="0.35">
      <c r="A150" s="918"/>
      <c r="B150" s="919"/>
      <c r="C150" s="919"/>
      <c r="D150" s="919"/>
      <c r="E150" s="919"/>
      <c r="F150" s="919"/>
      <c r="G150" s="919"/>
      <c r="H150" s="919"/>
      <c r="I150" s="919"/>
      <c r="J150" s="919"/>
      <c r="L150" s="12"/>
      <c r="M150" s="12"/>
      <c r="N150" s="12"/>
      <c r="O150" s="12"/>
      <c r="P150" s="12"/>
      <c r="Q150" s="12"/>
    </row>
    <row r="151" spans="1:17" ht="15" thickTop="1" x14ac:dyDescent="0.3">
      <c r="A151" s="920"/>
      <c r="B151" s="921" t="s">
        <v>1409</v>
      </c>
      <c r="C151" s="921"/>
      <c r="D151" s="921"/>
      <c r="E151" s="921" t="s">
        <v>1410</v>
      </c>
      <c r="F151" s="921"/>
      <c r="G151" s="921"/>
      <c r="H151" s="921" t="s">
        <v>1411</v>
      </c>
      <c r="I151" s="921"/>
      <c r="J151" s="922"/>
      <c r="L151" s="12"/>
      <c r="M151" s="12"/>
      <c r="N151" s="12"/>
      <c r="O151" s="12"/>
      <c r="P151" s="12"/>
      <c r="Q151" s="12"/>
    </row>
    <row r="152" spans="1:17" x14ac:dyDescent="0.3">
      <c r="A152" s="923" t="s">
        <v>1412</v>
      </c>
      <c r="B152" s="924" t="s">
        <v>1413</v>
      </c>
      <c r="C152" s="925" t="s">
        <v>1414</v>
      </c>
      <c r="D152" s="925"/>
      <c r="E152" s="924" t="s">
        <v>1413</v>
      </c>
      <c r="F152" s="925" t="s">
        <v>1414</v>
      </c>
      <c r="G152" s="925"/>
      <c r="H152" s="924" t="s">
        <v>1413</v>
      </c>
      <c r="I152" s="925" t="s">
        <v>1414</v>
      </c>
      <c r="J152" s="927"/>
      <c r="L152" s="12"/>
      <c r="M152" s="12"/>
      <c r="N152" s="12"/>
      <c r="O152" s="12"/>
      <c r="P152" s="12"/>
      <c r="Q152" s="12"/>
    </row>
    <row r="153" spans="1:17" x14ac:dyDescent="0.3">
      <c r="A153" s="923" t="s">
        <v>1416</v>
      </c>
      <c r="B153" s="924" t="s">
        <v>1417</v>
      </c>
      <c r="C153" s="928" t="s">
        <v>246</v>
      </c>
      <c r="D153" s="928" t="s">
        <v>1327</v>
      </c>
      <c r="E153" s="924" t="s">
        <v>1417</v>
      </c>
      <c r="F153" s="928" t="s">
        <v>246</v>
      </c>
      <c r="G153" s="928" t="s">
        <v>1327</v>
      </c>
      <c r="H153" s="924" t="s">
        <v>1417</v>
      </c>
      <c r="I153" s="928" t="s">
        <v>246</v>
      </c>
      <c r="J153" s="929" t="s">
        <v>1327</v>
      </c>
      <c r="L153" s="12"/>
      <c r="M153" s="12"/>
      <c r="N153" s="12"/>
      <c r="O153" s="12"/>
      <c r="P153" s="12"/>
      <c r="Q153" s="950"/>
    </row>
    <row r="154" spans="1:17" x14ac:dyDescent="0.3">
      <c r="A154" s="930"/>
      <c r="B154" s="924" t="s">
        <v>1418</v>
      </c>
      <c r="C154" s="931"/>
      <c r="D154" s="931"/>
      <c r="E154" s="924" t="s">
        <v>1418</v>
      </c>
      <c r="F154" s="931"/>
      <c r="G154" s="931"/>
      <c r="H154" s="924" t="s">
        <v>1418</v>
      </c>
      <c r="I154" s="931"/>
      <c r="J154" s="932"/>
      <c r="L154" s="12"/>
      <c r="M154" s="12"/>
      <c r="N154" s="12"/>
      <c r="O154" s="12"/>
      <c r="P154" s="12"/>
      <c r="Q154" s="951"/>
    </row>
    <row r="155" spans="1:17" x14ac:dyDescent="0.3">
      <c r="A155" s="933"/>
      <c r="B155" s="934">
        <v>1</v>
      </c>
      <c r="C155" s="934">
        <v>2</v>
      </c>
      <c r="D155" s="934">
        <v>3</v>
      </c>
      <c r="E155" s="934">
        <v>4</v>
      </c>
      <c r="F155" s="934">
        <v>5</v>
      </c>
      <c r="G155" s="934">
        <v>6</v>
      </c>
      <c r="H155" s="934">
        <v>7</v>
      </c>
      <c r="I155" s="934">
        <v>8</v>
      </c>
      <c r="J155" s="935">
        <v>9</v>
      </c>
      <c r="L155" s="12"/>
      <c r="M155" s="12" t="s">
        <v>1419</v>
      </c>
      <c r="N155" s="12"/>
      <c r="O155" s="12"/>
      <c r="P155" s="12"/>
      <c r="Q155" s="951"/>
    </row>
    <row r="156" spans="1:17" x14ac:dyDescent="0.3">
      <c r="A156" s="936" t="s">
        <v>246</v>
      </c>
      <c r="B156" s="937">
        <v>67280437.710000008</v>
      </c>
      <c r="C156" s="948">
        <v>2591859798.4679999</v>
      </c>
      <c r="D156" s="937">
        <v>38523.2303279556</v>
      </c>
      <c r="E156" s="937">
        <v>30478527.350000001</v>
      </c>
      <c r="F156" s="937">
        <v>737965464.43000019</v>
      </c>
      <c r="G156" s="937">
        <v>24212.635208898966</v>
      </c>
      <c r="H156" s="937">
        <v>36801910.359999999</v>
      </c>
      <c r="I156" s="948">
        <v>1853894334.0379999</v>
      </c>
      <c r="J156" s="938">
        <v>50374.948362816453</v>
      </c>
      <c r="L156" s="952"/>
      <c r="M156" s="939">
        <f>I156/(I156+I174)</f>
        <v>0.71092646507480783</v>
      </c>
      <c r="N156" s="12"/>
      <c r="O156" s="12"/>
      <c r="P156" s="12"/>
      <c r="Q156" s="951"/>
    </row>
    <row r="157" spans="1:17" x14ac:dyDescent="0.3">
      <c r="A157" s="941" t="s">
        <v>1421</v>
      </c>
      <c r="B157" s="942">
        <v>4843509.9799999995</v>
      </c>
      <c r="C157" s="949">
        <v>17307492.037999999</v>
      </c>
      <c r="D157" s="942">
        <v>3573.3367143800128</v>
      </c>
      <c r="E157" s="942">
        <v>4574325.43</v>
      </c>
      <c r="F157" s="942">
        <v>13682132.58</v>
      </c>
      <c r="G157" s="942">
        <v>2991.0710965747794</v>
      </c>
      <c r="H157" s="942">
        <v>269184.55</v>
      </c>
      <c r="I157" s="949">
        <v>3625359.4580000001</v>
      </c>
      <c r="J157" s="943">
        <v>13467.932903281411</v>
      </c>
      <c r="L157" s="953"/>
      <c r="M157" s="944">
        <f t="shared" ref="M157:M168" si="10">I157/(I157+I175)</f>
        <v>0.6313657343523239</v>
      </c>
      <c r="N157" s="12"/>
      <c r="O157" s="12"/>
      <c r="P157" s="12"/>
      <c r="Q157" s="951"/>
    </row>
    <row r="158" spans="1:17" x14ac:dyDescent="0.3">
      <c r="A158" s="941" t="s">
        <v>1422</v>
      </c>
      <c r="B158" s="942">
        <v>4733254.4700000007</v>
      </c>
      <c r="C158" s="949">
        <v>33485809.289999999</v>
      </c>
      <c r="D158" s="942">
        <v>7074.5846229560511</v>
      </c>
      <c r="E158" s="942">
        <v>4197039.4800000004</v>
      </c>
      <c r="F158" s="942">
        <v>30095913.5</v>
      </c>
      <c r="G158" s="942">
        <v>7170.7482484772809</v>
      </c>
      <c r="H158" s="942">
        <v>536214.99</v>
      </c>
      <c r="I158" s="949">
        <v>3389895.79</v>
      </c>
      <c r="J158" s="943">
        <v>6321.8967265350047</v>
      </c>
      <c r="L158" s="953"/>
      <c r="M158" s="944">
        <f t="shared" si="10"/>
        <v>0.58206055213372032</v>
      </c>
      <c r="N158" s="12"/>
      <c r="O158" s="12"/>
      <c r="P158" s="12"/>
      <c r="Q158" s="951"/>
    </row>
    <row r="159" spans="1:17" x14ac:dyDescent="0.3">
      <c r="A159" s="941" t="s">
        <v>1423</v>
      </c>
      <c r="B159" s="942">
        <v>4410923.26</v>
      </c>
      <c r="C159" s="949">
        <v>49337082.189999998</v>
      </c>
      <c r="D159" s="942">
        <v>11185.205291918863</v>
      </c>
      <c r="E159" s="942">
        <v>3546377.85</v>
      </c>
      <c r="F159" s="942">
        <v>41653058.600000001</v>
      </c>
      <c r="G159" s="942">
        <v>11745.239893149006</v>
      </c>
      <c r="H159" s="942">
        <v>864545.41</v>
      </c>
      <c r="I159" s="949">
        <v>7684023.5899999999</v>
      </c>
      <c r="J159" s="943">
        <v>8887.9352097884585</v>
      </c>
      <c r="L159" s="953"/>
      <c r="M159" s="944">
        <f t="shared" si="10"/>
        <v>0.59025728162795077</v>
      </c>
      <c r="N159" s="12"/>
      <c r="O159" s="12"/>
      <c r="P159" s="12"/>
      <c r="Q159" s="951"/>
    </row>
    <row r="160" spans="1:17" x14ac:dyDescent="0.3">
      <c r="A160" s="941" t="s">
        <v>1424</v>
      </c>
      <c r="B160" s="942">
        <v>4803245.33</v>
      </c>
      <c r="C160" s="949">
        <v>74482543.900000006</v>
      </c>
      <c r="D160" s="942">
        <v>15506.712396054108</v>
      </c>
      <c r="E160" s="942">
        <v>3566076.29</v>
      </c>
      <c r="F160" s="942">
        <v>58780170.5</v>
      </c>
      <c r="G160" s="942">
        <v>16483.15002817845</v>
      </c>
      <c r="H160" s="942">
        <v>1237169.04</v>
      </c>
      <c r="I160" s="949">
        <v>15702373.4</v>
      </c>
      <c r="J160" s="943">
        <v>12692.181013517764</v>
      </c>
      <c r="L160" s="953"/>
      <c r="M160" s="944">
        <f t="shared" si="10"/>
        <v>0.61357114880350405</v>
      </c>
      <c r="N160" s="12"/>
      <c r="O160" s="12"/>
      <c r="P160" s="12"/>
      <c r="Q160" s="951"/>
    </row>
    <row r="161" spans="1:17" x14ac:dyDescent="0.3">
      <c r="A161" s="941" t="s">
        <v>1425</v>
      </c>
      <c r="B161" s="942">
        <v>4502540.67</v>
      </c>
      <c r="C161" s="949">
        <v>88101320.900000006</v>
      </c>
      <c r="D161" s="942">
        <v>19567.023899864074</v>
      </c>
      <c r="E161" s="942">
        <v>3014707.47</v>
      </c>
      <c r="F161" s="942">
        <v>64563799.200000003</v>
      </c>
      <c r="G161" s="942">
        <v>21416.273334142101</v>
      </c>
      <c r="H161" s="942">
        <v>1487833.2</v>
      </c>
      <c r="I161" s="949">
        <v>23537521.699999999</v>
      </c>
      <c r="J161" s="943">
        <v>15820.000319928336</v>
      </c>
      <c r="L161" s="953"/>
      <c r="M161" s="944">
        <f t="shared" si="10"/>
        <v>0.64909638709960982</v>
      </c>
      <c r="N161" s="12"/>
      <c r="O161" s="12"/>
      <c r="P161" s="12"/>
      <c r="Q161" s="951"/>
    </row>
    <row r="162" spans="1:17" x14ac:dyDescent="0.3">
      <c r="A162" s="941" t="s">
        <v>1426</v>
      </c>
      <c r="B162" s="942">
        <v>4262922.5599999996</v>
      </c>
      <c r="C162" s="949">
        <v>100369058.90000001</v>
      </c>
      <c r="D162" s="942">
        <v>23544.659206757915</v>
      </c>
      <c r="E162" s="942">
        <v>2611415.5499999998</v>
      </c>
      <c r="F162" s="942">
        <v>68719124.299999997</v>
      </c>
      <c r="G162" s="942">
        <v>26314.89434915864</v>
      </c>
      <c r="H162" s="942">
        <v>1651507.01</v>
      </c>
      <c r="I162" s="949">
        <v>31649934.600000001</v>
      </c>
      <c r="J162" s="943">
        <v>19164.275058087704</v>
      </c>
      <c r="L162" s="953"/>
      <c r="M162" s="944">
        <f t="shared" si="10"/>
        <v>0.66643238238738589</v>
      </c>
      <c r="N162" s="12"/>
      <c r="O162" s="12"/>
      <c r="P162" s="12"/>
      <c r="Q162" s="951"/>
    </row>
    <row r="163" spans="1:17" x14ac:dyDescent="0.3">
      <c r="A163" s="941" t="s">
        <v>1427</v>
      </c>
      <c r="B163" s="942">
        <v>13877277.23</v>
      </c>
      <c r="C163" s="949">
        <v>426118626.10000002</v>
      </c>
      <c r="D163" s="942">
        <v>30706.2126840569</v>
      </c>
      <c r="E163" s="942">
        <v>5636523.3200000003</v>
      </c>
      <c r="F163" s="942">
        <v>202194250.40000001</v>
      </c>
      <c r="G163" s="942">
        <v>35872.15716513704</v>
      </c>
      <c r="H163" s="942">
        <v>8240753.9100000001</v>
      </c>
      <c r="I163" s="949">
        <v>223924375.69999999</v>
      </c>
      <c r="J163" s="943">
        <v>27172.802166592061</v>
      </c>
      <c r="L163" s="953"/>
      <c r="M163" s="944">
        <f t="shared" si="10"/>
        <v>0.67944874556717272</v>
      </c>
      <c r="N163" s="12"/>
      <c r="O163" s="12"/>
      <c r="P163" s="12"/>
      <c r="Q163" s="951"/>
    </row>
    <row r="164" spans="1:17" x14ac:dyDescent="0.3">
      <c r="A164" s="941" t="s">
        <v>1428</v>
      </c>
      <c r="B164" s="942">
        <v>18414593.140000001</v>
      </c>
      <c r="C164" s="949">
        <v>843910982.79999995</v>
      </c>
      <c r="D164" s="942">
        <v>45828.380588375025</v>
      </c>
      <c r="E164" s="942">
        <v>2745738.03</v>
      </c>
      <c r="F164" s="942">
        <v>162039048.80000001</v>
      </c>
      <c r="G164" s="942">
        <v>59014.751964520088</v>
      </c>
      <c r="H164" s="942">
        <v>15668855.109999999</v>
      </c>
      <c r="I164" s="949">
        <v>681871934</v>
      </c>
      <c r="J164" s="943">
        <v>43517.661578529973</v>
      </c>
      <c r="L164" s="953"/>
      <c r="M164" s="944">
        <f t="shared" si="10"/>
        <v>0.66104931232690345</v>
      </c>
      <c r="N164" s="12"/>
      <c r="O164" s="12"/>
      <c r="P164" s="12"/>
      <c r="Q164" s="951"/>
    </row>
    <row r="165" spans="1:17" x14ac:dyDescent="0.3">
      <c r="A165" s="941" t="s">
        <v>1429</v>
      </c>
      <c r="B165" s="942">
        <v>5628786.3199999994</v>
      </c>
      <c r="C165" s="949">
        <v>451394882.5</v>
      </c>
      <c r="D165" s="942">
        <v>80193.998641611266</v>
      </c>
      <c r="E165" s="942">
        <v>431032.81</v>
      </c>
      <c r="F165" s="942">
        <v>43884751.5</v>
      </c>
      <c r="G165" s="942">
        <v>101813.01859596258</v>
      </c>
      <c r="H165" s="942">
        <v>5197753.51</v>
      </c>
      <c r="I165" s="949">
        <v>407510131</v>
      </c>
      <c r="J165" s="943">
        <v>78401.203561497867</v>
      </c>
      <c r="L165" s="953"/>
      <c r="M165" s="944">
        <f t="shared" si="10"/>
        <v>0.70207663489193328</v>
      </c>
      <c r="N165" s="12"/>
      <c r="O165" s="12"/>
      <c r="P165" s="12"/>
      <c r="Q165" s="951"/>
    </row>
    <row r="166" spans="1:17" x14ac:dyDescent="0.3">
      <c r="A166" s="941" t="s">
        <v>1430</v>
      </c>
      <c r="B166" s="942">
        <v>1395019.5699999998</v>
      </c>
      <c r="C166" s="949">
        <v>241374951</v>
      </c>
      <c r="D166" s="942">
        <v>173026.21138139305</v>
      </c>
      <c r="E166" s="942">
        <v>113438.69</v>
      </c>
      <c r="F166" s="942">
        <v>21557747</v>
      </c>
      <c r="G166" s="942">
        <v>190038.75132902188</v>
      </c>
      <c r="H166" s="942">
        <v>1281580.8799999999</v>
      </c>
      <c r="I166" s="949">
        <v>219817204</v>
      </c>
      <c r="J166" s="943">
        <v>171520.35226992465</v>
      </c>
      <c r="L166" s="953"/>
      <c r="M166" s="944">
        <f t="shared" si="10"/>
        <v>0.81250244935253657</v>
      </c>
      <c r="N166" s="12"/>
      <c r="O166" s="12"/>
      <c r="P166" s="12"/>
      <c r="Q166" s="951"/>
    </row>
    <row r="167" spans="1:17" x14ac:dyDescent="0.3">
      <c r="A167" s="941" t="s">
        <v>1431</v>
      </c>
      <c r="B167" s="942">
        <v>255070.98</v>
      </c>
      <c r="C167" s="949">
        <v>92936121.149999991</v>
      </c>
      <c r="D167" s="942">
        <v>364353.95806296734</v>
      </c>
      <c r="E167" s="942">
        <v>24635.41</v>
      </c>
      <c r="F167" s="942">
        <v>9348967.3499999996</v>
      </c>
      <c r="G167" s="942">
        <v>379493.06912286009</v>
      </c>
      <c r="H167" s="942">
        <v>230435.57</v>
      </c>
      <c r="I167" s="949">
        <v>83587153.799999997</v>
      </c>
      <c r="J167" s="943">
        <v>362735.46570956905</v>
      </c>
      <c r="L167" s="953"/>
      <c r="M167" s="944">
        <f t="shared" si="10"/>
        <v>0.87323411533527762</v>
      </c>
      <c r="N167" s="12"/>
      <c r="O167" s="12"/>
      <c r="P167" s="12"/>
      <c r="Q167" s="951"/>
    </row>
    <row r="168" spans="1:17" ht="15" thickBot="1" x14ac:dyDescent="0.35">
      <c r="A168" s="947" t="s">
        <v>1432</v>
      </c>
      <c r="B168" s="942">
        <v>153294.19999999998</v>
      </c>
      <c r="C168" s="949">
        <v>173040927.69999999</v>
      </c>
      <c r="D168" s="942">
        <v>1128815.8827926954</v>
      </c>
      <c r="E168" s="942">
        <v>17217.02</v>
      </c>
      <c r="F168" s="942">
        <v>21446500.699999999</v>
      </c>
      <c r="G168" s="942">
        <v>1245656.9545716969</v>
      </c>
      <c r="H168" s="942">
        <v>136077.18</v>
      </c>
      <c r="I168" s="949">
        <v>151594427</v>
      </c>
      <c r="J168" s="943">
        <v>1114032.690859702</v>
      </c>
      <c r="L168" s="953"/>
      <c r="M168" s="944">
        <f t="shared" si="10"/>
        <v>0.91311340528994933</v>
      </c>
      <c r="N168" s="12"/>
      <c r="O168" s="12"/>
      <c r="P168" s="12"/>
      <c r="Q168" s="951"/>
    </row>
    <row r="169" spans="1:17" ht="15" thickTop="1" x14ac:dyDescent="0.3">
      <c r="A169" s="930"/>
      <c r="B169" s="921" t="s">
        <v>1433</v>
      </c>
      <c r="C169" s="921"/>
      <c r="D169" s="921"/>
      <c r="E169" s="921" t="s">
        <v>1434</v>
      </c>
      <c r="F169" s="921"/>
      <c r="G169" s="921"/>
      <c r="H169" s="921" t="s">
        <v>1435</v>
      </c>
      <c r="I169" s="921"/>
      <c r="J169" s="922"/>
      <c r="L169" s="12"/>
      <c r="M169" s="12"/>
      <c r="N169" s="12"/>
      <c r="O169" s="12"/>
      <c r="P169" s="12"/>
      <c r="Q169" s="12"/>
    </row>
    <row r="170" spans="1:17" x14ac:dyDescent="0.3">
      <c r="A170" s="923" t="s">
        <v>1412</v>
      </c>
      <c r="B170" s="924" t="s">
        <v>1413</v>
      </c>
      <c r="C170" s="925" t="s">
        <v>1414</v>
      </c>
      <c r="D170" s="925"/>
      <c r="E170" s="924" t="s">
        <v>1413</v>
      </c>
      <c r="F170" s="925" t="s">
        <v>1414</v>
      </c>
      <c r="G170" s="925"/>
      <c r="H170" s="924" t="s">
        <v>1413</v>
      </c>
      <c r="I170" s="925" t="s">
        <v>1414</v>
      </c>
      <c r="J170" s="927"/>
      <c r="L170" s="12"/>
      <c r="M170" s="12"/>
      <c r="N170" s="12"/>
      <c r="O170" s="12"/>
      <c r="P170" s="12"/>
      <c r="Q170" s="12"/>
    </row>
    <row r="171" spans="1:17" x14ac:dyDescent="0.3">
      <c r="A171" s="923" t="s">
        <v>1416</v>
      </c>
      <c r="B171" s="924" t="s">
        <v>1417</v>
      </c>
      <c r="C171" s="928" t="s">
        <v>246</v>
      </c>
      <c r="D171" s="928" t="s">
        <v>1327</v>
      </c>
      <c r="E171" s="924" t="s">
        <v>1417</v>
      </c>
      <c r="F171" s="928" t="s">
        <v>246</v>
      </c>
      <c r="G171" s="928" t="s">
        <v>1327</v>
      </c>
      <c r="H171" s="924" t="s">
        <v>1417</v>
      </c>
      <c r="I171" s="928" t="s">
        <v>246</v>
      </c>
      <c r="J171" s="929" t="s">
        <v>1327</v>
      </c>
      <c r="L171" s="12"/>
      <c r="M171" s="12"/>
      <c r="N171" s="12"/>
      <c r="O171" s="12"/>
      <c r="P171" s="12"/>
      <c r="Q171" s="12"/>
    </row>
    <row r="172" spans="1:17" x14ac:dyDescent="0.3">
      <c r="A172" s="923"/>
      <c r="B172" s="924" t="s">
        <v>1418</v>
      </c>
      <c r="C172" s="931"/>
      <c r="D172" s="931"/>
      <c r="E172" s="924" t="s">
        <v>1418</v>
      </c>
      <c r="F172" s="931"/>
      <c r="G172" s="931"/>
      <c r="H172" s="924" t="s">
        <v>1418</v>
      </c>
      <c r="I172" s="931"/>
      <c r="J172" s="932"/>
      <c r="L172" s="12"/>
      <c r="M172" s="12"/>
      <c r="N172" s="12"/>
      <c r="O172" s="12"/>
      <c r="P172" s="12"/>
      <c r="Q172" s="12"/>
    </row>
    <row r="173" spans="1:17" x14ac:dyDescent="0.3">
      <c r="A173" s="933"/>
      <c r="B173" s="934">
        <v>1</v>
      </c>
      <c r="C173" s="934">
        <v>2</v>
      </c>
      <c r="D173" s="934">
        <v>3</v>
      </c>
      <c r="E173" s="934">
        <v>4</v>
      </c>
      <c r="F173" s="934">
        <v>5</v>
      </c>
      <c r="G173" s="934">
        <v>6</v>
      </c>
      <c r="H173" s="934">
        <v>7</v>
      </c>
      <c r="I173" s="934">
        <v>8</v>
      </c>
      <c r="J173" s="935">
        <v>9</v>
      </c>
      <c r="L173" s="12"/>
      <c r="M173" s="12"/>
      <c r="N173" s="12"/>
      <c r="O173" s="12"/>
      <c r="P173" s="12"/>
      <c r="Q173" s="12"/>
    </row>
    <row r="174" spans="1:17" x14ac:dyDescent="0.3">
      <c r="A174" s="936" t="s">
        <v>246</v>
      </c>
      <c r="B174" s="937">
        <v>64113488.210000008</v>
      </c>
      <c r="C174" s="948">
        <v>1409410759.8759997</v>
      </c>
      <c r="D174" s="937">
        <v>21983.061586971475</v>
      </c>
      <c r="E174" s="937">
        <v>32847399.139999997</v>
      </c>
      <c r="F174" s="937">
        <v>655589071.07200003</v>
      </c>
      <c r="G174" s="937">
        <v>19958.629548652909</v>
      </c>
      <c r="H174" s="937">
        <v>31266089.070000004</v>
      </c>
      <c r="I174" s="948">
        <v>753821688.80400002</v>
      </c>
      <c r="J174" s="938">
        <v>24109.881063675992</v>
      </c>
    </row>
    <row r="175" spans="1:17" x14ac:dyDescent="0.3">
      <c r="A175" s="941" t="s">
        <v>1421</v>
      </c>
      <c r="B175" s="942">
        <v>5512047.8200000003</v>
      </c>
      <c r="C175" s="949">
        <v>16470209.946</v>
      </c>
      <c r="D175" s="942">
        <v>2988.0382906402288</v>
      </c>
      <c r="E175" s="942">
        <v>5236048.08</v>
      </c>
      <c r="F175" s="942">
        <v>14353478.472000001</v>
      </c>
      <c r="G175" s="942">
        <v>2741.2808768555083</v>
      </c>
      <c r="H175" s="942">
        <v>275999.74</v>
      </c>
      <c r="I175" s="949">
        <v>2116731.4739999999</v>
      </c>
      <c r="J175" s="943">
        <v>7669.3241595082663</v>
      </c>
    </row>
    <row r="176" spans="1:17" x14ac:dyDescent="0.3">
      <c r="A176" s="941" t="s">
        <v>1422</v>
      </c>
      <c r="B176" s="942">
        <v>5509673.1300000008</v>
      </c>
      <c r="C176" s="949">
        <v>36430377.690000005</v>
      </c>
      <c r="D176" s="942">
        <v>6612.0760397994791</v>
      </c>
      <c r="E176" s="942">
        <v>5034014.4000000004</v>
      </c>
      <c r="F176" s="942">
        <v>33996316.200000003</v>
      </c>
      <c r="G176" s="942">
        <v>6753.3212062325447</v>
      </c>
      <c r="H176" s="942">
        <v>475658.73</v>
      </c>
      <c r="I176" s="949">
        <v>2434061.4900000002</v>
      </c>
      <c r="J176" s="943">
        <v>5117.2433858199138</v>
      </c>
    </row>
    <row r="177" spans="1:12" x14ac:dyDescent="0.3">
      <c r="A177" s="941" t="s">
        <v>1423</v>
      </c>
      <c r="B177" s="942">
        <v>5437021.5899999999</v>
      </c>
      <c r="C177" s="949">
        <v>59269276.199999996</v>
      </c>
      <c r="D177" s="942">
        <v>10901.055884900394</v>
      </c>
      <c r="E177" s="942">
        <v>4703684.67</v>
      </c>
      <c r="F177" s="942">
        <v>53935207.799999997</v>
      </c>
      <c r="G177" s="942">
        <v>11466.58664089402</v>
      </c>
      <c r="H177" s="942">
        <v>733336.92</v>
      </c>
      <c r="I177" s="949">
        <v>5334068.4000000004</v>
      </c>
      <c r="J177" s="943">
        <v>7273.6940613872266</v>
      </c>
    </row>
    <row r="178" spans="1:12" x14ac:dyDescent="0.3">
      <c r="A178" s="941" t="s">
        <v>1424</v>
      </c>
      <c r="B178" s="942">
        <v>5112999.3600000003</v>
      </c>
      <c r="C178" s="949">
        <v>76558408.739999995</v>
      </c>
      <c r="D178" s="942">
        <v>14973.287370018366</v>
      </c>
      <c r="E178" s="942">
        <v>4065972.04</v>
      </c>
      <c r="F178" s="942">
        <v>66669009.399999999</v>
      </c>
      <c r="G178" s="942">
        <v>16396.81944295908</v>
      </c>
      <c r="H178" s="942">
        <v>1047027.32</v>
      </c>
      <c r="I178" s="949">
        <v>9889399.3399999999</v>
      </c>
      <c r="J178" s="943">
        <v>9445.2161381997194</v>
      </c>
    </row>
    <row r="179" spans="1:12" x14ac:dyDescent="0.3">
      <c r="A179" s="941" t="s">
        <v>1425</v>
      </c>
      <c r="B179" s="942">
        <v>4587944.17</v>
      </c>
      <c r="C179" s="949">
        <v>84321652.799999997</v>
      </c>
      <c r="D179" s="942">
        <v>18378.962270589269</v>
      </c>
      <c r="E179" s="942">
        <v>3368734.7200000002</v>
      </c>
      <c r="F179" s="942">
        <v>71597192.200000003</v>
      </c>
      <c r="G179" s="942">
        <v>21253.437314292292</v>
      </c>
      <c r="H179" s="942">
        <v>1219209.45</v>
      </c>
      <c r="I179" s="949">
        <v>12724460.6</v>
      </c>
      <c r="J179" s="943">
        <v>10436.648600451712</v>
      </c>
    </row>
    <row r="180" spans="1:12" x14ac:dyDescent="0.3">
      <c r="A180" s="941" t="s">
        <v>1426</v>
      </c>
      <c r="B180" s="942">
        <v>3979005.25</v>
      </c>
      <c r="C180" s="949">
        <v>82540136.899999991</v>
      </c>
      <c r="D180" s="942">
        <v>20743.912539446887</v>
      </c>
      <c r="E180" s="942">
        <v>2617224.56</v>
      </c>
      <c r="F180" s="942">
        <v>66698479.799999997</v>
      </c>
      <c r="G180" s="942">
        <v>25484.431416156356</v>
      </c>
      <c r="H180" s="942">
        <v>1361780.69</v>
      </c>
      <c r="I180" s="949">
        <v>15841657.1</v>
      </c>
      <c r="J180" s="943">
        <v>11633.045773324926</v>
      </c>
    </row>
    <row r="181" spans="1:12" x14ac:dyDescent="0.3">
      <c r="A181" s="941" t="s">
        <v>1427</v>
      </c>
      <c r="B181" s="942">
        <v>12160642.140000001</v>
      </c>
      <c r="C181" s="949">
        <v>288793913.39999998</v>
      </c>
      <c r="D181" s="942">
        <v>23748.245370207067</v>
      </c>
      <c r="E181" s="942">
        <v>5274641.42</v>
      </c>
      <c r="F181" s="942">
        <v>183150566.5</v>
      </c>
      <c r="G181" s="942">
        <v>34722.84690397021</v>
      </c>
      <c r="H181" s="942">
        <v>6886000.7200000007</v>
      </c>
      <c r="I181" s="949">
        <v>105643346.90000001</v>
      </c>
      <c r="J181" s="943">
        <v>15341.7565863978</v>
      </c>
    </row>
    <row r="182" spans="1:12" x14ac:dyDescent="0.3">
      <c r="A182" s="941" t="s">
        <v>1428</v>
      </c>
      <c r="B182" s="942">
        <v>16067582.920000002</v>
      </c>
      <c r="C182" s="949">
        <v>469514772.19999999</v>
      </c>
      <c r="D182" s="942">
        <v>29221.24469733248</v>
      </c>
      <c r="E182" s="942">
        <v>2199203.4700000002</v>
      </c>
      <c r="F182" s="942">
        <v>119887359.2</v>
      </c>
      <c r="G182" s="942">
        <v>54513.991468010914</v>
      </c>
      <c r="H182" s="942">
        <v>13868379.450000001</v>
      </c>
      <c r="I182" s="949">
        <v>349627413</v>
      </c>
      <c r="J182" s="943">
        <v>25210.401421486917</v>
      </c>
    </row>
    <row r="183" spans="1:12" x14ac:dyDescent="0.3">
      <c r="A183" s="941" t="s">
        <v>1429</v>
      </c>
      <c r="B183" s="942">
        <v>4634137.1399999997</v>
      </c>
      <c r="C183" s="949">
        <v>199383007.09999999</v>
      </c>
      <c r="D183" s="942">
        <v>43024.839592899923</v>
      </c>
      <c r="E183" s="942">
        <v>274769.71999999997</v>
      </c>
      <c r="F183" s="942">
        <v>26457740.100000001</v>
      </c>
      <c r="G183" s="942">
        <v>96290.595994347575</v>
      </c>
      <c r="H183" s="942">
        <v>4359367.42</v>
      </c>
      <c r="I183" s="949">
        <v>172925267</v>
      </c>
      <c r="J183" s="943">
        <v>39667.513732990185</v>
      </c>
    </row>
    <row r="184" spans="1:12" x14ac:dyDescent="0.3">
      <c r="A184" s="941" t="s">
        <v>1430</v>
      </c>
      <c r="B184" s="942">
        <v>915503.27</v>
      </c>
      <c r="C184" s="949">
        <v>61264159.600000001</v>
      </c>
      <c r="D184" s="942">
        <v>66918.55901290226</v>
      </c>
      <c r="E184" s="942">
        <v>57653.06</v>
      </c>
      <c r="F184" s="942">
        <v>10537928.1</v>
      </c>
      <c r="G184" s="942">
        <v>182781.76561660387</v>
      </c>
      <c r="H184" s="942">
        <v>857850.21</v>
      </c>
      <c r="I184" s="949">
        <v>50726231.5</v>
      </c>
      <c r="J184" s="943">
        <v>59131.805190092571</v>
      </c>
    </row>
    <row r="185" spans="1:12" x14ac:dyDescent="0.3">
      <c r="A185" s="941" t="s">
        <v>1431</v>
      </c>
      <c r="B185" s="942">
        <v>133620.66999999998</v>
      </c>
      <c r="C185" s="949">
        <v>15405240.57</v>
      </c>
      <c r="D185" s="942">
        <v>115290.84961181531</v>
      </c>
      <c r="E185" s="942">
        <v>10069.77</v>
      </c>
      <c r="F185" s="942">
        <v>3271038.17</v>
      </c>
      <c r="G185" s="942">
        <v>324837.42627686629</v>
      </c>
      <c r="H185" s="942">
        <v>123550.9</v>
      </c>
      <c r="I185" s="949">
        <v>12134202.4</v>
      </c>
      <c r="J185" s="943">
        <v>98212.173282428557</v>
      </c>
    </row>
    <row r="186" spans="1:12" x14ac:dyDescent="0.3">
      <c r="A186" s="954" t="s">
        <v>1432</v>
      </c>
      <c r="B186" s="942">
        <v>63310.75</v>
      </c>
      <c r="C186" s="949">
        <v>19459604.73</v>
      </c>
      <c r="D186" s="942">
        <v>307366.51721863978</v>
      </c>
      <c r="E186" s="942">
        <v>5383.23</v>
      </c>
      <c r="F186" s="942">
        <v>5034755.13</v>
      </c>
      <c r="G186" s="942">
        <v>935266.58344525506</v>
      </c>
      <c r="H186" s="942">
        <v>57927.519999999997</v>
      </c>
      <c r="I186" s="949">
        <v>14424849.6</v>
      </c>
      <c r="J186" s="943">
        <v>249015.48693954101</v>
      </c>
    </row>
    <row r="187" spans="1:12" x14ac:dyDescent="0.3">
      <c r="A187" s="955" t="s">
        <v>1441</v>
      </c>
      <c r="B187" s="945"/>
      <c r="C187" s="945"/>
      <c r="D187" s="945"/>
      <c r="E187" s="945"/>
      <c r="F187" s="945"/>
      <c r="G187" s="945"/>
      <c r="H187" s="945"/>
      <c r="I187" s="945"/>
      <c r="J187" s="945"/>
    </row>
    <row r="189" spans="1:12" x14ac:dyDescent="0.3">
      <c r="A189" s="9" t="s">
        <v>1442</v>
      </c>
    </row>
    <row r="191" spans="1:12" ht="15.6" x14ac:dyDescent="0.3">
      <c r="A191" s="956" t="s">
        <v>1443</v>
      </c>
    </row>
    <row r="192" spans="1:12" x14ac:dyDescent="0.3">
      <c r="A192" s="923" t="s">
        <v>1412</v>
      </c>
      <c r="B192" s="924" t="s">
        <v>1413</v>
      </c>
      <c r="C192" s="925" t="s">
        <v>1414</v>
      </c>
      <c r="D192" s="925"/>
      <c r="E192" s="924" t="s">
        <v>1413</v>
      </c>
      <c r="F192" s="925" t="s">
        <v>1414</v>
      </c>
      <c r="G192" s="925"/>
      <c r="H192" s="924" t="s">
        <v>1413</v>
      </c>
      <c r="I192" s="926" t="s">
        <v>1414</v>
      </c>
      <c r="J192" s="927"/>
      <c r="K192" s="957"/>
      <c r="L192" s="957"/>
    </row>
    <row r="193" spans="1:13" x14ac:dyDescent="0.3">
      <c r="A193" s="923" t="s">
        <v>1416</v>
      </c>
      <c r="B193" s="924" t="s">
        <v>1417</v>
      </c>
      <c r="C193" s="928" t="s">
        <v>246</v>
      </c>
      <c r="D193" s="928" t="s">
        <v>1327</v>
      </c>
      <c r="E193" s="924" t="s">
        <v>1417</v>
      </c>
      <c r="F193" s="928" t="s">
        <v>246</v>
      </c>
      <c r="G193" s="928" t="s">
        <v>1327</v>
      </c>
      <c r="H193" s="924" t="s">
        <v>1417</v>
      </c>
      <c r="I193" s="928" t="s">
        <v>246</v>
      </c>
      <c r="J193" s="929" t="s">
        <v>1327</v>
      </c>
      <c r="K193" s="958"/>
      <c r="L193" s="958"/>
    </row>
    <row r="194" spans="1:13" x14ac:dyDescent="0.3">
      <c r="A194" s="930"/>
      <c r="B194" s="924" t="s">
        <v>1418</v>
      </c>
      <c r="C194" s="931"/>
      <c r="D194" s="931"/>
      <c r="E194" s="924" t="s">
        <v>1418</v>
      </c>
      <c r="F194" s="931"/>
      <c r="G194" s="931"/>
      <c r="H194" s="924" t="s">
        <v>1418</v>
      </c>
      <c r="I194" s="931"/>
      <c r="J194" s="932"/>
      <c r="K194" s="958"/>
      <c r="L194" s="958"/>
    </row>
    <row r="195" spans="1:13" x14ac:dyDescent="0.3">
      <c r="A195" s="933"/>
      <c r="B195" s="934">
        <v>1</v>
      </c>
      <c r="C195" s="934">
        <v>2</v>
      </c>
      <c r="D195" s="934">
        <v>3</v>
      </c>
      <c r="E195" s="934">
        <v>4</v>
      </c>
      <c r="F195" s="934">
        <v>5</v>
      </c>
      <c r="G195" s="934">
        <v>6</v>
      </c>
      <c r="H195" s="934">
        <v>7</v>
      </c>
      <c r="I195" s="934">
        <v>8</v>
      </c>
      <c r="J195" s="935">
        <v>9</v>
      </c>
      <c r="K195" s="12"/>
      <c r="L195" s="12"/>
      <c r="M195" s="12" t="s">
        <v>1419</v>
      </c>
    </row>
    <row r="196" spans="1:13" x14ac:dyDescent="0.3">
      <c r="A196" s="936" t="s">
        <v>246</v>
      </c>
      <c r="B196" s="937"/>
      <c r="C196" s="948"/>
      <c r="D196" s="937"/>
      <c r="E196" s="937"/>
      <c r="F196" s="937"/>
      <c r="G196" s="937"/>
      <c r="H196" s="937"/>
      <c r="I196" s="948">
        <f>SUM(I197:I208)</f>
        <v>2396403123</v>
      </c>
      <c r="J196" s="938"/>
      <c r="K196" s="959"/>
      <c r="L196" s="12"/>
      <c r="M196" s="939">
        <f>I196/(I196+I214)</f>
        <v>0.67895909215291139</v>
      </c>
    </row>
    <row r="197" spans="1:13" x14ac:dyDescent="0.3">
      <c r="A197" s="941" t="s">
        <v>1421</v>
      </c>
      <c r="B197" s="942"/>
      <c r="C197" s="949"/>
      <c r="D197" s="942"/>
      <c r="E197" s="942"/>
      <c r="F197" s="942"/>
      <c r="G197" s="942"/>
      <c r="H197" s="942"/>
      <c r="I197" s="949">
        <f>9187803+1440970</f>
        <v>10628773</v>
      </c>
      <c r="J197" s="943"/>
      <c r="K197" s="12"/>
      <c r="L197" s="12"/>
      <c r="M197" s="944">
        <f t="shared" ref="M197:M208" si="11">I197/(I197+I215)</f>
        <v>0.64035357140447258</v>
      </c>
    </row>
    <row r="198" spans="1:13" x14ac:dyDescent="0.3">
      <c r="A198" s="941" t="s">
        <v>1422</v>
      </c>
      <c r="B198" s="942"/>
      <c r="C198" s="949"/>
      <c r="D198" s="942"/>
      <c r="E198" s="942"/>
      <c r="F198" s="942"/>
      <c r="G198" s="942"/>
      <c r="H198" s="942"/>
      <c r="I198" s="949">
        <v>2694981</v>
      </c>
      <c r="J198" s="943"/>
      <c r="K198" s="12"/>
      <c r="L198" s="12"/>
      <c r="M198" s="944">
        <f t="shared" si="11"/>
        <v>0.55392685524155183</v>
      </c>
    </row>
    <row r="199" spans="1:13" x14ac:dyDescent="0.3">
      <c r="A199" s="941" t="s">
        <v>1423</v>
      </c>
      <c r="B199" s="942"/>
      <c r="C199" s="949"/>
      <c r="D199" s="942"/>
      <c r="E199" s="942"/>
      <c r="F199" s="942"/>
      <c r="G199" s="942"/>
      <c r="H199" s="942"/>
      <c r="I199" s="949">
        <v>6375120</v>
      </c>
      <c r="J199" s="943"/>
      <c r="K199" s="12"/>
      <c r="L199" s="12"/>
      <c r="M199" s="944">
        <f t="shared" si="11"/>
        <v>0.54778790223523333</v>
      </c>
    </row>
    <row r="200" spans="1:13" x14ac:dyDescent="0.3">
      <c r="A200" s="941" t="s">
        <v>1424</v>
      </c>
      <c r="B200" s="942"/>
      <c r="C200" s="949"/>
      <c r="D200" s="942"/>
      <c r="E200" s="942"/>
      <c r="F200" s="942"/>
      <c r="G200" s="942"/>
      <c r="H200" s="942"/>
      <c r="I200" s="949">
        <v>10591740</v>
      </c>
      <c r="J200" s="943"/>
      <c r="K200" s="12"/>
      <c r="L200" s="12"/>
      <c r="M200" s="944">
        <f t="shared" si="11"/>
        <v>0.56951844398923912</v>
      </c>
    </row>
    <row r="201" spans="1:13" x14ac:dyDescent="0.3">
      <c r="A201" s="941" t="s">
        <v>1425</v>
      </c>
      <c r="B201" s="942"/>
      <c r="C201" s="949"/>
      <c r="D201" s="942"/>
      <c r="E201" s="942"/>
      <c r="F201" s="942"/>
      <c r="G201" s="942"/>
      <c r="H201" s="942"/>
      <c r="I201" s="949">
        <v>17385674</v>
      </c>
      <c r="J201" s="943"/>
      <c r="K201" s="12"/>
      <c r="L201" s="12"/>
      <c r="M201" s="944">
        <f t="shared" si="11"/>
        <v>0.58935347193196375</v>
      </c>
    </row>
    <row r="202" spans="1:13" x14ac:dyDescent="0.3">
      <c r="A202" s="941" t="s">
        <v>1426</v>
      </c>
      <c r="B202" s="942"/>
      <c r="C202" s="949"/>
      <c r="D202" s="942"/>
      <c r="E202" s="942"/>
      <c r="F202" s="942"/>
      <c r="G202" s="942"/>
      <c r="H202" s="942"/>
      <c r="I202" s="949">
        <v>21642416</v>
      </c>
      <c r="J202" s="943"/>
      <c r="K202" s="12"/>
      <c r="L202" s="12"/>
      <c r="M202" s="944">
        <f t="shared" si="11"/>
        <v>0.58617742097292858</v>
      </c>
    </row>
    <row r="203" spans="1:13" x14ac:dyDescent="0.3">
      <c r="A203" s="941" t="s">
        <v>1427</v>
      </c>
      <c r="B203" s="942"/>
      <c r="C203" s="949"/>
      <c r="D203" s="942"/>
      <c r="E203" s="942"/>
      <c r="F203" s="942"/>
      <c r="G203" s="942"/>
      <c r="H203" s="942"/>
      <c r="I203" s="949">
        <f>63004877+83747698</f>
        <v>146752575</v>
      </c>
      <c r="J203" s="943"/>
      <c r="K203" s="12"/>
      <c r="L203" s="12"/>
      <c r="M203" s="944">
        <f t="shared" si="11"/>
        <v>0.63720787728304595</v>
      </c>
    </row>
    <row r="204" spans="1:13" x14ac:dyDescent="0.3">
      <c r="A204" s="941" t="s">
        <v>1428</v>
      </c>
      <c r="B204" s="942"/>
      <c r="C204" s="949"/>
      <c r="D204" s="942"/>
      <c r="E204" s="942"/>
      <c r="F204" s="942"/>
      <c r="G204" s="942"/>
      <c r="H204" s="942"/>
      <c r="I204" s="949">
        <f>310464517+366588674</f>
        <v>677053191</v>
      </c>
      <c r="J204" s="943"/>
      <c r="K204" s="12"/>
      <c r="L204" s="12"/>
      <c r="M204" s="944">
        <f t="shared" si="11"/>
        <v>0.63580734488733337</v>
      </c>
    </row>
    <row r="205" spans="1:13" x14ac:dyDescent="0.3">
      <c r="A205" s="941" t="s">
        <v>1429</v>
      </c>
      <c r="B205" s="942"/>
      <c r="C205" s="949"/>
      <c r="D205" s="942"/>
      <c r="E205" s="942"/>
      <c r="F205" s="942"/>
      <c r="G205" s="942"/>
      <c r="H205" s="942"/>
      <c r="I205" s="949">
        <v>782740768</v>
      </c>
      <c r="J205" s="943"/>
      <c r="K205" s="12"/>
      <c r="L205" s="12"/>
      <c r="M205" s="944">
        <f t="shared" si="11"/>
        <v>0.65075955714014067</v>
      </c>
    </row>
    <row r="206" spans="1:13" x14ac:dyDescent="0.3">
      <c r="A206" s="941" t="s">
        <v>1430</v>
      </c>
      <c r="B206" s="942"/>
      <c r="C206" s="949"/>
      <c r="D206" s="942"/>
      <c r="E206" s="942"/>
      <c r="F206" s="942"/>
      <c r="G206" s="942"/>
      <c r="H206" s="942"/>
      <c r="I206" s="949">
        <f>142999030+265471694</f>
        <v>408470724</v>
      </c>
      <c r="J206" s="943"/>
      <c r="K206" s="12"/>
      <c r="L206" s="12"/>
      <c r="M206" s="944">
        <f t="shared" si="11"/>
        <v>0.73367293587016591</v>
      </c>
    </row>
    <row r="207" spans="1:13" x14ac:dyDescent="0.3">
      <c r="A207" s="941" t="s">
        <v>1431</v>
      </c>
      <c r="B207" s="942"/>
      <c r="C207" s="949"/>
      <c r="D207" s="942"/>
      <c r="E207" s="942"/>
      <c r="F207" s="942"/>
      <c r="G207" s="942"/>
      <c r="H207" s="942"/>
      <c r="I207" s="949">
        <v>134940246</v>
      </c>
      <c r="J207" s="943"/>
      <c r="K207" s="12"/>
      <c r="L207" s="12"/>
      <c r="M207" s="944">
        <f t="shared" si="11"/>
        <v>0.83572849355054624</v>
      </c>
    </row>
    <row r="208" spans="1:13" ht="15" thickBot="1" x14ac:dyDescent="0.35">
      <c r="A208" s="947" t="s">
        <v>1432</v>
      </c>
      <c r="B208" s="942"/>
      <c r="C208" s="949"/>
      <c r="D208" s="942"/>
      <c r="E208" s="942"/>
      <c r="F208" s="942"/>
      <c r="G208" s="942"/>
      <c r="H208" s="942"/>
      <c r="I208" s="949">
        <f>43887558+22948252+51630757+24494015+34166333</f>
        <v>177126915</v>
      </c>
      <c r="J208" s="943"/>
      <c r="K208" s="12"/>
      <c r="L208" s="12"/>
      <c r="M208" s="944">
        <f t="shared" si="11"/>
        <v>0.90738998487322331</v>
      </c>
    </row>
    <row r="209" spans="1:12" ht="15" thickTop="1" x14ac:dyDescent="0.3">
      <c r="A209" s="930"/>
      <c r="B209" s="921"/>
      <c r="C209" s="921"/>
      <c r="D209" s="921"/>
      <c r="E209" s="921"/>
      <c r="F209" s="921"/>
      <c r="G209" s="921"/>
      <c r="H209" s="921"/>
      <c r="I209" s="921"/>
      <c r="J209" s="922"/>
      <c r="K209" s="12"/>
      <c r="L209" s="12"/>
    </row>
    <row r="210" spans="1:12" x14ac:dyDescent="0.3">
      <c r="A210" s="923" t="s">
        <v>1412</v>
      </c>
      <c r="B210" s="924"/>
      <c r="C210" s="925"/>
      <c r="D210" s="925"/>
      <c r="E210" s="924"/>
      <c r="F210" s="925"/>
      <c r="G210" s="925"/>
      <c r="H210" s="924"/>
      <c r="I210" s="925" t="s">
        <v>1414</v>
      </c>
      <c r="J210" s="927"/>
      <c r="K210" s="12"/>
      <c r="L210" s="12"/>
    </row>
    <row r="211" spans="1:12" x14ac:dyDescent="0.3">
      <c r="A211" s="923" t="s">
        <v>1416</v>
      </c>
      <c r="B211" s="924"/>
      <c r="C211" s="928"/>
      <c r="D211" s="928"/>
      <c r="E211" s="924"/>
      <c r="F211" s="928"/>
      <c r="G211" s="928"/>
      <c r="H211" s="924"/>
      <c r="I211" s="928" t="s">
        <v>246</v>
      </c>
      <c r="J211" s="929" t="s">
        <v>1327</v>
      </c>
      <c r="K211" s="12"/>
      <c r="L211" s="12"/>
    </row>
    <row r="212" spans="1:12" x14ac:dyDescent="0.3">
      <c r="A212" s="923"/>
      <c r="B212" s="924"/>
      <c r="C212" s="931"/>
      <c r="D212" s="931"/>
      <c r="E212" s="924"/>
      <c r="F212" s="931"/>
      <c r="G212" s="931"/>
      <c r="H212" s="924"/>
      <c r="I212" s="931"/>
      <c r="J212" s="932"/>
      <c r="K212" s="12"/>
      <c r="L212" s="12"/>
    </row>
    <row r="213" spans="1:12" x14ac:dyDescent="0.3">
      <c r="A213" s="933"/>
      <c r="B213" s="934"/>
      <c r="C213" s="934"/>
      <c r="D213" s="934"/>
      <c r="E213" s="934"/>
      <c r="F213" s="934"/>
      <c r="G213" s="934"/>
      <c r="H213" s="934"/>
      <c r="I213" s="934">
        <v>8</v>
      </c>
      <c r="J213" s="935">
        <v>9</v>
      </c>
      <c r="K213" s="12"/>
      <c r="L213" s="12"/>
    </row>
    <row r="214" spans="1:12" x14ac:dyDescent="0.3">
      <c r="A214" s="936" t="s">
        <v>246</v>
      </c>
      <c r="B214" s="937"/>
      <c r="C214" s="948"/>
      <c r="D214" s="937"/>
      <c r="E214" s="937"/>
      <c r="F214" s="937"/>
      <c r="G214" s="937"/>
      <c r="H214" s="937"/>
      <c r="I214" s="948">
        <f>SUM(I215:I226)</f>
        <v>1133121926</v>
      </c>
      <c r="J214" s="938"/>
      <c r="K214" s="959"/>
      <c r="L214" s="12"/>
    </row>
    <row r="215" spans="1:12" x14ac:dyDescent="0.3">
      <c r="A215" s="941" t="s">
        <v>1421</v>
      </c>
      <c r="B215" s="942"/>
      <c r="C215" s="949"/>
      <c r="D215" s="942"/>
      <c r="E215" s="942"/>
      <c r="F215" s="942"/>
      <c r="G215" s="942"/>
      <c r="H215" s="942"/>
      <c r="I215" s="949">
        <f>5000868+968647</f>
        <v>5969515</v>
      </c>
      <c r="J215" s="943"/>
      <c r="K215" s="12"/>
      <c r="L215" s="12"/>
    </row>
    <row r="216" spans="1:12" x14ac:dyDescent="0.3">
      <c r="A216" s="941" t="s">
        <v>1422</v>
      </c>
      <c r="B216" s="942"/>
      <c r="C216" s="949"/>
      <c r="D216" s="942"/>
      <c r="E216" s="942"/>
      <c r="F216" s="942"/>
      <c r="G216" s="942"/>
      <c r="H216" s="942"/>
      <c r="I216" s="949">
        <v>2170248</v>
      </c>
      <c r="J216" s="943"/>
      <c r="K216" s="12"/>
      <c r="L216" s="12"/>
    </row>
    <row r="217" spans="1:12" x14ac:dyDescent="0.3">
      <c r="A217" s="941" t="s">
        <v>1423</v>
      </c>
      <c r="B217" s="942"/>
      <c r="C217" s="949"/>
      <c r="D217" s="942"/>
      <c r="E217" s="942"/>
      <c r="F217" s="942"/>
      <c r="G217" s="942"/>
      <c r="H217" s="942"/>
      <c r="I217" s="949">
        <v>5262815</v>
      </c>
      <c r="J217" s="943"/>
      <c r="K217" s="12"/>
      <c r="L217" s="12"/>
    </row>
    <row r="218" spans="1:12" x14ac:dyDescent="0.3">
      <c r="A218" s="941" t="s">
        <v>1424</v>
      </c>
      <c r="B218" s="942"/>
      <c r="C218" s="949"/>
      <c r="D218" s="942"/>
      <c r="E218" s="942"/>
      <c r="F218" s="942"/>
      <c r="G218" s="942"/>
      <c r="H218" s="942"/>
      <c r="I218" s="949">
        <v>8005972</v>
      </c>
      <c r="J218" s="943"/>
      <c r="K218" s="12"/>
      <c r="L218" s="12"/>
    </row>
    <row r="219" spans="1:12" x14ac:dyDescent="0.3">
      <c r="A219" s="941" t="s">
        <v>1425</v>
      </c>
      <c r="B219" s="942"/>
      <c r="C219" s="949"/>
      <c r="D219" s="942"/>
      <c r="E219" s="942"/>
      <c r="F219" s="942"/>
      <c r="G219" s="942"/>
      <c r="H219" s="942"/>
      <c r="I219" s="949">
        <v>12113896</v>
      </c>
      <c r="J219" s="943"/>
    </row>
    <row r="220" spans="1:12" x14ac:dyDescent="0.3">
      <c r="A220" s="941" t="s">
        <v>1426</v>
      </c>
      <c r="B220" s="942"/>
      <c r="C220" s="949"/>
      <c r="D220" s="942"/>
      <c r="E220" s="942"/>
      <c r="F220" s="942"/>
      <c r="G220" s="942"/>
      <c r="H220" s="942"/>
      <c r="I220" s="949">
        <v>15278856</v>
      </c>
      <c r="J220" s="943"/>
    </row>
    <row r="221" spans="1:12" x14ac:dyDescent="0.3">
      <c r="A221" s="941" t="s">
        <v>1427</v>
      </c>
      <c r="B221" s="942"/>
      <c r="C221" s="949"/>
      <c r="D221" s="942"/>
      <c r="E221" s="942"/>
      <c r="F221" s="942"/>
      <c r="G221" s="942"/>
      <c r="H221" s="942"/>
      <c r="I221" s="949">
        <f>35978761+47574315</f>
        <v>83553076</v>
      </c>
      <c r="J221" s="943"/>
    </row>
    <row r="222" spans="1:12" x14ac:dyDescent="0.3">
      <c r="A222" s="941" t="s">
        <v>1428</v>
      </c>
      <c r="B222" s="942"/>
      <c r="C222" s="949"/>
      <c r="D222" s="942"/>
      <c r="E222" s="942"/>
      <c r="F222" s="942"/>
      <c r="G222" s="942"/>
      <c r="H222" s="942"/>
      <c r="I222" s="949">
        <f>177110266+210708153</f>
        <v>387818419</v>
      </c>
      <c r="J222" s="943"/>
    </row>
    <row r="223" spans="1:12" x14ac:dyDescent="0.3">
      <c r="A223" s="941" t="s">
        <v>1429</v>
      </c>
      <c r="B223" s="942"/>
      <c r="C223" s="949"/>
      <c r="D223" s="942"/>
      <c r="E223" s="942"/>
      <c r="F223" s="942"/>
      <c r="G223" s="942"/>
      <c r="H223" s="942"/>
      <c r="I223" s="949">
        <v>420070254</v>
      </c>
      <c r="J223" s="943"/>
    </row>
    <row r="224" spans="1:12" x14ac:dyDescent="0.3">
      <c r="A224" s="941" t="s">
        <v>1430</v>
      </c>
      <c r="B224" s="942"/>
      <c r="C224" s="949"/>
      <c r="D224" s="942"/>
      <c r="E224" s="942"/>
      <c r="F224" s="942"/>
      <c r="G224" s="942"/>
      <c r="H224" s="942"/>
      <c r="I224" s="949">
        <f>61521608+86755374</f>
        <v>148276982</v>
      </c>
      <c r="J224" s="943"/>
    </row>
    <row r="225" spans="1:10" x14ac:dyDescent="0.3">
      <c r="A225" s="941" t="s">
        <v>1431</v>
      </c>
      <c r="B225" s="942"/>
      <c r="C225" s="949"/>
      <c r="D225" s="942"/>
      <c r="E225" s="942"/>
      <c r="F225" s="942"/>
      <c r="G225" s="942"/>
      <c r="H225" s="942"/>
      <c r="I225" s="949">
        <v>26523970</v>
      </c>
      <c r="J225" s="943"/>
    </row>
    <row r="226" spans="1:10" x14ac:dyDescent="0.3">
      <c r="A226" s="954" t="s">
        <v>1432</v>
      </c>
      <c r="B226" s="942"/>
      <c r="C226" s="949"/>
      <c r="D226" s="942"/>
      <c r="E226" s="942"/>
      <c r="F226" s="942"/>
      <c r="G226" s="942"/>
      <c r="H226" s="942"/>
      <c r="I226" s="949">
        <f>6735905+3020142+5385358+1605402+1331116</f>
        <v>18077923</v>
      </c>
      <c r="J226" s="943"/>
    </row>
  </sheetData>
  <hyperlinks>
    <hyperlink ref="A189" r:id="rId1"/>
    <hyperlink ref="F1" location="Index!A1" display="Index"/>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Y103"/>
  <sheetViews>
    <sheetView workbookViewId="0">
      <selection activeCell="G31" sqref="G31"/>
    </sheetView>
  </sheetViews>
  <sheetFormatPr defaultRowHeight="14.4" x14ac:dyDescent="0.3"/>
  <cols>
    <col min="2" max="2" width="11.21875" customWidth="1"/>
    <col min="3" max="3" width="1.77734375" customWidth="1"/>
    <col min="4" max="4" width="12.109375" customWidth="1"/>
    <col min="6" max="6" width="1.5546875" customWidth="1"/>
    <col min="7" max="7" width="10.88671875" customWidth="1"/>
    <col min="8" max="8" width="9.21875" customWidth="1"/>
    <col min="9" max="9" width="10.77734375" customWidth="1"/>
    <col min="10" max="10" width="21.77734375" customWidth="1"/>
    <col min="11" max="11" width="15.109375" customWidth="1"/>
    <col min="12" max="12" width="11" style="278" customWidth="1"/>
    <col min="13" max="13" width="19" style="278" customWidth="1"/>
    <col min="14" max="14" width="11" style="278" customWidth="1"/>
    <col min="15" max="15" width="27.88671875" style="278" customWidth="1"/>
    <col min="16" max="16" width="11" style="278" customWidth="1"/>
    <col min="17" max="17" width="20.44140625" customWidth="1"/>
    <col min="18" max="18" width="17" customWidth="1"/>
    <col min="19" max="19" width="14.5546875" customWidth="1"/>
    <col min="20" max="20" width="17.77734375" customWidth="1"/>
  </cols>
  <sheetData>
    <row r="1" spans="1:8" s="278" customFormat="1" x14ac:dyDescent="0.3">
      <c r="A1" s="387" t="s">
        <v>2231</v>
      </c>
      <c r="H1" s="462" t="s">
        <v>504</v>
      </c>
    </row>
    <row r="2" spans="1:8" s="278" customFormat="1" x14ac:dyDescent="0.3"/>
    <row r="3" spans="1:8" s="278" customFormat="1" x14ac:dyDescent="0.3"/>
    <row r="4" spans="1:8" s="278" customFormat="1" x14ac:dyDescent="0.3"/>
    <row r="5" spans="1:8" s="278" customFormat="1" x14ac:dyDescent="0.3"/>
    <row r="6" spans="1:8" s="278" customFormat="1" x14ac:dyDescent="0.3"/>
    <row r="7" spans="1:8" s="278" customFormat="1" x14ac:dyDescent="0.3"/>
    <row r="8" spans="1:8" s="278" customFormat="1" x14ac:dyDescent="0.3"/>
    <row r="9" spans="1:8" s="278" customFormat="1" x14ac:dyDescent="0.3"/>
    <row r="10" spans="1:8" s="278" customFormat="1" x14ac:dyDescent="0.3"/>
    <row r="11" spans="1:8" s="278" customFormat="1" x14ac:dyDescent="0.3"/>
    <row r="12" spans="1:8" s="278" customFormat="1" x14ac:dyDescent="0.3"/>
    <row r="13" spans="1:8" s="278" customFormat="1" x14ac:dyDescent="0.3"/>
    <row r="14" spans="1:8" s="278" customFormat="1" x14ac:dyDescent="0.3"/>
    <row r="15" spans="1:8" s="278" customFormat="1" x14ac:dyDescent="0.3"/>
    <row r="16" spans="1:8" s="278" customFormat="1" x14ac:dyDescent="0.3"/>
    <row r="17" spans="1:25" s="278" customFormat="1" x14ac:dyDescent="0.3"/>
    <row r="18" spans="1:25" s="278" customFormat="1" x14ac:dyDescent="0.3"/>
    <row r="19" spans="1:25" s="278" customFormat="1" x14ac:dyDescent="0.3"/>
    <row r="20" spans="1:25" s="278" customFormat="1" x14ac:dyDescent="0.3"/>
    <row r="21" spans="1:25" s="278" customFormat="1" x14ac:dyDescent="0.3"/>
    <row r="22" spans="1:25" s="278" customFormat="1" x14ac:dyDescent="0.3"/>
    <row r="23" spans="1:25" s="278" customFormat="1" x14ac:dyDescent="0.3"/>
    <row r="24" spans="1:25" s="278" customFormat="1" x14ac:dyDescent="0.3"/>
    <row r="25" spans="1:25" s="278" customFormat="1" x14ac:dyDescent="0.3"/>
    <row r="26" spans="1:25" s="278" customFormat="1" x14ac:dyDescent="0.3"/>
    <row r="27" spans="1:25" s="278" customFormat="1" x14ac:dyDescent="0.3"/>
    <row r="29" spans="1:25" x14ac:dyDescent="0.3">
      <c r="A29" s="11"/>
      <c r="B29" s="11"/>
      <c r="C29" s="11"/>
      <c r="D29" s="11"/>
      <c r="E29" s="11"/>
      <c r="F29" s="11"/>
      <c r="G29" s="11"/>
      <c r="H29" s="11"/>
      <c r="I29" s="24"/>
      <c r="J29" s="416"/>
      <c r="K29" s="24"/>
      <c r="L29" s="24"/>
      <c r="M29" s="24"/>
      <c r="N29" s="24"/>
      <c r="O29" s="24"/>
      <c r="P29" s="24"/>
      <c r="Q29" s="416"/>
      <c r="R29" s="416"/>
      <c r="S29" s="416"/>
      <c r="T29" s="416"/>
    </row>
    <row r="30" spans="1:25" ht="47.25" customHeight="1" x14ac:dyDescent="0.3">
      <c r="A30" s="220"/>
      <c r="B30" s="221" t="s">
        <v>676</v>
      </c>
      <c r="C30" s="222"/>
      <c r="D30" s="1483" t="s">
        <v>2232</v>
      </c>
      <c r="E30" s="1483"/>
      <c r="F30" s="223"/>
      <c r="G30" s="1483" t="s">
        <v>2233</v>
      </c>
      <c r="H30" s="1483"/>
      <c r="I30" s="417"/>
      <c r="J30" s="418"/>
      <c r="K30" s="418"/>
      <c r="L30" s="24"/>
      <c r="M30" s="418"/>
      <c r="N30" s="24"/>
      <c r="O30" s="418"/>
      <c r="P30" s="24"/>
      <c r="Q30" s="419"/>
      <c r="R30" s="419"/>
      <c r="S30" s="420"/>
      <c r="T30" s="421"/>
      <c r="U30" s="393"/>
      <c r="V30" s="393"/>
      <c r="W30" s="393"/>
      <c r="X30" s="393"/>
      <c r="Y30" s="393"/>
    </row>
    <row r="31" spans="1:25" x14ac:dyDescent="0.3">
      <c r="A31" s="1"/>
      <c r="B31" s="171" t="s">
        <v>12</v>
      </c>
      <c r="C31" s="171"/>
      <c r="D31" s="171" t="s">
        <v>12</v>
      </c>
      <c r="E31" s="171" t="s">
        <v>206</v>
      </c>
      <c r="F31" s="1"/>
      <c r="G31" s="171" t="s">
        <v>12</v>
      </c>
      <c r="H31" s="171" t="s">
        <v>206</v>
      </c>
      <c r="I31" s="24"/>
      <c r="J31" s="24"/>
      <c r="K31" s="24"/>
      <c r="L31" s="24"/>
      <c r="M31" s="24"/>
      <c r="N31" s="24"/>
      <c r="O31" s="24"/>
      <c r="P31" s="24"/>
      <c r="Q31" s="24"/>
      <c r="R31" s="24"/>
      <c r="S31" s="61"/>
      <c r="T31" s="24"/>
      <c r="U31" s="394"/>
      <c r="V31" s="394"/>
      <c r="W31" s="394"/>
      <c r="X31" s="394"/>
      <c r="Y31" s="394"/>
    </row>
    <row r="32" spans="1:25" x14ac:dyDescent="0.3">
      <c r="A32" s="4"/>
      <c r="B32" s="18"/>
      <c r="C32" s="18"/>
      <c r="D32" s="18"/>
      <c r="E32" s="18"/>
      <c r="F32" s="4"/>
      <c r="G32" s="18"/>
      <c r="H32" s="18"/>
      <c r="I32" s="24"/>
      <c r="J32" s="24"/>
      <c r="K32" s="24"/>
      <c r="L32" s="24"/>
      <c r="M32" s="24"/>
      <c r="N32" s="24"/>
      <c r="O32" s="24"/>
      <c r="P32" s="24"/>
      <c r="Q32" s="24"/>
      <c r="R32" s="24"/>
      <c r="S32" s="24"/>
      <c r="T32" s="24"/>
    </row>
    <row r="33" spans="1:20" x14ac:dyDescent="0.3">
      <c r="A33" s="100">
        <v>1960</v>
      </c>
      <c r="B33" s="224">
        <f>'T-T1'!BN9</f>
        <v>479859</v>
      </c>
      <c r="C33" s="5"/>
      <c r="D33" s="224">
        <v>318030.13520679035</v>
      </c>
      <c r="E33" s="225">
        <f>D33/$B33</f>
        <v>0.66275746668665247</v>
      </c>
      <c r="F33" s="3"/>
      <c r="G33" s="224">
        <v>328547.13520679035</v>
      </c>
      <c r="H33" s="225">
        <f>G33/$B33</f>
        <v>0.68467432142939977</v>
      </c>
      <c r="I33" s="543"/>
      <c r="J33" s="561"/>
      <c r="K33" s="34"/>
      <c r="L33" s="422"/>
      <c r="M33" s="34"/>
      <c r="N33" s="422"/>
      <c r="O33" s="34"/>
      <c r="P33" s="422"/>
      <c r="Q33" s="34"/>
      <c r="R33" s="34"/>
      <c r="S33" s="34"/>
      <c r="T33" s="34"/>
    </row>
    <row r="34" spans="1:20" x14ac:dyDescent="0.3">
      <c r="A34" s="100">
        <v>1961</v>
      </c>
      <c r="B34" s="224">
        <f>'T-T1'!BN10</f>
        <v>497193</v>
      </c>
      <c r="C34" s="5"/>
      <c r="D34" s="224">
        <v>331239.30191560392</v>
      </c>
      <c r="E34" s="225">
        <f t="shared" ref="E34:E87" si="0">D34/B34</f>
        <v>0.66621875592698188</v>
      </c>
      <c r="F34" s="3"/>
      <c r="G34" s="224">
        <v>346390.30191560392</v>
      </c>
      <c r="H34" s="225">
        <f t="shared" ref="H34:H87" si="1">G34/$B34</f>
        <v>0.69669183177479155</v>
      </c>
      <c r="I34" s="543"/>
      <c r="J34" s="561"/>
      <c r="K34" s="34"/>
      <c r="L34" s="422"/>
      <c r="M34" s="34"/>
      <c r="N34" s="422"/>
      <c r="O34" s="34"/>
      <c r="P34" s="422"/>
      <c r="Q34" s="34"/>
      <c r="R34" s="34"/>
      <c r="S34" s="34"/>
      <c r="T34" s="34"/>
    </row>
    <row r="35" spans="1:20" x14ac:dyDescent="0.3">
      <c r="A35" s="100">
        <v>1962</v>
      </c>
      <c r="B35" s="224">
        <f>'T-T1'!BN11</f>
        <v>535189</v>
      </c>
      <c r="C35" s="5"/>
      <c r="D35" s="224">
        <v>353004.52743343828</v>
      </c>
      <c r="E35" s="225">
        <f t="shared" si="0"/>
        <v>0.65958853308539278</v>
      </c>
      <c r="F35" s="3"/>
      <c r="G35" s="224">
        <v>364330.52743343828</v>
      </c>
      <c r="H35" s="225">
        <f t="shared" si="1"/>
        <v>0.68075115040376066</v>
      </c>
      <c r="I35" s="543"/>
      <c r="J35" s="561"/>
      <c r="K35" s="34"/>
      <c r="L35" s="422"/>
      <c r="M35" s="34"/>
      <c r="N35" s="422"/>
      <c r="O35" s="34"/>
      <c r="P35" s="422"/>
      <c r="Q35" s="34"/>
      <c r="R35" s="34"/>
      <c r="S35" s="34"/>
      <c r="T35" s="34"/>
    </row>
    <row r="36" spans="1:20" x14ac:dyDescent="0.3">
      <c r="A36" s="100">
        <v>1963</v>
      </c>
      <c r="B36" s="224">
        <f>'T-T1'!BN12</f>
        <v>566574</v>
      </c>
      <c r="C36" s="5"/>
      <c r="D36" s="224">
        <v>372880.64844866132</v>
      </c>
      <c r="E36" s="225">
        <f t="shared" si="0"/>
        <v>0.65813229772044135</v>
      </c>
      <c r="F36" s="3"/>
      <c r="G36" s="224">
        <v>385710.64844866132</v>
      </c>
      <c r="H36" s="225">
        <f t="shared" si="1"/>
        <v>0.68077717729486587</v>
      </c>
      <c r="I36" s="543"/>
      <c r="J36" s="561"/>
      <c r="K36" s="34"/>
      <c r="L36" s="422"/>
      <c r="M36" s="34"/>
      <c r="N36" s="422"/>
      <c r="O36" s="34"/>
      <c r="P36" s="422"/>
      <c r="Q36" s="34"/>
      <c r="R36" s="34"/>
      <c r="S36" s="34"/>
      <c r="T36" s="34"/>
    </row>
    <row r="37" spans="1:20" x14ac:dyDescent="0.3">
      <c r="A37" s="100">
        <v>1964</v>
      </c>
      <c r="B37" s="224">
        <f>'T-T1'!BN13</f>
        <v>608340</v>
      </c>
      <c r="C37" s="5"/>
      <c r="D37" s="224">
        <v>402491.46074611519</v>
      </c>
      <c r="E37" s="225">
        <f t="shared" si="0"/>
        <v>0.66162254782870633</v>
      </c>
      <c r="F37" s="3"/>
      <c r="G37" s="224">
        <v>418457.46074611519</v>
      </c>
      <c r="H37" s="225">
        <f t="shared" si="1"/>
        <v>0.68786773966222048</v>
      </c>
      <c r="I37" s="543"/>
      <c r="J37" s="561"/>
      <c r="K37" s="34"/>
      <c r="L37" s="422"/>
      <c r="M37" s="34"/>
      <c r="N37" s="422"/>
      <c r="O37" s="34"/>
      <c r="P37" s="422"/>
      <c r="Q37" s="34"/>
      <c r="R37" s="34"/>
      <c r="S37" s="34"/>
      <c r="T37" s="34"/>
    </row>
    <row r="38" spans="1:20" x14ac:dyDescent="0.3">
      <c r="A38" s="100">
        <v>1965</v>
      </c>
      <c r="B38" s="224">
        <f>'T-T1'!BN14</f>
        <v>660255</v>
      </c>
      <c r="C38" s="5"/>
      <c r="D38" s="224">
        <v>432178.62721131073</v>
      </c>
      <c r="E38" s="225">
        <f t="shared" si="0"/>
        <v>0.65456320241620392</v>
      </c>
      <c r="F38" s="3"/>
      <c r="G38" s="224">
        <v>452695.62721131073</v>
      </c>
      <c r="H38" s="225">
        <f t="shared" si="1"/>
        <v>0.68563756005075427</v>
      </c>
      <c r="I38" s="543"/>
      <c r="J38" s="561"/>
      <c r="K38" s="34"/>
      <c r="L38" s="422"/>
      <c r="M38" s="34"/>
      <c r="N38" s="422"/>
      <c r="O38" s="34"/>
      <c r="P38" s="422"/>
      <c r="Q38" s="34"/>
      <c r="R38" s="34"/>
      <c r="S38" s="34"/>
      <c r="T38" s="34"/>
    </row>
    <row r="39" spans="1:20" x14ac:dyDescent="0.3">
      <c r="A39" s="100">
        <v>1966</v>
      </c>
      <c r="B39" s="224">
        <f>'T-T1'!BN15</f>
        <v>719692</v>
      </c>
      <c r="C39" s="5"/>
      <c r="D39" s="224">
        <v>470773.91622465447</v>
      </c>
      <c r="E39" s="225">
        <f t="shared" si="0"/>
        <v>0.65413248476383579</v>
      </c>
      <c r="F39" s="3"/>
      <c r="G39" s="224">
        <v>490886.91622465447</v>
      </c>
      <c r="H39" s="225">
        <f t="shared" si="1"/>
        <v>0.68207916195352247</v>
      </c>
      <c r="I39" s="543"/>
      <c r="J39" s="561"/>
      <c r="K39" s="34"/>
      <c r="L39" s="422"/>
      <c r="M39" s="34"/>
      <c r="N39" s="422"/>
      <c r="O39" s="34"/>
      <c r="P39" s="422"/>
      <c r="Q39" s="34"/>
      <c r="R39" s="34"/>
      <c r="S39" s="34"/>
      <c r="T39" s="34"/>
    </row>
    <row r="40" spans="1:20" x14ac:dyDescent="0.3">
      <c r="A40" s="100">
        <v>1967</v>
      </c>
      <c r="B40" s="224">
        <f>'T-T1'!BN16</f>
        <v>760197</v>
      </c>
      <c r="C40" s="5"/>
      <c r="D40" s="226">
        <v>503805.17023668694</v>
      </c>
      <c r="E40" s="225">
        <f t="shared" si="0"/>
        <v>0.66272975325696748</v>
      </c>
      <c r="F40" s="3"/>
      <c r="G40" s="224">
        <v>531405.17023668694</v>
      </c>
      <c r="H40" s="225">
        <f t="shared" si="1"/>
        <v>0.69903613173517776</v>
      </c>
      <c r="I40" s="543"/>
      <c r="J40" s="561"/>
      <c r="K40" s="34"/>
      <c r="L40" s="422"/>
      <c r="M40" s="34"/>
      <c r="N40" s="422"/>
      <c r="O40" s="34"/>
      <c r="P40" s="422"/>
      <c r="Q40" s="34"/>
      <c r="R40" s="34"/>
      <c r="S40" s="34"/>
      <c r="T40" s="34"/>
    </row>
    <row r="41" spans="1:20" x14ac:dyDescent="0.3">
      <c r="A41" s="100">
        <v>1968</v>
      </c>
      <c r="B41" s="224">
        <f>'T-T1'!BN17</f>
        <v>832068</v>
      </c>
      <c r="C41" s="5"/>
      <c r="D41" s="226">
        <v>548967.71586337092</v>
      </c>
      <c r="E41" s="225">
        <f t="shared" si="0"/>
        <v>0.65976304324090207</v>
      </c>
      <c r="F41" s="3"/>
      <c r="G41" s="224">
        <v>585267.71586337092</v>
      </c>
      <c r="H41" s="225">
        <f t="shared" si="1"/>
        <v>0.70338928532688549</v>
      </c>
      <c r="I41" s="543"/>
      <c r="J41" s="561"/>
      <c r="K41" s="34"/>
      <c r="L41" s="422"/>
      <c r="M41" s="34"/>
      <c r="N41" s="422"/>
      <c r="O41" s="34"/>
      <c r="P41" s="422"/>
      <c r="Q41" s="34"/>
      <c r="R41" s="34"/>
      <c r="S41" s="34"/>
      <c r="T41" s="34"/>
    </row>
    <row r="42" spans="1:20" x14ac:dyDescent="0.3">
      <c r="A42" s="100">
        <v>1969</v>
      </c>
      <c r="B42" s="224">
        <f>'T-T1'!BN18</f>
        <v>899520</v>
      </c>
      <c r="C42" s="5"/>
      <c r="D42" s="226">
        <v>594701.88082442724</v>
      </c>
      <c r="E42" s="225">
        <f t="shared" si="0"/>
        <v>0.66113247156753296</v>
      </c>
      <c r="F42" s="3"/>
      <c r="G42" s="224">
        <v>624278.88082442724</v>
      </c>
      <c r="H42" s="225">
        <f t="shared" si="1"/>
        <v>0.69401334136475812</v>
      </c>
      <c r="I42" s="543"/>
      <c r="J42" s="561"/>
      <c r="K42" s="34"/>
      <c r="L42" s="422"/>
      <c r="M42" s="34"/>
      <c r="N42" s="422"/>
      <c r="O42" s="34"/>
      <c r="P42" s="422"/>
      <c r="Q42" s="34"/>
      <c r="R42" s="34"/>
      <c r="S42" s="34"/>
      <c r="T42" s="34"/>
    </row>
    <row r="43" spans="1:20" x14ac:dyDescent="0.3">
      <c r="A43" s="100">
        <v>1970</v>
      </c>
      <c r="B43" s="224">
        <f>'T-T1'!BN19</f>
        <v>940149</v>
      </c>
      <c r="C43" s="5"/>
      <c r="D43" s="226">
        <v>641252.35981373186</v>
      </c>
      <c r="E43" s="225">
        <f t="shared" si="0"/>
        <v>0.68207524532146702</v>
      </c>
      <c r="F43" s="3"/>
      <c r="G43" s="224">
        <v>659499.35981373186</v>
      </c>
      <c r="H43" s="225">
        <f t="shared" si="1"/>
        <v>0.7014838709754857</v>
      </c>
      <c r="I43" s="543"/>
      <c r="J43" s="561"/>
      <c r="K43" s="34"/>
      <c r="L43" s="422"/>
      <c r="M43" s="34"/>
      <c r="N43" s="422"/>
      <c r="O43" s="34"/>
      <c r="P43" s="422"/>
      <c r="Q43" s="34"/>
      <c r="R43" s="34"/>
      <c r="S43" s="34"/>
      <c r="T43" s="34"/>
    </row>
    <row r="44" spans="1:20" x14ac:dyDescent="0.3">
      <c r="A44" s="100">
        <v>1971</v>
      </c>
      <c r="B44" s="224">
        <f>'T-T1'!BN20</f>
        <v>1017016</v>
      </c>
      <c r="C44" s="5"/>
      <c r="D44" s="226">
        <v>683605.51628102292</v>
      </c>
      <c r="E44" s="225">
        <f t="shared" si="0"/>
        <v>0.67216790717257435</v>
      </c>
      <c r="F44" s="3"/>
      <c r="G44" s="224">
        <v>709905.51628102292</v>
      </c>
      <c r="H44" s="225">
        <f t="shared" si="1"/>
        <v>0.69802787397742305</v>
      </c>
      <c r="I44" s="552"/>
      <c r="J44" s="561"/>
      <c r="K44" s="34"/>
      <c r="L44" s="422"/>
      <c r="M44" s="34"/>
      <c r="N44" s="422"/>
      <c r="O44" s="34"/>
      <c r="P44" s="422"/>
      <c r="Q44" s="34"/>
      <c r="R44" s="34"/>
      <c r="S44" s="34"/>
      <c r="T44" s="34"/>
    </row>
    <row r="45" spans="1:20" x14ac:dyDescent="0.3">
      <c r="A45" s="100">
        <v>1972</v>
      </c>
      <c r="B45" s="224">
        <f>'T-T1'!BN21</f>
        <v>1122976</v>
      </c>
      <c r="C45" s="5"/>
      <c r="D45" s="226">
        <v>751147.6271934883</v>
      </c>
      <c r="E45" s="225">
        <f t="shared" si="0"/>
        <v>0.66889018749598239</v>
      </c>
      <c r="F45" s="3"/>
      <c r="G45" s="224">
        <v>785496.6271934883</v>
      </c>
      <c r="H45" s="225">
        <f t="shared" si="1"/>
        <v>0.69947766220603846</v>
      </c>
      <c r="I45" s="552"/>
      <c r="J45" s="561"/>
      <c r="K45" s="34"/>
      <c r="L45" s="422"/>
      <c r="M45" s="34"/>
      <c r="N45" s="422"/>
      <c r="O45" s="34"/>
      <c r="P45" s="422"/>
      <c r="Q45" s="34"/>
      <c r="R45" s="34"/>
      <c r="S45" s="34"/>
      <c r="T45" s="34"/>
    </row>
    <row r="46" spans="1:20" x14ac:dyDescent="0.3">
      <c r="A46" s="100">
        <v>1973</v>
      </c>
      <c r="B46" s="224">
        <f>'T-T1'!BN22</f>
        <v>1256980</v>
      </c>
      <c r="C46" s="5"/>
      <c r="D46" s="224">
        <v>831698.51914472133</v>
      </c>
      <c r="E46" s="225">
        <f t="shared" si="0"/>
        <v>0.66166408307588132</v>
      </c>
      <c r="F46" s="3"/>
      <c r="G46" s="224">
        <v>865418.51914472133</v>
      </c>
      <c r="H46" s="225">
        <f t="shared" si="1"/>
        <v>0.68849028556120329</v>
      </c>
      <c r="I46" s="552"/>
      <c r="J46" s="561"/>
      <c r="K46" s="34"/>
      <c r="L46" s="422"/>
      <c r="M46" s="34"/>
      <c r="N46" s="422"/>
      <c r="O46" s="34"/>
      <c r="P46" s="422"/>
      <c r="Q46" s="34"/>
      <c r="R46" s="34"/>
      <c r="S46" s="34"/>
      <c r="T46" s="34"/>
    </row>
    <row r="47" spans="1:20" x14ac:dyDescent="0.3">
      <c r="A47" s="100">
        <v>1974</v>
      </c>
      <c r="B47" s="224">
        <f>'T-T1'!BN23</f>
        <v>1350769</v>
      </c>
      <c r="C47" s="5"/>
      <c r="D47" s="224">
        <v>914549.7312577907</v>
      </c>
      <c r="E47" s="225">
        <f t="shared" si="0"/>
        <v>0.6770585727521069</v>
      </c>
      <c r="F47" s="3"/>
      <c r="G47" s="224">
        <v>941900.7312577907</v>
      </c>
      <c r="H47" s="225">
        <f t="shared" si="1"/>
        <v>0.69730703862599064</v>
      </c>
      <c r="I47" s="552"/>
      <c r="J47" s="561"/>
      <c r="K47" s="34"/>
      <c r="L47" s="422"/>
      <c r="M47" s="34"/>
      <c r="N47" s="422"/>
      <c r="O47" s="34"/>
      <c r="P47" s="422"/>
      <c r="Q47" s="34"/>
      <c r="R47" s="34"/>
      <c r="S47" s="34"/>
      <c r="T47" s="34"/>
    </row>
    <row r="48" spans="1:20" x14ac:dyDescent="0.3">
      <c r="A48" s="100">
        <v>1975</v>
      </c>
      <c r="B48" s="224">
        <f>'T-T1'!BN24</f>
        <v>1451148</v>
      </c>
      <c r="C48" s="5"/>
      <c r="D48" s="224">
        <v>965991.37443402468</v>
      </c>
      <c r="E48" s="225">
        <f t="shared" si="0"/>
        <v>0.66567391777683926</v>
      </c>
      <c r="F48" s="3"/>
      <c r="G48" s="224">
        <v>994271.37443402468</v>
      </c>
      <c r="H48" s="225">
        <f t="shared" si="1"/>
        <v>0.68516193691754712</v>
      </c>
      <c r="I48" s="552"/>
      <c r="J48" s="561"/>
      <c r="K48" s="34"/>
      <c r="L48" s="422"/>
      <c r="M48" s="34"/>
      <c r="N48" s="422"/>
      <c r="O48" s="34"/>
      <c r="P48" s="422"/>
      <c r="Q48" s="34"/>
      <c r="R48" s="34"/>
      <c r="S48" s="34"/>
      <c r="T48" s="34"/>
    </row>
    <row r="49" spans="1:20" x14ac:dyDescent="0.3">
      <c r="A49" s="100">
        <v>1976</v>
      </c>
      <c r="B49" s="224">
        <f>'T-T1'!BN25</f>
        <v>1614767</v>
      </c>
      <c r="C49" s="5"/>
      <c r="D49" s="224">
        <v>1068764.5899609402</v>
      </c>
      <c r="E49" s="225">
        <f t="shared" si="0"/>
        <v>0.66186922940643456</v>
      </c>
      <c r="F49" s="3"/>
      <c r="G49" s="224">
        <v>1106043.5899609402</v>
      </c>
      <c r="H49" s="225">
        <f t="shared" si="1"/>
        <v>0.68495553226003514</v>
      </c>
      <c r="I49" s="552"/>
      <c r="J49" s="561"/>
      <c r="K49" s="34"/>
      <c r="L49" s="422"/>
      <c r="M49" s="34"/>
      <c r="N49" s="422"/>
      <c r="O49" s="34"/>
      <c r="P49" s="422"/>
      <c r="Q49" s="34"/>
      <c r="R49" s="34"/>
      <c r="S49" s="34"/>
      <c r="T49" s="34"/>
    </row>
    <row r="50" spans="1:20" x14ac:dyDescent="0.3">
      <c r="A50" s="100">
        <v>1977</v>
      </c>
      <c r="B50" s="224">
        <f>'T-T1'!BN26</f>
        <v>1798653</v>
      </c>
      <c r="C50" s="5"/>
      <c r="D50" s="224">
        <v>1175139.9017697203</v>
      </c>
      <c r="E50" s="225">
        <f t="shared" si="0"/>
        <v>0.65334442039110396</v>
      </c>
      <c r="F50" s="3"/>
      <c r="G50" s="224">
        <v>1217277.9017697203</v>
      </c>
      <c r="H50" s="225">
        <f t="shared" si="1"/>
        <v>0.67677195199392004</v>
      </c>
      <c r="I50" s="552"/>
      <c r="J50" s="561"/>
      <c r="K50" s="34"/>
      <c r="L50" s="422"/>
      <c r="M50" s="34"/>
      <c r="N50" s="422"/>
      <c r="O50" s="34"/>
      <c r="P50" s="422"/>
      <c r="Q50" s="34"/>
      <c r="R50" s="34"/>
      <c r="S50" s="34"/>
      <c r="T50" s="34"/>
    </row>
    <row r="51" spans="1:20" x14ac:dyDescent="0.3">
      <c r="A51" s="100">
        <v>1978</v>
      </c>
      <c r="B51" s="224">
        <f>'T-T1'!BN27</f>
        <v>2029939</v>
      </c>
      <c r="C51" s="5"/>
      <c r="D51" s="224">
        <v>1317571.0106087574</v>
      </c>
      <c r="E51" s="225">
        <f t="shared" si="0"/>
        <v>0.6490692629723146</v>
      </c>
      <c r="F51" s="3"/>
      <c r="G51" s="224">
        <v>1365290.0106087574</v>
      </c>
      <c r="H51" s="225">
        <f t="shared" si="1"/>
        <v>0.67257686591013688</v>
      </c>
      <c r="I51" s="552"/>
      <c r="J51" s="561"/>
      <c r="K51" s="34"/>
      <c r="L51" s="422"/>
      <c r="M51" s="34"/>
      <c r="N51" s="422"/>
      <c r="O51" s="34"/>
      <c r="P51" s="422"/>
      <c r="Q51" s="34"/>
      <c r="R51" s="34"/>
      <c r="S51" s="34"/>
      <c r="T51" s="34"/>
    </row>
    <row r="52" spans="1:20" x14ac:dyDescent="0.3">
      <c r="A52" s="100">
        <v>1979</v>
      </c>
      <c r="B52" s="224">
        <f>'T-T1'!BN28</f>
        <v>2248153</v>
      </c>
      <c r="C52" s="5"/>
      <c r="D52" s="224">
        <v>1476334.0561135008</v>
      </c>
      <c r="E52" s="225">
        <f t="shared" si="0"/>
        <v>0.6566875368862799</v>
      </c>
      <c r="F52" s="3"/>
      <c r="G52" s="224">
        <v>1548415.0561135008</v>
      </c>
      <c r="H52" s="225">
        <f t="shared" si="1"/>
        <v>0.68874985648819309</v>
      </c>
      <c r="I52" s="552"/>
      <c r="J52" s="561"/>
      <c r="K52" s="34"/>
      <c r="L52" s="422"/>
      <c r="M52" s="34"/>
      <c r="N52" s="422"/>
      <c r="O52" s="34"/>
      <c r="P52" s="422"/>
      <c r="Q52" s="34"/>
      <c r="R52" s="34"/>
      <c r="S52" s="34"/>
      <c r="T52" s="34"/>
    </row>
    <row r="53" spans="1:20" x14ac:dyDescent="0.3">
      <c r="A53" s="100">
        <v>1980</v>
      </c>
      <c r="B53" s="224">
        <f>'T-T1'!BN29</f>
        <v>2426752</v>
      </c>
      <c r="C53" s="5"/>
      <c r="D53" s="224">
        <v>1631791.7179166269</v>
      </c>
      <c r="E53" s="225">
        <f t="shared" si="0"/>
        <v>0.67241799653060019</v>
      </c>
      <c r="F53" s="3"/>
      <c r="G53" s="224">
        <v>1706017.7179166269</v>
      </c>
      <c r="H53" s="225">
        <f t="shared" si="1"/>
        <v>0.70300455832183384</v>
      </c>
      <c r="I53" s="552"/>
      <c r="J53" s="561"/>
      <c r="K53" s="34"/>
      <c r="L53" s="422"/>
      <c r="M53" s="34"/>
      <c r="N53" s="422"/>
      <c r="O53" s="34"/>
      <c r="P53" s="422"/>
      <c r="Q53" s="34"/>
      <c r="R53" s="34"/>
      <c r="S53" s="34"/>
      <c r="T53" s="34"/>
    </row>
    <row r="54" spans="1:20" x14ac:dyDescent="0.3">
      <c r="A54" s="100">
        <v>1981</v>
      </c>
      <c r="B54" s="224">
        <f>'T-T1'!BN30</f>
        <v>2722132</v>
      </c>
      <c r="C54" s="5"/>
      <c r="D54" s="224">
        <v>1803844.9417724272</v>
      </c>
      <c r="E54" s="225">
        <f t="shared" si="0"/>
        <v>0.6626588797943771</v>
      </c>
      <c r="F54" s="3"/>
      <c r="G54" s="224">
        <v>1881124.4417724272</v>
      </c>
      <c r="H54" s="225">
        <f t="shared" si="1"/>
        <v>0.69104820845294324</v>
      </c>
      <c r="I54" s="552"/>
      <c r="J54" s="561"/>
      <c r="K54" s="34"/>
      <c r="L54" s="422"/>
      <c r="M54" s="34"/>
      <c r="N54" s="422"/>
      <c r="O54" s="34"/>
      <c r="P54" s="422"/>
      <c r="Q54" s="34"/>
      <c r="R54" s="34"/>
      <c r="S54" s="34"/>
      <c r="T54" s="34"/>
    </row>
    <row r="55" spans="1:20" x14ac:dyDescent="0.3">
      <c r="A55" s="100">
        <v>1982</v>
      </c>
      <c r="B55" s="224">
        <f>'T-T1'!BN31</f>
        <v>2840412</v>
      </c>
      <c r="C55" s="5"/>
      <c r="D55" s="224">
        <v>1907974.3295260852</v>
      </c>
      <c r="E55" s="225">
        <f t="shared" si="0"/>
        <v>0.67172449965923431</v>
      </c>
      <c r="F55" s="3"/>
      <c r="G55" s="224">
        <v>1994598.3295260852</v>
      </c>
      <c r="H55" s="225">
        <f t="shared" si="1"/>
        <v>0.70222148389954875</v>
      </c>
      <c r="I55" s="552"/>
      <c r="J55" s="561"/>
      <c r="K55" s="34"/>
      <c r="L55" s="422"/>
      <c r="M55" s="34"/>
      <c r="N55" s="422"/>
      <c r="O55" s="34"/>
      <c r="P55" s="422"/>
      <c r="Q55" s="34"/>
      <c r="R55" s="34"/>
      <c r="S55" s="34"/>
      <c r="T55" s="34"/>
    </row>
    <row r="56" spans="1:20" x14ac:dyDescent="0.3">
      <c r="A56" s="100">
        <v>1983</v>
      </c>
      <c r="B56" s="224">
        <f>'T-T1'!BN32</f>
        <v>3060514</v>
      </c>
      <c r="C56" s="5"/>
      <c r="D56" s="224">
        <v>2004401.9868750633</v>
      </c>
      <c r="E56" s="225">
        <f t="shared" si="0"/>
        <v>0.65492331904871637</v>
      </c>
      <c r="F56" s="3"/>
      <c r="G56" s="224">
        <v>2127821.9868750633</v>
      </c>
      <c r="H56" s="225">
        <f t="shared" si="1"/>
        <v>0.69524987857433862</v>
      </c>
      <c r="I56" s="552"/>
      <c r="J56" s="561"/>
      <c r="K56" s="34"/>
      <c r="L56" s="422"/>
      <c r="M56" s="34"/>
      <c r="N56" s="422"/>
      <c r="O56" s="34"/>
      <c r="P56" s="422"/>
      <c r="Q56" s="34"/>
      <c r="R56" s="34"/>
      <c r="S56" s="34"/>
      <c r="T56" s="34"/>
    </row>
    <row r="57" spans="1:20" x14ac:dyDescent="0.3">
      <c r="A57" s="100">
        <v>1984</v>
      </c>
      <c r="B57" s="224">
        <f>'T-T1'!BN33</f>
        <v>3443987</v>
      </c>
      <c r="C57" s="5"/>
      <c r="D57" s="224">
        <v>2193702.7680859203</v>
      </c>
      <c r="E57" s="225">
        <f t="shared" si="0"/>
        <v>0.63696604199897389</v>
      </c>
      <c r="F57" s="3"/>
      <c r="G57" s="224">
        <v>2331723.2680859203</v>
      </c>
      <c r="H57" s="225">
        <f t="shared" si="1"/>
        <v>0.67704183206438362</v>
      </c>
      <c r="I57" s="552"/>
      <c r="J57" s="561"/>
      <c r="K57" s="34"/>
      <c r="L57" s="422"/>
      <c r="M57" s="34"/>
      <c r="N57" s="422"/>
      <c r="O57" s="34"/>
      <c r="P57" s="422"/>
      <c r="Q57" s="34"/>
      <c r="R57" s="34"/>
      <c r="S57" s="34"/>
      <c r="T57" s="34"/>
    </row>
    <row r="58" spans="1:20" x14ac:dyDescent="0.3">
      <c r="A58" s="100">
        <v>1985</v>
      </c>
      <c r="B58" s="224">
        <f>'T-T1'!BN34</f>
        <v>3684189</v>
      </c>
      <c r="C58" s="5"/>
      <c r="D58" s="224">
        <v>2349494.8790044314</v>
      </c>
      <c r="E58" s="225">
        <f t="shared" si="0"/>
        <v>0.63772376471577097</v>
      </c>
      <c r="F58" s="3"/>
      <c r="G58" s="224">
        <v>2521716.8790044314</v>
      </c>
      <c r="H58" s="225">
        <f t="shared" si="1"/>
        <v>0.68447000927597135</v>
      </c>
      <c r="I58" s="552"/>
      <c r="J58" s="561"/>
      <c r="K58" s="34"/>
      <c r="L58" s="422"/>
      <c r="M58" s="34"/>
      <c r="N58" s="422"/>
      <c r="O58" s="34"/>
      <c r="P58" s="422"/>
      <c r="Q58" s="34"/>
      <c r="R58" s="34"/>
      <c r="S58" s="34"/>
      <c r="T58" s="34"/>
    </row>
    <row r="59" spans="1:20" x14ac:dyDescent="0.3">
      <c r="A59" s="100">
        <v>1986</v>
      </c>
      <c r="B59" s="224">
        <f>'T-T1'!BN35</f>
        <v>3848203</v>
      </c>
      <c r="C59" s="5"/>
      <c r="D59" s="224">
        <v>2467473.0928211357</v>
      </c>
      <c r="E59" s="225">
        <f t="shared" si="0"/>
        <v>0.64120138485966971</v>
      </c>
      <c r="F59" s="3"/>
      <c r="G59" s="224">
        <v>2800382.0928211357</v>
      </c>
      <c r="H59" s="225">
        <f t="shared" si="1"/>
        <v>0.72771163392917049</v>
      </c>
      <c r="I59" s="552"/>
      <c r="J59" s="561"/>
      <c r="K59" s="34"/>
      <c r="L59" s="422"/>
      <c r="M59" s="34"/>
      <c r="N59" s="422"/>
      <c r="O59" s="34"/>
      <c r="P59" s="422"/>
      <c r="Q59" s="34"/>
      <c r="R59" s="34"/>
      <c r="S59" s="34"/>
      <c r="T59" s="34"/>
    </row>
    <row r="60" spans="1:20" x14ac:dyDescent="0.3">
      <c r="A60" s="100">
        <v>1987</v>
      </c>
      <c r="B60" s="224">
        <f>'T-T1'!BN36</f>
        <v>4119198</v>
      </c>
      <c r="C60" s="5"/>
      <c r="D60" s="224">
        <v>2668944.414493544</v>
      </c>
      <c r="E60" s="225">
        <f t="shared" si="0"/>
        <v>0.64792816817583032</v>
      </c>
      <c r="F60" s="3"/>
      <c r="G60" s="224">
        <v>2806993.414493544</v>
      </c>
      <c r="H60" s="225">
        <f t="shared" si="1"/>
        <v>0.68144173076738335</v>
      </c>
      <c r="I60" s="552"/>
      <c r="J60" s="561"/>
      <c r="K60" s="34"/>
      <c r="L60" s="422"/>
      <c r="M60" s="34"/>
      <c r="N60" s="422"/>
      <c r="O60" s="34"/>
      <c r="P60" s="422"/>
      <c r="Q60" s="34"/>
      <c r="R60" s="34"/>
      <c r="S60" s="34"/>
      <c r="T60" s="34"/>
    </row>
    <row r="61" spans="1:20" x14ac:dyDescent="0.3">
      <c r="A61" s="100">
        <v>1988</v>
      </c>
      <c r="B61" s="224">
        <f>'T-T1'!BN37</f>
        <v>4493372</v>
      </c>
      <c r="C61" s="5"/>
      <c r="D61" s="224">
        <v>2956031.9753831429</v>
      </c>
      <c r="E61" s="225">
        <f t="shared" si="0"/>
        <v>0.65786495651442678</v>
      </c>
      <c r="F61" s="3"/>
      <c r="G61" s="224">
        <v>3111659.9753831429</v>
      </c>
      <c r="H61" s="225">
        <f t="shared" si="1"/>
        <v>0.6924999700410166</v>
      </c>
      <c r="I61" s="552"/>
      <c r="J61" s="561"/>
      <c r="K61" s="34"/>
      <c r="L61" s="422"/>
      <c r="M61" s="34"/>
      <c r="N61" s="422"/>
      <c r="O61" s="34"/>
      <c r="P61" s="422"/>
      <c r="Q61" s="34"/>
      <c r="R61" s="34"/>
      <c r="S61" s="34"/>
      <c r="T61" s="34"/>
    </row>
    <row r="62" spans="1:20" x14ac:dyDescent="0.3">
      <c r="A62" s="100">
        <v>1989</v>
      </c>
      <c r="B62" s="224">
        <f>'T-T1'!BN38</f>
        <v>4782194</v>
      </c>
      <c r="C62" s="5"/>
      <c r="D62" s="224">
        <v>3130386.7562474776</v>
      </c>
      <c r="E62" s="225">
        <f t="shared" si="0"/>
        <v>0.65459217176205686</v>
      </c>
      <c r="F62" s="3"/>
      <c r="G62" s="224">
        <v>3277076.7562474776</v>
      </c>
      <c r="H62" s="225">
        <f t="shared" si="1"/>
        <v>0.68526637694904846</v>
      </c>
      <c r="I62" s="552"/>
      <c r="J62" s="561"/>
      <c r="K62" s="34"/>
      <c r="L62" s="422"/>
      <c r="M62" s="34"/>
      <c r="N62" s="422"/>
      <c r="O62" s="34"/>
      <c r="P62" s="422"/>
      <c r="Q62" s="34"/>
      <c r="R62" s="34"/>
      <c r="S62" s="34"/>
      <c r="T62" s="34"/>
    </row>
    <row r="63" spans="1:20" x14ac:dyDescent="0.3">
      <c r="A63" s="100">
        <v>1990</v>
      </c>
      <c r="B63" s="224">
        <f>'T-T1'!BN39</f>
        <v>5036095</v>
      </c>
      <c r="C63" s="5"/>
      <c r="D63" s="224">
        <v>3327453.7223950801</v>
      </c>
      <c r="E63" s="225">
        <f t="shared" si="0"/>
        <v>0.66072099958302621</v>
      </c>
      <c r="F63" s="3"/>
      <c r="G63" s="224">
        <v>3443155.7223950801</v>
      </c>
      <c r="H63" s="225">
        <f t="shared" si="1"/>
        <v>0.68369554633005936</v>
      </c>
      <c r="I63" s="552"/>
      <c r="J63" s="561"/>
      <c r="K63" s="34"/>
      <c r="L63" s="422"/>
      <c r="M63" s="34"/>
      <c r="N63" s="422"/>
      <c r="O63" s="34"/>
      <c r="P63" s="422"/>
      <c r="Q63" s="34"/>
      <c r="R63" s="34"/>
      <c r="S63" s="34"/>
      <c r="T63" s="34"/>
    </row>
    <row r="64" spans="1:20" x14ac:dyDescent="0.3">
      <c r="A64" s="100">
        <v>1991</v>
      </c>
      <c r="B64" s="224">
        <f>'T-T1'!BN40</f>
        <v>5186125</v>
      </c>
      <c r="C64" s="5"/>
      <c r="D64" s="224">
        <v>3387468.4359324332</v>
      </c>
      <c r="E64" s="225">
        <f t="shared" si="0"/>
        <v>0.6531790953616492</v>
      </c>
      <c r="F64" s="3"/>
      <c r="G64" s="224">
        <v>3488042.4359324332</v>
      </c>
      <c r="H64" s="225">
        <f t="shared" si="1"/>
        <v>0.67257199468436135</v>
      </c>
      <c r="I64" s="552"/>
      <c r="J64" s="561"/>
      <c r="K64" s="34"/>
      <c r="L64" s="422"/>
      <c r="M64" s="34"/>
      <c r="N64" s="422"/>
      <c r="O64" s="34"/>
      <c r="P64" s="422"/>
      <c r="Q64" s="34"/>
      <c r="R64" s="34"/>
      <c r="S64" s="34"/>
      <c r="T64" s="34"/>
    </row>
    <row r="65" spans="1:20" x14ac:dyDescent="0.3">
      <c r="A65" s="100">
        <v>1992</v>
      </c>
      <c r="B65" s="224">
        <f>'T-T1'!BN41</f>
        <v>5499748</v>
      </c>
      <c r="C65" s="5"/>
      <c r="D65" s="224">
        <v>3545787.1496270443</v>
      </c>
      <c r="E65" s="225">
        <f t="shared" si="0"/>
        <v>0.64471811247116129</v>
      </c>
      <c r="F65" s="3"/>
      <c r="G65" s="224">
        <v>3661363.1496270443</v>
      </c>
      <c r="H65" s="225">
        <f t="shared" si="1"/>
        <v>0.66573289351203802</v>
      </c>
      <c r="I65" s="552"/>
      <c r="J65" s="561"/>
      <c r="K65" s="787"/>
      <c r="L65" s="422"/>
      <c r="M65" s="34"/>
      <c r="N65" s="422"/>
      <c r="O65" s="34"/>
      <c r="P65" s="422"/>
      <c r="Q65" s="34"/>
      <c r="R65" s="34"/>
      <c r="S65" s="34"/>
      <c r="T65" s="34"/>
    </row>
    <row r="66" spans="1:20" x14ac:dyDescent="0.3">
      <c r="A66" s="100">
        <v>1993</v>
      </c>
      <c r="B66" s="224">
        <f>'T-T1'!BN42</f>
        <v>5754784</v>
      </c>
      <c r="C66" s="5"/>
      <c r="D66" s="224">
        <v>3622021.4024536484</v>
      </c>
      <c r="E66" s="225">
        <f t="shared" si="0"/>
        <v>0.62939311057611347</v>
      </c>
      <c r="F66" s="3"/>
      <c r="G66" s="224">
        <v>3762368.4024536484</v>
      </c>
      <c r="H66" s="225">
        <f t="shared" si="1"/>
        <v>0.65378099377033927</v>
      </c>
      <c r="I66" s="552"/>
      <c r="J66" s="561"/>
      <c r="K66" s="34"/>
      <c r="L66" s="422"/>
      <c r="M66" s="34"/>
      <c r="N66" s="422"/>
      <c r="O66" s="34"/>
      <c r="P66" s="422"/>
      <c r="Q66" s="34"/>
      <c r="R66" s="34"/>
      <c r="S66" s="34"/>
      <c r="T66" s="34"/>
    </row>
    <row r="67" spans="1:20" x14ac:dyDescent="0.3">
      <c r="A67" s="100">
        <v>1994</v>
      </c>
      <c r="B67" s="224">
        <f>'T-T1'!BN43</f>
        <v>6140229</v>
      </c>
      <c r="C67" s="5"/>
      <c r="D67" s="224">
        <v>3805320.5921740835</v>
      </c>
      <c r="E67" s="225">
        <f t="shared" si="0"/>
        <v>0.61973594016999745</v>
      </c>
      <c r="F67" s="3"/>
      <c r="G67" s="224">
        <v>3944421.5921740835</v>
      </c>
      <c r="H67" s="225">
        <f t="shared" si="1"/>
        <v>0.64238998124892144</v>
      </c>
      <c r="I67" s="552"/>
      <c r="J67" s="561"/>
      <c r="K67" s="34"/>
      <c r="L67" s="422"/>
      <c r="M67" s="34"/>
      <c r="N67" s="422"/>
      <c r="O67" s="34"/>
      <c r="P67" s="422"/>
      <c r="Q67" s="34"/>
      <c r="R67" s="34"/>
      <c r="S67" s="34"/>
      <c r="T67" s="34"/>
    </row>
    <row r="68" spans="1:20" x14ac:dyDescent="0.3">
      <c r="A68" s="100">
        <v>1995</v>
      </c>
      <c r="B68" s="224">
        <f>'T-T1'!BN44</f>
        <v>6479476</v>
      </c>
      <c r="C68" s="5"/>
      <c r="D68" s="224">
        <v>4050827.5599636263</v>
      </c>
      <c r="E68" s="225">
        <f t="shared" si="0"/>
        <v>0.62517826440959523</v>
      </c>
      <c r="F68" s="3"/>
      <c r="G68" s="224">
        <v>4218232.5599636268</v>
      </c>
      <c r="H68" s="225">
        <f t="shared" si="1"/>
        <v>0.65101445857097495</v>
      </c>
      <c r="I68" s="552"/>
      <c r="J68" s="561"/>
      <c r="K68" s="34"/>
      <c r="L68" s="422"/>
      <c r="M68" s="34"/>
      <c r="N68" s="422"/>
      <c r="O68" s="34"/>
      <c r="P68" s="422"/>
      <c r="Q68" s="34"/>
      <c r="R68" s="34"/>
      <c r="S68" s="34"/>
      <c r="T68" s="34"/>
    </row>
    <row r="69" spans="1:20" x14ac:dyDescent="0.3">
      <c r="A69" s="100">
        <v>1996</v>
      </c>
      <c r="B69" s="224">
        <f>'T-T1'!BN45</f>
        <v>6899394</v>
      </c>
      <c r="C69" s="5"/>
      <c r="D69" s="224">
        <v>4309234.881231687</v>
      </c>
      <c r="E69" s="225">
        <f t="shared" si="0"/>
        <v>0.62458164894361545</v>
      </c>
      <c r="F69" s="3"/>
      <c r="G69" s="224">
        <v>4558766.881231687</v>
      </c>
      <c r="H69" s="225">
        <f t="shared" si="1"/>
        <v>0.66074888334130322</v>
      </c>
      <c r="I69" s="552"/>
      <c r="J69" s="561"/>
      <c r="K69" s="34"/>
      <c r="L69" s="422"/>
      <c r="M69" s="34"/>
      <c r="N69" s="422"/>
      <c r="O69" s="34"/>
      <c r="P69" s="422"/>
      <c r="Q69" s="34"/>
      <c r="R69" s="34"/>
      <c r="S69" s="34"/>
      <c r="T69" s="34"/>
    </row>
    <row r="70" spans="1:20" x14ac:dyDescent="0.3">
      <c r="A70" s="100">
        <v>1997</v>
      </c>
      <c r="B70" s="224">
        <f>'T-T1'!BN46</f>
        <v>7380370</v>
      </c>
      <c r="C70" s="5"/>
      <c r="D70" s="224">
        <v>4636736.7545036357</v>
      </c>
      <c r="E70" s="225">
        <f t="shared" si="0"/>
        <v>0.62825261531652687</v>
      </c>
      <c r="F70" s="3"/>
      <c r="G70" s="224">
        <v>4991358.7545036357</v>
      </c>
      <c r="H70" s="225">
        <f t="shared" si="1"/>
        <v>0.6763019678557628</v>
      </c>
      <c r="I70" s="552"/>
      <c r="J70" s="561"/>
      <c r="K70" s="34"/>
      <c r="L70" s="422"/>
      <c r="M70" s="34"/>
      <c r="N70" s="422"/>
      <c r="O70" s="34"/>
      <c r="P70" s="422"/>
      <c r="Q70" s="34"/>
      <c r="R70" s="34"/>
      <c r="S70" s="34"/>
      <c r="T70" s="34"/>
    </row>
    <row r="71" spans="1:20" x14ac:dyDescent="0.3">
      <c r="A71" s="18">
        <v>1998</v>
      </c>
      <c r="B71" s="224">
        <f>'T-T1'!BN47</f>
        <v>7857280</v>
      </c>
      <c r="C71" s="227"/>
      <c r="D71" s="224">
        <v>4992745.3425246943</v>
      </c>
      <c r="E71" s="225">
        <f t="shared" si="0"/>
        <v>0.63542922519303047</v>
      </c>
      <c r="F71" s="3"/>
      <c r="G71" s="224">
        <v>5437253.3425246943</v>
      </c>
      <c r="H71" s="225">
        <f t="shared" si="1"/>
        <v>0.69200198319579986</v>
      </c>
      <c r="I71" s="552"/>
      <c r="J71" s="561"/>
      <c r="K71" s="34"/>
      <c r="L71" s="422"/>
      <c r="M71" s="34"/>
      <c r="N71" s="422"/>
      <c r="O71" s="34"/>
      <c r="P71" s="422"/>
      <c r="Q71" s="34"/>
      <c r="R71" s="34"/>
      <c r="S71" s="34"/>
      <c r="T71" s="34"/>
    </row>
    <row r="72" spans="1:20" x14ac:dyDescent="0.3">
      <c r="A72" s="100">
        <v>1999</v>
      </c>
      <c r="B72" s="224">
        <f>'T-T1'!BN48</f>
        <v>8324399</v>
      </c>
      <c r="C72" s="5"/>
      <c r="D72" s="224">
        <v>5350790.054969117</v>
      </c>
      <c r="E72" s="225">
        <f t="shared" si="0"/>
        <v>0.64278394812275541</v>
      </c>
      <c r="F72" s="3"/>
      <c r="G72" s="224">
        <v>5872170.4169691168</v>
      </c>
      <c r="H72" s="225">
        <f t="shared" si="1"/>
        <v>0.70541674143311928</v>
      </c>
      <c r="I72" s="552"/>
      <c r="J72" s="561"/>
      <c r="K72" s="34"/>
      <c r="L72" s="422"/>
      <c r="M72" s="34"/>
      <c r="N72" s="422"/>
      <c r="O72" s="34"/>
      <c r="P72" s="422"/>
      <c r="Q72" s="34"/>
      <c r="R72" s="34"/>
      <c r="S72" s="34"/>
      <c r="T72" s="34"/>
    </row>
    <row r="73" spans="1:20" x14ac:dyDescent="0.3">
      <c r="A73" s="100">
        <v>2000</v>
      </c>
      <c r="B73" s="224">
        <f>'T-T1'!BN49</f>
        <v>8907019</v>
      </c>
      <c r="C73" s="5"/>
      <c r="D73" s="224">
        <v>5712242.5007777316</v>
      </c>
      <c r="E73" s="225">
        <f t="shared" si="0"/>
        <v>0.64131922260160568</v>
      </c>
      <c r="F73" s="3"/>
      <c r="G73" s="224">
        <v>6326982.1137777315</v>
      </c>
      <c r="H73" s="225">
        <f t="shared" si="1"/>
        <v>0.71033665851366568</v>
      </c>
      <c r="I73" s="552"/>
      <c r="J73" s="561"/>
      <c r="K73" s="34"/>
      <c r="L73" s="422"/>
      <c r="M73" s="34"/>
      <c r="N73" s="422"/>
      <c r="O73" s="34"/>
      <c r="P73" s="422"/>
      <c r="Q73" s="34"/>
      <c r="R73" s="34"/>
      <c r="S73" s="34"/>
      <c r="T73" s="34"/>
    </row>
    <row r="74" spans="1:20" x14ac:dyDescent="0.3">
      <c r="A74" s="100">
        <v>2001</v>
      </c>
      <c r="B74" s="224">
        <f>'T-T1'!BN50</f>
        <v>9184633</v>
      </c>
      <c r="C74" s="5"/>
      <c r="D74" s="224">
        <v>5846257.532873421</v>
      </c>
      <c r="E74" s="225">
        <f t="shared" si="0"/>
        <v>0.63652598126385895</v>
      </c>
      <c r="F74" s="3"/>
      <c r="G74" s="224">
        <v>6171426.532873421</v>
      </c>
      <c r="H74" s="225">
        <f t="shared" si="1"/>
        <v>0.6719295733289965</v>
      </c>
      <c r="I74" s="552"/>
      <c r="J74" s="561"/>
      <c r="K74" s="34"/>
      <c r="L74" s="422"/>
      <c r="M74" s="34"/>
      <c r="N74" s="422"/>
      <c r="O74" s="34"/>
      <c r="P74" s="422"/>
      <c r="Q74" s="34"/>
      <c r="R74" s="34"/>
      <c r="S74" s="34"/>
      <c r="T74" s="34"/>
    </row>
    <row r="75" spans="1:20" x14ac:dyDescent="0.3">
      <c r="A75" s="100">
        <v>2002</v>
      </c>
      <c r="B75" s="224">
        <f>'T-T1'!BN51</f>
        <v>9436823</v>
      </c>
      <c r="C75" s="5"/>
      <c r="D75" s="224">
        <v>5823155.0192037784</v>
      </c>
      <c r="E75" s="225">
        <f t="shared" si="0"/>
        <v>0.61706731377750523</v>
      </c>
      <c r="F75" s="3"/>
      <c r="G75" s="224">
        <v>6061523.0192037784</v>
      </c>
      <c r="H75" s="225">
        <f t="shared" si="1"/>
        <v>0.64232666218321344</v>
      </c>
      <c r="I75" s="552"/>
      <c r="J75" s="561"/>
      <c r="K75" s="34"/>
      <c r="L75" s="422"/>
      <c r="M75" s="34"/>
      <c r="N75" s="422"/>
      <c r="O75" s="34"/>
      <c r="P75" s="422"/>
      <c r="Q75" s="34"/>
      <c r="R75" s="34"/>
      <c r="S75" s="34"/>
      <c r="T75" s="34"/>
    </row>
    <row r="76" spans="1:20" x14ac:dyDescent="0.3">
      <c r="A76" s="100">
        <v>2003</v>
      </c>
      <c r="B76" s="224">
        <f>'T-T1'!BN52</f>
        <v>9864188</v>
      </c>
      <c r="C76" s="5"/>
      <c r="D76" s="224">
        <v>5961478.1778232278</v>
      </c>
      <c r="E76" s="225">
        <f t="shared" si="0"/>
        <v>0.60435569332450145</v>
      </c>
      <c r="F76" s="3"/>
      <c r="G76" s="224">
        <v>6255500.1778232278</v>
      </c>
      <c r="H76" s="225">
        <f t="shared" si="1"/>
        <v>0.63416270835706168</v>
      </c>
      <c r="I76" s="552"/>
      <c r="J76" s="561"/>
      <c r="K76" s="34"/>
      <c r="L76" s="422"/>
      <c r="M76" s="34"/>
      <c r="N76" s="422"/>
      <c r="O76" s="34"/>
      <c r="P76" s="422"/>
      <c r="Q76" s="34"/>
      <c r="R76" s="34"/>
      <c r="S76" s="34"/>
      <c r="T76" s="34"/>
    </row>
    <row r="77" spans="1:20" x14ac:dyDescent="0.3">
      <c r="A77" s="100">
        <v>2004</v>
      </c>
      <c r="B77" s="224">
        <f>'T-T1'!BN53</f>
        <v>10540946</v>
      </c>
      <c r="C77" s="5"/>
      <c r="D77" s="224">
        <v>6383254.4954936244</v>
      </c>
      <c r="E77" s="225">
        <f t="shared" si="0"/>
        <v>0.60556751694711508</v>
      </c>
      <c r="F77" s="3"/>
      <c r="G77" s="224">
        <v>6854990.4954936244</v>
      </c>
      <c r="H77" s="225">
        <f t="shared" si="1"/>
        <v>0.65032023648481119</v>
      </c>
      <c r="I77" s="552"/>
      <c r="J77" s="561"/>
      <c r="K77" s="34"/>
      <c r="L77" s="422"/>
      <c r="M77" s="34"/>
      <c r="N77" s="422"/>
      <c r="O77" s="34"/>
      <c r="P77" s="422"/>
      <c r="Q77" s="34"/>
      <c r="R77" s="34"/>
      <c r="S77" s="34"/>
      <c r="T77" s="34"/>
    </row>
    <row r="78" spans="1:20" x14ac:dyDescent="0.3">
      <c r="A78" s="100">
        <v>2005</v>
      </c>
      <c r="B78" s="224">
        <f>'T-T1'!BN54</f>
        <v>11239820</v>
      </c>
      <c r="C78" s="5"/>
      <c r="D78" s="224">
        <v>6830211</v>
      </c>
      <c r="E78" s="225">
        <f t="shared" si="0"/>
        <v>0.60767974931982893</v>
      </c>
      <c r="F78" s="3"/>
      <c r="G78" s="224">
        <v>7493268</v>
      </c>
      <c r="H78" s="225">
        <f t="shared" si="1"/>
        <v>0.66667153032699811</v>
      </c>
      <c r="I78" s="552"/>
      <c r="J78" s="561"/>
      <c r="K78" s="34"/>
      <c r="L78" s="422"/>
      <c r="M78" s="34"/>
      <c r="N78" s="422"/>
      <c r="O78" s="34"/>
      <c r="P78" s="422"/>
      <c r="Q78" s="34"/>
      <c r="R78" s="34"/>
      <c r="S78" s="34"/>
      <c r="T78" s="34"/>
    </row>
    <row r="79" spans="1:20" x14ac:dyDescent="0.3">
      <c r="A79" s="100">
        <v>2006</v>
      </c>
      <c r="B79" s="224">
        <f>'T-T1'!BN55</f>
        <v>12004751</v>
      </c>
      <c r="C79" s="5"/>
      <c r="D79" s="224">
        <v>7306449.3195187682</v>
      </c>
      <c r="E79" s="225">
        <f t="shared" si="0"/>
        <v>0.60862980994097826</v>
      </c>
      <c r="F79" s="3"/>
      <c r="G79" s="224">
        <v>8077495.3195187682</v>
      </c>
      <c r="H79" s="225">
        <f t="shared" si="1"/>
        <v>0.67285821417860048</v>
      </c>
      <c r="I79" s="552"/>
      <c r="J79" s="561"/>
      <c r="K79" s="34"/>
      <c r="L79" s="422"/>
      <c r="M79" s="34"/>
      <c r="N79" s="422"/>
      <c r="O79" s="34"/>
      <c r="P79" s="422"/>
      <c r="Q79" s="34"/>
      <c r="R79" s="34"/>
      <c r="S79" s="34"/>
      <c r="T79" s="34"/>
    </row>
    <row r="80" spans="1:20" x14ac:dyDescent="0.3">
      <c r="A80" s="100">
        <v>2007</v>
      </c>
      <c r="B80" s="224">
        <f>'T-T1'!BN56</f>
        <v>12321373</v>
      </c>
      <c r="C80" s="5"/>
      <c r="D80" s="224">
        <v>7805494.7922576042</v>
      </c>
      <c r="E80" s="225">
        <f t="shared" si="0"/>
        <v>0.63349228955714632</v>
      </c>
      <c r="F80" s="3"/>
      <c r="G80" s="224">
        <v>8701168.7922576033</v>
      </c>
      <c r="H80" s="225">
        <f t="shared" si="1"/>
        <v>0.70618500002050122</v>
      </c>
      <c r="I80" s="552"/>
      <c r="J80" s="561"/>
      <c r="K80" s="34"/>
      <c r="L80" s="422"/>
      <c r="M80" s="34"/>
      <c r="N80" s="422"/>
      <c r="O80" s="34"/>
      <c r="P80" s="422"/>
      <c r="Q80" s="34"/>
      <c r="R80" s="34"/>
      <c r="S80" s="34"/>
      <c r="T80" s="34"/>
    </row>
    <row r="81" spans="1:25" x14ac:dyDescent="0.3">
      <c r="A81" s="100">
        <v>2008</v>
      </c>
      <c r="B81" s="224">
        <f>'T-T1'!BN57</f>
        <v>12427821</v>
      </c>
      <c r="C81" s="5"/>
      <c r="D81" s="224">
        <v>7814407</v>
      </c>
      <c r="E81" s="225">
        <f t="shared" si="0"/>
        <v>0.62878335631000803</v>
      </c>
      <c r="F81" s="3"/>
      <c r="G81" s="224">
        <v>8280986</v>
      </c>
      <c r="H81" s="225">
        <f t="shared" si="1"/>
        <v>0.66632646221731062</v>
      </c>
      <c r="I81" s="552"/>
      <c r="J81" s="561"/>
      <c r="K81" s="34"/>
      <c r="L81" s="422"/>
      <c r="M81" s="34"/>
      <c r="N81" s="422"/>
      <c r="O81" s="34"/>
      <c r="P81" s="422"/>
      <c r="Q81" s="34"/>
      <c r="R81" s="34"/>
      <c r="S81" s="34"/>
      <c r="T81" s="34"/>
    </row>
    <row r="82" spans="1:25" x14ac:dyDescent="0.3">
      <c r="A82" s="100">
        <v>2009</v>
      </c>
      <c r="B82" s="224">
        <f>'T-T1'!BN58</f>
        <v>12126078</v>
      </c>
      <c r="C82" s="5"/>
      <c r="D82" s="224">
        <v>7384699</v>
      </c>
      <c r="E82" s="225">
        <f t="shared" si="0"/>
        <v>0.60899319631623683</v>
      </c>
      <c r="F82" s="3"/>
      <c r="G82" s="224">
        <v>7615886</v>
      </c>
      <c r="H82" s="225">
        <f t="shared" si="1"/>
        <v>0.62805847034795592</v>
      </c>
      <c r="I82" s="552"/>
      <c r="J82" s="561"/>
      <c r="K82" s="34"/>
      <c r="L82" s="422"/>
      <c r="M82" s="34"/>
      <c r="N82" s="422"/>
      <c r="O82" s="34"/>
      <c r="P82" s="422"/>
      <c r="Q82" s="34"/>
      <c r="R82" s="34"/>
      <c r="S82" s="34"/>
      <c r="T82" s="34"/>
    </row>
    <row r="83" spans="1:25" x14ac:dyDescent="0.3">
      <c r="A83" s="100">
        <v>2010</v>
      </c>
      <c r="B83" s="224">
        <f>'T-T1'!BN59</f>
        <v>12739542</v>
      </c>
      <c r="C83" s="5"/>
      <c r="D83" s="224">
        <v>7673618</v>
      </c>
      <c r="E83" s="225">
        <f t="shared" si="0"/>
        <v>0.60234645798098552</v>
      </c>
      <c r="F83" s="3"/>
      <c r="G83" s="224">
        <v>8037426</v>
      </c>
      <c r="H83" s="225">
        <f t="shared" si="1"/>
        <v>0.63090384254002219</v>
      </c>
      <c r="I83" s="552"/>
      <c r="J83" s="561"/>
      <c r="K83" s="34"/>
      <c r="L83" s="422"/>
      <c r="M83" s="34"/>
      <c r="N83" s="422"/>
      <c r="O83" s="34"/>
      <c r="P83" s="422"/>
      <c r="Q83" s="34"/>
      <c r="R83" s="34"/>
      <c r="S83" s="34"/>
      <c r="T83" s="34"/>
    </row>
    <row r="84" spans="1:25" x14ac:dyDescent="0.3">
      <c r="A84" s="100">
        <v>2011</v>
      </c>
      <c r="B84" s="224">
        <f>'T-T1'!BN60</f>
        <v>13352255</v>
      </c>
      <c r="C84" s="5"/>
      <c r="D84" s="224">
        <v>7969228</v>
      </c>
      <c r="E84" s="225">
        <f t="shared" si="0"/>
        <v>0.5968451021943485</v>
      </c>
      <c r="F84" s="3"/>
      <c r="G84" s="224">
        <v>8344488</v>
      </c>
      <c r="H84" s="225">
        <f t="shared" si="1"/>
        <v>0.62494971823111523</v>
      </c>
      <c r="I84" s="552"/>
      <c r="J84" s="561"/>
      <c r="K84" s="34"/>
      <c r="L84" s="422"/>
      <c r="M84" s="34"/>
      <c r="N84" s="422"/>
      <c r="O84" s="34"/>
      <c r="P84" s="422"/>
      <c r="Q84" s="34"/>
      <c r="R84" s="34"/>
      <c r="S84" s="34"/>
      <c r="T84" s="34"/>
    </row>
    <row r="85" spans="1:25" x14ac:dyDescent="0.3">
      <c r="A85" s="100">
        <v>2012</v>
      </c>
      <c r="B85" s="224">
        <f>'T-T1'!BN61</f>
        <v>14061878</v>
      </c>
      <c r="C85" s="5"/>
      <c r="D85" s="224">
        <v>8499523.568375865</v>
      </c>
      <c r="E85" s="225">
        <f t="shared" si="0"/>
        <v>0.60443729979565064</v>
      </c>
      <c r="F85" s="3"/>
      <c r="G85" s="224">
        <v>9120193.8573758658</v>
      </c>
      <c r="H85" s="225">
        <f t="shared" si="1"/>
        <v>0.64857580597526632</v>
      </c>
      <c r="I85" s="552"/>
      <c r="J85" s="561"/>
      <c r="K85" s="34"/>
      <c r="L85" s="422"/>
      <c r="M85" s="34"/>
      <c r="N85" s="422"/>
      <c r="O85" s="34"/>
      <c r="P85" s="422"/>
      <c r="Q85" s="34"/>
      <c r="R85" s="34"/>
      <c r="S85" s="34"/>
      <c r="T85" s="34"/>
    </row>
    <row r="86" spans="1:25" x14ac:dyDescent="0.3">
      <c r="A86" s="100">
        <v>2013</v>
      </c>
      <c r="B86" s="224">
        <f>'T-T1'!BN62</f>
        <v>14444823</v>
      </c>
      <c r="C86" s="5"/>
      <c r="D86" s="224">
        <v>8576800.24390628</v>
      </c>
      <c r="E86" s="225">
        <f t="shared" si="0"/>
        <v>0.59376291726844144</v>
      </c>
      <c r="F86" s="3"/>
      <c r="G86" s="224">
        <v>9085511.7243203409</v>
      </c>
      <c r="H86" s="225">
        <f t="shared" si="1"/>
        <v>0.6289804814029456</v>
      </c>
      <c r="I86" s="552"/>
      <c r="J86" s="561"/>
      <c r="K86" s="34"/>
      <c r="L86" s="422"/>
      <c r="M86" s="34"/>
      <c r="N86" s="422"/>
      <c r="O86" s="34"/>
      <c r="P86" s="422"/>
      <c r="Q86" s="34"/>
      <c r="R86" s="34"/>
      <c r="S86" s="34"/>
      <c r="T86" s="34"/>
    </row>
    <row r="87" spans="1:25" x14ac:dyDescent="0.3">
      <c r="A87" s="23">
        <v>2014</v>
      </c>
      <c r="B87" s="224">
        <f>'T-T1'!BN63</f>
        <v>15144033</v>
      </c>
      <c r="C87" s="56"/>
      <c r="D87" s="228">
        <v>9098698.1030070931</v>
      </c>
      <c r="E87" s="225">
        <f t="shared" si="0"/>
        <v>0.60081076837372804</v>
      </c>
      <c r="F87" s="185"/>
      <c r="G87" s="228">
        <v>9794038.5101104714</v>
      </c>
      <c r="H87" s="225">
        <f t="shared" si="1"/>
        <v>0.64672590914919903</v>
      </c>
      <c r="I87" s="552"/>
      <c r="J87" s="561"/>
      <c r="K87" s="34"/>
      <c r="L87" s="34"/>
      <c r="M87" s="34"/>
      <c r="N87" s="34"/>
      <c r="O87" s="34"/>
      <c r="P87" s="34"/>
      <c r="Q87" s="34"/>
      <c r="R87" s="34"/>
      <c r="S87" s="24"/>
      <c r="T87" s="34"/>
    </row>
    <row r="88" spans="1:25" x14ac:dyDescent="0.3">
      <c r="A88" s="23">
        <v>2015</v>
      </c>
      <c r="B88" s="224">
        <f>'T-T1'!BN64</f>
        <v>15739598</v>
      </c>
      <c r="C88" s="56"/>
      <c r="D88" s="228">
        <v>9098699.1030070893</v>
      </c>
      <c r="E88" s="225">
        <f>D88/B88</f>
        <v>0.57807696886585602</v>
      </c>
      <c r="F88" s="185"/>
      <c r="G88" s="228">
        <v>9794039.5101104695</v>
      </c>
      <c r="H88" s="225">
        <f>G88/$B88</f>
        <v>0.62225474310782714</v>
      </c>
      <c r="I88" s="679"/>
      <c r="J88" s="561"/>
      <c r="K88" s="24"/>
      <c r="L88" s="24"/>
      <c r="M88" s="24"/>
      <c r="N88" s="24"/>
      <c r="O88" s="24"/>
      <c r="P88" s="24"/>
      <c r="Q88" s="24"/>
      <c r="R88" s="24"/>
      <c r="S88" s="24"/>
      <c r="T88" s="24"/>
    </row>
    <row r="89" spans="1:25" s="655" customFormat="1" x14ac:dyDescent="0.3">
      <c r="A89" s="23">
        <v>2016</v>
      </c>
      <c r="B89" s="224">
        <f>'T-T1'!BN65</f>
        <v>16051997</v>
      </c>
      <c r="C89" s="56"/>
      <c r="D89" s="228"/>
      <c r="E89" s="230"/>
      <c r="F89" s="185"/>
      <c r="G89" s="228"/>
      <c r="H89" s="230"/>
      <c r="I89" s="552"/>
      <c r="J89" s="561"/>
      <c r="K89" s="24"/>
      <c r="L89" s="24"/>
      <c r="M89" s="24"/>
      <c r="N89" s="24"/>
      <c r="O89" s="24"/>
      <c r="P89" s="24"/>
      <c r="Q89" s="24"/>
      <c r="R89" s="24"/>
      <c r="S89" s="24"/>
      <c r="T89" s="24"/>
    </row>
    <row r="90" spans="1:25" x14ac:dyDescent="0.3">
      <c r="A90" s="219"/>
      <c r="B90" s="234"/>
      <c r="C90" s="219"/>
      <c r="D90" s="219"/>
      <c r="E90" s="219"/>
      <c r="F90" s="3"/>
      <c r="G90" s="5"/>
      <c r="H90" s="225"/>
      <c r="I90" s="24"/>
      <c r="J90" s="61"/>
      <c r="K90" s="61"/>
      <c r="L90" s="61"/>
      <c r="M90" s="61"/>
      <c r="N90" s="61"/>
      <c r="O90" s="61"/>
      <c r="P90" s="24"/>
      <c r="Q90" s="24"/>
      <c r="R90" s="24"/>
      <c r="S90" s="24"/>
      <c r="T90" s="24"/>
    </row>
    <row r="91" spans="1:25" x14ac:dyDescent="0.3">
      <c r="A91" s="235" t="s">
        <v>671</v>
      </c>
      <c r="B91" s="3"/>
      <c r="C91" s="3"/>
      <c r="D91" s="3"/>
      <c r="E91" s="3"/>
      <c r="F91" s="3"/>
      <c r="G91" s="5"/>
      <c r="H91" s="225"/>
      <c r="I91" s="835"/>
      <c r="L91" s="423"/>
      <c r="M91" s="61"/>
      <c r="N91" s="61"/>
      <c r="O91" s="61"/>
      <c r="P91" s="24"/>
      <c r="Q91" s="24"/>
      <c r="R91" s="24"/>
      <c r="S91" s="24"/>
      <c r="T91" s="393"/>
      <c r="U91" s="393"/>
      <c r="V91" s="393"/>
      <c r="W91" s="393"/>
      <c r="X91" s="393"/>
      <c r="Y91" s="393"/>
    </row>
    <row r="92" spans="1:25" x14ac:dyDescent="0.3">
      <c r="A92" s="235" t="s">
        <v>207</v>
      </c>
      <c r="B92" s="3"/>
      <c r="C92" s="3"/>
      <c r="D92" s="3"/>
      <c r="E92" s="3"/>
      <c r="F92" s="3"/>
      <c r="G92" s="5"/>
      <c r="H92" s="5"/>
      <c r="I92" s="835"/>
      <c r="J92" s="553"/>
      <c r="K92" s="553"/>
      <c r="L92" s="553"/>
      <c r="M92" s="554"/>
      <c r="N92" s="61"/>
      <c r="O92" s="61"/>
      <c r="P92" s="24"/>
      <c r="Q92" s="24"/>
      <c r="R92" s="24"/>
      <c r="S92" s="24"/>
      <c r="T92" s="24"/>
    </row>
    <row r="93" spans="1:25" x14ac:dyDescent="0.3">
      <c r="I93" s="24"/>
      <c r="J93" s="423"/>
      <c r="K93" s="423"/>
      <c r="L93" s="228"/>
      <c r="M93" s="396"/>
      <c r="N93" s="555"/>
      <c r="O93" s="61"/>
      <c r="P93" s="24"/>
      <c r="Q93" s="24"/>
      <c r="R93" s="24"/>
      <c r="S93" s="24"/>
      <c r="T93" s="24"/>
    </row>
    <row r="94" spans="1:25" x14ac:dyDescent="0.3">
      <c r="I94" s="24"/>
      <c r="J94" s="423"/>
      <c r="K94" s="423"/>
      <c r="L94" s="228"/>
      <c r="M94" s="396"/>
      <c r="N94" s="555"/>
      <c r="O94" s="61"/>
      <c r="P94" s="24"/>
      <c r="Q94" s="24"/>
      <c r="R94" s="24"/>
      <c r="S94" s="24"/>
      <c r="T94" s="24"/>
    </row>
    <row r="95" spans="1:25" x14ac:dyDescent="0.3">
      <c r="I95" s="24"/>
      <c r="J95" s="423"/>
      <c r="K95" s="423"/>
      <c r="L95" s="228"/>
      <c r="M95" s="396"/>
      <c r="N95" s="61"/>
      <c r="O95" s="61"/>
      <c r="P95" s="24"/>
      <c r="Q95" s="24"/>
      <c r="R95" s="24"/>
      <c r="S95" s="24"/>
      <c r="T95" s="24"/>
    </row>
    <row r="96" spans="1:25" x14ac:dyDescent="0.3">
      <c r="I96" s="24"/>
      <c r="J96" s="423"/>
      <c r="K96" s="423"/>
      <c r="L96" s="228"/>
      <c r="M96" s="396"/>
      <c r="N96" s="61"/>
      <c r="O96" s="61"/>
      <c r="P96" s="24"/>
      <c r="Q96" s="24"/>
      <c r="R96" s="24"/>
      <c r="S96" s="24"/>
      <c r="T96" s="24"/>
    </row>
    <row r="97" spans="9:20" x14ac:dyDescent="0.3">
      <c r="I97" s="24"/>
      <c r="J97" s="423"/>
      <c r="K97" s="423"/>
      <c r="L97" s="228"/>
      <c r="M97" s="396"/>
      <c r="N97" s="61"/>
      <c r="O97" s="61"/>
      <c r="P97" s="24"/>
      <c r="Q97" s="24"/>
      <c r="R97" s="24"/>
      <c r="S97" s="24"/>
      <c r="T97" s="24"/>
    </row>
    <row r="98" spans="9:20" s="278" customFormat="1" x14ac:dyDescent="0.3">
      <c r="I98" s="24"/>
      <c r="J98" s="423"/>
      <c r="K98" s="423"/>
      <c r="L98" s="228"/>
      <c r="M98" s="396"/>
      <c r="N98" s="61"/>
      <c r="O98" s="61"/>
      <c r="P98" s="24"/>
      <c r="Q98" s="24"/>
      <c r="R98" s="24"/>
      <c r="S98" s="24"/>
      <c r="T98" s="24"/>
    </row>
    <row r="99" spans="9:20" s="278" customFormat="1" x14ac:dyDescent="0.3">
      <c r="I99" s="24"/>
      <c r="J99" s="423"/>
      <c r="K99" s="423"/>
      <c r="L99" s="228"/>
      <c r="M99" s="396"/>
      <c r="N99" s="61"/>
      <c r="O99" s="61"/>
      <c r="P99" s="24"/>
      <c r="Q99" s="24"/>
      <c r="R99" s="24"/>
      <c r="S99" s="24"/>
      <c r="T99" s="24"/>
    </row>
    <row r="100" spans="9:20" x14ac:dyDescent="0.3">
      <c r="I100" s="24"/>
      <c r="J100" s="423"/>
      <c r="K100" s="423"/>
      <c r="L100" s="228"/>
      <c r="M100" s="396"/>
      <c r="N100" s="61"/>
      <c r="O100" s="61"/>
      <c r="P100" s="24"/>
      <c r="Q100" s="24"/>
      <c r="R100" s="24"/>
      <c r="S100" s="24"/>
      <c r="T100" s="24"/>
    </row>
    <row r="101" spans="9:20" x14ac:dyDescent="0.3">
      <c r="I101" s="24"/>
      <c r="J101" s="556"/>
      <c r="K101" s="556"/>
      <c r="L101" s="557"/>
      <c r="M101" s="558"/>
      <c r="N101" s="61"/>
      <c r="O101" s="61"/>
      <c r="P101" s="24"/>
      <c r="Q101" s="24"/>
      <c r="R101" s="24"/>
      <c r="S101" s="24"/>
      <c r="T101" s="24"/>
    </row>
    <row r="102" spans="9:20" x14ac:dyDescent="0.3">
      <c r="I102" s="24"/>
      <c r="J102" s="24"/>
      <c r="K102" s="24"/>
      <c r="L102" s="24"/>
      <c r="M102" s="24"/>
      <c r="N102" s="24"/>
      <c r="O102" s="24"/>
      <c r="P102" s="24"/>
      <c r="Q102" s="24"/>
      <c r="R102" s="24"/>
      <c r="S102" s="24"/>
      <c r="T102" s="24"/>
    </row>
    <row r="103" spans="9:20" x14ac:dyDescent="0.3">
      <c r="J103" s="8"/>
      <c r="K103" s="8"/>
      <c r="L103" s="226"/>
      <c r="M103" s="236"/>
      <c r="N103" s="252"/>
    </row>
  </sheetData>
  <mergeCells count="2">
    <mergeCell ref="D30:E30"/>
    <mergeCell ref="G30:H30"/>
  </mergeCells>
  <hyperlinks>
    <hyperlink ref="H1" location="Index!A1" display="Index"/>
  </hyperlinks>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B168"/>
  <sheetViews>
    <sheetView zoomScale="85" zoomScaleNormal="85" workbookViewId="0">
      <selection activeCell="K24" sqref="K24"/>
    </sheetView>
  </sheetViews>
  <sheetFormatPr defaultColWidth="9.109375" defaultRowHeight="14.4" x14ac:dyDescent="0.3"/>
  <cols>
    <col min="1" max="1" width="35.5546875" style="1011" customWidth="1"/>
    <col min="2" max="2" width="34" style="1011" customWidth="1"/>
    <col min="3" max="5" width="6" style="1011" customWidth="1"/>
    <col min="6" max="7" width="10.5546875" style="1011" customWidth="1"/>
    <col min="8" max="8" width="5.5546875" style="1011" customWidth="1"/>
    <col min="9" max="9" width="3.88671875" style="1011" customWidth="1"/>
    <col min="10" max="10" width="5.5546875" style="1011" customWidth="1"/>
    <col min="11" max="11" width="3.109375" style="1011" customWidth="1"/>
    <col min="12" max="12" width="7.88671875" style="1011" customWidth="1"/>
    <col min="13" max="13" width="10.5546875" style="1011" customWidth="1"/>
    <col min="14" max="14" width="8.21875" style="1011" customWidth="1"/>
    <col min="15" max="15" width="7.77734375" style="1011" customWidth="1"/>
    <col min="16" max="16" width="3.5546875" style="1011" customWidth="1"/>
    <col min="17" max="17" width="5.44140625" style="1011" customWidth="1"/>
    <col min="18" max="18" width="3.44140625" style="1011" customWidth="1"/>
    <col min="19" max="19" width="9.77734375" style="1011" customWidth="1"/>
    <col min="20" max="20" width="10.21875" style="1011" customWidth="1"/>
    <col min="21" max="22" width="8.21875" style="1011" customWidth="1"/>
    <col min="23" max="23" width="10.21875" style="1011" customWidth="1"/>
    <col min="24" max="24" width="9" style="1011" customWidth="1"/>
    <col min="25" max="16384" width="9.109375" style="1011"/>
  </cols>
  <sheetData>
    <row r="1" spans="1:20" ht="15.6" x14ac:dyDescent="0.3">
      <c r="A1" s="202" t="s">
        <v>2064</v>
      </c>
      <c r="B1" s="202"/>
      <c r="C1" s="124"/>
      <c r="D1" s="124"/>
      <c r="E1" s="124"/>
      <c r="I1" s="1317" t="s">
        <v>504</v>
      </c>
      <c r="J1" s="1316"/>
    </row>
    <row r="2" spans="1:20" ht="16.2" thickBot="1" x14ac:dyDescent="0.35">
      <c r="A2" s="202"/>
      <c r="B2" s="202"/>
      <c r="C2" s="124"/>
      <c r="D2" s="124"/>
      <c r="E2" s="124"/>
      <c r="I2" s="1149"/>
    </row>
    <row r="3" spans="1:20" ht="29.25" customHeight="1" thickTop="1" x14ac:dyDescent="0.3">
      <c r="A3" s="1048" t="s">
        <v>1534</v>
      </c>
      <c r="B3" s="1048" t="s">
        <v>1531</v>
      </c>
      <c r="C3" s="1365" t="s">
        <v>1792</v>
      </c>
      <c r="D3" s="1365"/>
      <c r="E3" s="1365"/>
      <c r="F3" s="1365" t="s">
        <v>1793</v>
      </c>
      <c r="G3" s="1365"/>
      <c r="H3" s="1147"/>
      <c r="I3" s="1149"/>
    </row>
    <row r="4" spans="1:20" ht="13.5" customHeight="1" x14ac:dyDescent="0.3">
      <c r="A4" s="1049"/>
      <c r="B4" s="1049"/>
      <c r="C4" s="411">
        <v>1962</v>
      </c>
      <c r="D4" s="411">
        <v>1979</v>
      </c>
      <c r="E4" s="411">
        <v>2014</v>
      </c>
      <c r="F4" s="411" t="s">
        <v>1794</v>
      </c>
      <c r="G4" s="411" t="s">
        <v>1795</v>
      </c>
      <c r="H4" s="1148"/>
      <c r="I4" s="1149"/>
    </row>
    <row r="5" spans="1:20" ht="5.25" customHeight="1" x14ac:dyDescent="0.3">
      <c r="A5" s="990"/>
      <c r="B5" s="832"/>
      <c r="H5" s="12"/>
      <c r="I5" s="1149"/>
    </row>
    <row r="6" spans="1:20" ht="15" customHeight="1" x14ac:dyDescent="0.3">
      <c r="A6" s="990" t="s">
        <v>1116</v>
      </c>
      <c r="B6" s="1041"/>
      <c r="C6" s="736"/>
      <c r="D6" s="736"/>
      <c r="E6" s="24"/>
      <c r="F6" s="24"/>
      <c r="H6" s="12"/>
      <c r="I6" s="1149"/>
    </row>
    <row r="7" spans="1:20" ht="12.75" customHeight="1" x14ac:dyDescent="0.3">
      <c r="A7" s="1071" t="s">
        <v>1542</v>
      </c>
      <c r="B7" s="1071" t="s">
        <v>1543</v>
      </c>
      <c r="C7" s="995">
        <f>E112</f>
        <v>0.36641466915940868</v>
      </c>
      <c r="D7" s="995">
        <f>E81</f>
        <v>0.98493050640101831</v>
      </c>
      <c r="E7" s="996">
        <f>E50</f>
        <v>2.1946109945678183</v>
      </c>
      <c r="F7" s="995">
        <f t="shared" ref="F7:F18" si="0">E7-D7</f>
        <v>1.2096804881668</v>
      </c>
      <c r="G7" s="995">
        <f>E7-C7</f>
        <v>1.8281963254084097</v>
      </c>
      <c r="H7" s="1065"/>
      <c r="I7" s="1149"/>
    </row>
    <row r="8" spans="1:20" ht="12.75" customHeight="1" x14ac:dyDescent="0.3">
      <c r="A8" s="1040" t="s">
        <v>1653</v>
      </c>
      <c r="B8" s="1071" t="s">
        <v>1553</v>
      </c>
      <c r="C8" s="995">
        <f>E103+E104+E105+E106</f>
        <v>0.46073248231250546</v>
      </c>
      <c r="D8" s="995">
        <f>E72+E73+E74+E75</f>
        <v>0.13154370585951924</v>
      </c>
      <c r="E8" s="996">
        <f>E41+E42+E43+E44</f>
        <v>1.3474780716926187</v>
      </c>
      <c r="F8" s="995">
        <f t="shared" si="0"/>
        <v>1.2159343658330994</v>
      </c>
      <c r="G8" s="995">
        <f t="shared" ref="G8:G14" si="1">E8-C8</f>
        <v>0.88674558938011327</v>
      </c>
      <c r="H8" s="1065"/>
      <c r="I8" s="1149"/>
    </row>
    <row r="9" spans="1:20" ht="12.75" customHeight="1" x14ac:dyDescent="0.3">
      <c r="A9" s="1187" t="s">
        <v>1800</v>
      </c>
      <c r="B9" s="1187" t="s">
        <v>1556</v>
      </c>
      <c r="C9" s="995">
        <f>E111</f>
        <v>0.27497637019352072</v>
      </c>
      <c r="D9" s="995">
        <f>E80</f>
        <v>0.17021470465897173</v>
      </c>
      <c r="E9" s="996">
        <f>E49</f>
        <v>0.65115316034176507</v>
      </c>
      <c r="F9" s="995">
        <f t="shared" si="0"/>
        <v>0.48093845568279336</v>
      </c>
      <c r="G9" s="995">
        <f>E9-C9</f>
        <v>0.37617679014824434</v>
      </c>
      <c r="H9" s="1065"/>
      <c r="I9" s="1149"/>
    </row>
    <row r="10" spans="1:20" ht="12.75" customHeight="1" x14ac:dyDescent="0.3">
      <c r="A10" s="1187" t="s">
        <v>1698</v>
      </c>
      <c r="B10" s="1187" t="s">
        <v>1699</v>
      </c>
      <c r="C10" s="995">
        <f>E107</f>
        <v>0.50363671413707889</v>
      </c>
      <c r="D10" s="995">
        <f>E76</f>
        <v>0.18242721460603117</v>
      </c>
      <c r="E10" s="996">
        <f>E45</f>
        <v>0.65254622578382293</v>
      </c>
      <c r="F10" s="995">
        <f t="shared" si="0"/>
        <v>0.47011901117779176</v>
      </c>
      <c r="G10" s="995">
        <f>E10-C10</f>
        <v>0.14890951164674404</v>
      </c>
      <c r="H10" s="1065"/>
      <c r="I10" s="1149"/>
    </row>
    <row r="11" spans="1:20" ht="12.75" customHeight="1" x14ac:dyDescent="0.3">
      <c r="A11" s="1071" t="s">
        <v>1558</v>
      </c>
      <c r="B11" s="1071" t="s">
        <v>1549</v>
      </c>
      <c r="C11" s="995">
        <f>E101</f>
        <v>-7.8241114689579894E-2</v>
      </c>
      <c r="D11" s="995">
        <f>E70</f>
        <v>-0.11638084585153924</v>
      </c>
      <c r="E11" s="996">
        <f>E39</f>
        <v>0.44497149673374808</v>
      </c>
      <c r="F11" s="995">
        <f t="shared" si="0"/>
        <v>0.56135234258528732</v>
      </c>
      <c r="G11" s="995">
        <f>E11-C11</f>
        <v>0.52321261142332798</v>
      </c>
      <c r="H11" s="1065"/>
      <c r="I11" s="1149"/>
    </row>
    <row r="12" spans="1:20" ht="12.75" customHeight="1" x14ac:dyDescent="0.3">
      <c r="A12" s="1187" t="s">
        <v>1554</v>
      </c>
      <c r="B12" s="1187" t="s">
        <v>1555</v>
      </c>
      <c r="C12" s="995">
        <f>E109</f>
        <v>0.37082956024666985</v>
      </c>
      <c r="D12" s="995">
        <f>E78</f>
        <v>0.19609691713768554</v>
      </c>
      <c r="E12" s="996">
        <f>E47</f>
        <v>0.26271624926348375</v>
      </c>
      <c r="F12" s="995">
        <f t="shared" si="0"/>
        <v>6.6619332125798209E-2</v>
      </c>
      <c r="G12" s="995">
        <f>E12-C12</f>
        <v>-0.10811331098318611</v>
      </c>
      <c r="H12" s="1065"/>
      <c r="I12" s="1149"/>
      <c r="J12" s="24"/>
      <c r="K12" s="24"/>
      <c r="L12" s="24"/>
      <c r="M12" s="24"/>
      <c r="N12" s="24"/>
      <c r="O12" s="24"/>
      <c r="P12" s="24"/>
      <c r="Q12" s="24"/>
      <c r="R12" s="24"/>
      <c r="S12" s="24"/>
      <c r="T12" s="24"/>
    </row>
    <row r="13" spans="1:20" ht="12.75" customHeight="1" x14ac:dyDescent="0.3">
      <c r="A13" s="1187" t="s">
        <v>2040</v>
      </c>
      <c r="B13" s="1187" t="s">
        <v>1551</v>
      </c>
      <c r="C13" s="995">
        <f>E100</f>
        <v>-0.2247260037859577</v>
      </c>
      <c r="D13" s="995">
        <f>E69</f>
        <v>0.2294894008336143</v>
      </c>
      <c r="E13" s="996">
        <f>E38</f>
        <v>0.18458452422775806</v>
      </c>
      <c r="F13" s="995">
        <f t="shared" si="0"/>
        <v>-4.4904876605856237E-2</v>
      </c>
      <c r="G13" s="995">
        <f t="shared" si="1"/>
        <v>0.40931052801371576</v>
      </c>
      <c r="H13" s="1065"/>
      <c r="I13" s="1149"/>
      <c r="J13" s="24"/>
      <c r="K13" s="24"/>
      <c r="L13" s="24"/>
      <c r="M13" s="24"/>
      <c r="N13" s="24"/>
      <c r="O13" s="24"/>
      <c r="P13" s="24"/>
      <c r="Q13" s="24"/>
      <c r="R13" s="24"/>
      <c r="S13" s="24"/>
      <c r="T13" s="24"/>
    </row>
    <row r="14" spans="1:20" ht="12.75" customHeight="1" x14ac:dyDescent="0.3">
      <c r="A14" s="1187" t="s">
        <v>1702</v>
      </c>
      <c r="B14" s="1187" t="s">
        <v>1798</v>
      </c>
      <c r="C14" s="995">
        <f>E102</f>
        <v>4.6077656421185637E-2</v>
      </c>
      <c r="D14" s="995">
        <f>E71</f>
        <v>9.8761606282348757E-2</v>
      </c>
      <c r="E14" s="996">
        <f>E40</f>
        <v>0.21607149695098227</v>
      </c>
      <c r="F14" s="995">
        <f t="shared" si="0"/>
        <v>0.11730989066863351</v>
      </c>
      <c r="G14" s="995">
        <f t="shared" si="1"/>
        <v>0.16999384052979663</v>
      </c>
      <c r="H14" s="1065"/>
      <c r="I14" s="1149"/>
      <c r="J14" s="24"/>
      <c r="K14" s="24"/>
      <c r="L14" s="24"/>
      <c r="M14" s="24"/>
      <c r="N14" s="24"/>
      <c r="O14" s="24"/>
      <c r="P14" s="24"/>
      <c r="Q14" s="24"/>
      <c r="R14" s="24"/>
      <c r="S14" s="24"/>
      <c r="T14" s="24"/>
    </row>
    <row r="15" spans="1:20" ht="12.75" customHeight="1" x14ac:dyDescent="0.3">
      <c r="A15" s="1187" t="s">
        <v>1583</v>
      </c>
      <c r="B15" s="1187" t="s">
        <v>1547</v>
      </c>
      <c r="C15" s="995">
        <f>E110</f>
        <v>4.9591715706197304E-2</v>
      </c>
      <c r="D15" s="995">
        <f>E79</f>
        <v>-7.124070933856641E-3</v>
      </c>
      <c r="E15" s="996">
        <f>E48</f>
        <v>5.5734267057776121E-2</v>
      </c>
      <c r="F15" s="995">
        <f t="shared" si="0"/>
        <v>6.2858337991632762E-2</v>
      </c>
      <c r="G15" s="995">
        <f>E15-C15</f>
        <v>6.1425513515788177E-3</v>
      </c>
      <c r="H15" s="1065"/>
      <c r="I15" s="1149"/>
      <c r="J15" s="24"/>
      <c r="K15" s="24"/>
      <c r="L15" s="24"/>
      <c r="M15" s="24"/>
      <c r="N15" s="24"/>
      <c r="O15" s="24"/>
      <c r="P15" s="24"/>
      <c r="Q15" s="24"/>
      <c r="R15" s="24"/>
      <c r="S15" s="24"/>
      <c r="T15" s="24"/>
    </row>
    <row r="16" spans="1:20" ht="12.75" customHeight="1" x14ac:dyDescent="0.3">
      <c r="A16" s="1187" t="s">
        <v>1642</v>
      </c>
      <c r="B16" s="1187" t="s">
        <v>1643</v>
      </c>
      <c r="C16" s="995">
        <f>E114</f>
        <v>-2.6404515943560025E-2</v>
      </c>
      <c r="D16" s="995">
        <f>E83</f>
        <v>-0.53896941240821961</v>
      </c>
      <c r="E16" s="996">
        <f>E52</f>
        <v>-5.5031627639970881E-2</v>
      </c>
      <c r="F16" s="995">
        <f t="shared" si="0"/>
        <v>0.48393778476824872</v>
      </c>
      <c r="G16" s="995">
        <f>E16-C16</f>
        <v>-2.8627111696410856E-2</v>
      </c>
      <c r="H16" s="1065"/>
      <c r="I16" s="1149"/>
      <c r="J16" s="24"/>
      <c r="K16" s="24"/>
      <c r="L16" s="24"/>
      <c r="M16" s="24"/>
      <c r="N16" s="24"/>
      <c r="O16" s="24"/>
      <c r="P16" s="24"/>
      <c r="Q16" s="24"/>
      <c r="R16" s="24"/>
      <c r="S16" s="24"/>
      <c r="T16" s="24"/>
    </row>
    <row r="17" spans="1:24" ht="12.75" customHeight="1" x14ac:dyDescent="0.3">
      <c r="A17" s="1187" t="s">
        <v>1700</v>
      </c>
      <c r="B17" s="1187" t="s">
        <v>1701</v>
      </c>
      <c r="C17" s="995">
        <f>E113</f>
        <v>3.7380692105055291E-2</v>
      </c>
      <c r="D17" s="995">
        <f>E82</f>
        <v>-1.1376356000457333E-2</v>
      </c>
      <c r="E17" s="995">
        <f>E51</f>
        <v>-9.9904175771057924E-2</v>
      </c>
      <c r="F17" s="995">
        <f t="shared" si="0"/>
        <v>-8.8527819770600591E-2</v>
      </c>
      <c r="G17" s="995">
        <f>E17-C17</f>
        <v>-0.13728486787611321</v>
      </c>
      <c r="H17" s="1065"/>
      <c r="I17" s="1149"/>
      <c r="J17" s="24"/>
      <c r="K17" s="24"/>
      <c r="L17" s="24"/>
      <c r="M17" s="24"/>
      <c r="N17" s="24"/>
      <c r="O17" s="24"/>
      <c r="P17" s="24"/>
      <c r="Q17" s="24"/>
      <c r="R17" s="24"/>
      <c r="S17" s="24"/>
      <c r="T17" s="24"/>
    </row>
    <row r="18" spans="1:24" ht="15.6" x14ac:dyDescent="0.3">
      <c r="A18" s="1484" t="s">
        <v>1796</v>
      </c>
      <c r="B18" s="1484"/>
      <c r="C18" s="1042">
        <f>('F-1'!B35-'F-1'!C35)*100</f>
        <v>1.4535332986484517</v>
      </c>
      <c r="D18" s="1042">
        <f>('F-1'!B52-'F-1'!C52)*100</f>
        <v>1.6634578894942367</v>
      </c>
      <c r="E18" s="1042">
        <f>('F-1'!B87-'F-1'!C87)*100</f>
        <v>5.9179001320837195</v>
      </c>
      <c r="F18" s="1042">
        <f t="shared" si="0"/>
        <v>4.2544422425894828</v>
      </c>
      <c r="G18" s="1042">
        <f>E18-C18</f>
        <v>4.4643668334352675</v>
      </c>
      <c r="H18" s="1043"/>
      <c r="I18" s="1149"/>
      <c r="J18" s="24"/>
      <c r="K18" s="24"/>
      <c r="L18" s="24"/>
      <c r="M18" s="24"/>
      <c r="N18" s="24"/>
      <c r="O18" s="24"/>
      <c r="P18" s="24"/>
      <c r="Q18" s="24"/>
      <c r="R18" s="24"/>
      <c r="S18" s="24"/>
      <c r="T18" s="24"/>
    </row>
    <row r="19" spans="1:24" ht="15.75" customHeight="1" x14ac:dyDescent="0.3">
      <c r="A19" s="1041"/>
      <c r="B19" s="1041"/>
      <c r="C19" s="1151"/>
      <c r="D19" s="1151"/>
      <c r="E19" s="1151"/>
      <c r="F19" s="248"/>
      <c r="G19" s="248"/>
      <c r="H19" s="1150"/>
      <c r="I19" s="1149"/>
      <c r="J19" s="24"/>
      <c r="K19" s="24"/>
      <c r="L19" s="24"/>
      <c r="M19" s="24"/>
      <c r="N19" s="24"/>
      <c r="O19" s="24"/>
      <c r="P19" s="24"/>
      <c r="Q19" s="24"/>
      <c r="R19" s="24"/>
      <c r="S19" s="24"/>
      <c r="T19" s="24"/>
    </row>
    <row r="20" spans="1:24" ht="15" customHeight="1" x14ac:dyDescent="0.3">
      <c r="A20" s="990" t="s">
        <v>566</v>
      </c>
      <c r="B20" s="1044"/>
      <c r="C20" s="24"/>
      <c r="D20" s="24"/>
      <c r="E20" s="24"/>
      <c r="F20" s="1045"/>
      <c r="G20" s="24"/>
      <c r="H20" s="61"/>
      <c r="I20" s="1149"/>
      <c r="J20" s="24"/>
      <c r="K20" s="24"/>
      <c r="L20" s="24"/>
      <c r="M20" s="24"/>
      <c r="N20" s="24"/>
      <c r="O20" s="24"/>
      <c r="P20" s="24"/>
      <c r="Q20" s="24"/>
      <c r="R20" s="24"/>
      <c r="S20" s="24"/>
      <c r="T20" s="24"/>
    </row>
    <row r="21" spans="1:24" ht="12.75" customHeight="1" x14ac:dyDescent="0.3">
      <c r="A21" s="1187" t="s">
        <v>1582</v>
      </c>
      <c r="B21" s="1187" t="s">
        <v>1541</v>
      </c>
      <c r="C21" s="995">
        <f>E121</f>
        <v>0.77917509791248829</v>
      </c>
      <c r="D21" s="995">
        <f>E90</f>
        <v>0.75022583016067768</v>
      </c>
      <c r="E21" s="996">
        <f>E59</f>
        <v>1.2798838679638267</v>
      </c>
      <c r="F21" s="995">
        <f t="shared" ref="F21:F26" si="2">E21-D21</f>
        <v>0.52965803780314902</v>
      </c>
      <c r="G21" s="995">
        <f t="shared" ref="G21:G27" si="3">E21-C21</f>
        <v>0.5007087700513384</v>
      </c>
      <c r="H21" s="1065"/>
      <c r="I21" s="1149"/>
      <c r="J21" s="24"/>
      <c r="K21" s="24"/>
      <c r="L21" s="24"/>
      <c r="M21" s="24"/>
      <c r="N21" s="24"/>
      <c r="O21" s="24"/>
      <c r="P21" s="24"/>
      <c r="Q21" s="24"/>
      <c r="R21" s="24"/>
      <c r="S21" s="24"/>
      <c r="T21" s="24"/>
    </row>
    <row r="22" spans="1:24" ht="12.75" customHeight="1" x14ac:dyDescent="0.3">
      <c r="A22" s="1187" t="s">
        <v>1562</v>
      </c>
      <c r="B22" s="1187" t="s">
        <v>1561</v>
      </c>
      <c r="C22" s="995">
        <f>E120</f>
        <v>-0.29756809696681319</v>
      </c>
      <c r="D22" s="995">
        <f>E89</f>
        <v>-9.1347223675051215E-3</v>
      </c>
      <c r="E22" s="996">
        <f>E58</f>
        <v>0.54497970794823269</v>
      </c>
      <c r="F22" s="995">
        <f t="shared" si="2"/>
        <v>0.55411443031573782</v>
      </c>
      <c r="G22" s="995">
        <f t="shared" si="3"/>
        <v>0.84254780491504588</v>
      </c>
      <c r="H22" s="1065"/>
      <c r="I22" s="1149"/>
      <c r="J22" s="24"/>
      <c r="K22" s="24"/>
      <c r="L22" s="24"/>
      <c r="M22" s="24"/>
      <c r="N22" s="24"/>
      <c r="O22" s="24"/>
      <c r="P22" s="24"/>
      <c r="Q22" s="24"/>
      <c r="R22" s="24"/>
      <c r="S22" s="24"/>
      <c r="T22" s="24"/>
    </row>
    <row r="23" spans="1:24" ht="12.75" customHeight="1" x14ac:dyDescent="0.3">
      <c r="A23" s="1187" t="s">
        <v>1539</v>
      </c>
      <c r="B23" s="1187" t="s">
        <v>1540</v>
      </c>
      <c r="C23" s="995">
        <f>E119</f>
        <v>-0.30660553882243369</v>
      </c>
      <c r="D23" s="995">
        <f>E88</f>
        <v>-0.21464096769243177</v>
      </c>
      <c r="E23" s="996">
        <f>E57</f>
        <v>-4.4010121895684928E-2</v>
      </c>
      <c r="F23" s="995">
        <f>E23-D23</f>
        <v>0.17063084579674684</v>
      </c>
      <c r="G23" s="995">
        <f>E23-C23</f>
        <v>0.26259541692674876</v>
      </c>
      <c r="H23" s="1065"/>
      <c r="I23" s="1149"/>
      <c r="J23" s="24"/>
      <c r="K23" s="24"/>
      <c r="L23" s="24"/>
      <c r="M23" s="24"/>
      <c r="N23" s="24"/>
      <c r="O23" s="24"/>
      <c r="P23" s="24"/>
      <c r="Q23" s="24"/>
      <c r="R23" s="24"/>
      <c r="S23" s="24"/>
      <c r="T23" s="24"/>
    </row>
    <row r="24" spans="1:24" ht="12.75" customHeight="1" x14ac:dyDescent="0.3">
      <c r="A24" s="1187" t="s">
        <v>1559</v>
      </c>
      <c r="B24" s="1187" t="s">
        <v>1560</v>
      </c>
      <c r="C24" s="995">
        <f>E118</f>
        <v>-5.0487814953772692E-3</v>
      </c>
      <c r="D24" s="995">
        <f>E87</f>
        <v>3.3667095793346313E-3</v>
      </c>
      <c r="E24" s="996">
        <f>E56</f>
        <v>4.0174683255008448E-2</v>
      </c>
      <c r="F24" s="995">
        <f t="shared" si="2"/>
        <v>3.6807973675673816E-2</v>
      </c>
      <c r="G24" s="995">
        <f t="shared" si="3"/>
        <v>4.5223464750385717E-2</v>
      </c>
      <c r="H24" s="1065"/>
      <c r="I24" s="1149"/>
      <c r="J24" s="24"/>
      <c r="K24" s="24"/>
      <c r="L24" s="24"/>
      <c r="M24" s="24"/>
      <c r="N24" s="24"/>
      <c r="O24" s="24"/>
      <c r="P24" s="24"/>
      <c r="Q24" s="24"/>
      <c r="R24" s="24"/>
      <c r="S24" s="24"/>
      <c r="T24" s="24"/>
    </row>
    <row r="25" spans="1:24" ht="12.75" customHeight="1" x14ac:dyDescent="0.3">
      <c r="A25" s="1187" t="s">
        <v>1799</v>
      </c>
      <c r="B25" s="1187" t="s">
        <v>1697</v>
      </c>
      <c r="C25" s="995">
        <f>E122</f>
        <v>-0.24404729318625074</v>
      </c>
      <c r="D25" s="995">
        <f>E91</f>
        <v>-0.2942350707079745</v>
      </c>
      <c r="E25" s="996">
        <f>E60</f>
        <v>-0.3286315663869499</v>
      </c>
      <c r="F25" s="995">
        <f t="shared" si="2"/>
        <v>-3.4396495678975403E-2</v>
      </c>
      <c r="G25" s="995">
        <f t="shared" si="3"/>
        <v>-8.4584273200699167E-2</v>
      </c>
      <c r="H25" s="1065"/>
      <c r="I25" s="1149"/>
      <c r="J25" s="24"/>
      <c r="K25" s="24"/>
      <c r="L25" s="24"/>
      <c r="M25" s="24"/>
      <c r="N25" s="24"/>
      <c r="O25" s="24"/>
      <c r="P25" s="24"/>
      <c r="Q25" s="24"/>
      <c r="R25" s="24"/>
      <c r="S25" s="24"/>
      <c r="T25" s="24"/>
    </row>
    <row r="26" spans="1:24" ht="12.75" customHeight="1" x14ac:dyDescent="0.3">
      <c r="A26" s="1187" t="s">
        <v>1800</v>
      </c>
      <c r="B26" s="1187" t="s">
        <v>1556</v>
      </c>
      <c r="C26" s="995">
        <f>E123</f>
        <v>3.3405026443464075E-2</v>
      </c>
      <c r="D26" s="995">
        <f>E92</f>
        <v>8.8389543677374616E-3</v>
      </c>
      <c r="E26" s="995">
        <f>E61</f>
        <v>-0.264109535502563</v>
      </c>
      <c r="F26" s="995">
        <f t="shared" si="2"/>
        <v>-0.27294848987030046</v>
      </c>
      <c r="G26" s="995">
        <f t="shared" si="3"/>
        <v>-0.2975145619460271</v>
      </c>
      <c r="H26" s="1065"/>
      <c r="I26" s="1149"/>
      <c r="J26" s="24"/>
      <c r="K26" s="24"/>
      <c r="L26" s="24"/>
      <c r="M26" s="24"/>
      <c r="N26" s="24"/>
      <c r="O26" s="24"/>
      <c r="P26" s="24"/>
      <c r="Q26" s="24"/>
      <c r="R26" s="24"/>
      <c r="S26" s="24"/>
      <c r="T26" s="24"/>
    </row>
    <row r="27" spans="1:24" ht="15.6" x14ac:dyDescent="0.3">
      <c r="A27" s="1485" t="s">
        <v>1797</v>
      </c>
      <c r="B27" s="1485"/>
      <c r="C27" s="1047">
        <f>('F-1'!D35-'F-1'!E35)*100-C18</f>
        <v>0.29522462458840537</v>
      </c>
      <c r="D27" s="1047">
        <f>('F-1'!D52-'F-1'!E52)*100-D18</f>
        <v>0.26201577298060741</v>
      </c>
      <c r="E27" s="1047">
        <f>('F-1'!D87-'F-1'!E87)*100-E18</f>
        <v>1.1082822968836537</v>
      </c>
      <c r="F27" s="1047">
        <f>E27-D27</f>
        <v>0.84626652390304624</v>
      </c>
      <c r="G27" s="1047">
        <f t="shared" si="3"/>
        <v>0.81305767229524828</v>
      </c>
      <c r="H27" s="1043"/>
      <c r="I27" s="1149"/>
      <c r="J27" s="24"/>
      <c r="K27" s="24"/>
      <c r="L27" s="24"/>
      <c r="M27" s="24"/>
      <c r="N27" s="24"/>
      <c r="O27" s="24"/>
      <c r="P27" s="24"/>
      <c r="Q27" s="24"/>
      <c r="R27" s="24"/>
      <c r="S27" s="24"/>
      <c r="T27" s="24"/>
    </row>
    <row r="28" spans="1:24" x14ac:dyDescent="0.3">
      <c r="A28" s="24"/>
      <c r="B28" s="24"/>
      <c r="C28" s="1151"/>
      <c r="D28" s="1151"/>
      <c r="E28" s="1151"/>
      <c r="F28" s="24"/>
      <c r="G28" s="24"/>
      <c r="H28" s="24"/>
      <c r="I28" s="1149"/>
      <c r="J28" s="24"/>
      <c r="K28" s="24"/>
      <c r="L28" s="24"/>
      <c r="M28" s="24"/>
      <c r="N28" s="24"/>
      <c r="O28" s="24"/>
      <c r="P28" s="24"/>
      <c r="Q28" s="24"/>
      <c r="R28" s="24"/>
      <c r="S28" s="24"/>
      <c r="T28" s="24"/>
    </row>
    <row r="29" spans="1:24" ht="54" customHeight="1" x14ac:dyDescent="0.3">
      <c r="A29" s="1366" t="s">
        <v>1714</v>
      </c>
      <c r="B29" s="1366"/>
      <c r="C29" s="1366"/>
      <c r="D29" s="1366"/>
      <c r="E29" s="1366"/>
      <c r="F29" s="1366"/>
      <c r="G29" s="1366"/>
      <c r="H29" s="1366"/>
      <c r="I29" s="1149"/>
      <c r="J29" s="24"/>
      <c r="K29" s="24"/>
      <c r="L29" s="24"/>
      <c r="M29" s="24"/>
      <c r="N29" s="24"/>
      <c r="O29" s="24"/>
      <c r="P29" s="24"/>
      <c r="Q29" s="24"/>
      <c r="R29" s="24"/>
      <c r="S29" s="24"/>
      <c r="T29" s="24"/>
    </row>
    <row r="30" spans="1:24" x14ac:dyDescent="0.3">
      <c r="A30" s="1223" t="s">
        <v>1658</v>
      </c>
      <c r="B30" s="1224"/>
      <c r="C30" s="516"/>
      <c r="D30" s="516"/>
      <c r="E30" s="516"/>
      <c r="F30" s="24"/>
      <c r="G30" s="24"/>
      <c r="H30" s="24"/>
      <c r="I30" s="1149"/>
      <c r="J30" s="24"/>
      <c r="K30" s="24"/>
      <c r="L30" s="24"/>
      <c r="M30" s="24"/>
      <c r="N30" s="24"/>
      <c r="O30" s="24"/>
      <c r="P30" s="24"/>
      <c r="Q30" s="24"/>
      <c r="R30" s="24"/>
      <c r="S30" s="24"/>
      <c r="T30" s="24"/>
    </row>
    <row r="31" spans="1:24" x14ac:dyDescent="0.3">
      <c r="A31" s="1224"/>
      <c r="B31" s="1224"/>
      <c r="C31" s="1225"/>
      <c r="D31" s="1224"/>
      <c r="E31" s="1226"/>
      <c r="F31" s="24"/>
      <c r="G31" s="24"/>
      <c r="H31" s="24"/>
      <c r="I31" s="24"/>
      <c r="J31" s="24"/>
      <c r="K31" s="24"/>
      <c r="L31" s="24"/>
      <c r="M31" s="24"/>
      <c r="N31" s="24"/>
      <c r="O31" s="24"/>
      <c r="P31" s="24"/>
      <c r="Q31" s="24"/>
      <c r="R31" s="24"/>
      <c r="S31" s="24"/>
      <c r="T31" s="24"/>
    </row>
    <row r="32" spans="1:24" ht="23.25" customHeight="1" x14ac:dyDescent="0.3">
      <c r="A32" s="24"/>
      <c r="B32" s="24"/>
      <c r="C32" s="24"/>
      <c r="D32" s="24"/>
      <c r="E32" s="24"/>
      <c r="F32" s="24"/>
      <c r="G32" s="445"/>
      <c r="H32" s="24"/>
      <c r="I32" s="24"/>
      <c r="J32" s="24"/>
      <c r="K32" s="24"/>
      <c r="L32" s="24"/>
      <c r="M32" s="24"/>
      <c r="N32" s="24"/>
      <c r="O32" s="24"/>
      <c r="P32" s="24"/>
      <c r="S32" s="1146">
        <v>2014</v>
      </c>
      <c r="T32" s="1146" t="s">
        <v>2130</v>
      </c>
      <c r="U32" s="1146" t="s">
        <v>2133</v>
      </c>
      <c r="V32" s="1146" t="s">
        <v>2134</v>
      </c>
      <c r="W32" s="1146" t="s">
        <v>1786</v>
      </c>
      <c r="X32" s="1146" t="s">
        <v>1787</v>
      </c>
    </row>
    <row r="33" spans="1:24" ht="12" customHeight="1" x14ac:dyDescent="0.3">
      <c r="A33" s="1227"/>
      <c r="B33" s="1227"/>
      <c r="C33" s="1224"/>
      <c r="D33" s="1224"/>
      <c r="E33" s="1224"/>
      <c r="F33" s="24"/>
      <c r="G33" s="24"/>
      <c r="H33" s="24"/>
      <c r="I33" s="24"/>
      <c r="J33" s="24"/>
      <c r="K33" s="24"/>
      <c r="L33" s="24"/>
      <c r="M33" s="24"/>
      <c r="N33" s="24"/>
      <c r="O33" s="24"/>
      <c r="P33" s="24"/>
      <c r="S33" s="24" t="s">
        <v>2131</v>
      </c>
      <c r="T33" s="285">
        <f>V33-U33</f>
        <v>5.9179001320837199E-2</v>
      </c>
      <c r="U33" s="285">
        <f>SUM(L37:L37)/M37</f>
        <v>0.14277984870529348</v>
      </c>
      <c r="V33" s="285">
        <f>'F-1'!B87</f>
        <v>0.20195885002613068</v>
      </c>
      <c r="W33" s="285">
        <f>SUM(S37:S37)/T37</f>
        <v>0.20173433959937262</v>
      </c>
      <c r="X33" s="284">
        <f>W33-V33</f>
        <v>-2.2451042675805666E-4</v>
      </c>
    </row>
    <row r="34" spans="1:24" ht="12" customHeight="1" thickBot="1" x14ac:dyDescent="0.35">
      <c r="A34" s="1228">
        <v>2014</v>
      </c>
      <c r="B34" s="1224"/>
      <c r="C34" s="1225"/>
      <c r="D34" s="1224"/>
      <c r="E34" s="1226"/>
      <c r="F34" s="24"/>
      <c r="G34" s="24"/>
      <c r="H34" s="24"/>
      <c r="I34" s="24"/>
      <c r="J34" s="24"/>
      <c r="K34" s="24"/>
      <c r="L34" s="24"/>
      <c r="M34" s="24"/>
      <c r="N34" s="24"/>
      <c r="O34" s="24"/>
      <c r="P34" s="24"/>
      <c r="S34" s="1011" t="s">
        <v>2132</v>
      </c>
      <c r="T34" s="285">
        <v>1.1082822968836531E-2</v>
      </c>
      <c r="U34" s="285">
        <v>8.6381387551909522E-2</v>
      </c>
      <c r="V34" s="285">
        <v>0.15664321184158325</v>
      </c>
      <c r="W34" s="285">
        <v>0.15643142103577978</v>
      </c>
      <c r="X34" s="284">
        <f>W34-V34</f>
        <v>-2.1179080580346898E-4</v>
      </c>
    </row>
    <row r="35" spans="1:24" ht="31.5" customHeight="1" thickTop="1" x14ac:dyDescent="0.3">
      <c r="A35" s="1229" t="s">
        <v>1534</v>
      </c>
      <c r="B35" s="1229" t="s">
        <v>1531</v>
      </c>
      <c r="C35" s="1230" t="s">
        <v>1532</v>
      </c>
      <c r="D35" s="1230" t="s">
        <v>1533</v>
      </c>
      <c r="E35" s="1230" t="s">
        <v>1801</v>
      </c>
      <c r="F35" s="1231"/>
      <c r="G35" s="24"/>
      <c r="H35" s="24"/>
      <c r="I35" s="24"/>
      <c r="J35" s="24"/>
      <c r="K35" s="24"/>
      <c r="L35" s="1318" t="s">
        <v>26</v>
      </c>
      <c r="M35" s="1318" t="s">
        <v>1802</v>
      </c>
      <c r="N35" s="24"/>
      <c r="O35" s="24"/>
      <c r="P35" s="24"/>
      <c r="Q35" s="24"/>
      <c r="R35" s="24"/>
    </row>
    <row r="36" spans="1:24" ht="10.5" customHeight="1" x14ac:dyDescent="0.3">
      <c r="A36" s="990"/>
      <c r="B36" s="1232"/>
      <c r="C36" s="24"/>
      <c r="D36" s="24"/>
      <c r="E36" s="24"/>
      <c r="F36" s="61"/>
      <c r="G36" s="24"/>
      <c r="H36" s="495" t="s">
        <v>1788</v>
      </c>
      <c r="I36" s="24"/>
      <c r="J36" s="24"/>
      <c r="K36" s="24"/>
      <c r="L36" s="285"/>
      <c r="M36" s="248">
        <f>'T-T1'!BN63</f>
        <v>15144033</v>
      </c>
      <c r="N36" s="24"/>
      <c r="O36" s="495" t="s">
        <v>1789</v>
      </c>
      <c r="P36" s="24"/>
      <c r="Q36" s="24"/>
      <c r="R36" s="24"/>
      <c r="S36" s="1318" t="s">
        <v>26</v>
      </c>
      <c r="T36" s="1318" t="s">
        <v>1802</v>
      </c>
    </row>
    <row r="37" spans="1:24" ht="15" customHeight="1" x14ac:dyDescent="0.3">
      <c r="A37" s="990" t="s">
        <v>1116</v>
      </c>
      <c r="B37" s="1041"/>
      <c r="C37" s="736"/>
      <c r="D37" s="736"/>
      <c r="E37" s="24"/>
      <c r="F37" s="61"/>
      <c r="G37" s="24"/>
      <c r="H37" s="24">
        <v>2014</v>
      </c>
      <c r="I37" s="24">
        <v>19</v>
      </c>
      <c r="J37" s="24">
        <v>232</v>
      </c>
      <c r="K37" s="24">
        <v>2</v>
      </c>
      <c r="L37" s="24">
        <v>2162263.1484499997</v>
      </c>
      <c r="M37" s="24">
        <v>15144035.857000001</v>
      </c>
      <c r="N37" s="1152"/>
      <c r="O37" s="276">
        <v>2014</v>
      </c>
      <c r="P37" s="276">
        <v>0</v>
      </c>
      <c r="Q37" s="276">
        <v>782</v>
      </c>
      <c r="R37" s="276">
        <v>3</v>
      </c>
      <c r="S37" s="248">
        <v>3055072.00954</v>
      </c>
      <c r="T37" s="24">
        <v>15144035.545</v>
      </c>
      <c r="U37" s="1152"/>
    </row>
    <row r="38" spans="1:24" ht="12" customHeight="1" x14ac:dyDescent="0.3">
      <c r="A38" s="1040" t="s">
        <v>692</v>
      </c>
      <c r="B38" s="1040" t="s">
        <v>1551</v>
      </c>
      <c r="C38" s="995">
        <f t="shared" ref="C38:C52" si="4">SUM(L38:L38)/M38*100-SUM(L$37:L$37)/M$37*100</f>
        <v>0.1803829833960009</v>
      </c>
      <c r="D38" s="995">
        <f t="shared" ref="D38:D52" si="5">(SUM(S$37:S$37)/T$37-SUM(S38:S38)/T38)*100</f>
        <v>0.18878606505951523</v>
      </c>
      <c r="E38" s="996">
        <f t="shared" ref="E38:E52" si="6">AVERAGE(C38:D38)</f>
        <v>0.18458452422775806</v>
      </c>
      <c r="F38" s="1065"/>
      <c r="G38" s="249"/>
      <c r="H38" s="24">
        <v>2014</v>
      </c>
      <c r="I38" s="24">
        <v>0</v>
      </c>
      <c r="J38" s="24">
        <v>299</v>
      </c>
      <c r="K38" s="24">
        <v>2</v>
      </c>
      <c r="L38" s="24">
        <v>2189580.4122799998</v>
      </c>
      <c r="M38" s="248">
        <v>15144035.857999999</v>
      </c>
      <c r="N38" s="1152"/>
      <c r="O38" s="276">
        <v>2014</v>
      </c>
      <c r="P38" s="276">
        <v>19</v>
      </c>
      <c r="Q38" s="276">
        <v>782</v>
      </c>
      <c r="R38" s="276">
        <v>3</v>
      </c>
      <c r="S38" s="248">
        <v>3026489.3708199998</v>
      </c>
      <c r="T38" s="24">
        <v>15144071.523</v>
      </c>
      <c r="U38" s="1152"/>
    </row>
    <row r="39" spans="1:24" ht="12" customHeight="1" x14ac:dyDescent="0.3">
      <c r="A39" s="1040" t="s">
        <v>1558</v>
      </c>
      <c r="B39" s="1040" t="s">
        <v>1549</v>
      </c>
      <c r="C39" s="995">
        <f t="shared" si="4"/>
        <v>0.39123775703766839</v>
      </c>
      <c r="D39" s="995">
        <f t="shared" si="5"/>
        <v>0.49870523642982778</v>
      </c>
      <c r="E39" s="996">
        <f t="shared" si="6"/>
        <v>0.44497149673374808</v>
      </c>
      <c r="F39" s="1065"/>
      <c r="G39" s="249"/>
      <c r="H39" s="24">
        <v>2014</v>
      </c>
      <c r="I39" s="24">
        <v>19</v>
      </c>
      <c r="J39" s="24">
        <v>700</v>
      </c>
      <c r="K39" s="24">
        <v>2</v>
      </c>
      <c r="L39" s="248">
        <v>2221512.3045900003</v>
      </c>
      <c r="M39" s="24">
        <v>15144035.652000001</v>
      </c>
      <c r="N39" s="1152"/>
      <c r="O39" s="276">
        <v>2014</v>
      </c>
      <c r="P39" s="276">
        <v>0</v>
      </c>
      <c r="Q39" s="276">
        <v>780</v>
      </c>
      <c r="R39" s="276">
        <v>3</v>
      </c>
      <c r="S39" s="248">
        <v>2979534.9682499999</v>
      </c>
      <c r="T39" s="24">
        <v>15143969.76</v>
      </c>
      <c r="U39" s="1152"/>
    </row>
    <row r="40" spans="1:24" ht="12" customHeight="1" x14ac:dyDescent="0.3">
      <c r="A40" s="1040" t="s">
        <v>1535</v>
      </c>
      <c r="B40" s="1040" t="s">
        <v>1530</v>
      </c>
      <c r="C40" s="995">
        <f t="shared" si="4"/>
        <v>0.12444231404331774</v>
      </c>
      <c r="D40" s="995">
        <f t="shared" si="5"/>
        <v>0.3077006798586468</v>
      </c>
      <c r="E40" s="996">
        <f t="shared" si="6"/>
        <v>0.21607149695098227</v>
      </c>
      <c r="F40" s="1065"/>
      <c r="G40" s="249"/>
      <c r="H40" s="24">
        <v>2014</v>
      </c>
      <c r="I40" s="24">
        <v>19</v>
      </c>
      <c r="J40" s="24">
        <v>232</v>
      </c>
      <c r="K40" s="24">
        <v>3</v>
      </c>
      <c r="L40" s="248">
        <v>2181108.7371100001</v>
      </c>
      <c r="M40" s="24">
        <v>15144035.857000001</v>
      </c>
      <c r="N40" s="1152"/>
      <c r="O40" s="276">
        <v>2014</v>
      </c>
      <c r="P40" s="276">
        <v>0</v>
      </c>
      <c r="Q40" s="276">
        <v>782</v>
      </c>
      <c r="R40" s="276">
        <v>2</v>
      </c>
      <c r="S40" s="248">
        <v>3008473.70921</v>
      </c>
      <c r="T40" s="24">
        <v>15144035.545</v>
      </c>
      <c r="U40" s="1152"/>
    </row>
    <row r="41" spans="1:24" ht="12" customHeight="1" x14ac:dyDescent="0.3">
      <c r="A41" s="1040" t="s">
        <v>1544</v>
      </c>
      <c r="B41" s="1040" t="s">
        <v>1553</v>
      </c>
      <c r="C41" s="995">
        <f t="shared" si="4"/>
        <v>0.89937041688292219</v>
      </c>
      <c r="D41" s="995">
        <f t="shared" si="5"/>
        <v>0.97930478748093908</v>
      </c>
      <c r="E41" s="996">
        <f t="shared" si="6"/>
        <v>0.93933760218193063</v>
      </c>
      <c r="F41" s="1065"/>
      <c r="G41" s="249"/>
      <c r="H41" s="24">
        <v>2014</v>
      </c>
      <c r="I41" s="24">
        <v>19</v>
      </c>
      <c r="J41" s="24">
        <v>710</v>
      </c>
      <c r="K41" s="24">
        <v>2</v>
      </c>
      <c r="L41" s="248">
        <v>2298464.1268699998</v>
      </c>
      <c r="M41" s="24">
        <v>15144035.857000001</v>
      </c>
      <c r="N41" s="1152"/>
      <c r="O41" s="276">
        <v>2014</v>
      </c>
      <c r="P41" s="276">
        <v>0</v>
      </c>
      <c r="Q41" s="276">
        <v>784</v>
      </c>
      <c r="R41" s="276">
        <v>3</v>
      </c>
      <c r="S41" s="248">
        <v>2906765.74443</v>
      </c>
      <c r="T41" s="24">
        <v>15144035.545</v>
      </c>
      <c r="U41" s="1152"/>
    </row>
    <row r="42" spans="1:24" ht="12" customHeight="1" x14ac:dyDescent="0.3">
      <c r="A42" s="1040" t="s">
        <v>1545</v>
      </c>
      <c r="B42" s="1040" t="s">
        <v>1553</v>
      </c>
      <c r="C42" s="995">
        <f t="shared" si="4"/>
        <v>0.1376534201529882</v>
      </c>
      <c r="D42" s="995">
        <f t="shared" si="5"/>
        <v>0.14647458476024222</v>
      </c>
      <c r="E42" s="996">
        <f t="shared" si="6"/>
        <v>0.14206400245661521</v>
      </c>
      <c r="F42" s="1065"/>
      <c r="G42" s="249"/>
      <c r="H42" s="24">
        <v>2014</v>
      </c>
      <c r="I42" s="24">
        <v>19</v>
      </c>
      <c r="J42" s="24">
        <v>715</v>
      </c>
      <c r="K42" s="24">
        <v>2</v>
      </c>
      <c r="L42" s="248">
        <v>2183108.8433099999</v>
      </c>
      <c r="M42" s="24">
        <v>15144031.775</v>
      </c>
      <c r="N42" s="1152"/>
      <c r="O42" s="276">
        <v>2014</v>
      </c>
      <c r="P42" s="276">
        <v>0</v>
      </c>
      <c r="Q42" s="276">
        <v>786</v>
      </c>
      <c r="R42" s="276">
        <v>3</v>
      </c>
      <c r="S42" s="248">
        <v>3032890.6638599997</v>
      </c>
      <c r="T42" s="24">
        <v>15144039.627</v>
      </c>
      <c r="U42" s="1152"/>
    </row>
    <row r="43" spans="1:24" ht="12" customHeight="1" x14ac:dyDescent="0.3">
      <c r="A43" s="1040" t="s">
        <v>1546</v>
      </c>
      <c r="B43" s="1040" t="s">
        <v>1553</v>
      </c>
      <c r="C43" s="995">
        <f t="shared" si="4"/>
        <v>9.5007901071294754E-2</v>
      </c>
      <c r="D43" s="995">
        <f t="shared" si="5"/>
        <v>0.358835845690475</v>
      </c>
      <c r="E43" s="996">
        <f t="shared" si="6"/>
        <v>0.22692187338088488</v>
      </c>
      <c r="F43" s="1065"/>
      <c r="G43" s="249"/>
      <c r="H43" s="24">
        <v>2014</v>
      </c>
      <c r="I43" s="24">
        <v>19</v>
      </c>
      <c r="J43" s="24">
        <v>720</v>
      </c>
      <c r="K43" s="24">
        <v>2</v>
      </c>
      <c r="L43" s="248">
        <v>2176651.11797</v>
      </c>
      <c r="M43" s="24">
        <v>15144035.432</v>
      </c>
      <c r="N43" s="1152"/>
      <c r="O43" s="276">
        <v>2014</v>
      </c>
      <c r="P43" s="276">
        <v>0</v>
      </c>
      <c r="Q43" s="276">
        <v>788</v>
      </c>
      <c r="R43" s="276">
        <v>3</v>
      </c>
      <c r="S43" s="248">
        <v>3000794.7757799998</v>
      </c>
      <c r="T43" s="24">
        <v>15144363.557</v>
      </c>
      <c r="U43" s="1152"/>
    </row>
    <row r="44" spans="1:24" ht="12" customHeight="1" x14ac:dyDescent="0.3">
      <c r="A44" s="1040" t="s">
        <v>1563</v>
      </c>
      <c r="B44" s="1040" t="s">
        <v>1553</v>
      </c>
      <c r="C44" s="995">
        <f t="shared" si="4"/>
        <v>3.2533850117172136E-2</v>
      </c>
      <c r="D44" s="995">
        <f t="shared" si="5"/>
        <v>4.5775337229203572E-2</v>
      </c>
      <c r="E44" s="996">
        <f t="shared" si="6"/>
        <v>3.9154593673187854E-2</v>
      </c>
      <c r="F44" s="1065"/>
      <c r="G44" s="249"/>
      <c r="H44" s="24">
        <v>2014</v>
      </c>
      <c r="I44" s="24">
        <v>19</v>
      </c>
      <c r="J44" s="24">
        <v>725</v>
      </c>
      <c r="K44" s="24">
        <v>2</v>
      </c>
      <c r="L44" s="248">
        <v>2167190.1579300002</v>
      </c>
      <c r="M44" s="24">
        <v>15144036.357000001</v>
      </c>
      <c r="N44" s="1152"/>
      <c r="O44" s="276">
        <v>2014</v>
      </c>
      <c r="P44" s="276">
        <v>0</v>
      </c>
      <c r="Q44" s="276">
        <v>789</v>
      </c>
      <c r="R44" s="276">
        <v>3</v>
      </c>
      <c r="S44" s="248">
        <v>3048162.6365899998</v>
      </c>
      <c r="T44" s="24">
        <v>15144149.122</v>
      </c>
      <c r="U44" s="1152"/>
    </row>
    <row r="45" spans="1:24" s="24" customFormat="1" ht="12" customHeight="1" x14ac:dyDescent="0.3">
      <c r="A45" s="1040" t="s">
        <v>1620</v>
      </c>
      <c r="B45" s="1040" t="s">
        <v>1619</v>
      </c>
      <c r="C45" s="995">
        <f t="shared" si="4"/>
        <v>0.64994604272207646</v>
      </c>
      <c r="D45" s="995">
        <f t="shared" si="5"/>
        <v>0.65514640884556941</v>
      </c>
      <c r="E45" s="996">
        <f t="shared" si="6"/>
        <v>0.65254622578382293</v>
      </c>
      <c r="F45" s="1065"/>
      <c r="G45" s="249"/>
      <c r="H45" s="24">
        <v>2014</v>
      </c>
      <c r="I45" s="24">
        <v>19</v>
      </c>
      <c r="J45" s="24">
        <v>730</v>
      </c>
      <c r="K45" s="24">
        <v>2</v>
      </c>
      <c r="L45" s="248">
        <v>2260691.2497700001</v>
      </c>
      <c r="M45" s="24">
        <v>15144036.122</v>
      </c>
      <c r="N45" s="1152"/>
      <c r="O45" s="276">
        <v>2014</v>
      </c>
      <c r="P45" s="276">
        <v>0</v>
      </c>
      <c r="Q45" s="276">
        <v>790</v>
      </c>
      <c r="R45" s="276">
        <v>3</v>
      </c>
      <c r="S45" s="248">
        <v>2955895.1873499998</v>
      </c>
      <c r="T45" s="24">
        <v>15144234.244999999</v>
      </c>
      <c r="U45" s="1152"/>
    </row>
    <row r="46" spans="1:24" ht="12" customHeight="1" x14ac:dyDescent="0.3">
      <c r="A46" s="1187" t="s">
        <v>1911</v>
      </c>
      <c r="B46" s="1040" t="s">
        <v>1631</v>
      </c>
      <c r="C46" s="995">
        <f t="shared" si="4"/>
        <v>1.495001386274275E-2</v>
      </c>
      <c r="D46" s="995">
        <f t="shared" si="5"/>
        <v>2.0734904185013003E-2</v>
      </c>
      <c r="E46" s="996">
        <f t="shared" si="6"/>
        <v>1.7842459023877877E-2</v>
      </c>
      <c r="F46" s="1065"/>
      <c r="G46" s="249"/>
      <c r="H46" s="24">
        <v>2014</v>
      </c>
      <c r="I46" s="24">
        <v>19</v>
      </c>
      <c r="J46" s="24">
        <v>740</v>
      </c>
      <c r="K46" s="24">
        <v>2</v>
      </c>
      <c r="L46" s="248">
        <v>2164527.1839100001</v>
      </c>
      <c r="M46" s="24">
        <v>15144035.857000001</v>
      </c>
      <c r="N46" s="1152"/>
      <c r="O46" s="276">
        <v>2014</v>
      </c>
      <c r="P46" s="276">
        <v>0</v>
      </c>
      <c r="Q46" s="276">
        <v>792</v>
      </c>
      <c r="R46" s="276">
        <v>3</v>
      </c>
      <c r="S46" s="248">
        <v>3051931.9082800001</v>
      </c>
      <c r="T46" s="24">
        <v>15144035.545</v>
      </c>
      <c r="U46" s="1152"/>
    </row>
    <row r="47" spans="1:24" ht="12" customHeight="1" x14ac:dyDescent="0.3">
      <c r="A47" s="1040" t="s">
        <v>1554</v>
      </c>
      <c r="B47" s="1040" t="s">
        <v>1555</v>
      </c>
      <c r="C47" s="995">
        <f t="shared" si="4"/>
        <v>0.25838704955621061</v>
      </c>
      <c r="D47" s="995">
        <f t="shared" si="5"/>
        <v>0.26704544897075688</v>
      </c>
      <c r="E47" s="996">
        <f t="shared" si="6"/>
        <v>0.26271624926348375</v>
      </c>
      <c r="F47" s="1065"/>
      <c r="G47" s="249"/>
      <c r="H47" s="24">
        <v>2014</v>
      </c>
      <c r="I47" s="24">
        <v>19</v>
      </c>
      <c r="J47" s="24">
        <v>750</v>
      </c>
      <c r="K47" s="24">
        <v>2</v>
      </c>
      <c r="L47" s="248">
        <v>2201393.3760299999</v>
      </c>
      <c r="M47" s="24">
        <v>15144035.857999999</v>
      </c>
      <c r="N47" s="1152"/>
      <c r="O47" s="276">
        <v>2014</v>
      </c>
      <c r="P47" s="276">
        <v>0</v>
      </c>
      <c r="Q47" s="276">
        <v>794</v>
      </c>
      <c r="R47" s="276">
        <v>3</v>
      </c>
      <c r="S47" s="248">
        <v>3014930.4712300003</v>
      </c>
      <c r="T47" s="24">
        <v>15145542.194</v>
      </c>
      <c r="U47" s="1152"/>
    </row>
    <row r="48" spans="1:24" ht="12" customHeight="1" x14ac:dyDescent="0.3">
      <c r="A48" s="1040" t="s">
        <v>1583</v>
      </c>
      <c r="B48" s="1040" t="s">
        <v>1547</v>
      </c>
      <c r="C48" s="995">
        <f t="shared" si="4"/>
        <v>5.5144594867956087E-2</v>
      </c>
      <c r="D48" s="995">
        <f t="shared" si="5"/>
        <v>5.6323939247596155E-2</v>
      </c>
      <c r="E48" s="996">
        <f t="shared" si="6"/>
        <v>5.5734267057776121E-2</v>
      </c>
      <c r="F48" s="1065"/>
      <c r="G48" s="249"/>
      <c r="H48" s="24">
        <v>2014</v>
      </c>
      <c r="I48" s="24">
        <v>19</v>
      </c>
      <c r="J48" s="24">
        <v>760</v>
      </c>
      <c r="K48" s="24">
        <v>2</v>
      </c>
      <c r="L48" s="248">
        <v>2170614.2656700001</v>
      </c>
      <c r="M48" s="24">
        <v>15144035.857000001</v>
      </c>
      <c r="N48" s="1152"/>
      <c r="O48" s="276">
        <v>2014</v>
      </c>
      <c r="P48" s="276">
        <v>0</v>
      </c>
      <c r="Q48" s="276">
        <v>796</v>
      </c>
      <c r="R48" s="276">
        <v>3</v>
      </c>
      <c r="S48" s="248">
        <v>3046542.2921599997</v>
      </c>
      <c r="T48" s="24">
        <v>15144035.545</v>
      </c>
      <c r="U48" s="1152"/>
    </row>
    <row r="49" spans="1:24" ht="12" customHeight="1" x14ac:dyDescent="0.3">
      <c r="A49" s="1040" t="s">
        <v>1552</v>
      </c>
      <c r="B49" s="1040" t="s">
        <v>1556</v>
      </c>
      <c r="C49" s="995">
        <f t="shared" si="4"/>
        <v>0.62529002746800622</v>
      </c>
      <c r="D49" s="995">
        <f t="shared" si="5"/>
        <v>0.67701629321552381</v>
      </c>
      <c r="E49" s="996">
        <f t="shared" si="6"/>
        <v>0.65115316034176507</v>
      </c>
      <c r="F49" s="1065"/>
      <c r="G49" s="249"/>
      <c r="H49" s="24">
        <v>2014</v>
      </c>
      <c r="I49" s="24">
        <v>19</v>
      </c>
      <c r="J49" s="24">
        <v>765</v>
      </c>
      <c r="K49" s="24">
        <v>2</v>
      </c>
      <c r="L49" s="248">
        <v>2256957.2944199997</v>
      </c>
      <c r="M49" s="24">
        <v>15144035.857000001</v>
      </c>
      <c r="N49" s="1152"/>
      <c r="O49" s="276">
        <v>2014</v>
      </c>
      <c r="P49" s="276">
        <v>0</v>
      </c>
      <c r="Q49" s="276">
        <v>797</v>
      </c>
      <c r="R49" s="276">
        <v>3</v>
      </c>
      <c r="S49" s="248">
        <v>2952544.4214499998</v>
      </c>
      <c r="T49" s="24">
        <v>15144035.545</v>
      </c>
      <c r="U49" s="1152"/>
    </row>
    <row r="50" spans="1:24" ht="12" customHeight="1" x14ac:dyDescent="0.3">
      <c r="A50" s="1040" t="s">
        <v>1542</v>
      </c>
      <c r="B50" s="1040" t="s">
        <v>1543</v>
      </c>
      <c r="C50" s="995">
        <f t="shared" si="4"/>
        <v>2.1078926501741684</v>
      </c>
      <c r="D50" s="995">
        <f t="shared" si="5"/>
        <v>2.2813293389614686</v>
      </c>
      <c r="E50" s="996">
        <f t="shared" si="6"/>
        <v>2.1946109945678183</v>
      </c>
      <c r="F50" s="1065"/>
      <c r="G50" s="249"/>
      <c r="H50" s="24">
        <v>2014</v>
      </c>
      <c r="I50" s="24">
        <v>19</v>
      </c>
      <c r="J50" s="24">
        <v>770</v>
      </c>
      <c r="K50" s="24">
        <v>2</v>
      </c>
      <c r="L50" s="248">
        <v>2481483.1944200001</v>
      </c>
      <c r="M50" s="24">
        <v>15144036.023</v>
      </c>
      <c r="N50" s="1152"/>
      <c r="O50" s="276">
        <v>2014</v>
      </c>
      <c r="P50" s="276">
        <v>0</v>
      </c>
      <c r="Q50" s="276">
        <v>798</v>
      </c>
      <c r="R50" s="276">
        <v>3</v>
      </c>
      <c r="S50" s="248">
        <v>2709611.7135299998</v>
      </c>
      <c r="T50" s="24">
        <v>15144175.438999999</v>
      </c>
      <c r="U50" s="1152"/>
    </row>
    <row r="51" spans="1:24" ht="12" customHeight="1" x14ac:dyDescent="0.3">
      <c r="A51" s="1040" t="s">
        <v>1564</v>
      </c>
      <c r="B51" s="1040" t="s">
        <v>1621</v>
      </c>
      <c r="C51" s="995">
        <f t="shared" si="4"/>
        <v>-9.6801853882752198E-2</v>
      </c>
      <c r="D51" s="995">
        <f t="shared" si="5"/>
        <v>-0.10300649765936365</v>
      </c>
      <c r="E51" s="996">
        <f t="shared" si="6"/>
        <v>-9.9904175771057924E-2</v>
      </c>
      <c r="F51" s="1065"/>
      <c r="G51" s="249"/>
      <c r="H51" s="24">
        <v>2014</v>
      </c>
      <c r="I51" s="24">
        <v>19</v>
      </c>
      <c r="J51" s="24">
        <v>762</v>
      </c>
      <c r="K51" s="24">
        <v>2</v>
      </c>
      <c r="L51" s="248">
        <v>2147603.3096699999</v>
      </c>
      <c r="M51" s="24">
        <v>15144034.931</v>
      </c>
      <c r="N51" s="1152"/>
      <c r="O51" s="24">
        <v>2014</v>
      </c>
      <c r="P51" s="24">
        <v>0</v>
      </c>
      <c r="Q51" s="24">
        <v>799</v>
      </c>
      <c r="R51" s="24">
        <v>3</v>
      </c>
      <c r="S51" s="248">
        <v>3070945.7279099999</v>
      </c>
      <c r="T51" s="24">
        <v>15145388.73</v>
      </c>
      <c r="U51" s="1152"/>
    </row>
    <row r="52" spans="1:24" ht="12" customHeight="1" x14ac:dyDescent="0.3">
      <c r="A52" s="1040" t="s">
        <v>1642</v>
      </c>
      <c r="B52" s="1040" t="s">
        <v>1643</v>
      </c>
      <c r="C52" s="995">
        <f t="shared" si="4"/>
        <v>-1.8724775659382686E-2</v>
      </c>
      <c r="D52" s="995">
        <f t="shared" si="5"/>
        <v>-9.1338479620559077E-2</v>
      </c>
      <c r="E52" s="996">
        <f t="shared" si="6"/>
        <v>-5.5031627639970881E-2</v>
      </c>
      <c r="F52" s="1065"/>
      <c r="G52" s="249"/>
      <c r="H52" s="24">
        <v>2014</v>
      </c>
      <c r="I52" s="24">
        <v>19</v>
      </c>
      <c r="J52" s="24">
        <v>763</v>
      </c>
      <c r="K52" s="24">
        <v>2</v>
      </c>
      <c r="L52" s="248">
        <v>2159427.4617099999</v>
      </c>
      <c r="M52" s="24">
        <v>15144035.857000001</v>
      </c>
      <c r="N52" s="1152"/>
      <c r="O52" s="24">
        <v>2014</v>
      </c>
      <c r="P52" s="24">
        <v>0</v>
      </c>
      <c r="Q52" s="24">
        <v>795</v>
      </c>
      <c r="R52" s="24">
        <v>3</v>
      </c>
      <c r="S52" s="248">
        <v>3068904.34136</v>
      </c>
      <c r="T52" s="24">
        <v>15144035.545</v>
      </c>
      <c r="U52" s="1152"/>
    </row>
    <row r="53" spans="1:24" ht="27" customHeight="1" x14ac:dyDescent="0.3">
      <c r="A53" s="1233" t="s">
        <v>1153</v>
      </c>
      <c r="B53" s="1233"/>
      <c r="C53" s="1050">
        <f>SUM(C38:C52)</f>
        <v>5.4567123918103899</v>
      </c>
      <c r="D53" s="1050">
        <f>SUM(D38:D52)</f>
        <v>6.2888338926548553</v>
      </c>
      <c r="E53" s="1050">
        <f>SUM(E38:E52)</f>
        <v>5.8727731422326226</v>
      </c>
      <c r="F53" s="1055"/>
      <c r="G53" s="516"/>
      <c r="H53" s="24"/>
      <c r="I53" s="24"/>
      <c r="J53" s="24"/>
      <c r="K53" s="24"/>
      <c r="L53" s="24"/>
      <c r="M53" s="34"/>
      <c r="N53" s="24"/>
      <c r="O53" s="24"/>
      <c r="P53" s="24"/>
      <c r="Q53" s="24" t="s">
        <v>31</v>
      </c>
      <c r="R53" s="24"/>
      <c r="S53" s="1287"/>
      <c r="T53" s="1146"/>
    </row>
    <row r="54" spans="1:24" ht="15" customHeight="1" x14ac:dyDescent="0.3">
      <c r="A54" s="990"/>
      <c r="B54" s="1041"/>
      <c r="C54" s="995"/>
      <c r="D54" s="995"/>
      <c r="E54" s="1234"/>
      <c r="F54" s="1235"/>
      <c r="G54" s="24"/>
      <c r="H54" s="495" t="s">
        <v>1790</v>
      </c>
      <c r="I54" s="24"/>
      <c r="J54" s="24"/>
      <c r="K54" s="24"/>
      <c r="L54" s="285"/>
      <c r="M54" s="24"/>
      <c r="N54" s="24"/>
      <c r="O54" s="495" t="s">
        <v>1789</v>
      </c>
      <c r="P54" s="24"/>
      <c r="Q54" s="24"/>
      <c r="R54" s="24"/>
    </row>
    <row r="55" spans="1:24" ht="15" customHeight="1" x14ac:dyDescent="0.3">
      <c r="A55" s="990" t="s">
        <v>566</v>
      </c>
      <c r="B55" s="1044"/>
      <c r="C55" s="995"/>
      <c r="D55" s="995"/>
      <c r="E55" s="996"/>
      <c r="F55" s="1236"/>
      <c r="G55" s="24"/>
      <c r="H55" s="276">
        <v>2014</v>
      </c>
      <c r="I55" s="276">
        <v>19</v>
      </c>
      <c r="J55" s="276">
        <v>408</v>
      </c>
      <c r="K55" s="276">
        <v>2</v>
      </c>
      <c r="L55" s="276">
        <v>1308162.5832400001</v>
      </c>
      <c r="M55" s="276">
        <v>15144032.994999999</v>
      </c>
      <c r="N55" s="1152"/>
      <c r="O55" s="276">
        <v>2014</v>
      </c>
      <c r="P55" s="276">
        <v>0</v>
      </c>
      <c r="Q55" s="276">
        <v>680</v>
      </c>
      <c r="R55" s="276">
        <v>3</v>
      </c>
      <c r="S55" s="248">
        <v>2369002.6086599999</v>
      </c>
      <c r="T55" s="24">
        <v>15144033.039999999</v>
      </c>
      <c r="U55" s="1152"/>
    </row>
    <row r="56" spans="1:24" ht="12" customHeight="1" x14ac:dyDescent="0.3">
      <c r="A56" s="1040" t="s">
        <v>1559</v>
      </c>
      <c r="B56" s="1040" t="s">
        <v>1560</v>
      </c>
      <c r="C56" s="995">
        <f t="shared" ref="C56:C61" si="7">SUM(L56:L56)/M56*100-SUM(L$55:L$55)/M$55*100</f>
        <v>4.8240067836697875E-2</v>
      </c>
      <c r="D56" s="995">
        <f t="shared" ref="D56:D61" si="8">(SUM(S$55:S$55)/T$55-SUM(S56:S56)/T56)*100</f>
        <v>3.210929867331902E-2</v>
      </c>
      <c r="E56" s="996">
        <f t="shared" ref="E56:E61" si="9">AVERAGE(C56:D56)</f>
        <v>4.0174683255008448E-2</v>
      </c>
      <c r="F56" s="1065"/>
      <c r="G56" s="24"/>
      <c r="H56" s="276">
        <v>2014</v>
      </c>
      <c r="I56" s="276">
        <v>19</v>
      </c>
      <c r="J56" s="276">
        <v>652</v>
      </c>
      <c r="K56" s="276">
        <v>2</v>
      </c>
      <c r="L56" s="24">
        <v>1315468.0750299999</v>
      </c>
      <c r="M56" s="24">
        <v>15144032.994999999</v>
      </c>
      <c r="N56" s="1152"/>
      <c r="O56" s="276">
        <v>2014</v>
      </c>
      <c r="P56" s="276">
        <v>0</v>
      </c>
      <c r="Q56" s="276">
        <v>681</v>
      </c>
      <c r="R56" s="276">
        <v>3</v>
      </c>
      <c r="S56" s="248">
        <v>2364139.9658600003</v>
      </c>
      <c r="T56" s="24">
        <v>15144033.039999999</v>
      </c>
      <c r="U56" s="1152"/>
    </row>
    <row r="57" spans="1:24" ht="12" customHeight="1" x14ac:dyDescent="0.3">
      <c r="A57" s="1040" t="s">
        <v>1539</v>
      </c>
      <c r="B57" s="1040" t="s">
        <v>1540</v>
      </c>
      <c r="C57" s="995">
        <f t="shared" si="7"/>
        <v>-2.5896676210987124E-2</v>
      </c>
      <c r="D57" s="995">
        <f t="shared" si="8"/>
        <v>-6.2123567580382733E-2</v>
      </c>
      <c r="E57" s="996">
        <f t="shared" si="9"/>
        <v>-4.4010121895684928E-2</v>
      </c>
      <c r="F57" s="1065"/>
      <c r="G57" s="24"/>
      <c r="H57" s="276">
        <v>2014</v>
      </c>
      <c r="I57" s="276">
        <v>19</v>
      </c>
      <c r="J57" s="276">
        <v>650</v>
      </c>
      <c r="K57" s="276">
        <v>2</v>
      </c>
      <c r="L57" s="276">
        <v>1304240.78205</v>
      </c>
      <c r="M57" s="276">
        <v>15144032.994999999</v>
      </c>
      <c r="N57" s="1152"/>
      <c r="O57" s="276">
        <v>2014</v>
      </c>
      <c r="P57" s="276">
        <v>0</v>
      </c>
      <c r="Q57" s="276">
        <v>682</v>
      </c>
      <c r="R57" s="276">
        <v>3</v>
      </c>
      <c r="S57" s="248">
        <v>2378410.6222599996</v>
      </c>
      <c r="T57" s="24">
        <v>15144033.039999999</v>
      </c>
      <c r="U57" s="1152"/>
    </row>
    <row r="58" spans="1:24" ht="12" customHeight="1" x14ac:dyDescent="0.3">
      <c r="A58" s="1040" t="s">
        <v>1562</v>
      </c>
      <c r="B58" s="1040" t="s">
        <v>1561</v>
      </c>
      <c r="C58" s="995">
        <f t="shared" si="7"/>
        <v>0.47989397067475181</v>
      </c>
      <c r="D58" s="995">
        <f t="shared" si="8"/>
        <v>0.61006544522171358</v>
      </c>
      <c r="E58" s="996">
        <f t="shared" si="9"/>
        <v>0.54497970794823269</v>
      </c>
      <c r="F58" s="1065"/>
      <c r="G58" s="24"/>
      <c r="H58" s="276">
        <v>2014</v>
      </c>
      <c r="I58" s="276">
        <v>19</v>
      </c>
      <c r="J58" s="276">
        <v>660</v>
      </c>
      <c r="K58" s="276">
        <v>2</v>
      </c>
      <c r="L58" s="276">
        <v>1380837.8845000002</v>
      </c>
      <c r="M58" s="276">
        <v>15144032.994999999</v>
      </c>
      <c r="N58" s="1152"/>
      <c r="O58" s="276">
        <v>2014</v>
      </c>
      <c r="P58" s="276">
        <v>0</v>
      </c>
      <c r="Q58" s="276">
        <v>685</v>
      </c>
      <c r="R58" s="276">
        <v>3</v>
      </c>
      <c r="S58" s="248">
        <v>2276614.0960700004</v>
      </c>
      <c r="T58" s="24">
        <v>15144033.039999999</v>
      </c>
      <c r="U58" s="1152"/>
    </row>
    <row r="59" spans="1:24" ht="12" customHeight="1" x14ac:dyDescent="0.3">
      <c r="A59" s="1040" t="s">
        <v>1582</v>
      </c>
      <c r="B59" s="1040" t="s">
        <v>1541</v>
      </c>
      <c r="C59" s="995">
        <f t="shared" si="7"/>
        <v>1.3692082922591382</v>
      </c>
      <c r="D59" s="995">
        <f t="shared" si="8"/>
        <v>1.1905594436685152</v>
      </c>
      <c r="E59" s="996">
        <f t="shared" si="9"/>
        <v>1.2798838679638267</v>
      </c>
      <c r="F59" s="1065"/>
      <c r="G59" s="24"/>
      <c r="H59" s="276">
        <v>2014</v>
      </c>
      <c r="I59" s="276">
        <v>19</v>
      </c>
      <c r="J59" s="276">
        <v>670</v>
      </c>
      <c r="K59" s="276">
        <v>2</v>
      </c>
      <c r="L59" s="276">
        <v>1515515.93879</v>
      </c>
      <c r="M59" s="276">
        <v>15144032.994999999</v>
      </c>
      <c r="N59" s="1152"/>
      <c r="O59" s="276">
        <v>2014</v>
      </c>
      <c r="P59" s="276">
        <v>0</v>
      </c>
      <c r="Q59" s="276">
        <v>690</v>
      </c>
      <c r="R59" s="276">
        <v>3</v>
      </c>
      <c r="S59" s="248">
        <v>2188703.8931499999</v>
      </c>
      <c r="T59" s="24">
        <v>15144033.039999999</v>
      </c>
      <c r="U59" s="1152"/>
    </row>
    <row r="60" spans="1:24" ht="12" customHeight="1" x14ac:dyDescent="0.3">
      <c r="A60" s="1040" t="s">
        <v>1696</v>
      </c>
      <c r="B60" s="1040" t="s">
        <v>1697</v>
      </c>
      <c r="C60" s="995">
        <f t="shared" si="7"/>
        <v>-0.26964047080175746</v>
      </c>
      <c r="D60" s="995">
        <f t="shared" si="8"/>
        <v>-0.38762266197214235</v>
      </c>
      <c r="E60" s="996">
        <f t="shared" si="9"/>
        <v>-0.3286315663869499</v>
      </c>
      <c r="F60" s="1065"/>
      <c r="G60" s="24"/>
      <c r="H60" s="276">
        <v>2014</v>
      </c>
      <c r="I60" s="276">
        <v>19</v>
      </c>
      <c r="J60" s="276">
        <v>663</v>
      </c>
      <c r="K60" s="276">
        <v>2</v>
      </c>
      <c r="L60" s="276">
        <v>1267344.7695799998</v>
      </c>
      <c r="M60" s="276">
        <v>15144231.695</v>
      </c>
      <c r="N60" s="1152"/>
      <c r="O60" s="276">
        <v>2014</v>
      </c>
      <c r="P60" s="276">
        <v>0</v>
      </c>
      <c r="Q60" s="276">
        <v>687</v>
      </c>
      <c r="R60" s="276">
        <v>3</v>
      </c>
      <c r="S60" s="248">
        <v>2427672.4595299996</v>
      </c>
      <c r="T60" s="24">
        <v>15143834.34</v>
      </c>
      <c r="U60" s="1152"/>
    </row>
    <row r="61" spans="1:24" ht="12" customHeight="1" x14ac:dyDescent="0.3">
      <c r="A61" s="1040" t="s">
        <v>1694</v>
      </c>
      <c r="B61" s="1040" t="s">
        <v>1556</v>
      </c>
      <c r="C61" s="995">
        <f t="shared" si="7"/>
        <v>-0.20924176958487806</v>
      </c>
      <c r="D61" s="995">
        <f t="shared" si="8"/>
        <v>-0.31897730142024794</v>
      </c>
      <c r="E61" s="996">
        <f t="shared" si="9"/>
        <v>-0.264109535502563</v>
      </c>
      <c r="F61" s="1065"/>
      <c r="G61" s="24"/>
      <c r="H61" s="276">
        <v>2014</v>
      </c>
      <c r="I61" s="276">
        <v>19</v>
      </c>
      <c r="J61" s="276">
        <v>667</v>
      </c>
      <c r="K61" s="276">
        <v>2</v>
      </c>
      <c r="L61" s="276">
        <v>1276474.5588699998</v>
      </c>
      <c r="M61" s="276">
        <v>15144028.466</v>
      </c>
      <c r="N61" s="1152"/>
      <c r="O61" s="276">
        <v>2014</v>
      </c>
      <c r="P61" s="276">
        <v>0</v>
      </c>
      <c r="Q61" s="276">
        <v>688</v>
      </c>
      <c r="R61" s="276">
        <v>3</v>
      </c>
      <c r="S61" s="248">
        <v>2417309.1789700002</v>
      </c>
      <c r="T61" s="24">
        <v>15144036.437999999</v>
      </c>
      <c r="U61" s="1152"/>
    </row>
    <row r="62" spans="1:24" ht="15" customHeight="1" x14ac:dyDescent="0.3">
      <c r="A62" s="1046" t="s">
        <v>1153</v>
      </c>
      <c r="B62" s="1046"/>
      <c r="C62" s="1047">
        <f>SUM(C55:C61)</f>
        <v>1.3925634141729653</v>
      </c>
      <c r="D62" s="1047">
        <f>SUM(D55:D61)</f>
        <v>1.0640106565907748</v>
      </c>
      <c r="E62" s="1047">
        <f>SUM(E55:E61)</f>
        <v>1.2282870353818698</v>
      </c>
      <c r="F62" s="1043"/>
      <c r="G62" s="24"/>
      <c r="H62" s="24"/>
      <c r="I62" s="24"/>
      <c r="J62" s="24"/>
      <c r="K62" s="24"/>
      <c r="L62" s="24"/>
      <c r="M62" s="24"/>
      <c r="N62" s="34"/>
      <c r="O62" s="24"/>
      <c r="P62" s="24"/>
      <c r="Q62" s="24"/>
      <c r="R62" s="24"/>
      <c r="S62" s="24"/>
      <c r="T62" s="24"/>
    </row>
    <row r="63" spans="1:24" ht="29.25" customHeight="1" x14ac:dyDescent="0.3">
      <c r="A63" s="1044"/>
      <c r="B63" s="1044"/>
      <c r="C63" s="24"/>
      <c r="D63" s="24"/>
      <c r="E63" s="1234"/>
      <c r="F63" s="61"/>
      <c r="G63" s="24"/>
      <c r="H63" s="276"/>
      <c r="I63" s="276"/>
      <c r="J63" s="276"/>
      <c r="K63" s="276"/>
      <c r="L63" s="248"/>
      <c r="M63" s="248"/>
      <c r="N63" s="34"/>
      <c r="O63" s="24"/>
      <c r="P63" s="24"/>
      <c r="Q63" s="24"/>
      <c r="R63" s="24"/>
      <c r="S63" s="1146">
        <v>1979</v>
      </c>
      <c r="T63" s="1146" t="s">
        <v>2130</v>
      </c>
      <c r="U63" s="1146" t="s">
        <v>2133</v>
      </c>
      <c r="V63" s="1146" t="s">
        <v>2134</v>
      </c>
      <c r="W63" s="1146" t="s">
        <v>1786</v>
      </c>
      <c r="X63" s="1146" t="s">
        <v>1787</v>
      </c>
    </row>
    <row r="64" spans="1:24" x14ac:dyDescent="0.3">
      <c r="A64" s="24"/>
      <c r="B64" s="24"/>
      <c r="C64" s="24"/>
      <c r="D64" s="24"/>
      <c r="E64" s="24"/>
      <c r="F64" s="61"/>
      <c r="G64" s="24"/>
      <c r="H64" s="276"/>
      <c r="I64" s="276"/>
      <c r="J64" s="276"/>
      <c r="K64" s="276"/>
      <c r="L64" s="276"/>
      <c r="M64" s="276"/>
      <c r="N64" s="24"/>
      <c r="O64" s="276"/>
      <c r="P64" s="276"/>
      <c r="Q64" s="276"/>
      <c r="R64" s="276"/>
      <c r="S64" s="24" t="s">
        <v>2131</v>
      </c>
      <c r="T64" s="285">
        <v>1.6634578894942367E-2</v>
      </c>
      <c r="U64" s="1238">
        <v>9.4899986792237198E-2</v>
      </c>
      <c r="V64" s="285">
        <v>0.11153456568717957</v>
      </c>
      <c r="W64" s="285">
        <v>0.11117816514084496</v>
      </c>
      <c r="X64" s="284">
        <f>W64-V64</f>
        <v>-3.5640054633460927E-4</v>
      </c>
    </row>
    <row r="65" spans="1:24" ht="16.2" thickBot="1" x14ac:dyDescent="0.35">
      <c r="A65" s="1237">
        <v>1979</v>
      </c>
      <c r="B65" s="24"/>
      <c r="C65" s="24"/>
      <c r="D65" s="24"/>
      <c r="E65" s="24"/>
      <c r="F65" s="61"/>
      <c r="G65" s="24"/>
      <c r="H65" s="24"/>
      <c r="I65" s="24"/>
      <c r="J65" s="24"/>
      <c r="K65" s="24"/>
      <c r="L65" s="24"/>
      <c r="M65" s="24"/>
      <c r="N65" s="24"/>
      <c r="O65" s="276"/>
      <c r="P65" s="276"/>
      <c r="Q65" s="276"/>
      <c r="R65" s="276"/>
      <c r="S65" s="1281" t="s">
        <v>2132</v>
      </c>
      <c r="T65" s="285">
        <v>2.6201577298060746E-3</v>
      </c>
      <c r="U65" s="285">
        <v>7.2139807023017671E-2</v>
      </c>
      <c r="V65" s="285">
        <v>9.1394543647766113E-2</v>
      </c>
      <c r="W65" s="285">
        <v>9.0899509570373169E-2</v>
      </c>
      <c r="X65" s="284">
        <f>W65-V65</f>
        <v>-4.9503407739294458E-4</v>
      </c>
    </row>
    <row r="66" spans="1:24" ht="31.5" customHeight="1" thickTop="1" x14ac:dyDescent="0.3">
      <c r="A66" s="1229" t="s">
        <v>1534</v>
      </c>
      <c r="B66" s="1229" t="s">
        <v>1531</v>
      </c>
      <c r="C66" s="1230" t="s">
        <v>1532</v>
      </c>
      <c r="D66" s="1230" t="s">
        <v>1533</v>
      </c>
      <c r="E66" s="1230" t="s">
        <v>1801</v>
      </c>
      <c r="F66" s="1231"/>
      <c r="G66" s="24"/>
      <c r="H66" s="24"/>
      <c r="I66" s="24"/>
      <c r="J66" s="24"/>
      <c r="K66" s="24"/>
      <c r="L66" s="24"/>
      <c r="M66" s="24"/>
      <c r="N66" s="24"/>
      <c r="O66" s="24"/>
      <c r="P66" s="24"/>
      <c r="Q66" s="24"/>
      <c r="R66" s="24"/>
      <c r="S66" s="1146"/>
      <c r="T66" s="1146"/>
    </row>
    <row r="67" spans="1:24" ht="10.5" customHeight="1" x14ac:dyDescent="0.3">
      <c r="A67" s="990"/>
      <c r="B67" s="1232"/>
      <c r="C67" s="24"/>
      <c r="D67" s="24"/>
      <c r="E67" s="24"/>
      <c r="F67" s="61"/>
      <c r="G67" s="24"/>
      <c r="H67" s="495" t="s">
        <v>1788</v>
      </c>
      <c r="I67" s="24"/>
      <c r="J67" s="24"/>
      <c r="K67" s="24"/>
      <c r="L67" s="285"/>
      <c r="M67" s="248">
        <v>2248153</v>
      </c>
      <c r="N67" s="24"/>
      <c r="O67" s="495" t="s">
        <v>1789</v>
      </c>
      <c r="P67" s="24"/>
      <c r="Q67" s="24"/>
      <c r="R67" s="24"/>
      <c r="S67" s="1318" t="s">
        <v>26</v>
      </c>
      <c r="T67" s="1318" t="s">
        <v>1802</v>
      </c>
    </row>
    <row r="68" spans="1:24" ht="15" customHeight="1" x14ac:dyDescent="0.3">
      <c r="A68" s="990" t="s">
        <v>1116</v>
      </c>
      <c r="B68" s="1041"/>
      <c r="C68" s="736"/>
      <c r="D68" s="736"/>
      <c r="E68" s="24"/>
      <c r="F68" s="61"/>
      <c r="G68" s="24"/>
      <c r="H68" s="24">
        <v>1979</v>
      </c>
      <c r="I68" s="24">
        <v>19</v>
      </c>
      <c r="J68" s="24">
        <v>232</v>
      </c>
      <c r="K68" s="24">
        <v>2</v>
      </c>
      <c r="L68" s="248">
        <v>213349.67902699998</v>
      </c>
      <c r="M68" s="248">
        <v>2248152.8843</v>
      </c>
      <c r="N68" s="1152"/>
      <c r="O68" s="276">
        <v>1979</v>
      </c>
      <c r="P68" s="276">
        <v>0</v>
      </c>
      <c r="Q68" s="276">
        <v>782</v>
      </c>
      <c r="R68" s="276">
        <v>3</v>
      </c>
      <c r="S68" s="248">
        <v>249945.80313000001</v>
      </c>
      <c r="T68" s="248">
        <v>2248155.4972000001</v>
      </c>
      <c r="U68" s="1152"/>
    </row>
    <row r="69" spans="1:24" ht="12" customHeight="1" x14ac:dyDescent="0.3">
      <c r="A69" s="1040" t="s">
        <v>692</v>
      </c>
      <c r="B69" s="1040" t="s">
        <v>1551</v>
      </c>
      <c r="C69" s="995">
        <f t="shared" ref="C69:C83" si="10">SUM(L69:L69)/M69*100-SUM(L$68:L$68)/M$68*100</f>
        <v>0.19306023575929032</v>
      </c>
      <c r="D69" s="995">
        <f t="shared" ref="D69:D83" si="11">(SUM(S$68:S$68)/T$68-SUM(S69:S69)/T69)*100</f>
        <v>0.26591856590793828</v>
      </c>
      <c r="E69" s="996">
        <f t="shared" ref="E69:E83" si="12">AVERAGE(C69:D69)</f>
        <v>0.2294894008336143</v>
      </c>
      <c r="F69" s="1065"/>
      <c r="G69" s="249"/>
      <c r="H69" s="24">
        <v>1979</v>
      </c>
      <c r="I69" s="24">
        <v>0</v>
      </c>
      <c r="J69" s="24">
        <v>299</v>
      </c>
      <c r="K69" s="24">
        <v>2</v>
      </c>
      <c r="L69" s="248">
        <v>217689.9486</v>
      </c>
      <c r="M69" s="248">
        <v>2248152.6809999999</v>
      </c>
      <c r="N69" s="1152"/>
      <c r="O69" s="276">
        <v>1979</v>
      </c>
      <c r="P69" s="276">
        <v>19</v>
      </c>
      <c r="Q69" s="276">
        <v>782</v>
      </c>
      <c r="R69" s="276">
        <v>3</v>
      </c>
      <c r="S69" s="248">
        <v>244495.44683299999</v>
      </c>
      <c r="T69" s="248">
        <v>2253020.1444999999</v>
      </c>
      <c r="U69" s="1152"/>
    </row>
    <row r="70" spans="1:24" ht="12" customHeight="1" x14ac:dyDescent="0.3">
      <c r="A70" s="1040" t="s">
        <v>1558</v>
      </c>
      <c r="B70" s="1040" t="s">
        <v>1549</v>
      </c>
      <c r="C70" s="995">
        <f t="shared" si="10"/>
        <v>-0.14483182431385089</v>
      </c>
      <c r="D70" s="995">
        <f t="shared" si="11"/>
        <v>-8.7929867389227589E-2</v>
      </c>
      <c r="E70" s="996">
        <f t="shared" si="12"/>
        <v>-0.11638084585153924</v>
      </c>
      <c r="F70" s="1065"/>
      <c r="G70" s="249"/>
      <c r="H70" s="24">
        <v>1979</v>
      </c>
      <c r="I70" s="24">
        <v>19</v>
      </c>
      <c r="J70" s="24">
        <v>700</v>
      </c>
      <c r="K70" s="24">
        <v>2</v>
      </c>
      <c r="L70" s="248">
        <v>210093.61557600001</v>
      </c>
      <c r="M70" s="248">
        <v>2248152.6422999999</v>
      </c>
      <c r="N70" s="1152"/>
      <c r="O70" s="276">
        <v>1979</v>
      </c>
      <c r="P70" s="276">
        <v>0</v>
      </c>
      <c r="Q70" s="276">
        <v>780</v>
      </c>
      <c r="R70" s="276">
        <v>3</v>
      </c>
      <c r="S70" s="248">
        <v>252484.21845499999</v>
      </c>
      <c r="T70" s="248">
        <v>2253167.3470000001</v>
      </c>
      <c r="U70" s="1152"/>
    </row>
    <row r="71" spans="1:24" ht="12" customHeight="1" x14ac:dyDescent="0.3">
      <c r="A71" s="1040" t="s">
        <v>1535</v>
      </c>
      <c r="B71" s="1040" t="s">
        <v>1530</v>
      </c>
      <c r="C71" s="995">
        <f t="shared" si="10"/>
        <v>2.0304997635545163E-3</v>
      </c>
      <c r="D71" s="995">
        <f t="shared" si="11"/>
        <v>0.195492712801143</v>
      </c>
      <c r="E71" s="996">
        <f t="shared" si="12"/>
        <v>9.8761606282348757E-2</v>
      </c>
      <c r="F71" s="1065"/>
      <c r="G71" s="249"/>
      <c r="H71" s="24">
        <v>1979</v>
      </c>
      <c r="I71" s="24">
        <v>19</v>
      </c>
      <c r="J71" s="24">
        <v>232</v>
      </c>
      <c r="K71" s="24">
        <v>3</v>
      </c>
      <c r="L71" s="248">
        <v>213395.327766</v>
      </c>
      <c r="M71" s="248">
        <v>2248152.8843</v>
      </c>
      <c r="N71" s="1152"/>
      <c r="O71" s="276">
        <v>1979</v>
      </c>
      <c r="P71" s="276">
        <v>0</v>
      </c>
      <c r="Q71" s="276">
        <v>782</v>
      </c>
      <c r="R71" s="276">
        <v>2</v>
      </c>
      <c r="S71" s="248">
        <v>245550.539559</v>
      </c>
      <c r="T71" s="248">
        <v>2248152.9024999999</v>
      </c>
      <c r="U71" s="1152"/>
    </row>
    <row r="72" spans="1:24" ht="12" customHeight="1" x14ac:dyDescent="0.3">
      <c r="A72" s="1040" t="s">
        <v>1544</v>
      </c>
      <c r="B72" s="1040" t="s">
        <v>1553</v>
      </c>
      <c r="C72" s="995">
        <f t="shared" si="10"/>
        <v>2.3658083252003692E-2</v>
      </c>
      <c r="D72" s="995">
        <f t="shared" si="11"/>
        <v>1.1220957068104609E-2</v>
      </c>
      <c r="E72" s="996">
        <f t="shared" si="12"/>
        <v>1.7439520160054151E-2</v>
      </c>
      <c r="F72" s="1065"/>
      <c r="G72" s="249"/>
      <c r="H72" s="24">
        <v>1979</v>
      </c>
      <c r="I72" s="24">
        <v>19</v>
      </c>
      <c r="J72" s="24">
        <v>710</v>
      </c>
      <c r="K72" s="24">
        <v>2</v>
      </c>
      <c r="L72" s="248">
        <v>213881.54890799997</v>
      </c>
      <c r="M72" s="248">
        <v>2248152.8843</v>
      </c>
      <c r="N72" s="1152"/>
      <c r="O72" s="276">
        <v>1979</v>
      </c>
      <c r="P72" s="276">
        <v>0</v>
      </c>
      <c r="Q72" s="276">
        <v>784</v>
      </c>
      <c r="R72" s="276">
        <v>3</v>
      </c>
      <c r="S72" s="248">
        <v>249693.25038400001</v>
      </c>
      <c r="T72" s="248">
        <v>2248152.9024999999</v>
      </c>
      <c r="U72" s="1152"/>
    </row>
    <row r="73" spans="1:24" ht="12" customHeight="1" x14ac:dyDescent="0.3">
      <c r="A73" s="1040" t="s">
        <v>1545</v>
      </c>
      <c r="B73" s="1040" t="s">
        <v>1553</v>
      </c>
      <c r="C73" s="995">
        <f t="shared" si="10"/>
        <v>3.822783014455311E-2</v>
      </c>
      <c r="D73" s="995">
        <f t="shared" si="11"/>
        <v>-1.56094522572231E-2</v>
      </c>
      <c r="E73" s="996">
        <f t="shared" si="12"/>
        <v>1.1309188943665005E-2</v>
      </c>
      <c r="F73" s="1065"/>
      <c r="G73" s="249"/>
      <c r="H73" s="24">
        <v>1979</v>
      </c>
      <c r="I73" s="24">
        <v>19</v>
      </c>
      <c r="J73" s="24">
        <v>715</v>
      </c>
      <c r="K73" s="24">
        <v>2</v>
      </c>
      <c r="L73" s="248">
        <v>214209.09909300003</v>
      </c>
      <c r="M73" s="248">
        <v>2248152.8843</v>
      </c>
      <c r="N73" s="1152"/>
      <c r="O73" s="276">
        <v>1979</v>
      </c>
      <c r="P73" s="276">
        <v>0</v>
      </c>
      <c r="Q73" s="276">
        <v>786</v>
      </c>
      <c r="R73" s="276">
        <v>3</v>
      </c>
      <c r="S73" s="248">
        <v>250296.43901</v>
      </c>
      <c r="T73" s="248">
        <v>2248152.9024999999</v>
      </c>
      <c r="U73" s="1152"/>
    </row>
    <row r="74" spans="1:24" ht="12" customHeight="1" x14ac:dyDescent="0.3">
      <c r="A74" s="1040" t="s">
        <v>1546</v>
      </c>
      <c r="B74" s="1040" t="s">
        <v>1553</v>
      </c>
      <c r="C74" s="995">
        <f t="shared" si="10"/>
        <v>7.5455858921227303E-3</v>
      </c>
      <c r="D74" s="995">
        <f t="shared" si="11"/>
        <v>0.27261301979058378</v>
      </c>
      <c r="E74" s="996">
        <f t="shared" si="12"/>
        <v>0.14007930284135325</v>
      </c>
      <c r="F74" s="1065"/>
      <c r="G74" s="249"/>
      <c r="H74" s="24">
        <v>1979</v>
      </c>
      <c r="I74" s="24">
        <v>19</v>
      </c>
      <c r="J74" s="24">
        <v>720</v>
      </c>
      <c r="K74" s="24">
        <v>2</v>
      </c>
      <c r="L74" s="248">
        <v>213517.52031699999</v>
      </c>
      <c r="M74" s="248">
        <v>2248133.9844999998</v>
      </c>
      <c r="N74" s="1152"/>
      <c r="O74" s="276">
        <v>1979</v>
      </c>
      <c r="P74" s="276">
        <v>0</v>
      </c>
      <c r="Q74" s="276">
        <v>788</v>
      </c>
      <c r="R74" s="276">
        <v>3</v>
      </c>
      <c r="S74" s="248">
        <v>243816.75713899999</v>
      </c>
      <c r="T74" s="248">
        <v>2248152.9024999999</v>
      </c>
      <c r="U74" s="1152"/>
    </row>
    <row r="75" spans="1:24" ht="12" customHeight="1" x14ac:dyDescent="0.3">
      <c r="A75" s="1040" t="s">
        <v>1563</v>
      </c>
      <c r="B75" s="1040" t="s">
        <v>1553</v>
      </c>
      <c r="C75" s="995">
        <f t="shared" si="10"/>
        <v>-3.9538809833848276E-2</v>
      </c>
      <c r="D75" s="995">
        <f t="shared" si="11"/>
        <v>-3.5029802337258054E-2</v>
      </c>
      <c r="E75" s="996">
        <f t="shared" si="12"/>
        <v>-3.7284306085553165E-2</v>
      </c>
      <c r="F75" s="1065"/>
      <c r="G75" s="249"/>
      <c r="H75" s="24">
        <v>1979</v>
      </c>
      <c r="I75" s="24">
        <v>19</v>
      </c>
      <c r="J75" s="24">
        <v>725</v>
      </c>
      <c r="K75" s="24">
        <v>2</v>
      </c>
      <c r="L75" s="248">
        <v>212460.47372000001</v>
      </c>
      <c r="M75" s="248">
        <v>2248149.5784999998</v>
      </c>
      <c r="N75" s="1152"/>
      <c r="O75" s="276">
        <v>1979</v>
      </c>
      <c r="P75" s="276">
        <v>0</v>
      </c>
      <c r="Q75" s="276">
        <v>789</v>
      </c>
      <c r="R75" s="276">
        <v>3</v>
      </c>
      <c r="S75" s="248">
        <v>250733.03817399996</v>
      </c>
      <c r="T75" s="248">
        <v>2248152.9024999999</v>
      </c>
      <c r="U75" s="1152"/>
    </row>
    <row r="76" spans="1:24" s="24" customFormat="1" ht="12" customHeight="1" x14ac:dyDescent="0.3">
      <c r="A76" s="1040" t="s">
        <v>1620</v>
      </c>
      <c r="B76" s="1040" t="s">
        <v>1619</v>
      </c>
      <c r="C76" s="995">
        <f t="shared" si="10"/>
        <v>0.16771487885022118</v>
      </c>
      <c r="D76" s="995">
        <f t="shared" si="11"/>
        <v>0.19713955036184116</v>
      </c>
      <c r="E76" s="996">
        <f t="shared" si="12"/>
        <v>0.18242721460603117</v>
      </c>
      <c r="F76" s="1065"/>
      <c r="G76" s="249"/>
      <c r="H76" s="24">
        <v>1979</v>
      </c>
      <c r="I76" s="24">
        <v>19</v>
      </c>
      <c r="J76" s="24">
        <v>730</v>
      </c>
      <c r="K76" s="24">
        <v>2</v>
      </c>
      <c r="L76" s="248">
        <v>217105.82453699998</v>
      </c>
      <c r="M76" s="248">
        <v>2248004.3876999998</v>
      </c>
      <c r="N76" s="1152"/>
      <c r="O76" s="276">
        <v>1979</v>
      </c>
      <c r="P76" s="276">
        <v>0</v>
      </c>
      <c r="Q76" s="276">
        <v>790</v>
      </c>
      <c r="R76" s="276">
        <v>3</v>
      </c>
      <c r="S76" s="248">
        <v>245497.392998</v>
      </c>
      <c r="T76" s="248">
        <v>2248005.2639000001</v>
      </c>
      <c r="U76" s="1152"/>
    </row>
    <row r="77" spans="1:24" ht="12" customHeight="1" x14ac:dyDescent="0.3">
      <c r="A77" s="1187" t="s">
        <v>1911</v>
      </c>
      <c r="B77" s="1040" t="s">
        <v>1631</v>
      </c>
      <c r="C77" s="995">
        <f t="shared" si="10"/>
        <v>-1.4987997584690049E-3</v>
      </c>
      <c r="D77" s="995">
        <f t="shared" si="11"/>
        <v>-2.3525208423187671E-2</v>
      </c>
      <c r="E77" s="996">
        <f t="shared" si="12"/>
        <v>-1.2512004090828338E-2</v>
      </c>
      <c r="F77" s="1065"/>
      <c r="G77" s="249"/>
      <c r="H77" s="24">
        <v>1979</v>
      </c>
      <c r="I77" s="24">
        <v>19</v>
      </c>
      <c r="J77" s="24">
        <v>740</v>
      </c>
      <c r="K77" s="24">
        <v>2</v>
      </c>
      <c r="L77" s="248">
        <v>213315.98371700002</v>
      </c>
      <c r="M77" s="248">
        <v>2248152.8843</v>
      </c>
      <c r="N77" s="1152"/>
      <c r="O77" s="276">
        <v>1979</v>
      </c>
      <c r="P77" s="276">
        <v>0</v>
      </c>
      <c r="Q77" s="276">
        <v>792</v>
      </c>
      <c r="R77" s="276">
        <v>3</v>
      </c>
      <c r="S77" s="248">
        <v>250474.39731199996</v>
      </c>
      <c r="T77" s="248">
        <v>2248152.9024999999</v>
      </c>
      <c r="U77" s="1152"/>
    </row>
    <row r="78" spans="1:24" ht="12" customHeight="1" x14ac:dyDescent="0.3">
      <c r="A78" s="1040" t="s">
        <v>1554</v>
      </c>
      <c r="B78" s="1040" t="s">
        <v>1555</v>
      </c>
      <c r="C78" s="995">
        <f t="shared" si="10"/>
        <v>0.19900871842935786</v>
      </c>
      <c r="D78" s="995">
        <f t="shared" si="11"/>
        <v>0.19318511584601322</v>
      </c>
      <c r="E78" s="996">
        <f t="shared" si="12"/>
        <v>0.19609691713768554</v>
      </c>
      <c r="F78" s="1065"/>
      <c r="G78" s="249"/>
      <c r="H78" s="24">
        <v>1979</v>
      </c>
      <c r="I78" s="24">
        <v>19</v>
      </c>
      <c r="J78" s="24">
        <v>750</v>
      </c>
      <c r="K78" s="24">
        <v>2</v>
      </c>
      <c r="L78" s="248">
        <v>217823.69925099998</v>
      </c>
      <c r="M78" s="248">
        <v>2248152.8840999999</v>
      </c>
      <c r="N78" s="1152"/>
      <c r="O78" s="276">
        <v>1979</v>
      </c>
      <c r="P78" s="276">
        <v>0</v>
      </c>
      <c r="Q78" s="276">
        <v>794</v>
      </c>
      <c r="R78" s="276">
        <v>3</v>
      </c>
      <c r="S78" s="248">
        <v>245607.36222400001</v>
      </c>
      <c r="T78" s="248">
        <v>2248198.1612999998</v>
      </c>
      <c r="U78" s="1152"/>
    </row>
    <row r="79" spans="1:24" ht="12" customHeight="1" x14ac:dyDescent="0.3">
      <c r="A79" s="1040" t="s">
        <v>1583</v>
      </c>
      <c r="B79" s="1040" t="s">
        <v>1547</v>
      </c>
      <c r="C79" s="995">
        <f t="shared" si="10"/>
        <v>1.117459394129483E-2</v>
      </c>
      <c r="D79" s="995">
        <f t="shared" si="11"/>
        <v>-2.5422735809008112E-2</v>
      </c>
      <c r="E79" s="996">
        <f t="shared" si="12"/>
        <v>-7.124070933856641E-3</v>
      </c>
      <c r="F79" s="1065"/>
      <c r="G79" s="249"/>
      <c r="H79" s="24">
        <v>1979</v>
      </c>
      <c r="I79" s="24">
        <v>19</v>
      </c>
      <c r="J79" s="24">
        <v>760</v>
      </c>
      <c r="K79" s="24">
        <v>2</v>
      </c>
      <c r="L79" s="248">
        <v>213600.900983</v>
      </c>
      <c r="M79" s="248">
        <v>2248152.8843</v>
      </c>
      <c r="N79" s="1152"/>
      <c r="O79" s="276">
        <v>1979</v>
      </c>
      <c r="P79" s="276">
        <v>0</v>
      </c>
      <c r="Q79" s="276">
        <v>796</v>
      </c>
      <c r="R79" s="276">
        <v>3</v>
      </c>
      <c r="S79" s="248">
        <v>250517.05662900003</v>
      </c>
      <c r="T79" s="248">
        <v>2248152.9024999999</v>
      </c>
      <c r="U79" s="1152"/>
    </row>
    <row r="80" spans="1:24" ht="12" customHeight="1" x14ac:dyDescent="0.3">
      <c r="A80" s="1040" t="s">
        <v>1552</v>
      </c>
      <c r="B80" s="1040" t="s">
        <v>1556</v>
      </c>
      <c r="C80" s="995">
        <f t="shared" si="10"/>
        <v>0.17873629298352611</v>
      </c>
      <c r="D80" s="995">
        <f t="shared" si="11"/>
        <v>0.16169311633441735</v>
      </c>
      <c r="E80" s="996">
        <f t="shared" si="12"/>
        <v>0.17021470465897173</v>
      </c>
      <c r="F80" s="1065"/>
      <c r="G80" s="249"/>
      <c r="H80" s="24">
        <v>1979</v>
      </c>
      <c r="I80" s="24">
        <v>19</v>
      </c>
      <c r="J80" s="24">
        <v>765</v>
      </c>
      <c r="K80" s="24">
        <v>2</v>
      </c>
      <c r="L80" s="248">
        <v>217367.94415299999</v>
      </c>
      <c r="M80" s="248">
        <v>2248152.8843</v>
      </c>
      <c r="N80" s="1152"/>
      <c r="O80" s="276">
        <v>1979</v>
      </c>
      <c r="P80" s="276">
        <v>0</v>
      </c>
      <c r="Q80" s="276">
        <v>797</v>
      </c>
      <c r="R80" s="276">
        <v>3</v>
      </c>
      <c r="S80" s="248">
        <v>246310.40616799999</v>
      </c>
      <c r="T80" s="248">
        <v>2248152.9024999999</v>
      </c>
      <c r="U80" s="1152"/>
    </row>
    <row r="81" spans="1:24" ht="12" customHeight="1" x14ac:dyDescent="0.3">
      <c r="A81" s="1040" t="s">
        <v>1542</v>
      </c>
      <c r="B81" s="1040" t="s">
        <v>1543</v>
      </c>
      <c r="C81" s="995">
        <f t="shared" si="10"/>
        <v>0.8644935831766567</v>
      </c>
      <c r="D81" s="995">
        <f t="shared" si="11"/>
        <v>1.1053674296253799</v>
      </c>
      <c r="E81" s="996">
        <f t="shared" si="12"/>
        <v>0.98493050640101831</v>
      </c>
      <c r="F81" s="1065"/>
      <c r="G81" s="249"/>
      <c r="H81" s="24">
        <v>1979</v>
      </c>
      <c r="I81" s="24">
        <v>19</v>
      </c>
      <c r="J81" s="24">
        <v>770</v>
      </c>
      <c r="K81" s="24">
        <v>2</v>
      </c>
      <c r="L81" s="248">
        <v>232782.25961700003</v>
      </c>
      <c r="M81" s="248">
        <v>2248128.1913000001</v>
      </c>
      <c r="N81" s="1152"/>
      <c r="O81" s="276">
        <v>1979</v>
      </c>
      <c r="P81" s="276">
        <v>0</v>
      </c>
      <c r="Q81" s="276">
        <v>798</v>
      </c>
      <c r="R81" s="276">
        <v>3</v>
      </c>
      <c r="S81" s="248">
        <v>225097.73386800001</v>
      </c>
      <c r="T81" s="248">
        <v>2248178.5622</v>
      </c>
      <c r="U81" s="1152"/>
    </row>
    <row r="82" spans="1:24" ht="12" customHeight="1" x14ac:dyDescent="0.3">
      <c r="A82" s="1040" t="s">
        <v>1564</v>
      </c>
      <c r="B82" s="1040" t="s">
        <v>1565</v>
      </c>
      <c r="C82" s="995">
        <f t="shared" si="10"/>
        <v>-1.8931195980398385E-2</v>
      </c>
      <c r="D82" s="995">
        <f t="shared" si="11"/>
        <v>-3.8215160205162801E-3</v>
      </c>
      <c r="E82" s="996">
        <f t="shared" si="12"/>
        <v>-1.1376356000457333E-2</v>
      </c>
      <c r="F82" s="1065"/>
      <c r="G82" s="249"/>
      <c r="H82" s="24">
        <v>1979</v>
      </c>
      <c r="I82" s="24">
        <v>19</v>
      </c>
      <c r="J82" s="24">
        <v>762</v>
      </c>
      <c r="K82" s="24">
        <v>2</v>
      </c>
      <c r="L82" s="248">
        <v>212924.095305</v>
      </c>
      <c r="M82" s="248">
        <v>2248153.0797000001</v>
      </c>
      <c r="N82" s="1152"/>
      <c r="O82" s="24">
        <v>1979</v>
      </c>
      <c r="P82" s="24">
        <v>0</v>
      </c>
      <c r="Q82" s="24">
        <v>799</v>
      </c>
      <c r="R82" s="24">
        <v>3</v>
      </c>
      <c r="S82" s="248">
        <v>250031.429336</v>
      </c>
      <c r="T82" s="248">
        <v>2248152.9128999999</v>
      </c>
      <c r="U82" s="1152"/>
    </row>
    <row r="83" spans="1:24" ht="12" customHeight="1" x14ac:dyDescent="0.3">
      <c r="A83" s="1040" t="s">
        <v>1642</v>
      </c>
      <c r="B83" s="1040" t="s">
        <v>1643</v>
      </c>
      <c r="C83" s="995">
        <f t="shared" si="10"/>
        <v>-0.41923161769020645</v>
      </c>
      <c r="D83" s="995">
        <f t="shared" si="11"/>
        <v>-0.65870720712623287</v>
      </c>
      <c r="E83" s="996">
        <f t="shared" si="12"/>
        <v>-0.53896941240821961</v>
      </c>
      <c r="F83" s="1065"/>
      <c r="G83" s="249"/>
      <c r="H83" s="24">
        <v>1979</v>
      </c>
      <c r="I83" s="24">
        <v>19</v>
      </c>
      <c r="J83" s="24">
        <v>763</v>
      </c>
      <c r="K83" s="24">
        <v>2</v>
      </c>
      <c r="L83" s="248">
        <v>203924.71132200002</v>
      </c>
      <c r="M83" s="248">
        <v>2248152.8843</v>
      </c>
      <c r="N83" s="1152"/>
      <c r="O83" s="24">
        <v>1979</v>
      </c>
      <c r="P83" s="24">
        <v>0</v>
      </c>
      <c r="Q83" s="24">
        <v>795</v>
      </c>
      <c r="R83" s="24">
        <v>3</v>
      </c>
      <c r="S83" s="248">
        <v>264754.25985199999</v>
      </c>
      <c r="T83" s="248">
        <v>2248152.9024999999</v>
      </c>
      <c r="U83" s="1152"/>
    </row>
    <row r="84" spans="1:24" ht="26.25" customHeight="1" x14ac:dyDescent="0.3">
      <c r="A84" s="1233" t="s">
        <v>1153</v>
      </c>
      <c r="B84" s="1233"/>
      <c r="C84" s="1050">
        <f>SUM(C69:C83)</f>
        <v>1.061618054615808</v>
      </c>
      <c r="D84" s="1050">
        <f>SUM(D69:D83)</f>
        <v>1.5525846783727677</v>
      </c>
      <c r="E84" s="1050">
        <f>SUM(E69:E83)</f>
        <v>1.3071013664942879</v>
      </c>
      <c r="F84" s="1055"/>
      <c r="G84" s="516"/>
      <c r="H84" s="24"/>
      <c r="I84" s="24" t="s">
        <v>31</v>
      </c>
      <c r="J84" s="24"/>
      <c r="K84" s="24"/>
      <c r="L84" s="24"/>
      <c r="M84" s="24"/>
      <c r="N84" s="24"/>
      <c r="O84" s="24"/>
      <c r="P84" s="24"/>
      <c r="Q84" s="24" t="s">
        <v>31</v>
      </c>
      <c r="R84" s="24"/>
      <c r="S84" s="1146"/>
      <c r="T84" s="1146"/>
    </row>
    <row r="85" spans="1:24" ht="15" customHeight="1" x14ac:dyDescent="0.3">
      <c r="A85" s="990"/>
      <c r="B85" s="1041"/>
      <c r="C85" s="995"/>
      <c r="D85" s="995"/>
      <c r="E85" s="1234"/>
      <c r="F85" s="1235"/>
      <c r="G85" s="24"/>
      <c r="H85" s="495" t="s">
        <v>1790</v>
      </c>
      <c r="I85" s="24"/>
      <c r="J85" s="24"/>
      <c r="K85" s="24"/>
      <c r="L85" s="285"/>
      <c r="M85" s="24"/>
      <c r="N85" s="24"/>
      <c r="O85" s="495" t="s">
        <v>1789</v>
      </c>
      <c r="P85" s="24"/>
      <c r="Q85" s="24"/>
      <c r="R85" s="24"/>
    </row>
    <row r="86" spans="1:24" ht="15" customHeight="1" x14ac:dyDescent="0.3">
      <c r="A86" s="990" t="s">
        <v>566</v>
      </c>
      <c r="B86" s="1044"/>
      <c r="C86" s="995"/>
      <c r="D86" s="995"/>
      <c r="E86" s="996"/>
      <c r="F86" s="1236"/>
      <c r="G86" s="24"/>
      <c r="H86" s="276">
        <v>1979</v>
      </c>
      <c r="I86" s="276">
        <v>19</v>
      </c>
      <c r="J86" s="276">
        <v>408</v>
      </c>
      <c r="K86" s="276">
        <v>2</v>
      </c>
      <c r="L86" s="248">
        <v>162181.323672</v>
      </c>
      <c r="M86" s="248">
        <v>2248153.0013000001</v>
      </c>
      <c r="N86" s="1152"/>
      <c r="O86" s="276">
        <v>1979</v>
      </c>
      <c r="P86" s="276">
        <v>0</v>
      </c>
      <c r="Q86" s="276">
        <v>680</v>
      </c>
      <c r="R86" s="276">
        <v>3</v>
      </c>
      <c r="S86" s="248">
        <v>204355.80577099998</v>
      </c>
      <c r="T86" s="248">
        <v>2248152.5822000001</v>
      </c>
      <c r="U86" s="1152"/>
    </row>
    <row r="87" spans="1:24" ht="12" customHeight="1" x14ac:dyDescent="0.3">
      <c r="A87" s="1040" t="s">
        <v>1559</v>
      </c>
      <c r="B87" s="1040" t="s">
        <v>1560</v>
      </c>
      <c r="C87" s="995">
        <f t="shared" ref="C87:C92" si="13">SUM(L87:L87)/M87*100-SUM(L$86:L$86)/M$86*100</f>
        <v>-2.5497436770036686E-3</v>
      </c>
      <c r="D87" s="995">
        <f t="shared" ref="D87:D92" si="14">(SUM(S$86:S$86)/T$86-SUM(S87:S87)/T87)*100</f>
        <v>9.2831628356729312E-3</v>
      </c>
      <c r="E87" s="996">
        <f t="shared" ref="E87:E92" si="15">AVERAGE(C87:D87)</f>
        <v>3.3667095793346313E-3</v>
      </c>
      <c r="F87" s="1065"/>
      <c r="G87" s="24"/>
      <c r="H87" s="276">
        <v>1979</v>
      </c>
      <c r="I87" s="276">
        <v>19</v>
      </c>
      <c r="J87" s="276">
        <v>652</v>
      </c>
      <c r="K87" s="276">
        <v>2</v>
      </c>
      <c r="L87" s="248">
        <v>162124.001533</v>
      </c>
      <c r="M87" s="248">
        <v>2248153.0013000001</v>
      </c>
      <c r="N87" s="1152"/>
      <c r="O87" s="276">
        <v>1979</v>
      </c>
      <c r="P87" s="276">
        <v>0</v>
      </c>
      <c r="Q87" s="276">
        <v>681</v>
      </c>
      <c r="R87" s="276">
        <v>3</v>
      </c>
      <c r="S87" s="248">
        <v>204147.10610599999</v>
      </c>
      <c r="T87" s="248">
        <v>2248152.5822000001</v>
      </c>
      <c r="U87" s="1152"/>
    </row>
    <row r="88" spans="1:24" ht="12" customHeight="1" x14ac:dyDescent="0.3">
      <c r="A88" s="1040" t="s">
        <v>1539</v>
      </c>
      <c r="B88" s="1040" t="s">
        <v>1540</v>
      </c>
      <c r="C88" s="995">
        <f t="shared" si="13"/>
        <v>-0.19129732200224581</v>
      </c>
      <c r="D88" s="995">
        <f t="shared" si="14"/>
        <v>-0.23798461338261773</v>
      </c>
      <c r="E88" s="996">
        <f t="shared" si="15"/>
        <v>-0.21464096769243177</v>
      </c>
      <c r="F88" s="1065"/>
      <c r="G88" s="24"/>
      <c r="H88" s="276">
        <v>1979</v>
      </c>
      <c r="I88" s="276">
        <v>19</v>
      </c>
      <c r="J88" s="276">
        <v>650</v>
      </c>
      <c r="K88" s="276">
        <v>2</v>
      </c>
      <c r="L88" s="248">
        <v>157880.66718600001</v>
      </c>
      <c r="M88" s="248">
        <v>2248153.0013000001</v>
      </c>
      <c r="N88" s="1152"/>
      <c r="O88" s="276">
        <v>1979</v>
      </c>
      <c r="P88" s="276">
        <v>0</v>
      </c>
      <c r="Q88" s="276">
        <v>682</v>
      </c>
      <c r="R88" s="276">
        <v>3</v>
      </c>
      <c r="S88" s="248">
        <v>209706.06300200001</v>
      </c>
      <c r="T88" s="248">
        <v>2248152.5822000001</v>
      </c>
      <c r="U88" s="1152"/>
    </row>
    <row r="89" spans="1:24" ht="12" customHeight="1" x14ac:dyDescent="0.3">
      <c r="A89" s="1040" t="s">
        <v>1562</v>
      </c>
      <c r="B89" s="1040" t="s">
        <v>1561</v>
      </c>
      <c r="C89" s="995">
        <f t="shared" si="13"/>
        <v>-5.1404506291687468E-2</v>
      </c>
      <c r="D89" s="995">
        <f t="shared" si="14"/>
        <v>3.3135061556677226E-2</v>
      </c>
      <c r="E89" s="996">
        <f t="shared" si="15"/>
        <v>-9.1347223675051215E-3</v>
      </c>
      <c r="F89" s="1065"/>
      <c r="G89" s="24"/>
      <c r="H89" s="276">
        <v>1979</v>
      </c>
      <c r="I89" s="276">
        <v>19</v>
      </c>
      <c r="J89" s="276">
        <v>660</v>
      </c>
      <c r="K89" s="276">
        <v>2</v>
      </c>
      <c r="L89" s="248">
        <v>161025.67172099999</v>
      </c>
      <c r="M89" s="248">
        <v>2248153.0013000001</v>
      </c>
      <c r="N89" s="1152"/>
      <c r="O89" s="276">
        <v>1979</v>
      </c>
      <c r="P89" s="276">
        <v>0</v>
      </c>
      <c r="Q89" s="276">
        <v>685</v>
      </c>
      <c r="R89" s="276">
        <v>3</v>
      </c>
      <c r="S89" s="248">
        <v>203610.879029</v>
      </c>
      <c r="T89" s="248">
        <v>2248152.5822000001</v>
      </c>
      <c r="U89" s="1152"/>
    </row>
    <row r="90" spans="1:24" ht="12" customHeight="1" x14ac:dyDescent="0.3">
      <c r="A90" s="1040" t="s">
        <v>1582</v>
      </c>
      <c r="B90" s="1040" t="s">
        <v>1541</v>
      </c>
      <c r="C90" s="995">
        <f t="shared" si="13"/>
        <v>0.77495172232163956</v>
      </c>
      <c r="D90" s="995">
        <f t="shared" si="14"/>
        <v>0.72549993799971568</v>
      </c>
      <c r="E90" s="996">
        <f t="shared" si="15"/>
        <v>0.75022583016067768</v>
      </c>
      <c r="F90" s="1065"/>
      <c r="G90" s="24"/>
      <c r="H90" s="276">
        <v>1979</v>
      </c>
      <c r="I90" s="276">
        <v>19</v>
      </c>
      <c r="J90" s="276">
        <v>670</v>
      </c>
      <c r="K90" s="276">
        <v>2</v>
      </c>
      <c r="L90" s="248">
        <v>179603.424076</v>
      </c>
      <c r="M90" s="248">
        <v>2248153.0013000001</v>
      </c>
      <c r="N90" s="1152"/>
      <c r="O90" s="276">
        <v>1979</v>
      </c>
      <c r="P90" s="276">
        <v>0</v>
      </c>
      <c r="Q90" s="276">
        <v>690</v>
      </c>
      <c r="R90" s="276">
        <v>3</v>
      </c>
      <c r="S90" s="248">
        <v>188045.460181</v>
      </c>
      <c r="T90" s="248">
        <v>2248152.5822000001</v>
      </c>
      <c r="U90" s="1152"/>
    </row>
    <row r="91" spans="1:24" ht="12" customHeight="1" x14ac:dyDescent="0.3">
      <c r="A91" s="1040" t="s">
        <v>1696</v>
      </c>
      <c r="B91" s="1040" t="s">
        <v>1697</v>
      </c>
      <c r="C91" s="995">
        <f t="shared" si="13"/>
        <v>-6.3536470657202138E-2</v>
      </c>
      <c r="D91" s="995">
        <f t="shared" si="14"/>
        <v>-0.52493367075874686</v>
      </c>
      <c r="E91" s="996">
        <f t="shared" si="15"/>
        <v>-0.2942350707079745</v>
      </c>
      <c r="F91" s="1065"/>
      <c r="G91" s="24"/>
      <c r="H91" s="276">
        <v>1979</v>
      </c>
      <c r="I91" s="276">
        <v>19</v>
      </c>
      <c r="J91" s="276">
        <v>663</v>
      </c>
      <c r="K91" s="276">
        <v>2</v>
      </c>
      <c r="L91" s="248">
        <v>160752.92660000001</v>
      </c>
      <c r="M91" s="248">
        <v>2248153.0013000001</v>
      </c>
      <c r="N91" s="1152"/>
      <c r="O91" s="276">
        <v>1979</v>
      </c>
      <c r="P91" s="276">
        <v>0</v>
      </c>
      <c r="Q91" s="276">
        <v>687</v>
      </c>
      <c r="R91" s="276">
        <v>3</v>
      </c>
      <c r="S91" s="248">
        <v>216157.11564500001</v>
      </c>
      <c r="T91" s="248">
        <v>2248152.5822000001</v>
      </c>
      <c r="U91" s="1152"/>
    </row>
    <row r="92" spans="1:24" ht="12" customHeight="1" x14ac:dyDescent="0.3">
      <c r="A92" s="1040" t="s">
        <v>1694</v>
      </c>
      <c r="B92" s="1040" t="s">
        <v>1556</v>
      </c>
      <c r="C92" s="995">
        <f t="shared" si="13"/>
        <v>2.6842990879430317E-2</v>
      </c>
      <c r="D92" s="995">
        <f t="shared" si="14"/>
        <v>-9.1650821439553942E-3</v>
      </c>
      <c r="E92" s="996">
        <f t="shared" si="15"/>
        <v>8.8389543677374616E-3</v>
      </c>
      <c r="F92" s="1065"/>
      <c r="G92" s="24"/>
      <c r="H92" s="276">
        <v>1979</v>
      </c>
      <c r="I92" s="276">
        <v>19</v>
      </c>
      <c r="J92" s="276">
        <v>667</v>
      </c>
      <c r="K92" s="276">
        <v>2</v>
      </c>
      <c r="L92" s="248">
        <v>162784.830563</v>
      </c>
      <c r="M92" s="248">
        <v>2248153.4900000002</v>
      </c>
      <c r="N92" s="1152"/>
      <c r="O92" s="276">
        <v>1979</v>
      </c>
      <c r="P92" s="276">
        <v>0</v>
      </c>
      <c r="Q92" s="276">
        <v>688</v>
      </c>
      <c r="R92" s="276">
        <v>3</v>
      </c>
      <c r="S92" s="248">
        <v>204561.86183000001</v>
      </c>
      <c r="T92" s="248">
        <v>2248152.7034</v>
      </c>
      <c r="U92" s="1152"/>
    </row>
    <row r="93" spans="1:24" ht="15" customHeight="1" x14ac:dyDescent="0.3">
      <c r="A93" s="1046" t="s">
        <v>1153</v>
      </c>
      <c r="B93" s="1046"/>
      <c r="C93" s="1047">
        <f>SUM(C86:C92)</f>
        <v>0.49300667057293079</v>
      </c>
      <c r="D93" s="1047">
        <f>SUM(D86:D92)</f>
        <v>-4.1652038932541435E-3</v>
      </c>
      <c r="E93" s="1047">
        <f>SUM(E86:E92)</f>
        <v>0.24442073333983844</v>
      </c>
      <c r="F93" s="1043"/>
      <c r="G93" s="24"/>
      <c r="H93" s="24"/>
      <c r="I93" s="24"/>
      <c r="J93" s="24"/>
      <c r="K93" s="24"/>
      <c r="L93" s="24"/>
      <c r="M93" s="24"/>
      <c r="N93" s="24"/>
      <c r="O93" s="24"/>
      <c r="P93" s="24"/>
      <c r="Q93" s="24"/>
      <c r="R93" s="24"/>
      <c r="S93" s="24"/>
      <c r="T93" s="24"/>
    </row>
    <row r="94" spans="1:24" s="1281" customFormat="1" ht="34.5" customHeight="1" x14ac:dyDescent="0.3">
      <c r="A94" s="1041"/>
      <c r="B94" s="1041"/>
      <c r="C94" s="1042"/>
      <c r="D94" s="1042"/>
      <c r="E94" s="1042"/>
      <c r="F94" s="1043"/>
      <c r="G94" s="24"/>
      <c r="H94" s="24"/>
      <c r="I94" s="24"/>
      <c r="J94" s="24"/>
      <c r="K94" s="24"/>
      <c r="L94" s="24"/>
      <c r="M94" s="24"/>
      <c r="N94" s="24"/>
      <c r="O94" s="24"/>
      <c r="P94" s="24"/>
      <c r="Q94" s="24"/>
      <c r="R94" s="24"/>
      <c r="S94" s="1146">
        <v>1962</v>
      </c>
      <c r="T94" s="1146" t="s">
        <v>2130</v>
      </c>
      <c r="U94" s="1146" t="s">
        <v>2133</v>
      </c>
      <c r="V94" s="1146" t="s">
        <v>2134</v>
      </c>
      <c r="W94" s="1146" t="s">
        <v>1786</v>
      </c>
      <c r="X94" s="1146" t="s">
        <v>1787</v>
      </c>
    </row>
    <row r="95" spans="1:24" x14ac:dyDescent="0.3">
      <c r="A95" s="24"/>
      <c r="B95" s="24"/>
      <c r="C95" s="24"/>
      <c r="D95" s="24"/>
      <c r="E95" s="1234"/>
      <c r="F95" s="61"/>
      <c r="G95" s="24"/>
      <c r="H95" s="276"/>
      <c r="I95" s="276"/>
      <c r="J95" s="276"/>
      <c r="K95" s="276"/>
      <c r="L95" s="248"/>
      <c r="M95" s="248"/>
      <c r="N95" s="24"/>
      <c r="O95" s="24"/>
      <c r="P95" s="24"/>
      <c r="Q95" s="24"/>
      <c r="R95" s="24"/>
      <c r="S95" s="24" t="s">
        <v>2131</v>
      </c>
      <c r="T95" s="285">
        <v>1.4535332986398572E-2</v>
      </c>
      <c r="U95" s="285">
        <v>0.11120373480649388</v>
      </c>
      <c r="V95" s="285">
        <v>0.12573906779289246</v>
      </c>
      <c r="W95" s="285">
        <v>0.12605798005524915</v>
      </c>
      <c r="X95" s="284">
        <f>W95-V95</f>
        <v>3.1891226235669645E-4</v>
      </c>
    </row>
    <row r="96" spans="1:24" ht="16.2" thickBot="1" x14ac:dyDescent="0.35">
      <c r="A96" s="1237">
        <v>1962</v>
      </c>
      <c r="B96" s="24"/>
      <c r="C96" s="24"/>
      <c r="D96" s="24"/>
      <c r="E96" s="24"/>
      <c r="F96" s="61"/>
      <c r="G96" s="24"/>
      <c r="H96" s="276"/>
      <c r="I96" s="276"/>
      <c r="J96" s="276"/>
      <c r="K96" s="276"/>
      <c r="L96" s="248"/>
      <c r="M96" s="248"/>
      <c r="N96" s="24"/>
      <c r="O96" s="24"/>
      <c r="P96" s="24"/>
      <c r="Q96" s="24"/>
      <c r="R96" s="24"/>
      <c r="S96" s="1281" t="s">
        <v>2132</v>
      </c>
      <c r="T96" s="285">
        <v>2.95224624597E-3</v>
      </c>
      <c r="U96" s="285">
        <v>8.3180970305290119E-2</v>
      </c>
      <c r="V96" s="285">
        <v>0.10066854953765869</v>
      </c>
      <c r="W96" s="285">
        <v>0.10050395410957537</v>
      </c>
      <c r="X96" s="284">
        <f>W96-V96</f>
        <v>-1.6459542808332228E-4</v>
      </c>
    </row>
    <row r="97" spans="1:28" ht="31.5" customHeight="1" thickTop="1" x14ac:dyDescent="0.3">
      <c r="A97" s="1229" t="s">
        <v>1534</v>
      </c>
      <c r="B97" s="1229" t="s">
        <v>1531</v>
      </c>
      <c r="C97" s="1230" t="s">
        <v>1532</v>
      </c>
      <c r="D97" s="1230" t="s">
        <v>1533</v>
      </c>
      <c r="E97" s="1230" t="s">
        <v>1801</v>
      </c>
      <c r="F97" s="1231"/>
      <c r="G97" s="24"/>
      <c r="H97" s="24"/>
      <c r="I97" s="24"/>
      <c r="J97" s="24"/>
      <c r="K97" s="24"/>
      <c r="L97" s="24"/>
      <c r="M97" s="248"/>
      <c r="N97" s="24"/>
      <c r="O97" s="24"/>
      <c r="P97" s="24"/>
      <c r="Q97" s="24"/>
      <c r="R97" s="24"/>
      <c r="Y97" s="988"/>
    </row>
    <row r="98" spans="1:28" ht="10.5" customHeight="1" x14ac:dyDescent="0.3">
      <c r="A98" s="990"/>
      <c r="B98" s="1232"/>
      <c r="C98" s="24"/>
      <c r="D98" s="24"/>
      <c r="E98" s="24"/>
      <c r="F98" s="61"/>
      <c r="G98" s="24"/>
      <c r="H98" s="495" t="s">
        <v>1788</v>
      </c>
      <c r="I98" s="24"/>
      <c r="J98" s="24"/>
      <c r="K98" s="24"/>
      <c r="L98" s="285"/>
      <c r="M98" s="248">
        <v>535189</v>
      </c>
      <c r="N98" s="24"/>
      <c r="O98" s="495" t="s">
        <v>1791</v>
      </c>
      <c r="P98" s="24"/>
      <c r="Q98" s="24"/>
      <c r="R98" s="24"/>
      <c r="S98" s="1318" t="s">
        <v>26</v>
      </c>
      <c r="T98" s="1318" t="s">
        <v>1802</v>
      </c>
    </row>
    <row r="99" spans="1:28" ht="15" customHeight="1" x14ac:dyDescent="0.3">
      <c r="A99" s="990" t="s">
        <v>1116</v>
      </c>
      <c r="B99" s="1041"/>
      <c r="C99" s="736"/>
      <c r="D99" s="736"/>
      <c r="E99" s="24"/>
      <c r="F99" s="61"/>
      <c r="G99" s="24"/>
      <c r="H99" s="24">
        <v>1962</v>
      </c>
      <c r="I99" s="24">
        <v>19</v>
      </c>
      <c r="J99" s="24">
        <v>232</v>
      </c>
      <c r="K99" s="24">
        <v>2</v>
      </c>
      <c r="L99" s="248">
        <v>59514.892518117173</v>
      </c>
      <c r="M99" s="248">
        <v>535187.89293974079</v>
      </c>
      <c r="N99" s="1152"/>
      <c r="O99" s="276">
        <v>1962</v>
      </c>
      <c r="P99" s="276">
        <v>0</v>
      </c>
      <c r="Q99" s="276">
        <v>782</v>
      </c>
      <c r="R99" s="276">
        <v>3</v>
      </c>
      <c r="S99" s="248">
        <v>67464.803307599999</v>
      </c>
      <c r="T99" s="248">
        <v>535188.67490999994</v>
      </c>
      <c r="U99" s="1152"/>
      <c r="V99" s="988"/>
      <c r="W99" s="988"/>
      <c r="X99" s="988"/>
    </row>
    <row r="100" spans="1:28" ht="12" customHeight="1" x14ac:dyDescent="0.3">
      <c r="A100" s="1040" t="s">
        <v>692</v>
      </c>
      <c r="B100" s="1040" t="s">
        <v>1551</v>
      </c>
      <c r="C100" s="995">
        <f t="shared" ref="C100:C114" si="16">SUM(L100:L100)/M100*100-SUM(L$99:L$99)/M$99*100</f>
        <v>-0.16520649942026999</v>
      </c>
      <c r="D100" s="995">
        <f t="shared" ref="D100:D114" si="17">(SUM(S$99:S$99)/T$99-SUM(S100:S100)/T100)*100</f>
        <v>-0.2842455081516454</v>
      </c>
      <c r="E100" s="996">
        <f t="shared" ref="E100:E114" si="18">AVERAGE(C100:D100)</f>
        <v>-0.2247260037859577</v>
      </c>
      <c r="F100" s="1065"/>
      <c r="G100" s="249"/>
      <c r="H100" s="24">
        <v>1962</v>
      </c>
      <c r="I100" s="24">
        <v>0</v>
      </c>
      <c r="J100" s="24">
        <v>299</v>
      </c>
      <c r="K100" s="24">
        <v>2</v>
      </c>
      <c r="L100" s="248">
        <v>58630.854105899998</v>
      </c>
      <c r="M100" s="248">
        <v>535189.05012000003</v>
      </c>
      <c r="N100" s="1152"/>
      <c r="O100" s="276">
        <v>1962</v>
      </c>
      <c r="P100" s="276">
        <v>19</v>
      </c>
      <c r="Q100" s="276">
        <v>782</v>
      </c>
      <c r="R100" s="276">
        <v>3</v>
      </c>
      <c r="S100" s="248">
        <v>68986.091886800001</v>
      </c>
      <c r="T100" s="248">
        <v>535188.97600000002</v>
      </c>
      <c r="U100" s="1152"/>
      <c r="V100" s="988"/>
      <c r="W100" s="988"/>
      <c r="X100" s="988"/>
      <c r="AB100" s="988"/>
    </row>
    <row r="101" spans="1:28" ht="12" customHeight="1" x14ac:dyDescent="0.3">
      <c r="A101" s="1040" t="s">
        <v>1558</v>
      </c>
      <c r="B101" s="1040" t="s">
        <v>1549</v>
      </c>
      <c r="C101" s="995">
        <f t="shared" si="16"/>
        <v>-0.1236001054542637</v>
      </c>
      <c r="D101" s="995">
        <f t="shared" si="17"/>
        <v>-3.2882123924896089E-2</v>
      </c>
      <c r="E101" s="996">
        <f t="shared" si="18"/>
        <v>-7.8241114689579894E-2</v>
      </c>
      <c r="F101" s="1065"/>
      <c r="G101" s="249"/>
      <c r="H101" s="24">
        <v>1962</v>
      </c>
      <c r="I101" s="24">
        <v>19</v>
      </c>
      <c r="J101" s="24">
        <v>700</v>
      </c>
      <c r="K101" s="24">
        <v>2</v>
      </c>
      <c r="L101" s="248">
        <v>58853.3455073</v>
      </c>
      <c r="M101" s="248">
        <v>535187.39997000003</v>
      </c>
      <c r="N101" s="1152"/>
      <c r="O101" s="276">
        <v>1962</v>
      </c>
      <c r="P101" s="276">
        <v>0</v>
      </c>
      <c r="Q101" s="276">
        <v>780</v>
      </c>
      <c r="R101" s="276">
        <v>3</v>
      </c>
      <c r="S101" s="248">
        <v>67675.361287199994</v>
      </c>
      <c r="T101" s="248">
        <v>535462.25234000001</v>
      </c>
      <c r="U101" s="1152"/>
      <c r="V101" s="988"/>
      <c r="W101" s="988"/>
      <c r="X101" s="988"/>
    </row>
    <row r="102" spans="1:28" ht="12" customHeight="1" x14ac:dyDescent="0.3">
      <c r="A102" s="1040" t="s">
        <v>1535</v>
      </c>
      <c r="B102" s="1040" t="s">
        <v>1530</v>
      </c>
      <c r="C102" s="995">
        <f t="shared" si="16"/>
        <v>-0.21440859052794892</v>
      </c>
      <c r="D102" s="995">
        <f t="shared" si="17"/>
        <v>0.30656390337032019</v>
      </c>
      <c r="E102" s="996">
        <f t="shared" si="18"/>
        <v>4.6077656421185637E-2</v>
      </c>
      <c r="F102" s="1065"/>
      <c r="G102" s="249"/>
      <c r="H102" s="24">
        <v>1962</v>
      </c>
      <c r="I102" s="24">
        <v>19</v>
      </c>
      <c r="J102" s="24">
        <v>232</v>
      </c>
      <c r="K102" s="24">
        <v>3</v>
      </c>
      <c r="L102" s="248">
        <v>58367.40370018885</v>
      </c>
      <c r="M102" s="248">
        <v>535187.89293974079</v>
      </c>
      <c r="N102" s="1152"/>
      <c r="O102" s="276">
        <v>1962</v>
      </c>
      <c r="P102" s="276">
        <v>0</v>
      </c>
      <c r="Q102" s="276">
        <v>782</v>
      </c>
      <c r="R102" s="276">
        <v>2</v>
      </c>
      <c r="S102" s="248">
        <v>65824.108015400008</v>
      </c>
      <c r="T102" s="248">
        <v>535188.67490999994</v>
      </c>
      <c r="U102" s="1152"/>
      <c r="V102" s="988"/>
      <c r="W102" s="988"/>
      <c r="X102" s="988"/>
    </row>
    <row r="103" spans="1:28" ht="12" customHeight="1" x14ac:dyDescent="0.3">
      <c r="A103" s="1187" t="s">
        <v>1847</v>
      </c>
      <c r="B103" s="1187" t="s">
        <v>1553</v>
      </c>
      <c r="C103" s="995">
        <f t="shared" si="16"/>
        <v>3.6653049158696049E-2</v>
      </c>
      <c r="D103" s="995">
        <f t="shared" si="17"/>
        <v>8.047196945495938E-3</v>
      </c>
      <c r="E103" s="996">
        <f t="shared" si="18"/>
        <v>2.2350123052095994E-2</v>
      </c>
      <c r="F103" s="1065"/>
      <c r="G103" s="249"/>
      <c r="H103" s="24">
        <v>1962</v>
      </c>
      <c r="I103" s="24">
        <v>19</v>
      </c>
      <c r="J103" s="24">
        <v>710</v>
      </c>
      <c r="K103" s="24">
        <v>2</v>
      </c>
      <c r="L103" s="248">
        <v>59711.055199609196</v>
      </c>
      <c r="M103" s="248">
        <v>535187.8929397536</v>
      </c>
      <c r="N103" s="1152"/>
      <c r="O103" s="276">
        <v>1962</v>
      </c>
      <c r="P103" s="276">
        <v>0</v>
      </c>
      <c r="Q103" s="276">
        <v>784</v>
      </c>
      <c r="R103" s="276">
        <v>3</v>
      </c>
      <c r="S103" s="248">
        <v>67421.735620899999</v>
      </c>
      <c r="T103" s="248">
        <v>535188.67490999994</v>
      </c>
      <c r="U103" s="1152"/>
    </row>
    <row r="104" spans="1:28" ht="12" customHeight="1" x14ac:dyDescent="0.3">
      <c r="A104" s="1040" t="s">
        <v>1545</v>
      </c>
      <c r="B104" s="1040" t="s">
        <v>1553</v>
      </c>
      <c r="C104" s="995">
        <f t="shared" si="16"/>
        <v>0.14830678617791193</v>
      </c>
      <c r="D104" s="995">
        <f t="shared" si="17"/>
        <v>6.9104355743615509E-2</v>
      </c>
      <c r="E104" s="996">
        <f t="shared" si="18"/>
        <v>0.10870557096076372</v>
      </c>
      <c r="F104" s="1065"/>
      <c r="G104" s="249"/>
      <c r="H104" s="24">
        <v>1962</v>
      </c>
      <c r="I104" s="24">
        <v>19</v>
      </c>
      <c r="J104" s="24">
        <v>715</v>
      </c>
      <c r="K104" s="24">
        <v>2</v>
      </c>
      <c r="L104" s="248">
        <v>60310.516678178843</v>
      </c>
      <c r="M104" s="248">
        <v>535204.79106786556</v>
      </c>
      <c r="N104" s="1152"/>
      <c r="O104" s="276">
        <v>1962</v>
      </c>
      <c r="P104" s="276">
        <v>0</v>
      </c>
      <c r="Q104" s="276">
        <v>786</v>
      </c>
      <c r="R104" s="276">
        <v>3</v>
      </c>
      <c r="S104" s="248">
        <v>67092.846155000007</v>
      </c>
      <c r="T104" s="248">
        <v>535171.77677999996</v>
      </c>
      <c r="U104" s="1152"/>
    </row>
    <row r="105" spans="1:28" ht="12" customHeight="1" x14ac:dyDescent="0.3">
      <c r="A105" s="1040" t="s">
        <v>1546</v>
      </c>
      <c r="B105" s="1040" t="s">
        <v>1553</v>
      </c>
      <c r="C105" s="995">
        <f t="shared" si="16"/>
        <v>5.3554495224741316E-2</v>
      </c>
      <c r="D105" s="995">
        <f>(SUM(S$99:S$99)/T$99-SUM(S105:S105)/T105)*100</f>
        <v>0.63289806142238503</v>
      </c>
      <c r="E105" s="996">
        <f t="shared" si="18"/>
        <v>0.34322627832356317</v>
      </c>
      <c r="F105" s="1065"/>
      <c r="G105" s="249"/>
      <c r="H105" s="24">
        <v>1962</v>
      </c>
      <c r="I105" s="24">
        <v>19</v>
      </c>
      <c r="J105" s="24">
        <v>720</v>
      </c>
      <c r="K105" s="24">
        <v>2</v>
      </c>
      <c r="L105" s="248">
        <v>59802.943086035659</v>
      </c>
      <c r="M105" s="248">
        <v>535200.72095647559</v>
      </c>
      <c r="N105" s="1152"/>
      <c r="O105" s="276">
        <v>1962</v>
      </c>
      <c r="P105" s="276">
        <v>0</v>
      </c>
      <c r="Q105" s="276">
        <v>788</v>
      </c>
      <c r="R105" s="276">
        <v>3</v>
      </c>
      <c r="S105" s="248">
        <v>64077.458208399999</v>
      </c>
      <c r="T105" s="248">
        <v>535187.45256000001</v>
      </c>
      <c r="U105" s="1152"/>
    </row>
    <row r="106" spans="1:28" ht="12" customHeight="1" x14ac:dyDescent="0.3">
      <c r="A106" s="1040" t="s">
        <v>1563</v>
      </c>
      <c r="B106" s="1040" t="s">
        <v>1553</v>
      </c>
      <c r="C106" s="995">
        <f t="shared" si="16"/>
        <v>-4.3530842995023633E-2</v>
      </c>
      <c r="D106" s="995">
        <f t="shared" si="17"/>
        <v>1.6431862947188791E-2</v>
      </c>
      <c r="E106" s="996">
        <f t="shared" si="18"/>
        <v>-1.3549490023917421E-2</v>
      </c>
      <c r="F106" s="1065"/>
      <c r="G106" s="249"/>
      <c r="H106" s="24">
        <v>1962</v>
      </c>
      <c r="I106" s="24">
        <v>19</v>
      </c>
      <c r="J106" s="24">
        <v>725</v>
      </c>
      <c r="K106" s="24">
        <v>2</v>
      </c>
      <c r="L106" s="248">
        <v>59282.564166099997</v>
      </c>
      <c r="M106" s="248">
        <v>535193.70189999999</v>
      </c>
      <c r="N106" s="1152"/>
      <c r="O106" s="276">
        <v>1962</v>
      </c>
      <c r="P106" s="276">
        <v>0</v>
      </c>
      <c r="Q106" s="276">
        <v>789</v>
      </c>
      <c r="R106" s="276">
        <v>3</v>
      </c>
      <c r="S106" s="248">
        <v>67376.619009300004</v>
      </c>
      <c r="T106" s="248">
        <v>535186.74606999999</v>
      </c>
      <c r="U106" s="1152"/>
    </row>
    <row r="107" spans="1:28" s="24" customFormat="1" ht="12" customHeight="1" x14ac:dyDescent="0.3">
      <c r="A107" s="1040" t="s">
        <v>1620</v>
      </c>
      <c r="B107" s="1040" t="s">
        <v>1619</v>
      </c>
      <c r="C107" s="995">
        <f t="shared" si="16"/>
        <v>0.18913992263618873</v>
      </c>
      <c r="D107" s="995">
        <f t="shared" si="17"/>
        <v>0.81813350563796905</v>
      </c>
      <c r="E107" s="996">
        <f t="shared" si="18"/>
        <v>0.50363671413707889</v>
      </c>
      <c r="F107" s="1065"/>
      <c r="G107" s="249"/>
      <c r="H107" s="24">
        <v>1962</v>
      </c>
      <c r="I107" s="24">
        <v>19</v>
      </c>
      <c r="J107" s="24">
        <v>730</v>
      </c>
      <c r="K107" s="24">
        <v>2</v>
      </c>
      <c r="L107" s="248">
        <v>60530.079818600003</v>
      </c>
      <c r="M107" s="248">
        <v>535213.82981000002</v>
      </c>
      <c r="N107" s="1152"/>
      <c r="O107" s="276">
        <v>1962</v>
      </c>
      <c r="P107" s="276">
        <v>0</v>
      </c>
      <c r="Q107" s="276">
        <v>790</v>
      </c>
      <c r="R107" s="276">
        <v>3</v>
      </c>
      <c r="S107" s="248">
        <v>63085.717669500002</v>
      </c>
      <c r="T107" s="248">
        <v>535184.19759999996</v>
      </c>
      <c r="U107" s="1152"/>
    </row>
    <row r="108" spans="1:28" ht="12" customHeight="1" x14ac:dyDescent="0.3">
      <c r="A108" s="1187" t="s">
        <v>1911</v>
      </c>
      <c r="B108" s="1040" t="s">
        <v>1631</v>
      </c>
      <c r="C108" s="995">
        <f t="shared" si="16"/>
        <v>4.9054901600968037E-2</v>
      </c>
      <c r="D108" s="995">
        <f t="shared" si="17"/>
        <v>1.1292950100272314E-3</v>
      </c>
      <c r="E108" s="996">
        <f t="shared" si="18"/>
        <v>2.5092098305497634E-2</v>
      </c>
      <c r="F108" s="1065"/>
      <c r="G108" s="249"/>
      <c r="H108" s="24">
        <v>1962</v>
      </c>
      <c r="I108" s="24">
        <v>19</v>
      </c>
      <c r="J108" s="24">
        <v>740</v>
      </c>
      <c r="K108" s="24">
        <v>2</v>
      </c>
      <c r="L108" s="248">
        <v>59777.428412380003</v>
      </c>
      <c r="M108" s="248">
        <v>535187.89293974929</v>
      </c>
      <c r="N108" s="1152"/>
      <c r="O108" s="276">
        <v>1962</v>
      </c>
      <c r="P108" s="276">
        <v>0</v>
      </c>
      <c r="Q108" s="276">
        <v>792</v>
      </c>
      <c r="R108" s="276">
        <v>3</v>
      </c>
      <c r="S108" s="248">
        <v>67458.759448600002</v>
      </c>
      <c r="T108" s="248">
        <v>535188.67490999994</v>
      </c>
      <c r="U108" s="1152"/>
    </row>
    <row r="109" spans="1:28" ht="12" customHeight="1" x14ac:dyDescent="0.3">
      <c r="A109" s="1040" t="s">
        <v>1554</v>
      </c>
      <c r="B109" s="1040" t="s">
        <v>1555</v>
      </c>
      <c r="C109" s="995">
        <f t="shared" si="16"/>
        <v>0.36657229760572108</v>
      </c>
      <c r="D109" s="995">
        <f t="shared" si="17"/>
        <v>0.37508682288761863</v>
      </c>
      <c r="E109" s="996">
        <f t="shared" si="18"/>
        <v>0.37082956024666985</v>
      </c>
      <c r="F109" s="1065"/>
      <c r="G109" s="249"/>
      <c r="H109" s="24">
        <v>1962</v>
      </c>
      <c r="I109" s="24">
        <v>19</v>
      </c>
      <c r="J109" s="24">
        <v>750</v>
      </c>
      <c r="K109" s="24">
        <v>2</v>
      </c>
      <c r="L109" s="248">
        <v>61476.743197154108</v>
      </c>
      <c r="M109" s="248">
        <v>535187.89401383034</v>
      </c>
      <c r="N109" s="1152"/>
      <c r="O109" s="276">
        <v>1962</v>
      </c>
      <c r="P109" s="276">
        <v>0</v>
      </c>
      <c r="Q109" s="276">
        <v>794</v>
      </c>
      <c r="R109" s="276">
        <v>3</v>
      </c>
      <c r="S109" s="248">
        <v>65471.073895499998</v>
      </c>
      <c r="T109" s="248">
        <v>535300.62902999995</v>
      </c>
      <c r="U109" s="1152"/>
    </row>
    <row r="110" spans="1:28" ht="12" customHeight="1" x14ac:dyDescent="0.3">
      <c r="A110" s="1040" t="s">
        <v>1583</v>
      </c>
      <c r="B110" s="1040" t="s">
        <v>1547</v>
      </c>
      <c r="C110" s="995">
        <f t="shared" si="16"/>
        <v>7.6073917478680642E-2</v>
      </c>
      <c r="D110" s="995">
        <f t="shared" si="17"/>
        <v>2.3109513933713965E-2</v>
      </c>
      <c r="E110" s="996">
        <f t="shared" si="18"/>
        <v>4.9591715706197304E-2</v>
      </c>
      <c r="F110" s="1065"/>
      <c r="G110" s="249"/>
      <c r="H110" s="24">
        <v>1962</v>
      </c>
      <c r="I110" s="24">
        <v>19</v>
      </c>
      <c r="J110" s="24">
        <v>760</v>
      </c>
      <c r="K110" s="24">
        <v>2</v>
      </c>
      <c r="L110" s="248">
        <v>59922.030914147319</v>
      </c>
      <c r="M110" s="248">
        <v>535187.89293973439</v>
      </c>
      <c r="N110" s="1152"/>
      <c r="O110" s="276">
        <v>1962</v>
      </c>
      <c r="P110" s="276">
        <v>0</v>
      </c>
      <c r="Q110" s="276">
        <v>796</v>
      </c>
      <c r="R110" s="276">
        <v>3</v>
      </c>
      <c r="S110" s="248">
        <v>67341.123806200005</v>
      </c>
      <c r="T110" s="248">
        <v>535188.67490999994</v>
      </c>
      <c r="U110" s="1152"/>
    </row>
    <row r="111" spans="1:28" ht="12" customHeight="1" x14ac:dyDescent="0.3">
      <c r="A111" s="1040" t="s">
        <v>1552</v>
      </c>
      <c r="B111" s="1040" t="s">
        <v>1556</v>
      </c>
      <c r="C111" s="995">
        <f t="shared" si="16"/>
        <v>0.29271343043125597</v>
      </c>
      <c r="D111" s="995">
        <f t="shared" si="17"/>
        <v>0.25723930995578542</v>
      </c>
      <c r="E111" s="996">
        <f t="shared" si="18"/>
        <v>0.27497637019352072</v>
      </c>
      <c r="F111" s="1065"/>
      <c r="G111" s="249"/>
      <c r="H111" s="24">
        <v>1962</v>
      </c>
      <c r="I111" s="24">
        <v>19</v>
      </c>
      <c r="J111" s="24">
        <v>765</v>
      </c>
      <c r="K111" s="24">
        <v>2</v>
      </c>
      <c r="L111" s="248">
        <v>61081.459358794047</v>
      </c>
      <c r="M111" s="248">
        <v>535187.89293974254</v>
      </c>
      <c r="N111" s="1152"/>
      <c r="O111" s="276">
        <v>1962</v>
      </c>
      <c r="P111" s="276">
        <v>0</v>
      </c>
      <c r="Q111" s="276">
        <v>797</v>
      </c>
      <c r="R111" s="276">
        <v>3</v>
      </c>
      <c r="S111" s="248">
        <v>66088.087653299997</v>
      </c>
      <c r="T111" s="248">
        <v>535188.67490999994</v>
      </c>
      <c r="U111" s="1152"/>
    </row>
    <row r="112" spans="1:28" ht="12" customHeight="1" x14ac:dyDescent="0.3">
      <c r="A112" s="1040" t="s">
        <v>1542</v>
      </c>
      <c r="B112" s="1040" t="s">
        <v>1543</v>
      </c>
      <c r="C112" s="995">
        <f t="shared" si="16"/>
        <v>0.21029735489283397</v>
      </c>
      <c r="D112" s="995">
        <f t="shared" si="17"/>
        <v>0.52253198342598339</v>
      </c>
      <c r="E112" s="996">
        <f t="shared" si="18"/>
        <v>0.36641466915940868</v>
      </c>
      <c r="F112" s="1065"/>
      <c r="G112" s="249"/>
      <c r="H112" s="24">
        <v>1962</v>
      </c>
      <c r="I112" s="24">
        <v>19</v>
      </c>
      <c r="J112" s="24">
        <v>770</v>
      </c>
      <c r="K112" s="24">
        <v>2</v>
      </c>
      <c r="L112" s="248">
        <v>60640.335636010248</v>
      </c>
      <c r="M112" s="248">
        <v>535187.51463322644</v>
      </c>
      <c r="N112" s="1152"/>
      <c r="O112" s="276">
        <v>1962</v>
      </c>
      <c r="P112" s="276">
        <v>0</v>
      </c>
      <c r="Q112" s="276">
        <v>798</v>
      </c>
      <c r="R112" s="276">
        <v>3</v>
      </c>
      <c r="S112" s="248">
        <v>64668.317061599999</v>
      </c>
      <c r="T112" s="248">
        <v>535189.05354999995</v>
      </c>
      <c r="U112" s="1152"/>
    </row>
    <row r="113" spans="1:21" ht="12" customHeight="1" x14ac:dyDescent="0.3">
      <c r="A113" s="1040" t="s">
        <v>1564</v>
      </c>
      <c r="B113" s="1040" t="s">
        <v>1565</v>
      </c>
      <c r="C113" s="995">
        <f t="shared" si="16"/>
        <v>4.6630023921055752E-2</v>
      </c>
      <c r="D113" s="995">
        <f t="shared" si="17"/>
        <v>2.813136028905483E-2</v>
      </c>
      <c r="E113" s="996">
        <f t="shared" si="18"/>
        <v>3.7380692105055291E-2</v>
      </c>
      <c r="F113" s="1065"/>
      <c r="G113" s="249"/>
      <c r="H113" s="24">
        <v>1962</v>
      </c>
      <c r="I113" s="24">
        <v>19</v>
      </c>
      <c r="J113" s="24">
        <v>762</v>
      </c>
      <c r="K113" s="24">
        <v>2</v>
      </c>
      <c r="L113" s="248">
        <v>59764.730461700005</v>
      </c>
      <c r="M113" s="248">
        <v>535190.39765000006</v>
      </c>
      <c r="N113" s="1152"/>
      <c r="O113" s="24">
        <v>1962</v>
      </c>
      <c r="P113" s="24">
        <v>0</v>
      </c>
      <c r="Q113" s="24">
        <v>799</v>
      </c>
      <c r="R113" s="24">
        <v>3</v>
      </c>
      <c r="S113" s="248">
        <v>67314.256427400003</v>
      </c>
      <c r="T113" s="248">
        <v>535188.74626000004</v>
      </c>
      <c r="U113" s="1152"/>
    </row>
    <row r="114" spans="1:21" ht="12" customHeight="1" x14ac:dyDescent="0.3">
      <c r="A114" s="1040" t="s">
        <v>1642</v>
      </c>
      <c r="B114" s="1040" t="s">
        <v>1643</v>
      </c>
      <c r="C114" s="995">
        <f t="shared" si="16"/>
        <v>6.4233283367425287E-3</v>
      </c>
      <c r="D114" s="995">
        <f t="shared" si="17"/>
        <v>-5.9232360223862579E-2</v>
      </c>
      <c r="E114" s="996">
        <f t="shared" si="18"/>
        <v>-2.6404515943560025E-2</v>
      </c>
      <c r="F114" s="1065"/>
      <c r="G114" s="249"/>
      <c r="H114" s="24">
        <v>1962</v>
      </c>
      <c r="I114" s="24">
        <v>19</v>
      </c>
      <c r="J114" s="24">
        <v>763</v>
      </c>
      <c r="K114" s="24">
        <v>2</v>
      </c>
      <c r="L114" s="248">
        <v>59549.269393698567</v>
      </c>
      <c r="M114" s="248">
        <v>535187.8929397352</v>
      </c>
      <c r="N114" s="1152"/>
      <c r="O114" s="24">
        <v>1962</v>
      </c>
      <c r="P114" s="24">
        <v>0</v>
      </c>
      <c r="Q114" s="24">
        <v>795</v>
      </c>
      <c r="R114" s="24">
        <v>3</v>
      </c>
      <c r="S114" s="248">
        <v>67781.808191400007</v>
      </c>
      <c r="T114" s="248">
        <v>535188.67490999994</v>
      </c>
      <c r="U114" s="1152"/>
    </row>
    <row r="115" spans="1:21" ht="25.5" customHeight="1" x14ac:dyDescent="0.3">
      <c r="A115" s="1233" t="s">
        <v>1153</v>
      </c>
      <c r="B115" s="1233"/>
      <c r="C115" s="1050">
        <f>SUM(C100:C114)</f>
        <v>0.92867346906728976</v>
      </c>
      <c r="D115" s="1050">
        <f>SUM(D100:D114)</f>
        <v>2.6820471792687539</v>
      </c>
      <c r="E115" s="1050">
        <f>SUM(E100:E114)</f>
        <v>1.8053603241680218</v>
      </c>
      <c r="F115" s="1055"/>
      <c r="G115" s="516"/>
      <c r="H115" s="24"/>
      <c r="I115" s="24"/>
      <c r="J115" s="24"/>
      <c r="K115" s="24"/>
      <c r="L115" s="24"/>
      <c r="M115" s="24"/>
      <c r="N115" s="1239"/>
      <c r="O115" s="24"/>
      <c r="P115" s="24"/>
      <c r="Q115" s="24" t="s">
        <v>31</v>
      </c>
      <c r="R115" s="24"/>
      <c r="S115" s="1146"/>
      <c r="T115" s="1146"/>
    </row>
    <row r="116" spans="1:21" ht="15" customHeight="1" x14ac:dyDescent="0.3">
      <c r="A116" s="990"/>
      <c r="B116" s="1041"/>
      <c r="C116" s="995"/>
      <c r="D116" s="995"/>
      <c r="E116" s="1234"/>
      <c r="F116" s="1235"/>
      <c r="G116" s="24"/>
      <c r="H116" s="495" t="s">
        <v>1790</v>
      </c>
      <c r="I116" s="24"/>
      <c r="J116" s="24"/>
      <c r="K116" s="24"/>
      <c r="L116" s="1238"/>
      <c r="M116" s="34"/>
      <c r="N116" s="1152"/>
      <c r="O116" s="495" t="s">
        <v>1789</v>
      </c>
      <c r="P116" s="24"/>
      <c r="Q116" s="24"/>
      <c r="R116" s="24"/>
    </row>
    <row r="117" spans="1:21" ht="15" customHeight="1" x14ac:dyDescent="0.3">
      <c r="A117" s="990" t="s">
        <v>566</v>
      </c>
      <c r="B117" s="1044"/>
      <c r="C117" s="995"/>
      <c r="D117" s="995"/>
      <c r="E117" s="996"/>
      <c r="F117" s="1236"/>
      <c r="G117" s="24"/>
      <c r="H117" s="276">
        <v>1962</v>
      </c>
      <c r="I117" s="276">
        <v>19</v>
      </c>
      <c r="J117" s="276">
        <v>408</v>
      </c>
      <c r="K117" s="276">
        <v>2</v>
      </c>
      <c r="L117" s="248">
        <v>44517.540290100005</v>
      </c>
      <c r="M117" s="248">
        <v>535188.99968000001</v>
      </c>
      <c r="N117" s="1152"/>
      <c r="O117" s="276">
        <v>1962</v>
      </c>
      <c r="P117" s="276">
        <v>0</v>
      </c>
      <c r="Q117" s="276">
        <v>680</v>
      </c>
      <c r="R117" s="276">
        <v>3</v>
      </c>
      <c r="S117" s="1240">
        <v>53788.589865499998</v>
      </c>
      <c r="T117" s="1240">
        <v>535188.79273999995</v>
      </c>
      <c r="U117" s="1152"/>
    </row>
    <row r="118" spans="1:21" ht="12" customHeight="1" x14ac:dyDescent="0.3">
      <c r="A118" s="1040" t="s">
        <v>1559</v>
      </c>
      <c r="B118" s="1040" t="s">
        <v>1560</v>
      </c>
      <c r="C118" s="995">
        <f t="shared" ref="C118:C123" si="19">SUM(L118:L118)/M118*100-SUM(L$117:L$117)/M$117*100</f>
        <v>-1.9491756194991439E-3</v>
      </c>
      <c r="D118" s="995">
        <f t="shared" ref="D118:D123" si="20">(SUM(S$117:S$117)/T$117-SUM(S118:S118)/T118)*100</f>
        <v>-8.1483873712553945E-3</v>
      </c>
      <c r="E118" s="996">
        <f t="shared" ref="E118:E123" si="21">AVERAGE(C118:D118)</f>
        <v>-5.0487814953772692E-3</v>
      </c>
      <c r="F118" s="1065"/>
      <c r="G118" s="24"/>
      <c r="H118" s="276">
        <v>1962</v>
      </c>
      <c r="I118" s="276">
        <v>19</v>
      </c>
      <c r="J118" s="276">
        <v>652</v>
      </c>
      <c r="K118" s="276">
        <v>2</v>
      </c>
      <c r="L118" s="248">
        <v>44507.108516599998</v>
      </c>
      <c r="M118" s="248">
        <v>535188.99968000001</v>
      </c>
      <c r="N118" s="1152"/>
      <c r="O118" s="276">
        <v>1962</v>
      </c>
      <c r="P118" s="276">
        <v>0</v>
      </c>
      <c r="Q118" s="276">
        <v>681</v>
      </c>
      <c r="R118" s="276">
        <v>3</v>
      </c>
      <c r="S118" s="1240">
        <v>53832.199121500002</v>
      </c>
      <c r="T118" s="1240">
        <v>535188.79273999995</v>
      </c>
      <c r="U118" s="1152"/>
    </row>
    <row r="119" spans="1:21" ht="12" customHeight="1" x14ac:dyDescent="0.3">
      <c r="A119" s="1040" t="s">
        <v>1539</v>
      </c>
      <c r="B119" s="1040" t="s">
        <v>1540</v>
      </c>
      <c r="C119" s="995">
        <f t="shared" si="19"/>
        <v>-0.28230622335350475</v>
      </c>
      <c r="D119" s="995">
        <f t="shared" si="20"/>
        <v>-0.33090485429136257</v>
      </c>
      <c r="E119" s="996">
        <f t="shared" si="21"/>
        <v>-0.30660553882243369</v>
      </c>
      <c r="F119" s="1065"/>
      <c r="G119" s="24"/>
      <c r="H119" s="276">
        <v>1962</v>
      </c>
      <c r="I119" s="276">
        <v>19</v>
      </c>
      <c r="J119" s="276">
        <v>650</v>
      </c>
      <c r="K119" s="276">
        <v>2</v>
      </c>
      <c r="L119" s="248">
        <v>43006.668437299995</v>
      </c>
      <c r="M119" s="248">
        <v>535188.99968000001</v>
      </c>
      <c r="N119" s="1152"/>
      <c r="O119" s="276">
        <v>1962</v>
      </c>
      <c r="P119" s="276">
        <v>0</v>
      </c>
      <c r="Q119" s="276">
        <v>682</v>
      </c>
      <c r="R119" s="276">
        <v>3</v>
      </c>
      <c r="S119" s="1240">
        <v>55559.555560299996</v>
      </c>
      <c r="T119" s="1240">
        <v>535188.79273999995</v>
      </c>
      <c r="U119" s="1152"/>
    </row>
    <row r="120" spans="1:21" ht="12" customHeight="1" x14ac:dyDescent="0.3">
      <c r="A120" s="1040" t="s">
        <v>1562</v>
      </c>
      <c r="B120" s="1040" t="s">
        <v>1561</v>
      </c>
      <c r="C120" s="995">
        <f t="shared" si="19"/>
        <v>-0.35137133459850478</v>
      </c>
      <c r="D120" s="995">
        <f t="shared" si="20"/>
        <v>-0.2437648593351216</v>
      </c>
      <c r="E120" s="996">
        <f t="shared" si="21"/>
        <v>-0.29756809696681319</v>
      </c>
      <c r="F120" s="1065"/>
      <c r="G120" s="24"/>
      <c r="H120" s="276">
        <v>1962</v>
      </c>
      <c r="I120" s="276">
        <v>19</v>
      </c>
      <c r="J120" s="276">
        <v>660</v>
      </c>
      <c r="K120" s="276">
        <v>2</v>
      </c>
      <c r="L120" s="248">
        <v>42637.039559299999</v>
      </c>
      <c r="M120" s="248">
        <v>535188.99968000001</v>
      </c>
      <c r="N120" s="1152"/>
      <c r="O120" s="276">
        <v>1962</v>
      </c>
      <c r="P120" s="276">
        <v>0</v>
      </c>
      <c r="Q120" s="276">
        <v>685</v>
      </c>
      <c r="R120" s="276">
        <v>3</v>
      </c>
      <c r="S120" s="1240">
        <v>55093.192073299993</v>
      </c>
      <c r="T120" s="1240">
        <v>535188.79273999995</v>
      </c>
      <c r="U120" s="1152"/>
    </row>
    <row r="121" spans="1:21" ht="12" customHeight="1" x14ac:dyDescent="0.3">
      <c r="A121" s="1040" t="s">
        <v>1582</v>
      </c>
      <c r="B121" s="1040" t="s">
        <v>1541</v>
      </c>
      <c r="C121" s="995">
        <f t="shared" si="19"/>
        <v>0.79105193763910719</v>
      </c>
      <c r="D121" s="995">
        <f t="shared" si="20"/>
        <v>0.7672982581858695</v>
      </c>
      <c r="E121" s="996">
        <f t="shared" si="21"/>
        <v>0.77917509791248829</v>
      </c>
      <c r="F121" s="1065"/>
      <c r="G121" s="24"/>
      <c r="H121" s="276">
        <v>1962</v>
      </c>
      <c r="I121" s="276">
        <v>19</v>
      </c>
      <c r="J121" s="276">
        <v>670</v>
      </c>
      <c r="K121" s="276">
        <v>2</v>
      </c>
      <c r="L121" s="248">
        <v>48751.163242100003</v>
      </c>
      <c r="M121" s="248">
        <v>535188.99968000001</v>
      </c>
      <c r="N121" s="1152"/>
      <c r="O121" s="276">
        <v>1962</v>
      </c>
      <c r="P121" s="276">
        <v>0</v>
      </c>
      <c r="Q121" s="276">
        <v>690</v>
      </c>
      <c r="R121" s="276">
        <v>3</v>
      </c>
      <c r="S121" s="1240">
        <v>49682.095580799993</v>
      </c>
      <c r="T121" s="1240">
        <v>535188.79273999995</v>
      </c>
      <c r="U121" s="1152"/>
    </row>
    <row r="122" spans="1:21" ht="12" customHeight="1" x14ac:dyDescent="0.3">
      <c r="A122" s="1040" t="s">
        <v>1696</v>
      </c>
      <c r="B122" s="1040" t="s">
        <v>1697</v>
      </c>
      <c r="C122" s="995">
        <f t="shared" si="19"/>
        <v>0.25001722805150273</v>
      </c>
      <c r="D122" s="995">
        <f t="shared" si="20"/>
        <v>-0.7381118144240042</v>
      </c>
      <c r="E122" s="996">
        <f t="shared" si="21"/>
        <v>-0.24404729318625074</v>
      </c>
      <c r="F122" s="1065"/>
      <c r="G122" s="24"/>
      <c r="H122" s="276">
        <v>1962</v>
      </c>
      <c r="I122" s="276">
        <v>19</v>
      </c>
      <c r="J122" s="276">
        <v>663</v>
      </c>
      <c r="K122" s="276">
        <v>2</v>
      </c>
      <c r="L122" s="248">
        <v>45855.221370899992</v>
      </c>
      <c r="M122" s="248">
        <v>535184.52237000002</v>
      </c>
      <c r="N122" s="1152"/>
      <c r="O122" s="276">
        <v>1962</v>
      </c>
      <c r="P122" s="276">
        <v>0</v>
      </c>
      <c r="Q122" s="276">
        <v>687</v>
      </c>
      <c r="R122" s="276">
        <v>3</v>
      </c>
      <c r="S122" s="1240">
        <v>57739.364609099997</v>
      </c>
      <c r="T122" s="1240">
        <v>535193.27005000005</v>
      </c>
      <c r="U122" s="1152"/>
    </row>
    <row r="123" spans="1:21" ht="12" customHeight="1" x14ac:dyDescent="0.3">
      <c r="A123" s="1040" t="s">
        <v>1694</v>
      </c>
      <c r="B123" s="1040" t="s">
        <v>1556</v>
      </c>
      <c r="C123" s="995">
        <f t="shared" si="19"/>
        <v>4.8194244067257586E-2</v>
      </c>
      <c r="D123" s="995">
        <f t="shared" si="20"/>
        <v>1.8615808819670565E-2</v>
      </c>
      <c r="E123" s="996">
        <f t="shared" si="21"/>
        <v>3.3405026443464075E-2</v>
      </c>
      <c r="F123" s="1065"/>
      <c r="G123" s="24"/>
      <c r="H123" s="276">
        <v>1962</v>
      </c>
      <c r="I123" s="276">
        <v>19</v>
      </c>
      <c r="J123" s="276">
        <v>667</v>
      </c>
      <c r="K123" s="276">
        <v>2</v>
      </c>
      <c r="L123" s="248">
        <v>44776.086223899998</v>
      </c>
      <c r="M123" s="248">
        <v>535196.35826999997</v>
      </c>
      <c r="N123" s="1152"/>
      <c r="O123" s="276">
        <v>1962</v>
      </c>
      <c r="P123" s="276">
        <v>0</v>
      </c>
      <c r="Q123" s="276">
        <v>688</v>
      </c>
      <c r="R123" s="276">
        <v>3</v>
      </c>
      <c r="S123" s="1240">
        <v>53687.5072153</v>
      </c>
      <c r="T123" s="1240">
        <v>535174.30949000001</v>
      </c>
      <c r="U123" s="1152"/>
    </row>
    <row r="124" spans="1:21" ht="15" customHeight="1" x14ac:dyDescent="0.3">
      <c r="A124" s="1046" t="s">
        <v>1153</v>
      </c>
      <c r="B124" s="1046"/>
      <c r="C124" s="1047">
        <f>SUM(C117:C123)</f>
        <v>0.45363667618635883</v>
      </c>
      <c r="D124" s="1047">
        <f>SUM(D117:D123)</f>
        <v>-0.53501584841620375</v>
      </c>
      <c r="E124" s="1047">
        <f>SUM(E118:E123)</f>
        <v>-4.0689586114922488E-2</v>
      </c>
      <c r="F124" s="1043"/>
      <c r="G124" s="24"/>
      <c r="H124" s="24"/>
      <c r="I124" s="24"/>
      <c r="J124" s="24"/>
      <c r="K124" s="24"/>
      <c r="L124" s="24"/>
      <c r="M124" s="24"/>
      <c r="N124" s="24"/>
      <c r="O124" s="24"/>
      <c r="P124" s="24"/>
      <c r="Q124" s="24"/>
      <c r="R124" s="24"/>
      <c r="S124" s="24"/>
      <c r="T124" s="24"/>
    </row>
    <row r="125" spans="1:21" x14ac:dyDescent="0.3">
      <c r="A125" s="24"/>
      <c r="B125" s="24"/>
      <c r="C125" s="24"/>
      <c r="D125" s="24"/>
      <c r="E125" s="1234"/>
      <c r="F125" s="61"/>
      <c r="G125" s="24"/>
      <c r="H125" s="276"/>
      <c r="I125" s="276"/>
      <c r="J125" s="276"/>
      <c r="K125" s="276"/>
      <c r="L125" s="248"/>
      <c r="M125" s="248"/>
      <c r="N125" s="1152"/>
      <c r="O125" s="24"/>
      <c r="P125" s="24"/>
      <c r="Q125" s="24"/>
      <c r="R125" s="24"/>
      <c r="S125" s="248"/>
      <c r="T125" s="24"/>
    </row>
    <row r="126" spans="1:21" x14ac:dyDescent="0.3">
      <c r="A126" s="24"/>
      <c r="B126" s="24"/>
      <c r="C126" s="24"/>
      <c r="D126" s="24"/>
      <c r="E126" s="24"/>
      <c r="F126" s="61"/>
      <c r="G126" s="24"/>
      <c r="H126" s="276"/>
      <c r="I126" s="276"/>
      <c r="J126" s="276"/>
      <c r="K126" s="276"/>
      <c r="L126" s="248"/>
      <c r="M126" s="248"/>
      <c r="N126" s="1152"/>
      <c r="O126" s="24"/>
      <c r="P126" s="24"/>
      <c r="Q126" s="24"/>
      <c r="R126" s="24"/>
      <c r="S126" s="248"/>
      <c r="T126" s="24"/>
    </row>
    <row r="127" spans="1:21" x14ac:dyDescent="0.3">
      <c r="A127" s="24"/>
      <c r="B127" s="24"/>
      <c r="C127" s="516"/>
      <c r="D127" s="516"/>
      <c r="E127" s="24"/>
      <c r="F127" s="24"/>
      <c r="G127" s="24"/>
      <c r="H127" s="24"/>
      <c r="I127" s="24"/>
      <c r="J127" s="24"/>
      <c r="K127" s="24"/>
      <c r="L127" s="248"/>
      <c r="M127" s="248"/>
      <c r="N127" s="1152"/>
    </row>
    <row r="128" spans="1:21" x14ac:dyDescent="0.3">
      <c r="A128" s="24"/>
      <c r="B128" s="24"/>
      <c r="C128" s="24"/>
      <c r="D128" s="24"/>
      <c r="E128" s="24"/>
      <c r="F128" s="24"/>
      <c r="G128" s="24"/>
      <c r="H128" s="24"/>
      <c r="I128" s="24"/>
      <c r="J128" s="24"/>
      <c r="K128" s="24"/>
      <c r="L128" s="248"/>
      <c r="M128" s="248"/>
      <c r="N128" s="1152"/>
    </row>
    <row r="129" spans="1:20" x14ac:dyDescent="0.3">
      <c r="A129" s="24"/>
      <c r="B129" s="24"/>
      <c r="C129" s="24"/>
      <c r="D129" s="24"/>
      <c r="E129" s="24"/>
      <c r="F129" s="24"/>
      <c r="G129" s="24"/>
      <c r="H129" s="24"/>
      <c r="I129" s="24"/>
      <c r="J129" s="24"/>
      <c r="K129" s="24"/>
      <c r="L129" s="248"/>
      <c r="M129" s="248"/>
      <c r="N129" s="1152"/>
      <c r="O129" s="24"/>
      <c r="P129" s="24"/>
      <c r="Q129" s="24"/>
      <c r="R129" s="24"/>
      <c r="S129" s="24"/>
      <c r="T129" s="24"/>
    </row>
    <row r="130" spans="1:20" x14ac:dyDescent="0.3">
      <c r="H130" s="24"/>
      <c r="I130" s="24"/>
      <c r="J130" s="24"/>
      <c r="K130" s="24"/>
      <c r="L130" s="248"/>
      <c r="M130" s="248"/>
      <c r="N130" s="1152"/>
      <c r="O130" s="24"/>
      <c r="P130" s="24"/>
      <c r="Q130" s="24"/>
      <c r="R130" s="24"/>
      <c r="S130" s="24"/>
      <c r="T130" s="24"/>
    </row>
    <row r="131" spans="1:20" x14ac:dyDescent="0.3">
      <c r="H131" s="24"/>
      <c r="I131" s="24"/>
      <c r="J131" s="24"/>
      <c r="K131" s="24"/>
      <c r="L131" s="248"/>
      <c r="M131" s="248"/>
      <c r="N131" s="1152"/>
      <c r="O131" s="24"/>
      <c r="P131" s="24"/>
      <c r="Q131" s="24"/>
      <c r="R131" s="24"/>
      <c r="S131" s="24"/>
      <c r="T131" s="24"/>
    </row>
    <row r="132" spans="1:20" x14ac:dyDescent="0.3">
      <c r="H132" s="24"/>
      <c r="I132" s="24"/>
      <c r="J132" s="24"/>
      <c r="K132" s="24"/>
      <c r="L132" s="248"/>
      <c r="M132" s="248"/>
      <c r="N132" s="1152"/>
      <c r="O132" s="24"/>
      <c r="P132" s="24"/>
      <c r="Q132" s="24"/>
      <c r="R132" s="24"/>
    </row>
    <row r="133" spans="1:20" x14ac:dyDescent="0.3">
      <c r="H133" s="24"/>
      <c r="I133" s="24"/>
      <c r="J133" s="24"/>
      <c r="K133" s="24"/>
      <c r="L133" s="248"/>
      <c r="M133" s="248"/>
      <c r="N133" s="1152"/>
      <c r="O133" s="284"/>
      <c r="P133" s="24"/>
      <c r="Q133" s="24"/>
      <c r="R133" s="24"/>
    </row>
    <row r="134" spans="1:20" x14ac:dyDescent="0.3">
      <c r="H134" s="24"/>
      <c r="I134" s="24"/>
      <c r="J134" s="24"/>
      <c r="K134" s="24"/>
      <c r="L134" s="248"/>
      <c r="M134" s="248"/>
      <c r="N134" s="1152"/>
      <c r="O134" s="24"/>
      <c r="P134" s="24"/>
      <c r="Q134" s="24"/>
      <c r="R134" s="24"/>
    </row>
    <row r="135" spans="1:20" x14ac:dyDescent="0.3">
      <c r="H135" s="24"/>
      <c r="I135" s="24"/>
      <c r="J135" s="24"/>
      <c r="K135" s="24"/>
      <c r="L135" s="248"/>
      <c r="M135" s="248"/>
      <c r="N135" s="1152"/>
      <c r="O135" s="24"/>
      <c r="P135" s="24"/>
      <c r="Q135" s="24"/>
      <c r="R135" s="24"/>
    </row>
    <row r="136" spans="1:20" x14ac:dyDescent="0.3">
      <c r="H136" s="24"/>
      <c r="I136" s="24"/>
      <c r="J136" s="24"/>
      <c r="K136" s="24"/>
      <c r="L136" s="248"/>
      <c r="M136" s="248"/>
      <c r="N136" s="1152"/>
      <c r="O136" s="24"/>
      <c r="P136" s="24"/>
      <c r="Q136" s="24"/>
      <c r="R136" s="24"/>
    </row>
    <row r="137" spans="1:20" x14ac:dyDescent="0.3">
      <c r="H137" s="24"/>
      <c r="I137" s="24"/>
      <c r="J137" s="24"/>
      <c r="K137" s="24"/>
      <c r="L137" s="248"/>
      <c r="M137" s="248"/>
      <c r="N137" s="1152"/>
      <c r="O137" s="24"/>
      <c r="P137" s="24"/>
      <c r="Q137" s="24"/>
      <c r="R137" s="24"/>
    </row>
    <row r="138" spans="1:20" x14ac:dyDescent="0.3">
      <c r="H138" s="24"/>
      <c r="I138" s="24"/>
      <c r="J138" s="24"/>
      <c r="K138" s="24"/>
      <c r="L138" s="248"/>
      <c r="M138" s="24"/>
      <c r="N138" s="1152"/>
      <c r="O138" s="24"/>
      <c r="P138" s="24"/>
      <c r="Q138" s="24"/>
      <c r="R138" s="24"/>
    </row>
    <row r="139" spans="1:20" x14ac:dyDescent="0.3">
      <c r="H139" s="24"/>
      <c r="I139" s="24"/>
      <c r="J139" s="24"/>
      <c r="K139" s="24"/>
      <c r="L139" s="248"/>
      <c r="M139" s="24"/>
      <c r="N139" s="1152"/>
      <c r="O139" s="24"/>
      <c r="P139" s="24"/>
      <c r="Q139" s="24"/>
      <c r="R139" s="24"/>
    </row>
    <row r="140" spans="1:20" x14ac:dyDescent="0.3">
      <c r="H140" s="24"/>
      <c r="I140" s="24"/>
      <c r="J140" s="24"/>
      <c r="K140" s="24"/>
      <c r="L140" s="248"/>
      <c r="M140" s="24"/>
      <c r="N140" s="1152"/>
      <c r="O140" s="24"/>
      <c r="P140" s="24"/>
      <c r="Q140" s="24"/>
      <c r="R140" s="24"/>
    </row>
    <row r="141" spans="1:20" x14ac:dyDescent="0.3">
      <c r="H141" s="24"/>
      <c r="I141" s="24"/>
      <c r="J141" s="24"/>
      <c r="K141" s="24"/>
      <c r="L141" s="248"/>
      <c r="M141" s="24"/>
      <c r="N141" s="1152"/>
      <c r="O141" s="24"/>
      <c r="P141" s="24"/>
      <c r="Q141" s="24"/>
      <c r="R141" s="24"/>
    </row>
    <row r="142" spans="1:20" x14ac:dyDescent="0.3">
      <c r="H142" s="24"/>
      <c r="I142" s="24"/>
      <c r="J142" s="24"/>
      <c r="K142" s="24"/>
      <c r="L142" s="248"/>
      <c r="M142" s="24"/>
      <c r="N142" s="1152"/>
      <c r="O142" s="24"/>
      <c r="P142" s="24"/>
      <c r="Q142" s="24"/>
      <c r="R142" s="24"/>
    </row>
    <row r="143" spans="1:20" x14ac:dyDescent="0.3">
      <c r="H143" s="24"/>
      <c r="I143" s="24"/>
      <c r="J143" s="24"/>
      <c r="K143" s="24"/>
      <c r="L143" s="24"/>
      <c r="M143" s="24"/>
      <c r="N143" s="1152"/>
      <c r="O143" s="24"/>
      <c r="P143" s="24"/>
      <c r="Q143" s="24"/>
      <c r="R143" s="24"/>
    </row>
    <row r="144" spans="1:20" x14ac:dyDescent="0.3">
      <c r="H144" s="24"/>
      <c r="I144" s="24"/>
      <c r="J144" s="24"/>
      <c r="K144" s="24"/>
      <c r="L144" s="24"/>
      <c r="M144" s="24"/>
      <c r="N144" s="24"/>
      <c r="O144" s="24"/>
      <c r="P144" s="24"/>
      <c r="Q144" s="24"/>
      <c r="R144" s="24"/>
    </row>
    <row r="145" spans="6:18" x14ac:dyDescent="0.3">
      <c r="H145" s="24"/>
      <c r="I145" s="24"/>
      <c r="J145" s="24"/>
      <c r="K145" s="24"/>
      <c r="L145" s="24"/>
      <c r="M145" s="24"/>
      <c r="N145" s="24"/>
      <c r="O145" s="24"/>
      <c r="P145" s="24"/>
      <c r="Q145" s="24"/>
      <c r="R145" s="24"/>
    </row>
    <row r="146" spans="6:18" x14ac:dyDescent="0.3">
      <c r="F146" s="24"/>
      <c r="G146" s="24"/>
      <c r="H146" s="24"/>
      <c r="I146" s="24"/>
      <c r="J146" s="24"/>
      <c r="K146" s="24"/>
      <c r="L146" s="24"/>
      <c r="M146" s="24"/>
      <c r="N146" s="24"/>
      <c r="O146" s="24"/>
      <c r="P146" s="24"/>
      <c r="Q146" s="24"/>
      <c r="R146" s="24"/>
    </row>
    <row r="147" spans="6:18" x14ac:dyDescent="0.3">
      <c r="F147" s="24"/>
      <c r="G147" s="24"/>
      <c r="H147" s="24"/>
      <c r="I147" s="24"/>
      <c r="J147" s="24"/>
      <c r="K147" s="24"/>
      <c r="L147" s="24"/>
      <c r="M147" s="24"/>
      <c r="N147" s="24"/>
      <c r="O147" s="24"/>
      <c r="P147" s="24"/>
      <c r="Q147" s="24"/>
      <c r="R147" s="24"/>
    </row>
    <row r="148" spans="6:18" x14ac:dyDescent="0.3">
      <c r="F148" s="24"/>
      <c r="G148" s="24"/>
      <c r="H148" s="24"/>
      <c r="I148" s="24"/>
      <c r="J148" s="24"/>
      <c r="K148" s="24"/>
      <c r="L148" s="24"/>
      <c r="M148" s="24"/>
      <c r="N148" s="24"/>
      <c r="O148" s="24"/>
      <c r="P148" s="24"/>
      <c r="Q148" s="24"/>
    </row>
    <row r="149" spans="6:18" x14ac:dyDescent="0.3">
      <c r="F149" s="24"/>
      <c r="G149" s="24"/>
      <c r="H149" s="24"/>
      <c r="I149" s="24"/>
      <c r="J149" s="24"/>
      <c r="K149" s="24"/>
      <c r="L149" s="24"/>
      <c r="M149" s="248"/>
      <c r="N149" s="24"/>
      <c r="O149" s="24"/>
      <c r="P149" s="24"/>
      <c r="Q149" s="24"/>
    </row>
    <row r="150" spans="6:18" x14ac:dyDescent="0.3">
      <c r="F150" s="24"/>
      <c r="G150" s="24"/>
      <c r="H150" s="495"/>
      <c r="I150" s="24"/>
      <c r="J150" s="24"/>
      <c r="K150" s="24"/>
      <c r="L150" s="285"/>
      <c r="M150" s="248"/>
      <c r="N150" s="24"/>
      <c r="O150" s="24"/>
      <c r="P150" s="24"/>
      <c r="Q150" s="24"/>
    </row>
    <row r="151" spans="6:18" x14ac:dyDescent="0.3">
      <c r="F151" s="24"/>
      <c r="G151" s="24"/>
      <c r="H151" s="24"/>
      <c r="I151" s="24"/>
      <c r="J151" s="24"/>
      <c r="K151" s="24"/>
      <c r="L151" s="248"/>
      <c r="M151" s="248"/>
      <c r="N151" s="1152"/>
      <c r="O151" s="24"/>
      <c r="P151" s="24"/>
      <c r="Q151" s="24"/>
    </row>
    <row r="152" spans="6:18" x14ac:dyDescent="0.3">
      <c r="F152" s="24"/>
      <c r="G152" s="24"/>
      <c r="H152" s="24"/>
      <c r="I152" s="24"/>
      <c r="J152" s="24"/>
      <c r="K152" s="24"/>
      <c r="L152" s="248"/>
      <c r="M152" s="248"/>
      <c r="N152" s="1152"/>
      <c r="O152" s="24"/>
      <c r="P152" s="24"/>
      <c r="Q152" s="24"/>
    </row>
    <row r="153" spans="6:18" x14ac:dyDescent="0.3">
      <c r="F153" s="24"/>
      <c r="G153" s="24"/>
      <c r="H153" s="24"/>
      <c r="I153" s="24"/>
      <c r="J153" s="24"/>
      <c r="K153" s="24"/>
      <c r="L153" s="248"/>
      <c r="M153" s="248"/>
      <c r="N153" s="1152"/>
      <c r="O153" s="24"/>
      <c r="P153" s="24"/>
      <c r="Q153" s="24"/>
    </row>
    <row r="154" spans="6:18" x14ac:dyDescent="0.3">
      <c r="F154" s="24"/>
      <c r="G154" s="24"/>
      <c r="H154" s="24"/>
      <c r="I154" s="24"/>
      <c r="J154" s="24"/>
      <c r="K154" s="24"/>
      <c r="L154" s="248"/>
      <c r="M154" s="248"/>
      <c r="N154" s="1152"/>
      <c r="O154" s="24"/>
      <c r="P154" s="24"/>
      <c r="Q154" s="24"/>
    </row>
    <row r="155" spans="6:18" x14ac:dyDescent="0.3">
      <c r="F155" s="24"/>
      <c r="G155" s="24"/>
      <c r="H155" s="24"/>
      <c r="I155" s="24"/>
      <c r="J155" s="24"/>
      <c r="K155" s="24"/>
      <c r="L155" s="248"/>
      <c r="M155" s="248"/>
      <c r="N155" s="1152"/>
      <c r="O155" s="24"/>
      <c r="P155" s="24"/>
      <c r="Q155" s="24"/>
    </row>
    <row r="156" spans="6:18" x14ac:dyDescent="0.3">
      <c r="F156" s="24"/>
      <c r="G156" s="24"/>
      <c r="H156" s="24"/>
      <c r="I156" s="24"/>
      <c r="J156" s="24"/>
      <c r="K156" s="24"/>
      <c r="L156" s="248"/>
      <c r="M156" s="248"/>
      <c r="N156" s="1152"/>
      <c r="O156" s="24"/>
      <c r="P156" s="24"/>
      <c r="Q156" s="24"/>
    </row>
    <row r="157" spans="6:18" x14ac:dyDescent="0.3">
      <c r="F157" s="24"/>
      <c r="G157" s="24"/>
      <c r="H157" s="24"/>
      <c r="I157" s="24"/>
      <c r="J157" s="24"/>
      <c r="K157" s="24"/>
      <c r="L157" s="248"/>
      <c r="M157" s="248"/>
      <c r="N157" s="1152"/>
      <c r="O157" s="24"/>
      <c r="P157" s="24"/>
      <c r="Q157" s="24"/>
    </row>
    <row r="158" spans="6:18" x14ac:dyDescent="0.3">
      <c r="F158" s="24"/>
      <c r="G158" s="24"/>
      <c r="H158" s="24"/>
      <c r="I158" s="24"/>
      <c r="J158" s="24"/>
      <c r="K158" s="24"/>
      <c r="L158" s="248"/>
      <c r="M158" s="248"/>
      <c r="N158" s="1152"/>
      <c r="O158" s="24"/>
      <c r="P158" s="24"/>
      <c r="Q158" s="24"/>
    </row>
    <row r="159" spans="6:18" x14ac:dyDescent="0.3">
      <c r="F159" s="24"/>
      <c r="G159" s="24"/>
      <c r="H159" s="24"/>
      <c r="I159" s="24"/>
      <c r="J159" s="24"/>
      <c r="K159" s="24"/>
      <c r="L159" s="248"/>
      <c r="M159" s="248"/>
      <c r="N159" s="1152"/>
      <c r="O159" s="24"/>
      <c r="P159" s="24"/>
      <c r="Q159" s="24"/>
    </row>
    <row r="160" spans="6:18" x14ac:dyDescent="0.3">
      <c r="F160" s="24"/>
      <c r="G160" s="24"/>
      <c r="H160" s="24"/>
      <c r="I160" s="24"/>
      <c r="J160" s="24"/>
      <c r="K160" s="24"/>
      <c r="L160" s="248"/>
      <c r="M160" s="248"/>
      <c r="N160" s="1152"/>
      <c r="O160" s="24"/>
      <c r="P160" s="24"/>
      <c r="Q160" s="24"/>
    </row>
    <row r="161" spans="6:17" x14ac:dyDescent="0.3">
      <c r="F161" s="24"/>
      <c r="G161" s="24"/>
      <c r="H161" s="24"/>
      <c r="I161" s="24"/>
      <c r="J161" s="24"/>
      <c r="K161" s="24"/>
      <c r="L161" s="248"/>
      <c r="M161" s="248"/>
      <c r="N161" s="1152"/>
      <c r="O161" s="24"/>
      <c r="P161" s="24"/>
      <c r="Q161" s="24"/>
    </row>
    <row r="162" spans="6:17" x14ac:dyDescent="0.3">
      <c r="F162" s="24"/>
      <c r="G162" s="24"/>
      <c r="H162" s="24"/>
      <c r="I162" s="24"/>
      <c r="J162" s="24"/>
      <c r="K162" s="24"/>
      <c r="L162" s="248"/>
      <c r="M162" s="248"/>
      <c r="N162" s="1152"/>
      <c r="O162" s="24"/>
      <c r="P162" s="24"/>
      <c r="Q162" s="24"/>
    </row>
    <row r="163" spans="6:17" x14ac:dyDescent="0.3">
      <c r="F163" s="24"/>
      <c r="G163" s="24"/>
      <c r="H163" s="24"/>
      <c r="I163" s="24"/>
      <c r="J163" s="24"/>
      <c r="K163" s="24"/>
      <c r="L163" s="248"/>
      <c r="M163" s="248"/>
      <c r="N163" s="1152"/>
      <c r="O163" s="24"/>
      <c r="P163" s="24"/>
      <c r="Q163" s="24"/>
    </row>
    <row r="164" spans="6:17" x14ac:dyDescent="0.3">
      <c r="F164" s="24"/>
      <c r="G164" s="24"/>
      <c r="H164" s="24"/>
      <c r="I164" s="24"/>
      <c r="J164" s="24"/>
      <c r="K164" s="24"/>
      <c r="L164" s="248"/>
      <c r="M164" s="248"/>
      <c r="N164" s="1152"/>
      <c r="O164" s="24"/>
      <c r="P164" s="24"/>
      <c r="Q164" s="24"/>
    </row>
    <row r="165" spans="6:17" x14ac:dyDescent="0.3">
      <c r="F165" s="24"/>
      <c r="G165" s="24"/>
      <c r="H165" s="24"/>
      <c r="I165" s="24"/>
      <c r="J165" s="24"/>
      <c r="K165" s="24"/>
      <c r="L165" s="248"/>
      <c r="M165" s="248"/>
      <c r="N165" s="1152"/>
      <c r="O165" s="24"/>
      <c r="P165" s="24"/>
      <c r="Q165" s="24"/>
    </row>
    <row r="166" spans="6:17" x14ac:dyDescent="0.3">
      <c r="F166" s="24"/>
      <c r="G166" s="24"/>
      <c r="H166" s="24"/>
      <c r="I166" s="24"/>
      <c r="J166" s="24"/>
      <c r="K166" s="24"/>
      <c r="L166" s="248"/>
      <c r="M166" s="248"/>
      <c r="N166" s="1152"/>
      <c r="O166" s="24"/>
      <c r="P166" s="24"/>
      <c r="Q166" s="24"/>
    </row>
    <row r="167" spans="6:17" x14ac:dyDescent="0.3">
      <c r="F167" s="24"/>
      <c r="G167" s="24"/>
      <c r="H167" s="24"/>
      <c r="I167" s="24"/>
      <c r="J167" s="24"/>
      <c r="K167" s="24"/>
      <c r="L167" s="24"/>
      <c r="M167" s="24"/>
      <c r="N167" s="24"/>
      <c r="O167" s="24"/>
      <c r="P167" s="24"/>
      <c r="Q167" s="24"/>
    </row>
    <row r="168" spans="6:17" x14ac:dyDescent="0.3">
      <c r="F168" s="24"/>
      <c r="G168" s="24"/>
      <c r="H168" s="24"/>
      <c r="I168" s="24"/>
      <c r="J168" s="24"/>
      <c r="K168" s="24"/>
      <c r="L168" s="24"/>
      <c r="M168" s="24"/>
      <c r="N168" s="24"/>
      <c r="O168" s="24"/>
      <c r="P168" s="24"/>
      <c r="Q168" s="24"/>
    </row>
  </sheetData>
  <mergeCells count="5">
    <mergeCell ref="A29:H29"/>
    <mergeCell ref="C3:E3"/>
    <mergeCell ref="F3:G3"/>
    <mergeCell ref="A18:B18"/>
    <mergeCell ref="A27:B27"/>
  </mergeCells>
  <hyperlinks>
    <hyperlink ref="I1" location="Index!A1" display="Index"/>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CU183"/>
  <sheetViews>
    <sheetView workbookViewId="0">
      <selection activeCell="A2" sqref="A2"/>
    </sheetView>
  </sheetViews>
  <sheetFormatPr defaultRowHeight="14.4" x14ac:dyDescent="0.3"/>
  <cols>
    <col min="1" max="1" width="12.88671875" customWidth="1"/>
    <col min="2" max="3" width="9.44140625" bestFit="1" customWidth="1"/>
    <col min="4" max="4" width="11.77734375" bestFit="1" customWidth="1"/>
    <col min="5" max="5" width="13.21875" bestFit="1" customWidth="1"/>
    <col min="6" max="6" width="12.109375" bestFit="1" customWidth="1"/>
    <col min="7" max="7" width="12" bestFit="1" customWidth="1"/>
    <col min="8" max="8" width="12.109375" bestFit="1" customWidth="1"/>
    <col min="9" max="9" width="12" bestFit="1" customWidth="1"/>
    <col min="10" max="11" width="12.109375" bestFit="1" customWidth="1"/>
    <col min="12" max="12" width="12" bestFit="1" customWidth="1"/>
    <col min="13" max="14" width="12.109375" bestFit="1" customWidth="1"/>
    <col min="15" max="17" width="12" bestFit="1" customWidth="1"/>
    <col min="18" max="18" width="10.44140625" customWidth="1"/>
    <col min="19" max="19" width="12.5546875" bestFit="1" customWidth="1"/>
    <col min="20" max="20" width="12.77734375" bestFit="1" customWidth="1"/>
    <col min="21" max="22" width="12.109375" bestFit="1" customWidth="1"/>
    <col min="23" max="23" width="12" bestFit="1" customWidth="1"/>
    <col min="24" max="24" width="12.5546875" bestFit="1" customWidth="1"/>
    <col min="25" max="25" width="12.109375" bestFit="1" customWidth="1"/>
    <col min="26" max="26" width="12" bestFit="1" customWidth="1"/>
    <col min="27" max="28" width="12.109375" bestFit="1" customWidth="1"/>
    <col min="29" max="30" width="12" bestFit="1" customWidth="1"/>
    <col min="31" max="31" width="11" bestFit="1" customWidth="1"/>
    <col min="32" max="32" width="12.109375" bestFit="1" customWidth="1"/>
    <col min="33" max="35" width="9.44140625" bestFit="1" customWidth="1"/>
    <col min="36" max="36" width="12.109375" bestFit="1" customWidth="1"/>
    <col min="37" max="39" width="12" bestFit="1" customWidth="1"/>
    <col min="40" max="40" width="12.109375" bestFit="1" customWidth="1"/>
    <col min="41" max="43" width="12" bestFit="1" customWidth="1"/>
    <col min="44" max="44" width="12.109375" bestFit="1" customWidth="1"/>
    <col min="45" max="45" width="12" bestFit="1" customWidth="1"/>
    <col min="46" max="46" width="10.5546875" customWidth="1"/>
    <col min="47" max="47" width="12.109375" bestFit="1" customWidth="1"/>
    <col min="48" max="48" width="13.109375" customWidth="1"/>
    <col min="49" max="52" width="12" bestFit="1" customWidth="1"/>
    <col min="53" max="53" width="12.109375" bestFit="1" customWidth="1"/>
    <col min="54" max="54" width="12" bestFit="1" customWidth="1"/>
    <col min="55" max="55" width="12.5546875" bestFit="1" customWidth="1"/>
    <col min="56" max="56" width="12" bestFit="1" customWidth="1"/>
    <col min="57" max="58" width="12.109375" bestFit="1" customWidth="1"/>
    <col min="59" max="65" width="12" bestFit="1" customWidth="1"/>
    <col min="66" max="66" width="10.21875" customWidth="1"/>
    <col min="67" max="67" width="12.109375" bestFit="1" customWidth="1"/>
    <col min="68" max="68" width="12.44140625" customWidth="1"/>
    <col min="69" max="69" width="13.88671875" bestFit="1" customWidth="1"/>
    <col min="70" max="70" width="11.77734375" bestFit="1" customWidth="1"/>
    <col min="71" max="71" width="11" style="655" bestFit="1" customWidth="1"/>
    <col min="72" max="72" width="12.21875" customWidth="1"/>
    <col min="73" max="73" width="14" style="879" customWidth="1"/>
    <col min="74" max="74" width="10.77734375" customWidth="1"/>
    <col min="75" max="76" width="11.109375" style="1011" customWidth="1"/>
    <col min="77" max="83" width="13" style="1011" customWidth="1"/>
    <col min="84" max="84" width="12.21875" bestFit="1" customWidth="1"/>
    <col min="85" max="85" width="12.5546875" bestFit="1" customWidth="1"/>
  </cols>
  <sheetData>
    <row r="1" spans="1:99" x14ac:dyDescent="0.3">
      <c r="A1" s="75" t="s">
        <v>1245</v>
      </c>
      <c r="BI1" s="988"/>
      <c r="BX1" s="1011" t="s">
        <v>1593</v>
      </c>
    </row>
    <row r="2" spans="1:99" s="655" customFormat="1" ht="15.6" x14ac:dyDescent="0.3">
      <c r="A2" s="463" t="s">
        <v>504</v>
      </c>
      <c r="E2" s="8"/>
      <c r="BI2" s="654"/>
      <c r="BU2" s="879"/>
      <c r="BW2" s="1011"/>
      <c r="BX2" s="1011"/>
      <c r="BY2" s="1011"/>
      <c r="BZ2" s="1011"/>
      <c r="CA2" s="1011"/>
      <c r="CB2" s="1011"/>
      <c r="CC2" s="1011"/>
      <c r="CD2" s="1011"/>
      <c r="CE2" s="1011"/>
    </row>
    <row r="3" spans="1:99" s="655" customFormat="1" x14ac:dyDescent="0.3">
      <c r="A3" s="655" t="s">
        <v>2073</v>
      </c>
      <c r="D3" s="1020"/>
      <c r="BI3" s="1136"/>
      <c r="BU3" s="879"/>
      <c r="BW3" s="1011"/>
      <c r="BX3" s="1011"/>
      <c r="BY3" s="1011"/>
      <c r="BZ3" s="1011"/>
      <c r="CA3" s="1011"/>
      <c r="CB3" s="1011"/>
      <c r="CC3" s="1011"/>
      <c r="CD3" s="1011"/>
      <c r="CE3" s="1011"/>
      <c r="CI3" s="24"/>
      <c r="CJ3" s="24"/>
      <c r="CK3" s="24"/>
      <c r="CL3" s="24"/>
      <c r="CM3" s="24"/>
      <c r="CN3" s="24"/>
      <c r="CO3" s="24"/>
      <c r="CP3" s="24"/>
    </row>
    <row r="4" spans="1:99" s="75" customFormat="1" x14ac:dyDescent="0.3">
      <c r="A4" s="75" t="s">
        <v>940</v>
      </c>
      <c r="B4" s="75" t="s">
        <v>941</v>
      </c>
      <c r="C4" s="75" t="s">
        <v>461</v>
      </c>
      <c r="D4" s="75" t="s">
        <v>942</v>
      </c>
      <c r="E4" s="75" t="s">
        <v>943</v>
      </c>
      <c r="F4" s="75" t="s">
        <v>944</v>
      </c>
      <c r="G4" s="75" t="s">
        <v>945</v>
      </c>
      <c r="H4" s="75" t="s">
        <v>946</v>
      </c>
      <c r="I4" s="75" t="s">
        <v>947</v>
      </c>
      <c r="J4" s="75" t="s">
        <v>948</v>
      </c>
      <c r="K4" s="75" t="s">
        <v>949</v>
      </c>
      <c r="L4" s="75" t="s">
        <v>950</v>
      </c>
      <c r="M4" s="75" t="s">
        <v>951</v>
      </c>
      <c r="N4" s="75" t="s">
        <v>952</v>
      </c>
      <c r="O4" s="75" t="s">
        <v>953</v>
      </c>
      <c r="P4" s="75" t="s">
        <v>954</v>
      </c>
      <c r="Q4" s="75" t="s">
        <v>955</v>
      </c>
      <c r="R4" s="75" t="s">
        <v>956</v>
      </c>
      <c r="S4" s="75" t="s">
        <v>957</v>
      </c>
      <c r="T4" s="75" t="s">
        <v>958</v>
      </c>
      <c r="U4" s="75" t="s">
        <v>959</v>
      </c>
      <c r="V4" s="75" t="s">
        <v>960</v>
      </c>
      <c r="W4" s="75" t="s">
        <v>961</v>
      </c>
      <c r="X4" s="75" t="s">
        <v>962</v>
      </c>
      <c r="Y4" s="75" t="s">
        <v>963</v>
      </c>
      <c r="Z4" s="75" t="s">
        <v>964</v>
      </c>
      <c r="AA4" s="75" t="s">
        <v>965</v>
      </c>
      <c r="AB4" s="75" t="s">
        <v>966</v>
      </c>
      <c r="AC4" s="75" t="s">
        <v>967</v>
      </c>
      <c r="AD4" s="75" t="s">
        <v>968</v>
      </c>
      <c r="AE4" s="75" t="s">
        <v>969</v>
      </c>
      <c r="AF4" s="75" t="s">
        <v>970</v>
      </c>
      <c r="AG4" s="75" t="s">
        <v>971</v>
      </c>
      <c r="AH4" s="75" t="s">
        <v>972</v>
      </c>
      <c r="AI4" s="75" t="s">
        <v>973</v>
      </c>
      <c r="AJ4" s="75" t="s">
        <v>974</v>
      </c>
      <c r="AK4" s="75" t="s">
        <v>975</v>
      </c>
      <c r="AL4" s="75" t="s">
        <v>976</v>
      </c>
      <c r="AM4" s="75" t="s">
        <v>977</v>
      </c>
      <c r="AN4" s="75" t="s">
        <v>978</v>
      </c>
      <c r="AO4" s="75" t="s">
        <v>979</v>
      </c>
      <c r="AP4" s="75" t="s">
        <v>980</v>
      </c>
      <c r="AQ4" s="75" t="s">
        <v>981</v>
      </c>
      <c r="AR4" s="75" t="s">
        <v>982</v>
      </c>
      <c r="AS4" s="75" t="s">
        <v>983</v>
      </c>
      <c r="AT4" s="75" t="s">
        <v>984</v>
      </c>
      <c r="AU4" s="75" t="s">
        <v>985</v>
      </c>
      <c r="AV4" s="75" t="s">
        <v>986</v>
      </c>
      <c r="AW4" s="75" t="s">
        <v>987</v>
      </c>
      <c r="AX4" s="75" t="s">
        <v>988</v>
      </c>
      <c r="AY4" s="75" t="s">
        <v>989</v>
      </c>
      <c r="AZ4" s="75" t="s">
        <v>990</v>
      </c>
      <c r="BA4" s="75" t="s">
        <v>991</v>
      </c>
      <c r="BB4" s="75" t="s">
        <v>992</v>
      </c>
      <c r="BC4" s="495" t="s">
        <v>993</v>
      </c>
      <c r="BD4" s="495" t="s">
        <v>994</v>
      </c>
      <c r="BE4" s="75" t="s">
        <v>996</v>
      </c>
      <c r="BF4" s="495" t="s">
        <v>997</v>
      </c>
      <c r="BG4" s="75" t="s">
        <v>1033</v>
      </c>
      <c r="BH4" s="75" t="s">
        <v>1034</v>
      </c>
      <c r="BI4" s="75" t="s">
        <v>1036</v>
      </c>
      <c r="BJ4" s="75" t="s">
        <v>1037</v>
      </c>
      <c r="BK4" s="75" t="s">
        <v>1038</v>
      </c>
      <c r="BL4" s="75" t="s">
        <v>1039</v>
      </c>
      <c r="BM4" s="75" t="s">
        <v>1040</v>
      </c>
      <c r="BN4" s="75" t="s">
        <v>1041</v>
      </c>
      <c r="BO4" s="75" t="s">
        <v>1042</v>
      </c>
      <c r="BP4" s="75" t="s">
        <v>1055</v>
      </c>
      <c r="BQ4" s="495" t="s">
        <v>1139</v>
      </c>
      <c r="BR4" s="495" t="s">
        <v>1203</v>
      </c>
      <c r="BS4" s="495" t="s">
        <v>1282</v>
      </c>
      <c r="BT4" s="75" t="s">
        <v>1334</v>
      </c>
      <c r="BU4" s="75" t="s">
        <v>1474</v>
      </c>
      <c r="BV4" s="75" t="s">
        <v>1589</v>
      </c>
      <c r="BW4" s="75" t="s">
        <v>1590</v>
      </c>
      <c r="BX4" s="75" t="s">
        <v>1591</v>
      </c>
      <c r="BY4" s="75" t="s">
        <v>1592</v>
      </c>
      <c r="BZ4" s="75" t="s">
        <v>1595</v>
      </c>
      <c r="CA4" s="75" t="s">
        <v>1594</v>
      </c>
      <c r="CB4" s="75" t="s">
        <v>1596</v>
      </c>
      <c r="CC4" s="75" t="s">
        <v>1597</v>
      </c>
      <c r="CD4" s="75" t="s">
        <v>1596</v>
      </c>
      <c r="CE4" s="75" t="s">
        <v>1767</v>
      </c>
      <c r="CF4" s="75" t="s">
        <v>1920</v>
      </c>
      <c r="CI4" s="495"/>
      <c r="CJ4" s="1018"/>
      <c r="CK4" s="495"/>
      <c r="CL4" s="495"/>
      <c r="CM4" s="1018"/>
      <c r="CN4" s="1018"/>
      <c r="CO4" s="495"/>
      <c r="CP4" s="1018"/>
    </row>
    <row r="5" spans="1:99" s="256" customFormat="1" ht="9.75" customHeight="1" x14ac:dyDescent="0.3">
      <c r="A5" s="256">
        <v>0</v>
      </c>
      <c r="B5" s="256">
        <v>101890</v>
      </c>
      <c r="C5" s="788">
        <v>1960</v>
      </c>
      <c r="D5" s="1020">
        <v>314412385855</v>
      </c>
      <c r="E5" s="792">
        <v>257279108459</v>
      </c>
      <c r="F5" s="256">
        <v>1692581169.7</v>
      </c>
      <c r="G5" s="256">
        <v>9796730440.6000004</v>
      </c>
      <c r="H5" s="256">
        <v>9796730440.6000004</v>
      </c>
      <c r="I5" s="256">
        <v>383372915.27999997</v>
      </c>
      <c r="J5" s="256">
        <v>5022017713.6000004</v>
      </c>
      <c r="K5" s="256">
        <v>0</v>
      </c>
      <c r="L5" s="256">
        <v>2258366004.3000002</v>
      </c>
      <c r="M5" s="256">
        <v>0</v>
      </c>
      <c r="N5" s="256">
        <v>0</v>
      </c>
      <c r="O5" s="256">
        <v>0</v>
      </c>
      <c r="P5" s="256">
        <v>0</v>
      </c>
      <c r="Q5" s="256">
        <v>0</v>
      </c>
      <c r="R5" s="256">
        <v>20734119329</v>
      </c>
      <c r="S5" s="256">
        <v>8462905848.5</v>
      </c>
      <c r="T5" s="256">
        <v>1692581169.7</v>
      </c>
      <c r="U5" s="256">
        <v>2538871754.5999999</v>
      </c>
      <c r="V5" s="256">
        <v>0</v>
      </c>
      <c r="W5" s="256">
        <v>691526136.65999997</v>
      </c>
      <c r="X5" s="256">
        <v>3808307631.8000002</v>
      </c>
      <c r="Y5" s="256">
        <v>0</v>
      </c>
      <c r="Z5" s="256">
        <v>3933149742.0999999</v>
      </c>
      <c r="AA5" s="256">
        <v>5136869378.3999996</v>
      </c>
      <c r="AB5" s="256">
        <v>0</v>
      </c>
      <c r="AC5" s="256">
        <v>10044035427</v>
      </c>
      <c r="AD5" s="256">
        <v>2258366004.3000002</v>
      </c>
      <c r="AE5" s="256">
        <v>0</v>
      </c>
      <c r="AF5" s="256">
        <v>166752954.99000001</v>
      </c>
      <c r="AG5" s="256">
        <v>5285273.8163000001</v>
      </c>
      <c r="AH5" s="256">
        <v>0</v>
      </c>
      <c r="AI5" s="256">
        <v>707.42616942999996</v>
      </c>
      <c r="AJ5" s="256">
        <v>61092003.772</v>
      </c>
      <c r="AK5" s="256">
        <v>18532000000</v>
      </c>
      <c r="AL5" s="256">
        <v>0</v>
      </c>
      <c r="AM5" s="256">
        <v>39800381850</v>
      </c>
      <c r="AN5" s="256">
        <v>0</v>
      </c>
      <c r="AO5" s="256">
        <v>9422879723.1000004</v>
      </c>
      <c r="AP5" s="256">
        <v>0</v>
      </c>
      <c r="AQ5" s="256">
        <v>0</v>
      </c>
      <c r="AR5" s="256">
        <v>2355719930.8000002</v>
      </c>
      <c r="AS5" s="256">
        <v>0</v>
      </c>
      <c r="AT5" s="256">
        <v>0</v>
      </c>
      <c r="AU5" s="256">
        <v>0</v>
      </c>
      <c r="AV5" s="256">
        <v>39800381850</v>
      </c>
      <c r="AW5" s="256">
        <v>4832401625.6999998</v>
      </c>
      <c r="AX5" s="256">
        <v>3624301219.3000002</v>
      </c>
      <c r="AY5" s="256">
        <v>13003168862</v>
      </c>
      <c r="AZ5" s="256">
        <v>8980120993.8999996</v>
      </c>
      <c r="BA5" s="256">
        <v>31840305.48</v>
      </c>
      <c r="BB5" s="256">
        <v>498425.06621999998</v>
      </c>
      <c r="BC5" s="256">
        <v>0</v>
      </c>
      <c r="BD5" s="256">
        <v>0</v>
      </c>
      <c r="BE5" s="256">
        <v>93255051.685000002</v>
      </c>
      <c r="BF5" s="256">
        <v>0</v>
      </c>
      <c r="BG5" s="256">
        <v>7748353611.3999996</v>
      </c>
      <c r="BH5" s="256">
        <v>0</v>
      </c>
      <c r="BI5" s="256">
        <v>6567539432.8000002</v>
      </c>
      <c r="BJ5" s="789">
        <v>0</v>
      </c>
      <c r="BK5" s="256">
        <v>0</v>
      </c>
      <c r="BL5" s="256">
        <v>0</v>
      </c>
      <c r="BM5" s="256">
        <v>0</v>
      </c>
      <c r="BN5" s="256">
        <v>0</v>
      </c>
      <c r="BO5" s="256">
        <v>111685991.55</v>
      </c>
      <c r="BP5" s="256">
        <v>0</v>
      </c>
      <c r="BQ5" s="256">
        <v>0</v>
      </c>
      <c r="BR5" s="256">
        <v>2020813.4672000001</v>
      </c>
      <c r="BS5" s="256" t="s">
        <v>574</v>
      </c>
      <c r="BT5" s="256">
        <v>-189768512.69999999</v>
      </c>
      <c r="BU5" s="256">
        <v>4978863860.8999996</v>
      </c>
      <c r="BV5" s="1015">
        <v>-1120699835</v>
      </c>
      <c r="BW5" s="1013">
        <v>197737.30335</v>
      </c>
      <c r="BX5" s="455">
        <v>221153.9075</v>
      </c>
      <c r="BY5" s="455">
        <v>293287289.48000002</v>
      </c>
      <c r="BZ5" s="455">
        <v>161858612.94999999</v>
      </c>
      <c r="CA5" s="1013">
        <v>304371226.14999998</v>
      </c>
      <c r="CB5" s="1013"/>
      <c r="CC5" s="1013"/>
      <c r="CD5" s="1013"/>
      <c r="CE5" s="1013"/>
      <c r="CF5" s="1255"/>
      <c r="CG5" s="252"/>
      <c r="CH5" s="252"/>
      <c r="CK5" s="455"/>
      <c r="CL5" s="455"/>
      <c r="CM5" s="455"/>
      <c r="CN5" s="455"/>
      <c r="CO5" s="1017"/>
      <c r="CP5" s="1017"/>
      <c r="CS5" s="1013"/>
      <c r="CT5" s="1013"/>
      <c r="CU5" s="871"/>
    </row>
    <row r="6" spans="1:99" s="256" customFormat="1" ht="9.75" customHeight="1" x14ac:dyDescent="0.3">
      <c r="C6" s="788"/>
      <c r="D6" s="792"/>
      <c r="E6" s="792"/>
      <c r="BJ6" s="789"/>
      <c r="BV6" s="1012"/>
      <c r="BW6" s="1013"/>
      <c r="BX6" s="1013"/>
      <c r="BY6" s="1013"/>
      <c r="BZ6" s="1013"/>
      <c r="CA6" s="1013"/>
      <c r="CB6" s="1013"/>
      <c r="CC6" s="1013"/>
      <c r="CD6" s="1013"/>
      <c r="CE6" s="1013"/>
      <c r="CF6" s="1255"/>
      <c r="CG6" s="252"/>
      <c r="CH6" s="252"/>
      <c r="CK6" s="455"/>
      <c r="CL6" s="455"/>
      <c r="CM6" s="455"/>
      <c r="CN6" s="455"/>
      <c r="CO6" s="1017"/>
      <c r="CP6" s="1017"/>
      <c r="CU6" s="871"/>
    </row>
    <row r="7" spans="1:99" s="256" customFormat="1" ht="9.75" customHeight="1" x14ac:dyDescent="0.3">
      <c r="A7" s="256">
        <v>0</v>
      </c>
      <c r="B7" s="256">
        <v>103360</v>
      </c>
      <c r="C7" s="788">
        <v>1962</v>
      </c>
      <c r="D7" s="792">
        <v>348128831600</v>
      </c>
      <c r="E7" s="792">
        <v>282141535884</v>
      </c>
      <c r="F7" s="256">
        <v>7088279784</v>
      </c>
      <c r="G7" s="256">
        <v>11012114572</v>
      </c>
      <c r="H7" s="256">
        <v>11508600347</v>
      </c>
      <c r="I7" s="256">
        <v>496485774.60000002</v>
      </c>
      <c r="J7" s="256">
        <v>5559507159</v>
      </c>
      <c r="K7" s="256">
        <v>0</v>
      </c>
      <c r="L7" s="256">
        <v>2279193459.4000001</v>
      </c>
      <c r="M7" s="256">
        <v>0</v>
      </c>
      <c r="N7" s="256">
        <v>0</v>
      </c>
      <c r="O7" s="256">
        <v>0</v>
      </c>
      <c r="P7" s="256">
        <v>0</v>
      </c>
      <c r="Q7" s="256">
        <v>0</v>
      </c>
      <c r="R7" s="256">
        <v>21928394161</v>
      </c>
      <c r="S7" s="256">
        <v>9515036370.7999992</v>
      </c>
      <c r="T7" s="256">
        <v>2436488240.0999999</v>
      </c>
      <c r="U7" s="256">
        <v>2567507003.9000001</v>
      </c>
      <c r="V7" s="256">
        <v>0</v>
      </c>
      <c r="W7" s="256">
        <v>498028526.48000002</v>
      </c>
      <c r="X7" s="256">
        <v>3851260505.9000001</v>
      </c>
      <c r="Y7" s="256">
        <v>0</v>
      </c>
      <c r="Z7" s="256">
        <v>5057009608.1000004</v>
      </c>
      <c r="AA7" s="256">
        <v>5814494473.8999996</v>
      </c>
      <c r="AB7" s="256">
        <v>0</v>
      </c>
      <c r="AC7" s="256">
        <v>9231925601.2999992</v>
      </c>
      <c r="AD7" s="256">
        <v>2279193459.4000001</v>
      </c>
      <c r="AE7" s="256">
        <v>0</v>
      </c>
      <c r="AF7" s="256">
        <v>168362393.09</v>
      </c>
      <c r="AG7" s="256">
        <v>5718688.0700000003</v>
      </c>
      <c r="AH7" s="256">
        <v>0</v>
      </c>
      <c r="AI7" s="256">
        <v>4447.49</v>
      </c>
      <c r="AJ7" s="256">
        <v>62699346.420000002</v>
      </c>
      <c r="AK7" s="256">
        <v>24921000000</v>
      </c>
      <c r="AL7" s="256">
        <v>23296000000</v>
      </c>
      <c r="AM7" s="256">
        <v>44801179727</v>
      </c>
      <c r="AN7" s="256">
        <v>890961987.77999997</v>
      </c>
      <c r="AO7" s="256">
        <v>11752416339</v>
      </c>
      <c r="AP7" s="256">
        <v>2241729732.6999998</v>
      </c>
      <c r="AQ7" s="256">
        <v>0</v>
      </c>
      <c r="AR7" s="256">
        <v>2693451061.9000001</v>
      </c>
      <c r="AS7" s="256">
        <v>0</v>
      </c>
      <c r="AT7" s="256">
        <v>0</v>
      </c>
      <c r="AU7" s="256">
        <v>0</v>
      </c>
      <c r="AV7" s="256">
        <v>44095876969</v>
      </c>
      <c r="AW7" s="256">
        <v>6853179022</v>
      </c>
      <c r="AX7" s="256">
        <v>5099678561.6999998</v>
      </c>
      <c r="AY7" s="256">
        <v>16819475678</v>
      </c>
      <c r="AZ7" s="256">
        <v>12222195324</v>
      </c>
      <c r="BA7" s="256">
        <v>41602080.718999997</v>
      </c>
      <c r="BB7" s="256">
        <v>10160405.112</v>
      </c>
      <c r="BC7" s="256">
        <v>0</v>
      </c>
      <c r="BD7" s="256">
        <v>0</v>
      </c>
      <c r="BE7" s="256">
        <v>93873615.319999993</v>
      </c>
      <c r="BF7" s="256">
        <v>0</v>
      </c>
      <c r="BG7" s="256">
        <v>9105195437.8999996</v>
      </c>
      <c r="BH7" s="256">
        <v>0</v>
      </c>
      <c r="BI7" s="256">
        <v>8253815836.8999996</v>
      </c>
      <c r="BJ7" s="789">
        <v>0</v>
      </c>
      <c r="BK7" s="256">
        <v>0</v>
      </c>
      <c r="BL7" s="256">
        <v>0</v>
      </c>
      <c r="BM7" s="256">
        <v>0</v>
      </c>
      <c r="BN7" s="256">
        <v>354023550.44999999</v>
      </c>
      <c r="BO7" s="256">
        <v>246928879.74000001</v>
      </c>
      <c r="BP7" s="256">
        <v>0</v>
      </c>
      <c r="BQ7" s="256">
        <v>9515036370.7999992</v>
      </c>
      <c r="BR7" s="256">
        <v>3635159.08</v>
      </c>
      <c r="BS7" s="256" t="s">
        <v>574</v>
      </c>
      <c r="BT7" s="256">
        <v>-198014245.09999999</v>
      </c>
      <c r="BU7" s="256">
        <v>6126701380.3000002</v>
      </c>
      <c r="BV7" s="1012">
        <v>-857120831.89999998</v>
      </c>
      <c r="BW7" s="1013">
        <v>381764.6</v>
      </c>
      <c r="BX7" s="1013">
        <v>236433.26</v>
      </c>
      <c r="BY7" s="1013">
        <v>313159816.72000003</v>
      </c>
      <c r="BZ7" s="1013">
        <v>203998586.11000001</v>
      </c>
      <c r="CA7" s="1013">
        <v>360249331.00999999</v>
      </c>
      <c r="CB7" s="1013"/>
      <c r="CC7" s="1013"/>
      <c r="CD7" s="1013"/>
      <c r="CE7" s="1013"/>
      <c r="CF7" s="1255">
        <v>1787706186.4000001</v>
      </c>
      <c r="CG7" s="252"/>
      <c r="CH7" s="252"/>
      <c r="CK7" s="455"/>
      <c r="CL7" s="455"/>
      <c r="CM7" s="455"/>
      <c r="CN7" s="455"/>
      <c r="CO7" s="1017"/>
      <c r="CP7" s="1017"/>
      <c r="CS7" s="1013"/>
      <c r="CT7" s="1013"/>
      <c r="CU7" s="871"/>
    </row>
    <row r="8" spans="1:99" s="256" customFormat="1" ht="9.75" customHeight="1" x14ac:dyDescent="0.3">
      <c r="A8" s="43"/>
      <c r="B8" s="43"/>
      <c r="C8" s="788"/>
      <c r="D8" s="791"/>
      <c r="E8" s="791"/>
      <c r="F8" s="43"/>
      <c r="G8" s="43"/>
      <c r="H8" s="43"/>
      <c r="I8" s="43"/>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790"/>
      <c r="BK8" s="43"/>
      <c r="BL8" s="43"/>
      <c r="BM8" s="43"/>
      <c r="BN8" s="43"/>
      <c r="BO8" s="43"/>
      <c r="BV8" s="1012"/>
      <c r="BW8" s="1013"/>
      <c r="BX8" s="1013"/>
      <c r="BY8" s="1013"/>
      <c r="BZ8" s="1013"/>
      <c r="CA8" s="1013"/>
      <c r="CB8" s="1013"/>
      <c r="CC8" s="1013"/>
      <c r="CD8" s="1013"/>
      <c r="CE8" s="1013"/>
      <c r="CF8" s="252">
        <v>1787706186.4000001</v>
      </c>
      <c r="CG8" s="252"/>
      <c r="CH8" s="252"/>
      <c r="CK8" s="455"/>
      <c r="CL8" s="455"/>
      <c r="CM8" s="455"/>
      <c r="CN8" s="455"/>
      <c r="CO8" s="1017"/>
      <c r="CP8" s="1017"/>
      <c r="CU8" s="871"/>
    </row>
    <row r="9" spans="1:99" s="256" customFormat="1" ht="9.75" customHeight="1" x14ac:dyDescent="0.3">
      <c r="A9" s="43">
        <v>0</v>
      </c>
      <c r="B9" s="43">
        <v>94983</v>
      </c>
      <c r="C9" s="788">
        <v>1964</v>
      </c>
      <c r="D9" s="791">
        <v>375197398808</v>
      </c>
      <c r="E9" s="791">
        <v>316126289413</v>
      </c>
      <c r="F9" s="43">
        <v>9348565663</v>
      </c>
      <c r="G9" s="43">
        <v>11074044621</v>
      </c>
      <c r="H9" s="43">
        <v>11897052805</v>
      </c>
      <c r="I9" s="43">
        <v>823008184</v>
      </c>
      <c r="J9" s="43">
        <v>7270932283</v>
      </c>
      <c r="K9" s="43">
        <v>0</v>
      </c>
      <c r="L9" s="43">
        <v>2980153556</v>
      </c>
      <c r="M9" s="43">
        <v>0</v>
      </c>
      <c r="N9" s="43">
        <v>0</v>
      </c>
      <c r="O9" s="43">
        <v>0</v>
      </c>
      <c r="P9" s="43">
        <v>0</v>
      </c>
      <c r="Q9" s="43">
        <v>2841680125</v>
      </c>
      <c r="R9" s="43">
        <v>29265125547</v>
      </c>
      <c r="S9" s="43">
        <v>6839142425</v>
      </c>
      <c r="T9" s="43">
        <v>1975868819</v>
      </c>
      <c r="U9" s="43">
        <v>2913998455</v>
      </c>
      <c r="V9" s="43">
        <v>0</v>
      </c>
      <c r="W9" s="43">
        <v>805847007.20000005</v>
      </c>
      <c r="X9" s="43">
        <v>4243561665</v>
      </c>
      <c r="Y9" s="43">
        <v>0</v>
      </c>
      <c r="Z9" s="43">
        <v>6615703638.3000002</v>
      </c>
      <c r="AA9" s="43">
        <v>5375673075.5</v>
      </c>
      <c r="AB9" s="43">
        <v>0</v>
      </c>
      <c r="AC9" s="43">
        <v>12576245051</v>
      </c>
      <c r="AD9" s="43">
        <v>2980153556</v>
      </c>
      <c r="AE9" s="43">
        <v>0</v>
      </c>
      <c r="AF9" s="43">
        <v>171510833</v>
      </c>
      <c r="AG9" s="43">
        <v>5984346</v>
      </c>
      <c r="AH9" s="43">
        <v>0</v>
      </c>
      <c r="AI9" s="43">
        <v>4796</v>
      </c>
      <c r="AJ9" s="43">
        <v>63931335</v>
      </c>
      <c r="AK9" s="43">
        <v>31359000000</v>
      </c>
      <c r="AL9" s="43">
        <v>26573000000</v>
      </c>
      <c r="AM9" s="43">
        <v>43926839732</v>
      </c>
      <c r="AN9" s="43">
        <v>812408840</v>
      </c>
      <c r="AO9" s="43">
        <v>11573981322</v>
      </c>
      <c r="AP9" s="43">
        <v>2634518032</v>
      </c>
      <c r="AQ9" s="43">
        <v>0</v>
      </c>
      <c r="AR9" s="43">
        <v>2468708206</v>
      </c>
      <c r="AS9" s="43">
        <v>0</v>
      </c>
      <c r="AT9" s="43">
        <v>0</v>
      </c>
      <c r="AU9" s="43">
        <v>0</v>
      </c>
      <c r="AV9" s="43">
        <v>43360058925</v>
      </c>
      <c r="AW9" s="43">
        <v>6470755084</v>
      </c>
      <c r="AX9" s="43">
        <v>5570224745</v>
      </c>
      <c r="AY9" s="43">
        <v>19419489192</v>
      </c>
      <c r="AZ9" s="43">
        <v>12361748183</v>
      </c>
      <c r="BA9" s="43">
        <v>50642670</v>
      </c>
      <c r="BB9" s="43">
        <v>3896124</v>
      </c>
      <c r="BC9" s="43">
        <v>0</v>
      </c>
      <c r="BD9" s="43">
        <v>0</v>
      </c>
      <c r="BE9" s="43">
        <v>95350924</v>
      </c>
      <c r="BF9" s="43">
        <v>0</v>
      </c>
      <c r="BG9" s="43">
        <v>9760015202</v>
      </c>
      <c r="BH9" s="43">
        <v>0</v>
      </c>
      <c r="BI9" s="43">
        <v>8796454929</v>
      </c>
      <c r="BJ9" s="790">
        <v>0</v>
      </c>
      <c r="BK9" s="43">
        <v>0</v>
      </c>
      <c r="BL9" s="43">
        <v>0</v>
      </c>
      <c r="BM9" s="43">
        <v>0</v>
      </c>
      <c r="BN9" s="43">
        <v>527835000</v>
      </c>
      <c r="BO9" s="43">
        <v>423012660.39999998</v>
      </c>
      <c r="BP9" s="256">
        <v>0</v>
      </c>
      <c r="BQ9" s="256">
        <v>2185138234</v>
      </c>
      <c r="BR9" s="256">
        <v>2902500</v>
      </c>
      <c r="BS9" s="256" t="s">
        <v>574</v>
      </c>
      <c r="BT9" s="256">
        <v>-133684245.2</v>
      </c>
      <c r="BU9" s="256">
        <v>6856517210.6000004</v>
      </c>
      <c r="BV9" s="1012">
        <v>-1366671587</v>
      </c>
      <c r="BW9" s="1013">
        <v>416842</v>
      </c>
      <c r="BX9" s="1013">
        <v>180211</v>
      </c>
      <c r="BY9" s="1013">
        <v>237657649</v>
      </c>
      <c r="BZ9" s="1013">
        <v>178050522</v>
      </c>
      <c r="CA9" s="1013">
        <v>422545779</v>
      </c>
      <c r="CB9" s="1013"/>
      <c r="CC9" s="1013"/>
      <c r="CD9" s="1013"/>
      <c r="CE9" s="1013"/>
      <c r="CF9" s="1255">
        <v>2360374952</v>
      </c>
      <c r="CG9" s="252"/>
      <c r="CH9" s="252"/>
      <c r="CK9" s="455"/>
      <c r="CL9" s="455"/>
      <c r="CM9" s="455"/>
      <c r="CN9" s="455"/>
      <c r="CO9" s="1017"/>
      <c r="CP9" s="1017"/>
      <c r="CS9" s="1013"/>
      <c r="CT9" s="1013"/>
      <c r="CU9" s="871"/>
    </row>
    <row r="10" spans="1:99" s="256" customFormat="1" ht="9.75" customHeight="1" x14ac:dyDescent="0.3">
      <c r="A10" s="43"/>
      <c r="B10" s="43"/>
      <c r="C10" s="788"/>
      <c r="D10" s="791"/>
      <c r="E10" s="791"/>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43"/>
      <c r="BI10" s="43"/>
      <c r="BJ10" s="790"/>
      <c r="BK10" s="43"/>
      <c r="BL10" s="43"/>
      <c r="BM10" s="43"/>
      <c r="BN10" s="43"/>
      <c r="BO10" s="43"/>
      <c r="BV10" s="1012"/>
      <c r="BW10" s="1013"/>
      <c r="BX10" s="1013"/>
      <c r="BY10" s="1013"/>
      <c r="BZ10" s="1013"/>
      <c r="CA10" s="1013"/>
      <c r="CB10" s="1013"/>
      <c r="CC10" s="1013"/>
      <c r="CD10" s="1013"/>
      <c r="CE10" s="1013"/>
      <c r="CF10" s="252">
        <v>2360374952</v>
      </c>
      <c r="CG10" s="252"/>
      <c r="CH10" s="252"/>
      <c r="CK10" s="455"/>
      <c r="CL10" s="455"/>
      <c r="CM10" s="455"/>
      <c r="CN10" s="455"/>
      <c r="CO10" s="1017"/>
      <c r="CP10" s="1017"/>
      <c r="CU10" s="871"/>
    </row>
    <row r="11" spans="1:99" s="256" customFormat="1" ht="9.75" customHeight="1" x14ac:dyDescent="0.3">
      <c r="A11" s="43">
        <v>0</v>
      </c>
      <c r="B11" s="43">
        <v>86610</v>
      </c>
      <c r="C11" s="788">
        <v>1966</v>
      </c>
      <c r="D11" s="791">
        <v>468457931115</v>
      </c>
      <c r="E11" s="791">
        <v>379923032963</v>
      </c>
      <c r="F11" s="43">
        <v>13445836899</v>
      </c>
      <c r="G11" s="43">
        <v>13716333367</v>
      </c>
      <c r="H11" s="43">
        <v>15377702700</v>
      </c>
      <c r="I11" s="43">
        <v>1080283049.2</v>
      </c>
      <c r="J11" s="43">
        <v>10053662238</v>
      </c>
      <c r="K11" s="43">
        <v>0</v>
      </c>
      <c r="L11" s="43">
        <v>4765238903</v>
      </c>
      <c r="M11" s="43">
        <v>0</v>
      </c>
      <c r="N11" s="43">
        <v>0</v>
      </c>
      <c r="O11" s="43">
        <v>0</v>
      </c>
      <c r="P11" s="43">
        <v>0</v>
      </c>
      <c r="Q11" s="43">
        <v>3577151035.5</v>
      </c>
      <c r="R11" s="43">
        <v>29529719300</v>
      </c>
      <c r="S11" s="43">
        <v>12403682197</v>
      </c>
      <c r="T11" s="43">
        <v>4017052233.9000001</v>
      </c>
      <c r="U11" s="43">
        <v>4681698185.6999998</v>
      </c>
      <c r="V11" s="43">
        <v>1042218413.4</v>
      </c>
      <c r="W11" s="43">
        <v>635166173.58000004</v>
      </c>
      <c r="X11" s="43">
        <v>3406056965.5</v>
      </c>
      <c r="Y11" s="43">
        <v>0</v>
      </c>
      <c r="Z11" s="43">
        <v>10076333160</v>
      </c>
      <c r="AA11" s="43">
        <v>5892803284.5</v>
      </c>
      <c r="AB11" s="43">
        <v>0</v>
      </c>
      <c r="AC11" s="43">
        <v>20107324476</v>
      </c>
      <c r="AD11" s="43">
        <v>4765238903</v>
      </c>
      <c r="AE11" s="43">
        <v>0</v>
      </c>
      <c r="AF11" s="43">
        <v>185637959.53999999</v>
      </c>
      <c r="AG11" s="43">
        <v>7608887.9299999997</v>
      </c>
      <c r="AH11" s="43">
        <v>0</v>
      </c>
      <c r="AI11" s="43">
        <v>21595.43</v>
      </c>
      <c r="AJ11" s="43">
        <v>70160493.219999999</v>
      </c>
      <c r="AK11" s="43">
        <v>41571000000</v>
      </c>
      <c r="AL11" s="43">
        <v>32232000000</v>
      </c>
      <c r="AM11" s="43">
        <v>56064217140</v>
      </c>
      <c r="AN11" s="43">
        <v>1507785788.2</v>
      </c>
      <c r="AO11" s="43">
        <v>15789924180</v>
      </c>
      <c r="AP11" s="43">
        <v>4060621601.6999998</v>
      </c>
      <c r="AQ11" s="43">
        <v>0</v>
      </c>
      <c r="AR11" s="43">
        <v>3239910860.5999999</v>
      </c>
      <c r="AS11" s="43">
        <v>0</v>
      </c>
      <c r="AT11" s="43">
        <v>0</v>
      </c>
      <c r="AU11" s="43">
        <v>0</v>
      </c>
      <c r="AV11" s="43">
        <v>54846793637</v>
      </c>
      <c r="AW11" s="43">
        <v>8489391718</v>
      </c>
      <c r="AX11" s="43">
        <v>7416166722.1000004</v>
      </c>
      <c r="AY11" s="43">
        <v>27553255392</v>
      </c>
      <c r="AZ11" s="43">
        <v>15630779658</v>
      </c>
      <c r="BA11" s="43">
        <v>81566884.989999995</v>
      </c>
      <c r="BB11" s="43">
        <v>87615250.961999997</v>
      </c>
      <c r="BC11" s="43">
        <v>1581047507</v>
      </c>
      <c r="BD11" s="43">
        <v>1887004530.8</v>
      </c>
      <c r="BE11" s="43">
        <v>102432658.93000001</v>
      </c>
      <c r="BF11" s="43">
        <v>0</v>
      </c>
      <c r="BG11" s="43">
        <v>13837842810</v>
      </c>
      <c r="BH11" s="43">
        <v>0</v>
      </c>
      <c r="BI11" s="43">
        <v>12562560365</v>
      </c>
      <c r="BJ11" s="790">
        <v>0</v>
      </c>
      <c r="BK11" s="43">
        <v>0</v>
      </c>
      <c r="BL11" s="43">
        <v>0</v>
      </c>
      <c r="BM11" s="43">
        <v>0</v>
      </c>
      <c r="BN11" s="43">
        <v>947864466.98000002</v>
      </c>
      <c r="BO11" s="43">
        <v>736849924.69000006</v>
      </c>
      <c r="BP11" s="256">
        <v>0</v>
      </c>
      <c r="BQ11" s="256">
        <v>3001685262.4000001</v>
      </c>
      <c r="BR11" s="256">
        <v>2941767.21</v>
      </c>
      <c r="BS11" s="256" t="s">
        <v>574</v>
      </c>
      <c r="BT11" s="256">
        <v>-78432258.209999993</v>
      </c>
      <c r="BU11" s="256">
        <v>8257194611.1000004</v>
      </c>
      <c r="BV11" s="1015">
        <v>-1604532651</v>
      </c>
      <c r="BW11" s="1013">
        <v>369844.26</v>
      </c>
      <c r="BX11" s="1013">
        <v>232796.79</v>
      </c>
      <c r="BY11" s="1013">
        <v>283391236.55000001</v>
      </c>
      <c r="BZ11" s="1013">
        <v>180694096.69999999</v>
      </c>
      <c r="CA11" s="1013">
        <v>629296698.14999998</v>
      </c>
      <c r="CB11" s="1013"/>
      <c r="CC11" s="1013"/>
      <c r="CD11" s="1013"/>
      <c r="CE11" s="1013"/>
      <c r="CF11" s="1255">
        <v>3649821218.5999999</v>
      </c>
      <c r="CG11" s="252"/>
      <c r="CH11" s="252"/>
      <c r="CK11" s="455"/>
      <c r="CL11" s="455"/>
      <c r="CM11" s="455"/>
      <c r="CN11" s="455"/>
      <c r="CO11" s="1017"/>
      <c r="CP11" s="1017"/>
      <c r="CS11" s="1013"/>
      <c r="CT11" s="1013"/>
      <c r="CU11" s="871"/>
    </row>
    <row r="12" spans="1:99" s="256" customFormat="1" ht="9.75" customHeight="1" x14ac:dyDescent="0.3">
      <c r="A12" s="43">
        <v>0</v>
      </c>
      <c r="B12" s="43">
        <v>87160</v>
      </c>
      <c r="C12" s="788">
        <v>1967</v>
      </c>
      <c r="D12" s="791">
        <v>504813208319</v>
      </c>
      <c r="E12" s="791">
        <v>411344048585</v>
      </c>
      <c r="F12" s="43">
        <v>15316904951</v>
      </c>
      <c r="G12" s="43">
        <v>14205788303</v>
      </c>
      <c r="H12" s="43">
        <v>15886928734</v>
      </c>
      <c r="I12" s="43">
        <v>1086105836.0999999</v>
      </c>
      <c r="J12" s="43">
        <v>13938094969</v>
      </c>
      <c r="K12" s="43">
        <v>0</v>
      </c>
      <c r="L12" s="43">
        <v>5150718645.8999996</v>
      </c>
      <c r="M12" s="43">
        <v>0</v>
      </c>
      <c r="N12" s="43">
        <v>0</v>
      </c>
      <c r="O12" s="43">
        <v>0</v>
      </c>
      <c r="P12" s="43">
        <v>0</v>
      </c>
      <c r="Q12" s="43">
        <v>4606847192.3000002</v>
      </c>
      <c r="R12" s="43">
        <v>27114444164</v>
      </c>
      <c r="S12" s="43">
        <v>13560408258</v>
      </c>
      <c r="T12" s="43">
        <v>3362385069.5</v>
      </c>
      <c r="U12" s="43">
        <v>4313113300.6999998</v>
      </c>
      <c r="V12" s="43">
        <v>1077588444.0999999</v>
      </c>
      <c r="W12" s="43">
        <v>764795620.23000002</v>
      </c>
      <c r="X12" s="43">
        <v>1636092548.5</v>
      </c>
      <c r="Y12" s="43">
        <v>0</v>
      </c>
      <c r="Z12" s="43">
        <v>11096430997</v>
      </c>
      <c r="AA12" s="43">
        <v>6121127426.1999998</v>
      </c>
      <c r="AB12" s="43">
        <v>0</v>
      </c>
      <c r="AC12" s="43">
        <v>27876189938</v>
      </c>
      <c r="AD12" s="43">
        <v>5150718645.8999996</v>
      </c>
      <c r="AE12" s="43">
        <v>0</v>
      </c>
      <c r="AF12" s="43">
        <v>190394398.18000001</v>
      </c>
      <c r="AG12" s="43">
        <v>7508992.4500000002</v>
      </c>
      <c r="AH12" s="43">
        <v>0</v>
      </c>
      <c r="AI12" s="43">
        <v>8648.8799999999992</v>
      </c>
      <c r="AJ12" s="43">
        <v>71652121.599999994</v>
      </c>
      <c r="AK12" s="43">
        <v>39457000000</v>
      </c>
      <c r="AL12" s="43">
        <v>30992000000</v>
      </c>
      <c r="AM12" s="43">
        <v>62738487035</v>
      </c>
      <c r="AN12" s="43">
        <v>1565248551.2</v>
      </c>
      <c r="AO12" s="43">
        <v>19716401013</v>
      </c>
      <c r="AP12" s="43">
        <v>0</v>
      </c>
      <c r="AQ12" s="43">
        <v>0</v>
      </c>
      <c r="AR12" s="43">
        <v>3351788172.3000002</v>
      </c>
      <c r="AS12" s="43">
        <v>0</v>
      </c>
      <c r="AT12" s="43">
        <v>0</v>
      </c>
      <c r="AU12" s="43">
        <v>0</v>
      </c>
      <c r="AV12" s="43">
        <v>61457419744</v>
      </c>
      <c r="AW12" s="43">
        <v>8427791254.8000002</v>
      </c>
      <c r="AX12" s="43">
        <v>7585012129.3999996</v>
      </c>
      <c r="AY12" s="43">
        <v>29879237971</v>
      </c>
      <c r="AZ12" s="43">
        <v>15377825416</v>
      </c>
      <c r="BA12" s="43">
        <v>93627400.120000005</v>
      </c>
      <c r="BB12" s="43">
        <v>34567930.072999999</v>
      </c>
      <c r="BC12" s="43">
        <v>1524263415.4000001</v>
      </c>
      <c r="BD12" s="43">
        <v>2003863737.7</v>
      </c>
      <c r="BE12" s="43">
        <v>104916449.37</v>
      </c>
      <c r="BF12" s="43">
        <v>0</v>
      </c>
      <c r="BG12" s="43">
        <v>13963670082</v>
      </c>
      <c r="BH12" s="43">
        <v>0</v>
      </c>
      <c r="BI12" s="43">
        <v>12773312081</v>
      </c>
      <c r="BJ12" s="790">
        <v>0</v>
      </c>
      <c r="BK12" s="43">
        <v>0</v>
      </c>
      <c r="BL12" s="43">
        <v>0</v>
      </c>
      <c r="BM12" s="43">
        <v>0</v>
      </c>
      <c r="BN12" s="43">
        <v>1103243265.9000001</v>
      </c>
      <c r="BO12" s="43">
        <v>922103862.79999995</v>
      </c>
      <c r="BP12" s="256">
        <v>0</v>
      </c>
      <c r="BQ12" s="256">
        <v>3839625473.5</v>
      </c>
      <c r="BR12" s="256">
        <v>2646174.7000000002</v>
      </c>
      <c r="BS12" s="256" t="s">
        <v>574</v>
      </c>
      <c r="BT12" s="256">
        <v>10307513</v>
      </c>
      <c r="BU12" s="256">
        <v>9036683797.7999992</v>
      </c>
      <c r="BV12" s="1015">
        <v>-1966953872</v>
      </c>
      <c r="BW12" s="1013">
        <v>365532.52</v>
      </c>
      <c r="BX12" s="1013">
        <v>225284.27</v>
      </c>
      <c r="BY12" s="1013">
        <v>279997329.30000001</v>
      </c>
      <c r="BZ12" s="1013">
        <v>239871650.24000001</v>
      </c>
      <c r="CA12" s="1013">
        <v>649355159.42999995</v>
      </c>
      <c r="CB12" s="1013"/>
      <c r="CC12" s="1013"/>
      <c r="CD12" s="1013"/>
      <c r="CE12" s="1013"/>
      <c r="CF12" s="1255">
        <v>3939556426.5999999</v>
      </c>
      <c r="CG12" s="252"/>
      <c r="CH12" s="252"/>
      <c r="CK12" s="455"/>
      <c r="CL12" s="455"/>
      <c r="CM12" s="455"/>
      <c r="CN12" s="455"/>
      <c r="CO12" s="1017"/>
      <c r="CP12" s="1017"/>
      <c r="CS12" s="1013"/>
      <c r="CT12" s="1013"/>
      <c r="CU12" s="871"/>
    </row>
    <row r="13" spans="1:99" s="256" customFormat="1" ht="9.75" customHeight="1" x14ac:dyDescent="0.3">
      <c r="A13" s="43">
        <v>0</v>
      </c>
      <c r="B13" s="43">
        <v>91484</v>
      </c>
      <c r="C13" s="788">
        <v>1968</v>
      </c>
      <c r="D13" s="791">
        <v>555511816275</v>
      </c>
      <c r="E13" s="791">
        <v>451636307099</v>
      </c>
      <c r="F13" s="43">
        <v>17165879695</v>
      </c>
      <c r="G13" s="43">
        <v>15986144948</v>
      </c>
      <c r="H13" s="43">
        <v>17725403699</v>
      </c>
      <c r="I13" s="43">
        <v>1135185553</v>
      </c>
      <c r="J13" s="43">
        <v>18114925673</v>
      </c>
      <c r="K13" s="43">
        <v>0</v>
      </c>
      <c r="L13" s="43">
        <v>7737810612</v>
      </c>
      <c r="M13" s="43">
        <v>0</v>
      </c>
      <c r="N13" s="43">
        <v>0</v>
      </c>
      <c r="O13" s="43">
        <v>0</v>
      </c>
      <c r="P13" s="43">
        <v>0</v>
      </c>
      <c r="Q13" s="43">
        <v>5206468582</v>
      </c>
      <c r="R13" s="43">
        <v>28729090804</v>
      </c>
      <c r="S13" s="43">
        <v>13629558369</v>
      </c>
      <c r="T13" s="43">
        <v>3156495304</v>
      </c>
      <c r="U13" s="43">
        <v>5586720233.3999996</v>
      </c>
      <c r="V13" s="43">
        <v>1127426923</v>
      </c>
      <c r="W13" s="43">
        <v>716993280</v>
      </c>
      <c r="X13" s="43">
        <v>2111356826</v>
      </c>
      <c r="Y13" s="43">
        <v>0</v>
      </c>
      <c r="Z13" s="43">
        <v>13107507065</v>
      </c>
      <c r="AA13" s="43">
        <v>6353155311.8000002</v>
      </c>
      <c r="AB13" s="43">
        <v>0</v>
      </c>
      <c r="AC13" s="43">
        <v>36229851346</v>
      </c>
      <c r="AD13" s="43">
        <v>7737810612</v>
      </c>
      <c r="AE13" s="43">
        <v>0</v>
      </c>
      <c r="AF13" s="43">
        <v>193249445</v>
      </c>
      <c r="AG13" s="43">
        <v>7912264</v>
      </c>
      <c r="AH13" s="43">
        <v>0</v>
      </c>
      <c r="AI13" s="43">
        <v>4500</v>
      </c>
      <c r="AJ13" s="43">
        <v>73743888</v>
      </c>
      <c r="AK13" s="43">
        <v>38584000000</v>
      </c>
      <c r="AL13" s="43">
        <v>37164000000</v>
      </c>
      <c r="AM13" s="43">
        <v>76934317756</v>
      </c>
      <c r="AN13" s="43">
        <v>1726943619</v>
      </c>
      <c r="AO13" s="43">
        <v>21954863629</v>
      </c>
      <c r="AP13" s="43">
        <v>0</v>
      </c>
      <c r="AQ13" s="43">
        <v>0</v>
      </c>
      <c r="AR13" s="43">
        <v>3732326817</v>
      </c>
      <c r="AS13" s="43">
        <v>0</v>
      </c>
      <c r="AT13" s="43">
        <v>0</v>
      </c>
      <c r="AU13" s="43">
        <v>0</v>
      </c>
      <c r="AV13" s="43">
        <v>75487039942</v>
      </c>
      <c r="AW13" s="43">
        <v>9388312314.8999996</v>
      </c>
      <c r="AX13" s="43">
        <v>8449481083.3999996</v>
      </c>
      <c r="AY13" s="43">
        <v>34295113060</v>
      </c>
      <c r="AZ13" s="43">
        <v>15972282748</v>
      </c>
      <c r="BA13" s="43">
        <v>111923540</v>
      </c>
      <c r="BB13" s="43">
        <v>19944000</v>
      </c>
      <c r="BC13" s="43">
        <v>0</v>
      </c>
      <c r="BD13" s="43">
        <v>0</v>
      </c>
      <c r="BE13" s="43">
        <v>107171771</v>
      </c>
      <c r="BF13" s="43">
        <v>0</v>
      </c>
      <c r="BG13" s="43">
        <v>15579655017</v>
      </c>
      <c r="BH13" s="43">
        <v>0</v>
      </c>
      <c r="BI13" s="43">
        <v>14390761377</v>
      </c>
      <c r="BJ13" s="790">
        <v>0</v>
      </c>
      <c r="BK13" s="43">
        <v>0</v>
      </c>
      <c r="BL13" s="43">
        <v>0</v>
      </c>
      <c r="BM13" s="43">
        <v>0</v>
      </c>
      <c r="BN13" s="43">
        <v>1208470311.9000001</v>
      </c>
      <c r="BO13" s="43">
        <v>973618738.29999995</v>
      </c>
      <c r="BP13" s="256">
        <v>0</v>
      </c>
      <c r="BQ13" s="256">
        <v>3511411207.5</v>
      </c>
      <c r="BR13" s="256">
        <v>2782360</v>
      </c>
      <c r="BS13" s="256" t="s">
        <v>574</v>
      </c>
      <c r="BT13" s="256">
        <v>-255211121</v>
      </c>
      <c r="BU13" s="256">
        <v>9874835403</v>
      </c>
      <c r="BV13" s="1015">
        <v>-1966109818</v>
      </c>
      <c r="BW13" s="1013">
        <v>365725</v>
      </c>
      <c r="BX13" s="1013">
        <v>200216</v>
      </c>
      <c r="BY13" s="1013">
        <v>247097433</v>
      </c>
      <c r="BZ13" s="1013">
        <v>279908289</v>
      </c>
      <c r="CA13" s="1013">
        <v>747835045</v>
      </c>
      <c r="CB13" s="1013"/>
      <c r="CC13" s="1013"/>
      <c r="CD13" s="1013"/>
      <c r="CE13" s="1013"/>
      <c r="CF13" s="1255">
        <v>5397421144</v>
      </c>
      <c r="CG13" s="252"/>
      <c r="CH13" s="252"/>
      <c r="CK13" s="455"/>
      <c r="CL13" s="455"/>
      <c r="CM13" s="455"/>
      <c r="CN13" s="455"/>
      <c r="CO13" s="1017"/>
      <c r="CP13" s="1017"/>
      <c r="CS13" s="1013"/>
      <c r="CT13" s="1013"/>
      <c r="CU13" s="871"/>
    </row>
    <row r="14" spans="1:99" s="256" customFormat="1" ht="9.75" customHeight="1" x14ac:dyDescent="0.3">
      <c r="A14" s="43">
        <v>0</v>
      </c>
      <c r="B14" s="43">
        <v>93065</v>
      </c>
      <c r="C14" s="788">
        <v>1969</v>
      </c>
      <c r="D14" s="791">
        <v>603162651216</v>
      </c>
      <c r="E14" s="791">
        <v>497151689868</v>
      </c>
      <c r="F14" s="43">
        <v>20071158151</v>
      </c>
      <c r="G14" s="43">
        <v>16030319620</v>
      </c>
      <c r="H14" s="43">
        <v>18009521811</v>
      </c>
      <c r="I14" s="43">
        <v>1186015523</v>
      </c>
      <c r="J14" s="43">
        <v>14607752268</v>
      </c>
      <c r="K14" s="43">
        <v>0</v>
      </c>
      <c r="L14" s="43">
        <v>8491656309</v>
      </c>
      <c r="M14" s="43">
        <v>0</v>
      </c>
      <c r="N14" s="43">
        <v>0</v>
      </c>
      <c r="O14" s="43">
        <v>0</v>
      </c>
      <c r="P14" s="43">
        <v>0</v>
      </c>
      <c r="Q14" s="43">
        <v>6614311687</v>
      </c>
      <c r="R14" s="43">
        <v>30282860517</v>
      </c>
      <c r="S14" s="43">
        <v>14107208449</v>
      </c>
      <c r="T14" s="43">
        <v>3612031296</v>
      </c>
      <c r="U14" s="43">
        <v>5566532115.8000002</v>
      </c>
      <c r="V14" s="43">
        <v>1529115053</v>
      </c>
      <c r="W14" s="43">
        <v>839404280</v>
      </c>
      <c r="X14" s="43">
        <v>2048881937</v>
      </c>
      <c r="Y14" s="43">
        <v>0</v>
      </c>
      <c r="Z14" s="43">
        <v>15025962286</v>
      </c>
      <c r="AA14" s="43">
        <v>6562572932.6000004</v>
      </c>
      <c r="AB14" s="43">
        <v>0</v>
      </c>
      <c r="AC14" s="43">
        <v>29215504536</v>
      </c>
      <c r="AD14" s="43">
        <v>8491656309</v>
      </c>
      <c r="AE14" s="43">
        <v>0</v>
      </c>
      <c r="AF14" s="43">
        <v>196738640</v>
      </c>
      <c r="AG14" s="43">
        <v>7996740</v>
      </c>
      <c r="AH14" s="43">
        <v>0</v>
      </c>
      <c r="AI14" s="43">
        <v>459</v>
      </c>
      <c r="AJ14" s="43">
        <v>75834237</v>
      </c>
      <c r="AK14" s="43">
        <v>34200000000</v>
      </c>
      <c r="AL14" s="43">
        <v>36958000000</v>
      </c>
      <c r="AM14" s="43">
        <v>86532274672</v>
      </c>
      <c r="AN14" s="43">
        <v>1906940554</v>
      </c>
      <c r="AO14" s="43">
        <v>24432456095</v>
      </c>
      <c r="AP14" s="43">
        <v>0</v>
      </c>
      <c r="AQ14" s="43">
        <v>0</v>
      </c>
      <c r="AR14" s="43">
        <v>4153517536.1999998</v>
      </c>
      <c r="AS14" s="43">
        <v>0</v>
      </c>
      <c r="AT14" s="43">
        <v>0</v>
      </c>
      <c r="AU14" s="43">
        <v>0</v>
      </c>
      <c r="AV14" s="43">
        <v>84904349609</v>
      </c>
      <c r="AW14" s="43">
        <v>10427070606</v>
      </c>
      <c r="AX14" s="43">
        <v>9384363545.2000008</v>
      </c>
      <c r="AY14" s="43">
        <v>38521438058</v>
      </c>
      <c r="AZ14" s="43">
        <v>17049909059</v>
      </c>
      <c r="BA14" s="43">
        <v>152974470</v>
      </c>
      <c r="BB14" s="43">
        <v>3057858</v>
      </c>
      <c r="BC14" s="43">
        <v>1819253988</v>
      </c>
      <c r="BD14" s="43">
        <v>2536291466</v>
      </c>
      <c r="BE14" s="43">
        <v>110308514</v>
      </c>
      <c r="BF14" s="43">
        <v>0</v>
      </c>
      <c r="BG14" s="43">
        <v>16532910442</v>
      </c>
      <c r="BH14" s="43">
        <v>0</v>
      </c>
      <c r="BI14" s="43">
        <v>15256803266</v>
      </c>
      <c r="BJ14" s="790">
        <v>0</v>
      </c>
      <c r="BK14" s="43">
        <v>0</v>
      </c>
      <c r="BL14" s="43">
        <v>0</v>
      </c>
      <c r="BM14" s="43">
        <v>0</v>
      </c>
      <c r="BN14" s="43">
        <v>1516437844.5999999</v>
      </c>
      <c r="BO14" s="43">
        <v>1234068493.5999999</v>
      </c>
      <c r="BP14" s="256">
        <v>0</v>
      </c>
      <c r="BQ14" s="256">
        <v>4960733765.3000002</v>
      </c>
      <c r="BR14" s="256">
        <v>2435400</v>
      </c>
      <c r="BS14" s="256" t="s">
        <v>574</v>
      </c>
      <c r="BT14" s="256">
        <v>-27882414</v>
      </c>
      <c r="BU14" s="256">
        <v>11707218546</v>
      </c>
      <c r="BV14" s="1015">
        <v>-2116099077</v>
      </c>
      <c r="BW14" s="1013">
        <v>376097</v>
      </c>
      <c r="BX14" s="1013">
        <v>227331</v>
      </c>
      <c r="BY14" s="455">
        <v>377738131</v>
      </c>
      <c r="BZ14" s="1013">
        <v>291142894</v>
      </c>
      <c r="CA14" s="1013">
        <v>761760431</v>
      </c>
      <c r="CB14" s="1013"/>
      <c r="CC14" s="1013"/>
      <c r="CD14" s="1013"/>
      <c r="CE14" s="1013"/>
      <c r="CF14" s="1255">
        <v>6012767597</v>
      </c>
      <c r="CG14" s="252"/>
      <c r="CH14" s="252"/>
      <c r="CK14" s="455"/>
      <c r="CL14" s="455"/>
      <c r="CM14" s="455"/>
      <c r="CN14" s="455"/>
      <c r="CO14" s="1017"/>
      <c r="CP14" s="1017"/>
      <c r="CS14" s="1013"/>
      <c r="CT14" s="1013"/>
      <c r="CU14" s="871"/>
    </row>
    <row r="15" spans="1:99" s="256" customFormat="1" ht="9.75" customHeight="1" x14ac:dyDescent="0.3">
      <c r="A15" s="43">
        <v>0</v>
      </c>
      <c r="B15" s="43">
        <v>95316</v>
      </c>
      <c r="C15" s="788">
        <v>1970</v>
      </c>
      <c r="D15" s="791">
        <v>631935495082</v>
      </c>
      <c r="E15" s="791">
        <v>531889273761</v>
      </c>
      <c r="F15" s="43">
        <v>22909098853</v>
      </c>
      <c r="G15" s="43">
        <v>15814239567</v>
      </c>
      <c r="H15" s="43">
        <v>17735322451</v>
      </c>
      <c r="I15" s="43">
        <v>1192405135</v>
      </c>
      <c r="J15" s="43">
        <v>9122533436</v>
      </c>
      <c r="K15" s="43">
        <v>0</v>
      </c>
      <c r="L15" s="43">
        <v>9403110286</v>
      </c>
      <c r="M15" s="43">
        <v>0</v>
      </c>
      <c r="N15" s="43">
        <v>0</v>
      </c>
      <c r="O15" s="43">
        <v>0</v>
      </c>
      <c r="P15" s="43">
        <v>0</v>
      </c>
      <c r="Q15" s="43">
        <v>7866050886</v>
      </c>
      <c r="R15" s="43">
        <v>30585004064</v>
      </c>
      <c r="S15" s="43">
        <v>12298564775</v>
      </c>
      <c r="T15" s="43">
        <v>2777423020</v>
      </c>
      <c r="U15" s="43">
        <v>4862724771</v>
      </c>
      <c r="V15" s="43">
        <v>1416425719</v>
      </c>
      <c r="W15" s="43">
        <v>843021294.39999998</v>
      </c>
      <c r="X15" s="43">
        <v>2324407540</v>
      </c>
      <c r="Y15" s="43">
        <v>0</v>
      </c>
      <c r="Z15" s="43">
        <v>15513787576</v>
      </c>
      <c r="AA15" s="43">
        <v>6854727691.6000004</v>
      </c>
      <c r="AB15" s="43">
        <v>0</v>
      </c>
      <c r="AC15" s="43">
        <v>18245066872</v>
      </c>
      <c r="AD15" s="43">
        <v>9403110286</v>
      </c>
      <c r="AE15" s="43">
        <v>0</v>
      </c>
      <c r="AF15" s="43">
        <v>191208887</v>
      </c>
      <c r="AG15" s="43">
        <v>7652767</v>
      </c>
      <c r="AH15" s="43">
        <v>0</v>
      </c>
      <c r="AI15" s="43">
        <v>87059</v>
      </c>
      <c r="AJ15" s="43">
        <v>74286993</v>
      </c>
      <c r="AK15" s="43">
        <v>27180000000</v>
      </c>
      <c r="AL15" s="43">
        <v>31263000000</v>
      </c>
      <c r="AM15" s="43">
        <v>85726797675</v>
      </c>
      <c r="AN15" s="43">
        <v>1817158050</v>
      </c>
      <c r="AO15" s="43">
        <v>28996959816</v>
      </c>
      <c r="AP15" s="43">
        <v>0</v>
      </c>
      <c r="AQ15" s="43">
        <v>0</v>
      </c>
      <c r="AR15" s="43">
        <v>4929483168.8000002</v>
      </c>
      <c r="AS15" s="43">
        <v>0</v>
      </c>
      <c r="AT15" s="43">
        <v>0</v>
      </c>
      <c r="AU15" s="43">
        <v>0</v>
      </c>
      <c r="AV15" s="43">
        <v>83909639625</v>
      </c>
      <c r="AW15" s="43">
        <v>12076704951</v>
      </c>
      <c r="AX15" s="43">
        <v>10869034456</v>
      </c>
      <c r="AY15" s="43">
        <v>39699460894</v>
      </c>
      <c r="AZ15" s="43">
        <v>18726715934</v>
      </c>
      <c r="BA15" s="43">
        <v>189490086</v>
      </c>
      <c r="BB15" s="43">
        <v>600435928</v>
      </c>
      <c r="BC15" s="43">
        <v>1689522351</v>
      </c>
      <c r="BD15" s="43">
        <v>2582530569</v>
      </c>
      <c r="BE15" s="43">
        <v>108847874</v>
      </c>
      <c r="BF15" s="43">
        <v>0</v>
      </c>
      <c r="BG15" s="43">
        <v>16903778895</v>
      </c>
      <c r="BH15" s="43">
        <v>0</v>
      </c>
      <c r="BI15" s="43">
        <v>15683934365</v>
      </c>
      <c r="BJ15" s="790">
        <v>0</v>
      </c>
      <c r="BK15" s="43">
        <v>0</v>
      </c>
      <c r="BL15" s="43">
        <v>0</v>
      </c>
      <c r="BM15" s="43">
        <v>0</v>
      </c>
      <c r="BN15" s="43">
        <v>1962609224.5999999</v>
      </c>
      <c r="BO15" s="43">
        <v>1578631905.2</v>
      </c>
      <c r="BP15" s="256">
        <v>0</v>
      </c>
      <c r="BQ15" s="256">
        <v>5899538164.5</v>
      </c>
      <c r="BR15" s="256">
        <v>1958354</v>
      </c>
      <c r="BS15" s="256" t="s">
        <v>574</v>
      </c>
      <c r="BT15" s="256">
        <v>406782279</v>
      </c>
      <c r="BU15" s="256">
        <v>13164115560</v>
      </c>
      <c r="BV15" s="1015">
        <v>-2454656708</v>
      </c>
      <c r="BW15" s="1013">
        <v>373061</v>
      </c>
      <c r="BX15" s="1013">
        <v>164124</v>
      </c>
      <c r="BY15" s="455">
        <v>309644825</v>
      </c>
      <c r="BZ15" s="1013">
        <v>167285484</v>
      </c>
      <c r="CA15" s="1013">
        <v>578631421</v>
      </c>
      <c r="CB15" s="1013"/>
      <c r="CC15" s="1013"/>
      <c r="CD15" s="1013"/>
      <c r="CE15" s="1013"/>
      <c r="CF15" s="1255">
        <v>6614657198</v>
      </c>
      <c r="CG15" s="682"/>
      <c r="CH15" s="682"/>
      <c r="CK15" s="455"/>
      <c r="CL15" s="455"/>
      <c r="CM15" s="455"/>
      <c r="CN15" s="455"/>
      <c r="CO15" s="1017"/>
      <c r="CP15" s="1017"/>
      <c r="CS15" s="1013"/>
      <c r="CT15" s="1013"/>
      <c r="CU15" s="871"/>
    </row>
    <row r="16" spans="1:99" s="256" customFormat="1" ht="9.75" customHeight="1" x14ac:dyDescent="0.3">
      <c r="A16" s="43">
        <v>0</v>
      </c>
      <c r="B16" s="43">
        <v>99137</v>
      </c>
      <c r="C16" s="788">
        <v>1971</v>
      </c>
      <c r="D16" s="791">
        <v>672609753933</v>
      </c>
      <c r="E16" s="791">
        <v>565192939192</v>
      </c>
      <c r="F16" s="43">
        <v>24620947396</v>
      </c>
      <c r="G16" s="43">
        <v>15518992423</v>
      </c>
      <c r="H16" s="43">
        <v>17528685845</v>
      </c>
      <c r="I16" s="43">
        <v>1204433375</v>
      </c>
      <c r="J16" s="43">
        <v>12871951503</v>
      </c>
      <c r="K16" s="43">
        <v>187345675.13999999</v>
      </c>
      <c r="L16" s="43">
        <v>11119060430</v>
      </c>
      <c r="M16" s="43">
        <v>0</v>
      </c>
      <c r="N16" s="43">
        <v>0</v>
      </c>
      <c r="O16" s="43">
        <v>0</v>
      </c>
      <c r="P16" s="43">
        <v>0</v>
      </c>
      <c r="Q16" s="43">
        <v>8993843088</v>
      </c>
      <c r="R16" s="43">
        <v>31710279809</v>
      </c>
      <c r="S16" s="43">
        <v>12293664160</v>
      </c>
      <c r="T16" s="43">
        <v>2323749382</v>
      </c>
      <c r="U16" s="43">
        <v>5678259056.8000002</v>
      </c>
      <c r="V16" s="43">
        <v>1608543252</v>
      </c>
      <c r="W16" s="43">
        <v>978461028</v>
      </c>
      <c r="X16" s="43">
        <v>1715492835</v>
      </c>
      <c r="Y16" s="43">
        <v>542852870</v>
      </c>
      <c r="Z16" s="43">
        <v>18460831198</v>
      </c>
      <c r="AA16" s="43">
        <v>6950992018.3000002</v>
      </c>
      <c r="AB16" s="43">
        <v>0</v>
      </c>
      <c r="AC16" s="43">
        <v>25743903006</v>
      </c>
      <c r="AD16" s="43">
        <v>11119060430</v>
      </c>
      <c r="AE16" s="43">
        <v>0</v>
      </c>
      <c r="AF16" s="43">
        <v>195957452</v>
      </c>
      <c r="AG16" s="43">
        <v>7744131</v>
      </c>
      <c r="AH16" s="43">
        <v>0</v>
      </c>
      <c r="AI16" s="43">
        <v>844</v>
      </c>
      <c r="AJ16" s="43">
        <v>74576506</v>
      </c>
      <c r="AK16" s="43">
        <v>37455000000</v>
      </c>
      <c r="AL16" s="43">
        <v>34808000000</v>
      </c>
      <c r="AM16" s="43">
        <v>87062520343</v>
      </c>
      <c r="AN16" s="43">
        <v>2014715654</v>
      </c>
      <c r="AO16" s="43">
        <v>33645284064</v>
      </c>
      <c r="AP16" s="43">
        <v>0</v>
      </c>
      <c r="AQ16" s="43">
        <v>0</v>
      </c>
      <c r="AR16" s="43">
        <v>5719698290.8000002</v>
      </c>
      <c r="AS16" s="43">
        <v>0</v>
      </c>
      <c r="AT16" s="43">
        <v>0</v>
      </c>
      <c r="AU16" s="43">
        <v>0</v>
      </c>
      <c r="AV16" s="43">
        <v>85047804689</v>
      </c>
      <c r="AW16" s="43">
        <v>13565631221</v>
      </c>
      <c r="AX16" s="43">
        <v>12209068099</v>
      </c>
      <c r="AY16" s="43">
        <v>45887370068</v>
      </c>
      <c r="AZ16" s="43">
        <v>20771343524</v>
      </c>
      <c r="BA16" s="43">
        <v>199191536</v>
      </c>
      <c r="BB16" s="43">
        <v>6748624</v>
      </c>
      <c r="BC16" s="43">
        <v>1979080073</v>
      </c>
      <c r="BD16" s="43">
        <v>2869627601</v>
      </c>
      <c r="BE16" s="43">
        <v>109940351</v>
      </c>
      <c r="BF16" s="43">
        <v>0</v>
      </c>
      <c r="BG16" s="43">
        <v>17758099979</v>
      </c>
      <c r="BH16" s="43">
        <v>0</v>
      </c>
      <c r="BI16" s="43">
        <v>16270776501</v>
      </c>
      <c r="BJ16" s="790">
        <v>0</v>
      </c>
      <c r="BK16" s="43">
        <v>0</v>
      </c>
      <c r="BL16" s="43">
        <v>0</v>
      </c>
      <c r="BM16" s="43">
        <v>0</v>
      </c>
      <c r="BN16" s="43">
        <v>2281647599.1999998</v>
      </c>
      <c r="BO16" s="43">
        <v>1872593301.8</v>
      </c>
      <c r="BP16" s="256">
        <v>0</v>
      </c>
      <c r="BQ16" s="256">
        <v>6745382316</v>
      </c>
      <c r="BR16" s="256">
        <v>1709773</v>
      </c>
      <c r="BS16" s="256" t="s">
        <v>574</v>
      </c>
      <c r="BT16" s="256">
        <v>593573365</v>
      </c>
      <c r="BU16" s="256">
        <v>15420755196</v>
      </c>
      <c r="BV16" s="1015">
        <v>-2955805730</v>
      </c>
      <c r="BW16" s="1013">
        <v>416790</v>
      </c>
      <c r="BX16" s="1013">
        <v>229101</v>
      </c>
      <c r="BY16" s="455">
        <v>427355429</v>
      </c>
      <c r="BZ16" s="1013">
        <v>312635625</v>
      </c>
      <c r="CA16" s="1013">
        <v>940865733</v>
      </c>
      <c r="CB16" s="1013"/>
      <c r="CC16" s="1013"/>
      <c r="CD16" s="1013"/>
      <c r="CE16" s="1013"/>
      <c r="CF16" s="1255">
        <v>7272791432.5</v>
      </c>
      <c r="CG16" s="682"/>
      <c r="CH16" s="682"/>
      <c r="CK16" s="455"/>
      <c r="CL16" s="455"/>
      <c r="CM16" s="455"/>
      <c r="CN16" s="455"/>
      <c r="CO16" s="1017"/>
      <c r="CP16" s="1017"/>
      <c r="CS16" s="1013"/>
      <c r="CT16" s="1013"/>
      <c r="CU16" s="871"/>
    </row>
    <row r="17" spans="1:99" s="256" customFormat="1" ht="9.75" customHeight="1" x14ac:dyDescent="0.3">
      <c r="A17" s="43">
        <v>0</v>
      </c>
      <c r="B17" s="43">
        <v>106581</v>
      </c>
      <c r="C17" s="788">
        <v>1972</v>
      </c>
      <c r="D17" s="791">
        <v>746825757210</v>
      </c>
      <c r="E17" s="791">
        <v>621121165328</v>
      </c>
      <c r="F17" s="43">
        <v>28317861846</v>
      </c>
      <c r="G17" s="43">
        <v>17096746409</v>
      </c>
      <c r="H17" s="43">
        <v>19171311857</v>
      </c>
      <c r="I17" s="43">
        <v>1256665922</v>
      </c>
      <c r="J17" s="43">
        <v>17581002413</v>
      </c>
      <c r="K17" s="43">
        <v>295690828</v>
      </c>
      <c r="L17" s="43">
        <v>13008629545</v>
      </c>
      <c r="M17" s="43">
        <v>0</v>
      </c>
      <c r="N17" s="43">
        <v>0</v>
      </c>
      <c r="O17" s="43">
        <v>0</v>
      </c>
      <c r="P17" s="43">
        <v>0</v>
      </c>
      <c r="Q17" s="43">
        <v>9396774720</v>
      </c>
      <c r="R17" s="43">
        <v>34897029780</v>
      </c>
      <c r="S17" s="43">
        <v>13933507900</v>
      </c>
      <c r="T17" s="43">
        <v>4366957654</v>
      </c>
      <c r="U17" s="43">
        <v>6532044601.8000002</v>
      </c>
      <c r="V17" s="43">
        <v>1759261566</v>
      </c>
      <c r="W17" s="43">
        <v>1099911403.2</v>
      </c>
      <c r="X17" s="43">
        <v>1568687012</v>
      </c>
      <c r="Y17" s="43">
        <v>660389254</v>
      </c>
      <c r="Z17" s="43">
        <v>20169022710</v>
      </c>
      <c r="AA17" s="43">
        <v>10392973169</v>
      </c>
      <c r="AB17" s="43">
        <v>315745039</v>
      </c>
      <c r="AC17" s="43">
        <v>35162004826</v>
      </c>
      <c r="AD17" s="43">
        <v>13008629545</v>
      </c>
      <c r="AE17" s="43">
        <v>0</v>
      </c>
      <c r="AF17" s="43">
        <v>196229693</v>
      </c>
      <c r="AG17" s="43">
        <v>7663335</v>
      </c>
      <c r="AH17" s="43">
        <v>0</v>
      </c>
      <c r="AI17" s="43">
        <v>1999</v>
      </c>
      <c r="AJ17" s="43">
        <v>77596975</v>
      </c>
      <c r="AK17" s="43">
        <v>48035000000</v>
      </c>
      <c r="AL17" s="43">
        <v>39110000000</v>
      </c>
      <c r="AM17" s="43">
        <v>96321129074</v>
      </c>
      <c r="AN17" s="43">
        <v>2325839078</v>
      </c>
      <c r="AO17" s="43">
        <v>33580083493</v>
      </c>
      <c r="AP17" s="43">
        <v>12411474424</v>
      </c>
      <c r="AQ17" s="43">
        <v>0</v>
      </c>
      <c r="AR17" s="43">
        <v>6413281074</v>
      </c>
      <c r="AS17" s="43">
        <v>0</v>
      </c>
      <c r="AT17" s="43">
        <v>0</v>
      </c>
      <c r="AU17" s="43">
        <v>0</v>
      </c>
      <c r="AV17" s="43">
        <v>93995289996</v>
      </c>
      <c r="AW17" s="43">
        <v>14755327995</v>
      </c>
      <c r="AX17" s="43">
        <v>13223629879</v>
      </c>
      <c r="AY17" s="43">
        <v>53056857667</v>
      </c>
      <c r="AZ17" s="43">
        <v>21737801329</v>
      </c>
      <c r="BA17" s="43">
        <v>222973631</v>
      </c>
      <c r="BB17" s="43">
        <v>3998</v>
      </c>
      <c r="BC17" s="43">
        <v>3300296367</v>
      </c>
      <c r="BD17" s="43">
        <v>3300296367</v>
      </c>
      <c r="BE17" s="43">
        <v>112772573</v>
      </c>
      <c r="BF17" s="43">
        <v>0</v>
      </c>
      <c r="BG17" s="43">
        <v>18279266002</v>
      </c>
      <c r="BH17" s="43">
        <v>0</v>
      </c>
      <c r="BI17" s="43">
        <v>16696315433</v>
      </c>
      <c r="BJ17" s="790">
        <v>0</v>
      </c>
      <c r="BK17" s="43">
        <v>0</v>
      </c>
      <c r="BL17" s="43">
        <v>0</v>
      </c>
      <c r="BM17" s="43">
        <v>0</v>
      </c>
      <c r="BN17" s="43">
        <v>2513833439.9000001</v>
      </c>
      <c r="BO17" s="43">
        <v>2158348916.5</v>
      </c>
      <c r="BP17" s="256">
        <v>0</v>
      </c>
      <c r="BQ17" s="256">
        <v>7047581040</v>
      </c>
      <c r="BR17" s="256">
        <v>2312796</v>
      </c>
      <c r="BS17" s="256" t="s">
        <v>574</v>
      </c>
      <c r="BT17" s="256">
        <v>238672039</v>
      </c>
      <c r="BU17" s="256">
        <v>16400377716</v>
      </c>
      <c r="BV17" s="1012">
        <v>-2885609158</v>
      </c>
      <c r="BW17" s="1013">
        <v>347775</v>
      </c>
      <c r="BX17" s="1013">
        <v>332487</v>
      </c>
      <c r="BY17" s="455">
        <v>618190300</v>
      </c>
      <c r="BZ17" s="455">
        <v>355459122</v>
      </c>
      <c r="CA17" s="455">
        <v>1084585153</v>
      </c>
      <c r="CB17" s="455"/>
      <c r="CC17" s="455"/>
      <c r="CD17" s="455"/>
      <c r="CE17" s="455"/>
      <c r="CF17" s="1255">
        <v>8629018379.5</v>
      </c>
      <c r="CG17" s="252"/>
      <c r="CH17" s="252"/>
      <c r="CK17" s="455"/>
      <c r="CL17" s="455"/>
      <c r="CM17" s="455"/>
      <c r="CN17" s="455"/>
      <c r="CO17" s="1017"/>
      <c r="CP17" s="1017"/>
      <c r="CS17" s="1013"/>
      <c r="CT17" s="1013"/>
      <c r="CU17" s="871"/>
    </row>
    <row r="18" spans="1:99" s="256" customFormat="1" ht="9.75" customHeight="1" x14ac:dyDescent="0.3">
      <c r="A18" s="43">
        <v>0</v>
      </c>
      <c r="B18" s="43">
        <v>112441</v>
      </c>
      <c r="C18" s="788">
        <v>1973</v>
      </c>
      <c r="D18" s="791">
        <v>827724134058</v>
      </c>
      <c r="E18" s="791">
        <v>687275075213</v>
      </c>
      <c r="F18" s="43">
        <v>32696784629</v>
      </c>
      <c r="G18" s="43">
        <v>18853141738</v>
      </c>
      <c r="H18" s="43">
        <v>20987576350</v>
      </c>
      <c r="I18" s="43">
        <v>1259200051</v>
      </c>
      <c r="J18" s="43">
        <v>17166206043</v>
      </c>
      <c r="K18" s="43">
        <v>388445910</v>
      </c>
      <c r="L18" s="43">
        <v>15664958091</v>
      </c>
      <c r="M18" s="43">
        <v>0</v>
      </c>
      <c r="N18" s="43">
        <v>0</v>
      </c>
      <c r="O18" s="43">
        <v>0</v>
      </c>
      <c r="P18" s="43">
        <v>0</v>
      </c>
      <c r="Q18" s="43">
        <v>10690421813</v>
      </c>
      <c r="R18" s="43">
        <v>38040816552</v>
      </c>
      <c r="S18" s="43">
        <v>13000744557</v>
      </c>
      <c r="T18" s="43">
        <v>7233954203</v>
      </c>
      <c r="U18" s="43">
        <v>7120297852.6999998</v>
      </c>
      <c r="V18" s="43">
        <v>1926685387</v>
      </c>
      <c r="W18" s="43">
        <v>1131257889.5999999</v>
      </c>
      <c r="X18" s="43">
        <v>3209110060</v>
      </c>
      <c r="Y18" s="43">
        <v>1002582644</v>
      </c>
      <c r="Z18" s="43">
        <v>27045900185</v>
      </c>
      <c r="AA18" s="43">
        <v>10830464488</v>
      </c>
      <c r="AB18" s="43">
        <v>315966059</v>
      </c>
      <c r="AC18" s="43">
        <v>34332412086</v>
      </c>
      <c r="AD18" s="43">
        <v>15664958091</v>
      </c>
      <c r="AE18" s="43">
        <v>0</v>
      </c>
      <c r="AF18" s="43">
        <v>200840905</v>
      </c>
      <c r="AG18" s="43">
        <v>8958336</v>
      </c>
      <c r="AH18" s="43">
        <v>0</v>
      </c>
      <c r="AI18" s="43">
        <v>24</v>
      </c>
      <c r="AJ18" s="43">
        <v>80691013</v>
      </c>
      <c r="AK18" s="43">
        <v>53510000000</v>
      </c>
      <c r="AL18" s="43">
        <v>45632000000</v>
      </c>
      <c r="AM18" s="43">
        <v>111436701156</v>
      </c>
      <c r="AN18" s="43">
        <v>2988106920</v>
      </c>
      <c r="AO18" s="43">
        <v>36530043308</v>
      </c>
      <c r="AP18" s="43">
        <v>14213461246</v>
      </c>
      <c r="AQ18" s="43">
        <v>0</v>
      </c>
      <c r="AR18" s="43">
        <v>7046964839</v>
      </c>
      <c r="AS18" s="43">
        <v>0</v>
      </c>
      <c r="AT18" s="43">
        <v>0</v>
      </c>
      <c r="AU18" s="43">
        <v>0</v>
      </c>
      <c r="AV18" s="43">
        <v>108448594236</v>
      </c>
      <c r="AW18" s="43">
        <v>15269617223</v>
      </c>
      <c r="AX18" s="43">
        <v>13749004490</v>
      </c>
      <c r="AY18" s="43">
        <v>67910371777</v>
      </c>
      <c r="AZ18" s="43">
        <v>21502611365</v>
      </c>
      <c r="BA18" s="43">
        <v>242749174</v>
      </c>
      <c r="BB18" s="43">
        <v>48</v>
      </c>
      <c r="BC18" s="43">
        <v>2212916953</v>
      </c>
      <c r="BD18" s="43">
        <v>3560723598</v>
      </c>
      <c r="BE18" s="43">
        <v>115220823</v>
      </c>
      <c r="BF18" s="43">
        <v>0</v>
      </c>
      <c r="BG18" s="43">
        <v>16680514542</v>
      </c>
      <c r="BH18" s="43">
        <v>0</v>
      </c>
      <c r="BI18" s="43">
        <v>14984178122</v>
      </c>
      <c r="BJ18" s="790">
        <v>0</v>
      </c>
      <c r="BK18" s="43">
        <v>0</v>
      </c>
      <c r="BL18" s="43">
        <v>0</v>
      </c>
      <c r="BM18" s="43">
        <v>0</v>
      </c>
      <c r="BN18" s="43">
        <v>3925873983.9000001</v>
      </c>
      <c r="BO18" s="43">
        <v>3298443164.0999999</v>
      </c>
      <c r="BP18" s="256">
        <v>0</v>
      </c>
      <c r="BQ18" s="256">
        <v>7160314876</v>
      </c>
      <c r="BR18" s="256">
        <v>2398851</v>
      </c>
      <c r="BS18" s="256" t="s">
        <v>574</v>
      </c>
      <c r="BT18" s="256">
        <v>356709260</v>
      </c>
      <c r="BU18" s="256">
        <v>19158124681</v>
      </c>
      <c r="BV18" s="1012">
        <v>-3645905637</v>
      </c>
      <c r="BW18" s="1013">
        <v>400043</v>
      </c>
      <c r="BX18" s="1013">
        <v>448706</v>
      </c>
      <c r="BY18" s="1013">
        <v>1136252168</v>
      </c>
      <c r="BZ18" s="1013">
        <v>399664370</v>
      </c>
      <c r="CA18" s="1013">
        <v>1073769375</v>
      </c>
      <c r="CB18" s="1013"/>
      <c r="CC18" s="1013"/>
      <c r="CD18" s="1013"/>
      <c r="CE18" s="1013"/>
      <c r="CF18" s="1255">
        <v>9861969064</v>
      </c>
      <c r="CG18" s="252"/>
      <c r="CH18" s="252"/>
      <c r="CK18" s="455"/>
      <c r="CL18" s="455"/>
      <c r="CM18" s="455"/>
      <c r="CN18" s="455"/>
      <c r="CO18" s="1017"/>
      <c r="CP18" s="1017"/>
      <c r="CS18" s="1013"/>
      <c r="CT18" s="1013"/>
      <c r="CU18" s="871"/>
    </row>
    <row r="19" spans="1:99" s="256" customFormat="1" ht="9.75" customHeight="1" x14ac:dyDescent="0.3">
      <c r="A19" s="43">
        <v>0</v>
      </c>
      <c r="B19" s="43">
        <v>98645</v>
      </c>
      <c r="C19" s="788">
        <v>1974</v>
      </c>
      <c r="D19" s="791">
        <v>909315439710</v>
      </c>
      <c r="E19" s="791">
        <v>759883322582</v>
      </c>
      <c r="F19" s="43">
        <v>40422306481</v>
      </c>
      <c r="G19" s="43">
        <v>21144814674</v>
      </c>
      <c r="H19" s="43">
        <v>23571142003</v>
      </c>
      <c r="I19" s="43">
        <v>1351027628</v>
      </c>
      <c r="J19" s="43">
        <v>13555567819</v>
      </c>
      <c r="K19" s="43">
        <v>346335263</v>
      </c>
      <c r="L19" s="43">
        <v>19362928929</v>
      </c>
      <c r="M19" s="43">
        <v>0</v>
      </c>
      <c r="N19" s="43">
        <v>0</v>
      </c>
      <c r="O19" s="43">
        <v>0</v>
      </c>
      <c r="P19" s="43">
        <v>0</v>
      </c>
      <c r="Q19" s="43">
        <v>1340014978</v>
      </c>
      <c r="R19" s="43">
        <v>39868469319</v>
      </c>
      <c r="S19" s="43">
        <v>14119359271</v>
      </c>
      <c r="T19" s="43">
        <v>5374372274</v>
      </c>
      <c r="U19" s="43">
        <v>8806133014.3999996</v>
      </c>
      <c r="V19" s="43">
        <v>2356434790</v>
      </c>
      <c r="W19" s="43">
        <v>1433647333.5999999</v>
      </c>
      <c r="X19" s="43">
        <v>1697899416</v>
      </c>
      <c r="Y19" s="43">
        <v>1340014978</v>
      </c>
      <c r="Z19" s="43">
        <v>32400408429</v>
      </c>
      <c r="AA19" s="43">
        <v>11280831670</v>
      </c>
      <c r="AB19" s="43">
        <v>405818849</v>
      </c>
      <c r="AC19" s="43">
        <v>27111135638</v>
      </c>
      <c r="AD19" s="43">
        <v>19362928929</v>
      </c>
      <c r="AE19" s="43">
        <v>0</v>
      </c>
      <c r="AF19" s="43">
        <v>205747626</v>
      </c>
      <c r="AG19" s="43">
        <v>9350116</v>
      </c>
      <c r="AH19" s="43">
        <v>0</v>
      </c>
      <c r="AI19" s="43">
        <v>124412</v>
      </c>
      <c r="AJ19" s="43">
        <v>83382380</v>
      </c>
      <c r="AK19" s="43">
        <v>39701000000</v>
      </c>
      <c r="AL19" s="43">
        <v>47235000000</v>
      </c>
      <c r="AM19" s="43">
        <v>128395676329</v>
      </c>
      <c r="AN19" s="43">
        <v>3332954205</v>
      </c>
      <c r="AO19" s="43">
        <v>39008244669</v>
      </c>
      <c r="AP19" s="43">
        <v>0</v>
      </c>
      <c r="AQ19" s="43">
        <v>0</v>
      </c>
      <c r="AR19" s="43">
        <v>6631401593.8000002</v>
      </c>
      <c r="AS19" s="43">
        <v>0</v>
      </c>
      <c r="AT19" s="43">
        <v>0</v>
      </c>
      <c r="AU19" s="43">
        <v>0</v>
      </c>
      <c r="AV19" s="43">
        <v>125062722124</v>
      </c>
      <c r="AW19" s="43">
        <v>17770197404</v>
      </c>
      <c r="AX19" s="43">
        <v>15993177664</v>
      </c>
      <c r="AY19" s="43">
        <v>79414602733</v>
      </c>
      <c r="AZ19" s="43">
        <v>24606941203</v>
      </c>
      <c r="BA19" s="43">
        <v>300580111</v>
      </c>
      <c r="BB19" s="43">
        <v>919289</v>
      </c>
      <c r="BC19" s="43">
        <v>2712006203</v>
      </c>
      <c r="BD19" s="43">
        <v>4179951008</v>
      </c>
      <c r="BE19" s="43">
        <v>117920381</v>
      </c>
      <c r="BF19" s="43">
        <v>0</v>
      </c>
      <c r="BG19" s="43">
        <v>19962087259</v>
      </c>
      <c r="BH19" s="43">
        <v>0</v>
      </c>
      <c r="BI19" s="43">
        <v>17972618782</v>
      </c>
      <c r="BJ19" s="790">
        <v>0</v>
      </c>
      <c r="BK19" s="43">
        <v>0</v>
      </c>
      <c r="BL19" s="43">
        <v>0</v>
      </c>
      <c r="BM19" s="43">
        <v>0</v>
      </c>
      <c r="BN19" s="43">
        <v>4884507134.8000002</v>
      </c>
      <c r="BO19" s="43">
        <v>4124517904</v>
      </c>
      <c r="BP19" s="256">
        <v>0</v>
      </c>
      <c r="BQ19" s="256">
        <v>804008986.79999995</v>
      </c>
      <c r="BR19" s="256">
        <v>2040227</v>
      </c>
      <c r="BS19" s="256" t="s">
        <v>574</v>
      </c>
      <c r="BT19" s="256">
        <v>410433194</v>
      </c>
      <c r="BU19" s="256">
        <v>22225753262</v>
      </c>
      <c r="BV19" s="1012">
        <v>-5369305584</v>
      </c>
      <c r="BW19" s="1013">
        <v>487777</v>
      </c>
      <c r="BX19" s="1013">
        <v>582617</v>
      </c>
      <c r="BY19" s="1013">
        <v>2467318216</v>
      </c>
      <c r="BZ19" s="1013">
        <v>786459556</v>
      </c>
      <c r="CA19" s="1013">
        <v>1574565890</v>
      </c>
      <c r="CB19" s="1013"/>
      <c r="CC19" s="1013"/>
      <c r="CD19" s="1013"/>
      <c r="CE19" s="1013">
        <v>1146666741</v>
      </c>
      <c r="CF19" s="1255">
        <v>11195303030</v>
      </c>
      <c r="CG19" s="252"/>
      <c r="CH19" s="252"/>
      <c r="CK19" s="455"/>
      <c r="CL19" s="455"/>
      <c r="CM19" s="455"/>
      <c r="CN19" s="455"/>
      <c r="CO19" s="1017"/>
      <c r="CP19" s="1017"/>
      <c r="CS19" s="1013"/>
      <c r="CT19" s="1013"/>
      <c r="CU19" s="871"/>
    </row>
    <row r="20" spans="1:99" s="256" customFormat="1" ht="9.75" customHeight="1" x14ac:dyDescent="0.3">
      <c r="A20" s="43">
        <v>0</v>
      </c>
      <c r="B20" s="43">
        <v>100841</v>
      </c>
      <c r="C20" s="788">
        <v>1975</v>
      </c>
      <c r="D20" s="791">
        <v>946224887617</v>
      </c>
      <c r="E20" s="791">
        <v>794470018301</v>
      </c>
      <c r="F20" s="43">
        <v>43958870317</v>
      </c>
      <c r="G20" s="43">
        <v>21692051863</v>
      </c>
      <c r="H20" s="43">
        <v>24183781523</v>
      </c>
      <c r="I20" s="43">
        <v>1371785966</v>
      </c>
      <c r="J20" s="43">
        <v>13914294014</v>
      </c>
      <c r="K20" s="43">
        <v>0</v>
      </c>
      <c r="L20" s="43">
        <v>23891990354</v>
      </c>
      <c r="M20" s="43">
        <v>0</v>
      </c>
      <c r="N20" s="43">
        <v>0</v>
      </c>
      <c r="O20" s="43">
        <v>0</v>
      </c>
      <c r="P20" s="43">
        <v>0</v>
      </c>
      <c r="Q20" s="43">
        <v>14979116029</v>
      </c>
      <c r="R20" s="43">
        <v>39491246224</v>
      </c>
      <c r="S20" s="43">
        <v>12574145051</v>
      </c>
      <c r="T20" s="43">
        <v>3694887771</v>
      </c>
      <c r="U20" s="43">
        <v>8693967484.1000004</v>
      </c>
      <c r="V20" s="43">
        <v>2627371262</v>
      </c>
      <c r="W20" s="43">
        <v>2167403280</v>
      </c>
      <c r="X20" s="43">
        <v>1135278469</v>
      </c>
      <c r="Y20" s="43">
        <v>1462881051</v>
      </c>
      <c r="Z20" s="43">
        <v>33909022073</v>
      </c>
      <c r="AA20" s="43">
        <v>11141859374</v>
      </c>
      <c r="AB20" s="43">
        <v>405467110</v>
      </c>
      <c r="AC20" s="43">
        <v>27828588028</v>
      </c>
      <c r="AD20" s="43">
        <v>23891990354</v>
      </c>
      <c r="AE20" s="43">
        <v>0</v>
      </c>
      <c r="AF20" s="43">
        <v>201613037</v>
      </c>
      <c r="AG20" s="43">
        <v>9432196</v>
      </c>
      <c r="AH20" s="43">
        <v>0</v>
      </c>
      <c r="AI20" s="43">
        <v>1</v>
      </c>
      <c r="AJ20" s="43">
        <v>82229124</v>
      </c>
      <c r="AK20" s="43">
        <v>54253000000</v>
      </c>
      <c r="AL20" s="43">
        <v>46264000000</v>
      </c>
      <c r="AM20" s="43">
        <v>127714285804</v>
      </c>
      <c r="AN20" s="43">
        <v>3347603696</v>
      </c>
      <c r="AO20" s="43">
        <v>40961514344</v>
      </c>
      <c r="AP20" s="43">
        <v>16707475637</v>
      </c>
      <c r="AQ20" s="43">
        <v>0</v>
      </c>
      <c r="AR20" s="43">
        <v>7358905278</v>
      </c>
      <c r="AS20" s="43">
        <v>0</v>
      </c>
      <c r="AT20" s="43">
        <v>0</v>
      </c>
      <c r="AU20" s="43">
        <v>0</v>
      </c>
      <c r="AV20" s="43">
        <v>124366682108</v>
      </c>
      <c r="AW20" s="43">
        <v>16895133429</v>
      </c>
      <c r="AX20" s="43">
        <v>15449448128</v>
      </c>
      <c r="AY20" s="43">
        <v>82307507216</v>
      </c>
      <c r="AZ20" s="43">
        <v>22532844539</v>
      </c>
      <c r="BA20" s="43">
        <v>371258733</v>
      </c>
      <c r="BB20" s="43">
        <v>11</v>
      </c>
      <c r="BC20" s="43">
        <v>2023949778</v>
      </c>
      <c r="BD20" s="43">
        <v>3823941659</v>
      </c>
      <c r="BE20" s="43">
        <v>116674284</v>
      </c>
      <c r="BF20" s="43">
        <v>0</v>
      </c>
      <c r="BG20" s="43">
        <v>21154403110</v>
      </c>
      <c r="BH20" s="43">
        <v>0</v>
      </c>
      <c r="BI20" s="43">
        <v>19104875960</v>
      </c>
      <c r="BJ20" s="790">
        <v>0</v>
      </c>
      <c r="BK20" s="43">
        <v>0</v>
      </c>
      <c r="BL20" s="43">
        <v>0</v>
      </c>
      <c r="BM20" s="43">
        <v>0</v>
      </c>
      <c r="BN20" s="43">
        <v>5055330883.1000004</v>
      </c>
      <c r="BO20" s="43">
        <v>4161927190.6999998</v>
      </c>
      <c r="BP20" s="256">
        <v>3099114168</v>
      </c>
      <c r="BQ20" s="256">
        <v>8253362064</v>
      </c>
      <c r="BR20" s="256">
        <v>1697946</v>
      </c>
      <c r="BS20" s="256" t="s">
        <v>574</v>
      </c>
      <c r="BT20" s="256">
        <v>-12392443</v>
      </c>
      <c r="BU20" s="256">
        <v>24050514688</v>
      </c>
      <c r="BV20" s="1012">
        <v>-6429483144</v>
      </c>
      <c r="BW20" s="1013">
        <v>567492</v>
      </c>
      <c r="BX20" s="1013">
        <v>434521</v>
      </c>
      <c r="BY20" s="1013">
        <v>1144209861</v>
      </c>
      <c r="BZ20" s="1013">
        <v>477764251</v>
      </c>
      <c r="CA20" s="1013">
        <v>1367589458</v>
      </c>
      <c r="CB20" s="1013"/>
      <c r="CC20" s="1013"/>
      <c r="CD20" s="1013"/>
      <c r="CE20" s="1013"/>
      <c r="CF20" s="1255">
        <v>14162163217</v>
      </c>
      <c r="CG20" s="682"/>
      <c r="CH20" s="682"/>
      <c r="CK20" s="455"/>
      <c r="CL20" s="455"/>
      <c r="CM20" s="455"/>
      <c r="CN20" s="455"/>
      <c r="CO20" s="1017"/>
      <c r="CP20" s="1017"/>
      <c r="CS20" s="1013"/>
      <c r="CT20" s="1013"/>
      <c r="CU20" s="871"/>
    </row>
    <row r="21" spans="1:99" s="256" customFormat="1" ht="9.75" customHeight="1" x14ac:dyDescent="0.3">
      <c r="A21" s="43">
        <v>0</v>
      </c>
      <c r="B21" s="43">
        <v>164137</v>
      </c>
      <c r="C21" s="788">
        <v>1976</v>
      </c>
      <c r="D21" s="791">
        <v>1053897400000</v>
      </c>
      <c r="E21" s="791">
        <v>880997189120</v>
      </c>
      <c r="F21" s="43">
        <v>49681623575</v>
      </c>
      <c r="G21" s="43">
        <v>24462557581</v>
      </c>
      <c r="H21" s="43">
        <v>27063067696</v>
      </c>
      <c r="I21" s="43">
        <v>1437927158.2</v>
      </c>
      <c r="J21" s="43">
        <v>18562682008</v>
      </c>
      <c r="K21" s="43">
        <v>296948585.5</v>
      </c>
      <c r="L21" s="43">
        <v>26967593512</v>
      </c>
      <c r="M21" s="43">
        <v>0</v>
      </c>
      <c r="N21" s="43">
        <v>0</v>
      </c>
      <c r="O21" s="43">
        <v>0</v>
      </c>
      <c r="P21" s="43">
        <v>0</v>
      </c>
      <c r="Q21" s="43">
        <v>16284759754</v>
      </c>
      <c r="R21" s="43">
        <v>44499741186</v>
      </c>
      <c r="S21" s="43">
        <v>13557431602</v>
      </c>
      <c r="T21" s="43">
        <v>3455355583.4000001</v>
      </c>
      <c r="U21" s="43">
        <v>9582856577.5</v>
      </c>
      <c r="V21" s="43">
        <v>2870971348.8000002</v>
      </c>
      <c r="W21" s="43">
        <v>2883419118.1999998</v>
      </c>
      <c r="X21" s="43">
        <v>-83012663.469999999</v>
      </c>
      <c r="Y21" s="43">
        <v>1652273222.8</v>
      </c>
      <c r="Z21" s="43">
        <v>40460402948</v>
      </c>
      <c r="AA21" s="43">
        <v>11533663869</v>
      </c>
      <c r="AB21" s="43">
        <v>458139026.06999999</v>
      </c>
      <c r="AC21" s="43">
        <v>41264365070</v>
      </c>
      <c r="AD21" s="43">
        <v>26967593512</v>
      </c>
      <c r="AE21" s="43">
        <v>0</v>
      </c>
      <c r="AF21" s="43">
        <v>205165544.34</v>
      </c>
      <c r="AG21" s="43">
        <v>9929303.9100000001</v>
      </c>
      <c r="AH21" s="43">
        <v>0</v>
      </c>
      <c r="AI21" s="43">
        <v>135831.29</v>
      </c>
      <c r="AJ21" s="43">
        <v>84670372.849999994</v>
      </c>
      <c r="AK21" s="43">
        <v>70036000000</v>
      </c>
      <c r="AL21" s="43">
        <v>59418000000</v>
      </c>
      <c r="AM21" s="43">
        <v>145750013361</v>
      </c>
      <c r="AN21" s="43">
        <v>3775872541.4000001</v>
      </c>
      <c r="AO21" s="43">
        <v>44648832020</v>
      </c>
      <c r="AP21" s="43">
        <v>0</v>
      </c>
      <c r="AQ21" s="43">
        <v>0</v>
      </c>
      <c r="AR21" s="43">
        <v>7590301443.5</v>
      </c>
      <c r="AS21" s="43">
        <v>0</v>
      </c>
      <c r="AT21" s="43">
        <v>0</v>
      </c>
      <c r="AU21" s="43">
        <v>0</v>
      </c>
      <c r="AV21" s="43">
        <v>142092817025</v>
      </c>
      <c r="AW21" s="43">
        <v>17678790146</v>
      </c>
      <c r="AX21" s="43">
        <v>15910911131</v>
      </c>
      <c r="AY21" s="43">
        <v>96230342307</v>
      </c>
      <c r="AZ21" s="43">
        <v>21632754405</v>
      </c>
      <c r="BA21" s="43">
        <v>427725818.70999998</v>
      </c>
      <c r="BB21" s="43">
        <v>15548891.968</v>
      </c>
      <c r="BC21" s="43">
        <v>1875725074.9000001</v>
      </c>
      <c r="BD21" s="43">
        <v>4050234765</v>
      </c>
      <c r="BE21" s="43">
        <v>118945634.41</v>
      </c>
      <c r="BF21" s="43">
        <v>0</v>
      </c>
      <c r="BG21" s="43">
        <v>23854111431</v>
      </c>
      <c r="BH21" s="43">
        <v>0</v>
      </c>
      <c r="BI21" s="43">
        <v>21595067822</v>
      </c>
      <c r="BJ21" s="790">
        <v>0</v>
      </c>
      <c r="BK21" s="43">
        <v>0</v>
      </c>
      <c r="BL21" s="43">
        <v>0</v>
      </c>
      <c r="BM21" s="43">
        <v>0</v>
      </c>
      <c r="BN21" s="43">
        <v>5364722321.1000004</v>
      </c>
      <c r="BO21" s="43">
        <v>4419926701.8999996</v>
      </c>
      <c r="BP21" s="256">
        <v>1968415856.5999999</v>
      </c>
      <c r="BQ21" s="256">
        <v>8589806338.3999996</v>
      </c>
      <c r="BR21" s="256">
        <v>1779709.35</v>
      </c>
      <c r="BS21" s="256" t="s">
        <v>574</v>
      </c>
      <c r="BT21" s="256">
        <v>155765740.43000001</v>
      </c>
      <c r="BU21" s="256">
        <v>27822456190</v>
      </c>
      <c r="BV21" s="1012">
        <v>-6909882596</v>
      </c>
      <c r="BW21" s="1013">
        <v>498855.71</v>
      </c>
      <c r="BX21" s="455">
        <v>1340203.27</v>
      </c>
      <c r="BY21" s="1013">
        <v>3410192733.8000002</v>
      </c>
      <c r="BZ21" s="1013">
        <v>806250364.44000006</v>
      </c>
      <c r="CA21" s="1013">
        <v>1553966196.3</v>
      </c>
      <c r="CB21" s="1013"/>
      <c r="CC21" s="1013"/>
      <c r="CD21" s="1013"/>
      <c r="CE21" s="1013">
        <v>1829230458.9000001</v>
      </c>
      <c r="CF21" s="1255">
        <v>15121845124</v>
      </c>
      <c r="CG21" s="252"/>
      <c r="CH21" s="252"/>
      <c r="CK21" s="455"/>
      <c r="CL21" s="455"/>
      <c r="CM21" s="455"/>
      <c r="CN21" s="455"/>
      <c r="CO21" s="1017"/>
      <c r="CP21" s="1017"/>
      <c r="CS21" s="1013"/>
      <c r="CT21" s="1013"/>
      <c r="CU21" s="871"/>
    </row>
    <row r="22" spans="1:99" s="256" customFormat="1" ht="9.75" customHeight="1" x14ac:dyDescent="0.3">
      <c r="A22" s="43">
        <v>0</v>
      </c>
      <c r="B22" s="43">
        <v>155212</v>
      </c>
      <c r="C22" s="788">
        <v>1977</v>
      </c>
      <c r="D22" s="791">
        <v>1158477200000</v>
      </c>
      <c r="E22" s="791">
        <v>969392934008</v>
      </c>
      <c r="F22" s="43">
        <v>55734832986</v>
      </c>
      <c r="G22" s="43">
        <v>27020160232</v>
      </c>
      <c r="H22" s="43">
        <v>29563669751</v>
      </c>
      <c r="I22" s="43">
        <v>1462901460.9000001</v>
      </c>
      <c r="J22" s="43">
        <v>20776017359</v>
      </c>
      <c r="K22" s="43">
        <v>229722934.63</v>
      </c>
      <c r="L22" s="43">
        <v>33589924958</v>
      </c>
      <c r="M22" s="43">
        <v>0</v>
      </c>
      <c r="N22" s="43">
        <v>0</v>
      </c>
      <c r="O22" s="43">
        <v>0</v>
      </c>
      <c r="P22" s="43">
        <v>0</v>
      </c>
      <c r="Q22" s="43">
        <v>19329183306</v>
      </c>
      <c r="R22" s="43">
        <v>49451328182</v>
      </c>
      <c r="S22" s="43">
        <v>15285880797</v>
      </c>
      <c r="T22" s="43">
        <v>503220628.67000002</v>
      </c>
      <c r="U22" s="43">
        <v>8760183987.8999996</v>
      </c>
      <c r="V22" s="43">
        <v>2763355205.1999998</v>
      </c>
      <c r="W22" s="43">
        <v>3257863223.5999999</v>
      </c>
      <c r="X22" s="43">
        <v>-51565430.649999999</v>
      </c>
      <c r="Y22" s="43">
        <v>1938443620.8</v>
      </c>
      <c r="Z22" s="43">
        <v>44652849945</v>
      </c>
      <c r="AA22" s="43">
        <v>11852679168</v>
      </c>
      <c r="AB22" s="43">
        <v>452637076.22000003</v>
      </c>
      <c r="AC22" s="43">
        <v>41552034718</v>
      </c>
      <c r="AD22" s="43">
        <v>33589924958</v>
      </c>
      <c r="AE22" s="43">
        <v>0</v>
      </c>
      <c r="AF22" s="43">
        <v>204516062.21000001</v>
      </c>
      <c r="AG22" s="43">
        <v>10124928.52</v>
      </c>
      <c r="AH22" s="43">
        <v>0</v>
      </c>
      <c r="AI22" s="43">
        <v>105518.86</v>
      </c>
      <c r="AJ22" s="43">
        <v>86634304.739999995</v>
      </c>
      <c r="AK22" s="43">
        <v>86573000000</v>
      </c>
      <c r="AL22" s="43">
        <v>68504000000</v>
      </c>
      <c r="AM22" s="43">
        <v>164019989332</v>
      </c>
      <c r="AN22" s="43">
        <v>4074436902.4000001</v>
      </c>
      <c r="AO22" s="43">
        <v>49130871193</v>
      </c>
      <c r="AP22" s="43">
        <v>21609902214</v>
      </c>
      <c r="AQ22" s="43">
        <v>0</v>
      </c>
      <c r="AR22" s="43">
        <v>8236524055.5</v>
      </c>
      <c r="AS22" s="43">
        <v>0</v>
      </c>
      <c r="AT22" s="43">
        <v>0</v>
      </c>
      <c r="AU22" s="43">
        <v>0</v>
      </c>
      <c r="AV22" s="43">
        <v>160048801598</v>
      </c>
      <c r="AW22" s="43">
        <v>19284444923</v>
      </c>
      <c r="AX22" s="43">
        <v>17660712086</v>
      </c>
      <c r="AY22" s="43">
        <v>105232815962</v>
      </c>
      <c r="AZ22" s="43">
        <v>21065885221</v>
      </c>
      <c r="BA22" s="43">
        <v>451289565.85000002</v>
      </c>
      <c r="BB22" s="43">
        <v>704093.451</v>
      </c>
      <c r="BC22" s="43">
        <v>1974024745.3</v>
      </c>
      <c r="BD22" s="43">
        <v>4197023877.3000002</v>
      </c>
      <c r="BE22" s="43">
        <v>120348886.18000001</v>
      </c>
      <c r="BF22" s="43">
        <v>0</v>
      </c>
      <c r="BG22" s="43">
        <v>25930134733</v>
      </c>
      <c r="BH22" s="43">
        <v>0</v>
      </c>
      <c r="BI22" s="43">
        <v>23530806133</v>
      </c>
      <c r="BJ22" s="790">
        <v>0</v>
      </c>
      <c r="BK22" s="43">
        <v>0</v>
      </c>
      <c r="BL22" s="43">
        <v>0</v>
      </c>
      <c r="BM22" s="43">
        <v>0</v>
      </c>
      <c r="BN22" s="43">
        <v>5354522002</v>
      </c>
      <c r="BO22" s="43">
        <v>4342797118.3000002</v>
      </c>
      <c r="BP22" s="256">
        <v>4292154496.5999999</v>
      </c>
      <c r="BQ22" s="256">
        <v>9563223752.2000008</v>
      </c>
      <c r="BR22" s="256">
        <v>1200098.26</v>
      </c>
      <c r="BS22" s="256" t="s">
        <v>574</v>
      </c>
      <c r="BT22" s="256">
        <v>582995400.33000004</v>
      </c>
      <c r="BU22" s="256">
        <v>30966123061</v>
      </c>
      <c r="BV22" s="1012">
        <v>-7283581030</v>
      </c>
      <c r="BW22" s="1013">
        <v>529885.98</v>
      </c>
      <c r="BX22" s="1013">
        <v>419954.94</v>
      </c>
      <c r="BY22" s="1013">
        <v>1260185748</v>
      </c>
      <c r="BZ22" s="1013">
        <v>850292882.57000005</v>
      </c>
      <c r="CA22" s="1013">
        <v>1787239106.5</v>
      </c>
      <c r="CB22" s="1013"/>
      <c r="CC22" s="1013"/>
      <c r="CD22" s="1013"/>
      <c r="CE22" s="1013"/>
      <c r="CF22" s="1255">
        <v>19053616909</v>
      </c>
      <c r="CG22" s="252"/>
      <c r="CH22" s="252"/>
      <c r="CK22" s="455"/>
      <c r="CL22" s="455"/>
      <c r="CM22" s="455"/>
      <c r="CN22" s="455"/>
      <c r="CO22" s="1017"/>
      <c r="CP22" s="1017"/>
      <c r="CS22" s="1013"/>
      <c r="CT22" s="1013"/>
      <c r="CU22" s="871"/>
    </row>
    <row r="23" spans="1:99" s="43" customFormat="1" ht="9.75" customHeight="1" x14ac:dyDescent="0.3">
      <c r="A23" s="43">
        <v>0</v>
      </c>
      <c r="B23" s="43">
        <v>157518</v>
      </c>
      <c r="C23" s="788">
        <v>1978</v>
      </c>
      <c r="D23" s="791">
        <v>1302421200000</v>
      </c>
      <c r="E23" s="791">
        <v>1090270400000</v>
      </c>
      <c r="F23" s="43">
        <v>62546727537</v>
      </c>
      <c r="G23" s="43">
        <v>30205215478</v>
      </c>
      <c r="H23" s="43">
        <v>32830899946</v>
      </c>
      <c r="I23" s="43">
        <v>1465365936.2</v>
      </c>
      <c r="J23" s="43">
        <v>23232965810</v>
      </c>
      <c r="K23" s="43">
        <v>180118789.91</v>
      </c>
      <c r="L23" s="43">
        <v>36947299739</v>
      </c>
      <c r="M23" s="43">
        <v>0</v>
      </c>
      <c r="N23" s="43">
        <v>0</v>
      </c>
      <c r="O23" s="43">
        <v>0</v>
      </c>
      <c r="P23" s="43">
        <v>0</v>
      </c>
      <c r="Q23" s="43">
        <v>22362521864</v>
      </c>
      <c r="R23" s="43">
        <v>53540733875</v>
      </c>
      <c r="S23" s="43">
        <v>17328753200</v>
      </c>
      <c r="T23" s="43">
        <v>3565073233.6999998</v>
      </c>
      <c r="U23" s="43">
        <v>9605503738</v>
      </c>
      <c r="V23" s="43">
        <v>3081520537</v>
      </c>
      <c r="W23" s="43">
        <v>4000969010.6999998</v>
      </c>
      <c r="X23" s="43">
        <v>-922142595.89999998</v>
      </c>
      <c r="Y23" s="43">
        <v>2369111539.5999999</v>
      </c>
      <c r="Z23" s="43">
        <v>51647973737</v>
      </c>
      <c r="AA23" s="43">
        <v>16092181431</v>
      </c>
      <c r="AB23" s="43">
        <v>527482595.48000002</v>
      </c>
      <c r="AC23" s="43">
        <v>48133629438</v>
      </c>
      <c r="AD23" s="43">
        <v>36947299739</v>
      </c>
      <c r="AE23" s="43">
        <v>0</v>
      </c>
      <c r="AF23" s="43">
        <v>208681961.88</v>
      </c>
      <c r="AG23" s="43">
        <v>10911815.08</v>
      </c>
      <c r="AH23" s="43">
        <v>0</v>
      </c>
      <c r="AI23" s="43">
        <v>123780.17</v>
      </c>
      <c r="AJ23" s="43">
        <v>89771247.159999996</v>
      </c>
      <c r="AK23" s="43">
        <v>102918000000</v>
      </c>
      <c r="AL23" s="43">
        <v>77852000000</v>
      </c>
      <c r="AM23" s="43">
        <v>193178745695</v>
      </c>
      <c r="AN23" s="43">
        <v>4705955493.1999998</v>
      </c>
      <c r="AO23" s="43">
        <v>57719970721</v>
      </c>
      <c r="AP23" s="43">
        <v>0</v>
      </c>
      <c r="AQ23" s="43">
        <v>0</v>
      </c>
      <c r="AR23" s="43">
        <v>9812395022.6000004</v>
      </c>
      <c r="AS23" s="43">
        <v>0</v>
      </c>
      <c r="AT23" s="43">
        <v>0</v>
      </c>
      <c r="AU23" s="43">
        <v>0</v>
      </c>
      <c r="AV23" s="43">
        <v>188564416706</v>
      </c>
      <c r="AW23" s="43">
        <v>19685391137</v>
      </c>
      <c r="AX23" s="43">
        <v>17716852023</v>
      </c>
      <c r="AY23" s="43">
        <v>124094084398</v>
      </c>
      <c r="AZ23" s="43">
        <v>21112304549</v>
      </c>
      <c r="BA23" s="43">
        <v>901009349.42999995</v>
      </c>
      <c r="BB23" s="43">
        <v>668285052.45000005</v>
      </c>
      <c r="BC23" s="43">
        <v>2284271836.5</v>
      </c>
      <c r="BD23" s="43">
        <v>5025041045.3000002</v>
      </c>
      <c r="BE23" s="43">
        <v>123147459.01000001</v>
      </c>
      <c r="BF23" s="43">
        <v>0</v>
      </c>
      <c r="BG23" s="43">
        <v>30302123632</v>
      </c>
      <c r="BH23" s="43">
        <v>0</v>
      </c>
      <c r="BI23" s="43">
        <v>27102498381</v>
      </c>
      <c r="BJ23" s="790">
        <v>0</v>
      </c>
      <c r="BK23" s="43">
        <v>0</v>
      </c>
      <c r="BL23" s="43">
        <v>0</v>
      </c>
      <c r="BM23" s="43">
        <v>0</v>
      </c>
      <c r="BN23" s="43">
        <v>6236616465</v>
      </c>
      <c r="BO23" s="43">
        <v>5067028167.3999996</v>
      </c>
      <c r="BP23" s="43">
        <v>4964074317.8999996</v>
      </c>
      <c r="BQ23" s="43">
        <v>11308990905</v>
      </c>
      <c r="BR23" s="43">
        <v>1447962.1</v>
      </c>
      <c r="BS23" s="43" t="s">
        <v>574</v>
      </c>
      <c r="BT23" s="43">
        <v>1258317300.7</v>
      </c>
      <c r="BU23" s="43">
        <v>39274008029</v>
      </c>
      <c r="BV23" s="1012">
        <v>-7473332454</v>
      </c>
      <c r="BW23" s="1013">
        <v>484298.69</v>
      </c>
      <c r="BX23" s="1013">
        <v>585554.51</v>
      </c>
      <c r="BY23" s="1013">
        <v>2054463455</v>
      </c>
      <c r="BZ23" s="1013">
        <v>1319035492.9000001</v>
      </c>
      <c r="CA23" s="1013">
        <v>2293287754.1999998</v>
      </c>
      <c r="CB23" s="1013"/>
      <c r="CC23" s="1013"/>
      <c r="CD23" s="1013"/>
      <c r="CE23" s="1013"/>
      <c r="CF23" s="1255">
        <v>20863769671</v>
      </c>
      <c r="CG23" s="252"/>
      <c r="CH23" s="252"/>
      <c r="CK23" s="455"/>
      <c r="CL23" s="455"/>
      <c r="CM23" s="455"/>
      <c r="CN23" s="455"/>
      <c r="CO23" s="1017"/>
      <c r="CP23" s="1017"/>
      <c r="CS23" s="1013"/>
      <c r="CT23" s="1013"/>
      <c r="CU23" s="313"/>
    </row>
    <row r="24" spans="1:99" s="43" customFormat="1" ht="9.75" customHeight="1" x14ac:dyDescent="0.3">
      <c r="A24" s="43">
        <v>0</v>
      </c>
      <c r="B24" s="43">
        <v>203519</v>
      </c>
      <c r="C24" s="788">
        <v>1979</v>
      </c>
      <c r="D24" s="791">
        <v>1465214100000</v>
      </c>
      <c r="E24" s="791">
        <v>1229083200000</v>
      </c>
      <c r="F24" s="43">
        <v>75591681266</v>
      </c>
      <c r="G24" s="43">
        <v>33476751116</v>
      </c>
      <c r="H24" s="43">
        <v>36422451025</v>
      </c>
      <c r="I24" s="43">
        <v>1546359395.3</v>
      </c>
      <c r="J24" s="43">
        <v>28110264592</v>
      </c>
      <c r="K24" s="43">
        <v>334673142.06</v>
      </c>
      <c r="L24" s="43">
        <v>41943118218</v>
      </c>
      <c r="M24" s="43">
        <v>994135613.95000005</v>
      </c>
      <c r="N24" s="43">
        <v>7166463373.8000002</v>
      </c>
      <c r="O24" s="43">
        <v>0</v>
      </c>
      <c r="P24" s="43">
        <v>0</v>
      </c>
      <c r="Q24" s="43">
        <v>24777406956</v>
      </c>
      <c r="R24" s="43">
        <v>56561230971</v>
      </c>
      <c r="S24" s="43">
        <v>14683596495</v>
      </c>
      <c r="T24" s="43">
        <v>2129188181.3</v>
      </c>
      <c r="U24" s="43">
        <v>9613414300.5</v>
      </c>
      <c r="V24" s="43">
        <v>3780420427.5</v>
      </c>
      <c r="W24" s="43">
        <v>4926663397.3000002</v>
      </c>
      <c r="X24" s="43">
        <v>-861513801.39999998</v>
      </c>
      <c r="Y24" s="43">
        <v>3239344144.5999999</v>
      </c>
      <c r="Z24" s="43">
        <v>64521401062</v>
      </c>
      <c r="AA24" s="43">
        <v>16888262511</v>
      </c>
      <c r="AB24" s="43">
        <v>734914158.82000005</v>
      </c>
      <c r="AC24" s="43">
        <v>74603086638</v>
      </c>
      <c r="AD24" s="43">
        <v>37344716242</v>
      </c>
      <c r="AE24" s="43">
        <v>3112000.09</v>
      </c>
      <c r="AF24" s="43">
        <v>212990222.91999999</v>
      </c>
      <c r="AG24" s="43">
        <v>11684560.630000001</v>
      </c>
      <c r="AH24" s="43">
        <v>0</v>
      </c>
      <c r="AI24" s="43">
        <v>424016.27</v>
      </c>
      <c r="AJ24" s="43">
        <v>92658462.890000001</v>
      </c>
      <c r="AK24" s="43">
        <v>101444000000</v>
      </c>
      <c r="AL24" s="43">
        <v>80737000000</v>
      </c>
      <c r="AM24" s="43">
        <v>220752185699</v>
      </c>
      <c r="AN24" s="43">
        <v>5365050692.1999998</v>
      </c>
      <c r="AO24" s="43">
        <v>60673218705</v>
      </c>
      <c r="AP24" s="43">
        <v>29243157546</v>
      </c>
      <c r="AQ24" s="43">
        <v>0</v>
      </c>
      <c r="AR24" s="43">
        <v>10282478591</v>
      </c>
      <c r="AS24" s="43">
        <v>0</v>
      </c>
      <c r="AT24" s="43">
        <v>0</v>
      </c>
      <c r="AU24" s="43">
        <v>0</v>
      </c>
      <c r="AV24" s="43">
        <v>215387135007</v>
      </c>
      <c r="AW24" s="43">
        <v>21147582568</v>
      </c>
      <c r="AX24" s="43">
        <v>19033950683</v>
      </c>
      <c r="AY24" s="43">
        <v>151296115326</v>
      </c>
      <c r="AZ24" s="43">
        <v>21901133817</v>
      </c>
      <c r="BA24" s="43">
        <v>850717564.99000001</v>
      </c>
      <c r="BB24" s="43">
        <v>1019554453.5</v>
      </c>
      <c r="BC24" s="43">
        <v>2230700092.1999998</v>
      </c>
      <c r="BD24" s="43">
        <v>5259508391.3000002</v>
      </c>
      <c r="BE24" s="43">
        <v>124837006.61</v>
      </c>
      <c r="BF24" s="43">
        <v>0</v>
      </c>
      <c r="BG24" s="43">
        <v>42001581121</v>
      </c>
      <c r="BH24" s="43">
        <v>0</v>
      </c>
      <c r="BI24" s="43">
        <v>39629110014</v>
      </c>
      <c r="BJ24" s="790">
        <v>0</v>
      </c>
      <c r="BK24" s="43">
        <v>0</v>
      </c>
      <c r="BL24" s="43">
        <v>0</v>
      </c>
      <c r="BM24" s="43">
        <v>0</v>
      </c>
      <c r="BN24" s="43">
        <v>7891716590.8000002</v>
      </c>
      <c r="BO24" s="43">
        <v>6462940620.6000004</v>
      </c>
      <c r="BP24" s="43">
        <v>5227991259.6999998</v>
      </c>
      <c r="BQ24" s="43">
        <v>12169084453</v>
      </c>
      <c r="BR24" s="43">
        <v>1642776.44</v>
      </c>
      <c r="BS24" s="43" t="s">
        <v>574</v>
      </c>
      <c r="BT24" s="43">
        <v>961473557.01999998</v>
      </c>
      <c r="BU24" s="43">
        <v>48495600192</v>
      </c>
      <c r="BV24" s="1012">
        <v>-9389772529</v>
      </c>
      <c r="BW24" s="1013">
        <v>508654.85</v>
      </c>
      <c r="BX24" s="1013">
        <v>509368.95</v>
      </c>
      <c r="BY24" s="1013">
        <v>1971697708.9000001</v>
      </c>
      <c r="BZ24" s="1013">
        <v>1444346934.8</v>
      </c>
      <c r="CA24" s="1013">
        <v>2086651912.5999999</v>
      </c>
      <c r="CB24" s="1013"/>
      <c r="CC24" s="1013"/>
      <c r="CD24" s="1013"/>
      <c r="CE24" s="1013"/>
      <c r="CF24" s="1255">
        <v>20925290597</v>
      </c>
      <c r="CG24" s="252"/>
      <c r="CH24" s="252"/>
      <c r="CK24" s="455"/>
      <c r="CL24" s="455"/>
      <c r="CM24" s="455"/>
      <c r="CN24" s="455"/>
      <c r="CO24" s="1017"/>
      <c r="CP24" s="1017"/>
      <c r="CS24" s="1013"/>
      <c r="CT24" s="1013"/>
    </row>
    <row r="25" spans="1:99" s="43" customFormat="1" ht="9.75" customHeight="1" x14ac:dyDescent="0.3">
      <c r="A25" s="43">
        <v>0</v>
      </c>
      <c r="B25" s="43">
        <v>171508</v>
      </c>
      <c r="C25" s="788">
        <v>1980</v>
      </c>
      <c r="D25" s="791">
        <v>1613699200000</v>
      </c>
      <c r="E25" s="791">
        <v>1349812000000</v>
      </c>
      <c r="F25" s="43">
        <v>104164016691</v>
      </c>
      <c r="G25" s="43">
        <v>38736870510</v>
      </c>
      <c r="H25" s="43">
        <v>42003078954</v>
      </c>
      <c r="I25" s="43">
        <v>1614346343.8</v>
      </c>
      <c r="J25" s="43">
        <v>29298847345</v>
      </c>
      <c r="K25" s="43">
        <v>369654440.69</v>
      </c>
      <c r="L25" s="43">
        <v>49267379306</v>
      </c>
      <c r="M25" s="43">
        <v>2082502828</v>
      </c>
      <c r="N25" s="43">
        <v>13634813452</v>
      </c>
      <c r="O25" s="43">
        <v>0</v>
      </c>
      <c r="P25" s="43">
        <v>0</v>
      </c>
      <c r="Q25" s="43">
        <v>28613589784</v>
      </c>
      <c r="R25" s="43">
        <v>55137998895</v>
      </c>
      <c r="S25" s="43">
        <v>10097981433</v>
      </c>
      <c r="T25" s="43">
        <v>-1790266708</v>
      </c>
      <c r="U25" s="43">
        <v>9835484351.8999996</v>
      </c>
      <c r="V25" s="43">
        <v>4560550486.1000004</v>
      </c>
      <c r="W25" s="43">
        <v>5901248088.6000004</v>
      </c>
      <c r="X25" s="43">
        <v>-575595228.79999995</v>
      </c>
      <c r="Y25" s="43">
        <v>3629254285.8000002</v>
      </c>
      <c r="Z25" s="43">
        <v>67006123410</v>
      </c>
      <c r="AA25" s="43">
        <v>17133948694</v>
      </c>
      <c r="AB25" s="43">
        <v>963811792.55999994</v>
      </c>
      <c r="AC25" s="43">
        <v>77846395365</v>
      </c>
      <c r="AD25" s="43">
        <v>43340008670</v>
      </c>
      <c r="AE25" s="43">
        <v>3072088.01</v>
      </c>
      <c r="AF25" s="43">
        <v>215892198.47</v>
      </c>
      <c r="AG25" s="43">
        <v>10963276.800000001</v>
      </c>
      <c r="AH25" s="43">
        <v>0</v>
      </c>
      <c r="AI25" s="43">
        <v>279464.28999999998</v>
      </c>
      <c r="AJ25" s="43">
        <v>93902125.170000002</v>
      </c>
      <c r="AK25" s="43">
        <v>72300000000</v>
      </c>
      <c r="AL25" s="43">
        <v>75484000000</v>
      </c>
      <c r="AM25" s="43">
        <v>256859032051</v>
      </c>
      <c r="AN25" s="43">
        <v>5659996296.5</v>
      </c>
      <c r="AO25" s="43">
        <v>69401352060</v>
      </c>
      <c r="AP25" s="43">
        <v>34129968245</v>
      </c>
      <c r="AQ25" s="43">
        <v>0</v>
      </c>
      <c r="AR25" s="43">
        <v>11094015938</v>
      </c>
      <c r="AS25" s="43">
        <v>0</v>
      </c>
      <c r="AT25" s="43">
        <v>0</v>
      </c>
      <c r="AU25" s="43">
        <v>0</v>
      </c>
      <c r="AV25" s="43">
        <v>251199035754</v>
      </c>
      <c r="AW25" s="43">
        <v>24177367877</v>
      </c>
      <c r="AX25" s="43">
        <v>21633598530</v>
      </c>
      <c r="AY25" s="43">
        <v>156806191809</v>
      </c>
      <c r="AZ25" s="43">
        <v>24603867348</v>
      </c>
      <c r="BA25" s="43">
        <v>1340809551.7</v>
      </c>
      <c r="BB25" s="43">
        <v>613489036.38999999</v>
      </c>
      <c r="BC25" s="43">
        <v>670167279.33000004</v>
      </c>
      <c r="BD25" s="43">
        <v>4538492154.8999996</v>
      </c>
      <c r="BE25" s="43">
        <v>127420802.33</v>
      </c>
      <c r="BF25" s="43">
        <v>0</v>
      </c>
      <c r="BG25" s="43">
        <v>41259405171</v>
      </c>
      <c r="BH25" s="43">
        <v>0</v>
      </c>
      <c r="BI25" s="43">
        <v>38197487098</v>
      </c>
      <c r="BJ25" s="790">
        <v>0</v>
      </c>
      <c r="BK25" s="43">
        <v>0</v>
      </c>
      <c r="BL25" s="43">
        <v>0</v>
      </c>
      <c r="BM25" s="43">
        <v>0</v>
      </c>
      <c r="BN25" s="43">
        <v>10786183785</v>
      </c>
      <c r="BO25" s="43">
        <v>8807750378.7000008</v>
      </c>
      <c r="BP25" s="43">
        <v>5438756025.3000002</v>
      </c>
      <c r="BQ25" s="43">
        <v>15109144458</v>
      </c>
      <c r="BR25" s="43">
        <v>1628767.41</v>
      </c>
      <c r="BS25" s="43" t="s">
        <v>574</v>
      </c>
      <c r="BT25" s="43">
        <v>74582541.489999995</v>
      </c>
      <c r="BU25" s="43">
        <v>59314074495</v>
      </c>
      <c r="BV25" s="1012">
        <v>-12818496545</v>
      </c>
      <c r="BW25" s="1013">
        <v>610835.82999999996</v>
      </c>
      <c r="BX25" s="1013">
        <v>589318.23</v>
      </c>
      <c r="BY25" s="1013">
        <v>2349336289.6999998</v>
      </c>
      <c r="BZ25" s="1013">
        <v>2206676081.4000001</v>
      </c>
      <c r="CA25" s="1013">
        <v>3173907946.4000001</v>
      </c>
      <c r="CB25" s="1013"/>
      <c r="CC25" s="1013"/>
      <c r="CD25" s="1013"/>
      <c r="CE25" s="1013"/>
      <c r="CF25" s="1255">
        <v>23853975092</v>
      </c>
      <c r="CG25" s="252"/>
      <c r="CH25" s="252"/>
      <c r="CK25" s="455"/>
      <c r="CL25" s="455"/>
      <c r="CM25" s="455"/>
      <c r="CN25" s="455"/>
      <c r="CO25" s="1017"/>
      <c r="CP25" s="1017"/>
      <c r="CS25" s="1013"/>
      <c r="CT25" s="1013"/>
    </row>
    <row r="26" spans="1:99" s="43" customFormat="1" ht="9.75" customHeight="1" x14ac:dyDescent="0.3">
      <c r="A26" s="43">
        <v>0</v>
      </c>
      <c r="B26" s="43">
        <v>144313</v>
      </c>
      <c r="C26" s="788">
        <v>1981</v>
      </c>
      <c r="D26" s="791">
        <v>1772505300000</v>
      </c>
      <c r="E26" s="791">
        <v>1486012800000</v>
      </c>
      <c r="F26" s="43">
        <v>142590533165</v>
      </c>
      <c r="G26" s="43">
        <v>46395090079</v>
      </c>
      <c r="H26" s="43">
        <v>54122499205</v>
      </c>
      <c r="I26" s="43">
        <v>6246883962.3999996</v>
      </c>
      <c r="J26" s="43">
        <v>30310367271</v>
      </c>
      <c r="K26" s="43">
        <v>503567022.16000003</v>
      </c>
      <c r="L26" s="43">
        <v>58968881269</v>
      </c>
      <c r="M26" s="43">
        <v>2315317330.5</v>
      </c>
      <c r="N26" s="43">
        <v>12386401338</v>
      </c>
      <c r="O26" s="43">
        <v>0</v>
      </c>
      <c r="P26" s="43">
        <v>0</v>
      </c>
      <c r="Q26" s="43">
        <v>31441643350</v>
      </c>
      <c r="R26" s="43">
        <v>53070607555</v>
      </c>
      <c r="S26" s="43">
        <v>-928327252.79999995</v>
      </c>
      <c r="T26" s="43">
        <v>-7816092934</v>
      </c>
      <c r="U26" s="43">
        <v>5989510108.6999998</v>
      </c>
      <c r="V26" s="43">
        <v>3967092369.3000002</v>
      </c>
      <c r="W26" s="43">
        <v>7010769366.3000002</v>
      </c>
      <c r="X26" s="43">
        <v>-1834021838</v>
      </c>
      <c r="Y26" s="43">
        <v>4371289927.1999998</v>
      </c>
      <c r="Z26" s="43">
        <v>81686131031</v>
      </c>
      <c r="AA26" s="43">
        <v>17444094877</v>
      </c>
      <c r="AB26" s="43">
        <v>1067594043.9</v>
      </c>
      <c r="AC26" s="43">
        <v>81626259230</v>
      </c>
      <c r="AD26" s="43">
        <v>51884754990</v>
      </c>
      <c r="AE26" s="43">
        <v>2930839.15</v>
      </c>
      <c r="AF26" s="43">
        <v>217775964.50999999</v>
      </c>
      <c r="AG26" s="43">
        <v>10263381.390000001</v>
      </c>
      <c r="AH26" s="43">
        <v>0</v>
      </c>
      <c r="AI26" s="43">
        <v>598829.9</v>
      </c>
      <c r="AJ26" s="43">
        <v>95379786.730000004</v>
      </c>
      <c r="AK26" s="43">
        <v>89399000000</v>
      </c>
      <c r="AL26" s="43">
        <v>70315000000</v>
      </c>
      <c r="AM26" s="43">
        <v>291757655122</v>
      </c>
      <c r="AN26" s="43">
        <v>6687171716.8000002</v>
      </c>
      <c r="AO26" s="43">
        <v>79697254262</v>
      </c>
      <c r="AP26" s="43">
        <v>39375200621</v>
      </c>
      <c r="AQ26" s="43">
        <v>0</v>
      </c>
      <c r="AR26" s="43">
        <v>10466326619</v>
      </c>
      <c r="AS26" s="43">
        <v>0</v>
      </c>
      <c r="AT26" s="43">
        <v>0</v>
      </c>
      <c r="AU26" s="43">
        <v>12386401338</v>
      </c>
      <c r="AV26" s="43">
        <v>285070483405</v>
      </c>
      <c r="AW26" s="43">
        <v>29855727023</v>
      </c>
      <c r="AX26" s="43">
        <v>25116578803</v>
      </c>
      <c r="AY26" s="43">
        <v>187503528656</v>
      </c>
      <c r="AZ26" s="43">
        <v>28293174737</v>
      </c>
      <c r="BA26" s="43">
        <v>1233507057.5999999</v>
      </c>
      <c r="BB26" s="43">
        <v>12368576.419</v>
      </c>
      <c r="BC26" s="43">
        <v>-816130375.89999998</v>
      </c>
      <c r="BD26" s="43">
        <v>4254613831.5999999</v>
      </c>
      <c r="BE26" s="43">
        <v>129603936.98999999</v>
      </c>
      <c r="BF26" s="43">
        <v>0</v>
      </c>
      <c r="BG26" s="43">
        <v>41084986151</v>
      </c>
      <c r="BH26" s="43">
        <v>0</v>
      </c>
      <c r="BI26" s="43">
        <v>37564243114</v>
      </c>
      <c r="BJ26" s="790">
        <v>0</v>
      </c>
      <c r="BK26" s="43">
        <v>0</v>
      </c>
      <c r="BL26" s="43">
        <v>0</v>
      </c>
      <c r="BM26" s="43">
        <v>0</v>
      </c>
      <c r="BN26" s="43">
        <v>16226627948</v>
      </c>
      <c r="BO26" s="43">
        <v>13130127775</v>
      </c>
      <c r="BP26" s="43">
        <v>6762124404.6999998</v>
      </c>
      <c r="BQ26" s="43">
        <v>15133006680</v>
      </c>
      <c r="BR26" s="43">
        <v>1439916.46</v>
      </c>
      <c r="BS26" s="43" t="s">
        <v>574</v>
      </c>
      <c r="BT26" s="43">
        <v>232358615.30000001</v>
      </c>
      <c r="BU26" s="43">
        <v>68573308477</v>
      </c>
      <c r="BV26" s="1012">
        <v>-18509303301</v>
      </c>
      <c r="BW26" s="1013">
        <v>737658</v>
      </c>
      <c r="BX26" s="1013">
        <v>611778.24</v>
      </c>
      <c r="BY26" s="1013">
        <v>2291698809.5999999</v>
      </c>
      <c r="BZ26" s="1013">
        <v>2393984390.0999999</v>
      </c>
      <c r="CA26" s="1013">
        <v>3960049708</v>
      </c>
      <c r="CB26" s="1013"/>
      <c r="CC26" s="1013"/>
      <c r="CD26" s="1013"/>
      <c r="CE26" s="1013"/>
      <c r="CF26" s="1255">
        <v>28615797908</v>
      </c>
      <c r="CG26" s="682"/>
      <c r="CH26" s="682"/>
      <c r="CK26" s="455"/>
      <c r="CL26" s="455"/>
      <c r="CM26" s="455"/>
      <c r="CN26" s="455"/>
      <c r="CO26" s="1017"/>
      <c r="CP26" s="1017"/>
      <c r="CS26" s="1013"/>
      <c r="CT26" s="1013"/>
    </row>
    <row r="27" spans="1:99" s="43" customFormat="1" ht="9.75" customHeight="1" x14ac:dyDescent="0.3">
      <c r="A27" s="43">
        <v>0</v>
      </c>
      <c r="B27" s="43">
        <v>88218</v>
      </c>
      <c r="C27" s="788">
        <v>1982</v>
      </c>
      <c r="D27" s="791">
        <v>1852119400000</v>
      </c>
      <c r="E27" s="791">
        <v>1564986700000</v>
      </c>
      <c r="F27" s="43">
        <v>160035866507</v>
      </c>
      <c r="G27" s="43">
        <v>52136819392</v>
      </c>
      <c r="H27" s="43">
        <v>56138808540</v>
      </c>
      <c r="I27" s="43">
        <v>1902421112.4000001</v>
      </c>
      <c r="J27" s="43">
        <v>33986670743</v>
      </c>
      <c r="K27" s="43">
        <v>422085222.47000003</v>
      </c>
      <c r="L27" s="43">
        <v>69296997488</v>
      </c>
      <c r="M27" s="43">
        <v>7089096914.1999998</v>
      </c>
      <c r="N27" s="43">
        <v>19818537642</v>
      </c>
      <c r="O27" s="43">
        <v>0</v>
      </c>
      <c r="P27" s="43">
        <v>0</v>
      </c>
      <c r="Q27" s="43">
        <v>64888224986</v>
      </c>
      <c r="R27" s="43">
        <v>50572391186</v>
      </c>
      <c r="S27" s="43">
        <v>-903033091.79999995</v>
      </c>
      <c r="T27" s="43">
        <v>-9835029633</v>
      </c>
      <c r="U27" s="43">
        <v>5059324425.3999996</v>
      </c>
      <c r="V27" s="43">
        <v>6310413009.5</v>
      </c>
      <c r="W27" s="43">
        <v>14357289766</v>
      </c>
      <c r="X27" s="43">
        <v>-10303472314</v>
      </c>
      <c r="Y27" s="43">
        <v>4997430016</v>
      </c>
      <c r="Z27" s="43">
        <v>87201364337</v>
      </c>
      <c r="AA27" s="43">
        <v>17383417196</v>
      </c>
      <c r="AB27" s="43">
        <v>1086655025.9000001</v>
      </c>
      <c r="AC27" s="43">
        <v>91136574245</v>
      </c>
      <c r="AD27" s="43">
        <v>63085105751</v>
      </c>
      <c r="AE27" s="43">
        <v>2763490.7</v>
      </c>
      <c r="AF27" s="43">
        <v>217980277.66</v>
      </c>
      <c r="AG27" s="43">
        <v>9145121.4100000001</v>
      </c>
      <c r="AH27" s="43">
        <v>0</v>
      </c>
      <c r="AI27" s="43">
        <v>592203.06000000006</v>
      </c>
      <c r="AJ27" s="43">
        <v>95337424.689999998</v>
      </c>
      <c r="AK27" s="43">
        <v>85642000000</v>
      </c>
      <c r="AL27" s="43">
        <v>51294000000</v>
      </c>
      <c r="AM27" s="43">
        <v>285257778623</v>
      </c>
      <c r="AN27" s="43">
        <v>6827253013.8999996</v>
      </c>
      <c r="AO27" s="43">
        <v>88035309528</v>
      </c>
      <c r="AP27" s="43">
        <v>43949800951</v>
      </c>
      <c r="AQ27" s="43">
        <v>0</v>
      </c>
      <c r="AR27" s="43">
        <v>11428154701</v>
      </c>
      <c r="AS27" s="43">
        <v>0</v>
      </c>
      <c r="AT27" s="43">
        <v>0</v>
      </c>
      <c r="AU27" s="43">
        <v>19818537642</v>
      </c>
      <c r="AV27" s="43">
        <v>278430525610</v>
      </c>
      <c r="AW27" s="43">
        <v>32657353876</v>
      </c>
      <c r="AX27" s="43">
        <v>27471896993</v>
      </c>
      <c r="AY27" s="43">
        <v>198613398884</v>
      </c>
      <c r="AZ27" s="43">
        <v>28650644401</v>
      </c>
      <c r="BA27" s="43">
        <v>757575091.91999996</v>
      </c>
      <c r="BB27" s="43">
        <v>67871540.106999993</v>
      </c>
      <c r="BC27" s="43">
        <v>5744115438.3000002</v>
      </c>
      <c r="BD27" s="43">
        <v>6086230204.8000002</v>
      </c>
      <c r="BE27" s="43">
        <v>131084921.20999999</v>
      </c>
      <c r="BF27" s="43">
        <v>0</v>
      </c>
      <c r="BG27" s="43">
        <v>36060962901</v>
      </c>
      <c r="BH27" s="43">
        <v>0</v>
      </c>
      <c r="BI27" s="43">
        <v>31867967380</v>
      </c>
      <c r="BJ27" s="790">
        <v>0</v>
      </c>
      <c r="BK27" s="43">
        <v>0</v>
      </c>
      <c r="BL27" s="43">
        <v>0</v>
      </c>
      <c r="BM27" s="43">
        <v>0</v>
      </c>
      <c r="BN27" s="43">
        <v>16125562636</v>
      </c>
      <c r="BO27" s="43">
        <v>13328711758</v>
      </c>
      <c r="BP27" s="43">
        <v>30756699010</v>
      </c>
      <c r="BQ27" s="43">
        <v>16277427373</v>
      </c>
      <c r="BR27" s="43">
        <v>1102948.5</v>
      </c>
      <c r="BS27" s="43" t="s">
        <v>574</v>
      </c>
      <c r="BT27" s="43">
        <v>613048320.13</v>
      </c>
      <c r="BU27" s="43">
        <v>75759262034</v>
      </c>
      <c r="BV27" s="1012">
        <v>-23738605355</v>
      </c>
      <c r="BW27" s="1013">
        <v>857779.08</v>
      </c>
      <c r="BX27" s="1013">
        <v>804869.91</v>
      </c>
      <c r="BY27" s="1013">
        <v>2744082531</v>
      </c>
      <c r="BZ27" s="1013">
        <v>2904578496.1999998</v>
      </c>
      <c r="CA27" s="1013">
        <v>4676879804.8000002</v>
      </c>
      <c r="CB27" s="1013"/>
      <c r="CC27" s="1013"/>
      <c r="CD27" s="1013"/>
      <c r="CE27" s="1013"/>
      <c r="CF27" s="1255">
        <v>33721750209</v>
      </c>
      <c r="CG27" s="252"/>
      <c r="CH27" s="252"/>
      <c r="CK27" s="455"/>
      <c r="CL27" s="455"/>
      <c r="CM27" s="455"/>
      <c r="CN27" s="455"/>
      <c r="CO27" s="1017"/>
      <c r="CP27" s="1017"/>
      <c r="CS27" s="1013"/>
      <c r="CT27" s="1013"/>
    </row>
    <row r="28" spans="1:99" s="43" customFormat="1" ht="9.75" customHeight="1" x14ac:dyDescent="0.3">
      <c r="A28" s="43">
        <v>0</v>
      </c>
      <c r="B28" s="43">
        <v>122889</v>
      </c>
      <c r="C28" s="788">
        <v>1983</v>
      </c>
      <c r="D28" s="791">
        <v>1942588300000</v>
      </c>
      <c r="E28" s="791">
        <v>1644556400000</v>
      </c>
      <c r="F28" s="43">
        <v>156872104811</v>
      </c>
      <c r="G28" s="43">
        <v>48558368046</v>
      </c>
      <c r="H28" s="43">
        <v>52709185540</v>
      </c>
      <c r="I28" s="43">
        <v>1854826367.5999999</v>
      </c>
      <c r="J28" s="43">
        <v>48892157865</v>
      </c>
      <c r="K28" s="43">
        <v>511891881.54000002</v>
      </c>
      <c r="L28" s="43">
        <v>81541998849</v>
      </c>
      <c r="M28" s="43">
        <v>7110661999.1000004</v>
      </c>
      <c r="N28" s="43">
        <v>19312762503</v>
      </c>
      <c r="O28" s="43">
        <v>0</v>
      </c>
      <c r="P28" s="43">
        <v>0</v>
      </c>
      <c r="Q28" s="43">
        <v>81257683483</v>
      </c>
      <c r="R28" s="43">
        <v>60362793915</v>
      </c>
      <c r="S28" s="43">
        <v>-536985980.60000002</v>
      </c>
      <c r="T28" s="43">
        <v>-9292757691</v>
      </c>
      <c r="U28" s="43">
        <v>2802968820.5999999</v>
      </c>
      <c r="V28" s="43">
        <v>6534182687.1000004</v>
      </c>
      <c r="W28" s="43">
        <v>17046339522</v>
      </c>
      <c r="X28" s="43">
        <v>-11821335568</v>
      </c>
      <c r="Y28" s="43">
        <v>5729743787.5</v>
      </c>
      <c r="Z28" s="43">
        <v>99286981178</v>
      </c>
      <c r="AA28" s="43">
        <v>17423609231</v>
      </c>
      <c r="AB28" s="43">
        <v>1212450818.5</v>
      </c>
      <c r="AC28" s="43">
        <v>127483429011</v>
      </c>
      <c r="AD28" s="43">
        <v>73365193767</v>
      </c>
      <c r="AE28" s="43">
        <v>2742297.71</v>
      </c>
      <c r="AF28" s="43">
        <v>219276591.78999999</v>
      </c>
      <c r="AG28" s="43">
        <v>8863344.8200000003</v>
      </c>
      <c r="AH28" s="43">
        <v>0</v>
      </c>
      <c r="AI28" s="43">
        <v>643712.71</v>
      </c>
      <c r="AJ28" s="43">
        <v>96321302.620000005</v>
      </c>
      <c r="AK28" s="43">
        <v>115655000000</v>
      </c>
      <c r="AL28" s="43">
        <v>66419000000</v>
      </c>
      <c r="AM28" s="43">
        <v>282823742184</v>
      </c>
      <c r="AN28" s="43">
        <v>7802299393.3000002</v>
      </c>
      <c r="AO28" s="43">
        <v>99751220683</v>
      </c>
      <c r="AP28" s="43">
        <v>50439524335</v>
      </c>
      <c r="AQ28" s="43">
        <v>0</v>
      </c>
      <c r="AR28" s="43">
        <v>12693002389</v>
      </c>
      <c r="AS28" s="43">
        <v>0</v>
      </c>
      <c r="AT28" s="43">
        <v>0</v>
      </c>
      <c r="AU28" s="43">
        <v>19312762503</v>
      </c>
      <c r="AV28" s="43">
        <v>275021442791</v>
      </c>
      <c r="AW28" s="43">
        <v>36618693958</v>
      </c>
      <c r="AX28" s="43">
        <v>29868247212</v>
      </c>
      <c r="AY28" s="43">
        <v>223799870980</v>
      </c>
      <c r="AZ28" s="43">
        <v>30571718630</v>
      </c>
      <c r="BA28" s="43">
        <v>617750770.75999999</v>
      </c>
      <c r="BB28" s="43">
        <v>2005673983.5</v>
      </c>
      <c r="BC28" s="43">
        <v>1995498531.4000001</v>
      </c>
      <c r="BD28" s="43">
        <v>9100056160.8999996</v>
      </c>
      <c r="BE28" s="43">
        <v>132534943.05</v>
      </c>
      <c r="BF28" s="43">
        <v>0</v>
      </c>
      <c r="BG28" s="43">
        <v>35778218321</v>
      </c>
      <c r="BH28" s="43">
        <v>0</v>
      </c>
      <c r="BI28" s="43">
        <v>30884858773</v>
      </c>
      <c r="BJ28" s="790">
        <v>0</v>
      </c>
      <c r="BK28" s="43">
        <v>0</v>
      </c>
      <c r="BL28" s="43">
        <v>0</v>
      </c>
      <c r="BM28" s="43">
        <v>0</v>
      </c>
      <c r="BN28" s="43">
        <v>20882397516</v>
      </c>
      <c r="BO28" s="43">
        <v>17034999104</v>
      </c>
      <c r="BP28" s="43">
        <v>34998605117</v>
      </c>
      <c r="BQ28" s="43">
        <v>17830051326</v>
      </c>
      <c r="BR28" s="43">
        <v>915829.73</v>
      </c>
      <c r="BS28" s="43" t="s">
        <v>574</v>
      </c>
      <c r="BT28" s="43">
        <v>1181324794.2</v>
      </c>
      <c r="BU28" s="43">
        <v>84156611892</v>
      </c>
      <c r="BV28" s="1012">
        <v>-27016267994</v>
      </c>
      <c r="BW28" s="1013">
        <v>875498.43</v>
      </c>
      <c r="BX28" s="1013">
        <v>974430.54</v>
      </c>
      <c r="BY28" s="1013">
        <v>3543478609.0999999</v>
      </c>
      <c r="BZ28" s="1013">
        <v>3333173550.8000002</v>
      </c>
      <c r="CA28" s="1013">
        <v>5204069193</v>
      </c>
      <c r="CB28" s="1013"/>
      <c r="CC28" s="1013"/>
      <c r="CD28" s="1013"/>
      <c r="CE28" s="1013"/>
      <c r="CF28" s="1255">
        <v>40137138565</v>
      </c>
      <c r="CG28" s="252"/>
      <c r="CH28" s="252"/>
      <c r="CK28" s="455"/>
      <c r="CL28" s="455"/>
      <c r="CM28" s="455"/>
      <c r="CN28" s="455"/>
      <c r="CO28" s="1017"/>
      <c r="CP28" s="1017"/>
      <c r="CS28" s="1013"/>
      <c r="CT28" s="1013"/>
    </row>
    <row r="29" spans="1:99" s="43" customFormat="1" ht="9.75" customHeight="1" x14ac:dyDescent="0.3">
      <c r="A29" s="43">
        <v>0</v>
      </c>
      <c r="B29" s="43">
        <v>94378</v>
      </c>
      <c r="C29" s="788">
        <v>1984</v>
      </c>
      <c r="D29" s="791">
        <v>2139906800000</v>
      </c>
      <c r="E29" s="791">
        <v>1807113900000</v>
      </c>
      <c r="F29" s="43">
        <v>179603212999</v>
      </c>
      <c r="G29" s="43">
        <v>48637146419</v>
      </c>
      <c r="H29" s="43">
        <v>53122744276</v>
      </c>
      <c r="I29" s="43">
        <v>1914099880.7</v>
      </c>
      <c r="J29" s="43">
        <v>53790356200</v>
      </c>
      <c r="K29" s="43">
        <v>737639565.45000005</v>
      </c>
      <c r="L29" s="43">
        <v>107297973084</v>
      </c>
      <c r="M29" s="43">
        <v>6049573917.3000002</v>
      </c>
      <c r="N29" s="43">
        <v>13181183968</v>
      </c>
      <c r="O29" s="43">
        <v>7876979958.8000002</v>
      </c>
      <c r="P29" s="43">
        <v>51980179882</v>
      </c>
      <c r="Q29" s="43">
        <v>89745144722</v>
      </c>
      <c r="R29" s="43">
        <v>70771811813</v>
      </c>
      <c r="S29" s="43">
        <v>-2276184157</v>
      </c>
      <c r="T29" s="43">
        <v>-13093333000</v>
      </c>
      <c r="U29" s="43">
        <v>-479272608.39999998</v>
      </c>
      <c r="V29" s="43">
        <v>7138187000.3000002</v>
      </c>
      <c r="W29" s="43">
        <v>22070842477</v>
      </c>
      <c r="X29" s="43">
        <v>-16986165307</v>
      </c>
      <c r="Y29" s="43">
        <v>7037789690.6999998</v>
      </c>
      <c r="Z29" s="43">
        <v>106306939909</v>
      </c>
      <c r="AA29" s="43">
        <v>34308689768</v>
      </c>
      <c r="AB29" s="43">
        <v>1430401232.3</v>
      </c>
      <c r="AC29" s="43">
        <v>141100843862</v>
      </c>
      <c r="AD29" s="43">
        <v>94882035347</v>
      </c>
      <c r="AE29" s="43">
        <v>2538785.04</v>
      </c>
      <c r="AF29" s="43">
        <v>224801049.19</v>
      </c>
      <c r="AG29" s="43">
        <v>9087633.3000000007</v>
      </c>
      <c r="AH29" s="43">
        <v>0</v>
      </c>
      <c r="AI29" s="43">
        <v>702581.45</v>
      </c>
      <c r="AJ29" s="43">
        <v>99426762.680000007</v>
      </c>
      <c r="AK29" s="43">
        <v>149543000000</v>
      </c>
      <c r="AL29" s="43">
        <v>81477000000</v>
      </c>
      <c r="AM29" s="43">
        <v>313017198840</v>
      </c>
      <c r="AN29" s="43">
        <v>10092411266</v>
      </c>
      <c r="AO29" s="43">
        <v>115246361875</v>
      </c>
      <c r="AP29" s="43">
        <v>59281088489</v>
      </c>
      <c r="AQ29" s="43">
        <v>358880288689</v>
      </c>
      <c r="AR29" s="43">
        <v>14612779333</v>
      </c>
      <c r="AS29" s="43">
        <v>0</v>
      </c>
      <c r="AT29" s="43">
        <v>0</v>
      </c>
      <c r="AU29" s="43">
        <v>13181183968</v>
      </c>
      <c r="AV29" s="43">
        <v>302924787574</v>
      </c>
      <c r="AW29" s="43">
        <v>41352494053</v>
      </c>
      <c r="AX29" s="43">
        <v>32734047683</v>
      </c>
      <c r="AY29" s="43">
        <v>252458969142</v>
      </c>
      <c r="AZ29" s="43">
        <v>32063142295</v>
      </c>
      <c r="BA29" s="43">
        <v>817285038.85000002</v>
      </c>
      <c r="BB29" s="43">
        <v>3127230080</v>
      </c>
      <c r="BC29" s="43">
        <v>6164725320.1999998</v>
      </c>
      <c r="BD29" s="43">
        <v>15061672313</v>
      </c>
      <c r="BE29" s="43">
        <v>136431981.34999999</v>
      </c>
      <c r="BF29" s="43">
        <v>0</v>
      </c>
      <c r="BG29" s="43">
        <v>37488333967</v>
      </c>
      <c r="BH29" s="43">
        <v>0</v>
      </c>
      <c r="BI29" s="43">
        <v>32337693915</v>
      </c>
      <c r="BJ29" s="790">
        <v>0</v>
      </c>
      <c r="BK29" s="43">
        <v>0</v>
      </c>
      <c r="BL29" s="43">
        <v>0</v>
      </c>
      <c r="BM29" s="43">
        <v>0</v>
      </c>
      <c r="BN29" s="43">
        <v>27102085348</v>
      </c>
      <c r="BO29" s="43">
        <v>23020995055</v>
      </c>
      <c r="BP29" s="43">
        <v>39447213703</v>
      </c>
      <c r="BQ29" s="43">
        <v>19326152805</v>
      </c>
      <c r="BR29" s="43">
        <v>854195.65</v>
      </c>
      <c r="BS29" s="43" t="s">
        <v>574</v>
      </c>
      <c r="BT29" s="43">
        <v>1726472804.0999999</v>
      </c>
      <c r="BU29" s="43">
        <v>102110949776</v>
      </c>
      <c r="BV29" s="1012">
        <v>-33321808856</v>
      </c>
      <c r="BW29" s="1013">
        <v>954235.35</v>
      </c>
      <c r="BX29" s="455">
        <v>867136.52</v>
      </c>
      <c r="BY29" s="455">
        <v>3132865192.1999998</v>
      </c>
      <c r="BZ29" s="455">
        <v>3086058724.0999999</v>
      </c>
      <c r="CA29" s="455">
        <v>4982781022</v>
      </c>
      <c r="CB29" s="455"/>
      <c r="CC29" s="455"/>
      <c r="CD29" s="455"/>
      <c r="CE29" s="455"/>
      <c r="CF29" s="1255">
        <v>46745819429</v>
      </c>
      <c r="CG29" s="252"/>
      <c r="CH29" s="252"/>
      <c r="CK29" s="455"/>
      <c r="CL29" s="455"/>
      <c r="CM29" s="455"/>
      <c r="CN29" s="455"/>
      <c r="CO29" s="1017"/>
      <c r="CP29" s="1017"/>
      <c r="CS29" s="1013"/>
      <c r="CT29" s="1013"/>
    </row>
    <row r="30" spans="1:99" s="43" customFormat="1" ht="9.75" customHeight="1" x14ac:dyDescent="0.3">
      <c r="A30" s="43">
        <v>0</v>
      </c>
      <c r="B30" s="43">
        <v>121412</v>
      </c>
      <c r="C30" s="788">
        <v>1985</v>
      </c>
      <c r="D30" s="791">
        <v>2305806400000</v>
      </c>
      <c r="E30" s="791">
        <v>1928230000000</v>
      </c>
      <c r="F30" s="43">
        <v>186316929999</v>
      </c>
      <c r="G30" s="43">
        <v>55035966364</v>
      </c>
      <c r="H30" s="43">
        <v>60547631705</v>
      </c>
      <c r="I30" s="43">
        <v>1957947712.8</v>
      </c>
      <c r="J30" s="43">
        <v>67682869791</v>
      </c>
      <c r="K30" s="43">
        <v>582925469.88999999</v>
      </c>
      <c r="L30" s="43">
        <v>116569698017</v>
      </c>
      <c r="M30" s="43">
        <v>6355536185.1999998</v>
      </c>
      <c r="N30" s="43">
        <v>13118103399</v>
      </c>
      <c r="O30" s="43">
        <v>9593763632.3999996</v>
      </c>
      <c r="P30" s="43">
        <v>65017038690</v>
      </c>
      <c r="Q30" s="43">
        <v>95081955906</v>
      </c>
      <c r="R30" s="43">
        <v>78763537449</v>
      </c>
      <c r="S30" s="43">
        <v>-2648573826</v>
      </c>
      <c r="T30" s="43">
        <v>-11996488154</v>
      </c>
      <c r="U30" s="43">
        <v>-645023223.29999995</v>
      </c>
      <c r="V30" s="43">
        <v>9726087164.5</v>
      </c>
      <c r="W30" s="43">
        <v>24744392212</v>
      </c>
      <c r="X30" s="43">
        <v>-19424312836</v>
      </c>
      <c r="Y30" s="43">
        <v>8552419680.8000002</v>
      </c>
      <c r="Z30" s="43">
        <v>114200570910</v>
      </c>
      <c r="AA30" s="43">
        <v>35039812409</v>
      </c>
      <c r="AB30" s="43">
        <v>1537924505.4000001</v>
      </c>
      <c r="AC30" s="43">
        <v>175065539122</v>
      </c>
      <c r="AD30" s="43">
        <v>95089951013</v>
      </c>
      <c r="AE30" s="43">
        <v>2587400.61</v>
      </c>
      <c r="AF30" s="43">
        <v>227092803.78</v>
      </c>
      <c r="AG30" s="43">
        <v>8981768.7599999998</v>
      </c>
      <c r="AH30" s="43">
        <v>0</v>
      </c>
      <c r="AI30" s="43">
        <v>682227.59</v>
      </c>
      <c r="AJ30" s="43">
        <v>101648917.48999999</v>
      </c>
      <c r="AK30" s="43">
        <v>157536000000</v>
      </c>
      <c r="AL30" s="43">
        <v>81610000000</v>
      </c>
      <c r="AM30" s="43">
        <v>339311547431</v>
      </c>
      <c r="AN30" s="43">
        <v>11526262499</v>
      </c>
      <c r="AO30" s="43">
        <v>128077528639</v>
      </c>
      <c r="AP30" s="43">
        <v>66178753178</v>
      </c>
      <c r="AQ30" s="43">
        <v>405032157384</v>
      </c>
      <c r="AR30" s="43">
        <v>16149243172</v>
      </c>
      <c r="AS30" s="43">
        <v>0</v>
      </c>
      <c r="AT30" s="43">
        <v>65017038690</v>
      </c>
      <c r="AU30" s="43">
        <v>13118103399</v>
      </c>
      <c r="AV30" s="43">
        <v>327785284931</v>
      </c>
      <c r="AW30" s="43">
        <v>45749532289</v>
      </c>
      <c r="AX30" s="43">
        <v>35957765490</v>
      </c>
      <c r="AY30" s="43">
        <v>274967216729</v>
      </c>
      <c r="AZ30" s="43">
        <v>33507125402</v>
      </c>
      <c r="BA30" s="43">
        <v>797208546.05999994</v>
      </c>
      <c r="BB30" s="43">
        <v>1644857331.7</v>
      </c>
      <c r="BC30" s="43">
        <v>6412386802.6999998</v>
      </c>
      <c r="BD30" s="43">
        <v>16784629570</v>
      </c>
      <c r="BE30" s="43">
        <v>139206715.41999999</v>
      </c>
      <c r="BF30" s="43">
        <v>0</v>
      </c>
      <c r="BG30" s="43">
        <v>38010419444</v>
      </c>
      <c r="BH30" s="43">
        <v>0</v>
      </c>
      <c r="BI30" s="43">
        <v>32416549621</v>
      </c>
      <c r="BJ30" s="790">
        <v>0</v>
      </c>
      <c r="BK30" s="43">
        <v>0</v>
      </c>
      <c r="BL30" s="43">
        <v>0</v>
      </c>
      <c r="BM30" s="43">
        <v>0</v>
      </c>
      <c r="BN30" s="43">
        <v>30424535264</v>
      </c>
      <c r="BO30" s="43">
        <v>25705628740</v>
      </c>
      <c r="BP30" s="43">
        <v>43393604673</v>
      </c>
      <c r="BQ30" s="43">
        <v>18318889392</v>
      </c>
      <c r="BR30" s="43">
        <v>842196.52</v>
      </c>
      <c r="BS30" s="43" t="s">
        <v>574</v>
      </c>
      <c r="BT30" s="43">
        <v>1529772337</v>
      </c>
      <c r="BU30" s="43">
        <v>115036739010</v>
      </c>
      <c r="BV30" s="1012">
        <v>-38076878922</v>
      </c>
      <c r="BW30" s="1013">
        <v>962125.95</v>
      </c>
      <c r="BX30" s="455">
        <v>789932.83</v>
      </c>
      <c r="BY30" s="455">
        <v>3178257562.5</v>
      </c>
      <c r="BZ30" s="455">
        <v>2744875187.5</v>
      </c>
      <c r="CA30" s="455">
        <v>5395408734.8999996</v>
      </c>
      <c r="CB30" s="455"/>
      <c r="CC30" s="455"/>
      <c r="CD30" s="455"/>
      <c r="CE30" s="455"/>
      <c r="CF30" s="1255">
        <v>53171236702</v>
      </c>
      <c r="CG30" s="252"/>
      <c r="CH30" s="252"/>
      <c r="CK30" s="455"/>
      <c r="CL30" s="455"/>
      <c r="CM30" s="455"/>
      <c r="CN30" s="455"/>
      <c r="CO30" s="1017"/>
      <c r="CP30" s="1017"/>
      <c r="CS30" s="1013"/>
      <c r="CT30" s="1013"/>
    </row>
    <row r="31" spans="1:99" s="43" customFormat="1" ht="9.75" customHeight="1" x14ac:dyDescent="0.3">
      <c r="A31" s="43">
        <v>0</v>
      </c>
      <c r="B31" s="43">
        <v>90378</v>
      </c>
      <c r="C31" s="788">
        <v>1986</v>
      </c>
      <c r="D31" s="791">
        <v>2486424900000</v>
      </c>
      <c r="E31" s="791">
        <v>2034628100000</v>
      </c>
      <c r="F31" s="43">
        <v>170959084796</v>
      </c>
      <c r="G31" s="43">
        <v>61861361341</v>
      </c>
      <c r="H31" s="43">
        <v>66549684052</v>
      </c>
      <c r="I31" s="43">
        <v>2007849134.8</v>
      </c>
      <c r="J31" s="43">
        <v>132558043250</v>
      </c>
      <c r="K31" s="43">
        <v>1257978136.0999999</v>
      </c>
      <c r="L31" s="43">
        <v>148095839383</v>
      </c>
      <c r="M31" s="43">
        <v>6975240854.8999996</v>
      </c>
      <c r="N31" s="43">
        <v>14135102679</v>
      </c>
      <c r="O31" s="43">
        <v>10648631443</v>
      </c>
      <c r="P31" s="43">
        <v>70865499303</v>
      </c>
      <c r="Q31" s="43">
        <v>99159827018</v>
      </c>
      <c r="R31" s="43">
        <v>90471206547</v>
      </c>
      <c r="S31" s="43">
        <v>-5849936709</v>
      </c>
      <c r="T31" s="43">
        <v>-7299213153</v>
      </c>
      <c r="U31" s="43">
        <v>-6248704951</v>
      </c>
      <c r="V31" s="43">
        <v>7006349055.8999996</v>
      </c>
      <c r="W31" s="43">
        <v>28811248690</v>
      </c>
      <c r="X31" s="43">
        <v>-22910652567</v>
      </c>
      <c r="Y31" s="43">
        <v>9908952339.7000008</v>
      </c>
      <c r="Z31" s="43">
        <v>122623199362</v>
      </c>
      <c r="AA31" s="43">
        <v>35490078780</v>
      </c>
      <c r="AB31" s="43">
        <v>1707075608.5999999</v>
      </c>
      <c r="AC31" s="43">
        <v>336599278265</v>
      </c>
      <c r="AD31" s="43">
        <v>107739429085</v>
      </c>
      <c r="AE31" s="43">
        <v>2393434.75</v>
      </c>
      <c r="AF31" s="43">
        <v>228344183.06</v>
      </c>
      <c r="AG31" s="43">
        <v>8891087.4399999995</v>
      </c>
      <c r="AH31" s="43">
        <v>0</v>
      </c>
      <c r="AI31" s="43">
        <v>683522.81</v>
      </c>
      <c r="AJ31" s="43">
        <v>103333695.33</v>
      </c>
      <c r="AK31" s="43">
        <v>108519000000</v>
      </c>
      <c r="AL31" s="43">
        <v>91871000000</v>
      </c>
      <c r="AM31" s="43">
        <v>382709304457</v>
      </c>
      <c r="AN31" s="43">
        <v>13531418615</v>
      </c>
      <c r="AO31" s="43">
        <v>143548869311</v>
      </c>
      <c r="AP31" s="43">
        <v>71453343951</v>
      </c>
      <c r="AQ31" s="43">
        <v>447448106209</v>
      </c>
      <c r="AR31" s="43">
        <v>20790715313</v>
      </c>
      <c r="AS31" s="43">
        <v>0</v>
      </c>
      <c r="AT31" s="43">
        <v>70865499303</v>
      </c>
      <c r="AU31" s="43">
        <v>14135102679</v>
      </c>
      <c r="AV31" s="43">
        <v>369177885842</v>
      </c>
      <c r="AW31" s="43">
        <v>51304810047</v>
      </c>
      <c r="AX31" s="43">
        <v>39509502873</v>
      </c>
      <c r="AY31" s="43">
        <v>294267896120</v>
      </c>
      <c r="AZ31" s="43">
        <v>33772413520</v>
      </c>
      <c r="BA31" s="43">
        <v>1844009977.4000001</v>
      </c>
      <c r="BB31" s="43">
        <v>2524437842.5</v>
      </c>
      <c r="BC31" s="43">
        <v>7824688856.5</v>
      </c>
      <c r="BD31" s="43">
        <v>19399403712</v>
      </c>
      <c r="BE31" s="43">
        <v>141025036.84</v>
      </c>
      <c r="BF31" s="43">
        <v>0</v>
      </c>
      <c r="BG31" s="43">
        <v>38576517408</v>
      </c>
      <c r="BH31" s="43">
        <v>0</v>
      </c>
      <c r="BI31" s="43">
        <v>34212974994</v>
      </c>
      <c r="BJ31" s="790">
        <v>0</v>
      </c>
      <c r="BK31" s="43">
        <v>0</v>
      </c>
      <c r="BL31" s="43">
        <v>0</v>
      </c>
      <c r="BM31" s="43">
        <v>0</v>
      </c>
      <c r="BN31" s="43">
        <v>35416087247</v>
      </c>
      <c r="BO31" s="43">
        <v>30252592551</v>
      </c>
      <c r="BP31" s="43">
        <v>43988385500</v>
      </c>
      <c r="BQ31" s="43">
        <v>19624646189</v>
      </c>
      <c r="BR31" s="43">
        <v>1037877.56</v>
      </c>
      <c r="BS31" s="43" t="s">
        <v>574</v>
      </c>
      <c r="BT31" s="43">
        <v>802269265.92999995</v>
      </c>
      <c r="BU31" s="43">
        <v>125871972110</v>
      </c>
      <c r="BV31" s="1012">
        <v>-42626473081</v>
      </c>
      <c r="BW31" s="1013">
        <v>905406.18</v>
      </c>
      <c r="BX31" s="1013"/>
      <c r="BY31" s="1013"/>
      <c r="BZ31" s="1013"/>
      <c r="CA31" s="1013">
        <v>6612057267.1000004</v>
      </c>
      <c r="CB31" s="1013"/>
      <c r="CC31" s="1013"/>
      <c r="CD31" s="1013"/>
      <c r="CE31" s="1013"/>
      <c r="CF31" s="1255">
        <v>58399805464</v>
      </c>
      <c r="CG31" s="682"/>
      <c r="CH31" s="682"/>
      <c r="CK31" s="455"/>
      <c r="CL31" s="455"/>
      <c r="CM31" s="455"/>
      <c r="CN31" s="455"/>
      <c r="CO31" s="1017"/>
      <c r="CP31" s="1017"/>
      <c r="CS31" s="1013"/>
      <c r="CT31" s="1013"/>
    </row>
    <row r="32" spans="1:99" s="43" customFormat="1" ht="9.75" customHeight="1" x14ac:dyDescent="0.3">
      <c r="A32" s="43">
        <v>0</v>
      </c>
      <c r="B32" s="43">
        <v>125783</v>
      </c>
      <c r="C32" s="788">
        <v>1987</v>
      </c>
      <c r="D32" s="791">
        <v>2773667000000</v>
      </c>
      <c r="E32" s="791">
        <v>2163788100000</v>
      </c>
      <c r="F32" s="43">
        <v>170899616958</v>
      </c>
      <c r="G32" s="43">
        <v>66802717433</v>
      </c>
      <c r="H32" s="43">
        <v>68584412526</v>
      </c>
      <c r="I32" s="43">
        <v>0</v>
      </c>
      <c r="J32" s="43">
        <v>137354869728</v>
      </c>
      <c r="K32" s="43">
        <v>3559929.65</v>
      </c>
      <c r="L32" s="43">
        <v>171843998400</v>
      </c>
      <c r="M32" s="43">
        <v>12283252838</v>
      </c>
      <c r="N32" s="43">
        <v>12283252838</v>
      </c>
      <c r="O32" s="43">
        <v>12523834385</v>
      </c>
      <c r="P32" s="43">
        <v>77853865714</v>
      </c>
      <c r="Q32" s="43">
        <v>30118644765</v>
      </c>
      <c r="R32" s="43">
        <v>105461938372</v>
      </c>
      <c r="S32" s="43">
        <v>24329393675</v>
      </c>
      <c r="T32" s="43">
        <v>-1319845690</v>
      </c>
      <c r="U32" s="43">
        <v>-5538214846</v>
      </c>
      <c r="V32" s="43">
        <v>4318296776.5</v>
      </c>
      <c r="W32" s="43">
        <v>26270927038</v>
      </c>
      <c r="X32" s="43">
        <v>-17015652662</v>
      </c>
      <c r="Y32" s="43">
        <v>11374984932</v>
      </c>
      <c r="Z32" s="43">
        <v>129822121248</v>
      </c>
      <c r="AA32" s="43">
        <v>36329851922</v>
      </c>
      <c r="AB32" s="43">
        <v>1749885153.8</v>
      </c>
      <c r="AC32" s="43">
        <v>137354869728</v>
      </c>
      <c r="AD32" s="43">
        <v>124753877545</v>
      </c>
      <c r="AE32" s="43">
        <v>2626990.04</v>
      </c>
      <c r="AF32" s="43">
        <v>217293040.72</v>
      </c>
      <c r="AG32" s="43">
        <v>10805763.51</v>
      </c>
      <c r="AH32" s="43">
        <v>2211932.46</v>
      </c>
      <c r="AI32" s="43">
        <v>682885.32</v>
      </c>
      <c r="AJ32" s="43">
        <v>106988504.73999999</v>
      </c>
      <c r="AK32" s="43">
        <v>123230000000</v>
      </c>
      <c r="AL32" s="43">
        <v>112702000000</v>
      </c>
      <c r="AM32" s="43">
        <v>385523253112</v>
      </c>
      <c r="AN32" s="43">
        <v>14936481035</v>
      </c>
      <c r="AO32" s="43">
        <v>119388646782</v>
      </c>
      <c r="AP32" s="43">
        <v>75366656105</v>
      </c>
      <c r="AQ32" s="43">
        <v>392033554660</v>
      </c>
      <c r="AR32" s="43">
        <v>371090329.49000001</v>
      </c>
      <c r="AS32" s="43">
        <v>0</v>
      </c>
      <c r="AT32" s="43">
        <v>77853865714</v>
      </c>
      <c r="AU32" s="43">
        <v>12283252838</v>
      </c>
      <c r="AV32" s="43">
        <v>370586772077</v>
      </c>
      <c r="AW32" s="43">
        <v>43650900347</v>
      </c>
      <c r="AX32" s="43">
        <v>39069344754</v>
      </c>
      <c r="AY32" s="43">
        <v>310910575454</v>
      </c>
      <c r="AZ32" s="43">
        <v>33673271602</v>
      </c>
      <c r="BA32" s="43">
        <v>1163491743.8</v>
      </c>
      <c r="BB32" s="43">
        <v>1516653.34</v>
      </c>
      <c r="BC32" s="43">
        <v>18382131052</v>
      </c>
      <c r="BD32" s="43">
        <v>32126305738</v>
      </c>
      <c r="BE32" s="43">
        <v>140444931.84999999</v>
      </c>
      <c r="BF32" s="43">
        <v>30719615479</v>
      </c>
      <c r="BG32" s="43">
        <v>41903516707</v>
      </c>
      <c r="BH32" s="43">
        <v>10769800090</v>
      </c>
      <c r="BI32" s="43">
        <v>45941933092</v>
      </c>
      <c r="BJ32" s="790">
        <v>34004094997</v>
      </c>
      <c r="BK32" s="43">
        <v>2832625532</v>
      </c>
      <c r="BL32" s="43">
        <v>23271250568</v>
      </c>
      <c r="BM32" s="43">
        <v>1764312830.9000001</v>
      </c>
      <c r="BN32" s="43">
        <v>0</v>
      </c>
      <c r="BO32" s="43">
        <v>26206781781</v>
      </c>
      <c r="BP32" s="43">
        <v>20250121564</v>
      </c>
      <c r="BQ32" s="43">
        <v>4066222845.9000001</v>
      </c>
      <c r="BR32" s="43">
        <v>1545093.27</v>
      </c>
      <c r="BS32" s="43" t="s">
        <v>574</v>
      </c>
      <c r="BT32" s="43">
        <v>642848316.51999998</v>
      </c>
      <c r="BU32" s="43">
        <v>136840971141</v>
      </c>
      <c r="BV32" s="1012">
        <v>-39936850356</v>
      </c>
      <c r="BW32" s="1013"/>
      <c r="BX32" s="1013"/>
      <c r="BY32" s="1013"/>
      <c r="BZ32" s="1013"/>
      <c r="CA32" s="1013">
        <v>6227105832.5</v>
      </c>
      <c r="CB32" s="1013"/>
      <c r="CC32" s="1013"/>
      <c r="CD32" s="1013"/>
      <c r="CE32" s="1013"/>
      <c r="CF32" s="1255">
        <v>69352258381</v>
      </c>
      <c r="CG32" s="682"/>
      <c r="CH32" s="682"/>
      <c r="CK32" s="455"/>
      <c r="CL32" s="455"/>
      <c r="CM32" s="455"/>
      <c r="CN32" s="455"/>
      <c r="CO32" s="1017"/>
      <c r="CP32" s="1017"/>
      <c r="CS32" s="1013"/>
      <c r="CT32" s="1013"/>
    </row>
    <row r="33" spans="1:98" s="43" customFormat="1" ht="9.75" customHeight="1" x14ac:dyDescent="0.3">
      <c r="A33" s="43">
        <v>0</v>
      </c>
      <c r="B33" s="43">
        <v>110492</v>
      </c>
      <c r="C33" s="788">
        <v>1988</v>
      </c>
      <c r="D33" s="791">
        <v>3082998500000</v>
      </c>
      <c r="E33" s="791">
        <v>2337962000000</v>
      </c>
      <c r="F33" s="43">
        <v>188684820818</v>
      </c>
      <c r="G33" s="43">
        <v>77329506125</v>
      </c>
      <c r="H33" s="43">
        <v>78960396132</v>
      </c>
      <c r="I33" s="43">
        <v>0</v>
      </c>
      <c r="J33" s="43">
        <v>152841480771</v>
      </c>
      <c r="K33" s="43">
        <v>926728497.27999997</v>
      </c>
      <c r="L33" s="43">
        <v>199146961687</v>
      </c>
      <c r="M33" s="43">
        <v>11626600108</v>
      </c>
      <c r="N33" s="43">
        <v>11626600108</v>
      </c>
      <c r="O33" s="43">
        <v>14361469744</v>
      </c>
      <c r="P33" s="43">
        <v>84453369160</v>
      </c>
      <c r="Q33" s="43">
        <v>28201887716</v>
      </c>
      <c r="R33" s="43">
        <v>126324112504</v>
      </c>
      <c r="S33" s="43">
        <v>57080225884</v>
      </c>
      <c r="T33" s="43">
        <v>-1176537113</v>
      </c>
      <c r="U33" s="43">
        <v>4040438362.6999998</v>
      </c>
      <c r="V33" s="43">
        <v>4094259041.1999998</v>
      </c>
      <c r="W33" s="43">
        <v>29163609971</v>
      </c>
      <c r="X33" s="43">
        <v>-14821876954</v>
      </c>
      <c r="Y33" s="43">
        <v>11234875328</v>
      </c>
      <c r="Z33" s="43">
        <v>144484032991</v>
      </c>
      <c r="AA33" s="43">
        <v>38424712037</v>
      </c>
      <c r="AB33" s="43">
        <v>1674209570.0999999</v>
      </c>
      <c r="AC33" s="43">
        <v>152841480771</v>
      </c>
      <c r="AD33" s="43">
        <v>149903894597</v>
      </c>
      <c r="AE33" s="43">
        <v>2677107.69</v>
      </c>
      <c r="AF33" s="43">
        <v>221840001.59999999</v>
      </c>
      <c r="AG33" s="43">
        <v>11254865.32</v>
      </c>
      <c r="AH33" s="43">
        <v>2203032.7000000002</v>
      </c>
      <c r="AI33" s="43">
        <v>730308.35</v>
      </c>
      <c r="AJ33" s="43">
        <v>109702563.44</v>
      </c>
      <c r="AK33" s="43">
        <v>143330000000</v>
      </c>
      <c r="AL33" s="43">
        <v>124266000000</v>
      </c>
      <c r="AM33" s="43">
        <v>432372189707</v>
      </c>
      <c r="AN33" s="43">
        <v>17264586339</v>
      </c>
      <c r="AO33" s="43">
        <v>120628181555</v>
      </c>
      <c r="AP33" s="43">
        <v>74692710066</v>
      </c>
      <c r="AQ33" s="43">
        <v>395216455955</v>
      </c>
      <c r="AR33" s="43">
        <v>0</v>
      </c>
      <c r="AS33" s="43">
        <v>0</v>
      </c>
      <c r="AT33" s="43">
        <v>84453369160</v>
      </c>
      <c r="AU33" s="43">
        <v>11626600108</v>
      </c>
      <c r="AV33" s="43">
        <v>415107603368</v>
      </c>
      <c r="AW33" s="43">
        <v>45935471490</v>
      </c>
      <c r="AX33" s="43">
        <v>40957272992</v>
      </c>
      <c r="AY33" s="43">
        <v>344657364357</v>
      </c>
      <c r="AZ33" s="43">
        <v>39033519853</v>
      </c>
      <c r="BA33" s="43">
        <v>1315543429.9000001</v>
      </c>
      <c r="BB33" s="43">
        <v>1890380950</v>
      </c>
      <c r="BC33" s="43">
        <v>34726819104</v>
      </c>
      <c r="BD33" s="43">
        <v>51352692878</v>
      </c>
      <c r="BE33" s="43">
        <v>143103182.63999999</v>
      </c>
      <c r="BF33" s="43">
        <v>32811274383</v>
      </c>
      <c r="BG33" s="43">
        <v>43909635509</v>
      </c>
      <c r="BH33" s="43">
        <v>10935175811</v>
      </c>
      <c r="BI33" s="43">
        <v>47308876148</v>
      </c>
      <c r="BJ33" s="790">
        <v>30689526071</v>
      </c>
      <c r="BK33" s="43">
        <v>4296756577.3999996</v>
      </c>
      <c r="BL33" s="43">
        <v>21514231718</v>
      </c>
      <c r="BM33" s="43">
        <v>2883022324</v>
      </c>
      <c r="BN33" s="43">
        <v>0</v>
      </c>
      <c r="BO33" s="43">
        <v>23882135044</v>
      </c>
      <c r="BP33" s="43">
        <v>18508662328</v>
      </c>
      <c r="BQ33" s="43">
        <v>4246521860.5999999</v>
      </c>
      <c r="BR33" s="43">
        <v>1699177.62</v>
      </c>
      <c r="BS33" s="43" t="s">
        <v>574</v>
      </c>
      <c r="BT33" s="43">
        <v>1860313332.2</v>
      </c>
      <c r="BU33" s="43">
        <v>149166280779</v>
      </c>
      <c r="BV33" s="1012">
        <v>-41135433613</v>
      </c>
      <c r="BW33" s="1013"/>
      <c r="BX33" s="1013"/>
      <c r="BY33" s="1013"/>
      <c r="BZ33" s="1013"/>
      <c r="CA33" s="1013">
        <v>6416196088.3999996</v>
      </c>
      <c r="CB33" s="1013"/>
      <c r="CC33" s="1013"/>
      <c r="CD33" s="1013"/>
      <c r="CE33" s="1013"/>
      <c r="CF33" s="1255">
        <v>81439798003</v>
      </c>
      <c r="CG33" s="682"/>
      <c r="CH33" s="682"/>
      <c r="CK33" s="455"/>
      <c r="CL33" s="455"/>
      <c r="CM33" s="455"/>
      <c r="CN33" s="455"/>
      <c r="CO33" s="1017"/>
      <c r="CP33" s="1017"/>
      <c r="CS33" s="1013"/>
      <c r="CT33" s="1013"/>
    </row>
    <row r="34" spans="1:98" s="43" customFormat="1" ht="9.75" customHeight="1" x14ac:dyDescent="0.3">
      <c r="A34" s="43">
        <v>0</v>
      </c>
      <c r="B34" s="43">
        <v>110564</v>
      </c>
      <c r="C34" s="788">
        <v>1989</v>
      </c>
      <c r="D34" s="791">
        <v>3256326100000</v>
      </c>
      <c r="E34" s="791">
        <v>2449518700000</v>
      </c>
      <c r="F34" s="43">
        <v>221660175373</v>
      </c>
      <c r="G34" s="43">
        <v>81307414939</v>
      </c>
      <c r="H34" s="43">
        <v>82935699996</v>
      </c>
      <c r="I34" s="43">
        <v>0</v>
      </c>
      <c r="J34" s="43">
        <v>144006361510</v>
      </c>
      <c r="K34" s="43">
        <v>1624693457.9000001</v>
      </c>
      <c r="L34" s="43">
        <v>225231718056</v>
      </c>
      <c r="M34" s="43">
        <v>12095061681</v>
      </c>
      <c r="N34" s="43">
        <v>12095061681</v>
      </c>
      <c r="O34" s="43">
        <v>17347058272</v>
      </c>
      <c r="P34" s="43">
        <v>91749796777</v>
      </c>
      <c r="Q34" s="43">
        <v>24572947953</v>
      </c>
      <c r="R34" s="43">
        <v>132737167689</v>
      </c>
      <c r="S34" s="43">
        <v>63092056662</v>
      </c>
      <c r="T34" s="43">
        <v>-213938776.30000001</v>
      </c>
      <c r="U34" s="43">
        <v>6116243900.1000004</v>
      </c>
      <c r="V34" s="43">
        <v>3958896082.4000001</v>
      </c>
      <c r="W34" s="43">
        <v>32006198871</v>
      </c>
      <c r="X34" s="43">
        <v>18683150383</v>
      </c>
      <c r="Y34" s="43">
        <v>9233829061.2000008</v>
      </c>
      <c r="Z34" s="43">
        <v>153594252575</v>
      </c>
      <c r="AA34" s="43">
        <v>39245017184</v>
      </c>
      <c r="AB34" s="43">
        <v>1928538586.8</v>
      </c>
      <c r="AC34" s="43">
        <v>144006361510</v>
      </c>
      <c r="AD34" s="43">
        <v>161233905691</v>
      </c>
      <c r="AE34" s="43">
        <v>2709673.69</v>
      </c>
      <c r="AF34" s="43">
        <v>223754741.25</v>
      </c>
      <c r="AG34" s="43">
        <v>11530378.43</v>
      </c>
      <c r="AH34" s="43">
        <v>2333367.36</v>
      </c>
      <c r="AI34" s="43">
        <v>693884.22</v>
      </c>
      <c r="AJ34" s="43">
        <v>112134165.34</v>
      </c>
      <c r="AK34" s="43">
        <v>110199000000</v>
      </c>
      <c r="AL34" s="43">
        <v>124422000000</v>
      </c>
      <c r="AM34" s="43">
        <v>453832081302</v>
      </c>
      <c r="AN34" s="43">
        <v>18403170100</v>
      </c>
      <c r="AO34" s="43">
        <v>131297947832</v>
      </c>
      <c r="AP34" s="43">
        <v>80904868348</v>
      </c>
      <c r="AQ34" s="43">
        <v>430956858991</v>
      </c>
      <c r="AR34" s="43">
        <v>0</v>
      </c>
      <c r="AS34" s="43">
        <v>0</v>
      </c>
      <c r="AT34" s="43">
        <v>91749796777</v>
      </c>
      <c r="AU34" s="43">
        <v>12095061681</v>
      </c>
      <c r="AV34" s="43">
        <v>435428911202</v>
      </c>
      <c r="AW34" s="43">
        <v>50393079484</v>
      </c>
      <c r="AX34" s="43">
        <v>45209789931</v>
      </c>
      <c r="AY34" s="43">
        <v>364836692435</v>
      </c>
      <c r="AZ34" s="43">
        <v>43392688441</v>
      </c>
      <c r="BA34" s="43">
        <v>1362163425.3</v>
      </c>
      <c r="BB34" s="43">
        <v>1159689198.3</v>
      </c>
      <c r="BC34" s="43">
        <v>34853521871</v>
      </c>
      <c r="BD34" s="43">
        <v>55767108059</v>
      </c>
      <c r="BE34" s="43">
        <v>145147440</v>
      </c>
      <c r="BF34" s="43">
        <v>37589693018</v>
      </c>
      <c r="BG34" s="43">
        <v>47505437647</v>
      </c>
      <c r="BH34" s="43">
        <v>11308965536</v>
      </c>
      <c r="BI34" s="43">
        <v>51176306883</v>
      </c>
      <c r="BJ34" s="790">
        <v>26717231623</v>
      </c>
      <c r="BK34" s="43">
        <v>6350720703</v>
      </c>
      <c r="BL34" s="43">
        <v>19083357493</v>
      </c>
      <c r="BM34" s="43">
        <v>4351621392.8000002</v>
      </c>
      <c r="BN34" s="43">
        <v>0</v>
      </c>
      <c r="BO34" s="43">
        <v>24502110775</v>
      </c>
      <c r="BP34" s="43">
        <v>17154828967</v>
      </c>
      <c r="BQ34" s="43">
        <v>30921465.190000001</v>
      </c>
      <c r="BR34" s="43">
        <v>2059621.96</v>
      </c>
      <c r="BS34" s="43" t="s">
        <v>574</v>
      </c>
      <c r="BT34" s="43">
        <v>1058829786.1</v>
      </c>
      <c r="BU34" s="43">
        <v>169464185789</v>
      </c>
      <c r="BV34" s="1012">
        <v>-42499834621</v>
      </c>
      <c r="BW34" s="1013"/>
      <c r="BX34" s="1013"/>
      <c r="BY34" s="1013"/>
      <c r="BZ34" s="1013"/>
      <c r="CA34" s="1013">
        <v>6373762845.3999996</v>
      </c>
      <c r="CB34" s="1013"/>
      <c r="CC34" s="1013"/>
      <c r="CD34" s="1013"/>
      <c r="CE34" s="1013"/>
      <c r="CF34" s="1255">
        <v>88915319370</v>
      </c>
      <c r="CG34" s="252"/>
      <c r="CH34" s="252"/>
      <c r="CK34" s="455"/>
      <c r="CL34" s="455"/>
      <c r="CM34" s="455"/>
      <c r="CN34" s="455"/>
      <c r="CO34" s="1017"/>
      <c r="CP34" s="1017"/>
      <c r="CS34" s="1013"/>
      <c r="CT34" s="1013"/>
    </row>
    <row r="35" spans="1:98" s="43" customFormat="1" ht="9.75" customHeight="1" x14ac:dyDescent="0.3">
      <c r="A35" s="43">
        <v>0</v>
      </c>
      <c r="B35" s="43">
        <v>104277</v>
      </c>
      <c r="C35" s="788">
        <v>1990</v>
      </c>
      <c r="D35" s="791">
        <v>3405427300000</v>
      </c>
      <c r="E35" s="791">
        <v>2599401300000</v>
      </c>
      <c r="F35" s="43">
        <v>228741656042</v>
      </c>
      <c r="G35" s="43">
        <v>80168536441</v>
      </c>
      <c r="H35" s="43">
        <v>81860280096</v>
      </c>
      <c r="I35" s="43">
        <v>0</v>
      </c>
      <c r="J35" s="43">
        <v>113159104816</v>
      </c>
      <c r="K35" s="43">
        <v>1072087923.1</v>
      </c>
      <c r="L35" s="43">
        <v>249834534605</v>
      </c>
      <c r="M35" s="43">
        <v>15453146527</v>
      </c>
      <c r="N35" s="43">
        <v>15453146527</v>
      </c>
      <c r="O35" s="43">
        <v>19686539376</v>
      </c>
      <c r="P35" s="43">
        <v>100038602853</v>
      </c>
      <c r="Q35" s="43">
        <v>33974231467</v>
      </c>
      <c r="R35" s="43">
        <v>141430192705</v>
      </c>
      <c r="S35" s="43">
        <v>67022230677</v>
      </c>
      <c r="T35" s="43">
        <v>-433761774.5</v>
      </c>
      <c r="U35" s="43">
        <v>9212887730.2999992</v>
      </c>
      <c r="V35" s="43">
        <v>4165187133.0999999</v>
      </c>
      <c r="W35" s="43">
        <v>35573263122</v>
      </c>
      <c r="X35" s="43">
        <v>18420834772</v>
      </c>
      <c r="Y35" s="43">
        <v>10155293679</v>
      </c>
      <c r="Z35" s="43">
        <v>167023163293</v>
      </c>
      <c r="AA35" s="43">
        <v>40053258398</v>
      </c>
      <c r="AB35" s="43">
        <v>1920508102.4000001</v>
      </c>
      <c r="AC35" s="43">
        <v>113159104816</v>
      </c>
      <c r="AD35" s="43">
        <v>176848824797</v>
      </c>
      <c r="AE35" s="43">
        <v>2906943.66</v>
      </c>
      <c r="AF35" s="43">
        <v>227549246.19</v>
      </c>
      <c r="AG35" s="43">
        <v>11164796.25</v>
      </c>
      <c r="AH35" s="43">
        <v>2310120.0499999998</v>
      </c>
      <c r="AI35" s="43">
        <v>642126.87</v>
      </c>
      <c r="AJ35" s="43">
        <v>113717138.45999999</v>
      </c>
      <c r="AK35" s="43">
        <v>102666000000</v>
      </c>
      <c r="AL35" s="43">
        <v>121816000000</v>
      </c>
      <c r="AM35" s="43">
        <v>470909018391</v>
      </c>
      <c r="AN35" s="43">
        <v>20859584343</v>
      </c>
      <c r="AO35" s="43">
        <v>140011461163</v>
      </c>
      <c r="AP35" s="43">
        <v>85011657576</v>
      </c>
      <c r="AQ35" s="43">
        <v>458485055012</v>
      </c>
      <c r="AR35" s="43">
        <v>0</v>
      </c>
      <c r="AS35" s="43">
        <v>0</v>
      </c>
      <c r="AT35" s="43">
        <v>100038602853</v>
      </c>
      <c r="AU35" s="43">
        <v>15453146527</v>
      </c>
      <c r="AV35" s="43">
        <v>450049434047</v>
      </c>
      <c r="AW35" s="43">
        <v>54999803586</v>
      </c>
      <c r="AX35" s="43">
        <v>49680239381</v>
      </c>
      <c r="AY35" s="43">
        <v>394959169327</v>
      </c>
      <c r="AZ35" s="43">
        <v>49642168087</v>
      </c>
      <c r="BA35" s="43">
        <v>1705755412.4000001</v>
      </c>
      <c r="BB35" s="43">
        <v>17601354.326000001</v>
      </c>
      <c r="BC35" s="43">
        <v>36099538107</v>
      </c>
      <c r="BD35" s="43">
        <v>59467116571</v>
      </c>
      <c r="BE35" s="43">
        <v>147500848.40000001</v>
      </c>
      <c r="BF35" s="43">
        <v>40228405318</v>
      </c>
      <c r="BG35" s="43">
        <v>46343486400</v>
      </c>
      <c r="BH35" s="43">
        <v>10933879013</v>
      </c>
      <c r="BI35" s="43">
        <v>49554573577</v>
      </c>
      <c r="BJ35" s="790">
        <v>22933137796</v>
      </c>
      <c r="BK35" s="43">
        <v>6239002746.8999996</v>
      </c>
      <c r="BL35" s="43">
        <v>16471333808</v>
      </c>
      <c r="BM35" s="43">
        <v>4194871772.4000001</v>
      </c>
      <c r="BN35" s="43">
        <v>0</v>
      </c>
      <c r="BO35" s="43">
        <v>24606973647</v>
      </c>
      <c r="BP35" s="43">
        <v>16635863990</v>
      </c>
      <c r="BQ35" s="43">
        <v>0</v>
      </c>
      <c r="BR35" s="43">
        <v>2163753.02</v>
      </c>
      <c r="BS35" s="43" t="s">
        <v>574</v>
      </c>
      <c r="BT35" s="43">
        <v>1471207675.4000001</v>
      </c>
      <c r="BU35" s="43">
        <v>189233476859</v>
      </c>
      <c r="BV35" s="1012">
        <v>-45809664148</v>
      </c>
      <c r="BW35" s="1013"/>
      <c r="BX35" s="1013"/>
      <c r="BY35" s="1013"/>
      <c r="BZ35" s="1013"/>
      <c r="CA35" s="1013">
        <v>6355388378.6000004</v>
      </c>
      <c r="CB35" s="1013"/>
      <c r="CC35" s="1013"/>
      <c r="CD35" s="1013"/>
      <c r="CE35" s="1013"/>
      <c r="CF35" s="1255">
        <v>101634896387</v>
      </c>
      <c r="CG35" s="252"/>
      <c r="CH35" s="252"/>
      <c r="CK35" s="455"/>
      <c r="CL35" s="455"/>
      <c r="CM35" s="455"/>
      <c r="CN35" s="455"/>
      <c r="CO35" s="1017"/>
      <c r="CP35" s="1017"/>
      <c r="CS35" s="1013"/>
      <c r="CT35" s="1013"/>
    </row>
    <row r="36" spans="1:98" s="43" customFormat="1" ht="9.75" customHeight="1" x14ac:dyDescent="0.3">
      <c r="A36" s="43">
        <v>0</v>
      </c>
      <c r="B36" s="43">
        <v>125756</v>
      </c>
      <c r="C36" s="788">
        <v>1991</v>
      </c>
      <c r="D36" s="791">
        <v>3464524400000</v>
      </c>
      <c r="E36" s="791">
        <v>2674260800000</v>
      </c>
      <c r="F36" s="43">
        <v>210926048967</v>
      </c>
      <c r="G36" s="43">
        <v>77284498453</v>
      </c>
      <c r="H36" s="43">
        <v>78873030918</v>
      </c>
      <c r="I36" s="43">
        <v>0</v>
      </c>
      <c r="J36" s="43">
        <v>101559040065</v>
      </c>
      <c r="K36" s="43">
        <v>1216779959.9000001</v>
      </c>
      <c r="L36" s="43">
        <v>281722394846</v>
      </c>
      <c r="M36" s="43">
        <v>23309714433</v>
      </c>
      <c r="N36" s="43">
        <v>23309714433</v>
      </c>
      <c r="O36" s="43">
        <v>21359312166</v>
      </c>
      <c r="P36" s="43">
        <v>108292996649</v>
      </c>
      <c r="Q36" s="43">
        <v>34716128492</v>
      </c>
      <c r="R36" s="43">
        <v>141864014283</v>
      </c>
      <c r="S36" s="43">
        <v>63190388916</v>
      </c>
      <c r="T36" s="43">
        <v>-2853007338</v>
      </c>
      <c r="U36" s="43">
        <v>10110068065</v>
      </c>
      <c r="V36" s="43">
        <v>3705398962.0999999</v>
      </c>
      <c r="W36" s="43">
        <v>40030770089</v>
      </c>
      <c r="X36" s="43">
        <v>19945828182</v>
      </c>
      <c r="Y36" s="43">
        <v>10360754960</v>
      </c>
      <c r="Z36" s="43">
        <v>173482509206</v>
      </c>
      <c r="AA36" s="43">
        <v>40379462656</v>
      </c>
      <c r="AB36" s="43">
        <v>2018518803.5999999</v>
      </c>
      <c r="AC36" s="43">
        <v>101559040065</v>
      </c>
      <c r="AD36" s="43">
        <v>197128809597</v>
      </c>
      <c r="AE36" s="43">
        <v>2588780.66</v>
      </c>
      <c r="AF36" s="43">
        <v>231296626.71000001</v>
      </c>
      <c r="AG36" s="43">
        <v>10034648.65</v>
      </c>
      <c r="AH36" s="43">
        <v>2577887.8199999998</v>
      </c>
      <c r="AI36" s="43">
        <v>632191.18999999994</v>
      </c>
      <c r="AJ36" s="43">
        <v>114730123.13</v>
      </c>
      <c r="AK36" s="43">
        <v>132225000000</v>
      </c>
      <c r="AL36" s="43">
        <v>117813000000</v>
      </c>
      <c r="AM36" s="43">
        <v>474008060144</v>
      </c>
      <c r="AN36" s="43">
        <v>21967799221</v>
      </c>
      <c r="AO36" s="43">
        <v>147858392032</v>
      </c>
      <c r="AP36" s="43">
        <v>88032040272</v>
      </c>
      <c r="AQ36" s="43">
        <v>467686115783</v>
      </c>
      <c r="AR36" s="43">
        <v>0</v>
      </c>
      <c r="AS36" s="43">
        <v>0</v>
      </c>
      <c r="AT36" s="43">
        <v>108292996649</v>
      </c>
      <c r="AU36" s="43">
        <v>23309714433</v>
      </c>
      <c r="AV36" s="43">
        <v>452040260922</v>
      </c>
      <c r="AW36" s="43">
        <v>59826351760</v>
      </c>
      <c r="AX36" s="43">
        <v>54118664967</v>
      </c>
      <c r="AY36" s="43">
        <v>409312280289</v>
      </c>
      <c r="AZ36" s="43">
        <v>57410274352</v>
      </c>
      <c r="BA36" s="43">
        <v>1867547390.9000001</v>
      </c>
      <c r="BB36" s="43">
        <v>3395675743.6999998</v>
      </c>
      <c r="BC36" s="43">
        <v>31333422933</v>
      </c>
      <c r="BD36" s="43">
        <v>57074057192</v>
      </c>
      <c r="BE36" s="43">
        <v>149685701.80000001</v>
      </c>
      <c r="BF36" s="43">
        <v>43101537246</v>
      </c>
      <c r="BG36" s="43">
        <v>40839646674</v>
      </c>
      <c r="BH36" s="43">
        <v>11869747261</v>
      </c>
      <c r="BI36" s="43">
        <v>45394982349</v>
      </c>
      <c r="BJ36" s="790">
        <v>20078172733</v>
      </c>
      <c r="BK36" s="43">
        <v>6319568873.1999998</v>
      </c>
      <c r="BL36" s="43">
        <v>14039357579</v>
      </c>
      <c r="BM36" s="43">
        <v>4073888929.1999998</v>
      </c>
      <c r="BN36" s="43">
        <v>0</v>
      </c>
      <c r="BO36" s="43">
        <v>24334487825</v>
      </c>
      <c r="BP36" s="43">
        <v>15943031341</v>
      </c>
      <c r="BQ36" s="43">
        <v>0</v>
      </c>
      <c r="BR36" s="43">
        <v>2253946.27</v>
      </c>
      <c r="BS36" s="43">
        <v>0</v>
      </c>
      <c r="BT36" s="43">
        <v>-2201503501</v>
      </c>
      <c r="BU36" s="43">
        <v>200994537186</v>
      </c>
      <c r="BV36" s="1012">
        <v>-51617151063</v>
      </c>
      <c r="BW36" s="1013"/>
      <c r="BX36" s="1013"/>
      <c r="BY36" s="1013"/>
      <c r="BZ36" s="1013"/>
      <c r="CA36" s="1013">
        <v>6101136320.1999998</v>
      </c>
      <c r="CB36" s="1013"/>
      <c r="CC36" s="1013"/>
      <c r="CD36" s="1013"/>
      <c r="CE36" s="1013"/>
      <c r="CF36" s="1255">
        <v>113873178400</v>
      </c>
      <c r="CG36" s="252"/>
      <c r="CH36" s="252"/>
      <c r="CK36" s="455"/>
      <c r="CL36" s="455"/>
      <c r="CM36" s="455"/>
      <c r="CN36" s="455"/>
      <c r="CO36" s="1017"/>
      <c r="CP36" s="1017"/>
      <c r="CS36" s="1013"/>
      <c r="CT36" s="1013"/>
    </row>
    <row r="37" spans="1:98" s="43" customFormat="1" ht="9.75" customHeight="1" x14ac:dyDescent="0.3">
      <c r="A37" s="43">
        <v>0</v>
      </c>
      <c r="B37" s="43">
        <v>103187</v>
      </c>
      <c r="C37" s="788">
        <v>1992</v>
      </c>
      <c r="D37" s="791">
        <v>3629131500000</v>
      </c>
      <c r="E37" s="791">
        <v>2796800300000</v>
      </c>
      <c r="F37" s="43">
        <v>163952996187</v>
      </c>
      <c r="G37" s="43">
        <v>77925720191</v>
      </c>
      <c r="H37" s="43">
        <v>79656696141</v>
      </c>
      <c r="I37" s="43">
        <v>0</v>
      </c>
      <c r="J37" s="43">
        <v>116393781804</v>
      </c>
      <c r="K37" s="43">
        <v>1835768123.5999999</v>
      </c>
      <c r="L37" s="43">
        <v>318143314439</v>
      </c>
      <c r="M37" s="43">
        <v>31393169104</v>
      </c>
      <c r="N37" s="43">
        <v>31393169104</v>
      </c>
      <c r="O37" s="43">
        <v>23139399196</v>
      </c>
      <c r="P37" s="43">
        <v>111289205475</v>
      </c>
      <c r="Q37" s="43">
        <v>35464254405</v>
      </c>
      <c r="R37" s="43">
        <v>154002154610</v>
      </c>
      <c r="S37" s="43">
        <v>87651510502</v>
      </c>
      <c r="T37" s="43">
        <v>-2536007103</v>
      </c>
      <c r="U37" s="43">
        <v>14937042505</v>
      </c>
      <c r="V37" s="43">
        <v>3963218803</v>
      </c>
      <c r="W37" s="43">
        <v>42115769079</v>
      </c>
      <c r="X37" s="43">
        <v>21502492568</v>
      </c>
      <c r="Y37" s="43">
        <v>10190420715</v>
      </c>
      <c r="Z37" s="43">
        <v>186668908570</v>
      </c>
      <c r="AA37" s="43">
        <v>40185629244</v>
      </c>
      <c r="AB37" s="43">
        <v>2157236923.0999999</v>
      </c>
      <c r="AC37" s="43">
        <v>116393781804</v>
      </c>
      <c r="AD37" s="43">
        <v>212764943653</v>
      </c>
      <c r="AE37" s="43">
        <v>2544642.13</v>
      </c>
      <c r="AF37" s="43">
        <v>230546999.71000001</v>
      </c>
      <c r="AG37" s="43">
        <v>9658628.6699999999</v>
      </c>
      <c r="AH37" s="43">
        <v>2516779.7400000002</v>
      </c>
      <c r="AI37" s="43">
        <v>705329.36</v>
      </c>
      <c r="AJ37" s="43">
        <v>113604497.39</v>
      </c>
      <c r="AK37" s="43">
        <v>137067000000</v>
      </c>
      <c r="AL37" s="43">
        <v>131914000000</v>
      </c>
      <c r="AM37" s="43">
        <v>503095005256</v>
      </c>
      <c r="AN37" s="43">
        <v>23154833154</v>
      </c>
      <c r="AO37" s="43">
        <v>160452524907</v>
      </c>
      <c r="AP37" s="43">
        <v>96944691170</v>
      </c>
      <c r="AQ37" s="43">
        <v>481945631205</v>
      </c>
      <c r="AR37" s="43">
        <v>0</v>
      </c>
      <c r="AS37" s="43">
        <v>0</v>
      </c>
      <c r="AT37" s="43">
        <v>111289205475</v>
      </c>
      <c r="AU37" s="43">
        <v>31393169104</v>
      </c>
      <c r="AV37" s="43">
        <v>479940172102</v>
      </c>
      <c r="AW37" s="43">
        <v>63507833737</v>
      </c>
      <c r="AX37" s="43">
        <v>57422314117</v>
      </c>
      <c r="AY37" s="43">
        <v>436678279537</v>
      </c>
      <c r="AZ37" s="43">
        <v>68942124124</v>
      </c>
      <c r="BA37" s="43">
        <v>2088560660.8</v>
      </c>
      <c r="BB37" s="43">
        <v>2451763158.5999999</v>
      </c>
      <c r="BC37" s="43">
        <v>47396920915</v>
      </c>
      <c r="BD37" s="43">
        <v>70495931666</v>
      </c>
      <c r="BE37" s="43">
        <v>148246470.91999999</v>
      </c>
      <c r="BF37" s="43">
        <v>45728471207</v>
      </c>
      <c r="BG37" s="43">
        <v>41502793409</v>
      </c>
      <c r="BH37" s="43">
        <v>12087936271</v>
      </c>
      <c r="BI37" s="43">
        <v>47549663930</v>
      </c>
      <c r="BJ37" s="790">
        <v>19933388353</v>
      </c>
      <c r="BK37" s="43">
        <v>5441973483</v>
      </c>
      <c r="BL37" s="43">
        <v>13571713219</v>
      </c>
      <c r="BM37" s="43">
        <v>3230678910.5</v>
      </c>
      <c r="BN37" s="43">
        <v>0</v>
      </c>
      <c r="BO37" s="43">
        <v>21190802905</v>
      </c>
      <c r="BP37" s="43">
        <v>16288195993</v>
      </c>
      <c r="BQ37" s="43">
        <v>0</v>
      </c>
      <c r="BR37" s="43">
        <v>2425790.9300000002</v>
      </c>
      <c r="BS37" s="43">
        <v>0</v>
      </c>
      <c r="BT37" s="43">
        <v>-2654106042</v>
      </c>
      <c r="BU37" s="43">
        <v>196946383677</v>
      </c>
      <c r="BV37" s="1012">
        <v>-51420507296</v>
      </c>
      <c r="BW37" s="1013"/>
      <c r="BX37" s="1013"/>
      <c r="BY37" s="1013"/>
      <c r="BZ37" s="1013"/>
      <c r="CA37" s="1013">
        <v>5125849588.1999998</v>
      </c>
      <c r="CB37" s="1013"/>
      <c r="CC37" s="1013"/>
      <c r="CD37" s="1013"/>
      <c r="CE37" s="1013"/>
      <c r="CF37" s="1255">
        <v>125352763779</v>
      </c>
      <c r="CG37" s="252"/>
      <c r="CH37" s="252"/>
      <c r="CK37" s="455"/>
      <c r="CL37" s="455"/>
      <c r="CM37" s="455"/>
      <c r="CN37" s="455"/>
      <c r="CO37" s="1017"/>
      <c r="CP37" s="1017"/>
      <c r="CS37" s="1013"/>
      <c r="CT37" s="1013"/>
    </row>
    <row r="38" spans="1:98" s="43" customFormat="1" ht="9.75" customHeight="1" x14ac:dyDescent="0.3">
      <c r="A38" s="43">
        <v>0</v>
      </c>
      <c r="B38" s="43">
        <v>104354</v>
      </c>
      <c r="C38" s="788">
        <v>1993</v>
      </c>
      <c r="D38" s="791">
        <v>3723358000000</v>
      </c>
      <c r="E38" s="791">
        <v>2892120400000</v>
      </c>
      <c r="F38" s="43">
        <v>132869786813</v>
      </c>
      <c r="G38" s="43">
        <v>79728631125</v>
      </c>
      <c r="H38" s="43">
        <v>81631128268</v>
      </c>
      <c r="I38" s="43">
        <v>0</v>
      </c>
      <c r="J38" s="43">
        <v>141576764609</v>
      </c>
      <c r="K38" s="43">
        <v>2595138010.5</v>
      </c>
      <c r="L38" s="43">
        <v>319225215118</v>
      </c>
      <c r="M38" s="43">
        <v>27586207861</v>
      </c>
      <c r="N38" s="43">
        <v>27586207861</v>
      </c>
      <c r="O38" s="43">
        <v>24649667549</v>
      </c>
      <c r="P38" s="43">
        <v>112359437060</v>
      </c>
      <c r="Q38" s="43">
        <v>36623881496</v>
      </c>
      <c r="R38" s="43">
        <v>155699141163</v>
      </c>
      <c r="S38" s="43">
        <v>92868064858</v>
      </c>
      <c r="T38" s="43">
        <v>-3666447127</v>
      </c>
      <c r="U38" s="43">
        <v>19433810196</v>
      </c>
      <c r="V38" s="43">
        <v>4564424666.1000004</v>
      </c>
      <c r="W38" s="43">
        <v>43998648997</v>
      </c>
      <c r="X38" s="43">
        <v>19639891275</v>
      </c>
      <c r="Y38" s="43">
        <v>11237849994</v>
      </c>
      <c r="Z38" s="43">
        <v>194297101275</v>
      </c>
      <c r="AA38" s="43">
        <v>40978336980</v>
      </c>
      <c r="AB38" s="43">
        <v>2167198643.6999998</v>
      </c>
      <c r="AC38" s="43">
        <v>141576764609</v>
      </c>
      <c r="AD38" s="43">
        <v>221094673232</v>
      </c>
      <c r="AE38" s="43">
        <v>2497472.81</v>
      </c>
      <c r="AF38" s="43">
        <v>232915076.90000001</v>
      </c>
      <c r="AG38" s="43">
        <v>9468871.3499999996</v>
      </c>
      <c r="AH38" s="43">
        <v>2388782.65</v>
      </c>
      <c r="AI38" s="43">
        <v>596652.52</v>
      </c>
      <c r="AJ38" s="43">
        <v>114600578.95</v>
      </c>
      <c r="AK38" s="43">
        <v>145644000000</v>
      </c>
      <c r="AL38" s="43">
        <v>155047000000</v>
      </c>
      <c r="AM38" s="43">
        <v>530327613739</v>
      </c>
      <c r="AN38" s="43">
        <v>23752833937</v>
      </c>
      <c r="AO38" s="43">
        <v>169850371509</v>
      </c>
      <c r="AP38" s="43">
        <v>101988753290</v>
      </c>
      <c r="AQ38" s="43">
        <v>2769770827.8000002</v>
      </c>
      <c r="AR38" s="43">
        <v>0</v>
      </c>
      <c r="AS38" s="43">
        <v>0</v>
      </c>
      <c r="AT38" s="43">
        <v>112359437060</v>
      </c>
      <c r="AU38" s="43">
        <v>27586207861</v>
      </c>
      <c r="AV38" s="43">
        <v>506574779802</v>
      </c>
      <c r="AW38" s="43">
        <v>67861618220</v>
      </c>
      <c r="AX38" s="43">
        <v>61297541582</v>
      </c>
      <c r="AY38" s="43">
        <v>453325373467</v>
      </c>
      <c r="AZ38" s="43">
        <v>87718981257</v>
      </c>
      <c r="BA38" s="43">
        <v>2280884133.5999999</v>
      </c>
      <c r="BB38" s="43">
        <v>2082473648.9000001</v>
      </c>
      <c r="BC38" s="43">
        <v>51146882101</v>
      </c>
      <c r="BD38" s="43">
        <v>73499992181</v>
      </c>
      <c r="BE38" s="43">
        <v>149991263.62</v>
      </c>
      <c r="BF38" s="43">
        <v>46459031517</v>
      </c>
      <c r="BG38" s="43">
        <v>39403437144</v>
      </c>
      <c r="BH38" s="43">
        <v>11795524622</v>
      </c>
      <c r="BI38" s="43">
        <v>45313515308</v>
      </c>
      <c r="BJ38" s="790">
        <v>33054932048</v>
      </c>
      <c r="BK38" s="43">
        <v>5071206277.1000004</v>
      </c>
      <c r="BL38" s="43">
        <v>22426412037</v>
      </c>
      <c r="BM38" s="43">
        <v>2948429614.4000001</v>
      </c>
      <c r="BN38" s="43">
        <v>0</v>
      </c>
      <c r="BO38" s="43">
        <v>21039612836</v>
      </c>
      <c r="BP38" s="43">
        <v>16687589813</v>
      </c>
      <c r="BQ38" s="43">
        <v>0</v>
      </c>
      <c r="BR38" s="43">
        <v>2387800.42</v>
      </c>
      <c r="BS38" s="43">
        <v>0</v>
      </c>
      <c r="BT38" s="43">
        <v>-3825285267</v>
      </c>
      <c r="BU38" s="43">
        <v>188594087554</v>
      </c>
      <c r="BV38" s="1012">
        <v>-52214451571</v>
      </c>
      <c r="BW38" s="1013"/>
      <c r="BX38" s="1013"/>
      <c r="BY38" s="1013"/>
      <c r="BZ38" s="1013"/>
      <c r="CA38" s="1013">
        <v>5173994250.1999998</v>
      </c>
      <c r="CB38" s="1013"/>
      <c r="CC38" s="1013"/>
      <c r="CD38" s="1013"/>
      <c r="CE38" s="1013"/>
      <c r="CF38" s="1255">
        <v>131187038805</v>
      </c>
      <c r="CG38" s="252"/>
      <c r="CH38" s="252"/>
      <c r="CK38" s="455"/>
      <c r="CL38" s="455"/>
      <c r="CM38" s="455"/>
      <c r="CN38" s="455"/>
      <c r="CO38" s="1017"/>
      <c r="CP38" s="1017"/>
      <c r="CS38" s="1013"/>
      <c r="CT38" s="1013"/>
    </row>
    <row r="39" spans="1:98" s="43" customFormat="1" ht="9.75" customHeight="1" x14ac:dyDescent="0.3">
      <c r="A39" s="43">
        <v>0</v>
      </c>
      <c r="B39" s="43">
        <v>108653</v>
      </c>
      <c r="C39" s="788">
        <v>1994</v>
      </c>
      <c r="D39" s="791">
        <v>3907525400000</v>
      </c>
      <c r="E39" s="791">
        <v>3026777700000</v>
      </c>
      <c r="F39" s="43">
        <v>128207953251</v>
      </c>
      <c r="G39" s="43">
        <v>82410236614</v>
      </c>
      <c r="H39" s="43">
        <v>84700745840</v>
      </c>
      <c r="I39" s="43">
        <v>0</v>
      </c>
      <c r="J39" s="43">
        <v>139544734512</v>
      </c>
      <c r="K39" s="43">
        <v>2743634198.0999999</v>
      </c>
      <c r="L39" s="43">
        <v>344280401805</v>
      </c>
      <c r="M39" s="43">
        <v>20285055012</v>
      </c>
      <c r="N39" s="43">
        <v>20285055012</v>
      </c>
      <c r="O39" s="43">
        <v>38639292078</v>
      </c>
      <c r="P39" s="43">
        <v>112332115156</v>
      </c>
      <c r="Q39" s="43">
        <v>39103320848</v>
      </c>
      <c r="R39" s="43">
        <v>166203588872</v>
      </c>
      <c r="S39" s="43">
        <v>114385845420</v>
      </c>
      <c r="T39" s="43">
        <v>-7378101167</v>
      </c>
      <c r="U39" s="43">
        <v>23222711846</v>
      </c>
      <c r="V39" s="43">
        <v>5493235101.6000004</v>
      </c>
      <c r="W39" s="43">
        <v>47037854415</v>
      </c>
      <c r="X39" s="43">
        <v>21915213593</v>
      </c>
      <c r="Y39" s="43">
        <v>11853689513</v>
      </c>
      <c r="Z39" s="43">
        <v>207101519042</v>
      </c>
      <c r="AA39" s="43">
        <v>41748207811</v>
      </c>
      <c r="AB39" s="43">
        <v>2781848266.3000002</v>
      </c>
      <c r="AC39" s="43">
        <v>139544734512</v>
      </c>
      <c r="AD39" s="43">
        <v>238529086355</v>
      </c>
      <c r="AE39" s="43">
        <v>2231068.4300000002</v>
      </c>
      <c r="AF39" s="43">
        <v>232716376.09</v>
      </c>
      <c r="AG39" s="43">
        <v>9663257.0399999991</v>
      </c>
      <c r="AH39" s="43">
        <v>2480688.42</v>
      </c>
      <c r="AI39" s="43">
        <v>623499.63</v>
      </c>
      <c r="AJ39" s="43">
        <v>115943118.67</v>
      </c>
      <c r="AK39" s="43">
        <v>192800000000</v>
      </c>
      <c r="AL39" s="43">
        <v>172671000000</v>
      </c>
      <c r="AM39" s="43">
        <v>565560681443</v>
      </c>
      <c r="AN39" s="43">
        <v>26227745621</v>
      </c>
      <c r="AO39" s="43">
        <v>175847630743</v>
      </c>
      <c r="AP39" s="43">
        <v>105403074442</v>
      </c>
      <c r="AQ39" s="43">
        <v>507010463350</v>
      </c>
      <c r="AR39" s="43">
        <v>0</v>
      </c>
      <c r="AS39" s="43">
        <v>0</v>
      </c>
      <c r="AT39" s="43">
        <v>112332115156</v>
      </c>
      <c r="AU39" s="43">
        <v>20285055012</v>
      </c>
      <c r="AV39" s="43">
        <v>539332935822</v>
      </c>
      <c r="AW39" s="43">
        <v>70444556301</v>
      </c>
      <c r="AX39" s="43">
        <v>63122077346</v>
      </c>
      <c r="AY39" s="43">
        <v>482178991516</v>
      </c>
      <c r="AZ39" s="43">
        <v>100924298267</v>
      </c>
      <c r="BA39" s="43">
        <v>2379940882.5999999</v>
      </c>
      <c r="BB39" s="43">
        <v>2211041558.4000001</v>
      </c>
      <c r="BC39" s="43">
        <v>71158725116</v>
      </c>
      <c r="BD39" s="43">
        <v>93339839695</v>
      </c>
      <c r="BE39" s="43">
        <v>151150416.31999999</v>
      </c>
      <c r="BF39" s="43">
        <v>48296833779</v>
      </c>
      <c r="BG39" s="43">
        <v>42631590070</v>
      </c>
      <c r="BH39" s="43">
        <v>12729313606</v>
      </c>
      <c r="BI39" s="43">
        <v>49123674199</v>
      </c>
      <c r="BJ39" s="790">
        <v>17721889085</v>
      </c>
      <c r="BK39" s="43">
        <v>5423292826.1000004</v>
      </c>
      <c r="BL39" s="43">
        <v>12390960009</v>
      </c>
      <c r="BM39" s="43">
        <v>2723444327.6999998</v>
      </c>
      <c r="BN39" s="43">
        <v>0</v>
      </c>
      <c r="BO39" s="43">
        <v>21067941607</v>
      </c>
      <c r="BP39" s="43">
        <v>16583459299</v>
      </c>
      <c r="BQ39" s="43">
        <v>0</v>
      </c>
      <c r="BR39" s="43">
        <v>2422987.88</v>
      </c>
      <c r="BS39" s="43">
        <v>0</v>
      </c>
      <c r="BT39" s="43">
        <v>-3188730584</v>
      </c>
      <c r="BU39" s="43">
        <v>185709262196</v>
      </c>
      <c r="BV39" s="1012">
        <v>-53621095608</v>
      </c>
      <c r="BW39" s="1013"/>
      <c r="BX39" s="1013"/>
      <c r="BY39" s="1013"/>
      <c r="BZ39" s="1013"/>
      <c r="CA39" s="1013">
        <v>4625187504.1000004</v>
      </c>
      <c r="CB39" s="1013"/>
      <c r="CC39" s="1013"/>
      <c r="CD39" s="1013"/>
      <c r="CE39" s="1013"/>
      <c r="CF39" s="1255">
        <v>143073157142</v>
      </c>
      <c r="CG39" s="252"/>
      <c r="CH39" s="252"/>
      <c r="CK39" s="455"/>
      <c r="CL39" s="455"/>
      <c r="CM39" s="455"/>
      <c r="CN39" s="455"/>
      <c r="CO39" s="1017"/>
      <c r="CP39" s="1017"/>
      <c r="CS39" s="1013"/>
      <c r="CT39" s="1013"/>
    </row>
    <row r="40" spans="1:98" s="43" customFormat="1" ht="9.75" customHeight="1" x14ac:dyDescent="0.3">
      <c r="A40" s="43">
        <v>0</v>
      </c>
      <c r="B40" s="43">
        <v>116970</v>
      </c>
      <c r="C40" s="788">
        <v>1995</v>
      </c>
      <c r="D40" s="791">
        <v>4189476600000</v>
      </c>
      <c r="E40" s="791">
        <v>3201480300000</v>
      </c>
      <c r="F40" s="43">
        <v>157059635997</v>
      </c>
      <c r="G40" s="43">
        <v>94597588456</v>
      </c>
      <c r="H40" s="43">
        <v>97195877081</v>
      </c>
      <c r="I40" s="43">
        <v>0</v>
      </c>
      <c r="J40" s="43">
        <v>166771317442</v>
      </c>
      <c r="K40" s="43">
        <v>3657210445</v>
      </c>
      <c r="L40" s="43">
        <v>371115060819</v>
      </c>
      <c r="M40" s="43">
        <v>19336651339</v>
      </c>
      <c r="N40" s="43">
        <v>19336651339</v>
      </c>
      <c r="O40" s="43">
        <v>45716539815</v>
      </c>
      <c r="P40" s="43">
        <v>119294348185</v>
      </c>
      <c r="Q40" s="43">
        <v>41147010217</v>
      </c>
      <c r="R40" s="43">
        <v>169402792506</v>
      </c>
      <c r="S40" s="43">
        <v>125761287805</v>
      </c>
      <c r="T40" s="43">
        <v>-7850766067</v>
      </c>
      <c r="U40" s="43">
        <v>19095164182</v>
      </c>
      <c r="V40" s="43">
        <v>6054366831</v>
      </c>
      <c r="W40" s="43">
        <v>49336032782</v>
      </c>
      <c r="X40" s="43">
        <v>15519638800</v>
      </c>
      <c r="Y40" s="43">
        <v>12236476574</v>
      </c>
      <c r="Z40" s="43">
        <v>216332875590</v>
      </c>
      <c r="AA40" s="43">
        <v>42550355751</v>
      </c>
      <c r="AB40" s="43">
        <v>3693616172.4000001</v>
      </c>
      <c r="AC40" s="43">
        <v>166771317442</v>
      </c>
      <c r="AD40" s="43">
        <v>258374735783</v>
      </c>
      <c r="AE40" s="43">
        <v>2467330.66</v>
      </c>
      <c r="AF40" s="43">
        <v>237166419.66999999</v>
      </c>
      <c r="AG40" s="43">
        <v>10123177.439999999</v>
      </c>
      <c r="AH40" s="43">
        <v>2551253.46</v>
      </c>
      <c r="AI40" s="43">
        <v>577495.29</v>
      </c>
      <c r="AJ40" s="43">
        <v>118216190.18000001</v>
      </c>
      <c r="AK40" s="43">
        <v>226228000000</v>
      </c>
      <c r="AL40" s="43">
        <v>194449000000</v>
      </c>
      <c r="AM40" s="43">
        <v>621001339205</v>
      </c>
      <c r="AN40" s="43">
        <v>26686326085</v>
      </c>
      <c r="AO40" s="43">
        <v>188653691615</v>
      </c>
      <c r="AP40" s="43">
        <v>114001958916</v>
      </c>
      <c r="AQ40" s="43">
        <v>15558551662</v>
      </c>
      <c r="AR40" s="43">
        <v>0</v>
      </c>
      <c r="AS40" s="43">
        <v>0</v>
      </c>
      <c r="AT40" s="43">
        <v>119294348185</v>
      </c>
      <c r="AU40" s="43">
        <v>19336651339</v>
      </c>
      <c r="AV40" s="43">
        <v>594315013119</v>
      </c>
      <c r="AW40" s="43">
        <v>74651732699</v>
      </c>
      <c r="AX40" s="43">
        <v>67003635217</v>
      </c>
      <c r="AY40" s="43">
        <v>501902433016</v>
      </c>
      <c r="AZ40" s="43">
        <v>111091390316</v>
      </c>
      <c r="BA40" s="43">
        <v>3054798042.9000001</v>
      </c>
      <c r="BB40" s="43">
        <v>1904454097.5999999</v>
      </c>
      <c r="BC40" s="43">
        <v>78325777920</v>
      </c>
      <c r="BD40" s="43">
        <v>102418667689</v>
      </c>
      <c r="BE40" s="43">
        <v>153596308.59999999</v>
      </c>
      <c r="BF40" s="43">
        <v>48521099163</v>
      </c>
      <c r="BG40" s="43">
        <v>44919949717</v>
      </c>
      <c r="BH40" s="43">
        <v>13627543333</v>
      </c>
      <c r="BI40" s="43">
        <v>51490836257</v>
      </c>
      <c r="BJ40" s="790">
        <v>15630232679</v>
      </c>
      <c r="BK40" s="43">
        <v>4135699366.4000001</v>
      </c>
      <c r="BL40" s="43">
        <v>10873070719</v>
      </c>
      <c r="BM40" s="43">
        <v>2501555059.8000002</v>
      </c>
      <c r="BN40" s="43">
        <v>0</v>
      </c>
      <c r="BO40" s="43">
        <v>21421041096</v>
      </c>
      <c r="BP40" s="43">
        <v>17074683183</v>
      </c>
      <c r="BQ40" s="43">
        <v>0</v>
      </c>
      <c r="BR40" s="43">
        <v>2578095.92</v>
      </c>
      <c r="BS40" s="43">
        <v>0</v>
      </c>
      <c r="BT40" s="43">
        <v>-3009813504</v>
      </c>
      <c r="BU40" s="43">
        <v>203084166211</v>
      </c>
      <c r="BV40" s="1012">
        <v>-55259628376</v>
      </c>
      <c r="BW40" s="1013"/>
      <c r="BX40" s="1013"/>
      <c r="BY40" s="1013"/>
      <c r="BZ40" s="1013"/>
      <c r="CA40" s="1013">
        <v>6249420347.8000002</v>
      </c>
      <c r="CB40" s="1013"/>
      <c r="CC40" s="1013"/>
      <c r="CD40" s="1013"/>
      <c r="CE40" s="1013"/>
      <c r="CF40" s="1255">
        <v>155645344241</v>
      </c>
      <c r="CG40" s="682"/>
      <c r="CH40" s="682"/>
      <c r="CK40" s="455"/>
      <c r="CL40" s="455"/>
      <c r="CM40" s="455"/>
      <c r="CN40" s="455"/>
      <c r="CO40" s="1017"/>
      <c r="CP40" s="1017"/>
      <c r="CS40" s="1013"/>
      <c r="CT40" s="1013"/>
    </row>
    <row r="41" spans="1:98" s="43" customFormat="1" ht="9.75" customHeight="1" x14ac:dyDescent="0.3">
      <c r="A41" s="43">
        <v>0</v>
      </c>
      <c r="B41" s="43">
        <v>128259</v>
      </c>
      <c r="C41" s="788">
        <v>1996</v>
      </c>
      <c r="D41" s="791">
        <v>4536087900000</v>
      </c>
      <c r="E41" s="791">
        <v>3376911600000</v>
      </c>
      <c r="F41" s="43">
        <v>168440269422</v>
      </c>
      <c r="G41" s="43">
        <v>104258352497</v>
      </c>
      <c r="H41" s="43">
        <v>107476162957</v>
      </c>
      <c r="I41" s="43">
        <v>0</v>
      </c>
      <c r="J41" s="43">
        <v>245969642832</v>
      </c>
      <c r="K41" s="43">
        <v>5856314863.3000002</v>
      </c>
      <c r="L41" s="43">
        <v>414918951824</v>
      </c>
      <c r="M41" s="43">
        <v>19327023657</v>
      </c>
      <c r="N41" s="43">
        <v>19327023657</v>
      </c>
      <c r="O41" s="43">
        <v>53203877624</v>
      </c>
      <c r="P41" s="43">
        <v>130680819704</v>
      </c>
      <c r="Q41" s="43">
        <v>42653092257</v>
      </c>
      <c r="R41" s="43">
        <v>176952067206</v>
      </c>
      <c r="S41" s="43">
        <v>146784503716</v>
      </c>
      <c r="T41" s="43">
        <v>-7112913341</v>
      </c>
      <c r="U41" s="43">
        <v>30773389735</v>
      </c>
      <c r="V41" s="43">
        <v>7716736052.3000002</v>
      </c>
      <c r="W41" s="43">
        <v>49753765346</v>
      </c>
      <c r="X41" s="43">
        <v>16741699909</v>
      </c>
      <c r="Y41" s="43">
        <v>12752006888</v>
      </c>
      <c r="Z41" s="43">
        <v>226362867859</v>
      </c>
      <c r="AA41" s="43">
        <v>43178004195</v>
      </c>
      <c r="AB41" s="43">
        <v>3818231999.6999998</v>
      </c>
      <c r="AC41" s="43">
        <v>245969642832</v>
      </c>
      <c r="AD41" s="43">
        <v>284328987346</v>
      </c>
      <c r="AE41" s="43">
        <v>2537424.89</v>
      </c>
      <c r="AF41" s="43">
        <v>238631674.16999999</v>
      </c>
      <c r="AG41" s="43">
        <v>10578685.34</v>
      </c>
      <c r="AH41" s="43">
        <v>2536218.42</v>
      </c>
      <c r="AI41" s="43">
        <v>640170.41</v>
      </c>
      <c r="AJ41" s="43">
        <v>120353194.62</v>
      </c>
      <c r="AK41" s="43">
        <v>251056000000</v>
      </c>
      <c r="AL41" s="43">
        <v>211386000000</v>
      </c>
      <c r="AM41" s="43">
        <v>693056216879</v>
      </c>
      <c r="AN41" s="43">
        <v>28101124561</v>
      </c>
      <c r="AO41" s="43">
        <v>203783455423</v>
      </c>
      <c r="AP41" s="43">
        <v>124380461652</v>
      </c>
      <c r="AQ41" s="43">
        <v>591646989662</v>
      </c>
      <c r="AR41" s="43">
        <v>0</v>
      </c>
      <c r="AS41" s="43">
        <v>0</v>
      </c>
      <c r="AT41" s="43">
        <v>130680819704</v>
      </c>
      <c r="AU41" s="43">
        <v>19327023657</v>
      </c>
      <c r="AV41" s="43">
        <v>664955092319</v>
      </c>
      <c r="AW41" s="43">
        <v>79402993771</v>
      </c>
      <c r="AX41" s="43">
        <v>71236238929</v>
      </c>
      <c r="AY41" s="43">
        <v>524004864474</v>
      </c>
      <c r="AZ41" s="43">
        <v>125972564762</v>
      </c>
      <c r="BA41" s="43">
        <v>3630475827.3000002</v>
      </c>
      <c r="BB41" s="43">
        <v>5307177.8214999996</v>
      </c>
      <c r="BC41" s="43">
        <v>88396727297</v>
      </c>
      <c r="BD41" s="43">
        <v>115939498042</v>
      </c>
      <c r="BE41" s="43">
        <v>155044506.72</v>
      </c>
      <c r="BF41" s="43">
        <v>48217719169</v>
      </c>
      <c r="BG41" s="43">
        <v>48132759939</v>
      </c>
      <c r="BH41" s="43">
        <v>14635948740</v>
      </c>
      <c r="BI41" s="43">
        <v>55338798643</v>
      </c>
      <c r="BJ41" s="790">
        <v>15185618018</v>
      </c>
      <c r="BK41" s="43">
        <v>4215233191.3000002</v>
      </c>
      <c r="BL41" s="43">
        <v>10654335404</v>
      </c>
      <c r="BM41" s="43">
        <v>2517489244.1999998</v>
      </c>
      <c r="BN41" s="43">
        <v>0</v>
      </c>
      <c r="BO41" s="43">
        <v>21828232429</v>
      </c>
      <c r="BP41" s="43">
        <v>17609020169</v>
      </c>
      <c r="BQ41" s="43">
        <v>0</v>
      </c>
      <c r="BR41" s="43">
        <v>2513855.83</v>
      </c>
      <c r="BS41" s="43">
        <v>0</v>
      </c>
      <c r="BT41" s="43">
        <v>-2283806948</v>
      </c>
      <c r="BU41" s="43">
        <v>220211311833</v>
      </c>
      <c r="BV41" s="1012">
        <v>-54561500175</v>
      </c>
      <c r="BW41" s="1013"/>
      <c r="BX41" s="1013"/>
      <c r="BY41" s="1013"/>
      <c r="BZ41" s="1013"/>
      <c r="CA41" s="1013">
        <v>7634636781.8000002</v>
      </c>
      <c r="CB41" s="1013"/>
      <c r="CC41" s="1013"/>
      <c r="CD41" s="1013"/>
      <c r="CE41" s="1013"/>
      <c r="CF41" s="1255">
        <v>171405826358</v>
      </c>
      <c r="CG41" s="252"/>
      <c r="CH41" s="252"/>
      <c r="CK41" s="455"/>
      <c r="CL41" s="455"/>
      <c r="CM41" s="455"/>
      <c r="CN41" s="455"/>
      <c r="CO41" s="1017"/>
      <c r="CP41" s="1017"/>
      <c r="CS41" s="1013"/>
      <c r="CT41" s="1013"/>
    </row>
    <row r="42" spans="1:98" s="43" customFormat="1" ht="9.75" customHeight="1" x14ac:dyDescent="0.3">
      <c r="A42" s="43">
        <v>0</v>
      </c>
      <c r="B42" s="43">
        <v>127094</v>
      </c>
      <c r="C42" s="788">
        <v>1997</v>
      </c>
      <c r="D42" s="791">
        <v>4969720700000</v>
      </c>
      <c r="E42" s="791">
        <v>3613670500000</v>
      </c>
      <c r="F42" s="43">
        <v>174605724632</v>
      </c>
      <c r="G42" s="43">
        <v>120490026827</v>
      </c>
      <c r="H42" s="43">
        <v>123933386431</v>
      </c>
      <c r="I42" s="43">
        <v>0</v>
      </c>
      <c r="J42" s="43">
        <v>356084340755</v>
      </c>
      <c r="K42" s="43">
        <v>0</v>
      </c>
      <c r="L42" s="43">
        <v>461954807742</v>
      </c>
      <c r="M42" s="43">
        <v>17206878665</v>
      </c>
      <c r="N42" s="43">
        <v>17206878665</v>
      </c>
      <c r="O42" s="43">
        <v>61558696277</v>
      </c>
      <c r="P42" s="43">
        <v>139960650746</v>
      </c>
      <c r="Q42" s="43">
        <v>46954639873</v>
      </c>
      <c r="R42" s="43">
        <v>186789186095</v>
      </c>
      <c r="S42" s="43">
        <v>168317187178</v>
      </c>
      <c r="T42" s="43">
        <v>-6848594363</v>
      </c>
      <c r="U42" s="43">
        <v>33166311927</v>
      </c>
      <c r="V42" s="43">
        <v>8134138825.8000002</v>
      </c>
      <c r="W42" s="43">
        <v>51347067169</v>
      </c>
      <c r="X42" s="43">
        <v>19086239622</v>
      </c>
      <c r="Y42" s="43">
        <v>14094059997</v>
      </c>
      <c r="Z42" s="43">
        <v>240743416210</v>
      </c>
      <c r="AA42" s="43">
        <v>44215140387</v>
      </c>
      <c r="AB42" s="43">
        <v>5125484168</v>
      </c>
      <c r="AC42" s="43">
        <v>356084340755</v>
      </c>
      <c r="AD42" s="43">
        <v>314898102361</v>
      </c>
      <c r="AE42" s="43">
        <v>2464336.29</v>
      </c>
      <c r="AF42" s="43">
        <v>241253009.13999999</v>
      </c>
      <c r="AG42" s="43">
        <v>11206348.710000001</v>
      </c>
      <c r="AH42" s="43">
        <v>2622621.27</v>
      </c>
      <c r="AI42" s="43">
        <v>712345.77</v>
      </c>
      <c r="AJ42" s="43">
        <v>122409645.26000001</v>
      </c>
      <c r="AK42" s="43">
        <v>280896000000</v>
      </c>
      <c r="AL42" s="43">
        <v>224762000000</v>
      </c>
      <c r="AM42" s="43">
        <v>768288581876</v>
      </c>
      <c r="AN42" s="43">
        <v>29743542978</v>
      </c>
      <c r="AO42" s="43">
        <v>220609828551</v>
      </c>
      <c r="AP42" s="43">
        <v>136955943734</v>
      </c>
      <c r="AQ42" s="43">
        <v>644049419898</v>
      </c>
      <c r="AR42" s="43">
        <v>0</v>
      </c>
      <c r="AS42" s="43">
        <v>0</v>
      </c>
      <c r="AT42" s="43">
        <v>139960650746</v>
      </c>
      <c r="AU42" s="43">
        <v>17206878665</v>
      </c>
      <c r="AV42" s="43">
        <v>738545038898</v>
      </c>
      <c r="AW42" s="43">
        <v>83653884816</v>
      </c>
      <c r="AX42" s="43">
        <v>74987906922</v>
      </c>
      <c r="AY42" s="43">
        <v>555445515785</v>
      </c>
      <c r="AZ42" s="43">
        <v>132041630887</v>
      </c>
      <c r="BA42" s="43">
        <v>4177010234.1999998</v>
      </c>
      <c r="BB42" s="43">
        <v>2353451925.9000001</v>
      </c>
      <c r="BC42" s="43">
        <v>102636928620</v>
      </c>
      <c r="BD42" s="43">
        <v>130886849116</v>
      </c>
      <c r="BE42" s="43">
        <v>156570188.09999999</v>
      </c>
      <c r="BF42" s="43">
        <v>49018190545</v>
      </c>
      <c r="BG42" s="43">
        <v>53195519930</v>
      </c>
      <c r="BH42" s="43">
        <v>16279407111</v>
      </c>
      <c r="BI42" s="43">
        <v>61679603800</v>
      </c>
      <c r="BJ42" s="790">
        <v>15121154536</v>
      </c>
      <c r="BK42" s="43">
        <v>4621221154.3999996</v>
      </c>
      <c r="BL42" s="43">
        <v>10685695223</v>
      </c>
      <c r="BM42" s="43">
        <v>2473022219.0999999</v>
      </c>
      <c r="BN42" s="43">
        <v>0</v>
      </c>
      <c r="BO42" s="43">
        <v>23419022118</v>
      </c>
      <c r="BP42" s="43">
        <v>18896277273</v>
      </c>
      <c r="BQ42" s="43">
        <v>0</v>
      </c>
      <c r="BR42" s="43">
        <v>2593523.33</v>
      </c>
      <c r="BS42" s="43">
        <v>0</v>
      </c>
      <c r="BT42" s="43">
        <v>-1460080742</v>
      </c>
      <c r="BU42" s="43">
        <v>235958015408</v>
      </c>
      <c r="BV42" s="1012">
        <v>-53516444257</v>
      </c>
      <c r="BW42" s="1013"/>
      <c r="BX42" s="1013"/>
      <c r="BY42" s="1013"/>
      <c r="BZ42" s="1013"/>
      <c r="CA42" s="1013">
        <v>11635052011</v>
      </c>
      <c r="CB42" s="1013"/>
      <c r="CC42" s="1013"/>
      <c r="CD42" s="1013"/>
      <c r="CE42" s="1013"/>
      <c r="CF42" s="1255">
        <v>187669573333</v>
      </c>
      <c r="CG42" s="252"/>
      <c r="CH42" s="252"/>
      <c r="CK42" s="455"/>
      <c r="CL42" s="455"/>
      <c r="CM42" s="455"/>
      <c r="CN42" s="455"/>
      <c r="CO42" s="1017"/>
      <c r="CP42" s="1017"/>
      <c r="CS42" s="1013"/>
      <c r="CT42" s="1013"/>
    </row>
    <row r="43" spans="1:98" s="43" customFormat="1" ht="9.75" customHeight="1" x14ac:dyDescent="0.3">
      <c r="A43" s="43">
        <v>0</v>
      </c>
      <c r="B43" s="43">
        <v>166101</v>
      </c>
      <c r="C43" s="788">
        <v>1998</v>
      </c>
      <c r="D43" s="791">
        <v>5416062000000</v>
      </c>
      <c r="E43" s="791">
        <v>3879781500000</v>
      </c>
      <c r="F43" s="43">
        <v>181559596354</v>
      </c>
      <c r="G43" s="43">
        <v>118482472190</v>
      </c>
      <c r="H43" s="43">
        <v>122434794396</v>
      </c>
      <c r="I43" s="43">
        <v>0</v>
      </c>
      <c r="J43" s="43">
        <v>446097700150</v>
      </c>
      <c r="K43" s="43">
        <v>0</v>
      </c>
      <c r="L43" s="43">
        <v>574889873614</v>
      </c>
      <c r="M43" s="43">
        <v>16814803447</v>
      </c>
      <c r="N43" s="43">
        <v>16814803447</v>
      </c>
      <c r="O43" s="43">
        <v>68703700272</v>
      </c>
      <c r="P43" s="43">
        <v>154955336384</v>
      </c>
      <c r="Q43" s="43">
        <v>51536227784</v>
      </c>
      <c r="R43" s="43">
        <v>202420575625</v>
      </c>
      <c r="S43" s="43">
        <v>187372383178</v>
      </c>
      <c r="T43" s="43">
        <v>-7934702152</v>
      </c>
      <c r="U43" s="43">
        <v>35233961781</v>
      </c>
      <c r="V43" s="43">
        <v>9464131901.2999992</v>
      </c>
      <c r="W43" s="43">
        <v>48304740545</v>
      </c>
      <c r="X43" s="43">
        <v>21554392303</v>
      </c>
      <c r="Y43" s="43">
        <v>14708555720</v>
      </c>
      <c r="Z43" s="43">
        <v>256983222204</v>
      </c>
      <c r="AA43" s="43">
        <v>45378666969</v>
      </c>
      <c r="AB43" s="43">
        <v>6158823756.5</v>
      </c>
      <c r="AC43" s="43">
        <v>446097700150</v>
      </c>
      <c r="AD43" s="43">
        <v>354750982818</v>
      </c>
      <c r="AE43" s="43">
        <v>2721734.87</v>
      </c>
      <c r="AF43" s="43">
        <v>245597119.15000001</v>
      </c>
      <c r="AG43" s="43">
        <v>11092420.16</v>
      </c>
      <c r="AH43" s="43">
        <v>2591195.42</v>
      </c>
      <c r="AI43" s="43">
        <v>663831.72</v>
      </c>
      <c r="AJ43" s="43">
        <v>124771638.79000001</v>
      </c>
      <c r="AK43" s="43">
        <v>198672000000</v>
      </c>
      <c r="AL43" s="43">
        <v>221805000000</v>
      </c>
      <c r="AM43" s="43">
        <v>826644422589</v>
      </c>
      <c r="AN43" s="43">
        <v>31917416453</v>
      </c>
      <c r="AO43" s="43">
        <v>241789367526</v>
      </c>
      <c r="AP43" s="43">
        <v>152641829384</v>
      </c>
      <c r="AQ43" s="43">
        <v>703427575704</v>
      </c>
      <c r="AR43" s="43">
        <v>0</v>
      </c>
      <c r="AS43" s="43">
        <v>0</v>
      </c>
      <c r="AT43" s="43">
        <v>154955336384</v>
      </c>
      <c r="AU43" s="43">
        <v>16814803447</v>
      </c>
      <c r="AV43" s="43">
        <v>794727006135</v>
      </c>
      <c r="AW43" s="43">
        <v>89147538142</v>
      </c>
      <c r="AX43" s="43">
        <v>79980615653</v>
      </c>
      <c r="AY43" s="43">
        <v>591262527830</v>
      </c>
      <c r="AZ43" s="43">
        <v>151177119291</v>
      </c>
      <c r="BA43" s="43">
        <v>4808323279</v>
      </c>
      <c r="BB43" s="43">
        <v>1459067056</v>
      </c>
      <c r="BC43" s="43">
        <v>114100756246</v>
      </c>
      <c r="BD43" s="43">
        <v>146343874685</v>
      </c>
      <c r="BE43" s="43">
        <v>159664019.81999999</v>
      </c>
      <c r="BF43" s="43">
        <v>50224300852</v>
      </c>
      <c r="BG43" s="43">
        <v>55601725235</v>
      </c>
      <c r="BH43" s="43">
        <v>17290729032</v>
      </c>
      <c r="BI43" s="43">
        <v>65759960006</v>
      </c>
      <c r="BJ43" s="790">
        <v>10842371695</v>
      </c>
      <c r="BK43" s="43">
        <v>9072162754.6000004</v>
      </c>
      <c r="BL43" s="43">
        <v>6397710098.8999996</v>
      </c>
      <c r="BM43" s="43">
        <v>5316644700.8000002</v>
      </c>
      <c r="BN43" s="43">
        <v>0</v>
      </c>
      <c r="BO43" s="43">
        <v>27919883119</v>
      </c>
      <c r="BP43" s="43">
        <v>19230642474</v>
      </c>
      <c r="BQ43" s="43">
        <v>0</v>
      </c>
      <c r="BR43" s="43">
        <v>2501976.9700000002</v>
      </c>
      <c r="BS43" s="43">
        <v>0</v>
      </c>
      <c r="BT43" s="43">
        <v>-1569444799</v>
      </c>
      <c r="BU43" s="43">
        <v>254405686817</v>
      </c>
      <c r="BV43" s="1012">
        <v>-53254120568</v>
      </c>
      <c r="BW43" s="1013"/>
      <c r="BX43" s="1013"/>
      <c r="BY43" s="1013"/>
      <c r="BZ43" s="1022"/>
      <c r="CA43" s="1013">
        <v>12026026766</v>
      </c>
      <c r="CB43" s="1013"/>
      <c r="CC43" s="1013"/>
      <c r="CD43" s="1013"/>
      <c r="CE43" s="1013"/>
      <c r="CF43" s="1255">
        <v>207445196704</v>
      </c>
      <c r="CG43" s="252"/>
      <c r="CH43" s="252"/>
      <c r="CK43" s="455"/>
      <c r="CL43" s="455"/>
      <c r="CM43" s="455"/>
      <c r="CN43" s="455"/>
      <c r="CO43" s="1017"/>
      <c r="CP43" s="1017"/>
      <c r="CS43" s="1013"/>
      <c r="CT43" s="1013"/>
    </row>
    <row r="44" spans="1:98" s="43" customFormat="1" ht="9.75" customHeight="1" x14ac:dyDescent="0.3">
      <c r="A44" s="43">
        <v>0</v>
      </c>
      <c r="B44" s="43">
        <v>178778</v>
      </c>
      <c r="C44" s="788">
        <v>1999</v>
      </c>
      <c r="D44" s="791">
        <v>5913064300000</v>
      </c>
      <c r="E44" s="791">
        <v>4158134300000</v>
      </c>
      <c r="F44" s="43">
        <v>181309078019</v>
      </c>
      <c r="G44" s="43">
        <v>133600890975</v>
      </c>
      <c r="H44" s="43">
        <v>137700145179</v>
      </c>
      <c r="I44" s="43">
        <v>0</v>
      </c>
      <c r="J44" s="43">
        <v>534028789016</v>
      </c>
      <c r="K44" s="43">
        <v>12130032296</v>
      </c>
      <c r="L44" s="43">
        <v>638539109992</v>
      </c>
      <c r="M44" s="43">
        <v>17661520764</v>
      </c>
      <c r="N44" s="43">
        <v>17661520764</v>
      </c>
      <c r="O44" s="43">
        <v>75621939247</v>
      </c>
      <c r="P44" s="43">
        <v>164484672164</v>
      </c>
      <c r="Q44" s="43">
        <v>60336031403</v>
      </c>
      <c r="R44" s="43">
        <v>232607173485</v>
      </c>
      <c r="S44" s="43">
        <v>211864781226</v>
      </c>
      <c r="T44" s="43">
        <v>-6743903405</v>
      </c>
      <c r="U44" s="43">
        <v>39902964024</v>
      </c>
      <c r="V44" s="43">
        <v>9933581119.2000008</v>
      </c>
      <c r="W44" s="43">
        <v>50826082406</v>
      </c>
      <c r="X44" s="43">
        <v>23186374769</v>
      </c>
      <c r="Y44" s="43">
        <v>18249535011</v>
      </c>
      <c r="Z44" s="43">
        <v>274481251042</v>
      </c>
      <c r="AA44" s="43">
        <v>46477387671</v>
      </c>
      <c r="AB44" s="43">
        <v>8105831038.6999998</v>
      </c>
      <c r="AC44" s="43">
        <v>534028789016</v>
      </c>
      <c r="AD44" s="43">
        <v>394585585520</v>
      </c>
      <c r="AE44" s="43">
        <v>2703049.7</v>
      </c>
      <c r="AF44" s="43">
        <v>245850075.49000001</v>
      </c>
      <c r="AG44" s="43">
        <v>11522981.51</v>
      </c>
      <c r="AH44" s="43">
        <v>2805733.72</v>
      </c>
      <c r="AI44" s="43">
        <v>763054.58</v>
      </c>
      <c r="AJ44" s="43">
        <v>128420790.14</v>
      </c>
      <c r="AK44" s="43">
        <v>223549000000</v>
      </c>
      <c r="AL44" s="43">
        <v>233374000000</v>
      </c>
      <c r="AM44" s="43">
        <v>927342379500</v>
      </c>
      <c r="AN44" s="43">
        <v>36954341940</v>
      </c>
      <c r="AO44" s="43">
        <v>270838110507</v>
      </c>
      <c r="AP44" s="43">
        <v>170765275487</v>
      </c>
      <c r="AQ44" s="43">
        <v>784554370440</v>
      </c>
      <c r="AR44" s="43">
        <v>0</v>
      </c>
      <c r="AS44" s="43">
        <v>0</v>
      </c>
      <c r="AT44" s="43">
        <v>164484672164</v>
      </c>
      <c r="AU44" s="43">
        <v>17661520764</v>
      </c>
      <c r="AV44" s="43">
        <v>890388037560</v>
      </c>
      <c r="AW44" s="43">
        <v>100092772339</v>
      </c>
      <c r="AX44" s="43">
        <v>88243517945</v>
      </c>
      <c r="AY44" s="43">
        <v>632394231696</v>
      </c>
      <c r="AZ44" s="43">
        <v>174535541212</v>
      </c>
      <c r="BA44" s="43">
        <v>5072535571.6000004</v>
      </c>
      <c r="BB44" s="43">
        <v>1646332989.5999999</v>
      </c>
      <c r="BC44" s="43">
        <v>126587312482</v>
      </c>
      <c r="BD44" s="43">
        <v>163021414076</v>
      </c>
      <c r="BE44" s="43">
        <v>163752227.09</v>
      </c>
      <c r="BF44" s="43">
        <v>53011417381</v>
      </c>
      <c r="BG44" s="43">
        <v>60947138921</v>
      </c>
      <c r="BH44" s="43">
        <v>19918129018</v>
      </c>
      <c r="BI44" s="43">
        <v>70991103086</v>
      </c>
      <c r="BJ44" s="790">
        <v>14810194456</v>
      </c>
      <c r="BK44" s="43">
        <v>4693774803.8000002</v>
      </c>
      <c r="BL44" s="43">
        <v>10593230124</v>
      </c>
      <c r="BM44" s="43">
        <v>2498025647.3000002</v>
      </c>
      <c r="BN44" s="43">
        <v>0</v>
      </c>
      <c r="BO44" s="43">
        <v>31310704100</v>
      </c>
      <c r="BP44" s="43">
        <v>20843725570</v>
      </c>
      <c r="BQ44" s="43">
        <v>0</v>
      </c>
      <c r="BR44" s="43">
        <v>2386345.85</v>
      </c>
      <c r="BS44" s="43">
        <v>0</v>
      </c>
      <c r="BT44" s="43">
        <v>-1625932203</v>
      </c>
      <c r="BU44" s="43">
        <v>277400438479</v>
      </c>
      <c r="BV44" s="1012">
        <v>-56070381258</v>
      </c>
      <c r="BW44" s="1013"/>
      <c r="BX44" s="1013"/>
      <c r="BY44" s="1013"/>
      <c r="BZ44" s="1013"/>
      <c r="CA44" s="1013">
        <v>12018513690</v>
      </c>
      <c r="CB44" s="1013"/>
      <c r="CC44" s="1013"/>
      <c r="CD44" s="1013"/>
      <c r="CE44" s="1013"/>
      <c r="CF44" s="1255">
        <v>229196497681</v>
      </c>
      <c r="CG44" s="252"/>
      <c r="CH44" s="252"/>
      <c r="CK44" s="455"/>
      <c r="CL44" s="455"/>
      <c r="CM44" s="455"/>
      <c r="CN44" s="455"/>
      <c r="CO44" s="1017"/>
      <c r="CP44" s="1017"/>
      <c r="CS44" s="1013"/>
      <c r="CT44" s="1013"/>
    </row>
    <row r="45" spans="1:98" s="256" customFormat="1" ht="9.75" customHeight="1" x14ac:dyDescent="0.3">
      <c r="A45" s="256">
        <v>0</v>
      </c>
      <c r="B45" s="256">
        <v>197844</v>
      </c>
      <c r="C45" s="788">
        <v>2000</v>
      </c>
      <c r="D45" s="792">
        <v>6390557800000</v>
      </c>
      <c r="E45" s="792">
        <v>4466115600000</v>
      </c>
      <c r="F45" s="256">
        <v>203688903467</v>
      </c>
      <c r="G45" s="256">
        <v>147356179751</v>
      </c>
      <c r="H45" s="256">
        <v>151830795002</v>
      </c>
      <c r="I45" s="256">
        <v>0</v>
      </c>
      <c r="J45" s="256">
        <v>615770521820</v>
      </c>
      <c r="K45" s="256">
        <v>15847496697</v>
      </c>
      <c r="L45" s="256">
        <v>691949384075</v>
      </c>
      <c r="M45" s="256">
        <v>16936230799</v>
      </c>
      <c r="N45" s="256">
        <v>16936230799</v>
      </c>
      <c r="O45" s="256">
        <v>90314724796</v>
      </c>
      <c r="P45" s="256">
        <v>187040710885</v>
      </c>
      <c r="Q45" s="256">
        <v>60213809482</v>
      </c>
      <c r="R45" s="256">
        <v>226060842255</v>
      </c>
      <c r="S45" s="256">
        <v>213591083140</v>
      </c>
      <c r="T45" s="256">
        <v>-9153008131</v>
      </c>
      <c r="U45" s="256">
        <v>43622202066</v>
      </c>
      <c r="V45" s="256">
        <v>11048769613</v>
      </c>
      <c r="W45" s="256">
        <v>48224106808</v>
      </c>
      <c r="X45" s="256">
        <v>25490055492</v>
      </c>
      <c r="Y45" s="256">
        <v>18405938794</v>
      </c>
      <c r="Z45" s="256">
        <v>291672055921</v>
      </c>
      <c r="AA45" s="256">
        <v>47201145990</v>
      </c>
      <c r="AB45" s="256">
        <v>9365365523.7999992</v>
      </c>
      <c r="AC45" s="256">
        <v>615770521820</v>
      </c>
      <c r="AD45" s="256">
        <v>425765472270</v>
      </c>
      <c r="AE45" s="256">
        <v>2983154.99</v>
      </c>
      <c r="AF45" s="256">
        <v>253144408.74000001</v>
      </c>
      <c r="AG45" s="256">
        <v>11687266.689999999</v>
      </c>
      <c r="AH45" s="256">
        <v>2790501.5</v>
      </c>
      <c r="AI45" s="256">
        <v>832719.14</v>
      </c>
      <c r="AJ45" s="256">
        <v>129615976.39</v>
      </c>
      <c r="AK45" s="256">
        <v>131426000000</v>
      </c>
      <c r="AL45" s="256">
        <v>239748000000</v>
      </c>
      <c r="AM45" s="792">
        <v>1027487200000</v>
      </c>
      <c r="AN45" s="256">
        <v>36229245321</v>
      </c>
      <c r="AO45" s="256">
        <v>296368471439</v>
      </c>
      <c r="AP45" s="256">
        <v>192682092107</v>
      </c>
      <c r="AQ45" s="256">
        <v>865286511058</v>
      </c>
      <c r="AR45" s="256">
        <v>0</v>
      </c>
      <c r="AS45" s="256">
        <v>0</v>
      </c>
      <c r="AT45" s="256">
        <v>187040710885</v>
      </c>
      <c r="AU45" s="256">
        <v>16936230799</v>
      </c>
      <c r="AV45" s="256">
        <v>991257992820</v>
      </c>
      <c r="AW45" s="256">
        <v>103686379332</v>
      </c>
      <c r="AX45" s="256">
        <v>93985849936</v>
      </c>
      <c r="AY45" s="256">
        <v>666774503153</v>
      </c>
      <c r="AZ45" s="256">
        <v>187192739175</v>
      </c>
      <c r="BA45" s="256">
        <v>6195826650.3999996</v>
      </c>
      <c r="BB45" s="256">
        <v>1777351207.0999999</v>
      </c>
      <c r="BC45" s="256">
        <v>128554937188</v>
      </c>
      <c r="BD45" s="256">
        <v>170206477855</v>
      </c>
      <c r="BE45" s="256">
        <v>164365050.91999999</v>
      </c>
      <c r="BF45" s="256">
        <v>54599420014</v>
      </c>
      <c r="BG45" s="256">
        <v>65382188397</v>
      </c>
      <c r="BH45" s="256">
        <v>20409095290</v>
      </c>
      <c r="BI45" s="256">
        <v>74570592062</v>
      </c>
      <c r="BJ45" s="789">
        <v>11964550726</v>
      </c>
      <c r="BK45" s="256">
        <v>9904861595</v>
      </c>
      <c r="BL45" s="256">
        <v>7331945033.8999996</v>
      </c>
      <c r="BM45" s="256">
        <v>5007698376.6999998</v>
      </c>
      <c r="BN45" s="256">
        <v>0</v>
      </c>
      <c r="BO45" s="256">
        <v>41138082581</v>
      </c>
      <c r="BP45" s="256">
        <v>20489007815</v>
      </c>
      <c r="BQ45" s="256">
        <v>0</v>
      </c>
      <c r="BR45" s="256">
        <v>2465886.89</v>
      </c>
      <c r="BS45" s="256">
        <v>0</v>
      </c>
      <c r="BT45" s="256">
        <v>-908776142</v>
      </c>
      <c r="BU45" s="256">
        <v>301983507893</v>
      </c>
      <c r="BV45" s="1012">
        <v>-58834662233</v>
      </c>
      <c r="BW45" s="1013"/>
      <c r="BX45" s="1013"/>
      <c r="BY45" s="1013"/>
      <c r="BZ45" s="1013"/>
      <c r="CA45" s="1013">
        <v>14476135254</v>
      </c>
      <c r="CB45" s="1013"/>
      <c r="CC45" s="1013"/>
      <c r="CD45" s="1013"/>
      <c r="CE45" s="1013"/>
      <c r="CF45" s="1255">
        <v>249634609738</v>
      </c>
      <c r="CG45" s="252"/>
      <c r="CH45" s="252"/>
      <c r="CK45" s="455"/>
      <c r="CL45" s="455"/>
      <c r="CM45" s="455"/>
      <c r="CN45" s="455"/>
      <c r="CO45" s="1017"/>
      <c r="CP45" s="1017"/>
      <c r="CS45" s="1013"/>
      <c r="CT45" s="1013"/>
    </row>
    <row r="46" spans="1:98" s="256" customFormat="1" ht="9.75" customHeight="1" x14ac:dyDescent="0.3">
      <c r="A46" s="256">
        <v>0</v>
      </c>
      <c r="B46" s="256">
        <v>193539</v>
      </c>
      <c r="C46" s="788">
        <v>2001</v>
      </c>
      <c r="D46" s="792">
        <v>6169956300000</v>
      </c>
      <c r="E46" s="792">
        <v>4564797300000</v>
      </c>
      <c r="F46" s="256">
        <v>201963330962</v>
      </c>
      <c r="G46" s="256">
        <v>119524816913</v>
      </c>
      <c r="H46" s="256">
        <v>123865219395</v>
      </c>
      <c r="I46" s="256">
        <v>0</v>
      </c>
      <c r="J46" s="256">
        <v>324998523184</v>
      </c>
      <c r="K46" s="256">
        <v>1358486598</v>
      </c>
      <c r="L46" s="256">
        <v>651488329273</v>
      </c>
      <c r="M46" s="256">
        <v>26890337289</v>
      </c>
      <c r="N46" s="256">
        <v>26890337289</v>
      </c>
      <c r="O46" s="256">
        <v>93556447454</v>
      </c>
      <c r="P46" s="256">
        <v>196521034840</v>
      </c>
      <c r="Q46" s="256">
        <v>60567439744</v>
      </c>
      <c r="R46" s="256">
        <v>216731646153</v>
      </c>
      <c r="S46" s="256">
        <v>225116328029</v>
      </c>
      <c r="T46" s="256">
        <v>-11003509729</v>
      </c>
      <c r="U46" s="256">
        <v>47362301783</v>
      </c>
      <c r="V46" s="256">
        <v>10219451068</v>
      </c>
      <c r="W46" s="256">
        <v>54474511874</v>
      </c>
      <c r="X46" s="256">
        <v>19510486087</v>
      </c>
      <c r="Y46" s="256">
        <v>21216885628</v>
      </c>
      <c r="Z46" s="256">
        <v>303257471706</v>
      </c>
      <c r="AA46" s="256">
        <v>47719111753</v>
      </c>
      <c r="AB46" s="256">
        <v>10037780646</v>
      </c>
      <c r="AC46" s="256">
        <v>324998523184</v>
      </c>
      <c r="AD46" s="256">
        <v>433071947571</v>
      </c>
      <c r="AE46" s="256">
        <v>2813245.48</v>
      </c>
      <c r="AF46" s="256">
        <v>256149726.09999999</v>
      </c>
      <c r="AG46" s="256">
        <v>10729762.609999999</v>
      </c>
      <c r="AH46" s="256">
        <v>2805791.16</v>
      </c>
      <c r="AI46" s="256">
        <v>768247.76</v>
      </c>
      <c r="AJ46" s="256">
        <v>130225989.38</v>
      </c>
      <c r="AK46" s="256">
        <v>180170000000</v>
      </c>
      <c r="AL46" s="256">
        <v>176207000000</v>
      </c>
      <c r="AM46" s="256">
        <v>930203718678</v>
      </c>
      <c r="AN46" s="256">
        <v>36254282782</v>
      </c>
      <c r="AO46" s="256">
        <v>307952045367</v>
      </c>
      <c r="AP46" s="256">
        <v>196409424808</v>
      </c>
      <c r="AQ46" s="256">
        <v>915458802513</v>
      </c>
      <c r="AR46" s="256">
        <v>0</v>
      </c>
      <c r="AS46" s="256">
        <v>0</v>
      </c>
      <c r="AT46" s="256">
        <v>196521034840</v>
      </c>
      <c r="AU46" s="256">
        <v>26890337289</v>
      </c>
      <c r="AV46" s="256">
        <v>893949435896</v>
      </c>
      <c r="AW46" s="256">
        <v>111542620559</v>
      </c>
      <c r="AX46" s="256">
        <v>101852453475</v>
      </c>
      <c r="AY46" s="256">
        <v>690488337946</v>
      </c>
      <c r="AZ46" s="256">
        <v>208572217563</v>
      </c>
      <c r="BA46" s="256">
        <v>6474718532.6000004</v>
      </c>
      <c r="BB46" s="256">
        <v>1622179667.5</v>
      </c>
      <c r="BC46" s="256">
        <v>130650211241</v>
      </c>
      <c r="BD46" s="256">
        <v>175379727518</v>
      </c>
      <c r="BE46" s="256">
        <v>166506105.34</v>
      </c>
      <c r="BF46" s="256">
        <v>55581210744</v>
      </c>
      <c r="BG46" s="256">
        <v>60853192626</v>
      </c>
      <c r="BH46" s="256">
        <v>19122923498</v>
      </c>
      <c r="BI46" s="256">
        <v>72730766650</v>
      </c>
      <c r="BJ46" s="789">
        <v>15331577376</v>
      </c>
      <c r="BK46" s="256">
        <v>10860417559</v>
      </c>
      <c r="BL46" s="256">
        <v>8169567446.1000004</v>
      </c>
      <c r="BM46" s="256">
        <v>5158095230.6999998</v>
      </c>
      <c r="BN46" s="256">
        <v>0</v>
      </c>
      <c r="BO46" s="256">
        <v>41880855150</v>
      </c>
      <c r="BP46" s="256">
        <v>20521238182</v>
      </c>
      <c r="BQ46" s="256">
        <v>0</v>
      </c>
      <c r="BR46" s="256">
        <v>2410583.9700000002</v>
      </c>
      <c r="BS46" s="256">
        <v>0</v>
      </c>
      <c r="BT46" s="256">
        <v>-1896996283</v>
      </c>
      <c r="BU46" s="256">
        <v>330683445579</v>
      </c>
      <c r="BV46" s="1012">
        <v>-70431292504</v>
      </c>
      <c r="BW46" s="1013"/>
      <c r="BX46" s="1013"/>
      <c r="BY46" s="1013"/>
      <c r="BZ46" s="1013"/>
      <c r="CA46" s="1013">
        <v>6109279499.6000004</v>
      </c>
      <c r="CB46" s="1013"/>
      <c r="CC46" s="1013"/>
      <c r="CD46" s="1013"/>
      <c r="CE46" s="1013"/>
      <c r="CF46" s="1255">
        <v>255229983367</v>
      </c>
      <c r="CG46" s="682"/>
      <c r="CH46" s="682"/>
      <c r="CK46" s="455"/>
      <c r="CL46" s="455"/>
      <c r="CM46" s="455"/>
      <c r="CN46" s="455"/>
      <c r="CO46" s="1017"/>
      <c r="CP46" s="1017"/>
      <c r="CS46" s="1013"/>
      <c r="CT46" s="1013"/>
    </row>
    <row r="47" spans="1:98" s="256" customFormat="1" ht="9.75" customHeight="1" x14ac:dyDescent="0.3">
      <c r="A47" s="256">
        <v>0</v>
      </c>
      <c r="B47" s="256">
        <v>177153</v>
      </c>
      <c r="C47" s="788">
        <v>2002</v>
      </c>
      <c r="D47" s="792">
        <v>6033025000000</v>
      </c>
      <c r="E47" s="792">
        <v>4559142600000</v>
      </c>
      <c r="F47" s="256">
        <v>152342529729</v>
      </c>
      <c r="G47" s="256">
        <v>103239471801</v>
      </c>
      <c r="H47" s="256">
        <v>107756196270</v>
      </c>
      <c r="I47" s="256">
        <v>0</v>
      </c>
      <c r="J47" s="256">
        <v>238367883826</v>
      </c>
      <c r="K47" s="256">
        <v>420312135.88</v>
      </c>
      <c r="L47" s="256">
        <v>681449399031</v>
      </c>
      <c r="M47" s="256">
        <v>43125298385</v>
      </c>
      <c r="N47" s="256">
        <v>43125298385</v>
      </c>
      <c r="O47" s="256">
        <v>93459493988</v>
      </c>
      <c r="P47" s="256">
        <v>205658281060</v>
      </c>
      <c r="Q47" s="256">
        <v>77159845958</v>
      </c>
      <c r="R47" s="256">
        <v>220761717804</v>
      </c>
      <c r="S47" s="256">
        <v>237987289558</v>
      </c>
      <c r="T47" s="256">
        <v>-14419719471</v>
      </c>
      <c r="U47" s="256">
        <v>44847310591</v>
      </c>
      <c r="V47" s="256">
        <v>11240324710</v>
      </c>
      <c r="W47" s="256">
        <v>58126147173</v>
      </c>
      <c r="X47" s="256">
        <v>19100479824</v>
      </c>
      <c r="Y47" s="256">
        <v>23874317525</v>
      </c>
      <c r="Z47" s="256">
        <v>308362251440</v>
      </c>
      <c r="AA47" s="256">
        <v>47682909849</v>
      </c>
      <c r="AB47" s="256">
        <v>11756529491</v>
      </c>
      <c r="AC47" s="256">
        <v>238367883826</v>
      </c>
      <c r="AD47" s="256">
        <v>446060103584</v>
      </c>
      <c r="AE47" s="256">
        <v>2837125.93</v>
      </c>
      <c r="AF47" s="256">
        <v>258665656.81999999</v>
      </c>
      <c r="AG47" s="256">
        <v>9621838.5399999991</v>
      </c>
      <c r="AH47" s="256">
        <v>2983933.67</v>
      </c>
      <c r="AI47" s="256">
        <v>808069.94</v>
      </c>
      <c r="AJ47" s="256">
        <v>130054215.88</v>
      </c>
      <c r="AK47" s="256">
        <v>314653000000</v>
      </c>
      <c r="AL47" s="256">
        <v>167841000000</v>
      </c>
      <c r="AM47" s="256">
        <v>839947097948</v>
      </c>
      <c r="AN47" s="256">
        <v>37363988266</v>
      </c>
      <c r="AO47" s="256">
        <v>302628587807</v>
      </c>
      <c r="AP47" s="256">
        <v>181940061060</v>
      </c>
      <c r="AQ47" s="256">
        <v>924917327442</v>
      </c>
      <c r="AR47" s="256">
        <v>0</v>
      </c>
      <c r="AS47" s="256">
        <v>0</v>
      </c>
      <c r="AT47" s="256">
        <v>205658281060</v>
      </c>
      <c r="AU47" s="256">
        <v>43125298385</v>
      </c>
      <c r="AV47" s="256">
        <v>802583109682</v>
      </c>
      <c r="AW47" s="256">
        <v>120688526748</v>
      </c>
      <c r="AX47" s="256">
        <v>111000911094</v>
      </c>
      <c r="AY47" s="256">
        <v>701771400995</v>
      </c>
      <c r="AZ47" s="256">
        <v>228282729692</v>
      </c>
      <c r="BA47" s="256">
        <v>6222615742.1000004</v>
      </c>
      <c r="BB47" s="256">
        <v>1698165064.0999999</v>
      </c>
      <c r="BC47" s="256">
        <v>138554601552</v>
      </c>
      <c r="BD47" s="256">
        <v>185000975985</v>
      </c>
      <c r="BE47" s="256">
        <v>167480067.15000001</v>
      </c>
      <c r="BF47" s="256">
        <v>54563281494</v>
      </c>
      <c r="BG47" s="256">
        <v>55805317407</v>
      </c>
      <c r="BH47" s="256">
        <v>20175836442</v>
      </c>
      <c r="BI47" s="256">
        <v>69632727629</v>
      </c>
      <c r="BJ47" s="789">
        <v>16084839359</v>
      </c>
      <c r="BK47" s="256">
        <v>11455702879</v>
      </c>
      <c r="BL47" s="256">
        <v>9156837537.2000008</v>
      </c>
      <c r="BM47" s="256">
        <v>5448694946.1999998</v>
      </c>
      <c r="BN47" s="256">
        <v>0</v>
      </c>
      <c r="BO47" s="256">
        <v>39608363521</v>
      </c>
      <c r="BP47" s="256">
        <v>25812141651</v>
      </c>
      <c r="BQ47" s="256">
        <v>0</v>
      </c>
      <c r="BR47" s="256">
        <v>2310834.48</v>
      </c>
      <c r="BS47" s="256">
        <v>0</v>
      </c>
      <c r="BT47" s="256">
        <v>-2386530325</v>
      </c>
      <c r="BU47" s="256">
        <v>336492599007</v>
      </c>
      <c r="BV47" s="1012">
        <v>-80177785627</v>
      </c>
      <c r="BW47" s="1013"/>
      <c r="BX47" s="1013"/>
      <c r="BY47" s="1013"/>
      <c r="BZ47" s="1013"/>
      <c r="CA47" s="1013">
        <v>3525150315</v>
      </c>
      <c r="CB47" s="1013"/>
      <c r="CC47" s="1013"/>
      <c r="CD47" s="1013"/>
      <c r="CE47" s="1013"/>
      <c r="CF47" s="1255">
        <v>260379315746</v>
      </c>
      <c r="CG47" s="252"/>
      <c r="CH47" s="252"/>
      <c r="CK47" s="455"/>
      <c r="CL47" s="455"/>
      <c r="CM47" s="455"/>
      <c r="CN47" s="455"/>
      <c r="CO47" s="1017"/>
      <c r="CP47" s="1017"/>
      <c r="CS47" s="1013"/>
      <c r="CT47" s="1013"/>
    </row>
    <row r="48" spans="1:98" s="256" customFormat="1" ht="9.75" customHeight="1" x14ac:dyDescent="0.3">
      <c r="A48" s="256">
        <v>0</v>
      </c>
      <c r="B48" s="256">
        <v>184532</v>
      </c>
      <c r="C48" s="788">
        <v>2003</v>
      </c>
      <c r="D48" s="792">
        <v>6206610500000</v>
      </c>
      <c r="E48" s="792">
        <v>4649616600000</v>
      </c>
      <c r="F48" s="256">
        <v>130216576351</v>
      </c>
      <c r="G48" s="256">
        <v>115139891362</v>
      </c>
      <c r="H48" s="256">
        <v>120436838331</v>
      </c>
      <c r="I48" s="256">
        <v>0</v>
      </c>
      <c r="J48" s="256">
        <v>294021909206</v>
      </c>
      <c r="K48" s="256">
        <v>332292852.88</v>
      </c>
      <c r="L48" s="256">
        <v>686369406628</v>
      </c>
      <c r="M48" s="256">
        <v>44007878585</v>
      </c>
      <c r="N48" s="256">
        <v>44007878585</v>
      </c>
      <c r="O48" s="256">
        <v>97768200640</v>
      </c>
      <c r="P48" s="256">
        <v>214011279433</v>
      </c>
      <c r="Q48" s="256">
        <v>87575026060</v>
      </c>
      <c r="R48" s="256">
        <v>229655285493</v>
      </c>
      <c r="S48" s="256">
        <v>253850995466</v>
      </c>
      <c r="T48" s="256">
        <v>-12371491546</v>
      </c>
      <c r="U48" s="256">
        <v>46778664870</v>
      </c>
      <c r="V48" s="256">
        <v>12414779879</v>
      </c>
      <c r="W48" s="256">
        <v>62824776913</v>
      </c>
      <c r="X48" s="256">
        <v>21288804665</v>
      </c>
      <c r="Y48" s="256">
        <v>23425572725</v>
      </c>
      <c r="Z48" s="256">
        <v>314895810080</v>
      </c>
      <c r="AA48" s="256">
        <v>47741049879</v>
      </c>
      <c r="AB48" s="256">
        <v>11748497791</v>
      </c>
      <c r="AC48" s="256">
        <v>294021909206</v>
      </c>
      <c r="AD48" s="256">
        <v>461267047138</v>
      </c>
      <c r="AE48" s="256">
        <v>2712201.3</v>
      </c>
      <c r="AF48" s="256">
        <v>261120301.18000001</v>
      </c>
      <c r="AG48" s="256">
        <v>9142777.3399999999</v>
      </c>
      <c r="AH48" s="256">
        <v>2929240.97</v>
      </c>
      <c r="AI48" s="256">
        <v>763761.79</v>
      </c>
      <c r="AJ48" s="256">
        <v>130409588.84999999</v>
      </c>
      <c r="AK48" s="256">
        <v>378625000000</v>
      </c>
      <c r="AL48" s="256">
        <v>221745000000</v>
      </c>
      <c r="AM48" s="256">
        <v>793004362131</v>
      </c>
      <c r="AN48" s="256">
        <v>39574969353</v>
      </c>
      <c r="AO48" s="256">
        <v>310863539361</v>
      </c>
      <c r="AP48" s="256">
        <v>183046205000</v>
      </c>
      <c r="AQ48" s="256">
        <v>930732392403</v>
      </c>
      <c r="AR48" s="256">
        <v>0</v>
      </c>
      <c r="AS48" s="256">
        <v>0</v>
      </c>
      <c r="AT48" s="256">
        <v>214011279433</v>
      </c>
      <c r="AU48" s="256">
        <v>44007878585</v>
      </c>
      <c r="AV48" s="256">
        <v>753429392778</v>
      </c>
      <c r="AW48" s="256">
        <v>127817334361</v>
      </c>
      <c r="AX48" s="256">
        <v>117954323065</v>
      </c>
      <c r="AY48" s="256">
        <v>717107639393</v>
      </c>
      <c r="AZ48" s="256">
        <v>250916189720</v>
      </c>
      <c r="BA48" s="256">
        <v>6031734653.1000004</v>
      </c>
      <c r="BB48" s="256">
        <v>1589063168</v>
      </c>
      <c r="BC48" s="256">
        <v>148166393709</v>
      </c>
      <c r="BD48" s="256">
        <v>194562393459</v>
      </c>
      <c r="BE48" s="256">
        <v>168635986.63</v>
      </c>
      <c r="BF48" s="256">
        <v>53748847283</v>
      </c>
      <c r="BG48" s="256">
        <v>54108241545</v>
      </c>
      <c r="BH48" s="256">
        <v>20555043965</v>
      </c>
      <c r="BI48" s="256">
        <v>68901861448</v>
      </c>
      <c r="BJ48" s="789">
        <v>17730682076</v>
      </c>
      <c r="BK48" s="256">
        <v>12679278061</v>
      </c>
      <c r="BL48" s="256">
        <v>9454177714.2000008</v>
      </c>
      <c r="BM48" s="256">
        <v>5819734985.8000002</v>
      </c>
      <c r="BN48" s="256">
        <v>0</v>
      </c>
      <c r="BO48" s="256">
        <v>39125007394</v>
      </c>
      <c r="BP48" s="256">
        <v>27802770278</v>
      </c>
      <c r="BQ48" s="256">
        <v>0</v>
      </c>
      <c r="BR48" s="256">
        <v>2283157.96</v>
      </c>
      <c r="BS48" s="256">
        <v>0</v>
      </c>
      <c r="BT48" s="256">
        <v>-329903279.60000002</v>
      </c>
      <c r="BU48" s="256">
        <v>325154146708</v>
      </c>
      <c r="BV48" s="1012">
        <v>-80462408691</v>
      </c>
      <c r="BW48" s="1013"/>
      <c r="BX48" s="1013"/>
      <c r="BY48" s="1013"/>
      <c r="BZ48" s="1013"/>
      <c r="CA48" s="1013">
        <v>3339627669.9000001</v>
      </c>
      <c r="CB48" s="1013"/>
      <c r="CC48" s="1013"/>
      <c r="CD48" s="1013"/>
      <c r="CE48" s="1013"/>
      <c r="CF48" s="1255">
        <v>267633798534</v>
      </c>
      <c r="CG48" s="252"/>
      <c r="CH48" s="252"/>
      <c r="CK48" s="455"/>
      <c r="CL48" s="455"/>
      <c r="CM48" s="455"/>
      <c r="CN48" s="455"/>
      <c r="CO48" s="1017"/>
      <c r="CP48" s="1017"/>
      <c r="CS48" s="1013"/>
      <c r="CT48" s="1013"/>
    </row>
    <row r="49" spans="1:98" s="256" customFormat="1" ht="9.75" customHeight="1" x14ac:dyDescent="0.3">
      <c r="A49" s="256">
        <v>0</v>
      </c>
      <c r="B49" s="256">
        <v>202336</v>
      </c>
      <c r="C49" s="788">
        <v>2004</v>
      </c>
      <c r="D49" s="792">
        <v>6788679300000</v>
      </c>
      <c r="E49" s="792">
        <v>4921681700000</v>
      </c>
      <c r="F49" s="256">
        <v>128479315812</v>
      </c>
      <c r="G49" s="256">
        <v>146838490519</v>
      </c>
      <c r="H49" s="256">
        <v>153559229325</v>
      </c>
      <c r="I49" s="256">
        <v>0</v>
      </c>
      <c r="J49" s="256">
        <v>471731384141</v>
      </c>
      <c r="K49" s="256">
        <v>1925989664.8</v>
      </c>
      <c r="L49" s="256">
        <v>759155698693</v>
      </c>
      <c r="M49" s="256">
        <v>32740271648</v>
      </c>
      <c r="N49" s="256">
        <v>32740271648</v>
      </c>
      <c r="O49" s="256">
        <v>110462386819</v>
      </c>
      <c r="P49" s="256">
        <v>231873219716</v>
      </c>
      <c r="Q49" s="256">
        <v>98046604865</v>
      </c>
      <c r="R49" s="256">
        <v>247217287300</v>
      </c>
      <c r="S49" s="256">
        <v>315997292014</v>
      </c>
      <c r="T49" s="256">
        <v>-13239204779</v>
      </c>
      <c r="U49" s="256">
        <v>47094677452</v>
      </c>
      <c r="V49" s="256">
        <v>14000604704</v>
      </c>
      <c r="W49" s="256">
        <v>75011555697</v>
      </c>
      <c r="X49" s="256">
        <v>23197672801</v>
      </c>
      <c r="Y49" s="256">
        <v>22735722798</v>
      </c>
      <c r="Z49" s="256">
        <v>330569024661</v>
      </c>
      <c r="AA49" s="256">
        <v>48509989204</v>
      </c>
      <c r="AB49" s="256">
        <v>14588841406</v>
      </c>
      <c r="AC49" s="256">
        <v>471731384141</v>
      </c>
      <c r="AD49" s="256">
        <v>495957948568</v>
      </c>
      <c r="AE49" s="256">
        <v>2788368.59</v>
      </c>
      <c r="AF49" s="256">
        <v>263885541.34</v>
      </c>
      <c r="AG49" s="256">
        <v>9061618.8499999996</v>
      </c>
      <c r="AH49" s="256">
        <v>3044613.56</v>
      </c>
      <c r="AI49" s="256">
        <v>824907.75</v>
      </c>
      <c r="AJ49" s="256">
        <v>132217773.67</v>
      </c>
      <c r="AK49" s="256">
        <v>413162000000</v>
      </c>
      <c r="AL49" s="256">
        <v>288015000000</v>
      </c>
      <c r="AM49" s="256">
        <v>879952717923</v>
      </c>
      <c r="AN49" s="256">
        <v>42210736959</v>
      </c>
      <c r="AO49" s="256">
        <v>362603980569</v>
      </c>
      <c r="AP49" s="256">
        <v>202303493668</v>
      </c>
      <c r="AQ49" s="792">
        <v>1034984800000</v>
      </c>
      <c r="AR49" s="256">
        <v>17527396126</v>
      </c>
      <c r="AS49" s="256">
        <v>0</v>
      </c>
      <c r="AT49" s="256">
        <v>231873219716</v>
      </c>
      <c r="AU49" s="256">
        <v>32740271648</v>
      </c>
      <c r="AV49" s="256">
        <v>837741980964</v>
      </c>
      <c r="AW49" s="256">
        <v>142773090775</v>
      </c>
      <c r="AX49" s="256">
        <v>132249838658</v>
      </c>
      <c r="AY49" s="256">
        <v>751858775485</v>
      </c>
      <c r="AZ49" s="256">
        <v>285367545532</v>
      </c>
      <c r="BA49" s="256">
        <v>7023501371.6000004</v>
      </c>
      <c r="BB49" s="256">
        <v>1728125313.7</v>
      </c>
      <c r="BC49" s="256">
        <v>195122567156</v>
      </c>
      <c r="BD49" s="256">
        <v>239156490775</v>
      </c>
      <c r="BE49" s="256">
        <v>170833618.66</v>
      </c>
      <c r="BF49" s="256">
        <v>52031762896</v>
      </c>
      <c r="BG49" s="256">
        <v>56179600053</v>
      </c>
      <c r="BH49" s="256">
        <v>22792216922</v>
      </c>
      <c r="BI49" s="256">
        <v>71952620559</v>
      </c>
      <c r="BJ49" s="789">
        <v>19773012784</v>
      </c>
      <c r="BK49" s="256">
        <v>15981897064</v>
      </c>
      <c r="BL49" s="256">
        <v>10406128622</v>
      </c>
      <c r="BM49" s="256">
        <v>7207762355.3999996</v>
      </c>
      <c r="BN49" s="256">
        <v>0</v>
      </c>
      <c r="BO49" s="256">
        <v>43878188549</v>
      </c>
      <c r="BP49" s="256">
        <v>29324559117</v>
      </c>
      <c r="BQ49" s="256">
        <v>0</v>
      </c>
      <c r="BR49" s="256">
        <v>2427002.7999999998</v>
      </c>
      <c r="BS49" s="256">
        <v>0</v>
      </c>
      <c r="BT49" s="256">
        <v>2502518661</v>
      </c>
      <c r="BU49" s="256">
        <v>340472449240</v>
      </c>
      <c r="BV49" s="1012">
        <v>-86311963036</v>
      </c>
      <c r="BW49" s="1013"/>
      <c r="BX49" s="1013"/>
      <c r="BY49" s="1013"/>
      <c r="BZ49" s="1013"/>
      <c r="CA49" s="1013">
        <v>4992043218.1000004</v>
      </c>
      <c r="CB49" s="1013"/>
      <c r="CC49" s="1013"/>
      <c r="CD49" s="1013"/>
      <c r="CE49" s="1013"/>
      <c r="CF49" s="1255">
        <v>289967337009</v>
      </c>
      <c r="CG49" s="252"/>
      <c r="CH49" s="252"/>
      <c r="CK49" s="455"/>
      <c r="CL49" s="455"/>
      <c r="CM49" s="455"/>
      <c r="CN49" s="455"/>
      <c r="CO49" s="1017"/>
      <c r="CP49" s="1017"/>
      <c r="CS49" s="1013"/>
      <c r="CT49" s="1013"/>
    </row>
    <row r="50" spans="1:98" s="256" customFormat="1" ht="9.75" customHeight="1" x14ac:dyDescent="0.3">
      <c r="A50" s="256">
        <v>0</v>
      </c>
      <c r="B50" s="256">
        <v>295257</v>
      </c>
      <c r="C50" s="788">
        <v>2005</v>
      </c>
      <c r="D50" s="792">
        <v>7421738300000</v>
      </c>
      <c r="E50" s="792">
        <v>5154797700000</v>
      </c>
      <c r="F50" s="256">
        <v>166250882882</v>
      </c>
      <c r="G50" s="256">
        <v>166473643527</v>
      </c>
      <c r="H50" s="256">
        <v>174039186209</v>
      </c>
      <c r="I50" s="256">
        <v>0</v>
      </c>
      <c r="J50" s="256">
        <v>662960182680</v>
      </c>
      <c r="K50" s="256">
        <v>4958077641.6999998</v>
      </c>
      <c r="L50" s="256">
        <v>832214893823</v>
      </c>
      <c r="M50" s="256">
        <v>27857366556</v>
      </c>
      <c r="N50" s="256">
        <v>27857366556</v>
      </c>
      <c r="O50" s="256">
        <v>124829011193</v>
      </c>
      <c r="P50" s="256">
        <v>252239629231</v>
      </c>
      <c r="Q50" s="256">
        <v>109395945583</v>
      </c>
      <c r="R50" s="256">
        <v>269692728844</v>
      </c>
      <c r="S50" s="256">
        <v>402314206286</v>
      </c>
      <c r="T50" s="256">
        <v>-12168786465</v>
      </c>
      <c r="U50" s="256">
        <v>51460439512</v>
      </c>
      <c r="V50" s="256">
        <v>16483976998</v>
      </c>
      <c r="W50" s="256">
        <v>79439490481</v>
      </c>
      <c r="X50" s="256">
        <v>26844151516</v>
      </c>
      <c r="Y50" s="256">
        <v>22204553849</v>
      </c>
      <c r="Z50" s="256">
        <v>343597397762</v>
      </c>
      <c r="AA50" s="256">
        <v>49324585572</v>
      </c>
      <c r="AB50" s="256">
        <v>16201946019</v>
      </c>
      <c r="AC50" s="256">
        <v>662960182680</v>
      </c>
      <c r="AD50" s="256">
        <v>532422054060</v>
      </c>
      <c r="AE50" s="256">
        <v>2721486.13</v>
      </c>
      <c r="AF50" s="256">
        <v>263901688.49000001</v>
      </c>
      <c r="AG50" s="256">
        <v>9146809.4900000002</v>
      </c>
      <c r="AH50" s="256">
        <v>3124967.33</v>
      </c>
      <c r="AI50" s="256">
        <v>767759.63</v>
      </c>
      <c r="AJ50" s="256">
        <v>134360004.75999999</v>
      </c>
      <c r="AK50" s="256">
        <v>484817000000</v>
      </c>
      <c r="AL50" s="256">
        <v>390916000000</v>
      </c>
      <c r="AM50" s="256">
        <v>986302573295</v>
      </c>
      <c r="AN50" s="256">
        <v>45458283832</v>
      </c>
      <c r="AO50" s="256">
        <v>400358653229</v>
      </c>
      <c r="AP50" s="256">
        <v>227551695458</v>
      </c>
      <c r="AQ50" s="792">
        <v>1167054000000</v>
      </c>
      <c r="AR50" s="256">
        <v>17271249446</v>
      </c>
      <c r="AS50" s="256">
        <v>0</v>
      </c>
      <c r="AT50" s="256">
        <v>252239629231</v>
      </c>
      <c r="AU50" s="256">
        <v>27857366556</v>
      </c>
      <c r="AV50" s="256">
        <v>940844289463</v>
      </c>
      <c r="AW50" s="256">
        <v>155535708325</v>
      </c>
      <c r="AX50" s="256">
        <v>144700065277</v>
      </c>
      <c r="AY50" s="256">
        <v>781977664929</v>
      </c>
      <c r="AZ50" s="256">
        <v>281309234810</v>
      </c>
      <c r="BA50" s="256">
        <v>9760026500.8999996</v>
      </c>
      <c r="BB50" s="256">
        <v>794206212.95000005</v>
      </c>
      <c r="BC50" s="256">
        <v>250716499031</v>
      </c>
      <c r="BD50" s="256">
        <v>296261132989</v>
      </c>
      <c r="BE50" s="256">
        <v>173393894.12</v>
      </c>
      <c r="BF50" s="256">
        <v>57688283132</v>
      </c>
      <c r="BG50" s="256">
        <v>58309460803</v>
      </c>
      <c r="BH50" s="256">
        <v>23197965342</v>
      </c>
      <c r="BI50" s="256">
        <v>73695685531</v>
      </c>
      <c r="BJ50" s="789">
        <v>23280323668</v>
      </c>
      <c r="BK50" s="256">
        <v>18843824740</v>
      </c>
      <c r="BL50" s="256">
        <v>11250663811</v>
      </c>
      <c r="BM50" s="256">
        <v>8150619214.8999996</v>
      </c>
      <c r="BN50" s="256">
        <v>0</v>
      </c>
      <c r="BO50" s="256">
        <v>48005824018</v>
      </c>
      <c r="BP50" s="256">
        <v>33271440858</v>
      </c>
      <c r="BQ50" s="256">
        <v>0</v>
      </c>
      <c r="BR50" s="256">
        <v>2441152.4</v>
      </c>
      <c r="BS50" s="256">
        <v>0</v>
      </c>
      <c r="BT50" s="256">
        <v>3660228900.0999999</v>
      </c>
      <c r="BU50" s="256">
        <v>383726714173</v>
      </c>
      <c r="BV50" s="1012">
        <v>-85450844582</v>
      </c>
      <c r="BW50" s="1013"/>
      <c r="BX50" s="1013"/>
      <c r="BY50" s="1013"/>
      <c r="BZ50" s="1013"/>
      <c r="CA50" s="1013">
        <v>6994613980.1000004</v>
      </c>
      <c r="CB50" s="1013"/>
      <c r="CC50" s="1013"/>
      <c r="CD50" s="1013"/>
      <c r="CE50" s="1013"/>
      <c r="CF50" s="1255">
        <v>314562134506</v>
      </c>
      <c r="CG50" s="252"/>
      <c r="CH50" s="252"/>
      <c r="CK50" s="455"/>
      <c r="CL50" s="455"/>
      <c r="CM50" s="455"/>
      <c r="CN50" s="455"/>
      <c r="CO50" s="1017"/>
      <c r="CP50" s="1017"/>
      <c r="CS50" s="1013"/>
      <c r="CT50" s="1013"/>
    </row>
    <row r="51" spans="1:98" s="256" customFormat="1" ht="9.75" customHeight="1" x14ac:dyDescent="0.3">
      <c r="A51" s="256">
        <v>0</v>
      </c>
      <c r="B51" s="256">
        <v>323391</v>
      </c>
      <c r="C51" s="788">
        <v>2006</v>
      </c>
      <c r="D51" s="792">
        <v>8025145400000</v>
      </c>
      <c r="E51" s="792">
        <v>5468847500000</v>
      </c>
      <c r="F51" s="256">
        <v>226938706910</v>
      </c>
      <c r="G51" s="256">
        <v>199288907757</v>
      </c>
      <c r="H51" s="256">
        <v>207964241362</v>
      </c>
      <c r="I51" s="256">
        <v>0</v>
      </c>
      <c r="J51" s="256">
        <v>766227224434</v>
      </c>
      <c r="K51" s="256">
        <v>8416557325.8000002</v>
      </c>
      <c r="L51" s="256">
        <v>946331652524</v>
      </c>
      <c r="M51" s="256">
        <v>26523665143</v>
      </c>
      <c r="N51" s="256">
        <v>26523665143</v>
      </c>
      <c r="O51" s="256">
        <v>144403758037</v>
      </c>
      <c r="P51" s="256">
        <v>339754380842</v>
      </c>
      <c r="Q51" s="256">
        <v>113842937224</v>
      </c>
      <c r="R51" s="256">
        <v>281582004695</v>
      </c>
      <c r="S51" s="256">
        <v>425290328622</v>
      </c>
      <c r="T51" s="256">
        <v>-15331318749</v>
      </c>
      <c r="U51" s="256">
        <v>46673449434</v>
      </c>
      <c r="V51" s="256">
        <v>17183423400</v>
      </c>
      <c r="W51" s="256">
        <v>80789725257</v>
      </c>
      <c r="X51" s="256">
        <v>29937296012</v>
      </c>
      <c r="Y51" s="256">
        <v>24196695861</v>
      </c>
      <c r="Z51" s="256">
        <v>363751155888</v>
      </c>
      <c r="AA51" s="256">
        <v>50367107391</v>
      </c>
      <c r="AB51" s="256">
        <v>19099502386</v>
      </c>
      <c r="AC51" s="256">
        <v>766227224434</v>
      </c>
      <c r="AD51" s="256">
        <v>575159248713</v>
      </c>
      <c r="AE51" s="256">
        <v>2874878.83</v>
      </c>
      <c r="AF51" s="256">
        <v>269285337.29000002</v>
      </c>
      <c r="AG51" s="256">
        <v>9355864.5399999991</v>
      </c>
      <c r="AH51" s="256">
        <v>3138560.03</v>
      </c>
      <c r="AI51" s="256">
        <v>821838.11</v>
      </c>
      <c r="AJ51" s="256">
        <v>138387068.78999999</v>
      </c>
      <c r="AK51" s="256">
        <v>447140000000</v>
      </c>
      <c r="AL51" s="256">
        <v>444308000000</v>
      </c>
      <c r="AM51" s="792">
        <v>1077625000000</v>
      </c>
      <c r="AN51" s="256">
        <v>47842094071</v>
      </c>
      <c r="AO51" s="256">
        <v>432693199705</v>
      </c>
      <c r="AP51" s="256">
        <v>246308677196</v>
      </c>
      <c r="AQ51" s="792">
        <v>1264126600000</v>
      </c>
      <c r="AR51" s="256">
        <v>18920955667</v>
      </c>
      <c r="AS51" s="256">
        <v>0</v>
      </c>
      <c r="AT51" s="256">
        <v>339754380842</v>
      </c>
      <c r="AU51" s="256">
        <v>26523665143</v>
      </c>
      <c r="AV51" s="792">
        <v>1029782900000</v>
      </c>
      <c r="AW51" s="256">
        <v>167463566842</v>
      </c>
      <c r="AX51" s="256">
        <v>156380555750</v>
      </c>
      <c r="AY51" s="256">
        <v>825711513239</v>
      </c>
      <c r="AZ51" s="256">
        <v>265460419218</v>
      </c>
      <c r="BA51" s="256">
        <v>11350786313</v>
      </c>
      <c r="BB51" s="256">
        <v>850409103.87</v>
      </c>
      <c r="BC51" s="256">
        <v>265673302645</v>
      </c>
      <c r="BD51" s="256">
        <v>316554193777</v>
      </c>
      <c r="BE51" s="256">
        <v>177919414.68000001</v>
      </c>
      <c r="BF51" s="256">
        <v>72921697551</v>
      </c>
      <c r="BG51" s="256">
        <v>61220102398</v>
      </c>
      <c r="BH51" s="256">
        <v>23816751755</v>
      </c>
      <c r="BI51" s="256">
        <v>76620796772</v>
      </c>
      <c r="BJ51" s="789">
        <v>33829236614</v>
      </c>
      <c r="BK51" s="256">
        <v>26233921852</v>
      </c>
      <c r="BL51" s="256">
        <v>15565032198</v>
      </c>
      <c r="BM51" s="256">
        <v>10250354029</v>
      </c>
      <c r="BN51" s="256">
        <v>0</v>
      </c>
      <c r="BO51" s="256">
        <v>56575970607</v>
      </c>
      <c r="BP51" s="256">
        <v>34545057269</v>
      </c>
      <c r="BQ51" s="256">
        <v>0</v>
      </c>
      <c r="BR51" s="256">
        <v>2488049.25</v>
      </c>
      <c r="BS51" s="256">
        <v>0</v>
      </c>
      <c r="BT51" s="256">
        <v>4206621279.1999998</v>
      </c>
      <c r="BU51" s="256">
        <v>443151617820</v>
      </c>
      <c r="BV51" s="1012">
        <v>-91196610471</v>
      </c>
      <c r="BW51" s="1013"/>
      <c r="BX51" s="1013"/>
      <c r="BY51" s="1013"/>
      <c r="BZ51" s="1013"/>
      <c r="CA51" s="1013">
        <v>9045643024.2000008</v>
      </c>
      <c r="CB51" s="1013"/>
      <c r="CC51" s="1013"/>
      <c r="CD51" s="1013"/>
      <c r="CE51" s="1013"/>
      <c r="CF51" s="1255">
        <v>339316217407</v>
      </c>
      <c r="CG51" s="252"/>
      <c r="CH51" s="252"/>
      <c r="CK51" s="455"/>
      <c r="CL51" s="455"/>
      <c r="CM51" s="455"/>
      <c r="CN51" s="455"/>
      <c r="CO51" s="1017"/>
      <c r="CP51" s="1017"/>
      <c r="CS51" s="1013"/>
      <c r="CT51" s="1013"/>
    </row>
    <row r="52" spans="1:98" s="256" customFormat="1" ht="9.75" customHeight="1" x14ac:dyDescent="0.3">
      <c r="A52" s="256">
        <v>0</v>
      </c>
      <c r="B52" s="256">
        <v>327518</v>
      </c>
      <c r="C52" s="788">
        <v>2007</v>
      </c>
      <c r="D52" s="792">
        <v>8681115300000</v>
      </c>
      <c r="E52" s="792">
        <v>5841842600000</v>
      </c>
      <c r="F52" s="256">
        <v>272886041970</v>
      </c>
      <c r="G52" s="256">
        <v>236698436626</v>
      </c>
      <c r="H52" s="256">
        <v>246062454651</v>
      </c>
      <c r="I52" s="256">
        <v>0</v>
      </c>
      <c r="J52" s="256">
        <v>890181448447</v>
      </c>
      <c r="K52" s="256">
        <v>11981884386</v>
      </c>
      <c r="L52" s="792">
        <v>1041320100000</v>
      </c>
      <c r="M52" s="256">
        <v>29413293054</v>
      </c>
      <c r="N52" s="256">
        <v>29413293054</v>
      </c>
      <c r="O52" s="256">
        <v>167186127216</v>
      </c>
      <c r="P52" s="256">
        <v>382300223436</v>
      </c>
      <c r="Q52" s="256">
        <v>123010537088</v>
      </c>
      <c r="R52" s="256">
        <v>279707036481</v>
      </c>
      <c r="S52" s="256">
        <v>414638975359</v>
      </c>
      <c r="T52" s="256">
        <v>-14693175807</v>
      </c>
      <c r="U52" s="256">
        <v>45060583534</v>
      </c>
      <c r="V52" s="256">
        <v>18136028052</v>
      </c>
      <c r="W52" s="256">
        <v>86369140680</v>
      </c>
      <c r="X52" s="256">
        <v>36142321160</v>
      </c>
      <c r="Y52" s="256">
        <v>27045261191</v>
      </c>
      <c r="Z52" s="256">
        <v>386723074196</v>
      </c>
      <c r="AA52" s="256">
        <v>52227512667</v>
      </c>
      <c r="AB52" s="256">
        <v>21113627249</v>
      </c>
      <c r="AC52" s="256">
        <v>890181448447</v>
      </c>
      <c r="AD52" s="256">
        <v>638519483753</v>
      </c>
      <c r="AE52" s="256">
        <v>2964197.48</v>
      </c>
      <c r="AF52" s="256">
        <v>275805412.29000002</v>
      </c>
      <c r="AG52" s="256">
        <v>9617128.1199999992</v>
      </c>
      <c r="AH52" s="256">
        <v>3381418.08</v>
      </c>
      <c r="AI52" s="256">
        <v>725683.75</v>
      </c>
      <c r="AJ52" s="256">
        <v>142958958.00999999</v>
      </c>
      <c r="AK52" s="256">
        <v>264552000000</v>
      </c>
      <c r="AL52" s="256">
        <v>410932000000</v>
      </c>
      <c r="AM52" s="792">
        <v>1172305500000</v>
      </c>
      <c r="AN52" s="256">
        <v>49504455195</v>
      </c>
      <c r="AO52" s="256">
        <v>465664379222</v>
      </c>
      <c r="AP52" s="256">
        <v>269140383490</v>
      </c>
      <c r="AQ52" s="792">
        <v>1371595700000</v>
      </c>
      <c r="AR52" s="256">
        <v>18522480250</v>
      </c>
      <c r="AS52" s="256">
        <v>0</v>
      </c>
      <c r="AT52" s="256">
        <v>382300223436</v>
      </c>
      <c r="AU52" s="256">
        <v>29413293054</v>
      </c>
      <c r="AV52" s="792">
        <v>1122801100000</v>
      </c>
      <c r="AW52" s="256">
        <v>178001515482</v>
      </c>
      <c r="AX52" s="256">
        <v>166880497041</v>
      </c>
      <c r="AY52" s="256">
        <v>875178116254</v>
      </c>
      <c r="AZ52" s="256">
        <v>250858249172</v>
      </c>
      <c r="BA52" s="256">
        <v>16011279436</v>
      </c>
      <c r="BB52" s="256">
        <v>748850171.79999995</v>
      </c>
      <c r="BC52" s="256">
        <v>254067802007</v>
      </c>
      <c r="BD52" s="256">
        <v>319031885156</v>
      </c>
      <c r="BE52" s="256">
        <v>182920756.97999999</v>
      </c>
      <c r="BF52" s="256">
        <v>79303480832</v>
      </c>
      <c r="BG52" s="256">
        <v>64858731518</v>
      </c>
      <c r="BH52" s="256">
        <v>26245294258</v>
      </c>
      <c r="BI52" s="256">
        <v>81374180202</v>
      </c>
      <c r="BJ52" s="789">
        <v>40525444833</v>
      </c>
      <c r="BK52" s="256">
        <v>31241238358</v>
      </c>
      <c r="BL52" s="256">
        <v>19126016193</v>
      </c>
      <c r="BM52" s="256">
        <v>12346649577</v>
      </c>
      <c r="BN52" s="256">
        <v>0</v>
      </c>
      <c r="BO52" s="256">
        <v>76345244304</v>
      </c>
      <c r="BP52" s="256">
        <v>35138918643</v>
      </c>
      <c r="BQ52" s="256">
        <v>0</v>
      </c>
      <c r="BR52" s="256">
        <v>2698437.56</v>
      </c>
      <c r="BS52" s="256">
        <v>0</v>
      </c>
      <c r="BT52" s="256">
        <v>4237876331.1999998</v>
      </c>
      <c r="BU52" s="256">
        <v>491424620035</v>
      </c>
      <c r="BV52" s="1012">
        <v>-110781600000</v>
      </c>
      <c r="BW52" s="1013"/>
      <c r="BX52" s="1013"/>
      <c r="BY52" s="1013"/>
      <c r="BZ52" s="1013"/>
      <c r="CA52" s="1013">
        <v>11412442660</v>
      </c>
      <c r="CB52" s="1013"/>
      <c r="CC52" s="1013"/>
      <c r="CD52" s="1013"/>
      <c r="CE52" s="1013"/>
      <c r="CF52" s="1255">
        <v>380484562702</v>
      </c>
      <c r="CG52" s="252"/>
      <c r="CH52" s="252"/>
      <c r="CK52" s="455"/>
      <c r="CL52" s="455"/>
      <c r="CM52" s="455"/>
      <c r="CN52" s="455"/>
      <c r="CO52" s="1017"/>
      <c r="CP52" s="1017"/>
      <c r="CS52" s="1013"/>
      <c r="CT52" s="1013"/>
    </row>
    <row r="53" spans="1:98" s="256" customFormat="1" ht="9.75" customHeight="1" x14ac:dyDescent="0.3">
      <c r="A53" s="256">
        <v>0</v>
      </c>
      <c r="B53" s="256">
        <v>330837</v>
      </c>
      <c r="C53" s="788">
        <v>2008</v>
      </c>
      <c r="D53" s="792">
        <v>8260683500000</v>
      </c>
      <c r="E53" s="792">
        <v>5950015200000</v>
      </c>
      <c r="F53" s="256">
        <v>227821792322</v>
      </c>
      <c r="G53" s="256">
        <v>219284369384</v>
      </c>
      <c r="H53" s="256">
        <v>228676319281</v>
      </c>
      <c r="I53" s="256">
        <v>0</v>
      </c>
      <c r="J53" s="256">
        <v>465290385255</v>
      </c>
      <c r="K53" s="256">
        <v>2693830567.9000001</v>
      </c>
      <c r="L53" s="792">
        <v>1061024600000</v>
      </c>
      <c r="M53" s="256">
        <v>43674693874</v>
      </c>
      <c r="N53" s="256">
        <v>43674693874</v>
      </c>
      <c r="O53" s="256">
        <v>168110178773</v>
      </c>
      <c r="P53" s="256">
        <v>415573299476</v>
      </c>
      <c r="Q53" s="256">
        <v>121591737534</v>
      </c>
      <c r="R53" s="256">
        <v>264231692414</v>
      </c>
      <c r="S53" s="256">
        <v>367359863276</v>
      </c>
      <c r="T53" s="256">
        <v>-14846609689</v>
      </c>
      <c r="U53" s="256">
        <v>57802549318</v>
      </c>
      <c r="V53" s="256">
        <v>17551444473</v>
      </c>
      <c r="W53" s="256">
        <v>96957115927</v>
      </c>
      <c r="X53" s="256">
        <v>34263581772</v>
      </c>
      <c r="Y53" s="256">
        <v>27560208118</v>
      </c>
      <c r="Z53" s="256">
        <v>396029715671</v>
      </c>
      <c r="AA53" s="256">
        <v>51838941149</v>
      </c>
      <c r="AB53" s="256">
        <v>18461595147</v>
      </c>
      <c r="AC53" s="256">
        <v>465290385255</v>
      </c>
      <c r="AD53" s="256">
        <v>668411327527</v>
      </c>
      <c r="AE53" s="256">
        <v>2938261.25</v>
      </c>
      <c r="AF53" s="256">
        <v>275400454.45999998</v>
      </c>
      <c r="AG53" s="256">
        <v>9056933.4000000004</v>
      </c>
      <c r="AH53" s="256">
        <v>3199363.55</v>
      </c>
      <c r="AI53" s="256">
        <v>795358.26</v>
      </c>
      <c r="AJ53" s="256">
        <v>142435478.97999999</v>
      </c>
      <c r="AK53" s="256">
        <v>167349000000</v>
      </c>
      <c r="AL53" s="256">
        <v>277411000000</v>
      </c>
      <c r="AM53" s="792">
        <v>1099607100000</v>
      </c>
      <c r="AN53" s="256">
        <v>48564005593</v>
      </c>
      <c r="AO53" s="256">
        <v>467060675829</v>
      </c>
      <c r="AP53" s="256">
        <v>270811091200</v>
      </c>
      <c r="AQ53" s="792">
        <v>1338878500000</v>
      </c>
      <c r="AR53" s="256">
        <v>17685397124</v>
      </c>
      <c r="AS53" s="256">
        <v>85261577262</v>
      </c>
      <c r="AT53" s="256">
        <v>415573299476</v>
      </c>
      <c r="AU53" s="256">
        <v>43674693874</v>
      </c>
      <c r="AV53" s="792">
        <v>1051043100000</v>
      </c>
      <c r="AW53" s="256">
        <v>178564187506</v>
      </c>
      <c r="AX53" s="256">
        <v>167901396995</v>
      </c>
      <c r="AY53" s="256">
        <v>892462378083</v>
      </c>
      <c r="AZ53" s="256">
        <v>293921809837</v>
      </c>
      <c r="BA53" s="256">
        <v>17223607563</v>
      </c>
      <c r="BB53" s="256">
        <v>816574386.63999999</v>
      </c>
      <c r="BC53" s="256">
        <v>226714962038</v>
      </c>
      <c r="BD53" s="256">
        <v>309743590864</v>
      </c>
      <c r="BE53" s="256">
        <v>182639373.09999999</v>
      </c>
      <c r="BF53" s="256">
        <v>79798983856</v>
      </c>
      <c r="BG53" s="256">
        <v>62922285866</v>
      </c>
      <c r="BH53" s="256">
        <v>23891084624</v>
      </c>
      <c r="BI53" s="256">
        <v>78656803885</v>
      </c>
      <c r="BJ53" s="789">
        <v>54770962184</v>
      </c>
      <c r="BK53" s="256">
        <v>35344031730</v>
      </c>
      <c r="BL53" s="256">
        <v>28516216263</v>
      </c>
      <c r="BM53" s="256">
        <v>13550564546</v>
      </c>
      <c r="BN53" s="256">
        <v>0</v>
      </c>
      <c r="BO53" s="256">
        <v>107014909812</v>
      </c>
      <c r="BP53" s="256">
        <v>31927475798</v>
      </c>
      <c r="BQ53" s="256">
        <v>0</v>
      </c>
      <c r="BR53" s="256">
        <v>2698787.73</v>
      </c>
      <c r="BS53" s="256">
        <v>0</v>
      </c>
      <c r="BT53" s="256">
        <v>-7810137814</v>
      </c>
      <c r="BU53" s="256">
        <v>470385129497</v>
      </c>
      <c r="BV53" s="1012">
        <v>-163703500000</v>
      </c>
      <c r="BW53" s="1013"/>
      <c r="BX53" s="1013"/>
      <c r="BY53" s="1013"/>
      <c r="BZ53" s="1013"/>
      <c r="CA53" s="1013">
        <v>5411301219.6000004</v>
      </c>
      <c r="CB53" s="1013"/>
      <c r="CC53" s="1013"/>
      <c r="CD53" s="1013"/>
      <c r="CE53" s="1013"/>
      <c r="CF53" s="1255">
        <v>402299990553</v>
      </c>
      <c r="CG53" s="252"/>
      <c r="CH53" s="252"/>
      <c r="CK53" s="455"/>
      <c r="CL53" s="455"/>
      <c r="CM53" s="455"/>
      <c r="CN53" s="455"/>
      <c r="CO53" s="1017"/>
      <c r="CP53" s="1017"/>
      <c r="CS53" s="1013"/>
      <c r="CT53" s="1013"/>
    </row>
    <row r="54" spans="1:98" s="256" customFormat="1" ht="9.75" customHeight="1" x14ac:dyDescent="0.3">
      <c r="A54" s="256">
        <v>0</v>
      </c>
      <c r="B54" s="256">
        <v>297181</v>
      </c>
      <c r="C54" s="788">
        <v>2009</v>
      </c>
      <c r="D54" s="792">
        <v>7625250900000</v>
      </c>
      <c r="E54" s="792">
        <v>5706955000000</v>
      </c>
      <c r="F54" s="256">
        <v>172368954372</v>
      </c>
      <c r="G54" s="256">
        <v>163441512381</v>
      </c>
      <c r="H54" s="256">
        <v>172389448816</v>
      </c>
      <c r="I54" s="256">
        <v>0</v>
      </c>
      <c r="J54" s="256">
        <v>230733689469</v>
      </c>
      <c r="K54" s="256">
        <v>360637104.44999999</v>
      </c>
      <c r="L54" s="792">
        <v>1001850600000</v>
      </c>
      <c r="M54" s="256">
        <v>83537648534</v>
      </c>
      <c r="N54" s="256">
        <v>83537648534</v>
      </c>
      <c r="O54" s="256">
        <v>174649854710</v>
      </c>
      <c r="P54" s="256">
        <v>457087244623</v>
      </c>
      <c r="Q54" s="256">
        <v>112967157289</v>
      </c>
      <c r="R54" s="256">
        <v>244981726759</v>
      </c>
      <c r="S54" s="256">
        <v>344539872280</v>
      </c>
      <c r="T54" s="256">
        <v>-14095256676</v>
      </c>
      <c r="U54" s="256">
        <v>47022603555</v>
      </c>
      <c r="V54" s="256">
        <v>17382152088</v>
      </c>
      <c r="W54" s="256">
        <v>124079064926</v>
      </c>
      <c r="X54" s="256">
        <v>31305027439</v>
      </c>
      <c r="Y54" s="256">
        <v>30312980720</v>
      </c>
      <c r="Z54" s="256">
        <v>387318421597</v>
      </c>
      <c r="AA54" s="256">
        <v>50744177582</v>
      </c>
      <c r="AB54" s="256">
        <v>15345474557</v>
      </c>
      <c r="AC54" s="256">
        <v>230733689469</v>
      </c>
      <c r="AD54" s="256">
        <v>658498507884</v>
      </c>
      <c r="AE54" s="256">
        <v>2757667.11</v>
      </c>
      <c r="AF54" s="256">
        <v>276139867.56999999</v>
      </c>
      <c r="AG54" s="256">
        <v>7081692.4199999999</v>
      </c>
      <c r="AH54" s="256">
        <v>3161252.81</v>
      </c>
      <c r="AI54" s="256">
        <v>747825.55</v>
      </c>
      <c r="AJ54" s="256">
        <v>140489122.68000001</v>
      </c>
      <c r="AK54" s="256">
        <v>552898000000</v>
      </c>
      <c r="AL54" s="256">
        <v>222014000000</v>
      </c>
      <c r="AM54" s="256">
        <v>965057245044</v>
      </c>
      <c r="AN54" s="256">
        <v>47659048640</v>
      </c>
      <c r="AO54" s="256">
        <v>431982049500</v>
      </c>
      <c r="AP54" s="256">
        <v>236047461297</v>
      </c>
      <c r="AQ54" s="792">
        <v>1216201900000</v>
      </c>
      <c r="AR54" s="256">
        <v>15561521441</v>
      </c>
      <c r="AS54" s="256">
        <v>0</v>
      </c>
      <c r="AT54" s="256">
        <v>457087244623</v>
      </c>
      <c r="AU54" s="256">
        <v>83537648534</v>
      </c>
      <c r="AV54" s="256">
        <v>917398196404</v>
      </c>
      <c r="AW54" s="256">
        <v>180373066761</v>
      </c>
      <c r="AX54" s="256">
        <v>167778927978</v>
      </c>
      <c r="AY54" s="256">
        <v>873040069417</v>
      </c>
      <c r="AZ54" s="256">
        <v>344254114671</v>
      </c>
      <c r="BA54" s="256">
        <v>13541780999</v>
      </c>
      <c r="BB54" s="256">
        <v>768875696.97000003</v>
      </c>
      <c r="BC54" s="256">
        <v>205438634005</v>
      </c>
      <c r="BD54" s="256">
        <v>279604214273</v>
      </c>
      <c r="BE54" s="256">
        <v>182661010.50999999</v>
      </c>
      <c r="BF54" s="256">
        <v>73574103897</v>
      </c>
      <c r="BG54" s="256">
        <v>50083572543</v>
      </c>
      <c r="BH54" s="256">
        <v>24481571439</v>
      </c>
      <c r="BI54" s="256">
        <v>67791194933</v>
      </c>
      <c r="BJ54" s="789">
        <v>54515828807</v>
      </c>
      <c r="BK54" s="256">
        <v>34164278613</v>
      </c>
      <c r="BL54" s="256">
        <v>28505681677</v>
      </c>
      <c r="BM54" s="256">
        <v>13909146277</v>
      </c>
      <c r="BN54" s="256">
        <v>0</v>
      </c>
      <c r="BO54" s="256">
        <v>90200860556</v>
      </c>
      <c r="BP54" s="256">
        <v>30072220910</v>
      </c>
      <c r="BQ54" s="256">
        <v>0</v>
      </c>
      <c r="BR54" s="256">
        <v>2517415.9700000002</v>
      </c>
      <c r="BS54" s="256">
        <v>0</v>
      </c>
      <c r="BT54" s="256">
        <v>-18024412029</v>
      </c>
      <c r="BU54" s="256">
        <v>420785143735</v>
      </c>
      <c r="BV54" s="1012">
        <v>-198958500000</v>
      </c>
      <c r="BW54" s="1013"/>
      <c r="BX54" s="1013"/>
      <c r="BY54" s="1013"/>
      <c r="BZ54" s="1013"/>
      <c r="CA54" s="1013">
        <v>3163040883.5999999</v>
      </c>
      <c r="CB54" s="1013"/>
      <c r="CC54" s="1013"/>
      <c r="CD54" s="1013"/>
      <c r="CE54" s="1013"/>
      <c r="CF54" s="1255">
        <v>384903998630</v>
      </c>
      <c r="CG54" s="252"/>
      <c r="CH54" s="252"/>
      <c r="CK54" s="455"/>
      <c r="CL54" s="455"/>
      <c r="CM54" s="455"/>
      <c r="CN54" s="455"/>
      <c r="CO54" s="1017"/>
      <c r="CP54" s="1017"/>
      <c r="CS54" s="1013"/>
      <c r="CT54" s="1013"/>
    </row>
    <row r="55" spans="1:98" s="256" customFormat="1" ht="9.75" customHeight="1" x14ac:dyDescent="0.3">
      <c r="A55" s="256">
        <v>0</v>
      </c>
      <c r="B55" s="256">
        <v>310634</v>
      </c>
      <c r="C55" s="788">
        <v>2010</v>
      </c>
      <c r="D55" s="792">
        <v>8085858400000</v>
      </c>
      <c r="E55" s="792">
        <v>5837172900000</v>
      </c>
      <c r="F55" s="256">
        <v>143599613125</v>
      </c>
      <c r="G55" s="256">
        <v>183526554504</v>
      </c>
      <c r="H55" s="256">
        <v>193107135938</v>
      </c>
      <c r="I55" s="256">
        <v>0</v>
      </c>
      <c r="J55" s="256">
        <v>360725448003</v>
      </c>
      <c r="K55" s="256">
        <v>601335306.09000003</v>
      </c>
      <c r="L55" s="792">
        <v>1171750300000</v>
      </c>
      <c r="M55" s="256">
        <v>120249607861</v>
      </c>
      <c r="N55" s="256">
        <v>120249607861</v>
      </c>
      <c r="O55" s="256">
        <v>190745677759</v>
      </c>
      <c r="P55" s="256">
        <v>477855868085</v>
      </c>
      <c r="Q55" s="256">
        <v>119299048811</v>
      </c>
      <c r="R55" s="256">
        <v>267267467188</v>
      </c>
      <c r="S55" s="256">
        <v>394479833393</v>
      </c>
      <c r="T55" s="256">
        <v>-11732277619</v>
      </c>
      <c r="U55" s="256">
        <v>59909918384</v>
      </c>
      <c r="V55" s="256">
        <v>19692363850</v>
      </c>
      <c r="W55" s="256">
        <v>144540129988</v>
      </c>
      <c r="X55" s="256">
        <v>34628663463</v>
      </c>
      <c r="Y55" s="256">
        <v>27454416965</v>
      </c>
      <c r="Z55" s="256">
        <v>392165445614</v>
      </c>
      <c r="AA55" s="256">
        <v>51204555473</v>
      </c>
      <c r="AB55" s="256">
        <v>16086694465</v>
      </c>
      <c r="AC55" s="256">
        <v>360725448003</v>
      </c>
      <c r="AD55" s="256">
        <v>752858331157</v>
      </c>
      <c r="AE55" s="256">
        <v>2820808.48</v>
      </c>
      <c r="AF55" s="256">
        <v>278994884.95999998</v>
      </c>
      <c r="AG55" s="256">
        <v>6874209.8799999999</v>
      </c>
      <c r="AH55" s="256">
        <v>3274836.08</v>
      </c>
      <c r="AI55" s="256">
        <v>781948.03</v>
      </c>
      <c r="AJ55" s="256">
        <v>142886727.93000001</v>
      </c>
      <c r="AK55" s="256">
        <v>811899000000</v>
      </c>
      <c r="AL55" s="256">
        <v>291303000000</v>
      </c>
      <c r="AM55" s="792">
        <v>1051496200000</v>
      </c>
      <c r="AN55" s="256">
        <v>48339726613</v>
      </c>
      <c r="AO55" s="256">
        <v>445065869522</v>
      </c>
      <c r="AP55" s="256">
        <v>246206870572</v>
      </c>
      <c r="AQ55" s="792">
        <v>1216877800000</v>
      </c>
      <c r="AR55" s="256">
        <v>16463170731</v>
      </c>
      <c r="AS55" s="256">
        <v>0</v>
      </c>
      <c r="AT55" s="256">
        <v>477855868085</v>
      </c>
      <c r="AU55" s="256">
        <v>120249607861</v>
      </c>
      <c r="AV55" s="792">
        <v>1003156500000</v>
      </c>
      <c r="AW55" s="256">
        <v>182395828220</v>
      </c>
      <c r="AX55" s="256">
        <v>172197518139</v>
      </c>
      <c r="AY55" s="256">
        <v>883875173315</v>
      </c>
      <c r="AZ55" s="256">
        <v>396174522597</v>
      </c>
      <c r="BA55" s="256">
        <v>15779523246</v>
      </c>
      <c r="BB55" s="256">
        <v>820826897.77999997</v>
      </c>
      <c r="BC55" s="256">
        <v>235110767852</v>
      </c>
      <c r="BD55" s="256">
        <v>293873139942</v>
      </c>
      <c r="BE55" s="256">
        <v>185096250.87</v>
      </c>
      <c r="BF55" s="256">
        <v>75161664736</v>
      </c>
      <c r="BG55" s="256">
        <v>49744317996</v>
      </c>
      <c r="BH55" s="256">
        <v>25578750542</v>
      </c>
      <c r="BI55" s="256">
        <v>68995767114</v>
      </c>
      <c r="BJ55" s="789">
        <v>45949810037</v>
      </c>
      <c r="BK55" s="256">
        <v>31816919680</v>
      </c>
      <c r="BL55" s="256">
        <v>24652411071</v>
      </c>
      <c r="BM55" s="256">
        <v>13901320519</v>
      </c>
      <c r="BN55" s="256">
        <v>0</v>
      </c>
      <c r="BO55" s="256">
        <v>76546276968</v>
      </c>
      <c r="BP55" s="256">
        <v>30349603138</v>
      </c>
      <c r="BQ55" s="256">
        <v>0</v>
      </c>
      <c r="BR55" s="256">
        <v>2510016.15</v>
      </c>
      <c r="BS55" s="256">
        <v>0</v>
      </c>
      <c r="BT55" s="256">
        <v>-18076060307</v>
      </c>
      <c r="BU55" s="256">
        <v>393942970673</v>
      </c>
      <c r="BV55" s="1012">
        <v>-188804400000</v>
      </c>
      <c r="BW55" s="1013"/>
      <c r="BX55" s="1013"/>
      <c r="BY55" s="1013"/>
      <c r="BZ55" s="1013"/>
      <c r="CA55" s="1013">
        <v>2877037519.3000002</v>
      </c>
      <c r="CB55" s="1013"/>
      <c r="CC55" s="1013"/>
      <c r="CD55" s="1013"/>
      <c r="CE55" s="1013"/>
      <c r="CF55" s="1255">
        <v>454013734597</v>
      </c>
      <c r="CG55" s="252"/>
      <c r="CH55" s="252"/>
      <c r="CK55" s="455"/>
      <c r="CL55" s="455"/>
      <c r="CM55" s="455"/>
      <c r="CN55" s="455"/>
      <c r="CO55" s="1017"/>
      <c r="CP55" s="1017"/>
      <c r="CS55" s="1013"/>
      <c r="CT55" s="1013"/>
    </row>
    <row r="56" spans="1:98" s="256" customFormat="1" ht="9.75" customHeight="1" x14ac:dyDescent="0.3">
      <c r="A56" s="256">
        <v>0</v>
      </c>
      <c r="B56" s="256">
        <v>334829</v>
      </c>
      <c r="C56" s="788">
        <v>2011</v>
      </c>
      <c r="D56" s="792">
        <v>8373786100000</v>
      </c>
      <c r="E56" s="792">
        <v>6055067800000</v>
      </c>
      <c r="F56" s="256">
        <v>123766923906</v>
      </c>
      <c r="G56" s="256">
        <v>194598625381</v>
      </c>
      <c r="H56" s="256">
        <v>204479222506</v>
      </c>
      <c r="I56" s="256">
        <v>0</v>
      </c>
      <c r="J56" s="256">
        <v>375204469425</v>
      </c>
      <c r="K56" s="256">
        <v>1777581422.2</v>
      </c>
      <c r="L56" s="792">
        <v>1173935900000</v>
      </c>
      <c r="M56" s="256">
        <v>92369384761</v>
      </c>
      <c r="N56" s="256">
        <v>92369384761</v>
      </c>
      <c r="O56" s="256">
        <v>201612095543</v>
      </c>
      <c r="P56" s="256">
        <v>490667157624</v>
      </c>
      <c r="Q56" s="256">
        <v>124342385361</v>
      </c>
      <c r="R56" s="256">
        <v>282958297162</v>
      </c>
      <c r="S56" s="256">
        <v>425506831346</v>
      </c>
      <c r="T56" s="256">
        <v>-9602223308</v>
      </c>
      <c r="U56" s="256">
        <v>69239637694</v>
      </c>
      <c r="V56" s="256">
        <v>19607052386</v>
      </c>
      <c r="W56" s="256">
        <v>169074040425</v>
      </c>
      <c r="X56" s="256">
        <v>34051967509</v>
      </c>
      <c r="Y56" s="256">
        <v>27528818605</v>
      </c>
      <c r="Z56" s="256">
        <v>403765393922</v>
      </c>
      <c r="AA56" s="256">
        <v>46679206811</v>
      </c>
      <c r="AB56" s="256">
        <v>17573395841</v>
      </c>
      <c r="AC56" s="256">
        <v>375204469425</v>
      </c>
      <c r="AD56" s="256">
        <v>798485947638</v>
      </c>
      <c r="AE56" s="256">
        <v>2805681.41</v>
      </c>
      <c r="AF56" s="256">
        <v>280923262.05000001</v>
      </c>
      <c r="AG56" s="256">
        <v>7263125.8300000001</v>
      </c>
      <c r="AH56" s="256">
        <v>3697723.64</v>
      </c>
      <c r="AI56" s="256">
        <v>815521.16</v>
      </c>
      <c r="AJ56" s="256">
        <v>145359279.00999999</v>
      </c>
      <c r="AK56" s="256">
        <v>733860000000</v>
      </c>
      <c r="AL56" s="256">
        <v>303671000000</v>
      </c>
      <c r="AM56" s="792">
        <v>1106655600000</v>
      </c>
      <c r="AN56" s="256">
        <v>46280946817</v>
      </c>
      <c r="AO56" s="256">
        <v>465115022931</v>
      </c>
      <c r="AP56" s="256">
        <v>265986840159</v>
      </c>
      <c r="AQ56" s="792">
        <v>1218467600000</v>
      </c>
      <c r="AR56" s="256">
        <v>15977516905</v>
      </c>
      <c r="AS56" s="256">
        <v>0</v>
      </c>
      <c r="AT56" s="256">
        <v>490667157624</v>
      </c>
      <c r="AU56" s="256">
        <v>92369384761</v>
      </c>
      <c r="AV56" s="792">
        <v>1060374700000</v>
      </c>
      <c r="AW56" s="256">
        <v>183150665866</v>
      </c>
      <c r="AX56" s="256">
        <v>172949997919</v>
      </c>
      <c r="AY56" s="792">
        <v>798566131649</v>
      </c>
      <c r="AZ56" s="256">
        <v>444708736718</v>
      </c>
      <c r="BA56" s="256">
        <v>17020517793</v>
      </c>
      <c r="BB56" s="256">
        <v>838963944.37</v>
      </c>
      <c r="BC56" s="256">
        <v>254332320511</v>
      </c>
      <c r="BD56" s="256">
        <v>310729822169</v>
      </c>
      <c r="BE56" s="256">
        <v>186534553.40000001</v>
      </c>
      <c r="BF56" s="256">
        <v>72995369667</v>
      </c>
      <c r="BG56" s="256">
        <v>50124442335</v>
      </c>
      <c r="BH56" s="256">
        <v>29736506804</v>
      </c>
      <c r="BI56" s="256">
        <v>72834359177</v>
      </c>
      <c r="BJ56" s="789">
        <v>43761861933</v>
      </c>
      <c r="BK56" s="256">
        <v>37051866140</v>
      </c>
      <c r="BL56" s="256">
        <v>23078160935</v>
      </c>
      <c r="BM56" s="256">
        <v>15727422085</v>
      </c>
      <c r="BN56" s="256">
        <v>0</v>
      </c>
      <c r="BO56" s="256">
        <v>73010219092</v>
      </c>
      <c r="BP56" s="256">
        <v>30527684844</v>
      </c>
      <c r="BQ56" s="256">
        <v>0</v>
      </c>
      <c r="BR56" s="256">
        <v>2563438.9500000002</v>
      </c>
      <c r="BS56" s="256">
        <v>101924809824</v>
      </c>
      <c r="BT56" s="256">
        <v>-14450457621</v>
      </c>
      <c r="BU56" s="256">
        <v>364296045044</v>
      </c>
      <c r="BV56" s="1012">
        <v>-195685800000</v>
      </c>
      <c r="BW56" s="1013"/>
      <c r="BX56" s="1013"/>
      <c r="BY56" s="1013"/>
      <c r="BZ56" s="1013"/>
      <c r="CA56" s="1013">
        <v>4561267583.8000002</v>
      </c>
      <c r="CB56" s="1013"/>
      <c r="CC56" s="1013"/>
      <c r="CD56" s="1013"/>
      <c r="CE56" s="1013"/>
      <c r="CF56" s="1255">
        <v>495176309961</v>
      </c>
      <c r="CG56" s="252"/>
      <c r="CH56" s="252"/>
      <c r="CK56" s="455"/>
      <c r="CL56" s="455"/>
      <c r="CM56" s="455"/>
      <c r="CN56" s="455"/>
      <c r="CO56" s="1017"/>
      <c r="CP56" s="1017"/>
      <c r="CS56" s="1013"/>
      <c r="CT56" s="1013"/>
    </row>
    <row r="57" spans="1:98" s="256" customFormat="1" ht="9.75" customHeight="1" x14ac:dyDescent="0.3">
      <c r="A57" s="256">
        <v>0</v>
      </c>
      <c r="B57" s="256">
        <v>340367</v>
      </c>
      <c r="C57" s="963">
        <v>2012</v>
      </c>
      <c r="D57" s="792">
        <v>9099468600000</v>
      </c>
      <c r="E57" s="792">
        <v>6300924500000</v>
      </c>
      <c r="F57" s="256">
        <v>115443755005</v>
      </c>
      <c r="G57" s="256">
        <v>260386770848</v>
      </c>
      <c r="H57" s="256">
        <v>273947594373</v>
      </c>
      <c r="I57" s="256">
        <v>0</v>
      </c>
      <c r="J57" s="256">
        <v>620608089495</v>
      </c>
      <c r="K57" s="256">
        <v>2216530820.0999999</v>
      </c>
      <c r="L57" s="792">
        <v>1247228000000</v>
      </c>
      <c r="M57" s="256">
        <v>71230857695</v>
      </c>
      <c r="N57" s="256">
        <v>71230857695</v>
      </c>
      <c r="O57" s="256">
        <v>223565013967</v>
      </c>
      <c r="P57" s="256">
        <v>526471665173</v>
      </c>
      <c r="Q57" s="256">
        <v>134015992745</v>
      </c>
      <c r="R57" s="256">
        <v>304188728299</v>
      </c>
      <c r="S57" s="256">
        <v>535027818933</v>
      </c>
      <c r="T57" s="256">
        <v>-5531682421</v>
      </c>
      <c r="U57" s="256">
        <v>88941915563</v>
      </c>
      <c r="V57" s="256">
        <v>25182205682</v>
      </c>
      <c r="W57" s="256">
        <v>189054264801</v>
      </c>
      <c r="X57" s="256">
        <v>37414270914</v>
      </c>
      <c r="Y57" s="256">
        <v>27461414434</v>
      </c>
      <c r="Z57" s="256">
        <v>416901373235</v>
      </c>
      <c r="AA57" s="256">
        <v>46886630349</v>
      </c>
      <c r="AB57" s="256">
        <v>17809052695</v>
      </c>
      <c r="AC57" s="256">
        <v>620608089495</v>
      </c>
      <c r="AD57" s="256">
        <v>843239496095</v>
      </c>
      <c r="AE57" s="256">
        <v>2790742.42</v>
      </c>
      <c r="AF57" s="256">
        <v>280344731</v>
      </c>
      <c r="AG57" s="256">
        <v>7204718.2699999996</v>
      </c>
      <c r="AH57" s="256">
        <v>3703570.87</v>
      </c>
      <c r="AI57" s="256">
        <v>844709.9</v>
      </c>
      <c r="AJ57" s="256">
        <v>144912222.40000001</v>
      </c>
      <c r="AK57" s="256">
        <v>691162000000</v>
      </c>
      <c r="AL57" s="256">
        <v>359205000000</v>
      </c>
      <c r="AM57" s="792">
        <v>1250259100000</v>
      </c>
      <c r="AN57" s="256">
        <v>48772528819</v>
      </c>
      <c r="AO57" s="256">
        <v>483066595150</v>
      </c>
      <c r="AP57" s="256">
        <v>282956910214</v>
      </c>
      <c r="AQ57" s="792">
        <v>1238667400000</v>
      </c>
      <c r="AR57" s="256">
        <v>16539386801</v>
      </c>
      <c r="AS57" s="256">
        <v>0</v>
      </c>
      <c r="AT57" s="256">
        <v>526471665173</v>
      </c>
      <c r="AU57" s="256">
        <v>71230857695</v>
      </c>
      <c r="AV57" s="792">
        <v>1201486600000</v>
      </c>
      <c r="AW57" s="256">
        <v>183570298136</v>
      </c>
      <c r="AX57" s="256">
        <v>173299978146</v>
      </c>
      <c r="AY57" s="792">
        <v>824449657721</v>
      </c>
      <c r="AZ57" s="256">
        <v>467174726961</v>
      </c>
      <c r="BA57" s="256">
        <v>19738261378</v>
      </c>
      <c r="BB57" s="256">
        <v>858046041.94000006</v>
      </c>
      <c r="BC57" s="256">
        <v>321175527838</v>
      </c>
      <c r="BD57" s="256">
        <v>372407195488</v>
      </c>
      <c r="BE57" s="256">
        <v>186457539.53</v>
      </c>
      <c r="BF57" s="256">
        <v>71065280040</v>
      </c>
      <c r="BG57" s="256">
        <v>51122972518</v>
      </c>
      <c r="BH57" s="256">
        <v>29342628991</v>
      </c>
      <c r="BI57" s="256">
        <v>72977601372</v>
      </c>
      <c r="BJ57" s="789">
        <v>38908270640</v>
      </c>
      <c r="BK57" s="256">
        <v>33462584070</v>
      </c>
      <c r="BL57" s="256">
        <v>21046487383</v>
      </c>
      <c r="BM57" s="256">
        <v>15273345818</v>
      </c>
      <c r="BN57" s="256">
        <v>0</v>
      </c>
      <c r="BO57" s="256">
        <v>67464651891</v>
      </c>
      <c r="BP57" s="256">
        <v>32644265469</v>
      </c>
      <c r="BQ57" s="256">
        <v>0</v>
      </c>
      <c r="BR57" s="256">
        <v>2630499.92</v>
      </c>
      <c r="BS57" s="256">
        <v>105012247916</v>
      </c>
      <c r="BT57" s="256">
        <v>-9360208571</v>
      </c>
      <c r="BU57" s="256">
        <v>332589399888</v>
      </c>
      <c r="BV57" s="1012">
        <v>-193519900000</v>
      </c>
      <c r="BW57" s="1013"/>
      <c r="BX57" s="1013"/>
      <c r="BY57" s="1013"/>
      <c r="BZ57" s="1013"/>
      <c r="CA57" s="1013">
        <v>5743016773.5</v>
      </c>
      <c r="CB57" s="1013"/>
      <c r="CC57" s="1013"/>
      <c r="CD57" s="1013"/>
      <c r="CE57" s="1013"/>
      <c r="CF57" s="1255">
        <v>540904114055</v>
      </c>
      <c r="CG57" s="252"/>
      <c r="CH57" s="252"/>
      <c r="CK57" s="455"/>
      <c r="CL57" s="455"/>
      <c r="CM57" s="455"/>
      <c r="CN57" s="455"/>
      <c r="CO57" s="1017"/>
      <c r="CP57" s="1017"/>
      <c r="CS57" s="1013"/>
      <c r="CT57" s="1013"/>
    </row>
    <row r="58" spans="1:98" s="256" customFormat="1" ht="9.75" customHeight="1" x14ac:dyDescent="0.3">
      <c r="A58" s="256">
        <v>0</v>
      </c>
      <c r="B58" s="256">
        <v>333443</v>
      </c>
      <c r="C58" s="963">
        <v>2013</v>
      </c>
      <c r="D58" s="792">
        <v>9090554200000</v>
      </c>
      <c r="E58" s="792">
        <v>6473119900000</v>
      </c>
      <c r="F58" s="256">
        <v>104431412966</v>
      </c>
      <c r="G58" s="256">
        <v>214827935988</v>
      </c>
      <c r="H58" s="256">
        <v>227016375938</v>
      </c>
      <c r="I58" s="256">
        <v>0</v>
      </c>
      <c r="J58" s="256">
        <v>483153378239</v>
      </c>
      <c r="K58" s="256">
        <v>6206369185.3999996</v>
      </c>
      <c r="L58" s="792">
        <v>1308567800000</v>
      </c>
      <c r="M58" s="256">
        <v>51901784234</v>
      </c>
      <c r="N58" s="256">
        <v>51901784234</v>
      </c>
      <c r="O58" s="256">
        <v>243255444873</v>
      </c>
      <c r="P58" s="256">
        <v>553399363833</v>
      </c>
      <c r="Q58" s="256">
        <v>139851427529</v>
      </c>
      <c r="R58" s="256">
        <v>301960883520</v>
      </c>
      <c r="S58" s="256">
        <v>531517580558</v>
      </c>
      <c r="T58" s="256">
        <v>-7797512133</v>
      </c>
      <c r="U58" s="256">
        <v>94617532152</v>
      </c>
      <c r="V58" s="256">
        <v>24421439273</v>
      </c>
      <c r="W58" s="256">
        <v>188962523467</v>
      </c>
      <c r="X58" s="256">
        <v>37143576508</v>
      </c>
      <c r="Y58" s="256">
        <v>27847635821</v>
      </c>
      <c r="Z58" s="256">
        <v>431837214445</v>
      </c>
      <c r="AA58" s="256">
        <v>47905579677</v>
      </c>
      <c r="AB58" s="256">
        <v>18672768006</v>
      </c>
      <c r="AC58" s="256">
        <v>483153378239</v>
      </c>
      <c r="AD58" s="256">
        <v>852094531011</v>
      </c>
      <c r="AE58" s="256">
        <v>2767497.22</v>
      </c>
      <c r="AF58" s="256">
        <v>282946452.99000001</v>
      </c>
      <c r="AG58" s="256">
        <v>7403148.6299999999</v>
      </c>
      <c r="AH58" s="256">
        <v>3747355.86</v>
      </c>
      <c r="AI58" s="256">
        <v>821266.15</v>
      </c>
      <c r="AJ58" s="256">
        <v>147279219.46000001</v>
      </c>
      <c r="AK58" s="256">
        <v>635808000000</v>
      </c>
      <c r="AL58" s="256">
        <v>388058000000</v>
      </c>
      <c r="AM58" s="792">
        <v>1309842300000</v>
      </c>
      <c r="AN58" s="256">
        <v>55515116832</v>
      </c>
      <c r="AO58" s="256">
        <v>506119033172</v>
      </c>
      <c r="AP58" s="256">
        <v>304222956573</v>
      </c>
      <c r="AQ58" s="792">
        <v>1224803300000</v>
      </c>
      <c r="AR58" s="256">
        <v>16595238340</v>
      </c>
      <c r="AS58" s="256">
        <v>0</v>
      </c>
      <c r="AT58" s="256">
        <v>553399363833</v>
      </c>
      <c r="AU58" s="256">
        <v>51901784234</v>
      </c>
      <c r="AV58" s="792">
        <v>1254327200000</v>
      </c>
      <c r="AW58" s="256">
        <v>185300838259</v>
      </c>
      <c r="AX58" s="256">
        <v>174254642391</v>
      </c>
      <c r="AY58" s="792">
        <v>967095125398</v>
      </c>
      <c r="AZ58" s="256">
        <v>496115031403</v>
      </c>
      <c r="BA58" s="256">
        <v>20845997308</v>
      </c>
      <c r="BB58" s="256">
        <v>847894357.87</v>
      </c>
      <c r="BC58" s="256">
        <v>325694472410</v>
      </c>
      <c r="BD58" s="256">
        <v>378609507475</v>
      </c>
      <c r="BE58" s="256">
        <v>188802537.47</v>
      </c>
      <c r="BF58" s="256">
        <v>68092020712</v>
      </c>
      <c r="BG58" s="256">
        <v>52380073729</v>
      </c>
      <c r="BH58" s="256">
        <v>30308185495</v>
      </c>
      <c r="BI58" s="256">
        <v>75961269141</v>
      </c>
      <c r="BJ58" s="789">
        <v>37626689838</v>
      </c>
      <c r="BK58" s="256">
        <v>32419181350</v>
      </c>
      <c r="BL58" s="256">
        <v>20583870829</v>
      </c>
      <c r="BM58" s="256">
        <v>14414443401</v>
      </c>
      <c r="BN58" s="256">
        <v>0</v>
      </c>
      <c r="BO58" s="256">
        <v>69197215916</v>
      </c>
      <c r="BP58" s="256">
        <v>35371463505</v>
      </c>
      <c r="BQ58" s="256">
        <v>0</v>
      </c>
      <c r="BR58" s="256">
        <v>2785185.03</v>
      </c>
      <c r="BS58" s="256">
        <v>0</v>
      </c>
      <c r="BT58" s="256">
        <v>1050913376.6</v>
      </c>
      <c r="BU58" s="256">
        <v>296119703640</v>
      </c>
      <c r="BV58" s="1012">
        <v>-198557600000</v>
      </c>
      <c r="BW58" s="1013"/>
      <c r="BX58" s="1013"/>
      <c r="BY58" s="1013"/>
      <c r="BZ58" s="1013"/>
      <c r="CA58" s="1013">
        <v>4936295092.1999998</v>
      </c>
      <c r="CB58" s="1013"/>
      <c r="CC58" s="1013"/>
      <c r="CD58" s="1013"/>
      <c r="CE58" s="1013"/>
      <c r="CF58" s="1255">
        <v>563314737376</v>
      </c>
      <c r="CG58" s="252"/>
      <c r="CH58" s="252"/>
      <c r="CK58" s="455"/>
      <c r="CL58" s="455"/>
      <c r="CM58" s="455"/>
      <c r="CN58" s="455"/>
      <c r="CO58" s="1017"/>
      <c r="CP58" s="1017"/>
      <c r="CS58" s="1013"/>
      <c r="CT58" s="1013"/>
    </row>
    <row r="59" spans="1:98" s="256" customFormat="1" ht="9.75" customHeight="1" x14ac:dyDescent="0.3">
      <c r="A59" s="256">
        <v>0</v>
      </c>
      <c r="B59" s="256">
        <v>437264</v>
      </c>
      <c r="C59" s="963">
        <v>2014</v>
      </c>
      <c r="D59" s="792">
        <v>9761891000000</v>
      </c>
      <c r="E59" s="792">
        <v>6777338200000</v>
      </c>
      <c r="F59" s="256">
        <v>98590610229</v>
      </c>
      <c r="G59" s="256">
        <v>254521446336</v>
      </c>
      <c r="H59" s="256">
        <v>269268996671</v>
      </c>
      <c r="I59" s="256">
        <v>0</v>
      </c>
      <c r="J59" s="256">
        <v>686769273611</v>
      </c>
      <c r="K59" s="256">
        <v>11253722959</v>
      </c>
      <c r="L59" s="792">
        <v>1389174200000</v>
      </c>
      <c r="M59" s="256">
        <v>33254986964</v>
      </c>
      <c r="N59" s="256">
        <v>33254986964</v>
      </c>
      <c r="O59" s="256">
        <v>261108758354</v>
      </c>
      <c r="P59" s="256">
        <v>574915672803</v>
      </c>
      <c r="Q59" s="256">
        <v>145104487318</v>
      </c>
      <c r="R59" s="256">
        <v>317005653155</v>
      </c>
      <c r="S59" s="256">
        <v>583418630470</v>
      </c>
      <c r="T59" s="256">
        <v>-8249648835</v>
      </c>
      <c r="U59" s="256">
        <v>108803916569</v>
      </c>
      <c r="V59" s="256">
        <v>29784238929</v>
      </c>
      <c r="W59" s="256">
        <v>196013918363</v>
      </c>
      <c r="X59" s="256">
        <v>39143923267</v>
      </c>
      <c r="Y59" s="256">
        <v>30068259359</v>
      </c>
      <c r="Z59" s="256">
        <v>449707595984</v>
      </c>
      <c r="AA59" s="256">
        <v>48441416472</v>
      </c>
      <c r="AB59" s="256">
        <v>18820926889</v>
      </c>
      <c r="AC59" s="256">
        <v>686769273611</v>
      </c>
      <c r="AD59" s="256">
        <v>898078631383</v>
      </c>
      <c r="AE59" s="256">
        <v>2827449.22</v>
      </c>
      <c r="AF59" s="256">
        <v>283639365.52999997</v>
      </c>
      <c r="AG59" s="256">
        <v>7389811.5899999999</v>
      </c>
      <c r="AH59" s="256">
        <v>3801685.86</v>
      </c>
      <c r="AI59" s="256">
        <v>844351.72</v>
      </c>
      <c r="AJ59" s="256">
        <v>148472327.50999999</v>
      </c>
      <c r="AK59" s="256">
        <v>648893000000</v>
      </c>
      <c r="AL59" s="256">
        <v>408416000000</v>
      </c>
      <c r="AM59" s="792">
        <v>1458184800000</v>
      </c>
      <c r="AN59" s="256">
        <v>58424232511</v>
      </c>
      <c r="AO59" s="256">
        <v>519896117330</v>
      </c>
      <c r="AP59" s="256">
        <v>310913721904</v>
      </c>
      <c r="AQ59" s="792">
        <v>1250058400000</v>
      </c>
      <c r="AR59" s="256">
        <v>17068339372</v>
      </c>
      <c r="AS59" s="256">
        <v>0</v>
      </c>
      <c r="AT59" s="256">
        <v>574915672803</v>
      </c>
      <c r="AU59" s="256">
        <v>33254986964</v>
      </c>
      <c r="AV59" s="792">
        <v>1399760600000</v>
      </c>
      <c r="AW59" s="256">
        <v>191914056054</v>
      </c>
      <c r="AX59" s="256">
        <v>180811541148</v>
      </c>
      <c r="AY59" s="792">
        <v>1006280800000</v>
      </c>
      <c r="AZ59" s="256">
        <v>525599833607</v>
      </c>
      <c r="BA59" s="256">
        <v>22108936906</v>
      </c>
      <c r="BB59" s="256">
        <v>871899300.04999995</v>
      </c>
      <c r="BC59" s="256">
        <v>354416480250</v>
      </c>
      <c r="BD59" s="256">
        <v>406381485727</v>
      </c>
      <c r="BE59" s="256">
        <v>189954364.47</v>
      </c>
      <c r="BF59" s="256">
        <v>62456981712</v>
      </c>
      <c r="BG59" s="256">
        <v>54077831450</v>
      </c>
      <c r="BH59" s="256">
        <v>32123732465</v>
      </c>
      <c r="BI59" s="256">
        <v>79352295794</v>
      </c>
      <c r="BJ59" s="789">
        <v>38719760956</v>
      </c>
      <c r="BK59" s="256">
        <v>33103678220</v>
      </c>
      <c r="BL59" s="256">
        <v>21954030855</v>
      </c>
      <c r="BM59" s="256">
        <v>14971033319</v>
      </c>
      <c r="BN59" s="256">
        <v>0</v>
      </c>
      <c r="BO59" s="256">
        <v>69884491927</v>
      </c>
      <c r="BP59" s="256">
        <v>36418951231</v>
      </c>
      <c r="BQ59" s="256">
        <v>0</v>
      </c>
      <c r="BR59" s="256">
        <v>2910899.98</v>
      </c>
      <c r="BS59" s="256">
        <v>0</v>
      </c>
      <c r="BT59" s="256">
        <v>9033498289.7999992</v>
      </c>
      <c r="BU59" s="256">
        <v>286475416743</v>
      </c>
      <c r="BV59" s="1012">
        <v>-197477200000</v>
      </c>
      <c r="BW59" s="1013"/>
      <c r="BX59" s="1013"/>
      <c r="BY59" s="1013"/>
      <c r="BZ59" s="1013"/>
      <c r="CA59" s="1013">
        <v>5783995389.6999998</v>
      </c>
      <c r="CB59" s="1013"/>
      <c r="CC59" s="1013"/>
      <c r="CD59" s="1013"/>
      <c r="CE59" s="1013"/>
      <c r="CF59" s="1255">
        <v>603371753195</v>
      </c>
      <c r="CG59" s="252"/>
      <c r="CH59" s="252"/>
      <c r="CK59" s="455"/>
      <c r="CL59" s="455"/>
      <c r="CM59" s="455"/>
      <c r="CN59" s="455"/>
      <c r="CO59" s="1017"/>
      <c r="CP59" s="1017"/>
      <c r="CS59" s="1013"/>
      <c r="CT59" s="1013"/>
    </row>
    <row r="60" spans="1:98" s="256" customFormat="1" ht="9.75" customHeight="1" x14ac:dyDescent="0.3">
      <c r="A60" s="256">
        <v>0</v>
      </c>
      <c r="B60" s="256">
        <v>338577</v>
      </c>
      <c r="C60" s="963">
        <v>2015</v>
      </c>
      <c r="D60" s="792">
        <v>10200044000000</v>
      </c>
      <c r="E60" s="792">
        <v>7106259300000</v>
      </c>
      <c r="F60" s="256">
        <v>100206943090</v>
      </c>
      <c r="G60" s="256">
        <v>259762054739</v>
      </c>
      <c r="H60" s="256">
        <v>274323636547</v>
      </c>
      <c r="I60" s="256">
        <v>0</v>
      </c>
      <c r="J60" s="256">
        <v>693724433880</v>
      </c>
      <c r="K60" s="256">
        <v>11558479491</v>
      </c>
      <c r="L60" s="792">
        <v>1463439500000</v>
      </c>
      <c r="M60" s="256">
        <v>27215461364</v>
      </c>
      <c r="N60" s="256">
        <v>27215461364</v>
      </c>
      <c r="O60" s="256">
        <v>277297358112</v>
      </c>
      <c r="P60" s="256">
        <v>604974707667</v>
      </c>
      <c r="Q60" s="256">
        <v>149919714162</v>
      </c>
      <c r="R60" s="256">
        <v>331293769759</v>
      </c>
      <c r="S60" s="256">
        <v>627840982387</v>
      </c>
      <c r="T60" s="256">
        <v>-13952697758</v>
      </c>
      <c r="U60" s="256">
        <v>97150042548</v>
      </c>
      <c r="V60" s="256">
        <v>27357209851</v>
      </c>
      <c r="W60" s="256">
        <v>197315308943</v>
      </c>
      <c r="X60" s="256">
        <v>40058811347</v>
      </c>
      <c r="Y60" s="256">
        <v>31081964289</v>
      </c>
      <c r="Z60" s="256">
        <v>468878713511</v>
      </c>
      <c r="AA60" s="256">
        <v>49199463531</v>
      </c>
      <c r="AB60" s="256">
        <v>21491939501</v>
      </c>
      <c r="AC60" s="256">
        <v>693724433880</v>
      </c>
      <c r="AD60" s="256">
        <v>942739740084</v>
      </c>
      <c r="AE60" s="256">
        <v>2810653.78</v>
      </c>
      <c r="AF60" s="256">
        <v>294738977.04000002</v>
      </c>
      <c r="AG60" s="256">
        <v>7608660</v>
      </c>
      <c r="AH60" s="256">
        <v>3811630.92</v>
      </c>
      <c r="AI60" s="256">
        <v>894471.93</v>
      </c>
      <c r="AJ60" s="256">
        <v>150405349.06</v>
      </c>
      <c r="AK60" s="256">
        <v>570109000000</v>
      </c>
      <c r="AL60" s="256">
        <v>396972000000</v>
      </c>
      <c r="AM60" s="792">
        <v>1543417100000</v>
      </c>
      <c r="AN60" s="256">
        <v>60088172913</v>
      </c>
      <c r="AO60" s="256">
        <v>552302432329</v>
      </c>
      <c r="AP60" s="256">
        <v>334520413460</v>
      </c>
      <c r="AQ60" s="792">
        <v>1303385000000</v>
      </c>
      <c r="AR60" s="256">
        <v>17623500046</v>
      </c>
      <c r="AS60" s="256">
        <v>0</v>
      </c>
      <c r="AT60" s="256">
        <v>604974707667</v>
      </c>
      <c r="AU60" s="256">
        <v>27215461364</v>
      </c>
      <c r="AV60" s="792">
        <v>1483328900000</v>
      </c>
      <c r="AW60" s="256">
        <v>200158518823</v>
      </c>
      <c r="AX60" s="256">
        <v>188455217825</v>
      </c>
      <c r="AY60" s="792">
        <v>1047045100000</v>
      </c>
      <c r="AZ60" s="256">
        <v>566052788211</v>
      </c>
      <c r="BA60" s="256">
        <v>23145436597</v>
      </c>
      <c r="BB60" s="256">
        <v>913728661.14999998</v>
      </c>
      <c r="BC60" s="256">
        <v>393814403741</v>
      </c>
      <c r="BD60" s="256">
        <v>448484001608</v>
      </c>
      <c r="BE60" s="256">
        <v>191881986.24000001</v>
      </c>
      <c r="BF60" s="256">
        <v>61752224605</v>
      </c>
      <c r="BG60" s="256">
        <v>57323834857</v>
      </c>
      <c r="BH60" s="256">
        <v>34672516233</v>
      </c>
      <c r="BI60" s="256">
        <v>85386213375</v>
      </c>
      <c r="BJ60" s="789">
        <v>44271633033</v>
      </c>
      <c r="BK60" s="256">
        <v>32963697267</v>
      </c>
      <c r="BL60" s="256">
        <v>24278370372</v>
      </c>
      <c r="BM60" s="256">
        <v>15227798002</v>
      </c>
      <c r="BN60" s="256">
        <v>0</v>
      </c>
      <c r="BO60" s="256">
        <v>76964236583</v>
      </c>
      <c r="BP60" s="256">
        <v>37364699082</v>
      </c>
      <c r="BQ60" s="256">
        <v>0</v>
      </c>
      <c r="BR60" s="256">
        <v>2942394.69</v>
      </c>
      <c r="BS60" s="256">
        <v>0</v>
      </c>
      <c r="BT60" s="256">
        <v>11899663548</v>
      </c>
      <c r="BU60" s="256">
        <v>282784746170</v>
      </c>
      <c r="BV60" s="1012">
        <v>-203483700000</v>
      </c>
      <c r="BW60" s="1013"/>
      <c r="BX60" s="1013"/>
      <c r="BY60" s="1013"/>
      <c r="BZ60" s="1013"/>
      <c r="CA60" s="1013">
        <v>5948932093</v>
      </c>
      <c r="CB60" s="1013"/>
      <c r="CC60" s="1013"/>
      <c r="CD60" s="1013"/>
      <c r="CE60" s="1013">
        <v>83718315234</v>
      </c>
      <c r="CF60" s="1255">
        <v>645419423367</v>
      </c>
      <c r="CG60" s="252"/>
      <c r="CH60" s="252"/>
      <c r="CK60" s="455"/>
      <c r="CL60" s="455"/>
      <c r="CM60" s="455"/>
      <c r="CN60" s="455"/>
      <c r="CO60" s="1017"/>
      <c r="CP60" s="1017"/>
      <c r="CS60" s="1013"/>
      <c r="CT60" s="1013"/>
    </row>
    <row r="61" spans="1:98" x14ac:dyDescent="0.3">
      <c r="AV61" s="681"/>
      <c r="CF61" s="24"/>
      <c r="CG61" s="1281"/>
    </row>
    <row r="62" spans="1:98" x14ac:dyDescent="0.3">
      <c r="D62" s="1140"/>
      <c r="E62" s="1140"/>
      <c r="J62" s="1011"/>
      <c r="AV62" s="252"/>
      <c r="CF62" s="24"/>
      <c r="CG62" s="1281"/>
    </row>
    <row r="63" spans="1:98" x14ac:dyDescent="0.3">
      <c r="A63" s="988"/>
      <c r="D63" s="654"/>
      <c r="E63" s="654"/>
      <c r="F63" s="72"/>
      <c r="L63" s="72"/>
      <c r="Q63" s="72"/>
      <c r="R63" s="72"/>
      <c r="S63" s="72"/>
      <c r="T63" s="72"/>
      <c r="U63" s="72"/>
      <c r="X63" s="72"/>
      <c r="Y63" s="587"/>
      <c r="Z63" s="332"/>
      <c r="AM63" s="654"/>
      <c r="AQ63" s="654"/>
      <c r="AV63" s="252"/>
      <c r="AX63" s="252"/>
      <c r="BC63" s="24"/>
      <c r="BD63" s="24"/>
      <c r="BQ63" s="8"/>
      <c r="BR63" s="8"/>
      <c r="BS63" s="8"/>
      <c r="BT63" s="8"/>
      <c r="CF63" s="24"/>
      <c r="CG63" s="1281"/>
      <c r="CK63" s="24"/>
      <c r="CL63" s="24"/>
      <c r="CM63" s="24"/>
      <c r="CN63" s="24"/>
      <c r="CO63" s="24"/>
    </row>
    <row r="64" spans="1:98" x14ac:dyDescent="0.3">
      <c r="A64" t="s">
        <v>2072</v>
      </c>
      <c r="D64" s="654"/>
      <c r="E64" s="654"/>
      <c r="L64" s="654"/>
      <c r="AM64" s="654"/>
      <c r="AQ64" s="654"/>
      <c r="AV64" s="252"/>
      <c r="BC64" s="24"/>
      <c r="BD64" s="24"/>
      <c r="BF64" s="24"/>
      <c r="CF64" s="24"/>
      <c r="CG64" s="1281"/>
      <c r="CK64" s="24"/>
      <c r="CL64" s="24"/>
      <c r="CM64" s="24"/>
      <c r="CN64" s="24"/>
      <c r="CO64" s="24"/>
    </row>
    <row r="65" spans="1:94" s="75" customFormat="1" x14ac:dyDescent="0.3">
      <c r="A65" s="75" t="s">
        <v>940</v>
      </c>
      <c r="B65" s="75" t="s">
        <v>941</v>
      </c>
      <c r="C65" s="75" t="s">
        <v>461</v>
      </c>
      <c r="D65" s="75" t="s">
        <v>942</v>
      </c>
      <c r="E65" s="75" t="s">
        <v>943</v>
      </c>
      <c r="F65" s="75" t="s">
        <v>944</v>
      </c>
      <c r="G65" s="75" t="s">
        <v>945</v>
      </c>
      <c r="H65" s="75" t="s">
        <v>946</v>
      </c>
      <c r="I65" s="75" t="s">
        <v>947</v>
      </c>
      <c r="J65" s="75" t="s">
        <v>948</v>
      </c>
      <c r="K65" s="75" t="s">
        <v>949</v>
      </c>
      <c r="L65" s="75" t="s">
        <v>950</v>
      </c>
      <c r="M65" s="75" t="s">
        <v>951</v>
      </c>
      <c r="N65" s="75" t="s">
        <v>952</v>
      </c>
      <c r="O65" s="75" t="s">
        <v>953</v>
      </c>
      <c r="P65" s="75" t="s">
        <v>954</v>
      </c>
      <c r="Q65" s="75" t="s">
        <v>955</v>
      </c>
      <c r="R65" s="75" t="s">
        <v>956</v>
      </c>
      <c r="S65" s="75" t="s">
        <v>957</v>
      </c>
      <c r="T65" s="75" t="s">
        <v>958</v>
      </c>
      <c r="U65" s="75" t="s">
        <v>959</v>
      </c>
      <c r="V65" s="75" t="s">
        <v>960</v>
      </c>
      <c r="W65" s="75" t="s">
        <v>961</v>
      </c>
      <c r="X65" s="75" t="s">
        <v>962</v>
      </c>
      <c r="Y65" s="75" t="s">
        <v>963</v>
      </c>
      <c r="Z65" s="75" t="s">
        <v>964</v>
      </c>
      <c r="AA65" s="75" t="s">
        <v>965</v>
      </c>
      <c r="AB65" s="75" t="s">
        <v>966</v>
      </c>
      <c r="AC65" s="75" t="s">
        <v>967</v>
      </c>
      <c r="AD65" s="75" t="s">
        <v>968</v>
      </c>
      <c r="AE65" s="75" t="s">
        <v>969</v>
      </c>
      <c r="AF65" s="75" t="s">
        <v>970</v>
      </c>
      <c r="AG65" s="75" t="s">
        <v>971</v>
      </c>
      <c r="AH65" s="75" t="s">
        <v>972</v>
      </c>
      <c r="AI65" s="75" t="s">
        <v>973</v>
      </c>
      <c r="AJ65" s="75" t="s">
        <v>974</v>
      </c>
      <c r="AK65" s="75" t="s">
        <v>975</v>
      </c>
      <c r="AL65" s="75" t="s">
        <v>976</v>
      </c>
      <c r="AM65" s="75" t="s">
        <v>977</v>
      </c>
      <c r="AN65" s="75" t="s">
        <v>978</v>
      </c>
      <c r="AO65" s="75" t="s">
        <v>979</v>
      </c>
      <c r="AP65" s="75" t="s">
        <v>980</v>
      </c>
      <c r="AQ65" s="75" t="s">
        <v>981</v>
      </c>
      <c r="AR65" s="75" t="s">
        <v>982</v>
      </c>
      <c r="AS65" s="75" t="s">
        <v>983</v>
      </c>
      <c r="AT65" s="75" t="s">
        <v>984</v>
      </c>
      <c r="AU65" s="75" t="s">
        <v>985</v>
      </c>
      <c r="AV65" s="75" t="s">
        <v>986</v>
      </c>
      <c r="AW65" s="75" t="s">
        <v>987</v>
      </c>
      <c r="AX65" s="75" t="s">
        <v>988</v>
      </c>
      <c r="AY65" s="75" t="s">
        <v>989</v>
      </c>
      <c r="AZ65" s="75" t="s">
        <v>990</v>
      </c>
      <c r="BA65" s="75" t="s">
        <v>991</v>
      </c>
      <c r="BB65" s="75" t="s">
        <v>992</v>
      </c>
      <c r="BC65" s="495" t="s">
        <v>993</v>
      </c>
      <c r="BD65" s="495" t="s">
        <v>994</v>
      </c>
      <c r="BE65" s="75" t="s">
        <v>996</v>
      </c>
      <c r="BF65" s="495" t="s">
        <v>997</v>
      </c>
      <c r="BG65" s="75" t="s">
        <v>1033</v>
      </c>
      <c r="BH65" s="75" t="s">
        <v>1034</v>
      </c>
      <c r="BI65" s="75" t="s">
        <v>1036</v>
      </c>
      <c r="BJ65" s="75" t="s">
        <v>1037</v>
      </c>
      <c r="BK65" s="75" t="s">
        <v>1038</v>
      </c>
      <c r="BL65" s="75" t="s">
        <v>1039</v>
      </c>
      <c r="BM65" s="75" t="s">
        <v>1040</v>
      </c>
      <c r="BN65" s="75" t="s">
        <v>1041</v>
      </c>
      <c r="BO65" s="75" t="s">
        <v>1042</v>
      </c>
      <c r="BP65" s="75" t="s">
        <v>1055</v>
      </c>
      <c r="BQ65" s="495" t="s">
        <v>1139</v>
      </c>
      <c r="BR65" s="495" t="s">
        <v>1203</v>
      </c>
      <c r="BS65" s="495" t="s">
        <v>1282</v>
      </c>
      <c r="BT65" s="75" t="s">
        <v>1334</v>
      </c>
      <c r="BU65" s="75" t="s">
        <v>1474</v>
      </c>
      <c r="BV65" s="75" t="s">
        <v>1589</v>
      </c>
      <c r="BW65" s="75" t="s">
        <v>1590</v>
      </c>
      <c r="BX65" s="75" t="s">
        <v>1591</v>
      </c>
      <c r="BY65" s="75" t="s">
        <v>1592</v>
      </c>
      <c r="BZ65" s="75" t="s">
        <v>1595</v>
      </c>
      <c r="CA65" s="75" t="s">
        <v>1594</v>
      </c>
      <c r="CB65" s="75" t="s">
        <v>1598</v>
      </c>
      <c r="CC65" s="75" t="s">
        <v>1597</v>
      </c>
      <c r="CD65" s="75" t="s">
        <v>1596</v>
      </c>
      <c r="CE65" s="75" t="s">
        <v>1767</v>
      </c>
      <c r="CF65" s="75" t="s">
        <v>1920</v>
      </c>
      <c r="CK65" s="495"/>
      <c r="CL65" s="495"/>
      <c r="CM65" s="495"/>
      <c r="CN65" s="495"/>
      <c r="CO65" s="495"/>
    </row>
    <row r="66" spans="1:94" s="252" customFormat="1" ht="9.75" customHeight="1" x14ac:dyDescent="0.3">
      <c r="A66" s="960"/>
      <c r="B66" s="252">
        <v>97602</v>
      </c>
      <c r="C66" s="680">
        <v>1960</v>
      </c>
      <c r="D66" s="681">
        <v>314374242039</v>
      </c>
      <c r="E66" s="681">
        <v>257278308239</v>
      </c>
      <c r="F66" s="252">
        <v>1653300096.8</v>
      </c>
      <c r="G66" s="252">
        <v>9606238956.2000008</v>
      </c>
      <c r="H66" s="252">
        <v>10787053956</v>
      </c>
      <c r="I66" s="252">
        <v>368133525.17000002</v>
      </c>
      <c r="J66" s="252">
        <v>4976377424.1999998</v>
      </c>
      <c r="K66" s="252">
        <v>0</v>
      </c>
      <c r="L66" s="681">
        <v>2062961047.8</v>
      </c>
      <c r="M66" s="252">
        <v>0</v>
      </c>
      <c r="N66" s="252">
        <v>0</v>
      </c>
      <c r="O66" s="252">
        <v>0</v>
      </c>
      <c r="P66" s="252">
        <v>0</v>
      </c>
      <c r="Q66" s="252">
        <v>0</v>
      </c>
      <c r="R66" s="252">
        <v>20252926185</v>
      </c>
      <c r="S66" s="252">
        <v>8266500483.8999996</v>
      </c>
      <c r="T66" s="252">
        <v>1653300096.8</v>
      </c>
      <c r="U66" s="252">
        <v>2479950145.1999998</v>
      </c>
      <c r="V66" s="252">
        <v>0</v>
      </c>
      <c r="W66" s="252">
        <v>676080885.27999997</v>
      </c>
      <c r="X66" s="252">
        <v>3719925217.6999998</v>
      </c>
      <c r="Y66" s="252">
        <v>0</v>
      </c>
      <c r="Z66" s="252">
        <v>5336187099</v>
      </c>
      <c r="AA66" s="252">
        <v>3834181104.0999999</v>
      </c>
      <c r="AB66" s="252">
        <v>0</v>
      </c>
      <c r="AC66" s="252">
        <v>9952754848.2999992</v>
      </c>
      <c r="AD66" s="252">
        <v>2062961047.8</v>
      </c>
      <c r="AE66" s="252">
        <v>0</v>
      </c>
      <c r="AF66" s="252">
        <v>161290965.25</v>
      </c>
      <c r="AG66" s="252">
        <v>0</v>
      </c>
      <c r="AH66" s="252">
        <v>0</v>
      </c>
      <c r="AI66" s="252">
        <v>0</v>
      </c>
      <c r="AJ66" s="252">
        <v>55806022.530000001</v>
      </c>
      <c r="AK66" s="252">
        <v>18532000000</v>
      </c>
      <c r="AL66" s="252">
        <v>0</v>
      </c>
      <c r="AM66" s="681">
        <v>39280298616</v>
      </c>
      <c r="AN66" s="252">
        <v>0</v>
      </c>
      <c r="AO66" s="252">
        <v>9320989571.2999992</v>
      </c>
      <c r="AP66" s="252">
        <v>0</v>
      </c>
      <c r="AQ66" s="681">
        <v>0</v>
      </c>
      <c r="AR66" s="252">
        <v>2330247392.8000002</v>
      </c>
      <c r="AS66" s="252">
        <v>0</v>
      </c>
      <c r="AT66" s="252">
        <v>0</v>
      </c>
      <c r="AU66" s="252">
        <v>0</v>
      </c>
      <c r="AV66" s="681">
        <v>39280298616</v>
      </c>
      <c r="AW66" s="252">
        <v>4776363986.1999998</v>
      </c>
      <c r="AX66" s="252">
        <v>3582272989.6999998</v>
      </c>
      <c r="AY66" s="681">
        <v>14506555302</v>
      </c>
      <c r="AZ66" s="252">
        <v>8875985447.7000008</v>
      </c>
      <c r="BA66" s="252">
        <v>31424238.892999999</v>
      </c>
      <c r="BB66" s="252">
        <v>0</v>
      </c>
      <c r="BC66" s="252">
        <v>0</v>
      </c>
      <c r="BD66" s="252">
        <v>0</v>
      </c>
      <c r="BE66" s="252">
        <v>93255051.685000002</v>
      </c>
      <c r="BF66" s="682">
        <v>0</v>
      </c>
      <c r="BG66" s="252">
        <v>0</v>
      </c>
      <c r="BH66" s="252">
        <v>0</v>
      </c>
      <c r="BI66" s="252">
        <v>0</v>
      </c>
      <c r="BJ66" s="252">
        <v>0</v>
      </c>
      <c r="BK66" s="252">
        <v>0</v>
      </c>
      <c r="BL66" s="252">
        <v>0</v>
      </c>
      <c r="BM66" s="252">
        <v>0</v>
      </c>
      <c r="BN66" s="252">
        <v>0</v>
      </c>
      <c r="BO66" s="252">
        <v>111685991.55</v>
      </c>
      <c r="BP66" s="252">
        <v>0</v>
      </c>
      <c r="BQ66" s="682">
        <v>0</v>
      </c>
      <c r="BR66" s="682">
        <v>1657218.0222</v>
      </c>
      <c r="BS66" s="682" t="s">
        <v>574</v>
      </c>
      <c r="BT66" s="960">
        <v>-189768512.69999999</v>
      </c>
      <c r="BU66" s="960">
        <v>4954173325.6000004</v>
      </c>
      <c r="BV66" s="1014">
        <v>-1093202880</v>
      </c>
      <c r="BW66" s="313">
        <v>195610.40585000001</v>
      </c>
      <c r="BX66" s="313">
        <v>0</v>
      </c>
      <c r="BY66" s="313" t="s">
        <v>574</v>
      </c>
      <c r="BZ66" s="313" t="s">
        <v>574</v>
      </c>
      <c r="CA66" s="313" t="s">
        <v>574</v>
      </c>
      <c r="CB66" s="313">
        <v>210346850</v>
      </c>
      <c r="CC66" s="313">
        <v>420693700</v>
      </c>
      <c r="CD66" s="313">
        <v>210346850</v>
      </c>
      <c r="CE66" s="313"/>
      <c r="CF66" s="1255"/>
      <c r="CI66" s="871"/>
      <c r="CK66" s="682"/>
      <c r="CL66" s="682"/>
      <c r="CM66" s="1016"/>
      <c r="CN66" s="682"/>
      <c r="CO66" s="1019"/>
      <c r="CP66" s="252" t="s">
        <v>574</v>
      </c>
    </row>
    <row r="67" spans="1:94" s="252" customFormat="1" ht="9.75" customHeight="1" x14ac:dyDescent="0.3">
      <c r="C67" s="680"/>
      <c r="Z67" s="252">
        <v>5336187099</v>
      </c>
      <c r="AA67" s="252">
        <v>3834181104.0999999</v>
      </c>
      <c r="AY67" s="252">
        <v>14506555302</v>
      </c>
      <c r="BF67" s="682"/>
      <c r="BQ67" s="682"/>
      <c r="BR67" s="682"/>
      <c r="BS67" s="682"/>
      <c r="BT67" s="960"/>
      <c r="BU67" s="960"/>
      <c r="BV67" s="1014"/>
      <c r="BW67" s="313"/>
      <c r="BX67" s="313"/>
      <c r="BY67" s="313"/>
      <c r="BZ67" s="313"/>
      <c r="CA67" s="313"/>
      <c r="CB67" s="313"/>
      <c r="CC67" s="313"/>
      <c r="CD67" s="313"/>
      <c r="CE67" s="313"/>
      <c r="CF67" s="1255"/>
      <c r="CK67" s="682"/>
      <c r="CL67" s="682"/>
      <c r="CM67" s="1016"/>
      <c r="CN67" s="682"/>
      <c r="CO67" s="1019"/>
    </row>
    <row r="68" spans="1:94" s="252" customFormat="1" ht="9.75" customHeight="1" x14ac:dyDescent="0.3">
      <c r="A68" s="960"/>
      <c r="B68" s="252">
        <v>100040</v>
      </c>
      <c r="C68" s="680">
        <v>1962</v>
      </c>
      <c r="D68" s="252">
        <v>348081836426</v>
      </c>
      <c r="E68" s="252">
        <v>282140437318</v>
      </c>
      <c r="F68" s="252">
        <v>6895741365.8000002</v>
      </c>
      <c r="G68" s="252">
        <v>10893988030</v>
      </c>
      <c r="H68" s="252">
        <v>12228072388</v>
      </c>
      <c r="I68" s="252">
        <v>482705358.10000002</v>
      </c>
      <c r="J68" s="252">
        <v>5540181915.3999996</v>
      </c>
      <c r="K68" s="252">
        <v>0</v>
      </c>
      <c r="L68" s="252">
        <v>2230174065.8000002</v>
      </c>
      <c r="M68" s="252">
        <v>0</v>
      </c>
      <c r="N68" s="252">
        <v>0</v>
      </c>
      <c r="O68" s="252">
        <v>0</v>
      </c>
      <c r="P68" s="252">
        <v>0</v>
      </c>
      <c r="Q68" s="252">
        <v>0</v>
      </c>
      <c r="R68" s="252">
        <v>21626751713</v>
      </c>
      <c r="S68" s="252">
        <v>9801101309.1000004</v>
      </c>
      <c r="T68" s="252">
        <v>2402972412.5999999</v>
      </c>
      <c r="U68" s="252">
        <v>2515755467</v>
      </c>
      <c r="V68" s="252">
        <v>0</v>
      </c>
      <c r="W68" s="252">
        <v>486801871.17000002</v>
      </c>
      <c r="X68" s="252">
        <v>3773633200.5</v>
      </c>
      <c r="Y68" s="252">
        <v>0</v>
      </c>
      <c r="Z68" s="252">
        <v>6070870757.3000002</v>
      </c>
      <c r="AA68" s="252">
        <v>4527634528.6000004</v>
      </c>
      <c r="AB68" s="252">
        <v>0</v>
      </c>
      <c r="AC68" s="252">
        <v>9190975901</v>
      </c>
      <c r="AD68" s="252">
        <v>2230174065.8000002</v>
      </c>
      <c r="AE68" s="252">
        <v>0</v>
      </c>
      <c r="AF68" s="252">
        <v>161433957.43000001</v>
      </c>
      <c r="AG68" s="252">
        <v>0</v>
      </c>
      <c r="AH68" s="252">
        <v>0</v>
      </c>
      <c r="AI68" s="252">
        <v>0</v>
      </c>
      <c r="AJ68" s="252">
        <v>56976210.859999999</v>
      </c>
      <c r="AK68" s="252">
        <v>24921000000</v>
      </c>
      <c r="AL68" s="252">
        <v>23296000000</v>
      </c>
      <c r="AM68" s="252">
        <v>44087757689</v>
      </c>
      <c r="AN68" s="252">
        <v>871974247.00999999</v>
      </c>
      <c r="AO68" s="252">
        <v>11646514906</v>
      </c>
      <c r="AP68" s="252">
        <v>2234701469</v>
      </c>
      <c r="AQ68" s="252">
        <v>0</v>
      </c>
      <c r="AR68" s="252">
        <v>2665954230.4000001</v>
      </c>
      <c r="AS68" s="252">
        <v>0</v>
      </c>
      <c r="AT68" s="252">
        <v>0</v>
      </c>
      <c r="AU68" s="252">
        <v>0</v>
      </c>
      <c r="AV68" s="252">
        <v>43395887859</v>
      </c>
      <c r="AW68" s="252">
        <v>6780941362.1000004</v>
      </c>
      <c r="AX68" s="252">
        <v>5052965551.8000002</v>
      </c>
      <c r="AY68" s="252">
        <v>17541350290</v>
      </c>
      <c r="AZ68" s="252">
        <v>12110240125</v>
      </c>
      <c r="BA68" s="252">
        <v>41169088.234999999</v>
      </c>
      <c r="BB68" s="252">
        <v>0</v>
      </c>
      <c r="BC68" s="252">
        <v>0</v>
      </c>
      <c r="BD68" s="252">
        <v>0</v>
      </c>
      <c r="BE68" s="252">
        <v>93873615.319999993</v>
      </c>
      <c r="BF68" s="682">
        <v>0</v>
      </c>
      <c r="BG68" s="252">
        <v>0</v>
      </c>
      <c r="BH68" s="252">
        <v>0</v>
      </c>
      <c r="BI68" s="252">
        <v>0</v>
      </c>
      <c r="BJ68" s="252">
        <v>0</v>
      </c>
      <c r="BK68" s="252">
        <v>0</v>
      </c>
      <c r="BL68" s="252">
        <v>0</v>
      </c>
      <c r="BM68" s="252">
        <v>0</v>
      </c>
      <c r="BN68" s="252">
        <v>353196558.44999999</v>
      </c>
      <c r="BO68" s="252">
        <v>246877900.63999999</v>
      </c>
      <c r="BP68" s="252">
        <v>0</v>
      </c>
      <c r="BQ68" s="682">
        <v>9447904750.6000004</v>
      </c>
      <c r="BR68" s="682">
        <v>2843336.16</v>
      </c>
      <c r="BS68" s="682" t="s">
        <v>574</v>
      </c>
      <c r="BT68" s="960">
        <v>-193841997.69999999</v>
      </c>
      <c r="BU68" s="961">
        <v>6094530775.8999996</v>
      </c>
      <c r="BV68" s="1014">
        <v>-820622224.20000005</v>
      </c>
      <c r="BW68" s="313">
        <v>348683.5</v>
      </c>
      <c r="BX68" s="313">
        <v>0</v>
      </c>
      <c r="BY68" s="313" t="s">
        <v>574</v>
      </c>
      <c r="BZ68" s="313" t="s">
        <v>574</v>
      </c>
      <c r="CA68" s="313" t="s">
        <v>574</v>
      </c>
      <c r="CB68" s="313">
        <v>235049745.83000001</v>
      </c>
      <c r="CC68" s="313">
        <v>470099491.67000002</v>
      </c>
      <c r="CD68" s="313">
        <v>235049745.83000001</v>
      </c>
      <c r="CE68" s="313"/>
      <c r="CF68" s="1255"/>
      <c r="CI68" s="875"/>
      <c r="CK68" s="682"/>
      <c r="CL68" s="682"/>
      <c r="CM68" s="1016"/>
      <c r="CN68" s="682"/>
      <c r="CO68" s="1019"/>
      <c r="CP68" s="252" t="s">
        <v>574</v>
      </c>
    </row>
    <row r="69" spans="1:94" s="252" customFormat="1" ht="9.75" customHeight="1" x14ac:dyDescent="0.3">
      <c r="A69" s="960"/>
      <c r="C69" s="680"/>
      <c r="Z69" s="252">
        <v>6070870757.3000002</v>
      </c>
      <c r="AA69" s="252">
        <v>4527634528.6000004</v>
      </c>
      <c r="AY69" s="252">
        <v>17541350290</v>
      </c>
      <c r="BF69" s="682"/>
      <c r="BQ69" s="682"/>
      <c r="BR69" s="719"/>
      <c r="BS69" s="720"/>
      <c r="BT69" s="960"/>
      <c r="BU69" s="960"/>
      <c r="BV69" s="1014"/>
      <c r="BW69" s="313"/>
      <c r="BX69" s="313"/>
      <c r="BY69" s="313"/>
      <c r="BZ69" s="313"/>
      <c r="CA69" s="313"/>
      <c r="CB69" s="313"/>
      <c r="CC69" s="313"/>
      <c r="CD69" s="313"/>
      <c r="CE69" s="313"/>
      <c r="CK69" s="682"/>
      <c r="CL69" s="682"/>
      <c r="CM69" s="1016"/>
      <c r="CN69" s="682"/>
      <c r="CO69" s="1019"/>
    </row>
    <row r="70" spans="1:94" s="252" customFormat="1" ht="9.75" customHeight="1" x14ac:dyDescent="0.3">
      <c r="A70" s="960"/>
      <c r="B70" s="252">
        <v>91613</v>
      </c>
      <c r="C70" s="680">
        <v>1964</v>
      </c>
      <c r="D70" s="252">
        <v>375186391197</v>
      </c>
      <c r="E70" s="252">
        <v>316119950888</v>
      </c>
      <c r="F70" s="252">
        <v>9105623142</v>
      </c>
      <c r="G70" s="252">
        <v>10955458528</v>
      </c>
      <c r="H70" s="252">
        <v>12719134177</v>
      </c>
      <c r="I70" s="252">
        <v>800115649</v>
      </c>
      <c r="J70" s="252">
        <v>7223616419</v>
      </c>
      <c r="K70" s="252">
        <v>0</v>
      </c>
      <c r="L70" s="252">
        <v>2946270809</v>
      </c>
      <c r="M70" s="252">
        <v>0</v>
      </c>
      <c r="N70" s="252">
        <v>0</v>
      </c>
      <c r="O70" s="252">
        <v>0</v>
      </c>
      <c r="P70" s="252">
        <v>0</v>
      </c>
      <c r="Q70" s="252">
        <v>2800408792</v>
      </c>
      <c r="R70" s="252">
        <v>28721947986</v>
      </c>
      <c r="S70" s="252">
        <v>7318329987.3999996</v>
      </c>
      <c r="T70" s="252">
        <v>1877978448</v>
      </c>
      <c r="U70" s="252">
        <v>2853285049</v>
      </c>
      <c r="V70" s="252">
        <v>0</v>
      </c>
      <c r="W70" s="252">
        <v>793857819.20000005</v>
      </c>
      <c r="X70" s="252">
        <v>4075014219</v>
      </c>
      <c r="Y70" s="252">
        <v>0</v>
      </c>
      <c r="Z70" s="682">
        <v>8046650947.1000004</v>
      </c>
      <c r="AA70" s="682">
        <v>4184301183.6999998</v>
      </c>
      <c r="AB70" s="252">
        <v>0</v>
      </c>
      <c r="AC70" s="252">
        <v>12534955187</v>
      </c>
      <c r="AD70" s="252">
        <v>2946270809</v>
      </c>
      <c r="AE70" s="252">
        <v>0</v>
      </c>
      <c r="AF70" s="252">
        <v>164521398</v>
      </c>
      <c r="AG70" s="252">
        <v>0</v>
      </c>
      <c r="AH70" s="252">
        <v>0</v>
      </c>
      <c r="AI70" s="252">
        <v>0</v>
      </c>
      <c r="AJ70" s="252">
        <v>57942193</v>
      </c>
      <c r="AK70" s="252">
        <v>31359000000</v>
      </c>
      <c r="AL70" s="252">
        <v>26573000000</v>
      </c>
      <c r="AM70" s="252">
        <v>43364009212</v>
      </c>
      <c r="AN70" s="252">
        <v>790851622</v>
      </c>
      <c r="AO70" s="252">
        <v>11498395157</v>
      </c>
      <c r="AP70" s="252">
        <v>2629218092</v>
      </c>
      <c r="AQ70" s="252">
        <v>0</v>
      </c>
      <c r="AR70" s="252">
        <v>2451370910</v>
      </c>
      <c r="AS70" s="252">
        <v>0</v>
      </c>
      <c r="AT70" s="252">
        <v>0</v>
      </c>
      <c r="AU70" s="252">
        <v>0</v>
      </c>
      <c r="AV70" s="252">
        <v>42809976124</v>
      </c>
      <c r="AW70" s="252">
        <v>6417806155</v>
      </c>
      <c r="AX70" s="252">
        <v>5524763410</v>
      </c>
      <c r="AY70" s="252">
        <v>21068454700</v>
      </c>
      <c r="AZ70" s="252">
        <v>12260857895</v>
      </c>
      <c r="BA70" s="252">
        <v>50392662</v>
      </c>
      <c r="BB70" s="252">
        <v>0</v>
      </c>
      <c r="BC70" s="252">
        <v>0</v>
      </c>
      <c r="BD70" s="252">
        <v>0</v>
      </c>
      <c r="BE70" s="252">
        <v>95350924</v>
      </c>
      <c r="BF70" s="682">
        <v>0</v>
      </c>
      <c r="BG70" s="252">
        <v>0</v>
      </c>
      <c r="BH70" s="252">
        <v>0</v>
      </c>
      <c r="BI70" s="252">
        <v>0</v>
      </c>
      <c r="BJ70" s="252">
        <v>0</v>
      </c>
      <c r="BK70" s="252">
        <v>0</v>
      </c>
      <c r="BL70" s="252">
        <v>0</v>
      </c>
      <c r="BM70" s="252">
        <v>0</v>
      </c>
      <c r="BN70" s="252">
        <v>525238605.39999998</v>
      </c>
      <c r="BO70" s="252">
        <v>423012660.39999998</v>
      </c>
      <c r="BP70" s="252">
        <v>0</v>
      </c>
      <c r="BQ70" s="682">
        <v>2149765787</v>
      </c>
      <c r="BR70" s="719">
        <v>2269858</v>
      </c>
      <c r="BS70" s="720" t="s">
        <v>574</v>
      </c>
      <c r="BT70" s="960">
        <v>-133684245.2</v>
      </c>
      <c r="BU70" s="960">
        <v>6825766937.1999998</v>
      </c>
      <c r="BV70" s="1014">
        <v>-1315420587</v>
      </c>
      <c r="BW70" s="313">
        <v>394774</v>
      </c>
      <c r="BX70" s="313">
        <v>0</v>
      </c>
      <c r="BY70" s="313" t="s">
        <v>574</v>
      </c>
      <c r="BZ70" s="313" t="s">
        <v>574</v>
      </c>
      <c r="CA70" s="313" t="s">
        <v>574</v>
      </c>
      <c r="CB70" s="313">
        <v>262256770.83000001</v>
      </c>
      <c r="CC70" s="313">
        <v>524513541.67000002</v>
      </c>
      <c r="CD70" s="313">
        <v>262256770.83000001</v>
      </c>
      <c r="CE70" s="313"/>
      <c r="CF70" s="1255"/>
      <c r="CI70" s="875"/>
      <c r="CK70" s="682"/>
      <c r="CL70" s="682"/>
      <c r="CM70" s="1016"/>
      <c r="CN70" s="682"/>
      <c r="CO70" s="1019"/>
      <c r="CP70" s="252" t="s">
        <v>574</v>
      </c>
    </row>
    <row r="71" spans="1:94" s="252" customFormat="1" ht="9.75" customHeight="1" x14ac:dyDescent="0.3">
      <c r="C71" s="680"/>
      <c r="Z71" s="682">
        <v>8046650947.1000004</v>
      </c>
      <c r="AA71" s="682">
        <v>4184301183.6999998</v>
      </c>
      <c r="AY71" s="252">
        <v>21068454700</v>
      </c>
      <c r="BF71" s="682"/>
      <c r="BQ71" s="682"/>
      <c r="BR71" s="719"/>
      <c r="BS71" s="720"/>
      <c r="BT71" s="960"/>
      <c r="BU71" s="960"/>
      <c r="BV71" s="1014"/>
      <c r="BW71" s="313"/>
      <c r="BX71" s="313"/>
      <c r="BY71" s="313"/>
      <c r="BZ71" s="313"/>
      <c r="CA71" s="313"/>
      <c r="CB71" s="313"/>
      <c r="CC71" s="313"/>
      <c r="CD71" s="313"/>
      <c r="CE71" s="313"/>
      <c r="CK71" s="682"/>
      <c r="CL71" s="682"/>
      <c r="CM71" s="1016"/>
      <c r="CN71" s="682"/>
      <c r="CO71" s="1019"/>
    </row>
    <row r="72" spans="1:94" s="252" customFormat="1" ht="9.75" customHeight="1" x14ac:dyDescent="0.3">
      <c r="A72" s="960"/>
      <c r="B72" s="252">
        <v>84491</v>
      </c>
      <c r="C72" s="680">
        <v>1966</v>
      </c>
      <c r="D72" s="252">
        <v>468415892087</v>
      </c>
      <c r="E72" s="252">
        <v>379847812175</v>
      </c>
      <c r="F72" s="252">
        <v>13416938260</v>
      </c>
      <c r="G72" s="252">
        <v>13633276929</v>
      </c>
      <c r="H72" s="252">
        <v>17916760022</v>
      </c>
      <c r="I72" s="252">
        <v>1049123017.1</v>
      </c>
      <c r="J72" s="252">
        <v>9996691754</v>
      </c>
      <c r="K72" s="252">
        <v>0</v>
      </c>
      <c r="L72" s="252">
        <v>4676078812.5</v>
      </c>
      <c r="M72" s="252">
        <v>0</v>
      </c>
      <c r="N72" s="252">
        <v>0</v>
      </c>
      <c r="O72" s="252">
        <v>0</v>
      </c>
      <c r="P72" s="252">
        <v>0</v>
      </c>
      <c r="Q72" s="252">
        <v>3526050938.6999998</v>
      </c>
      <c r="R72" s="252">
        <v>29096230699</v>
      </c>
      <c r="S72" s="252">
        <v>13302341291</v>
      </c>
      <c r="T72" s="252">
        <v>3915895415.1999998</v>
      </c>
      <c r="U72" s="252">
        <v>5416861712.6000004</v>
      </c>
      <c r="V72" s="252">
        <v>1022093951.5</v>
      </c>
      <c r="W72" s="252">
        <v>571175282.60000002</v>
      </c>
      <c r="X72" s="252">
        <v>3320076616.6999998</v>
      </c>
      <c r="Y72" s="252">
        <v>0</v>
      </c>
      <c r="Z72" s="682">
        <v>11742066841</v>
      </c>
      <c r="AA72" s="682">
        <v>4493508523.3000002</v>
      </c>
      <c r="AB72" s="252">
        <v>0</v>
      </c>
      <c r="AC72" s="252">
        <v>21136901508</v>
      </c>
      <c r="AD72" s="252">
        <v>4676078812.5</v>
      </c>
      <c r="AE72" s="252">
        <v>0</v>
      </c>
      <c r="AF72" s="252">
        <v>175390929.28999999</v>
      </c>
      <c r="AG72" s="252">
        <v>0</v>
      </c>
      <c r="AH72" s="252">
        <v>0</v>
      </c>
      <c r="AI72" s="252">
        <v>0</v>
      </c>
      <c r="AJ72" s="252">
        <v>62530009.859999999</v>
      </c>
      <c r="AK72" s="252">
        <v>41571000000</v>
      </c>
      <c r="AL72" s="252">
        <v>32232000000</v>
      </c>
      <c r="AM72" s="252">
        <v>55239162044</v>
      </c>
      <c r="AN72" s="252">
        <v>1477554591.8</v>
      </c>
      <c r="AO72" s="252">
        <v>15661973721</v>
      </c>
      <c r="AP72" s="252">
        <v>4374874103</v>
      </c>
      <c r="AQ72" s="252">
        <v>0</v>
      </c>
      <c r="AR72" s="252">
        <v>3214282645</v>
      </c>
      <c r="AS72" s="252">
        <v>0</v>
      </c>
      <c r="AT72" s="252">
        <v>0</v>
      </c>
      <c r="AU72" s="252">
        <v>0</v>
      </c>
      <c r="AV72" s="252">
        <v>54689954384</v>
      </c>
      <c r="AW72" s="252">
        <v>8398166972.6000004</v>
      </c>
      <c r="AX72" s="252">
        <v>7336399273.6999998</v>
      </c>
      <c r="AY72" s="682">
        <v>29455196798</v>
      </c>
      <c r="AZ72" s="252">
        <v>15462656765</v>
      </c>
      <c r="BA72" s="252">
        <v>81391983.5</v>
      </c>
      <c r="BB72" s="252">
        <v>0</v>
      </c>
      <c r="BC72" s="252">
        <v>1581047507</v>
      </c>
      <c r="BD72" s="252">
        <v>1887004530.8</v>
      </c>
      <c r="BE72" s="252">
        <v>102432658.93000001</v>
      </c>
      <c r="BF72" s="682">
        <v>0</v>
      </c>
      <c r="BG72" s="252">
        <v>0</v>
      </c>
      <c r="BH72" s="252">
        <v>0</v>
      </c>
      <c r="BI72" s="252">
        <v>0</v>
      </c>
      <c r="BJ72" s="252">
        <v>0</v>
      </c>
      <c r="BK72" s="252">
        <v>0</v>
      </c>
      <c r="BL72" s="252">
        <v>0</v>
      </c>
      <c r="BM72" s="252">
        <v>0</v>
      </c>
      <c r="BN72" s="252">
        <v>945806138.98000002</v>
      </c>
      <c r="BO72" s="252">
        <v>736722986.45000005</v>
      </c>
      <c r="BP72" s="252">
        <v>0</v>
      </c>
      <c r="BQ72" s="682">
        <v>2958820822.3000002</v>
      </c>
      <c r="BR72" s="719">
        <v>2117317.56</v>
      </c>
      <c r="BS72" s="720" t="s">
        <v>574</v>
      </c>
      <c r="BT72" s="960">
        <v>-84940516.189999998</v>
      </c>
      <c r="BU72" s="960">
        <v>8207587927.8999996</v>
      </c>
      <c r="BV72" s="1014">
        <v>-1535984624</v>
      </c>
      <c r="BW72" s="313">
        <v>343360.37</v>
      </c>
      <c r="BX72" s="313">
        <v>0</v>
      </c>
      <c r="BY72" s="313" t="s">
        <v>574</v>
      </c>
      <c r="BZ72" s="313" t="s">
        <v>574</v>
      </c>
      <c r="CA72" s="313" t="s">
        <v>574</v>
      </c>
      <c r="CB72" s="313">
        <v>296028675</v>
      </c>
      <c r="CC72" s="313">
        <v>592057350</v>
      </c>
      <c r="CD72" s="313">
        <v>296028675</v>
      </c>
      <c r="CE72" s="313"/>
      <c r="CF72" s="1255"/>
      <c r="CI72" s="875"/>
      <c r="CK72" s="682"/>
      <c r="CL72" s="682"/>
      <c r="CM72" s="1016"/>
      <c r="CN72" s="682"/>
      <c r="CO72" s="1019"/>
      <c r="CP72" s="252" t="s">
        <v>574</v>
      </c>
    </row>
    <row r="73" spans="1:94" s="252" customFormat="1" ht="9.75" customHeight="1" x14ac:dyDescent="0.3">
      <c r="A73" s="960"/>
      <c r="B73" s="252">
        <v>85123</v>
      </c>
      <c r="C73" s="680">
        <v>1967</v>
      </c>
      <c r="D73" s="252">
        <v>504817867451</v>
      </c>
      <c r="E73" s="252">
        <v>411304524950</v>
      </c>
      <c r="F73" s="252">
        <v>15370085491</v>
      </c>
      <c r="G73" s="252">
        <v>14080913328</v>
      </c>
      <c r="H73" s="252">
        <v>18281988444</v>
      </c>
      <c r="I73" s="252">
        <v>1054942832.1</v>
      </c>
      <c r="J73" s="252">
        <v>13877301828</v>
      </c>
      <c r="K73" s="252">
        <v>0</v>
      </c>
      <c r="L73" s="252">
        <v>5080152153.1999998</v>
      </c>
      <c r="M73" s="252">
        <v>0</v>
      </c>
      <c r="N73" s="252">
        <v>0</v>
      </c>
      <c r="O73" s="252">
        <v>0</v>
      </c>
      <c r="P73" s="252">
        <v>0</v>
      </c>
      <c r="Q73" s="252">
        <v>4540072799.8000002</v>
      </c>
      <c r="R73" s="252">
        <v>26855374530</v>
      </c>
      <c r="S73" s="252">
        <v>14577535791</v>
      </c>
      <c r="T73" s="252">
        <v>3293227681.5</v>
      </c>
      <c r="U73" s="252">
        <v>5029200049.3000002</v>
      </c>
      <c r="V73" s="252">
        <v>1061344148.2</v>
      </c>
      <c r="W73" s="252">
        <v>719887130</v>
      </c>
      <c r="X73" s="252">
        <v>1549629000.4000001</v>
      </c>
      <c r="Y73" s="252">
        <v>0</v>
      </c>
      <c r="Z73" s="682">
        <v>12857302507</v>
      </c>
      <c r="AA73" s="682">
        <v>4670708114</v>
      </c>
      <c r="AB73" s="252">
        <v>0</v>
      </c>
      <c r="AC73" s="252">
        <v>28758750655</v>
      </c>
      <c r="AD73" s="252">
        <v>5080152153.1999998</v>
      </c>
      <c r="AE73" s="252">
        <v>0</v>
      </c>
      <c r="AF73" s="252">
        <v>180736320.91</v>
      </c>
      <c r="AG73" s="252">
        <v>0</v>
      </c>
      <c r="AH73" s="252">
        <v>0</v>
      </c>
      <c r="AI73" s="252">
        <v>0</v>
      </c>
      <c r="AJ73" s="252">
        <v>64134480.270000003</v>
      </c>
      <c r="AK73" s="252">
        <v>39457000000</v>
      </c>
      <c r="AL73" s="252">
        <v>30992000000</v>
      </c>
      <c r="AM73" s="252">
        <v>61860025866</v>
      </c>
      <c r="AN73" s="252">
        <v>1539248031.7</v>
      </c>
      <c r="AO73" s="252">
        <v>19080656484</v>
      </c>
      <c r="AP73" s="252">
        <v>0</v>
      </c>
      <c r="AQ73" s="252">
        <v>0</v>
      </c>
      <c r="AR73" s="252">
        <v>3243711602.1999998</v>
      </c>
      <c r="AS73" s="252">
        <v>0</v>
      </c>
      <c r="AT73" s="252">
        <v>0</v>
      </c>
      <c r="AU73" s="252">
        <v>0</v>
      </c>
      <c r="AV73" s="252">
        <v>61236277103</v>
      </c>
      <c r="AW73" s="252">
        <v>8210393640.1000004</v>
      </c>
      <c r="AX73" s="252">
        <v>7389354276.1000004</v>
      </c>
      <c r="AY73" s="252">
        <v>31924561160</v>
      </c>
      <c r="AZ73" s="252">
        <v>14981149411</v>
      </c>
      <c r="BA73" s="252">
        <v>93517059.180000007</v>
      </c>
      <c r="BB73" s="252">
        <v>0</v>
      </c>
      <c r="BC73" s="252">
        <v>1515009616</v>
      </c>
      <c r="BD73" s="252">
        <v>1994609938.4000001</v>
      </c>
      <c r="BE73" s="252">
        <v>104916449.37</v>
      </c>
      <c r="BF73" s="682">
        <v>0</v>
      </c>
      <c r="BG73" s="252">
        <v>0</v>
      </c>
      <c r="BH73" s="252">
        <v>0</v>
      </c>
      <c r="BI73" s="252">
        <v>0</v>
      </c>
      <c r="BJ73" s="252">
        <v>0</v>
      </c>
      <c r="BK73" s="252">
        <v>0</v>
      </c>
      <c r="BL73" s="252">
        <v>0</v>
      </c>
      <c r="BM73" s="252">
        <v>0</v>
      </c>
      <c r="BN73" s="252">
        <v>1103071890.7</v>
      </c>
      <c r="BO73" s="252">
        <v>922052035.75</v>
      </c>
      <c r="BP73" s="252">
        <v>0</v>
      </c>
      <c r="BQ73" s="682">
        <v>3792627273.8000002</v>
      </c>
      <c r="BR73" s="720">
        <v>1968207.54</v>
      </c>
      <c r="BS73" s="720" t="s">
        <v>574</v>
      </c>
      <c r="BT73" s="960">
        <v>12733280.52</v>
      </c>
      <c r="BU73" s="960">
        <v>8745300888.2999992</v>
      </c>
      <c r="BV73" s="1014">
        <v>-1900562648</v>
      </c>
      <c r="BW73" s="313">
        <v>339684.3</v>
      </c>
      <c r="BX73" s="313">
        <v>0</v>
      </c>
      <c r="BY73" s="313" t="s">
        <v>574</v>
      </c>
      <c r="BZ73" s="313" t="s">
        <v>574</v>
      </c>
      <c r="CA73" s="313" t="s">
        <v>574</v>
      </c>
      <c r="CB73" s="313">
        <v>316467783.32999998</v>
      </c>
      <c r="CC73" s="313">
        <v>632935566.66999996</v>
      </c>
      <c r="CD73" s="313">
        <v>316467783.32999998</v>
      </c>
      <c r="CE73" s="313"/>
      <c r="CF73" s="1255"/>
      <c r="CI73" s="875"/>
      <c r="CK73" s="682"/>
      <c r="CL73" s="682"/>
      <c r="CM73" s="1016"/>
      <c r="CN73" s="682"/>
      <c r="CO73" s="1019"/>
      <c r="CP73" s="252" t="s">
        <v>574</v>
      </c>
    </row>
    <row r="74" spans="1:94" s="252" customFormat="1" ht="9.75" customHeight="1" x14ac:dyDescent="0.3">
      <c r="A74" s="960"/>
      <c r="B74" s="252">
        <v>89515</v>
      </c>
      <c r="C74" s="680">
        <v>1968</v>
      </c>
      <c r="D74" s="252">
        <v>555543600007</v>
      </c>
      <c r="E74" s="252">
        <v>451619913251</v>
      </c>
      <c r="F74" s="252">
        <v>17187286403</v>
      </c>
      <c r="G74" s="252">
        <v>15826883278</v>
      </c>
      <c r="H74" s="252">
        <v>20056839042</v>
      </c>
      <c r="I74" s="252">
        <v>1104800888</v>
      </c>
      <c r="J74" s="252">
        <v>18055089249</v>
      </c>
      <c r="K74" s="252">
        <v>0</v>
      </c>
      <c r="L74" s="252">
        <v>7593341189</v>
      </c>
      <c r="M74" s="252">
        <v>0</v>
      </c>
      <c r="N74" s="252">
        <v>0</v>
      </c>
      <c r="O74" s="252">
        <v>0</v>
      </c>
      <c r="P74" s="252">
        <v>0</v>
      </c>
      <c r="Q74" s="252">
        <v>5106555570</v>
      </c>
      <c r="R74" s="252">
        <v>28523898774</v>
      </c>
      <c r="S74" s="252">
        <v>14787466197</v>
      </c>
      <c r="T74" s="252">
        <v>3073045111</v>
      </c>
      <c r="U74" s="252">
        <v>6331687503.3000002</v>
      </c>
      <c r="V74" s="252">
        <v>1098143055</v>
      </c>
      <c r="W74" s="252">
        <v>703785188</v>
      </c>
      <c r="X74" s="252">
        <v>2000145767</v>
      </c>
      <c r="Y74" s="252">
        <v>0</v>
      </c>
      <c r="Z74" s="682">
        <v>14707452746</v>
      </c>
      <c r="AA74" s="682">
        <v>4823305731.3000002</v>
      </c>
      <c r="AB74" s="252">
        <v>0</v>
      </c>
      <c r="AC74" s="252">
        <v>36974954498</v>
      </c>
      <c r="AD74" s="252">
        <v>7593341189</v>
      </c>
      <c r="AE74" s="252">
        <v>0</v>
      </c>
      <c r="AF74" s="252">
        <v>183320810</v>
      </c>
      <c r="AG74" s="252">
        <v>0</v>
      </c>
      <c r="AH74" s="252">
        <v>0</v>
      </c>
      <c r="AI74" s="252">
        <v>0</v>
      </c>
      <c r="AJ74" s="252">
        <v>65827124</v>
      </c>
      <c r="AK74" s="252">
        <v>38584000000</v>
      </c>
      <c r="AL74" s="252">
        <v>37164000000</v>
      </c>
      <c r="AM74" s="252">
        <v>75849829719</v>
      </c>
      <c r="AN74" s="252">
        <v>1699009136</v>
      </c>
      <c r="AO74" s="252">
        <v>21257884202</v>
      </c>
      <c r="AP74" s="252">
        <v>0</v>
      </c>
      <c r="AQ74" s="252">
        <v>0</v>
      </c>
      <c r="AR74" s="252">
        <v>3613840314.4000001</v>
      </c>
      <c r="AS74" s="252">
        <v>0</v>
      </c>
      <c r="AT74" s="252">
        <v>0</v>
      </c>
      <c r="AU74" s="252">
        <v>0</v>
      </c>
      <c r="AV74" s="252">
        <v>75053462606</v>
      </c>
      <c r="AW74" s="252">
        <v>9154197098</v>
      </c>
      <c r="AX74" s="252">
        <v>8238777388.1999998</v>
      </c>
      <c r="AY74" s="252">
        <v>35937220359</v>
      </c>
      <c r="AZ74" s="252">
        <v>15573983851</v>
      </c>
      <c r="BA74" s="252">
        <v>111923540</v>
      </c>
      <c r="BB74" s="252">
        <v>0</v>
      </c>
      <c r="BC74" s="252">
        <v>0</v>
      </c>
      <c r="BD74" s="252">
        <v>0</v>
      </c>
      <c r="BE74" s="252">
        <v>107171771</v>
      </c>
      <c r="BF74" s="682">
        <v>0</v>
      </c>
      <c r="BG74" s="252">
        <v>0</v>
      </c>
      <c r="BH74" s="252">
        <v>0</v>
      </c>
      <c r="BI74" s="252">
        <v>0</v>
      </c>
      <c r="BJ74" s="252">
        <v>0</v>
      </c>
      <c r="BK74" s="252">
        <v>0</v>
      </c>
      <c r="BL74" s="252">
        <v>0</v>
      </c>
      <c r="BM74" s="252">
        <v>0</v>
      </c>
      <c r="BN74" s="252">
        <v>1203320364.7</v>
      </c>
      <c r="BO74" s="252">
        <v>973064752.5</v>
      </c>
      <c r="BP74" s="252">
        <v>0</v>
      </c>
      <c r="BQ74" s="682">
        <v>3464200231.5</v>
      </c>
      <c r="BR74" s="719">
        <v>1976190</v>
      </c>
      <c r="BS74" s="720" t="s">
        <v>574</v>
      </c>
      <c r="BT74" s="960">
        <v>-262895505</v>
      </c>
      <c r="BU74" s="960">
        <v>9817399557</v>
      </c>
      <c r="BV74" s="1014">
        <v>-1894195428</v>
      </c>
      <c r="BW74" s="313">
        <v>341593</v>
      </c>
      <c r="BX74" s="313">
        <v>0</v>
      </c>
      <c r="BY74" s="313" t="s">
        <v>574</v>
      </c>
      <c r="BZ74" s="313" t="s">
        <v>574</v>
      </c>
      <c r="CA74" s="313" t="s">
        <v>574</v>
      </c>
      <c r="CB74" s="313">
        <v>341509075</v>
      </c>
      <c r="CC74" s="313">
        <v>683018150</v>
      </c>
      <c r="CD74" s="313">
        <v>341509075</v>
      </c>
      <c r="CE74" s="313"/>
      <c r="CF74" s="1255"/>
      <c r="CI74" s="875"/>
      <c r="CK74" s="682"/>
      <c r="CL74" s="682"/>
      <c r="CM74" s="1016"/>
      <c r="CN74" s="682"/>
      <c r="CO74" s="1019"/>
      <c r="CP74" s="252" t="s">
        <v>574</v>
      </c>
    </row>
    <row r="75" spans="1:94" s="252" customFormat="1" ht="9.75" customHeight="1" x14ac:dyDescent="0.3">
      <c r="A75" s="960"/>
      <c r="B75" s="252">
        <v>91641</v>
      </c>
      <c r="C75" s="680">
        <v>1969</v>
      </c>
      <c r="D75" s="252">
        <v>603206388476</v>
      </c>
      <c r="E75" s="252">
        <v>497150495122</v>
      </c>
      <c r="F75" s="252">
        <v>20112575332</v>
      </c>
      <c r="G75" s="252">
        <v>15824482413</v>
      </c>
      <c r="H75" s="252">
        <v>20352037507</v>
      </c>
      <c r="I75" s="252">
        <v>1154963731</v>
      </c>
      <c r="J75" s="252">
        <v>14569085035</v>
      </c>
      <c r="K75" s="252">
        <v>0</v>
      </c>
      <c r="L75" s="252">
        <v>8403708472</v>
      </c>
      <c r="M75" s="252">
        <v>0</v>
      </c>
      <c r="N75" s="252">
        <v>0</v>
      </c>
      <c r="O75" s="252">
        <v>0</v>
      </c>
      <c r="P75" s="252">
        <v>0</v>
      </c>
      <c r="Q75" s="252">
        <v>6526266665</v>
      </c>
      <c r="R75" s="252">
        <v>30043954196</v>
      </c>
      <c r="S75" s="252">
        <v>15538091518</v>
      </c>
      <c r="T75" s="252">
        <v>3552140195</v>
      </c>
      <c r="U75" s="252">
        <v>6271822689.3000002</v>
      </c>
      <c r="V75" s="252">
        <v>1475002290</v>
      </c>
      <c r="W75" s="252">
        <v>838445991.20000005</v>
      </c>
      <c r="X75" s="252">
        <v>1959380876</v>
      </c>
      <c r="Y75" s="252">
        <v>0</v>
      </c>
      <c r="Z75" s="682">
        <v>17312204621</v>
      </c>
      <c r="AA75" s="682">
        <v>4965584069.3999996</v>
      </c>
      <c r="AB75" s="252">
        <v>0</v>
      </c>
      <c r="AC75" s="252">
        <v>29863575070</v>
      </c>
      <c r="AD75" s="252">
        <v>8403708472</v>
      </c>
      <c r="AE75" s="252">
        <v>0</v>
      </c>
      <c r="AF75" s="252">
        <v>186620478</v>
      </c>
      <c r="AG75" s="252">
        <v>0</v>
      </c>
      <c r="AH75" s="252">
        <v>0</v>
      </c>
      <c r="AI75" s="252">
        <v>0</v>
      </c>
      <c r="AJ75" s="252">
        <v>67837038</v>
      </c>
      <c r="AK75" s="252">
        <v>34200000000</v>
      </c>
      <c r="AL75" s="252">
        <v>36958000000</v>
      </c>
      <c r="AM75" s="252">
        <v>85318139145</v>
      </c>
      <c r="AN75" s="252">
        <v>1873666554</v>
      </c>
      <c r="AO75" s="252">
        <v>23687411531</v>
      </c>
      <c r="AP75" s="252">
        <v>0</v>
      </c>
      <c r="AQ75" s="252">
        <v>0</v>
      </c>
      <c r="AR75" s="252">
        <v>4026859960.3000002</v>
      </c>
      <c r="AS75" s="252">
        <v>0</v>
      </c>
      <c r="AT75" s="252">
        <v>0</v>
      </c>
      <c r="AU75" s="252">
        <v>0</v>
      </c>
      <c r="AV75" s="252">
        <v>84332451848</v>
      </c>
      <c r="AW75" s="252">
        <v>10181169111</v>
      </c>
      <c r="AX75" s="252">
        <v>9163052199.6000004</v>
      </c>
      <c r="AY75" s="252">
        <v>41463659865</v>
      </c>
      <c r="AZ75" s="252">
        <v>16647821235</v>
      </c>
      <c r="BA75" s="252">
        <v>152974470</v>
      </c>
      <c r="BB75" s="252">
        <v>0</v>
      </c>
      <c r="BC75" s="252">
        <v>1798189740</v>
      </c>
      <c r="BD75" s="252">
        <v>2515227218</v>
      </c>
      <c r="BE75" s="252">
        <v>110308514</v>
      </c>
      <c r="BF75" s="682">
        <v>0</v>
      </c>
      <c r="BG75" s="252">
        <v>0</v>
      </c>
      <c r="BH75" s="252">
        <v>0</v>
      </c>
      <c r="BI75" s="252">
        <v>0</v>
      </c>
      <c r="BJ75" s="252">
        <v>0</v>
      </c>
      <c r="BK75" s="252">
        <v>0</v>
      </c>
      <c r="BL75" s="252">
        <v>0</v>
      </c>
      <c r="BM75" s="252">
        <v>0</v>
      </c>
      <c r="BN75" s="252">
        <v>1515690021.2</v>
      </c>
      <c r="BO75" s="252">
        <v>1233445445.5999999</v>
      </c>
      <c r="BP75" s="252">
        <v>0</v>
      </c>
      <c r="BQ75" s="682">
        <v>4894699998.8000002</v>
      </c>
      <c r="BR75" s="719">
        <v>1826496</v>
      </c>
      <c r="BS75" s="720" t="s">
        <v>574</v>
      </c>
      <c r="BT75" s="961">
        <v>-21370566</v>
      </c>
      <c r="BU75" s="961">
        <v>11350218025</v>
      </c>
      <c r="BV75" s="1014">
        <v>-2042536460</v>
      </c>
      <c r="BW75" s="313">
        <v>355311</v>
      </c>
      <c r="BX75" s="313">
        <v>0</v>
      </c>
      <c r="BY75" s="313" t="s">
        <v>574</v>
      </c>
      <c r="BZ75" s="313" t="s">
        <v>574</v>
      </c>
      <c r="CA75" s="313" t="s">
        <v>574</v>
      </c>
      <c r="CB75" s="313">
        <v>372573812.5</v>
      </c>
      <c r="CC75" s="313">
        <v>745147625</v>
      </c>
      <c r="CD75" s="313">
        <v>372573812.5</v>
      </c>
      <c r="CE75" s="313"/>
      <c r="CF75" s="1255"/>
      <c r="CI75" s="875"/>
      <c r="CK75" s="682"/>
      <c r="CL75" s="682"/>
      <c r="CM75" s="682"/>
      <c r="CN75" s="1016"/>
      <c r="CO75" s="1019"/>
      <c r="CP75" s="252" t="s">
        <v>574</v>
      </c>
    </row>
    <row r="76" spans="1:94" s="252" customFormat="1" ht="9.75" customHeight="1" x14ac:dyDescent="0.3">
      <c r="A76" s="960"/>
      <c r="B76" s="252">
        <v>93626</v>
      </c>
      <c r="C76" s="680">
        <v>1970</v>
      </c>
      <c r="D76" s="252">
        <v>631411398306</v>
      </c>
      <c r="E76" s="252">
        <v>531374527272</v>
      </c>
      <c r="F76" s="252">
        <v>23006778389</v>
      </c>
      <c r="G76" s="252">
        <v>15612387996</v>
      </c>
      <c r="H76" s="252">
        <v>20021628757</v>
      </c>
      <c r="I76" s="252">
        <v>1160792555</v>
      </c>
      <c r="J76" s="252">
        <v>9081688472</v>
      </c>
      <c r="K76" s="252">
        <v>0</v>
      </c>
      <c r="L76" s="252">
        <v>9241561416</v>
      </c>
      <c r="M76" s="252">
        <v>0</v>
      </c>
      <c r="N76" s="252">
        <v>0</v>
      </c>
      <c r="O76" s="252">
        <v>0</v>
      </c>
      <c r="P76" s="252">
        <v>0</v>
      </c>
      <c r="Q76" s="252">
        <v>7681938421</v>
      </c>
      <c r="R76" s="252">
        <v>30300291560</v>
      </c>
      <c r="S76" s="252">
        <v>14124689415</v>
      </c>
      <c r="T76" s="252">
        <v>2708081120</v>
      </c>
      <c r="U76" s="252">
        <v>5599278941.5</v>
      </c>
      <c r="V76" s="252">
        <v>1393514513</v>
      </c>
      <c r="W76" s="252">
        <v>831900736.79999995</v>
      </c>
      <c r="X76" s="252">
        <v>2226655963</v>
      </c>
      <c r="Y76" s="252">
        <v>0</v>
      </c>
      <c r="Z76" s="682">
        <v>17930059234</v>
      </c>
      <c r="AA76" s="682">
        <v>5377377696.1999998</v>
      </c>
      <c r="AB76" s="252">
        <v>0</v>
      </c>
      <c r="AC76" s="252">
        <v>18749410944</v>
      </c>
      <c r="AD76" s="252">
        <v>9241561416</v>
      </c>
      <c r="AE76" s="252">
        <v>0</v>
      </c>
      <c r="AF76" s="252">
        <v>181497991</v>
      </c>
      <c r="AG76" s="252">
        <v>0</v>
      </c>
      <c r="AH76" s="252">
        <v>0</v>
      </c>
      <c r="AI76" s="252">
        <v>0</v>
      </c>
      <c r="AJ76" s="252">
        <v>66547167</v>
      </c>
      <c r="AK76" s="252">
        <v>27180000000</v>
      </c>
      <c r="AL76" s="252">
        <v>31263000000</v>
      </c>
      <c r="AM76" s="252">
        <v>84849867701</v>
      </c>
      <c r="AN76" s="252">
        <v>1777572298</v>
      </c>
      <c r="AO76" s="252">
        <v>27401300529</v>
      </c>
      <c r="AP76" s="252">
        <v>0</v>
      </c>
      <c r="AQ76" s="252">
        <v>0</v>
      </c>
      <c r="AR76" s="252">
        <v>4658221090</v>
      </c>
      <c r="AS76" s="252">
        <v>0</v>
      </c>
      <c r="AT76" s="252">
        <v>0</v>
      </c>
      <c r="AU76" s="252">
        <v>0</v>
      </c>
      <c r="AV76" s="252">
        <v>83683395403</v>
      </c>
      <c r="AW76" s="252">
        <v>11556977422</v>
      </c>
      <c r="AX76" s="252">
        <v>10401279680</v>
      </c>
      <c r="AY76" s="252">
        <v>43015068463</v>
      </c>
      <c r="AZ76" s="252">
        <v>17920801586</v>
      </c>
      <c r="BA76" s="252">
        <v>135686114</v>
      </c>
      <c r="BB76" s="252">
        <v>0</v>
      </c>
      <c r="BC76" s="252">
        <v>1627547175</v>
      </c>
      <c r="BD76" s="252">
        <v>2520238918</v>
      </c>
      <c r="BE76" s="252">
        <v>108847874</v>
      </c>
      <c r="BF76" s="682">
        <v>0</v>
      </c>
      <c r="BG76" s="252">
        <v>0</v>
      </c>
      <c r="BH76" s="252">
        <v>0</v>
      </c>
      <c r="BI76" s="252">
        <v>0</v>
      </c>
      <c r="BJ76" s="252">
        <v>0</v>
      </c>
      <c r="BK76" s="252">
        <v>0</v>
      </c>
      <c r="BL76" s="252">
        <v>0</v>
      </c>
      <c r="BM76" s="252">
        <v>0</v>
      </c>
      <c r="BN76" s="252">
        <v>1952581037.5999999</v>
      </c>
      <c r="BO76" s="252">
        <v>1571212767</v>
      </c>
      <c r="BP76" s="252">
        <v>0</v>
      </c>
      <c r="BQ76" s="682">
        <v>5761453815.8000002</v>
      </c>
      <c r="BR76" s="719">
        <v>1496697</v>
      </c>
      <c r="BS76" s="720" t="s">
        <v>574</v>
      </c>
      <c r="BT76" s="961">
        <v>406475921</v>
      </c>
      <c r="BU76" s="961">
        <v>13122027905</v>
      </c>
      <c r="BV76" s="1014">
        <v>-2360479404</v>
      </c>
      <c r="BW76" s="313">
        <v>352129</v>
      </c>
      <c r="BX76" s="313">
        <v>0</v>
      </c>
      <c r="BY76" s="313" t="s">
        <v>574</v>
      </c>
      <c r="BZ76" s="313" t="s">
        <v>574</v>
      </c>
      <c r="CA76" s="313" t="s">
        <v>574</v>
      </c>
      <c r="CB76" s="313">
        <v>407022508.32999998</v>
      </c>
      <c r="CC76" s="313">
        <v>814045016.66999996</v>
      </c>
      <c r="CD76" s="313">
        <v>407022508.32999998</v>
      </c>
      <c r="CE76" s="313"/>
      <c r="CF76" s="1255"/>
      <c r="CG76" s="682"/>
      <c r="CH76" s="682"/>
      <c r="CI76" s="875"/>
      <c r="CK76" s="682"/>
      <c r="CL76" s="682"/>
      <c r="CM76" s="682"/>
      <c r="CN76" s="1016"/>
      <c r="CO76" s="1019"/>
      <c r="CP76" s="252" t="s">
        <v>574</v>
      </c>
    </row>
    <row r="77" spans="1:94" s="252" customFormat="1" ht="9.75" customHeight="1" x14ac:dyDescent="0.3">
      <c r="A77" s="960"/>
      <c r="B77" s="252">
        <v>97947</v>
      </c>
      <c r="C77" s="680">
        <v>1971</v>
      </c>
      <c r="D77" s="252">
        <v>672642773370</v>
      </c>
      <c r="E77" s="252">
        <v>565181339419</v>
      </c>
      <c r="F77" s="252">
        <v>24728014893</v>
      </c>
      <c r="G77" s="252">
        <v>15350626383</v>
      </c>
      <c r="H77" s="252">
        <v>20256331445</v>
      </c>
      <c r="I77" s="252">
        <v>1168444094</v>
      </c>
      <c r="J77" s="252">
        <v>12809008700</v>
      </c>
      <c r="K77" s="252">
        <v>185588385.31999999</v>
      </c>
      <c r="L77" s="252">
        <v>10928401507</v>
      </c>
      <c r="M77" s="252">
        <v>0</v>
      </c>
      <c r="N77" s="252">
        <v>0</v>
      </c>
      <c r="O77" s="252">
        <v>0</v>
      </c>
      <c r="P77" s="252">
        <v>0</v>
      </c>
      <c r="Q77" s="252">
        <v>8892383043</v>
      </c>
      <c r="R77" s="252">
        <v>31443098194</v>
      </c>
      <c r="S77" s="252">
        <v>14550072995</v>
      </c>
      <c r="T77" s="252">
        <v>2239763472</v>
      </c>
      <c r="U77" s="252">
        <v>6567604023.3999996</v>
      </c>
      <c r="V77" s="252">
        <v>1582503443</v>
      </c>
      <c r="W77" s="252">
        <v>963019281.60000002</v>
      </c>
      <c r="X77" s="252">
        <v>1613984625</v>
      </c>
      <c r="Y77" s="252">
        <v>539493373</v>
      </c>
      <c r="Z77" s="252">
        <v>20583271392</v>
      </c>
      <c r="AA77" s="252">
        <v>5438160307.5</v>
      </c>
      <c r="AB77" s="252">
        <v>0</v>
      </c>
      <c r="AC77" s="252">
        <v>26264220400</v>
      </c>
      <c r="AD77" s="252">
        <v>10928401507</v>
      </c>
      <c r="AE77" s="252">
        <v>0</v>
      </c>
      <c r="AF77" s="252">
        <v>186557124</v>
      </c>
      <c r="AG77" s="252">
        <v>0</v>
      </c>
      <c r="AH77" s="252">
        <v>0</v>
      </c>
      <c r="AI77" s="252">
        <v>0</v>
      </c>
      <c r="AJ77" s="252">
        <v>66831531</v>
      </c>
      <c r="AK77" s="252">
        <v>37455000000</v>
      </c>
      <c r="AL77" s="252">
        <v>34808000000</v>
      </c>
      <c r="AM77" s="252">
        <v>86397279541</v>
      </c>
      <c r="AN77" s="252">
        <v>1976007331</v>
      </c>
      <c r="AO77" s="252">
        <v>31719037494</v>
      </c>
      <c r="AP77" s="252">
        <v>0</v>
      </c>
      <c r="AQ77" s="252">
        <v>0</v>
      </c>
      <c r="AR77" s="252">
        <v>5392236373.8999996</v>
      </c>
      <c r="AS77" s="252">
        <v>0</v>
      </c>
      <c r="AT77" s="252">
        <v>0</v>
      </c>
      <c r="AU77" s="252">
        <v>0</v>
      </c>
      <c r="AV77" s="252">
        <v>85086197210</v>
      </c>
      <c r="AW77" s="252">
        <v>12952857814</v>
      </c>
      <c r="AX77" s="252">
        <v>11657572032</v>
      </c>
      <c r="AY77" s="252">
        <v>48580710423</v>
      </c>
      <c r="AZ77" s="252">
        <v>19833080739</v>
      </c>
      <c r="BA77" s="252">
        <v>199190293</v>
      </c>
      <c r="BB77" s="252">
        <v>0</v>
      </c>
      <c r="BC77" s="252">
        <v>1979221906</v>
      </c>
      <c r="BD77" s="252">
        <v>2869540817</v>
      </c>
      <c r="BE77" s="252">
        <v>109940351</v>
      </c>
      <c r="BF77" s="682">
        <v>0</v>
      </c>
      <c r="BG77" s="252">
        <v>0</v>
      </c>
      <c r="BH77" s="252">
        <v>0</v>
      </c>
      <c r="BI77" s="252">
        <v>0</v>
      </c>
      <c r="BJ77" s="252">
        <v>0</v>
      </c>
      <c r="BK77" s="252">
        <v>0</v>
      </c>
      <c r="BL77" s="252">
        <v>0</v>
      </c>
      <c r="BM77" s="252">
        <v>0</v>
      </c>
      <c r="BN77" s="252">
        <v>2280337372.3000002</v>
      </c>
      <c r="BO77" s="252">
        <v>1872508520.3</v>
      </c>
      <c r="BP77" s="252">
        <v>0</v>
      </c>
      <c r="BQ77" s="682">
        <v>6669287282.3000002</v>
      </c>
      <c r="BR77" s="719">
        <v>1352807</v>
      </c>
      <c r="BS77" s="720" t="s">
        <v>574</v>
      </c>
      <c r="BT77" s="961">
        <v>590388290</v>
      </c>
      <c r="BU77" s="961">
        <v>14537892185</v>
      </c>
      <c r="BV77" s="1014">
        <v>-2870810663</v>
      </c>
      <c r="BW77" s="313">
        <v>402925</v>
      </c>
      <c r="BX77" s="313">
        <v>0</v>
      </c>
      <c r="BY77" s="313" t="s">
        <v>574</v>
      </c>
      <c r="BZ77" s="313" t="s">
        <v>574</v>
      </c>
      <c r="CA77" s="313" t="s">
        <v>574</v>
      </c>
      <c r="CB77" s="313">
        <v>439070177</v>
      </c>
      <c r="CC77" s="313">
        <v>877122000</v>
      </c>
      <c r="CD77" s="313">
        <v>438051823</v>
      </c>
      <c r="CE77" s="313"/>
      <c r="CF77" s="1255"/>
      <c r="CG77" s="682"/>
      <c r="CH77" s="682"/>
      <c r="CI77" s="875"/>
      <c r="CK77" s="682"/>
      <c r="CL77" s="682"/>
      <c r="CM77" s="682"/>
      <c r="CN77" s="1016"/>
      <c r="CO77" s="1019"/>
      <c r="CP77" s="252" t="s">
        <v>574</v>
      </c>
    </row>
    <row r="78" spans="1:94" s="252" customFormat="1" ht="9.75" customHeight="1" x14ac:dyDescent="0.3">
      <c r="A78" s="960"/>
      <c r="B78" s="252">
        <v>104816</v>
      </c>
      <c r="C78" s="680">
        <v>1972</v>
      </c>
      <c r="D78" s="252">
        <v>746839830054</v>
      </c>
      <c r="E78" s="252">
        <v>621117865083</v>
      </c>
      <c r="F78" s="252">
        <v>28694171927</v>
      </c>
      <c r="G78" s="252">
        <v>16840716496</v>
      </c>
      <c r="H78" s="252">
        <v>22056556623</v>
      </c>
      <c r="I78" s="252">
        <v>1224610485</v>
      </c>
      <c r="J78" s="252">
        <v>17443324746</v>
      </c>
      <c r="K78" s="252">
        <v>288384832</v>
      </c>
      <c r="L78" s="252">
        <v>12887218334</v>
      </c>
      <c r="M78" s="252">
        <v>0</v>
      </c>
      <c r="N78" s="252">
        <v>0</v>
      </c>
      <c r="O78" s="252">
        <v>0</v>
      </c>
      <c r="P78" s="252">
        <v>0</v>
      </c>
      <c r="Q78" s="252">
        <v>9226085982</v>
      </c>
      <c r="R78" s="252">
        <v>34555688114</v>
      </c>
      <c r="S78" s="252">
        <v>16386293022</v>
      </c>
      <c r="T78" s="252">
        <v>4314809272</v>
      </c>
      <c r="U78" s="252">
        <v>7495968818.3999996</v>
      </c>
      <c r="V78" s="252">
        <v>1731984148</v>
      </c>
      <c r="W78" s="252">
        <v>1093995960</v>
      </c>
      <c r="X78" s="252">
        <v>1443219130</v>
      </c>
      <c r="Y78" s="252">
        <v>656344026</v>
      </c>
      <c r="Z78" s="252">
        <v>22642418071</v>
      </c>
      <c r="AA78" s="252">
        <v>7901475121.5</v>
      </c>
      <c r="AB78" s="252">
        <v>313698355</v>
      </c>
      <c r="AC78" s="252">
        <v>35593020492</v>
      </c>
      <c r="AD78" s="252">
        <v>12887218334</v>
      </c>
      <c r="AE78" s="252">
        <v>0</v>
      </c>
      <c r="AF78" s="252">
        <v>186910777</v>
      </c>
      <c r="AG78" s="252">
        <v>0</v>
      </c>
      <c r="AH78" s="252">
        <v>0</v>
      </c>
      <c r="AI78" s="252">
        <v>0</v>
      </c>
      <c r="AJ78" s="252">
        <v>69931641</v>
      </c>
      <c r="AK78" s="252">
        <v>48035000000</v>
      </c>
      <c r="AL78" s="252">
        <v>39110000000</v>
      </c>
      <c r="AM78" s="252">
        <v>95792260427</v>
      </c>
      <c r="AN78" s="252">
        <v>2284372843</v>
      </c>
      <c r="AO78" s="252">
        <v>33473699545</v>
      </c>
      <c r="AP78" s="252">
        <v>12884969473</v>
      </c>
      <c r="AQ78" s="252">
        <v>0</v>
      </c>
      <c r="AR78" s="252">
        <v>6393469943</v>
      </c>
      <c r="AS78" s="252">
        <v>0</v>
      </c>
      <c r="AT78" s="252">
        <v>0</v>
      </c>
      <c r="AU78" s="252">
        <v>0</v>
      </c>
      <c r="AV78" s="252">
        <v>94226637584</v>
      </c>
      <c r="AW78" s="252">
        <v>14692860129</v>
      </c>
      <c r="AX78" s="252">
        <v>13163358129</v>
      </c>
      <c r="AY78" s="252">
        <v>55470684107</v>
      </c>
      <c r="AZ78" s="252">
        <v>21638722987</v>
      </c>
      <c r="BA78" s="252">
        <v>222624878</v>
      </c>
      <c r="BB78" s="252">
        <v>0</v>
      </c>
      <c r="BC78" s="252">
        <v>3290612556</v>
      </c>
      <c r="BD78" s="252">
        <v>3290612556</v>
      </c>
      <c r="BE78" s="252">
        <v>112772573</v>
      </c>
      <c r="BF78" s="682">
        <v>0</v>
      </c>
      <c r="BG78" s="252">
        <v>0</v>
      </c>
      <c r="BH78" s="252">
        <v>0</v>
      </c>
      <c r="BI78" s="252">
        <v>0</v>
      </c>
      <c r="BJ78" s="252">
        <v>0</v>
      </c>
      <c r="BK78" s="252">
        <v>0</v>
      </c>
      <c r="BL78" s="252">
        <v>0</v>
      </c>
      <c r="BM78" s="252">
        <v>0</v>
      </c>
      <c r="BN78" s="252">
        <v>2506402500.4000001</v>
      </c>
      <c r="BO78" s="252">
        <v>2152607072.1999998</v>
      </c>
      <c r="BP78" s="252">
        <v>0</v>
      </c>
      <c r="BQ78" s="682">
        <v>6919564486.5</v>
      </c>
      <c r="BR78" s="719">
        <v>1823338</v>
      </c>
      <c r="BS78" s="720" t="s">
        <v>574</v>
      </c>
      <c r="BT78" s="960">
        <v>268052963</v>
      </c>
      <c r="BU78" s="960">
        <v>16367964927</v>
      </c>
      <c r="BV78" s="1014">
        <v>-2803925260</v>
      </c>
      <c r="BW78" s="313">
        <v>327283</v>
      </c>
      <c r="BX78" s="313">
        <v>0</v>
      </c>
      <c r="BY78" s="313" t="s">
        <v>574</v>
      </c>
      <c r="BZ78" s="313" t="s">
        <v>574</v>
      </c>
      <c r="CA78" s="313" t="s">
        <v>574</v>
      </c>
      <c r="CB78" s="313">
        <v>384523581</v>
      </c>
      <c r="CC78" s="313">
        <v>933566425</v>
      </c>
      <c r="CD78" s="313">
        <v>549042844</v>
      </c>
      <c r="CE78" s="313"/>
      <c r="CF78" s="1255"/>
      <c r="CI78" s="875"/>
      <c r="CK78" s="682"/>
      <c r="CL78" s="682"/>
      <c r="CM78" s="682"/>
      <c r="CN78" s="1016"/>
      <c r="CO78" s="1019"/>
      <c r="CP78" s="252" t="s">
        <v>574</v>
      </c>
    </row>
    <row r="79" spans="1:94" s="682" customFormat="1" ht="9.75" customHeight="1" x14ac:dyDescent="0.3">
      <c r="A79" s="960"/>
      <c r="B79" s="682">
        <v>110160</v>
      </c>
      <c r="C79" s="680">
        <v>1973</v>
      </c>
      <c r="D79" s="682">
        <v>827693865954</v>
      </c>
      <c r="E79" s="682">
        <v>687274839582</v>
      </c>
      <c r="F79" s="682">
        <v>33225173929</v>
      </c>
      <c r="G79" s="682">
        <v>18590902389</v>
      </c>
      <c r="H79" s="682">
        <v>24079922828</v>
      </c>
      <c r="I79" s="682">
        <v>1223267774</v>
      </c>
      <c r="J79" s="682">
        <v>17045831835</v>
      </c>
      <c r="K79" s="682">
        <v>385568482</v>
      </c>
      <c r="L79" s="682">
        <v>15588072479</v>
      </c>
      <c r="M79" s="682">
        <v>0</v>
      </c>
      <c r="N79" s="682">
        <v>0</v>
      </c>
      <c r="O79" s="682">
        <v>0</v>
      </c>
      <c r="P79" s="682">
        <v>0</v>
      </c>
      <c r="Q79" s="682">
        <v>10596869783</v>
      </c>
      <c r="R79" s="682">
        <v>37796983636</v>
      </c>
      <c r="S79" s="682">
        <v>16706460221</v>
      </c>
      <c r="T79" s="682">
        <v>7229275661</v>
      </c>
      <c r="U79" s="682">
        <v>8117286504.5</v>
      </c>
      <c r="V79" s="682">
        <v>1800878546</v>
      </c>
      <c r="W79" s="682">
        <v>1130558090.4000001</v>
      </c>
      <c r="X79" s="682">
        <v>3048980022</v>
      </c>
      <c r="Y79" s="682">
        <v>1000748324</v>
      </c>
      <c r="Z79" s="682">
        <v>30367304253</v>
      </c>
      <c r="AA79" s="682">
        <v>8328245212.8000002</v>
      </c>
      <c r="AB79" s="682">
        <v>314673591</v>
      </c>
      <c r="AC79" s="682">
        <v>34858203670</v>
      </c>
      <c r="AD79" s="682">
        <v>15588072479</v>
      </c>
      <c r="AE79" s="682">
        <v>0</v>
      </c>
      <c r="AF79" s="682">
        <v>190674399</v>
      </c>
      <c r="AG79" s="682">
        <v>0</v>
      </c>
      <c r="AH79" s="682">
        <v>0</v>
      </c>
      <c r="AI79" s="682">
        <v>0</v>
      </c>
      <c r="AJ79" s="682">
        <v>71732653</v>
      </c>
      <c r="AK79" s="682">
        <v>53510000000</v>
      </c>
      <c r="AL79" s="682">
        <v>45632000000</v>
      </c>
      <c r="AM79" s="682">
        <v>111124445149</v>
      </c>
      <c r="AN79" s="682">
        <v>2950763215</v>
      </c>
      <c r="AO79" s="682">
        <v>36469425524</v>
      </c>
      <c r="AP79" s="682">
        <v>14727174057</v>
      </c>
      <c r="AQ79" s="682">
        <v>0</v>
      </c>
      <c r="AR79" s="682">
        <v>7032397198</v>
      </c>
      <c r="AS79" s="682">
        <v>0</v>
      </c>
      <c r="AT79" s="682">
        <v>0</v>
      </c>
      <c r="AU79" s="682">
        <v>0</v>
      </c>
      <c r="AV79" s="682">
        <v>108946256934</v>
      </c>
      <c r="AW79" s="682">
        <v>15230904269</v>
      </c>
      <c r="AX79" s="682">
        <v>13715246253</v>
      </c>
      <c r="AY79" s="682">
        <v>72013616935</v>
      </c>
      <c r="AZ79" s="682">
        <v>21449815524</v>
      </c>
      <c r="BA79" s="682">
        <v>242279946</v>
      </c>
      <c r="BB79" s="682">
        <v>0</v>
      </c>
      <c r="BC79" s="682">
        <v>2110764420</v>
      </c>
      <c r="BD79" s="682">
        <v>3458265822</v>
      </c>
      <c r="BE79" s="682">
        <v>115220823</v>
      </c>
      <c r="BF79" s="682">
        <v>0</v>
      </c>
      <c r="BG79" s="682">
        <v>0</v>
      </c>
      <c r="BH79" s="682">
        <v>0</v>
      </c>
      <c r="BI79" s="682">
        <v>0</v>
      </c>
      <c r="BJ79" s="682">
        <v>0</v>
      </c>
      <c r="BK79" s="682">
        <v>0</v>
      </c>
      <c r="BL79" s="682">
        <v>0</v>
      </c>
      <c r="BM79" s="682">
        <v>0</v>
      </c>
      <c r="BN79" s="682">
        <v>3923730752.5999999</v>
      </c>
      <c r="BO79" s="682">
        <v>3298337999.8000002</v>
      </c>
      <c r="BP79" s="682">
        <v>0</v>
      </c>
      <c r="BQ79" s="682">
        <v>7095215004</v>
      </c>
      <c r="BR79" s="719">
        <v>1957916</v>
      </c>
      <c r="BS79" s="720" t="s">
        <v>574</v>
      </c>
      <c r="BT79" s="961">
        <v>339743376</v>
      </c>
      <c r="BU79" s="961">
        <v>19130224707</v>
      </c>
      <c r="BV79" s="1014">
        <v>-3534978332</v>
      </c>
      <c r="BW79" s="313">
        <v>381896</v>
      </c>
      <c r="BX79" s="313">
        <v>0</v>
      </c>
      <c r="BY79" s="313" t="s">
        <v>574</v>
      </c>
      <c r="BZ79" s="313" t="s">
        <v>574</v>
      </c>
      <c r="CA79" s="313" t="s">
        <v>574</v>
      </c>
      <c r="CB79" s="313">
        <v>315018724</v>
      </c>
      <c r="CC79" s="313">
        <v>866676047</v>
      </c>
      <c r="CD79" s="313">
        <v>551657323</v>
      </c>
      <c r="CE79" s="313" t="s">
        <v>574</v>
      </c>
      <c r="CF79" s="1255"/>
      <c r="CG79" s="252"/>
      <c r="CH79" s="252"/>
      <c r="CI79" s="875"/>
      <c r="CN79" s="1016"/>
      <c r="CO79" s="1019"/>
      <c r="CP79" s="682" t="s">
        <v>574</v>
      </c>
    </row>
    <row r="80" spans="1:94" s="682" customFormat="1" ht="9.75" customHeight="1" x14ac:dyDescent="0.3">
      <c r="A80" s="961"/>
      <c r="B80" s="682">
        <v>95893</v>
      </c>
      <c r="C80" s="680">
        <v>1974</v>
      </c>
      <c r="D80" s="682">
        <v>907900909710</v>
      </c>
      <c r="E80" s="682">
        <v>758757573934</v>
      </c>
      <c r="F80" s="682">
        <v>40566802559</v>
      </c>
      <c r="G80" s="682">
        <v>20737269227</v>
      </c>
      <c r="H80" s="682">
        <v>26874549663</v>
      </c>
      <c r="I80" s="682">
        <v>1305776098</v>
      </c>
      <c r="J80" s="682">
        <v>13383639191</v>
      </c>
      <c r="K80" s="682">
        <v>338472320</v>
      </c>
      <c r="L80" s="682">
        <v>19237450070</v>
      </c>
      <c r="M80" s="682">
        <v>0</v>
      </c>
      <c r="N80" s="682">
        <v>0</v>
      </c>
      <c r="O80" s="682">
        <v>0</v>
      </c>
      <c r="P80" s="682">
        <v>0</v>
      </c>
      <c r="Q80" s="682">
        <v>1333018412</v>
      </c>
      <c r="R80" s="682">
        <v>39588807128</v>
      </c>
      <c r="S80" s="682">
        <v>18882645062</v>
      </c>
      <c r="T80" s="682">
        <v>5335611791</v>
      </c>
      <c r="U80" s="682">
        <v>9787863543.8999996</v>
      </c>
      <c r="V80" s="682">
        <v>2051672801</v>
      </c>
      <c r="W80" s="682">
        <v>1426045472.8</v>
      </c>
      <c r="X80" s="682">
        <v>1606176843</v>
      </c>
      <c r="Y80" s="682">
        <v>1333018412</v>
      </c>
      <c r="Z80" s="682">
        <v>35508535463</v>
      </c>
      <c r="AA80" s="682">
        <v>8615324594.2000008</v>
      </c>
      <c r="AB80" s="682">
        <v>404468813</v>
      </c>
      <c r="AC80" s="682">
        <v>27593986382</v>
      </c>
      <c r="AD80" s="682">
        <v>19237450070</v>
      </c>
      <c r="AE80" s="682">
        <v>0</v>
      </c>
      <c r="AF80" s="682">
        <v>194562831</v>
      </c>
      <c r="AG80" s="682">
        <v>0</v>
      </c>
      <c r="AH80" s="682">
        <v>0</v>
      </c>
      <c r="AI80" s="682">
        <v>0</v>
      </c>
      <c r="AJ80" s="682">
        <v>73907852</v>
      </c>
      <c r="AK80" s="682">
        <v>39701000000</v>
      </c>
      <c r="AL80" s="682">
        <v>47235000000</v>
      </c>
      <c r="AM80" s="682">
        <v>127623124246</v>
      </c>
      <c r="AN80" s="682">
        <v>3279634075</v>
      </c>
      <c r="AO80" s="682">
        <v>38942760712</v>
      </c>
      <c r="AP80" s="682">
        <v>0</v>
      </c>
      <c r="AQ80" s="682">
        <v>0</v>
      </c>
      <c r="AR80" s="682">
        <v>6620269321</v>
      </c>
      <c r="AS80" s="682">
        <v>0</v>
      </c>
      <c r="AT80" s="682">
        <v>0</v>
      </c>
      <c r="AU80" s="682">
        <v>0</v>
      </c>
      <c r="AV80" s="682">
        <v>125169890171</v>
      </c>
      <c r="AW80" s="682">
        <v>17739655358</v>
      </c>
      <c r="AX80" s="682">
        <v>15965689822</v>
      </c>
      <c r="AY80" s="682">
        <v>82912029595</v>
      </c>
      <c r="AZ80" s="682">
        <v>24564648689</v>
      </c>
      <c r="BA80" s="682">
        <v>139904436</v>
      </c>
      <c r="BB80" s="682">
        <v>0</v>
      </c>
      <c r="BC80" s="682">
        <v>2712484806</v>
      </c>
      <c r="BD80" s="682">
        <v>4153707841</v>
      </c>
      <c r="BE80" s="682">
        <v>117920381</v>
      </c>
      <c r="BF80" s="682">
        <v>0</v>
      </c>
      <c r="BG80" s="682">
        <v>0</v>
      </c>
      <c r="BH80" s="682">
        <v>0</v>
      </c>
      <c r="BI80" s="682">
        <v>0</v>
      </c>
      <c r="BJ80" s="682">
        <v>0</v>
      </c>
      <c r="BK80" s="682">
        <v>0</v>
      </c>
      <c r="BL80" s="682">
        <v>0</v>
      </c>
      <c r="BM80" s="682">
        <v>0</v>
      </c>
      <c r="BN80" s="682">
        <v>4854085195.1999998</v>
      </c>
      <c r="BO80" s="682">
        <v>4108662981.3000002</v>
      </c>
      <c r="BP80" s="682">
        <v>0</v>
      </c>
      <c r="BQ80" s="682">
        <v>799811047.20000005</v>
      </c>
      <c r="BR80" s="719">
        <v>1688009</v>
      </c>
      <c r="BS80" s="720" t="s">
        <v>574</v>
      </c>
      <c r="BT80" s="961">
        <v>418640669</v>
      </c>
      <c r="BU80" s="961">
        <v>22178941971</v>
      </c>
      <c r="BV80" s="1014">
        <v>-5209772414</v>
      </c>
      <c r="BW80" s="313">
        <v>454392</v>
      </c>
      <c r="BX80" s="313">
        <v>0</v>
      </c>
      <c r="BY80" s="313" t="s">
        <v>574</v>
      </c>
      <c r="BZ80" s="313" t="s">
        <v>574</v>
      </c>
      <c r="CA80" s="313" t="s">
        <v>574</v>
      </c>
      <c r="CB80" s="313">
        <v>529332530.82999998</v>
      </c>
      <c r="CC80" s="313">
        <v>1167804020.8</v>
      </c>
      <c r="CD80" s="313">
        <v>638471490</v>
      </c>
      <c r="CE80" s="313"/>
      <c r="CF80" s="1255"/>
      <c r="CG80" s="252"/>
      <c r="CH80" s="252"/>
      <c r="CI80" s="875"/>
      <c r="CN80" s="1016"/>
      <c r="CO80" s="1019"/>
      <c r="CP80" s="682" t="s">
        <v>574</v>
      </c>
    </row>
    <row r="81" spans="1:94" s="682" customFormat="1" ht="9.75" customHeight="1" x14ac:dyDescent="0.3">
      <c r="A81" s="960"/>
      <c r="B81" s="682">
        <v>98226</v>
      </c>
      <c r="C81" s="680">
        <v>1975</v>
      </c>
      <c r="D81" s="682">
        <v>946380719021</v>
      </c>
      <c r="E81" s="682">
        <v>794470011051</v>
      </c>
      <c r="F81" s="682">
        <v>44715958005</v>
      </c>
      <c r="G81" s="682">
        <v>21385220311</v>
      </c>
      <c r="H81" s="682">
        <v>27878415186</v>
      </c>
      <c r="I81" s="682">
        <v>1334959269</v>
      </c>
      <c r="J81" s="682">
        <v>13836619053</v>
      </c>
      <c r="K81" s="682">
        <v>0</v>
      </c>
      <c r="L81" s="682">
        <v>23650031189</v>
      </c>
      <c r="M81" s="682">
        <v>0</v>
      </c>
      <c r="N81" s="682">
        <v>0</v>
      </c>
      <c r="O81" s="682">
        <v>0</v>
      </c>
      <c r="P81" s="682">
        <v>0</v>
      </c>
      <c r="Q81" s="682">
        <v>14746220541</v>
      </c>
      <c r="R81" s="682">
        <v>39163246657</v>
      </c>
      <c r="S81" s="682">
        <v>17529515939</v>
      </c>
      <c r="T81" s="682">
        <v>3676054814</v>
      </c>
      <c r="U81" s="682">
        <v>9964681009.6000004</v>
      </c>
      <c r="V81" s="682">
        <v>2507768929</v>
      </c>
      <c r="W81" s="682">
        <v>2163556928.8000002</v>
      </c>
      <c r="X81" s="682">
        <v>1038269128</v>
      </c>
      <c r="Y81" s="682">
        <v>1459847920</v>
      </c>
      <c r="Z81" s="682">
        <v>36584980700</v>
      </c>
      <c r="AA81" s="682">
        <v>9658049531.7999992</v>
      </c>
      <c r="AB81" s="682">
        <v>403798620</v>
      </c>
      <c r="AC81" s="682">
        <v>28816148106</v>
      </c>
      <c r="AD81" s="682">
        <v>23650031189</v>
      </c>
      <c r="AE81" s="682">
        <v>0</v>
      </c>
      <c r="AF81" s="682">
        <v>190518395</v>
      </c>
      <c r="AG81" s="682">
        <v>0</v>
      </c>
      <c r="AH81" s="682">
        <v>0</v>
      </c>
      <c r="AI81" s="682">
        <v>0</v>
      </c>
      <c r="AJ81" s="682">
        <v>72796927</v>
      </c>
      <c r="AK81" s="682">
        <v>54253000000</v>
      </c>
      <c r="AL81" s="682">
        <v>46264000000</v>
      </c>
      <c r="AM81" s="682">
        <v>127424345807</v>
      </c>
      <c r="AN81" s="682">
        <v>3304248998</v>
      </c>
      <c r="AO81" s="682">
        <v>40906925585</v>
      </c>
      <c r="AP81" s="682">
        <v>17264572201</v>
      </c>
      <c r="AQ81" s="682">
        <v>0</v>
      </c>
      <c r="AR81" s="682">
        <v>7353248638</v>
      </c>
      <c r="AS81" s="682">
        <v>0</v>
      </c>
      <c r="AT81" s="682">
        <v>0</v>
      </c>
      <c r="AU81" s="682">
        <v>0</v>
      </c>
      <c r="AV81" s="682">
        <v>124932321809</v>
      </c>
      <c r="AW81" s="682">
        <v>16859292746</v>
      </c>
      <c r="AX81" s="682">
        <v>15419041846</v>
      </c>
      <c r="AY81" s="682">
        <v>86132259930</v>
      </c>
      <c r="AZ81" s="682">
        <v>22488497322</v>
      </c>
      <c r="BA81" s="682">
        <v>370849699</v>
      </c>
      <c r="BB81" s="682">
        <v>0</v>
      </c>
      <c r="BC81" s="682">
        <v>1989923571</v>
      </c>
      <c r="BD81" s="682">
        <v>3781498160</v>
      </c>
      <c r="BE81" s="682">
        <v>116674284</v>
      </c>
      <c r="BF81" s="682">
        <v>0</v>
      </c>
      <c r="BG81" s="682">
        <v>0</v>
      </c>
      <c r="BH81" s="682">
        <v>0</v>
      </c>
      <c r="BI81" s="682">
        <v>0</v>
      </c>
      <c r="BJ81" s="682">
        <v>0</v>
      </c>
      <c r="BK81" s="682">
        <v>0</v>
      </c>
      <c r="BL81" s="682">
        <v>0</v>
      </c>
      <c r="BM81" s="682">
        <v>0</v>
      </c>
      <c r="BN81" s="682">
        <v>5046334380.8999996</v>
      </c>
      <c r="BO81" s="682">
        <v>4160587608.9000001</v>
      </c>
      <c r="BP81" s="682">
        <v>3093843817</v>
      </c>
      <c r="BQ81" s="682">
        <v>8109461311</v>
      </c>
      <c r="BR81" s="719">
        <v>1408410</v>
      </c>
      <c r="BS81" s="720" t="s">
        <v>574</v>
      </c>
      <c r="BT81" s="961">
        <v>-17227070</v>
      </c>
      <c r="BU81" s="961">
        <v>24013732558</v>
      </c>
      <c r="BV81" s="1014">
        <v>-6245323055</v>
      </c>
      <c r="BW81" s="313">
        <v>522798</v>
      </c>
      <c r="BX81" s="313">
        <v>0</v>
      </c>
      <c r="BY81" s="313" t="s">
        <v>574</v>
      </c>
      <c r="BZ81" s="313" t="s">
        <v>574</v>
      </c>
      <c r="CA81" s="313" t="s">
        <v>574</v>
      </c>
      <c r="CB81" s="313">
        <v>394908992</v>
      </c>
      <c r="CC81" s="313">
        <v>1102510419</v>
      </c>
      <c r="CD81" s="313">
        <v>707601427</v>
      </c>
      <c r="CE81" s="313"/>
      <c r="CF81" s="1255"/>
      <c r="CI81" s="875"/>
      <c r="CN81" s="1016"/>
      <c r="CO81" s="1019"/>
      <c r="CP81" s="682" t="s">
        <v>574</v>
      </c>
    </row>
    <row r="82" spans="1:94" s="682" customFormat="1" ht="9.75" customHeight="1" x14ac:dyDescent="0.3">
      <c r="A82" s="960"/>
      <c r="B82" s="682">
        <v>157946</v>
      </c>
      <c r="C82" s="680">
        <v>1976</v>
      </c>
      <c r="D82" s="684">
        <v>1051902800000</v>
      </c>
      <c r="E82" s="682">
        <v>879176793945</v>
      </c>
      <c r="F82" s="682">
        <v>50557301129</v>
      </c>
      <c r="G82" s="682">
        <v>24058910920</v>
      </c>
      <c r="H82" s="682">
        <v>30989453349</v>
      </c>
      <c r="I82" s="682">
        <v>1389263279.5999999</v>
      </c>
      <c r="J82" s="682">
        <v>18349256452</v>
      </c>
      <c r="K82" s="682">
        <v>293341436.60000002</v>
      </c>
      <c r="L82" s="682">
        <v>26663787246</v>
      </c>
      <c r="M82" s="682">
        <v>0</v>
      </c>
      <c r="N82" s="682">
        <v>0</v>
      </c>
      <c r="O82" s="682">
        <v>0</v>
      </c>
      <c r="P82" s="682">
        <v>0</v>
      </c>
      <c r="Q82" s="682">
        <v>15948842670</v>
      </c>
      <c r="R82" s="682">
        <v>44073815000</v>
      </c>
      <c r="S82" s="682">
        <v>18841678774</v>
      </c>
      <c r="T82" s="682">
        <v>3480010897.0999999</v>
      </c>
      <c r="U82" s="682">
        <v>10898019930</v>
      </c>
      <c r="V82" s="682">
        <v>2717835382.5</v>
      </c>
      <c r="W82" s="682">
        <v>2874889883.5</v>
      </c>
      <c r="X82" s="682">
        <v>-166071606</v>
      </c>
      <c r="Y82" s="682">
        <v>1645858743.0999999</v>
      </c>
      <c r="Z82" s="682">
        <v>41870176658</v>
      </c>
      <c r="AA82" s="682">
        <v>9937991429.1000004</v>
      </c>
      <c r="AB82" s="682">
        <v>456084883.94999999</v>
      </c>
      <c r="AC82" s="682">
        <v>42440016885</v>
      </c>
      <c r="AD82" s="682">
        <v>26663787246</v>
      </c>
      <c r="AE82" s="682">
        <v>0</v>
      </c>
      <c r="AF82" s="682">
        <v>193074887.87</v>
      </c>
      <c r="AG82" s="682">
        <v>0</v>
      </c>
      <c r="AH82" s="682">
        <v>0</v>
      </c>
      <c r="AI82" s="682">
        <v>0</v>
      </c>
      <c r="AJ82" s="682">
        <v>74605237.650000006</v>
      </c>
      <c r="AK82" s="682">
        <v>70036000000</v>
      </c>
      <c r="AL82" s="682">
        <v>59418000000</v>
      </c>
      <c r="AM82" s="682">
        <v>145096315028</v>
      </c>
      <c r="AN82" s="682">
        <v>3725927306.9000001</v>
      </c>
      <c r="AO82" s="682">
        <v>44544015644</v>
      </c>
      <c r="AP82" s="682">
        <v>0</v>
      </c>
      <c r="AQ82" s="682">
        <v>0</v>
      </c>
      <c r="AR82" s="682">
        <v>7572482659.3999996</v>
      </c>
      <c r="AS82" s="682">
        <v>0</v>
      </c>
      <c r="AT82" s="682">
        <v>0</v>
      </c>
      <c r="AU82" s="682">
        <v>0</v>
      </c>
      <c r="AV82" s="682">
        <v>142282717118</v>
      </c>
      <c r="AW82" s="682">
        <v>17633442815</v>
      </c>
      <c r="AX82" s="682">
        <v>15870098533</v>
      </c>
      <c r="AY82" s="682">
        <v>97404272051</v>
      </c>
      <c r="AZ82" s="682">
        <v>21577264879</v>
      </c>
      <c r="BA82" s="682">
        <v>185511172.96000001</v>
      </c>
      <c r="BB82" s="682">
        <v>0</v>
      </c>
      <c r="BC82" s="682">
        <v>1850742346.7</v>
      </c>
      <c r="BD82" s="682">
        <v>4007671440.5</v>
      </c>
      <c r="BE82" s="682">
        <v>118945634.41</v>
      </c>
      <c r="BF82" s="682">
        <v>0</v>
      </c>
      <c r="BG82" s="682">
        <v>0</v>
      </c>
      <c r="BH82" s="682">
        <v>0</v>
      </c>
      <c r="BI82" s="682">
        <v>0</v>
      </c>
      <c r="BJ82" s="682">
        <v>0</v>
      </c>
      <c r="BK82" s="682">
        <v>0</v>
      </c>
      <c r="BL82" s="682">
        <v>0</v>
      </c>
      <c r="BM82" s="682">
        <v>0</v>
      </c>
      <c r="BN82" s="682">
        <v>5336762246.6999998</v>
      </c>
      <c r="BO82" s="682">
        <v>4398912561.6999998</v>
      </c>
      <c r="BP82" s="682">
        <v>1960276832.5</v>
      </c>
      <c r="BQ82" s="682">
        <v>8393139502.3000002</v>
      </c>
      <c r="BR82" s="719">
        <v>1440330.3</v>
      </c>
      <c r="BS82" s="720" t="s">
        <v>574</v>
      </c>
      <c r="BT82" s="961">
        <v>154295064.56</v>
      </c>
      <c r="BU82" s="961">
        <v>27733537087</v>
      </c>
      <c r="BV82" s="1014">
        <v>-6732322099</v>
      </c>
      <c r="BW82" s="313">
        <v>467662.23</v>
      </c>
      <c r="BX82" s="313">
        <v>0</v>
      </c>
      <c r="BY82" s="313" t="s">
        <v>574</v>
      </c>
      <c r="BZ82" s="313" t="s">
        <v>574</v>
      </c>
      <c r="CA82" s="313" t="s">
        <v>574</v>
      </c>
      <c r="CB82" s="313">
        <v>484310270.36000001</v>
      </c>
      <c r="CC82" s="313">
        <v>1424849495.8</v>
      </c>
      <c r="CD82" s="313">
        <v>940539225.47000003</v>
      </c>
      <c r="CE82" s="313"/>
      <c r="CF82" s="1255"/>
      <c r="CG82" s="252"/>
      <c r="CH82" s="252"/>
      <c r="CI82" s="875"/>
      <c r="CN82" s="1016"/>
      <c r="CO82" s="1019"/>
      <c r="CP82" s="682" t="s">
        <v>574</v>
      </c>
    </row>
    <row r="83" spans="1:94" s="682" customFormat="1" ht="9.75" customHeight="1" x14ac:dyDescent="0.3">
      <c r="A83" s="960"/>
      <c r="B83" s="682">
        <v>151397</v>
      </c>
      <c r="C83" s="680">
        <v>1977</v>
      </c>
      <c r="D83" s="684">
        <v>1156593500000</v>
      </c>
      <c r="E83" s="682">
        <v>967543773731</v>
      </c>
      <c r="F83" s="682">
        <v>56983232636</v>
      </c>
      <c r="G83" s="682">
        <v>26550538112</v>
      </c>
      <c r="H83" s="682">
        <v>33715975325</v>
      </c>
      <c r="I83" s="682">
        <v>1420911884.5</v>
      </c>
      <c r="J83" s="682">
        <v>20604223802</v>
      </c>
      <c r="K83" s="682">
        <v>225892247.11000001</v>
      </c>
      <c r="L83" s="682">
        <v>33202544134</v>
      </c>
      <c r="M83" s="682">
        <v>0</v>
      </c>
      <c r="N83" s="682">
        <v>0</v>
      </c>
      <c r="O83" s="682">
        <v>0</v>
      </c>
      <c r="P83" s="682">
        <v>0</v>
      </c>
      <c r="Q83" s="682">
        <v>18922939653</v>
      </c>
      <c r="R83" s="682">
        <v>49022194568</v>
      </c>
      <c r="S83" s="682">
        <v>20482617229</v>
      </c>
      <c r="T83" s="682">
        <v>515114521.19999999</v>
      </c>
      <c r="U83" s="682">
        <v>10263120620</v>
      </c>
      <c r="V83" s="682">
        <v>2607006748.9000001</v>
      </c>
      <c r="W83" s="682">
        <v>3181483552.1999998</v>
      </c>
      <c r="X83" s="682">
        <v>-112121642</v>
      </c>
      <c r="Y83" s="682">
        <v>1933702824.9000001</v>
      </c>
      <c r="Z83" s="682">
        <v>46675551976</v>
      </c>
      <c r="AA83" s="682">
        <v>10180150243</v>
      </c>
      <c r="AB83" s="682">
        <v>450491207.04000002</v>
      </c>
      <c r="AC83" s="682">
        <v>42983759603</v>
      </c>
      <c r="AD83" s="682">
        <v>33202544134</v>
      </c>
      <c r="AE83" s="682">
        <v>0</v>
      </c>
      <c r="AF83" s="682">
        <v>192307748.12</v>
      </c>
      <c r="AG83" s="682">
        <v>0</v>
      </c>
      <c r="AH83" s="682">
        <v>0</v>
      </c>
      <c r="AI83" s="682">
        <v>0</v>
      </c>
      <c r="AJ83" s="682">
        <v>76403857.359999999</v>
      </c>
      <c r="AK83" s="682">
        <v>86573000000</v>
      </c>
      <c r="AL83" s="682">
        <v>68504000000</v>
      </c>
      <c r="AM83" s="682">
        <v>163435855901</v>
      </c>
      <c r="AN83" s="682">
        <v>4014358299.3000002</v>
      </c>
      <c r="AO83" s="682">
        <v>49014855225</v>
      </c>
      <c r="AP83" s="682">
        <v>22199455348</v>
      </c>
      <c r="AQ83" s="682">
        <v>0</v>
      </c>
      <c r="AR83" s="682">
        <v>8217249702.6000004</v>
      </c>
      <c r="AS83" s="682">
        <v>0</v>
      </c>
      <c r="AT83" s="682">
        <v>0</v>
      </c>
      <c r="AU83" s="682">
        <v>0</v>
      </c>
      <c r="AV83" s="682">
        <v>160304760898</v>
      </c>
      <c r="AW83" s="682">
        <v>19219713174</v>
      </c>
      <c r="AX83" s="682">
        <v>17617124003</v>
      </c>
      <c r="AY83" s="682">
        <v>107545612494</v>
      </c>
      <c r="AZ83" s="682">
        <v>21013892892</v>
      </c>
      <c r="BA83" s="682">
        <v>180470951.71000001</v>
      </c>
      <c r="BB83" s="682">
        <v>0</v>
      </c>
      <c r="BC83" s="682">
        <v>1950272336</v>
      </c>
      <c r="BD83" s="682">
        <v>4153476420.5</v>
      </c>
      <c r="BE83" s="682">
        <v>120348886.18000001</v>
      </c>
      <c r="BF83" s="682">
        <v>0</v>
      </c>
      <c r="BG83" s="682">
        <v>0</v>
      </c>
      <c r="BH83" s="682">
        <v>0</v>
      </c>
      <c r="BI83" s="682">
        <v>0</v>
      </c>
      <c r="BJ83" s="682">
        <v>0</v>
      </c>
      <c r="BK83" s="682">
        <v>0</v>
      </c>
      <c r="BL83" s="682">
        <v>0</v>
      </c>
      <c r="BM83" s="682">
        <v>0</v>
      </c>
      <c r="BN83" s="682">
        <v>5331984045.3000002</v>
      </c>
      <c r="BO83" s="682">
        <v>4330382958.3000002</v>
      </c>
      <c r="BP83" s="682">
        <v>4285380518</v>
      </c>
      <c r="BQ83" s="682">
        <v>9368309237</v>
      </c>
      <c r="BR83" s="719">
        <v>932871.39</v>
      </c>
      <c r="BS83" s="720" t="s">
        <v>574</v>
      </c>
      <c r="BT83" s="961">
        <v>564395788.48000002</v>
      </c>
      <c r="BU83" s="961">
        <v>30896439940</v>
      </c>
      <c r="BV83" s="1014">
        <v>-7083099956</v>
      </c>
      <c r="BW83" s="313">
        <v>495335.94</v>
      </c>
      <c r="BX83" s="313">
        <v>0</v>
      </c>
      <c r="BY83" s="313" t="s">
        <v>574</v>
      </c>
      <c r="BZ83" s="313" t="s">
        <v>574</v>
      </c>
      <c r="CA83" s="313" t="s">
        <v>574</v>
      </c>
      <c r="CB83" s="313">
        <v>481135596.13</v>
      </c>
      <c r="CC83" s="313">
        <v>1523091523.5</v>
      </c>
      <c r="CD83" s="313">
        <v>1041955927.4</v>
      </c>
      <c r="CE83" s="313"/>
      <c r="CF83" s="1255"/>
      <c r="CG83" s="252"/>
      <c r="CH83" s="252"/>
      <c r="CI83" s="875"/>
      <c r="CN83" s="1016"/>
      <c r="CO83" s="1019"/>
      <c r="CP83" s="682" t="s">
        <v>574</v>
      </c>
    </row>
    <row r="84" spans="1:94" s="682" customFormat="1" ht="9.75" customHeight="1" x14ac:dyDescent="0.3">
      <c r="A84" s="960"/>
      <c r="B84" s="682">
        <v>153508</v>
      </c>
      <c r="C84" s="680">
        <v>1978</v>
      </c>
      <c r="D84" s="684">
        <v>1300219000000</v>
      </c>
      <c r="E84" s="684">
        <v>1088101600000</v>
      </c>
      <c r="F84" s="682">
        <v>63959121900</v>
      </c>
      <c r="G84" s="682">
        <v>29444263332</v>
      </c>
      <c r="H84" s="682">
        <v>37619598561</v>
      </c>
      <c r="I84" s="682">
        <v>1412285972</v>
      </c>
      <c r="J84" s="682">
        <v>23025077079</v>
      </c>
      <c r="K84" s="682">
        <v>172695547.77000001</v>
      </c>
      <c r="L84" s="682">
        <v>36565196119</v>
      </c>
      <c r="M84" s="682">
        <v>0</v>
      </c>
      <c r="N84" s="682">
        <v>0</v>
      </c>
      <c r="O84" s="682">
        <v>0</v>
      </c>
      <c r="P84" s="682">
        <v>0</v>
      </c>
      <c r="Q84" s="682">
        <v>21938121002</v>
      </c>
      <c r="R84" s="682">
        <v>53035114588</v>
      </c>
      <c r="S84" s="682">
        <v>23288059702</v>
      </c>
      <c r="T84" s="682">
        <v>3580071263.0999999</v>
      </c>
      <c r="U84" s="682">
        <v>11145647894</v>
      </c>
      <c r="V84" s="682">
        <v>2911020687.4000001</v>
      </c>
      <c r="W84" s="682">
        <v>3977160945.4000001</v>
      </c>
      <c r="X84" s="682">
        <v>-1016525418</v>
      </c>
      <c r="Y84" s="682">
        <v>2352147185.5</v>
      </c>
      <c r="Z84" s="682">
        <v>53626536507</v>
      </c>
      <c r="AA84" s="682">
        <v>15208455596</v>
      </c>
      <c r="AB84" s="682">
        <v>523180948.87</v>
      </c>
      <c r="AC84" s="682">
        <v>49780320121</v>
      </c>
      <c r="AD84" s="682">
        <v>36565196119</v>
      </c>
      <c r="AE84" s="682">
        <v>0</v>
      </c>
      <c r="AF84" s="682">
        <v>195508702.88999999</v>
      </c>
      <c r="AG84" s="682">
        <v>0</v>
      </c>
      <c r="AH84" s="682">
        <v>0</v>
      </c>
      <c r="AI84" s="682">
        <v>0</v>
      </c>
      <c r="AJ84" s="682">
        <v>78735651.909999996</v>
      </c>
      <c r="AK84" s="682">
        <v>102918000000</v>
      </c>
      <c r="AL84" s="682">
        <v>77852000000</v>
      </c>
      <c r="AM84" s="682">
        <v>192348760204</v>
      </c>
      <c r="AN84" s="682">
        <v>4616830163.8999996</v>
      </c>
      <c r="AO84" s="682">
        <v>57565500695</v>
      </c>
      <c r="AP84" s="682">
        <v>0</v>
      </c>
      <c r="AQ84" s="682">
        <v>0</v>
      </c>
      <c r="AR84" s="682">
        <v>9786135118.2000008</v>
      </c>
      <c r="AS84" s="682">
        <v>0</v>
      </c>
      <c r="AT84" s="682">
        <v>0</v>
      </c>
      <c r="AU84" s="682">
        <v>0</v>
      </c>
      <c r="AV84" s="682">
        <v>188585839660</v>
      </c>
      <c r="AW84" s="682">
        <v>19627002653</v>
      </c>
      <c r="AX84" s="682">
        <v>17664302388</v>
      </c>
      <c r="AY84" s="682">
        <v>127078358774</v>
      </c>
      <c r="AZ84" s="682">
        <v>21049683723</v>
      </c>
      <c r="BA84" s="682">
        <v>598204757.22000003</v>
      </c>
      <c r="BB84" s="682">
        <v>0</v>
      </c>
      <c r="BC84" s="682">
        <v>2201282214</v>
      </c>
      <c r="BD84" s="682">
        <v>4908425341.1000004</v>
      </c>
      <c r="BE84" s="682">
        <v>123147459.01000001</v>
      </c>
      <c r="BF84" s="682">
        <v>0</v>
      </c>
      <c r="BG84" s="682">
        <v>0</v>
      </c>
      <c r="BH84" s="682">
        <v>0</v>
      </c>
      <c r="BI84" s="682">
        <v>0</v>
      </c>
      <c r="BJ84" s="682">
        <v>0</v>
      </c>
      <c r="BK84" s="682">
        <v>0</v>
      </c>
      <c r="BL84" s="682">
        <v>0</v>
      </c>
      <c r="BM84" s="682">
        <v>0</v>
      </c>
      <c r="BN84" s="682">
        <v>6213976018</v>
      </c>
      <c r="BO84" s="682">
        <v>5056987709.6000004</v>
      </c>
      <c r="BP84" s="682">
        <v>4952458999.3000002</v>
      </c>
      <c r="BQ84" s="682">
        <v>11040680302</v>
      </c>
      <c r="BR84" s="719">
        <v>1084538.3999999999</v>
      </c>
      <c r="BS84" s="720" t="s">
        <v>574</v>
      </c>
      <c r="BT84" s="961">
        <v>1249252496.5</v>
      </c>
      <c r="BU84" s="961">
        <v>39115307125</v>
      </c>
      <c r="BV84" s="1014">
        <v>-7236693168</v>
      </c>
      <c r="BW84" s="313">
        <v>451609.18</v>
      </c>
      <c r="BX84" s="313">
        <v>0</v>
      </c>
      <c r="BY84" s="313" t="s">
        <v>574</v>
      </c>
      <c r="BZ84" s="313" t="s">
        <v>574</v>
      </c>
      <c r="CA84" s="313" t="s">
        <v>574</v>
      </c>
      <c r="CB84" s="313">
        <v>600914813.66999996</v>
      </c>
      <c r="CC84" s="313">
        <v>1720945850</v>
      </c>
      <c r="CD84" s="313">
        <v>1120031036.3</v>
      </c>
      <c r="CE84" s="313"/>
      <c r="CF84" s="1255"/>
      <c r="CG84" s="252"/>
      <c r="CH84" s="252"/>
      <c r="CI84" s="875"/>
      <c r="CN84" s="1016"/>
      <c r="CO84" s="1019"/>
      <c r="CP84" s="682" t="s">
        <v>574</v>
      </c>
    </row>
    <row r="85" spans="1:94" s="682" customFormat="1" ht="9.75" customHeight="1" x14ac:dyDescent="0.3">
      <c r="A85" s="960"/>
      <c r="B85" s="682">
        <v>195968</v>
      </c>
      <c r="C85" s="680">
        <v>1979</v>
      </c>
      <c r="D85" s="684">
        <v>1458278700000</v>
      </c>
      <c r="E85" s="684">
        <v>1221982000000</v>
      </c>
      <c r="F85" s="682">
        <v>77419324290</v>
      </c>
      <c r="G85" s="682">
        <v>32803722215</v>
      </c>
      <c r="H85" s="682">
        <v>40599964315</v>
      </c>
      <c r="I85" s="682">
        <v>1506024120.2</v>
      </c>
      <c r="J85" s="682">
        <v>27801342194</v>
      </c>
      <c r="K85" s="682">
        <v>330583556.94999999</v>
      </c>
      <c r="L85" s="682">
        <v>41506756219</v>
      </c>
      <c r="M85" s="682">
        <v>988441249.62</v>
      </c>
      <c r="N85" s="682">
        <v>6982728752.8000002</v>
      </c>
      <c r="O85" s="682">
        <v>0</v>
      </c>
      <c r="P85" s="682">
        <v>0</v>
      </c>
      <c r="Q85" s="682">
        <v>23884376230</v>
      </c>
      <c r="R85" s="682">
        <v>56310202097</v>
      </c>
      <c r="S85" s="682">
        <v>22344429809</v>
      </c>
      <c r="T85" s="682">
        <v>2055339577.5</v>
      </c>
      <c r="U85" s="682">
        <v>11183939011</v>
      </c>
      <c r="V85" s="682">
        <v>3521858413.9000001</v>
      </c>
      <c r="W85" s="682">
        <v>4614620229.1999998</v>
      </c>
      <c r="X85" s="682">
        <v>-581651911.5</v>
      </c>
      <c r="Y85" s="682">
        <v>3232736958.8000002</v>
      </c>
      <c r="Z85" s="682">
        <v>62789540160</v>
      </c>
      <c r="AA85" s="682">
        <v>15702031209</v>
      </c>
      <c r="AB85" s="682">
        <v>731102586.51999998</v>
      </c>
      <c r="AC85" s="682">
        <v>76152955461</v>
      </c>
      <c r="AD85" s="682">
        <v>36957182861</v>
      </c>
      <c r="AE85" s="682">
        <v>1443676.91</v>
      </c>
      <c r="AF85" s="682">
        <v>199259264.31</v>
      </c>
      <c r="AG85" s="682">
        <v>0</v>
      </c>
      <c r="AH85" s="682">
        <v>0</v>
      </c>
      <c r="AI85" s="682">
        <v>0</v>
      </c>
      <c r="AJ85" s="682">
        <v>80516904.510000005</v>
      </c>
      <c r="AK85" s="682">
        <v>101444000000</v>
      </c>
      <c r="AL85" s="682">
        <v>80737000000</v>
      </c>
      <c r="AM85" s="682">
        <v>217369745740</v>
      </c>
      <c r="AN85" s="682">
        <v>5322637106.3000002</v>
      </c>
      <c r="AO85" s="682">
        <v>60508327419</v>
      </c>
      <c r="AP85" s="682">
        <v>29838614655</v>
      </c>
      <c r="AQ85" s="682">
        <v>0</v>
      </c>
      <c r="AR85" s="682">
        <v>10249625613</v>
      </c>
      <c r="AS85" s="682">
        <v>0</v>
      </c>
      <c r="AT85" s="682">
        <v>0</v>
      </c>
      <c r="AU85" s="682">
        <v>0</v>
      </c>
      <c r="AV85" s="682">
        <v>212802633634</v>
      </c>
      <c r="AW85" s="682">
        <v>21093025151</v>
      </c>
      <c r="AX85" s="682">
        <v>18994617125</v>
      </c>
      <c r="AY85" s="682">
        <v>146603748636</v>
      </c>
      <c r="AZ85" s="682">
        <v>21855875240</v>
      </c>
      <c r="BA85" s="682">
        <v>359394904.87</v>
      </c>
      <c r="BB85" s="682">
        <v>0</v>
      </c>
      <c r="BC85" s="682">
        <v>2111614888.7</v>
      </c>
      <c r="BD85" s="682">
        <v>5130619409.6999998</v>
      </c>
      <c r="BE85" s="682">
        <v>124797059.13</v>
      </c>
      <c r="BF85" s="682">
        <v>0</v>
      </c>
      <c r="BG85" s="682">
        <v>0</v>
      </c>
      <c r="BH85" s="682">
        <v>0</v>
      </c>
      <c r="BI85" s="682">
        <v>0</v>
      </c>
      <c r="BJ85" s="682">
        <v>0</v>
      </c>
      <c r="BK85" s="682">
        <v>0</v>
      </c>
      <c r="BL85" s="682">
        <v>0</v>
      </c>
      <c r="BM85" s="682">
        <v>0</v>
      </c>
      <c r="BN85" s="682">
        <v>7841909273.3999996</v>
      </c>
      <c r="BO85" s="682">
        <v>6423142239.8999996</v>
      </c>
      <c r="BP85" s="682">
        <v>5217479703.1999998</v>
      </c>
      <c r="BQ85" s="682">
        <v>11504818169</v>
      </c>
      <c r="BR85" s="719">
        <v>1541035.67</v>
      </c>
      <c r="BS85" s="720" t="s">
        <v>574</v>
      </c>
      <c r="BT85" s="961">
        <v>960337906.82000005</v>
      </c>
      <c r="BU85" s="961">
        <v>48364054616</v>
      </c>
      <c r="BV85" s="1014">
        <v>-9009339791</v>
      </c>
      <c r="BW85" s="313">
        <v>465354.43</v>
      </c>
      <c r="BX85" s="313">
        <v>0</v>
      </c>
      <c r="BY85" s="313" t="s">
        <v>574</v>
      </c>
      <c r="BZ85" s="313" t="s">
        <v>574</v>
      </c>
      <c r="CA85" s="313" t="s">
        <v>574</v>
      </c>
      <c r="CB85" s="313">
        <v>531331958.91000003</v>
      </c>
      <c r="CC85" s="313">
        <v>1965402898.5999999</v>
      </c>
      <c r="CD85" s="313">
        <v>1434070939.7</v>
      </c>
      <c r="CE85" s="313"/>
      <c r="CF85" s="1255"/>
      <c r="CG85" s="252"/>
      <c r="CH85" s="252"/>
      <c r="CI85" s="875"/>
      <c r="CN85" s="1016"/>
      <c r="CO85" s="1019"/>
      <c r="CP85" s="682" t="s">
        <v>574</v>
      </c>
    </row>
    <row r="86" spans="1:94" s="682" customFormat="1" ht="9.75" customHeight="1" x14ac:dyDescent="0.3">
      <c r="A86" s="960"/>
      <c r="B86" s="682">
        <v>164319</v>
      </c>
      <c r="C86" s="680">
        <v>1980</v>
      </c>
      <c r="D86" s="684">
        <v>1605979200000</v>
      </c>
      <c r="E86" s="684">
        <v>1342136500000</v>
      </c>
      <c r="F86" s="682">
        <v>105471741696</v>
      </c>
      <c r="G86" s="682">
        <v>37869849242</v>
      </c>
      <c r="H86" s="682">
        <v>46771313756</v>
      </c>
      <c r="I86" s="682">
        <v>1569413509.5999999</v>
      </c>
      <c r="J86" s="682">
        <v>28830023109</v>
      </c>
      <c r="K86" s="682">
        <v>356198733.56</v>
      </c>
      <c r="L86" s="682">
        <v>48688292968</v>
      </c>
      <c r="M86" s="682">
        <v>2080349765.8</v>
      </c>
      <c r="N86" s="682">
        <v>13364795702</v>
      </c>
      <c r="O86" s="682">
        <v>0</v>
      </c>
      <c r="P86" s="682">
        <v>0</v>
      </c>
      <c r="Q86" s="682">
        <v>27107235537</v>
      </c>
      <c r="R86" s="682">
        <v>54900019494</v>
      </c>
      <c r="S86" s="682">
        <v>20712752510</v>
      </c>
      <c r="T86" s="682">
        <v>-1895243563</v>
      </c>
      <c r="U86" s="682">
        <v>11342439805</v>
      </c>
      <c r="V86" s="682">
        <v>4170651818.9000001</v>
      </c>
      <c r="W86" s="682">
        <v>5679050961.6999998</v>
      </c>
      <c r="X86" s="682">
        <v>-479179007.80000001</v>
      </c>
      <c r="Y86" s="682">
        <v>3620252341.5999999</v>
      </c>
      <c r="Z86" s="682">
        <v>69637157271</v>
      </c>
      <c r="AA86" s="682">
        <v>16036831708</v>
      </c>
      <c r="AB86" s="682">
        <v>958929903.74000001</v>
      </c>
      <c r="AC86" s="682">
        <v>79339150230</v>
      </c>
      <c r="AD86" s="682">
        <v>42848290784</v>
      </c>
      <c r="AE86" s="682">
        <v>1443398.33</v>
      </c>
      <c r="AF86" s="682">
        <v>203265483.62</v>
      </c>
      <c r="AG86" s="682">
        <v>0</v>
      </c>
      <c r="AH86" s="682">
        <v>0</v>
      </c>
      <c r="AI86" s="682">
        <v>0</v>
      </c>
      <c r="AJ86" s="682">
        <v>82617476.980000004</v>
      </c>
      <c r="AK86" s="682">
        <v>72300000000</v>
      </c>
      <c r="AL86" s="682">
        <v>75484000000</v>
      </c>
      <c r="AM86" s="682">
        <v>253062067692</v>
      </c>
      <c r="AN86" s="682">
        <v>5612978374</v>
      </c>
      <c r="AO86" s="682">
        <v>69186388970</v>
      </c>
      <c r="AP86" s="682">
        <v>34723182983</v>
      </c>
      <c r="AQ86" s="682">
        <v>0</v>
      </c>
      <c r="AR86" s="682">
        <v>11050683313</v>
      </c>
      <c r="AS86" s="682">
        <v>0</v>
      </c>
      <c r="AT86" s="682">
        <v>0</v>
      </c>
      <c r="AU86" s="682">
        <v>0</v>
      </c>
      <c r="AV86" s="682">
        <v>248190439318</v>
      </c>
      <c r="AW86" s="682">
        <v>24111147674</v>
      </c>
      <c r="AX86" s="682">
        <v>21585230744</v>
      </c>
      <c r="AY86" s="682">
        <v>160924124625</v>
      </c>
      <c r="AZ86" s="682">
        <v>24548858719</v>
      </c>
      <c r="BA86" s="682">
        <v>462095849.91000003</v>
      </c>
      <c r="BB86" s="682">
        <v>0</v>
      </c>
      <c r="BC86" s="682">
        <v>575922947.88999999</v>
      </c>
      <c r="BD86" s="682">
        <v>4416538650.8000002</v>
      </c>
      <c r="BE86" s="682">
        <v>127371567.01000001</v>
      </c>
      <c r="BF86" s="682">
        <v>0</v>
      </c>
      <c r="BG86" s="682">
        <v>0</v>
      </c>
      <c r="BH86" s="682">
        <v>0</v>
      </c>
      <c r="BI86" s="682">
        <v>0</v>
      </c>
      <c r="BJ86" s="682">
        <v>0</v>
      </c>
      <c r="BK86" s="682">
        <v>0</v>
      </c>
      <c r="BL86" s="682">
        <v>0</v>
      </c>
      <c r="BM86" s="682">
        <v>0</v>
      </c>
      <c r="BN86" s="682">
        <v>10695984099</v>
      </c>
      <c r="BO86" s="682">
        <v>8733593470.7999992</v>
      </c>
      <c r="BP86" s="682">
        <v>5422450275</v>
      </c>
      <c r="BQ86" s="682">
        <v>13878718011</v>
      </c>
      <c r="BR86" s="719">
        <v>1533564.27</v>
      </c>
      <c r="BS86" s="720" t="s">
        <v>574</v>
      </c>
      <c r="BT86" s="961">
        <v>96655591.620000005</v>
      </c>
      <c r="BU86" s="961">
        <v>59115015822</v>
      </c>
      <c r="BV86" s="1014">
        <v>-12336858089</v>
      </c>
      <c r="BW86" s="313">
        <v>563357.75</v>
      </c>
      <c r="BX86" s="313">
        <v>0</v>
      </c>
      <c r="BY86" s="313" t="s">
        <v>574</v>
      </c>
      <c r="BZ86" s="313" t="s">
        <v>574</v>
      </c>
      <c r="CA86" s="313" t="s">
        <v>574</v>
      </c>
      <c r="CB86" s="313">
        <v>833901159.92999995</v>
      </c>
      <c r="CC86" s="313">
        <v>2253843177.1999998</v>
      </c>
      <c r="CD86" s="313">
        <v>1419942017.2</v>
      </c>
      <c r="CE86" s="313"/>
      <c r="CF86" s="1255"/>
      <c r="CG86" s="252"/>
      <c r="CH86" s="252"/>
      <c r="CI86" s="875"/>
      <c r="CN86" s="1016"/>
      <c r="CO86" s="1019"/>
      <c r="CP86" s="682" t="s">
        <v>574</v>
      </c>
    </row>
    <row r="87" spans="1:94" s="682" customFormat="1" ht="9.75" customHeight="1" x14ac:dyDescent="0.3">
      <c r="A87" s="960"/>
      <c r="B87" s="682">
        <v>137773</v>
      </c>
      <c r="C87" s="680">
        <v>1981</v>
      </c>
      <c r="D87" s="684">
        <v>1760042900000</v>
      </c>
      <c r="E87" s="684">
        <v>1473510300000</v>
      </c>
      <c r="F87" s="682">
        <v>143601159611</v>
      </c>
      <c r="G87" s="682">
        <v>45422467426</v>
      </c>
      <c r="H87" s="682">
        <v>59252195582</v>
      </c>
      <c r="I87" s="682">
        <v>6017606368.3999996</v>
      </c>
      <c r="J87" s="682">
        <v>29935144660</v>
      </c>
      <c r="K87" s="682">
        <v>479702261.57999998</v>
      </c>
      <c r="L87" s="682">
        <v>58503915026</v>
      </c>
      <c r="M87" s="682">
        <v>2314266381.4000001</v>
      </c>
      <c r="N87" s="682">
        <v>12191568303</v>
      </c>
      <c r="O87" s="682">
        <v>0</v>
      </c>
      <c r="P87" s="682">
        <v>0</v>
      </c>
      <c r="Q87" s="682">
        <v>30136103532</v>
      </c>
      <c r="R87" s="682">
        <v>52833956250</v>
      </c>
      <c r="S87" s="682">
        <v>15164048969</v>
      </c>
      <c r="T87" s="682">
        <v>-7863078002</v>
      </c>
      <c r="U87" s="682">
        <v>7910224696.1000004</v>
      </c>
      <c r="V87" s="682">
        <v>3719614049.5999999</v>
      </c>
      <c r="W87" s="682">
        <v>6745931720.6999998</v>
      </c>
      <c r="X87" s="682">
        <v>-1767785652</v>
      </c>
      <c r="Y87" s="682">
        <v>4363706280.6000004</v>
      </c>
      <c r="Z87" s="682">
        <v>83449141439</v>
      </c>
      <c r="AA87" s="682">
        <v>17107154537</v>
      </c>
      <c r="AB87" s="682">
        <v>1057265534.7</v>
      </c>
      <c r="AC87" s="682">
        <v>83674345157</v>
      </c>
      <c r="AD87" s="682">
        <v>51452442045</v>
      </c>
      <c r="AE87" s="682">
        <v>1404188.77</v>
      </c>
      <c r="AF87" s="682">
        <v>205142164.44</v>
      </c>
      <c r="AG87" s="682">
        <v>0</v>
      </c>
      <c r="AH87" s="682">
        <v>0</v>
      </c>
      <c r="AI87" s="682">
        <v>0</v>
      </c>
      <c r="AJ87" s="682">
        <v>84474229.099999994</v>
      </c>
      <c r="AK87" s="682">
        <v>89399000000</v>
      </c>
      <c r="AL87" s="682">
        <v>70315000000</v>
      </c>
      <c r="AM87" s="682">
        <v>287246577339</v>
      </c>
      <c r="AN87" s="682">
        <v>6641989744.1000004</v>
      </c>
      <c r="AO87" s="682">
        <v>79505333087</v>
      </c>
      <c r="AP87" s="682">
        <v>40008377883</v>
      </c>
      <c r="AQ87" s="682">
        <v>0</v>
      </c>
      <c r="AR87" s="682">
        <v>10422330980</v>
      </c>
      <c r="AS87" s="682">
        <v>0</v>
      </c>
      <c r="AT87" s="682">
        <v>0</v>
      </c>
      <c r="AU87" s="682">
        <v>12191568303</v>
      </c>
      <c r="AV87" s="682">
        <v>281331762594</v>
      </c>
      <c r="AW87" s="682">
        <v>29798937224</v>
      </c>
      <c r="AX87" s="682">
        <v>25078305656</v>
      </c>
      <c r="AY87" s="682">
        <v>190647427158</v>
      </c>
      <c r="AZ87" s="682">
        <v>28250061029</v>
      </c>
      <c r="BA87" s="682">
        <v>375639791.39999998</v>
      </c>
      <c r="BB87" s="682">
        <v>0</v>
      </c>
      <c r="BC87" s="682">
        <v>-909931232.39999998</v>
      </c>
      <c r="BD87" s="682">
        <v>4153100110.1999998</v>
      </c>
      <c r="BE87" s="682">
        <v>129551743.31</v>
      </c>
      <c r="BF87" s="682">
        <v>0</v>
      </c>
      <c r="BG87" s="682">
        <v>0</v>
      </c>
      <c r="BH87" s="682">
        <v>0</v>
      </c>
      <c r="BI87" s="682">
        <v>0</v>
      </c>
      <c r="BJ87" s="682">
        <v>0</v>
      </c>
      <c r="BK87" s="682">
        <v>0</v>
      </c>
      <c r="BL87" s="682">
        <v>0</v>
      </c>
      <c r="BM87" s="682">
        <v>0</v>
      </c>
      <c r="BN87" s="682">
        <v>16118288446</v>
      </c>
      <c r="BO87" s="682">
        <v>13047090330</v>
      </c>
      <c r="BP87" s="682">
        <v>6738288484.1999998</v>
      </c>
      <c r="BQ87" s="682">
        <v>14864510211</v>
      </c>
      <c r="BR87" s="719">
        <v>1333257.95</v>
      </c>
      <c r="BS87" s="720" t="s">
        <v>574</v>
      </c>
      <c r="BT87" s="961">
        <v>230312149.03</v>
      </c>
      <c r="BU87" s="961">
        <v>68341878845</v>
      </c>
      <c r="BV87" s="1014">
        <v>-17947009070</v>
      </c>
      <c r="BW87" s="313">
        <v>697048.03</v>
      </c>
      <c r="BX87" s="313">
        <v>0</v>
      </c>
      <c r="BY87" s="313" t="s">
        <v>574</v>
      </c>
      <c r="BZ87" s="313" t="s">
        <v>574</v>
      </c>
      <c r="CA87" s="313" t="s">
        <v>574</v>
      </c>
      <c r="CB87" s="313">
        <v>514173444.91000003</v>
      </c>
      <c r="CC87" s="313">
        <v>2314440065.3000002</v>
      </c>
      <c r="CD87" s="313">
        <v>1800266620.4000001</v>
      </c>
      <c r="CE87" s="313"/>
      <c r="CF87" s="1255"/>
      <c r="CI87" s="875"/>
      <c r="CN87" s="1016"/>
      <c r="CO87" s="1019"/>
      <c r="CP87" s="682" t="s">
        <v>574</v>
      </c>
    </row>
    <row r="88" spans="1:94" s="682" customFormat="1" ht="9.75" customHeight="1" x14ac:dyDescent="0.3">
      <c r="A88" s="960"/>
      <c r="B88" s="682">
        <v>85620</v>
      </c>
      <c r="C88" s="680">
        <v>1982</v>
      </c>
      <c r="D88" s="684">
        <v>1841246900000</v>
      </c>
      <c r="E88" s="684">
        <v>1551403900000</v>
      </c>
      <c r="F88" s="682">
        <v>160945513204</v>
      </c>
      <c r="G88" s="682">
        <v>50985111988</v>
      </c>
      <c r="H88" s="682">
        <v>62155303656</v>
      </c>
      <c r="I88" s="682">
        <v>1850240696.8</v>
      </c>
      <c r="J88" s="682">
        <v>33543443628</v>
      </c>
      <c r="K88" s="682">
        <v>401370229.83999997</v>
      </c>
      <c r="L88" s="682">
        <v>68816981578</v>
      </c>
      <c r="M88" s="682">
        <v>7052403291.3999996</v>
      </c>
      <c r="N88" s="682">
        <v>19495493509</v>
      </c>
      <c r="O88" s="682">
        <v>0</v>
      </c>
      <c r="P88" s="682">
        <v>0</v>
      </c>
      <c r="Q88" s="682">
        <v>64189626097</v>
      </c>
      <c r="R88" s="682">
        <v>50342701358</v>
      </c>
      <c r="S88" s="682">
        <v>15212011621</v>
      </c>
      <c r="T88" s="682">
        <v>-9854894694</v>
      </c>
      <c r="U88" s="682">
        <v>7097833032.3999996</v>
      </c>
      <c r="V88" s="682">
        <v>6291433603.8000002</v>
      </c>
      <c r="W88" s="682">
        <v>11204893406</v>
      </c>
      <c r="X88" s="682">
        <v>-6478310200</v>
      </c>
      <c r="Y88" s="682">
        <v>4988899801</v>
      </c>
      <c r="Z88" s="682">
        <v>89823336331</v>
      </c>
      <c r="AA88" s="682">
        <v>17186815218</v>
      </c>
      <c r="AB88" s="682">
        <v>1074688445.8</v>
      </c>
      <c r="AC88" s="682">
        <v>93351414237</v>
      </c>
      <c r="AD88" s="682">
        <v>62605649703</v>
      </c>
      <c r="AE88" s="682">
        <v>1271545.49</v>
      </c>
      <c r="AF88" s="682">
        <v>206318705.94</v>
      </c>
      <c r="AG88" s="682">
        <v>0</v>
      </c>
      <c r="AH88" s="682">
        <v>0</v>
      </c>
      <c r="AI88" s="682">
        <v>0</v>
      </c>
      <c r="AJ88" s="682">
        <v>85443962.5</v>
      </c>
      <c r="AK88" s="682">
        <v>85642000000</v>
      </c>
      <c r="AL88" s="682">
        <v>51294000000</v>
      </c>
      <c r="AM88" s="682">
        <v>281764479670</v>
      </c>
      <c r="AN88" s="682">
        <v>6792201228.1999998</v>
      </c>
      <c r="AO88" s="682">
        <v>87800068600</v>
      </c>
      <c r="AP88" s="682">
        <v>44595614519</v>
      </c>
      <c r="AQ88" s="682">
        <v>0</v>
      </c>
      <c r="AR88" s="682">
        <v>11374196036</v>
      </c>
      <c r="AS88" s="682">
        <v>0</v>
      </c>
      <c r="AT88" s="682">
        <v>0</v>
      </c>
      <c r="AU88" s="682">
        <v>19495493509</v>
      </c>
      <c r="AV88" s="682">
        <v>275685278442</v>
      </c>
      <c r="AW88" s="682">
        <v>32580258045</v>
      </c>
      <c r="AX88" s="682">
        <v>27421623492</v>
      </c>
      <c r="AY88" s="682">
        <v>203625689108</v>
      </c>
      <c r="AZ88" s="682">
        <v>28598213796</v>
      </c>
      <c r="BA88" s="682">
        <v>433698837.54000002</v>
      </c>
      <c r="BB88" s="682">
        <v>0</v>
      </c>
      <c r="BC88" s="682">
        <v>5400508978.3000002</v>
      </c>
      <c r="BD88" s="682">
        <v>5739562269</v>
      </c>
      <c r="BE88" s="682">
        <v>130902303.23999999</v>
      </c>
      <c r="BF88" s="682">
        <v>0</v>
      </c>
      <c r="BG88" s="682">
        <v>0</v>
      </c>
      <c r="BH88" s="682">
        <v>0</v>
      </c>
      <c r="BI88" s="682">
        <v>0</v>
      </c>
      <c r="BJ88" s="682">
        <v>0</v>
      </c>
      <c r="BK88" s="682">
        <v>0</v>
      </c>
      <c r="BL88" s="682">
        <v>0</v>
      </c>
      <c r="BM88" s="682">
        <v>0</v>
      </c>
      <c r="BN88" s="682">
        <v>16027766186</v>
      </c>
      <c r="BO88" s="682">
        <v>13282080163</v>
      </c>
      <c r="BP88" s="682">
        <v>30597909475</v>
      </c>
      <c r="BQ88" s="682">
        <v>16066484866</v>
      </c>
      <c r="BR88" s="719">
        <v>1073216.4099999999</v>
      </c>
      <c r="BS88" s="720" t="s">
        <v>574</v>
      </c>
      <c r="BT88" s="961">
        <v>611657447.35000002</v>
      </c>
      <c r="BU88" s="961">
        <v>75520576277</v>
      </c>
      <c r="BV88" s="1014">
        <v>-22888880562</v>
      </c>
      <c r="BW88" s="313">
        <v>791498.7</v>
      </c>
      <c r="BX88" s="313">
        <v>0</v>
      </c>
      <c r="BY88" s="313" t="s">
        <v>574</v>
      </c>
      <c r="BZ88" s="313" t="s">
        <v>574</v>
      </c>
      <c r="CA88" s="313" t="s">
        <v>574</v>
      </c>
      <c r="CB88" s="313">
        <v>1055939520.9</v>
      </c>
      <c r="CC88" s="313">
        <v>3002279246.6999998</v>
      </c>
      <c r="CD88" s="313">
        <v>1946339725.8</v>
      </c>
      <c r="CE88" s="313"/>
      <c r="CF88" s="1255"/>
      <c r="CG88" s="252"/>
      <c r="CH88" s="252"/>
      <c r="CI88" s="875"/>
      <c r="CN88" s="1016"/>
      <c r="CO88" s="1019"/>
      <c r="CP88" s="682" t="s">
        <v>574</v>
      </c>
    </row>
    <row r="89" spans="1:94" s="682" customFormat="1" ht="9.75" customHeight="1" x14ac:dyDescent="0.3">
      <c r="A89" s="960"/>
      <c r="B89" s="682">
        <v>113777</v>
      </c>
      <c r="C89" s="680">
        <v>1983</v>
      </c>
      <c r="D89" s="684">
        <v>1930220100000</v>
      </c>
      <c r="E89" s="684">
        <v>1629096000000</v>
      </c>
      <c r="F89" s="682">
        <v>157536675219</v>
      </c>
      <c r="G89" s="682">
        <v>47482723150</v>
      </c>
      <c r="H89" s="682">
        <v>59737564021</v>
      </c>
      <c r="I89" s="682">
        <v>1807042895.8</v>
      </c>
      <c r="J89" s="682">
        <v>48260548255</v>
      </c>
      <c r="K89" s="682">
        <v>495042824.85000002</v>
      </c>
      <c r="L89" s="682">
        <v>81129071494</v>
      </c>
      <c r="M89" s="682">
        <v>7095976872.3000002</v>
      </c>
      <c r="N89" s="682">
        <v>19054278363</v>
      </c>
      <c r="O89" s="682">
        <v>0</v>
      </c>
      <c r="P89" s="682">
        <v>0</v>
      </c>
      <c r="Q89" s="682">
        <v>80256830765</v>
      </c>
      <c r="R89" s="682">
        <v>60038544701</v>
      </c>
      <c r="S89" s="682">
        <v>19923820183</v>
      </c>
      <c r="T89" s="682">
        <v>-9320464277</v>
      </c>
      <c r="U89" s="682">
        <v>4843111263.8000002</v>
      </c>
      <c r="V89" s="682">
        <v>6049752699.8000002</v>
      </c>
      <c r="W89" s="682">
        <v>13674391695</v>
      </c>
      <c r="X89" s="682">
        <v>-7805648378</v>
      </c>
      <c r="Y89" s="682">
        <v>5711145605.3999996</v>
      </c>
      <c r="Z89" s="682">
        <v>95225544893</v>
      </c>
      <c r="AA89" s="682">
        <v>17248724604</v>
      </c>
      <c r="AB89" s="682">
        <v>1193616267.5</v>
      </c>
      <c r="AC89" s="682">
        <v>130649895155</v>
      </c>
      <c r="AD89" s="682">
        <v>72961752607</v>
      </c>
      <c r="AE89" s="682">
        <v>1294642.5900000001</v>
      </c>
      <c r="AF89" s="682">
        <v>207557238.38999999</v>
      </c>
      <c r="AG89" s="682">
        <v>0</v>
      </c>
      <c r="AH89" s="682">
        <v>0</v>
      </c>
      <c r="AI89" s="682">
        <v>0</v>
      </c>
      <c r="AJ89" s="682">
        <v>86551556.459999993</v>
      </c>
      <c r="AK89" s="682">
        <v>115655000000</v>
      </c>
      <c r="AL89" s="682">
        <v>66419000000</v>
      </c>
      <c r="AM89" s="682">
        <v>279356525740</v>
      </c>
      <c r="AN89" s="682">
        <v>7750402141.1999998</v>
      </c>
      <c r="AO89" s="682">
        <v>99432100144</v>
      </c>
      <c r="AP89" s="682">
        <v>51105947936</v>
      </c>
      <c r="AQ89" s="682">
        <v>0</v>
      </c>
      <c r="AR89" s="682">
        <v>12618004332</v>
      </c>
      <c r="AS89" s="682">
        <v>0</v>
      </c>
      <c r="AT89" s="682">
        <v>0</v>
      </c>
      <c r="AU89" s="682">
        <v>19054278363</v>
      </c>
      <c r="AV89" s="682">
        <v>273085365599</v>
      </c>
      <c r="AW89" s="682">
        <v>36535670876</v>
      </c>
      <c r="AX89" s="682">
        <v>29811253703</v>
      </c>
      <c r="AY89" s="682">
        <v>215450216532</v>
      </c>
      <c r="AZ89" s="682">
        <v>30513382783</v>
      </c>
      <c r="BA89" s="682">
        <v>344664047.95999998</v>
      </c>
      <c r="BB89" s="682">
        <v>0</v>
      </c>
      <c r="BC89" s="682">
        <v>1734455533</v>
      </c>
      <c r="BD89" s="682">
        <v>8828552586.2000008</v>
      </c>
      <c r="BE89" s="682">
        <v>132239608.53</v>
      </c>
      <c r="BF89" s="682">
        <v>0</v>
      </c>
      <c r="BG89" s="682">
        <v>0</v>
      </c>
      <c r="BH89" s="682">
        <v>0</v>
      </c>
      <c r="BI89" s="682">
        <v>0</v>
      </c>
      <c r="BJ89" s="682">
        <v>0</v>
      </c>
      <c r="BK89" s="682">
        <v>0</v>
      </c>
      <c r="BL89" s="682">
        <v>0</v>
      </c>
      <c r="BM89" s="682">
        <v>0</v>
      </c>
      <c r="BN89" s="682">
        <v>20787402767</v>
      </c>
      <c r="BO89" s="682">
        <v>16957078663</v>
      </c>
      <c r="BP89" s="682">
        <v>34811844256</v>
      </c>
      <c r="BQ89" s="682">
        <v>17691591171</v>
      </c>
      <c r="BR89" s="719">
        <v>850751.13</v>
      </c>
      <c r="BS89" s="720" t="s">
        <v>574</v>
      </c>
      <c r="BT89" s="961">
        <v>1184070839.7</v>
      </c>
      <c r="BU89" s="961">
        <v>83915466672</v>
      </c>
      <c r="BV89" s="1014">
        <v>-26320444965</v>
      </c>
      <c r="BW89" s="313">
        <v>827910.96</v>
      </c>
      <c r="BX89" s="313">
        <v>0</v>
      </c>
      <c r="BY89" s="313" t="s">
        <v>574</v>
      </c>
      <c r="BZ89" s="313" t="s">
        <v>574</v>
      </c>
      <c r="CA89" s="313" t="s">
        <v>574</v>
      </c>
      <c r="CB89" s="313">
        <v>905803304.54999995</v>
      </c>
      <c r="CC89" s="313">
        <v>3213440607.5</v>
      </c>
      <c r="CD89" s="313">
        <v>2307637303</v>
      </c>
      <c r="CE89" s="313"/>
      <c r="CF89" s="1255"/>
      <c r="CG89" s="252"/>
      <c r="CH89" s="252"/>
      <c r="CI89" s="875"/>
      <c r="CN89" s="1016"/>
      <c r="CO89" s="1019"/>
      <c r="CP89" s="682" t="s">
        <v>574</v>
      </c>
    </row>
    <row r="90" spans="1:94" s="682" customFormat="1" ht="9.75" customHeight="1" x14ac:dyDescent="0.3">
      <c r="A90" s="960"/>
      <c r="B90" s="682">
        <v>91456</v>
      </c>
      <c r="C90" s="680">
        <v>1984</v>
      </c>
      <c r="D90" s="684">
        <v>2125404500000</v>
      </c>
      <c r="E90" s="684">
        <v>1787235400000</v>
      </c>
      <c r="F90" s="682">
        <v>179722603398</v>
      </c>
      <c r="G90" s="682">
        <v>47567117030</v>
      </c>
      <c r="H90" s="682">
        <v>60761826353</v>
      </c>
      <c r="I90" s="682">
        <v>1855341280.3</v>
      </c>
      <c r="J90" s="682">
        <v>52838384800</v>
      </c>
      <c r="K90" s="682">
        <v>718461018.78999996</v>
      </c>
      <c r="L90" s="682">
        <v>106608335837</v>
      </c>
      <c r="M90" s="682">
        <v>6039148000.6999998</v>
      </c>
      <c r="N90" s="682">
        <v>13062279799</v>
      </c>
      <c r="O90" s="682">
        <v>7871350084.1000004</v>
      </c>
      <c r="P90" s="682">
        <v>51648575452</v>
      </c>
      <c r="Q90" s="682">
        <v>88941530330</v>
      </c>
      <c r="R90" s="682">
        <v>70303201604</v>
      </c>
      <c r="S90" s="682">
        <v>24423095521</v>
      </c>
      <c r="T90" s="682">
        <v>-13109365425</v>
      </c>
      <c r="U90" s="682">
        <v>1745066024.9000001</v>
      </c>
      <c r="V90" s="682">
        <v>6570587477.6999998</v>
      </c>
      <c r="W90" s="682">
        <v>15846738999</v>
      </c>
      <c r="X90" s="682">
        <v>-9321854691</v>
      </c>
      <c r="Y90" s="682">
        <v>7012323415.8999996</v>
      </c>
      <c r="Z90" s="682">
        <v>105991147033</v>
      </c>
      <c r="AA90" s="682">
        <v>32261685721</v>
      </c>
      <c r="AB90" s="682">
        <v>1413692657.9000001</v>
      </c>
      <c r="AC90" s="682">
        <v>144774757524</v>
      </c>
      <c r="AD90" s="682">
        <v>94197062590</v>
      </c>
      <c r="AE90" s="682">
        <v>1197158.79</v>
      </c>
      <c r="AF90" s="682">
        <v>212536200.06</v>
      </c>
      <c r="AG90" s="682">
        <v>0</v>
      </c>
      <c r="AH90" s="682">
        <v>0</v>
      </c>
      <c r="AI90" s="682">
        <v>0</v>
      </c>
      <c r="AJ90" s="682">
        <v>89297411.590000004</v>
      </c>
      <c r="AK90" s="682">
        <v>149543000000</v>
      </c>
      <c r="AL90" s="682">
        <v>81477000000</v>
      </c>
      <c r="AM90" s="682">
        <v>309301450750</v>
      </c>
      <c r="AN90" s="682">
        <v>10027250966</v>
      </c>
      <c r="AO90" s="682">
        <v>114939806348</v>
      </c>
      <c r="AP90" s="682">
        <v>60057307359</v>
      </c>
      <c r="AQ90" s="682">
        <v>357467889462</v>
      </c>
      <c r="AR90" s="682">
        <v>14529651782</v>
      </c>
      <c r="AS90" s="682">
        <v>0</v>
      </c>
      <c r="AT90" s="682">
        <v>0</v>
      </c>
      <c r="AU90" s="682">
        <v>13062279799</v>
      </c>
      <c r="AV90" s="682">
        <v>301519683783</v>
      </c>
      <c r="AW90" s="682">
        <v>41257894207</v>
      </c>
      <c r="AX90" s="682">
        <v>32666251194</v>
      </c>
      <c r="AY90" s="682">
        <v>249728753024</v>
      </c>
      <c r="AZ90" s="682">
        <v>31996735338</v>
      </c>
      <c r="BA90" s="682">
        <v>338903977.23000002</v>
      </c>
      <c r="BB90" s="682">
        <v>0</v>
      </c>
      <c r="BC90" s="682">
        <v>5800570410.3000002</v>
      </c>
      <c r="BD90" s="682">
        <v>14694610668</v>
      </c>
      <c r="BE90" s="682">
        <v>136063077.46000001</v>
      </c>
      <c r="BF90" s="682">
        <v>0</v>
      </c>
      <c r="BG90" s="682">
        <v>0</v>
      </c>
      <c r="BH90" s="682">
        <v>0</v>
      </c>
      <c r="BI90" s="682">
        <v>0</v>
      </c>
      <c r="BJ90" s="682">
        <v>0</v>
      </c>
      <c r="BK90" s="682">
        <v>0</v>
      </c>
      <c r="BL90" s="682">
        <v>0</v>
      </c>
      <c r="BM90" s="682">
        <v>0</v>
      </c>
      <c r="BN90" s="682">
        <v>26883314880</v>
      </c>
      <c r="BO90" s="682">
        <v>22823464671</v>
      </c>
      <c r="BP90" s="682">
        <v>39194552776</v>
      </c>
      <c r="BQ90" s="682">
        <v>19249304215</v>
      </c>
      <c r="BR90" s="719">
        <v>800080.14</v>
      </c>
      <c r="BS90" s="720" t="s">
        <v>574</v>
      </c>
      <c r="BT90" s="961">
        <v>1715168210.2</v>
      </c>
      <c r="BU90" s="961">
        <v>101739639970</v>
      </c>
      <c r="BV90" s="1014">
        <v>-32135598535</v>
      </c>
      <c r="BW90" s="313">
        <v>897335.9</v>
      </c>
      <c r="BX90" s="313">
        <v>0</v>
      </c>
      <c r="BY90" s="313" t="s">
        <v>574</v>
      </c>
      <c r="BZ90" s="313" t="s">
        <v>574</v>
      </c>
      <c r="CA90" s="313" t="s">
        <v>574</v>
      </c>
      <c r="CB90" s="313">
        <v>1132353578.3</v>
      </c>
      <c r="CC90" s="313">
        <v>3843228554.3000002</v>
      </c>
      <c r="CD90" s="313">
        <v>2710874976.0999999</v>
      </c>
      <c r="CE90" s="313"/>
      <c r="CF90" s="1255"/>
      <c r="CG90" s="252"/>
      <c r="CH90" s="252"/>
      <c r="CI90" s="875"/>
      <c r="CN90" s="1016"/>
      <c r="CO90" s="1019"/>
      <c r="CP90" s="682" t="s">
        <v>574</v>
      </c>
    </row>
    <row r="91" spans="1:94" s="682" customFormat="1" ht="9.75" customHeight="1" x14ac:dyDescent="0.3">
      <c r="A91" s="960"/>
      <c r="B91" s="682">
        <v>117290</v>
      </c>
      <c r="C91" s="680">
        <v>1985</v>
      </c>
      <c r="D91" s="684">
        <v>2287965600000</v>
      </c>
      <c r="E91" s="684">
        <v>1905858100000</v>
      </c>
      <c r="F91" s="682">
        <v>186484237500</v>
      </c>
      <c r="G91" s="682">
        <v>53939205847</v>
      </c>
      <c r="H91" s="682">
        <v>68926739718</v>
      </c>
      <c r="I91" s="682">
        <v>1896196342</v>
      </c>
      <c r="J91" s="682">
        <v>67055070410</v>
      </c>
      <c r="K91" s="682">
        <v>540408384.01999998</v>
      </c>
      <c r="L91" s="682">
        <v>115736012799</v>
      </c>
      <c r="M91" s="682">
        <v>6340213700.5</v>
      </c>
      <c r="N91" s="682">
        <v>12966506209</v>
      </c>
      <c r="O91" s="682">
        <v>9582417330.5</v>
      </c>
      <c r="P91" s="682">
        <v>64574862913</v>
      </c>
      <c r="Q91" s="682">
        <v>94231669427</v>
      </c>
      <c r="R91" s="682">
        <v>78389558592</v>
      </c>
      <c r="S91" s="682">
        <v>27093422274</v>
      </c>
      <c r="T91" s="682">
        <v>-12063700187</v>
      </c>
      <c r="U91" s="682">
        <v>1702956174.9000001</v>
      </c>
      <c r="V91" s="682">
        <v>9005308612.2000008</v>
      </c>
      <c r="W91" s="682">
        <v>19106418341</v>
      </c>
      <c r="X91" s="682">
        <v>-12622249821</v>
      </c>
      <c r="Y91" s="682">
        <v>8506756031</v>
      </c>
      <c r="Z91" s="682">
        <v>113586092593</v>
      </c>
      <c r="AA91" s="682">
        <v>32955466238</v>
      </c>
      <c r="AB91" s="682">
        <v>1518142076.2</v>
      </c>
      <c r="AC91" s="682">
        <v>181024744280</v>
      </c>
      <c r="AD91" s="682">
        <v>94327759131</v>
      </c>
      <c r="AE91" s="682">
        <v>1181714.97</v>
      </c>
      <c r="AF91" s="682">
        <v>214776091.02000001</v>
      </c>
      <c r="AG91" s="682">
        <v>0</v>
      </c>
      <c r="AH91" s="682">
        <v>0</v>
      </c>
      <c r="AI91" s="682">
        <v>0</v>
      </c>
      <c r="AJ91" s="682">
        <v>91340102.329999998</v>
      </c>
      <c r="AK91" s="682">
        <v>157536000000</v>
      </c>
      <c r="AL91" s="682">
        <v>81610000000</v>
      </c>
      <c r="AM91" s="682">
        <v>335289527870</v>
      </c>
      <c r="AN91" s="682">
        <v>11429611996</v>
      </c>
      <c r="AO91" s="682">
        <v>127636967381</v>
      </c>
      <c r="AP91" s="682">
        <v>66978788338</v>
      </c>
      <c r="AQ91" s="682">
        <v>402842916934</v>
      </c>
      <c r="AR91" s="682">
        <v>16036457655</v>
      </c>
      <c r="AS91" s="682">
        <v>0</v>
      </c>
      <c r="AT91" s="682">
        <v>64574862913</v>
      </c>
      <c r="AU91" s="682">
        <v>12966506209</v>
      </c>
      <c r="AV91" s="682">
        <v>326871642874</v>
      </c>
      <c r="AW91" s="682">
        <v>45604291389</v>
      </c>
      <c r="AX91" s="682">
        <v>35853005218</v>
      </c>
      <c r="AY91" s="682">
        <v>271557263420</v>
      </c>
      <c r="AZ91" s="682">
        <v>33409504887</v>
      </c>
      <c r="BA91" s="682">
        <v>364086847.58999997</v>
      </c>
      <c r="BB91" s="682">
        <v>0</v>
      </c>
      <c r="BC91" s="682">
        <v>6020752019.6000004</v>
      </c>
      <c r="BD91" s="682">
        <v>16362671233</v>
      </c>
      <c r="BE91" s="682">
        <v>138536368.13999999</v>
      </c>
      <c r="BF91" s="682">
        <v>0</v>
      </c>
      <c r="BG91" s="682">
        <v>0</v>
      </c>
      <c r="BH91" s="682">
        <v>0</v>
      </c>
      <c r="BI91" s="682">
        <v>0</v>
      </c>
      <c r="BJ91" s="682">
        <v>0</v>
      </c>
      <c r="BK91" s="682">
        <v>0</v>
      </c>
      <c r="BL91" s="682">
        <v>0</v>
      </c>
      <c r="BM91" s="682">
        <v>0</v>
      </c>
      <c r="BN91" s="682">
        <v>30296201736</v>
      </c>
      <c r="BO91" s="682">
        <v>25623890866</v>
      </c>
      <c r="BP91" s="682">
        <v>43124502828</v>
      </c>
      <c r="BQ91" s="682">
        <v>18152407450</v>
      </c>
      <c r="BR91" s="719">
        <v>784782.57</v>
      </c>
      <c r="BS91" s="720" t="s">
        <v>574</v>
      </c>
      <c r="BT91" s="961">
        <v>1505574492.8</v>
      </c>
      <c r="BU91" s="961">
        <v>114425342861</v>
      </c>
      <c r="BV91" s="1014">
        <v>-37305448569</v>
      </c>
      <c r="BW91" s="313">
        <v>900465.13</v>
      </c>
      <c r="BX91" s="313">
        <v>0</v>
      </c>
      <c r="BY91" s="313" t="s">
        <v>574</v>
      </c>
      <c r="BZ91" s="313" t="s">
        <v>574</v>
      </c>
      <c r="CA91" s="313" t="s">
        <v>574</v>
      </c>
      <c r="CB91" s="313">
        <v>996708472.75</v>
      </c>
      <c r="CC91" s="313">
        <v>3872394053.6999998</v>
      </c>
      <c r="CD91" s="313">
        <v>2875685581</v>
      </c>
      <c r="CE91" s="313"/>
      <c r="CF91" s="1255"/>
      <c r="CG91" s="252"/>
      <c r="CH91" s="252"/>
      <c r="CI91" s="875"/>
      <c r="CN91" s="1016"/>
      <c r="CO91" s="1019"/>
      <c r="CP91" s="682" t="s">
        <v>574</v>
      </c>
    </row>
    <row r="92" spans="1:94" s="682" customFormat="1" ht="9.75" customHeight="1" x14ac:dyDescent="0.3">
      <c r="A92" s="960"/>
      <c r="B92" s="682">
        <v>87710</v>
      </c>
      <c r="C92" s="680">
        <v>1986</v>
      </c>
      <c r="D92" s="684">
        <v>2463867500000</v>
      </c>
      <c r="E92" s="684">
        <v>2009598700000</v>
      </c>
      <c r="F92" s="682">
        <v>171974019412</v>
      </c>
      <c r="G92" s="682">
        <v>60562511020</v>
      </c>
      <c r="H92" s="682">
        <v>73952057375</v>
      </c>
      <c r="I92" s="682">
        <v>1937060327.5999999</v>
      </c>
      <c r="J92" s="682">
        <v>131173449528</v>
      </c>
      <c r="K92" s="682">
        <v>1209357182.0999999</v>
      </c>
      <c r="L92" s="682">
        <v>147128908262</v>
      </c>
      <c r="M92" s="682">
        <v>6949231043.6999998</v>
      </c>
      <c r="N92" s="682">
        <v>13973362144</v>
      </c>
      <c r="O92" s="682">
        <v>10612542912</v>
      </c>
      <c r="P92" s="682">
        <v>70412205093</v>
      </c>
      <c r="Q92" s="682">
        <v>98372875783</v>
      </c>
      <c r="R92" s="682">
        <v>90060747313</v>
      </c>
      <c r="S92" s="682">
        <v>29023465455</v>
      </c>
      <c r="T92" s="682">
        <v>-7263002159</v>
      </c>
      <c r="U92" s="682">
        <v>-3762421615</v>
      </c>
      <c r="V92" s="682">
        <v>6506189315.1999998</v>
      </c>
      <c r="W92" s="682">
        <v>23462983528</v>
      </c>
      <c r="X92" s="682">
        <v>-16409617264</v>
      </c>
      <c r="Y92" s="682">
        <v>9868792676.7000008</v>
      </c>
      <c r="Z92" s="682">
        <v>122951996831</v>
      </c>
      <c r="AA92" s="682">
        <v>33298324676</v>
      </c>
      <c r="AB92" s="682">
        <v>1699611052.0999999</v>
      </c>
      <c r="AC92" s="682">
        <v>342163967687</v>
      </c>
      <c r="AD92" s="682">
        <v>106949358110</v>
      </c>
      <c r="AE92" s="682">
        <v>890497.62</v>
      </c>
      <c r="AF92" s="682">
        <v>215593884.53</v>
      </c>
      <c r="AG92" s="682">
        <v>0</v>
      </c>
      <c r="AH92" s="682">
        <v>0</v>
      </c>
      <c r="AI92" s="682">
        <v>0</v>
      </c>
      <c r="AJ92" s="682">
        <v>92628524.140000001</v>
      </c>
      <c r="AK92" s="682">
        <v>108519000000</v>
      </c>
      <c r="AL92" s="682">
        <v>91871000000</v>
      </c>
      <c r="AM92" s="682">
        <v>377976801918</v>
      </c>
      <c r="AN92" s="682">
        <v>13457565137</v>
      </c>
      <c r="AO92" s="682">
        <v>142987065683</v>
      </c>
      <c r="AP92" s="682">
        <v>72285178323</v>
      </c>
      <c r="AQ92" s="682">
        <v>445130290973</v>
      </c>
      <c r="AR92" s="682">
        <v>20655038566</v>
      </c>
      <c r="AS92" s="682">
        <v>0</v>
      </c>
      <c r="AT92" s="682">
        <v>70412205093</v>
      </c>
      <c r="AU92" s="682">
        <v>13973362144</v>
      </c>
      <c r="AV92" s="682">
        <v>368297205781</v>
      </c>
      <c r="AW92" s="682">
        <v>51106941794</v>
      </c>
      <c r="AX92" s="682">
        <v>39388669127</v>
      </c>
      <c r="AY92" s="682">
        <v>292659883475</v>
      </c>
      <c r="AZ92" s="682">
        <v>33669125780</v>
      </c>
      <c r="BA92" s="682">
        <v>839894861.30999994</v>
      </c>
      <c r="BB92" s="682">
        <v>0</v>
      </c>
      <c r="BC92" s="682">
        <v>7409140919.6000004</v>
      </c>
      <c r="BD92" s="682">
        <v>18957865698</v>
      </c>
      <c r="BE92" s="682">
        <v>139870306.06999999</v>
      </c>
      <c r="BF92" s="682">
        <v>0</v>
      </c>
      <c r="BG92" s="682">
        <v>0</v>
      </c>
      <c r="BH92" s="682">
        <v>0</v>
      </c>
      <c r="BI92" s="682">
        <v>0</v>
      </c>
      <c r="BJ92" s="682">
        <v>0</v>
      </c>
      <c r="BK92" s="682">
        <v>0</v>
      </c>
      <c r="BL92" s="682">
        <v>0</v>
      </c>
      <c r="BM92" s="682">
        <v>0</v>
      </c>
      <c r="BN92" s="682">
        <v>35306329984</v>
      </c>
      <c r="BO92" s="682">
        <v>30172135720</v>
      </c>
      <c r="BP92" s="682">
        <v>43787562863</v>
      </c>
      <c r="BQ92" s="682">
        <v>19465788302</v>
      </c>
      <c r="BR92" s="719">
        <v>1006492.43</v>
      </c>
      <c r="BS92" s="720" t="s">
        <v>574</v>
      </c>
      <c r="BT92" s="961">
        <v>803293181.77999997</v>
      </c>
      <c r="BU92" s="961">
        <v>125128227097</v>
      </c>
      <c r="BV92" s="1014">
        <v>-41870983389</v>
      </c>
      <c r="BW92" s="313">
        <v>856959.36</v>
      </c>
      <c r="BX92" s="313">
        <v>0</v>
      </c>
      <c r="BY92" s="313" t="s">
        <v>574</v>
      </c>
      <c r="BZ92" s="313" t="s">
        <v>574</v>
      </c>
      <c r="CA92" s="313" t="s">
        <v>574</v>
      </c>
      <c r="CB92" s="313">
        <v>735478969.57000005</v>
      </c>
      <c r="CC92" s="313">
        <v>3872352715.6999998</v>
      </c>
      <c r="CD92" s="313">
        <v>3136873746.0999999</v>
      </c>
      <c r="CE92" s="313"/>
      <c r="CF92" s="1255"/>
      <c r="CI92" s="875"/>
      <c r="CN92" s="1016"/>
      <c r="CO92" s="1019"/>
    </row>
    <row r="93" spans="1:94" s="682" customFormat="1" ht="9.75" customHeight="1" x14ac:dyDescent="0.3">
      <c r="A93" s="960"/>
      <c r="B93" s="682">
        <v>116150</v>
      </c>
      <c r="C93" s="680">
        <v>1987</v>
      </c>
      <c r="D93" s="684">
        <v>2757302500000</v>
      </c>
      <c r="E93" s="684">
        <v>2145219500000</v>
      </c>
      <c r="F93" s="682">
        <v>171873276225</v>
      </c>
      <c r="G93" s="682">
        <v>64926675621</v>
      </c>
      <c r="H93" s="682">
        <v>78236591655</v>
      </c>
      <c r="I93" s="682">
        <v>0</v>
      </c>
      <c r="J93" s="682">
        <v>135170952486</v>
      </c>
      <c r="K93" s="682">
        <v>2480712.2400000002</v>
      </c>
      <c r="L93" s="682">
        <v>170473944823</v>
      </c>
      <c r="M93" s="682">
        <v>12134909424</v>
      </c>
      <c r="N93" s="682">
        <v>12134909424</v>
      </c>
      <c r="O93" s="682">
        <v>12484835053</v>
      </c>
      <c r="P93" s="682">
        <v>77137081813</v>
      </c>
      <c r="Q93" s="682">
        <v>29758245157</v>
      </c>
      <c r="R93" s="682">
        <v>104868448080</v>
      </c>
      <c r="S93" s="682">
        <v>23843572371</v>
      </c>
      <c r="T93" s="682">
        <v>-1448643990</v>
      </c>
      <c r="U93" s="682">
        <v>-2184630485</v>
      </c>
      <c r="V93" s="682">
        <v>3832414141.4000001</v>
      </c>
      <c r="W93" s="682">
        <v>26061418813</v>
      </c>
      <c r="X93" s="682">
        <v>-17285141006</v>
      </c>
      <c r="Y93" s="682">
        <v>11318669036</v>
      </c>
      <c r="Z93" s="682">
        <v>130797701491</v>
      </c>
      <c r="AA93" s="682">
        <v>33781238297</v>
      </c>
      <c r="AB93" s="682">
        <v>1740412779.0999999</v>
      </c>
      <c r="AC93" s="682">
        <v>145706960486</v>
      </c>
      <c r="AD93" s="682">
        <v>123799102420</v>
      </c>
      <c r="AE93" s="682">
        <v>912959.65</v>
      </c>
      <c r="AF93" s="682">
        <v>211183862.21000001</v>
      </c>
      <c r="AG93" s="682">
        <v>0</v>
      </c>
      <c r="AH93" s="682">
        <v>0</v>
      </c>
      <c r="AI93" s="682">
        <v>0</v>
      </c>
      <c r="AJ93" s="682">
        <v>93287923.450000003</v>
      </c>
      <c r="AK93" s="682">
        <v>123230000000</v>
      </c>
      <c r="AL93" s="682">
        <v>112702000000</v>
      </c>
      <c r="AM93" s="682">
        <v>380406879943</v>
      </c>
      <c r="AN93" s="682">
        <v>14819431519</v>
      </c>
      <c r="AO93" s="682">
        <v>119037283674</v>
      </c>
      <c r="AP93" s="682">
        <v>76265893999</v>
      </c>
      <c r="AQ93" s="682">
        <v>390338018869</v>
      </c>
      <c r="AR93" s="682">
        <v>367006055.91000003</v>
      </c>
      <c r="AS93" s="682">
        <v>0</v>
      </c>
      <c r="AT93" s="682">
        <v>77137081813</v>
      </c>
      <c r="AU93" s="682">
        <v>12134909424</v>
      </c>
      <c r="AV93" s="682">
        <v>370131659424</v>
      </c>
      <c r="AW93" s="682">
        <v>43542000618</v>
      </c>
      <c r="AX93" s="682">
        <v>38980668983</v>
      </c>
      <c r="AY93" s="682">
        <v>310196072799</v>
      </c>
      <c r="AZ93" s="682">
        <v>33596843309</v>
      </c>
      <c r="BA93" s="682">
        <v>551446402.60000002</v>
      </c>
      <c r="BB93" s="682">
        <v>0</v>
      </c>
      <c r="BC93" s="682">
        <v>17924477010</v>
      </c>
      <c r="BD93" s="682">
        <v>31638492215</v>
      </c>
      <c r="BE93" s="682">
        <v>140444931.84999999</v>
      </c>
      <c r="BF93" s="682">
        <v>30550842478</v>
      </c>
      <c r="BG93" s="682">
        <v>0</v>
      </c>
      <c r="BH93" s="682">
        <v>0</v>
      </c>
      <c r="BI93" s="682">
        <v>0</v>
      </c>
      <c r="BJ93" s="682">
        <v>33746633458</v>
      </c>
      <c r="BK93" s="682">
        <v>2799704539.9000001</v>
      </c>
      <c r="BL93" s="682">
        <v>23156016933</v>
      </c>
      <c r="BM93" s="682">
        <v>1747815016.0999999</v>
      </c>
      <c r="BN93" s="682">
        <v>0</v>
      </c>
      <c r="BO93" s="682">
        <v>26075854363</v>
      </c>
      <c r="BP93" s="682">
        <v>20079882370</v>
      </c>
      <c r="BQ93" s="682">
        <v>4006629612.5</v>
      </c>
      <c r="BR93" s="719">
        <v>1466241.39</v>
      </c>
      <c r="BS93" s="720" t="s">
        <v>574</v>
      </c>
      <c r="BT93" s="961">
        <v>649859632.83000004</v>
      </c>
      <c r="BU93" s="961">
        <v>136362040944</v>
      </c>
      <c r="BV93" s="1014">
        <v>-39264704066</v>
      </c>
      <c r="BW93" s="313">
        <v>710534.12</v>
      </c>
      <c r="BX93" s="313">
        <v>0</v>
      </c>
      <c r="BY93" s="313" t="s">
        <v>574</v>
      </c>
      <c r="BZ93" s="313" t="s">
        <v>574</v>
      </c>
      <c r="CA93" s="313" t="s">
        <v>574</v>
      </c>
      <c r="CB93" s="313">
        <v>820948303.89999998</v>
      </c>
      <c r="CC93" s="313">
        <v>3952992587.5999999</v>
      </c>
      <c r="CD93" s="313">
        <v>3132044283.6999998</v>
      </c>
      <c r="CE93" s="313"/>
      <c r="CF93" s="1255"/>
      <c r="CI93" s="875"/>
      <c r="CN93" s="1016"/>
      <c r="CO93" s="1017"/>
    </row>
    <row r="94" spans="1:94" s="682" customFormat="1" ht="9.75" customHeight="1" x14ac:dyDescent="0.3">
      <c r="A94" s="960"/>
      <c r="B94" s="682">
        <v>104645</v>
      </c>
      <c r="C94" s="680">
        <v>1988</v>
      </c>
      <c r="D94" s="684">
        <v>3064605400000</v>
      </c>
      <c r="E94" s="684">
        <v>2317300900000</v>
      </c>
      <c r="F94" s="682">
        <v>189393087873</v>
      </c>
      <c r="G94" s="682">
        <v>75211563240</v>
      </c>
      <c r="H94" s="682">
        <v>89601428436</v>
      </c>
      <c r="I94" s="682">
        <v>0</v>
      </c>
      <c r="J94" s="682">
        <v>150974394310</v>
      </c>
      <c r="K94" s="682">
        <v>878779675.64999998</v>
      </c>
      <c r="L94" s="682">
        <v>197588117116</v>
      </c>
      <c r="M94" s="682">
        <v>11524012374</v>
      </c>
      <c r="N94" s="682">
        <v>11524012374</v>
      </c>
      <c r="O94" s="682">
        <v>14311307577</v>
      </c>
      <c r="P94" s="682">
        <v>83636188539</v>
      </c>
      <c r="Q94" s="682">
        <v>27991991728</v>
      </c>
      <c r="R94" s="682">
        <v>125577162653</v>
      </c>
      <c r="S94" s="682">
        <v>56230490227</v>
      </c>
      <c r="T94" s="682">
        <v>-1264791791</v>
      </c>
      <c r="U94" s="682">
        <v>7775794338.6000004</v>
      </c>
      <c r="V94" s="682">
        <v>3732721289</v>
      </c>
      <c r="W94" s="682">
        <v>28933136440</v>
      </c>
      <c r="X94" s="682">
        <v>-15098278319</v>
      </c>
      <c r="Y94" s="682">
        <v>11157186181</v>
      </c>
      <c r="Z94" s="682">
        <v>146824425409</v>
      </c>
      <c r="AA94" s="682">
        <v>36414821866</v>
      </c>
      <c r="AB94" s="682">
        <v>1666772588</v>
      </c>
      <c r="AC94" s="682">
        <v>162946340310</v>
      </c>
      <c r="AD94" s="682">
        <v>148555849616</v>
      </c>
      <c r="AE94" s="682">
        <v>845641.29</v>
      </c>
      <c r="AF94" s="682">
        <v>215944950.94</v>
      </c>
      <c r="AG94" s="682">
        <v>0</v>
      </c>
      <c r="AH94" s="682">
        <v>0</v>
      </c>
      <c r="AI94" s="682">
        <v>0</v>
      </c>
      <c r="AJ94" s="682">
        <v>95514357.069999993</v>
      </c>
      <c r="AK94" s="682">
        <v>143330000000</v>
      </c>
      <c r="AL94" s="682">
        <v>124266000000</v>
      </c>
      <c r="AM94" s="682">
        <v>426740676066</v>
      </c>
      <c r="AN94" s="682">
        <v>17112253836</v>
      </c>
      <c r="AO94" s="682">
        <v>120269107374</v>
      </c>
      <c r="AP94" s="682">
        <v>75684260025</v>
      </c>
      <c r="AQ94" s="682">
        <v>393633612171</v>
      </c>
      <c r="AR94" s="682">
        <v>0</v>
      </c>
      <c r="AS94" s="682">
        <v>0</v>
      </c>
      <c r="AT94" s="682">
        <v>83636188539</v>
      </c>
      <c r="AU94" s="682">
        <v>11524012374</v>
      </c>
      <c r="AV94" s="682">
        <v>414938875230</v>
      </c>
      <c r="AW94" s="682">
        <v>45799987350</v>
      </c>
      <c r="AX94" s="682">
        <v>40886897913</v>
      </c>
      <c r="AY94" s="682">
        <v>347175926520</v>
      </c>
      <c r="AZ94" s="682">
        <v>38966450274</v>
      </c>
      <c r="BA94" s="682">
        <v>683383799.54999995</v>
      </c>
      <c r="BB94" s="682">
        <v>0</v>
      </c>
      <c r="BC94" s="682">
        <v>33934527239</v>
      </c>
      <c r="BD94" s="682">
        <v>50510942101</v>
      </c>
      <c r="BE94" s="682">
        <v>143103182.63999999</v>
      </c>
      <c r="BF94" s="682">
        <v>32604397672</v>
      </c>
      <c r="BG94" s="682">
        <v>0</v>
      </c>
      <c r="BH94" s="682">
        <v>0</v>
      </c>
      <c r="BI94" s="682">
        <v>0</v>
      </c>
      <c r="BJ94" s="682">
        <v>30429299178</v>
      </c>
      <c r="BK94" s="682">
        <v>4252987738.3000002</v>
      </c>
      <c r="BL94" s="682">
        <v>21396685999</v>
      </c>
      <c r="BM94" s="682">
        <v>2858527452.3000002</v>
      </c>
      <c r="BN94" s="682">
        <v>0</v>
      </c>
      <c r="BO94" s="682">
        <v>23766936420</v>
      </c>
      <c r="BP94" s="682">
        <v>18379495396</v>
      </c>
      <c r="BQ94" s="682">
        <v>4227475804.8000002</v>
      </c>
      <c r="BR94" s="719">
        <v>1622555.07</v>
      </c>
      <c r="BS94" s="720" t="s">
        <v>574</v>
      </c>
      <c r="BT94" s="961">
        <v>1857382170.9000001</v>
      </c>
      <c r="BU94" s="961">
        <v>148674469575</v>
      </c>
      <c r="BV94" s="1014">
        <v>-40525344772</v>
      </c>
      <c r="BW94" s="313">
        <v>690412.22</v>
      </c>
      <c r="BX94" s="313">
        <v>0</v>
      </c>
      <c r="BY94" s="313" t="s">
        <v>574</v>
      </c>
      <c r="BZ94" s="313" t="s">
        <v>574</v>
      </c>
      <c r="CA94" s="313" t="s">
        <v>574</v>
      </c>
      <c r="CB94" s="313">
        <v>1134663573.5999999</v>
      </c>
      <c r="CC94" s="313">
        <v>4129985872.5</v>
      </c>
      <c r="CD94" s="313">
        <v>2995322298.9000001</v>
      </c>
      <c r="CE94" s="313"/>
      <c r="CF94" s="1255"/>
      <c r="CI94" s="875"/>
      <c r="CN94" s="1016"/>
      <c r="CO94" s="1017"/>
    </row>
    <row r="95" spans="1:94" s="682" customFormat="1" ht="9.75" customHeight="1" x14ac:dyDescent="0.3">
      <c r="A95" s="960"/>
      <c r="B95" s="682">
        <v>104370</v>
      </c>
      <c r="C95" s="680">
        <v>1989</v>
      </c>
      <c r="D95" s="684">
        <v>3237661400000</v>
      </c>
      <c r="E95" s="684">
        <v>2428142400000</v>
      </c>
      <c r="F95" s="682">
        <v>222373553298</v>
      </c>
      <c r="G95" s="682">
        <v>79142445116</v>
      </c>
      <c r="H95" s="682">
        <v>94019539069</v>
      </c>
      <c r="I95" s="682">
        <v>0</v>
      </c>
      <c r="J95" s="682">
        <v>142068014786</v>
      </c>
      <c r="K95" s="682">
        <v>1504949346.3</v>
      </c>
      <c r="L95" s="682">
        <v>223998442689</v>
      </c>
      <c r="M95" s="682">
        <v>11961533388</v>
      </c>
      <c r="N95" s="682">
        <v>11961533388</v>
      </c>
      <c r="O95" s="682">
        <v>17306111531</v>
      </c>
      <c r="P95" s="682">
        <v>91200738413</v>
      </c>
      <c r="Q95" s="682">
        <v>24320075471</v>
      </c>
      <c r="R95" s="682">
        <v>132286727830</v>
      </c>
      <c r="S95" s="682">
        <v>62298918644</v>
      </c>
      <c r="T95" s="682">
        <v>-283526498.39999998</v>
      </c>
      <c r="U95" s="682">
        <v>10172850140</v>
      </c>
      <c r="V95" s="682">
        <v>3592130324.4000001</v>
      </c>
      <c r="W95" s="682">
        <v>31917567130</v>
      </c>
      <c r="X95" s="682">
        <v>18076760807</v>
      </c>
      <c r="Y95" s="682">
        <v>9172862490.2999992</v>
      </c>
      <c r="Z95" s="682">
        <v>155116990811</v>
      </c>
      <c r="AA95" s="682">
        <v>37134311516</v>
      </c>
      <c r="AB95" s="682">
        <v>1918384693.4000001</v>
      </c>
      <c r="AC95" s="682">
        <v>155475898786</v>
      </c>
      <c r="AD95" s="682">
        <v>160202296374</v>
      </c>
      <c r="AE95" s="682">
        <v>765520.96</v>
      </c>
      <c r="AF95" s="682">
        <v>217992272.58000001</v>
      </c>
      <c r="AG95" s="682">
        <v>0</v>
      </c>
      <c r="AH95" s="682">
        <v>0</v>
      </c>
      <c r="AI95" s="682">
        <v>0</v>
      </c>
      <c r="AJ95" s="682">
        <v>97576535.329999998</v>
      </c>
      <c r="AK95" s="682">
        <v>110199000000</v>
      </c>
      <c r="AL95" s="682">
        <v>124422000000</v>
      </c>
      <c r="AM95" s="682">
        <v>447904371553</v>
      </c>
      <c r="AN95" s="682">
        <v>18286168212</v>
      </c>
      <c r="AO95" s="682">
        <v>130827056981</v>
      </c>
      <c r="AP95" s="682">
        <v>81841050422</v>
      </c>
      <c r="AQ95" s="682">
        <v>428999750108</v>
      </c>
      <c r="AR95" s="682">
        <v>0</v>
      </c>
      <c r="AS95" s="682">
        <v>0</v>
      </c>
      <c r="AT95" s="682">
        <v>91200738413</v>
      </c>
      <c r="AU95" s="682">
        <v>11961533388</v>
      </c>
      <c r="AV95" s="682">
        <v>435694898340</v>
      </c>
      <c r="AW95" s="682">
        <v>50278669559</v>
      </c>
      <c r="AX95" s="682">
        <v>45120074199</v>
      </c>
      <c r="AY95" s="682">
        <v>365654461350</v>
      </c>
      <c r="AZ95" s="682">
        <v>43306578622</v>
      </c>
      <c r="BA95" s="682">
        <v>724239086.67999995</v>
      </c>
      <c r="BB95" s="682">
        <v>0</v>
      </c>
      <c r="BC95" s="682">
        <v>34139844292</v>
      </c>
      <c r="BD95" s="682">
        <v>54982010999</v>
      </c>
      <c r="BE95" s="682">
        <v>145147440</v>
      </c>
      <c r="BF95" s="682">
        <v>37321573774</v>
      </c>
      <c r="BG95" s="682">
        <v>0</v>
      </c>
      <c r="BH95" s="682">
        <v>0</v>
      </c>
      <c r="BI95" s="682">
        <v>0</v>
      </c>
      <c r="BJ95" s="682">
        <v>26412882683</v>
      </c>
      <c r="BK95" s="682">
        <v>6270093580.1000004</v>
      </c>
      <c r="BL95" s="682">
        <v>18915382026</v>
      </c>
      <c r="BM95" s="682">
        <v>4304406298</v>
      </c>
      <c r="BN95" s="682">
        <v>0</v>
      </c>
      <c r="BO95" s="682">
        <v>24347991045</v>
      </c>
      <c r="BP95" s="682">
        <v>17001161581</v>
      </c>
      <c r="BQ95" s="682">
        <v>30682662.25</v>
      </c>
      <c r="BR95" s="719">
        <v>1961298.46</v>
      </c>
      <c r="BS95" s="720" t="s">
        <v>574</v>
      </c>
      <c r="BT95" s="961">
        <v>1079421426</v>
      </c>
      <c r="BU95" s="961">
        <v>168879675395</v>
      </c>
      <c r="BV95" s="1014">
        <v>-41931486539</v>
      </c>
      <c r="BW95" s="313">
        <v>704670.33</v>
      </c>
      <c r="BX95" s="313">
        <v>0</v>
      </c>
      <c r="BY95" s="313" t="s">
        <v>574</v>
      </c>
      <c r="BZ95" s="313" t="s">
        <v>574</v>
      </c>
      <c r="CA95" s="313" t="s">
        <v>574</v>
      </c>
      <c r="CB95" s="313">
        <v>916641114.38</v>
      </c>
      <c r="CC95" s="313">
        <v>4448565085.8999996</v>
      </c>
      <c r="CD95" s="313">
        <v>3531923971.5</v>
      </c>
      <c r="CE95" s="313"/>
      <c r="CF95" s="1255"/>
      <c r="CG95" s="252"/>
      <c r="CH95" s="252"/>
      <c r="CI95" s="875"/>
      <c r="CN95" s="1016"/>
      <c r="CO95" s="1017"/>
    </row>
    <row r="96" spans="1:94" s="682" customFormat="1" ht="9.75" customHeight="1" x14ac:dyDescent="0.3">
      <c r="A96" s="960"/>
      <c r="B96" s="682">
        <v>99349</v>
      </c>
      <c r="C96" s="680">
        <v>1990</v>
      </c>
      <c r="D96" s="684">
        <v>3386228700000</v>
      </c>
      <c r="E96" s="684">
        <v>2576582900000</v>
      </c>
      <c r="F96" s="682">
        <v>229196281610</v>
      </c>
      <c r="G96" s="682">
        <v>77913377835</v>
      </c>
      <c r="H96" s="682">
        <v>93367124536</v>
      </c>
      <c r="I96" s="682">
        <v>0</v>
      </c>
      <c r="J96" s="682">
        <v>111679363276</v>
      </c>
      <c r="K96" s="682">
        <v>984648764</v>
      </c>
      <c r="L96" s="682">
        <v>248359227431</v>
      </c>
      <c r="M96" s="682">
        <v>15266902928</v>
      </c>
      <c r="N96" s="682">
        <v>15266902928</v>
      </c>
      <c r="O96" s="682">
        <v>19661333262</v>
      </c>
      <c r="P96" s="682">
        <v>99480068548</v>
      </c>
      <c r="Q96" s="682">
        <v>33601089472</v>
      </c>
      <c r="R96" s="682">
        <v>140620381210</v>
      </c>
      <c r="S96" s="682">
        <v>65995056534</v>
      </c>
      <c r="T96" s="682">
        <v>-459460651.19999999</v>
      </c>
      <c r="U96" s="682">
        <v>13792867437</v>
      </c>
      <c r="V96" s="682">
        <v>3915316479.9000001</v>
      </c>
      <c r="W96" s="682">
        <v>35313842353</v>
      </c>
      <c r="X96" s="682">
        <v>18602289153</v>
      </c>
      <c r="Y96" s="682">
        <v>10107998613</v>
      </c>
      <c r="Z96" s="682">
        <v>163811647913</v>
      </c>
      <c r="AA96" s="682">
        <v>39884991544</v>
      </c>
      <c r="AB96" s="682">
        <v>1910905102.0999999</v>
      </c>
      <c r="AC96" s="682">
        <v>126523185276</v>
      </c>
      <c r="AD96" s="682">
        <v>175622875256</v>
      </c>
      <c r="AE96" s="682">
        <v>957380.08</v>
      </c>
      <c r="AF96" s="682">
        <v>222253437.75999999</v>
      </c>
      <c r="AG96" s="682">
        <v>0</v>
      </c>
      <c r="AH96" s="682">
        <v>0</v>
      </c>
      <c r="AI96" s="682">
        <v>0</v>
      </c>
      <c r="AJ96" s="682">
        <v>99600095.290000007</v>
      </c>
      <c r="AK96" s="682">
        <v>102666000000</v>
      </c>
      <c r="AL96" s="682">
        <v>121816000000</v>
      </c>
      <c r="AM96" s="682">
        <v>465125531548</v>
      </c>
      <c r="AN96" s="682">
        <v>20729100684</v>
      </c>
      <c r="AO96" s="682">
        <v>139648660620</v>
      </c>
      <c r="AP96" s="682">
        <v>86131740387</v>
      </c>
      <c r="AQ96" s="682">
        <v>456526172694</v>
      </c>
      <c r="AR96" s="682">
        <v>0</v>
      </c>
      <c r="AS96" s="682">
        <v>0</v>
      </c>
      <c r="AT96" s="682">
        <v>99480068548</v>
      </c>
      <c r="AU96" s="682">
        <v>15266902928</v>
      </c>
      <c r="AV96" s="682">
        <v>451239368864</v>
      </c>
      <c r="AW96" s="682">
        <v>54887107233</v>
      </c>
      <c r="AX96" s="682">
        <v>49586649357</v>
      </c>
      <c r="AY96" s="682">
        <v>388237388053</v>
      </c>
      <c r="AZ96" s="682">
        <v>49548649783</v>
      </c>
      <c r="BA96" s="682">
        <v>798639744.14999998</v>
      </c>
      <c r="BB96" s="682">
        <v>0</v>
      </c>
      <c r="BC96" s="682">
        <v>35343502949</v>
      </c>
      <c r="BD96" s="682">
        <v>58594651433</v>
      </c>
      <c r="BE96" s="682">
        <v>147500848.40000001</v>
      </c>
      <c r="BF96" s="682">
        <v>39998900527</v>
      </c>
      <c r="BG96" s="682">
        <v>0</v>
      </c>
      <c r="BH96" s="682">
        <v>0</v>
      </c>
      <c r="BI96" s="682">
        <v>0</v>
      </c>
      <c r="BJ96" s="682">
        <v>22734085701</v>
      </c>
      <c r="BK96" s="682">
        <v>6161400333.3999996</v>
      </c>
      <c r="BL96" s="682">
        <v>16422573589</v>
      </c>
      <c r="BM96" s="682">
        <v>4145745848.5</v>
      </c>
      <c r="BN96" s="682">
        <v>0</v>
      </c>
      <c r="BO96" s="682">
        <v>24536256449</v>
      </c>
      <c r="BP96" s="682">
        <v>16500622075</v>
      </c>
      <c r="BQ96" s="682">
        <v>724328001.72000003</v>
      </c>
      <c r="BR96" s="682">
        <v>2067299.38</v>
      </c>
      <c r="BS96" s="682" t="s">
        <v>574</v>
      </c>
      <c r="BT96" s="961">
        <v>1444051552.2</v>
      </c>
      <c r="BU96" s="961">
        <v>188571881154</v>
      </c>
      <c r="BV96" s="1014">
        <v>-44940969663</v>
      </c>
      <c r="BW96" s="313">
        <v>752248.36</v>
      </c>
      <c r="BX96" s="313">
        <v>0</v>
      </c>
      <c r="BY96" s="313" t="s">
        <v>574</v>
      </c>
      <c r="BZ96" s="313" t="s">
        <v>574</v>
      </c>
      <c r="CA96" s="313" t="s">
        <v>574</v>
      </c>
      <c r="CB96" s="313">
        <v>995315913.11000001</v>
      </c>
      <c r="CC96" s="313">
        <v>4828190167.8999996</v>
      </c>
      <c r="CD96" s="313">
        <v>3832874254.8000002</v>
      </c>
      <c r="CE96" s="313"/>
      <c r="CF96" s="1255"/>
      <c r="CG96" s="252"/>
      <c r="CH96" s="252"/>
      <c r="CI96" s="875"/>
      <c r="CN96" s="1016"/>
      <c r="CO96" s="1017"/>
    </row>
    <row r="97" spans="1:93" s="252" customFormat="1" ht="9.75" customHeight="1" x14ac:dyDescent="0.3">
      <c r="A97" s="960"/>
      <c r="B97" s="252">
        <v>109512</v>
      </c>
      <c r="C97" s="680">
        <v>1991</v>
      </c>
      <c r="D97" s="681">
        <v>3444798600000</v>
      </c>
      <c r="E97" s="681">
        <v>2649880700000</v>
      </c>
      <c r="F97" s="252">
        <v>212400028374</v>
      </c>
      <c r="G97" s="252">
        <v>75132245397</v>
      </c>
      <c r="H97" s="252">
        <v>90456468634</v>
      </c>
      <c r="I97" s="252">
        <v>0</v>
      </c>
      <c r="J97" s="252">
        <v>99949415794</v>
      </c>
      <c r="K97" s="252">
        <v>1114524048.5</v>
      </c>
      <c r="L97" s="252">
        <v>279594752481</v>
      </c>
      <c r="M97" s="252">
        <v>23110928438</v>
      </c>
      <c r="N97" s="252">
        <v>23110928438</v>
      </c>
      <c r="O97" s="252">
        <v>21296036289</v>
      </c>
      <c r="P97" s="252">
        <v>107489060635</v>
      </c>
      <c r="Q97" s="252">
        <v>34379705891</v>
      </c>
      <c r="R97" s="252">
        <v>140841682970</v>
      </c>
      <c r="S97" s="252">
        <v>62260713176</v>
      </c>
      <c r="T97" s="252">
        <v>-2883658602</v>
      </c>
      <c r="U97" s="252">
        <v>14976469339</v>
      </c>
      <c r="V97" s="252">
        <v>3453435492</v>
      </c>
      <c r="W97" s="252">
        <v>39845761323</v>
      </c>
      <c r="X97" s="252">
        <v>19720174298</v>
      </c>
      <c r="Y97" s="252">
        <v>10300253728</v>
      </c>
      <c r="Z97" s="252">
        <v>171159653797</v>
      </c>
      <c r="AA97" s="252">
        <v>40442355550</v>
      </c>
      <c r="AB97" s="252">
        <v>2015775179.9000001</v>
      </c>
      <c r="AC97" s="252">
        <v>116229175794</v>
      </c>
      <c r="AD97" s="252">
        <v>195435832689</v>
      </c>
      <c r="AE97" s="252">
        <v>891448.27</v>
      </c>
      <c r="AF97" s="252">
        <v>226195623.75999999</v>
      </c>
      <c r="AG97" s="252">
        <v>0</v>
      </c>
      <c r="AH97" s="252">
        <v>0</v>
      </c>
      <c r="AI97" s="252">
        <v>0</v>
      </c>
      <c r="AJ97" s="252">
        <v>101485395.47</v>
      </c>
      <c r="AK97" s="252">
        <v>132225000000</v>
      </c>
      <c r="AL97" s="252">
        <v>117813000000</v>
      </c>
      <c r="AM97" s="252">
        <v>468721586317</v>
      </c>
      <c r="AN97" s="252">
        <v>21782248573</v>
      </c>
      <c r="AO97" s="252">
        <v>147401272936</v>
      </c>
      <c r="AP97" s="252">
        <v>89166773885</v>
      </c>
      <c r="AQ97" s="252">
        <v>465863556774</v>
      </c>
      <c r="AR97" s="252">
        <v>0</v>
      </c>
      <c r="AS97" s="252">
        <v>0</v>
      </c>
      <c r="AT97" s="252">
        <v>107489060635</v>
      </c>
      <c r="AU97" s="252">
        <v>23110928438</v>
      </c>
      <c r="AV97" s="252">
        <v>454548517744</v>
      </c>
      <c r="AW97" s="252">
        <v>59682209052</v>
      </c>
      <c r="AX97" s="252">
        <v>53999634896</v>
      </c>
      <c r="AY97" s="252">
        <v>404543911717</v>
      </c>
      <c r="AZ97" s="252">
        <v>57284004626</v>
      </c>
      <c r="BA97" s="252">
        <v>863055538.70000005</v>
      </c>
      <c r="BB97" s="252">
        <v>0</v>
      </c>
      <c r="BC97" s="252">
        <v>30871440178</v>
      </c>
      <c r="BD97" s="252">
        <v>56547061910</v>
      </c>
      <c r="BE97" s="252">
        <v>149685701.80000001</v>
      </c>
      <c r="BF97" s="682">
        <v>42831252595</v>
      </c>
      <c r="BG97" s="252">
        <v>0</v>
      </c>
      <c r="BH97" s="252">
        <v>0</v>
      </c>
      <c r="BI97" s="252">
        <v>0</v>
      </c>
      <c r="BJ97" s="252">
        <v>19970606683</v>
      </c>
      <c r="BK97" s="252">
        <v>6209680197.3999996</v>
      </c>
      <c r="BL97" s="252">
        <v>13965277259</v>
      </c>
      <c r="BM97" s="252">
        <v>3992299637.0999999</v>
      </c>
      <c r="BN97" s="252">
        <v>0</v>
      </c>
      <c r="BO97" s="252">
        <v>24225970992</v>
      </c>
      <c r="BP97" s="252">
        <v>15800204904</v>
      </c>
      <c r="BQ97" s="682">
        <v>0</v>
      </c>
      <c r="BR97" s="682">
        <v>2197679.0699999998</v>
      </c>
      <c r="BS97" s="682">
        <v>0</v>
      </c>
      <c r="BT97" s="960">
        <v>-2191594536</v>
      </c>
      <c r="BU97" s="960">
        <v>200394880404</v>
      </c>
      <c r="BV97" s="1014">
        <v>-50892745517</v>
      </c>
      <c r="BW97" s="313">
        <v>783495.34</v>
      </c>
      <c r="BX97" s="313">
        <v>0</v>
      </c>
      <c r="BY97" s="313" t="s">
        <v>574</v>
      </c>
      <c r="BZ97" s="313" t="s">
        <v>574</v>
      </c>
      <c r="CA97" s="313" t="s">
        <v>574</v>
      </c>
      <c r="CB97" s="313">
        <v>1150213738</v>
      </c>
      <c r="CC97" s="313">
        <v>5253340382</v>
      </c>
      <c r="CD97" s="313">
        <v>4103126644.0999999</v>
      </c>
      <c r="CE97" s="313"/>
      <c r="CF97" s="1255"/>
      <c r="CI97" s="875"/>
      <c r="CK97" s="682"/>
      <c r="CL97" s="682"/>
      <c r="CM97" s="682"/>
      <c r="CN97" s="1016"/>
      <c r="CO97" s="1019"/>
    </row>
    <row r="98" spans="1:93" s="252" customFormat="1" ht="9.75" customHeight="1" x14ac:dyDescent="0.3">
      <c r="A98" s="960"/>
      <c r="B98" s="252">
        <v>98918</v>
      </c>
      <c r="C98" s="680">
        <v>1992</v>
      </c>
      <c r="D98" s="681">
        <v>3608285400000</v>
      </c>
      <c r="E98" s="681">
        <v>2770554400000</v>
      </c>
      <c r="F98" s="252">
        <v>166480545300</v>
      </c>
      <c r="G98" s="252">
        <v>76018168314</v>
      </c>
      <c r="H98" s="252">
        <v>90552067022</v>
      </c>
      <c r="I98" s="252">
        <v>0</v>
      </c>
      <c r="J98" s="252">
        <v>114478357232</v>
      </c>
      <c r="K98" s="252">
        <v>1689562394.2</v>
      </c>
      <c r="L98" s="252">
        <v>315904232926</v>
      </c>
      <c r="M98" s="252">
        <v>31130218528</v>
      </c>
      <c r="N98" s="252">
        <v>31130218528</v>
      </c>
      <c r="O98" s="252">
        <v>23078646721</v>
      </c>
      <c r="P98" s="252">
        <v>110285926415</v>
      </c>
      <c r="Q98" s="252">
        <v>35083461760</v>
      </c>
      <c r="R98" s="252">
        <v>152818322603</v>
      </c>
      <c r="S98" s="252">
        <v>86559141601</v>
      </c>
      <c r="T98" s="252">
        <v>-2577458652</v>
      </c>
      <c r="U98" s="252">
        <v>19918648718</v>
      </c>
      <c r="V98" s="252">
        <v>3585880144.9000001</v>
      </c>
      <c r="W98" s="252">
        <v>41896497270</v>
      </c>
      <c r="X98" s="252">
        <v>21469241099</v>
      </c>
      <c r="Y98" s="252">
        <v>10137999666</v>
      </c>
      <c r="Z98" s="252">
        <v>181345442669</v>
      </c>
      <c r="AA98" s="252">
        <v>40849489902</v>
      </c>
      <c r="AB98" s="252">
        <v>2148169090.5</v>
      </c>
      <c r="AC98" s="252">
        <v>132194055232</v>
      </c>
      <c r="AD98" s="252">
        <v>211144459897</v>
      </c>
      <c r="AE98" s="252">
        <v>713100</v>
      </c>
      <c r="AF98" s="252">
        <v>225293136.47</v>
      </c>
      <c r="AG98" s="252">
        <v>0</v>
      </c>
      <c r="AH98" s="252">
        <v>0</v>
      </c>
      <c r="AI98" s="252">
        <v>0</v>
      </c>
      <c r="AJ98" s="252">
        <v>100723759.62</v>
      </c>
      <c r="AK98" s="252">
        <v>137067000000</v>
      </c>
      <c r="AL98" s="252">
        <v>131914000000</v>
      </c>
      <c r="AM98" s="252">
        <v>497793483603</v>
      </c>
      <c r="AN98" s="252">
        <v>23020474052</v>
      </c>
      <c r="AO98" s="252">
        <v>159930766670</v>
      </c>
      <c r="AP98" s="252">
        <v>98114666968</v>
      </c>
      <c r="AQ98" s="252">
        <v>480108795270</v>
      </c>
      <c r="AR98" s="252">
        <v>0</v>
      </c>
      <c r="AS98" s="252">
        <v>0</v>
      </c>
      <c r="AT98" s="252">
        <v>110285926415</v>
      </c>
      <c r="AU98" s="252">
        <v>31130218528</v>
      </c>
      <c r="AV98" s="252">
        <v>483148431551</v>
      </c>
      <c r="AW98" s="252">
        <v>63341332703</v>
      </c>
      <c r="AX98" s="252">
        <v>57293259816</v>
      </c>
      <c r="AY98" s="252">
        <v>426560849292</v>
      </c>
      <c r="AZ98" s="252">
        <v>68787179522</v>
      </c>
      <c r="BA98" s="252">
        <v>1001896249.9</v>
      </c>
      <c r="BB98" s="252">
        <v>0</v>
      </c>
      <c r="BC98" s="252">
        <v>46959202932</v>
      </c>
      <c r="BD98" s="252">
        <v>69867432988</v>
      </c>
      <c r="BE98" s="252">
        <v>148246470.91999999</v>
      </c>
      <c r="BF98" s="682">
        <v>45432320640</v>
      </c>
      <c r="BG98" s="252">
        <v>0</v>
      </c>
      <c r="BH98" s="252">
        <v>0</v>
      </c>
      <c r="BI98" s="252">
        <v>0</v>
      </c>
      <c r="BJ98" s="252">
        <v>19721646689</v>
      </c>
      <c r="BK98" s="252">
        <v>5329921041.6000004</v>
      </c>
      <c r="BL98" s="252">
        <v>13480124971</v>
      </c>
      <c r="BM98" s="252">
        <v>3179361809.6999998</v>
      </c>
      <c r="BN98" s="252">
        <v>0</v>
      </c>
      <c r="BO98" s="252">
        <v>21035800588</v>
      </c>
      <c r="BP98" s="252">
        <v>16116023297</v>
      </c>
      <c r="BQ98" s="682">
        <v>0</v>
      </c>
      <c r="BR98" s="682">
        <v>2332296.77</v>
      </c>
      <c r="BS98" s="682">
        <v>0</v>
      </c>
      <c r="BT98" s="960">
        <v>-2640541527</v>
      </c>
      <c r="BU98" s="960">
        <v>196360161496</v>
      </c>
      <c r="BV98" s="1014">
        <v>-50774319478</v>
      </c>
      <c r="BW98" s="313">
        <v>731385.63</v>
      </c>
      <c r="BX98" s="313">
        <v>0</v>
      </c>
      <c r="BY98" s="313" t="s">
        <v>574</v>
      </c>
      <c r="BZ98" s="313" t="s">
        <v>574</v>
      </c>
      <c r="CA98" s="313" t="s">
        <v>574</v>
      </c>
      <c r="CB98" s="313">
        <v>901284718.20000005</v>
      </c>
      <c r="CC98" s="313">
        <v>5454498565.1000004</v>
      </c>
      <c r="CD98" s="313">
        <v>4553213846.8999996</v>
      </c>
      <c r="CE98" s="313"/>
      <c r="CF98" s="1255"/>
      <c r="CI98" s="875"/>
      <c r="CK98" s="682"/>
      <c r="CL98" s="682"/>
      <c r="CM98" s="682"/>
      <c r="CN98" s="1016"/>
      <c r="CO98" s="1019"/>
    </row>
    <row r="99" spans="1:93" s="252" customFormat="1" ht="9.75" customHeight="1" x14ac:dyDescent="0.3">
      <c r="A99" s="960"/>
      <c r="B99" s="252">
        <v>100090</v>
      </c>
      <c r="C99" s="680">
        <v>1993</v>
      </c>
      <c r="D99" s="681">
        <v>3701324600000</v>
      </c>
      <c r="E99" s="681">
        <v>2866314800000</v>
      </c>
      <c r="F99" s="252">
        <v>136332777351</v>
      </c>
      <c r="G99" s="252">
        <v>77677572711</v>
      </c>
      <c r="H99" s="252">
        <v>92635028957</v>
      </c>
      <c r="I99" s="252">
        <v>0</v>
      </c>
      <c r="J99" s="252">
        <v>138441512951</v>
      </c>
      <c r="K99" s="252">
        <v>2367008012.1999998</v>
      </c>
      <c r="L99" s="252">
        <v>316700479660</v>
      </c>
      <c r="M99" s="252">
        <v>27413533763</v>
      </c>
      <c r="N99" s="252">
        <v>27413533763</v>
      </c>
      <c r="O99" s="252">
        <v>24556640625</v>
      </c>
      <c r="P99" s="252">
        <v>111233313942</v>
      </c>
      <c r="Q99" s="252">
        <v>36255259336</v>
      </c>
      <c r="R99" s="252">
        <v>154496624388</v>
      </c>
      <c r="S99" s="252">
        <v>91499605178</v>
      </c>
      <c r="T99" s="252">
        <v>-3724431090</v>
      </c>
      <c r="U99" s="252">
        <v>24710450963</v>
      </c>
      <c r="V99" s="252">
        <v>4276470169.0999999</v>
      </c>
      <c r="W99" s="252">
        <v>43849075918</v>
      </c>
      <c r="X99" s="252">
        <v>19585341771</v>
      </c>
      <c r="Y99" s="252">
        <v>11176958588</v>
      </c>
      <c r="Z99" s="252">
        <v>189109225602</v>
      </c>
      <c r="AA99" s="252">
        <v>41886558064</v>
      </c>
      <c r="AB99" s="252">
        <v>2165761596.5</v>
      </c>
      <c r="AC99" s="252">
        <v>157593148951</v>
      </c>
      <c r="AD99" s="252">
        <v>219397063459</v>
      </c>
      <c r="AE99" s="252">
        <v>786540.68</v>
      </c>
      <c r="AF99" s="252">
        <v>228254014.06</v>
      </c>
      <c r="AG99" s="252">
        <v>0</v>
      </c>
      <c r="AH99" s="252">
        <v>0</v>
      </c>
      <c r="AI99" s="252">
        <v>0</v>
      </c>
      <c r="AJ99" s="252">
        <v>102146272.43000001</v>
      </c>
      <c r="AK99" s="252">
        <v>145644000000</v>
      </c>
      <c r="AL99" s="252">
        <v>155047000000</v>
      </c>
      <c r="AM99" s="252">
        <v>524473308597</v>
      </c>
      <c r="AN99" s="252">
        <v>23592836864</v>
      </c>
      <c r="AO99" s="252">
        <v>169285494519</v>
      </c>
      <c r="AP99" s="252">
        <v>103211142296</v>
      </c>
      <c r="AQ99" s="252">
        <v>2761385009.8000002</v>
      </c>
      <c r="AR99" s="252">
        <v>0</v>
      </c>
      <c r="AS99" s="252">
        <v>0</v>
      </c>
      <c r="AT99" s="252">
        <v>111233313942</v>
      </c>
      <c r="AU99" s="252">
        <v>27413533763</v>
      </c>
      <c r="AV99" s="252">
        <v>510022135733</v>
      </c>
      <c r="AW99" s="252">
        <v>67677109223</v>
      </c>
      <c r="AX99" s="252">
        <v>61146344905</v>
      </c>
      <c r="AY99" s="252">
        <v>443697846132</v>
      </c>
      <c r="AZ99" s="252">
        <v>87502613389</v>
      </c>
      <c r="BA99" s="252">
        <v>1017601336</v>
      </c>
      <c r="BB99" s="252">
        <v>0</v>
      </c>
      <c r="BC99" s="252">
        <v>50456913681</v>
      </c>
      <c r="BD99" s="252">
        <v>72667942459</v>
      </c>
      <c r="BE99" s="252">
        <v>149991263.62</v>
      </c>
      <c r="BF99" s="682">
        <v>46170306726</v>
      </c>
      <c r="BG99" s="252">
        <v>0</v>
      </c>
      <c r="BH99" s="252">
        <v>0</v>
      </c>
      <c r="BI99" s="252">
        <v>0</v>
      </c>
      <c r="BJ99" s="252">
        <v>32700426187</v>
      </c>
      <c r="BK99" s="252">
        <v>4927207496.3999996</v>
      </c>
      <c r="BL99" s="252">
        <v>22281812112</v>
      </c>
      <c r="BM99" s="252">
        <v>2836566124.3000002</v>
      </c>
      <c r="BN99" s="252">
        <v>0</v>
      </c>
      <c r="BO99" s="252">
        <v>20943601921</v>
      </c>
      <c r="BP99" s="252">
        <v>16512670816</v>
      </c>
      <c r="BQ99" s="682">
        <v>0</v>
      </c>
      <c r="BR99" s="682">
        <v>2319137.7999999998</v>
      </c>
      <c r="BS99" s="682">
        <v>0</v>
      </c>
      <c r="BT99" s="960">
        <v>-3709059237</v>
      </c>
      <c r="BU99" s="960">
        <v>188021058728</v>
      </c>
      <c r="BV99" s="1014">
        <v>-51457715074</v>
      </c>
      <c r="BW99" s="313">
        <v>740855.81</v>
      </c>
      <c r="BX99" s="313">
        <v>0</v>
      </c>
      <c r="BY99" s="313" t="s">
        <v>574</v>
      </c>
      <c r="BZ99" s="313" t="s">
        <v>574</v>
      </c>
      <c r="CA99" s="313" t="s">
        <v>574</v>
      </c>
      <c r="CB99" s="313">
        <v>1056812177.1</v>
      </c>
      <c r="CC99" s="313">
        <v>5260013550.5</v>
      </c>
      <c r="CD99" s="313">
        <v>4203201373.4000001</v>
      </c>
      <c r="CE99" s="313"/>
      <c r="CF99" s="1255"/>
      <c r="CI99" s="875"/>
      <c r="CK99" s="682"/>
      <c r="CL99" s="682"/>
      <c r="CM99" s="682"/>
      <c r="CN99" s="1016"/>
      <c r="CO99" s="1019"/>
    </row>
    <row r="100" spans="1:93" s="252" customFormat="1" ht="9.75" customHeight="1" x14ac:dyDescent="0.3">
      <c r="A100" s="960"/>
      <c r="B100" s="252">
        <v>104395</v>
      </c>
      <c r="C100" s="680">
        <v>1994</v>
      </c>
      <c r="D100" s="681">
        <v>3886489000000</v>
      </c>
      <c r="E100" s="681">
        <v>3000135500000</v>
      </c>
      <c r="F100" s="252">
        <v>132106375477</v>
      </c>
      <c r="G100" s="252">
        <v>80202969695</v>
      </c>
      <c r="H100" s="252">
        <v>96295132379</v>
      </c>
      <c r="I100" s="252">
        <v>0</v>
      </c>
      <c r="J100" s="252">
        <v>137215518406</v>
      </c>
      <c r="K100" s="252">
        <v>2506968309</v>
      </c>
      <c r="L100" s="252">
        <v>342118847159</v>
      </c>
      <c r="M100" s="252">
        <v>20141862728</v>
      </c>
      <c r="N100" s="252">
        <v>20141862728</v>
      </c>
      <c r="O100" s="252">
        <v>38506992508</v>
      </c>
      <c r="P100" s="252">
        <v>111559249807</v>
      </c>
      <c r="Q100" s="252">
        <v>38563272968</v>
      </c>
      <c r="R100" s="252">
        <v>165109348645</v>
      </c>
      <c r="S100" s="252">
        <v>112879575585</v>
      </c>
      <c r="T100" s="252">
        <v>-7407459631</v>
      </c>
      <c r="U100" s="252">
        <v>28805593623</v>
      </c>
      <c r="V100" s="252">
        <v>5202191463.5</v>
      </c>
      <c r="W100" s="252">
        <v>46830592699</v>
      </c>
      <c r="X100" s="252">
        <v>21939089879</v>
      </c>
      <c r="Y100" s="252">
        <v>11785090980</v>
      </c>
      <c r="Z100" s="252">
        <v>201338162962</v>
      </c>
      <c r="AA100" s="252">
        <v>42528814032</v>
      </c>
      <c r="AB100" s="252">
        <v>2771651786.3000002</v>
      </c>
      <c r="AC100" s="252">
        <v>157803092406</v>
      </c>
      <c r="AD100" s="252">
        <v>236779643743</v>
      </c>
      <c r="AE100" s="252">
        <v>664628.35</v>
      </c>
      <c r="AF100" s="252">
        <v>228022948.15000001</v>
      </c>
      <c r="AG100" s="252">
        <v>0</v>
      </c>
      <c r="AH100" s="252">
        <v>0</v>
      </c>
      <c r="AI100" s="252">
        <v>0</v>
      </c>
      <c r="AJ100" s="252">
        <v>103175673.58</v>
      </c>
      <c r="AK100" s="252">
        <v>192800000000</v>
      </c>
      <c r="AL100" s="252">
        <v>172671000000</v>
      </c>
      <c r="AM100" s="252">
        <v>559617213975</v>
      </c>
      <c r="AN100" s="252">
        <v>26056127764</v>
      </c>
      <c r="AO100" s="252">
        <v>175202963982</v>
      </c>
      <c r="AP100" s="252">
        <v>106607495900</v>
      </c>
      <c r="AQ100" s="252">
        <v>505242916109</v>
      </c>
      <c r="AR100" s="252">
        <v>0</v>
      </c>
      <c r="AS100" s="252">
        <v>0</v>
      </c>
      <c r="AT100" s="252">
        <v>111559249807</v>
      </c>
      <c r="AU100" s="252">
        <v>20141862728</v>
      </c>
      <c r="AV100" s="252">
        <v>543468992211</v>
      </c>
      <c r="AW100" s="252">
        <v>70275748082</v>
      </c>
      <c r="AX100" s="252">
        <v>62993684916</v>
      </c>
      <c r="AY100" s="252">
        <v>471261267719</v>
      </c>
      <c r="AZ100" s="252">
        <v>100719014847</v>
      </c>
      <c r="BA100" s="252">
        <v>1182254091.5999999</v>
      </c>
      <c r="BB100" s="252">
        <v>0</v>
      </c>
      <c r="BC100" s="252">
        <v>70163909313</v>
      </c>
      <c r="BD100" s="252">
        <v>92293837208</v>
      </c>
      <c r="BE100" s="252">
        <v>151150416.31999999</v>
      </c>
      <c r="BF100" s="682">
        <v>47907045584</v>
      </c>
      <c r="BG100" s="252">
        <v>0</v>
      </c>
      <c r="BH100" s="252">
        <v>0</v>
      </c>
      <c r="BI100" s="252">
        <v>0</v>
      </c>
      <c r="BJ100" s="252">
        <v>17600557189</v>
      </c>
      <c r="BK100" s="252">
        <v>5316025581.8999996</v>
      </c>
      <c r="BL100" s="252">
        <v>12300508323</v>
      </c>
      <c r="BM100" s="252">
        <v>2640144924.9000001</v>
      </c>
      <c r="BN100" s="252">
        <v>0</v>
      </c>
      <c r="BO100" s="252">
        <v>20945292738</v>
      </c>
      <c r="BP100" s="252">
        <v>16351875545</v>
      </c>
      <c r="BQ100" s="682">
        <v>0</v>
      </c>
      <c r="BR100" s="682">
        <v>2358975.1</v>
      </c>
      <c r="BS100" s="682">
        <v>0</v>
      </c>
      <c r="BT100" s="960">
        <v>-3099489038</v>
      </c>
      <c r="BU100" s="960">
        <v>185281963140</v>
      </c>
      <c r="BV100" s="1014">
        <v>-53034140331</v>
      </c>
      <c r="BW100" s="313">
        <v>753075.08</v>
      </c>
      <c r="BX100" s="313">
        <v>0</v>
      </c>
      <c r="BY100" s="313" t="s">
        <v>574</v>
      </c>
      <c r="BZ100" s="313" t="s">
        <v>574</v>
      </c>
      <c r="CA100" s="313" t="s">
        <v>574</v>
      </c>
      <c r="CB100" s="313">
        <v>1055500247.7</v>
      </c>
      <c r="CC100" s="313">
        <v>5433138324.8000002</v>
      </c>
      <c r="CD100" s="313">
        <v>4377638077.1000004</v>
      </c>
      <c r="CE100" s="313"/>
      <c r="CF100" s="1255"/>
      <c r="CI100" s="875"/>
      <c r="CK100" s="682"/>
      <c r="CL100" s="682"/>
      <c r="CM100" s="682"/>
      <c r="CN100" s="1016"/>
      <c r="CO100" s="1019"/>
    </row>
    <row r="101" spans="1:93" s="252" customFormat="1" ht="9.75" customHeight="1" x14ac:dyDescent="0.3">
      <c r="A101" s="960"/>
      <c r="B101" s="252">
        <v>112134</v>
      </c>
      <c r="C101" s="680">
        <v>1995</v>
      </c>
      <c r="D101" s="681">
        <v>4165665300000</v>
      </c>
      <c r="E101" s="681">
        <v>3171179600000</v>
      </c>
      <c r="F101" s="252">
        <v>160368145407</v>
      </c>
      <c r="G101" s="252">
        <v>91644947831</v>
      </c>
      <c r="H101" s="252">
        <v>109264776423</v>
      </c>
      <c r="I101" s="252">
        <v>0</v>
      </c>
      <c r="J101" s="252">
        <v>163923434279</v>
      </c>
      <c r="K101" s="252">
        <v>3283687676.5999999</v>
      </c>
      <c r="L101" s="252">
        <v>368662305063</v>
      </c>
      <c r="M101" s="252">
        <v>19241630991</v>
      </c>
      <c r="N101" s="252">
        <v>19241630991</v>
      </c>
      <c r="O101" s="252">
        <v>45524663457</v>
      </c>
      <c r="P101" s="252">
        <v>118405491931</v>
      </c>
      <c r="Q101" s="252">
        <v>40513793204</v>
      </c>
      <c r="R101" s="252">
        <v>168198183435</v>
      </c>
      <c r="S101" s="252">
        <v>124444999704</v>
      </c>
      <c r="T101" s="252">
        <v>-7819004856</v>
      </c>
      <c r="U101" s="252">
        <v>25123717064</v>
      </c>
      <c r="V101" s="252">
        <v>5794307415</v>
      </c>
      <c r="W101" s="252">
        <v>48988680674</v>
      </c>
      <c r="X101" s="252">
        <v>16541818016</v>
      </c>
      <c r="Y101" s="252">
        <v>12153623877</v>
      </c>
      <c r="Z101" s="252">
        <v>210338333449</v>
      </c>
      <c r="AA101" s="252">
        <v>45302590176</v>
      </c>
      <c r="AB101" s="252">
        <v>3676724297.4000001</v>
      </c>
      <c r="AC101" s="252">
        <v>185946945279</v>
      </c>
      <c r="AD101" s="252">
        <v>256476217971</v>
      </c>
      <c r="AE101" s="252">
        <v>742803.17</v>
      </c>
      <c r="AF101" s="252">
        <v>232742405.88999999</v>
      </c>
      <c r="AG101" s="252">
        <v>0</v>
      </c>
      <c r="AH101" s="252">
        <v>0</v>
      </c>
      <c r="AI101" s="252">
        <v>0</v>
      </c>
      <c r="AJ101" s="252">
        <v>104964263.98999999</v>
      </c>
      <c r="AK101" s="252">
        <v>226228000000</v>
      </c>
      <c r="AL101" s="252">
        <v>194449000000</v>
      </c>
      <c r="AM101" s="252">
        <v>614297680105</v>
      </c>
      <c r="AN101" s="252">
        <v>26495390130</v>
      </c>
      <c r="AO101" s="252">
        <v>188037705556</v>
      </c>
      <c r="AP101" s="252">
        <v>115338009715</v>
      </c>
      <c r="AQ101" s="252">
        <v>15432459180</v>
      </c>
      <c r="AR101" s="252">
        <v>0</v>
      </c>
      <c r="AS101" s="252">
        <v>0</v>
      </c>
      <c r="AT101" s="252">
        <v>118405491931</v>
      </c>
      <c r="AU101" s="252">
        <v>19241630991</v>
      </c>
      <c r="AV101" s="252">
        <v>598476438975</v>
      </c>
      <c r="AW101" s="252">
        <v>74457498840</v>
      </c>
      <c r="AX101" s="252">
        <v>66833652447</v>
      </c>
      <c r="AY101" s="252">
        <v>492474647204</v>
      </c>
      <c r="AZ101" s="252">
        <v>110809560498</v>
      </c>
      <c r="BA101" s="252">
        <v>1256070608</v>
      </c>
      <c r="BB101" s="252">
        <v>0</v>
      </c>
      <c r="BC101" s="252">
        <v>77583668295</v>
      </c>
      <c r="BD101" s="252">
        <v>101557107717</v>
      </c>
      <c r="BE101" s="252">
        <v>153596308.59999999</v>
      </c>
      <c r="BF101" s="682">
        <v>48054642932</v>
      </c>
      <c r="BG101" s="252">
        <v>0</v>
      </c>
      <c r="BH101" s="252">
        <v>0</v>
      </c>
      <c r="BI101" s="252">
        <v>0</v>
      </c>
      <c r="BJ101" s="252">
        <v>15494846789</v>
      </c>
      <c r="BK101" s="252">
        <v>4000255001</v>
      </c>
      <c r="BL101" s="252">
        <v>10788804408</v>
      </c>
      <c r="BM101" s="252">
        <v>2409514321.5</v>
      </c>
      <c r="BN101" s="252">
        <v>0</v>
      </c>
      <c r="BO101" s="252">
        <v>21208633738</v>
      </c>
      <c r="BP101" s="252">
        <v>16828796914</v>
      </c>
      <c r="BQ101" s="682">
        <v>0</v>
      </c>
      <c r="BR101" s="682">
        <v>2498291.4900000002</v>
      </c>
      <c r="BS101" s="682">
        <v>0</v>
      </c>
      <c r="BT101" s="961">
        <v>-2996518017</v>
      </c>
      <c r="BU101" s="961">
        <v>202486247092</v>
      </c>
      <c r="BV101" s="1014">
        <v>-54473656275</v>
      </c>
      <c r="BW101" s="871">
        <v>745868.66</v>
      </c>
      <c r="BX101" s="871">
        <v>0</v>
      </c>
      <c r="BY101" s="871" t="s">
        <v>574</v>
      </c>
      <c r="BZ101" s="871" t="s">
        <v>574</v>
      </c>
      <c r="CA101" s="871" t="s">
        <v>574</v>
      </c>
      <c r="CB101" s="871">
        <v>805113069.07000005</v>
      </c>
      <c r="CC101" s="871">
        <v>5114052271.1000004</v>
      </c>
      <c r="CD101" s="871">
        <v>4308939202</v>
      </c>
      <c r="CE101" s="871"/>
      <c r="CF101" s="1255"/>
      <c r="CG101" s="682"/>
      <c r="CH101" s="682"/>
      <c r="CI101" s="875"/>
      <c r="CK101" s="682"/>
      <c r="CL101" s="682"/>
      <c r="CM101" s="682"/>
      <c r="CN101" s="1016"/>
      <c r="CO101" s="1019"/>
    </row>
    <row r="102" spans="1:93" s="252" customFormat="1" ht="9.75" customHeight="1" x14ac:dyDescent="0.3">
      <c r="A102" s="960"/>
      <c r="B102" s="252">
        <v>112269</v>
      </c>
      <c r="C102" s="680">
        <v>1996</v>
      </c>
      <c r="D102" s="681">
        <v>4507504100000</v>
      </c>
      <c r="E102" s="681">
        <v>3344548300000</v>
      </c>
      <c r="F102" s="252">
        <v>172049270711</v>
      </c>
      <c r="G102" s="252">
        <v>101201274967</v>
      </c>
      <c r="H102" s="252">
        <v>120195636755</v>
      </c>
      <c r="I102" s="252">
        <v>0</v>
      </c>
      <c r="J102" s="252">
        <v>240912442481</v>
      </c>
      <c r="K102" s="252">
        <v>5202809149.3999996</v>
      </c>
      <c r="L102" s="252">
        <v>412098222126</v>
      </c>
      <c r="M102" s="252">
        <v>19166461161</v>
      </c>
      <c r="N102" s="252">
        <v>19166461161</v>
      </c>
      <c r="O102" s="252">
        <v>53049190184</v>
      </c>
      <c r="P102" s="252">
        <v>129732848718</v>
      </c>
      <c r="Q102" s="252">
        <v>41990621429</v>
      </c>
      <c r="R102" s="252">
        <v>175485190507</v>
      </c>
      <c r="S102" s="252">
        <v>145189272680</v>
      </c>
      <c r="T102" s="252">
        <v>-7116558215</v>
      </c>
      <c r="U102" s="252">
        <v>37074080444</v>
      </c>
      <c r="V102" s="252">
        <v>7449164980.1999998</v>
      </c>
      <c r="W102" s="252">
        <v>49434836935</v>
      </c>
      <c r="X102" s="252">
        <v>18001902327</v>
      </c>
      <c r="Y102" s="252">
        <v>12691896829</v>
      </c>
      <c r="Z102" s="252">
        <v>219878193282</v>
      </c>
      <c r="AA102" s="252">
        <v>45806056175</v>
      </c>
      <c r="AB102" s="252">
        <v>3815606239</v>
      </c>
      <c r="AC102" s="252">
        <v>264371891481</v>
      </c>
      <c r="AD102" s="252">
        <v>282364800498</v>
      </c>
      <c r="AE102" s="252">
        <v>712831.38</v>
      </c>
      <c r="AF102" s="252">
        <v>234144796.12</v>
      </c>
      <c r="AG102" s="252">
        <v>0</v>
      </c>
      <c r="AH102" s="252">
        <v>0</v>
      </c>
      <c r="AI102" s="252">
        <v>0</v>
      </c>
      <c r="AJ102" s="252">
        <v>106598120.45</v>
      </c>
      <c r="AK102" s="252">
        <v>251056000000</v>
      </c>
      <c r="AL102" s="252">
        <v>211386000000</v>
      </c>
      <c r="AM102" s="252">
        <v>685226664588</v>
      </c>
      <c r="AN102" s="252">
        <v>27840916138</v>
      </c>
      <c r="AO102" s="252">
        <v>202994206214</v>
      </c>
      <c r="AP102" s="252">
        <v>125650304320</v>
      </c>
      <c r="AQ102" s="252">
        <v>589313625633</v>
      </c>
      <c r="AR102" s="252">
        <v>0</v>
      </c>
      <c r="AS102" s="252">
        <v>0</v>
      </c>
      <c r="AT102" s="252">
        <v>129732848718</v>
      </c>
      <c r="AU102" s="252">
        <v>19166461161</v>
      </c>
      <c r="AV102" s="252">
        <v>668826139451</v>
      </c>
      <c r="AW102" s="252">
        <v>79179228894</v>
      </c>
      <c r="AX102" s="252">
        <v>71050759683</v>
      </c>
      <c r="AY102" s="252">
        <v>513403358877</v>
      </c>
      <c r="AZ102" s="252">
        <v>125644567430</v>
      </c>
      <c r="BA102" s="252">
        <v>1623991758.7</v>
      </c>
      <c r="BB102" s="252">
        <v>0</v>
      </c>
      <c r="BC102" s="252">
        <v>87796932326</v>
      </c>
      <c r="BD102" s="252">
        <v>115147156863</v>
      </c>
      <c r="BE102" s="252">
        <v>155044506.72</v>
      </c>
      <c r="BF102" s="682">
        <v>47808969289</v>
      </c>
      <c r="BG102" s="252">
        <v>0</v>
      </c>
      <c r="BH102" s="252">
        <v>0</v>
      </c>
      <c r="BI102" s="252">
        <v>0</v>
      </c>
      <c r="BJ102" s="252">
        <v>15045045606</v>
      </c>
      <c r="BK102" s="252">
        <v>4128631342.4000001</v>
      </c>
      <c r="BL102" s="252">
        <v>10575759423</v>
      </c>
      <c r="BM102" s="252">
        <v>2459957887.1999998</v>
      </c>
      <c r="BN102" s="252">
        <v>0</v>
      </c>
      <c r="BO102" s="252">
        <v>21674287974</v>
      </c>
      <c r="BP102" s="252">
        <v>17323828975</v>
      </c>
      <c r="BQ102" s="682">
        <v>0</v>
      </c>
      <c r="BR102" s="682">
        <v>2449126.91</v>
      </c>
      <c r="BS102" s="682">
        <v>0</v>
      </c>
      <c r="BT102" s="960">
        <v>-2246040944</v>
      </c>
      <c r="BU102" s="960">
        <v>219464136611</v>
      </c>
      <c r="BV102" s="1014">
        <v>-53752582290</v>
      </c>
      <c r="BW102" s="871">
        <v>755683.57</v>
      </c>
      <c r="BX102" s="871">
        <v>0</v>
      </c>
      <c r="BY102" s="871" t="s">
        <v>574</v>
      </c>
      <c r="BZ102" s="871" t="s">
        <v>574</v>
      </c>
      <c r="CA102" s="871" t="s">
        <v>574</v>
      </c>
      <c r="CB102" s="871">
        <v>1005297622</v>
      </c>
      <c r="CC102" s="871">
        <v>5575379404.5</v>
      </c>
      <c r="CD102" s="871">
        <v>4570081782.5</v>
      </c>
      <c r="CE102" s="871"/>
      <c r="CF102" s="1255"/>
      <c r="CI102" s="875"/>
      <c r="CK102" s="682"/>
      <c r="CL102" s="682"/>
      <c r="CM102" s="682"/>
      <c r="CN102" s="1016"/>
      <c r="CO102" s="1019"/>
    </row>
    <row r="103" spans="1:93" s="252" customFormat="1" ht="9.75" customHeight="1" x14ac:dyDescent="0.3">
      <c r="A103" s="960"/>
      <c r="B103" s="252">
        <v>120891</v>
      </c>
      <c r="C103" s="680">
        <v>1997</v>
      </c>
      <c r="D103" s="681">
        <v>4930838100000</v>
      </c>
      <c r="E103" s="681">
        <v>3574899900000</v>
      </c>
      <c r="F103" s="252">
        <v>177944295173</v>
      </c>
      <c r="G103" s="252">
        <v>116566298103</v>
      </c>
      <c r="H103" s="252">
        <v>136522001049</v>
      </c>
      <c r="I103" s="252">
        <v>0</v>
      </c>
      <c r="J103" s="252">
        <v>346760208172</v>
      </c>
      <c r="K103" s="252">
        <v>0</v>
      </c>
      <c r="L103" s="252">
        <v>458442775058</v>
      </c>
      <c r="M103" s="252">
        <v>17050162351</v>
      </c>
      <c r="N103" s="252">
        <v>17050162351</v>
      </c>
      <c r="O103" s="252">
        <v>61281683935</v>
      </c>
      <c r="P103" s="252">
        <v>138872071606</v>
      </c>
      <c r="Q103" s="252">
        <v>46152204568</v>
      </c>
      <c r="R103" s="252">
        <v>185546615464</v>
      </c>
      <c r="S103" s="252">
        <v>166597732501</v>
      </c>
      <c r="T103" s="252">
        <v>-6816744354</v>
      </c>
      <c r="U103" s="252">
        <v>39526313931</v>
      </c>
      <c r="V103" s="252">
        <v>7813280841.3999996</v>
      </c>
      <c r="W103" s="252">
        <v>50854743120</v>
      </c>
      <c r="X103" s="252">
        <v>20522607834</v>
      </c>
      <c r="Y103" s="252">
        <v>13997127410</v>
      </c>
      <c r="Z103" s="252">
        <v>233329875049</v>
      </c>
      <c r="AA103" s="252">
        <v>46661535891</v>
      </c>
      <c r="AB103" s="252">
        <v>5106403454.8999996</v>
      </c>
      <c r="AC103" s="252">
        <v>371655595172</v>
      </c>
      <c r="AD103" s="252">
        <v>312318682510</v>
      </c>
      <c r="AE103" s="252">
        <v>626823.57999999996</v>
      </c>
      <c r="AF103" s="252">
        <v>236406295.66999999</v>
      </c>
      <c r="AG103" s="252">
        <v>0</v>
      </c>
      <c r="AH103" s="252">
        <v>0</v>
      </c>
      <c r="AI103" s="252">
        <v>0</v>
      </c>
      <c r="AJ103" s="252">
        <v>107868329.51000001</v>
      </c>
      <c r="AK103" s="252">
        <v>280896000000</v>
      </c>
      <c r="AL103" s="252">
        <v>224762000000</v>
      </c>
      <c r="AM103" s="252">
        <v>758466967935</v>
      </c>
      <c r="AN103" s="252">
        <v>29521951005</v>
      </c>
      <c r="AO103" s="252">
        <v>219699411029</v>
      </c>
      <c r="AP103" s="252">
        <v>138237269837</v>
      </c>
      <c r="AQ103" s="252">
        <v>641240093340</v>
      </c>
      <c r="AR103" s="252">
        <v>0</v>
      </c>
      <c r="AS103" s="252">
        <v>0</v>
      </c>
      <c r="AT103" s="252">
        <v>138872071606</v>
      </c>
      <c r="AU103" s="252">
        <v>17050162351</v>
      </c>
      <c r="AV103" s="252">
        <v>741151649929</v>
      </c>
      <c r="AW103" s="252">
        <v>83374991192</v>
      </c>
      <c r="AX103" s="252">
        <v>74769360682</v>
      </c>
      <c r="AY103" s="252">
        <v>542843236994</v>
      </c>
      <c r="AZ103" s="252">
        <v>131656806145</v>
      </c>
      <c r="BA103" s="252">
        <v>1791304555.0999999</v>
      </c>
      <c r="BB103" s="252">
        <v>0</v>
      </c>
      <c r="BC103" s="252">
        <v>101960050013</v>
      </c>
      <c r="BD103" s="252">
        <v>129997654788</v>
      </c>
      <c r="BE103" s="252">
        <v>156570188.09999999</v>
      </c>
      <c r="BF103" s="682">
        <v>48519344858</v>
      </c>
      <c r="BG103" s="252">
        <v>0</v>
      </c>
      <c r="BH103" s="252">
        <v>0</v>
      </c>
      <c r="BI103" s="252">
        <v>0</v>
      </c>
      <c r="BJ103" s="252">
        <v>14889584260</v>
      </c>
      <c r="BK103" s="252">
        <v>4502515289.3000002</v>
      </c>
      <c r="BL103" s="252">
        <v>10620536496</v>
      </c>
      <c r="BM103" s="252">
        <v>2416264958.6999998</v>
      </c>
      <c r="BN103" s="252">
        <v>0</v>
      </c>
      <c r="BO103" s="252">
        <v>23290654820</v>
      </c>
      <c r="BP103" s="252">
        <v>18534709522</v>
      </c>
      <c r="BQ103" s="682">
        <v>0</v>
      </c>
      <c r="BR103" s="682">
        <v>2524601.4500000002</v>
      </c>
      <c r="BS103" s="682">
        <v>0</v>
      </c>
      <c r="BT103" s="960">
        <v>-1399240852</v>
      </c>
      <c r="BU103" s="960">
        <v>235270491566</v>
      </c>
      <c r="BV103" s="1014">
        <v>-52634293957</v>
      </c>
      <c r="BW103" s="871">
        <v>743312.84</v>
      </c>
      <c r="BX103" s="871">
        <v>0</v>
      </c>
      <c r="BY103" s="871" t="s">
        <v>574</v>
      </c>
      <c r="BZ103" s="871" t="s">
        <v>574</v>
      </c>
      <c r="CA103" s="871" t="s">
        <v>574</v>
      </c>
      <c r="CB103" s="871">
        <v>1331392547.3</v>
      </c>
      <c r="CC103" s="871">
        <v>6188176721.6000004</v>
      </c>
      <c r="CD103" s="871">
        <v>4856784174.3000002</v>
      </c>
      <c r="CE103" s="871"/>
      <c r="CF103" s="1255"/>
      <c r="CI103" s="875"/>
      <c r="CK103" s="682"/>
      <c r="CL103" s="682"/>
      <c r="CM103" s="682"/>
      <c r="CN103" s="1016"/>
      <c r="CO103" s="1019"/>
    </row>
    <row r="104" spans="1:93" s="252" customFormat="1" ht="9.75" customHeight="1" x14ac:dyDescent="0.3">
      <c r="A104" s="960"/>
      <c r="B104" s="252">
        <v>155894</v>
      </c>
      <c r="C104" s="680">
        <v>1998</v>
      </c>
      <c r="D104" s="681">
        <v>5374664400000</v>
      </c>
      <c r="E104" s="681">
        <v>3839910200000</v>
      </c>
      <c r="F104" s="252">
        <v>185328008320</v>
      </c>
      <c r="G104" s="252">
        <v>115215823846</v>
      </c>
      <c r="H104" s="252">
        <v>135396185511</v>
      </c>
      <c r="I104" s="252">
        <v>0</v>
      </c>
      <c r="J104" s="252">
        <v>434702387549</v>
      </c>
      <c r="K104" s="252">
        <v>0</v>
      </c>
      <c r="L104" s="252">
        <v>571048423736</v>
      </c>
      <c r="M104" s="252">
        <v>16669669360</v>
      </c>
      <c r="N104" s="252">
        <v>16669669360</v>
      </c>
      <c r="O104" s="252">
        <v>68532118786</v>
      </c>
      <c r="P104" s="252">
        <v>154153501184</v>
      </c>
      <c r="Q104" s="252">
        <v>50873106279</v>
      </c>
      <c r="R104" s="252">
        <v>201155039627</v>
      </c>
      <c r="S104" s="252">
        <v>185209808791</v>
      </c>
      <c r="T104" s="252">
        <v>-7913332061</v>
      </c>
      <c r="U104" s="252">
        <v>42681276711</v>
      </c>
      <c r="V104" s="252">
        <v>9144713030.7000008</v>
      </c>
      <c r="W104" s="252">
        <v>47979115006</v>
      </c>
      <c r="X104" s="252">
        <v>23129180364</v>
      </c>
      <c r="Y104" s="252">
        <v>14631078541</v>
      </c>
      <c r="Z104" s="252">
        <v>249121000478</v>
      </c>
      <c r="AA104" s="252">
        <v>47896040244</v>
      </c>
      <c r="AB104" s="252">
        <v>6149999393.1000004</v>
      </c>
      <c r="AC104" s="252">
        <v>462522878549</v>
      </c>
      <c r="AD104" s="252">
        <v>352431732761</v>
      </c>
      <c r="AE104" s="252">
        <v>814992.33</v>
      </c>
      <c r="AF104" s="252">
        <v>240880017.62</v>
      </c>
      <c r="AG104" s="252">
        <v>0</v>
      </c>
      <c r="AH104" s="252">
        <v>0</v>
      </c>
      <c r="AI104" s="252">
        <v>0</v>
      </c>
      <c r="AJ104" s="252">
        <v>110424191.48999999</v>
      </c>
      <c r="AK104" s="252">
        <v>198672000000</v>
      </c>
      <c r="AL104" s="252">
        <v>221805000000</v>
      </c>
      <c r="AM104" s="252">
        <v>816289537614</v>
      </c>
      <c r="AN104" s="252">
        <v>31692232958</v>
      </c>
      <c r="AO104" s="252">
        <v>240787454471</v>
      </c>
      <c r="AP104" s="252">
        <v>154198379256</v>
      </c>
      <c r="AQ104" s="252">
        <v>700618103616</v>
      </c>
      <c r="AR104" s="252">
        <v>0</v>
      </c>
      <c r="AS104" s="252">
        <v>0</v>
      </c>
      <c r="AT104" s="252">
        <v>154153501184</v>
      </c>
      <c r="AU104" s="252">
        <v>16669669360</v>
      </c>
      <c r="AV104" s="252">
        <v>798285147656</v>
      </c>
      <c r="AW104" s="252">
        <v>88880499216</v>
      </c>
      <c r="AX104" s="252">
        <v>79767679763</v>
      </c>
      <c r="AY104" s="252">
        <v>577830274157</v>
      </c>
      <c r="AZ104" s="252">
        <v>150774633837</v>
      </c>
      <c r="BA104" s="252">
        <v>2054999936.4000001</v>
      </c>
      <c r="BB104" s="252">
        <v>0</v>
      </c>
      <c r="BC104" s="252">
        <v>113466458637</v>
      </c>
      <c r="BD104" s="252">
        <v>145542654610</v>
      </c>
      <c r="BE104" s="252">
        <v>159664019.81999999</v>
      </c>
      <c r="BF104" s="682">
        <v>49719133322</v>
      </c>
      <c r="BG104" s="252">
        <v>0</v>
      </c>
      <c r="BH104" s="252">
        <v>0</v>
      </c>
      <c r="BI104" s="252">
        <v>0</v>
      </c>
      <c r="BJ104" s="252">
        <v>10608322160</v>
      </c>
      <c r="BK104" s="252">
        <v>8961233907.2999992</v>
      </c>
      <c r="BL104" s="252">
        <v>6295411090.5</v>
      </c>
      <c r="BM104" s="252">
        <v>5251883801.1999998</v>
      </c>
      <c r="BN104" s="252">
        <v>0</v>
      </c>
      <c r="BO104" s="252">
        <v>27670613607</v>
      </c>
      <c r="BP104" s="252">
        <v>19083230531</v>
      </c>
      <c r="BQ104" s="682">
        <v>0</v>
      </c>
      <c r="BR104" s="682">
        <v>2428525.71</v>
      </c>
      <c r="BS104" s="682">
        <v>0</v>
      </c>
      <c r="BT104" s="960">
        <v>-1551818296</v>
      </c>
      <c r="BU104" s="960">
        <v>253640019283</v>
      </c>
      <c r="BV104" s="1014">
        <v>-52361507549</v>
      </c>
      <c r="BW104" s="871">
        <v>757160.6</v>
      </c>
      <c r="BX104" s="871">
        <v>0</v>
      </c>
      <c r="BY104" s="871" t="s">
        <v>574</v>
      </c>
      <c r="BZ104" s="871" t="s">
        <v>574</v>
      </c>
      <c r="CA104" s="871" t="s">
        <v>574</v>
      </c>
      <c r="CB104" s="871">
        <v>1638396112</v>
      </c>
      <c r="CC104" s="871">
        <v>6730841596.6999998</v>
      </c>
      <c r="CD104" s="871">
        <v>5092445484.6999998</v>
      </c>
      <c r="CE104" s="871"/>
      <c r="CF104" s="1255"/>
      <c r="CI104" s="875"/>
      <c r="CK104" s="682"/>
      <c r="CL104" s="682"/>
      <c r="CM104" s="682"/>
      <c r="CN104" s="1016"/>
      <c r="CO104" s="1019"/>
    </row>
    <row r="105" spans="1:93" s="252" customFormat="1" ht="9.75" customHeight="1" x14ac:dyDescent="0.3">
      <c r="A105" s="960"/>
      <c r="B105" s="252">
        <v>168366</v>
      </c>
      <c r="C105" s="680">
        <v>1999</v>
      </c>
      <c r="D105" s="681">
        <v>5869722900000</v>
      </c>
      <c r="E105" s="681">
        <v>4117803500000</v>
      </c>
      <c r="F105" s="252">
        <v>185259385938</v>
      </c>
      <c r="G105" s="252">
        <v>129840796685</v>
      </c>
      <c r="H105" s="252">
        <v>153295554666</v>
      </c>
      <c r="I105" s="252">
        <v>0</v>
      </c>
      <c r="J105" s="252">
        <v>521600880779</v>
      </c>
      <c r="K105" s="252">
        <v>10177762032</v>
      </c>
      <c r="L105" s="252">
        <v>634866833232</v>
      </c>
      <c r="M105" s="252">
        <v>17450715303</v>
      </c>
      <c r="N105" s="252">
        <v>17450715303</v>
      </c>
      <c r="O105" s="252">
        <v>75438980198</v>
      </c>
      <c r="P105" s="252">
        <v>163565728446</v>
      </c>
      <c r="Q105" s="252">
        <v>59599183975</v>
      </c>
      <c r="R105" s="252">
        <v>230860286106</v>
      </c>
      <c r="S105" s="252">
        <v>209138097165</v>
      </c>
      <c r="T105" s="252">
        <v>-6756729617</v>
      </c>
      <c r="U105" s="252">
        <v>48349906621</v>
      </c>
      <c r="V105" s="252">
        <v>9606374633.6000004</v>
      </c>
      <c r="W105" s="252">
        <v>50379555026</v>
      </c>
      <c r="X105" s="252">
        <v>24281240400</v>
      </c>
      <c r="Y105" s="252">
        <v>18151684690</v>
      </c>
      <c r="Z105" s="252">
        <v>265989737800</v>
      </c>
      <c r="AA105" s="252">
        <v>48953028588</v>
      </c>
      <c r="AB105" s="252">
        <v>8088189388.1000004</v>
      </c>
      <c r="AC105" s="252">
        <v>552346474779</v>
      </c>
      <c r="AD105" s="252">
        <v>391938716850</v>
      </c>
      <c r="AE105" s="252">
        <v>771243.56</v>
      </c>
      <c r="AF105" s="252">
        <v>240541929.12</v>
      </c>
      <c r="AG105" s="252">
        <v>0</v>
      </c>
      <c r="AH105" s="252">
        <v>0</v>
      </c>
      <c r="AI105" s="252">
        <v>0</v>
      </c>
      <c r="AJ105" s="252">
        <v>113329020.33</v>
      </c>
      <c r="AK105" s="252">
        <v>223549000000</v>
      </c>
      <c r="AL105" s="252">
        <v>233374000000</v>
      </c>
      <c r="AM105" s="252">
        <v>915795401827</v>
      </c>
      <c r="AN105" s="252">
        <v>36705677376</v>
      </c>
      <c r="AO105" s="252">
        <v>269633276829</v>
      </c>
      <c r="AP105" s="252">
        <v>172741489261</v>
      </c>
      <c r="AQ105" s="252">
        <v>781483867594</v>
      </c>
      <c r="AR105" s="252">
        <v>0</v>
      </c>
      <c r="AS105" s="252">
        <v>0</v>
      </c>
      <c r="AT105" s="252">
        <v>163565728446</v>
      </c>
      <c r="AU105" s="252">
        <v>17450715303</v>
      </c>
      <c r="AV105" s="252">
        <v>894258778451</v>
      </c>
      <c r="AW105" s="252">
        <v>99580854818</v>
      </c>
      <c r="AX105" s="252">
        <v>88055150424</v>
      </c>
      <c r="AY105" s="252">
        <v>617638181564</v>
      </c>
      <c r="AZ105" s="252">
        <v>174162971893</v>
      </c>
      <c r="BA105" s="252">
        <v>2286488313.5</v>
      </c>
      <c r="BB105" s="252">
        <v>0</v>
      </c>
      <c r="BC105" s="252">
        <v>125673422087</v>
      </c>
      <c r="BD105" s="252">
        <v>161946562333</v>
      </c>
      <c r="BE105" s="252">
        <v>163752227.09</v>
      </c>
      <c r="BF105" s="682">
        <v>52563415098</v>
      </c>
      <c r="BG105" s="252">
        <v>0</v>
      </c>
      <c r="BH105" s="252">
        <v>0</v>
      </c>
      <c r="BI105" s="252">
        <v>0</v>
      </c>
      <c r="BJ105" s="252">
        <v>14681033344</v>
      </c>
      <c r="BK105" s="252">
        <v>4605712835.3000002</v>
      </c>
      <c r="BL105" s="252">
        <v>10517886781</v>
      </c>
      <c r="BM105" s="252">
        <v>2431419749.0999999</v>
      </c>
      <c r="BN105" s="252">
        <v>0</v>
      </c>
      <c r="BO105" s="252">
        <v>31025632191</v>
      </c>
      <c r="BP105" s="252">
        <v>20637606220</v>
      </c>
      <c r="BQ105" s="682">
        <v>0</v>
      </c>
      <c r="BR105" s="682">
        <v>2317121.61</v>
      </c>
      <c r="BS105" s="682">
        <v>0</v>
      </c>
      <c r="BT105" s="960">
        <v>-1572193532</v>
      </c>
      <c r="BU105" s="960">
        <v>276709525569</v>
      </c>
      <c r="BV105" s="1014">
        <v>-55067598572</v>
      </c>
      <c r="BW105" s="871">
        <v>795903.22</v>
      </c>
      <c r="BX105" s="871">
        <v>0</v>
      </c>
      <c r="BY105" s="871" t="s">
        <v>574</v>
      </c>
      <c r="BZ105" s="871" t="s">
        <v>574</v>
      </c>
      <c r="CA105" s="871" t="s">
        <v>574</v>
      </c>
      <c r="CB105" s="313">
        <v>1634632599.9000001</v>
      </c>
      <c r="CC105" s="313">
        <v>7112145872.8999996</v>
      </c>
      <c r="CD105" s="871">
        <v>5477513273</v>
      </c>
      <c r="CE105" s="871"/>
      <c r="CF105" s="1255"/>
      <c r="CI105" s="875"/>
      <c r="CK105" s="682"/>
      <c r="CL105" s="682"/>
      <c r="CM105" s="682"/>
      <c r="CN105" s="1016"/>
      <c r="CO105" s="1019"/>
    </row>
    <row r="106" spans="1:93" s="252" customFormat="1" ht="9.75" customHeight="1" x14ac:dyDescent="0.3">
      <c r="A106" s="960"/>
      <c r="B106" s="252">
        <v>186891</v>
      </c>
      <c r="C106" s="680">
        <v>2000</v>
      </c>
      <c r="D106" s="681">
        <v>6339491400000</v>
      </c>
      <c r="E106" s="681">
        <v>4419014800000</v>
      </c>
      <c r="F106" s="252">
        <v>207492183285</v>
      </c>
      <c r="G106" s="252">
        <v>142822682796</v>
      </c>
      <c r="H106" s="252">
        <v>168387631847</v>
      </c>
      <c r="I106" s="252">
        <v>0</v>
      </c>
      <c r="J106" s="252">
        <v>600417180982</v>
      </c>
      <c r="K106" s="252">
        <v>13314181547</v>
      </c>
      <c r="L106" s="252">
        <v>688494510694</v>
      </c>
      <c r="M106" s="252">
        <v>16761518102</v>
      </c>
      <c r="N106" s="252">
        <v>16761518102</v>
      </c>
      <c r="O106" s="252">
        <v>90125524904</v>
      </c>
      <c r="P106" s="252">
        <v>186082320020</v>
      </c>
      <c r="Q106" s="252">
        <v>59621668415</v>
      </c>
      <c r="R106" s="252">
        <v>224648798470</v>
      </c>
      <c r="S106" s="252">
        <v>211863310180</v>
      </c>
      <c r="T106" s="252">
        <v>-9093529953</v>
      </c>
      <c r="U106" s="252">
        <v>52791648585</v>
      </c>
      <c r="V106" s="252">
        <v>10732273579</v>
      </c>
      <c r="W106" s="252">
        <v>47749757119</v>
      </c>
      <c r="X106" s="252">
        <v>26367694163</v>
      </c>
      <c r="Y106" s="252">
        <v>18268544020</v>
      </c>
      <c r="Z106" s="252">
        <v>282479321212</v>
      </c>
      <c r="AA106" s="252">
        <v>49633229957</v>
      </c>
      <c r="AB106" s="252">
        <v>9340590397.7999992</v>
      </c>
      <c r="AC106" s="252">
        <v>634087877982</v>
      </c>
      <c r="AD106" s="252">
        <v>423516919245</v>
      </c>
      <c r="AE106" s="252">
        <v>902274.05</v>
      </c>
      <c r="AF106" s="252">
        <v>247446170.06999999</v>
      </c>
      <c r="AG106" s="252">
        <v>0</v>
      </c>
      <c r="AH106" s="252">
        <v>0</v>
      </c>
      <c r="AI106" s="252">
        <v>0</v>
      </c>
      <c r="AJ106" s="252">
        <v>114305489.06</v>
      </c>
      <c r="AK106" s="252">
        <v>131426000000</v>
      </c>
      <c r="AL106" s="252">
        <v>239748000000</v>
      </c>
      <c r="AM106" s="681">
        <v>1014187500000</v>
      </c>
      <c r="AN106" s="252">
        <v>35960059623</v>
      </c>
      <c r="AO106" s="252">
        <v>295014668969</v>
      </c>
      <c r="AP106" s="252">
        <v>194662043834</v>
      </c>
      <c r="AQ106" s="252">
        <v>861516844261</v>
      </c>
      <c r="AR106" s="252">
        <v>0</v>
      </c>
      <c r="AS106" s="252">
        <v>0</v>
      </c>
      <c r="AT106" s="252">
        <v>186082320020</v>
      </c>
      <c r="AU106" s="252">
        <v>16761518102</v>
      </c>
      <c r="AV106" s="252">
        <v>994877708175</v>
      </c>
      <c r="AW106" s="252">
        <v>103401197135</v>
      </c>
      <c r="AX106" s="252">
        <v>93761662649</v>
      </c>
      <c r="AY106" s="252">
        <v>650551932005</v>
      </c>
      <c r="AZ106" s="252">
        <v>186746222679</v>
      </c>
      <c r="BA106" s="252">
        <v>2730830040.5</v>
      </c>
      <c r="BB106" s="252">
        <v>0</v>
      </c>
      <c r="BC106" s="252">
        <v>127819482197</v>
      </c>
      <c r="BD106" s="252">
        <v>169262198526</v>
      </c>
      <c r="BE106" s="252">
        <v>164365050.91999999</v>
      </c>
      <c r="BF106" s="682">
        <v>54136454948</v>
      </c>
      <c r="BG106" s="252">
        <v>0</v>
      </c>
      <c r="BH106" s="252">
        <v>0</v>
      </c>
      <c r="BI106" s="252">
        <v>0</v>
      </c>
      <c r="BJ106" s="252">
        <v>11580135523</v>
      </c>
      <c r="BK106" s="252">
        <v>9775037801.5</v>
      </c>
      <c r="BL106" s="252">
        <v>7208106744.8000002</v>
      </c>
      <c r="BM106" s="252">
        <v>4922560900.5</v>
      </c>
      <c r="BN106" s="252">
        <v>0</v>
      </c>
      <c r="BO106" s="252">
        <v>40689417164</v>
      </c>
      <c r="BP106" s="252">
        <v>20312781453</v>
      </c>
      <c r="BQ106" s="682">
        <v>0</v>
      </c>
      <c r="BR106" s="682">
        <v>2384460.2799999998</v>
      </c>
      <c r="BS106" s="682">
        <v>0</v>
      </c>
      <c r="BT106" s="960">
        <v>-889879549.79999995</v>
      </c>
      <c r="BU106" s="960">
        <v>301055769228</v>
      </c>
      <c r="BV106" s="1014">
        <v>-57694425651</v>
      </c>
      <c r="BW106" s="871">
        <v>753718.23</v>
      </c>
      <c r="BX106" s="871">
        <v>0</v>
      </c>
      <c r="BY106" s="871" t="s">
        <v>574</v>
      </c>
      <c r="BZ106" s="871" t="s">
        <v>574</v>
      </c>
      <c r="CA106" s="871" t="s">
        <v>574</v>
      </c>
      <c r="CB106" s="871">
        <v>1186525276.3</v>
      </c>
      <c r="CC106" s="871">
        <v>7344372132.5</v>
      </c>
      <c r="CD106" s="871">
        <v>6157846856.1000004</v>
      </c>
      <c r="CE106" s="871"/>
      <c r="CF106" s="1255"/>
      <c r="CI106" s="875"/>
      <c r="CK106" s="682"/>
      <c r="CL106" s="682"/>
      <c r="CM106" s="682"/>
      <c r="CN106" s="1016"/>
      <c r="CO106" s="1019"/>
    </row>
    <row r="107" spans="1:93" s="252" customFormat="1" ht="9.75" customHeight="1" x14ac:dyDescent="0.3">
      <c r="A107" s="960"/>
      <c r="B107" s="252">
        <v>172574</v>
      </c>
      <c r="C107" s="680">
        <v>2001</v>
      </c>
      <c r="D107" s="681">
        <v>6127821300000</v>
      </c>
      <c r="E107" s="681">
        <v>4516805900000</v>
      </c>
      <c r="F107" s="252">
        <v>205414356561</v>
      </c>
      <c r="G107" s="252">
        <v>116601944142</v>
      </c>
      <c r="H107" s="252">
        <v>136186014797</v>
      </c>
      <c r="I107" s="252">
        <v>0</v>
      </c>
      <c r="J107" s="252">
        <v>318431423145</v>
      </c>
      <c r="K107" s="252">
        <v>1212713749.9000001</v>
      </c>
      <c r="L107" s="252">
        <v>648190053441</v>
      </c>
      <c r="M107" s="252">
        <v>26687153206</v>
      </c>
      <c r="N107" s="252">
        <v>26687153206</v>
      </c>
      <c r="O107" s="252">
        <v>93433518680</v>
      </c>
      <c r="P107" s="252">
        <v>195458588734</v>
      </c>
      <c r="Q107" s="252">
        <v>59897092959</v>
      </c>
      <c r="R107" s="252">
        <v>215387102804</v>
      </c>
      <c r="S107" s="252">
        <v>222314304603</v>
      </c>
      <c r="T107" s="252">
        <v>-11006553728</v>
      </c>
      <c r="U107" s="252">
        <v>54900200981</v>
      </c>
      <c r="V107" s="252">
        <v>9988353790.2999992</v>
      </c>
      <c r="W107" s="252">
        <v>54059334766</v>
      </c>
      <c r="X107" s="252">
        <v>23761156489</v>
      </c>
      <c r="Y107" s="252">
        <v>21094419794</v>
      </c>
      <c r="Z107" s="252">
        <v>297070375445</v>
      </c>
      <c r="AA107" s="252">
        <v>50297453830</v>
      </c>
      <c r="AB107" s="252">
        <v>10032526650</v>
      </c>
      <c r="AC107" s="252">
        <v>335291526145</v>
      </c>
      <c r="AD107" s="252">
        <v>430547201371</v>
      </c>
      <c r="AE107" s="252">
        <v>843585.89</v>
      </c>
      <c r="AF107" s="252">
        <v>250778440.25</v>
      </c>
      <c r="AG107" s="252">
        <v>0</v>
      </c>
      <c r="AH107" s="252">
        <v>0</v>
      </c>
      <c r="AI107" s="252">
        <v>0</v>
      </c>
      <c r="AJ107" s="252">
        <v>115922187.84999999</v>
      </c>
      <c r="AK107" s="252">
        <v>180170000000</v>
      </c>
      <c r="AL107" s="252">
        <v>176207000000</v>
      </c>
      <c r="AM107" s="252">
        <v>920457010027</v>
      </c>
      <c r="AN107" s="252">
        <v>35988433062</v>
      </c>
      <c r="AO107" s="252">
        <v>306554967526</v>
      </c>
      <c r="AP107" s="252">
        <v>198419735439</v>
      </c>
      <c r="AQ107" s="252">
        <v>911528190717</v>
      </c>
      <c r="AR107" s="252">
        <v>0</v>
      </c>
      <c r="AS107" s="252">
        <v>0</v>
      </c>
      <c r="AT107" s="252">
        <v>195458588734</v>
      </c>
      <c r="AU107" s="252">
        <v>26687153206</v>
      </c>
      <c r="AV107" s="252">
        <v>895201561965</v>
      </c>
      <c r="AW107" s="252">
        <v>111242070088</v>
      </c>
      <c r="AX107" s="252">
        <v>101607287890</v>
      </c>
      <c r="AY107" s="252">
        <v>680426637782</v>
      </c>
      <c r="AZ107" s="252">
        <v>208070170455</v>
      </c>
      <c r="BA107" s="252">
        <v>2798141733.4000001</v>
      </c>
      <c r="BB107" s="252">
        <v>0</v>
      </c>
      <c r="BC107" s="252">
        <v>129762442104</v>
      </c>
      <c r="BD107" s="252">
        <v>174111143312</v>
      </c>
      <c r="BE107" s="252">
        <v>166506105.34</v>
      </c>
      <c r="BF107" s="682">
        <v>55163395984</v>
      </c>
      <c r="BG107" s="252">
        <v>0</v>
      </c>
      <c r="BH107" s="252">
        <v>0</v>
      </c>
      <c r="BI107" s="252">
        <v>0</v>
      </c>
      <c r="BJ107" s="252">
        <v>14802368740</v>
      </c>
      <c r="BK107" s="252">
        <v>10751167905</v>
      </c>
      <c r="BL107" s="252">
        <v>8054245934.6999998</v>
      </c>
      <c r="BM107" s="252">
        <v>5091922280.3999996</v>
      </c>
      <c r="BN107" s="252">
        <v>0</v>
      </c>
      <c r="BO107" s="252">
        <v>41529326309</v>
      </c>
      <c r="BP107" s="252">
        <v>20358152391</v>
      </c>
      <c r="BQ107" s="682">
        <v>0</v>
      </c>
      <c r="BR107" s="682">
        <v>2336309.6800000002</v>
      </c>
      <c r="BS107" s="682">
        <v>0</v>
      </c>
      <c r="BT107" s="960">
        <v>-1867080379</v>
      </c>
      <c r="BU107" s="960">
        <v>329675951516</v>
      </c>
      <c r="BV107" s="1014">
        <v>-69078558062</v>
      </c>
      <c r="BW107" s="871">
        <v>867579.11</v>
      </c>
      <c r="BX107" s="871">
        <v>0</v>
      </c>
      <c r="BY107" s="871" t="s">
        <v>574</v>
      </c>
      <c r="BZ107" s="871" t="s">
        <v>574</v>
      </c>
      <c r="CA107" s="871" t="s">
        <v>574</v>
      </c>
      <c r="CB107" s="871">
        <v>698397724.69000006</v>
      </c>
      <c r="CC107" s="871">
        <v>7336828827.5</v>
      </c>
      <c r="CD107" s="871">
        <v>6638431102.8000002</v>
      </c>
      <c r="CE107" s="871"/>
      <c r="CF107" s="1255"/>
      <c r="CG107" s="682"/>
      <c r="CH107" s="682"/>
      <c r="CI107" s="875"/>
      <c r="CK107" s="682"/>
      <c r="CL107" s="682"/>
      <c r="CM107" s="682"/>
      <c r="CN107" s="1016"/>
      <c r="CO107" s="1019"/>
    </row>
    <row r="108" spans="1:93" s="252" customFormat="1" ht="9.75" customHeight="1" x14ac:dyDescent="0.3">
      <c r="A108" s="960"/>
      <c r="B108" s="252">
        <v>167603</v>
      </c>
      <c r="C108" s="680">
        <v>2002</v>
      </c>
      <c r="D108" s="681">
        <v>5995069300000</v>
      </c>
      <c r="E108" s="681">
        <v>4512075000000</v>
      </c>
      <c r="F108" s="252">
        <v>153977150262</v>
      </c>
      <c r="G108" s="252">
        <v>100719678754</v>
      </c>
      <c r="H108" s="252">
        <v>117228517642</v>
      </c>
      <c r="I108" s="252">
        <v>0</v>
      </c>
      <c r="J108" s="252">
        <v>235451457699</v>
      </c>
      <c r="K108" s="252">
        <v>392002561.63</v>
      </c>
      <c r="L108" s="252">
        <v>677679594508</v>
      </c>
      <c r="M108" s="252">
        <v>42776628302</v>
      </c>
      <c r="N108" s="252">
        <v>42776628302</v>
      </c>
      <c r="O108" s="252">
        <v>93301376924</v>
      </c>
      <c r="P108" s="252">
        <v>204773331110</v>
      </c>
      <c r="Q108" s="252">
        <v>76343640753</v>
      </c>
      <c r="R108" s="252">
        <v>218534576853</v>
      </c>
      <c r="S108" s="252">
        <v>235424784212</v>
      </c>
      <c r="T108" s="252">
        <v>-14425305283</v>
      </c>
      <c r="U108" s="252">
        <v>50185919334</v>
      </c>
      <c r="V108" s="252">
        <v>10841279847</v>
      </c>
      <c r="W108" s="252">
        <v>57641984523</v>
      </c>
      <c r="X108" s="252">
        <v>22249936602</v>
      </c>
      <c r="Y108" s="252">
        <v>23723873883</v>
      </c>
      <c r="Z108" s="252">
        <v>302000126555</v>
      </c>
      <c r="AA108" s="252">
        <v>50427369694</v>
      </c>
      <c r="AB108" s="252">
        <v>11722536124</v>
      </c>
      <c r="AC108" s="252">
        <v>244244459699</v>
      </c>
      <c r="AD108" s="252">
        <v>443360764721</v>
      </c>
      <c r="AE108" s="252">
        <v>800471.81</v>
      </c>
      <c r="AF108" s="252">
        <v>253576406.69</v>
      </c>
      <c r="AG108" s="252">
        <v>0</v>
      </c>
      <c r="AH108" s="252">
        <v>0</v>
      </c>
      <c r="AI108" s="252">
        <v>0</v>
      </c>
      <c r="AJ108" s="252">
        <v>116640373.73</v>
      </c>
      <c r="AK108" s="252">
        <v>314653000000</v>
      </c>
      <c r="AL108" s="252">
        <v>167841000000</v>
      </c>
      <c r="AM108" s="252">
        <v>831636664997</v>
      </c>
      <c r="AN108" s="252">
        <v>37035742710</v>
      </c>
      <c r="AO108" s="252">
        <v>301531450965</v>
      </c>
      <c r="AP108" s="252">
        <v>183233884247</v>
      </c>
      <c r="AQ108" s="252">
        <v>921403696824</v>
      </c>
      <c r="AR108" s="252">
        <v>0</v>
      </c>
      <c r="AS108" s="252">
        <v>0</v>
      </c>
      <c r="AT108" s="252">
        <v>204773331110</v>
      </c>
      <c r="AU108" s="252">
        <v>42776628302</v>
      </c>
      <c r="AV108" s="252">
        <v>802485419287</v>
      </c>
      <c r="AW108" s="252">
        <v>120380426719</v>
      </c>
      <c r="AX108" s="252">
        <v>110755584380</v>
      </c>
      <c r="AY108" s="252">
        <v>691463365515</v>
      </c>
      <c r="AZ108" s="252">
        <v>227778194626</v>
      </c>
      <c r="BA108" s="252">
        <v>2672545059.9000001</v>
      </c>
      <c r="BB108" s="252">
        <v>0</v>
      </c>
      <c r="BC108" s="252">
        <v>137535661016</v>
      </c>
      <c r="BD108" s="252">
        <v>183803720619</v>
      </c>
      <c r="BE108" s="252">
        <v>167480067.15000001</v>
      </c>
      <c r="BF108" s="682">
        <v>54009674636</v>
      </c>
      <c r="BG108" s="252">
        <v>0</v>
      </c>
      <c r="BH108" s="252">
        <v>0</v>
      </c>
      <c r="BI108" s="252">
        <v>0</v>
      </c>
      <c r="BJ108" s="252">
        <v>15716385807</v>
      </c>
      <c r="BK108" s="252">
        <v>11373712658</v>
      </c>
      <c r="BL108" s="252">
        <v>9054455788.1000004</v>
      </c>
      <c r="BM108" s="252">
        <v>5385381727.1000004</v>
      </c>
      <c r="BN108" s="252">
        <v>0</v>
      </c>
      <c r="BO108" s="252">
        <v>39402763143</v>
      </c>
      <c r="BP108" s="252">
        <v>25671705433</v>
      </c>
      <c r="BQ108" s="682">
        <v>0</v>
      </c>
      <c r="BR108" s="682">
        <v>2235696.17</v>
      </c>
      <c r="BS108" s="682">
        <v>0</v>
      </c>
      <c r="BT108" s="960">
        <v>-2322465090</v>
      </c>
      <c r="BU108" s="960">
        <v>335530675267</v>
      </c>
      <c r="BV108" s="1014">
        <v>-78508033228</v>
      </c>
      <c r="BW108" s="871">
        <v>1070202.44</v>
      </c>
      <c r="BX108" s="871">
        <v>0</v>
      </c>
      <c r="BY108" s="871" t="s">
        <v>574</v>
      </c>
      <c r="BZ108" s="871" t="s">
        <v>574</v>
      </c>
      <c r="CA108" s="871" t="s">
        <v>574</v>
      </c>
      <c r="CB108" s="871">
        <v>577482980.86000001</v>
      </c>
      <c r="CC108" s="871">
        <v>7076808567.3000002</v>
      </c>
      <c r="CD108" s="871">
        <v>6499325586.5</v>
      </c>
      <c r="CE108" s="871"/>
      <c r="CF108" s="1255"/>
      <c r="CI108" s="875"/>
      <c r="CK108" s="682"/>
      <c r="CL108" s="682"/>
      <c r="CM108" s="682"/>
      <c r="CN108" s="1016"/>
      <c r="CO108" s="1019"/>
    </row>
    <row r="109" spans="1:93" s="252" customFormat="1" ht="9.75" customHeight="1" x14ac:dyDescent="0.3">
      <c r="A109" s="960"/>
      <c r="B109" s="252">
        <v>175173</v>
      </c>
      <c r="C109" s="680">
        <v>2003</v>
      </c>
      <c r="D109" s="681">
        <v>6169767300000</v>
      </c>
      <c r="E109" s="681">
        <v>4602970800000</v>
      </c>
      <c r="F109" s="252">
        <v>132535079286</v>
      </c>
      <c r="G109" s="252">
        <v>112562063920</v>
      </c>
      <c r="H109" s="252">
        <v>131247123199</v>
      </c>
      <c r="I109" s="252">
        <v>0</v>
      </c>
      <c r="J109" s="252">
        <v>291150166256</v>
      </c>
      <c r="K109" s="252">
        <v>293887915.24000001</v>
      </c>
      <c r="L109" s="252">
        <v>682678408020</v>
      </c>
      <c r="M109" s="252">
        <v>43649925529</v>
      </c>
      <c r="N109" s="252">
        <v>43649925529</v>
      </c>
      <c r="O109" s="252">
        <v>97599558796</v>
      </c>
      <c r="P109" s="252">
        <v>213076287910</v>
      </c>
      <c r="Q109" s="252">
        <v>86860290662</v>
      </c>
      <c r="R109" s="252">
        <v>227769604322</v>
      </c>
      <c r="S109" s="252">
        <v>251682313341</v>
      </c>
      <c r="T109" s="252">
        <v>-12289910904</v>
      </c>
      <c r="U109" s="252">
        <v>53583303104</v>
      </c>
      <c r="V109" s="252">
        <v>11922622848</v>
      </c>
      <c r="W109" s="252">
        <v>62533431547</v>
      </c>
      <c r="X109" s="252">
        <v>24659855914</v>
      </c>
      <c r="Y109" s="252">
        <v>23321806133</v>
      </c>
      <c r="Z109" s="252">
        <v>308488059195</v>
      </c>
      <c r="AA109" s="252">
        <v>50595236945</v>
      </c>
      <c r="AB109" s="252">
        <v>11724598363</v>
      </c>
      <c r="AC109" s="252">
        <v>305220909256</v>
      </c>
      <c r="AD109" s="252">
        <v>458672135224</v>
      </c>
      <c r="AE109" s="252">
        <v>762347.18</v>
      </c>
      <c r="AF109" s="252">
        <v>256097758.66999999</v>
      </c>
      <c r="AG109" s="252">
        <v>0</v>
      </c>
      <c r="AH109" s="252">
        <v>0</v>
      </c>
      <c r="AI109" s="252">
        <v>0</v>
      </c>
      <c r="AJ109" s="252">
        <v>117573808.75</v>
      </c>
      <c r="AK109" s="252">
        <v>378625000000</v>
      </c>
      <c r="AL109" s="252">
        <v>221745000000</v>
      </c>
      <c r="AM109" s="252">
        <v>785666144442</v>
      </c>
      <c r="AN109" s="252">
        <v>39262465141</v>
      </c>
      <c r="AO109" s="252">
        <v>309896981358</v>
      </c>
      <c r="AP109" s="252">
        <v>184405585579</v>
      </c>
      <c r="AQ109" s="252">
        <v>927508605497</v>
      </c>
      <c r="AR109" s="252">
        <v>0</v>
      </c>
      <c r="AS109" s="252">
        <v>0</v>
      </c>
      <c r="AT109" s="252">
        <v>213076287910</v>
      </c>
      <c r="AU109" s="252">
        <v>43649925529</v>
      </c>
      <c r="AV109" s="252">
        <v>755763697301</v>
      </c>
      <c r="AW109" s="252">
        <v>127510211779</v>
      </c>
      <c r="AX109" s="252">
        <v>117692082548</v>
      </c>
      <c r="AY109" s="252">
        <v>706833820477</v>
      </c>
      <c r="AZ109" s="252">
        <v>250358343347</v>
      </c>
      <c r="BA109" s="252">
        <v>2745065896.5</v>
      </c>
      <c r="BB109" s="252">
        <v>0</v>
      </c>
      <c r="BC109" s="252">
        <v>147330047427</v>
      </c>
      <c r="BD109" s="252">
        <v>193589035768</v>
      </c>
      <c r="BE109" s="252">
        <v>168635986.63</v>
      </c>
      <c r="BF109" s="682">
        <v>53247164216</v>
      </c>
      <c r="BG109" s="252">
        <v>0</v>
      </c>
      <c r="BH109" s="252">
        <v>0</v>
      </c>
      <c r="BI109" s="252">
        <v>0</v>
      </c>
      <c r="BJ109" s="252">
        <v>17455114917</v>
      </c>
      <c r="BK109" s="252">
        <v>12520584932</v>
      </c>
      <c r="BL109" s="252">
        <v>9327136868.1000004</v>
      </c>
      <c r="BM109" s="252">
        <v>5725161894.3999996</v>
      </c>
      <c r="BN109" s="252">
        <v>0</v>
      </c>
      <c r="BO109" s="252">
        <v>38916085574</v>
      </c>
      <c r="BP109" s="252">
        <v>27680848285</v>
      </c>
      <c r="BQ109" s="682">
        <v>0</v>
      </c>
      <c r="BR109" s="682">
        <v>2194882.0499999998</v>
      </c>
      <c r="BS109" s="682">
        <v>0</v>
      </c>
      <c r="BT109" s="960">
        <v>-298777584.5</v>
      </c>
      <c r="BU109" s="960">
        <v>324295647687</v>
      </c>
      <c r="BV109" s="1014">
        <v>-78952453298</v>
      </c>
      <c r="BW109" s="871">
        <v>1102143.02</v>
      </c>
      <c r="BX109" s="871">
        <v>0</v>
      </c>
      <c r="BY109" s="871" t="s">
        <v>574</v>
      </c>
      <c r="BZ109" s="871" t="s">
        <v>574</v>
      </c>
      <c r="CA109" s="871" t="s">
        <v>574</v>
      </c>
      <c r="CB109" s="871">
        <v>943685977.36000001</v>
      </c>
      <c r="CC109" s="871">
        <v>7390718274.6999998</v>
      </c>
      <c r="CD109" s="871">
        <v>6447032297.3999996</v>
      </c>
      <c r="CE109" s="871"/>
      <c r="CF109" s="1255"/>
      <c r="CI109" s="875"/>
      <c r="CK109" s="682"/>
      <c r="CL109" s="682"/>
      <c r="CM109" s="682"/>
      <c r="CN109" s="1016"/>
      <c r="CO109" s="1019"/>
    </row>
    <row r="110" spans="1:93" s="252" customFormat="1" ht="9.75" customHeight="1" x14ac:dyDescent="0.3">
      <c r="A110" s="960"/>
      <c r="B110" s="252">
        <v>192740</v>
      </c>
      <c r="C110" s="680">
        <v>2004</v>
      </c>
      <c r="D110" s="681">
        <v>6745895900000</v>
      </c>
      <c r="E110" s="681">
        <v>4870148000000</v>
      </c>
      <c r="F110" s="252">
        <v>131483690005</v>
      </c>
      <c r="G110" s="252">
        <v>143514905999</v>
      </c>
      <c r="H110" s="252">
        <v>168651846422</v>
      </c>
      <c r="I110" s="252">
        <v>0</v>
      </c>
      <c r="J110" s="252">
        <v>466191510126</v>
      </c>
      <c r="K110" s="252">
        <v>1736235454.7</v>
      </c>
      <c r="L110" s="681">
        <v>755880363865</v>
      </c>
      <c r="M110" s="252">
        <v>32504069475</v>
      </c>
      <c r="N110" s="252">
        <v>32504069475</v>
      </c>
      <c r="O110" s="252">
        <v>110318490076</v>
      </c>
      <c r="P110" s="252">
        <v>230941373096</v>
      </c>
      <c r="Q110" s="252">
        <v>97110118667</v>
      </c>
      <c r="R110" s="252">
        <v>245306594643</v>
      </c>
      <c r="S110" s="252">
        <v>312697853244</v>
      </c>
      <c r="T110" s="252">
        <v>-13221779857</v>
      </c>
      <c r="U110" s="252">
        <v>56272822193</v>
      </c>
      <c r="V110" s="252">
        <v>13398986463</v>
      </c>
      <c r="W110" s="252">
        <v>74691139036</v>
      </c>
      <c r="X110" s="252">
        <v>28171907218</v>
      </c>
      <c r="Y110" s="252">
        <v>22648776005</v>
      </c>
      <c r="Z110" s="252">
        <v>322777011953</v>
      </c>
      <c r="AA110" s="682">
        <v>57876946423</v>
      </c>
      <c r="AB110" s="252">
        <v>14497704296</v>
      </c>
      <c r="AC110" s="252">
        <v>494600672126</v>
      </c>
      <c r="AD110" s="252">
        <v>493459486230</v>
      </c>
      <c r="AE110" s="252">
        <v>788541.45</v>
      </c>
      <c r="AF110" s="252">
        <v>258813253.63999999</v>
      </c>
      <c r="AG110" s="252">
        <v>0</v>
      </c>
      <c r="AH110" s="252">
        <v>0</v>
      </c>
      <c r="AI110" s="252">
        <v>0</v>
      </c>
      <c r="AJ110" s="252">
        <v>119286633.51000001</v>
      </c>
      <c r="AK110" s="252">
        <v>413162000000</v>
      </c>
      <c r="AL110" s="252">
        <v>288015000000</v>
      </c>
      <c r="AM110" s="681">
        <v>871455901734</v>
      </c>
      <c r="AN110" s="252">
        <v>41897432898</v>
      </c>
      <c r="AO110" s="252">
        <v>361222372349</v>
      </c>
      <c r="AP110" s="252">
        <v>203798919384</v>
      </c>
      <c r="AQ110" s="681">
        <v>1031306300000</v>
      </c>
      <c r="AR110" s="252">
        <v>17491928777</v>
      </c>
      <c r="AS110" s="252">
        <v>0</v>
      </c>
      <c r="AT110" s="252">
        <v>230941373096</v>
      </c>
      <c r="AU110" s="252">
        <v>32504069475</v>
      </c>
      <c r="AV110" s="681">
        <v>841015997836</v>
      </c>
      <c r="AW110" s="252">
        <v>142387591187</v>
      </c>
      <c r="AX110" s="252">
        <v>131955424603</v>
      </c>
      <c r="AY110" s="252">
        <v>745328403228</v>
      </c>
      <c r="AZ110" s="252">
        <v>284732261460</v>
      </c>
      <c r="BA110" s="252">
        <v>3322075926.6999998</v>
      </c>
      <c r="BB110" s="252">
        <v>0</v>
      </c>
      <c r="BC110" s="252">
        <v>194176797559</v>
      </c>
      <c r="BD110" s="252">
        <v>238092443527</v>
      </c>
      <c r="BE110" s="252">
        <v>170833618.66</v>
      </c>
      <c r="BF110" s="682">
        <v>51527714363</v>
      </c>
      <c r="BG110" s="252">
        <v>0</v>
      </c>
      <c r="BH110" s="252">
        <v>0</v>
      </c>
      <c r="BI110" s="252">
        <v>0</v>
      </c>
      <c r="BJ110" s="252">
        <v>19505155142</v>
      </c>
      <c r="BK110" s="252">
        <v>15846242728</v>
      </c>
      <c r="BL110" s="252">
        <v>10274913441</v>
      </c>
      <c r="BM110" s="252">
        <v>7105345027.1999998</v>
      </c>
      <c r="BN110" s="252">
        <v>0</v>
      </c>
      <c r="BO110" s="252">
        <v>43656244998</v>
      </c>
      <c r="BP110" s="252">
        <v>29146088786</v>
      </c>
      <c r="BQ110" s="682">
        <v>0</v>
      </c>
      <c r="BR110" s="682">
        <v>2341774.48</v>
      </c>
      <c r="BS110" s="682">
        <v>0</v>
      </c>
      <c r="BT110" s="960">
        <v>2513286523.5999999</v>
      </c>
      <c r="BU110" s="960">
        <v>339690605538</v>
      </c>
      <c r="BV110" s="1014">
        <v>-84884384936</v>
      </c>
      <c r="BW110" s="871">
        <v>1156102.23</v>
      </c>
      <c r="BX110" s="871">
        <v>0</v>
      </c>
      <c r="BY110" s="871" t="s">
        <v>574</v>
      </c>
      <c r="BZ110" s="871" t="s">
        <v>574</v>
      </c>
      <c r="CA110" s="871" t="s">
        <v>574</v>
      </c>
      <c r="CB110" s="871">
        <v>1174318599.3</v>
      </c>
      <c r="CC110" s="871">
        <v>8412496103.3999996</v>
      </c>
      <c r="CD110" s="871">
        <v>7238177504.1000004</v>
      </c>
      <c r="CE110" s="871"/>
      <c r="CF110" s="1255"/>
      <c r="CI110" s="875"/>
      <c r="CK110" s="682"/>
      <c r="CL110" s="682"/>
      <c r="CM110" s="682"/>
      <c r="CN110" s="1016"/>
      <c r="CO110" s="1019"/>
    </row>
    <row r="111" spans="1:93" s="252" customFormat="1" ht="9.75" customHeight="1" x14ac:dyDescent="0.3">
      <c r="A111" s="960"/>
      <c r="B111" s="252">
        <v>274955</v>
      </c>
      <c r="C111" s="680">
        <v>2005</v>
      </c>
      <c r="D111" s="681">
        <v>7367882500000</v>
      </c>
      <c r="E111" s="681">
        <v>5099501600000</v>
      </c>
      <c r="F111" s="252">
        <v>170322162058</v>
      </c>
      <c r="G111" s="252">
        <v>162414959230</v>
      </c>
      <c r="H111" s="252">
        <v>191205187842</v>
      </c>
      <c r="I111" s="252">
        <v>0</v>
      </c>
      <c r="J111" s="252">
        <v>652926915583</v>
      </c>
      <c r="K111" s="252">
        <v>4489055449.6000004</v>
      </c>
      <c r="L111" s="681">
        <v>828093176722</v>
      </c>
      <c r="M111" s="252">
        <v>27692493691</v>
      </c>
      <c r="N111" s="252">
        <v>27692493691</v>
      </c>
      <c r="O111" s="252">
        <v>124559678259</v>
      </c>
      <c r="P111" s="252">
        <v>251084781220</v>
      </c>
      <c r="Q111" s="252">
        <v>108327956610</v>
      </c>
      <c r="R111" s="252">
        <v>267347363129</v>
      </c>
      <c r="S111" s="252">
        <v>397889602701</v>
      </c>
      <c r="T111" s="252">
        <v>-12133380498</v>
      </c>
      <c r="U111" s="252">
        <v>62821623461</v>
      </c>
      <c r="V111" s="252">
        <v>15907798046</v>
      </c>
      <c r="W111" s="252">
        <v>79134768212</v>
      </c>
      <c r="X111" s="252">
        <v>30908894116</v>
      </c>
      <c r="Y111" s="252">
        <v>22104667073</v>
      </c>
      <c r="Z111" s="252">
        <v>335761943498</v>
      </c>
      <c r="AA111" s="682">
        <v>63967163631</v>
      </c>
      <c r="AB111" s="252">
        <v>16179084851</v>
      </c>
      <c r="AC111" s="252">
        <v>690416071583</v>
      </c>
      <c r="AD111" s="252">
        <v>529567787931</v>
      </c>
      <c r="AE111" s="252">
        <v>802367.17</v>
      </c>
      <c r="AF111" s="252">
        <v>258796719.24000001</v>
      </c>
      <c r="AG111" s="252">
        <v>0</v>
      </c>
      <c r="AH111" s="252">
        <v>0</v>
      </c>
      <c r="AI111" s="252">
        <v>0</v>
      </c>
      <c r="AJ111" s="252">
        <v>121320468.31</v>
      </c>
      <c r="AK111" s="252">
        <v>484817000000</v>
      </c>
      <c r="AL111" s="252">
        <v>390916000000</v>
      </c>
      <c r="AM111" s="681">
        <v>976521905244</v>
      </c>
      <c r="AN111" s="252">
        <v>45075839429</v>
      </c>
      <c r="AO111" s="252">
        <v>398850212386</v>
      </c>
      <c r="AP111" s="252">
        <v>229941188092</v>
      </c>
      <c r="AQ111" s="681">
        <v>1162528400000</v>
      </c>
      <c r="AR111" s="252">
        <v>17236882743</v>
      </c>
      <c r="AS111" s="252">
        <v>0</v>
      </c>
      <c r="AT111" s="252">
        <v>251084781220</v>
      </c>
      <c r="AU111" s="252">
        <v>27692493691</v>
      </c>
      <c r="AV111" s="681">
        <v>946197267815</v>
      </c>
      <c r="AW111" s="252">
        <v>155128951551</v>
      </c>
      <c r="AX111" s="252">
        <v>144367976838</v>
      </c>
      <c r="AY111" s="252">
        <v>780566890055</v>
      </c>
      <c r="AZ111" s="252">
        <v>280663626637</v>
      </c>
      <c r="BA111" s="252">
        <v>4713666349.8999996</v>
      </c>
      <c r="BB111" s="252">
        <v>0</v>
      </c>
      <c r="BC111" s="252">
        <v>249337405852</v>
      </c>
      <c r="BD111" s="252">
        <v>294700222074</v>
      </c>
      <c r="BE111" s="252">
        <v>173393894.12</v>
      </c>
      <c r="BF111" s="682">
        <v>57010428738</v>
      </c>
      <c r="BG111" s="252">
        <v>0</v>
      </c>
      <c r="BH111" s="252">
        <v>0</v>
      </c>
      <c r="BI111" s="252">
        <v>0</v>
      </c>
      <c r="BJ111" s="252">
        <v>22972475745</v>
      </c>
      <c r="BK111" s="252">
        <v>18655249126</v>
      </c>
      <c r="BL111" s="252">
        <v>11072943166</v>
      </c>
      <c r="BM111" s="252">
        <v>8026694864</v>
      </c>
      <c r="BN111" s="252">
        <v>0</v>
      </c>
      <c r="BO111" s="252">
        <v>47815888198</v>
      </c>
      <c r="BP111" s="252">
        <v>33061498957</v>
      </c>
      <c r="BQ111" s="682">
        <v>0</v>
      </c>
      <c r="BR111" s="682">
        <v>2357947.39</v>
      </c>
      <c r="BS111" s="682">
        <v>0</v>
      </c>
      <c r="BT111" s="960">
        <v>3690353542.5</v>
      </c>
      <c r="BU111" s="960">
        <v>382696636001</v>
      </c>
      <c r="BV111" s="1014">
        <v>-83962934257</v>
      </c>
      <c r="BW111" s="871">
        <v>1169095.83</v>
      </c>
      <c r="BX111" s="871">
        <v>0</v>
      </c>
      <c r="BY111" s="871" t="s">
        <v>574</v>
      </c>
      <c r="BZ111" s="871" t="s">
        <v>574</v>
      </c>
      <c r="CA111" s="871" t="s">
        <v>574</v>
      </c>
      <c r="CB111" s="871">
        <v>902365616.04999995</v>
      </c>
      <c r="CC111" s="871">
        <v>8831097071.7999992</v>
      </c>
      <c r="CD111" s="871">
        <v>7928731455.6999998</v>
      </c>
      <c r="CE111" s="871"/>
      <c r="CF111" s="1255"/>
      <c r="CI111" s="875"/>
      <c r="CK111" s="682"/>
      <c r="CL111" s="682"/>
      <c r="CM111" s="682"/>
      <c r="CN111" s="1016"/>
      <c r="CO111" s="1019"/>
    </row>
    <row r="112" spans="1:93" s="252" customFormat="1" ht="9.75" customHeight="1" x14ac:dyDescent="0.3">
      <c r="A112" s="960"/>
      <c r="B112" s="252">
        <v>288084</v>
      </c>
      <c r="C112" s="680">
        <v>2006</v>
      </c>
      <c r="D112" s="681">
        <v>7964491100000</v>
      </c>
      <c r="E112" s="681">
        <v>5410716500000</v>
      </c>
      <c r="F112" s="252">
        <v>233258171149</v>
      </c>
      <c r="G112" s="252">
        <v>194366467483</v>
      </c>
      <c r="H112" s="252">
        <v>231089034158</v>
      </c>
      <c r="I112" s="252">
        <v>0</v>
      </c>
      <c r="J112" s="252">
        <v>753018582175</v>
      </c>
      <c r="K112" s="252">
        <v>7590758721</v>
      </c>
      <c r="L112" s="681">
        <v>941632390895</v>
      </c>
      <c r="M112" s="252">
        <v>26340253622</v>
      </c>
      <c r="N112" s="252">
        <v>26340253622</v>
      </c>
      <c r="O112" s="252">
        <v>144110079183</v>
      </c>
      <c r="P112" s="252">
        <v>337621555295</v>
      </c>
      <c r="Q112" s="252">
        <v>112696991677</v>
      </c>
      <c r="R112" s="252">
        <v>279036709624</v>
      </c>
      <c r="S112" s="681">
        <v>420817969777</v>
      </c>
      <c r="T112" s="252">
        <v>-15260802764</v>
      </c>
      <c r="U112" s="252">
        <v>59825631346</v>
      </c>
      <c r="V112" s="252">
        <v>16645659610</v>
      </c>
      <c r="W112" s="252">
        <v>80270811723</v>
      </c>
      <c r="X112" s="252">
        <v>33283290939</v>
      </c>
      <c r="Y112" s="252">
        <v>24086103247</v>
      </c>
      <c r="Z112" s="252">
        <v>355521888738</v>
      </c>
      <c r="AA112" s="682">
        <v>65224336169</v>
      </c>
      <c r="AB112" s="252">
        <v>19072731617</v>
      </c>
      <c r="AC112" s="252">
        <v>804241863175</v>
      </c>
      <c r="AD112" s="252">
        <v>571802671802</v>
      </c>
      <c r="AE112" s="252">
        <v>815917.99</v>
      </c>
      <c r="AF112" s="252">
        <v>264094281.71000001</v>
      </c>
      <c r="AG112" s="252">
        <v>0</v>
      </c>
      <c r="AH112" s="252">
        <v>0</v>
      </c>
      <c r="AI112" s="252">
        <v>0</v>
      </c>
      <c r="AJ112" s="252">
        <v>125070806.11</v>
      </c>
      <c r="AK112" s="252">
        <v>447140000000</v>
      </c>
      <c r="AL112" s="252">
        <v>444308000000</v>
      </c>
      <c r="AM112" s="681">
        <v>1066257500000</v>
      </c>
      <c r="AN112" s="252">
        <v>47413843217</v>
      </c>
      <c r="AO112" s="252">
        <v>431130928560</v>
      </c>
      <c r="AP112" s="252">
        <v>249238832687</v>
      </c>
      <c r="AQ112" s="681">
        <v>1259101500000</v>
      </c>
      <c r="AR112" s="252">
        <v>18765641802</v>
      </c>
      <c r="AS112" s="252">
        <v>0</v>
      </c>
      <c r="AT112" s="252">
        <v>337621555295</v>
      </c>
      <c r="AU112" s="252">
        <v>26340253622</v>
      </c>
      <c r="AV112" s="681">
        <v>1038304400000</v>
      </c>
      <c r="AW112" s="252">
        <v>167025451071</v>
      </c>
      <c r="AX112" s="252">
        <v>156009401698</v>
      </c>
      <c r="AY112" s="681">
        <v>823681956861</v>
      </c>
      <c r="AZ112" s="252">
        <v>264830374709</v>
      </c>
      <c r="BA112" s="252">
        <v>5802863363.1000004</v>
      </c>
      <c r="BB112" s="252">
        <v>0</v>
      </c>
      <c r="BC112" s="252">
        <v>264206873274</v>
      </c>
      <c r="BD112" s="252">
        <v>314787514963</v>
      </c>
      <c r="BE112" s="252">
        <v>177919414.68000001</v>
      </c>
      <c r="BF112" s="682">
        <v>72110473722</v>
      </c>
      <c r="BG112" s="252">
        <v>0</v>
      </c>
      <c r="BH112" s="252">
        <v>0</v>
      </c>
      <c r="BI112" s="252">
        <v>0</v>
      </c>
      <c r="BJ112" s="252">
        <v>32691349237</v>
      </c>
      <c r="BK112" s="252">
        <v>25981757847</v>
      </c>
      <c r="BL112" s="252">
        <v>15240770424</v>
      </c>
      <c r="BM112" s="252">
        <v>10109881279</v>
      </c>
      <c r="BN112" s="252">
        <v>0</v>
      </c>
      <c r="BO112" s="252">
        <v>56172111696</v>
      </c>
      <c r="BP112" s="252">
        <v>34316986542</v>
      </c>
      <c r="BQ112" s="252">
        <v>0</v>
      </c>
      <c r="BR112" s="252">
        <v>2395569.7400000002</v>
      </c>
      <c r="BS112" s="252">
        <v>0</v>
      </c>
      <c r="BT112" s="960">
        <v>4267239575.3000002</v>
      </c>
      <c r="BU112" s="960">
        <v>441920953847</v>
      </c>
      <c r="BV112" s="1014">
        <v>-89624219881</v>
      </c>
      <c r="BW112" s="871">
        <v>1231703.0900000001</v>
      </c>
      <c r="BX112" s="871">
        <v>0</v>
      </c>
      <c r="BY112" s="871" t="s">
        <v>574</v>
      </c>
      <c r="BZ112" s="871" t="s">
        <v>574</v>
      </c>
      <c r="CA112" s="871" t="s">
        <v>574</v>
      </c>
      <c r="CB112" s="871">
        <v>906886365.26999998</v>
      </c>
      <c r="CC112" s="871">
        <v>9012315413</v>
      </c>
      <c r="CD112" s="871">
        <v>8105429047.6999998</v>
      </c>
      <c r="CE112" s="871"/>
      <c r="CF112" s="1255"/>
      <c r="CI112" s="875"/>
      <c r="CK112" s="682"/>
      <c r="CL112" s="682"/>
      <c r="CM112" s="682"/>
      <c r="CN112" s="1016"/>
      <c r="CO112" s="1019"/>
    </row>
    <row r="113" spans="1:93" s="252" customFormat="1" ht="9.75" customHeight="1" x14ac:dyDescent="0.3">
      <c r="A113" s="960"/>
      <c r="B113" s="252">
        <v>303321</v>
      </c>
      <c r="C113" s="680">
        <v>2007</v>
      </c>
      <c r="D113" s="681">
        <v>8605894700000</v>
      </c>
      <c r="E113" s="681">
        <v>5777333100000</v>
      </c>
      <c r="F113" s="252">
        <v>279834533431</v>
      </c>
      <c r="G113" s="252">
        <v>230046100651</v>
      </c>
      <c r="H113" s="252">
        <v>270924215512</v>
      </c>
      <c r="I113" s="252">
        <v>0</v>
      </c>
      <c r="J113" s="252">
        <v>873689879862</v>
      </c>
      <c r="K113" s="252">
        <v>10989873692</v>
      </c>
      <c r="L113" s="681">
        <v>1036126500000</v>
      </c>
      <c r="M113" s="252">
        <v>29167145379</v>
      </c>
      <c r="N113" s="252">
        <v>29167145379</v>
      </c>
      <c r="O113" s="252">
        <v>166831812350</v>
      </c>
      <c r="P113" s="252">
        <v>378769854496</v>
      </c>
      <c r="Q113" s="252">
        <v>121634225830</v>
      </c>
      <c r="R113" s="252">
        <v>276194635610</v>
      </c>
      <c r="S113" s="252">
        <v>408955453878</v>
      </c>
      <c r="T113" s="252">
        <v>-14675454456</v>
      </c>
      <c r="U113" s="252">
        <v>59395063594</v>
      </c>
      <c r="V113" s="252">
        <v>17628700543</v>
      </c>
      <c r="W113" s="252">
        <v>85834419941</v>
      </c>
      <c r="X113" s="252">
        <v>36465410116</v>
      </c>
      <c r="Y113" s="252">
        <v>26911966323</v>
      </c>
      <c r="Z113" s="252">
        <v>376405619647</v>
      </c>
      <c r="AA113" s="682">
        <v>67578650912</v>
      </c>
      <c r="AB113" s="252">
        <v>21004374980</v>
      </c>
      <c r="AC113" s="252">
        <v>938934605862</v>
      </c>
      <c r="AD113" s="252">
        <v>635129395508</v>
      </c>
      <c r="AE113" s="252">
        <v>843114.84</v>
      </c>
      <c r="AF113" s="252">
        <v>270991558.10000002</v>
      </c>
      <c r="AG113" s="252">
        <v>0</v>
      </c>
      <c r="AH113" s="252">
        <v>0</v>
      </c>
      <c r="AI113" s="252">
        <v>0</v>
      </c>
      <c r="AJ113" s="252">
        <v>129234728.06</v>
      </c>
      <c r="AK113" s="252">
        <v>264552000000</v>
      </c>
      <c r="AL113" s="252">
        <v>410932000000</v>
      </c>
      <c r="AM113" s="681">
        <v>1158721800000</v>
      </c>
      <c r="AN113" s="252">
        <v>49045032411</v>
      </c>
      <c r="AO113" s="252">
        <v>463750429630</v>
      </c>
      <c r="AP113" s="252">
        <v>272405688867</v>
      </c>
      <c r="AQ113" s="681">
        <v>1365696300000</v>
      </c>
      <c r="AR113" s="252">
        <v>18402157073</v>
      </c>
      <c r="AS113" s="252">
        <v>0</v>
      </c>
      <c r="AT113" s="252">
        <v>378769854496</v>
      </c>
      <c r="AU113" s="252">
        <v>29167145379</v>
      </c>
      <c r="AV113" s="681">
        <v>1132815500000</v>
      </c>
      <c r="AW113" s="252">
        <v>177511079690</v>
      </c>
      <c r="AX113" s="252">
        <v>166446242029</v>
      </c>
      <c r="AY113" s="252">
        <v>869434922618</v>
      </c>
      <c r="AZ113" s="252">
        <v>250205467967</v>
      </c>
      <c r="BA113" s="252">
        <v>8370623650.3999996</v>
      </c>
      <c r="BB113" s="252">
        <v>0</v>
      </c>
      <c r="BC113" s="252">
        <v>252555093413</v>
      </c>
      <c r="BD113" s="252">
        <v>317314597636</v>
      </c>
      <c r="BE113" s="252">
        <v>182920756.97999999</v>
      </c>
      <c r="BF113" s="682">
        <v>78511321370</v>
      </c>
      <c r="BG113" s="252">
        <v>0</v>
      </c>
      <c r="BH113" s="252">
        <v>0</v>
      </c>
      <c r="BI113" s="252">
        <v>0</v>
      </c>
      <c r="BJ113" s="252">
        <v>39464654430</v>
      </c>
      <c r="BK113" s="252">
        <v>30907454027</v>
      </c>
      <c r="BL113" s="252">
        <v>18792253012</v>
      </c>
      <c r="BM113" s="252">
        <v>12129703787</v>
      </c>
      <c r="BN113" s="252">
        <v>0</v>
      </c>
      <c r="BO113" s="252">
        <v>75778359245</v>
      </c>
      <c r="BP113" s="252">
        <v>34873994011</v>
      </c>
      <c r="BQ113" s="252">
        <v>0</v>
      </c>
      <c r="BR113" s="252">
        <v>2594978</v>
      </c>
      <c r="BS113" s="252">
        <v>0</v>
      </c>
      <c r="BT113" s="960">
        <v>4232158353.6999998</v>
      </c>
      <c r="BU113" s="960">
        <v>489942371468</v>
      </c>
      <c r="BV113" s="1014">
        <v>-109168000000</v>
      </c>
      <c r="BW113" s="871">
        <v>1284955.22</v>
      </c>
      <c r="BX113" s="871">
        <v>0</v>
      </c>
      <c r="BY113" s="871" t="s">
        <v>574</v>
      </c>
      <c r="BZ113" s="871" t="s">
        <v>574</v>
      </c>
      <c r="CA113" s="871" t="s">
        <v>574</v>
      </c>
      <c r="CB113" s="871">
        <v>665696058.02999997</v>
      </c>
      <c r="CC113" s="871">
        <v>9360491982.6000004</v>
      </c>
      <c r="CD113" s="871">
        <v>8694795924.6000004</v>
      </c>
      <c r="CE113" s="871"/>
      <c r="CF113" s="1255"/>
      <c r="CI113" s="875"/>
      <c r="CK113" s="682"/>
      <c r="CL113" s="682"/>
      <c r="CM113" s="682"/>
      <c r="CN113" s="1016"/>
      <c r="CO113" s="1019"/>
    </row>
    <row r="114" spans="1:93" s="252" customFormat="1" ht="9.75" customHeight="1" x14ac:dyDescent="0.3">
      <c r="A114" s="960"/>
      <c r="B114" s="252">
        <v>304967</v>
      </c>
      <c r="C114" s="680">
        <v>2008</v>
      </c>
      <c r="D114" s="681">
        <v>8185307100000</v>
      </c>
      <c r="E114" s="681">
        <v>5875835500000</v>
      </c>
      <c r="F114" s="252">
        <v>231546535043</v>
      </c>
      <c r="G114" s="252">
        <v>212632865768</v>
      </c>
      <c r="H114" s="252">
        <v>246335284206</v>
      </c>
      <c r="I114" s="252">
        <v>0</v>
      </c>
      <c r="J114" s="252">
        <v>454904715468</v>
      </c>
      <c r="K114" s="252">
        <v>2475257630</v>
      </c>
      <c r="L114" s="681">
        <v>1055646800000</v>
      </c>
      <c r="M114" s="252">
        <v>43405397019</v>
      </c>
      <c r="N114" s="252">
        <v>43405397019</v>
      </c>
      <c r="O114" s="252">
        <v>167783728438</v>
      </c>
      <c r="P114" s="252">
        <v>412174262722</v>
      </c>
      <c r="Q114" s="252">
        <v>120137419077</v>
      </c>
      <c r="R114" s="252">
        <v>260612425189</v>
      </c>
      <c r="S114" s="252">
        <v>362556255876</v>
      </c>
      <c r="T114" s="252">
        <v>-14831693943</v>
      </c>
      <c r="U114" s="252">
        <v>69886838736</v>
      </c>
      <c r="V114" s="252">
        <v>17094555648</v>
      </c>
      <c r="W114" s="252">
        <v>96204385577</v>
      </c>
      <c r="X114" s="252">
        <v>34704953665</v>
      </c>
      <c r="Y114" s="252">
        <v>27397416664</v>
      </c>
      <c r="Z114" s="252">
        <v>385482770693</v>
      </c>
      <c r="AA114" s="682">
        <v>67152960193</v>
      </c>
      <c r="AB114" s="252">
        <v>18365571583</v>
      </c>
      <c r="AC114" s="252">
        <v>482354977468</v>
      </c>
      <c r="AD114" s="252">
        <v>664940261998</v>
      </c>
      <c r="AE114" s="252">
        <v>793889.38</v>
      </c>
      <c r="AF114" s="252">
        <v>270399642.19999999</v>
      </c>
      <c r="AG114" s="252">
        <v>0</v>
      </c>
      <c r="AH114" s="252">
        <v>0</v>
      </c>
      <c r="AI114" s="252">
        <v>0</v>
      </c>
      <c r="AJ114" s="252">
        <v>129383823.77</v>
      </c>
      <c r="AK114" s="252">
        <v>167349000000</v>
      </c>
      <c r="AL114" s="252">
        <v>277411000000</v>
      </c>
      <c r="AM114" s="681">
        <v>1086636400000</v>
      </c>
      <c r="AN114" s="252">
        <v>48027601311</v>
      </c>
      <c r="AO114" s="252">
        <v>464937084090</v>
      </c>
      <c r="AP114" s="252">
        <v>274635084475</v>
      </c>
      <c r="AQ114" s="681">
        <v>1332502900000</v>
      </c>
      <c r="AR114" s="252">
        <v>17509926831</v>
      </c>
      <c r="AS114" s="252">
        <v>83009405255</v>
      </c>
      <c r="AT114" s="252">
        <v>412174262722</v>
      </c>
      <c r="AU114" s="252">
        <v>43405397019</v>
      </c>
      <c r="AV114" s="681">
        <v>1054744800000</v>
      </c>
      <c r="AW114" s="252">
        <v>177976973784</v>
      </c>
      <c r="AX114" s="252">
        <v>167448583527</v>
      </c>
      <c r="AY114" s="252">
        <v>886146102890</v>
      </c>
      <c r="AZ114" s="252">
        <v>293129131775</v>
      </c>
      <c r="BA114" s="252">
        <v>8319637057.1999998</v>
      </c>
      <c r="BB114" s="252">
        <v>0</v>
      </c>
      <c r="BC114" s="252">
        <v>225912660203</v>
      </c>
      <c r="BD114" s="252">
        <v>308499577003</v>
      </c>
      <c r="BE114" s="252">
        <v>182639373.09999999</v>
      </c>
      <c r="BF114" s="682">
        <v>79055145929</v>
      </c>
      <c r="BG114" s="252">
        <v>0</v>
      </c>
      <c r="BH114" s="252">
        <v>0</v>
      </c>
      <c r="BI114" s="252">
        <v>0</v>
      </c>
      <c r="BJ114" s="252">
        <v>53405883521</v>
      </c>
      <c r="BK114" s="252">
        <v>34868631739</v>
      </c>
      <c r="BL114" s="252">
        <v>28133109045</v>
      </c>
      <c r="BM114" s="252">
        <v>13257410850</v>
      </c>
      <c r="BN114" s="252">
        <v>0</v>
      </c>
      <c r="BO114" s="252">
        <v>106257695581</v>
      </c>
      <c r="BP114" s="252">
        <v>31649091272</v>
      </c>
      <c r="BQ114" s="252">
        <v>0</v>
      </c>
      <c r="BR114" s="252">
        <v>2595778.4300000002</v>
      </c>
      <c r="BS114" s="252">
        <v>0</v>
      </c>
      <c r="BT114" s="960">
        <v>-7837950237</v>
      </c>
      <c r="BU114" s="960">
        <v>468754592305</v>
      </c>
      <c r="BV114" s="1014">
        <v>-161472900000</v>
      </c>
      <c r="BW114" s="871">
        <v>1504394.7</v>
      </c>
      <c r="BX114" s="871">
        <v>0</v>
      </c>
      <c r="BY114" s="871" t="s">
        <v>574</v>
      </c>
      <c r="BZ114" s="871" t="s">
        <v>574</v>
      </c>
      <c r="CA114" s="871" t="s">
        <v>574</v>
      </c>
      <c r="CB114" s="871">
        <v>778630404.09000003</v>
      </c>
      <c r="CC114" s="871">
        <v>9471158109</v>
      </c>
      <c r="CD114" s="871">
        <v>8692527704.8999996</v>
      </c>
      <c r="CE114" s="871"/>
      <c r="CF114" s="1255"/>
      <c r="CI114" s="875"/>
      <c r="CK114" s="682"/>
      <c r="CL114" s="682"/>
      <c r="CM114" s="682"/>
      <c r="CN114" s="1016"/>
      <c r="CO114" s="1019"/>
    </row>
    <row r="115" spans="1:93" s="252" customFormat="1" ht="9.75" customHeight="1" x14ac:dyDescent="0.3">
      <c r="A115" s="960"/>
      <c r="B115" s="252">
        <v>273916</v>
      </c>
      <c r="C115" s="680">
        <v>2009</v>
      </c>
      <c r="D115" s="681">
        <v>7566984000000</v>
      </c>
      <c r="E115" s="681">
        <v>5638453600000</v>
      </c>
      <c r="F115" s="252">
        <v>172951528790</v>
      </c>
      <c r="G115" s="252">
        <v>159301020833</v>
      </c>
      <c r="H115" s="252">
        <v>182541585401</v>
      </c>
      <c r="I115" s="252">
        <v>0</v>
      </c>
      <c r="J115" s="252">
        <v>226437075126</v>
      </c>
      <c r="K115" s="252">
        <v>305159012.19999999</v>
      </c>
      <c r="L115" s="252">
        <v>995784147023</v>
      </c>
      <c r="M115" s="252">
        <v>83173629761</v>
      </c>
      <c r="N115" s="252">
        <v>83173629761</v>
      </c>
      <c r="O115" s="252">
        <v>174238831979</v>
      </c>
      <c r="P115" s="252">
        <v>453756654446</v>
      </c>
      <c r="Q115" s="252">
        <v>111656359877</v>
      </c>
      <c r="R115" s="252">
        <v>241624572567</v>
      </c>
      <c r="S115" s="252">
        <v>340181801535</v>
      </c>
      <c r="T115" s="252">
        <v>-14134901924</v>
      </c>
      <c r="U115" s="252">
        <v>52709009748</v>
      </c>
      <c r="V115" s="252">
        <v>16894995130</v>
      </c>
      <c r="W115" s="252">
        <v>123167965993</v>
      </c>
      <c r="X115" s="252">
        <v>31404144011</v>
      </c>
      <c r="Y115" s="252">
        <v>30124531806</v>
      </c>
      <c r="Z115" s="252">
        <v>377664208235</v>
      </c>
      <c r="AA115" s="682">
        <v>61840079846</v>
      </c>
      <c r="AB115" s="252">
        <v>15213250562</v>
      </c>
      <c r="AC115" s="252">
        <v>235994363126</v>
      </c>
      <c r="AD115" s="252">
        <v>654552420787</v>
      </c>
      <c r="AE115" s="252">
        <v>821091.54</v>
      </c>
      <c r="AF115" s="252">
        <v>271515157.94</v>
      </c>
      <c r="AG115" s="252">
        <v>0</v>
      </c>
      <c r="AH115" s="252">
        <v>0</v>
      </c>
      <c r="AI115" s="252">
        <v>0</v>
      </c>
      <c r="AJ115" s="252">
        <v>129498351.90000001</v>
      </c>
      <c r="AK115" s="252">
        <v>552898000000</v>
      </c>
      <c r="AL115" s="252">
        <v>222014000000</v>
      </c>
      <c r="AM115" s="252">
        <v>954664944488</v>
      </c>
      <c r="AN115" s="252">
        <v>47103776720</v>
      </c>
      <c r="AO115" s="252">
        <v>430148038855</v>
      </c>
      <c r="AP115" s="252">
        <v>238314701547</v>
      </c>
      <c r="AQ115" s="681">
        <v>1210083400000</v>
      </c>
      <c r="AR115" s="252">
        <v>15448082260</v>
      </c>
      <c r="AS115" s="252">
        <v>0</v>
      </c>
      <c r="AT115" s="252">
        <v>453756654446</v>
      </c>
      <c r="AU115" s="252">
        <v>83173629761</v>
      </c>
      <c r="AV115" s="252">
        <v>918039945768</v>
      </c>
      <c r="AW115" s="252">
        <v>179819254047</v>
      </c>
      <c r="AX115" s="252">
        <v>167291404960</v>
      </c>
      <c r="AY115" s="252">
        <v>864272273036</v>
      </c>
      <c r="AZ115" s="252">
        <v>343253799514</v>
      </c>
      <c r="BA115" s="252">
        <v>6361469786.6999998</v>
      </c>
      <c r="BB115" s="252">
        <v>0</v>
      </c>
      <c r="BC115" s="252">
        <v>204567030486</v>
      </c>
      <c r="BD115" s="252">
        <v>278372419426</v>
      </c>
      <c r="BE115" s="252">
        <v>182661010.50999999</v>
      </c>
      <c r="BF115" s="682">
        <v>73016993377</v>
      </c>
      <c r="BG115" s="252">
        <v>0</v>
      </c>
      <c r="BH115" s="252">
        <v>0</v>
      </c>
      <c r="BI115" s="252">
        <v>0</v>
      </c>
      <c r="BJ115" s="252">
        <v>52760572233</v>
      </c>
      <c r="BK115" s="252">
        <v>33681796164</v>
      </c>
      <c r="BL115" s="252">
        <v>27938987010</v>
      </c>
      <c r="BM115" s="252">
        <v>13677404527</v>
      </c>
      <c r="BN115" s="252">
        <v>0</v>
      </c>
      <c r="BO115" s="252">
        <v>89679995402</v>
      </c>
      <c r="BP115" s="252">
        <v>29838623882</v>
      </c>
      <c r="BQ115" s="252">
        <v>0</v>
      </c>
      <c r="BR115" s="252">
        <v>2425171.62</v>
      </c>
      <c r="BS115" s="252">
        <v>0</v>
      </c>
      <c r="BT115" s="960">
        <v>-16491016015</v>
      </c>
      <c r="BU115" s="960">
        <v>419367091672</v>
      </c>
      <c r="BV115" s="1014">
        <v>-195072800000</v>
      </c>
      <c r="BW115" s="871">
        <v>1675616.68</v>
      </c>
      <c r="BX115" s="871">
        <v>0</v>
      </c>
      <c r="BY115" s="871" t="s">
        <v>574</v>
      </c>
      <c r="BZ115" s="871" t="s">
        <v>574</v>
      </c>
      <c r="CA115" s="871" t="s">
        <v>574</v>
      </c>
      <c r="CB115" s="871">
        <v>865774630.40999997</v>
      </c>
      <c r="CC115" s="871">
        <v>9683740750.2000008</v>
      </c>
      <c r="CD115" s="871">
        <v>8817966119.7999992</v>
      </c>
      <c r="CE115" s="871"/>
      <c r="CF115" s="1255"/>
      <c r="CI115" s="875"/>
      <c r="CK115" s="682"/>
      <c r="CL115" s="682"/>
      <c r="CM115" s="682"/>
      <c r="CN115" s="1016"/>
      <c r="CO115" s="1019"/>
    </row>
    <row r="116" spans="1:93" s="252" customFormat="1" ht="9.75" customHeight="1" x14ac:dyDescent="0.3">
      <c r="A116" s="960"/>
      <c r="B116" s="252">
        <v>285186</v>
      </c>
      <c r="C116" s="680">
        <v>2010</v>
      </c>
      <c r="D116" s="681">
        <v>8019685000000</v>
      </c>
      <c r="E116" s="681">
        <v>5764175000000</v>
      </c>
      <c r="F116" s="252">
        <v>145057411344</v>
      </c>
      <c r="G116" s="252">
        <v>179392888987</v>
      </c>
      <c r="H116" s="252">
        <v>205879281960</v>
      </c>
      <c r="I116" s="252">
        <v>0</v>
      </c>
      <c r="J116" s="252">
        <v>354960533279</v>
      </c>
      <c r="K116" s="252">
        <v>566894529.98000002</v>
      </c>
      <c r="L116" s="681">
        <v>1165035800000</v>
      </c>
      <c r="M116" s="252">
        <v>119428699131</v>
      </c>
      <c r="N116" s="252">
        <v>119428699131</v>
      </c>
      <c r="O116" s="252">
        <v>190415063250</v>
      </c>
      <c r="P116" s="252">
        <v>474674898081</v>
      </c>
      <c r="Q116" s="252">
        <v>118094016462</v>
      </c>
      <c r="R116" s="252">
        <v>263612875148</v>
      </c>
      <c r="S116" s="252">
        <v>389196444700</v>
      </c>
      <c r="T116" s="252">
        <v>-11754866401</v>
      </c>
      <c r="U116" s="252">
        <v>68906431772</v>
      </c>
      <c r="V116" s="252">
        <v>19174914100</v>
      </c>
      <c r="W116" s="252">
        <v>143674049653</v>
      </c>
      <c r="X116" s="252">
        <v>34795510789</v>
      </c>
      <c r="Y116" s="252">
        <v>27304709172</v>
      </c>
      <c r="Z116" s="682">
        <v>383891267052</v>
      </c>
      <c r="AA116" s="682">
        <v>69747775213</v>
      </c>
      <c r="AB116" s="252">
        <v>16006700419</v>
      </c>
      <c r="AC116" s="252">
        <v>368912380279</v>
      </c>
      <c r="AD116" s="252">
        <v>749155394388</v>
      </c>
      <c r="AE116" s="252">
        <v>848195.81</v>
      </c>
      <c r="AF116" s="252">
        <v>274467694.42000002</v>
      </c>
      <c r="AG116" s="252">
        <v>0</v>
      </c>
      <c r="AH116" s="252">
        <v>0</v>
      </c>
      <c r="AI116" s="252">
        <v>0</v>
      </c>
      <c r="AJ116" s="252">
        <v>131955733.94</v>
      </c>
      <c r="AK116" s="252">
        <v>811899000000</v>
      </c>
      <c r="AL116" s="252">
        <v>291303000000</v>
      </c>
      <c r="AM116" s="681">
        <v>1040061000000</v>
      </c>
      <c r="AN116" s="252">
        <v>47789973795</v>
      </c>
      <c r="AO116" s="252">
        <v>443212853583</v>
      </c>
      <c r="AP116" s="252">
        <v>247962825083</v>
      </c>
      <c r="AQ116" s="681">
        <v>1211177600000</v>
      </c>
      <c r="AR116" s="252">
        <v>16328525841</v>
      </c>
      <c r="AS116" s="252">
        <v>0</v>
      </c>
      <c r="AT116" s="252">
        <v>474674898081</v>
      </c>
      <c r="AU116" s="252">
        <v>119428699131</v>
      </c>
      <c r="AV116" s="681">
        <v>1005525400000</v>
      </c>
      <c r="AW116" s="252">
        <v>181809284659</v>
      </c>
      <c r="AX116" s="252">
        <v>171693021166</v>
      </c>
      <c r="AY116" s="252">
        <v>885320283111</v>
      </c>
      <c r="AZ116" s="252">
        <v>395013827310</v>
      </c>
      <c r="BA116" s="252">
        <v>8056414547.5</v>
      </c>
      <c r="BB116" s="252">
        <v>0</v>
      </c>
      <c r="BC116" s="252">
        <v>233757375333</v>
      </c>
      <c r="BD116" s="252">
        <v>292254551833</v>
      </c>
      <c r="BE116" s="252">
        <v>185096250.87</v>
      </c>
      <c r="BF116" s="682">
        <v>74526420378</v>
      </c>
      <c r="BG116" s="252">
        <v>0</v>
      </c>
      <c r="BH116" s="252">
        <v>0</v>
      </c>
      <c r="BI116" s="252">
        <v>0</v>
      </c>
      <c r="BJ116" s="252">
        <v>45032697564</v>
      </c>
      <c r="BK116" s="252">
        <v>31254836245</v>
      </c>
      <c r="BL116" s="252">
        <v>24218111527</v>
      </c>
      <c r="BM116" s="252">
        <v>13588136815</v>
      </c>
      <c r="BN116" s="252">
        <v>0</v>
      </c>
      <c r="BO116" s="252">
        <v>76080774175</v>
      </c>
      <c r="BP116" s="252">
        <v>30127248270</v>
      </c>
      <c r="BQ116" s="252">
        <v>0</v>
      </c>
      <c r="BR116" s="252">
        <v>2403539.14</v>
      </c>
      <c r="BS116" s="252">
        <v>0</v>
      </c>
      <c r="BT116" s="960">
        <v>-18005891957</v>
      </c>
      <c r="BU116" s="960">
        <v>392506401106</v>
      </c>
      <c r="BV116" s="1014">
        <v>-186349700000</v>
      </c>
      <c r="BW116" s="871">
        <v>1556201.3</v>
      </c>
      <c r="BX116" s="871">
        <v>0</v>
      </c>
      <c r="BY116" s="871" t="s">
        <v>574</v>
      </c>
      <c r="BZ116" s="871" t="s">
        <v>574</v>
      </c>
      <c r="CA116" s="871" t="s">
        <v>574</v>
      </c>
      <c r="CB116" s="871">
        <v>1461224298.0999999</v>
      </c>
      <c r="CC116" s="871">
        <v>10253906254</v>
      </c>
      <c r="CD116" s="871">
        <v>8792681956</v>
      </c>
      <c r="CE116" s="871"/>
      <c r="CF116" s="1255"/>
      <c r="CI116" s="875"/>
      <c r="CK116" s="682"/>
      <c r="CL116" s="682"/>
      <c r="CM116" s="682"/>
      <c r="CN116" s="1016"/>
      <c r="CO116" s="1019"/>
    </row>
    <row r="117" spans="1:93" s="252" customFormat="1" ht="9.75" customHeight="1" x14ac:dyDescent="0.3">
      <c r="A117" s="960"/>
      <c r="B117" s="252">
        <v>290923</v>
      </c>
      <c r="C117" s="680">
        <v>2011</v>
      </c>
      <c r="D117" s="681">
        <v>8303674700000</v>
      </c>
      <c r="E117" s="681">
        <v>5977431800000</v>
      </c>
      <c r="F117" s="252">
        <v>125981766805</v>
      </c>
      <c r="G117" s="252">
        <v>188903306643</v>
      </c>
      <c r="H117" s="252">
        <v>218190647922</v>
      </c>
      <c r="I117" s="252">
        <v>0</v>
      </c>
      <c r="J117" s="252">
        <v>367880881413</v>
      </c>
      <c r="K117" s="252">
        <v>1635576882.3</v>
      </c>
      <c r="L117" s="681">
        <v>1166934200000</v>
      </c>
      <c r="M117" s="252">
        <v>91326369967</v>
      </c>
      <c r="N117" s="252">
        <v>91326369967</v>
      </c>
      <c r="O117" s="252">
        <v>201066145901</v>
      </c>
      <c r="P117" s="252">
        <v>486806457897</v>
      </c>
      <c r="Q117" s="252">
        <v>123048038157</v>
      </c>
      <c r="R117" s="252">
        <v>279097875807</v>
      </c>
      <c r="S117" s="252">
        <v>421575982422</v>
      </c>
      <c r="T117" s="252">
        <v>-9720300948</v>
      </c>
      <c r="U117" s="252">
        <v>80013975732</v>
      </c>
      <c r="V117" s="252">
        <v>19290771231</v>
      </c>
      <c r="W117" s="252">
        <v>167792529767</v>
      </c>
      <c r="X117" s="252">
        <v>34323110600</v>
      </c>
      <c r="Y117" s="252">
        <v>27355912957</v>
      </c>
      <c r="Z117" s="682">
        <v>395507449265</v>
      </c>
      <c r="AA117" s="682">
        <v>72728130412</v>
      </c>
      <c r="AB117" s="252">
        <v>17496170110</v>
      </c>
      <c r="AC117" s="252">
        <v>387903612413</v>
      </c>
      <c r="AD117" s="252">
        <v>793448385337</v>
      </c>
      <c r="AE117" s="252">
        <v>828852.66</v>
      </c>
      <c r="AF117" s="252">
        <v>276540725.94</v>
      </c>
      <c r="AG117" s="252">
        <v>0</v>
      </c>
      <c r="AH117" s="252">
        <v>0</v>
      </c>
      <c r="AI117" s="252">
        <v>0</v>
      </c>
      <c r="AJ117" s="252">
        <v>133582908.38</v>
      </c>
      <c r="AK117" s="252">
        <v>733860000000</v>
      </c>
      <c r="AL117" s="252">
        <v>303671000000</v>
      </c>
      <c r="AM117" s="681">
        <v>1095343600000</v>
      </c>
      <c r="AN117" s="252">
        <v>45738005598</v>
      </c>
      <c r="AO117" s="252">
        <v>463041846008</v>
      </c>
      <c r="AP117" s="252">
        <v>268086729205</v>
      </c>
      <c r="AQ117" s="681">
        <v>1211639800000</v>
      </c>
      <c r="AR117" s="252">
        <v>15852746072</v>
      </c>
      <c r="AS117" s="252">
        <v>0</v>
      </c>
      <c r="AT117" s="252">
        <v>486806457897</v>
      </c>
      <c r="AU117" s="252">
        <v>91326369967</v>
      </c>
      <c r="AV117" s="681">
        <v>1064077300000</v>
      </c>
      <c r="AW117" s="252">
        <v>182453428731</v>
      </c>
      <c r="AX117" s="252">
        <v>172379336404</v>
      </c>
      <c r="AY117" s="252">
        <v>809516264685</v>
      </c>
      <c r="AZ117" s="252">
        <v>443241386824</v>
      </c>
      <c r="BA117" s="252">
        <v>8853453154.7000008</v>
      </c>
      <c r="BB117" s="252">
        <v>0</v>
      </c>
      <c r="BC117" s="252">
        <v>253486736685</v>
      </c>
      <c r="BD117" s="252">
        <v>309646387863</v>
      </c>
      <c r="BE117" s="252">
        <v>186534553.40000001</v>
      </c>
      <c r="BF117" s="682">
        <v>72456551364</v>
      </c>
      <c r="BG117" s="252">
        <v>0</v>
      </c>
      <c r="BH117" s="252">
        <v>0</v>
      </c>
      <c r="BI117" s="252">
        <v>0</v>
      </c>
      <c r="BJ117" s="252">
        <v>42261215043</v>
      </c>
      <c r="BK117" s="252">
        <v>36062612902</v>
      </c>
      <c r="BL117" s="252">
        <v>22631408697</v>
      </c>
      <c r="BM117" s="252">
        <v>15418353564</v>
      </c>
      <c r="BN117" s="252">
        <v>0</v>
      </c>
      <c r="BO117" s="252">
        <v>72437218603</v>
      </c>
      <c r="BP117" s="252">
        <v>30275802702</v>
      </c>
      <c r="BQ117" s="252">
        <v>0</v>
      </c>
      <c r="BR117" s="252">
        <v>2431990.0699999998</v>
      </c>
      <c r="BS117" s="252">
        <v>99589809482</v>
      </c>
      <c r="BT117" s="960">
        <v>-14323984781</v>
      </c>
      <c r="BU117" s="960">
        <v>362687242451</v>
      </c>
      <c r="BV117" s="1014">
        <v>-193174100000</v>
      </c>
      <c r="BW117" s="871">
        <v>1554112.84</v>
      </c>
      <c r="BX117" s="871">
        <v>0</v>
      </c>
      <c r="BY117" s="871" t="s">
        <v>574</v>
      </c>
      <c r="BZ117" s="871" t="s">
        <v>574</v>
      </c>
      <c r="CA117" s="871" t="s">
        <v>574</v>
      </c>
      <c r="CB117" s="871">
        <v>1747136394</v>
      </c>
      <c r="CC117" s="871">
        <v>10515359096</v>
      </c>
      <c r="CD117" s="871">
        <v>8768222702.3999996</v>
      </c>
      <c r="CE117" s="871"/>
      <c r="CF117" s="1255"/>
      <c r="CI117" s="875"/>
      <c r="CK117" s="682"/>
      <c r="CL117" s="682"/>
      <c r="CM117" s="682"/>
      <c r="CN117" s="1016"/>
      <c r="CO117" s="1019"/>
    </row>
    <row r="118" spans="1:93" s="252" customFormat="1" ht="9.75" customHeight="1" x14ac:dyDescent="0.3">
      <c r="A118" s="960"/>
      <c r="B118" s="252">
        <v>310159</v>
      </c>
      <c r="C118" s="315">
        <v>2012</v>
      </c>
      <c r="D118" s="681">
        <v>9016920500000</v>
      </c>
      <c r="E118" s="681">
        <v>6216673000000</v>
      </c>
      <c r="F118" s="252">
        <v>118499797242</v>
      </c>
      <c r="G118" s="252">
        <v>252540945605</v>
      </c>
      <c r="H118" s="252">
        <v>294188290657</v>
      </c>
      <c r="I118" s="252">
        <v>0</v>
      </c>
      <c r="J118" s="252">
        <v>608843427200</v>
      </c>
      <c r="K118" s="252">
        <v>2090542147.5999999</v>
      </c>
      <c r="L118" s="681">
        <v>1239780100000</v>
      </c>
      <c r="M118" s="252">
        <v>70809875979</v>
      </c>
      <c r="N118" s="252">
        <v>70809875979</v>
      </c>
      <c r="O118" s="252">
        <v>222993520460</v>
      </c>
      <c r="P118" s="252">
        <v>522965232332</v>
      </c>
      <c r="Q118" s="252">
        <v>132535617767</v>
      </c>
      <c r="R118" s="252">
        <v>299858506205</v>
      </c>
      <c r="S118" s="252">
        <v>530491579488</v>
      </c>
      <c r="T118" s="252">
        <v>-5606787567</v>
      </c>
      <c r="U118" s="252">
        <v>104890499269</v>
      </c>
      <c r="V118" s="252">
        <v>24731433903</v>
      </c>
      <c r="W118" s="252">
        <v>187641872911</v>
      </c>
      <c r="X118" s="252">
        <v>37392047350</v>
      </c>
      <c r="Y118" s="252">
        <v>27251741204</v>
      </c>
      <c r="Z118" s="682">
        <v>408421256805</v>
      </c>
      <c r="AA118" s="682">
        <v>73023020323</v>
      </c>
      <c r="AB118" s="252">
        <v>17757609307</v>
      </c>
      <c r="AC118" s="252">
        <v>648507337200</v>
      </c>
      <c r="AD118" s="252">
        <v>838087395087</v>
      </c>
      <c r="AE118" s="252">
        <v>793826.34</v>
      </c>
      <c r="AF118" s="252">
        <v>276076324.42000002</v>
      </c>
      <c r="AG118" s="252">
        <v>0</v>
      </c>
      <c r="AH118" s="252">
        <v>0</v>
      </c>
      <c r="AI118" s="252">
        <v>0</v>
      </c>
      <c r="AJ118" s="252">
        <v>133159223.36</v>
      </c>
      <c r="AK118" s="252">
        <v>691162000000</v>
      </c>
      <c r="AL118" s="252">
        <v>359205000000</v>
      </c>
      <c r="AM118" s="681">
        <v>1237092200000</v>
      </c>
      <c r="AN118" s="252">
        <v>48230052980</v>
      </c>
      <c r="AO118" s="252">
        <v>480720142828</v>
      </c>
      <c r="AP118" s="252">
        <v>285074329861</v>
      </c>
      <c r="AQ118" s="681">
        <v>1232082600000</v>
      </c>
      <c r="AR118" s="252">
        <v>16418401638</v>
      </c>
      <c r="AS118" s="252">
        <v>0</v>
      </c>
      <c r="AT118" s="252">
        <v>522965232332</v>
      </c>
      <c r="AU118" s="252">
        <v>70809875979</v>
      </c>
      <c r="AV118" s="681">
        <v>1209640700000</v>
      </c>
      <c r="AW118" s="252">
        <v>182874815330</v>
      </c>
      <c r="AX118" s="252">
        <v>172730119291</v>
      </c>
      <c r="AY118" s="681">
        <v>835083434335</v>
      </c>
      <c r="AZ118" s="252">
        <v>465638525643</v>
      </c>
      <c r="BA118" s="252">
        <v>10412869924</v>
      </c>
      <c r="BB118" s="252">
        <v>0</v>
      </c>
      <c r="BC118" s="252">
        <v>320106850696</v>
      </c>
      <c r="BD118" s="252">
        <v>371089420648</v>
      </c>
      <c r="BE118" s="252">
        <v>186457539.53</v>
      </c>
      <c r="BF118" s="682">
        <v>70495430407</v>
      </c>
      <c r="BG118" s="252">
        <v>0</v>
      </c>
      <c r="BH118" s="252">
        <v>0</v>
      </c>
      <c r="BI118" s="252">
        <v>0</v>
      </c>
      <c r="BJ118" s="252">
        <v>37790764962</v>
      </c>
      <c r="BK118" s="252">
        <v>32946405270</v>
      </c>
      <c r="BL118" s="252">
        <v>20616684121</v>
      </c>
      <c r="BM118" s="252">
        <v>14979658392</v>
      </c>
      <c r="BN118" s="252">
        <v>0</v>
      </c>
      <c r="BO118" s="252">
        <v>66629203120</v>
      </c>
      <c r="BP118" s="252">
        <v>32396743689</v>
      </c>
      <c r="BQ118" s="252">
        <v>0</v>
      </c>
      <c r="BR118" s="252">
        <v>2493496.0099999998</v>
      </c>
      <c r="BS118" s="252">
        <v>102621654721</v>
      </c>
      <c r="BT118" s="960">
        <v>-9414463105</v>
      </c>
      <c r="BU118" s="960">
        <v>331335074808</v>
      </c>
      <c r="BV118" s="1014">
        <v>-191137100000</v>
      </c>
      <c r="BW118" s="871">
        <v>1501837.19</v>
      </c>
      <c r="BX118" s="871">
        <v>0</v>
      </c>
      <c r="BY118" s="871" t="s">
        <v>574</v>
      </c>
      <c r="BZ118" s="871" t="s">
        <v>574</v>
      </c>
      <c r="CA118" s="871" t="s">
        <v>574</v>
      </c>
      <c r="CB118" s="871">
        <v>2264918654.5</v>
      </c>
      <c r="CC118" s="871">
        <v>10988211881</v>
      </c>
      <c r="CD118" s="871">
        <v>8723293226.5</v>
      </c>
      <c r="CE118" s="871"/>
      <c r="CF118" s="1255"/>
      <c r="CI118" s="875"/>
      <c r="CK118" s="682"/>
      <c r="CL118" s="682"/>
      <c r="CM118" s="682"/>
      <c r="CN118" s="1016"/>
      <c r="CO118" s="1019"/>
    </row>
    <row r="119" spans="1:93" s="252" customFormat="1" ht="9.75" customHeight="1" x14ac:dyDescent="0.3">
      <c r="A119" s="960"/>
      <c r="B119" s="252">
        <v>302771</v>
      </c>
      <c r="C119" s="680">
        <v>2013</v>
      </c>
      <c r="D119" s="681">
        <v>9013658000000</v>
      </c>
      <c r="E119" s="681">
        <v>6391114500000</v>
      </c>
      <c r="F119" s="252">
        <v>107270544993</v>
      </c>
      <c r="G119" s="252">
        <v>208948892751</v>
      </c>
      <c r="H119" s="252">
        <v>243970709002</v>
      </c>
      <c r="I119" s="252">
        <v>0</v>
      </c>
      <c r="J119" s="252">
        <v>473471984609</v>
      </c>
      <c r="K119" s="252">
        <v>5810166768.3999996</v>
      </c>
      <c r="L119" s="681">
        <v>1301438200000</v>
      </c>
      <c r="M119" s="252">
        <v>51594104296</v>
      </c>
      <c r="N119" s="252">
        <v>51594104296</v>
      </c>
      <c r="O119" s="252">
        <v>242589475138</v>
      </c>
      <c r="P119" s="252">
        <v>549565068735</v>
      </c>
      <c r="Q119" s="252">
        <v>138617731931</v>
      </c>
      <c r="R119" s="252">
        <v>298097577995</v>
      </c>
      <c r="S119" s="252">
        <v>526940626790</v>
      </c>
      <c r="T119" s="252">
        <v>-7839339866</v>
      </c>
      <c r="U119" s="252">
        <v>111127118646</v>
      </c>
      <c r="V119" s="252">
        <v>24113750739</v>
      </c>
      <c r="W119" s="252">
        <v>187579494259</v>
      </c>
      <c r="X119" s="252">
        <v>37161089970</v>
      </c>
      <c r="Y119" s="252">
        <v>27641424375</v>
      </c>
      <c r="Z119" s="252">
        <v>423242858131</v>
      </c>
      <c r="AA119" s="252">
        <v>74415359194</v>
      </c>
      <c r="AB119" s="252">
        <v>18642693261</v>
      </c>
      <c r="AC119" s="252">
        <v>504951461609</v>
      </c>
      <c r="AD119" s="252">
        <v>847288971890</v>
      </c>
      <c r="AE119" s="252">
        <v>752720.68</v>
      </c>
      <c r="AF119" s="252">
        <v>278617340.51999998</v>
      </c>
      <c r="AG119" s="252">
        <v>0</v>
      </c>
      <c r="AH119" s="252">
        <v>0</v>
      </c>
      <c r="AI119" s="252">
        <v>0</v>
      </c>
      <c r="AJ119" s="252">
        <v>135307448.81999999</v>
      </c>
      <c r="AK119" s="252">
        <v>635808000000</v>
      </c>
      <c r="AL119" s="252">
        <v>388058000000</v>
      </c>
      <c r="AM119" s="681">
        <v>1296632800000</v>
      </c>
      <c r="AN119" s="252">
        <v>54930749821</v>
      </c>
      <c r="AO119" s="252">
        <v>503920052130</v>
      </c>
      <c r="AP119" s="252">
        <v>308146020178</v>
      </c>
      <c r="AQ119" s="681">
        <v>1218625000000</v>
      </c>
      <c r="AR119" s="252">
        <v>16490865762</v>
      </c>
      <c r="AS119" s="252">
        <v>0</v>
      </c>
      <c r="AT119" s="252">
        <v>549565068735</v>
      </c>
      <c r="AU119" s="252">
        <v>51594104296</v>
      </c>
      <c r="AV119" s="681">
        <v>1265568000000</v>
      </c>
      <c r="AW119" s="252">
        <v>184606334190</v>
      </c>
      <c r="AX119" s="252">
        <v>173722800528</v>
      </c>
      <c r="AY119" s="681">
        <v>975831825278</v>
      </c>
      <c r="AZ119" s="252">
        <v>494600840795</v>
      </c>
      <c r="BA119" s="252">
        <v>11289712248</v>
      </c>
      <c r="BB119" s="252">
        <v>0</v>
      </c>
      <c r="BC119" s="252">
        <v>324440041080</v>
      </c>
      <c r="BD119" s="252">
        <v>377123204029</v>
      </c>
      <c r="BE119" s="252">
        <v>188802537.47</v>
      </c>
      <c r="BF119" s="682">
        <v>67643673891</v>
      </c>
      <c r="BG119" s="252">
        <v>0</v>
      </c>
      <c r="BH119" s="252">
        <v>0</v>
      </c>
      <c r="BI119" s="252">
        <v>0</v>
      </c>
      <c r="BJ119" s="252">
        <v>36180670758</v>
      </c>
      <c r="BK119" s="252">
        <v>31658559849</v>
      </c>
      <c r="BL119" s="252">
        <v>20233775219</v>
      </c>
      <c r="BM119" s="252">
        <v>14141937344</v>
      </c>
      <c r="BN119" s="252">
        <v>0</v>
      </c>
      <c r="BO119" s="252">
        <v>68521842317</v>
      </c>
      <c r="BP119" s="252">
        <v>35180905779</v>
      </c>
      <c r="BQ119" s="252">
        <v>0</v>
      </c>
      <c r="BR119" s="252">
        <v>2647280.81</v>
      </c>
      <c r="BS119" s="252">
        <v>0</v>
      </c>
      <c r="BT119" s="960">
        <v>904818869.45000005</v>
      </c>
      <c r="BU119" s="960">
        <v>294999526269</v>
      </c>
      <c r="BV119" s="1014">
        <v>-196394500000</v>
      </c>
      <c r="BW119" s="871">
        <v>1454782.09</v>
      </c>
      <c r="BX119" s="871">
        <v>0</v>
      </c>
      <c r="BY119" s="871" t="s">
        <v>574</v>
      </c>
      <c r="BZ119" s="871" t="s">
        <v>574</v>
      </c>
      <c r="CA119" s="871" t="s">
        <v>574</v>
      </c>
      <c r="CB119" s="871">
        <v>2392785786.3000002</v>
      </c>
      <c r="CC119" s="871">
        <v>11619559657</v>
      </c>
      <c r="CD119" s="871">
        <v>9226773870.2999992</v>
      </c>
      <c r="CE119" s="871"/>
      <c r="CF119" s="1255"/>
      <c r="CI119" s="875"/>
      <c r="CK119" s="682"/>
      <c r="CL119" s="682"/>
      <c r="CM119" s="682"/>
      <c r="CN119" s="1016"/>
      <c r="CO119" s="1019"/>
    </row>
    <row r="120" spans="1:93" s="252" customFormat="1" ht="9.75" customHeight="1" x14ac:dyDescent="0.3">
      <c r="A120" s="960"/>
      <c r="B120" s="252">
        <v>409318</v>
      </c>
      <c r="C120" s="680">
        <v>2014</v>
      </c>
      <c r="D120" s="681">
        <v>9683928800000</v>
      </c>
      <c r="E120" s="681">
        <v>6697719300000</v>
      </c>
      <c r="F120" s="252">
        <v>101508704331</v>
      </c>
      <c r="G120" s="252">
        <v>248360599358</v>
      </c>
      <c r="H120" s="252">
        <v>284889661329</v>
      </c>
      <c r="I120" s="252">
        <v>0</v>
      </c>
      <c r="J120" s="252">
        <v>674696504432</v>
      </c>
      <c r="K120" s="252">
        <v>10635572487</v>
      </c>
      <c r="L120" s="681">
        <v>1381596300000</v>
      </c>
      <c r="M120" s="252">
        <v>33070640332</v>
      </c>
      <c r="N120" s="252">
        <v>33070640332</v>
      </c>
      <c r="O120" s="252">
        <v>260528648751</v>
      </c>
      <c r="P120" s="252">
        <v>571547909459</v>
      </c>
      <c r="Q120" s="252">
        <v>143842631512</v>
      </c>
      <c r="R120" s="252">
        <v>312718097109</v>
      </c>
      <c r="S120" s="252">
        <v>578913520473</v>
      </c>
      <c r="T120" s="252">
        <v>-8252204149</v>
      </c>
      <c r="U120" s="252">
        <v>121632695783</v>
      </c>
      <c r="V120" s="252">
        <v>29440078542</v>
      </c>
      <c r="W120" s="252">
        <v>194382463877</v>
      </c>
      <c r="X120" s="252">
        <v>39120949172</v>
      </c>
      <c r="Y120" s="252">
        <v>29915846555</v>
      </c>
      <c r="Z120" s="252">
        <v>440979662499</v>
      </c>
      <c r="AA120" s="252">
        <v>75032100185</v>
      </c>
      <c r="AB120" s="252">
        <v>18733528627</v>
      </c>
      <c r="AC120" s="252">
        <v>700975995432</v>
      </c>
      <c r="AD120" s="252">
        <v>893197265943</v>
      </c>
      <c r="AE120" s="252">
        <v>770278.98</v>
      </c>
      <c r="AF120" s="252">
        <v>279327649.75</v>
      </c>
      <c r="AG120" s="252">
        <v>0</v>
      </c>
      <c r="AH120" s="252">
        <v>0</v>
      </c>
      <c r="AI120" s="252">
        <v>0</v>
      </c>
      <c r="AJ120" s="252">
        <v>136436478.34</v>
      </c>
      <c r="AK120" s="252">
        <v>648893000000</v>
      </c>
      <c r="AL120" s="252">
        <v>408416000000</v>
      </c>
      <c r="AM120" s="681">
        <v>1444281300000</v>
      </c>
      <c r="AN120" s="252">
        <v>57760820523</v>
      </c>
      <c r="AO120" s="252">
        <v>517822428752</v>
      </c>
      <c r="AP120" s="252">
        <v>313382557836</v>
      </c>
      <c r="AQ120" s="681">
        <v>1244003300000</v>
      </c>
      <c r="AR120" s="252">
        <v>16944622675</v>
      </c>
      <c r="AS120" s="252">
        <v>0</v>
      </c>
      <c r="AT120" s="252">
        <v>571547909459</v>
      </c>
      <c r="AU120" s="252">
        <v>33070640332</v>
      </c>
      <c r="AV120" s="681">
        <v>1404613200000</v>
      </c>
      <c r="AW120" s="252">
        <v>191297601242</v>
      </c>
      <c r="AX120" s="252">
        <v>180293238719</v>
      </c>
      <c r="AY120" s="681">
        <v>1014752200000</v>
      </c>
      <c r="AZ120" s="252">
        <v>524093183816</v>
      </c>
      <c r="BA120" s="252">
        <v>12427195915</v>
      </c>
      <c r="BB120" s="252">
        <v>0</v>
      </c>
      <c r="BC120" s="252">
        <v>353630232047</v>
      </c>
      <c r="BD120" s="252">
        <v>405277803155</v>
      </c>
      <c r="BE120" s="252">
        <v>189954364.47</v>
      </c>
      <c r="BF120" s="682">
        <v>62103246836</v>
      </c>
      <c r="BG120" s="252">
        <v>0</v>
      </c>
      <c r="BH120" s="252">
        <v>0</v>
      </c>
      <c r="BI120" s="252">
        <v>0</v>
      </c>
      <c r="BJ120" s="252">
        <v>37794776529</v>
      </c>
      <c r="BK120" s="252">
        <v>32457149754</v>
      </c>
      <c r="BL120" s="252">
        <v>21545613468</v>
      </c>
      <c r="BM120" s="252">
        <v>14672115675</v>
      </c>
      <c r="BN120" s="252">
        <v>0</v>
      </c>
      <c r="BO120" s="252">
        <v>69212358154</v>
      </c>
      <c r="BP120" s="252">
        <v>36191201015</v>
      </c>
      <c r="BQ120" s="252">
        <v>0</v>
      </c>
      <c r="BR120" s="252">
        <v>2768460.68</v>
      </c>
      <c r="BS120" s="252">
        <v>0</v>
      </c>
      <c r="BT120" s="960">
        <v>8984600265.6000004</v>
      </c>
      <c r="BU120" s="960">
        <v>285508400282</v>
      </c>
      <c r="BV120" s="1014">
        <v>-194955500000</v>
      </c>
      <c r="BW120" s="871">
        <v>1380006.37</v>
      </c>
      <c r="BX120" s="871">
        <v>0</v>
      </c>
      <c r="BY120" s="871" t="s">
        <v>574</v>
      </c>
      <c r="BZ120" s="871" t="s">
        <v>574</v>
      </c>
      <c r="CA120" s="871" t="s">
        <v>574</v>
      </c>
      <c r="CB120" s="871">
        <v>1615526185.8</v>
      </c>
      <c r="CC120" s="871">
        <v>11656036508</v>
      </c>
      <c r="CD120" s="871">
        <v>10040510323</v>
      </c>
      <c r="CE120" s="871"/>
      <c r="CF120" s="1255"/>
      <c r="CI120" s="875"/>
      <c r="CK120" s="682"/>
      <c r="CL120" s="682"/>
      <c r="CM120" s="682"/>
      <c r="CN120" s="1016"/>
      <c r="CO120" s="1019"/>
    </row>
    <row r="121" spans="1:93" s="252" customFormat="1" ht="9.75" customHeight="1" x14ac:dyDescent="0.3">
      <c r="A121" s="960"/>
      <c r="B121" s="252">
        <v>313882</v>
      </c>
      <c r="C121" s="680">
        <v>2015</v>
      </c>
      <c r="D121" s="681">
        <v>10119056000000</v>
      </c>
      <c r="E121" s="681">
        <v>7022787000000</v>
      </c>
      <c r="F121" s="252">
        <v>102974990824</v>
      </c>
      <c r="G121" s="252">
        <v>253652300818</v>
      </c>
      <c r="H121" s="252">
        <v>289804653917</v>
      </c>
      <c r="I121" s="252">
        <v>0</v>
      </c>
      <c r="J121" s="252">
        <v>681609666213</v>
      </c>
      <c r="K121" s="252">
        <v>11037225070</v>
      </c>
      <c r="L121" s="681">
        <v>1456204800000</v>
      </c>
      <c r="M121" s="252">
        <v>27074534394</v>
      </c>
      <c r="N121" s="252">
        <v>27074534394</v>
      </c>
      <c r="O121" s="252">
        <v>276707697293</v>
      </c>
      <c r="P121" s="252">
        <v>601387701965</v>
      </c>
      <c r="Q121" s="252">
        <v>148667619803</v>
      </c>
      <c r="R121" s="252">
        <v>327135965892</v>
      </c>
      <c r="S121" s="681">
        <v>623154248932</v>
      </c>
      <c r="T121" s="252">
        <v>-13898418140</v>
      </c>
      <c r="U121" s="252">
        <v>110130924259</v>
      </c>
      <c r="V121" s="252">
        <v>27022588361</v>
      </c>
      <c r="W121" s="252">
        <v>195861086884</v>
      </c>
      <c r="X121" s="252">
        <v>39976283974</v>
      </c>
      <c r="Y121" s="252">
        <v>30904096381</v>
      </c>
      <c r="Z121" s="252">
        <v>459672429500</v>
      </c>
      <c r="AA121" s="252">
        <v>75885235289</v>
      </c>
      <c r="AB121" s="252">
        <v>21415062823</v>
      </c>
      <c r="AC121" s="252">
        <v>707967160213</v>
      </c>
      <c r="AD121" s="252">
        <v>937777010033</v>
      </c>
      <c r="AE121" s="252">
        <v>763666.45</v>
      </c>
      <c r="AF121" s="252">
        <v>281135819.76999998</v>
      </c>
      <c r="AG121" s="252">
        <v>0</v>
      </c>
      <c r="AH121" s="252">
        <v>0</v>
      </c>
      <c r="AI121" s="252">
        <v>0</v>
      </c>
      <c r="AJ121" s="252">
        <v>138090586.21000001</v>
      </c>
      <c r="AK121" s="252">
        <v>570109000000</v>
      </c>
      <c r="AL121" s="252">
        <v>396972000000</v>
      </c>
      <c r="AM121" s="681">
        <v>1529200900000</v>
      </c>
      <c r="AN121" s="252">
        <v>59493715085</v>
      </c>
      <c r="AO121" s="252">
        <v>550089121923</v>
      </c>
      <c r="AP121" s="252">
        <v>336894843591</v>
      </c>
      <c r="AQ121" s="681">
        <v>1297176400000</v>
      </c>
      <c r="AR121" s="252">
        <v>17492468077</v>
      </c>
      <c r="AS121" s="252">
        <v>0</v>
      </c>
      <c r="AT121" s="252">
        <v>601387701965</v>
      </c>
      <c r="AU121" s="252">
        <v>27074534394</v>
      </c>
      <c r="AV121" s="681">
        <v>1487853500000</v>
      </c>
      <c r="AW121" s="252">
        <v>199515449254</v>
      </c>
      <c r="AX121" s="252">
        <v>187947531669</v>
      </c>
      <c r="AY121" s="681">
        <v>1054723800000</v>
      </c>
      <c r="AZ121" s="252">
        <v>564527878647</v>
      </c>
      <c r="BA121" s="252">
        <v>12918442064</v>
      </c>
      <c r="BB121" s="252">
        <v>0</v>
      </c>
      <c r="BC121" s="252">
        <v>392747632857</v>
      </c>
      <c r="BD121" s="252">
        <v>447267882810</v>
      </c>
      <c r="BE121" s="252">
        <v>191881986.24000001</v>
      </c>
      <c r="BF121" s="682">
        <v>61330374375</v>
      </c>
      <c r="BG121" s="252">
        <v>0</v>
      </c>
      <c r="BH121" s="252">
        <v>0</v>
      </c>
      <c r="BI121" s="252">
        <v>0</v>
      </c>
      <c r="BJ121" s="252">
        <v>43352866063</v>
      </c>
      <c r="BK121" s="252">
        <v>32305524963</v>
      </c>
      <c r="BL121" s="252">
        <v>23909426425</v>
      </c>
      <c r="BM121" s="252">
        <v>14872743414</v>
      </c>
      <c r="BN121" s="252">
        <v>0</v>
      </c>
      <c r="BO121" s="252">
        <v>76542663842</v>
      </c>
      <c r="BP121" s="252">
        <v>37159640514</v>
      </c>
      <c r="BQ121" s="252">
        <v>0</v>
      </c>
      <c r="BR121" s="252">
        <v>2777033.34</v>
      </c>
      <c r="BS121" s="252">
        <v>0</v>
      </c>
      <c r="BT121" s="960">
        <v>11942715266</v>
      </c>
      <c r="BU121" s="960">
        <v>281914565795</v>
      </c>
      <c r="BV121" s="1014">
        <v>-201359500000</v>
      </c>
      <c r="BW121" s="871">
        <v>1386784.47</v>
      </c>
      <c r="BX121" s="871">
        <v>0</v>
      </c>
      <c r="BY121" s="871" t="s">
        <v>574</v>
      </c>
      <c r="BZ121" s="871" t="s">
        <v>574</v>
      </c>
      <c r="CA121" s="871" t="s">
        <v>574</v>
      </c>
      <c r="CB121" s="871">
        <v>2145772912.4000001</v>
      </c>
      <c r="CC121" s="871">
        <v>12201426936</v>
      </c>
      <c r="CD121" s="871">
        <v>10055654024</v>
      </c>
      <c r="CE121" s="871"/>
      <c r="CF121" s="1255"/>
      <c r="CI121" s="875"/>
      <c r="CJ121" s="875"/>
      <c r="CK121" s="1019"/>
      <c r="CL121" s="682"/>
      <c r="CM121" s="682"/>
      <c r="CN121" s="682"/>
      <c r="CO121" s="682"/>
    </row>
    <row r="122" spans="1:93" s="252" customFormat="1" ht="9.75" customHeight="1" x14ac:dyDescent="0.3">
      <c r="C122" s="680"/>
      <c r="D122" s="681"/>
      <c r="E122" s="681"/>
      <c r="L122" s="681"/>
      <c r="S122" s="681"/>
      <c r="AM122" s="681"/>
      <c r="AQ122" s="681"/>
      <c r="AV122" s="681"/>
      <c r="AY122" s="681"/>
      <c r="BF122" s="682"/>
      <c r="CF122" s="1255"/>
      <c r="CK122" s="682"/>
      <c r="CL122" s="682"/>
      <c r="CM122" s="682"/>
      <c r="CN122" s="682"/>
      <c r="CO122" s="682"/>
    </row>
    <row r="123" spans="1:93" s="252" customFormat="1" ht="9.75" customHeight="1" x14ac:dyDescent="0.3">
      <c r="C123" s="680"/>
      <c r="D123" s="681"/>
      <c r="E123" s="1137"/>
      <c r="Q123" s="682"/>
      <c r="R123" s="682"/>
      <c r="S123" s="684"/>
      <c r="T123" s="682"/>
      <c r="AD123" s="875"/>
      <c r="AM123" s="681"/>
      <c r="AQ123" s="681"/>
      <c r="AV123" s="681"/>
      <c r="AY123" s="681"/>
      <c r="BF123" s="682"/>
      <c r="CC123" s="559"/>
      <c r="CD123" s="559"/>
      <c r="CE123" s="559"/>
      <c r="CG123" s="1255"/>
      <c r="CK123" s="682"/>
      <c r="CL123" s="682"/>
      <c r="CM123" s="682"/>
      <c r="CN123" s="682"/>
      <c r="CO123" s="682"/>
    </row>
    <row r="124" spans="1:93" x14ac:dyDescent="0.3">
      <c r="B124" s="654"/>
      <c r="C124" s="654"/>
      <c r="Q124" s="24"/>
      <c r="R124" s="682"/>
      <c r="S124" s="24"/>
      <c r="T124" s="24"/>
      <c r="Z124" s="682"/>
      <c r="AA124" s="682"/>
      <c r="AB124" s="24"/>
      <c r="AC124" s="24"/>
      <c r="AD124" s="24"/>
      <c r="AE124" s="24"/>
      <c r="AF124" s="24"/>
      <c r="AG124" s="24"/>
      <c r="AH124" s="24"/>
      <c r="AI124" s="24"/>
      <c r="AJ124" s="24"/>
      <c r="AK124" s="24"/>
      <c r="AL124" s="24"/>
      <c r="AM124" s="24"/>
      <c r="AN124" s="24"/>
      <c r="AO124" s="24"/>
      <c r="AP124" s="24"/>
      <c r="AQ124" s="24"/>
      <c r="AR124" s="24"/>
      <c r="AS124" s="24"/>
      <c r="AT124" s="24"/>
      <c r="AU124" s="24"/>
      <c r="AV124" s="24"/>
      <c r="AW124" s="682"/>
      <c r="AX124" s="24"/>
      <c r="AY124" s="249"/>
      <c r="AZ124" s="24"/>
      <c r="BA124" s="249"/>
      <c r="BF124" s="24"/>
      <c r="BQ124" s="1011"/>
      <c r="BR124" s="1011"/>
      <c r="BS124" s="1011"/>
      <c r="BT124" s="1011"/>
      <c r="CK124" s="24"/>
      <c r="CL124" s="24"/>
      <c r="CM124" s="24"/>
      <c r="CN124" s="24"/>
      <c r="CO124" s="24"/>
    </row>
    <row r="125" spans="1:93" x14ac:dyDescent="0.3">
      <c r="A125" s="75"/>
      <c r="B125" s="72"/>
      <c r="H125" s="655"/>
      <c r="J125" s="1011"/>
      <c r="L125" s="654"/>
      <c r="Q125" s="682"/>
      <c r="R125" s="682"/>
      <c r="S125" s="684"/>
      <c r="T125" s="682"/>
      <c r="Z125" s="682"/>
      <c r="AA125" s="682"/>
      <c r="AB125" s="24"/>
      <c r="AC125" s="24"/>
      <c r="AD125" s="24"/>
      <c r="AE125" s="24"/>
      <c r="AF125" s="24"/>
      <c r="AG125" s="24"/>
      <c r="AH125" s="24"/>
      <c r="AI125" s="24"/>
      <c r="AJ125" s="24"/>
      <c r="AK125" s="24"/>
      <c r="AL125" s="24"/>
      <c r="AM125" s="24"/>
      <c r="AN125" s="24"/>
      <c r="AO125" s="24"/>
      <c r="AP125" s="24"/>
      <c r="AQ125" s="24"/>
      <c r="AR125" s="24"/>
      <c r="AS125" s="24"/>
      <c r="AT125" s="24"/>
      <c r="AU125" s="24"/>
      <c r="AV125" s="24"/>
      <c r="AW125" s="24"/>
      <c r="AX125" s="24"/>
      <c r="AY125" s="249"/>
      <c r="AZ125" s="24"/>
      <c r="BA125" s="24"/>
      <c r="BP125" s="1013"/>
      <c r="BQ125" s="1013"/>
      <c r="BR125" s="1013"/>
      <c r="BS125" s="1013"/>
      <c r="BT125" s="1013"/>
      <c r="CK125" s="24"/>
      <c r="CL125" s="24"/>
      <c r="CM125" s="24"/>
      <c r="CN125" s="24"/>
      <c r="CO125" s="24"/>
    </row>
    <row r="126" spans="1:93" ht="9.75" customHeight="1" x14ac:dyDescent="0.3">
      <c r="A126" s="680"/>
      <c r="Q126" s="24"/>
      <c r="R126" s="682"/>
      <c r="S126" s="24"/>
      <c r="T126" s="24"/>
      <c r="Z126" s="682"/>
      <c r="AA126" s="682"/>
      <c r="AB126" s="24"/>
      <c r="AC126" s="24"/>
      <c r="AD126" s="24"/>
      <c r="AE126" s="24"/>
      <c r="AF126" s="24"/>
      <c r="AG126" s="24"/>
      <c r="AH126" s="24"/>
      <c r="AI126" s="24"/>
      <c r="AJ126" s="24"/>
      <c r="AK126" s="24"/>
      <c r="AL126" s="24"/>
      <c r="AM126" s="24"/>
      <c r="AN126" s="24"/>
      <c r="AO126" s="24"/>
      <c r="AP126" s="24"/>
      <c r="AQ126" s="24"/>
      <c r="AR126" s="24"/>
      <c r="AS126" s="24"/>
      <c r="AT126" s="24"/>
      <c r="AU126" s="24"/>
      <c r="AV126" s="24"/>
      <c r="AW126" s="24"/>
      <c r="AX126" s="24"/>
      <c r="AY126" s="249"/>
      <c r="AZ126" s="24"/>
      <c r="BA126" s="249"/>
      <c r="BP126" s="757"/>
      <c r="BQ126" s="757"/>
      <c r="BR126" s="757"/>
      <c r="BS126" s="757"/>
      <c r="BT126" s="757"/>
    </row>
    <row r="127" spans="1:93" s="1011" customFormat="1" ht="9.75" customHeight="1" x14ac:dyDescent="0.3">
      <c r="A127" s="680"/>
      <c r="Q127" s="24"/>
      <c r="R127" s="682"/>
      <c r="S127" s="24"/>
      <c r="T127" s="24"/>
      <c r="Z127" s="682"/>
      <c r="AA127" s="682"/>
      <c r="AB127" s="24"/>
      <c r="AC127" s="24"/>
      <c r="AD127" s="24"/>
      <c r="AE127" s="24"/>
      <c r="AF127" s="24"/>
      <c r="AG127" s="24"/>
      <c r="AH127" s="24"/>
      <c r="AI127" s="24"/>
      <c r="AJ127" s="24"/>
      <c r="AK127" s="24"/>
      <c r="AL127" s="24"/>
      <c r="AM127" s="24"/>
      <c r="AN127" s="24"/>
      <c r="AO127" s="24"/>
      <c r="AP127" s="24"/>
      <c r="AQ127" s="24"/>
      <c r="AR127" s="24"/>
      <c r="AS127" s="24"/>
      <c r="AT127" s="24"/>
      <c r="AU127" s="24"/>
      <c r="AV127" s="24"/>
      <c r="AW127" s="24"/>
      <c r="AX127" s="24"/>
      <c r="AY127" s="249"/>
      <c r="AZ127" s="24"/>
      <c r="BA127" s="24"/>
      <c r="BO127" s="24"/>
      <c r="BP127" s="351"/>
      <c r="BQ127" s="757"/>
      <c r="BR127" s="757"/>
      <c r="BS127" s="757"/>
      <c r="BT127" s="757"/>
    </row>
    <row r="128" spans="1:93" s="1011" customFormat="1" ht="9.75" customHeight="1" x14ac:dyDescent="0.3">
      <c r="A128" s="680"/>
      <c r="Q128" s="24"/>
      <c r="R128" s="682"/>
      <c r="S128" s="24"/>
      <c r="T128" s="24"/>
      <c r="Z128" s="682"/>
      <c r="AA128" s="682"/>
      <c r="AB128" s="24"/>
      <c r="AC128" s="24"/>
      <c r="AD128" s="24"/>
      <c r="AE128" s="24"/>
      <c r="AF128" s="24"/>
      <c r="AG128" s="24"/>
      <c r="AH128" s="24"/>
      <c r="AI128" s="24"/>
      <c r="AJ128" s="24"/>
      <c r="AK128" s="24"/>
      <c r="AL128" s="24"/>
      <c r="AM128" s="24"/>
      <c r="AN128" s="24"/>
      <c r="AO128" s="24"/>
      <c r="AP128" s="24"/>
      <c r="AQ128" s="24"/>
      <c r="AR128" s="24"/>
      <c r="AS128" s="24"/>
      <c r="AT128" s="24"/>
      <c r="AU128" s="24"/>
      <c r="AV128" s="24"/>
      <c r="AW128" s="24"/>
      <c r="AX128" s="24"/>
      <c r="AY128" s="249"/>
      <c r="AZ128" s="24"/>
      <c r="BA128" s="249"/>
      <c r="BO128" s="24"/>
      <c r="BP128" s="351"/>
      <c r="BQ128" s="757"/>
      <c r="BR128" s="757"/>
      <c r="BS128" s="757"/>
      <c r="BT128" s="757"/>
    </row>
    <row r="129" spans="1:74" ht="9.75" customHeight="1" x14ac:dyDescent="0.3">
      <c r="A129" s="680"/>
      <c r="Q129" s="682"/>
      <c r="R129" s="682"/>
      <c r="S129" s="684"/>
      <c r="T129" s="682"/>
      <c r="Z129" s="682"/>
      <c r="AA129" s="682"/>
      <c r="AB129" s="24"/>
      <c r="AC129" s="24"/>
      <c r="AD129" s="24"/>
      <c r="AE129" s="24"/>
      <c r="AF129" s="24"/>
      <c r="AG129" s="24"/>
      <c r="AH129" s="24"/>
      <c r="AI129" s="24"/>
      <c r="AJ129" s="24"/>
      <c r="AK129" s="24"/>
      <c r="AL129" s="24"/>
      <c r="AM129" s="24"/>
      <c r="AN129" s="24"/>
      <c r="AO129" s="24"/>
      <c r="AP129" s="24"/>
      <c r="AQ129" s="24"/>
      <c r="AR129" s="24"/>
      <c r="AS129" s="24"/>
      <c r="AT129" s="24"/>
      <c r="AU129" s="24"/>
      <c r="AV129" s="24"/>
      <c r="AW129" s="24"/>
      <c r="AX129" s="24"/>
      <c r="AY129" s="249"/>
      <c r="AZ129" s="24"/>
      <c r="BA129" s="24"/>
      <c r="BO129" s="24"/>
      <c r="BP129" s="351"/>
      <c r="BQ129" s="757"/>
      <c r="BR129" s="757"/>
      <c r="BS129" s="757"/>
      <c r="BT129" s="757"/>
    </row>
    <row r="130" spans="1:74" ht="9.75" customHeight="1" x14ac:dyDescent="0.3">
      <c r="A130" s="680"/>
      <c r="Q130" s="24"/>
      <c r="R130" s="682"/>
      <c r="S130" s="24"/>
      <c r="T130" s="24"/>
      <c r="Z130" s="682"/>
      <c r="AA130" s="682"/>
      <c r="AB130" s="24"/>
      <c r="AC130" s="24"/>
      <c r="AD130" s="24"/>
      <c r="AE130" s="24"/>
      <c r="AF130" s="24"/>
      <c r="AG130" s="24"/>
      <c r="AH130" s="24"/>
      <c r="AI130" s="24"/>
      <c r="AJ130" s="24"/>
      <c r="AK130" s="24"/>
      <c r="AL130" s="24"/>
      <c r="AM130" s="24"/>
      <c r="AN130" s="24"/>
      <c r="AO130" s="24"/>
      <c r="AP130" s="24"/>
      <c r="AQ130" s="24"/>
      <c r="AR130" s="24"/>
      <c r="AS130" s="24"/>
      <c r="AT130" s="24"/>
      <c r="AU130" s="24"/>
      <c r="AV130" s="24"/>
      <c r="AW130" s="24"/>
      <c r="AX130" s="24"/>
      <c r="AY130" s="249"/>
      <c r="AZ130" s="24"/>
      <c r="BA130" s="249"/>
      <c r="BO130" s="24"/>
      <c r="BP130" s="351"/>
      <c r="BQ130" s="757"/>
      <c r="BR130" s="757"/>
      <c r="BS130" s="757"/>
      <c r="BT130" s="757"/>
    </row>
    <row r="131" spans="1:74" ht="9.75" customHeight="1" x14ac:dyDescent="0.3">
      <c r="A131" s="680"/>
      <c r="Q131" s="682"/>
      <c r="R131" s="682"/>
      <c r="S131" s="684"/>
      <c r="T131" s="682"/>
      <c r="Z131" s="682"/>
      <c r="AA131" s="682"/>
      <c r="AB131" s="24"/>
      <c r="AC131" s="24"/>
      <c r="AD131" s="24"/>
      <c r="AE131" s="24"/>
      <c r="AF131" s="24"/>
      <c r="AG131" s="24"/>
      <c r="AH131" s="24"/>
      <c r="AI131" s="24"/>
      <c r="AJ131" s="24"/>
      <c r="AK131" s="24"/>
      <c r="AL131" s="24"/>
      <c r="AM131" s="24"/>
      <c r="AN131" s="24"/>
      <c r="AO131" s="24"/>
      <c r="AP131" s="24"/>
      <c r="AQ131" s="24"/>
      <c r="AR131" s="24"/>
      <c r="AS131" s="24"/>
      <c r="AT131" s="24"/>
      <c r="AU131" s="24"/>
      <c r="AV131" s="24"/>
      <c r="AW131" s="24"/>
      <c r="AX131" s="24"/>
      <c r="AY131" s="249"/>
      <c r="AZ131" s="24"/>
      <c r="BA131" s="249"/>
      <c r="BO131" s="24"/>
      <c r="BP131" s="351"/>
      <c r="BQ131" s="757"/>
      <c r="BR131" s="757"/>
      <c r="BS131" s="757"/>
      <c r="BT131" s="757"/>
    </row>
    <row r="132" spans="1:74" ht="9.75" customHeight="1" x14ac:dyDescent="0.3">
      <c r="A132" s="680"/>
      <c r="Q132" s="682"/>
      <c r="R132" s="682"/>
      <c r="S132" s="684"/>
      <c r="T132" s="682"/>
      <c r="Z132" s="682"/>
      <c r="AA132" s="682"/>
      <c r="AB132" s="24"/>
      <c r="AC132" s="24"/>
      <c r="AD132" s="24"/>
      <c r="AE132" s="24"/>
      <c r="AF132" s="24"/>
      <c r="AG132" s="24"/>
      <c r="AH132" s="24"/>
      <c r="AI132" s="24"/>
      <c r="AJ132" s="24"/>
      <c r="AK132" s="24"/>
      <c r="AL132" s="24"/>
      <c r="AM132" s="24"/>
      <c r="AN132" s="24"/>
      <c r="AO132" s="24"/>
      <c r="AP132" s="24"/>
      <c r="AQ132" s="24"/>
      <c r="AR132" s="24"/>
      <c r="AS132" s="24"/>
      <c r="AT132" s="24"/>
      <c r="AU132" s="24"/>
      <c r="AV132" s="24"/>
      <c r="AW132" s="24"/>
      <c r="AX132" s="24"/>
      <c r="AY132" s="249"/>
      <c r="AZ132" s="24"/>
      <c r="BA132" s="249"/>
      <c r="BO132" s="24"/>
      <c r="BP132" s="351"/>
      <c r="BQ132" s="757"/>
      <c r="BR132" s="757"/>
      <c r="BS132" s="757"/>
      <c r="BT132" s="757"/>
    </row>
    <row r="133" spans="1:74" ht="9.75" customHeight="1" x14ac:dyDescent="0.3">
      <c r="A133" s="680"/>
      <c r="Q133" s="682"/>
      <c r="R133" s="682"/>
      <c r="S133" s="684"/>
      <c r="T133" s="682"/>
      <c r="Z133" s="682"/>
      <c r="AA133" s="682"/>
      <c r="AB133" s="24"/>
      <c r="AC133" s="24"/>
      <c r="AD133" s="24"/>
      <c r="AE133" s="24"/>
      <c r="AF133" s="24"/>
      <c r="AG133" s="24"/>
      <c r="AH133" s="24"/>
      <c r="AI133" s="24"/>
      <c r="AJ133" s="24"/>
      <c r="AK133" s="24"/>
      <c r="AL133" s="24"/>
      <c r="AM133" s="24"/>
      <c r="AN133" s="24"/>
      <c r="AO133" s="24"/>
      <c r="AP133" s="24"/>
      <c r="AQ133" s="24"/>
      <c r="AR133" s="24"/>
      <c r="AS133" s="24"/>
      <c r="AT133" s="24"/>
      <c r="AU133" s="24"/>
      <c r="AV133" s="24"/>
      <c r="AW133" s="24"/>
      <c r="AX133" s="24"/>
      <c r="AY133" s="249"/>
      <c r="AZ133" s="24"/>
      <c r="BA133" s="249"/>
      <c r="BP133" s="757"/>
      <c r="BQ133" s="757"/>
      <c r="BR133" s="757"/>
      <c r="BS133" s="757"/>
      <c r="BT133" s="757"/>
      <c r="BV133" s="1011"/>
    </row>
    <row r="134" spans="1:74" ht="9.75" customHeight="1" x14ac:dyDescent="0.3">
      <c r="A134" s="680"/>
      <c r="Q134" s="682"/>
      <c r="R134" s="682"/>
      <c r="S134" s="684"/>
      <c r="T134" s="682"/>
      <c r="Z134" s="682"/>
      <c r="AA134" s="682"/>
      <c r="AB134" s="24"/>
      <c r="AC134" s="24"/>
      <c r="AD134" s="24"/>
      <c r="AE134" s="24"/>
      <c r="AF134" s="24"/>
      <c r="AG134" s="24"/>
      <c r="AH134" s="24"/>
      <c r="AI134" s="24"/>
      <c r="AJ134" s="24"/>
      <c r="AK134" s="24"/>
      <c r="AL134" s="24"/>
      <c r="AM134" s="24"/>
      <c r="AN134" s="24"/>
      <c r="AO134" s="24"/>
      <c r="AP134" s="24"/>
      <c r="AQ134" s="24"/>
      <c r="AR134" s="24"/>
      <c r="AS134" s="24"/>
      <c r="AT134" s="24"/>
      <c r="AU134" s="24"/>
      <c r="AV134" s="24"/>
      <c r="AW134" s="24"/>
      <c r="AX134" s="24"/>
      <c r="AY134" s="249"/>
      <c r="AZ134" s="24"/>
      <c r="BA134" s="249"/>
      <c r="BP134" s="757"/>
      <c r="BQ134" s="757"/>
      <c r="BR134" s="757"/>
      <c r="BS134" s="757"/>
      <c r="BT134" s="757"/>
    </row>
    <row r="135" spans="1:74" ht="9.75" customHeight="1" x14ac:dyDescent="0.3">
      <c r="A135" s="680"/>
      <c r="Q135" s="682"/>
      <c r="R135" s="682"/>
      <c r="S135" s="684"/>
      <c r="T135" s="682"/>
      <c r="Z135" s="682"/>
      <c r="AA135" s="682"/>
      <c r="AB135" s="24"/>
      <c r="AC135" s="24"/>
      <c r="AD135" s="24"/>
      <c r="AE135" s="24"/>
      <c r="AF135" s="24"/>
      <c r="AG135" s="24"/>
      <c r="AH135" s="24"/>
      <c r="AI135" s="24"/>
      <c r="AJ135" s="24"/>
      <c r="AK135" s="24"/>
      <c r="AL135" s="24"/>
      <c r="AM135" s="24"/>
      <c r="AN135" s="24"/>
      <c r="AO135" s="24"/>
      <c r="AP135" s="24"/>
      <c r="AQ135" s="24"/>
      <c r="AR135" s="24"/>
      <c r="AS135" s="24"/>
      <c r="AT135" s="24"/>
      <c r="AU135" s="24"/>
      <c r="AV135" s="24"/>
      <c r="AW135" s="24"/>
      <c r="AX135" s="24"/>
      <c r="AY135" s="249"/>
      <c r="AZ135" s="24"/>
      <c r="BA135" s="249"/>
      <c r="BO135" s="1011"/>
      <c r="BP135" s="757"/>
      <c r="BQ135" s="1013"/>
      <c r="BR135" s="1013"/>
      <c r="BS135" s="1013"/>
      <c r="BT135" s="1013"/>
    </row>
    <row r="136" spans="1:74" ht="9.75" customHeight="1" x14ac:dyDescent="0.3">
      <c r="A136" s="680"/>
      <c r="Q136" s="682"/>
      <c r="R136" s="682"/>
      <c r="S136" s="684"/>
      <c r="T136" s="682"/>
      <c r="Z136" s="682"/>
      <c r="AA136" s="682"/>
      <c r="AB136" s="24"/>
      <c r="AC136" s="24"/>
      <c r="AD136" s="24"/>
      <c r="AE136" s="24"/>
      <c r="AF136" s="24"/>
      <c r="AG136" s="24"/>
      <c r="AH136" s="24"/>
      <c r="AI136" s="24"/>
      <c r="AJ136" s="24"/>
      <c r="AK136" s="24"/>
      <c r="AL136" s="24"/>
      <c r="AM136" s="24"/>
      <c r="AN136" s="24"/>
      <c r="AO136" s="24"/>
      <c r="AP136" s="24"/>
      <c r="AQ136" s="24"/>
      <c r="AR136" s="24"/>
      <c r="AS136" s="24"/>
      <c r="AT136" s="24"/>
      <c r="AU136" s="24"/>
      <c r="AV136" s="24"/>
      <c r="AW136" s="24"/>
      <c r="AX136" s="24"/>
      <c r="AY136" s="249"/>
      <c r="AZ136" s="24"/>
      <c r="BA136" s="249"/>
    </row>
    <row r="137" spans="1:74" ht="9.75" customHeight="1" x14ac:dyDescent="0.3">
      <c r="A137" s="680"/>
      <c r="Q137" s="682"/>
      <c r="R137" s="682"/>
      <c r="S137" s="684"/>
      <c r="T137" s="682"/>
      <c r="Z137" s="682"/>
      <c r="AA137" s="682"/>
      <c r="AB137" s="24"/>
      <c r="AC137" s="24"/>
      <c r="AD137" s="24"/>
      <c r="AE137" s="24"/>
      <c r="AF137" s="24"/>
      <c r="AG137" s="24"/>
      <c r="AH137" s="24"/>
      <c r="AI137" s="24"/>
      <c r="AJ137" s="24"/>
      <c r="AK137" s="24"/>
      <c r="AL137" s="24"/>
      <c r="AM137" s="24"/>
      <c r="AN137" s="24"/>
      <c r="AO137" s="24"/>
      <c r="AP137" s="24"/>
      <c r="AQ137" s="24"/>
      <c r="AR137" s="24"/>
      <c r="AS137" s="24"/>
      <c r="AT137" s="24"/>
      <c r="AU137" s="24"/>
      <c r="AV137" s="24"/>
      <c r="AW137" s="24"/>
      <c r="AX137" s="24"/>
      <c r="AY137" s="249"/>
      <c r="AZ137" s="24"/>
      <c r="BA137" s="249"/>
    </row>
    <row r="138" spans="1:74" ht="9.75" customHeight="1" x14ac:dyDescent="0.3">
      <c r="A138" s="680"/>
      <c r="Q138" s="682"/>
      <c r="R138" s="682"/>
      <c r="S138" s="684"/>
      <c r="T138" s="682"/>
      <c r="Z138" s="682"/>
      <c r="AA138" s="682"/>
      <c r="AB138" s="24"/>
      <c r="AC138" s="24"/>
      <c r="AD138" s="24"/>
      <c r="AE138" s="24"/>
      <c r="AF138" s="24"/>
      <c r="AG138" s="24"/>
      <c r="AH138" s="24"/>
      <c r="AI138" s="24"/>
      <c r="AJ138" s="24"/>
      <c r="AK138" s="24"/>
      <c r="AL138" s="24"/>
      <c r="AM138" s="24"/>
      <c r="AN138" s="24"/>
      <c r="AO138" s="24"/>
      <c r="AP138" s="24"/>
      <c r="AQ138" s="24"/>
      <c r="AR138" s="24"/>
      <c r="AS138" s="24"/>
      <c r="AT138" s="24"/>
      <c r="AU138" s="24"/>
      <c r="AV138" s="24"/>
      <c r="AW138" s="24"/>
      <c r="AX138" s="24"/>
      <c r="AY138" s="249"/>
      <c r="AZ138" s="24"/>
      <c r="BA138" s="249"/>
    </row>
    <row r="139" spans="1:74" ht="9.75" customHeight="1" x14ac:dyDescent="0.3">
      <c r="A139" s="680"/>
      <c r="Q139" s="682"/>
      <c r="R139" s="682"/>
      <c r="S139" s="684"/>
      <c r="T139" s="682"/>
      <c r="Z139" s="682"/>
      <c r="AA139" s="682"/>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9"/>
      <c r="AZ139" s="24"/>
      <c r="BA139" s="249"/>
    </row>
    <row r="140" spans="1:74" ht="9.75" customHeight="1" x14ac:dyDescent="0.3">
      <c r="A140" s="680"/>
      <c r="Q140" s="682"/>
      <c r="R140" s="682"/>
      <c r="S140" s="684"/>
      <c r="T140" s="682"/>
      <c r="Z140" s="682"/>
      <c r="AA140" s="682"/>
      <c r="AB140" s="24"/>
      <c r="AC140" s="24"/>
      <c r="AD140" s="24"/>
      <c r="AE140" s="24"/>
      <c r="AF140" s="24"/>
      <c r="AG140" s="24"/>
      <c r="AH140" s="24"/>
      <c r="AI140" s="24"/>
      <c r="AJ140" s="24"/>
      <c r="AK140" s="24"/>
      <c r="AL140" s="24"/>
      <c r="AM140" s="24"/>
      <c r="AN140" s="24"/>
      <c r="AO140" s="24"/>
      <c r="AP140" s="24"/>
      <c r="AQ140" s="24"/>
      <c r="AR140" s="24"/>
      <c r="AS140" s="24"/>
      <c r="AT140" s="24"/>
      <c r="AU140" s="24"/>
      <c r="AV140" s="24"/>
      <c r="AW140" s="24"/>
      <c r="AX140" s="24"/>
      <c r="AY140" s="249"/>
      <c r="AZ140" s="24"/>
      <c r="BA140" s="249"/>
    </row>
    <row r="141" spans="1:74" ht="9.75" customHeight="1" x14ac:dyDescent="0.3">
      <c r="A141" s="680"/>
      <c r="Q141" s="682"/>
      <c r="R141" s="682"/>
      <c r="S141" s="684"/>
      <c r="T141" s="682"/>
      <c r="Z141" s="682"/>
      <c r="AA141" s="682"/>
      <c r="AB141" s="24"/>
      <c r="AC141" s="24"/>
      <c r="AD141" s="24"/>
      <c r="AE141" s="24"/>
      <c r="AF141" s="24"/>
      <c r="AG141" s="24"/>
      <c r="AH141" s="24"/>
      <c r="AI141" s="24"/>
      <c r="AJ141" s="24"/>
      <c r="AK141" s="24"/>
      <c r="AL141" s="24"/>
      <c r="AM141" s="24"/>
      <c r="AN141" s="24"/>
      <c r="AO141" s="24"/>
      <c r="AP141" s="24"/>
      <c r="AQ141" s="24"/>
      <c r="AR141" s="24"/>
      <c r="AS141" s="24"/>
      <c r="AT141" s="24"/>
      <c r="AU141" s="24"/>
      <c r="AV141" s="24"/>
      <c r="AW141" s="24"/>
      <c r="AX141" s="24"/>
      <c r="AY141" s="249"/>
      <c r="AZ141" s="24"/>
      <c r="BA141" s="249"/>
    </row>
    <row r="142" spans="1:74" ht="9.75" customHeight="1" x14ac:dyDescent="0.3">
      <c r="A142" s="680"/>
      <c r="Q142" s="682"/>
      <c r="R142" s="682"/>
      <c r="S142" s="684"/>
      <c r="T142" s="682"/>
      <c r="Z142" s="682"/>
      <c r="AA142" s="682"/>
      <c r="AB142" s="24"/>
      <c r="AC142" s="24"/>
      <c r="AD142" s="24"/>
      <c r="AE142" s="24"/>
      <c r="AF142" s="24"/>
      <c r="AG142" s="24"/>
      <c r="AH142" s="24"/>
      <c r="AI142" s="24"/>
      <c r="AJ142" s="24"/>
      <c r="AK142" s="24"/>
      <c r="AL142" s="24"/>
      <c r="AM142" s="24"/>
      <c r="AN142" s="24"/>
      <c r="AO142" s="24"/>
      <c r="AP142" s="24"/>
      <c r="AQ142" s="24"/>
      <c r="AR142" s="24"/>
      <c r="AS142" s="24"/>
      <c r="AT142" s="24"/>
      <c r="AU142" s="24"/>
      <c r="AV142" s="24"/>
      <c r="AW142" s="24"/>
      <c r="AX142" s="24"/>
      <c r="AY142" s="249"/>
      <c r="AZ142" s="24"/>
      <c r="BA142" s="249"/>
      <c r="BU142" s="1179"/>
    </row>
    <row r="143" spans="1:74" ht="9.75" customHeight="1" x14ac:dyDescent="0.3">
      <c r="A143" s="680"/>
      <c r="Q143" s="682"/>
      <c r="R143" s="682"/>
      <c r="S143" s="684"/>
      <c r="T143" s="682"/>
      <c r="Z143" s="682"/>
      <c r="AA143" s="682"/>
      <c r="AB143" s="24"/>
      <c r="AC143" s="24"/>
      <c r="AD143" s="24"/>
      <c r="AE143" s="24"/>
      <c r="AF143" s="24"/>
      <c r="AG143" s="24"/>
      <c r="AH143" s="24"/>
      <c r="AI143" s="24"/>
      <c r="AJ143" s="24"/>
      <c r="AK143" s="24"/>
      <c r="AL143" s="24"/>
      <c r="AM143" s="24"/>
      <c r="AN143" s="24"/>
      <c r="AO143" s="24"/>
      <c r="AP143" s="24"/>
      <c r="AQ143" s="24"/>
      <c r="AR143" s="24"/>
      <c r="AS143" s="24"/>
      <c r="AT143" s="24"/>
      <c r="AU143" s="24"/>
      <c r="AV143" s="24"/>
      <c r="AW143" s="24"/>
      <c r="AX143" s="24"/>
      <c r="AY143" s="249"/>
      <c r="AZ143" s="24"/>
      <c r="BA143" s="249"/>
      <c r="BU143" s="1179"/>
    </row>
    <row r="144" spans="1:74" ht="9.75" customHeight="1" x14ac:dyDescent="0.3">
      <c r="A144" s="680"/>
      <c r="Q144" s="682"/>
      <c r="R144" s="682"/>
      <c r="S144" s="684"/>
      <c r="T144" s="682"/>
      <c r="Z144" s="682"/>
      <c r="AA144" s="682"/>
      <c r="AB144" s="24"/>
      <c r="AC144" s="24"/>
      <c r="AD144" s="24"/>
      <c r="AE144" s="24"/>
      <c r="AF144" s="24"/>
      <c r="AG144" s="24"/>
      <c r="AH144" s="24"/>
      <c r="AI144" s="24"/>
      <c r="AJ144" s="24"/>
      <c r="AK144" s="24"/>
      <c r="AL144" s="24"/>
      <c r="AM144" s="24"/>
      <c r="AN144" s="24"/>
      <c r="AO144" s="24"/>
      <c r="AP144" s="24"/>
      <c r="AQ144" s="24"/>
      <c r="AR144" s="24"/>
      <c r="AS144" s="24"/>
      <c r="AT144" s="24"/>
      <c r="AU144" s="24"/>
      <c r="AV144" s="24"/>
      <c r="AW144" s="24"/>
      <c r="AX144" s="24"/>
      <c r="AY144" s="249"/>
      <c r="AZ144" s="24"/>
      <c r="BA144" s="249"/>
    </row>
    <row r="145" spans="1:73" ht="9.75" customHeight="1" x14ac:dyDescent="0.3">
      <c r="A145" s="680"/>
      <c r="Q145" s="682"/>
      <c r="R145" s="682"/>
      <c r="S145" s="684"/>
      <c r="T145" s="682"/>
      <c r="Z145" s="682"/>
      <c r="AA145" s="682"/>
      <c r="AB145" s="24"/>
      <c r="AC145" s="24"/>
      <c r="AD145" s="24"/>
      <c r="AE145" s="24"/>
      <c r="AF145" s="24"/>
      <c r="AG145" s="24"/>
      <c r="AH145" s="24"/>
      <c r="AI145" s="24"/>
      <c r="AJ145" s="24"/>
      <c r="AK145" s="24"/>
      <c r="AL145" s="24"/>
      <c r="AM145" s="24"/>
      <c r="AN145" s="24"/>
      <c r="AO145" s="24"/>
      <c r="AP145" s="24"/>
      <c r="AQ145" s="24"/>
      <c r="AR145" s="24"/>
      <c r="AS145" s="24"/>
      <c r="AT145" s="24"/>
      <c r="AU145" s="24"/>
      <c r="AV145" s="24"/>
      <c r="AW145" s="24"/>
      <c r="AX145" s="24"/>
      <c r="AY145" s="249"/>
      <c r="AZ145" s="24"/>
      <c r="BA145" s="249"/>
      <c r="BO145" s="1011"/>
      <c r="BP145" s="1011"/>
      <c r="BQ145" s="1011"/>
      <c r="BR145" s="1011"/>
      <c r="BS145" s="1011"/>
      <c r="BT145" s="1011"/>
      <c r="BU145" s="1179"/>
    </row>
    <row r="146" spans="1:73" ht="9.75" customHeight="1" x14ac:dyDescent="0.3">
      <c r="A146" s="680"/>
      <c r="Q146" s="682"/>
      <c r="R146" s="682"/>
      <c r="S146" s="684"/>
      <c r="T146" s="682"/>
      <c r="Z146" s="682"/>
      <c r="AA146" s="682"/>
      <c r="AB146" s="24"/>
      <c r="AC146" s="24"/>
      <c r="AD146" s="24"/>
      <c r="AE146" s="24"/>
      <c r="AF146" s="24"/>
      <c r="AG146" s="24"/>
      <c r="AH146" s="24"/>
      <c r="AI146" s="24"/>
      <c r="AJ146" s="24"/>
      <c r="AK146" s="24"/>
      <c r="AL146" s="24"/>
      <c r="AM146" s="24"/>
      <c r="AN146" s="24"/>
      <c r="AO146" s="24"/>
      <c r="AP146" s="24"/>
      <c r="AQ146" s="24"/>
      <c r="AR146" s="24"/>
      <c r="AS146" s="24"/>
      <c r="AT146" s="24"/>
      <c r="AU146" s="24"/>
      <c r="AV146" s="24"/>
      <c r="AW146" s="24"/>
      <c r="AX146" s="24"/>
      <c r="AY146" s="249"/>
      <c r="AZ146" s="24"/>
      <c r="BA146" s="249"/>
      <c r="BO146" s="1011"/>
      <c r="BP146" s="1011"/>
      <c r="BQ146" s="1011"/>
      <c r="BR146" s="1011"/>
      <c r="BS146" s="1011"/>
      <c r="BT146" s="1011"/>
      <c r="BU146" s="1179"/>
    </row>
    <row r="147" spans="1:73" ht="9.75" customHeight="1" x14ac:dyDescent="0.3">
      <c r="A147" s="680"/>
      <c r="Q147" s="682"/>
      <c r="R147" s="682"/>
      <c r="S147" s="684"/>
      <c r="T147" s="682"/>
      <c r="Z147" s="682"/>
      <c r="AA147" s="682"/>
      <c r="AB147" s="24"/>
      <c r="AC147" s="24"/>
      <c r="AD147" s="24"/>
      <c r="AE147" s="24"/>
      <c r="AF147" s="24"/>
      <c r="AG147" s="24"/>
      <c r="AH147" s="24"/>
      <c r="AI147" s="24"/>
      <c r="AJ147" s="24"/>
      <c r="AK147" s="24"/>
      <c r="AL147" s="24"/>
      <c r="AM147" s="24"/>
      <c r="AN147" s="24"/>
      <c r="AO147" s="24"/>
      <c r="AP147" s="24"/>
      <c r="AQ147" s="24"/>
      <c r="AR147" s="24"/>
      <c r="AS147" s="24"/>
      <c r="AT147" s="24"/>
      <c r="AU147" s="24"/>
      <c r="AV147" s="24"/>
      <c r="AW147" s="24"/>
      <c r="AX147" s="24"/>
      <c r="AY147" s="249"/>
      <c r="AZ147" s="24"/>
      <c r="BA147" s="249"/>
    </row>
    <row r="148" spans="1:73" ht="9.75" customHeight="1" x14ac:dyDescent="0.3">
      <c r="A148" s="680"/>
      <c r="Q148" s="682"/>
      <c r="R148" s="682"/>
      <c r="S148" s="684"/>
      <c r="T148" s="682"/>
      <c r="Z148" s="682"/>
      <c r="AA148" s="682"/>
      <c r="AB148" s="24"/>
      <c r="AC148" s="24"/>
      <c r="AD148" s="24"/>
      <c r="AE148" s="24"/>
      <c r="AF148" s="24"/>
      <c r="AG148" s="24"/>
      <c r="AH148" s="24"/>
      <c r="AI148" s="24"/>
      <c r="AJ148" s="24"/>
      <c r="AK148" s="24"/>
      <c r="AL148" s="24"/>
      <c r="AM148" s="24"/>
      <c r="AN148" s="24"/>
      <c r="AO148" s="24"/>
      <c r="AP148" s="24"/>
      <c r="AQ148" s="24"/>
      <c r="AR148" s="24"/>
      <c r="AS148" s="24"/>
      <c r="AT148" s="24"/>
      <c r="AU148" s="24"/>
      <c r="AV148" s="24"/>
      <c r="AW148" s="24"/>
      <c r="AX148" s="24"/>
      <c r="AY148" s="249"/>
      <c r="AZ148" s="24"/>
      <c r="BA148" s="249"/>
    </row>
    <row r="149" spans="1:73" ht="9.75" customHeight="1" x14ac:dyDescent="0.3">
      <c r="A149" s="680"/>
      <c r="Q149" s="682"/>
      <c r="R149" s="682"/>
      <c r="S149" s="684"/>
      <c r="T149" s="682"/>
      <c r="Z149" s="682"/>
      <c r="AA149" s="682"/>
      <c r="AB149" s="24"/>
      <c r="AC149" s="24"/>
      <c r="AD149" s="24"/>
      <c r="AE149" s="24"/>
      <c r="AF149" s="24"/>
      <c r="AG149" s="24"/>
      <c r="AH149" s="24"/>
      <c r="AI149" s="24"/>
      <c r="AJ149" s="24"/>
      <c r="AK149" s="24"/>
      <c r="AL149" s="24"/>
      <c r="AM149" s="24"/>
      <c r="AN149" s="24"/>
      <c r="AO149" s="24"/>
      <c r="AP149" s="24"/>
      <c r="AQ149" s="24"/>
      <c r="AR149" s="24"/>
      <c r="AS149" s="24"/>
      <c r="AT149" s="24"/>
      <c r="AU149" s="24"/>
      <c r="AV149" s="24"/>
      <c r="AW149" s="24"/>
      <c r="AX149" s="24"/>
      <c r="AY149" s="249"/>
      <c r="AZ149" s="24"/>
      <c r="BA149" s="249"/>
    </row>
    <row r="150" spans="1:73" ht="9.75" customHeight="1" x14ac:dyDescent="0.3">
      <c r="A150" s="680"/>
      <c r="Q150" s="682"/>
      <c r="R150" s="682"/>
      <c r="S150" s="684"/>
      <c r="T150" s="682"/>
      <c r="Z150" s="682"/>
      <c r="AA150" s="682"/>
      <c r="AB150" s="24"/>
      <c r="AC150" s="24"/>
      <c r="AD150" s="24"/>
      <c r="AE150" s="24"/>
      <c r="AF150" s="24"/>
      <c r="AG150" s="24"/>
      <c r="AH150" s="24"/>
      <c r="AI150" s="24"/>
      <c r="AJ150" s="24"/>
      <c r="AK150" s="24"/>
      <c r="AL150" s="24"/>
      <c r="AM150" s="24"/>
      <c r="AN150" s="24"/>
      <c r="AO150" s="24"/>
      <c r="AP150" s="24"/>
      <c r="AQ150" s="24"/>
      <c r="AR150" s="24"/>
      <c r="AS150" s="24"/>
      <c r="AT150" s="24"/>
      <c r="AU150" s="24"/>
      <c r="AV150" s="24"/>
      <c r="AW150" s="24"/>
      <c r="AX150" s="24"/>
      <c r="AY150" s="249"/>
      <c r="AZ150" s="24"/>
      <c r="BA150" s="249"/>
    </row>
    <row r="151" spans="1:73" ht="9.75" customHeight="1" x14ac:dyDescent="0.3">
      <c r="A151" s="680"/>
      <c r="Q151" s="682"/>
      <c r="R151" s="682"/>
      <c r="S151" s="684"/>
      <c r="T151" s="682"/>
      <c r="Z151" s="682"/>
      <c r="AA151" s="682"/>
      <c r="AB151" s="24"/>
      <c r="AC151" s="24"/>
      <c r="AD151" s="24"/>
      <c r="AE151" s="24"/>
      <c r="AF151" s="24"/>
      <c r="AG151" s="24"/>
      <c r="AH151" s="24"/>
      <c r="AI151" s="24"/>
      <c r="AJ151" s="24"/>
      <c r="AK151" s="24"/>
      <c r="AL151" s="24"/>
      <c r="AM151" s="24"/>
      <c r="AN151" s="24"/>
      <c r="AO151" s="24"/>
      <c r="AP151" s="24"/>
      <c r="AQ151" s="24"/>
      <c r="AR151" s="24"/>
      <c r="AS151" s="24"/>
      <c r="AT151" s="24"/>
      <c r="AU151" s="24"/>
      <c r="AV151" s="24"/>
      <c r="AW151" s="24"/>
      <c r="AX151" s="24"/>
      <c r="AY151" s="249"/>
      <c r="AZ151" s="24"/>
      <c r="BA151" s="249"/>
    </row>
    <row r="152" spans="1:73" ht="9.75" customHeight="1" x14ac:dyDescent="0.3">
      <c r="A152" s="680"/>
      <c r="Q152" s="682"/>
      <c r="R152" s="682"/>
      <c r="S152" s="684"/>
      <c r="T152" s="682"/>
      <c r="Z152" s="682"/>
      <c r="AA152" s="682"/>
      <c r="AB152" s="24"/>
      <c r="AC152" s="24"/>
      <c r="AD152" s="24"/>
      <c r="AE152" s="24"/>
      <c r="AF152" s="24"/>
      <c r="AG152" s="24"/>
      <c r="AH152" s="24"/>
      <c r="AI152" s="24"/>
      <c r="AJ152" s="24"/>
      <c r="AK152" s="24"/>
      <c r="AL152" s="24"/>
      <c r="AM152" s="24"/>
      <c r="AN152" s="24"/>
      <c r="AO152" s="24"/>
      <c r="AP152" s="24"/>
      <c r="AQ152" s="24"/>
      <c r="AR152" s="24"/>
      <c r="AS152" s="24"/>
      <c r="AT152" s="24"/>
      <c r="AU152" s="24"/>
      <c r="AV152" s="24"/>
      <c r="AW152" s="24"/>
      <c r="AX152" s="24"/>
      <c r="AY152" s="249"/>
      <c r="AZ152" s="24"/>
      <c r="BA152" s="249"/>
    </row>
    <row r="153" spans="1:73" ht="9.75" customHeight="1" x14ac:dyDescent="0.3">
      <c r="A153" s="680"/>
      <c r="Q153" s="682"/>
      <c r="R153" s="682"/>
      <c r="S153" s="684"/>
      <c r="T153" s="682"/>
      <c r="Z153" s="682"/>
      <c r="AA153" s="682"/>
      <c r="AB153" s="24"/>
      <c r="AC153" s="24"/>
      <c r="AD153" s="24"/>
      <c r="AE153" s="24"/>
      <c r="AF153" s="24"/>
      <c r="AG153" s="24"/>
      <c r="AH153" s="24"/>
      <c r="AI153" s="24"/>
      <c r="AJ153" s="24"/>
      <c r="AK153" s="24"/>
      <c r="AL153" s="24"/>
      <c r="AM153" s="24"/>
      <c r="AN153" s="24"/>
      <c r="AO153" s="24"/>
      <c r="AP153" s="24"/>
      <c r="AQ153" s="24"/>
      <c r="AR153" s="24"/>
      <c r="AS153" s="24"/>
      <c r="AT153" s="24"/>
      <c r="AU153" s="24"/>
      <c r="AV153" s="24"/>
      <c r="AW153" s="24"/>
      <c r="AX153" s="24"/>
      <c r="AY153" s="249"/>
      <c r="AZ153" s="24"/>
      <c r="BA153" s="249"/>
    </row>
    <row r="154" spans="1:73" ht="9.75" customHeight="1" x14ac:dyDescent="0.3">
      <c r="A154" s="680"/>
      <c r="Q154" s="682"/>
      <c r="R154" s="682"/>
      <c r="S154" s="684"/>
      <c r="T154" s="682"/>
      <c r="Z154" s="682"/>
      <c r="AA154" s="682"/>
      <c r="AB154" s="24"/>
      <c r="AC154" s="24"/>
      <c r="AD154" s="24"/>
      <c r="AE154" s="24"/>
      <c r="AF154" s="24"/>
      <c r="AG154" s="24"/>
      <c r="AH154" s="24"/>
      <c r="AI154" s="24"/>
      <c r="AJ154" s="24"/>
      <c r="AK154" s="24"/>
      <c r="AL154" s="24"/>
      <c r="AM154" s="24"/>
      <c r="AN154" s="24"/>
      <c r="AO154" s="24"/>
      <c r="AP154" s="24"/>
      <c r="AQ154" s="24"/>
      <c r="AR154" s="24"/>
      <c r="AS154" s="24"/>
      <c r="AT154" s="24"/>
      <c r="AU154" s="24"/>
      <c r="AV154" s="24"/>
      <c r="AW154" s="24"/>
      <c r="AX154" s="24"/>
      <c r="AY154" s="249"/>
      <c r="AZ154" s="24"/>
      <c r="BA154" s="249"/>
    </row>
    <row r="155" spans="1:73" ht="9.75" customHeight="1" x14ac:dyDescent="0.3">
      <c r="A155" s="680"/>
      <c r="Q155" s="682"/>
      <c r="R155" s="682"/>
      <c r="S155" s="684"/>
      <c r="T155" s="682"/>
      <c r="Z155" s="682"/>
      <c r="AA155" s="682"/>
      <c r="AB155" s="24"/>
      <c r="AC155" s="24"/>
      <c r="AD155" s="24"/>
      <c r="AE155" s="24"/>
      <c r="AF155" s="24"/>
      <c r="AG155" s="24"/>
      <c r="AH155" s="24"/>
      <c r="AI155" s="24"/>
      <c r="AJ155" s="24"/>
      <c r="AK155" s="24"/>
      <c r="AL155" s="24"/>
      <c r="AM155" s="24"/>
      <c r="AN155" s="24"/>
      <c r="AO155" s="24"/>
      <c r="AP155" s="24"/>
      <c r="AQ155" s="24"/>
      <c r="AR155" s="24"/>
      <c r="AS155" s="24"/>
      <c r="AT155" s="24"/>
      <c r="AU155" s="24"/>
      <c r="AV155" s="24"/>
      <c r="AW155" s="24"/>
      <c r="AX155" s="24"/>
      <c r="AY155" s="249"/>
      <c r="AZ155" s="24"/>
      <c r="BA155" s="249"/>
    </row>
    <row r="156" spans="1:73" ht="9.75" customHeight="1" x14ac:dyDescent="0.3">
      <c r="A156" s="680"/>
      <c r="Q156" s="682"/>
      <c r="R156" s="682"/>
      <c r="S156" s="684"/>
      <c r="T156" s="682"/>
      <c r="Z156" s="682"/>
      <c r="AA156" s="682"/>
      <c r="AB156" s="24"/>
      <c r="AC156" s="24"/>
      <c r="AD156" s="24"/>
      <c r="AE156" s="24"/>
      <c r="AF156" s="24"/>
      <c r="AG156" s="24"/>
      <c r="AH156" s="24"/>
      <c r="AI156" s="24"/>
      <c r="AJ156" s="24"/>
      <c r="AK156" s="24"/>
      <c r="AL156" s="24"/>
      <c r="AM156" s="24"/>
      <c r="AN156" s="24"/>
      <c r="AO156" s="24"/>
      <c r="AP156" s="24"/>
      <c r="AQ156" s="24"/>
      <c r="AR156" s="24"/>
      <c r="AS156" s="24"/>
      <c r="AT156" s="24"/>
      <c r="AU156" s="24"/>
      <c r="AV156" s="24"/>
      <c r="AW156" s="24"/>
      <c r="AX156" s="24"/>
      <c r="AY156" s="249"/>
      <c r="AZ156" s="24"/>
      <c r="BA156" s="249"/>
    </row>
    <row r="157" spans="1:73" ht="9.75" customHeight="1" x14ac:dyDescent="0.3">
      <c r="A157" s="680"/>
      <c r="Q157" s="682"/>
      <c r="R157" s="682"/>
      <c r="S157" s="684"/>
      <c r="T157" s="682"/>
      <c r="Z157" s="682"/>
      <c r="AA157" s="682"/>
      <c r="AB157" s="24"/>
      <c r="AC157" s="24"/>
      <c r="AD157" s="24"/>
      <c r="AE157" s="24"/>
      <c r="AF157" s="24"/>
      <c r="AG157" s="24"/>
      <c r="AH157" s="24"/>
      <c r="AI157" s="24"/>
      <c r="AJ157" s="24"/>
      <c r="AK157" s="24"/>
      <c r="AL157" s="24"/>
      <c r="AM157" s="24"/>
      <c r="AN157" s="24"/>
      <c r="AO157" s="24"/>
      <c r="AP157" s="24"/>
      <c r="AQ157" s="24"/>
      <c r="AR157" s="24"/>
      <c r="AS157" s="24"/>
      <c r="AT157" s="24"/>
      <c r="AU157" s="24"/>
      <c r="AV157" s="24"/>
      <c r="AW157" s="24"/>
      <c r="AX157" s="24"/>
      <c r="AY157" s="249"/>
      <c r="AZ157" s="24"/>
      <c r="BA157" s="249"/>
    </row>
    <row r="158" spans="1:73" ht="9.75" customHeight="1" x14ac:dyDescent="0.3">
      <c r="A158" s="680"/>
      <c r="Q158" s="682"/>
      <c r="R158" s="682"/>
      <c r="S158" s="684"/>
      <c r="T158" s="682"/>
      <c r="Z158" s="682"/>
      <c r="AA158" s="682"/>
      <c r="AB158" s="24"/>
      <c r="AC158" s="24"/>
      <c r="AD158" s="24"/>
      <c r="AE158" s="24"/>
      <c r="AF158" s="24"/>
      <c r="AG158" s="24"/>
      <c r="AH158" s="24"/>
      <c r="AI158" s="24"/>
      <c r="AJ158" s="24"/>
      <c r="AK158" s="24"/>
      <c r="AL158" s="24"/>
      <c r="AM158" s="24"/>
      <c r="AN158" s="24"/>
      <c r="AO158" s="24"/>
      <c r="AP158" s="24"/>
      <c r="AQ158" s="24"/>
      <c r="AR158" s="24"/>
      <c r="AS158" s="24"/>
      <c r="AT158" s="24"/>
      <c r="AU158" s="24"/>
      <c r="AV158" s="24"/>
      <c r="AW158" s="24"/>
      <c r="AX158" s="24"/>
      <c r="AY158" s="249"/>
      <c r="AZ158" s="24"/>
      <c r="BA158" s="249"/>
    </row>
    <row r="159" spans="1:73" ht="9.75" customHeight="1" x14ac:dyDescent="0.3">
      <c r="A159" s="680"/>
      <c r="Q159" s="682"/>
      <c r="R159" s="682"/>
      <c r="S159" s="684"/>
      <c r="T159" s="682"/>
      <c r="Z159" s="682"/>
      <c r="AA159" s="682"/>
      <c r="AB159" s="24"/>
      <c r="AC159" s="24"/>
      <c r="AD159" s="24"/>
      <c r="AE159" s="24"/>
      <c r="AF159" s="24"/>
      <c r="AG159" s="24"/>
      <c r="AH159" s="24"/>
      <c r="AI159" s="24"/>
      <c r="AJ159" s="24"/>
      <c r="AK159" s="24"/>
      <c r="AL159" s="24"/>
      <c r="AM159" s="24"/>
      <c r="AN159" s="24"/>
      <c r="AO159" s="24"/>
      <c r="AP159" s="24"/>
      <c r="AQ159" s="24"/>
      <c r="AR159" s="24"/>
      <c r="AS159" s="24"/>
      <c r="AT159" s="24"/>
      <c r="AU159" s="24"/>
      <c r="AV159" s="24"/>
      <c r="AW159" s="24"/>
      <c r="AX159" s="24"/>
      <c r="AY159" s="249"/>
      <c r="AZ159" s="24"/>
      <c r="BA159" s="249"/>
    </row>
    <row r="160" spans="1:73" ht="9.75" customHeight="1" x14ac:dyDescent="0.3">
      <c r="A160" s="680"/>
      <c r="Q160" s="682"/>
      <c r="R160" s="682"/>
      <c r="S160" s="684"/>
      <c r="T160" s="682"/>
      <c r="Z160" s="682"/>
      <c r="AA160" s="682"/>
      <c r="AB160" s="24"/>
      <c r="AC160" s="24"/>
      <c r="AD160" s="24"/>
      <c r="AE160" s="24"/>
      <c r="AF160" s="24"/>
      <c r="AG160" s="24"/>
      <c r="AH160" s="24"/>
      <c r="AI160" s="24"/>
      <c r="AJ160" s="24"/>
      <c r="AK160" s="24"/>
      <c r="AL160" s="24"/>
      <c r="AM160" s="24"/>
      <c r="AN160" s="24"/>
      <c r="AO160" s="24"/>
      <c r="AP160" s="24"/>
      <c r="AQ160" s="24"/>
      <c r="AR160" s="24"/>
      <c r="AS160" s="24"/>
      <c r="AT160" s="24"/>
      <c r="AU160" s="24"/>
      <c r="AV160" s="24"/>
      <c r="AW160" s="24"/>
      <c r="AX160" s="24"/>
      <c r="AY160" s="249"/>
      <c r="AZ160" s="24"/>
      <c r="BA160" s="249"/>
    </row>
    <row r="161" spans="1:53" ht="9.75" customHeight="1" x14ac:dyDescent="0.3">
      <c r="A161" s="680"/>
      <c r="Q161" s="682"/>
      <c r="R161" s="682"/>
      <c r="S161" s="684"/>
      <c r="T161" s="682"/>
      <c r="Z161" s="682"/>
      <c r="AA161" s="682"/>
      <c r="AB161" s="24"/>
      <c r="AC161" s="24"/>
      <c r="AD161" s="24"/>
      <c r="AE161" s="24"/>
      <c r="AF161" s="24"/>
      <c r="AG161" s="24"/>
      <c r="AH161" s="24"/>
      <c r="AI161" s="24"/>
      <c r="AJ161" s="24"/>
      <c r="AK161" s="24"/>
      <c r="AL161" s="24"/>
      <c r="AM161" s="24"/>
      <c r="AN161" s="24"/>
      <c r="AO161" s="24"/>
      <c r="AP161" s="24"/>
      <c r="AQ161" s="24"/>
      <c r="AR161" s="24"/>
      <c r="AS161" s="24"/>
      <c r="AT161" s="24"/>
      <c r="AU161" s="24"/>
      <c r="AV161" s="24"/>
      <c r="AW161" s="24"/>
      <c r="AX161" s="24"/>
      <c r="AY161" s="249"/>
      <c r="AZ161" s="24"/>
      <c r="BA161" s="249"/>
    </row>
    <row r="162" spans="1:53" ht="9.75" customHeight="1" x14ac:dyDescent="0.3">
      <c r="A162" s="680"/>
      <c r="Q162" s="682"/>
      <c r="R162" s="682"/>
      <c r="S162" s="684"/>
      <c r="T162" s="682"/>
      <c r="Z162" s="682"/>
      <c r="AA162" s="682"/>
      <c r="AB162" s="24"/>
      <c r="AC162" s="24"/>
      <c r="AD162" s="24"/>
      <c r="AE162" s="24"/>
      <c r="AF162" s="24"/>
      <c r="AG162" s="24"/>
      <c r="AH162" s="24"/>
      <c r="AI162" s="24"/>
      <c r="AJ162" s="24"/>
      <c r="AK162" s="24"/>
      <c r="AL162" s="24"/>
      <c r="AM162" s="24"/>
      <c r="AN162" s="24"/>
      <c r="AO162" s="24"/>
      <c r="AP162" s="24"/>
      <c r="AQ162" s="24"/>
      <c r="AR162" s="24"/>
      <c r="AS162" s="24"/>
      <c r="AT162" s="24"/>
      <c r="AU162" s="24"/>
      <c r="AV162" s="24"/>
      <c r="AW162" s="24"/>
      <c r="AX162" s="24"/>
      <c r="AY162" s="249"/>
      <c r="AZ162" s="24"/>
      <c r="BA162" s="249"/>
    </row>
    <row r="163" spans="1:53" ht="9.75" customHeight="1" x14ac:dyDescent="0.3">
      <c r="A163" s="680"/>
      <c r="Q163" s="682"/>
      <c r="R163" s="682"/>
      <c r="S163" s="684"/>
      <c r="T163" s="682"/>
      <c r="Z163" s="682"/>
      <c r="AA163" s="682"/>
      <c r="AB163" s="24"/>
      <c r="AC163" s="24"/>
      <c r="AD163" s="24"/>
      <c r="AE163" s="24"/>
      <c r="AF163" s="24"/>
      <c r="AG163" s="24"/>
      <c r="AH163" s="24"/>
      <c r="AI163" s="24"/>
      <c r="AJ163" s="24"/>
      <c r="AK163" s="24"/>
      <c r="AL163" s="24"/>
      <c r="AM163" s="24"/>
      <c r="AN163" s="24"/>
      <c r="AO163" s="24"/>
      <c r="AP163" s="24"/>
      <c r="AQ163" s="24"/>
      <c r="AR163" s="24"/>
      <c r="AS163" s="24"/>
      <c r="AT163" s="24"/>
      <c r="AU163" s="24"/>
      <c r="AV163" s="24"/>
      <c r="AW163" s="24"/>
      <c r="AX163" s="24"/>
      <c r="AY163" s="249"/>
      <c r="AZ163" s="24"/>
      <c r="BA163" s="249"/>
    </row>
    <row r="164" spans="1:53" ht="9.75" customHeight="1" x14ac:dyDescent="0.3">
      <c r="A164" s="680"/>
      <c r="Q164" s="682"/>
      <c r="R164" s="682"/>
      <c r="S164" s="684"/>
      <c r="T164" s="682"/>
      <c r="Z164" s="682"/>
      <c r="AA164" s="682"/>
      <c r="AB164" s="24"/>
      <c r="AC164" s="24"/>
      <c r="AD164" s="24"/>
      <c r="AE164" s="24"/>
      <c r="AF164" s="24"/>
      <c r="AG164" s="24"/>
      <c r="AH164" s="24"/>
      <c r="AI164" s="24"/>
      <c r="AJ164" s="24"/>
      <c r="AK164" s="24"/>
      <c r="AL164" s="24"/>
      <c r="AM164" s="24"/>
      <c r="AN164" s="24"/>
      <c r="AO164" s="24"/>
      <c r="AP164" s="24"/>
      <c r="AQ164" s="24"/>
      <c r="AR164" s="24"/>
      <c r="AS164" s="24"/>
      <c r="AT164" s="24"/>
      <c r="AU164" s="24"/>
      <c r="AV164" s="24"/>
      <c r="AW164" s="24"/>
      <c r="AX164" s="24"/>
      <c r="AY164" s="249"/>
      <c r="AZ164" s="24"/>
      <c r="BA164" s="249"/>
    </row>
    <row r="165" spans="1:53" ht="9.75" customHeight="1" x14ac:dyDescent="0.3">
      <c r="A165" s="680"/>
      <c r="Q165" s="682"/>
      <c r="R165" s="682"/>
      <c r="S165" s="684"/>
      <c r="T165" s="682"/>
      <c r="Z165" s="682"/>
      <c r="AA165" s="682"/>
      <c r="AB165" s="24"/>
      <c r="AC165" s="24"/>
      <c r="AD165" s="24"/>
      <c r="AE165" s="24"/>
      <c r="AF165" s="24"/>
      <c r="AG165" s="24"/>
      <c r="AH165" s="24"/>
      <c r="AI165" s="24"/>
      <c r="AJ165" s="24"/>
      <c r="AK165" s="24"/>
      <c r="AL165" s="24"/>
      <c r="AM165" s="24"/>
      <c r="AN165" s="24"/>
      <c r="AO165" s="24"/>
      <c r="AP165" s="24"/>
      <c r="AQ165" s="24"/>
      <c r="AR165" s="24"/>
      <c r="AS165" s="24"/>
      <c r="AT165" s="24"/>
      <c r="AU165" s="24"/>
      <c r="AV165" s="24"/>
      <c r="AW165" s="24"/>
      <c r="AX165" s="24"/>
      <c r="AY165" s="249"/>
      <c r="AZ165" s="24"/>
      <c r="BA165" s="249"/>
    </row>
    <row r="166" spans="1:53" ht="9.75" customHeight="1" x14ac:dyDescent="0.3">
      <c r="A166" s="680"/>
      <c r="Q166" s="682"/>
      <c r="R166" s="682"/>
      <c r="S166" s="684"/>
      <c r="T166" s="682"/>
      <c r="Z166" s="682"/>
      <c r="AA166" s="682"/>
      <c r="AB166" s="24"/>
      <c r="AC166" s="24"/>
      <c r="AD166" s="24"/>
      <c r="AE166" s="24"/>
      <c r="AF166" s="24"/>
      <c r="AG166" s="24"/>
      <c r="AH166" s="24"/>
      <c r="AI166" s="24"/>
      <c r="AJ166" s="24"/>
      <c r="AK166" s="24"/>
      <c r="AL166" s="24"/>
      <c r="AM166" s="24"/>
      <c r="AN166" s="24"/>
      <c r="AO166" s="24"/>
      <c r="AP166" s="24"/>
      <c r="AQ166" s="24"/>
      <c r="AR166" s="24"/>
      <c r="AS166" s="24"/>
      <c r="AT166" s="24"/>
      <c r="AU166" s="24"/>
      <c r="AV166" s="24"/>
      <c r="AW166" s="24"/>
      <c r="AX166" s="24"/>
      <c r="AY166" s="249"/>
      <c r="AZ166" s="24"/>
      <c r="BA166" s="249"/>
    </row>
    <row r="167" spans="1:53" ht="9.75" customHeight="1" x14ac:dyDescent="0.3">
      <c r="A167" s="680"/>
      <c r="Q167" s="682"/>
      <c r="R167" s="682"/>
      <c r="S167" s="684"/>
      <c r="T167" s="682"/>
      <c r="Z167" s="682"/>
      <c r="AA167" s="682"/>
      <c r="AB167" s="24"/>
      <c r="AC167" s="24"/>
      <c r="AD167" s="24"/>
      <c r="AE167" s="24"/>
      <c r="AF167" s="24"/>
      <c r="AG167" s="24"/>
      <c r="AH167" s="24"/>
      <c r="AI167" s="24"/>
      <c r="AJ167" s="24"/>
      <c r="AK167" s="24"/>
      <c r="AL167" s="24"/>
      <c r="AM167" s="24"/>
      <c r="AN167" s="24"/>
      <c r="AO167" s="24"/>
      <c r="AP167" s="24"/>
      <c r="AQ167" s="24"/>
      <c r="AR167" s="24"/>
      <c r="AS167" s="24"/>
      <c r="AT167" s="24"/>
      <c r="AU167" s="24"/>
      <c r="AV167" s="24"/>
      <c r="AW167" s="24"/>
      <c r="AX167" s="24"/>
      <c r="AY167" s="249"/>
      <c r="AZ167" s="24"/>
      <c r="BA167" s="249"/>
    </row>
    <row r="168" spans="1:53" ht="9.75" customHeight="1" x14ac:dyDescent="0.3">
      <c r="A168" s="680"/>
      <c r="Q168" s="682"/>
      <c r="R168" s="682"/>
      <c r="S168" s="684"/>
      <c r="T168" s="682"/>
      <c r="Z168" s="682"/>
      <c r="AA168" s="682"/>
      <c r="AB168" s="24"/>
      <c r="AC168" s="24"/>
      <c r="AD168" s="24"/>
      <c r="AE168" s="24"/>
      <c r="AF168" s="24"/>
      <c r="AG168" s="24"/>
      <c r="AH168" s="24"/>
      <c r="AI168" s="24"/>
      <c r="AJ168" s="24"/>
      <c r="AK168" s="24"/>
      <c r="AL168" s="24"/>
      <c r="AM168" s="24"/>
      <c r="AN168" s="24"/>
      <c r="AO168" s="24"/>
      <c r="AP168" s="24"/>
      <c r="AQ168" s="24"/>
      <c r="AR168" s="24"/>
      <c r="AS168" s="24"/>
      <c r="AT168" s="24"/>
      <c r="AU168" s="24"/>
      <c r="AV168" s="24"/>
      <c r="AW168" s="24"/>
      <c r="AX168" s="24"/>
      <c r="AY168" s="249"/>
      <c r="AZ168" s="24"/>
      <c r="BA168" s="249"/>
    </row>
    <row r="169" spans="1:53" ht="9.75" customHeight="1" x14ac:dyDescent="0.3">
      <c r="A169" s="680"/>
      <c r="Q169" s="682"/>
      <c r="R169" s="682"/>
      <c r="S169" s="684"/>
      <c r="T169" s="682"/>
      <c r="Z169" s="682"/>
      <c r="AA169" s="682"/>
      <c r="AB169" s="24"/>
      <c r="AC169" s="24"/>
      <c r="AD169" s="24"/>
      <c r="AE169" s="24"/>
      <c r="AF169" s="24"/>
      <c r="AG169" s="24"/>
      <c r="AH169" s="24"/>
      <c r="AI169" s="24"/>
      <c r="AJ169" s="24"/>
      <c r="AK169" s="24"/>
      <c r="AL169" s="24"/>
      <c r="AM169" s="24"/>
      <c r="AN169" s="24"/>
      <c r="AO169" s="24"/>
      <c r="AP169" s="24"/>
      <c r="AQ169" s="24"/>
      <c r="AR169" s="24"/>
      <c r="AS169" s="24"/>
      <c r="AT169" s="24"/>
      <c r="AU169" s="24"/>
      <c r="AV169" s="24"/>
      <c r="AW169" s="24"/>
      <c r="AX169" s="24"/>
      <c r="AY169" s="249"/>
      <c r="AZ169" s="24"/>
      <c r="BA169" s="249"/>
    </row>
    <row r="170" spans="1:53" ht="9.75" customHeight="1" x14ac:dyDescent="0.3">
      <c r="A170" s="680"/>
      <c r="Q170" s="682"/>
      <c r="R170" s="682"/>
      <c r="S170" s="684"/>
      <c r="T170" s="682"/>
      <c r="Z170" s="682"/>
      <c r="AA170" s="682"/>
      <c r="AB170" s="24"/>
      <c r="AC170" s="24"/>
      <c r="AD170" s="24"/>
      <c r="AE170" s="24"/>
      <c r="AF170" s="24"/>
      <c r="AG170" s="24"/>
      <c r="AH170" s="24"/>
      <c r="AI170" s="24"/>
      <c r="AJ170" s="24"/>
      <c r="AK170" s="24"/>
      <c r="AL170" s="24"/>
      <c r="AM170" s="24"/>
      <c r="AN170" s="24"/>
      <c r="AO170" s="24"/>
      <c r="AP170" s="24"/>
      <c r="AQ170" s="24"/>
      <c r="AR170" s="24"/>
      <c r="AS170" s="24"/>
      <c r="AT170" s="24"/>
      <c r="AU170" s="24"/>
      <c r="AV170" s="24"/>
      <c r="AW170" s="24"/>
      <c r="AX170" s="24"/>
      <c r="AY170" s="249"/>
      <c r="AZ170" s="24"/>
      <c r="BA170" s="249"/>
    </row>
    <row r="171" spans="1:53" ht="9.75" customHeight="1" x14ac:dyDescent="0.3">
      <c r="A171" s="680"/>
      <c r="Q171" s="682"/>
      <c r="R171" s="684"/>
      <c r="S171" s="684"/>
      <c r="T171" s="682"/>
      <c r="Z171" s="682"/>
      <c r="AA171" s="682"/>
      <c r="AB171" s="24"/>
      <c r="AC171" s="24"/>
      <c r="AD171" s="24"/>
      <c r="AE171" s="24"/>
      <c r="AF171" s="24"/>
      <c r="AG171" s="24"/>
      <c r="AH171" s="24"/>
      <c r="AI171" s="24"/>
      <c r="AJ171" s="24"/>
      <c r="AK171" s="24"/>
      <c r="AL171" s="24"/>
      <c r="AM171" s="24"/>
      <c r="AN171" s="24"/>
      <c r="AO171" s="24"/>
      <c r="AP171" s="24"/>
      <c r="AQ171" s="24"/>
      <c r="AR171" s="24"/>
      <c r="AS171" s="24"/>
      <c r="AT171" s="24"/>
      <c r="AU171" s="24"/>
      <c r="AV171" s="24"/>
      <c r="AW171" s="24"/>
      <c r="AX171" s="24"/>
      <c r="AY171" s="249"/>
      <c r="AZ171" s="24"/>
      <c r="BA171" s="249"/>
    </row>
    <row r="172" spans="1:53" ht="9.75" customHeight="1" x14ac:dyDescent="0.3">
      <c r="A172" s="680"/>
      <c r="Q172" s="682"/>
      <c r="R172" s="682"/>
      <c r="S172" s="684"/>
      <c r="T172" s="682"/>
      <c r="Z172" s="682"/>
      <c r="AA172" s="682"/>
      <c r="AB172" s="24"/>
      <c r="AC172" s="24"/>
      <c r="AD172" s="24"/>
      <c r="AE172" s="24"/>
      <c r="AF172" s="24"/>
      <c r="AG172" s="24"/>
      <c r="AH172" s="24"/>
      <c r="AI172" s="24"/>
      <c r="AJ172" s="24"/>
      <c r="AK172" s="24"/>
      <c r="AL172" s="24"/>
      <c r="AM172" s="24"/>
      <c r="AN172" s="24"/>
      <c r="AO172" s="24"/>
      <c r="AP172" s="24"/>
      <c r="AQ172" s="24"/>
      <c r="AR172" s="24"/>
      <c r="AS172" s="24"/>
      <c r="AT172" s="24"/>
      <c r="AU172" s="24"/>
      <c r="AV172" s="24"/>
      <c r="AW172" s="24"/>
      <c r="AX172" s="24"/>
      <c r="AY172" s="249"/>
      <c r="AZ172" s="24"/>
      <c r="BA172" s="249"/>
    </row>
    <row r="173" spans="1:53" ht="9.75" customHeight="1" x14ac:dyDescent="0.3">
      <c r="A173" s="680"/>
      <c r="Q173" s="682"/>
      <c r="R173" s="682"/>
      <c r="S173" s="684"/>
      <c r="T173" s="682"/>
      <c r="Z173" s="682"/>
      <c r="AA173" s="682"/>
      <c r="AB173" s="24"/>
      <c r="AC173" s="24"/>
      <c r="AD173" s="24"/>
      <c r="AE173" s="24"/>
      <c r="AF173" s="24"/>
      <c r="AG173" s="24"/>
      <c r="AH173" s="24"/>
      <c r="AI173" s="24"/>
      <c r="AJ173" s="24"/>
      <c r="AK173" s="24"/>
      <c r="AL173" s="24"/>
      <c r="AM173" s="24"/>
      <c r="AN173" s="24"/>
      <c r="AO173" s="24"/>
      <c r="AP173" s="24"/>
      <c r="AQ173" s="24"/>
      <c r="AR173" s="24"/>
      <c r="AS173" s="24"/>
      <c r="AT173" s="24"/>
      <c r="AU173" s="24"/>
      <c r="AV173" s="24"/>
      <c r="AW173" s="24"/>
      <c r="AX173" s="24"/>
      <c r="AY173" s="249"/>
      <c r="AZ173" s="24"/>
      <c r="BA173" s="249"/>
    </row>
    <row r="174" spans="1:53" ht="9.75" customHeight="1" x14ac:dyDescent="0.3">
      <c r="A174" s="680"/>
      <c r="Q174" s="682"/>
      <c r="R174" s="682"/>
      <c r="S174" s="684"/>
      <c r="T174" s="682"/>
      <c r="Z174" s="682"/>
      <c r="AA174" s="682"/>
      <c r="AB174" s="24"/>
      <c r="AC174" s="24"/>
      <c r="AD174" s="24"/>
      <c r="AE174" s="24"/>
      <c r="AF174" s="24"/>
      <c r="AG174" s="24"/>
      <c r="AH174" s="24"/>
      <c r="AI174" s="24"/>
      <c r="AJ174" s="24"/>
      <c r="AK174" s="24"/>
      <c r="AL174" s="24"/>
      <c r="AM174" s="24"/>
      <c r="AN174" s="24"/>
      <c r="AO174" s="24"/>
      <c r="AP174" s="24"/>
      <c r="AQ174" s="24"/>
      <c r="AR174" s="24"/>
      <c r="AS174" s="24"/>
      <c r="AT174" s="24"/>
      <c r="AU174" s="24"/>
      <c r="AV174" s="24"/>
      <c r="AW174" s="24"/>
      <c r="AX174" s="24"/>
      <c r="AY174" s="249"/>
      <c r="AZ174" s="24"/>
      <c r="BA174" s="249"/>
    </row>
    <row r="175" spans="1:53" ht="9.75" customHeight="1" x14ac:dyDescent="0.3">
      <c r="A175" s="680"/>
      <c r="Q175" s="682"/>
      <c r="R175" s="682"/>
      <c r="S175" s="684"/>
      <c r="T175" s="682"/>
      <c r="Z175" s="682"/>
      <c r="AA175" s="682"/>
      <c r="AB175" s="24"/>
      <c r="AC175" s="24"/>
      <c r="AD175" s="24"/>
      <c r="AE175" s="24"/>
      <c r="AF175" s="24"/>
      <c r="AG175" s="24"/>
      <c r="AH175" s="24"/>
      <c r="AI175" s="24"/>
      <c r="AJ175" s="24"/>
      <c r="AK175" s="24"/>
      <c r="AL175" s="24"/>
      <c r="AM175" s="24"/>
      <c r="AN175" s="24"/>
      <c r="AO175" s="24"/>
      <c r="AP175" s="24"/>
      <c r="AQ175" s="24"/>
      <c r="AR175" s="24"/>
      <c r="AS175" s="24"/>
      <c r="AT175" s="24"/>
      <c r="AU175" s="24"/>
      <c r="AV175" s="24"/>
      <c r="AW175" s="24"/>
      <c r="AX175" s="24"/>
      <c r="AY175" s="249"/>
      <c r="AZ175" s="24"/>
      <c r="BA175" s="249"/>
    </row>
    <row r="176" spans="1:53" ht="9.75" customHeight="1" x14ac:dyDescent="0.3">
      <c r="A176" s="680"/>
      <c r="Q176" s="682"/>
      <c r="R176" s="682"/>
      <c r="S176" s="684"/>
      <c r="T176" s="682"/>
      <c r="Z176" s="682"/>
      <c r="AA176" s="682"/>
      <c r="AB176" s="24"/>
      <c r="AC176" s="24"/>
      <c r="AD176" s="24"/>
      <c r="AE176" s="24"/>
      <c r="AF176" s="24"/>
      <c r="AG176" s="24"/>
      <c r="AH176" s="24"/>
      <c r="AI176" s="24"/>
      <c r="AJ176" s="24"/>
      <c r="AK176" s="24"/>
      <c r="AL176" s="24"/>
      <c r="AM176" s="24"/>
      <c r="AN176" s="24"/>
      <c r="AO176" s="24"/>
      <c r="AP176" s="24"/>
      <c r="AQ176" s="24"/>
      <c r="AR176" s="24"/>
      <c r="AS176" s="24"/>
      <c r="AT176" s="24"/>
      <c r="AU176" s="24"/>
      <c r="AV176" s="24"/>
      <c r="AW176" s="24"/>
      <c r="AX176" s="24"/>
      <c r="AY176" s="249"/>
      <c r="AZ176" s="24"/>
      <c r="BA176" s="249"/>
    </row>
    <row r="177" spans="1:53" ht="9.75" customHeight="1" x14ac:dyDescent="0.3">
      <c r="A177" s="680"/>
      <c r="Q177" s="682"/>
      <c r="R177" s="682"/>
      <c r="S177" s="684"/>
      <c r="T177" s="682"/>
      <c r="Z177" s="682"/>
      <c r="AA177" s="682"/>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24"/>
      <c r="AY177" s="249"/>
      <c r="AZ177" s="24"/>
      <c r="BA177" s="249"/>
    </row>
    <row r="178" spans="1:53" ht="9.75" customHeight="1" x14ac:dyDescent="0.3">
      <c r="A178" s="680"/>
      <c r="Q178" s="682"/>
      <c r="R178" s="682"/>
      <c r="S178" s="684"/>
      <c r="T178" s="682"/>
      <c r="Z178" s="682"/>
      <c r="AA178" s="682"/>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9"/>
      <c r="AZ178" s="24"/>
      <c r="BA178" s="249"/>
    </row>
    <row r="179" spans="1:53" ht="9.75" customHeight="1" x14ac:dyDescent="0.3">
      <c r="A179" s="680"/>
      <c r="Q179" s="682"/>
      <c r="R179" s="682"/>
      <c r="S179" s="684"/>
      <c r="T179" s="682"/>
      <c r="Z179" s="682"/>
      <c r="AA179" s="682"/>
      <c r="AB179" s="24"/>
      <c r="AC179" s="24"/>
      <c r="AD179" s="24"/>
      <c r="AE179" s="24"/>
      <c r="AF179" s="24"/>
      <c r="AG179" s="24"/>
      <c r="AH179" s="24"/>
      <c r="AI179" s="24"/>
      <c r="AJ179" s="24"/>
      <c r="AK179" s="24"/>
      <c r="AL179" s="24"/>
      <c r="AM179" s="24"/>
      <c r="AN179" s="24"/>
      <c r="AO179" s="24"/>
      <c r="AP179" s="24"/>
      <c r="AQ179" s="24"/>
      <c r="AR179" s="24"/>
      <c r="AS179" s="24"/>
      <c r="AT179" s="24"/>
      <c r="AU179" s="24"/>
      <c r="AV179" s="24"/>
      <c r="AW179" s="24"/>
      <c r="AX179" s="24"/>
      <c r="AY179" s="249"/>
      <c r="AZ179" s="24"/>
      <c r="BA179" s="249"/>
    </row>
    <row r="180" spans="1:53" ht="9.75" customHeight="1" x14ac:dyDescent="0.3">
      <c r="A180" s="315"/>
      <c r="Q180" s="682"/>
      <c r="R180" s="684"/>
      <c r="S180" s="684"/>
      <c r="T180" s="682"/>
      <c r="Z180" s="24"/>
      <c r="AA180" s="24"/>
      <c r="AB180" s="24"/>
      <c r="AC180" s="24"/>
      <c r="AD180" s="24"/>
      <c r="AE180" s="24"/>
      <c r="AF180" s="24"/>
      <c r="AG180" s="24"/>
      <c r="AH180" s="24"/>
      <c r="AI180" s="24"/>
      <c r="AJ180" s="24"/>
      <c r="AK180" s="24"/>
      <c r="AL180" s="24"/>
      <c r="AM180" s="24"/>
      <c r="AN180" s="24"/>
      <c r="AO180" s="24"/>
      <c r="AP180" s="24"/>
      <c r="AQ180" s="24"/>
      <c r="AR180" s="24"/>
      <c r="AS180" s="24"/>
      <c r="AT180" s="24"/>
      <c r="AU180" s="24"/>
      <c r="AV180" s="24"/>
      <c r="AW180" s="24"/>
      <c r="AX180" s="24"/>
      <c r="AY180" s="249"/>
      <c r="AZ180" s="24"/>
      <c r="BA180" s="24"/>
    </row>
    <row r="181" spans="1:53" ht="9.75" customHeight="1" x14ac:dyDescent="0.3">
      <c r="A181" s="680"/>
    </row>
    <row r="182" spans="1:53" ht="9.75" customHeight="1" x14ac:dyDescent="0.3">
      <c r="A182" s="680"/>
    </row>
    <row r="183" spans="1:53" ht="9.75" customHeight="1" x14ac:dyDescent="0.3">
      <c r="A183" s="680"/>
    </row>
  </sheetData>
  <hyperlinks>
    <hyperlink ref="A2" location="Index!A1" display="Index"/>
  </hyperlink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R445"/>
  <sheetViews>
    <sheetView zoomScale="70" zoomScaleNormal="70" workbookViewId="0"/>
  </sheetViews>
  <sheetFormatPr defaultRowHeight="14.4" x14ac:dyDescent="0.3"/>
  <cols>
    <col min="1" max="1" width="11.77734375" customWidth="1"/>
    <col min="2" max="2" width="10.44140625" customWidth="1"/>
    <col min="7" max="7" width="81.77734375" customWidth="1"/>
    <col min="8" max="8" width="121.5546875" customWidth="1"/>
    <col min="19" max="19" width="175.21875" customWidth="1"/>
  </cols>
  <sheetData>
    <row r="1" spans="1:44" s="502" customFormat="1" x14ac:dyDescent="0.3">
      <c r="A1" s="75" t="s">
        <v>628</v>
      </c>
    </row>
    <row r="2" spans="1:44" ht="15.6" x14ac:dyDescent="0.3">
      <c r="A2" s="463" t="s">
        <v>504</v>
      </c>
    </row>
    <row r="3" spans="1:44" s="502" customFormat="1" ht="15.6" x14ac:dyDescent="0.3">
      <c r="A3" s="466"/>
    </row>
    <row r="4" spans="1:44" x14ac:dyDescent="0.3">
      <c r="A4" s="75" t="s">
        <v>558</v>
      </c>
      <c r="I4" s="75" t="s">
        <v>434</v>
      </c>
    </row>
    <row r="5" spans="1:44" x14ac:dyDescent="0.3">
      <c r="A5" s="278" t="str">
        <f>CONCATENATE("%let FracPenNew",'C12-CorpOwn'!A5,"=",ROUND('C12-CorpOwn'!S5,3),"; %let FracNPGv",'C12-CorpOwn'!A5,"=",ROUND('C12-CorpOwn'!T5,3),"; %let Fcp",'C13-CapOwn'!A5,"=",ROUND('C13-CapOwn'!L5,3),"; %let Fdt",'C13-CapOwn'!A5,"=",ROUND('C13-CapOwn'!M5,3),"; %let Frt",'C13-CapOwn'!A5,"=",ROUND('C13-CapOwn'!N5,3),"; %let aFcp",'C13-CapOwn'!A5,"=",ROUND('C13-CapOwn'!Q5,3),"; %let aFdt",'C13-CapOwn'!A5,"=",ROUND('C13-CapOwn'!R5,3),"; %let aFrt",'C13-CapOwn'!A5,"=",ROUND('C13-CapOwn'!S5,3),"; %let aFps",'C13-CapOwn'!A5,"=", ROUND('C13-CapOwn'!T5,3),";")</f>
        <v>%let FracPenNew1960=0.043; %let FracNPGv1960=0.053; %let Fcp1960=0.53; %let Fdt1960=0.146; %let Frt1960=0.266; %let aFcp1960=0.375; %let aFdt1960=0.103; %let aFrt1960=0.188; %let aFps1960=0.29;</v>
      </c>
      <c r="I5" s="278" t="str">
        <f>CONCATENATE("%let totcorpNIPA",A180,"=",'C10-Adj by Source'!S6,"; %let totctaxNIPA",A180,"=",'C10-Adj by Source'!AC6,"; %let ntint",A180,"=",ROUND('C10-Adj by Source'!D6,0),"; %let esi",A180,"=",ROUND('C10-Adj by Source'!BA6,0),"; %let bpr",A180,"=",ROUND('C10-Adj by Source'!CO6,0),"; %let othtx",A180,"=",ROUND(0,0),"; %let sitx",A180,"=",ROUND('C10-Adj by Source'!CH6-'C22-Fiduciary'!AC5,0),"; %let otx",A180,"=",ROUND('C10-Adj by Source'!BF6,0),"; %let subtr",A180,"=",ROUND('C10-Adj by Source'!BG6,0),"; %let npgv",A180,"=",ROUND('C10-Adj by Source'!BH6,0),"; %let fed",A180,"=",ROUND('C10-Adj by Source'!BI6,0),"; %let retadj",A180,"=",ROUND('C10-Adj by Source'!BD6,0),"; %let mid",A180,"=",ROUND('T-T1'!DK9,0),";")</f>
        <v>%let totcorpNIPA1960=18532; %let totctaxNIPA1960=21885; %let ntint1960=1334; %let esi1960=6395; %let bpr1960=8799; %let othtx1960=0; %let sitx1960=2343; %let otx1960=28309; %let subtr1960=596; %let npgv1960=1651; %let fed1960=897; %let retadj1960=11420; %let mid1960=7051;</v>
      </c>
      <c r="T5" s="575" t="str">
        <f>CONCATENATE("%let xewtx",'C10-Adj by Source'!A6,"=",ROUND('C10-Adj by Source'!AY6-'C10-Adj by Source'!AX6,3),"; %let comb",'C10-Adj by Source'!A6,"=",'C10-Adj by Source'!G6,"; %let depi",'C10-Adj by Source'!A6,"=",ROUND('C10-Adj by Source'!DC6,2),"; %let ss",'C10-Adj by Source'!A6,"=",'C10-Adj by Source'!BL6,"; %let ui",'C10-Adj by Source'!A6,"=",'C10-Adj by Source'!BP6,"; %let xss",'C10-Adj by Source'!A6,"=",ROUND('C10-Adj by Source'!BL6-'C10-Adj by Source'!BM6,3),"; %let xui",'C10-Adj by Source'!A6,"=",ROUND('C10-Adj by Source'!BP6-'C10-Adj by Source'!BR6,3),"; %let cash",'C10-Adj by Source'!A6,"=",ROUND('C10-Adj by Source'!BT6,0),"; %let mc",'C10-Adj by Source'!A6,"=",ROUND('T-T2'!AE9,0),"; %let ncash",'C10-Adj by Source'!A6,"=",ROUND('C10-Adj by Source'!BZ6,0),"; %let xfitx",'C10-Adj by Source'!A6,"=",ROUND('C10-Adj by Source'!CC6-'C10-Adj by Source'!CD6-B180,3),"; %let xsitx",'C10-Adj by Source'!A6,"=",ROUND('C10-Adj by Source'!CH6-'C10-Adj by Source'!CI6-C180,3),"; %let xiptx",'C10-Adj by Source'!A6,"=",ROUND('C10-Adj by Source'!CM6-'C10-Adj by Source'!CN6,3),"; %let xwtx",'C10-Adj by Source'!A6,"=",ROUND('C10-Adj by Source'!CR6-'C10-Adj by Source'!CS6,3), "; %let vet",'C10-Adj by Source'!A6,"=",ROUND('C10-Adj by Source'!BS6,3),"; %let ftx",'C10-Adj by Source'!A6,"=",ROUND('C10-Adj by Source'!CC6,3),";")</f>
        <v>%let xewtx1960=79.632; %let comb1960=0; %let depi1960=7748.35; %let ss1960=12079; %let ui1960=3079; %let xss1960=12079; %let xui1960=3079; %let cash1960=3430; %let mc1960=0; %let ncash1960=1435; %let xfitx1960=2196.001; %let xsitx1960=2536; %let xiptx1960=3856.727; %let xwtx1960=1893.445; %let vet1960=4405; %let ftx1960=41838;</v>
      </c>
      <c r="AP5" s="575"/>
      <c r="AQ5" s="575"/>
      <c r="AR5" s="575"/>
    </row>
    <row r="6" spans="1:44" x14ac:dyDescent="0.3">
      <c r="A6" s="879" t="str">
        <f>CONCATENATE("%let FracPenNew",'C12-CorpOwn'!A6,"=",ROUND('C12-CorpOwn'!S6,3),"; %let FracNPGv",'C12-CorpOwn'!A6,"=",ROUND('C12-CorpOwn'!T6,3),"; %let Fcp",'C13-CapOwn'!A6,"=",ROUND('C13-CapOwn'!L6,3),"; %let Fdt",'C13-CapOwn'!A6,"=",ROUND('C13-CapOwn'!M6,3),"; %let Frt",'C13-CapOwn'!A6,"=",ROUND('C13-CapOwn'!N6,3),"; %let aFcp",'C13-CapOwn'!A6,"=",ROUND('C13-CapOwn'!Q6,3),"; %let aFdt",'C13-CapOwn'!A6,"=",ROUND('C13-CapOwn'!R6,3),"; %let aFrt",'C13-CapOwn'!A6,"=",ROUND('C13-CapOwn'!S6,3),"; %let aFps",'C13-CapOwn'!A6,"=", ROUND('C13-CapOwn'!T6,3),";")</f>
        <v>%let FracPenNew1961=0.049; %let FracNPGv1961=0.053; %let Fcp1961=0.561; %let Fdt1961=0.127; %let Frt1961=0.252; %let aFcp1961=0.409; %let aFdt1961=0.093; %let aFrt1961=0.184; %let aFps1961=0.27;</v>
      </c>
      <c r="I6" s="879" t="str">
        <f>CONCATENATE("%let totcorpNIPA",A181,"=",'C10-Adj by Source'!S7,"; %let totctaxNIPA",A181,"=",'C10-Adj by Source'!AC7,"; %let ntint",A181,"=",ROUND('C10-Adj by Source'!D7,0),"; %let esi",A181,"=",ROUND('C10-Adj by Source'!BA7,0),"; %let bpr",A181,"=",ROUND('C10-Adj by Source'!CO7,0),"; %let othtx",A181,"=",ROUND(0,0),"; %let sitx",A181,"=",ROUND('C10-Adj by Source'!CH7-'C22-Fiduciary'!AC6,0),"; %let otx",A181,"=",ROUND('C10-Adj by Source'!BF7,0),"; %let subtr",A181,"=",ROUND('C10-Adj by Source'!BG7,0),"; %let npgv",A181,"=",ROUND('C10-Adj by Source'!BH7,0),"; %let fed",A181,"=",ROUND('C10-Adj by Source'!BI7,0),"; %let retadj",A181,"=",ROUND('C10-Adj by Source'!BD7,0),"; %let mid",A181,"=",ROUND('T-T1'!DK10,0),";")</f>
        <v>%let totcorpNIPA1961=19154; %let totctaxNIPA1961=22203; %let ntint1961=0; %let esi1961=0; %let bpr1961=9359; %let othtx1961=0; %let sitx1961=2603; %let otx1961=29388; %let subtr1961=-113; %let npgv1961=1583; %let fed1961=687; %let retadj1961=0; %let mid1961=7716;</v>
      </c>
      <c r="T6" s="575" t="str">
        <f>CONCATENATE("%let xewtx",'C10-Adj by Source'!A7,"=",ROUND('C10-Adj by Source'!AY7-'C10-Adj by Source'!AX7,3),"; %let comb",'C10-Adj by Source'!A7,"=",'C10-Adj by Source'!G7,"; %let depi",'C10-Adj by Source'!A7,"=",ROUND('C10-Adj by Source'!DC7,2),"; %let ss",'C10-Adj by Source'!A7,"=",'C10-Adj by Source'!BL7,"; %let ui",'C10-Adj by Source'!A7,"=",'C10-Adj by Source'!BP7,"; %let xss",'C10-Adj by Source'!A7,"=",ROUND('C10-Adj by Source'!BL7-'C10-Adj by Source'!BM7,3),"; %let xui",'C10-Adj by Source'!A7,"=",ROUND('C10-Adj by Source'!BP7-'C10-Adj by Source'!BR7,3),"; %let cash",'C10-Adj by Source'!A7,"=",ROUND('C10-Adj by Source'!BT7,0),"; %let mc",'C10-Adj by Source'!A7,"=",ROUND('T-T2'!AE10,0),"; %let ncash",'C10-Adj by Source'!A7,"=",ROUND('C10-Adj by Source'!BZ7,0),"; %let xfitx",'C10-Adj by Source'!A7,"=",ROUND('C10-Adj by Source'!CC7-'C10-Adj by Source'!CD7-B181,3),"; %let xsitx",'C10-Adj by Source'!A7,"=",ROUND('C10-Adj by Source'!CH7-'C10-Adj by Source'!CI7-C181,3),"; %let xiptx",'C10-Adj by Source'!A7,"=",ROUND('C10-Adj by Source'!CM7-'C10-Adj by Source'!CN7,3),"; %let xwtx",'C10-Adj by Source'!A7,"=",ROUND('C10-Adj by Source'!CR7-'C10-Adj by Source'!CS7,3), "; %let vet",'C10-Adj by Source'!A7,"=",ROUND('C10-Adj by Source'!BS7,3),"; %let ftx",'C10-Adj by Source'!A7,"=",ROUND('C10-Adj by Source'!CC7,3),";")</f>
        <v>%let xewtx1961=9610; %let comb1961=0; %let depi1961=0; %let ss1961=; %let ui1961=4401; %let xss1961=0; %let xui1961=4401; %let cash1961=0; %let mc1961=0; %let ncash1961=0; %let xfitx1961=42298.15; %let xsitx1961=2603.35; %let xiptx1961=8221; %let xwtx1961=17000; %let vet1961=4732; %let ftx1961=42694;</v>
      </c>
    </row>
    <row r="7" spans="1:44" x14ac:dyDescent="0.3">
      <c r="A7" s="879" t="str">
        <f>CONCATENATE("%let FracPenNew",'C12-CorpOwn'!A7,"=",ROUND('C12-CorpOwn'!S7,3),"; %let FracNPGv",'C12-CorpOwn'!A7,"=",ROUND('C12-CorpOwn'!T7,3),"; %let Fcp",'C13-CapOwn'!A7,"=",ROUND('C13-CapOwn'!L7,3),"; %let Fdt",'C13-CapOwn'!A7,"=",ROUND('C13-CapOwn'!M7,3),"; %let Frt",'C13-CapOwn'!A7,"=",ROUND('C13-CapOwn'!N7,3),"; %let aFcp",'C13-CapOwn'!A7,"=",ROUND('C13-CapOwn'!Q7,3),"; %let aFdt",'C13-CapOwn'!A7,"=",ROUND('C13-CapOwn'!R7,3),"; %let aFrt",'C13-CapOwn'!A7,"=",ROUND('C13-CapOwn'!S7,3),"; %let aFps",'C13-CapOwn'!A7,"=", ROUND('C13-CapOwn'!T7,3),";")</f>
        <v>%let FracPenNew1962=0.049; %let FracNPGv1962=0.053; %let Fcp1962=0.544; %let Fdt1962=0.129; %let Frt1962=0.266; %let aFcp1962=0.393; %let aFdt1962=0.093; %let aFrt1962=0.192; %let aFps1962=0.278;</v>
      </c>
      <c r="I7" s="879" t="str">
        <f>CONCATENATE("%let totcorpNIPA",A182,"=",'C10-Adj by Source'!S8,"; %let totctaxNIPA",A182,"=",'C10-Adj by Source'!AC8,"; %let ntint",A182,"=",ROUND('C10-Adj by Source'!D8,0),"; %let esi",A182,"=",ROUND('C10-Adj by Source'!BA8,0),"; %let bpr",A182,"=",ROUND('C10-Adj by Source'!CO8,0),"; %let othtx",A182,"=",ROUND(0,0),"; %let sitx",A182,"=",ROUND('C10-Adj by Source'!CH8-'C22-Fiduciary'!AC7,0),"; %let otx",A182,"=",ROUND('C10-Adj by Source'!BF8,0),"; %let subtr",A182,"=",ROUND('C10-Adj by Source'!BG8,0),"; %let npgv",A182,"=",ROUND('C10-Adj by Source'!BH8,0),"; %let fed",A182,"=",ROUND('C10-Adj by Source'!BI8,0),"; %let retadj",A182,"=",ROUND('C10-Adj by Source'!BD8,0),"; %let mid",A182,"=",ROUND('T-T1'!DK11,0),";")</f>
        <v>%let totcorpNIPA1962=24921; %let totctaxNIPA1962=23296; %let ntint1962=1604; %let esi1962=7631; %let bpr1962=10036; %let othtx1962=0; %let sitx1962=2980; %let otx1962=31424; %let subtr1962=-156; %let npgv1962=1721; %let fed1962=799; %let retadj1962=12311; %let mid1962=8632;</v>
      </c>
      <c r="T7" s="575" t="str">
        <f>CONCATENATE("%let xewtx",'C10-Adj by Source'!A8,"=",ROUND('C10-Adj by Source'!AY8-'C10-Adj by Source'!AX8,3),"; %let comb",'C10-Adj by Source'!A8,"=",'C10-Adj by Source'!G8,"; %let depi",'C10-Adj by Source'!A8,"=",ROUND('C10-Adj by Source'!DC8,2),"; %let ss",'C10-Adj by Source'!A8,"=",'C10-Adj by Source'!BL8,"; %let ui",'C10-Adj by Source'!A8,"=",'C10-Adj by Source'!BP8,"; %let xss",'C10-Adj by Source'!A8,"=",ROUND('C10-Adj by Source'!BL8-'C10-Adj by Source'!BM8,3),"; %let xui",'C10-Adj by Source'!A8,"=",ROUND('C10-Adj by Source'!BP8-'C10-Adj by Source'!BR8,3),"; %let cash",'C10-Adj by Source'!A8,"=",ROUND('C10-Adj by Source'!BT8,0),"; %let mc",'C10-Adj by Source'!A8,"=",ROUND('T-T2'!AE11,0),"; %let ncash",'C10-Adj by Source'!A8,"=",ROUND('C10-Adj by Source'!BZ8,0),"; %let xfitx",'C10-Adj by Source'!A8,"=",ROUND('C10-Adj by Source'!CC8-'C10-Adj by Source'!CD8-B182,3),"; %let xsitx",'C10-Adj by Source'!A8,"=",ROUND('C10-Adj by Source'!CH8-'C10-Adj by Source'!CI8-C182,3),"; %let xiptx",'C10-Adj by Source'!A8,"=",ROUND('C10-Adj by Source'!CM8-'C10-Adj by Source'!CN8,3),"; %let xwtx",'C10-Adj by Source'!A8,"=",ROUND('C10-Adj by Source'!CR8-'C10-Adj by Source'!CS8,3), "; %let vet",'C10-Adj by Source'!A8,"=",ROUND('C10-Adj by Source'!BS8,3),"; %let ftx",'C10-Adj by Source'!A8,"=",ROUND('C10-Adj by Source'!CC8,3),";")</f>
        <v>%let xewtx1962=583.495; %let comb1962=0; %let depi1962=9105.2; %let ss1962=15338; %let ui1962=3182; %let xss1962=15338; %let xui1962=3182; %let cash1962=3818; %let mc1962=0; %let ncash1962=1977; %let xfitx1962=2703.112; %let xsitx1962=745.299; %let xiptx1962=3869.034; %let xwtx1962=1558.65; %let vet1962=4528; %let ftx1962=46529;</v>
      </c>
    </row>
    <row r="8" spans="1:44" x14ac:dyDescent="0.3">
      <c r="A8" s="879" t="str">
        <f>CONCATENATE("%let FracPenNew",'C12-CorpOwn'!A8,"=",ROUND('C12-CorpOwn'!S8,3),"; %let FracNPGv",'C12-CorpOwn'!A8,"=",ROUND('C12-CorpOwn'!T8,3),"; %let Fcp",'C13-CapOwn'!A8,"=",ROUND('C13-CapOwn'!L8,3),"; %let Fdt",'C13-CapOwn'!A8,"=",ROUND('C13-CapOwn'!M8,3),"; %let Frt",'C13-CapOwn'!A8,"=",ROUND('C13-CapOwn'!N8,3),"; %let aFcp",'C13-CapOwn'!A8,"=",ROUND('C13-CapOwn'!Q8,3),"; %let aFdt",'C13-CapOwn'!A8,"=",ROUND('C13-CapOwn'!R8,3),"; %let aFrt",'C13-CapOwn'!A8,"=",ROUND('C13-CapOwn'!S8,3),"; %let aFps",'C13-CapOwn'!A8,"=", ROUND('C13-CapOwn'!T8,3),";")</f>
        <v>%let FracPenNew1963=0.057; %let FracNPGv1963=0.053; %let Fcp1963=0.552; %let Fdt1963=0.12; %let Frt1963=0.269; %let aFcp1963=0.403; %let aFdt1963=0.087; %let aFrt1963=0.196; %let aFps1963=0.27;</v>
      </c>
      <c r="I8" s="879" t="str">
        <f>CONCATENATE("%let totcorpNIPA",A183,"=",'C10-Adj by Source'!S9,"; %let totctaxNIPA",A183,"=",'C10-Adj by Source'!AC9,"; %let ntint",A183,"=",ROUND('C10-Adj by Source'!D9,0),"; %let esi",A183,"=",ROUND('C10-Adj by Source'!BA9,0),"; %let bpr",A183,"=",ROUND('C10-Adj by Source'!CO9,0),"; %let othtx",A183,"=",ROUND(0,0),"; %let sitx",A183,"=",ROUND('C10-Adj by Source'!CH9-'C22-Fiduciary'!AC8,0),"; %let otx",A183,"=",ROUND('C10-Adj by Source'!BF9,0),"; %let subtr",A183,"=",ROUND('C10-Adj by Source'!BG9,0),"; %let npgv",A183,"=",ROUND('C10-Adj by Source'!BH9,0),"; %let fed",A183,"=",ROUND('C10-Adj by Source'!BI9,0),"; %let retadj",A183,"=",ROUND('C10-Adj by Source'!BD9,0),"; %let mid",A183,"=",ROUND('T-T1'!DK12,0),";")</f>
        <v>%let totcorpNIPA1963=27901; %let totctaxNIPA1963=25491; %let ntint1963=0; %let esi1963=0; %let bpr1963=10426; %let othtx1963=0; %let sitx1963=3198; %let otx1963=33141; %let subtr1963=295; %let npgv1963=2266; %let fed1963=880; %let retadj1963=0; %let mid1963=9351;</v>
      </c>
      <c r="T8" s="575" t="str">
        <f>CONCATENATE("%let xewtx",'C10-Adj by Source'!A9,"=",ROUND('C10-Adj by Source'!AY9-'C10-Adj by Source'!AX9,3),"; %let comb",'C10-Adj by Source'!A9,"=",'C10-Adj by Source'!G9,"; %let depi",'C10-Adj by Source'!A9,"=",ROUND('C10-Adj by Source'!DC9,2),"; %let ss",'C10-Adj by Source'!A9,"=",'C10-Adj by Source'!BL9,"; %let ui",'C10-Adj by Source'!A9,"=",'C10-Adj by Source'!BP9,"; %let xss",'C10-Adj by Source'!A9,"=",ROUND('C10-Adj by Source'!BL9-'C10-Adj by Source'!BM9,3),"; %let xui",'C10-Adj by Source'!A9,"=",ROUND('C10-Adj by Source'!BP9-'C10-Adj by Source'!BR9,3),"; %let cash",'C10-Adj by Source'!A9,"=",ROUND('C10-Adj by Source'!BT9,0),"; %let mc",'C10-Adj by Source'!A9,"=",ROUND('T-T2'!AE12,0),"; %let ncash",'C10-Adj by Source'!A9,"=",ROUND('C10-Adj by Source'!BZ9,0),"; %let xfitx",'C10-Adj by Source'!A9,"=",ROUND('C10-Adj by Source'!CC9-'C10-Adj by Source'!CD9-B183,3),"; %let xsitx",'C10-Adj by Source'!A9,"=",ROUND('C10-Adj by Source'!CH9-'C10-Adj by Source'!CI9-C183,3),"; %let xiptx",'C10-Adj by Source'!A9,"=",ROUND('C10-Adj by Source'!CM9-'C10-Adj by Source'!CN9,3),"; %let xwtx",'C10-Adj by Source'!A9,"=",ROUND('C10-Adj by Source'!CR9-'C10-Adj by Source'!CS9,3), "; %let vet",'C10-Adj by Source'!A9,"=",ROUND('C10-Adj by Source'!BS9,3),"; %let ftx",'C10-Adj by Source'!A9,"=",ROUND('C10-Adj by Source'!CC9,3),";")</f>
        <v>%let xewtx1963=12405; %let comb1963=0; %let depi1963=0; %let ss1963=; %let ui1963=3061; %let xss1963=0; %let xui1963=3061; %let cash1963=0; %let mc1963=0; %let ncash1963=0; %let xfitx1963=48608.9; %let xsitx1963=3198.429; %let xiptx1963=9819; %let xwtx1963=21700; %let vet1963=4732; %let ftx1963=49138;</v>
      </c>
    </row>
    <row r="9" spans="1:44" x14ac:dyDescent="0.3">
      <c r="A9" s="879" t="str">
        <f>CONCATENATE("%let FracPenNew",'C12-CorpOwn'!A9,"=",ROUND('C12-CorpOwn'!S9,3),"; %let FracNPGv",'C12-CorpOwn'!A9,"=",ROUND('C12-CorpOwn'!T9,3),"; %let Fcp",'C13-CapOwn'!A9,"=",ROUND('C13-CapOwn'!L9,3),"; %let Fdt",'C13-CapOwn'!A9,"=",ROUND('C13-CapOwn'!M9,3),"; %let Frt",'C13-CapOwn'!A9,"=",ROUND('C13-CapOwn'!N9,3),"; %let aFcp",'C13-CapOwn'!A9,"=",ROUND('C13-CapOwn'!Q9,3),"; %let aFdt",'C13-CapOwn'!A9,"=",ROUND('C13-CapOwn'!R9,3),"; %let aFrt",'C13-CapOwn'!A9,"=",ROUND('C13-CapOwn'!S9,3),"; %let aFps",'C13-CapOwn'!A9,"=", ROUND('C13-CapOwn'!T9,3),";")</f>
        <v>%let FracPenNew1964=0.06; %let FracNPGv1964=0.053; %let Fcp1964=0.569; %let Fdt1964=0.111; %let Frt1964=0.262; %let aFcp1964=0.423; %let aFdt1964=0.082; %let aFrt1964=0.195; %let aFps1964=0.257;</v>
      </c>
      <c r="I9" s="879" t="str">
        <f>CONCATENATE("%let totcorpNIPA",A184,"=",'C10-Adj by Source'!S10,"; %let totctaxNIPA",A184,"=",'C10-Adj by Source'!AC10,"; %let ntint",A184,"=",ROUND('C10-Adj by Source'!D10,0),"; %let esi",A184,"=",ROUND('C10-Adj by Source'!BA10,0),"; %let bpr",A184,"=",ROUND('C10-Adj by Source'!CO10,0),"; %let othtx",A184,"=",ROUND(0,0),"; %let sitx",A184,"=",ROUND('C10-Adj by Source'!CH10-'C22-Fiduciary'!AC9,0),"; %let otx",A184,"=",ROUND('C10-Adj by Source'!BF10,0),"; %let subtr",A184,"=",ROUND('C10-Adj by Source'!BG10,0),"; %let npgv",A184,"=",ROUND('C10-Adj by Source'!BH10,0),"; %let fed",A184,"=",ROUND('C10-Adj by Source'!BI10,0),"; %let retadj",A184,"=",ROUND('C10-Adj by Source'!BD10,0),"; %let mid",A184,"=",ROUND('T-T1'!DK13,0),";")</f>
        <v>%let totcorpNIPA1964=31359; %let totctaxNIPA1964=26573; %let ntint1964=1898; %let esi1964=9242; %let bpr1964=10978; %let othtx1964=0; %let sitx1964=3751; %let otx1964=35582; %let subtr1964=275; %let npgv1964=2412; %let fed1964=1582; %let retadj1964=14114; %let mid1964=10297;</v>
      </c>
      <c r="T9" s="575" t="str">
        <f>CONCATENATE("%let xewtx",'C10-Adj by Source'!A10,"=",ROUND('C10-Adj by Source'!AY10-'C10-Adj by Source'!AX10,3),"; %let comb",'C10-Adj by Source'!A10,"=",'C10-Adj by Source'!G10,"; %let depi",'C10-Adj by Source'!A10,"=",ROUND('C10-Adj by Source'!DC10,2),"; %let ss",'C10-Adj by Source'!A10,"=",'C10-Adj by Source'!BL10,"; %let ui",'C10-Adj by Source'!A10,"=",'C10-Adj by Source'!BP10,"; %let xss",'C10-Adj by Source'!A10,"=",ROUND('C10-Adj by Source'!BL10-'C10-Adj by Source'!BM10,3),"; %let xui",'C10-Adj by Source'!A10,"=",ROUND('C10-Adj by Source'!BP10-'C10-Adj by Source'!BR10,3),"; %let cash",'C10-Adj by Source'!A10,"=",ROUND('C10-Adj by Source'!BT10,0),"; %let mc",'C10-Adj by Source'!A10,"=",ROUND('T-T2'!AE13,0),"; %let ncash",'C10-Adj by Source'!A10,"=",ROUND('C10-Adj by Source'!BZ10,0),"; %let xfitx",'C10-Adj by Source'!A10,"=",ROUND('C10-Adj by Source'!CC10-'C10-Adj by Source'!CD10-B184,3),"; %let xsitx",'C10-Adj by Source'!A10,"=",ROUND('C10-Adj by Source'!CH10-'C10-Adj by Source'!CI10-C184,3),"; %let xiptx",'C10-Adj by Source'!A10,"=",ROUND('C10-Adj by Source'!CM10-'C10-Adj by Source'!CN10,3),"; %let xwtx",'C10-Adj by Source'!A10,"=",ROUND('C10-Adj by Source'!CR10-'C10-Adj by Source'!CS10,3), "; %let vet",'C10-Adj by Source'!A10,"=",ROUND('C10-Adj by Source'!BS10,3),"; %let ftx",'C10-Adj by Source'!A10,"=",ROUND('C10-Adj by Source'!CC10,3),";")</f>
        <v>%let xewtx1964=401.048; %let comb1964=0; %let depi1964=9760.02; %let ss1964=17115; %let ui1964=2776; %let xss1964=17115; %let xui1964=2776; %let cash1964=4256; %let mc1964=0; %let ncash1964=2562; %let xfitx1964=2546.824; %let xsitx1964=1121.64; %let xiptx1964=5184.237; %let xwtx1964=1331.545; %let vet1964=4608; %let ftx1964=45985;</v>
      </c>
    </row>
    <row r="10" spans="1:44" x14ac:dyDescent="0.3">
      <c r="A10" s="879" t="str">
        <f>CONCATENATE("%let FracPenNew",'C12-CorpOwn'!A10,"=",ROUND('C12-CorpOwn'!S10,3),"; %let FracNPGv",'C12-CorpOwn'!A10,"=",ROUND('C12-CorpOwn'!T10,3),"; %let Fcp",'C13-CapOwn'!A10,"=",ROUND('C13-CapOwn'!L10,3),"; %let Fdt",'C13-CapOwn'!A10,"=",ROUND('C13-CapOwn'!M10,3),"; %let Frt",'C13-CapOwn'!A10,"=",ROUND('C13-CapOwn'!N10,3),"; %let aFcp",'C13-CapOwn'!A10,"=",ROUND('C13-CapOwn'!Q10,3),"; %let aFdt",'C13-CapOwn'!A10,"=",ROUND('C13-CapOwn'!R10,3),"; %let aFrt",'C13-CapOwn'!A10,"=",ROUND('C13-CapOwn'!S10,3),"; %let aFps",'C13-CapOwn'!A10,"=", ROUND('C13-CapOwn'!T10,3),";")</f>
        <v>%let FracPenNew1965=0.064; %let FracNPGv1965=0.053; %let Fcp1965=0.582; %let Fdt1965=0.103; %let Frt1965=0.258; %let aFcp1965=0.436; %let aFdt1965=0.077; %let aFrt1965=0.193; %let aFps1965=0.251;</v>
      </c>
      <c r="I10" s="879" t="str">
        <f>CONCATENATE("%let totcorpNIPA",A185,"=",'C10-Adj by Source'!S11,"; %let totctaxNIPA",A185,"=",'C10-Adj by Source'!AC11,"; %let ntint",A185,"=",ROUND('C10-Adj by Source'!D11,0),"; %let esi",A185,"=",ROUND('C10-Adj by Source'!BA11,0),"; %let bpr",A185,"=",ROUND('C10-Adj by Source'!CO11,0),"; %let othtx",A185,"=",ROUND(0,0),"; %let sitx",A185,"=",ROUND('C10-Adj by Source'!CH11-'C22-Fiduciary'!AC10,0),"; %let otx",A185,"=",ROUND('C10-Adj by Source'!BF11,0),"; %let subtr",A185,"=",ROUND('C10-Adj by Source'!BG11,0),"; %let npgv",A185,"=",ROUND('C10-Adj by Source'!BH11,0),"; %let fed",A185,"=",ROUND('C10-Adj by Source'!BI11,0),"; %let retadj",A185,"=",ROUND('C10-Adj by Source'!BD11,0),"; %let mid",A185,"=",ROUND('T-T1'!DK14,0),";")</f>
        <v>%let totcorpNIPA1965=38019; %let totctaxNIPA1965=29768; %let ntint1965=0; %let esi1965=0; %let bpr1965=11527; %let othtx1965=0; %let sitx1965=4123; %let otx1965=37522; %let subtr1965=478; %let npgv1965=2443; %let fed1965=1297; %let retadj1965=0; %let mid1965=11262;</v>
      </c>
      <c r="T10" s="575" t="str">
        <f>CONCATENATE("%let xewtx",'C10-Adj by Source'!A11,"=",ROUND('C10-Adj by Source'!AY11-'C10-Adj by Source'!AX11,3),"; %let comb",'C10-Adj by Source'!A11,"=",'C10-Adj by Source'!G11,"; %let depi",'C10-Adj by Source'!A11,"=",ROUND('C10-Adj by Source'!DC11,2),"; %let ss",'C10-Adj by Source'!A11,"=",'C10-Adj by Source'!BL11,"; %let ui",'C10-Adj by Source'!A11,"=",'C10-Adj by Source'!BP11,"; %let xss",'C10-Adj by Source'!A11,"=",ROUND('C10-Adj by Source'!BL11-'C10-Adj by Source'!BM11,3),"; %let xui",'C10-Adj by Source'!A11,"=",ROUND('C10-Adj by Source'!BP11-'C10-Adj by Source'!BR11,3),"; %let cash",'C10-Adj by Source'!A11,"=",ROUND('C10-Adj by Source'!BT11,0),"; %let mc",'C10-Adj by Source'!A11,"=",ROUND('T-T2'!AE14,0),"; %let ncash",'C10-Adj by Source'!A11,"=",ROUND('C10-Adj by Source'!BZ11,0),"; %let xfitx",'C10-Adj by Source'!A11,"=",ROUND('C10-Adj by Source'!CC11-'C10-Adj by Source'!CD11-B185,3),"; %let xsitx",'C10-Adj by Source'!A11,"=",ROUND('C10-Adj by Source'!CH11-'C10-Adj by Source'!CI11-C185,3),"; %let xiptx",'C10-Adj by Source'!A11,"=",ROUND('C10-Adj by Source'!CM11-'C10-Adj by Source'!CN11,3),"; %let xwtx",'C10-Adj by Source'!A11,"=",ROUND('C10-Adj by Source'!CR11-'C10-Adj by Source'!CS11,3), "; %let vet",'C10-Adj by Source'!A11,"=",ROUND('C10-Adj by Source'!BS11,3),"; %let ftx",'C10-Adj by Source'!A11,"=",ROUND('C10-Adj by Source'!CC11,3),";")</f>
        <v>%let xewtx1965=13093; %let comb1965=0; %let depi1965=0; %let ss1965=; %let ui1965=2365; %let xss1965=0; %let xui1965=2365; %let cash1965=0; %let mc1965=0; %let ncash1965=0; %let xfitx1965=50409; %let xsitx1965=4122.988; %let xiptx1965=11660; %let xwtx1965=23400; %let vet1965=4825; %let ftx1965=51068;</v>
      </c>
    </row>
    <row r="11" spans="1:44" x14ac:dyDescent="0.3">
      <c r="A11" s="879" t="str">
        <f>CONCATENATE("%let FracPenNew",'C12-CorpOwn'!A11,"=",ROUND('C12-CorpOwn'!S11,3),"; %let FracNPGv",'C12-CorpOwn'!A11,"=",ROUND('C12-CorpOwn'!T11,3),"; %let Fcp",'C13-CapOwn'!A11,"=",ROUND('C13-CapOwn'!L11,3),"; %let Fdt",'C13-CapOwn'!A11,"=",ROUND('C13-CapOwn'!M11,3),"; %let Frt",'C13-CapOwn'!A11,"=",ROUND('C13-CapOwn'!N11,3),"; %let aFcp",'C13-CapOwn'!A11,"=",ROUND('C13-CapOwn'!Q11,3),"; %let aFdt",'C13-CapOwn'!A11,"=",ROUND('C13-CapOwn'!R11,3),"; %let aFrt",'C13-CapOwn'!A11,"=",ROUND('C13-CapOwn'!S11,3),"; %let aFps",'C13-CapOwn'!A11,"=", ROUND('C13-CapOwn'!T11,3),";")</f>
        <v>%let FracPenNew1966=0.07; %let FracNPGv1966=0.054; %let Fcp1966=0.537; %let Fdt1966=0.122; %let Frt1966=0.283; %let aFcp1966=0.392; %let aFdt1966=0.089; %let aFrt1966=0.206; %let aFps1966=0.27;</v>
      </c>
      <c r="I11" s="879" t="str">
        <f>CONCATENATE("%let totcorpNIPA",A186,"=",'C10-Adj by Source'!S12,"; %let totctaxNIPA",A186,"=",'C10-Adj by Source'!AC12,"; %let ntint",A186,"=",ROUND('C10-Adj by Source'!D12,0),"; %let esi",A186,"=",ROUND('C10-Adj by Source'!BA12,0),"; %let bpr",A186,"=",ROUND('C10-Adj by Source'!CO12,0),"; %let othtx",A186,"=",ROUND(0,0),"; %let sitx",A186,"=",ROUND('C10-Adj by Source'!CH12-'C22-Fiduciary'!AC11,0),"; %let otx",A186,"=",ROUND('C10-Adj by Source'!BF12,0),"; %let subtr",A186,"=",ROUND('C10-Adj by Source'!BG12,0),"; %let npgv",A186,"=",ROUND('C10-Adj by Source'!BH12,0),"; %let fed",A186,"=",ROUND('C10-Adj by Source'!BI12,0),"; %let retadj",A186,"=",ROUND('C10-Adj by Source'!BD12,0),"; %let mid",A186,"=",ROUND('T-T1'!DK15,0),";")</f>
        <v>%let totcorpNIPA1966=41571; %let totctaxNIPA1966=32232; %let ntint1966=2237; %let esi1966=11391; %let bpr1966=11968; %let othtx1966=0; %let sitx1966=5097; %let otx1966=38676; %let subtr1966=-557; %let npgv1966=2188; %let fed1966=1649; %let retadj1966=17345; %let mid1966=12150;</v>
      </c>
      <c r="T11" s="575" t="str">
        <f>CONCATENATE("%let xewtx",'C10-Adj by Source'!A12,"=",ROUND('C10-Adj by Source'!AY12-'C10-Adj by Source'!AX12,3),"; %let comb",'C10-Adj by Source'!A12,"=",'C10-Adj by Source'!G12,"; %let depi",'C10-Adj by Source'!A12,"=",ROUND('C10-Adj by Source'!DC12,2),"; %let ss",'C10-Adj by Source'!A12,"=",'C10-Adj by Source'!BL12,"; %let ui",'C10-Adj by Source'!A12,"=",'C10-Adj by Source'!BP12,"; %let xss",'C10-Adj by Source'!A12,"=",ROUND('C10-Adj by Source'!BL12-'C10-Adj by Source'!BM12,3),"; %let xui",'C10-Adj by Source'!A12,"=",ROUND('C10-Adj by Source'!BP12-'C10-Adj by Source'!BR12,3),"; %let cash",'C10-Adj by Source'!A12,"=",ROUND('C10-Adj by Source'!BT12,0),"; %let mc",'C10-Adj by Source'!A12,"=",ROUND('T-T2'!AE15,0),"; %let ncash",'C10-Adj by Source'!A12,"=",ROUND('C10-Adj by Source'!BZ12,0),"; %let xfitx",'C10-Adj by Source'!A12,"=",ROUND('C10-Adj by Source'!CC12-'C10-Adj by Source'!CD12-B186,3),"; %let xsitx",'C10-Adj by Source'!A12,"=",ROUND('C10-Adj by Source'!CH12-'C10-Adj by Source'!CI12-C186,3),"; %let xiptx",'C10-Adj by Source'!A12,"=",ROUND('C10-Adj by Source'!CM12-'C10-Adj by Source'!CN12,3),"; %let xwtx",'C10-Adj by Source'!A12,"=",ROUND('C10-Adj by Source'!CR12-'C10-Adj by Source'!CS12,3), "; %let vet",'C10-Adj by Source'!A12,"=",ROUND('C10-Adj by Source'!BS12,3),"; %let ftx",'C10-Adj by Source'!A12,"=",ROUND('C10-Adj by Source'!CC12,3),";")</f>
        <v>%let xewtx1966=610.425; %let comb1966=0; %let depi1966=13837.84; %let ss1966=20988; %let ui1966=1913; %let xss1966=20988; %let xui1966=1913; %let cash1966=4837; %let mc1966=1008; %let ncash1966=3960; %let xfitx1966=3912.046; %let xsitx1966=1047.126; %let xiptx1966=5230.601; %let xwtx1966=1522.803; %let vet1966=4798; %let ftx1966=58602;</v>
      </c>
    </row>
    <row r="12" spans="1:44" x14ac:dyDescent="0.3">
      <c r="A12" s="879" t="str">
        <f>CONCATENATE("%let FracPenNew",'C12-CorpOwn'!A12,"=",ROUND('C12-CorpOwn'!S12,3),"; %let FracNPGv",'C12-CorpOwn'!A12,"=",ROUND('C12-CorpOwn'!T12,3),"; %let Fcp",'C13-CapOwn'!A12,"=",ROUND('C13-CapOwn'!L12,3),"; %let Fdt",'C13-CapOwn'!A12,"=",ROUND('C13-CapOwn'!M12,3),"; %let Frt",'C13-CapOwn'!A12,"=",ROUND('C13-CapOwn'!N12,3),"; %let aFcp",'C13-CapOwn'!A12,"=",ROUND('C13-CapOwn'!Q12,3),"; %let aFdt",'C13-CapOwn'!A12,"=",ROUND('C13-CapOwn'!R12,3),"; %let aFrt",'C13-CapOwn'!A12,"=",ROUND('C13-CapOwn'!S12,3),"; %let aFps",'C13-CapOwn'!A12,"=", ROUND('C13-CapOwn'!T12,3),";")</f>
        <v>%let FracPenNew1967=0.072; %let FracNPGv1967=0.054; %let Fcp1967=0.571; %let Fdt1967=0.106; %let Frt1967=0.265; %let aFcp1967=0.429; %let aFdt1967=0.08; %let aFrt1967=0.199; %let aFps1967=0.249;</v>
      </c>
      <c r="I12" s="879" t="str">
        <f>CONCATENATE("%let totcorpNIPA",A187,"=",'C10-Adj by Source'!S13,"; %let totctaxNIPA",A187,"=",'C10-Adj by Source'!AC13,"; %let ntint",A187,"=",ROUND('C10-Adj by Source'!D13,0),"; %let esi",A187,"=",ROUND('C10-Adj by Source'!BA13,0),"; %let bpr",A187,"=",ROUND('C10-Adj by Source'!CO13,0),"; %let othtx",A187,"=",ROUND(0,0),"; %let sitx",A187,"=",ROUND('C10-Adj by Source'!CH13-'C22-Fiduciary'!AC12,0),"; %let otx",A187,"=",ROUND('C10-Adj by Source'!BF13,0),"; %let subtr",A187,"=",ROUND('C10-Adj by Source'!BG13,0),"; %let npgv",A187,"=",ROUND('C10-Adj by Source'!BH13,0),"; %let fed",A187,"=",ROUND('C10-Adj by Source'!BI13,0),"; %let retadj",A187,"=",ROUND('C10-Adj by Source'!BD13,0),"; %let mid",A187,"=",ROUND('T-T1'!DK16,0),";")</f>
        <v>%let totcorpNIPA1967=39457; %let totctaxNIPA1967=30992; %let ntint1967=2438; %let esi1967=12466; %let bpr1967=12911; %let othtx1967=0; %let sitx1967=6112; %let otx1967=40973; %let subtr1967=-183; %let npgv1967=2240; %let fed1967=1907; %let retadj1967=18958; %let mid1967=12862;</v>
      </c>
      <c r="T12" s="575" t="str">
        <f>CONCATENATE("%let xewtx",'C10-Adj by Source'!A13,"=",ROUND('C10-Adj by Source'!AY13-'C10-Adj by Source'!AX13,3),"; %let comb",'C10-Adj by Source'!A13,"=",'C10-Adj by Source'!G13,"; %let depi",'C10-Adj by Source'!A13,"=",ROUND('C10-Adj by Source'!DC13,2),"; %let ss",'C10-Adj by Source'!A13,"=",'C10-Adj by Source'!BL13,"; %let ui",'C10-Adj by Source'!A13,"=",'C10-Adj by Source'!BP13,"; %let xss",'C10-Adj by Source'!A13,"=",ROUND('C10-Adj by Source'!BL13-'C10-Adj by Source'!BM13,3),"; %let xui",'C10-Adj by Source'!A13,"=",ROUND('C10-Adj by Source'!BP13-'C10-Adj by Source'!BR13,3),"; %let cash",'C10-Adj by Source'!A13,"=",ROUND('C10-Adj by Source'!BT13,0),"; %let mc",'C10-Adj by Source'!A13,"=",ROUND('T-T2'!AE16,0),"; %let ncash",'C10-Adj by Source'!A13,"=",ROUND('C10-Adj by Source'!BZ13,0),"; %let xfitx",'C10-Adj by Source'!A13,"=",ROUND('C10-Adj by Source'!CC13-'C10-Adj by Source'!CD13-B187,3),"; %let xsitx",'C10-Adj by Source'!A13,"=",ROUND('C10-Adj by Source'!CH13-'C10-Adj by Source'!CI13-C187,3),"; %let xiptx",'C10-Adj by Source'!A13,"=",ROUND('C10-Adj by Source'!CM13-'C10-Adj by Source'!CN13,3),"; %let xwtx",'C10-Adj by Source'!A13,"=",ROUND('C10-Adj by Source'!CR13-'C10-Adj by Source'!CS13,3), "; %let vet",'C10-Adj by Source'!A13,"=",ROUND('C10-Adj by Source'!BS13,3),"; %let ftx",'C10-Adj by Source'!A13,"=",ROUND('C10-Adj by Source'!CC13,3),";")</f>
        <v>%let xewtx1967=490.989; %let comb1967=0; %let depi1967=13963.67; %let ss1967=22430; %let ui1967=2237; %let xss1967=22430; %let xui1967=2237; %let cash1967=5463; %let mc1967=4699; %let ncash1967=5411; %let xfitx1967=3149.723; %let xsitx1967=6112; %let xiptx1967=6663.646; %let xwtx1967=2335.439; %let vet1967=5512; %let ftx1967=64386;</v>
      </c>
      <c r="AP12" s="575"/>
      <c r="AQ12" s="575"/>
      <c r="AR12" s="575"/>
    </row>
    <row r="13" spans="1:44" x14ac:dyDescent="0.3">
      <c r="A13" s="879" t="str">
        <f>CONCATENATE("%let FracPenNew",'C12-CorpOwn'!A13,"=",ROUND('C12-CorpOwn'!S13,3),"; %let FracNPGv",'C12-CorpOwn'!A13,"=",ROUND('C12-CorpOwn'!T13,3),"; %let Fcp",'C13-CapOwn'!A13,"=",ROUND('C13-CapOwn'!L13,3),"; %let Fdt",'C13-CapOwn'!A13,"=",ROUND('C13-CapOwn'!M13,3),"; %let Frt",'C13-CapOwn'!A13,"=",ROUND('C13-CapOwn'!N13,3),"; %let aFcp",'C13-CapOwn'!A13,"=",ROUND('C13-CapOwn'!Q13,3),"; %let aFdt",'C13-CapOwn'!A13,"=",ROUND('C13-CapOwn'!R13,3),"; %let aFrt",'C13-CapOwn'!A13,"=",ROUND('C13-CapOwn'!S13,3),"; %let aFps",'C13-CapOwn'!A13,"=", ROUND('C13-CapOwn'!T13,3),";")</f>
        <v>%let FracPenNew1968=0.074; %let FracNPGv1968=0.054; %let Fcp1968=0.595; %let Fdt1968=0.096; %let Frt1968=0.251; %let aFcp1968=0.455; %let aFdt1968=0.073; %let aFrt1968=0.192; %let aFps1968=0.236;</v>
      </c>
      <c r="I13" s="879" t="str">
        <f>CONCATENATE("%let totcorpNIPA",A188,"=",'C10-Adj by Source'!S14,"; %let totctaxNIPA",A188,"=",'C10-Adj by Source'!AC14,"; %let ntint",A188,"=",ROUND('C10-Adj by Source'!D14,0),"; %let esi",A188,"=",ROUND('C10-Adj by Source'!BA14,0),"; %let bpr",A188,"=",ROUND('C10-Adj by Source'!CO14,0),"; %let othtx",A188,"=",ROUND(0,0),"; %let sitx",A188,"=",ROUND('C10-Adj by Source'!CH14-'C22-Fiduciary'!AC13,0),"; %let otx",A188,"=",ROUND('C10-Adj by Source'!BF14,0),"; %let subtr",A188,"=",ROUND('C10-Adj by Source'!BG14,0),"; %let npgv",A188,"=",ROUND('C10-Adj by Source'!BH14,0),"; %let fed",A188,"=",ROUND('C10-Adj by Source'!BI14,0),"; %let retadj",A188,"=",ROUND('C10-Adj by Source'!BD14,0),"; %let mid",A188,"=",ROUND('T-T1'!DK17,0),";")</f>
        <v>%let totcorpNIPA1968=38584; %let totctaxNIPA1968=37164; %let ntint1968=2735; %let esi1968=14815; %let bpr1968=14058; %let othtx1968=0; %let sitx1968=7841; %let otx1968=46511; %let subtr1968=9; %let npgv1968=2555; %let fed1968=2464; %let retadj1968=18660; %let mid1968=13949;</v>
      </c>
      <c r="T13" s="575" t="str">
        <f>CONCATENATE("%let xewtx",'C10-Adj by Source'!A14,"=",ROUND('C10-Adj by Source'!AY14-'C10-Adj by Source'!AX14,3),"; %let comb",'C10-Adj by Source'!A14,"=",'C10-Adj by Source'!G14,"; %let depi",'C10-Adj by Source'!A14,"=",ROUND('C10-Adj by Source'!DC14,2),"; %let ss",'C10-Adj by Source'!A14,"=",'C10-Adj by Source'!BL14,"; %let ui",'C10-Adj by Source'!A14,"=",'C10-Adj by Source'!BP14,"; %let xss",'C10-Adj by Source'!A14,"=",ROUND('C10-Adj by Source'!BL14-'C10-Adj by Source'!BM14,3),"; %let xui",'C10-Adj by Source'!A14,"=",ROUND('C10-Adj by Source'!BP14-'C10-Adj by Source'!BR14,3),"; %let cash",'C10-Adj by Source'!A14,"=",ROUND('C10-Adj by Source'!BT14,0),"; %let mc",'C10-Adj by Source'!A14,"=",ROUND('T-T2'!AE17,0),"; %let ncash",'C10-Adj by Source'!A14,"=",ROUND('C10-Adj by Source'!BZ14,0),"; %let xfitx",'C10-Adj by Source'!A14,"=",ROUND('C10-Adj by Source'!CC14-'C10-Adj by Source'!CD14-B188,3),"; %let xsitx",'C10-Adj by Source'!A14,"=",ROUND('C10-Adj by Source'!CH14-'C10-Adj by Source'!CI14-C188,3),"; %let xiptx",'C10-Adj by Source'!A14,"=",ROUND('C10-Adj by Source'!CM14-'C10-Adj by Source'!CN14,3),"; %let xwtx",'C10-Adj by Source'!A14,"=",ROUND('C10-Adj by Source'!CR14-'C10-Adj by Source'!CS14,3), "; %let vet",'C10-Adj by Source'!A14,"=",ROUND('C10-Adj by Source'!BS14,3),"; %let ftx",'C10-Adj by Source'!A14,"=",ROUND('C10-Adj by Source'!CC14,3),";")</f>
        <v>%let xewtx1968=419.242; %let comb1968=0; %let depi1968=15579.66; %let ss1968=26069; %let ui1968=2207; %let xss1968=26069; %let xui1968=2207; %let cash1968=6158; %let mc1968=5890; %let ncash1968=7178; %let xfitx1968=1381.537; %let xsitx1968=7841; %let xiptx1968=7599.223; %let xwtx1968=1930.78; %let vet1968=5804; %let ftx1968=76435;</v>
      </c>
      <c r="AP13" s="575"/>
      <c r="AQ13" s="575"/>
      <c r="AR13" s="575"/>
    </row>
    <row r="14" spans="1:44" x14ac:dyDescent="0.3">
      <c r="A14" s="879" t="str">
        <f>CONCATENATE("%let FracPenNew",'C12-CorpOwn'!A14,"=",ROUND('C12-CorpOwn'!S14,3),"; %let FracNPGv",'C12-CorpOwn'!A14,"=",ROUND('C12-CorpOwn'!T14,3),"; %let Fcp",'C13-CapOwn'!A14,"=",ROUND('C13-CapOwn'!L14,3),"; %let Fdt",'C13-CapOwn'!A14,"=",ROUND('C13-CapOwn'!M14,3),"; %let Frt",'C13-CapOwn'!A14,"=",ROUND('C13-CapOwn'!N14,3),"; %let aFcp",'C13-CapOwn'!A14,"=",ROUND('C13-CapOwn'!Q14,3),"; %let aFdt",'C13-CapOwn'!A14,"=",ROUND('C13-CapOwn'!R14,3),"; %let aFrt",'C13-CapOwn'!A14,"=",ROUND('C13-CapOwn'!S14,3),"; %let aFps",'C13-CapOwn'!A14,"=", ROUND('C13-CapOwn'!T14,3),";")</f>
        <v>%let FracPenNew1969=0.09; %let FracNPGv1969=0.055; %let Fcp1969=0.525; %let Fdt1969=0.129; %let Frt1969=0.285; %let aFcp1969=0.387; %let aFdt1969=0.095; %let aFrt1969=0.211; %let aFps1969=0.262;</v>
      </c>
      <c r="I14" s="879" t="str">
        <f>CONCATENATE("%let totcorpNIPA",A189,"=",'C10-Adj by Source'!S15,"; %let totctaxNIPA",A189,"=",'C10-Adj by Source'!AC15,"; %let ntint",A189,"=",ROUND('C10-Adj by Source'!D15,0),"; %let esi",A189,"=",ROUND('C10-Adj by Source'!BA15,0),"; %let bpr",A189,"=",ROUND('C10-Adj by Source'!CO15,0),"; %let othtx",A189,"=",ROUND(0,0),"; %let sitx",A189,"=",ROUND('C10-Adj by Source'!CH15-'C22-Fiduciary'!AC14,0),"; %let otx",A189,"=",ROUND('C10-Adj by Source'!BF15,0),"; %let subtr",A189,"=",ROUND('C10-Adj by Source'!BG15,0),"; %let npgv",A189,"=",ROUND('C10-Adj by Source'!BH15,0),"; %let fed",A189,"=",ROUND('C10-Adj by Source'!BI15,0),"; %let retadj",A189,"=",ROUND('C10-Adj by Source'!BD15,0),"; %let mid",A189,"=",ROUND('T-T1'!DK18,0),";")</f>
        <v>%let totcorpNIPA1969=34200; %let totctaxNIPA1969=36958; %let ntint1969=3150; %let esi1969=16798; %let bpr1969=15117; %let othtx1969=0; %let sitx1969=9769; %let otx1969=51093; %let subtr1969=264; %let npgv1969=2555; %let fed1969=3019; %let retadj1969=21160; %let mid1969=15368;</v>
      </c>
      <c r="T14" s="575" t="str">
        <f>CONCATENATE("%let xewtx",'C10-Adj by Source'!A15,"=",ROUND('C10-Adj by Source'!AY15-'C10-Adj by Source'!AX15,3),"; %let comb",'C10-Adj by Source'!A15,"=",'C10-Adj by Source'!G15,"; %let depi",'C10-Adj by Source'!A15,"=",ROUND('C10-Adj by Source'!DC15,2),"; %let ss",'C10-Adj by Source'!A15,"=",'C10-Adj by Source'!BL15,"; %let ui",'C10-Adj by Source'!A15,"=",'C10-Adj by Source'!BP15,"; %let xss",'C10-Adj by Source'!A15,"=",ROUND('C10-Adj by Source'!BL15-'C10-Adj by Source'!BM15,3),"; %let xui",'C10-Adj by Source'!A15,"=",ROUND('C10-Adj by Source'!BP15-'C10-Adj by Source'!BR15,3),"; %let cash",'C10-Adj by Source'!A15,"=",ROUND('C10-Adj by Source'!BT15,0),"; %let mc",'C10-Adj by Source'!A15,"=",ROUND('T-T2'!AE18,0),"; %let ncash",'C10-Adj by Source'!A15,"=",ROUND('C10-Adj by Source'!BZ15,0),"; %let xfitx",'C10-Adj by Source'!A15,"=",ROUND('C10-Adj by Source'!CC15-'C10-Adj by Source'!CD15-B189,3),"; %let xsitx",'C10-Adj by Source'!A15,"=",ROUND('C10-Adj by Source'!CH15-'C10-Adj by Source'!CI15-C189,3),"; %let xiptx",'C10-Adj by Source'!A15,"=",ROUND('C10-Adj by Source'!CM15-'C10-Adj by Source'!CN15,3),"; %let xwtx",'C10-Adj by Source'!A15,"=",ROUND('C10-Adj by Source'!CR15-'C10-Adj by Source'!CS15,3), "; %let vet",'C10-Adj by Source'!A15,"=",ROUND('C10-Adj by Source'!BS15,3),"; %let ftx",'C10-Adj by Source'!A15,"=",ROUND('C10-Adj by Source'!CC15,3),";")</f>
        <v>%let xewtx1969=476.211; %let comb1969=0; %let depi1969=16532.91; %let ss1969=27923; %let ui1969=2327; %let xss1969=27923; %let xui1969=2327; %let cash1969=7179; %let mc1969=6695; %let ncash1969=8312; %let xfitx1969=7367.548; %let xsitx1969=9769; %let xiptx1969=8482.948; %let xwtx1969=1722.34; %let vet1969=6537; %let ftx1969=91700;</v>
      </c>
      <c r="AP14" s="575"/>
      <c r="AQ14" s="575"/>
      <c r="AR14" s="575"/>
    </row>
    <row r="15" spans="1:44" x14ac:dyDescent="0.3">
      <c r="A15" s="879" t="str">
        <f>CONCATENATE("%let FracPenNew",'C12-CorpOwn'!A15,"=",ROUND('C12-CorpOwn'!S15,3),"; %let FracNPGv",'C12-CorpOwn'!A15,"=",ROUND('C12-CorpOwn'!T15,3),"; %let Fcp",'C13-CapOwn'!A15,"=",ROUND('C13-CapOwn'!L15,3),"; %let Fdt",'C13-CapOwn'!A15,"=",ROUND('C13-CapOwn'!M15,3),"; %let Frt",'C13-CapOwn'!A15,"=",ROUND('C13-CapOwn'!N15,3),"; %let aFcp",'C13-CapOwn'!A15,"=",ROUND('C13-CapOwn'!Q15,3),"; %let aFdt",'C13-CapOwn'!A15,"=",ROUND('C13-CapOwn'!R15,3),"; %let aFrt",'C13-CapOwn'!A15,"=",ROUND('C13-CapOwn'!S15,3),"; %let aFps",'C13-CapOwn'!A15,"=", ROUND('C13-CapOwn'!T15,3),";")</f>
        <v>%let FracPenNew1970=0.103; %let FracNPGv1970=0.055; %let Fcp1970=0.505; %let Fdt1970=0.129; %let Frt1970=0.306; %let aFcp1970=0.369; %let aFdt1970=0.094; %let aFrt1970=0.224; %let aFps1970=0.269;</v>
      </c>
      <c r="I15" s="879" t="str">
        <f>CONCATENATE("%let totcorpNIPA",A190,"=",'C10-Adj by Source'!S16,"; %let totctaxNIPA",A190,"=",'C10-Adj by Source'!AC16,"; %let ntint",A190,"=",ROUND('C10-Adj by Source'!D16,0),"; %let esi",A190,"=",ROUND('C10-Adj by Source'!BA16,0),"; %let bpr",A190,"=",ROUND('C10-Adj by Source'!CO16,0),"; %let othtx",A190,"=",ROUND(0,0),"; %let sitx",A190,"=",ROUND('C10-Adj by Source'!CH16-'C22-Fiduciary'!AC15,0),"; %let otx",A190,"=",ROUND('C10-Adj by Source'!BF16,0),"; %let subtr",A190,"=",ROUND('C10-Adj by Source'!BG16,0),"; %let npgv",A190,"=",ROUND('C10-Adj by Source'!BH16,0),"; %let fed",A190,"=",ROUND('C10-Adj by Source'!BI16,0),"; %let retadj",A190,"=",ROUND('C10-Adj by Source'!BD16,0),"; %let mid",A190,"=",ROUND('T-T1'!DK19,0),";")</f>
        <v>%let totcorpNIPA1970=27180; %let totctaxNIPA1970=31263; %let ntint1970=3650; %let esi1970=19481; %let bpr1970=16606; %let othtx1970=0; %let sitx1970=10903; %let otx1970=54739; %let subtr1970=-420; %let npgv1970=1659; %let fed1970=3494; %let retadj1970=21902; %let mid1970=16727;</v>
      </c>
      <c r="T15" s="575" t="str">
        <f>CONCATENATE("%let xewtx",'C10-Adj by Source'!A16,"=",ROUND('C10-Adj by Source'!AY16-'C10-Adj by Source'!AX16,3),"; %let comb",'C10-Adj by Source'!A16,"=",'C10-Adj by Source'!G16,"; %let depi",'C10-Adj by Source'!A16,"=",ROUND('C10-Adj by Source'!DC16,2),"; %let ss",'C10-Adj by Source'!A16,"=",'C10-Adj by Source'!BL16,"; %let ui",'C10-Adj by Source'!A16,"=",'C10-Adj by Source'!BP16,"; %let xss",'C10-Adj by Source'!A16,"=",ROUND('C10-Adj by Source'!BL16-'C10-Adj by Source'!BM16,3),"; %let xui",'C10-Adj by Source'!A16,"=",ROUND('C10-Adj by Source'!BP16-'C10-Adj by Source'!BR16,3),"; %let cash",'C10-Adj by Source'!A16,"=",ROUND('C10-Adj by Source'!BT16,0),"; %let mc",'C10-Adj by Source'!A16,"=",ROUND('T-T2'!AE19,0),"; %let ncash",'C10-Adj by Source'!A16,"=",ROUND('C10-Adj by Source'!BZ16,0),"; %let xfitx",'C10-Adj by Source'!A16,"=",ROUND('C10-Adj by Source'!CC16-'C10-Adj by Source'!CD16-B190,3),"; %let xsitx",'C10-Adj by Source'!A16,"=",ROUND('C10-Adj by Source'!CH16-'C10-Adj by Source'!CI16-C190,3),"; %let xiptx",'C10-Adj by Source'!A16,"=",ROUND('C10-Adj by Source'!CM16-'C10-Adj by Source'!CN16,3),"; %let xwtx",'C10-Adj by Source'!A16,"=",ROUND('C10-Adj by Source'!CR16-'C10-Adj by Source'!CS16,3), "; %let vet",'C10-Adj by Source'!A16,"=",ROUND('C10-Adj by Source'!BS16,3),"; %let ftx",'C10-Adj by Source'!A16,"=",ROUND('C10-Adj by Source'!CC16,3),";")</f>
        <v>%let xewtx1970=531.563; %let comb1970=0; %let depi1970=16903.78; %let ss1970=33125; %let ui1970=4186; %let xss1970=33125; %let xui1970=4186; %let cash1970=8874; %let mc1970=7254; %let ncash1970=10923; %let xfitx1970=5169.605; %let xsitx1970=10903; %let xiptx1970=9666.72; %let xwtx1970=2288.932; %let vet1970=7375; %let ftx1970=88853;</v>
      </c>
      <c r="AP15" s="575"/>
      <c r="AQ15" s="575"/>
      <c r="AR15" s="575"/>
    </row>
    <row r="16" spans="1:44" x14ac:dyDescent="0.3">
      <c r="A16" s="879" t="str">
        <f>CONCATENATE("%let FracPenNew",'C12-CorpOwn'!A16,"=",ROUND('C12-CorpOwn'!S16,3),"; %let FracNPGv",'C12-CorpOwn'!A16,"=",ROUND('C12-CorpOwn'!T16,3),"; %let Fcp",'C13-CapOwn'!A16,"=",ROUND('C13-CapOwn'!L16,3),"; %let Fdt",'C13-CapOwn'!A16,"=",ROUND('C13-CapOwn'!M16,3),"; %let Frt",'C13-CapOwn'!A16,"=",ROUND('C13-CapOwn'!N16,3),"; %let aFcp",'C13-CapOwn'!A16,"=",ROUND('C13-CapOwn'!Q16,3),"; %let aFdt",'C13-CapOwn'!A16,"=",ROUND('C13-CapOwn'!R16,3),"; %let aFrt",'C13-CapOwn'!A16,"=",ROUND('C13-CapOwn'!S16,3),"; %let aFps",'C13-CapOwn'!A16,"=", ROUND('C13-CapOwn'!T16,3),";")</f>
        <v>%let FracPenNew1971=0.119; %let FracNPGv1971=0.055; %let Fcp1971=0.521; %let Fdt1971=0.112; %let Frt1971=0.308; %let aFcp1971=0.382; %let aFdt1971=0.082; %let aFrt1971=0.226; %let aFps1971=0.267;</v>
      </c>
      <c r="I16" s="879" t="str">
        <f>CONCATENATE("%let totcorpNIPA",A191,"=",'C10-Adj by Source'!S17,"; %let totctaxNIPA",A191,"=",'C10-Adj by Source'!AC17,"; %let ntint",A191,"=",ROUND('C10-Adj by Source'!D17,0),"; %let esi",A191,"=",ROUND('C10-Adj by Source'!BA17,0),"; %let bpr",A191,"=",ROUND('C10-Adj by Source'!CO17,0),"; %let othtx",A191,"=",ROUND(0,0),"; %let sitx",A191,"=",ROUND('C10-Adj by Source'!CH17-'C22-Fiduciary'!AC16,0),"; %let otx",A191,"=",ROUND('C10-Adj by Source'!BF17,0),"; %let subtr",A191,"=",ROUND('C10-Adj by Source'!BG17,0),"; %let npgv",A191,"=",ROUND('C10-Adj by Source'!BH17,0),"; %let fed",A191,"=",ROUND('C10-Adj by Source'!BI17,0),"; %let retadj",A191,"=",ROUND('C10-Adj by Source'!BD17,0),"; %let mid",A191,"=",ROUND('T-T1'!DK20,0),";")</f>
        <v>%let totcorpNIPA1971=37455; %let totctaxNIPA1971=34808; %let ntint1971=4254; %let esi1971=21385; %let bpr1971=18369; %let othtx1971=0; %let sitx1971=12440; %let otx1971=60048; %let subtr1971=-518; %let npgv1971=1571; %let fed1971=3357; %let retadj1971=24320; %let mid1971=18844;</v>
      </c>
      <c r="T16" s="575" t="str">
        <f>CONCATENATE("%let xewtx",'C10-Adj by Source'!A17,"=",ROUND('C10-Adj by Source'!AY17-'C10-Adj by Source'!AX17,3),"; %let comb",'C10-Adj by Source'!A17,"=",'C10-Adj by Source'!G17,"; %let depi",'C10-Adj by Source'!A17,"=",ROUND('C10-Adj by Source'!DC17,2),"; %let ss",'C10-Adj by Source'!A17,"=",'C10-Adj by Source'!BL17,"; %let ui",'C10-Adj by Source'!A17,"=",'C10-Adj by Source'!BP17,"; %let xss",'C10-Adj by Source'!A17,"=",ROUND('C10-Adj by Source'!BL17-'C10-Adj by Source'!BM17,3),"; %let xui",'C10-Adj by Source'!A17,"=",ROUND('C10-Adj by Source'!BP17-'C10-Adj by Source'!BR17,3),"; %let cash",'C10-Adj by Source'!A17,"=",ROUND('C10-Adj by Source'!BT17,0),"; %let mc",'C10-Adj by Source'!A17,"=",ROUND('T-T2'!AE20,0),"; %let ncash",'C10-Adj by Source'!A17,"=",ROUND('C10-Adj by Source'!BZ17,0),"; %let xfitx",'C10-Adj by Source'!A17,"=",ROUND('C10-Adj by Source'!CC17-'C10-Adj by Source'!CD17-B191,3),"; %let xsitx",'C10-Adj by Source'!A17,"=",ROUND('C10-Adj by Source'!CH17-'C10-Adj by Source'!CI17-C191,3),"; %let xiptx",'C10-Adj by Source'!A17,"=",ROUND('C10-Adj by Source'!CM17-'C10-Adj by Source'!CN17,3),"; %let xwtx",'C10-Adj by Source'!A17,"=",ROUND('C10-Adj by Source'!CR17-'C10-Adj by Source'!CS17,3), "; %let vet",'C10-Adj by Source'!A17,"=",ROUND('C10-Adj by Source'!BS17,3),"; %let ftx",'C10-Adj by Source'!A17,"=",ROUND('C10-Adj by Source'!CC17,3),";")</f>
        <v>%let xewtx1971=424.568; %let comb1971=0; %let depi1971=17758.1; %let ss1971=38612; %let ui1971=6160; %let xss1971=38612; %let xui1971=6160; %let cash1971=10528; %let mc1971=8049; %let ncash1971=13726; %let xfitx1971=716.803; %let xsitx1971=12440; %let xiptx1971=10418.428; %let xwtx1971=1317.29; %let vet1971=8337; %let ftx1971=85803;</v>
      </c>
      <c r="AP16" s="575"/>
      <c r="AQ16" s="575"/>
      <c r="AR16" s="575"/>
    </row>
    <row r="17" spans="1:44" x14ac:dyDescent="0.3">
      <c r="A17" s="879" t="str">
        <f>CONCATENATE("%let FracPenNew",'C12-CorpOwn'!A17,"=",ROUND('C12-CorpOwn'!S17,3),"; %let FracNPGv",'C12-CorpOwn'!A17,"=",ROUND('C12-CorpOwn'!T17,3),"; %let Fcp",'C13-CapOwn'!A17,"=",ROUND('C13-CapOwn'!L17,3),"; %let Fdt",'C13-CapOwn'!A17,"=",ROUND('C13-CapOwn'!M17,3),"; %let Frt",'C13-CapOwn'!A17,"=",ROUND('C13-CapOwn'!N17,3),"; %let aFcp",'C13-CapOwn'!A17,"=",ROUND('C13-CapOwn'!Q17,3),"; %let aFdt",'C13-CapOwn'!A17,"=",ROUND('C13-CapOwn'!R17,3),"; %let aFrt",'C13-CapOwn'!A17,"=",ROUND('C13-CapOwn'!S17,3),"; %let aFps",'C13-CapOwn'!A17,"=", ROUND('C13-CapOwn'!T17,3),";")</f>
        <v>%let FracPenNew1972=0.121; %let FracNPGv1972=0.055; %let Fcp1972=0.548; %let Fdt1972=0.093; %let Frt1972=0.302; %let aFcp1972=0.406; %let aFdt1972=0.069; %let aFrt1972=0.224; %let aFps1972=0.258;</v>
      </c>
      <c r="I17" s="879" t="str">
        <f>CONCATENATE("%let totcorpNIPA",A192,"=",'C10-Adj by Source'!S18,"; %let totctaxNIPA",A192,"=",'C10-Adj by Source'!AC18,"; %let ntint",A192,"=",ROUND('C10-Adj by Source'!D18,0),"; %let esi",A192,"=",ROUND('C10-Adj by Source'!BA18,0),"; %let bpr",A192,"=",ROUND('C10-Adj by Source'!CO18,0),"; %let othtx",A192,"=",ROUND(0,0),"; %let sitx",A192,"=",ROUND('C10-Adj by Source'!CH18-'C22-Fiduciary'!AC17,0),"; %let otx",A192,"=",ROUND('C10-Adj by Source'!BF18,0),"; %let subtr",A192,"=",ROUND('C10-Adj by Source'!BG18,0),"; %let npgv",A192,"=",ROUND('C10-Adj by Source'!BH18,0),"; %let fed",A192,"=",ROUND('C10-Adj by Source'!BI18,0),"; %let retadj",A192,"=",ROUND('C10-Adj by Source'!BD18,0),"; %let mid",A192,"=",ROUND('T-T1'!DK21,0),";")</f>
        <v>%let totcorpNIPA1972=48035; %let totctaxNIPA1972=39110; %let ntint1972=4897; %let esi1972=24481; %let bpr1972=19447; %let othtx1972=0; %let sitx1972=16699; %let otx1972=64701; %let subtr1972=-1857; %let npgv1972=2312; %let fed1972=3231; %let retadj1972=27428; %let mid1972=21747;</v>
      </c>
      <c r="T17" s="575" t="str">
        <f>CONCATENATE("%let xewtx",'C10-Adj by Source'!A18,"=",ROUND('C10-Adj by Source'!AY18-'C10-Adj by Source'!AX18,3),"; %let comb",'C10-Adj by Source'!A18,"=",'C10-Adj by Source'!G18,"; %let depi",'C10-Adj by Source'!A18,"=",ROUND('C10-Adj by Source'!DC18,2),"; %let ss",'C10-Adj by Source'!A18,"=",'C10-Adj by Source'!BL18,"; %let ui",'C10-Adj by Source'!A18,"=",'C10-Adj by Source'!BP18,"; %let xss",'C10-Adj by Source'!A18,"=",ROUND('C10-Adj by Source'!BL18-'C10-Adj by Source'!BM18,3),"; %let xui",'C10-Adj by Source'!A18,"=",ROUND('C10-Adj by Source'!BP18-'C10-Adj by Source'!BR18,3),"; %let cash",'C10-Adj by Source'!A18,"=",ROUND('C10-Adj by Source'!BT18,0),"; %let mc",'C10-Adj by Source'!A18,"=",ROUND('T-T2'!AE21,0),"; %let ncash",'C10-Adj by Source'!A18,"=",ROUND('C10-Adj by Source'!BZ18,0),"; %let xfitx",'C10-Adj by Source'!A18,"=",ROUND('C10-Adj by Source'!CC18-'C10-Adj by Source'!CD18-B192,3),"; %let xsitx",'C10-Adj by Source'!A18,"=",ROUND('C10-Adj by Source'!CH18-'C10-Adj by Source'!CI18-C192,3),"; %let xiptx",'C10-Adj by Source'!A18,"=",ROUND('C10-Adj by Source'!CM18-'C10-Adj by Source'!CN18,3),"; %let xwtx",'C10-Adj by Source'!A18,"=",ROUND('C10-Adj by Source'!CR18-'C10-Adj by Source'!CS18,3), "; %let vet",'C10-Adj by Source'!A18,"=",ROUND('C10-Adj by Source'!BS18,3),"; %let ftx",'C10-Adj by Source'!A18,"=",ROUND('C10-Adj by Source'!CC18,3),";")</f>
        <v>%let xewtx1972=613.107; %let comb1972=0; %let depi1972=18279.27; %let ss1972=43102; %let ui1972=6033; %let xss1972=43102; %let xui1972=6033; %let cash1972=11598; %let mc1972=8836; %let ncash1972=15935; %let xfitx1972=8530.362; %let xsitx1972=4312.031; %let xiptx1972=10616.642; %let xwtx1972=2347.316; %let vet1972=9304; %let ftx1972=102757;</v>
      </c>
    </row>
    <row r="18" spans="1:44" x14ac:dyDescent="0.3">
      <c r="A18" s="879" t="str">
        <f>CONCATENATE("%let FracPenNew",'C12-CorpOwn'!A18,"=",ROUND('C12-CorpOwn'!S18,3),"; %let FracNPGv",'C12-CorpOwn'!A18,"=",ROUND('C12-CorpOwn'!T18,3),"; %let Fcp",'C13-CapOwn'!A18,"=",ROUND('C13-CapOwn'!L18,3),"; %let Fdt",'C13-CapOwn'!A18,"=",ROUND('C13-CapOwn'!M18,3),"; %let Frt",'C13-CapOwn'!A18,"=",ROUND('C13-CapOwn'!N18,3),"; %let aFcp",'C13-CapOwn'!A18,"=",ROUND('C13-CapOwn'!Q18,3),"; %let aFdt",'C13-CapOwn'!A18,"=",ROUND('C13-CapOwn'!R18,3),"; %let aFrt",'C13-CapOwn'!A18,"=",ROUND('C13-CapOwn'!S18,3),"; %let aFps",'C13-CapOwn'!A18,"=", ROUND('C13-CapOwn'!T18,3),";")</f>
        <v>%let FracPenNew1973=0.139; %let FracNPGv1973=0.056; %let Fcp1973=0.464; %let Fdt1973=0.121; %let Frt1973=0.355; %let aFcp1973=0.319; %let aFdt1973=0.083; %let aFrt1973=0.245; %let aFps1973=0.312;</v>
      </c>
      <c r="I18" s="879" t="str">
        <f>CONCATENATE("%let totcorpNIPA",A193,"=",'C10-Adj by Source'!S19,"; %let totctaxNIPA",A193,"=",'C10-Adj by Source'!AC19,"; %let ntint",A193,"=",ROUND('C10-Adj by Source'!D19,0),"; %let esi",A193,"=",ROUND('C10-Adj by Source'!BA19,0),"; %let bpr",A193,"=",ROUND('C10-Adj by Source'!CO19,0),"; %let othtx",A193,"=",ROUND(0,0),"; %let sitx",A193,"=",ROUND('C10-Adj by Source'!CH19-'C22-Fiduciary'!AC18,0),"; %let otx",A193,"=",ROUND('C10-Adj by Source'!BF19,0),"; %let subtr",A193,"=",ROUND('C10-Adj by Source'!BG19,0),"; %let npgv",A193,"=",ROUND('C10-Adj by Source'!BH19,0),"; %let fed",A193,"=",ROUND('C10-Adj by Source'!BI19,0),"; %let retadj",A193,"=",ROUND('C10-Adj by Source'!BD19,0),"; %let mid",A193,"=",ROUND('T-T1'!DK22,0),";")</f>
        <v>%let totcorpNIPA1973=53510; %let totctaxNIPA1973=45632; %let ntint1973=5496; %let esi1973=27573; %let bpr1973=20565; %let othtx1973=0; %let sitx1973=18343; %let otx1973=70865; %let subtr1973=510; %let npgv1973=1862; %let fed1973=4341; %let retadj1973=24637; %let mid1973=25290;</v>
      </c>
      <c r="T18" s="575" t="str">
        <f>CONCATENATE("%let xewtx",'C10-Adj by Source'!A19,"=",ROUND('C10-Adj by Source'!AY19-'C10-Adj by Source'!AX19,3),"; %let comb",'C10-Adj by Source'!A19,"=",'C10-Adj by Source'!G19,"; %let depi",'C10-Adj by Source'!A19,"=",ROUND('C10-Adj by Source'!DC19,2),"; %let ss",'C10-Adj by Source'!A19,"=",'C10-Adj by Source'!BL19,"; %let ui",'C10-Adj by Source'!A19,"=",'C10-Adj by Source'!BP19,"; %let xss",'C10-Adj by Source'!A19,"=",ROUND('C10-Adj by Source'!BL19-'C10-Adj by Source'!BM19,3),"; %let xui",'C10-Adj by Source'!A19,"=",ROUND('C10-Adj by Source'!BP19-'C10-Adj by Source'!BR19,3),"; %let cash",'C10-Adj by Source'!A19,"=",ROUND('C10-Adj by Source'!BT19,0),"; %let mc",'C10-Adj by Source'!A19,"=",ROUND('T-T2'!AE22,0),"; %let ncash",'C10-Adj by Source'!A19,"=",ROUND('C10-Adj by Source'!BZ19,0),"; %let xfitx",'C10-Adj by Source'!A19,"=",ROUND('C10-Adj by Source'!CC19-'C10-Adj by Source'!CD19-B193,3),"; %let xsitx",'C10-Adj by Source'!A19,"=",ROUND('C10-Adj by Source'!CH19-'C10-Adj by Source'!CI19-C193,3),"; %let xiptx",'C10-Adj by Source'!A19,"=",ROUND('C10-Adj by Source'!CM19-'C10-Adj by Source'!CN19,3),"; %let xwtx",'C10-Adj by Source'!A19,"=",ROUND('C10-Adj by Source'!CR19-'C10-Adj by Source'!CS19,3), "; %let vet",'C10-Adj by Source'!A19,"=",ROUND('C10-Adj by Source'!BS19,3),"; %let ftx",'C10-Adj by Source'!A19,"=",ROUND('C10-Adj by Source'!CC19,3),";")</f>
        <v>%let xewtx1973=1087.451; %let comb1973=0; %let depi1973=16680.51; %let ss1973=53231; %let ui1973=4570; %let xss1973=53231; %let xui1973=4570; %let cash1973=12150; %let mc1973=10244; %let ncash1973=18332; %let xfitx1973=634.743; %let xsitx1973=4136.826; %let xiptx1973=12074.754; %let xwtx1973=1936.383; %let vet1973=10101; %let ftx1973=109581;</v>
      </c>
    </row>
    <row r="19" spans="1:44" x14ac:dyDescent="0.3">
      <c r="A19" s="879" t="str">
        <f>CONCATENATE("%let FracPenNew",'C12-CorpOwn'!A19,"=",ROUND('C12-CorpOwn'!S19,3),"; %let FracNPGv",'C12-CorpOwn'!A19,"=",ROUND('C12-CorpOwn'!T19,3),"; %let Fcp",'C13-CapOwn'!A19,"=",ROUND('C13-CapOwn'!L19,3),"; %let Fdt",'C13-CapOwn'!A19,"=",ROUND('C13-CapOwn'!M19,3),"; %let Frt",'C13-CapOwn'!A19,"=",ROUND('C13-CapOwn'!N19,3),"; %let aFcp",'C13-CapOwn'!A19,"=",ROUND('C13-CapOwn'!Q19,3),"; %let aFdt",'C13-CapOwn'!A19,"=",ROUND('C13-CapOwn'!R19,3),"; %let aFrt",'C13-CapOwn'!A19,"=",ROUND('C13-CapOwn'!S19,3),"; %let aFps",'C13-CapOwn'!A19,"=", ROUND('C13-CapOwn'!T19,3),";")</f>
        <v>%let FracPenNew1974=0.172; %let FracNPGv1974=0.058; %let Fcp1974=0.338; %let Fdt1974=0.17; %let Frt1974=0.428; %let aFcp1974=0.213; %let aFdt1974=0.107; %let aFrt1974=0.269; %let aFps1974=0.37;</v>
      </c>
      <c r="I19" s="879" t="str">
        <f>CONCATENATE("%let totcorpNIPA",A194,"=",'C10-Adj by Source'!S20,"; %let totctaxNIPA",A194,"=",'C10-Adj by Source'!AC20,"; %let ntint",A194,"=",ROUND('C10-Adj by Source'!D20,0),"; %let esi",A194,"=",ROUND('C10-Adj by Source'!BA20,0),"; %let bpr",A194,"=",ROUND('C10-Adj by Source'!CO20,0),"; %let othtx",A194,"=",ROUND(0,0),"; %let sitx",A194,"=",ROUND('C10-Adj by Source'!CH20-'C22-Fiduciary'!AC19,0),"; %let otx",A194,"=",ROUND('C10-Adj by Source'!BF20,0),"; %let subtr",A194,"=",ROUND('C10-Adj by Source'!BG20,0),"; %let npgv",A194,"=",ROUND('C10-Adj by Source'!BH20,0),"; %let fed",A194,"=",ROUND('C10-Adj by Source'!BI20,0),"; %let retadj",A194,"=",ROUND('C10-Adj by Source'!BD20,0),"; %let mid",A194,"=",ROUND('T-T1'!DK23,0),";")</f>
        <v>%let totcorpNIPA1974=39701; %let totctaxNIPA1974=47235; %let ntint1974=6253; %let esi1974=31627; %let bpr1974=21408; %let othtx1974=0; %let sitx1974=20351; %let otx1974=75922; %let subtr1974=3481; %let npgv1974=2251; %let fed1974=5550; %let retadj1974=24285; %let mid1974=29035;</v>
      </c>
      <c r="T19" s="575" t="str">
        <f>CONCATENATE("%let xewtx",'C10-Adj by Source'!A20,"=",ROUND('C10-Adj by Source'!AY20-'C10-Adj by Source'!AX20,3),"; %let comb",'C10-Adj by Source'!A20,"=",'C10-Adj by Source'!G20,"; %let depi",'C10-Adj by Source'!A20,"=",ROUND('C10-Adj by Source'!DC20,2),"; %let ss",'C10-Adj by Source'!A20,"=",'C10-Adj by Source'!BL20,"; %let ui",'C10-Adj by Source'!A20,"=",'C10-Adj by Source'!BP20,"; %let xss",'C10-Adj by Source'!A20,"=",ROUND('C10-Adj by Source'!BL20-'C10-Adj by Source'!BM20,3),"; %let xui",'C10-Adj by Source'!A20,"=",ROUND('C10-Adj by Source'!BP20-'C10-Adj by Source'!BR20,3),"; %let cash",'C10-Adj by Source'!A20,"=",ROUND('C10-Adj by Source'!BT20,0),"; %let mc",'C10-Adj by Source'!A20,"=",ROUND('T-T2'!AE23,0),"; %let ncash",'C10-Adj by Source'!A20,"=",ROUND('C10-Adj by Source'!BZ20,0),"; %let xfitx",'C10-Adj by Source'!A20,"=",ROUND('C10-Adj by Source'!CC20-'C10-Adj by Source'!CD20-B194,3),"; %let xsitx",'C10-Adj by Source'!A20,"=",ROUND('C10-Adj by Source'!CH20-'C10-Adj by Source'!CI20-C194,3),"; %let xiptx",'C10-Adj by Source'!A20,"=",ROUND('C10-Adj by Source'!CM20-'C10-Adj by Source'!CN20,3),"; %let xwtx",'C10-Adj by Source'!A20,"=",ROUND('C10-Adj by Source'!CR20-'C10-Adj by Source'!CS20,3), "; %let vet",'C10-Adj by Source'!A20,"=",ROUND('C10-Adj by Source'!BS20,3),"; %let ftx",'C10-Adj by Source'!A20,"=",ROUND('C10-Adj by Source'!CC20,3),";")</f>
        <v>%let xewtx1974=570.14; %let comb1974=0; %let depi1974=19962.09; %let ss1974=60404; %let ui1974=7021; %let xss1974=60404; %let xui1974=7021; %let cash1974=14916; %let mc1974=12726; %let ncash1974=22173; %let xfitx1974=1355.11; %let xsitx1974=20351; %let xiptx1974=11606.31; %let xwtx1974=483.97; %let vet1974=11316; %let ftx1974=126525;</v>
      </c>
      <c r="AQ19" s="575"/>
      <c r="AR19" s="575"/>
    </row>
    <row r="20" spans="1:44" x14ac:dyDescent="0.3">
      <c r="A20" s="879" t="str">
        <f>CONCATENATE("%let FracPenNew",'C12-CorpOwn'!A20,"=",ROUND('C12-CorpOwn'!S20,3),"; %let FracNPGv",'C12-CorpOwn'!A20,"=",ROUND('C12-CorpOwn'!T20,3),"; %let Fcp",'C13-CapOwn'!A20,"=",ROUND('C13-CapOwn'!L20,3),"; %let Fdt",'C13-CapOwn'!A20,"=",ROUND('C13-CapOwn'!M20,3),"; %let Frt",'C13-CapOwn'!A20,"=",ROUND('C13-CapOwn'!N20,3),"; %let aFcp",'C13-CapOwn'!A20,"=",ROUND('C13-CapOwn'!Q20,3),"; %let aFdt",'C13-CapOwn'!A20,"=",ROUND('C13-CapOwn'!R20,3),"; %let aFrt",'C13-CapOwn'!A20,"=",ROUND('C13-CapOwn'!S20,3),"; %let aFps",'C13-CapOwn'!A20,"=", ROUND('C13-CapOwn'!T20,3),";")</f>
        <v>%let FracPenNew1975=0.186; %let FracNPGv1975=0.057; %let Fcp1975=0.365; %let Fdt1975=0.151; %let Frt1975=0.423; %let aFcp1975=0.239; %let aFdt1975=0.099; %let aFrt1975=0.277; %let aFps1975=0.346;</v>
      </c>
      <c r="I20" s="879" t="str">
        <f>CONCATENATE("%let totcorpNIPA",A195,"=",'C10-Adj by Source'!S21,"; %let totctaxNIPA",A195,"=",'C10-Adj by Source'!AC21,"; %let ntint",A195,"=",ROUND('C10-Adj by Source'!D21,0),"; %let esi",A195,"=",ROUND('C10-Adj by Source'!BA21,0),"; %let bpr",A195,"=",ROUND('C10-Adj by Source'!CO21,0),"; %let othtx",A195,"=",ROUND(0,0),"; %let sitx",A195,"=",ROUND('C10-Adj by Source'!CH21-'C22-Fiduciary'!AC20,0),"; %let otx",A195,"=",ROUND('C10-Adj by Source'!BF21,0),"; %let subtr",A195,"=",ROUND('C10-Adj by Source'!BG21,0),"; %let npgv",A195,"=",ROUND('C10-Adj by Source'!BH21,0),"; %let fed",A195,"=",ROUND('C10-Adj by Source'!BI21,0),"; %let retadj",A195,"=",ROUND('C10-Adj by Source'!BD21,0),"; %let mid",A195,"=",ROUND('T-T1'!DK24,0),";")</f>
        <v>%let totcorpNIPA1975=54253; %let totctaxNIPA1975=46264; %let ntint1975=7192; %let esi1975=37444; %let bpr1975=23067; %let othtx1975=0; %let sitx1975=21883; %let otx1975=81908; %let subtr1975=4542; %let npgv1975=1119; %let fed1975=5382; %let retadj1975=28318; %let mid1975=32571;</v>
      </c>
      <c r="T20" s="575" t="str">
        <f>CONCATENATE("%let xewtx",'C10-Adj by Source'!A21,"=",ROUND('C10-Adj by Source'!AY21-'C10-Adj by Source'!AX21,3),"; %let comb",'C10-Adj by Source'!A21,"=",'C10-Adj by Source'!G21,"; %let depi",'C10-Adj by Source'!A21,"=",ROUND('C10-Adj by Source'!DC21,2),"; %let ss",'C10-Adj by Source'!A21,"=",'C10-Adj by Source'!BL21,"; %let ui",'C10-Adj by Source'!A21,"=",'C10-Adj by Source'!BP21,"; %let xss",'C10-Adj by Source'!A21,"=",ROUND('C10-Adj by Source'!BL21-'C10-Adj by Source'!BM21,3),"; %let xui",'C10-Adj by Source'!A21,"=",ROUND('C10-Adj by Source'!BP21-'C10-Adj by Source'!BR21,3),"; %let cash",'C10-Adj by Source'!A21,"=",ROUND('C10-Adj by Source'!BT21,0),"; %let mc",'C10-Adj by Source'!A21,"=",ROUND('T-T2'!AE24,0),"; %let ncash",'C10-Adj by Source'!A21,"=",ROUND('C10-Adj by Source'!BZ21,0),"; %let xfitx",'C10-Adj by Source'!A21,"=",ROUND('C10-Adj by Source'!CC21-'C10-Adj by Source'!CD21-B195,3),"; %let xsitx",'C10-Adj by Source'!A21,"=",ROUND('C10-Adj by Source'!CH21-'C10-Adj by Source'!CI21-C195,3),"; %let xiptx",'C10-Adj by Source'!A21,"=",ROUND('C10-Adj by Source'!CM21-'C10-Adj by Source'!CN21,3),"; %let xwtx",'C10-Adj by Source'!A21,"=",ROUND('C10-Adj by Source'!CR21-'C10-Adj by Source'!CS21,3), "; %let vet",'C10-Adj by Source'!A21,"=",ROUND('C10-Adj by Source'!BS21,3),"; %let ftx",'C10-Adj by Source'!A21,"=",ROUND('C10-Adj by Source'!CC21,3),";")</f>
        <v>%let xewtx1975=480.97; %let comb1975=0; %let depi1975=21154.4; %let ss1975=69160; %let ui1975=18140; %let xss1975=69160; %let xui1975=18140; %let cash1975=17116; %let mc1975=15633; %let ncash1975=29304; %let xfitx1975=-4202.322; %let xsitx1975=5188.428; %let xiptx1975=14897.958; %let xwtx1975=1249.74; %let vet1975=13781; %let ftx1975=120730;</v>
      </c>
    </row>
    <row r="21" spans="1:44" x14ac:dyDescent="0.3">
      <c r="A21" s="879" t="str">
        <f>CONCATENATE("%let FracPenNew",'C12-CorpOwn'!A21,"=",ROUND('C12-CorpOwn'!S21,3),"; %let FracNPGv",'C12-CorpOwn'!A21,"=",ROUND('C12-CorpOwn'!T21,3),"; %let Fcp",'C13-CapOwn'!A21,"=",ROUND('C13-CapOwn'!L21,3),"; %let Fdt",'C13-CapOwn'!A21,"=",ROUND('C13-CapOwn'!M21,3),"; %let Frt",'C13-CapOwn'!A21,"=",ROUND('C13-CapOwn'!N21,3),"; %let aFcp",'C13-CapOwn'!A21,"=",ROUND('C13-CapOwn'!Q21,3),"; %let aFdt",'C13-CapOwn'!A21,"=",ROUND('C13-CapOwn'!R21,3),"; %let aFrt",'C13-CapOwn'!A21,"=",ROUND('C13-CapOwn'!S21,3),"; %let aFps",'C13-CapOwn'!A21,"=", ROUND('C13-CapOwn'!T21,3),";")</f>
        <v>%let FracPenNew1976=0.178; %let FracNPGv1976=0.057; %let Fcp1976=0.395; %let Fdt1976=0.135; %let Frt1976=0.41; %let aFcp1976=0.261; %let aFdt1976=0.089; %let aFrt1976=0.271; %let aFps1976=0.339;</v>
      </c>
      <c r="I21" s="879" t="str">
        <f>CONCATENATE("%let totcorpNIPA",A196,"=",'C10-Adj by Source'!S22,"; %let totctaxNIPA",A196,"=",'C10-Adj by Source'!AC22,"; %let ntint",A196,"=",ROUND('C10-Adj by Source'!D22,0),"; %let esi",A196,"=",ROUND('C10-Adj by Source'!BA22,0),"; %let bpr",A196,"=",ROUND('C10-Adj by Source'!CO22,0),"; %let othtx",A196,"=",ROUND(0,0),"; %let sitx",A196,"=",ROUND('C10-Adj by Source'!CH22-'C22-Fiduciary'!AC21,0),"; %let otx",A196,"=",ROUND('C10-Adj by Source'!BF22,0),"; %let subtr",A196,"=",ROUND('C10-Adj by Source'!BG22,0),"; %let npgv",A196,"=",ROUND('C10-Adj by Source'!BH22,0),"; %let fed",A196,"=",ROUND('C10-Adj by Source'!BI22,0),"; %let retadj",A196,"=",ROUND('C10-Adj by Source'!BD22,0),"; %let mid",A196,"=",ROUND('T-T1'!DK25,0),";")</f>
        <v>%let totcorpNIPA1976=70036; %let totctaxNIPA1976=59418; %let ntint1976=8132; %let esi1976=45978; %let bpr1976=24881; %let othtx1976=0; %let sitx1976=26259; %let otx1976=88141; %let subtr1976=4011; %let npgv1976=3199; %let fed1976=5870; %let retadj1976=25436; %let mid1976=37470;</v>
      </c>
      <c r="T21" s="575" t="str">
        <f>CONCATENATE("%let xewtx",'C10-Adj by Source'!A22,"=",ROUND('C10-Adj by Source'!AY22-'C10-Adj by Source'!AX22,3),"; %let comb",'C10-Adj by Source'!A22,"=",'C10-Adj by Source'!G22,"; %let depi",'C10-Adj by Source'!A22,"=",ROUND('C10-Adj by Source'!DC22,2),"; %let ss",'C10-Adj by Source'!A22,"=",'C10-Adj by Source'!BL22,"; %let ui",'C10-Adj by Source'!A22,"=",'C10-Adj by Source'!BP22,"; %let xss",'C10-Adj by Source'!A22,"=",ROUND('C10-Adj by Source'!BL22-'C10-Adj by Source'!BM22,3),"; %let xui",'C10-Adj by Source'!A22,"=",ROUND('C10-Adj by Source'!BP22-'C10-Adj by Source'!BR22,3),"; %let cash",'C10-Adj by Source'!A22,"=",ROUND('C10-Adj by Source'!BT22,0),"; %let mc",'C10-Adj by Source'!A22,"=",ROUND('T-T2'!AE25,0),"; %let ncash",'C10-Adj by Source'!A22,"=",ROUND('C10-Adj by Source'!BZ22,0),"; %let xfitx",'C10-Adj by Source'!A22,"=",ROUND('C10-Adj by Source'!CC22-'C10-Adj by Source'!CD22-B196,3),"; %let xsitx",'C10-Adj by Source'!A22,"=",ROUND('C10-Adj by Source'!CH22-'C10-Adj by Source'!CI22-C196,3),"; %let xiptx",'C10-Adj by Source'!A22,"=",ROUND('C10-Adj by Source'!CM22-'C10-Adj by Source'!CN22,3),"; %let xwtx",'C10-Adj by Source'!A22,"=",ROUND('C10-Adj by Source'!CR22-'C10-Adj by Source'!CS22,3), "; %let vet",'C10-Adj by Source'!A22,"=",ROUND('C10-Adj by Source'!BS22,3),"; %let ftx",'C10-Adj by Source'!A22,"=",ROUND('C10-Adj by Source'!CC22,3),";")</f>
        <v>%let xewtx1976=2589.832; %let comb1976=0; %let depi1976=23854.11; %let ss1976=78051; %let ui1976=16386; %let xss1976=78051; %let xui1976=16386; %let cash1976=19741; %let mc1976=18795; %let ncash1976=30937; %let xfitx1976=-685.717; %let xsitx1976=26259; %let xiptx1976=17495.901; %let xwtx1976=1835.728; %let vet1976=13733; %let ftx1976=141597;</v>
      </c>
      <c r="AQ21" s="575"/>
      <c r="AR21" s="575"/>
    </row>
    <row r="22" spans="1:44" x14ac:dyDescent="0.3">
      <c r="A22" s="879" t="str">
        <f>CONCATENATE("%let FracPenNew",'C12-CorpOwn'!A22,"=",ROUND('C12-CorpOwn'!S22,3),"; %let FracNPGv",'C12-CorpOwn'!A22,"=",ROUND('C12-CorpOwn'!T22,3),"; %let Fcp",'C13-CapOwn'!A22,"=",ROUND('C13-CapOwn'!L22,3),"; %let Fdt",'C13-CapOwn'!A22,"=",ROUND('C13-CapOwn'!M22,3),"; %let Frt",'C13-CapOwn'!A22,"=",ROUND('C13-CapOwn'!N22,3),"; %let aFcp",'C13-CapOwn'!A22,"=",ROUND('C13-CapOwn'!Q22,3),"; %let aFdt",'C13-CapOwn'!A22,"=",ROUND('C13-CapOwn'!R22,3),"; %let aFrt",'C13-CapOwn'!A22,"=",ROUND('C13-CapOwn'!S22,3),"; %let aFps",'C13-CapOwn'!A22,"=", ROUND('C13-CapOwn'!T22,3),";")</f>
        <v>%let FracPenNew1977=0.201; %let FracNPGv1977=0.058; %let Fcp1977=0.338; %let Fdt1977=0.148; %let Frt1977=0.453; %let aFcp1977=0.214; %let aFdt1977=0.094; %let aFrt1977=0.287; %let aFps1977=0.367;</v>
      </c>
      <c r="I22" s="879" t="str">
        <f>CONCATENATE("%let totcorpNIPA",A197,"=",'C10-Adj by Source'!S23,"; %let totctaxNIPA",A197,"=",'C10-Adj by Source'!AC23,"; %let ntint",A197,"=",ROUND('C10-Adj by Source'!D23,0),"; %let esi",A197,"=",ROUND('C10-Adj by Source'!BA23,0),"; %let bpr",A197,"=",ROUND('C10-Adj by Source'!CO23,0),"; %let othtx",A197,"=",ROUND(0,0),"; %let sitx",A197,"=",ROUND('C10-Adj by Source'!CH23-'C22-Fiduciary'!AC22,0),"; %let otx",A197,"=",ROUND('C10-Adj by Source'!BF23,0),"; %let subtr",A197,"=",ROUND('C10-Adj by Source'!BG23,0),"; %let npgv",A197,"=",ROUND('C10-Adj by Source'!BH23,0),"; %let fed",A197,"=",ROUND('C10-Adj by Source'!BI23,0),"; %let retadj",A197,"=",ROUND('C10-Adj by Source'!BD23,0),"; %let mid",A197,"=",ROUND('T-T1'!DK26,0),";")</f>
        <v>%let totcorpNIPA1977=86573; %let totctaxNIPA1977=68504; %let ntint1977=8893; %let esi1977=55513; %let bpr1977=26646; %let othtx1977=0; %let sitx1977=29763; %let otx1977=96464; %let subtr1977=981; %let npgv1977=3726; %let fed1977=5937; %let retadj1977=26294; %let mid1977=44495;</v>
      </c>
      <c r="T22" s="575" t="str">
        <f>CONCATENATE("%let xewtx",'C10-Adj by Source'!A23,"=",ROUND('C10-Adj by Source'!AY23-'C10-Adj by Source'!AX23,3),"; %let comb",'C10-Adj by Source'!A23,"=",'C10-Adj by Source'!G23,"; %let depi",'C10-Adj by Source'!A23,"=",ROUND('C10-Adj by Source'!DC23,2),"; %let ss",'C10-Adj by Source'!A23,"=",'C10-Adj by Source'!BL23,"; %let ui",'C10-Adj by Source'!A23,"=",'C10-Adj by Source'!BP23,"; %let xss",'C10-Adj by Source'!A23,"=",ROUND('C10-Adj by Source'!BL23-'C10-Adj by Source'!BM23,3),"; %let xui",'C10-Adj by Source'!A23,"=",ROUND('C10-Adj by Source'!BP23-'C10-Adj by Source'!BR23,3),"; %let cash",'C10-Adj by Source'!A23,"=",ROUND('C10-Adj by Source'!BT23,0),"; %let mc",'C10-Adj by Source'!A23,"=",ROUND('T-T2'!AE26,0),"; %let ncash",'C10-Adj by Source'!A23,"=",ROUND('C10-Adj by Source'!BZ23,0),"; %let xfitx",'C10-Adj by Source'!A23,"=",ROUND('C10-Adj by Source'!CC23-'C10-Adj by Source'!CD23-B197,3),"; %let xsitx",'C10-Adj by Source'!A23,"=",ROUND('C10-Adj by Source'!CH23-'C10-Adj by Source'!CI23-C197,3),"; %let xiptx",'C10-Adj by Source'!A23,"=",ROUND('C10-Adj by Source'!CM23-'C10-Adj by Source'!CN23,3),"; %let xwtx",'C10-Adj by Source'!A23,"=",ROUND('C10-Adj by Source'!CR23-'C10-Adj by Source'!CS23,3), "; %let vet",'C10-Adj by Source'!A23,"=",ROUND('C10-Adj by Source'!BS23,3),"; %let ftx",'C10-Adj by Source'!A23,"=",ROUND('C10-Adj by Source'!CC23,3),";")</f>
        <v>%let xewtx1977=4248.298; %let comb1977=0; %let depi1977=25930.13; %let ss1977=87022; %let ui1977=13129; %let xss1977=87022; %let xui1977=13129; %let cash1977=20723; %let mc1977=22101; %let ncash1977=33193; %let xfitx1977=2208.239; %let xsitx1977=8185.545; %let xiptx1977=18936.876; %let xwtx1977=3307.388; %let vet1977=13314; %let ftx1977=162513;</v>
      </c>
    </row>
    <row r="23" spans="1:44" x14ac:dyDescent="0.3">
      <c r="A23" s="879" t="str">
        <f>CONCATENATE("%let FracPenNew",'C12-CorpOwn'!A23,"=",ROUND('C12-CorpOwn'!S23,3),"; %let FracNPGv",'C12-CorpOwn'!A23,"=",ROUND('C12-CorpOwn'!T23,3),"; %let Fcp",'C13-CapOwn'!A23,"=",ROUND('C13-CapOwn'!L23,3),"; %let Fdt",'C13-CapOwn'!A23,"=",ROUND('C13-CapOwn'!M23,3),"; %let Frt",'C13-CapOwn'!A23,"=",ROUND('C13-CapOwn'!N23,3),"; %let aFcp",'C13-CapOwn'!A23,"=",ROUND('C13-CapOwn'!Q23,3),"; %let aFdt",'C13-CapOwn'!A23,"=",ROUND('C13-CapOwn'!R23,3),"; %let aFrt",'C13-CapOwn'!A23,"=",ROUND('C13-CapOwn'!S23,3),"; %let aFps",'C13-CapOwn'!A23,"=", ROUND('C13-CapOwn'!T23,3),";")</f>
        <v>%let FracPenNew1978=0.229; %let FracNPGv1978=0.058; %let Fcp1978=0.31; %let Fdt1978=0.155; %let Frt1978=0.474; %let aFcp1978=0.192; %let aFdt1978=0.095; %let aFrt1978=0.293; %let aFps1978=0.382;</v>
      </c>
      <c r="I23" s="879" t="str">
        <f>CONCATENATE("%let totcorpNIPA",A198,"=",'C10-Adj by Source'!S24,"; %let totctaxNIPA",A198,"=",'C10-Adj by Source'!AC24,"; %let ntint",A198,"=",ROUND('C10-Adj by Source'!D24,0),"; %let esi",A198,"=",ROUND('C10-Adj by Source'!BA24,0),"; %let bpr",A198,"=",ROUND('C10-Adj by Source'!CO24,0),"; %let othtx",A198,"=",ROUND(0,0),"; %let sitx",A198,"=",ROUND('C10-Adj by Source'!CH24-'C22-Fiduciary'!AC23,0),"; %let otx",A198,"=",ROUND('C10-Adj by Source'!BF24,0),"; %let subtr",A198,"=",ROUND('C10-Adj by Source'!BG24,0),"; %let npgv",A198,"=",ROUND('C10-Adj by Source'!BH24,0),"; %let fed",A198,"=",ROUND('C10-Adj by Source'!BI24,0),"; %let retadj",A198,"=",ROUND('C10-Adj by Source'!BD24,0),"; %let mid",A198,"=",ROUND('T-T1'!DK27,0),";")</f>
        <v>%let totcorpNIPA1978=102918; %let totctaxNIPA1978=77852; %let ntint1978=9684; %let esi1978=65736; %let bpr1978=26498; %let othtx1978=0; %let sitx1978=34981; %let otx1978=107150; %let subtr1978=1438; %let npgv1978=5212; %let fed1978=7006; %let retadj1978=27526; %let mid1978=53276;</v>
      </c>
      <c r="T23" s="575" t="str">
        <f>CONCATENATE("%let xewtx",'C10-Adj by Source'!A24,"=",ROUND('C10-Adj by Source'!AY24-'C10-Adj by Source'!AX24,3),"; %let comb",'C10-Adj by Source'!A24,"=",'C10-Adj by Source'!G24,"; %let depi",'C10-Adj by Source'!A24,"=",ROUND('C10-Adj by Source'!DC24,2),"; %let ss",'C10-Adj by Source'!A24,"=",'C10-Adj by Source'!BL24,"; %let ui",'C10-Adj by Source'!A24,"=",'C10-Adj by Source'!BP24,"; %let xss",'C10-Adj by Source'!A24,"=",ROUND('C10-Adj by Source'!BL24-'C10-Adj by Source'!BM24,3),"; %let xui",'C10-Adj by Source'!A24,"=",ROUND('C10-Adj by Source'!BP24-'C10-Adj by Source'!BR24,3),"; %let cash",'C10-Adj by Source'!A24,"=",ROUND('C10-Adj by Source'!BT24,0),"; %let mc",'C10-Adj by Source'!A24,"=",ROUND('T-T2'!AE27,0),"; %let ncash",'C10-Adj by Source'!A24,"=",ROUND('C10-Adj by Source'!BZ24,0),"; %let xfitx",'C10-Adj by Source'!A24,"=",ROUND('C10-Adj by Source'!CC24-'C10-Adj by Source'!CD24-B198,3),"; %let xsitx",'C10-Adj by Source'!A24,"=",ROUND('C10-Adj by Source'!CH24-'C10-Adj by Source'!CI24-C198,3),"; %let xiptx",'C10-Adj by Source'!A24,"=",ROUND('C10-Adj by Source'!CM24-'C10-Adj by Source'!CN24,3),"; %let xwtx",'C10-Adj by Source'!A24,"=",ROUND('C10-Adj by Source'!CR24-'C10-Adj by Source'!CS24,3), "; %let vet",'C10-Adj by Source'!A24,"=",ROUND('C10-Adj by Source'!BS24,3),"; %let ftx",'C10-Adj by Source'!A24,"=",ROUND('C10-Adj by Source'!CC24,3),";")</f>
        <v>%let xewtx1978=2693.008; %let comb1978=0; %let depi1978=30302.12; %let ss1978=95365; %let ui1978=9417; %let xss1978=95365; %let xui1978=9417; %let cash1978=21284; %let mc1978=25543; %let ncash1978=38251; %let xfitx1978=613.16; %let xsitx1978=34981; %let xiptx1978=19585.698; %let xwtx1978=1751.641; %let vet1978=13567; %let ftx1978=189199;</v>
      </c>
      <c r="AQ23" s="575"/>
      <c r="AR23" s="575"/>
    </row>
    <row r="24" spans="1:44" x14ac:dyDescent="0.3">
      <c r="A24" s="879" t="str">
        <f>CONCATENATE("%let FracPenNew",'C12-CorpOwn'!A24,"=",ROUND('C12-CorpOwn'!S24,3),"; %let FracNPGv",'C12-CorpOwn'!A24,"=",ROUND('C12-CorpOwn'!T24,3),"; %let Fcp",'C13-CapOwn'!A24,"=",ROUND('C13-CapOwn'!L24,3),"; %let Fdt",'C13-CapOwn'!A24,"=",ROUND('C13-CapOwn'!M24,3),"; %let Frt",'C13-CapOwn'!A24,"=",ROUND('C13-CapOwn'!N24,3),"; %let aFcp",'C13-CapOwn'!A24,"=",ROUND('C13-CapOwn'!Q24,3),"; %let aFdt",'C13-CapOwn'!A24,"=",ROUND('C13-CapOwn'!R24,3),"; %let aFrt",'C13-CapOwn'!A24,"=",ROUND('C13-CapOwn'!S24,3),"; %let aFps",'C13-CapOwn'!A24,"=", ROUND('C13-CapOwn'!T24,3),";")</f>
        <v>%let FracPenNew1979=0.229; %let FracNPGv1979=0.058; %let Fcp1979=0.315; %let Fdt1979=0.161; %let Frt1979=0.461; %let aFcp1979=0.196; %let aFdt1979=0.1; %let aFrt1979=0.286; %let aFps1979=0.379;</v>
      </c>
      <c r="I24" s="879" t="str">
        <f>CONCATENATE("%let totcorpNIPA",A199,"=",'C10-Adj by Source'!S25,"; %let totctaxNIPA",A199,"=",'C10-Adj by Source'!AC25,"; %let ntint",A199,"=",ROUND('C10-Adj by Source'!D25,0),"; %let esi",A199,"=",ROUND('C10-Adj by Source'!BA25,0),"; %let bpr",A199,"=",ROUND('C10-Adj by Source'!CO25,0),"; %let othtx",A199,"=",ROUND(0,0),"; %let sitx",A199,"=",ROUND('C10-Adj by Source'!CH25-'C22-Fiduciary'!AC24,0),"; %let otx",A199,"=",ROUND('C10-Adj by Source'!BF25,0),"; %let subtr",A199,"=",ROUND('C10-Adj by Source'!BG25,0),"; %let npgv",A199,"=",ROUND('C10-Adj by Source'!BH25,0),"; %let fed",A199,"=",ROUND('C10-Adj by Source'!BI25,0),"; %let retadj",A199,"=",ROUND('C10-Adj by Source'!BD25,0),"; %let mid",A199,"=",ROUND('T-T1'!DK28,0),";")</f>
        <v>%let totcorpNIPA1979=101444; %let totctaxNIPA1979=80737; %let ntint1979=11206; %let esi1979=74981; %let bpr1979=26384; %let othtx1979=0; %let sitx1979=37541; %let otx1979=115698; %let subtr1979=4221; %let npgv1979=6226; %let fed1979=9279; %let retadj1979=35045; %let mid1979=64926;</v>
      </c>
      <c r="T24" s="575" t="str">
        <f>CONCATENATE("%let xewtx",'C10-Adj by Source'!A25,"=",ROUND('C10-Adj by Source'!AY25-'C10-Adj by Source'!AX25,3),"; %let comb",'C10-Adj by Source'!A25,"=",'C10-Adj by Source'!G25,"; %let depi",'C10-Adj by Source'!A25,"=",ROUND('C10-Adj by Source'!DC25,2),"; %let ss",'C10-Adj by Source'!A25,"=",'C10-Adj by Source'!BL25,"; %let ui",'C10-Adj by Source'!A25,"=",'C10-Adj by Source'!BP25,"; %let xss",'C10-Adj by Source'!A25,"=",ROUND('C10-Adj by Source'!BL25-'C10-Adj by Source'!BM25,3),"; %let xui",'C10-Adj by Source'!A25,"=",ROUND('C10-Adj by Source'!BP25-'C10-Adj by Source'!BR25,3),"; %let cash",'C10-Adj by Source'!A25,"=",ROUND('C10-Adj by Source'!BT25,0),"; %let mc",'C10-Adj by Source'!A25,"=",ROUND('T-T2'!AE28,0),"; %let ncash",'C10-Adj by Source'!A25,"=",ROUND('C10-Adj by Source'!BZ25,0),"; %let xfitx",'C10-Adj by Source'!A25,"=",ROUND('C10-Adj by Source'!CC25-'C10-Adj by Source'!CD25-B199,3),"; %let xsitx",'C10-Adj by Source'!A25,"=",ROUND('C10-Adj by Source'!CH25-'C10-Adj by Source'!CI25-C199,3),"; %let xiptx",'C10-Adj by Source'!A25,"=",ROUND('C10-Adj by Source'!CM25-'C10-Adj by Source'!CN25,3),"; %let xwtx",'C10-Adj by Source'!A25,"=",ROUND('C10-Adj by Source'!CR25-'C10-Adj by Source'!CS25,3), "; %let vet",'C10-Adj by Source'!A25,"=",ROUND('C10-Adj by Source'!BS25,3),"; %let ftx",'C10-Adj by Source'!A25,"=",ROUND('C10-Adj by Source'!CC25,3),";")</f>
        <v>%let xewtx1979=4095.429; %let comb1979=0; %let depi1979=42001.58; %let ss1979=106894; %let ui1979=9692; %let xss1979=106894; %let xui1979=9692; %let cash1979=22479; %let mc1979=29936; %let ncash1979=44206; %let xfitx1979=12078.366; %let xsitx1979=8375.385; %let xiptx1979=19024.383; %let xwtx1979=3377.251; %let vet1979=14127; %let ftx1979=224881;</v>
      </c>
    </row>
    <row r="25" spans="1:44" x14ac:dyDescent="0.3">
      <c r="A25" s="879" t="str">
        <f>CONCATENATE("%let FracPenNew",'C12-CorpOwn'!A25,"=",ROUND('C12-CorpOwn'!S25,3),"; %let FracNPGv",'C12-CorpOwn'!A25,"=",ROUND('C12-CorpOwn'!T25,3),"; %let Fcp",'C13-CapOwn'!A25,"=",ROUND('C13-CapOwn'!L25,3),"; %let Fdt",'C13-CapOwn'!A25,"=",ROUND('C13-CapOwn'!M25,3),"; %let Frt",'C13-CapOwn'!A25,"=",ROUND('C13-CapOwn'!N25,3),"; %let aFcp",'C13-CapOwn'!A25,"=",ROUND('C13-CapOwn'!Q25,3),"; %let aFdt",'C13-CapOwn'!A25,"=",ROUND('C13-CapOwn'!R25,3),"; %let aFrt",'C13-CapOwn'!A25,"=",ROUND('C13-CapOwn'!S25,3),"; %let aFps",'C13-CapOwn'!A25,"=", ROUND('C13-CapOwn'!T25,3),";")</f>
        <v>%let FracPenNew1980=0.22; %let FracNPGv1980=0.057; %let Fcp1980=0.35; %let Fdt1980=0.14; %let Frt1980=0.45; %let aFcp1980=0.223; %let aFdt1980=0.089; %let aFrt1980=0.287; %let aFps1980=0.362;</v>
      </c>
      <c r="I25" s="879" t="str">
        <f>CONCATENATE("%let totcorpNIPA",A200,"=",'C10-Adj by Source'!S26,"; %let totctaxNIPA",A200,"=",'C10-Adj by Source'!AC26,"; %let ntint",A200,"=",ROUND('C10-Adj by Source'!D26,0),"; %let esi",A200,"=",ROUND('C10-Adj by Source'!BA26,0),"; %let bpr",A200,"=",ROUND('C10-Adj by Source'!CO26,0),"; %let othtx",A200,"=",ROUND(0,0),"; %let sitx",A200,"=",ROUND('C10-Adj by Source'!CH26-'C22-Fiduciary'!AC25,0),"; %let otx",A200,"=",ROUND('C10-Adj by Source'!BF26,0),"; %let subtr",A200,"=",ROUND('C10-Adj by Source'!BG26,0),"; %let npgv",A200,"=",ROUND('C10-Adj by Source'!BH26,0),"; %let fed",A200,"=",ROUND('C10-Adj by Source'!BI26,0),"; %let retadj",A200,"=",ROUND('C10-Adj by Source'!BD26,0),"; %let mid",A200,"=",ROUND('T-T1'!DK29,0),";")</f>
        <v>%let totcorpNIPA1980=72300; %let totctaxNIPA1980=75484; %let ntint1980=12583; %let esi1980=85247; %let bpr1980=27806; %let othtx1980=0; %let sitx1980=41895; %let otx1980=131504; %let subtr1980=4197; %let npgv1980=6710; %let fed1980=11706; %let retadj1980=37968; %let mid1980=77652;</v>
      </c>
      <c r="T25" s="575" t="str">
        <f>CONCATENATE("%let xewtx",'C10-Adj by Source'!A26,"=",ROUND('C10-Adj by Source'!AY26-'C10-Adj by Source'!AX26,3),"; %let comb",'C10-Adj by Source'!A26,"=",'C10-Adj by Source'!G26,"; %let depi",'C10-Adj by Source'!A26,"=",ROUND('C10-Adj by Source'!DC26,2),"; %let ss",'C10-Adj by Source'!A26,"=",'C10-Adj by Source'!BL26,"; %let ui",'C10-Adj by Source'!A26,"=",'C10-Adj by Source'!BP26,"; %let xss",'C10-Adj by Source'!A26,"=",ROUND('C10-Adj by Source'!BL26-'C10-Adj by Source'!BM26,3),"; %let xui",'C10-Adj by Source'!A26,"=",ROUND('C10-Adj by Source'!BP26-'C10-Adj by Source'!BR26,3),"; %let cash",'C10-Adj by Source'!A26,"=",ROUND('C10-Adj by Source'!BT26,0),"; %let mc",'C10-Adj by Source'!A26,"=",ROUND('T-T2'!AE29,0),"; %let ncash",'C10-Adj by Source'!A26,"=",ROUND('C10-Adj by Source'!BZ26,0),"; %let xfitx",'C10-Adj by Source'!A26,"=",ROUND('C10-Adj by Source'!CC26-'C10-Adj by Source'!CD26-B200,3),"; %let xsitx",'C10-Adj by Source'!A26,"=",ROUND('C10-Adj by Source'!CH26-'C10-Adj by Source'!CI26-C200,3),"; %let xiptx",'C10-Adj by Source'!A26,"=",ROUND('C10-Adj by Source'!CM26-'C10-Adj by Source'!CN26,3),"; %let xwtx",'C10-Adj by Source'!A26,"=",ROUND('C10-Adj by Source'!CR26-'C10-Adj by Source'!CS26,3), "; %let vet",'C10-Adj by Source'!A26,"=",ROUND('C10-Adj by Source'!BS26,3),"; %let ftx",'C10-Adj by Source'!A26,"=",ROUND('C10-Adj by Source'!CC26,3),";")</f>
        <v>%let xewtx1980=3266.011; %let comb1980=0; %let depi1980=41259.41; %let ss1980=123398; %let ui1980=16097; %let xss1980=123398; %let xui1980=16097; %let cash1980=26068; %let mc1980=36201; %let ncash1980=55098; %let xfitx1980=2430.561; %let xsitx1980=7870.817; %let xiptx1980=19434.769; %let xwtx1980=2264.875; %let vet1980=14636; %let ftx1980=250621;</v>
      </c>
    </row>
    <row r="26" spans="1:44" x14ac:dyDescent="0.3">
      <c r="A26" s="879" t="str">
        <f>CONCATENATE("%let FracPenNew",'C12-CorpOwn'!A26,"=",ROUND('C12-CorpOwn'!S26,3),"; %let FracNPGv",'C12-CorpOwn'!A26,"=",ROUND('C12-CorpOwn'!T26,3),"; %let Fcp",'C13-CapOwn'!A26,"=",ROUND('C13-CapOwn'!L26,3),"; %let Fdt",'C13-CapOwn'!A26,"=",ROUND('C13-CapOwn'!M26,3),"; %let Frt",'C13-CapOwn'!A26,"=",ROUND('C13-CapOwn'!N26,3),"; %let aFcp",'C13-CapOwn'!A26,"=",ROUND('C13-CapOwn'!Q26,3),"; %let aFdt",'C13-CapOwn'!A26,"=",ROUND('C13-CapOwn'!R26,3),"; %let aFrt",'C13-CapOwn'!A26,"=",ROUND('C13-CapOwn'!S26,3),"; %let aFps",'C13-CapOwn'!A26,"=", ROUND('C13-CapOwn'!T26,3),";")</f>
        <v>%let FracPenNew1981=0.26; %let FracNPGv1981=0.058; %let Fcp1981=0.298; %let Fdt1981=0.144; %let Frt1981=0.498; %let aFcp1981=0.186; %let aFdt1981=0.09; %let aFrt1981=0.311; %let aFps1981=0.375;</v>
      </c>
      <c r="I26" s="879" t="str">
        <f>CONCATENATE("%let totcorpNIPA",A201,"=",'C10-Adj by Source'!S27,"; %let totctaxNIPA",A201,"=",'C10-Adj by Source'!AC27,"; %let ntint",A201,"=",ROUND('C10-Adj by Source'!D27,0),"; %let esi",A201,"=",ROUND('C10-Adj by Source'!BA27,0),"; %let bpr",A201,"=",ROUND('C10-Adj by Source'!CO27,0),"; %let othtx",A201,"=",ROUND(0,0),"; %let sitx",A201,"=",ROUND('C10-Adj by Source'!CH27-'C22-Fiduciary'!AC26,0),"; %let otx",A201,"=",ROUND('C10-Adj by Source'!BF27,0),"; %let subtr",A201,"=",ROUND('C10-Adj by Source'!BG27,0),"; %let npgv",A201,"=",ROUND('C10-Adj by Source'!BH27,0),"; %let fed",A201,"=",ROUND('C10-Adj by Source'!BI27,0),"; %let retadj",A201,"=",ROUND('C10-Adj by Source'!BD27,0),"; %let mid",A201,"=",ROUND('T-T1'!DK30,0),";")</f>
        <v>%let totcorpNIPA1981=89399; %let totctaxNIPA1981=70315; %let ntint1981=14849; %let esi1981=96941; %let bpr1981=31458; %let othtx1981=0; %let sitx1981=47188; %let otx1981=158564; %let subtr1981=5440; %let npgv1981=9560; %let fed1981=14024; %let retadj1981=34535; %let mid1981=90680;</v>
      </c>
      <c r="T26" s="575" t="str">
        <f>CONCATENATE("%let xewtx",'C10-Adj by Source'!A27,"=",ROUND('C10-Adj by Source'!AY27-'C10-Adj by Source'!AX27,3),"; %let comb",'C10-Adj by Source'!A27,"=",'C10-Adj by Source'!G27,"; %let depi",'C10-Adj by Source'!A27,"=",ROUND('C10-Adj by Source'!DC27,2),"; %let ss",'C10-Adj by Source'!A27,"=",'C10-Adj by Source'!BL27,"; %let ui",'C10-Adj by Source'!A27,"=",'C10-Adj by Source'!BP27,"; %let xss",'C10-Adj by Source'!A27,"=",ROUND('C10-Adj by Source'!BL27-'C10-Adj by Source'!BM27,3),"; %let xui",'C10-Adj by Source'!A27,"=",ROUND('C10-Adj by Source'!BP27-'C10-Adj by Source'!BR27,3),"; %let cash",'C10-Adj by Source'!A27,"=",ROUND('C10-Adj by Source'!BT27,0),"; %let mc",'C10-Adj by Source'!A27,"=",ROUND('T-T2'!AE30,0),"; %let ncash",'C10-Adj by Source'!A27,"=",ROUND('C10-Adj by Source'!BZ27,0),"; %let xfitx",'C10-Adj by Source'!A27,"=",ROUND('C10-Adj by Source'!CC27-'C10-Adj by Source'!CD27-B201,3),"; %let xsitx",'C10-Adj by Source'!A27,"=",ROUND('C10-Adj by Source'!CH27-'C10-Adj by Source'!CI27-C201,3),"; %let xiptx",'C10-Adj by Source'!A27,"=",ROUND('C10-Adj by Source'!CM27-'C10-Adj by Source'!CN27,3),"; %let xwtx",'C10-Adj by Source'!A27,"=",ROUND('C10-Adj by Source'!CR27-'C10-Adj by Source'!CS27,3), "; %let vet",'C10-Adj by Source'!A27,"=",ROUND('C10-Adj by Source'!BS27,3),"; %let ftx",'C10-Adj by Source'!A27,"=",ROUND('C10-Adj by Source'!CC27,3),";")</f>
        <v>%let xewtx1981=3053.704; %let comb1981=0; %let depi1981=41084.99; %let ss1981=143958; %let ui1981=15885; %let xss1981=143958; %let xui1981=3693.432; %let cash1981=27720; %let mc1981=43499; %let ncash1981=60987; %let xfitx1981=9833.237; %let xsitx1981=7903.622; %let xiptx1981=20543.694; %let xwtx1981=1330.573; %let vet1981=15760; %let ftx1981=291165;</v>
      </c>
    </row>
    <row r="27" spans="1:44" x14ac:dyDescent="0.3">
      <c r="A27" s="879" t="str">
        <f>CONCATENATE("%let FracPenNew",'C12-CorpOwn'!A27,"=",ROUND('C12-CorpOwn'!S27,3),"; %let FracNPGv",'C12-CorpOwn'!A27,"=",ROUND('C12-CorpOwn'!T27,3),"; %let Fcp",'C13-CapOwn'!A27,"=",ROUND('C13-CapOwn'!L27,3),"; %let Fdt",'C13-CapOwn'!A27,"=",ROUND('C13-CapOwn'!M27,3),"; %let Frt",'C13-CapOwn'!A27,"=",ROUND('C13-CapOwn'!N27,3),"; %let aFcp",'C13-CapOwn'!A27,"=",ROUND('C13-CapOwn'!Q27,3),"; %let aFdt",'C13-CapOwn'!A27,"=",ROUND('C13-CapOwn'!R27,3),"; %let aFrt",'C13-CapOwn'!A27,"=",ROUND('C13-CapOwn'!S27,3),"; %let aFps",'C13-CapOwn'!A27,"=", ROUND('C13-CapOwn'!T27,3),";")</f>
        <v>%let FracPenNew1982=0.309; %let FracNPGv1982=0.059; %let Fcp1982=0.274; %let Fdt1982=0.143; %let Frt1982=0.525; %let aFcp1982=0.178; %let aFdt1982=0.093; %let aFrt1982=0.342; %let aFps1982=0.349;</v>
      </c>
      <c r="I27" s="879" t="str">
        <f>CONCATENATE("%let totcorpNIPA",A202,"=",'C10-Adj by Source'!S28,"; %let totctaxNIPA",A202,"=",'C10-Adj by Source'!AC28,"; %let ntint",A202,"=",ROUND('C10-Adj by Source'!D28,0),"; %let esi",A202,"=",ROUND('C10-Adj by Source'!BA28,0),"; %let bpr",A202,"=",ROUND('C10-Adj by Source'!CO28,0),"; %let othtx",A202,"=",ROUND(0,0),"; %let sitx",A202,"=",ROUND('C10-Adj by Source'!CH28-'C22-Fiduciary'!AC27,0),"; %let otx",A202,"=",ROUND('C10-Adj by Source'!BF28,0),"; %let subtr",A202,"=",ROUND('C10-Adj by Source'!BG28,0),"; %let npgv",A202,"=",ROUND('C10-Adj by Source'!BH28,0),"; %let fed",A202,"=",ROUND('C10-Adj by Source'!BI28,0),"; %let retadj",A202,"=",ROUND('C10-Adj by Source'!BD28,0),"; %let mid",A202,"=",ROUND('T-T1'!DK31,0),";")</f>
        <v>%let totcorpNIPA1982=85642; %let totctaxNIPA1982=51294; %let ntint1982=17631; %let esi1982=107957; %let bpr1982=35262; %let othtx1982=0; %let sitx1982=51137; %let otx1982=155633; %let subtr1982=4299; %let npgv1982=12798; %let fed1982=15205; %let retadj1982=44431; %let mid1982=104541;</v>
      </c>
      <c r="T27" s="575" t="str">
        <f>CONCATENATE("%let xewtx",'C10-Adj by Source'!A28,"=",ROUND('C10-Adj by Source'!AY28-'C10-Adj by Source'!AX28,3),"; %let comb",'C10-Adj by Source'!A28,"=",'C10-Adj by Source'!G28,"; %let depi",'C10-Adj by Source'!A28,"=",ROUND('C10-Adj by Source'!DC28,2),"; %let ss",'C10-Adj by Source'!A28,"=",'C10-Adj by Source'!BL28,"; %let ui",'C10-Adj by Source'!A28,"=",'C10-Adj by Source'!BP28,"; %let xss",'C10-Adj by Source'!A28,"=",ROUND('C10-Adj by Source'!BL28-'C10-Adj by Source'!BM28,3),"; %let xui",'C10-Adj by Source'!A28,"=",ROUND('C10-Adj by Source'!BP28-'C10-Adj by Source'!BR28,3),"; %let cash",'C10-Adj by Source'!A28,"=",ROUND('C10-Adj by Source'!BT28,0),"; %let mc",'C10-Adj by Source'!A28,"=",ROUND('T-T2'!AE31,0),"; %let ncash",'C10-Adj by Source'!A28,"=",ROUND('C10-Adj by Source'!BZ28,0),"; %let xfitx",'C10-Adj by Source'!A28,"=",ROUND('C10-Adj by Source'!CC28-'C10-Adj by Source'!CD28-B202,3),"; %let xsitx",'C10-Adj by Source'!A28,"=",ROUND('C10-Adj by Source'!CH28-'C10-Adj by Source'!CI28-C202,3),"; %let xiptx",'C10-Adj by Source'!A28,"=",ROUND('C10-Adj by Source'!CM28-'C10-Adj by Source'!CN28,3),"; %let xwtx",'C10-Adj by Source'!A28,"=",ROUND('C10-Adj by Source'!CR28-'C10-Adj by Source'!CS28,3), "; %let vet",'C10-Adj by Source'!A28,"=",ROUND('C10-Adj by Source'!BS28,3),"; %let ftx",'C10-Adj by Source'!A28,"=",ROUND('C10-Adj by Source'!CC28,3),";")</f>
        <v>%let xewtx1982=2758.848; %let comb1982=0; %let depi1982=36060.96; %let ss1982=159479; %let ui1982=25227; %let xss1982=159479; %let xui1982=5731.506; %let cash1982=28277; %let mc1982=50927; %let ncash1982=62899; %let xfitx1982=19910.722; %let xsitx1982=7291.385; %let xiptx1982=22616.377; %let xwtx1982=1577.311; %let vet1982=16270; %let ftx1982=295596;</v>
      </c>
    </row>
    <row r="28" spans="1:44" x14ac:dyDescent="0.3">
      <c r="A28" s="879" t="str">
        <f>CONCATENATE("%let FracPenNew",'C12-CorpOwn'!A28,"=",ROUND('C12-CorpOwn'!S28,3),"; %let FracNPGv",'C12-CorpOwn'!A28,"=",ROUND('C12-CorpOwn'!T28,3),"; %let Fcp",'C13-CapOwn'!A28,"=",ROUND('C13-CapOwn'!L28,3),"; %let Fdt",'C13-CapOwn'!A28,"=",ROUND('C13-CapOwn'!M28,3),"; %let Frt",'C13-CapOwn'!A28,"=",ROUND('C13-CapOwn'!N28,3),"; %let aFcp",'C13-CapOwn'!A28,"=",ROUND('C13-CapOwn'!Q28,3),"; %let aFdt",'C13-CapOwn'!A28,"=",ROUND('C13-CapOwn'!R28,3),"; %let aFrt",'C13-CapOwn'!A28,"=",ROUND('C13-CapOwn'!S28,3),"; %let aFps",'C13-CapOwn'!A28,"=", ROUND('C13-CapOwn'!T28,3),";")</f>
        <v>%let FracPenNew1983=0.345; %let FracNPGv1983=0.06; %let Fcp1983=0.262; %let Fdt1983=0.142; %let Frt1983=0.538; %let aFcp1983=0.177; %let aFdt1983=0.096; %let aFrt1983=0.363; %let aFps1983=0.324;</v>
      </c>
      <c r="I28" s="879" t="str">
        <f>CONCATENATE("%let totcorpNIPA",A203,"=",'C10-Adj by Source'!S29,"; %let totctaxNIPA",A203,"=",'C10-Adj by Source'!AC29,"; %let ntint",A203,"=",ROUND('C10-Adj by Source'!D29,0),"; %let esi",A203,"=",ROUND('C10-Adj by Source'!BA29,0),"; %let bpr",A203,"=",ROUND('C10-Adj by Source'!CO29,0),"; %let othtx",A203,"=",ROUND(0,0),"; %let sitx",A203,"=",ROUND('C10-Adj by Source'!CH29-'C22-Fiduciary'!AC28,0),"; %let otx",A203,"=",ROUND('C10-Adj by Source'!BF29,0),"; %let subtr",A203,"=",ROUND('C10-Adj by Source'!BG29,0),"; %let npgv",A203,"=",ROUND('C10-Adj by Source'!BH29,0),"; %let fed",A203,"=",ROUND('C10-Adj by Source'!BI29,0),"; %let retadj",A203,"=",ROUND('C10-Adj by Source'!BD29,0),"; %let mid",A203,"=",ROUND('T-T1'!DK32,0),";")</f>
        <v>%let totcorpNIPA1983=115655; %let totctaxNIPA1983=66419; %let ntint1983=20992; %let esi1983=117516; %let bpr1983=38337; %let othtx1983=0; %let sitx1983=57457; %let otx1983=171404; %let subtr1983=377; %let npgv1983=15860; %let fed1983=14229; %let retadj1983=44718; %let mid1983=115071;</v>
      </c>
      <c r="T28" s="575" t="str">
        <f>CONCATENATE("%let xewtx",'C10-Adj by Source'!A29,"=",ROUND('C10-Adj by Source'!AY29-'C10-Adj by Source'!AX29,3),"; %let comb",'C10-Adj by Source'!A29,"=",'C10-Adj by Source'!G29,"; %let depi",'C10-Adj by Source'!A29,"=",ROUND('C10-Adj by Source'!DC29,2),"; %let ss",'C10-Adj by Source'!A29,"=",'C10-Adj by Source'!BL29,"; %let ui",'C10-Adj by Source'!A29,"=",'C10-Adj by Source'!BP29,"; %let xss",'C10-Adj by Source'!A29,"=",ROUND('C10-Adj by Source'!BL29-'C10-Adj by Source'!BM29,3),"; %let xui",'C10-Adj by Source'!A29,"=",ROUND('C10-Adj by Source'!BP29-'C10-Adj by Source'!BR29,3),"; %let cash",'C10-Adj by Source'!A29,"=",ROUND('C10-Adj by Source'!BT29,0),"; %let mc",'C10-Adj by Source'!A29,"=",ROUND('T-T2'!AE32,0),"; %let ncash",'C10-Adj by Source'!A29,"=",ROUND('C10-Adj by Source'!BZ29,0),"; %let xfitx",'C10-Adj by Source'!A29,"=",ROUND('C10-Adj by Source'!CC29-'C10-Adj by Source'!CD29-B203,3),"; %let xsitx",'C10-Adj by Source'!A29,"=",ROUND('C10-Adj by Source'!CH29-'C10-Adj by Source'!CI29-C203,3),"; %let xiptx",'C10-Adj by Source'!A29,"=",ROUND('C10-Adj by Source'!CM29-'C10-Adj by Source'!CN29,3),"; %let xwtx",'C10-Adj by Source'!A29,"=",ROUND('C10-Adj by Source'!CR29-'C10-Adj by Source'!CS29,3), "; %let vet",'C10-Adj by Source'!A29,"=",ROUND('C10-Adj by Source'!BS29,3),"; %let ftx",'C10-Adj by Source'!A29,"=",ROUND('C10-Adj by Source'!CC29,3),";")</f>
        <v>%let xewtx1983=7407.731; %let comb1983=0; %let depi1983=35778.22; %let ss1983=170437; %let ui1983=26411; %let xss1983=170437; %let xui1983=7356.722; %let cash1983=29931; %let mc1983=57797; %let ncash1983=69498; %let xfitx1983=13688.634; %let xsitx1983=7179.052; %let xiptx1983=23728.746; %let xwtx1983=6313.783; %let vet1983=16425; %let ftx1983=286774;</v>
      </c>
    </row>
    <row r="29" spans="1:44" x14ac:dyDescent="0.3">
      <c r="A29" s="879" t="str">
        <f>CONCATENATE("%let FracPenNew",'C12-CorpOwn'!A29,"=",ROUND('C12-CorpOwn'!S29,3),"; %let FracNPGv",'C12-CorpOwn'!A29,"=",ROUND('C12-CorpOwn'!T29,3),"; %let Fcp",'C13-CapOwn'!A29,"=",ROUND('C13-CapOwn'!L29,3),"; %let Fdt",'C13-CapOwn'!A29,"=",ROUND('C13-CapOwn'!M29,3),"; %let Frt",'C13-CapOwn'!A29,"=",ROUND('C13-CapOwn'!N29,3),"; %let aFcp",'C13-CapOwn'!A29,"=",ROUND('C13-CapOwn'!Q29,3),"; %let aFdt",'C13-CapOwn'!A29,"=",ROUND('C13-CapOwn'!R29,3),"; %let aFrt",'C13-CapOwn'!A29,"=",ROUND('C13-CapOwn'!S29,3),"; %let aFps",'C13-CapOwn'!A29,"=", ROUND('C13-CapOwn'!T29,3),";")</f>
        <v>%let FracPenNew1984=0.399; %let FracNPGv1984=0.061; %let Fcp1984=0.214; %let Fdt1984=0.158; %let Frt1984=0.57; %let aFcp1984=0.147; %let aFdt1984=0.109; %let aFrt1984=0.392; %let aFps1984=0.312;</v>
      </c>
      <c r="I29" s="879" t="str">
        <f>CONCATENATE("%let totcorpNIPA",A204,"=",'C10-Adj by Source'!S30,"; %let totctaxNIPA",A204,"=",'C10-Adj by Source'!AC30,"; %let ntint",A204,"=",ROUND('C10-Adj by Source'!D30,0),"; %let esi",A204,"=",ROUND('C10-Adj by Source'!BA30,0),"; %let bpr",A204,"=",ROUND('C10-Adj by Source'!CO30,0),"; %let othtx",A204,"=",ROUND(0,0),"; %let sitx",A204,"=",ROUND('C10-Adj by Source'!CH30-'C22-Fiduciary'!AC29,0),"; %let otx",A204,"=",ROUND('C10-Adj by Source'!BF30,0),"; %let subtr",A204,"=",ROUND('C10-Adj by Source'!BG30,0),"; %let npgv",A204,"=",ROUND('C10-Adj by Source'!BH30,0),"; %let fed",A204,"=",ROUND('C10-Adj by Source'!BI30,0),"; %let retadj",A204,"=",ROUND('C10-Adj by Source'!BD30,0),"; %let mid",A204,"=",ROUND('T-T1'!DK33,0),";")</f>
        <v>%let totcorpNIPA1984=149543; %let totctaxNIPA1984=81477; %let ntint1984=24044; %let esi1984=128190; %let bpr1984=42078; %let othtx1984=0; %let sitx1984=66566; %let otx1984=190073; %let subtr1984=8093; %let npgv1984=18979; %let fed1984=16054; %let retadj1984=41603; %let mid1984=129848;</v>
      </c>
      <c r="T29" s="575" t="str">
        <f>CONCATENATE("%let xewtx",'C10-Adj by Source'!A30,"=",ROUND('C10-Adj by Source'!AY30-'C10-Adj by Source'!AX30,3),"; %let comb",'C10-Adj by Source'!A30,"=",'C10-Adj by Source'!G30,"; %let depi",'C10-Adj by Source'!A30,"=",ROUND('C10-Adj by Source'!DC30,2),"; %let ss",'C10-Adj by Source'!A30,"=",'C10-Adj by Source'!BL30,"; %let ui",'C10-Adj by Source'!A30,"=",'C10-Adj by Source'!BP30,"; %let xss",'C10-Adj by Source'!A30,"=",ROUND('C10-Adj by Source'!BL30-'C10-Adj by Source'!BM30,3),"; %let xui",'C10-Adj by Source'!A30,"=",ROUND('C10-Adj by Source'!BP30-'C10-Adj by Source'!BR30,3),"; %let cash",'C10-Adj by Source'!A30,"=",ROUND('C10-Adj by Source'!BT30,0),"; %let mc",'C10-Adj by Source'!A30,"=",ROUND('T-T2'!AE33,0),"; %let ncash",'C10-Adj by Source'!A30,"=",ROUND('C10-Adj by Source'!BZ30,0),"; %let xfitx",'C10-Adj by Source'!A30,"=",ROUND('C10-Adj by Source'!CC30-'C10-Adj by Source'!CD30-B204,3),"; %let xsitx",'C10-Adj by Source'!A30,"=",ROUND('C10-Adj by Source'!CH30-'C10-Adj by Source'!CI30-C204,3),"; %let xiptx",'C10-Adj by Source'!A30,"=",ROUND('C10-Adj by Source'!CM30-'C10-Adj by Source'!CN30,3),"; %let xwtx",'C10-Adj by Source'!A30,"=",ROUND('C10-Adj by Source'!CR30-'C10-Adj by Source'!CS30,3), "; %let vet",'C10-Adj by Source'!A30,"=",ROUND('C10-Adj by Source'!BS30,3),"; %let ftx",'C10-Adj by Source'!A30,"=",ROUND('C10-Adj by Source'!CC30,3),";")</f>
        <v>%let xewtx1984=785.167; %let comb1984=0; %let depi1984=37488.33; %let ss1984=179092; %let ui1984=15991; %let xss1984=179092; %let xui1984=2928.72; %let cash1984=31959; %let mc1984=64748; %let ncash1984=72854; %let xfitx1984=373.316; %let xsitx1984=7413.693; %let xiptx1984=24955.749; %let xwtx1984=2604.247; %let vet1984=16265; %let ftx1984=301893;</v>
      </c>
    </row>
    <row r="30" spans="1:44" x14ac:dyDescent="0.3">
      <c r="A30" s="879" t="str">
        <f>CONCATENATE("%let FracPenNew",'C12-CorpOwn'!A30,"=",ROUND('C12-CorpOwn'!S30,3),"; %let FracNPGv",'C12-CorpOwn'!A30,"=",ROUND('C12-CorpOwn'!T30,3),"; %let Fcp",'C13-CapOwn'!A30,"=",ROUND('C13-CapOwn'!L30,3),"; %let Fdt",'C13-CapOwn'!A30,"=",ROUND('C13-CapOwn'!M30,3),"; %let Frt",'C13-CapOwn'!A30,"=",ROUND('C13-CapOwn'!N30,3),"; %let aFcp",'C13-CapOwn'!A30,"=",ROUND('C13-CapOwn'!Q30,3),"; %let aFdt",'C13-CapOwn'!A30,"=",ROUND('C13-CapOwn'!R30,3),"; %let aFrt",'C13-CapOwn'!A30,"=",ROUND('C13-CapOwn'!S30,3),"; %let aFps",'C13-CapOwn'!A30,"=", ROUND('C13-CapOwn'!T30,3),";")</f>
        <v>%let FracPenNew1985=0.433; %let FracNPGv1985=0.061; %let Fcp1985=0.212; %let Fdt1985=0.155; %let Frt1985=0.575; %let aFcp1985=0.154; %let aFdt1985=0.113; %let aFrt1985=0.418; %let aFps1985=0.274;</v>
      </c>
      <c r="I30" s="879" t="str">
        <f>CONCATENATE("%let totcorpNIPA",A205,"=",'C10-Adj by Source'!S31,"; %let totctaxNIPA",A205,"=",'C10-Adj by Source'!AC31,"; %let ntint",A205,"=",ROUND('C10-Adj by Source'!D31,0),"; %let esi",A205,"=",ROUND('C10-Adj by Source'!BA31,0),"; %let bpr",A205,"=",ROUND('C10-Adj by Source'!CO31,0),"; %let othtx",A205,"=",ROUND(0,0),"; %let sitx",A205,"=",ROUND('C10-Adj by Source'!CH31-'C22-Fiduciary'!AC30,0),"; %let otx",A205,"=",ROUND('C10-Adj by Source'!BF31,0),"; %let subtr",A205,"=",ROUND('C10-Adj by Source'!BG31,0),"; %let npgv",A205,"=",ROUND('C10-Adj by Source'!BH31,0),"; %let fed",A205,"=",ROUND('C10-Adj by Source'!BI31,0),"; %let retadj",A205,"=",ROUND('C10-Adj by Source'!BD31,0),"; %let mid",A205,"=",ROUND('T-T1'!DK34,0),";")</f>
        <v>%let totcorpNIPA1985=157536; %let totctaxNIPA1985=81610; %let ntint1985=27362; %let esi1985=141706; %let bpr1985=46144; %let othtx1985=0; %let sitx1985=71139; %let otx1985=200642; %let subtr1985=12700; %let npgv1985=22786; %let fed1985=17796; %let retadj1985=59555; %let mid1985=145435;</v>
      </c>
      <c r="T30" s="575" t="str">
        <f>CONCATENATE("%let xewtx",'C10-Adj by Source'!A31,"=",ROUND('C10-Adj by Source'!AY31-'C10-Adj by Source'!AX31,3),"; %let comb",'C10-Adj by Source'!A31,"=",'C10-Adj by Source'!G31,"; %let depi",'C10-Adj by Source'!A31,"=",ROUND('C10-Adj by Source'!DC31,2),"; %let ss",'C10-Adj by Source'!A31,"=",'C10-Adj by Source'!BL31,"; %let ui",'C10-Adj by Source'!A31,"=",'C10-Adj by Source'!BP31,"; %let xss",'C10-Adj by Source'!A31,"=",ROUND('C10-Adj by Source'!BL31-'C10-Adj by Source'!BM31,3),"; %let xui",'C10-Adj by Source'!A31,"=",ROUND('C10-Adj by Source'!BP31-'C10-Adj by Source'!BR31,3),"; %let cash",'C10-Adj by Source'!A31,"=",ROUND('C10-Adj by Source'!BT31,0),"; %let mc",'C10-Adj by Source'!A31,"=",ROUND('T-T2'!AE34,0),"; %let ncash",'C10-Adj by Source'!A31,"=",ROUND('C10-Adj by Source'!BZ31,0),"; %let xfitx",'C10-Adj by Source'!A31,"=",ROUND('C10-Adj by Source'!CC31-'C10-Adj by Source'!CD31-B205,3),"; %let xsitx",'C10-Adj by Source'!A31,"=",ROUND('C10-Adj by Source'!CH31-'C10-Adj by Source'!CI31-C205,3),"; %let xiptx",'C10-Adj by Source'!A31,"=",ROUND('C10-Adj by Source'!CM31-'C10-Adj by Source'!CN31,3),"; %let xwtx",'C10-Adj by Source'!A31,"=",ROUND('C10-Adj by Source'!CR31-'C10-Adj by Source'!CS31,3), "; %let vet",'C10-Adj by Source'!A31,"=",ROUND('C10-Adj by Source'!BS31,3),"; %let ftx",'C10-Adj by Source'!A31,"=",ROUND('C10-Adj by Source'!CC31,3),";")</f>
        <v>%let xewtx1985=1192.441; %let comb1985=0; %let depi1985=38010.42; %let ss1985=189486; %let ui1985=15861; %let xss1985=124911.137; %let xui1985=2894.494; %let cash1985=33811; %let mc1985=69720; %let ncash1985=77695; %let xfitx1985=9581.357; %let xsitx1985=5143.212; %let xiptx1985=25493.995; %let xwtx1985=4229.737; %let vet1985=16539; %let ftx1985=336453;</v>
      </c>
    </row>
    <row r="31" spans="1:44" x14ac:dyDescent="0.3">
      <c r="A31" s="879" t="str">
        <f>CONCATENATE("%let FracPenNew",'C12-CorpOwn'!A31,"=",ROUND('C12-CorpOwn'!S31,3),"; %let FracNPGv",'C12-CorpOwn'!A31,"=",ROUND('C12-CorpOwn'!T31,3),"; %let Fcp",'C13-CapOwn'!A31,"=",ROUND('C13-CapOwn'!L31,3),"; %let Fdt",'C13-CapOwn'!A31,"=",ROUND('C13-CapOwn'!M31,3),"; %let Frt",'C13-CapOwn'!A31,"=",ROUND('C13-CapOwn'!N31,3),"; %let aFcp",'C13-CapOwn'!A31,"=",ROUND('C13-CapOwn'!Q31,3),"; %let aFdt",'C13-CapOwn'!A31,"=",ROUND('C13-CapOwn'!R31,3),"; %let aFrt",'C13-CapOwn'!A31,"=",ROUND('C13-CapOwn'!S31,3),"; %let aFps",'C13-CapOwn'!A31,"=", ROUND('C13-CapOwn'!T31,3),";")</f>
        <v>%let FracPenNew1986=0.411; %let FracNPGv1986=0.062; %let Fcp1986=0.229; %let Fdt1986=0.143; %let Frt1986=0.572; %let aFcp1986=0.17; %let aFdt1986=0.106; %let aFrt1986=0.425; %let aFps1986=0.256;</v>
      </c>
      <c r="I31" s="879" t="str">
        <f>CONCATENATE("%let totcorpNIPA",A206,"=",'C10-Adj by Source'!S32,"; %let totctaxNIPA",A206,"=",'C10-Adj by Source'!AC32,"; %let ntint",A206,"=",ROUND('C10-Adj by Source'!D32,0),"; %let esi",A206,"=",ROUND('C10-Adj by Source'!BA32,0),"; %let bpr",A206,"=",ROUND('C10-Adj by Source'!CO32,0),"; %let othtx",A206,"=",ROUND(0,0),"; %let sitx",A206,"=",ROUND('C10-Adj by Source'!CH32-'C22-Fiduciary'!AC31,0),"; %let otx",A206,"=",ROUND('C10-Adj by Source'!BF32,0),"; %let subtr",A206,"=",ROUND('C10-Adj by Source'!BG32,0),"; %let npgv",A206,"=",ROUND('C10-Adj by Source'!BH32,0),"; %let fed",A206,"=",ROUND('C10-Adj by Source'!BI32,0),"; %let retadj",A206,"=",ROUND('C10-Adj by Source'!BD32,0),"; %let mid",A206,"=",ROUND('T-T1'!DK35,0),";")</f>
        <v>%let totcorpNIPA1986=108519; %let totctaxNIPA1986=91871; %let ntint1986=31171; %let esi1986=153444; %let bpr1986=51010; %let othtx1986=0; %let sitx1986=76389; %let otx1986=207215; %let subtr1986=11066; %let npgv1986=25211; %let fed1986=17804; %let retadj1986=63372; %let mid1986=160479;</v>
      </c>
      <c r="T31" s="575" t="str">
        <f>CONCATENATE("%let xewtx",'C10-Adj by Source'!A32,"=",ROUND('C10-Adj by Source'!AY32-'C10-Adj by Source'!AX32,3),"; %let comb",'C10-Adj by Source'!A32,"=",'C10-Adj by Source'!G32,"; %let depi",'C10-Adj by Source'!A32,"=",ROUND('C10-Adj by Source'!DC32,2),"; %let ss",'C10-Adj by Source'!A32,"=",'C10-Adj by Source'!BL32,"; %let ui",'C10-Adj by Source'!A32,"=",'C10-Adj by Source'!BP32,"; %let xss",'C10-Adj by Source'!A32,"=",ROUND('C10-Adj by Source'!BL32-'C10-Adj by Source'!BM32,3),"; %let xui",'C10-Adj by Source'!A32,"=",ROUND('C10-Adj by Source'!BP32-'C10-Adj by Source'!BR32,3),"; %let cash",'C10-Adj by Source'!A32,"=",ROUND('C10-Adj by Source'!BT32,0),"; %let mc",'C10-Adj by Source'!A32,"=",ROUND('T-T2'!AE35,0),"; %let ncash",'C10-Adj by Source'!A32,"=",ROUND('C10-Adj by Source'!BZ32,0),"; %let xfitx",'C10-Adj by Source'!A32,"=",ROUND('C10-Adj by Source'!CC32-'C10-Adj by Source'!CD32-B206,3),"; %let xsitx",'C10-Adj by Source'!A32,"=",ROUND('C10-Adj by Source'!CH32-'C10-Adj by Source'!CI32-C206,3),"; %let xiptx",'C10-Adj by Source'!A32,"=",ROUND('C10-Adj by Source'!CM32-'C10-Adj by Source'!CN32,3),"; %let xwtx",'C10-Adj by Source'!A32,"=",ROUND('C10-Adj by Source'!CR32-'C10-Adj by Source'!CS32,3), "; %let vet",'C10-Adj by Source'!A32,"=",ROUND('C10-Adj by Source'!BS32,3),"; %let ftx",'C10-Adj by Source'!A32,"=",ROUND('C10-Adj by Source'!CC32,3),";")</f>
        <v>%let xewtx1986=1618.678; %let comb1986=0; %let depi1986=38576.52; %let ss1986=199982; %let ui1986=16467; %let xss1986=129569.795; %let xui1986=2493.638; %let cash1986=36802; %let mc1986=75269; %let ncash1986=83510; %let xfitx1986=-17696.206; %let xsitx1986=5163.822; %let xiptx1986=25759.331; %let xwtx1986=5018.117; %let vet1986=16577; %let ftx1986=350601;</v>
      </c>
    </row>
    <row r="32" spans="1:44" x14ac:dyDescent="0.3">
      <c r="A32" s="879" t="str">
        <f>CONCATENATE("%let FracPenNew",'C12-CorpOwn'!A32,"=",ROUND('C12-CorpOwn'!S32,3),"; %let FracNPGv",'C12-CorpOwn'!A32,"=",ROUND('C12-CorpOwn'!T32,3),"; %let Fcp",'C13-CapOwn'!A32,"=",ROUND('C13-CapOwn'!L32,3),"; %let Fdt",'C13-CapOwn'!A32,"=",ROUND('C13-CapOwn'!M32,3),"; %let Frt",'C13-CapOwn'!A32,"=",ROUND('C13-CapOwn'!N32,3),"; %let aFcp",'C13-CapOwn'!A32,"=",ROUND('C13-CapOwn'!Q32,3),"; %let aFdt",'C13-CapOwn'!A32,"=",ROUND('C13-CapOwn'!R32,3),"; %let aFrt",'C13-CapOwn'!A32,"=",ROUND('C13-CapOwn'!S32,3),"; %let aFps",'C13-CapOwn'!A32,"=", ROUND('C13-CapOwn'!T32,3),";")</f>
        <v>%let FracPenNew1987=0.472; %let FracNPGv1987=0.065; %let Fcp1987=0.182; %let Fdt1987=0.164; %let Frt1987=0.595; %let aFcp1987=0.134; %let aFdt1987=0.12; %let aFrt1987=0.436; %let aFps1987=0.267;</v>
      </c>
      <c r="I32" s="879" t="str">
        <f>CONCATENATE("%let totcorpNIPA",A207,"=",'C10-Adj by Source'!S33,"; %let totctaxNIPA",A207,"=",'C10-Adj by Source'!AC33,"; %let ntint",A207,"=",ROUND('C10-Adj by Source'!D33,0),"; %let esi",A207,"=",ROUND('C10-Adj by Source'!BA33,0),"; %let bpr",A207,"=",ROUND('C10-Adj by Source'!CO33,0),"; %let othtx",A207,"=",ROUND(0,0),"; %let sitx",A207,"=",ROUND('C10-Adj by Source'!CH33-'C22-Fiduciary'!AC32,0),"; %let otx",A207,"=",ROUND('C10-Adj by Source'!BF33,0),"; %let subtr",A207,"=",ROUND('C10-Adj by Source'!BG33,0),"; %let npgv",A207,"=",ROUND('C10-Adj by Source'!BH33,0),"; %let fed",A207,"=",ROUND('C10-Adj by Source'!BI33,0),"; %let retadj",A207,"=",ROUND('C10-Adj by Source'!BD33,0),"; %let mid",A207,"=",ROUND('T-T1'!DK36,0),";")</f>
        <v>%let totcorpNIPA1987=123230; %let totctaxNIPA1987=112702; %let ntint1987=30551; %let esi1987=166826; %let bpr1987=55112; %let othtx1987=0; %let sitx1987=84821; %let otx1987=221123; %let subtr1987=3012; %let npgv1987=25686; %let fed1987=17739; %let retadj1987=53446; %let mid1987=171605;</v>
      </c>
      <c r="T32" s="575" t="str">
        <f>CONCATENATE("%let xewtx",'C10-Adj by Source'!A33,"=",ROUND('C10-Adj by Source'!AY33-'C10-Adj by Source'!AX33,3),"; %let comb",'C10-Adj by Source'!A33,"=",'C10-Adj by Source'!G33,"; %let depi",'C10-Adj by Source'!A33,"=",ROUND('C10-Adj by Source'!DC33,2),"; %let ss",'C10-Adj by Source'!A33,"=",'C10-Adj by Source'!BL33,"; %let ui",'C10-Adj by Source'!A33,"=",'C10-Adj by Source'!BP33,"; %let xss",'C10-Adj by Source'!A33,"=",ROUND('C10-Adj by Source'!BL33-'C10-Adj by Source'!BM33,3),"; %let xui",'C10-Adj by Source'!A33,"=",ROUND('C10-Adj by Source'!BP33-'C10-Adj by Source'!BR33,3),"; %let cash",'C10-Adj by Source'!A33,"=",ROUND('C10-Adj by Source'!BT33,0),"; %let mc",'C10-Adj by Source'!A33,"=",ROUND('T-T2'!AE36,0),"; %let ncash",'C10-Adj by Source'!A33,"=",ROUND('C10-Adj by Source'!BZ33,0),"; %let xfitx",'C10-Adj by Source'!A33,"=",ROUND('C10-Adj by Source'!CC33-'C10-Adj by Source'!CD33-B207,3),"; %let xsitx",'C10-Adj by Source'!A33,"=",ROUND('C10-Adj by Source'!CH33-'C10-Adj by Source'!CI33-C207,3),"; %let xiptx",'C10-Adj by Source'!A33,"=",ROUND('C10-Adj by Source'!CM33-'C10-Adj by Source'!CN33,3),"; %let xwtx",'C10-Adj by Source'!A33,"=",ROUND('C10-Adj by Source'!CR33-'C10-Adj by Source'!CS33,3), "; %let vet",'C10-Adj by Source'!A33,"=",ROUND('C10-Adj by Source'!BS33,3),"; %let ftx",'C10-Adj by Source'!A33,"=",ROUND('C10-Adj by Source'!CC33,3),";")</f>
        <v>%let xewtx1987=1681.06; %let comb1987=0; %let depi1987=41903.52; %let ss1987=207473; %let ui1987=14625; %let xss1987=130335.918; %let xui1987=2490.091; %let cash1987=38856; %let mc1987=81585; %let ncash1987=88923; %let xfitx1987=22855.341; %let xsitx1987=9693.106; %let xiptx1987=32329.331; %let xwtx1987=5494.927; %let vet1987=16451; %let ftx1987=392987;</v>
      </c>
    </row>
    <row r="33" spans="1:20" x14ac:dyDescent="0.3">
      <c r="A33" s="879" t="str">
        <f>CONCATENATE("%let FracPenNew",'C12-CorpOwn'!A33,"=",ROUND('C12-CorpOwn'!S33,3),"; %let FracNPGv",'C12-CorpOwn'!A33,"=",ROUND('C12-CorpOwn'!T33,3),"; %let Fcp",'C13-CapOwn'!A33,"=",ROUND('C13-CapOwn'!L33,3),"; %let Fdt",'C13-CapOwn'!A33,"=",ROUND('C13-CapOwn'!M33,3),"; %let Frt",'C13-CapOwn'!A33,"=",ROUND('C13-CapOwn'!N33,3),"; %let aFcp",'C13-CapOwn'!A33,"=",ROUND('C13-CapOwn'!Q33,3),"; %let aFdt",'C13-CapOwn'!A33,"=",ROUND('C13-CapOwn'!R33,3),"; %let aFrt",'C13-CapOwn'!A33,"=",ROUND('C13-CapOwn'!S33,3),"; %let aFps",'C13-CapOwn'!A33,"=", ROUND('C13-CapOwn'!T33,3),";")</f>
        <v>%let FracPenNew1988=0.451; %let FracNPGv1988=0.066; %let Fcp1988=0.187; %let Fdt1988=0.174; %let Frt1988=0.574; %let aFcp1988=0.139; %let aFdt1988=0.129; %let aFrt1988=0.425; %let aFps1988=0.259;</v>
      </c>
      <c r="I33" s="879" t="str">
        <f>CONCATENATE("%let totcorpNIPA",A208,"=",'C10-Adj by Source'!S34,"; %let totctaxNIPA",A208,"=",'C10-Adj by Source'!AC34,"; %let ntint",A208,"=",ROUND('C10-Adj by Source'!D34,0),"; %let esi",A208,"=",ROUND('C10-Adj by Source'!BA34,0),"; %let bpr",A208,"=",ROUND('C10-Adj by Source'!CO34,0),"; %let othtx",A208,"=",ROUND(0,0),"; %let sitx",A208,"=",ROUND('C10-Adj by Source'!CH34-'C22-Fiduciary'!AC33,0),"; %let otx",A208,"=",ROUND('C10-Adj by Source'!BF34,0),"; %let subtr",A208,"=",ROUND('C10-Adj by Source'!BG34,0),"; %let npgv",A208,"=",ROUND('C10-Adj by Source'!BH34,0),"; %let fed",A208,"=",ROUND('C10-Adj by Source'!BI34,0),"; %let retadj",A208,"=",ROUND('C10-Adj by Source'!BD34,0),"; %let mid",A208,"=",ROUND('T-T1'!DK37,0),";")</f>
        <v>%let totcorpNIPA1988=143330; %let totctaxNIPA1988=124266; %let ntint1988=32604; %let esi1988=187905; %let bpr1988=60149; %let othtx1988=0; %let sitx1988=89384; %let otx1988=237968; %let subtr1988=3253; %let npgv1988=29891; %let fed1988=17364; %let retadj1988=32855; %let mid1988=183778;</v>
      </c>
      <c r="T33" s="575" t="str">
        <f>CONCATENATE("%let xewtx",'C10-Adj by Source'!A34,"=",ROUND('C10-Adj by Source'!AY34-'C10-Adj by Source'!AX34,3),"; %let comb",'C10-Adj by Source'!A34,"=",'C10-Adj by Source'!G34,"; %let depi",'C10-Adj by Source'!A34,"=",ROUND('C10-Adj by Source'!DC34,2),"; %let ss",'C10-Adj by Source'!A34,"=",'C10-Adj by Source'!BL34,"; %let ui",'C10-Adj by Source'!A34,"=",'C10-Adj by Source'!BP34,"; %let xss",'C10-Adj by Source'!A34,"=",ROUND('C10-Adj by Source'!BL34-'C10-Adj by Source'!BM34,3),"; %let xui",'C10-Adj by Source'!A34,"=",ROUND('C10-Adj by Source'!BP34-'C10-Adj by Source'!BR34,3),"; %let cash",'C10-Adj by Source'!A34,"=",ROUND('C10-Adj by Source'!BT34,0),"; %let mc",'C10-Adj by Source'!A34,"=",ROUND('T-T2'!AE37,0),"; %let ncash",'C10-Adj by Source'!A34,"=",ROUND('C10-Adj by Source'!BZ34,0),"; %let xfitx",'C10-Adj by Source'!A34,"=",ROUND('C10-Adj by Source'!CC34-'C10-Adj by Source'!CD34-B208,3),"; %let xsitx",'C10-Adj by Source'!A34,"=",ROUND('C10-Adj by Source'!CH34-'C10-Adj by Source'!CI34-C208,3),"; %let xiptx",'C10-Adj by Source'!A34,"=",ROUND('C10-Adj by Source'!CM34-'C10-Adj by Source'!CN34,3),"; %let xwtx",'C10-Adj by Source'!A34,"=",ROUND('C10-Adj by Source'!CR34-'C10-Adj by Source'!CS34,3), "; %let vet",'C10-Adj by Source'!A34,"=",ROUND('C10-Adj by Source'!BS34,3),"; %let ftx",'C10-Adj by Source'!A34,"=",ROUND('C10-Adj by Source'!CC34,3),";")</f>
        <v>%let xewtx1988=1393.753; %let comb1988=0; %let depi1988=43909.64; %let ss1988=220624; %let ui1988=13328; %let xss1988=136987.811; %let xui1988=1803.988; %let cash1988=42849; %let mc1988=86289; %let ncash1988=97051; %let xfitx1988=-11093.875; %let xsitx1988=14914.74; %let xiptx1988=35460.102; %let xwtx1988=5563.073; %let vet1988=16723; %let ftx1988=403845;</v>
      </c>
    </row>
    <row r="34" spans="1:20" x14ac:dyDescent="0.3">
      <c r="A34" s="879" t="str">
        <f>CONCATENATE("%let FracPenNew",'C12-CorpOwn'!A34,"=",ROUND('C12-CorpOwn'!S34,3),"; %let FracNPGv",'C12-CorpOwn'!A34,"=",ROUND('C12-CorpOwn'!T34,3),"; %let Fcp",'C13-CapOwn'!A34,"=",ROUND('C13-CapOwn'!L34,3),"; %let Fdt",'C13-CapOwn'!A34,"=",ROUND('C13-CapOwn'!M34,3),"; %let Frt",'C13-CapOwn'!A34,"=",ROUND('C13-CapOwn'!N34,3),"; %let aFcp",'C13-CapOwn'!A34,"=",ROUND('C13-CapOwn'!Q34,3),"; %let aFdt",'C13-CapOwn'!A34,"=",ROUND('C13-CapOwn'!R34,3),"; %let aFrt",'C13-CapOwn'!A34,"=",ROUND('C13-CapOwn'!S34,3),"; %let aFps",'C13-CapOwn'!A34,"=", ROUND('C13-CapOwn'!T34,3),";")</f>
        <v>%let FracPenNew1989=0.442; %let FracNPGv1989=0.074; %let Fcp1989=0.204; %let Fdt1989=0.159; %let Frt1989=0.571; %let aFcp1989=0.155; %let aFdt1989=0.121; %let aFrt1989=0.433; %let aFps1989=0.242;</v>
      </c>
      <c r="I34" s="879" t="str">
        <f>CONCATENATE("%let totcorpNIPA",A209,"=",'C10-Adj by Source'!S35,"; %let totctaxNIPA",A209,"=",'C10-Adj by Source'!AC35,"; %let ntint",A209,"=",ROUND('C10-Adj by Source'!D35,0),"; %let esi",A209,"=",ROUND('C10-Adj by Source'!BA35,0),"; %let bpr",A209,"=",ROUND('C10-Adj by Source'!CO35,0),"; %let othtx",A209,"=",ROUND(0,0),"; %let sitx",A209,"=",ROUND('C10-Adj by Source'!CH35-'C22-Fiduciary'!AC34,0),"; %let otx",A209,"=",ROUND('C10-Adj by Source'!BF35,0),"; %let subtr",A209,"=",ROUND('C10-Adj by Source'!BG35,0),"; %let npgv",A209,"=",ROUND('C10-Adj by Source'!BH35,0),"; %let fed",A209,"=",ROUND('C10-Adj by Source'!BI35,0),"; %let retadj",A209,"=",ROUND('C10-Adj by Source'!BD35,0),"; %let mid",A209,"=",ROUND('T-T1'!DK38,0),";")</f>
        <v>%let totcorpNIPA1989=110199; %let totctaxNIPA1989=124422; %let ntint1989=37322; %let esi1989=208068; %let bpr1989=66814; %let othtx1989=0; %let sitx1989=100977; %let otx1989=249003; %let subtr1989=10838; %let npgv1989=36354; %let fed1989=21646; %let retadj1989=46915; %let mid1989=199927;</v>
      </c>
      <c r="T34" s="575" t="str">
        <f>CONCATENATE("%let xewtx",'C10-Adj by Source'!A35,"=",ROUND('C10-Adj by Source'!AY35-'C10-Adj by Source'!AX35,3),"; %let comb",'C10-Adj by Source'!A35,"=",'C10-Adj by Source'!G35,"; %let depi",'C10-Adj by Source'!A35,"=",ROUND('C10-Adj by Source'!DC35,2),"; %let ss",'C10-Adj by Source'!A35,"=",'C10-Adj by Source'!BL35,"; %let ui",'C10-Adj by Source'!A35,"=",'C10-Adj by Source'!BP35,"; %let xss",'C10-Adj by Source'!A35,"=",ROUND('C10-Adj by Source'!BL35-'C10-Adj by Source'!BM35,3),"; %let xui",'C10-Adj by Source'!A35,"=",ROUND('C10-Adj by Source'!BP35-'C10-Adj by Source'!BR35,3),"; %let cash",'C10-Adj by Source'!A35,"=",ROUND('C10-Adj by Source'!BT35,0),"; %let mc",'C10-Adj by Source'!A35,"=",ROUND('T-T2'!AE38,0),"; %let ncash",'C10-Adj by Source'!A35,"=",ROUND('C10-Adj by Source'!BZ35,0),"; %let xfitx",'C10-Adj by Source'!A35,"=",ROUND('C10-Adj by Source'!CC35-'C10-Adj by Source'!CD35-B209,3),"; %let xsitx",'C10-Adj by Source'!A35,"=",ROUND('C10-Adj by Source'!CH35-'C10-Adj by Source'!CI35-C209,3),"; %let xiptx",'C10-Adj by Source'!A35,"=",ROUND('C10-Adj by Source'!CM35-'C10-Adj by Source'!CN35,3),"; %let xwtx",'C10-Adj by Source'!A35,"=",ROUND('C10-Adj by Source'!CR35-'C10-Adj by Source'!CS35,3), "; %let vet",'C10-Adj by Source'!A35,"=",ROUND('C10-Adj by Source'!BS35,3),"; %let ftx",'C10-Adj by Source'!A35,"=",ROUND('C10-Adj by Source'!CC35,3),";")</f>
        <v>%let xewtx1989=1421.698; %let comb1989=0; %let depi1989=47505.44; %let ss1989=234338; %let ui1989=14410; %let xss1989=143137.262; %let xui1989=2448.467; %let cash1989=47402; %let mc1989=98175; %let ncash1989=109543; %let xfitx1989=17400.102; %let xsitx1989=20428.95; %let xiptx1989=37929.926; %let xwtx1989=7282.539; %let vet1989=17202; %let ftx1989=453095;</v>
      </c>
    </row>
    <row r="35" spans="1:20" x14ac:dyDescent="0.3">
      <c r="A35" s="879" t="str">
        <f>CONCATENATE("%let FracPenNew",'C12-CorpOwn'!A35,"=",ROUND('C12-CorpOwn'!S35,3),"; %let FracNPGv",'C12-CorpOwn'!A35,"=",ROUND('C12-CorpOwn'!T35,3),"; %let Fcp",'C13-CapOwn'!A35,"=",ROUND('C13-CapOwn'!L35,3),"; %let Fdt",'C13-CapOwn'!A35,"=",ROUND('C13-CapOwn'!M35,3),"; %let Frt",'C13-CapOwn'!A35,"=",ROUND('C13-CapOwn'!N35,3),"; %let aFcp",'C13-CapOwn'!A35,"=",ROUND('C13-CapOwn'!Q35,3),"; %let aFdt",'C13-CapOwn'!A35,"=",ROUND('C13-CapOwn'!R35,3),"; %let aFrt",'C13-CapOwn'!A35,"=",ROUND('C13-CapOwn'!S35,3),"; %let aFps",'C13-CapOwn'!A35,"=", ROUND('C13-CapOwn'!T35,3),";")</f>
        <v>%let FracPenNew1990=0.501; %let FracNPGv1990=0.079; %let Fcp1990=0.157; %let Fdt1990=0.185; %let Frt1990=0.592; %let aFcp1990=0.119; %let aFdt1990=0.14; %let aFrt1990=0.448; %let aFps1990=0.243;</v>
      </c>
      <c r="I35" s="879" t="str">
        <f>CONCATENATE("%let totcorpNIPA",A210,"=",'C10-Adj by Source'!S36,"; %let totctaxNIPA",A210,"=",'C10-Adj by Source'!AC36,"; %let ntint",A210,"=",ROUND('C10-Adj by Source'!D36,0),"; %let esi",A210,"=",ROUND('C10-Adj by Source'!BA36,0),"; %let bpr",A210,"=",ROUND('C10-Adj by Source'!CO36,0),"; %let othtx",A210,"=",ROUND(0,0),"; %let sitx",A210,"=",ROUND('C10-Adj by Source'!CH36-'C22-Fiduciary'!AC35,0),"; %let otx",A210,"=",ROUND('C10-Adj by Source'!BF36,0),"; %let subtr",A210,"=",ROUND('C10-Adj by Source'!BG36,0),"; %let npgv",A210,"=",ROUND('C10-Adj by Source'!BH36,0),"; %let fed",A210,"=",ROUND('C10-Adj by Source'!BI36,0),"; %let retadj",A210,"=",ROUND('C10-Adj by Source'!BD36,0),"; %let mid",A210,"=",ROUND('T-T1'!DK39,0),";")</f>
        <v>%let totcorpNIPA1990=102666; %let totctaxNIPA1990=121816; %let ntint1990=39999; %let esi1990=231916; %let bpr1990=72798; %let othtx1990=0; %let sitx1990=108224; %let otx1990=263457; %let subtr1990=12186; %let npgv1990=34696; %let fed1990=23608; %let retadj1990=39214; %let mid1990=214446;</v>
      </c>
      <c r="T35" s="575" t="str">
        <f>CONCATENATE("%let xewtx",'C10-Adj by Source'!A36,"=",ROUND('C10-Adj by Source'!AY36-'C10-Adj by Source'!AX36,3),"; %let comb",'C10-Adj by Source'!A36,"=",'C10-Adj by Source'!G36,"; %let depi",'C10-Adj by Source'!A36,"=",ROUND('C10-Adj by Source'!DC36,2),"; %let ss",'C10-Adj by Source'!A36,"=",'C10-Adj by Source'!BL36,"; %let ui",'C10-Adj by Source'!A36,"=",'C10-Adj by Source'!BP36,"; %let xss",'C10-Adj by Source'!A36,"=",ROUND('C10-Adj by Source'!BL36-'C10-Adj by Source'!BM36,3),"; %let xui",'C10-Adj by Source'!A36,"=",ROUND('C10-Adj by Source'!BP36-'C10-Adj by Source'!BR36,3),"; %let cash",'C10-Adj by Source'!A36,"=",ROUND('C10-Adj by Source'!BT36,0),"; %let mc",'C10-Adj by Source'!A36,"=",ROUND('T-T2'!AE39,0),"; %let ncash",'C10-Adj by Source'!A36,"=",ROUND('C10-Adj by Source'!BZ36,0),"; %let xfitx",'C10-Adj by Source'!A36,"=",ROUND('C10-Adj by Source'!CC36-'C10-Adj by Source'!CD36-B210,3),"; %let xsitx",'C10-Adj by Source'!A36,"=",ROUND('C10-Adj by Source'!CH36-'C10-Adj by Source'!CI36-C210,3),"; %let xiptx",'C10-Adj by Source'!A36,"=",ROUND('C10-Adj by Source'!CM36-'C10-Adj by Source'!CN36,3),"; %let xwtx",'C10-Adj by Source'!A36,"=",ROUND('C10-Adj by Source'!CR36-'C10-Adj by Source'!CS36,3), "; %let vet",'C10-Adj by Source'!A36,"=",ROUND('C10-Adj by Source'!BS36,3),"; %let ftx",'C10-Adj by Source'!A36,"=",ROUND('C10-Adj by Source'!CC36,3),";")</f>
        <v>%let xewtx1990=2754.361; %let comb1990=0; %let depi1990=46343.49; %let ss1990=251356; %let ui1990=18162; %let xss1990=151875.931; %let xui1990=2895.097; %let cash1990=52910; %let mc1990=107638; %let ncash1990=126933; %let xfitx1990=20869.631; %let xsitx1990=23462.26; %let xiptx1990=39148.351; %let xwtx1990=10542.612; %let vet1990=17675; %let ftx1990=472109;</v>
      </c>
    </row>
    <row r="36" spans="1:20" x14ac:dyDescent="0.3">
      <c r="A36" s="879" t="str">
        <f>CONCATENATE("%let FracPenNew",'C12-CorpOwn'!A36,"=",ROUND('C12-CorpOwn'!S36,3),"; %let FracNPGv",'C12-CorpOwn'!A36,"=",ROUND('C12-CorpOwn'!T36,3),"; %let Fcp",'C13-CapOwn'!A36,"=",ROUND('C13-CapOwn'!L36,3),"; %let Fdt",'C13-CapOwn'!A36,"=",ROUND('C13-CapOwn'!M36,3),"; %let Frt",'C13-CapOwn'!A36,"=",ROUND('C13-CapOwn'!N36,3),"; %let aFcp",'C13-CapOwn'!A36,"=",ROUND('C13-CapOwn'!Q36,3),"; %let aFdt",'C13-CapOwn'!A36,"=",ROUND('C13-CapOwn'!R36,3),"; %let aFrt",'C13-CapOwn'!A36,"=",ROUND('C13-CapOwn'!S36,3),"; %let aFps",'C13-CapOwn'!A36,"=", ROUND('C13-CapOwn'!T36,3),";")</f>
        <v>%let FracPenNew1991=0.457; %let FracNPGv1991=0.06; %let Fcp1991=0.218; %let Fdt1991=0.155; %let Frt1991=0.57; %let aFcp1991=0.173; %let aFdt1991=0.123; %let aFrt1991=0.453; %let aFps1991=0.205;</v>
      </c>
      <c r="I36" s="879" t="str">
        <f>CONCATENATE("%let totcorpNIPA",A211,"=",'C10-Adj by Source'!S37,"; %let totctaxNIPA",A211,"=",'C10-Adj by Source'!AC37,"; %let ntint",A211,"=",ROUND('C10-Adj by Source'!D37,0),"; %let esi",A211,"=",ROUND('C10-Adj by Source'!BA37,0),"; %let bpr",A211,"=",ROUND('C10-Adj by Source'!CO37,0),"; %let othtx",A211,"=",ROUND(0,0),"; %let sitx",A211,"=",ROUND('C10-Adj by Source'!CH37-'C22-Fiduciary'!AC36,0),"; %let otx",A211,"=",ROUND('C10-Adj by Source'!BF37,0),"; %let subtr",A211,"=",ROUND('C10-Adj by Source'!BG37,0),"; %let npgv",A211,"=",ROUND('C10-Adj by Source'!BH37,0),"; %let fed",A211,"=",ROUND('C10-Adj by Source'!BI37,0),"; %let retadj",A211,"=",ROUND('C10-Adj by Source'!BD37,0),"; %let mid",A211,"=",ROUND('T-T1'!DK40,0),";")</f>
        <v>%let totcorpNIPA1991=132225; %let totctaxNIPA1991=117813; %let ntint1991=42831; %let esi1991=252140; %let bpr1991=80678; %let othtx1991=0; %let sitx1991=110272; %let otx1991=281020; %let subtr1991=11401; %let npgv1991=36073; %let fed1991=20778; %let retadj1991=32269; %let mid1991=220132;</v>
      </c>
      <c r="T36" s="575" t="str">
        <f>CONCATENATE("%let xewtx",'C10-Adj by Source'!A37,"=",ROUND('C10-Adj by Source'!AY37-'C10-Adj by Source'!AX37,3),"; %let comb",'C10-Adj by Source'!A37,"=",'C10-Adj by Source'!G37,"; %let depi",'C10-Adj by Source'!A37,"=",ROUND('C10-Adj by Source'!DC37,2),"; %let ss",'C10-Adj by Source'!A37,"=",'C10-Adj by Source'!BL37,"; %let ui",'C10-Adj by Source'!A37,"=",'C10-Adj by Source'!BP37,"; %let xss",'C10-Adj by Source'!A37,"=",ROUND('C10-Adj by Source'!BL37-'C10-Adj by Source'!BM37,3),"; %let xui",'C10-Adj by Source'!A37,"=",ROUND('C10-Adj by Source'!BP37-'C10-Adj by Source'!BR37,3),"; %let cash",'C10-Adj by Source'!A37,"=",ROUND('C10-Adj by Source'!BT37,0),"; %let mc",'C10-Adj by Source'!A37,"=",ROUND('T-T2'!AE40,0),"; %let ncash",'C10-Adj by Source'!A37,"=",ROUND('C10-Adj by Source'!BZ37,0),"; %let xfitx",'C10-Adj by Source'!A37,"=",ROUND('C10-Adj by Source'!CC37-'C10-Adj by Source'!CD37-B211,3),"; %let xsitx",'C10-Adj by Source'!A37,"=",ROUND('C10-Adj by Source'!CH37-'C10-Adj by Source'!CI37-C211,3),"; %let xiptx",'C10-Adj by Source'!A37,"=",ROUND('C10-Adj by Source'!CM37-'C10-Adj by Source'!CN37,3),"; %let xwtx",'C10-Adj by Source'!A37,"=",ROUND('C10-Adj by Source'!CR37-'C10-Adj by Source'!CS37,3), "; %let vet",'C10-Adj by Source'!A37,"=",ROUND('C10-Adj by Source'!BS37,3),"; %let ftx",'C10-Adj by Source'!A37,"=",ROUND('C10-Adj by Source'!CC37,3),";")</f>
        <v>%let xewtx1991=3529.991; %let comb1991=0; %let depi1991=40839.65; %let ss1991=271717; %let ui1991=26787; %let xss1991=164227.939; %let xui1991=3676.072; %let cash1991=59094; %let mc1991=117487; %let ncash1991=157304; %let xfitx1991=9041.482; %let xsitx1991=22553.226; %let xiptx1991=41393.365; %let xwtx1991=13722.088; %let vet1991=18118; %let ftx1991=463590;</v>
      </c>
    </row>
    <row r="37" spans="1:20" x14ac:dyDescent="0.3">
      <c r="A37" s="879" t="str">
        <f>CONCATENATE("%let FracPenNew",'C12-CorpOwn'!A37,"=",ROUND('C12-CorpOwn'!S37,3),"; %let FracNPGv",'C12-CorpOwn'!A37,"=",ROUND('C12-CorpOwn'!T37,3),"; %let Fcp",'C13-CapOwn'!A37,"=",ROUND('C13-CapOwn'!L37,3),"; %let Fdt",'C13-CapOwn'!A37,"=",ROUND('C13-CapOwn'!M37,3),"; %let Frt",'C13-CapOwn'!A37,"=",ROUND('C13-CapOwn'!N37,3),"; %let aFcp",'C13-CapOwn'!A37,"=",ROUND('C13-CapOwn'!Q37,3),"; %let aFdt",'C13-CapOwn'!A37,"=",ROUND('C13-CapOwn'!R37,3),"; %let aFrt",'C13-CapOwn'!A37,"=",ROUND('C13-CapOwn'!S37,3),"; %let aFps",'C13-CapOwn'!A37,"=", ROUND('C13-CapOwn'!T37,3),";")</f>
        <v>%let FracPenNew1992=0.452; %let FracNPGv1992=0.06; %let Fcp1992=0.226; %let Fdt1992=0.151; %let Frt1992=0.566; %let aFcp1992=0.183; %let aFdt1992=0.123; %let aFrt1992=0.459; %let aFps1992=0.189;</v>
      </c>
      <c r="I37" s="879" t="str">
        <f>CONCATENATE("%let totcorpNIPA",A212,"=",'C10-Adj by Source'!S38,"; %let totctaxNIPA",A212,"=",'C10-Adj by Source'!AC38,"; %let ntint",A212,"=",ROUND('C10-Adj by Source'!D38,0),"; %let esi",A212,"=",ROUND('C10-Adj by Source'!BA38,0),"; %let bpr",A212,"=",ROUND('C10-Adj by Source'!CO38,0),"; %let othtx",A212,"=",ROUND(0,0),"; %let sitx",A212,"=",ROUND('C10-Adj by Source'!CH38-'C22-Fiduciary'!AC37,0),"; %let otx",A212,"=",ROUND('C10-Adj by Source'!BF38,0),"; %let subtr",A212,"=",ROUND('C10-Adj by Source'!BG38,0),"; %let npgv",A212,"=",ROUND('C10-Adj by Source'!BH38,0),"; %let fed",A212,"=",ROUND('C10-Adj by Source'!BI38,0),"; %let retadj",A212,"=",ROUND('C10-Adj by Source'!BD38,0),"; %let mid",A212,"=",ROUND('T-T1'!DK41,0),";")</f>
        <v>%let totcorpNIPA1992=137067; %let totctaxNIPA1992=131914; %let ntint1992=45432; %let esi1992=283743; %let bpr1992=85907; %let othtx1992=0; %let sitx1992=118852; %let otx1992=298698; %let subtr1992=9631; %let npgv1992=37623; %let fed1992=16774; %let retadj1992=46222; %let mid1992=222199;</v>
      </c>
      <c r="T37" s="575" t="str">
        <f>CONCATENATE("%let xewtx",'C10-Adj by Source'!A38,"=",ROUND('C10-Adj by Source'!AY38-'C10-Adj by Source'!AX38,3),"; %let comb",'C10-Adj by Source'!A38,"=",'C10-Adj by Source'!G38,"; %let depi",'C10-Adj by Source'!A38,"=",ROUND('C10-Adj by Source'!DC38,2),"; %let ss",'C10-Adj by Source'!A38,"=",'C10-Adj by Source'!BL38,"; %let ui",'C10-Adj by Source'!A38,"=",'C10-Adj by Source'!BP38,"; %let xss",'C10-Adj by Source'!A38,"=",ROUND('C10-Adj by Source'!BL38-'C10-Adj by Source'!BM38,3),"; %let xui",'C10-Adj by Source'!A38,"=",ROUND('C10-Adj by Source'!BP38-'C10-Adj by Source'!BR38,3),"; %let cash",'C10-Adj by Source'!A38,"=",ROUND('C10-Adj by Source'!BT38,0),"; %let mc",'C10-Adj by Source'!A38,"=",ROUND('T-T2'!AE41,0),"; %let ncash",'C10-Adj by Source'!A38,"=",ROUND('C10-Adj by Source'!BZ38,0),"; %let xfitx",'C10-Adj by Source'!A38,"=",ROUND('C10-Adj by Source'!CC38-'C10-Adj by Source'!CD38-B212,3),"; %let xsitx",'C10-Adj by Source'!A38,"=",ROUND('C10-Adj by Source'!CH38-'C10-Adj by Source'!CI38-C212,3),"; %let xiptx",'C10-Adj by Source'!A38,"=",ROUND('C10-Adj by Source'!CM38-'C10-Adj by Source'!CN38,3),"; %let xwtx",'C10-Adj by Source'!A38,"=",ROUND('C10-Adj by Source'!CR38-'C10-Adj by Source'!CS38,3), "; %let vet",'C10-Adj by Source'!A38,"=",ROUND('C10-Adj by Source'!BS38,3),"; %let ftx",'C10-Adj by Source'!A38,"=",ROUND('C10-Adj by Source'!CC38,3),";")</f>
        <v>%let xewtx1992=6203.067; %let comb1992=0; %let depi1992=41502.79; %let ss1992=289520; %let ui1992=39617; %let xss1992=179234.074; %let xui1992=8486.781; %let cash1992=68387; %let mc1992=132596; %let ncash1992=183024; %let xfitx1992=-5651.432; %let xsitx1992=22262.333; %let xiptx1992=41477.74; %let xwtx1992=14362.151; %let vet1992=18606; %let ftx1992=477497;</v>
      </c>
    </row>
    <row r="38" spans="1:20" x14ac:dyDescent="0.3">
      <c r="A38" s="879" t="str">
        <f>CONCATENATE("%let FracPenNew",'C12-CorpOwn'!A38,"=",ROUND('C12-CorpOwn'!S38,3),"; %let FracNPGv",'C12-CorpOwn'!A38,"=",ROUND('C12-CorpOwn'!T38,3),"; %let Fcp",'C13-CapOwn'!A38,"=",ROUND('C13-CapOwn'!L38,3),"; %let Fdt",'C13-CapOwn'!A38,"=",ROUND('C13-CapOwn'!M38,3),"; %let Frt",'C13-CapOwn'!A38,"=",ROUND('C13-CapOwn'!N38,3),"; %let aFcp",'C13-CapOwn'!A38,"=",ROUND('C13-CapOwn'!Q38,3),"; %let aFdt",'C13-CapOwn'!A38,"=",ROUND('C13-CapOwn'!R38,3),"; %let aFrt",'C13-CapOwn'!A38,"=",ROUND('C13-CapOwn'!S38,3),"; %let aFps",'C13-CapOwn'!A38,"=", ROUND('C13-CapOwn'!T38,3),";")</f>
        <v>%let FracPenNew1993=0.454; %let FracNPGv1993=0.057; %let Fcp1993=0.236; %let Fdt1993=0.141; %let Frt1993=0.566; %let aFcp1993=0.194; %let aFdt1993=0.116; %let aFrt1993=0.465; %let aFps1993=0.178;</v>
      </c>
      <c r="I38" s="879" t="str">
        <f>CONCATENATE("%let totcorpNIPA",A213,"=",'C10-Adj by Source'!S39,"; %let totctaxNIPA",A213,"=",'C10-Adj by Source'!AC39,"; %let ntint",A213,"=",ROUND('C10-Adj by Source'!D39,0),"; %let esi",A213,"=",ROUND('C10-Adj by Source'!BA39,0),"; %let bpr",A213,"=",ROUND('C10-Adj by Source'!CO39,0),"; %let othtx",A213,"=",ROUND(0,0),"; %let sitx",A213,"=",ROUND('C10-Adj by Source'!CH39-'C22-Fiduciary'!AC38,0),"; %let otx",A213,"=",ROUND('C10-Adj by Source'!BF39,0),"; %let subtr",A213,"=",ROUND('C10-Adj by Source'!BG39,0),"; %let npgv",A213,"=",ROUND('C10-Adj by Source'!BH39,0),"; %let fed",A213,"=",ROUND('C10-Adj by Source'!BI39,0),"; %let retadj",A213,"=",ROUND('C10-Adj by Source'!BD39,0),"; %let mid",A213,"=",ROUND('T-T1'!DK42,0),";")</f>
        <v>%let totcorpNIPA1993=145644; %let totctaxNIPA1993=155047; %let ntint1993=46170; %let esi1993=304432; %let bpr1993=88424; %let othtx1993=0; %let sitx1993=124622; %let otx1993=315867; %let subtr1993=2708; %let npgv1993=38934; %let fed1993=15987; %let retadj1993=48161; %let mid1993=219400;</v>
      </c>
      <c r="T38" s="575" t="str">
        <f>CONCATENATE("%let xewtx",'C10-Adj by Source'!A39,"=",ROUND('C10-Adj by Source'!AY39-'C10-Adj by Source'!AX39,3),"; %let comb",'C10-Adj by Source'!A39,"=",'C10-Adj by Source'!G39,"; %let depi",'C10-Adj by Source'!A39,"=",ROUND('C10-Adj by Source'!DC39,2),"; %let ss",'C10-Adj by Source'!A39,"=",'C10-Adj by Source'!BL39,"; %let ui",'C10-Adj by Source'!A39,"=",'C10-Adj by Source'!BP39,"; %let xss",'C10-Adj by Source'!A39,"=",ROUND('C10-Adj by Source'!BL39-'C10-Adj by Source'!BM39,3),"; %let xui",'C10-Adj by Source'!A39,"=",ROUND('C10-Adj by Source'!BP39-'C10-Adj by Source'!BR39,3),"; %let cash",'C10-Adj by Source'!A39,"=",ROUND('C10-Adj by Source'!BT39,0),"; %let mc",'C10-Adj by Source'!A39,"=",ROUND('T-T2'!AE42,0),"; %let ncash",'C10-Adj by Source'!A39,"=",ROUND('C10-Adj by Source'!BZ39,0),"; %let xfitx",'C10-Adj by Source'!A39,"=",ROUND('C10-Adj by Source'!CC39-'C10-Adj by Source'!CD39-B213,3),"; %let xsitx",'C10-Adj by Source'!A39,"=",ROUND('C10-Adj by Source'!CH39-'C10-Adj by Source'!CI39-C213,3),"; %let xiptx",'C10-Adj by Source'!A39,"=",ROUND('C10-Adj by Source'!CM39-'C10-Adj by Source'!CN39,3),"; %let xwtx",'C10-Adj by Source'!A39,"=",ROUND('C10-Adj by Source'!CR39-'C10-Adj by Source'!CS39,3), "; %let vet",'C10-Adj by Source'!A39,"=",ROUND('C10-Adj by Source'!BS39,3),"; %let ftx",'C10-Adj by Source'!A39,"=",ROUND('C10-Adj by Source'!CC39,3),";")</f>
        <v>%let xewtx1993=8683.216; %let comb1993=0; %let depi1993=39403.44; %let ss1993=305760; %let ui1993=34848; %let xss1993=194526.686; %let xui1993=7434.466; %let cash1993=72334; %let mc1993=146785; %let ncash1993=199914; %let xfitx1993=-2334.136; %let xsitx1993=23013.858; %let xiptx1993=37687.655; %let xwtx1993=19509.154; %let vet1993=19294; %let ftx1993=507688;</v>
      </c>
    </row>
    <row r="39" spans="1:20" x14ac:dyDescent="0.3">
      <c r="A39" s="879" t="str">
        <f>CONCATENATE("%let FracPenNew",'C12-CorpOwn'!A39,"=",ROUND('C12-CorpOwn'!S39,3),"; %let FracNPGv",'C12-CorpOwn'!A39,"=",ROUND('C12-CorpOwn'!T39,3),"; %let Fcp",'C13-CapOwn'!A39,"=",ROUND('C13-CapOwn'!L39,3),"; %let Fdt",'C13-CapOwn'!A39,"=",ROUND('C13-CapOwn'!M39,3),"; %let Frt",'C13-CapOwn'!A39,"=",ROUND('C13-CapOwn'!N39,3),"; %let aFcp",'C13-CapOwn'!A39,"=",ROUND('C13-CapOwn'!Q39,3),"; %let aFdt",'C13-CapOwn'!A39,"=",ROUND('C13-CapOwn'!R39,3),"; %let aFrt",'C13-CapOwn'!A39,"=",ROUND('C13-CapOwn'!S39,3),"; %let aFps",'C13-CapOwn'!A39,"=", ROUND('C13-CapOwn'!T39,3),";")</f>
        <v>%let FracPenNew1994=0.487; %let FracNPGv1994=0.065; %let Fcp1994=0.201; %let Fdt1994=0.175; %let Frt1994=0.566; %let aFcp1994=0.165; %let aFdt1994=0.144; %let aFrt1994=0.465; %let aFps1994=0.179;</v>
      </c>
      <c r="I39" s="879" t="str">
        <f>CONCATENATE("%let totcorpNIPA",A214,"=",'C10-Adj by Source'!S40,"; %let totctaxNIPA",A214,"=",'C10-Adj by Source'!AC40,"; %let ntint",A214,"=",ROUND('C10-Adj by Source'!D40,0),"; %let esi",A214,"=",ROUND('C10-Adj by Source'!BA40,0),"; %let bpr",A214,"=",ROUND('C10-Adj by Source'!CO40,0),"; %let othtx",A214,"=",ROUND(0,0),"; %let sitx",A214,"=",ROUND('C10-Adj by Source'!CH40-'C22-Fiduciary'!AC39,0),"; %let otx",A214,"=",ROUND('C10-Adj by Source'!BF40,0),"; %let subtr",A214,"=",ROUND('C10-Adj by Source'!BG40,0),"; %let npgv",A214,"=",ROUND('C10-Adj by Source'!BH40,0),"; %let fed",A214,"=",ROUND('C10-Adj by Source'!BI40,0),"; %let retadj",A214,"=",ROUND('C10-Adj by Source'!BD40,0),"; %let mid",A214,"=",ROUND('T-T1'!DK43,0),";")</f>
        <v>%let totcorpNIPA1994=192800; %let totctaxNIPA1994=172671; %let ntint1994=47907; %let esi1994=316785; %let bpr1994=95566; %let othtx1994=0; %let sitx1994=130561; %let otx1994=345879; %let subtr1994=8191; %let npgv1994=42198; %let fed1994=20470; %let retadj1994=39247; %let mid1994=223561;</v>
      </c>
      <c r="T39" s="575" t="str">
        <f>CONCATENATE("%let xewtx",'C10-Adj by Source'!A40,"=",ROUND('C10-Adj by Source'!AY40-'C10-Adj by Source'!AX40,3),"; %let comb",'C10-Adj by Source'!A40,"=",'C10-Adj by Source'!G40,"; %let depi",'C10-Adj by Source'!A40,"=",ROUND('C10-Adj by Source'!DC40,2),"; %let ss",'C10-Adj by Source'!A40,"=",'C10-Adj by Source'!BL40,"; %let ui",'C10-Adj by Source'!A40,"=",'C10-Adj by Source'!BP40,"; %let xss",'C10-Adj by Source'!A40,"=",ROUND('C10-Adj by Source'!BL40-'C10-Adj by Source'!BM40,3),"; %let xui",'C10-Adj by Source'!A40,"=",ROUND('C10-Adj by Source'!BP40-'C10-Adj by Source'!BR40,3),"; %let cash",'C10-Adj by Source'!A40,"=",ROUND('C10-Adj by Source'!BT40,0),"; %let mc",'C10-Adj by Source'!A40,"=",ROUND('T-T2'!AE43,0),"; %let ncash",'C10-Adj by Source'!A40,"=",ROUND('C10-Adj by Source'!BZ40,0),"; %let xfitx",'C10-Adj by Source'!A40,"=",ROUND('C10-Adj by Source'!CC40-'C10-Adj by Source'!CD40-B214,3),"; %let xsitx",'C10-Adj by Source'!A40,"=",ROUND('C10-Adj by Source'!CH40-'C10-Adj by Source'!CI40-C214,3),"; %let xiptx",'C10-Adj by Source'!A40,"=",ROUND('C10-Adj by Source'!CM40-'C10-Adj by Source'!CN40,3),"; %let xwtx",'C10-Adj by Source'!A40,"=",ROUND('C10-Adj by Source'!CR40-'C10-Adj by Source'!CS40,3), "; %let vet",'C10-Adj by Source'!A40,"=",ROUND('C10-Adj by Source'!BS40,3),"; %let ftx",'C10-Adj by Source'!A40,"=",ROUND('C10-Adj by Source'!CC40,3),";")</f>
        <v>%let xewtx1994=10272.023; %let comb1994=0; %let depi1994=42631.59; %let ss1994=320122; %let ui1994=23942; %let xss1994=208562.75; %let xui1994=3800.137; %let cash1994=76262; %let mc1994=164423; %let ncash1994=211268; %let xfitx1994=1613.008; %let xsitx1994=25633.504; %let xiptx1994=40809.315; %let xwtx1994=19552.732; %let vet1994=19691; %let ftx1994=545082;</v>
      </c>
    </row>
    <row r="40" spans="1:20" x14ac:dyDescent="0.3">
      <c r="A40" s="879" t="str">
        <f>CONCATENATE("%let FracPenNew",'C12-CorpOwn'!A40,"=",ROUND('C12-CorpOwn'!S40,3),"; %let FracNPGv",'C12-CorpOwn'!A40,"=",ROUND('C12-CorpOwn'!T40,3),"; %let Fcp",'C13-CapOwn'!A40,"=",ROUND('C13-CapOwn'!L40,3),"; %let Fdt",'C13-CapOwn'!A40,"=",ROUND('C13-CapOwn'!M40,3),"; %let Frt",'C13-CapOwn'!A40,"=",ROUND('C13-CapOwn'!N40,3),"; %let aFcp",'C13-CapOwn'!A40,"=",ROUND('C13-CapOwn'!Q40,3),"; %let aFdt",'C13-CapOwn'!A40,"=",ROUND('C13-CapOwn'!R40,3),"; %let aFrt",'C13-CapOwn'!A40,"=",ROUND('C13-CapOwn'!S40,3),"; %let aFps",'C13-CapOwn'!A40,"=", ROUND('C13-CapOwn'!T40,3),";")</f>
        <v>%let FracPenNew1995=0.462; %let FracNPGv1995=0.063; %let Fcp1995=0.245; %let Fdt1995=0.139; %let Frt1995=0.557; %let aFcp1995=0.205; %let aFdt1995=0.117; %let aFrt1995=0.466; %let aFps1995=0.163;</v>
      </c>
      <c r="I40" s="879" t="str">
        <f>CONCATENATE("%let totcorpNIPA",A215,"=",'C10-Adj by Source'!S41,"; %let totctaxNIPA",A215,"=",'C10-Adj by Source'!AC41,"; %let ntint",A215,"=",ROUND('C10-Adj by Source'!D41,0),"; %let esi",A215,"=",ROUND('C10-Adj by Source'!BA41,0),"; %let bpr",A215,"=",ROUND('C10-Adj by Source'!CO41,0),"; %let othtx",A215,"=",ROUND(0,0),"; %let sitx",A215,"=",ROUND('C10-Adj by Source'!CH41-'C22-Fiduciary'!AC40,0),"; %let otx",A215,"=",ROUND('C10-Adj by Source'!BF41,0),"; %let subtr",A215,"=",ROUND('C10-Adj by Source'!BG41,0),"; %let npgv",A215,"=",ROUND('C10-Adj by Source'!BH41,0),"; %let fed",A215,"=",ROUND('C10-Adj by Source'!BI41,0),"; %let retadj",A215,"=",ROUND('C10-Adj by Source'!BD41,0),"; %let mid",A215,"=",ROUND('T-T1'!DK44,0),";")</f>
        <v>%let totcorpNIPA1995=226228; %let totctaxNIPA1995=194449; %let ntint1995=48055; %let esi1995=311565; %let bpr1995=98424; %let othtx1995=0; %let sitx1995=139979; %let otx1995=355324; %let subtr1995=10153; %let npgv1995=47641; %let fed1995=23389; %let retadj1995=34940; %let mid1995=243938;</v>
      </c>
      <c r="T40" s="575" t="str">
        <f>CONCATENATE("%let xewtx",'C10-Adj by Source'!A41,"=",ROUND('C10-Adj by Source'!AY41-'C10-Adj by Source'!AX41,3),"; %let comb",'C10-Adj by Source'!A41,"=",'C10-Adj by Source'!G41,"; %let depi",'C10-Adj by Source'!A41,"=",ROUND('C10-Adj by Source'!DC41,2),"; %let ss",'C10-Adj by Source'!A41,"=",'C10-Adj by Source'!BL41,"; %let ui",'C10-Adj by Source'!A41,"=",'C10-Adj by Source'!BP41,"; %let xss",'C10-Adj by Source'!A41,"=",ROUND('C10-Adj by Source'!BL41-'C10-Adj by Source'!BM41,3),"; %let xui",'C10-Adj by Source'!A41,"=",ROUND('C10-Adj by Source'!BP41-'C10-Adj by Source'!BR41,3),"; %let cash",'C10-Adj by Source'!A41,"=",ROUND('C10-Adj by Source'!BT41,0),"; %let mc",'C10-Adj by Source'!A41,"=",ROUND('T-T2'!AE44,0),"; %let ncash",'C10-Adj by Source'!A41,"=",ROUND('C10-Adj by Source'!BZ41,0),"; %let xfitx",'C10-Adj by Source'!A41,"=",ROUND('C10-Adj by Source'!CC41-'C10-Adj by Source'!CD41-B215,3),"; %let xsitx",'C10-Adj by Source'!A41,"=",ROUND('C10-Adj by Source'!CH41-'C10-Adj by Source'!CI41-C215,3),"; %let xiptx",'C10-Adj by Source'!A41,"=",ROUND('C10-Adj by Source'!CM41-'C10-Adj by Source'!CN41,3),"; %let xwtx",'C10-Adj by Source'!A41,"=",ROUND('C10-Adj by Source'!CR41-'C10-Adj by Source'!CS41,3), "; %let vet",'C10-Adj by Source'!A41,"=",ROUND('C10-Adj by Source'!BS41,3),"; %let ftx",'C10-Adj by Source'!A41,"=",ROUND('C10-Adj by Source'!CC41,3),";")</f>
        <v>%let xewtx1995=8479.076; %let comb1995=11646; %let depi1995=44919.95; %let ss1995=335700; %let ui1995=21734; %let xss1995=217294.508; %let xui1995=2492.369; %let cash1995=82921; %let mc1995=181220; %let ncash1995=222620; %let xfitx1995=-8179.439; %let xsitx1995=26398.99; %let xiptx1995=37321.3479999999; %let xwtx1995=20608.353; %let vet1995=20532; %let ftx1995=590297;</v>
      </c>
    </row>
    <row r="41" spans="1:20" x14ac:dyDescent="0.3">
      <c r="A41" s="879" t="str">
        <f>CONCATENATE("%let FracPenNew",'C12-CorpOwn'!A41,"=",ROUND('C12-CorpOwn'!S41,3),"; %let FracNPGv",'C12-CorpOwn'!A41,"=",ROUND('C12-CorpOwn'!T41,3),"; %let Fcp",'C13-CapOwn'!A41,"=",ROUND('C13-CapOwn'!L41,3),"; %let Fdt",'C13-CapOwn'!A41,"=",ROUND('C13-CapOwn'!M41,3),"; %let Frt",'C13-CapOwn'!A41,"=",ROUND('C13-CapOwn'!N41,3),"; %let aFcp",'C13-CapOwn'!A41,"=",ROUND('C13-CapOwn'!Q41,3),"; %let aFdt",'C13-CapOwn'!A41,"=",ROUND('C13-CapOwn'!R41,3),"; %let aFrt",'C13-CapOwn'!A41,"=",ROUND('C13-CapOwn'!S41,3),"; %let aFps",'C13-CapOwn'!A41,"=", ROUND('C13-CapOwn'!T41,3),";")</f>
        <v>%let FracPenNew1996=0.483; %let FracNPGv1996=0.071; %let Fcp1996=0.237; %let Fdt1996=0.132; %let Frt1996=0.569; %let aFcp1996=0.2; %let aFdt1996=0.111; %let aFrt1996=0.48; %let aFps1996=0.155;</v>
      </c>
      <c r="I41" s="879" t="str">
        <f>CONCATENATE("%let totcorpNIPA",A216,"=",'C10-Adj by Source'!S42,"; %let totctaxNIPA",A216,"=",'C10-Adj by Source'!AC42,"; %let ntint",A216,"=",ROUND('C10-Adj by Source'!D42,0),"; %let esi",A216,"=",ROUND('C10-Adj by Source'!BA42,0),"; %let bpr",A216,"=",ROUND('C10-Adj by Source'!CO42,0),"; %let othtx",A216,"=",ROUND(0,0),"; %let sitx",A216,"=",ROUND('C10-Adj by Source'!CH42-'C22-Fiduciary'!AC41,0),"; %let otx",A216,"=",ROUND('C10-Adj by Source'!BF42,0),"; %let subtr",A216,"=",ROUND('C10-Adj by Source'!BG42,0),"; %let npgv",A216,"=",ROUND('C10-Adj by Source'!BH42,0),"; %let fed",A216,"=",ROUND('C10-Adj by Source'!BI42,0),"; %let retadj",A216,"=",ROUND('C10-Adj by Source'!BD42,0),"; %let mid",A216,"=",ROUND('T-T1'!DK45,0),";")</f>
        <v>%let totcorpNIPA1996=251056; %let totctaxNIPA1996=211386; %let ntint1996=47809; %let esi1996=310906; %let bpr1996=104707; %let othtx1996=0; %let sitx1996=150491; %let otx1996=368402; %let subtr1996=17415; %let npgv1996=53597; %let fed1996=20083; %let retadj1996=31370; %let mid1996=252927;</v>
      </c>
      <c r="T41" s="575" t="str">
        <f>CONCATENATE("%let xewtx",'C10-Adj by Source'!A42,"=",ROUND('C10-Adj by Source'!AY42-'C10-Adj by Source'!AX42,3),"; %let comb",'C10-Adj by Source'!A42,"=",'C10-Adj by Source'!G42,"; %let depi",'C10-Adj by Source'!A42,"=",ROUND('C10-Adj by Source'!DC42,2),"; %let ss",'C10-Adj by Source'!A42,"=",'C10-Adj by Source'!BL42,"; %let ui",'C10-Adj by Source'!A42,"=",'C10-Adj by Source'!BP42,"; %let xss",'C10-Adj by Source'!A42,"=",ROUND('C10-Adj by Source'!BL42-'C10-Adj by Source'!BM42,3),"; %let xui",'C10-Adj by Source'!A42,"=",ROUND('C10-Adj by Source'!BP42-'C10-Adj by Source'!BR42,3),"; %let cash",'C10-Adj by Source'!A42,"=",ROUND('C10-Adj by Source'!BT42,0),"; %let mc",'C10-Adj by Source'!A42,"=",ROUND('T-T2'!AE45,0),"; %let ncash",'C10-Adj by Source'!A42,"=",ROUND('C10-Adj by Source'!BZ42,0),"; %let xfitx",'C10-Adj by Source'!A42,"=",ROUND('C10-Adj by Source'!CC42-'C10-Adj by Source'!CD42-B216,3),"; %let xsitx",'C10-Adj by Source'!A42,"=",ROUND('C10-Adj by Source'!CH42-'C10-Adj by Source'!CI42-C216,3),"; %let xiptx",'C10-Adj by Source'!A42,"=",ROUND('C10-Adj by Source'!CM42-'C10-Adj by Source'!CN42,3),"; %let xwtx",'C10-Adj by Source'!A42,"=",ROUND('C10-Adj by Source'!CR42-'C10-Adj by Source'!CS42,3), "; %let vet",'C10-Adj by Source'!A42,"=",ROUND('C10-Adj by Source'!BS42,3),"; %let ftx",'C10-Adj by Source'!A42,"=",ROUND('C10-Adj by Source'!CC42,3),";")</f>
        <v>%let xewtx1996=9120.751; %let comb1996=12146; %let depi1996=48132.76; %let ss1996=350092; %let ui1996=22274; %let xss1996=220359.151; %let xui1996=3107.539; %let cash1996=86494; %let mc1996=194868; %let ncash1996=231182; %let xfitx1996=-416.139; %let xsitx1996=26675.696; %let xiptx1996=36594.24; %let xwtx1996=22933.641; %let vet1996=21415; %let ftx1996=668410;</v>
      </c>
    </row>
    <row r="42" spans="1:20" x14ac:dyDescent="0.3">
      <c r="A42" s="879" t="str">
        <f>CONCATENATE("%let FracPenNew",'C12-CorpOwn'!A42,"=",ROUND('C12-CorpOwn'!S42,3),"; %let FracNPGv",'C12-CorpOwn'!A42,"=",ROUND('C12-CorpOwn'!T42,3),"; %let Fcp",'C13-CapOwn'!A42,"=",ROUND('C13-CapOwn'!L42,3),"; %let Fdt",'C13-CapOwn'!A42,"=",ROUND('C13-CapOwn'!M42,3),"; %let Frt",'C13-CapOwn'!A42,"=",ROUND('C13-CapOwn'!N42,3),"; %let aFcp",'C13-CapOwn'!A42,"=",ROUND('C13-CapOwn'!Q42,3),"; %let aFdt",'C13-CapOwn'!A42,"=",ROUND('C13-CapOwn'!R42,3),"; %let aFrt",'C13-CapOwn'!A42,"=",ROUND('C13-CapOwn'!S42,3),"; %let aFps",'C13-CapOwn'!A42,"=", ROUND('C13-CapOwn'!T42,3),";")</f>
        <v>%let FracPenNew1997=0.46; %let FracNPGv1997=0.07; %let Fcp1997=0.272; %let Fdt1997=0.105; %let Frt1997=0.562; %let aFcp1997=0.229; %let aFdt1997=0.088; %let aFrt1997=0.474; %let aFps1997=0.156;</v>
      </c>
      <c r="I42" s="879" t="str">
        <f>CONCATENATE("%let totcorpNIPA",A217,"=",'C10-Adj by Source'!S43,"; %let totctaxNIPA",A217,"=",'C10-Adj by Source'!AC43,"; %let ntint",A217,"=",ROUND('C10-Adj by Source'!D43,0),"; %let esi",A217,"=",ROUND('C10-Adj by Source'!BA43,0),"; %let bpr",A217,"=",ROUND('C10-Adj by Source'!CO43,0),"; %let othtx",A217,"=",ROUND(0,0),"; %let sitx",A217,"=",ROUND('C10-Adj by Source'!CH43-'C22-Fiduciary'!AC42,0),"; %let otx",A217,"=",ROUND('C10-Adj by Source'!BF43,0),"; %let subtr",A217,"=",ROUND('C10-Adj by Source'!BG43,0),"; %let npgv",A217,"=",ROUND('C10-Adj by Source'!BH43,0),"; %let fed",A217,"=",ROUND('C10-Adj by Source'!BI43,0),"; %let retadj",A217,"=",ROUND('C10-Adj by Source'!BD43,0),"; %let mid",A217,"=",ROUND('T-T1'!DK46,0),";")</f>
        <v>%let totcorpNIPA1997=280896; %let totctaxNIPA1997=224762; %let ntint1997=48519; %let esi1997=312928; %let bpr1997=111873; %let othtx1997=0; %let sitx1997=162754; %let otx1997=388085; %let subtr1997=16251; %let npgv1997=57977; %let fed1997=20659; %let retadj1997=26634; %let mid1997=268715;</v>
      </c>
      <c r="T42" s="575" t="str">
        <f>CONCATENATE("%let xewtx",'C10-Adj by Source'!A43,"=",ROUND('C10-Adj by Source'!AY43-'C10-Adj by Source'!AX43,3),"; %let comb",'C10-Adj by Source'!A43,"=",'C10-Adj by Source'!G43,"; %let depi",'C10-Adj by Source'!A43,"=",ROUND('C10-Adj by Source'!DC43,2),"; %let ss",'C10-Adj by Source'!A43,"=",'C10-Adj by Source'!BL43,"; %let ui",'C10-Adj by Source'!A43,"=",'C10-Adj by Source'!BP43,"; %let xss",'C10-Adj by Source'!A43,"=",ROUND('C10-Adj by Source'!BL43-'C10-Adj by Source'!BM43,3),"; %let xui",'C10-Adj by Source'!A43,"=",ROUND('C10-Adj by Source'!BP43-'C10-Adj by Source'!BR43,3),"; %let cash",'C10-Adj by Source'!A43,"=",ROUND('C10-Adj by Source'!BT43,0),"; %let mc",'C10-Adj by Source'!A43,"=",ROUND('T-T2'!AE46,0),"; %let ncash",'C10-Adj by Source'!A43,"=",ROUND('C10-Adj by Source'!BZ43,0),"; %let xfitx",'C10-Adj by Source'!A43,"=",ROUND('C10-Adj by Source'!CC43-'C10-Adj by Source'!CD43-B217,3),"; %let xsitx",'C10-Adj by Source'!A43,"=",ROUND('C10-Adj by Source'!CH43-'C10-Adj by Source'!CI43-C217,3),"; %let xiptx",'C10-Adj by Source'!A43,"=",ROUND('C10-Adj by Source'!CM43-'C10-Adj by Source'!CN43,3),"; %let xwtx",'C10-Adj by Source'!A43,"=",ROUND('C10-Adj by Source'!CR43-'C10-Adj by Source'!CS43,3), "; %let vet",'C10-Adj by Source'!A43,"=",ROUND('C10-Adj by Source'!BS43,3),"; %let ftx",'C10-Adj by Source'!A43,"=",ROUND('C10-Adj by Source'!CC43,3),";")</f>
        <v>%let xewtx1997=9601.589; %let comb1997=12646; %let depi1997=53195.52; %let ss1997=364790; %let ui1997=20103; %let xss1997=225917.928; %let xui1997=3052.838; %let cash1997=87091; %let mc1997=206917; %let ncash1997=234220; %let xfitx1997=8670.35; %let xsitx1997=26429.73; %let xiptx1997=36887.639; %let xwtx1997=25067.763; %let vet1997=22297; %let ftx1997=749822;</v>
      </c>
    </row>
    <row r="43" spans="1:20" x14ac:dyDescent="0.3">
      <c r="A43" s="879" t="str">
        <f>CONCATENATE("%let FracPenNew",'C12-CorpOwn'!A43,"=",ROUND('C12-CorpOwn'!S43,3),"; %let FracNPGv",'C12-CorpOwn'!A43,"=",ROUND('C12-CorpOwn'!T43,3),"; %let Fcp",'C13-CapOwn'!A43,"=",ROUND('C13-CapOwn'!L43,3),"; %let Fdt",'C13-CapOwn'!A43,"=",ROUND('C13-CapOwn'!M43,3),"; %let Frt",'C13-CapOwn'!A43,"=",ROUND('C13-CapOwn'!N43,3),"; %let aFcp",'C13-CapOwn'!A43,"=",ROUND('C13-CapOwn'!Q43,3),"; %let aFdt",'C13-CapOwn'!A43,"=",ROUND('C13-CapOwn'!R43,3),"; %let aFrt",'C13-CapOwn'!A43,"=",ROUND('C13-CapOwn'!S43,3),"; %let aFps",'C13-CapOwn'!A43,"=", ROUND('C13-CapOwn'!T43,3),";")</f>
        <v>%let FracPenNew1998=0.456; %let FracNPGv1998=0.067; %let Fcp1998=0.289; %let Fdt1998=0.091; %let Frt1998=0.559; %let aFcp1998=0.245; %let aFdt1998=0.077; %let aFrt1998=0.473; %let aFps1998=0.154;</v>
      </c>
      <c r="I43" s="879" t="str">
        <f>CONCATENATE("%let totcorpNIPA",A218,"=",'C10-Adj by Source'!S44,"; %let totctaxNIPA",A218,"=",'C10-Adj by Source'!AC44,"; %let ntint",A218,"=",ROUND('C10-Adj by Source'!D44,0),"; %let esi",A218,"=",ROUND('C10-Adj by Source'!BA44,0),"; %let bpr",A218,"=",ROUND('C10-Adj by Source'!CO44,0),"; %let othtx",A218,"=",ROUND(0,0),"; %let sitx",A218,"=",ROUND('C10-Adj by Source'!CH44-'C22-Fiduciary'!AC43,0),"; %let otx",A218,"=",ROUND('C10-Adj by Source'!BF44,0),"; %let subtr",A218,"=",ROUND('C10-Adj by Source'!BG44,0),"; %let npgv",A218,"=",ROUND('C10-Adj by Source'!BH44,0),"; %let fed",A218,"=",ROUND('C10-Adj by Source'!BI44,0),"; %let retadj",A218,"=",ROUND('C10-Adj by Source'!BD44,0),"; %let mid",A218,"=",ROUND('T-T1'!DK47,0),";")</f>
        <v>%let totcorpNIPA1998=198672; %let totctaxNIPA1998=221805; %let ntint1998=49719; %let esi1998=335118; %let bpr1998=117221; %let othtx1998=0; %let sitx1998=180729; %let otx1998=408465; %let subtr1998=27711; %let npgv1998=60033; %let fed1998=26561; %let retadj1998=14340; %let mid1998=280916;</v>
      </c>
      <c r="T43" s="575" t="str">
        <f>CONCATENATE("%let xewtx",'C10-Adj by Source'!A44,"=",ROUND('C10-Adj by Source'!AY44-'C10-Adj by Source'!AX44,3),"; %let comb",'C10-Adj by Source'!A44,"=",'C10-Adj by Source'!G44,"; %let depi",'C10-Adj by Source'!A44,"=",ROUND('C10-Adj by Source'!DC44,2),"; %let ss",'C10-Adj by Source'!A44,"=",'C10-Adj by Source'!BL44,"; %let ui",'C10-Adj by Source'!A44,"=",'C10-Adj by Source'!BP44,"; %let xss",'C10-Adj by Source'!A44,"=",ROUND('C10-Adj by Source'!BL44-'C10-Adj by Source'!BM44,3),"; %let xui",'C10-Adj by Source'!A44,"=",ROUND('C10-Adj by Source'!BP44-'C10-Adj by Source'!BR44,3),"; %let cash",'C10-Adj by Source'!A44,"=",ROUND('C10-Adj by Source'!BT44,0),"; %let mc",'C10-Adj by Source'!A44,"=",ROUND('T-T2'!AE47,0),"; %let ncash",'C10-Adj by Source'!A44,"=",ROUND('C10-Adj by Source'!BZ44,0),"; %let xfitx",'C10-Adj by Source'!A44,"=",ROUND('C10-Adj by Source'!CC44-'C10-Adj by Source'!CD44-B218,3),"; %let xsitx",'C10-Adj by Source'!A44,"=",ROUND('C10-Adj by Source'!CH44-'C10-Adj by Source'!CI44-C218,3),"; %let xiptx",'C10-Adj by Source'!A44,"=",ROUND('C10-Adj by Source'!CM44-'C10-Adj by Source'!CN44,3),"; %let xwtx",'C10-Adj by Source'!A44,"=",ROUND('C10-Adj by Source'!CR44-'C10-Adj by Source'!CS44,3), "; %let vet",'C10-Adj by Source'!A44,"=",ROUND('C10-Adj by Source'!BS44,3),"; %let ftx",'C10-Adj by Source'!A44,"=",ROUND('C10-Adj by Source'!CC44,3),";")</f>
        <v>%let xewtx1998=10219.959; %let comb1998=13146; %let depi1998=55601.73; %let ss1998=377411; %let ui1998=19693; %let xss1998=223257.499; %let xui1998=3023.331; %let cash1998=89300; %let mc1998=205558; %let ncash1998=242695; %let xfitx1998=32913.852; %let xsitx1998=28821.621; %let xiptx1998=34019.32; %let xwtx1998=25936.726; %let vet1998=23258; %let ftx1998=831199;</v>
      </c>
    </row>
    <row r="44" spans="1:20" x14ac:dyDescent="0.3">
      <c r="A44" s="879" t="str">
        <f>CONCATENATE("%let FracPenNew",'C12-CorpOwn'!A44,"=",ROUND('C12-CorpOwn'!S44,3),"; %let FracNPGv",'C12-CorpOwn'!A44,"=",ROUND('C12-CorpOwn'!T44,3),"; %let Fcp",'C13-CapOwn'!A44,"=",ROUND('C13-CapOwn'!L44,3),"; %let Fdt",'C13-CapOwn'!A44,"=",ROUND('C13-CapOwn'!M44,3),"; %let Frt",'C13-CapOwn'!A44,"=",ROUND('C13-CapOwn'!N44,3),"; %let aFcp",'C13-CapOwn'!A44,"=",ROUND('C13-CapOwn'!Q44,3),"; %let aFdt",'C13-CapOwn'!A44,"=",ROUND('C13-CapOwn'!R44,3),"; %let aFrt",'C13-CapOwn'!A44,"=",ROUND('C13-CapOwn'!S44,3),"; %let aFps",'C13-CapOwn'!A44,"=", ROUND('C13-CapOwn'!T44,3),";")</f>
        <v>%let FracPenNew1999=0.442; %let FracNPGv1999=0.06; %let Fcp1999=0.318; %let Fdt1999=0.084; %let Frt1999=0.541; %let aFcp1999=0.272; %let aFdt1999=0.072; %let aFrt1999=0.462; %let aFps1999=0.146;</v>
      </c>
      <c r="I44" s="879" t="str">
        <f>CONCATENATE("%let totcorpNIPA",A219,"=",'C10-Adj by Source'!S45,"; %let totctaxNIPA",A219,"=",'C10-Adj by Source'!AC45,"; %let ntint",A219,"=",ROUND('C10-Adj by Source'!D45,0),"; %let esi",A219,"=",ROUND('C10-Adj by Source'!BA45,0),"; %let bpr",A219,"=",ROUND('C10-Adj by Source'!CO45,0),"; %let othtx",A219,"=",ROUND(0,0),"; %let sitx",A219,"=",ROUND('C10-Adj by Source'!CH45-'C22-Fiduciary'!AC44,0),"; %let otx",A219,"=",ROUND('C10-Adj by Source'!BF45,0),"; %let subtr",A219,"=",ROUND('C10-Adj by Source'!BG45,0),"; %let npgv",A219,"=",ROUND('C10-Adj by Source'!BH45,0),"; %let fed",A219,"=",ROUND('C10-Adj by Source'!BI45,0),"; %let retadj",A219,"=",ROUND('C10-Adj by Source'!BD45,0),"; %let mid",A219,"=",ROUND('T-T1'!DK48,0),";")</f>
        <v>%let totcorpNIPA1999=223549; %let totctaxNIPA1999=233374; %let ntint1999=52563; %let esi1999=361994; %let bpr1999=125008; %let othtx1999=0; %let sitx1999=192862; %let otx1999=430783; %let subtr1999=22604; %let npgv1999=57351; %let fed1999=25410; %let retadj1999=10636; %let mid1999=299645;</v>
      </c>
      <c r="T44" s="575" t="str">
        <f>CONCATENATE("%let xewtx",'C10-Adj by Source'!A45,"=",ROUND('C10-Adj by Source'!AY45-'C10-Adj by Source'!AX45,3),"; %let comb",'C10-Adj by Source'!A45,"=",'C10-Adj by Source'!G45,"; %let depi",'C10-Adj by Source'!A45,"=",ROUND('C10-Adj by Source'!DC45,2),"; %let ss",'C10-Adj by Source'!A45,"=",'C10-Adj by Source'!BL45,"; %let ui",'C10-Adj by Source'!A45,"=",'C10-Adj by Source'!BP45,"; %let xss",'C10-Adj by Source'!A45,"=",ROUND('C10-Adj by Source'!BL45-'C10-Adj by Source'!BM45,3),"; %let xui",'C10-Adj by Source'!A45,"=",ROUND('C10-Adj by Source'!BP45-'C10-Adj by Source'!BR45,3),"; %let cash",'C10-Adj by Source'!A45,"=",ROUND('C10-Adj by Source'!BT45,0),"; %let mc",'C10-Adj by Source'!A45,"=",ROUND('T-T2'!AE48,0),"; %let ncash",'C10-Adj by Source'!A45,"=",ROUND('C10-Adj by Source'!BZ45,0),"; %let xfitx",'C10-Adj by Source'!A45,"=",ROUND('C10-Adj by Source'!CC45-'C10-Adj by Source'!CD45-B219,3),"; %let xsitx",'C10-Adj by Source'!A45,"=",ROUND('C10-Adj by Source'!CH45-'C10-Adj by Source'!CI45-C219,3),"; %let xiptx",'C10-Adj by Source'!A45,"=",ROUND('C10-Adj by Source'!CM45-'C10-Adj by Source'!CN45,3),"; %let xwtx",'C10-Adj by Source'!A45,"=",ROUND('C10-Adj by Source'!CR45-'C10-Adj by Source'!CS45,3), "; %let vet",'C10-Adj by Source'!A45,"=",ROUND('C10-Adj by Source'!BS45,3),"; %let ftx",'C10-Adj by Source'!A45,"=",ROUND('C10-Adj by Source'!CC45,3),";")</f>
        <v>%let xewtx1999=8396.234; %let comb1999=13646; %let depi1999=60947.14; %let ss1999=388070; %let ui1999=20509; %let xss1999=224504.272; %let xui1999=3058.285; %let cash1999=92345; %let mc1999=208736; %let ncash1999=258412; %let xfitx1999=3371.222; %let xsitx1999=22790.511; %let xiptx1999=29738.85; %let xwtx1999=24694.818; %let vet1999=24130; %let ftx1999=897630;</v>
      </c>
    </row>
    <row r="45" spans="1:20" x14ac:dyDescent="0.3">
      <c r="A45" s="879" t="str">
        <f>CONCATENATE("%let FracPenNew",'C12-CorpOwn'!A45,"=",ROUND('C12-CorpOwn'!S45,3),"; %let FracNPGv",'C12-CorpOwn'!A45,"=",ROUND('C12-CorpOwn'!T45,3),"; %let Fcp",'C13-CapOwn'!A45,"=",ROUND('C13-CapOwn'!L45,3),"; %let Fdt",'C13-CapOwn'!A45,"=",ROUND('C13-CapOwn'!M45,3),"; %let Frt",'C13-CapOwn'!A45,"=",ROUND('C13-CapOwn'!N45,3),"; %let aFcp",'C13-CapOwn'!A45,"=",ROUND('C13-CapOwn'!Q45,3),"; %let aFdt",'C13-CapOwn'!A45,"=",ROUND('C13-CapOwn'!R45,3),"; %let aFrt",'C13-CapOwn'!A45,"=",ROUND('C13-CapOwn'!S45,3),"; %let aFps",'C13-CapOwn'!A45,"=", ROUND('C13-CapOwn'!T45,3),";")</f>
        <v>%let FracPenNew2000=0.492; %let FracNPGv2000=0.062; %let Fcp2000=0.274; %let Fdt2000=0.084; %let Frt2000=0.581; %let aFcp2000=0.23; %let aFdt2000=0.07; %let aFrt2000=0.487; %let aFps2000=0.161;</v>
      </c>
      <c r="I45" s="879" t="str">
        <f>CONCATENATE("%let totcorpNIPA",A220,"=",'C10-Adj by Source'!S46,"; %let totctaxNIPA",A220,"=",'C10-Adj by Source'!AC46,"; %let ntint",A220,"=",ROUND('C10-Adj by Source'!D46,0),"; %let esi",A220,"=",ROUND('C10-Adj by Source'!BA46,0),"; %let bpr",A220,"=",ROUND('C10-Adj by Source'!CO46,0),"; %let othtx",A220,"=",ROUND(0,0),"; %let sitx",A220,"=",ROUND('C10-Adj by Source'!CH46-'C22-Fiduciary'!AC45,0),"; %let otx",A220,"=",ROUND('C10-Adj by Source'!BF46,0),"; %let subtr",A220,"=",ROUND('C10-Adj by Source'!BG46,0),"; %let npgv",A220,"=",ROUND('C10-Adj by Source'!BH46,0),"; %let fed",A220,"=",ROUND('C10-Adj by Source'!BI46,0),"; %let retadj",A220,"=",ROUND('C10-Adj by Source'!BD46,0),"; %let mid",A220,"=",ROUND('T-T1'!DK49,0),";")</f>
        <v>%let totcorpNIPA2000=131426; %let totctaxNIPA2000=239748; %let ntint2000=54136; %let esi2000=402692; %let bpr2000=132807; %let othtx2000=0; %let sitx2000=214305; %let otx2000=453887; %let subtr2000=39475; %let npgv2000=57745; %let fed2000=25344; %let retadj2000=1793; %let mid2000=330242;</v>
      </c>
      <c r="T45" s="575" t="str">
        <f>CONCATENATE("%let xewtx",'C10-Adj by Source'!A46,"=",ROUND('C10-Adj by Source'!AY46-'C10-Adj by Source'!AX46,3),"; %let comb",'C10-Adj by Source'!A46,"=",'C10-Adj by Source'!G46,"; %let depi",'C10-Adj by Source'!A46,"=",ROUND('C10-Adj by Source'!DC46,2),"; %let ss",'C10-Adj by Source'!A46,"=",'C10-Adj by Source'!BL46,"; %let ui",'C10-Adj by Source'!A46,"=",'C10-Adj by Source'!BP46,"; %let xss",'C10-Adj by Source'!A46,"=",ROUND('C10-Adj by Source'!BL46-'C10-Adj by Source'!BM46,3),"; %let xui",'C10-Adj by Source'!A46,"=",ROUND('C10-Adj by Source'!BP46-'C10-Adj by Source'!BR46,3),"; %let cash",'C10-Adj by Source'!A46,"=",ROUND('C10-Adj by Source'!BT46,0),"; %let mc",'C10-Adj by Source'!A46,"=",ROUND('T-T2'!AE49,0),"; %let ncash",'C10-Adj by Source'!A46,"=",ROUND('C10-Adj by Source'!BZ46,0),"; %let xfitx",'C10-Adj by Source'!A46,"=",ROUND('C10-Adj by Source'!CC46-'C10-Adj by Source'!CD46-B220,3),"; %let xsitx",'C10-Adj by Source'!A46,"=",ROUND('C10-Adj by Source'!CH46-'C10-Adj by Source'!CI46-C220,3),"; %let xiptx",'C10-Adj by Source'!A46,"=",ROUND('C10-Adj by Source'!CM46-'C10-Adj by Source'!CN46,3),"; %let xwtx",'C10-Adj by Source'!A46,"=",ROUND('C10-Adj by Source'!CR46-'C10-Adj by Source'!CS46,3), "; %let vet",'C10-Adj by Source'!A46,"=",ROUND('C10-Adj by Source'!BS46,3),"; %let ftx",'C10-Adj by Source'!A46,"=",ROUND('C10-Adj by Source'!CC46,3),";")</f>
        <v>%let xewtx2000=13107.449; %let comb2000=13418; %let depi2000=65382.19; %let ss2000=409660; %let ui2000=20741; %let xss2000=223577.68; %let xui2000=3979.482; %let cash2000=94938; %let mc2000=219117; %let ncash2000=275426; %let xfitx2000=4970.292; %let xsitx2000=22691.956; %let xiptx2000=28100.337; %let xwtx2000=34693.068; %let vet2000=24994; %let ftx2000=999848;</v>
      </c>
    </row>
    <row r="46" spans="1:20" x14ac:dyDescent="0.3">
      <c r="A46" s="879" t="str">
        <f>CONCATENATE("%let FracPenNew",'C12-CorpOwn'!A46,"=",ROUND('C12-CorpOwn'!S46,3),"; %let FracNPGv",'C12-CorpOwn'!A46,"=",ROUND('C12-CorpOwn'!T46,3),"; %let Fcp",'C13-CapOwn'!A46,"=",ROUND('C13-CapOwn'!L46,3),"; %let Fdt",'C13-CapOwn'!A46,"=",ROUND('C13-CapOwn'!M46,3),"; %let Frt",'C13-CapOwn'!A46,"=",ROUND('C13-CapOwn'!N46,3),"; %let aFcp",'C13-CapOwn'!A46,"=",ROUND('C13-CapOwn'!Q46,3),"; %let aFdt",'C13-CapOwn'!A46,"=",ROUND('C13-CapOwn'!R46,3),"; %let aFrt",'C13-CapOwn'!A46,"=",ROUND('C13-CapOwn'!S46,3),"; %let aFps",'C13-CapOwn'!A46,"=", ROUND('C13-CapOwn'!T46,3),";")</f>
        <v>%let FracPenNew2001=0.522; %let FracNPGv2001=0.063; %let Fcp2001=0.245; %let Fdt2001=0.083; %let Frt2001=0.611; %let aFcp2001=0.203; %let aFdt2001=0.069; %let aFrt2001=0.505; %let aFps2001=0.174;</v>
      </c>
      <c r="I46" s="879" t="str">
        <f>CONCATENATE("%let totcorpNIPA",A221,"=",'C10-Adj by Source'!S47,"; %let totctaxNIPA",A221,"=",'C10-Adj by Source'!AC47,"; %let ntint",A221,"=",ROUND('C10-Adj by Source'!D47,0),"; %let esi",A221,"=",ROUND('C10-Adj by Source'!BA47,0),"; %let bpr",A221,"=",ROUND('C10-Adj by Source'!CO47,0),"; %let othtx",A221,"=",ROUND(0,0),"; %let sitx",A221,"=",ROUND('C10-Adj by Source'!CH47-'C22-Fiduciary'!AC46,0),"; %let otx",A221,"=",ROUND('C10-Adj by Source'!BF47,0),"; %let subtr",A221,"=",ROUND('C10-Adj by Source'!BG47,0),"; %let npgv",A221,"=",ROUND('C10-Adj by Source'!BH47,0),"; %let fed",A221,"=",ROUND('C10-Adj by Source'!BI47,0),"; %let retadj",A221,"=",ROUND('C10-Adj by Source'!BD47,0),"; %let mid",A221,"=",ROUND('T-T1'!DK50,0),";")</f>
        <v>%let totcorpNIPA2001=180170; %let totctaxNIPA2001=176207; %let ntint2001=55163; %let esi2001=437949; %let bpr2001=139387; %let othtx2001=0; %let sitx2001=220229; %let otx2001=459672; %let subtr2001=40423; %let npgv2001=51687; %let fed2001=27089; %let retadj2001=12978; %let mid2001=351232;</v>
      </c>
      <c r="T46" s="575" t="str">
        <f>CONCATENATE("%let xewtx",'C10-Adj by Source'!A47,"=",ROUND('C10-Adj by Source'!AY47-'C10-Adj by Source'!AX47,3),"; %let comb",'C10-Adj by Source'!A47,"=",'C10-Adj by Source'!G47,"; %let depi",'C10-Adj by Source'!A47,"=",ROUND('C10-Adj by Source'!DC47,2),"; %let ss",'C10-Adj by Source'!A47,"=",'C10-Adj by Source'!BL47,"; %let ui",'C10-Adj by Source'!A47,"=",'C10-Adj by Source'!BP47,"; %let xss",'C10-Adj by Source'!A47,"=",ROUND('C10-Adj by Source'!BL47-'C10-Adj by Source'!BM47,3),"; %let xui",'C10-Adj by Source'!A47,"=",ROUND('C10-Adj by Source'!BP47-'C10-Adj by Source'!BR47,3),"; %let cash",'C10-Adj by Source'!A47,"=",ROUND('C10-Adj by Source'!BT47,0),"; %let mc",'C10-Adj by Source'!A47,"=",ROUND('T-T2'!AE50,0),"; %let ncash",'C10-Adj by Source'!A47,"=",ROUND('C10-Adj by Source'!BZ47,0),"; %let xfitx",'C10-Adj by Source'!A47,"=",ROUND('C10-Adj by Source'!CC47-'C10-Adj by Source'!CD47-B221,3),"; %let xsitx",'C10-Adj by Source'!A47,"=",ROUND('C10-Adj by Source'!CH47-'C10-Adj by Source'!CI47-C221,3),"; %let xiptx",'C10-Adj by Source'!A47,"=",ROUND('C10-Adj by Source'!CM47-'C10-Adj by Source'!CN47,3),"; %let xwtx",'C10-Adj by Source'!A47,"=",ROUND('C10-Adj by Source'!CR47-'C10-Adj by Source'!CS47,3), "; %let vet",'C10-Adj by Source'!A47,"=",ROUND('C10-Adj by Source'!BS47,3),"; %let ftx",'C10-Adj by Source'!A47,"=",ROUND('C10-Adj by Source'!CC47,3),";")</f>
        <v>%let xewtx2001=10618.171; %let comb2001=14156; %let depi2001=60853.19; %let ss2001=433496; %let ui2001=31899; %let xss2001=238037.411; %let xui2001=5211.847; %let cash2001=97489; %let mc2001=242580; %let ncash2001=313779; %let xfitx2001=101103.438; %let xsitx2001=24916.265; %let xiptx2001=27023.712; %let xwtx2001=30009.362; %let vet2001=26587; %let ftx2001=996305;</v>
      </c>
    </row>
    <row r="47" spans="1:20" x14ac:dyDescent="0.3">
      <c r="A47" s="879" t="str">
        <f>CONCATENATE("%let FracPenNew",'C12-CorpOwn'!A47,"=",ROUND('C12-CorpOwn'!S47,3),"; %let FracNPGv",'C12-CorpOwn'!A47,"=",ROUND('C12-CorpOwn'!T47,3),"; %let Fcp",'C13-CapOwn'!A47,"=",ROUND('C13-CapOwn'!L47,3),"; %let Fdt",'C13-CapOwn'!A47,"=",ROUND('C13-CapOwn'!M47,3),"; %let Frt",'C13-CapOwn'!A47,"=",ROUND('C13-CapOwn'!N47,3),"; %let aFcp",'C13-CapOwn'!A47,"=",ROUND('C13-CapOwn'!Q47,3),"; %let aFdt",'C13-CapOwn'!A47,"=",ROUND('C13-CapOwn'!R47,3),"; %let aFrt",'C13-CapOwn'!A47,"=",ROUND('C13-CapOwn'!S47,3),"; %let aFps",'C13-CapOwn'!A47,"=", ROUND('C13-CapOwn'!T47,3),";")</f>
        <v>%let FracPenNew2002=0.568; %let FracNPGv2002=0.064; %let Fcp2002=0.195; %let Fdt2002=0.091; %let Frt2002=0.653; %let aFcp2002=0.159; %let aFdt2002=0.074; %let aFrt2002=0.53; %let aFps2002=0.188;</v>
      </c>
      <c r="I47" s="879" t="str">
        <f>CONCATENATE("%let totcorpNIPA",A222,"=",'C10-Adj by Source'!S48,"; %let totctaxNIPA",A222,"=",'C10-Adj by Source'!AC48,"; %let ntint",A222,"=",ROUND('C10-Adj by Source'!D48,0),"; %let esi",A222,"=",ROUND('C10-Adj by Source'!BA48,0),"; %let bpr",A222,"=",ROUND('C10-Adj by Source'!CO48,0),"; %let othtx",A222,"=",ROUND(0,0),"; %let sitx",A222,"=",ROUND('C10-Adj by Source'!CH48-'C22-Fiduciary'!AC47,0),"; %let otx",A222,"=",ROUND('C10-Adj by Source'!BF48,0),"; %let subtr",A222,"=",ROUND('C10-Adj by Source'!BG48,0),"; %let npgv",A222,"=",ROUND('C10-Adj by Source'!BH48,0),"; %let fed",A222,"=",ROUND('C10-Adj by Source'!BI48,0),"; %let retadj",A222,"=",ROUND('C10-Adj by Source'!BD48,0),"; %let mid",A222,"=",ROUND('T-T1'!DK51,0),";")</f>
        <v>%let totcorpNIPA2002=314653; %let totctaxNIPA2002=167841; %let ntint2002=54010; %let esi2002=472444; %let bpr2002=150802; %let othtx2002=0; %let sitx2002=199245; %let otx2002=473334; %let subtr2002=39273; %let npgv2002=52392; %let fed2002=24495; %let retadj2002=16290; %let mid2002=354777;</v>
      </c>
      <c r="T47" s="575" t="str">
        <f>CONCATENATE("%let xewtx",'C10-Adj by Source'!A48,"=",ROUND('C10-Adj by Source'!AY48-'C10-Adj by Source'!AX48,3),"; %let comb",'C10-Adj by Source'!A48,"=",'C10-Adj by Source'!G48,"; %let depi",'C10-Adj by Source'!A48,"=",ROUND('C10-Adj by Source'!DC48,2),"; %let ss",'C10-Adj by Source'!A48,"=",'C10-Adj by Source'!BL48,"; %let ui",'C10-Adj by Source'!A48,"=",'C10-Adj by Source'!BP48,"; %let xss",'C10-Adj by Source'!A48,"=",ROUND('C10-Adj by Source'!BL48-'C10-Adj by Source'!BM48,3),"; %let xui",'C10-Adj by Source'!A48,"=",ROUND('C10-Adj by Source'!BP48-'C10-Adj by Source'!BR48,3),"; %let cash",'C10-Adj by Source'!A48,"=",ROUND('C10-Adj by Source'!BT48,0),"; %let mc",'C10-Adj by Source'!A48,"=",ROUND('T-T2'!AE51,0),"; %let ncash",'C10-Adj by Source'!A48,"=",ROUND('C10-Adj by Source'!BZ48,0),"; %let xfitx",'C10-Adj by Source'!A48,"=",ROUND('C10-Adj by Source'!CC48-'C10-Adj by Source'!CD48-B222,3),"; %let xsitx",'C10-Adj by Source'!A48,"=",ROUND('C10-Adj by Source'!CH48-'C10-Adj by Source'!CI48-C222,3),"; %let xiptx",'C10-Adj by Source'!A48,"=",ROUND('C10-Adj by Source'!CM48-'C10-Adj by Source'!CN48,3),"; %let xwtx",'C10-Adj by Source'!A48,"=",ROUND('C10-Adj by Source'!CR48-'C10-Adj by Source'!CS48,3), "; %let vet",'C10-Adj by Source'!A48,"=",ROUND('C10-Adj by Source'!BS48,3),"; %let ftx",'C10-Adj by Source'!A48,"=",ROUND('C10-Adj by Source'!CC48,3),";")</f>
        <v>%let xewtx2002=13617.504; %let comb2002=13534; %let depi2002=55805.32; %let ss2002=455609; %let ui2002=53481; %let xss2002=250835.669; %let xui2002=10704.372; %let cash2002=106146; %let mc2002=259189; %let ncash2002=346530; %let xfitx2002=30329.581; %let xsitx2002=18094.116; %let xiptx2002=27710.416; %let xwtx2002=34970.634; %let vet2002=29530; %let ftx2002=832815;</v>
      </c>
    </row>
    <row r="48" spans="1:20" x14ac:dyDescent="0.3">
      <c r="A48" s="879" t="str">
        <f>CONCATENATE("%let FracPenNew",'C12-CorpOwn'!A48,"=",ROUND('C12-CorpOwn'!S48,3),"; %let FracNPGv",'C12-CorpOwn'!A48,"=",ROUND('C12-CorpOwn'!T48,3),"; %let Fcp",'C13-CapOwn'!A48,"=",ROUND('C13-CapOwn'!L48,3),"; %let Fdt",'C13-CapOwn'!A48,"=",ROUND('C13-CapOwn'!M48,3),"; %let Frt",'C13-CapOwn'!A48,"=",ROUND('C13-CapOwn'!N48,3),"; %let aFcp",'C13-CapOwn'!A48,"=",ROUND('C13-CapOwn'!Q48,3),"; %let aFdt",'C13-CapOwn'!A48,"=",ROUND('C13-CapOwn'!R48,3),"; %let aFrt",'C13-CapOwn'!A48,"=",ROUND('C13-CapOwn'!S48,3),"; %let aFps",'C13-CapOwn'!A48,"=", ROUND('C13-CapOwn'!T48,3),";")</f>
        <v>%let FracPenNew2003=0.554; %let FracNPGv2003=0.063; %let Fcp2003=0.224; %let Fdt2003=0.08; %let Frt2003=0.636; %let aFcp2003=0.185; %let aFdt2003=0.066; %let aFrt2003=0.525; %let aFps2003=0.174;</v>
      </c>
      <c r="I48" s="879" t="str">
        <f>CONCATENATE("%let totcorpNIPA",A223,"=",'C10-Adj by Source'!S49,"; %let totctaxNIPA",A223,"=",'C10-Adj by Source'!AC49,"; %let ntint",A223,"=",ROUND('C10-Adj by Source'!D49,0),"; %let esi",A223,"=",ROUND('C10-Adj by Source'!BA49,0),"; %let bpr",A223,"=",ROUND('C10-Adj by Source'!CO49,0),"; %let othtx",A223,"=",ROUND(0,0),"; %let sitx",A223,"=",ROUND('C10-Adj by Source'!CH49-'C22-Fiduciary'!AC48,0),"; %let otx",A223,"=",ROUND('C10-Adj by Source'!BF49,0),"; %let subtr",A223,"=",ROUND('C10-Adj by Source'!BG49,0),"; %let npgv",A223,"=",ROUND('C10-Adj by Source'!BH49,0),"; %let fed",A223,"=",ROUND('C10-Adj by Source'!BI49,0),"; %let retadj",A223,"=",ROUND('C10-Adj by Source'!BD49,0),"; %let mid",A223,"=",ROUND('T-T1'!DK52,0),";")</f>
        <v>%let totcorpNIPA2003=378625; %let totctaxNIPA2003=221745; %let ntint2003=53247; %let esi2003=525466; %let bpr2003=160297; %let othtx2003=0; %let sitx2003=202679; %let otx2003=501022; %let subtr2003=27202; %let npgv2003=49669; %let fed2003=22022; %let retadj2003=14971; %let mid2003=348709;</v>
      </c>
      <c r="T48" s="575" t="str">
        <f>CONCATENATE("%let xewtx",'C10-Adj by Source'!A49,"=",ROUND('C10-Adj by Source'!AY49-'C10-Adj by Source'!AX49,3),"; %let comb",'C10-Adj by Source'!A49,"=",'C10-Adj by Source'!G49,"; %let depi",'C10-Adj by Source'!A49,"=",ROUND('C10-Adj by Source'!DC49,2),"; %let ss",'C10-Adj by Source'!A49,"=",'C10-Adj by Source'!BL49,"; %let ui",'C10-Adj by Source'!A49,"=",'C10-Adj by Source'!BP49,"; %let xss",'C10-Adj by Source'!A49,"=",ROUND('C10-Adj by Source'!BL49-'C10-Adj by Source'!BM49,3),"; %let xui",'C10-Adj by Source'!A49,"=",ROUND('C10-Adj by Source'!BP49-'C10-Adj by Source'!BR49,3),"; %let cash",'C10-Adj by Source'!A49,"=",ROUND('C10-Adj by Source'!BT49,0),"; %let mc",'C10-Adj by Source'!A49,"=",ROUND('T-T2'!AE52,0),"; %let ncash",'C10-Adj by Source'!A49,"=",ROUND('C10-Adj by Source'!BZ49,0),"; %let xfitx",'C10-Adj by Source'!A49,"=",ROUND('C10-Adj by Source'!CC49-'C10-Adj by Source'!CD49-B223,3),"; %let xsitx",'C10-Adj by Source'!A49,"=",ROUND('C10-Adj by Source'!CH49-'C10-Adj by Source'!CI49-C223,3),"; %let xiptx",'C10-Adj by Source'!A49,"=",ROUND('C10-Adj by Source'!CM49-'C10-Adj by Source'!CN49,3),"; %let xwtx",'C10-Adj by Source'!A49,"=",ROUND('C10-Adj by Source'!CR49-'C10-Adj by Source'!CS49,3), "; %let vet",'C10-Adj by Source'!A49,"=",ROUND('C10-Adj by Source'!BS49,3),"; %let ftx",'C10-Adj by Source'!A49,"=",ROUND('C10-Adj by Source'!CC49,3),";")</f>
        <v>%let xewtx2003=23433.704; %let comb2003=12912; %let depi2003=54108.24; %let ss2003=472385; %let ui2003=53174; %let xss2003=259308.712; %let xui2003=9524.074; %let cash2003=115084; %let mc2003=276735; %let ncash2003=371867; %let xfitx2003=22756.303; %let xsitx2003=20292.414; %let xiptx2003=28992.917; %let xwtx2003=45064.18; %let vet2003=31818; %let ftx2003=778520;</v>
      </c>
    </row>
    <row r="49" spans="1:25" x14ac:dyDescent="0.3">
      <c r="A49" s="879" t="str">
        <f>CONCATENATE("%let FracPenNew",'C12-CorpOwn'!A49,"=",ROUND('C12-CorpOwn'!S49,3),"; %let FracNPGv",'C12-CorpOwn'!A49,"=",ROUND('C12-CorpOwn'!T49,3),"; %let Fcp",'C13-CapOwn'!A49,"=",ROUND('C13-CapOwn'!L49,3),"; %let Fdt",'C13-CapOwn'!A49,"=",ROUND('C13-CapOwn'!M49,3),"; %let Frt",'C13-CapOwn'!A49,"=",ROUND('C13-CapOwn'!N49,3),"; %let aFcp",'C13-CapOwn'!A49,"=",ROUND('C13-CapOwn'!Q49,3),"; %let aFdt",'C13-CapOwn'!A49,"=",ROUND('C13-CapOwn'!R49,3),"; %let aFrt",'C13-CapOwn'!A49,"=",ROUND('C13-CapOwn'!S49,3),"; %let aFps",'C13-CapOwn'!A49,"=", ROUND('C13-CapOwn'!T49,3),";")</f>
        <v>%let FracPenNew2004=0.554; %let FracNPGv2004=0.064; %let Fcp2004=0.221; %let Fdt2004=0.101; %let Frt2004=0.611; %let aFcp2004=0.181; %let aFdt2004=0.083; %let aFrt2004=0.5; %let aFps2004=0.182;</v>
      </c>
      <c r="I49" s="879" t="str">
        <f>CONCATENATE("%let totcorpNIPA",A224,"=",'C10-Adj by Source'!S50,"; %let totctaxNIPA",A224,"=",'C10-Adj by Source'!AC50,"; %let ntint",A224,"=",ROUND('C10-Adj by Source'!D50,0),"; %let esi",A224,"=",ROUND('C10-Adj by Source'!BA50,0),"; %let bpr",A224,"=",ROUND('C10-Adj by Source'!CO50,0),"; %let othtx",A224,"=",ROUND(0,0),"; %let sitx",A224,"=",ROUND('C10-Adj by Source'!CH50-'C22-Fiduciary'!AC49,0),"; %let otx",A224,"=",ROUND('C10-Adj by Source'!BF50,0),"; %let subtr",A224,"=",ROUND('C10-Adj by Source'!BG50,0),"; %let npgv",A224,"=",ROUND('C10-Adj by Source'!BH50,0),"; %let fed",A224,"=",ROUND('C10-Adj by Source'!BI50,0),"; %let retadj",A224,"=",ROUND('C10-Adj by Source'!BD50,0),"; %let mid",A224,"=",ROUND('T-T1'!DK53,0),";")</f>
        <v>%let totcorpNIPA2004=413162; %let totctaxNIPA2004=288015; %let ntint2004=51528; %let esi2004=564446; %let bpr2004=170545; %let othtx2004=0; %let sitx2004=221188; %let otx2004=537760; %let subtr2004=34963; %let npgv2004=46983; %let fed2004=18078; %let retadj2004=18851; %let mid2004=353267;</v>
      </c>
      <c r="T49" s="575" t="str">
        <f>CONCATENATE("%let xewtx",'C10-Adj by Source'!A50,"=",ROUND('C10-Adj by Source'!AY50-'C10-Adj by Source'!AX50,3),"; %let comb",'C10-Adj by Source'!A50,"=",'C10-Adj by Source'!G50,"; %let depi",'C10-Adj by Source'!A50,"=",ROUND('C10-Adj by Source'!DC50,2),"; %let ss",'C10-Adj by Source'!A50,"=",'C10-Adj by Source'!BL50,"; %let ui",'C10-Adj by Source'!A50,"=",'C10-Adj by Source'!BP50,"; %let xss",'C10-Adj by Source'!A50,"=",ROUND('C10-Adj by Source'!BL50-'C10-Adj by Source'!BM50,3),"; %let xui",'C10-Adj by Source'!A50,"=",ROUND('C10-Adj by Source'!BP50-'C10-Adj by Source'!BR50,3),"; %let cash",'C10-Adj by Source'!A50,"=",ROUND('C10-Adj by Source'!BT50,0),"; %let mc",'C10-Adj by Source'!A50,"=",ROUND('T-T2'!AE53,0),"; %let ncash",'C10-Adj by Source'!A50,"=",ROUND('C10-Adj by Source'!BZ50,0),"; %let xfitx",'C10-Adj by Source'!A50,"=",ROUND('C10-Adj by Source'!CC50-'C10-Adj by Source'!CD50-B224,3),"; %let xsitx",'C10-Adj by Source'!A50,"=",ROUND('C10-Adj by Source'!CH50-'C10-Adj by Source'!CI50-C224,3),"; %let xiptx",'C10-Adj by Source'!A50,"=",ROUND('C10-Adj by Source'!CM50-'C10-Adj by Source'!CN50,3),"; %let xwtx",'C10-Adj by Source'!A50,"=",ROUND('C10-Adj by Source'!CR50-'C10-Adj by Source'!CS50,3), "; %let vet",'C10-Adj by Source'!A50,"=",ROUND('C10-Adj by Source'!BS50,3),"; %let ftx",'C10-Adj by Source'!A50,"=",ROUND('C10-Adj by Source'!CC50,3),";")</f>
        <v>%let xewtx2004=28035.042; %let comb2004=12290; %let depi2004=56179.6; %let ss2004=494521; %let ui2004=36424; %let xss2004=263579.627; %let xui2004=3919.931; %let cash2004=121469; %let mc2004=304397; %let ncash2004=413711; %let xfitx2004=-37849.998; %let xsitx2004=19845.081; %let xiptx2004=23680.575; %let xwtx2004=52436.597; %let vet2004=34036; %let ftx2004=803166;</v>
      </c>
    </row>
    <row r="50" spans="1:25" x14ac:dyDescent="0.3">
      <c r="A50" s="879" t="str">
        <f>CONCATENATE("%let FracPenNew",'C12-CorpOwn'!A50,"=",ROUND('C12-CorpOwn'!S50,3),"; %let FracNPGv",'C12-CorpOwn'!A50,"=",ROUND('C12-CorpOwn'!T50,3),"; %let Fcp",'C13-CapOwn'!A50,"=",ROUND('C13-CapOwn'!L50,3),"; %let Fdt",'C13-CapOwn'!A50,"=",ROUND('C13-CapOwn'!M50,3),"; %let Frt",'C13-CapOwn'!A50,"=",ROUND('C13-CapOwn'!N50,3),"; %let aFcp",'C13-CapOwn'!A50,"=",ROUND('C13-CapOwn'!Q50,3),"; %let aFdt",'C13-CapOwn'!A50,"=",ROUND('C13-CapOwn'!R50,3),"; %let aFrt",'C13-CapOwn'!A50,"=",ROUND('C13-CapOwn'!S50,3),"; %let aFps",'C13-CapOwn'!A50,"=", ROUND('C13-CapOwn'!T50,3),";")</f>
        <v>%let FracPenNew2005=0.548; %let FracNPGv2005=0.064; %let Fcp2005=0.227; %let Fdt2005=0.102; %let Frt2005=0.603; %let aFcp2005=0.185; %let aFdt2005=0.083; %let aFrt2005=0.491; %let aFps2005=0.185;</v>
      </c>
      <c r="I50" s="879" t="str">
        <f>CONCATENATE("%let totcorpNIPA",A225,"=",'C10-Adj by Source'!S51,"; %let totctaxNIPA",A225,"=",'C10-Adj by Source'!AC51,"; %let ntint",A225,"=",ROUND('C10-Adj by Source'!D51,0),"; %let esi",A225,"=",ROUND('C10-Adj by Source'!BA51,0),"; %let bpr",A225,"=",ROUND('C10-Adj by Source'!CO51,0),"; %let othtx",A225,"=",ROUND(0,0),"; %let sitx",A225,"=",ROUND('C10-Adj by Source'!CH51-'C22-Fiduciary'!AC50,0),"; %let otx",A225,"=",ROUND('C10-Adj by Source'!BF51,0),"; %let subtr",A225,"=",ROUND('C10-Adj by Source'!BG51,0),"; %let npgv",A225,"=",ROUND('C10-Adj by Source'!BH51,0),"; %let fed",A225,"=",ROUND('C10-Adj by Source'!BI51,0),"; %let retadj",A225,"=",ROUND('C10-Adj by Source'!BD51,0),"; %let mid",A225,"=",ROUND('T-T1'!DK54,0),";")</f>
        <v>%let totcorpNIPA2005=484817; %let totctaxNIPA2005=390916; %let ntint2005=57010; %let esi2005=607514; %let bpr2005=183903; %let othtx2005=0; %let sitx2005=248054; %let otx2005=583212; %let subtr2005=32998; %let npgv2005=44496; %let fed2005=21468; %let retadj2005=10842; %let mid2005=402922;</v>
      </c>
      <c r="T50" s="575" t="str">
        <f>CONCATENATE("%let xewtx",'C10-Adj by Source'!A51,"=",ROUND('C10-Adj by Source'!AY51-'C10-Adj by Source'!AX51,3),"; %let comb",'C10-Adj by Source'!A51,"=",'C10-Adj by Source'!G51,"; %let depi",'C10-Adj by Source'!A51,"=",ROUND('C10-Adj by Source'!DC51,2),"; %let ss",'C10-Adj by Source'!A51,"=",'C10-Adj by Source'!BL51,"; %let ui",'C10-Adj by Source'!A51,"=",'C10-Adj by Source'!BP51,"; %let xss",'C10-Adj by Source'!A51,"=",ROUND('C10-Adj by Source'!BL51-'C10-Adj by Source'!BM51,3),"; %let xui",'C10-Adj by Source'!A51,"=",ROUND('C10-Adj by Source'!BP51-'C10-Adj by Source'!BR51,3),"; %let cash",'C10-Adj by Source'!A51,"=",ROUND('C10-Adj by Source'!BT51,0),"; %let mc",'C10-Adj by Source'!A51,"=",ROUND('T-T2'!AE54,0),"; %let ncash",'C10-Adj by Source'!A51,"=",ROUND('C10-Adj by Source'!BZ51,0),"; %let xfitx",'C10-Adj by Source'!A51,"=",ROUND('C10-Adj by Source'!CC51-'C10-Adj by Source'!CD51-B225,3),"; %let xsitx",'C10-Adj by Source'!A51,"=",ROUND('C10-Adj by Source'!CH51-'C10-Adj by Source'!CI51-C225,3),"; %let xiptx",'C10-Adj by Source'!A51,"=",ROUND('C10-Adj by Source'!CM51-'C10-Adj by Source'!CN51,3),"; %let xwtx",'C10-Adj by Source'!A51,"=",ROUND('C10-Adj by Source'!CR51-'C10-Adj by Source'!CS51,3), "; %let vet",'C10-Adj by Source'!A51,"=",ROUND('C10-Adj by Source'!BS51,3),"; %let ftx",'C10-Adj by Source'!A51,"=",ROUND('C10-Adj by Source'!CC51,3),";")</f>
        <v>%let xewtx2005=28323.893; %let comb2005=11668; %let depi2005=58309.46; %let ss2005=521922; %let ui2005=31774; %let xss2005=270837.219; %let xui2005=4081.506; %let cash2005=130117; %let mc2005=332161; %let ncash2005=438689; %let xfitx2005=-9405.268; %let xsitx2005=21569.812; %let xiptx2005=23047.023; %let xwtx2005=55198.11; %let vet2005=36356; %let ftx2005=936792;</v>
      </c>
    </row>
    <row r="51" spans="1:25" x14ac:dyDescent="0.3">
      <c r="A51" s="879" t="str">
        <f>CONCATENATE("%let FracPenNew",'C12-CorpOwn'!A51,"=",ROUND('C12-CorpOwn'!S51,3),"; %let FracNPGv",'C12-CorpOwn'!A51,"=",ROUND('C12-CorpOwn'!T51,3),"; %let Fcp",'C13-CapOwn'!A51,"=",ROUND('C13-CapOwn'!L51,3),"; %let Fdt",'C13-CapOwn'!A51,"=",ROUND('C13-CapOwn'!M51,3),"; %let Frt",'C13-CapOwn'!A51,"=",ROUND('C13-CapOwn'!N51,3),"; %let aFcp",'C13-CapOwn'!A51,"=",ROUND('C13-CapOwn'!Q51,3),"; %let aFdt",'C13-CapOwn'!A51,"=",ROUND('C13-CapOwn'!R51,3),"; %let aFrt",'C13-CapOwn'!A51,"=",ROUND('C13-CapOwn'!S51,3),"; %let aFps",'C13-CapOwn'!A51,"=", ROUND('C13-CapOwn'!T51,3),";")</f>
        <v>%let FracPenNew2006=0.515; %let FracNPGv2006=0.064; %let Fcp2006=0.252; %let Fdt2006=0.09; %let Frt2006=0.593; %let aFcp2006=0.205; %let aFdt2006=0.073; %let aFrt2006=0.483; %let aFps2006=0.187;</v>
      </c>
      <c r="I51" s="879" t="str">
        <f>CONCATENATE("%let totcorpNIPA",A226,"=",'C10-Adj by Source'!S52,"; %let totctaxNIPA",A226,"=",'C10-Adj by Source'!AC52,"; %let ntint",A226,"=",ROUND('C10-Adj by Source'!D52,0),"; %let esi",A226,"=",ROUND('C10-Adj by Source'!BA52,0),"; %let bpr",A226,"=",ROUND('C10-Adj by Source'!CO52,0),"; %let othtx",A226,"=",ROUND(0,0),"; %let sitx",A226,"=",ROUND('C10-Adj by Source'!CH52-'C22-Fiduciary'!AC51,0),"; %let otx",A226,"=",ROUND('C10-Adj by Source'!BF52,0),"; %let subtr",A226,"=",ROUND('C10-Adj by Source'!BG52,0),"; %let npgv",A226,"=",ROUND('C10-Adj by Source'!BH52,0),"; %let fed",A226,"=",ROUND('C10-Adj by Source'!BI52,0),"; %let retadj",A226,"=",ROUND('C10-Adj by Source'!BD52,0),"; %let mid",A226,"=",ROUND('T-T1'!DK55,0),";")</f>
        <v>%let totcorpNIPA2006=447140; %let totctaxNIPA2006=444308; %let ntint2006=72110; %let esi2006=615106; %let bpr2006=196762; %let othtx2006=0; %let sitx2006=272253; %let otx2006=616925; %let subtr2006=31124; %let npgv2006=53941; %let fed2006=29052; %let retadj2006=16420; %let mid2006=463502;</v>
      </c>
      <c r="T51" s="575" t="str">
        <f>CONCATENATE("%let xewtx",'C10-Adj by Source'!A52,"=",ROUND('C10-Adj by Source'!AY52-'C10-Adj by Source'!AX52,3),"; %let comb",'C10-Adj by Source'!A52,"=",'C10-Adj by Source'!G52,"; %let depi",'C10-Adj by Source'!A52,"=",ROUND('C10-Adj by Source'!DC52,2),"; %let ss",'C10-Adj by Source'!A52,"=",'C10-Adj by Source'!BL52,"; %let ui",'C10-Adj by Source'!A52,"=",'C10-Adj by Source'!BP52,"; %let xss",'C10-Adj by Source'!A52,"=",ROUND('C10-Adj by Source'!BL52-'C10-Adj by Source'!BM52,3),"; %let xui",'C10-Adj by Source'!A52,"=",ROUND('C10-Adj by Source'!BP52-'C10-Adj by Source'!BR52,3),"; %let cash",'C10-Adj by Source'!A52,"=",ROUND('C10-Adj by Source'!BT52,0),"; %let mc",'C10-Adj by Source'!A52,"=",ROUND('T-T2'!AE55,0),"; %let ncash",'C10-Adj by Source'!A52,"=",ROUND('C10-Adj by Source'!BZ52,0),"; %let xfitx",'C10-Adj by Source'!A52,"=",ROUND('C10-Adj by Source'!CC52-'C10-Adj by Source'!CD52-B226,3),"; %let xsitx",'C10-Adj by Source'!A52,"=",ROUND('C10-Adj by Source'!CH52-'C10-Adj by Source'!CI52-C226,3),"; %let xiptx",'C10-Adj by Source'!A52,"=",ROUND('C10-Adj by Source'!CM52-'C10-Adj by Source'!CN52,3),"; %let xwtx",'C10-Adj by Source'!A52,"=",ROUND('C10-Adj by Source'!CR52-'C10-Adj by Source'!CS52,3), "; %let vet",'C10-Adj by Source'!A52,"=",ROUND('C10-Adj by Source'!BS52,3),"; %let ftx",'C10-Adj by Source'!A52,"=",ROUND('C10-Adj by Source'!CC52,3),";")</f>
        <v>%let xewtx2006=26613.775; %let comb2006=11393; %let depi2006=61220.1; %let ss2006=553615; %let ui2006=30367; %let xss2006=215993.445; %let xui2006=4026.746; %let cash2006=134139; %let mc2006=399183; %let ncash2006=436975; %let xfitx2006=16254.6; %let xsitx2006=26913.167; %let xiptx2006=22248.598; %let xwtx2006=52581.043; %let vet2006=38835; %let ftx2006=1054559;</v>
      </c>
    </row>
    <row r="52" spans="1:25" x14ac:dyDescent="0.3">
      <c r="A52" s="879" t="str">
        <f>CONCATENATE("%let FracPenNew",'C12-CorpOwn'!A52,"=",ROUND('C12-CorpOwn'!S52,3),"; %let FracNPGv",'C12-CorpOwn'!A52,"=",ROUND('C12-CorpOwn'!T52,3),"; %let Fcp",'C13-CapOwn'!A52,"=",ROUND('C13-CapOwn'!L52,3),"; %let Fdt",'C13-CapOwn'!A52,"=",ROUND('C13-CapOwn'!M52,3),"; %let Frt",'C13-CapOwn'!A52,"=",ROUND('C13-CapOwn'!N52,3),"; %let aFcp",'C13-CapOwn'!A52,"=",ROUND('C13-CapOwn'!Q52,3),"; %let aFdt",'C13-CapOwn'!A52,"=",ROUND('C13-CapOwn'!R52,3),"; %let aFrt",'C13-CapOwn'!A52,"=",ROUND('C13-CapOwn'!S52,3),"; %let aFps",'C13-CapOwn'!A52,"=", ROUND('C13-CapOwn'!T52,3),";")</f>
        <v>%let FracPenNew2007=0.561; %let FracNPGv2007=0.065; %let Fcp2007=0.223; %let Fdt2007=0.101; %let Frt2007=0.608; %let aFcp2007=0.179; %let aFdt2007=0.081; %let aFrt2007=0.488; %let aFps2007=0.198;</v>
      </c>
      <c r="I52" s="879" t="str">
        <f>CONCATENATE("%let totcorpNIPA",A227,"=",'C10-Adj by Source'!S53,"; %let totctaxNIPA",A227,"=",'C10-Adj by Source'!AC53,"; %let ntint",A227,"=",ROUND('C10-Adj by Source'!D53,0),"; %let esi",A227,"=",ROUND('C10-Adj by Source'!BA53,0),"; %let bpr",A227,"=",ROUND('C10-Adj by Source'!CO53,0),"; %let othtx",A227,"=",ROUND(0,0),"; %let sitx",A227,"=",ROUND('C10-Adj by Source'!CH53-'C22-Fiduciary'!AC52,0),"; %let otx",A227,"=",ROUND('C10-Adj by Source'!BF53,0),"; %let subtr",A227,"=",ROUND('C10-Adj by Source'!BG53,0),"; %let npgv",A227,"=",ROUND('C10-Adj by Source'!BH53,0),"; %let fed",A227,"=",ROUND('C10-Adj by Source'!BI53,0),"; %let retadj",A227,"=",ROUND('C10-Adj by Source'!BD53,0),"; %let mid",A227,"=",ROUND('T-T1'!DK56,0),";")</f>
        <v>%let totcorpNIPA2007=264552; %let totctaxNIPA2007=410932; %let ntint2007=78511; %let esi2007=633793; %let bpr2007=212266; %let othtx2007=0; %let sitx2007=291808; %let otx2007=630734; %let subtr2007=43976; %let npgv2007=58502; %let fed2007=34598; %let retadj2007=1325; %let mid2007=510903;</v>
      </c>
      <c r="T52" s="575" t="str">
        <f>CONCATENATE("%let xewtx",'C10-Adj by Source'!A53,"=",ROUND('C10-Adj by Source'!AY53-'C10-Adj by Source'!AX53,3),"; %let comb",'C10-Adj by Source'!A53,"=",'C10-Adj by Source'!G53,"; %let depi",'C10-Adj by Source'!A53,"=",ROUND('C10-Adj by Source'!DC53,2),"; %let ss",'C10-Adj by Source'!A53,"=",'C10-Adj by Source'!BL53,"; %let ui",'C10-Adj by Source'!A53,"=",'C10-Adj by Source'!BP53,"; %let xss",'C10-Adj by Source'!A53,"=",ROUND('C10-Adj by Source'!BL53-'C10-Adj by Source'!BM53,3),"; %let xui",'C10-Adj by Source'!A53,"=",ROUND('C10-Adj by Source'!BP53-'C10-Adj by Source'!BR53,3),"; %let cash",'C10-Adj by Source'!A53,"=",ROUND('C10-Adj by Source'!BT53,0),"; %let mc",'C10-Adj by Source'!A53,"=",ROUND('T-T2'!AE56,0),"; %let ncash",'C10-Adj by Source'!A53,"=",ROUND('C10-Adj by Source'!BZ53,0),"; %let xfitx",'C10-Adj by Source'!A53,"=",ROUND('C10-Adj by Source'!CC53-'C10-Adj by Source'!CD53-B227,3),"; %let xsitx",'C10-Adj by Source'!A53,"=",ROUND('C10-Adj by Source'!CH53-'C10-Adj by Source'!CI53-C227,3),"; %let xiptx",'C10-Adj by Source'!A53,"=",ROUND('C10-Adj by Source'!CM53-'C10-Adj by Source'!CN53,3),"; %let xwtx",'C10-Adj by Source'!A53,"=",ROUND('C10-Adj by Source'!CR53-'C10-Adj by Source'!CS53,3), "; %let vet",'C10-Adj by Source'!A53,"=",ROUND('C10-Adj by Source'!BS53,3),"; %let ftx",'C10-Adj by Source'!A53,"=",ROUND('C10-Adj by Source'!CC53,3),";")</f>
        <v>%let xewtx2007=17685.729; %let comb2007=12287; %let depi2007=64858.73; %let ss2007=585466; %let ui2007=32739; %let xss2007=206696.146; %let xui2007=3571.855; %let cash2007=139925; %let mc2007=429044; %let ncash2007=468653; %let xfitx2007=36896.5; %let xsitx2007=23970.311; %let xiptx2007=25115.758; %let xwtx2007=41121.077; %let vet2007=41654; %let ftx2007=1169712;</v>
      </c>
    </row>
    <row r="53" spans="1:25" x14ac:dyDescent="0.3">
      <c r="A53" s="879" t="str">
        <f>CONCATENATE("%let FracPenNew",'C12-CorpOwn'!A53,"=",ROUND('C12-CorpOwn'!S53,3),"; %let FracNPGv",'C12-CorpOwn'!A53,"=",ROUND('C12-CorpOwn'!T53,3),"; %let Fcp",'C13-CapOwn'!A53,"=",ROUND('C13-CapOwn'!L53,3),"; %let Fdt",'C13-CapOwn'!A53,"=",ROUND('C13-CapOwn'!M53,3),"; %let Frt",'C13-CapOwn'!A53,"=",ROUND('C13-CapOwn'!N53,3),"; %let aFcp",'C13-CapOwn'!A53,"=",ROUND('C13-CapOwn'!Q53,3),"; %let aFdt",'C13-CapOwn'!A53,"=",ROUND('C13-CapOwn'!R53,3),"; %let aFrt",'C13-CapOwn'!A53,"=",ROUND('C13-CapOwn'!S53,3),"; %let aFps",'C13-CapOwn'!A53,"=", ROUND('C13-CapOwn'!T53,3),";")</f>
        <v>%let FracPenNew2008=0.574; %let FracNPGv2008=0.083; %let Fcp2008=0.154; %let Fdt2008=0.16; %let Frt2008=0.61; %let aFcp2008=0.121; %let aFdt2008=0.126; %let aFrt2008=0.481; %let aFps2008=0.212;</v>
      </c>
      <c r="I53" s="879" t="str">
        <f>CONCATENATE("%let totcorpNIPA",A228,"=",'C10-Adj by Source'!S54,"; %let totctaxNIPA",A228,"=",'C10-Adj by Source'!AC54,"; %let ntint",A228,"=",ROUND('C10-Adj by Source'!D54,0),"; %let esi",A228,"=",ROUND('C10-Adj by Source'!BA54,0),"; %let bpr",A228,"=",ROUND('C10-Adj by Source'!CO54,0),"; %let othtx",A228,"=",ROUND(0,0),"; %let sitx",A228,"=",ROUND('C10-Adj by Source'!CH54-'C22-Fiduciary'!AC53,0),"; %let otx",A228,"=",ROUND('C10-Adj by Source'!BF54,0),"; %let subtr",A228,"=",ROUND('C10-Adj by Source'!BG54,0),"; %let npgv",A228,"=",ROUND('C10-Adj by Source'!BH54,0),"; %let fed",A228,"=",ROUND('C10-Adj by Source'!BI54,0),"; %let retadj",A228,"=",ROUND('C10-Adj by Source'!BD54,0),"; %let mid",A228,"=",ROUND('T-T1'!DK57,0),";")</f>
        <v>%let totcorpNIPA2008=167349; %let totctaxNIPA2008=277411; %let ntint2008=79055; %let esi2008=647744; %let bpr2008=217607; %let othtx2008=0; %let sitx2008=301834; %let otx2008=628145; %let subtr2008=61812; %let npgv2008=68356; %let fed2008=31689; %let retadj2008=-7250; %let mid2008=513820;</v>
      </c>
      <c r="T53" s="575" t="str">
        <f>CONCATENATE("%let xewtx",'C10-Adj by Source'!A54,"=",ROUND('C10-Adj by Source'!AY54-'C10-Adj by Source'!AX54,3),"; %let comb",'C10-Adj by Source'!A54,"=",'C10-Adj by Source'!G54,"; %let depi",'C10-Adj by Source'!A54,"=",ROUND('C10-Adj by Source'!DC54,2),"; %let ss",'C10-Adj by Source'!A54,"=",'C10-Adj by Source'!BL54,"; %let ui",'C10-Adj by Source'!A54,"=",'C10-Adj by Source'!BP54,"; %let xss",'C10-Adj by Source'!A54,"=",ROUND('C10-Adj by Source'!BL54-'C10-Adj by Source'!BM54,3),"; %let xui",'C10-Adj by Source'!A54,"=",ROUND('C10-Adj by Source'!BP54-'C10-Adj by Source'!BR54,3),"; %let cash",'C10-Adj by Source'!A54,"=",ROUND('C10-Adj by Source'!BT54,0),"; %let mc",'C10-Adj by Source'!A54,"=",ROUND('T-T2'!AE57,0),"; %let ncash",'C10-Adj by Source'!A54,"=",ROUND('C10-Adj by Source'!BZ54,0),"; %let xfitx",'C10-Adj by Source'!A54,"=",ROUND('C10-Adj by Source'!CC54-'C10-Adj by Source'!CD54-B228,3),"; %let xsitx",'C10-Adj by Source'!A54,"=",ROUND('C10-Adj by Source'!CH54-'C10-Adj by Source'!CI54-C228,3),"; %let xiptx",'C10-Adj by Source'!A54,"=",ROUND('C10-Adj by Source'!CM54-'C10-Adj by Source'!CN54,3),"; %let xwtx",'C10-Adj by Source'!A54,"=",ROUND('C10-Adj by Source'!CR54-'C10-Adj by Source'!CS54,3), "; %let vet",'C10-Adj by Source'!A54,"=",ROUND('C10-Adj by Source'!BS54,3),"; %let ftx",'C10-Adj by Source'!A54,"=",ROUND('C10-Adj by Source'!CC54,3),";")</f>
        <v>%let xewtx2008=18677.269; %let comb2008=13187; %let depi2008=62922.29; %let ss2008=615610; %let ui2008=51147; %let xss2008=203435.737; %let xui2008=7741.603; %let cash2008=159612; %let mc2008=462929; %let ncash2008=585669; %let xfitx2008=119524.2; %let xsitx2008=32383.916; %let xiptx2008=28716.416; %let xwtx2008=46791.897; %let vet2008=44986; %let ftx2008=1174269;</v>
      </c>
      <c r="U53" s="24"/>
      <c r="V53" s="24"/>
      <c r="W53" s="24"/>
      <c r="X53" s="24"/>
      <c r="Y53" s="24"/>
    </row>
    <row r="54" spans="1:25" x14ac:dyDescent="0.3">
      <c r="A54" s="879" t="str">
        <f>CONCATENATE("%let FracPenNew",'C12-CorpOwn'!A54,"=",ROUND('C12-CorpOwn'!S54,3),"; %let FracNPGv",'C12-CorpOwn'!A54,"=",ROUND('C12-CorpOwn'!T54,3),"; %let Fcp",'C13-CapOwn'!A54,"=",ROUND('C13-CapOwn'!L54,3),"; %let Fdt",'C13-CapOwn'!A54,"=",ROUND('C13-CapOwn'!M54,3),"; %let Frt",'C13-CapOwn'!A54,"=",ROUND('C13-CapOwn'!N54,3),"; %let aFcp",'C13-CapOwn'!A54,"=",ROUND('C13-CapOwn'!Q54,3),"; %let aFdt",'C13-CapOwn'!A54,"=",ROUND('C13-CapOwn'!R54,3),"; %let aFrt",'C13-CapOwn'!A54,"=",ROUND('C13-CapOwn'!S54,3),"; %let aFps",'C13-CapOwn'!A54,"=", ROUND('C13-CapOwn'!T54,3),";")</f>
        <v>%let FracPenNew2009=0.564; %let FracNPGv2009=0.071; %let Fcp2009=0.185; %let Fdt2009=0.134; %let Frt2009=0.61; %let aFcp2009=0.152; %let aFdt2009=0.11; %let aFrt2009=0.501; %let aFps2009=0.179;</v>
      </c>
      <c r="I54" s="879" t="str">
        <f>CONCATENATE("%let totcorpNIPA",A229,"=",'C10-Adj by Source'!S55,"; %let totctaxNIPA",A229,"=",'C10-Adj by Source'!AC55,"; %let ntint",A229,"=",ROUND('C10-Adj by Source'!D55,0),"; %let esi",A229,"=",ROUND('C10-Adj by Source'!BA55,0),"; %let bpr",A229,"=",ROUND('C10-Adj by Source'!CO55,0),"; %let othtx",A229,"=",ROUND(0,0),"; %let sitx",A229,"=",ROUND('C10-Adj by Source'!CH55-'C22-Fiduciary'!AC54,0),"; %let otx",A229,"=",ROUND('C10-Adj by Source'!BF55,0),"; %let subtr",A229,"=",ROUND('C10-Adj by Source'!BG55,0),"; %let npgv",A229,"=",ROUND('C10-Adj by Source'!BH55,0),"; %let fed",A229,"=",ROUND('C10-Adj by Source'!BI55,0),"; %let retadj",A229,"=",ROUND('C10-Adj by Source'!BD55,0),"; %let mid",A229,"=",ROUND('T-T1'!DK58,0),";")</f>
        <v>%let totcorpNIPA2009=552898; %let totctaxNIPA2009=222014; %let ntint2009=73017; %let esi2009=652551; %let bpr2009=229033; %let othtx2009=0; %let sitx2009=256071; %let otx2009=591042; %let subtr2009=66528; %let npgv2009=42232; %let fed2009=47430; %let retadj2009=-512; %let mid2009=467826;</v>
      </c>
      <c r="T54" s="575" t="str">
        <f>CONCATENATE("%let xewtx",'C10-Adj by Source'!A55,"=",ROUND('C10-Adj by Source'!AY55-'C10-Adj by Source'!AX55,3),"; %let comb",'C10-Adj by Source'!A55,"=",'C10-Adj by Source'!G55,"; %let depi",'C10-Adj by Source'!A55,"=",ROUND('C10-Adj by Source'!DC55,2),"; %let ss",'C10-Adj by Source'!A55,"=",'C10-Adj by Source'!BL55,"; %let ui",'C10-Adj by Source'!A55,"=",'C10-Adj by Source'!BP55,"; %let xss",'C10-Adj by Source'!A55,"=",ROUND('C10-Adj by Source'!BL55-'C10-Adj by Source'!BM55,3),"; %let xui",'C10-Adj by Source'!A55,"=",ROUND('C10-Adj by Source'!BP55-'C10-Adj by Source'!BR55,3),"; %let cash",'C10-Adj by Source'!A55,"=",ROUND('C10-Adj by Source'!BT55,0),"; %let mc",'C10-Adj by Source'!A55,"=",ROUND('T-T2'!AE58,0),"; %let ncash",'C10-Adj by Source'!A55,"=",ROUND('C10-Adj by Source'!BZ55,0),"; %let xfitx",'C10-Adj by Source'!A55,"=",ROUND('C10-Adj by Source'!CC55-'C10-Adj by Source'!CD55-B229,3),"; %let xsitx",'C10-Adj by Source'!A55,"=",ROUND('C10-Adj by Source'!CH55-'C10-Adj by Source'!CI55-C229,3),"; %let xiptx",'C10-Adj by Source'!A55,"=",ROUND('C10-Adj by Source'!CM55-'C10-Adj by Source'!CN55,3),"; %let xwtx",'C10-Adj by Source'!A55,"=",ROUND('C10-Adj by Source'!CR55-'C10-Adj by Source'!CS55,3), "; %let vet",'C10-Adj by Source'!A55,"=",ROUND('C10-Adj by Source'!BS55,3),"; %let ftx",'C10-Adj by Source'!A55,"=",ROUND('C10-Adj by Source'!CC55,3),";")</f>
        <v>%let xewtx2009=18599.712; %let comb2009=12066; %let depi2009=50083.57; %let ss2009=675100; %let ui2009=131210; %let xss2009=221343.346; %let xui2009=48036.37; %let cash2009=165531; %let mc2009=494614; %let ncash2009=590912; %let xfitx2009=-53547.946; %let xsitx2009=21190.298; %let xiptx2009=38779.595; %let xwtx2009=37757.727; %let vet2009=51473; %let ftx2009=864492;</v>
      </c>
    </row>
    <row r="55" spans="1:25" x14ac:dyDescent="0.3">
      <c r="A55" s="879" t="str">
        <f>CONCATENATE("%let FracPenNew",'C12-CorpOwn'!A55,"=",ROUND('C12-CorpOwn'!S55,3),"; %let FracNPGv",'C12-CorpOwn'!A55,"=",ROUND('C12-CorpOwn'!T55,3),"; %let Fcp",'C13-CapOwn'!A55,"=",ROUND('C13-CapOwn'!L55,3),"; %let Fdt",'C13-CapOwn'!A55,"=",ROUND('C13-CapOwn'!M55,3),"; %let Frt",'C13-CapOwn'!A55,"=",ROUND('C13-CapOwn'!N55,3),"; %let aFcp",'C13-CapOwn'!A55,"=",ROUND('C13-CapOwn'!Q55,3),"; %let aFdt",'C13-CapOwn'!A55,"=",ROUND('C13-CapOwn'!R55,3),"; %let aFrt",'C13-CapOwn'!A55,"=",ROUND('C13-CapOwn'!S55,3),"; %let aFps",'C13-CapOwn'!A55,"=", ROUND('C13-CapOwn'!T55,3),";")</f>
        <v>%let FracPenNew2010=0.548; %let FracNPGv2010=0.068; %let Fcp2010=0.204; %let Fdt2010=0.119; %let Frt2010=0.608; %let aFcp2010=0.168; %let aFdt2010=0.098; %let aFrt2010=0.5; %let aFps2010=0.178;</v>
      </c>
      <c r="I55" s="879" t="str">
        <f>CONCATENATE("%let totcorpNIPA",A230,"=",'C10-Adj by Source'!S56,"; %let totctaxNIPA",A230,"=",'C10-Adj by Source'!AC56,"; %let ntint",A230,"=",ROUND('C10-Adj by Source'!D56,0),"; %let esi",A230,"=",ROUND('C10-Adj by Source'!BA56,0),"; %let bpr",A230,"=",ROUND('C10-Adj by Source'!CO56,0),"; %let othtx",A230,"=",ROUND(0,0),"; %let sitx",A230,"=",ROUND('C10-Adj by Source'!CH56-'C22-Fiduciary'!AC55,0),"; %let otx",A230,"=",ROUND('C10-Adj by Source'!BF56,0),"; %let subtr",A230,"=",ROUND('C10-Adj by Source'!BG56,0),"; %let npgv",A230,"=",ROUND('C10-Adj by Source'!BH56,0),"; %let fed",A230,"=",ROUND('C10-Adj by Source'!BI56,0),"; %let retadj",A230,"=",ROUND('C10-Adj by Source'!BD56,0),"; %let mid",A230,"=",ROUND('T-T1'!DK59,0),";")</f>
        <v>%let totcorpNIPA2010=811899; %let totctaxNIPA2010=291303; %let ntint2010=74526; %let esi2010=660039; %let bpr2010=228945; %let othtx2010=0; %let sitx2010=264261; %let otx2010=622068; %let subtr2010=72603; %let npgv2010=33876; %let fed2010=79268; %let retadj2010=-56993; %let mid2010=425006;</v>
      </c>
      <c r="T55" s="575" t="str">
        <f>CONCATENATE("%let xewtx",'C10-Adj by Source'!A56,"=",ROUND('C10-Adj by Source'!AY56-'C10-Adj by Source'!AX56,3),"; %let comb",'C10-Adj by Source'!A56,"=",'C10-Adj by Source'!G56,"; %let depi",'C10-Adj by Source'!A56,"=",ROUND('C10-Adj by Source'!DC56,2),"; %let ss",'C10-Adj by Source'!A56,"=",'C10-Adj by Source'!BL56,"; %let ui",'C10-Adj by Source'!A56,"=",'C10-Adj by Source'!BP56,"; %let xss",'C10-Adj by Source'!A56,"=",ROUND('C10-Adj by Source'!BL56-'C10-Adj by Source'!BM56,3),"; %let xui",'C10-Adj by Source'!A56,"=",ROUND('C10-Adj by Source'!BP56-'C10-Adj by Source'!BR56,3),"; %let cash",'C10-Adj by Source'!A56,"=",ROUND('C10-Adj by Source'!BT56,0),"; %let mc",'C10-Adj by Source'!A56,"=",ROUND('T-T2'!AE59,0),"; %let ncash",'C10-Adj by Source'!A56,"=",ROUND('C10-Adj by Source'!BZ56,0),"; %let xfitx",'C10-Adj by Source'!A56,"=",ROUND('C10-Adj by Source'!CC56-'C10-Adj by Source'!CD56-B230,3),"; %let xsitx",'C10-Adj by Source'!A56,"=",ROUND('C10-Adj by Source'!CH56-'C10-Adj by Source'!CI56-C230,3),"; %let xiptx",'C10-Adj by Source'!A56,"=",ROUND('C10-Adj by Source'!CM56-'C10-Adj by Source'!CN56,3),"; %let xwtx",'C10-Adj by Source'!A56,"=",ROUND('C10-Adj by Source'!CR56-'C10-Adj by Source'!CS56,3), "; %let vet",'C10-Adj by Source'!A56,"=",ROUND('C10-Adj by Source'!BS56,3),"; %let ftx",'C10-Adj by Source'!A56,"=",ROUND('C10-Adj by Source'!CC56,3),";")</f>
        <v>%let xewtx2010=15721.958; %let comb2010=12900; %let depi2010=49744.32; %let ss2010=700953; %let ui2010=138854; %let xss2010=226278.102; %let xui2010=19425.301; %let cash2010=235874; %let mc2010=513820; %let ncash2010=634366; %let xfitx2010=-63903.4; %let xsitx2010=19186.175; %let xiptx2010=34403.979; %let xwtx2010=40266.717; %let vet2010=57873; %let ftx2010=941622;</v>
      </c>
    </row>
    <row r="56" spans="1:25" x14ac:dyDescent="0.3">
      <c r="A56" s="879" t="str">
        <f>CONCATENATE("%let FracPenNew",'C12-CorpOwn'!A56,"=",ROUND('C12-CorpOwn'!S56,3),"; %let FracNPGv",'C12-CorpOwn'!A56,"=",ROUND('C12-CorpOwn'!T56,3),"; %let Fcp",'C13-CapOwn'!A56,"=",ROUND('C13-CapOwn'!L56,3),"; %let Fdt",'C13-CapOwn'!A56,"=",ROUND('C13-CapOwn'!M56,3),"; %let Frt",'C13-CapOwn'!A56,"=",ROUND('C13-CapOwn'!N56,3),"; %let aFcp",'C13-CapOwn'!A56,"=",ROUND('C13-CapOwn'!Q56,3),"; %let aFdt",'C13-CapOwn'!A56,"=",ROUND('C13-CapOwn'!R56,3),"; %let aFrt",'C13-CapOwn'!A56,"=",ROUND('C13-CapOwn'!S56,3),"; %let aFps",'C13-CapOwn'!A56,"=", ROUND('C13-CapOwn'!T56,3),";")</f>
        <v>%let FracPenNew2011=0.558; %let FracNPGv2011=0.07; %let Fcp2011=0.192; %let Fdt2011=0.109; %let Frt2011=0.633; %let aFcp2011=0.155; %let aFdt2011=0.088; %let aFrt2011=0.511; %let aFps2011=0.192;</v>
      </c>
      <c r="I56" s="879" t="str">
        <f>CONCATENATE("%let totcorpNIPA",A231,"=",'C10-Adj by Source'!S57,"; %let totctaxNIPA",A231,"=",'C10-Adj by Source'!AC57,"; %let ntint",A231,"=",ROUND('C10-Adj by Source'!D57,0),"; %let esi",A231,"=",ROUND('C10-Adj by Source'!BA57,0),"; %let bpr",A231,"=",ROUND('C10-Adj by Source'!CO57,0),"; %let othtx",A231,"=",ROUND(0,0),"; %let sitx",A231,"=",ROUND('C10-Adj by Source'!CH57-'C22-Fiduciary'!AC56,0),"; %let otx",A231,"=",ROUND('C10-Adj by Source'!BF57,0),"; %let subtr",A231,"=",ROUND('C10-Adj by Source'!BG57,0),"; %let npgv",A231,"=",ROUND('C10-Adj by Source'!BH57,0),"; %let fed",A231,"=",ROUND('C10-Adj by Source'!BI57,0),"; %let retadj",A231,"=",ROUND('C10-Adj by Source'!BD57,0),"; %let mid",A231,"=",ROUND('T-T1'!DK60,0),";")</f>
        <v>%let totcorpNIPA2011=733860; %let totctaxNIPA2011=303671; %let ntint2011=72457; %let esi2011=687210; %let bpr2011=231098; %let othtx2011=0; %let sitx2011=289523; %let otx2011=663448; %let subtr2011=71459; %let npgv2011=43134; %let fed2011=75424; %let retadj2011=-87793; %let mid2011=389636;</v>
      </c>
      <c r="T56" s="575" t="str">
        <f>CONCATENATE("%let xewtx",'C10-Adj by Source'!A57,"=",ROUND('C10-Adj by Source'!AY57-'C10-Adj by Source'!AX57,3),"; %let comb",'C10-Adj by Source'!A57,"=",'C10-Adj by Source'!G57,"; %let depi",'C10-Adj by Source'!A57,"=",ROUND('C10-Adj by Source'!DC57,2),"; %let ss",'C10-Adj by Source'!A57,"=",'C10-Adj by Source'!BL57,"; %let ui",'C10-Adj by Source'!A57,"=",'C10-Adj by Source'!BP57,"; %let xss",'C10-Adj by Source'!A57,"=",ROUND('C10-Adj by Source'!BL57-'C10-Adj by Source'!BM57,3),"; %let xui",'C10-Adj by Source'!A57,"=",ROUND('C10-Adj by Source'!BP57-'C10-Adj by Source'!BR57,3),"; %let cash",'C10-Adj by Source'!A57,"=",ROUND('C10-Adj by Source'!BT57,0),"; %let mc",'C10-Adj by Source'!A57,"=",ROUND('T-T2'!AE60,0),"; %let ncash",'C10-Adj by Source'!A57,"=",ROUND('C10-Adj by Source'!BZ57,0),"; %let xfitx",'C10-Adj by Source'!A57,"=",ROUND('C10-Adj by Source'!CC57-'C10-Adj by Source'!CD57-B231,3),"; %let xsitx",'C10-Adj by Source'!A57,"=",ROUND('C10-Adj by Source'!CH57-'C10-Adj by Source'!CI57-C231,3),"; %let xiptx",'C10-Adj by Source'!A57,"=",ROUND('C10-Adj by Source'!CM57-'C10-Adj by Source'!CN57,3),"; %let xwtx",'C10-Adj by Source'!A57,"=",ROUND('C10-Adj by Source'!CR57-'C10-Adj by Source'!CS57,3), "; %let vet",'C10-Adj by Source'!A57,"=",ROUND('C10-Adj by Source'!BS57,3),"; %let ftx",'C10-Adj by Source'!A57,"=",ROUND('C10-Adj by Source'!CC57,3),";")</f>
        <v>%let xewtx2011=25650.42; %let comb2011=12452; %let depi2011=50124.44; %let ss2011=724222; %let ui2011=107161; %let xss2011=237415.542; %let xui2011=15834.63; %let cash2011=242257; %let mc2011=536007; %let ncash2011=637408; %let xfitx2011=65020.7; %let xsitx2011=24787.271; %let xiptx2011=35700.664; %let xwtx2011=43055.735; %let vet2011=63164; %let ftx2011=1129098;</v>
      </c>
    </row>
    <row r="57" spans="1:25" x14ac:dyDescent="0.3">
      <c r="A57" s="879" t="str">
        <f>CONCATENATE("%let FracPenNew",'C12-CorpOwn'!A57,"=",ROUND('C12-CorpOwn'!S57,3),"; %let FracNPGv",'C12-CorpOwn'!A57,"=",ROUND('C12-CorpOwn'!T57,3),"; %let Fcp",'C13-CapOwn'!A57,"=",ROUND('C13-CapOwn'!L57,3),"; %let Fdt",'C13-CapOwn'!A57,"=",ROUND('C13-CapOwn'!M57,3),"; %let Frt",'C13-CapOwn'!A57,"=",ROUND('C13-CapOwn'!N57,3),"; %let aFcp",'C13-CapOwn'!A57,"=",ROUND('C13-CapOwn'!Q57,3),"; %let aFdt",'C13-CapOwn'!A57,"=",ROUND('C13-CapOwn'!R57,3),"; %let aFrt",'C13-CapOwn'!A57,"=",ROUND('C13-CapOwn'!S57,3),"; %let aFps",'C13-CapOwn'!A57,"=", ROUND('C13-CapOwn'!T57,3),";")</f>
        <v>%let FracPenNew2012=0.54; %let FracNPGv2012=0.069; %let Fcp2012=0.212; %let Fdt2012=0.095; %let Frt2012=0.629; %let aFcp2012=0.171; %let aFdt2012=0.077; %let aFrt2012=0.508; %let aFps2012=0.193;</v>
      </c>
      <c r="I57" s="879" t="str">
        <f>CONCATENATE("%let totcorpNIPA",A232,"=",'C10-Adj by Source'!S58,"; %let totctaxNIPA",A232,"=",'C10-Adj by Source'!AC58,"; %let ntint",A232,"=",ROUND('C10-Adj by Source'!D58,0),"; %let esi",A232,"=",ROUND('C10-Adj by Source'!BA58,0),"; %let bpr",A232,"=",ROUND('C10-Adj by Source'!CO58,0),"; %let othtx",A232,"=",ROUND(0,0),"; %let sitx",A232,"=",ROUND('C10-Adj by Source'!CH58-'C22-Fiduciary'!AC57,0),"; %let otx",A232,"=",ROUND('C10-Adj by Source'!BF58,0),"; %let subtr",A232,"=",ROUND('C10-Adj by Source'!BG58,0),"; %let npgv",A232,"=",ROUND('C10-Adj by Source'!BH58,0),"; %let fed",A232,"=",ROUND('C10-Adj by Source'!BI58,0),"; %let retadj",A232,"=",ROUND('C10-Adj by Source'!BD58,0),"; %let mid",A232,"=",ROUND('T-T1'!DK61,0),";")</f>
        <v>%let totcorpNIPA2012=691162; %let totctaxNIPA2012=359205; %let ntint2012=70495; %let esi2012=705564; %let bpr2012=232625; %let othtx2012=0; %let sitx2012=310634; %let otx2012=689856; %let subtr2012=46624; %let npgv2012=56509; %let fed2012=88418; %let retadj2012=-118550; %let mid2012=362745;</v>
      </c>
      <c r="T57" s="575" t="str">
        <f>CONCATENATE("%let xewtx",'C10-Adj by Source'!A58,"=",ROUND('C10-Adj by Source'!AY58-'C10-Adj by Source'!AX58,3),"; %let comb",'C10-Adj by Source'!A58,"=",'C10-Adj by Source'!G58,"; %let depi",'C10-Adj by Source'!A58,"=",ROUND('C10-Adj by Source'!DC58,2),"; %let ss",'C10-Adj by Source'!A58,"=",'C10-Adj by Source'!BL58,"; %let ui",'C10-Adj by Source'!A58,"=",'C10-Adj by Source'!BP58,"; %let xss",'C10-Adj by Source'!A58,"=",ROUND('C10-Adj by Source'!BL58-'C10-Adj by Source'!BM58,3),"; %let xui",'C10-Adj by Source'!A58,"=",ROUND('C10-Adj by Source'!BP58-'C10-Adj by Source'!BR58,3),"; %let cash",'C10-Adj by Source'!A58,"=",ROUND('C10-Adj by Source'!BT58,0),"; %let mc",'C10-Adj by Source'!A58,"=",ROUND('T-T2'!AE61,0),"; %let ncash",'C10-Adj by Source'!A58,"=",ROUND('C10-Adj by Source'!BZ58,0),"; %let xfitx",'C10-Adj by Source'!A58,"=",ROUND('C10-Adj by Source'!CC58-'C10-Adj by Source'!CD58-B232,3),"; %let xsitx",'C10-Adj by Source'!A58,"=",ROUND('C10-Adj by Source'!CH58-'C10-Adj by Source'!CI58-C232,3),"; %let xiptx",'C10-Adj by Source'!A58,"=",ROUND('C10-Adj by Source'!CM58-'C10-Adj by Source'!CN58,3),"; %let xwtx",'C10-Adj by Source'!A58,"=",ROUND('C10-Adj by Source'!CR58-'C10-Adj by Source'!CS58,3), "; %let vet",'C10-Adj by Source'!A58,"=",ROUND('C10-Adj by Source'!BS58,3),"; %let ftx",'C10-Adj by Source'!A58,"=",ROUND('C10-Adj by Source'!CC58,3),";")</f>
        <v>%let xewtx2012=32888.7229999999; %let comb2012=9716; %let depi2012=51122.97; %let ss2012=773549; %let ui2012=83795; %let xss2012=250583.768; %let xui2012=12985.124; %let cash2012=190781; %let mc2012=556328; %let ncash2012=649126; %let xfitx2012=-44904.7; %let xsitx2012=29206.67; %let xiptx2012=36842.881; %let xwtx2012=50158.566; %let vet2012=70019; %let ftx2012=1164736;</v>
      </c>
    </row>
    <row r="58" spans="1:25" x14ac:dyDescent="0.3">
      <c r="A58" s="879" t="str">
        <f>CONCATENATE("%let FracPenNew",'C12-CorpOwn'!A58,"=",ROUND('C12-CorpOwn'!S58,3),"; %let FracNPGv",'C12-CorpOwn'!A58,"=",ROUND('C12-CorpOwn'!T58,3),"; %let Fcp",'C13-CapOwn'!A58,"=",ROUND('C13-CapOwn'!L58,3),"; %let Fdt",'C13-CapOwn'!A58,"=",ROUND('C13-CapOwn'!M58,3),"; %let Frt",'C13-CapOwn'!A58,"=",ROUND('C13-CapOwn'!N58,3),"; %let aFcp",'C13-CapOwn'!A58,"=",ROUND('C13-CapOwn'!Q58,3),"; %let aFdt",'C13-CapOwn'!A58,"=",ROUND('C13-CapOwn'!R58,3),"; %let aFrt",'C13-CapOwn'!A58,"=",ROUND('C13-CapOwn'!S58,3),"; %let aFps",'C13-CapOwn'!A58,"=", ROUND('C13-CapOwn'!T58,3),";")</f>
        <v>%let FracPenNew2013=0.518; %let FracNPGv2013=0.068; %let Fcp2013=0.244; %let Fdt2013=0.084; %let Frt2013=0.609; %let aFcp2013=0.198; %let aFdt2013=0.068; %let aFrt2013=0.494; %let aFps2013=0.188;</v>
      </c>
      <c r="I58" s="879" t="str">
        <f>CONCATENATE("%let totcorpNIPA",A233,"=",'C10-Adj by Source'!S59,"; %let totctaxNIPA",A233,"=",'C10-Adj by Source'!AC59,"; %let ntint",A233,"=",ROUND('C10-Adj by Source'!D59,0),"; %let esi",A233,"=",ROUND('C10-Adj by Source'!BA59,0),"; %let bpr",A233,"=",ROUND('C10-Adj by Source'!CO59,0),"; %let othtx",A233,"=",ROUND(0,0),"; %let sitx",A233,"=",ROUND('C10-Adj by Source'!CH59-'C22-Fiduciary'!AC58,0),"; %let otx",A233,"=",ROUND('C10-Adj by Source'!BF59,0),"; %let subtr",A233,"=",ROUND('C10-Adj by Source'!BG59,0),"; %let npgv",A233,"=",ROUND('C10-Adj by Source'!BH59,0),"; %let fed",A233,"=",ROUND('C10-Adj by Source'!BI59,0),"; %let retadj",A233,"=",ROUND('C10-Adj by Source'!BD59,0),"; %let mid",A233,"=",ROUND('T-T1'!DK62,0),";")</f>
        <v>%let totcorpNIPA2013=635808; %let totctaxNIPA2013=388058; %let ntint2013=67644; %let esi2013=731499; %let bpr2013=236330; %let othtx2013=0; %let sitx2013=337509; %let otx2013=726145; %let subtr2013=59121; %let npgv2013=57806; %let fed2013=79633; %let retadj2013=-102098; %let mid2013=333755;</v>
      </c>
      <c r="T58" s="575" t="str">
        <f>CONCATENATE("%let xewtx",'C10-Adj by Source'!A59,"=",ROUND('C10-Adj by Source'!AY59-'C10-Adj by Source'!AX59,3),"; %let comb",'C10-Adj by Source'!A59,"=",'C10-Adj by Source'!G59,"; %let depi",'C10-Adj by Source'!A59,"=",ROUND('C10-Adj by Source'!DC59,2),"; %let ss",'C10-Adj by Source'!A59,"=",'C10-Adj by Source'!BL59,"; %let ui",'C10-Adj by Source'!A59,"=",'C10-Adj by Source'!BP59,"; %let xss",'C10-Adj by Source'!A59,"=",ROUND('C10-Adj by Source'!BL59-'C10-Adj by Source'!BM59,3),"; %let xui",'C10-Adj by Source'!A59,"=",ROUND('C10-Adj by Source'!BP59-'C10-Adj by Source'!BR59,3),"; %let cash",'C10-Adj by Source'!A59,"=",ROUND('C10-Adj by Source'!BT59,0),"; %let mc",'C10-Adj by Source'!A59,"=",ROUND('T-T2'!AE62,0),"; %let ncash",'C10-Adj by Source'!A59,"=",ROUND('C10-Adj by Source'!BZ59,0),"; %let xfitx",'C10-Adj by Source'!A59,"=",ROUND('C10-Adj by Source'!CC59-'C10-Adj by Source'!CD59-B233,3),"; %let xsitx",'C10-Adj by Source'!A59,"=",ROUND('C10-Adj by Source'!CH59-'C10-Adj by Source'!CI59-C233,3),"; %let xiptx",'C10-Adj by Source'!A59,"=",ROUND('C10-Adj by Source'!CM59-'C10-Adj by Source'!CN59,3),"; %let xwtx",'C10-Adj by Source'!A59,"=",ROUND('C10-Adj by Source'!CR59-'C10-Adj by Source'!CS59,3), "; %let vet",'C10-Adj by Source'!A59,"=",ROUND('C10-Adj by Source'!BS59,3),"; %let ftx",'C10-Adj by Source'!A59,"=",ROUND('C10-Adj by Source'!CC59,3),";")</f>
        <v>%let xewtx2013=29102.783; %let comb2013=7695; %let depi2013=52380.07; %let ss2013=810720; %let ui2013=62330; %let xss2013=261154.931; %let xui2013=10735.896; %let cash2013=191450; %let mc2013=575013; %let ncash2013=668409; %let xfitx2013=36409; %let xsitx2013=34685.98; %let xiptx2013=38713.199; %let xwtx2013=55758.175; %let vet2013=78963; %let ftx2013=1301977;</v>
      </c>
    </row>
    <row r="59" spans="1:25" ht="15" customHeight="1" x14ac:dyDescent="0.3">
      <c r="A59" s="879" t="str">
        <f>CONCATENATE("%let FracPenNew",'C12-CorpOwn'!A59,"=",ROUND('C12-CorpOwn'!S59,3),"; %let FracNPGv",'C12-CorpOwn'!A59,"=",ROUND('C12-CorpOwn'!T59,3),"; %let Fcp",'C13-CapOwn'!A59,"=",ROUND('C13-CapOwn'!L59,3),"; %let Fdt",'C13-CapOwn'!A59,"=",ROUND('C13-CapOwn'!M59,3),"; %let Frt",'C13-CapOwn'!A59,"=",ROUND('C13-CapOwn'!N59,3),"; %let aFcp",'C13-CapOwn'!A59,"=",ROUND('C13-CapOwn'!Q59,3),"; %let aFdt",'C13-CapOwn'!A59,"=",ROUND('C13-CapOwn'!R59,3),"; %let aFrt",'C13-CapOwn'!A59,"=",ROUND('C13-CapOwn'!S59,3),"; %let aFps",'C13-CapOwn'!A59,"=", ROUND('C13-CapOwn'!T59,3),";")</f>
        <v>%let FracPenNew2014=0.506; %let FracNPGv2014=0.068; %let Fcp2014=0.257; %let Fdt2014=0.074; %let Frt2014=0.607; %let aFcp2014=0.206; %let aFdt2014=0.059; %let aFrt2014=0.487; %let aFps2014=0.197;</v>
      </c>
      <c r="I59" s="879" t="str">
        <f>CONCATENATE("%let totcorpNIPA",A234,"=",'C10-Adj by Source'!S60,"; %let totctaxNIPA",A234,"=",'C10-Adj by Source'!AC60,"; %let ntint",A234,"=",ROUND('C10-Adj by Source'!D60,0),"; %let esi",A234,"=",ROUND('C10-Adj by Source'!BA60,0),"; %let bpr",A234,"=",ROUND('C10-Adj by Source'!CO60,0),"; %let othtx",A234,"=",ROUND(0,0),"; %let sitx",A234,"=",ROUND('C10-Adj by Source'!CH60-'C22-Fiduciary'!AC59,0),"; %let otx",A234,"=",ROUND('C10-Adj by Source'!BF60,0),"; %let subtr",A234,"=",ROUND('C10-Adj by Source'!BG60,0),"; %let npgv",A234,"=",ROUND('C10-Adj by Source'!BH60,0),"; %let fed",A234,"=",ROUND('C10-Adj by Source'!BI60,0),"; %let retadj",A234,"=",ROUND('C10-Adj by Source'!BD60,0),"; %let mid",A234,"=",ROUND('T-T1'!DK63,0),";")</f>
        <v>%let totcorpNIPA2014=648893; %let totctaxNIPA2014=408416; %let ntint2014=62103; %let esi2014=754366; %let bpr2014=233451; %let othtx2014=0; %let sitx2014=344691; %let otx2014=768089; %let subtr2014=80801; %let npgv2014=64800; %let fed2014=96902; %let retadj2014=-118829; %let mid2014=326351;</v>
      </c>
      <c r="T59" s="575" t="str">
        <f>CONCATENATE("%let xewtx",'C10-Adj by Source'!A60,"=",ROUND('C10-Adj by Source'!AY60-'C10-Adj by Source'!AX60,3),"; %let comb",'C10-Adj by Source'!A60,"=",'C10-Adj by Source'!G60,"; %let depi",'C10-Adj by Source'!A60,"=",ROUND('C10-Adj by Source'!DC60,2),"; %let ss",'C10-Adj by Source'!A60,"=",'C10-Adj by Source'!BL60,"; %let ui",'C10-Adj by Source'!A60,"=",'C10-Adj by Source'!BP60,"; %let xss",'C10-Adj by Source'!A60,"=",ROUND('C10-Adj by Source'!BL60-'C10-Adj by Source'!BM60,3),"; %let xui",'C10-Adj by Source'!A60,"=",ROUND('C10-Adj by Source'!BP60-'C10-Adj by Source'!BR60,3),"; %let cash",'C10-Adj by Source'!A60,"=",ROUND('C10-Adj by Source'!BT60,0),"; %let mc",'C10-Adj by Source'!A60,"=",ROUND('T-T2'!AE63,0),"; %let ncash",'C10-Adj by Source'!A60,"=",ROUND('C10-Adj by Source'!BZ60,0),"; %let xfitx",'C10-Adj by Source'!A60,"=",ROUND('C10-Adj by Source'!CC60-'C10-Adj by Source'!CD60-B234,3),"; %let xsitx",'C10-Adj by Source'!A60,"=",ROUND('C10-Adj by Source'!CH60-'C10-Adj by Source'!CI60-C234,3),"; %let xiptx",'C10-Adj by Source'!A60,"=",ROUND('C10-Adj by Source'!CM60-'C10-Adj by Source'!CN60,3),"; %let xwtx",'C10-Adj by Source'!A60,"=",ROUND('C10-Adj by Source'!CR60-'C10-Adj by Source'!CS60,3), "; %let vet",'C10-Adj by Source'!A60,"=",ROUND('C10-Adj by Source'!BS60,3),"; %let ftx",'C10-Adj by Source'!A60,"=",ROUND('C10-Adj by Source'!CC60,3),";")</f>
        <v>%let xewtx2014=31960.237; %let comb2014=5128; %let depi2014=54077.83; %let ss2014=846595; %let ui2014=35449; %let xss2014=275047.091; %let xui2014=2378.36; %let cash2014=210582; %let mc2014=600907; %let ncash2014=721632; %let xfitx2014=-1619.2; %let xsitx2014=35110.442; %let xiptx2014=39808.761; %let xwtx2014=63126.8; %let vet2014=83615; %let ftx2014=1402994;</v>
      </c>
    </row>
    <row r="60" spans="1:25" ht="15" customHeight="1" x14ac:dyDescent="0.3">
      <c r="A60" s="879" t="str">
        <f>CONCATENATE("%let FracPenNew",'C12-CorpOwn'!A60,"=",ROUND('C12-CorpOwn'!S60,3),"; %let FracNPGv",'C12-CorpOwn'!A60,"=",ROUND('C12-CorpOwn'!T60,3),"; %let Fcp",'C13-CapOwn'!A60,"=",ROUND('C13-CapOwn'!L60,3),"; %let Fdt",'C13-CapOwn'!A60,"=",ROUND('C13-CapOwn'!M60,3),"; %let Frt",'C13-CapOwn'!A60,"=",ROUND('C13-CapOwn'!N60,3),"; %let aFcp",'C13-CapOwn'!A60,"=",ROUND('C13-CapOwn'!Q60,3),"; %let aFdt",'C13-CapOwn'!A60,"=",ROUND('C13-CapOwn'!R60,3),"; %let aFrt",'C13-CapOwn'!A60,"=",ROUND('C13-CapOwn'!S60,3),"; %let aFps",'C13-CapOwn'!A60,"=", ROUND('C13-CapOwn'!T60,3),";")</f>
        <v>%let FracPenNew2015=0.505; %let FracNPGv2015=0.068; %let Fcp2015=0.252; %let Fdt2015=0.081; %let Frt2015=0.603; %let aFcp2015=0.202; %let aFdt2015=0.065; %let aFrt2015=0.483; %let aFps2015=0.199;</v>
      </c>
      <c r="I60" s="879" t="str">
        <f>CONCATENATE("%let totcorpNIPA",A235,"=",'C10-Adj by Source'!S61,"; %let totctaxNIPA",A235,"=",'C10-Adj by Source'!AC61,"; %let ntint",A235,"=",ROUND('C10-Adj by Source'!D61,0),"; %let esi",A235,"=",ROUND('C10-Adj by Source'!BA61,0),"; %let bpr",A235,"=",ROUND('C10-Adj by Source'!CO61,0),"; %let othtx",A235,"=",ROUND(0,0),"; %let sitx",A235,"=",ROUND('C10-Adj by Source'!CH61-'C22-Fiduciary'!AC60,0),"; %let otx",A235,"=",ROUND('C10-Adj by Source'!BF61,0),"; %let subtr",A235,"=",ROUND('C10-Adj by Source'!BG61,0),"; %let npgv",A235,"=",ROUND('C10-Adj by Source'!BH61,0),"; %let fed",A235,"=",ROUND('C10-Adj by Source'!BI61,0),"; %let retadj",A235,"=",ROUND('C10-Adj by Source'!BD61,0),"; %let mid",A235,"=",ROUND('T-T1'!DK64,0),";")</f>
        <v>%let totcorpNIPA2015=570109; %let totctaxNIPA2015=396972; %let ntint2015=61330; %let esi2015=788790; %let bpr2015=229739; %let othtx2015=0; %let sitx2015=370250; %let otx2015=799220; %let subtr2015=107720; %let npgv2015=72859; %let fed2015=110443; %let retadj2015=-140775; %let mid2015=325325;</v>
      </c>
      <c r="T60" s="575" t="str">
        <f>CONCATENATE("%let xewtx",'C10-Adj by Source'!A61,"=",ROUND('C10-Adj by Source'!AY61-'C10-Adj by Source'!AX61,3),"; %let comb",'C10-Adj by Source'!A61,"=",'C10-Adj by Source'!G61,"; %let depi",'C10-Adj by Source'!A61,"=",ROUND('C10-Adj by Source'!DC61,2),"; %let ss",'C10-Adj by Source'!A61,"=",'C10-Adj by Source'!BL61,"; %let ui",'C10-Adj by Source'!A61,"=",'C10-Adj by Source'!BP61,"; %let xss",'C10-Adj by Source'!A61,"=",ROUND('C10-Adj by Source'!BL61-'C10-Adj by Source'!BM61,3),"; %let xui",'C10-Adj by Source'!A61,"=",ROUND('C10-Adj by Source'!BP61-'C10-Adj by Source'!BR61,3),"; %let cash",'C10-Adj by Source'!A61,"=",ROUND('C10-Adj by Source'!BT61,0),"; %let mc",'C10-Adj by Source'!A61,"=",ROUND('T-T2'!AE64,0),"; %let ncash",'C10-Adj by Source'!A61,"=",ROUND('C10-Adj by Source'!BZ61,0),"; %let xfitx",'C10-Adj by Source'!A61,"=",ROUND('C10-Adj by Source'!CC61-'C10-Adj by Source'!CD61-B235,3),"; %let xsitx",'C10-Adj by Source'!A61,"=",ROUND('C10-Adj by Source'!CH61-'C10-Adj by Source'!CI61-C235,3),"; %let xiptx",'C10-Adj by Source'!A61,"=",ROUND('C10-Adj by Source'!CM61-'C10-Adj by Source'!CN61,3),"; %let xwtx",'C10-Adj by Source'!A61,"=",ROUND('C10-Adj by Source'!CR61-'C10-Adj by Source'!CS61,3), "; %let vet",'C10-Adj by Source'!A61,"=",ROUND('C10-Adj by Source'!BS61,3),"; %let ftx",'C10-Adj by Source'!A61,"=",ROUND('C10-Adj by Source'!CC61,3),";")</f>
        <v>%let xewtx2015=35841.335; %let comb2015=4573; %let depi2015=57323.83; %let ss2015=884021; %let ui2015=32150; %let xss2015=282633.298; %let xui2015=5075.466; %let cash2015=222634; %let mc2015=633656; %let ncash2015=769053; %let xfitx2015=40658.5; %let xsitx2015=37169.156; %let xiptx2015=38867.468; %let xwtx2015=66572.2; %let vet2015=89732; %let ftx2015=1528512;</v>
      </c>
    </row>
    <row r="61" spans="1:25" x14ac:dyDescent="0.3">
      <c r="T61" s="24"/>
    </row>
    <row r="63" spans="1:25" ht="14.25" customHeight="1" x14ac:dyDescent="0.3">
      <c r="A63" t="str">
        <f>CONCATENATE("%let rtx",'C10-Adj by Source'!A6,"=",ROUND('C10-Adj by Source'!AU6,3),"; %let xrtx",'C10-Adj by Source'!A6,"=",ROUND('C10-Adj by Source'!AU6-'C10-Adj by Source'!AV6,3),"; %let imprent",'C10-Adj by Source'!A6,"=",ROUND('C10-Adj by Source'!AS6,3),";" )</f>
        <v>%let rtx1960=7439; %let xrtx1960=3856.727; %let imprent1960=18432;</v>
      </c>
      <c r="H63" t="str">
        <f>CONCATENATE("%let depinc",'C10-Adj by Source'!A6,"=",ROUND('C10-Adj by Source'!DE6,3),"; %let depwas",'C10-Adj by Source'!A6,"=",ROUND('C10-Adj by Source'!DF6,3),";  %let depincap",'C10-Adj by Source'!A6,"=",ROUND(TOTALS!CA5/1000000,3),"; %let infHH",'C10-Adj by Source'!A6,"=",ROUND('T-T1a'!C11,3),"; %let infWG",'C10-Adj by Source'!A6,"=",ROUND('T-T1a'!D11,3),"; %let infbus",'C10-Adj by Source'!A6,"=",ROUND('T-T1a'!E11,3),"; %let infgov",'C10-Adj by Source'!A6,"=",ROUND('T-T1a'!F11,3),";" )</f>
        <v>%let depinc1960=7748.354; %let depwas1960=6567.539;  %let depincap1960=304.371; %let infHH1960=-2862.99; %let infWG1960=-1431.495; %let infbus1960=-398.344; %let infgov1960=4692.828;</v>
      </c>
      <c r="N63" s="655" t="str">
        <f>CONCATENATE("%let wgu",'C10-Adj by Source'!A6,"=",ROUND('T-T1'!E9,3),"; %let farmu",'C10-Adj by Source'!A6,"=",ROUND('T-T1'!L9,3),"; %let nfu",'C10-Adj by Source'!A6,"=",ROUND('T-T1'!Q9,3),"; %let rentu",'C10-Adj by Source'!A6,"=",ROUND('T-T1'!T9,3),"; %let scpu",'C10-Adj by Source'!A6,"=",ROUND('T-T1'!AH9,3),"; %let uret",'C10-Adj by Source'!A6,"=",ROUND('C10-Adj by Source'!BC6,3),"; %let gvsur",'C10-Adj by Source'!A6,"=",ROUND('T-T3'!H10,3),"; %let gvoth",'C10-Adj by Source'!A6,"=",ROUND('T-T2'!G9,3),"; %let gvcons",'C10-Adj by Source'!A6,"=",ROUND('T-T3'!G10,3),";  %let otxx",'C10-Adj by Source'!A6,"=",ROUND('C10-Adj by Source'!CU6,3),";" )</f>
        <v>%let wgu1960=5379.66; %let farmu1960=6043.097; %let nfu1960=9416.97; %let rentu1960=2990.05; %let scpu1960=82.665; %let uret1960=3678.335; %let gvsur1960=20026.475; %let gvoth1960=906; %let gvcons1960=78618;  %let otxx1960=21902;</v>
      </c>
    </row>
    <row r="64" spans="1:25" ht="14.25" customHeight="1" x14ac:dyDescent="0.3">
      <c r="A64" s="502" t="str">
        <f>CONCATENATE("%let rtx",'C10-Adj by Source'!A7,"=",ROUND('C10-Adj by Source'!AU7,3),"; %let xrtx",'C10-Adj by Source'!A7,"=",ROUND('C10-Adj by Source'!AU7-'C10-Adj by Source'!AV7,3),"; %let imprent",'C10-Adj by Source'!A7,"=",ROUND('C10-Adj by Source'!AS7,3),";" )</f>
        <v>%let rtx1961=8221; %let xrtx1961=8221; %let imprent1961=0;</v>
      </c>
      <c r="H64" s="1011" t="str">
        <f>CONCATENATE("%let depinc",'C10-Adj by Source'!A7,"=",ROUND('C10-Adj by Source'!DE7,3),"; %let depwas",'C10-Adj by Source'!A7,"=",ROUND('C10-Adj by Source'!DF7,3),";  %let depincap",'C10-Adj by Source'!A7,"=",ROUND(TOTALS!CA6/1000000,3),"; %let infHH",'C10-Adj by Source'!A7,"=",ROUND('T-T1a'!C12,3),"; %let infWG",'C10-Adj by Source'!A7,"=",ROUND('T-T1a'!D12,3),"; %let infbus",'C10-Adj by Source'!A7,"=",ROUND('T-T1a'!E12,3),"; %let infgov",'C10-Adj by Source'!A7,"=",ROUND('T-T1a'!F12,3),";" )</f>
        <v>%let depinc1961=0; %let depwas1961=0;  %let depincap1961=0; %let infHH1961=0; %let infWG1961=0; %let infbus1961=0; %let infgov1961=0;</v>
      </c>
      <c r="N64" s="879" t="str">
        <f>CONCATENATE("%let wgu",'C10-Adj by Source'!A7,"=",ROUND('T-T1'!E10,3),"; %let farmu",'C10-Adj by Source'!A7,"=",ROUND('T-T1'!L10,3),"; %let nfu",'C10-Adj by Source'!A7,"=",ROUND('T-T1'!Q10,3),"; %let rentu",'C10-Adj by Source'!A7,"=",ROUND('T-T1'!T10,3),"; %let scpu",'C10-Adj by Source'!A7,"=",ROUND('T-T1'!AH10,3),"; %let uret",'C10-Adj by Source'!A7,"=",ROUND('C10-Adj by Source'!BC7,3),"; %let gvsur",'C10-Adj by Source'!A7,"=",ROUND('T-T3'!H11,3),"; %let gvoth",'C10-Adj by Source'!A7,"=",ROUND('T-T2'!G10,3),"; %let gvcons",'C10-Adj by Source'!A7,"=",ROUND('T-T3'!G11,3),";  %let otxx",'C10-Adj by Source'!A7,"=",ROUND('C10-Adj by Source'!CU7,3),";" )</f>
        <v>%let wgu1961=0; %let farmu1961=0; %let nfu1961=0; %let rentu1961=0; %let scpu1961=0; %let uret1961=0; %let gvsur1961=0; %let gvoth1961=1058; %let gvcons1961=0;  %let otxx1961=0;</v>
      </c>
    </row>
    <row r="65" spans="1:14" ht="14.25" customHeight="1" x14ac:dyDescent="0.3">
      <c r="A65" s="502" t="str">
        <f>CONCATENATE("%let rtx",'C10-Adj by Source'!A8,"=",ROUND('C10-Adj by Source'!AU8,3),"; %let xrtx",'C10-Adj by Source'!A8,"=",ROUND('C10-Adj by Source'!AU8-'C10-Adj by Source'!AV8,3),"; %let imprent",'C10-Adj by Source'!A8,"=",ROUND('C10-Adj by Source'!AS8,3),";" )</f>
        <v>%let rtx1962=8922; %let xrtx1962=3869.034; %let imprent1962=21383;</v>
      </c>
      <c r="H65" s="1011" t="str">
        <f>CONCATENATE("%let depinc",'C10-Adj by Source'!A8,"=",ROUND('C10-Adj by Source'!DE8,3),"; %let depwas",'C10-Adj by Source'!A8,"=",ROUND('C10-Adj by Source'!DF8,3),";  %let depincap",'C10-Adj by Source'!A8,"=",ROUND(TOTALS!CA7/1000000,3),"; %let infHH",'C10-Adj by Source'!A8,"=",ROUND('T-T1a'!C13,3),"; %let infWG",'C10-Adj by Source'!A8,"=",ROUND('T-T1a'!D13,3),"; %let infbus",'C10-Adj by Source'!A8,"=",ROUND('T-T1a'!E13,3),"; %let infgov",'C10-Adj by Source'!A8,"=",ROUND('T-T1a'!F13,3),";" )</f>
        <v>%let depinc1962=9105.195; %let depwas1962=8253.816;  %let depincap1962=360.249; %let infHH1962=-2508.927; %let infWG1962=-1254.464; %let infbus1962=-80.106; %let infgov1962=3843.497;</v>
      </c>
      <c r="N65" s="879" t="str">
        <f>CONCATENATE("%let wgu",'C10-Adj by Source'!A8,"=",ROUND('T-T1'!E11,3),"; %let farmu",'C10-Adj by Source'!A8,"=",ROUND('T-T1'!L11,3),"; %let nfu",'C10-Adj by Source'!A8,"=",ROUND('T-T1'!Q11,3),"; %let rentu",'C10-Adj by Source'!A8,"=",ROUND('T-T1'!T11,3),"; %let scpu",'C10-Adj by Source'!A8,"=",ROUND('T-T1'!AH11,3),"; %let uret",'C10-Adj by Source'!A8,"=",ROUND('C10-Adj by Source'!BC8,3),"; %let gvsur",'C10-Adj by Source'!A8,"=",ROUND('T-T3'!H12,3),"; %let gvoth",'C10-Adj by Source'!A8,"=",ROUND('T-T2'!G11,3),"; %let gvcons",'C10-Adj by Source'!A8,"=",ROUND('T-T3'!G12,3),";  %let otxx",'C10-Adj by Source'!A8,"=",ROUND('C10-Adj by Source'!CU8,3),";" )</f>
        <v>%let wgu1962=4958.2; %let farmu1962=4831.427; %let nfu1962=10454.42; %let rentu1962=3068.245; %let scpu1962=98.011; %let uret1962=4570.23; %let gvsur1962=17992.276; %let gvoth1962=1033; %let gvcons1962=91330;  %let otxx1962=24422;</v>
      </c>
    </row>
    <row r="66" spans="1:14" ht="14.25" customHeight="1" x14ac:dyDescent="0.3">
      <c r="A66" s="502" t="str">
        <f>CONCATENATE("%let rtx",'C10-Adj by Source'!A9,"=",ROUND('C10-Adj by Source'!AU9,3),"; %let xrtx",'C10-Adj by Source'!A9,"=",ROUND('C10-Adj by Source'!AU9-'C10-Adj by Source'!AV9,3),"; %let imprent",'C10-Adj by Source'!A9,"=",ROUND('C10-Adj by Source'!AS9,3),";" )</f>
        <v>%let rtx1963=9819; %let xrtx1963=9819; %let imprent1963=0;</v>
      </c>
      <c r="H66" s="1011" t="str">
        <f>CONCATENATE("%let depinc",'C10-Adj by Source'!A9,"=",ROUND('C10-Adj by Source'!DE9,3),"; %let depwas",'C10-Adj by Source'!A9,"=",ROUND('C10-Adj by Source'!DF9,3),";  %let depincap",'C10-Adj by Source'!A9,"=",ROUND(TOTALS!CA8/1000000,3),"; %let infHH",'C10-Adj by Source'!A9,"=",ROUND('T-T1a'!C14,3),"; %let infWG",'C10-Adj by Source'!A9,"=",ROUND('T-T1a'!D14,3),"; %let infbus",'C10-Adj by Source'!A9,"=",ROUND('T-T1a'!E14,3),"; %let infgov",'C10-Adj by Source'!A9,"=",ROUND('T-T1a'!F14,3),";" )</f>
        <v>%let depinc1963=0; %let depwas1963=0;  %let depincap1963=0; %let infHH1963=0; %let infWG1963=0; %let infbus1963=0; %let infgov1963=0;</v>
      </c>
      <c r="N66" s="879" t="str">
        <f>CONCATENATE("%let wgu",'C10-Adj by Source'!A9,"=",ROUND('T-T1'!E12,3),"; %let farmu",'C10-Adj by Source'!A9,"=",ROUND('T-T1'!L12,3),"; %let nfu",'C10-Adj by Source'!A9,"=",ROUND('T-T1'!Q12,3),"; %let rentu",'C10-Adj by Source'!A9,"=",ROUND('T-T1'!T12,3),"; %let scpu",'C10-Adj by Source'!A9,"=",ROUND('T-T1'!AH12,3),"; %let uret",'C10-Adj by Source'!A9,"=",ROUND('C10-Adj by Source'!BC9,3),"; %let gvsur",'C10-Adj by Source'!A9,"=",ROUND('T-T3'!H13,3),"; %let gvoth",'C10-Adj by Source'!A9,"=",ROUND('T-T2'!G12,3),"; %let gvcons",'C10-Adj by Source'!A9,"=",ROUND('T-T3'!G13,3),";  %let otxx",'C10-Adj by Source'!A9,"=",ROUND('C10-Adj by Source'!CU9,3),";" )</f>
        <v>%let wgu1963=0; %let farmu1963=0; %let nfu1963=0; %let rentu1963=0; %let scpu1963=0; %let uret1963=0; %let gvsur1963=0; %let gvoth1963=1103; %let gvcons1963=0;  %let otxx1963=0;</v>
      </c>
    </row>
    <row r="67" spans="1:14" ht="14.25" customHeight="1" x14ac:dyDescent="0.3">
      <c r="A67" s="502" t="str">
        <f>CONCATENATE("%let rtx",'C10-Adj by Source'!A10,"=",ROUND('C10-Adj by Source'!AU10,3),"; %let xrtx",'C10-Adj by Source'!A10,"=",ROUND('C10-Adj by Source'!AU10-'C10-Adj by Source'!AV10,3),"; %let imprent",'C10-Adj by Source'!A10,"=",ROUND('C10-Adj by Source'!AS10,3),";" )</f>
        <v>%let rtx1964=10709; %let xrtx1964=5184.237; %let imprent1964=23766;</v>
      </c>
      <c r="H67" s="1011" t="str">
        <f>CONCATENATE("%let depinc",'C10-Adj by Source'!A10,"=",ROUND('C10-Adj by Source'!DE10,3),"; %let depwas",'C10-Adj by Source'!A10,"=",ROUND('C10-Adj by Source'!DF10,3),";  %let depincap",'C10-Adj by Source'!A10,"=",ROUND(TOTALS!CA9/1000000,3),"; %let infHH",'C10-Adj by Source'!A10,"=",ROUND('T-T1a'!C15,3),"; %let infWG",'C10-Adj by Source'!A10,"=",ROUND('T-T1a'!D15,3),"; %let infbus",'C10-Adj by Source'!A10,"=",ROUND('T-T1a'!E15,3),"; %let infgov",'C10-Adj by Source'!A10,"=",ROUND('T-T1a'!F15,3),";" )</f>
        <v>%let depinc1964=9760.015; %let depwas1964=8796.455;  %let depincap1964=422.546; %let infHH1964=-3837.617; %let infWG1964=-1918.809; %let infbus1964=34.682; %let infgov1964=5721.743;</v>
      </c>
      <c r="N67" s="879" t="str">
        <f>CONCATENATE("%let wgu",'C10-Adj by Source'!A10,"=",ROUND('T-T1'!E13,3),"; %let farmu",'C10-Adj by Source'!A10,"=",ROUND('T-T1'!L13,3),"; %let nfu",'C10-Adj by Source'!A10,"=",ROUND('T-T1'!Q13,3),"; %let rentu",'C10-Adj by Source'!A10,"=",ROUND('T-T1'!T13,3),"; %let scpu",'C10-Adj by Source'!A10,"=",ROUND('T-T1'!AH13,3),"; %let uret",'C10-Adj by Source'!A10,"=",ROUND('C10-Adj by Source'!BC10,3),"; %let gvsur",'C10-Adj by Source'!A10,"=",ROUND('T-T3'!H14,3),"; %let gvoth",'C10-Adj by Source'!A10,"=",ROUND('T-T2'!G13,3),"; %let gvcons",'C10-Adj by Source'!A10,"=",ROUND('T-T3'!G14,3),";  %let otxx",'C10-Adj by Source'!A10,"=",ROUND('C10-Adj by Source'!CU10,3),";" )</f>
        <v>%let wgu1964=8322.519; %let farmu1964=-2851.4; %let nfu1964=10681.39; %let rentu1964=2920.715; %let scpu1964=73.183; %let uret1964=7156.57; %let gvsur1964=19146.17; %let gvoth1964=1279; %let gvcons1964=101417;  %let otxx1964=27862;</v>
      </c>
    </row>
    <row r="68" spans="1:14" ht="14.25" customHeight="1" x14ac:dyDescent="0.3">
      <c r="A68" s="502" t="str">
        <f>CONCATENATE("%let rtx",'C10-Adj by Source'!A11,"=",ROUND('C10-Adj by Source'!AU11,3),"; %let xrtx",'C10-Adj by Source'!A11,"=",ROUND('C10-Adj by Source'!AU11-'C10-Adj by Source'!AV11,3),"; %let imprent",'C10-Adj by Source'!A11,"=",ROUND('C10-Adj by Source'!AS11,3),";" )</f>
        <v>%let rtx1965=11660; %let xrtx1965=11660; %let imprent1965=0;</v>
      </c>
      <c r="H68" s="1011" t="str">
        <f>CONCATENATE("%let depinc",'C10-Adj by Source'!A11,"=",ROUND('C10-Adj by Source'!DE11,3),"; %let depwas",'C10-Adj by Source'!A11,"=",ROUND('C10-Adj by Source'!DF11,3),";  %let depincap",'C10-Adj by Source'!A11,"=",ROUND(TOTALS!CA10/1000000,3),"; %let infHH",'C10-Adj by Source'!A11,"=",ROUND('T-T1a'!C16,3),"; %let infWG",'C10-Adj by Source'!A11,"=",ROUND('T-T1a'!D16,3),"; %let infbus",'C10-Adj by Source'!A11,"=",ROUND('T-T1a'!E16,3),"; %let infgov",'C10-Adj by Source'!A11,"=",ROUND('T-T1a'!F16,3),";" )</f>
        <v>%let depinc1965=0; %let depwas1965=0;  %let depincap1965=0; %let infHH1965=0; %let infWG1965=0; %let infbus1965=0; %let infgov1965=0;</v>
      </c>
      <c r="N68" s="879" t="str">
        <f>CONCATENATE("%let wgu",'C10-Adj by Source'!A11,"=",ROUND('T-T1'!E14,3),"; %let farmu",'C10-Adj by Source'!A11,"=",ROUND('T-T1'!L14,3),"; %let nfu",'C10-Adj by Source'!A11,"=",ROUND('T-T1'!Q14,3),"; %let rentu",'C10-Adj by Source'!A11,"=",ROUND('T-T1'!T14,3),"; %let scpu",'C10-Adj by Source'!A11,"=",ROUND('T-T1'!AH14,3),"; %let uret",'C10-Adj by Source'!A11,"=",ROUND('C10-Adj by Source'!BC11,3),"; %let gvsur",'C10-Adj by Source'!A11,"=",ROUND('T-T3'!H15,3),"; %let gvoth",'C10-Adj by Source'!A11,"=",ROUND('T-T2'!G14,3),"; %let gvcons",'C10-Adj by Source'!A11,"=",ROUND('T-T3'!G15,3),";  %let otxx",'C10-Adj by Source'!A11,"=",ROUND('C10-Adj by Source'!CU11,3),";" )</f>
        <v>%let wgu1965=0; %let farmu1965=0; %let nfu1965=0; %let rentu1965=0; %let scpu1965=0; %let uret1965=0; %let gvsur1965=0; %let gvoth1965=1510; %let gvcons1965=0;  %let otxx1965=0;</v>
      </c>
    </row>
    <row r="69" spans="1:14" ht="14.25" customHeight="1" x14ac:dyDescent="0.3">
      <c r="A69" s="502" t="str">
        <f>CONCATENATE("%let rtx",'C10-Adj by Source'!A12,"=",ROUND('C10-Adj by Source'!AU12,3),"; %let xrtx",'C10-Adj by Source'!A12,"=",ROUND('C10-Adj by Source'!AU12-'C10-Adj by Source'!AV12,3),"; %let imprent",'C10-Adj by Source'!A12,"=",ROUND('C10-Adj by Source'!AS12,3),";" )</f>
        <v>%let rtx1966=12567; %let xrtx1966=5230.601; %let imprent1966=26487;</v>
      </c>
      <c r="H69" s="1011" t="str">
        <f>CONCATENATE("%let depinc",'C10-Adj by Source'!A12,"=",ROUND('C10-Adj by Source'!DE12,3),"; %let depwas",'C10-Adj by Source'!A12,"=",ROUND('C10-Adj by Source'!DF12,3),";  %let depincap",'C10-Adj by Source'!A12,"=",ROUND(TOTALS!CA11/1000000,3),"; %let infHH",'C10-Adj by Source'!A12,"=",ROUND('T-T1a'!C17,3),"; %let infWG",'C10-Adj by Source'!A12,"=",ROUND('T-T1a'!D17,3),"; %let infbus",'C10-Adj by Source'!A12,"=",ROUND('T-T1a'!E17,3),"; %let infgov",'C10-Adj by Source'!A12,"=",ROUND('T-T1a'!F17,3),";" )</f>
        <v>%let depinc1966=13837.843; %let depwas1966=12562.56;  %let depincap1966=629.297; %let infHH1966=-6945.681; %let infWG1966=-3472.841; %let infbus1966=837.123; %let infgov1966=9581.399;</v>
      </c>
      <c r="N69" s="879" t="str">
        <f>CONCATENATE("%let wgu",'C10-Adj by Source'!A12,"=",ROUND('T-T1'!E15,3),"; %let farmu",'C10-Adj by Source'!A12,"=",ROUND('T-T1'!L15,3),"; %let nfu",'C10-Adj by Source'!A12,"=",ROUND('T-T1'!Q15,3),"; %let rentu",'C10-Adj by Source'!A12,"=",ROUND('T-T1'!T15,3),"; %let scpu",'C10-Adj by Source'!A12,"=",ROUND('T-T1'!AH15,3),"; %let uret",'C10-Adj by Source'!A12,"=",ROUND('C10-Adj by Source'!BC12,3),"; %let gvsur",'C10-Adj by Source'!A12,"=",ROUND('T-T3'!H16,3),"; %let gvoth",'C10-Adj by Source'!A12,"=",ROUND('T-T2'!G15,3),"; %let gvcons",'C10-Adj by Source'!A12,"=",ROUND('T-T3'!G16,3),";  %let otxx",'C10-Adj by Source'!A12,"=",ROUND('C10-Adj by Source'!CU12,3),";" )</f>
        <v>%let wgu1966=5723.545; %let farmu1966=9803.805; %let nfu1966=10483.23; %let rentu1966=574.138; %let scpu1966=158.105; %let uret1966=5959.835; %let gvsur1966=24403.636; %let gvoth1966=1886; %let gvcons1966=124215;  %let otxx1966=30066;</v>
      </c>
    </row>
    <row r="70" spans="1:14" ht="14.25" customHeight="1" x14ac:dyDescent="0.3">
      <c r="A70" s="502" t="str">
        <f>CONCATENATE("%let rtx",'C10-Adj by Source'!A13,"=",ROUND('C10-Adj by Source'!AU13,3),"; %let xrtx",'C10-Adj by Source'!A13,"=",ROUND('C10-Adj by Source'!AU13-'C10-Adj by Source'!AV13,3),"; %let imprent",'C10-Adj by Source'!A13,"=",ROUND('C10-Adj by Source'!AS13,3),";" )</f>
        <v>%let rtx1967=14053; %let xrtx1967=6663.646; %let imprent1967=28491;</v>
      </c>
      <c r="H70" s="1011" t="str">
        <f>CONCATENATE("%let depinc",'C10-Adj by Source'!A13,"=",ROUND('C10-Adj by Source'!DE13,3),"; %let depwas",'C10-Adj by Source'!A13,"=",ROUND('C10-Adj by Source'!DF13,3),";  %let depincap",'C10-Adj by Source'!A13,"=",ROUND(TOTALS!CA12/1000000,3),"; %let infHH",'C10-Adj by Source'!A13,"=",ROUND('T-T1a'!C18,3),"; %let infWG",'C10-Adj by Source'!A13,"=",ROUND('T-T1a'!D18,3),"; %let infbus",'C10-Adj by Source'!A13,"=",ROUND('T-T1a'!E18,3),"; %let infgov",'C10-Adj by Source'!A13,"=",ROUND('T-T1a'!F18,3),";" )</f>
        <v>%let depinc1967=13963.67; %let depwas1967=12773.312;  %let depincap1967=649.355; %let infHH1967=-6994.586; %let infWG1967=-3497.293; %let infbus1967=1334.537; %let infgov1967=9157.342;</v>
      </c>
      <c r="N70" s="879" t="str">
        <f>CONCATENATE("%let wgu",'C10-Adj by Source'!A13,"=",ROUND('T-T1'!E16,3),"; %let farmu",'C10-Adj by Source'!A13,"=",ROUND('T-T1'!L16,3),"; %let nfu",'C10-Adj by Source'!A13,"=",ROUND('T-T1'!Q16,3),"; %let rentu",'C10-Adj by Source'!A13,"=",ROUND('T-T1'!T16,3),"; %let scpu",'C10-Adj by Source'!A13,"=",ROUND('T-T1'!AH16,3),"; %let uret",'C10-Adj by Source'!A13,"=",ROUND('C10-Adj by Source'!BC13,3),"; %let gvsur",'C10-Adj by Source'!A13,"=",ROUND('T-T3'!H17,3),"; %let gvoth",'C10-Adj by Source'!A13,"=",ROUND('T-T2'!G16,3),"; %let gvcons",'C10-Adj by Source'!A13,"=",ROUND('T-T3'!G17,3),";  %let otxx",'C10-Adj by Source'!A13,"=",ROUND('C10-Adj by Source'!CU13,3),";" )</f>
        <v>%let wgu1967=2582.416; %let farmu1967=7506.057; %let nfu1967=14281.761; %let rentu1967=878.8; %let scpu1967=151.501; %let uret1967=7326.138; %let gvsur1967=12241.2; %let gvoth1967=2380; %let gvcons1967=141393;  %let otxx1967=31961;</v>
      </c>
    </row>
    <row r="71" spans="1:14" ht="14.25" customHeight="1" x14ac:dyDescent="0.3">
      <c r="A71" s="502" t="str">
        <f>CONCATENATE("%let rtx",'C10-Adj by Source'!A14,"=",ROUND('C10-Adj by Source'!AU14,3),"; %let xrtx",'C10-Adj by Source'!A14,"=",ROUND('C10-Adj by Source'!AU14-'C10-Adj by Source'!AV14,3),"; %let imprent",'C10-Adj by Source'!A14,"=",ROUND('C10-Adj by Source'!AS14,3),";" )</f>
        <v>%let rtx1968=15838; %let xrtx1968=7599.223; %let imprent1968=29939;</v>
      </c>
      <c r="H71" s="1011" t="str">
        <f>CONCATENATE("%let depinc",'C10-Adj by Source'!A14,"=",ROUND('C10-Adj by Source'!DE14,3),"; %let depwas",'C10-Adj by Source'!A14,"=",ROUND('C10-Adj by Source'!DF14,3),";  %let depincap",'C10-Adj by Source'!A14,"=",ROUND(TOTALS!CA13/1000000,3),"; %let infHH",'C10-Adj by Source'!A14,"=",ROUND('T-T1a'!C19,3),"; %let infWG",'C10-Adj by Source'!A14,"=",ROUND('T-T1a'!D19,3),"; %let infbus",'C10-Adj by Source'!A14,"=",ROUND('T-T1a'!E19,3),"; %let infgov",'C10-Adj by Source'!A14,"=",ROUND('T-T1a'!F19,3),";" )</f>
        <v>%let depinc1968=15579.655; %let depwas1968=14390.761;  %let depincap1968=747.835; %let infHH1968=-10662.112; %let infWG1968=-5331.056; %let infbus1968=1871.578; %let infgov1968=14121.59;</v>
      </c>
      <c r="N71" s="879" t="str">
        <f>CONCATENATE("%let wgu",'C10-Adj by Source'!A14,"=",ROUND('T-T1'!E17,3),"; %let farmu",'C10-Adj by Source'!A14,"=",ROUND('T-T1'!L17,3),"; %let nfu",'C10-Adj by Source'!A14,"=",ROUND('T-T1'!Q17,3),"; %let rentu",'C10-Adj by Source'!A14,"=",ROUND('T-T1'!T17,3),"; %let scpu",'C10-Adj by Source'!A14,"=",ROUND('T-T1'!AH17,3),"; %let uret",'C10-Adj by Source'!A14,"=",ROUND('C10-Adj by Source'!BC14,3),"; %let gvsur",'C10-Adj by Source'!A14,"=",ROUND('T-T3'!H18,3),"; %let gvoth",'C10-Adj by Source'!A14,"=",ROUND('T-T2'!G17,3),"; %let gvcons",'C10-Adj by Source'!A14,"=",ROUND('T-T3'!G18,3),";  %let otxx",'C10-Adj by Source'!A14,"=",ROUND('C10-Adj by Source'!CU14,3),";" )</f>
        <v>%let wgu1968=4507.518; %let farmu1968=9606.999; %let nfu1968=16778.499; %let rentu1968=-321.688; %let scpu1968=165.66; %let uret1968=7040.427; %let gvsur1968=19916.844; %let gvoth1968=2777; %let gvcons1968=157736;  %let otxx1968=36723;</v>
      </c>
    </row>
    <row r="72" spans="1:14" ht="14.25" customHeight="1" x14ac:dyDescent="0.3">
      <c r="A72" s="502" t="str">
        <f>CONCATENATE("%let rtx",'C10-Adj by Source'!A15,"=",ROUND('C10-Adj by Source'!AU15,3),"; %let xrtx",'C10-Adj by Source'!A15,"=",ROUND('C10-Adj by Source'!AU15-'C10-Adj by Source'!AV15,3),"; %let imprent",'C10-Adj by Source'!A15,"=",ROUND('C10-Adj by Source'!AS15,3),";" )</f>
        <v>%let rtx1969=17646; %let xrtx1969=8482.948; %let imprent1969=32060;</v>
      </c>
      <c r="H72" s="1011" t="str">
        <f>CONCATENATE("%let depinc",'C10-Adj by Source'!A15,"=",ROUND('C10-Adj by Source'!DE15,3),"; %let depwas",'C10-Adj by Source'!A15,"=",ROUND('C10-Adj by Source'!DF15,3),";  %let depincap",'C10-Adj by Source'!A15,"=",ROUND(TOTALS!CA14/1000000,3),"; %let infHH",'C10-Adj by Source'!A15,"=",ROUND('T-T1a'!C20,3),"; %let infWG",'C10-Adj by Source'!A15,"=",ROUND('T-T1a'!D20,3),"; %let infbus",'C10-Adj by Source'!A15,"=",ROUND('T-T1a'!E20,3),"; %let infgov",'C10-Adj by Source'!A15,"=",ROUND('T-T1a'!F20,3),";" )</f>
        <v>%let depinc1969=16532.91; %let depwas1969=15256.803;  %let depincap1969=761.76; %let infHH1969=-13171.151; %let infWG1969=-6585.576; %let infbus1969=4238.974; %let infgov1969=15517.753;</v>
      </c>
      <c r="N72" s="879" t="str">
        <f>CONCATENATE("%let wgu",'C10-Adj by Source'!A15,"=",ROUND('T-T1'!E18,3),"; %let farmu",'C10-Adj by Source'!A15,"=",ROUND('T-T1'!L18,3),"; %let nfu",'C10-Adj by Source'!A15,"=",ROUND('T-T1'!Q18,3),"; %let rentu",'C10-Adj by Source'!A15,"=",ROUND('T-T1'!T18,3),"; %let scpu",'C10-Adj by Source'!A15,"=",ROUND('T-T1'!AH18,3),"; %let uret",'C10-Adj by Source'!A15,"=",ROUND('C10-Adj by Source'!BC15,3),"; %let gvsur",'C10-Adj by Source'!A15,"=",ROUND('T-T3'!H19,3),"; %let gvoth",'C10-Adj by Source'!A15,"=",ROUND('T-T2'!G18,3),"; %let gvcons",'C10-Adj by Source'!A15,"=",ROUND('T-T3'!G19,3),";  %let otxx",'C10-Adj by Source'!A15,"=",ROUND('C10-Adj by Source'!CU15,3),";" )</f>
        <v>%let wgu1969=5157.938; %let farmu1969=9740.473; %let nfu1969=16740.269; %let rentu1969=-310.823; %let scpu1969=179.819; %let uret1969=9680.435; %let gvsur1969=31326.375; %let gvoth1969=3254; %let gvcons1969=170097;  %let otxx1969=40329;</v>
      </c>
    </row>
    <row r="73" spans="1:14" ht="14.25" customHeight="1" x14ac:dyDescent="0.3">
      <c r="A73" s="502" t="str">
        <f>CONCATENATE("%let rtx",'C10-Adj by Source'!A16,"=",ROUND('C10-Adj by Source'!AU16,3),"; %let xrtx",'C10-Adj by Source'!A16,"=",ROUND('C10-Adj by Source'!AU16-'C10-Adj by Source'!AV16,3),"; %let imprent",'C10-Adj by Source'!A16,"=",ROUND('C10-Adj by Source'!AS16,3),";" )</f>
        <v>%let rtx1970=20068; %let xrtx1970=9666.72; %let imprent1970=34576;</v>
      </c>
      <c r="H73" s="1011" t="str">
        <f>CONCATENATE("%let depinc",'C10-Adj by Source'!A16,"=",ROUND('C10-Adj by Source'!DE16,3),"; %let depwas",'C10-Adj by Source'!A16,"=",ROUND('C10-Adj by Source'!DF16,3),";  %let depincap",'C10-Adj by Source'!A16,"=",ROUND(TOTALS!CA15/1000000,3),"; %let infHH",'C10-Adj by Source'!A16,"=",ROUND('T-T1a'!C21,3),"; %let infWG",'C10-Adj by Source'!A16,"=",ROUND('T-T1a'!D21,3),"; %let infbus",'C10-Adj by Source'!A16,"=",ROUND('T-T1a'!E21,3),"; %let infgov",'C10-Adj by Source'!A16,"=",ROUND('T-T1a'!F21,3),";" )</f>
        <v>%let depinc1970=16903.779; %let depwas1970=15683.934;  %let depincap1970=578.631; %let infHH1970=-14512.401; %let infWG1970=-7256.201; %let infbus1970=5371.401; %let infgov1970=16397.201;</v>
      </c>
      <c r="N73" s="879" t="str">
        <f>CONCATENATE("%let wgu",'C10-Adj by Source'!A16,"=",ROUND('T-T1'!E19,3),"; %let farmu",'C10-Adj by Source'!A16,"=",ROUND('T-T1'!L19,3),"; %let nfu",'C10-Adj by Source'!A16,"=",ROUND('T-T1'!Q19,3),"; %let rentu",'C10-Adj by Source'!A16,"=",ROUND('T-T1'!T19,3),"; %let scpu",'C10-Adj by Source'!A16,"=",ROUND('T-T1'!AH19,3),"; %let uret",'C10-Adj by Source'!A16,"=",ROUND('C10-Adj by Source'!BC16,3),"; %let gvsur",'C10-Adj by Source'!A16,"=",ROUND('T-T3'!H20,3),"; %let gvoth",'C10-Adj by Source'!A16,"=",ROUND('T-T2'!G19,3),"; %let gvcons",'C10-Adj by Source'!A16,"=",ROUND('T-T3'!G20,3),";  %let otxx",'C10-Adj by Source'!A16,"=",ROUND('C10-Adj by Source'!CU16,3),";" )</f>
        <v>%let wgu1970=1105.778; %let farmu1970=10757.051; %let nfu1970=17568.348; %let rentu1970=616.721; %let scpu1970=162.755; %let uret1970=13446.857; %let gvsur1970=7591.983; %let gvoth1970=4079; %let gvcons1970=182778;  %let otxx1970=43114;</v>
      </c>
    </row>
    <row r="74" spans="1:14" ht="14.25" customHeight="1" x14ac:dyDescent="0.3">
      <c r="A74" s="502" t="str">
        <f>CONCATENATE("%let rtx",'C10-Adj by Source'!A17,"=",ROUND('C10-Adj by Source'!AU17,3),"; %let xrtx",'C10-Adj by Source'!A17,"=",ROUND('C10-Adj by Source'!AU17-'C10-Adj by Source'!AV17,3),"; %let imprent",'C10-Adj by Source'!A17,"=",ROUND('C10-Adj by Source'!AS17,3),";" )</f>
        <v>%let rtx1971=22076; %let xrtx1971=10418.428; %let imprent1971=37558;</v>
      </c>
      <c r="H74" s="1011" t="str">
        <f>CONCATENATE("%let depinc",'C10-Adj by Source'!A17,"=",ROUND('C10-Adj by Source'!DE17,3),"; %let depwas",'C10-Adj by Source'!A17,"=",ROUND('C10-Adj by Source'!DF17,3),";  %let depincap",'C10-Adj by Source'!A17,"=",ROUND(TOTALS!CA16/1000000,3),"; %let infHH",'C10-Adj by Source'!A17,"=",ROUND('T-T1a'!C22,3),"; %let infWG",'C10-Adj by Source'!A17,"=",ROUND('T-T1a'!D22,3),"; %let infbus",'C10-Adj by Source'!A17,"=",ROUND('T-T1a'!E22,3),"; %let infgov",'C10-Adj by Source'!A17,"=",ROUND('T-T1a'!F22,3),";" )</f>
        <v>%let depinc1971=17758.1; %let depwas1971=16270.777;  %let depincap1971=940.866; %let infHH1971=-15347.965; %let infWG1971=-7673.983; %let infbus1971=5572.54; %let infgov1971=17449.407;</v>
      </c>
      <c r="N74" s="879" t="str">
        <f>CONCATENATE("%let wgu",'C10-Adj by Source'!A17,"=",ROUND('T-T1'!E20,3),"; %let farmu",'C10-Adj by Source'!A17,"=",ROUND('T-T1'!L20,3),"; %let nfu",'C10-Adj by Source'!A17,"=",ROUND('T-T1'!Q20,3),"; %let rentu",'C10-Adj by Source'!A17,"=",ROUND('T-T1'!T20,3),"; %let scpu",'C10-Adj by Source'!A17,"=",ROUND('T-T1'!AH20,3),"; %let uret",'C10-Adj by Source'!A17,"=",ROUND('C10-Adj by Source'!BC17,3),"; %let gvsur",'C10-Adj by Source'!A17,"=",ROUND('T-T3'!H21,3),"; %let gvoth",'C10-Adj by Source'!A17,"=",ROUND('T-T2'!G20,3),"; %let gvcons",'C10-Adj by Source'!A17,"=",ROUND('T-T3'!G21,3),";  %let otxx",'C10-Adj by Source'!A17,"=",ROUND('C10-Adj by Source'!CU17,3),";" )</f>
        <v>%let wgu1971=-2070.85; %let farmu1971=12524.141; %let nfu1971=21293.92; %let rentu1971=-266.604; %let scpu1971=197.922; %let uret1971=15717.842; %let gvsur1971=-5494.157; %let gvoth1971=4962; %let gvcons1971=198254;  %let otxx1971=47480;</v>
      </c>
    </row>
    <row r="75" spans="1:14" ht="14.25" customHeight="1" x14ac:dyDescent="0.3">
      <c r="A75" s="502" t="str">
        <f>CONCATENATE("%let rtx",'C10-Adj by Source'!A18,"=",ROUND('C10-Adj by Source'!AU18,3),"; %let xrtx",'C10-Adj by Source'!A18,"=",ROUND('C10-Adj by Source'!AU18-'C10-Adj by Source'!AV18,3),"; %let imprent",'C10-Adj by Source'!A18,"=",ROUND('C10-Adj by Source'!AS18,3),";" )</f>
        <v>%let rtx1972=23780; %let xrtx1972=10616.642; %let imprent1972=39091;</v>
      </c>
      <c r="H75" s="1011" t="str">
        <f>CONCATENATE("%let depinc",'C10-Adj by Source'!A18,"=",ROUND('C10-Adj by Source'!DE18,3),"; %let depwas",'C10-Adj by Source'!A18,"=",ROUND('C10-Adj by Source'!DF18,3),";  %let depincap",'C10-Adj by Source'!A18,"=",ROUND(TOTALS!CA17/1000000,3),"; %let infHH",'C10-Adj by Source'!A18,"=",ROUND('T-T1a'!C23,3),"; %let infWG",'C10-Adj by Source'!A18,"=",ROUND('T-T1a'!D23,3),"; %let infbus",'C10-Adj by Source'!A18,"=",ROUND('T-T1a'!E23,3),"; %let infgov",'C10-Adj by Source'!A18,"=",ROUND('T-T1a'!F23,3),";" )</f>
        <v>%let depinc1972=18279.266; %let depwas1972=16696.315;  %let depincap1972=1084.585; %let infHH1972=-13936.383; %let infWG1972=-6968.191; %let infbus1972=4891.467; %let infgov1972=16013.107;</v>
      </c>
      <c r="N75" s="879" t="str">
        <f>CONCATENATE("%let wgu",'C10-Adj by Source'!A18,"=",ROUND('T-T1'!E21,3),"; %let farmu",'C10-Adj by Source'!A18,"=",ROUND('T-T1'!L21,3),"; %let nfu",'C10-Adj by Source'!A18,"=",ROUND('T-T1'!Q21,3),"; %let rentu",'C10-Adj by Source'!A18,"=",ROUND('T-T1'!T21,3),"; %let scpu",'C10-Adj by Source'!A18,"=",ROUND('T-T1'!AH21,3),"; %let uret",'C10-Adj by Source'!A18,"=",ROUND('C10-Adj by Source'!BC18,3),"; %let gvsur",'C10-Adj by Source'!A18,"=",ROUND('T-T3'!H22,3),"; %let gvoth",'C10-Adj by Source'!A18,"=",ROUND('T-T2'!G21,3),"; %let gvcons",'C10-Adj by Source'!A18,"=",ROUND('T-T3'!G22,3),";  %let otxx",'C10-Adj by Source'!A18,"=",ROUND('C10-Adj by Source'!CU18,3),";" )</f>
        <v>%let wgu1972=-4518.328; %let farmu1972=15243.649; %let nfu1972=25147.591; %let rentu1972=-135.969; %let scpu1972=329.061; %let uret1972=13543.435; %let gvsur1972=10856.768; %let gvoth1972=5388; %let gvcons1972=213727;  %let otxx1972=50874;</v>
      </c>
    </row>
    <row r="76" spans="1:14" ht="14.25" customHeight="1" x14ac:dyDescent="0.3">
      <c r="A76" s="502" t="str">
        <f>CONCATENATE("%let rtx",'C10-Adj by Source'!A19,"=",ROUND('C10-Adj by Source'!AU19,3),"; %let xrtx",'C10-Adj by Source'!A19,"=",ROUND('C10-Adj by Source'!AU19-'C10-Adj by Source'!AV19,3),"; %let imprent",'C10-Adj by Source'!A19,"=",ROUND('C10-Adj by Source'!AS19,3),";" )</f>
        <v>%let rtx1973=25790; %let xrtx1973=12074.754; %let imprent1973=40334;</v>
      </c>
      <c r="H76" s="1011" t="str">
        <f>CONCATENATE("%let depinc",'C10-Adj by Source'!A19,"=",ROUND('C10-Adj by Source'!DE19,3),"; %let depwas",'C10-Adj by Source'!A19,"=",ROUND('C10-Adj by Source'!DF19,3),";  %let depincap",'C10-Adj by Source'!A19,"=",ROUND(TOTALS!CA18/1000000,3),"; %let infHH",'C10-Adj by Source'!A19,"=",ROUND('T-T1a'!C24,3),"; %let infWG",'C10-Adj by Source'!A19,"=",ROUND('T-T1a'!D24,3),"; %let infbus",'C10-Adj by Source'!A19,"=",ROUND('T-T1a'!E24,3),"; %let infgov",'C10-Adj by Source'!A19,"=",ROUND('T-T1a'!F24,3),";" )</f>
        <v>%let depinc1973=16680.515; %let depwas1973=14984.178;  %let depincap1973=1073.769; %let infHH1973=-24865.21; %let infWG1973=-12432.605; %let infbus1973=9979.037; %let infgov1973=27318.777;</v>
      </c>
      <c r="N76" s="879" t="str">
        <f>CONCATENATE("%let wgu",'C10-Adj by Source'!A19,"=",ROUND('T-T1'!E22,3),"; %let farmu",'C10-Adj by Source'!A19,"=",ROUND('T-T1'!L22,3),"; %let nfu",'C10-Adj by Source'!A19,"=",ROUND('T-T1'!Q22,3),"; %let rentu",'C10-Adj by Source'!A19,"=",ROUND('T-T1'!T22,3),"; %let scpu",'C10-Adj by Source'!A19,"=",ROUND('T-T1'!AH22,3),"; %let uret",'C10-Adj by Source'!A19,"=",ROUND('C10-Adj by Source'!BC19,3),"; %let gvsur",'C10-Adj by Source'!A19,"=",ROUND('T-T3'!H23,3),"; %let gvoth",'C10-Adj by Source'!A19,"=",ROUND('T-T2'!G22,3),"; %let gvcons",'C10-Adj by Source'!A19,"=",ROUND('T-T3'!G23,3),";  %let otxx",'C10-Adj by Source'!A19,"=",ROUND('C10-Adj by Source'!CU19,3),";" )</f>
        <v>%let wgu1973=-2780.923; %let farmu1973=22863.696; %let nfu1973=25312.286; %let rentu1973=466.713; %let scpu1973=211.076; %let uret1973=18093.677; %let gvsur1973=24288.139; %let gvoth1973=6118; %let gvcons1973=225821;  %let otxx1973=55962;</v>
      </c>
    </row>
    <row r="77" spans="1:14" ht="14.25" customHeight="1" x14ac:dyDescent="0.3">
      <c r="A77" s="502" t="str">
        <f>CONCATENATE("%let rtx",'C10-Adj by Source'!A20,"=",ROUND('C10-Adj by Source'!AU20,3),"; %let xrtx",'C10-Adj by Source'!A20,"=",ROUND('C10-Adj by Source'!AU20-'C10-Adj by Source'!AV20,3),"; %let imprent",'C10-Adj by Source'!A20,"=",ROUND('C10-Adj by Source'!AS20,3),";" )</f>
        <v>%let rtx1974=27572; %let xrtx1974=11606.31; %let imprent1974=42422;</v>
      </c>
      <c r="H77" s="1011" t="str">
        <f>CONCATENATE("%let depinc",'C10-Adj by Source'!A20,"=",ROUND('C10-Adj by Source'!DE20,3),"; %let depwas",'C10-Adj by Source'!A20,"=",ROUND('C10-Adj by Source'!DF20,3),";  %let depincap",'C10-Adj by Source'!A20,"=",ROUND(TOTALS!CA19/1000000,3),"; %let infHH",'C10-Adj by Source'!A20,"=",ROUND('T-T1a'!C25,3),"; %let infWG",'C10-Adj by Source'!A20,"=",ROUND('T-T1a'!D25,3),"; %let infbus",'C10-Adj by Source'!A20,"=",ROUND('T-T1a'!E25,3),"; %let infgov",'C10-Adj by Source'!A20,"=",ROUND('T-T1a'!F25,3),";" )</f>
        <v>%let depinc1974=19962.087; %let depwas1974=17972.619;  %let depincap1974=1574.566; %let infHH1974=-46208; %let infWG1974=-23104; %let infbus1974=21583; %let infgov1974=47729;</v>
      </c>
      <c r="N77" s="879" t="str">
        <f>CONCATENATE("%let wgu",'C10-Adj by Source'!A20,"=",ROUND('T-T1'!E23,3),"; %let farmu",'C10-Adj by Source'!A20,"=",ROUND('T-T1'!L23,3),"; %let nfu",'C10-Adj by Source'!A20,"=",ROUND('T-T1'!Q23,3),"; %let rentu",'C10-Adj by Source'!A20,"=",ROUND('T-T1'!T23,3),"; %let scpu",'C10-Adj by Source'!A20,"=",ROUND('T-T1'!AH23,3),"; %let uret",'C10-Adj by Source'!A20,"=",ROUND('C10-Adj by Source'!BC20,3),"; %let gvsur",'C10-Adj by Source'!A20,"=",ROUND('T-T3'!H24,3),"; %let gvoth",'C10-Adj by Source'!A20,"=",ROUND('T-T2'!G23,3),"; %let gvcons",'C10-Adj by Source'!A20,"=",ROUND('T-T3'!G24,3),";  %let otxx",'C10-Adj by Source'!A20,"=",ROUND('C10-Adj by Source'!CU20,3),";" )</f>
        <v>%let wgu1974=-12126.26; %let farmu1974=32320.986; %let nfu1974=27024.61; %let rentu1974=-1398.864; %let scpu1974=271.248; %let uret1974=25198.873; %let gvsur1974=15143.492; %let gvoth1974=6978; %let gvcons1974=252011;  %let otxx1974=60982;</v>
      </c>
    </row>
    <row r="78" spans="1:14" ht="14.25" customHeight="1" x14ac:dyDescent="0.3">
      <c r="A78" s="502" t="str">
        <f>CONCATENATE("%let rtx",'C10-Adj by Source'!A21,"=",ROUND('C10-Adj by Source'!AU21,3),"; %let xrtx",'C10-Adj by Source'!A21,"=",ROUND('C10-Adj by Source'!AU21-'C10-Adj by Source'!AV21,3),"; %let imprent",'C10-Adj by Source'!A21,"=",ROUND('C10-Adj by Source'!AS21,3),";" )</f>
        <v>%let rtx1975=30317; %let xrtx1975=14897.958; %let imprent1975=44217;</v>
      </c>
      <c r="H78" s="1011" t="str">
        <f>CONCATENATE("%let depinc",'C10-Adj by Source'!A21,"=",ROUND('C10-Adj by Source'!DE21,3),"; %let depwas",'C10-Adj by Source'!A21,"=",ROUND('C10-Adj by Source'!DF21,3),";  %let depincap",'C10-Adj by Source'!A21,"=",ROUND(TOTALS!CA20/1000000,3),"; %let infHH",'C10-Adj by Source'!A21,"=",ROUND('T-T1a'!C26,3),"; %let infWG",'C10-Adj by Source'!A21,"=",ROUND('T-T1a'!D26,3),"; %let infbus",'C10-Adj by Source'!A21,"=",ROUND('T-T1a'!E26,3),"; %let infgov",'C10-Adj by Source'!A21,"=",ROUND('T-T1a'!F26,3),";" )</f>
        <v>%let depinc1975=21154.403; %let depwas1975=19104.876;  %let depincap1975=1367.589; %let infHH1975=-41411.664; %let infWG1975=-20705.832; %let infbus1975=24030.08; %let infgov1975=38087.416;</v>
      </c>
      <c r="N78" s="879" t="str">
        <f>CONCATENATE("%let wgu",'C10-Adj by Source'!A21,"=",ROUND('T-T1'!E24,3),"; %let farmu",'C10-Adj by Source'!A21,"=",ROUND('T-T1'!L24,3),"; %let nfu",'C10-Adj by Source'!A21,"=",ROUND('T-T1'!Q24,3),"; %let rentu",'C10-Adj by Source'!A21,"=",ROUND('T-T1'!T24,3),"; %let scpu",'C10-Adj by Source'!A21,"=",ROUND('T-T1'!AH24,3),"; %let uret",'C10-Adj by Source'!A21,"=",ROUND('C10-Adj by Source'!BC21,3),"; %let gvsur",'C10-Adj by Source'!A21,"=",ROUND('T-T3'!H25,3),"; %let gvoth",'C10-Adj by Source'!A21,"=",ROUND('T-T2'!G24,3),"; %let gvcons",'C10-Adj by Source'!A21,"=",ROUND('T-T3'!G25,3),";  %let otxx",'C10-Adj by Source'!A21,"=",ROUND('C10-Adj by Source'!CU21,3),";" )</f>
        <v>%let wgu1975=-6674.993; %let farmu1975=20926.453; %let nfu1975=34201.817; %let rentu1975=-1427.681; %let scpu1975=198.992; %let uret1975=31471.136; %let gvsur1975=-40815.758; %let gvoth1975=10206; %let gvcons1975=282679;  %let otxx1975=66047;</v>
      </c>
    </row>
    <row r="79" spans="1:14" ht="14.25" customHeight="1" x14ac:dyDescent="0.3">
      <c r="A79" s="502" t="str">
        <f>CONCATENATE("%let rtx",'C10-Adj by Source'!A22,"=",ROUND('C10-Adj by Source'!AU22,3),"; %let xrtx",'C10-Adj by Source'!A22,"=",ROUND('C10-Adj by Source'!AU22-'C10-Adj by Source'!AV22,3),"; %let imprent",'C10-Adj by Source'!A22,"=",ROUND('C10-Adj by Source'!AS22,3),";" )</f>
        <v>%let rtx1976=33366; %let xrtx1976=17495.901; %let imprent1976=45365;</v>
      </c>
      <c r="H79" s="1011" t="str">
        <f>CONCATENATE("%let depinc",'C10-Adj by Source'!A22,"=",ROUND('C10-Adj by Source'!DE22,3),"; %let depwas",'C10-Adj by Source'!A22,"=",ROUND('C10-Adj by Source'!DF22,3),";  %let depincap",'C10-Adj by Source'!A22,"=",ROUND(TOTALS!CA21/1000000,3),"; %let infHH",'C10-Adj by Source'!A22,"=",ROUND('T-T1a'!C27,3),"; %let infWG",'C10-Adj by Source'!A22,"=",ROUND('T-T1a'!D27,3),"; %let infbus",'C10-Adj by Source'!A22,"=",ROUND('T-T1a'!E27,3),"; %let infgov",'C10-Adj by Source'!A22,"=",ROUND('T-T1a'!F27,3),";" )</f>
        <v>%let depinc1976=23854.111; %let depwas1976=21595.068;  %let depincap1976=1553.966; %let infHH1976=-31576.383; %let infWG1976=-15788.192; %let infbus1976=14047.322; %let infgov1976=33317.252;</v>
      </c>
      <c r="N79" s="879" t="str">
        <f>CONCATENATE("%let wgu",'C10-Adj by Source'!A22,"=",ROUND('T-T1'!E25,3),"; %let farmu",'C10-Adj by Source'!A22,"=",ROUND('T-T1'!L25,3),"; %let nfu",'C10-Adj by Source'!A22,"=",ROUND('T-T1'!Q25,3),"; %let rentu",'C10-Adj by Source'!A22,"=",ROUND('T-T1'!T25,3),"; %let scpu",'C10-Adj by Source'!A22,"=",ROUND('T-T1'!AH25,3),"; %let uret",'C10-Adj by Source'!A22,"=",ROUND('C10-Adj by Source'!BC22,3),"; %let gvsur",'C10-Adj by Source'!A22,"=",ROUND('T-T3'!H26,3),"; %let gvoth",'C10-Adj by Source'!A22,"=",ROUND('T-T2'!G25,3),"; %let gvcons",'C10-Adj by Source'!A22,"=",ROUND('T-T3'!G26,3),";  %let otxx",'C10-Adj by Source'!A22,"=",ROUND('C10-Adj by Source'!CU22,3),";" )</f>
        <v>%let wgu1976=-10562.696; %let farmu1976=17011.754; %let nfu1976=44673.171; %let rentu1976=-2363.02; %let scpu1976=185.074; %let uret1976=31390.269; %let gvsur1976=-11445.394; %let gvoth1976=10234; %let gvcons1976=299077;  %let otxx1976=71034;</v>
      </c>
    </row>
    <row r="80" spans="1:14" ht="14.25" customHeight="1" x14ac:dyDescent="0.3">
      <c r="A80" s="502" t="str">
        <f>CONCATENATE("%let rtx",'C10-Adj by Source'!A23,"=",ROUND('C10-Adj by Source'!AU23,3),"; %let xrtx",'C10-Adj by Source'!A23,"=",ROUND('C10-Adj by Source'!AU23-'C10-Adj by Source'!AV23,3),"; %let imprent",'C10-Adj by Source'!A23,"=",ROUND('C10-Adj by Source'!AS23,3),";" )</f>
        <v>%let rtx1977=36554; %let xrtx1977=18936.876; %let imprent1977=43602;</v>
      </c>
      <c r="H80" s="1011" t="str">
        <f>CONCATENATE("%let depinc",'C10-Adj by Source'!A23,"=",ROUND('C10-Adj by Source'!DE23,3),"; %let depwas",'C10-Adj by Source'!A23,"=",ROUND('C10-Adj by Source'!DF23,3),";  %let depincap",'C10-Adj by Source'!A23,"=",ROUND(TOTALS!CA22/1000000,3),"; %let infHH",'C10-Adj by Source'!A23,"=",ROUND('T-T1a'!C28,3),"; %let infWG",'C10-Adj by Source'!A23,"=",ROUND('T-T1a'!D28,3),"; %let infbus",'C10-Adj by Source'!A23,"=",ROUND('T-T1a'!E28,3),"; %let infgov",'C10-Adj by Source'!A23,"=",ROUND('T-T1a'!F28,3),";" )</f>
        <v>%let depinc1977=25930.135; %let depwas1977=23530.806;  %let depincap1977=1787.239; %let infHH1977=-46155.287; %let infWG1977=-23077.643; %let infbus1977=21129.504; %let infgov1977=48103.427;</v>
      </c>
      <c r="N80" s="879" t="str">
        <f>CONCATENATE("%let wgu",'C10-Adj by Source'!A23,"=",ROUND('T-T1'!E26,3),"; %let farmu",'C10-Adj by Source'!A23,"=",ROUND('T-T1'!L26,3),"; %let nfu",'C10-Adj by Source'!A23,"=",ROUND('T-T1'!Q26,3),"; %let rentu",'C10-Adj by Source'!A23,"=",ROUND('T-T1'!T26,3),"; %let scpu",'C10-Adj by Source'!A23,"=",ROUND('T-T1'!AH26,3),"; %let uret",'C10-Adj by Source'!A23,"=",ROUND('C10-Adj by Source'!BC23,3),"; %let gvsur",'C10-Adj by Source'!A23,"=",ROUND('T-T3'!H27,3),"; %let gvoth",'C10-Adj by Source'!A23,"=",ROUND('T-T2'!G26,3),"; %let gvcons",'C10-Adj by Source'!A23,"=",ROUND('T-T3'!G27,3),";  %let otxx",'C10-Adj by Source'!A23,"=",ROUND('C10-Adj by Source'!CU23,3),";" )</f>
        <v>%let wgu1977=-4802.213; %let farmu1977=20138.2; %let nfu1977=52369.752; %let rentu1977=-1276.121; %let scpu1977=195.027; %let uret1977=42019.121; %let gvsur1977=11537.984; %let gvoth1977=11199; %let gvcons1977=324467;  %let otxx1977=78329;</v>
      </c>
    </row>
    <row r="81" spans="1:14" ht="14.25" customHeight="1" x14ac:dyDescent="0.3">
      <c r="A81" s="502" t="str">
        <f>CONCATENATE("%let rtx",'C10-Adj by Source'!A24,"=",ROUND('C10-Adj by Source'!AU24,3),"; %let xrtx",'C10-Adj by Source'!A24,"=",ROUND('C10-Adj by Source'!AU24-'C10-Adj by Source'!AV24,3),"; %let imprent",'C10-Adj by Source'!A24,"=",ROUND('C10-Adj by Source'!AS24,3),";" )</f>
        <v>%let rtx1978=37250; %let xrtx1978=19585.698; %let imprent1978=44389;</v>
      </c>
      <c r="H81" s="1011" t="str">
        <f>CONCATENATE("%let depinc",'C10-Adj by Source'!A24,"=",ROUND('C10-Adj by Source'!DE24,3),"; %let depwas",'C10-Adj by Source'!A24,"=",ROUND('C10-Adj by Source'!DF24,3),";  %let depincap",'C10-Adj by Source'!A24,"=",ROUND(TOTALS!CA23/1000000,3),"; %let infHH",'C10-Adj by Source'!A24,"=",ROUND('T-T1a'!C29,3),"; %let infWG",'C10-Adj by Source'!A24,"=",ROUND('T-T1a'!D29,3),"; %let infbus",'C10-Adj by Source'!A24,"=",ROUND('T-T1a'!E29,3),"; %let infgov",'C10-Adj by Source'!A24,"=",ROUND('T-T1a'!F29,3),";" )</f>
        <v>%let depinc1978=30302.124; %let depwas1978=27102.498;  %let depincap1978=2293.288; %let infHH1978=-52837.752; %let infWG1978=-26418.876; %let infbus1978=23381.366; %let infgov1978=55875.262;</v>
      </c>
      <c r="N81" s="879" t="str">
        <f>CONCATENATE("%let wgu",'C10-Adj by Source'!A24,"=",ROUND('T-T1'!E27,3),"; %let farmu",'C10-Adj by Source'!A24,"=",ROUND('T-T1'!L27,3),"; %let nfu",'C10-Adj by Source'!A24,"=",ROUND('T-T1'!Q27,3),"; %let rentu",'C10-Adj by Source'!A24,"=",ROUND('T-T1'!T27,3),"; %let scpu",'C10-Adj by Source'!A24,"=",ROUND('T-T1'!AH27,3),"; %let uret",'C10-Adj by Source'!A24,"=",ROUND('C10-Adj by Source'!BC24,3),"; %let gvsur",'C10-Adj by Source'!A24,"=",ROUND('T-T3'!H28,3),"; %let gvoth",'C10-Adj by Source'!A24,"=",ROUND('T-T2'!G27,3),"; %let gvcons",'C10-Adj by Source'!A24,"=",ROUND('T-T3'!G28,3),";  %let otxx",'C10-Adj by Source'!A24,"=",ROUND('C10-Adj by Source'!CU24,3),";" )</f>
        <v>%let wgu1978=-1934.186; %let farmu1978=21285.243; %let nfu1978=62516.394; %let rentu1978=-1544.648; %let scpu1978=220.128; %let uret1978=47990.832; %let gvsur1978=36770.535; %let gvoth1978=14058; %let gvcons1978=352565;  %let otxx1978=87894;</v>
      </c>
    </row>
    <row r="82" spans="1:14" ht="14.25" customHeight="1" x14ac:dyDescent="0.3">
      <c r="A82" s="502" t="str">
        <f>CONCATENATE("%let rtx",'C10-Adj by Source'!A25,"=",ROUND('C10-Adj by Source'!AU25,3),"; %let xrtx",'C10-Adj by Source'!A25,"=",ROUND('C10-Adj by Source'!AU25-'C10-Adj by Source'!AV25,3),"; %let imprent",'C10-Adj by Source'!A25,"=",ROUND('C10-Adj by Source'!AS25,3),";" )</f>
        <v>%let rtx1979=38019; %let xrtx1979=19024.383; %let imprent1979=43746;</v>
      </c>
      <c r="H82" s="1011" t="str">
        <f>CONCATENATE("%let depinc",'C10-Adj by Source'!A25,"=",ROUND('C10-Adj by Source'!DE25,3),"; %let depwas",'C10-Adj by Source'!A25,"=",ROUND('C10-Adj by Source'!DF25,3),";  %let depincap",'C10-Adj by Source'!A25,"=",ROUND(TOTALS!CA24/1000000,3),"; %let infHH",'C10-Adj by Source'!A25,"=",ROUND('T-T1a'!C30,3),"; %let infWG",'C10-Adj by Source'!A25,"=",ROUND('T-T1a'!D30,3),"; %let infbus",'C10-Adj by Source'!A25,"=",ROUND('T-T1a'!E30,3),"; %let infgov",'C10-Adj by Source'!A25,"=",ROUND('T-T1a'!F30,3),";" )</f>
        <v>%let depinc1979=42001.581; %let depwas1979=39629.11;  %let depincap1979=2086.652; %let infHH1979=-67275.734; %let infWG1979=-33637.867; %let infbus1979=33699.301; %let infgov1979=67214.3;</v>
      </c>
      <c r="N82" s="879" t="str">
        <f>CONCATENATE("%let wgu",'C10-Adj by Source'!A25,"=",ROUND('T-T1'!E28,3),"; %let farmu",'C10-Adj by Source'!A25,"=",ROUND('T-T1'!L28,3),"; %let nfu",'C10-Adj by Source'!A25,"=",ROUND('T-T1'!Q28,3),"; %let rentu",'C10-Adj by Source'!A25,"=",ROUND('T-T1'!T28,3),"; %let scpu",'C10-Adj by Source'!A25,"=",ROUND('T-T1'!AH28,3),"; %let uret",'C10-Adj by Source'!A25,"=",ROUND('C10-Adj by Source'!BC25,3),"; %let gvsur",'C10-Adj by Source'!A25,"=",ROUND('T-T3'!H29,3),"; %let gvoth",'C10-Adj by Source'!A25,"=",ROUND('T-T2'!G28,3),"; %let gvcons",'C10-Adj by Source'!A25,"=",ROUND('T-T3'!G29,3),";  %let otxx",'C10-Adj by Source'!A25,"=",ROUND('C10-Adj by Source'!CU25,3),";" )</f>
        <v>%let wgu1979=-7850.484; %let farmu1979=20644.146; %let nfu1979=70107.254; %let rentu1979=-536.939; %let scpu1979=211.161; %let uret1979=57749.685; %let gvsur1979=51762.511; %let gvoth1979=15763; %let gvcons1979=385857;  %let otxx1979=96118;</v>
      </c>
    </row>
    <row r="83" spans="1:14" ht="14.25" customHeight="1" x14ac:dyDescent="0.3">
      <c r="A83" s="502" t="str">
        <f>CONCATENATE("%let rtx",'C10-Adj by Source'!A26,"=",ROUND('C10-Adj by Source'!AU26,3),"; %let xrtx",'C10-Adj by Source'!A26,"=",ROUND('C10-Adj by Source'!AU26-'C10-Adj by Source'!AV26,3),"; %let imprent",'C10-Adj by Source'!A26,"=",ROUND('C10-Adj by Source'!AS26,3),";" )</f>
        <v>%let rtx1980=41020; %let xrtx1980=19434.769; %let imprent1980=46652;</v>
      </c>
      <c r="H83" s="1011" t="str">
        <f>CONCATENATE("%let depinc",'C10-Adj by Source'!A26,"=",ROUND('C10-Adj by Source'!DE26,3),"; %let depwas",'C10-Adj by Source'!A26,"=",ROUND('C10-Adj by Source'!DF26,3),";  %let depincap",'C10-Adj by Source'!A26,"=",ROUND(TOTALS!CA25/1000000,3),"; %let infHH",'C10-Adj by Source'!A26,"=",ROUND('T-T1a'!C31,3),"; %let infWG",'C10-Adj by Source'!A26,"=",ROUND('T-T1a'!D31,3),"; %let infbus",'C10-Adj by Source'!A26,"=",ROUND('T-T1a'!E31,3),"; %let infgov",'C10-Adj by Source'!A26,"=",ROUND('T-T1a'!F31,3),";" )</f>
        <v>%let depinc1980=41259.405; %let depwas1980=38197.487;  %let depincap1980=3173.908; %let infHH1980=-80236.33; %let infWG1980=-40118.165; %let infbus1980=50050.738; %let infgov1980=70303.756;</v>
      </c>
      <c r="N83" s="879" t="str">
        <f>CONCATENATE("%let wgu",'C10-Adj by Source'!A26,"=",ROUND('T-T1'!E29,3),"; %let farmu",'C10-Adj by Source'!A26,"=",ROUND('T-T1'!L29,3),"; %let nfu",'C10-Adj by Source'!A26,"=",ROUND('T-T1'!Q29,3),"; %let rentu",'C10-Adj by Source'!A26,"=",ROUND('T-T1'!T29,3),"; %let scpu",'C10-Adj by Source'!A26,"=",ROUND('T-T1'!AH29,3),"; %let uret",'C10-Adj by Source'!A26,"=",ROUND('C10-Adj by Source'!BC26,3),"; %let gvsur",'C10-Adj by Source'!A26,"=",ROUND('T-T3'!H30,3),"; %let gvoth",'C10-Adj by Source'!A26,"=",ROUND('T-T2'!G29,3),"; %let gvcons",'C10-Adj by Source'!A26,"=",ROUND('T-T3'!G30,3),";  %let otxx",'C10-Adj by Source'!A26,"=",ROUND('C10-Adj by Source'!CU26,3),";" )</f>
        <v>%let wgu1980=-11554.715; %let farmu1980=13942.067; %let nfu1980=73308.476; %let rentu1980=2412.56; %let scpu1980=57.592; %let uret1980=73382.502; %let gvsur1980=18074; %let gvoth1980=21613; %let gvcons1980=434922;  %let otxx1980=111531;</v>
      </c>
    </row>
    <row r="84" spans="1:14" ht="14.25" customHeight="1" x14ac:dyDescent="0.3">
      <c r="A84" s="502" t="str">
        <f>CONCATENATE("%let rtx",'C10-Adj by Source'!A27,"=",ROUND('C10-Adj by Source'!AU27,3),"; %let xrtx",'C10-Adj by Source'!A27,"=",ROUND('C10-Adj by Source'!AU27-'C10-Adj by Source'!AV27,3),"; %let imprent",'C10-Adj by Source'!A27,"=",ROUND('C10-Adj by Source'!AS27,3),";" )</f>
        <v>%let rtx1981=45622; %let xrtx1981=20543.694; %let imprent1981=51392;</v>
      </c>
      <c r="H84" s="1011" t="str">
        <f>CONCATENATE("%let depinc",'C10-Adj by Source'!A27,"=",ROUND('C10-Adj by Source'!DE27,3),"; %let depwas",'C10-Adj by Source'!A27,"=",ROUND('C10-Adj by Source'!DF27,3),";  %let depincap",'C10-Adj by Source'!A27,"=",ROUND(TOTALS!CA26/1000000,3),"; %let infHH",'C10-Adj by Source'!A27,"=",ROUND('T-T1a'!C32,3),"; %let infWG",'C10-Adj by Source'!A27,"=",ROUND('T-T1a'!D32,3),"; %let infbus",'C10-Adj by Source'!A27,"=",ROUND('T-T1a'!E32,3),"; %let infgov",'C10-Adj by Source'!A27,"=",ROUND('T-T1a'!F32,3),";" )</f>
        <v>%let depinc1981=41084.986; %let depwas1981=37564.243;  %let depincap1981=3960.05; %let infHH1981=-73269.191; %let infWG1981=-36634.595; %let infbus1981=46967.847; %let infgov1981=62935.939;</v>
      </c>
      <c r="N84" s="879" t="str">
        <f>CONCATENATE("%let wgu",'C10-Adj by Source'!A27,"=",ROUND('T-T1'!E30,3),"; %let farmu",'C10-Adj by Source'!A27,"=",ROUND('T-T1'!L30,3),"; %let nfu",'C10-Adj by Source'!A27,"=",ROUND('T-T1'!Q30,3),"; %let rentu",'C10-Adj by Source'!A27,"=",ROUND('T-T1'!T30,3),"; %let scpu",'C10-Adj by Source'!A27,"=",ROUND('T-T1'!AH30,3),"; %let uret",'C10-Adj by Source'!A27,"=",ROUND('C10-Adj by Source'!BC27,3),"; %let gvsur",'C10-Adj by Source'!A27,"=",ROUND('T-T3'!H31,3),"; %let gvoth",'C10-Adj by Source'!A27,"=",ROUND('T-T2'!G30,3),"; %let gvcons",'C10-Adj by Source'!A27,"=",ROUND('T-T3'!G31,3),";  %let otxx",'C10-Adj by Source'!A27,"=",ROUND('C10-Adj by Source'!CU27,3),";" )</f>
        <v>%let wgu1981=-7627.853; %let farmu1981=34969.333; %let nfu1981=79347.654; %let rentu1981=11194.775; %let scpu1981=909.931; %let uret1981=80225.544; %let gvsur1981=35174.902; %let gvoth1981=21289; %let gvcons1981=485830;  %let otxx1981=137005;</v>
      </c>
    </row>
    <row r="85" spans="1:14" ht="14.25" customHeight="1" x14ac:dyDescent="0.3">
      <c r="A85" s="502" t="str">
        <f>CONCATENATE("%let rtx",'C10-Adj by Source'!A28,"=",ROUND('C10-Adj by Source'!AU28,3),"; %let xrtx",'C10-Adj by Source'!A28,"=",ROUND('C10-Adj by Source'!AU28-'C10-Adj by Source'!AV28,3),"; %let imprent",'C10-Adj by Source'!A28,"=",ROUND('C10-Adj by Source'!AS28,3),";" )</f>
        <v>%let rtx1982=50038; %let xrtx1982=22616.377; %let imprent1982=52185;</v>
      </c>
      <c r="H85" s="1011" t="str">
        <f>CONCATENATE("%let depinc",'C10-Adj by Source'!A28,"=",ROUND('C10-Adj by Source'!DE28,3),"; %let depwas",'C10-Adj by Source'!A28,"=",ROUND('C10-Adj by Source'!DF28,3),";  %let depincap",'C10-Adj by Source'!A28,"=",ROUND(TOTALS!CA27/1000000,3),"; %let infHH",'C10-Adj by Source'!A28,"=",ROUND('T-T1a'!C33,3),"; %let infWG",'C10-Adj by Source'!A28,"=",ROUND('T-T1a'!D33,3),"; %let infbus",'C10-Adj by Source'!A28,"=",ROUND('T-T1a'!E33,3),"; %let infgov",'C10-Adj by Source'!A28,"=",ROUND('T-T1a'!F33,3),";" )</f>
        <v>%let depinc1982=36060.963; %let depwas1982=31867.967;  %let depincap1982=4676.88; %let infHH1982=-51463.349; %let infWG1982=-25731.675; %let infbus1982=34307.161; %let infgov1982=42887.863;</v>
      </c>
      <c r="N85" s="879" t="str">
        <f>CONCATENATE("%let wgu",'C10-Adj by Source'!A28,"=",ROUND('T-T1'!E31,3),"; %let farmu",'C10-Adj by Source'!A28,"=",ROUND('T-T1'!L31,3),"; %let nfu",'C10-Adj by Source'!A28,"=",ROUND('T-T1'!Q31,3),"; %let rentu",'C10-Adj by Source'!A28,"=",ROUND('T-T1'!T31,3),"; %let scpu",'C10-Adj by Source'!A28,"=",ROUND('T-T1'!AH31,3),"; %let uret",'C10-Adj by Source'!A28,"=",ROUND('C10-Adj by Source'!BC28,3),"; %let gvsur",'C10-Adj by Source'!A28,"=",ROUND('T-T3'!H32,3),"; %let gvoth",'C10-Adj by Source'!A28,"=",ROUND('T-T2'!G31,3),"; %let gvcons",'C10-Adj by Source'!A28,"=",ROUND('T-T3'!G32,3),";  %let otxx",'C10-Adj by Source'!A28,"=",ROUND('C10-Adj by Source'!CU28,3),";" )</f>
        <v>%let wgu1982=-4253.14; %let farmu1982=28650.861; %let nfu1982=84471.806; %let rentu1982=16123.167; %let scpu1982=540.051; %let uret1982=92691.67; %let gvsur1982=-37006.06; %let gvoth1982=20403; %let gvcons1982=529991;  %let otxx1982=132552;</v>
      </c>
    </row>
    <row r="86" spans="1:14" ht="14.25" customHeight="1" x14ac:dyDescent="0.3">
      <c r="A86" s="502" t="str">
        <f>CONCATENATE("%let rtx",'C10-Adj by Source'!A29,"=",ROUND('C10-Adj by Source'!AU29,3),"; %let xrtx",'C10-Adj by Source'!A29,"=",ROUND('C10-Adj by Source'!AU29-'C10-Adj by Source'!AV29,3),"; %let imprent",'C10-Adj by Source'!A29,"=",ROUND('C10-Adj by Source'!AS29,3),";" )</f>
        <v>%let rtx1983=53540; %let xrtx1983=23728.746; %let imprent1983=54801;</v>
      </c>
      <c r="H86" s="1011" t="str">
        <f>CONCATENATE("%let depinc",'C10-Adj by Source'!A29,"=",ROUND('C10-Adj by Source'!DE29,3),"; %let depwas",'C10-Adj by Source'!A29,"=",ROUND('C10-Adj by Source'!DF29,3),";  %let depincap",'C10-Adj by Source'!A29,"=",ROUND(TOTALS!CA28/1000000,3),"; %let infHH",'C10-Adj by Source'!A29,"=",ROUND('T-T1a'!C34,3),"; %let infWG",'C10-Adj by Source'!A29,"=",ROUND('T-T1a'!D34,3),"; %let infbus",'C10-Adj by Source'!A29,"=",ROUND('T-T1a'!E34,3),"; %let infgov",'C10-Adj by Source'!A29,"=",ROUND('T-T1a'!F34,3),";" )</f>
        <v>%let depinc1983=35778.218; %let depwas1983=30884.859;  %let depincap1983=5204.069; %let infHH1983=-49813.109; %let infWG1983=-24906.554; %let infbus1983=30001.157; %let infgov1983=44718.506;</v>
      </c>
      <c r="N86" s="879" t="str">
        <f>CONCATENATE("%let wgu",'C10-Adj by Source'!A29,"=",ROUND('T-T1'!E32,3),"; %let farmu",'C10-Adj by Source'!A29,"=",ROUND('T-T1'!L32,3),"; %let nfu",'C10-Adj by Source'!A29,"=",ROUND('T-T1'!Q32,3),"; %let rentu",'C10-Adj by Source'!A29,"=",ROUND('T-T1'!T32,3),"; %let scpu",'C10-Adj by Source'!A29,"=",ROUND('T-T1'!AH32,3),"; %let uret",'C10-Adj by Source'!A29,"=",ROUND('C10-Adj by Source'!BC29,3),"; %let gvsur",'C10-Adj by Source'!A29,"=",ROUND('T-T3'!H33,3),"; %let gvoth",'C10-Adj by Source'!A29,"=",ROUND('T-T2'!G32,3),"; %let gvcons",'C10-Adj by Source'!A29,"=",ROUND('T-T3'!G33,3),";  %let otxx",'C10-Adj by Source'!A29,"=",ROUND('C10-Adj by Source'!CU29,3),";" )</f>
        <v>%let wgu1983=8367.887; %let farmu1983=19378.524; %let nfu1983=87804.884; %let rentu1983=20456.889; %let scpu1983=173.446; %let uret1983=117802.271; %let gvsur1983=-55685.123; %let gvoth1983=21864; %let gvcons1983=565674;  %let otxx1983=142499;</v>
      </c>
    </row>
    <row r="87" spans="1:14" ht="14.25" customHeight="1" x14ac:dyDescent="0.3">
      <c r="A87" s="502" t="str">
        <f>CONCATENATE("%let rtx",'C10-Adj by Source'!A30,"=",ROUND('C10-Adj by Source'!AU30,3),"; %let xrtx",'C10-Adj by Source'!A30,"=",ROUND('C10-Adj by Source'!AU30-'C10-Adj by Source'!AV30,3),"; %let imprent",'C10-Adj by Source'!A30,"=",ROUND('C10-Adj by Source'!AS30,3),";" )</f>
        <v>%let rtx1984=57622; %let xrtx1984=24955.749; %let imprent1984=56441;</v>
      </c>
      <c r="H87" s="1011" t="str">
        <f>CONCATENATE("%let depinc",'C10-Adj by Source'!A30,"=",ROUND('C10-Adj by Source'!DE30,3),"; %let depwas",'C10-Adj by Source'!A30,"=",ROUND('C10-Adj by Source'!DF30,3),";  %let depincap",'C10-Adj by Source'!A30,"=",ROUND(TOTALS!CA29/1000000,3),"; %let infHH",'C10-Adj by Source'!A30,"=",ROUND('T-T1a'!C35,3),"; %let infWG",'C10-Adj by Source'!A30,"=",ROUND('T-T1a'!D35,3),"; %let infbus",'C10-Adj by Source'!A30,"=",ROUND('T-T1a'!E35,3),"; %let infgov",'C10-Adj by Source'!A30,"=",ROUND('T-T1a'!F35,3),";" )</f>
        <v>%let depinc1984=37488.334; %let depwas1984=32337.694;  %let depincap1984=4982.781; %let infHH1984=-48607.801; %let infWG1984=-24303.901; %let infbus1984=30327.882; %let infgov1984=42583.82;</v>
      </c>
      <c r="N87" s="879" t="str">
        <f>CONCATENATE("%let wgu",'C10-Adj by Source'!A30,"=",ROUND('T-T1'!E33,3),"; %let farmu",'C10-Adj by Source'!A30,"=",ROUND('T-T1'!L33,3),"; %let nfu",'C10-Adj by Source'!A30,"=",ROUND('T-T1'!Q33,3),"; %let rentu",'C10-Adj by Source'!A30,"=",ROUND('T-T1'!T33,3),"; %let scpu",'C10-Adj by Source'!A30,"=",ROUND('T-T1'!AH33,3),"; %let uret",'C10-Adj by Source'!A30,"=",ROUND('C10-Adj by Source'!BC30,3),"; %let gvsur",'C10-Adj by Source'!A30,"=",ROUND('T-T3'!H34,3),"; %let gvoth",'C10-Adj by Source'!A30,"=",ROUND('T-T2'!G33,3),"; %let gvcons",'C10-Adj by Source'!A30,"=",ROUND('T-T3'!G34,3),";  %let otxx",'C10-Adj by Source'!A30,"=",ROUND('C10-Adj by Source'!CU30,3),";" )</f>
        <v>%let wgu1984=9126.669; %let farmu1984=49372.073; %let nfu1984=104081.112; %let rentu1984=26371.934; %let scpu1984=580.057; %let uret1984=136572.603; %let gvsur1984=-6088.13; %let gvoth1984=22692; %let gvcons1984=600513;  %let otxx1984=158595;</v>
      </c>
    </row>
    <row r="88" spans="1:14" ht="14.25" customHeight="1" x14ac:dyDescent="0.3">
      <c r="A88" s="502" t="str">
        <f>CONCATENATE("%let rtx",'C10-Adj by Source'!A31,"=",ROUND('C10-Adj by Source'!AU31,3),"; %let xrtx",'C10-Adj by Source'!A31,"=",ROUND('C10-Adj by Source'!AU31-'C10-Adj by Source'!AV31,3),"; %let imprent",'C10-Adj by Source'!A31,"=",ROUND('C10-Adj by Source'!AS31,3),";" )</f>
        <v>%let rtx1985=61347; %let xrtx1985=25493.995; %let imprent1985=57166;</v>
      </c>
      <c r="H88" s="1011" t="str">
        <f>CONCATENATE("%let depinc",'C10-Adj by Source'!A31,"=",ROUND('C10-Adj by Source'!DE31,3),"; %let depwas",'C10-Adj by Source'!A31,"=",ROUND('C10-Adj by Source'!DF31,3),";  %let depincap",'C10-Adj by Source'!A31,"=",ROUND(TOTALS!CA30/1000000,3),"; %let infHH",'C10-Adj by Source'!A31,"=",ROUND('T-T1a'!C36,3),"; %let infWG",'C10-Adj by Source'!A31,"=",ROUND('T-T1a'!D36,3),"; %let infbus",'C10-Adj by Source'!A31,"=",ROUND('T-T1a'!E36,3),"; %let infgov",'C10-Adj by Source'!A31,"=",ROUND('T-T1a'!F36,3),";" )</f>
        <v>%let depinc1985=38010.419; %let depwas1985=32416.55;  %let depincap1985=5395.409; %let infHH1985=-52408.33; %let infWG1985=-26204.165; %let infbus1985=34151.659; %let infgov1985=44460.836;</v>
      </c>
      <c r="N88" s="879" t="str">
        <f>CONCATENATE("%let wgu",'C10-Adj by Source'!A31,"=",ROUND('T-T1'!E34,3),"; %let farmu",'C10-Adj by Source'!A31,"=",ROUND('T-T1'!L34,3),"; %let nfu",'C10-Adj by Source'!A31,"=",ROUND('T-T1'!Q34,3),"; %let rentu",'C10-Adj by Source'!A31,"=",ROUND('T-T1'!T34,3),"; %let scpu",'C10-Adj by Source'!A31,"=",ROUND('T-T1'!AH34,3),"; %let uret",'C10-Adj by Source'!A31,"=",ROUND('C10-Adj by Source'!BC31,3),"; %let gvsur",'C10-Adj by Source'!A31,"=",ROUND('T-T3'!H35,3),"; %let gvoth",'C10-Adj by Source'!A31,"=",ROUND('T-T2'!G34,3),"; %let gvcons",'C10-Adj by Source'!A31,"=",ROUND('T-T3'!G35,3),";  %let otxx",'C10-Adj by Source'!A31,"=",ROUND('C10-Adj by Source'!CU31,3),";" )</f>
        <v>%let wgu1985=24304.765; %let farmu1985=35941.126; %let nfu1985=105957.892; %let rentu1985=30866.044; %let scpu1985=602.075; %let uret1985=135826.44; %let gvsur1985=-2652.546; %let gvoth1985=23789; %let gvcons1985=655533;  %let otxx1985=167617;</v>
      </c>
    </row>
    <row r="89" spans="1:14" ht="14.25" customHeight="1" x14ac:dyDescent="0.3">
      <c r="A89" s="502" t="str">
        <f>CONCATENATE("%let rtx",'C10-Adj by Source'!A32,"=",ROUND('C10-Adj by Source'!AU32,3),"; %let xrtx",'C10-Adj by Source'!A32,"=",ROUND('C10-Adj by Source'!AU32-'C10-Adj by Source'!AV32,3),"; %let imprent",'C10-Adj by Source'!A32,"=",ROUND('C10-Adj by Source'!AS32,3),";" )</f>
        <v>%let rtx1986=65148; %let xrtx1986=25759.331; %let imprent1986=55688;</v>
      </c>
      <c r="H89" s="1011" t="str">
        <f>CONCATENATE("%let depinc",'C10-Adj by Source'!A32,"=",ROUND('C10-Adj by Source'!DE32,3),"; %let depwas",'C10-Adj by Source'!A32,"=",ROUND('C10-Adj by Source'!DF32,3),";  %let depincap",'C10-Adj by Source'!A32,"=",ROUND(TOTALS!CA31/1000000,3),"; %let infHH",'C10-Adj by Source'!A32,"=",ROUND('T-T1a'!C37,3),"; %let infWG",'C10-Adj by Source'!A32,"=",ROUND('T-T1a'!D37,3),"; %let infbus",'C10-Adj by Source'!A32,"=",ROUND('T-T1a'!E37,3),"; %let infgov",'C10-Adj by Source'!A32,"=",ROUND('T-T1a'!F37,3),";" )</f>
        <v>%let depinc1986=38576.517; %let depwas1986=34212.975;  %let depincap1986=6612.057; %let infHH1986=-40233.801; %let infWG1986=-20116.901; %let infbus1986=27805.932; %let infgov1986=32544.769;</v>
      </c>
      <c r="N89" s="879" t="str">
        <f>CONCATENATE("%let wgu",'C10-Adj by Source'!A32,"=",ROUND('T-T1'!E35,3),"; %let farmu",'C10-Adj by Source'!A32,"=",ROUND('T-T1'!L35,3),"; %let nfu",'C10-Adj by Source'!A32,"=",ROUND('T-T1'!Q35,3),"; %let rentu",'C10-Adj by Source'!A32,"=",ROUND('T-T1'!T35,3),"; %let scpu",'C10-Adj by Source'!A32,"=",ROUND('T-T1'!AH35,3),"; %let uret",'C10-Adj by Source'!A32,"=",ROUND('C10-Adj by Source'!BC32,3),"; %let gvsur",'C10-Adj by Source'!A32,"=",ROUND('T-T3'!H36,3),"; %let gvoth",'C10-Adj by Source'!A32,"=",ROUND('T-T2'!G35,3),"; %let gvcons",'C10-Adj by Source'!A32,"=",ROUND('T-T3'!G36,3),";  %let otxx",'C10-Adj by Source'!A32,"=",ROUND('C10-Adj by Source'!CU32,3),";" )</f>
        <v>%let wgu1986=34995.245; %let farmu1986=29938.171; %let nfu1986=106658.056; %let rentu1986=33990.422; %let scpu1986=740.914; %let uret1986=164021.605; %let gvsur1986=-7437.822; %let gvoth1986=25180; %let gvcons1986=702101;  %let otxx1986=172933;</v>
      </c>
    </row>
    <row r="90" spans="1:14" ht="14.25" customHeight="1" x14ac:dyDescent="0.3">
      <c r="A90" s="502" t="str">
        <f>CONCATENATE("%let rtx",'C10-Adj by Source'!A33,"=",ROUND('C10-Adj by Source'!AU33,3),"; %let xrtx",'C10-Adj by Source'!A33,"=",ROUND('C10-Adj by Source'!AU33-'C10-Adj by Source'!AV33,3),"; %let imprent",'C10-Adj by Source'!A33,"=",ROUND('C10-Adj by Source'!AS33,3),";" )</f>
        <v>%let rtx1987=71310; %let xrtx1987=32329.331; %let imprent1987=61461;</v>
      </c>
      <c r="H90" s="1011" t="str">
        <f>CONCATENATE("%let depinc",'C10-Adj by Source'!A33,"=",ROUND('C10-Adj by Source'!DE33,3),"; %let depwas",'C10-Adj by Source'!A33,"=",ROUND('C10-Adj by Source'!DF33,3),";  %let depincap",'C10-Adj by Source'!A33,"=",ROUND(TOTALS!CA32/1000000,3),"; %let infHH",'C10-Adj by Source'!A33,"=",ROUND('T-T1a'!C38,3),"; %let infWG",'C10-Adj by Source'!A33,"=",ROUND('T-T1a'!D38,3),"; %let infbus",'C10-Adj by Source'!A33,"=",ROUND('T-T1a'!E38,3),"; %let infgov",'C10-Adj by Source'!A33,"=",ROUND('T-T1a'!F38,3),";" )</f>
        <v>%let depinc1987=52673.317; %let depwas1987=45941.933;  %let depincap1987=6227.106; %let infHH1987=-56605.3479999999; %let infWG1987=-28302.674; %let infbus1987=37811.407; %let infgov1987=47096.615;</v>
      </c>
      <c r="N90" s="879" t="str">
        <f>CONCATENATE("%let wgu",'C10-Adj by Source'!A33,"=",ROUND('T-T1'!E36,3),"; %let farmu",'C10-Adj by Source'!A33,"=",ROUND('T-T1'!L36,3),"; %let nfu",'C10-Adj by Source'!A33,"=",ROUND('T-T1'!Q36,3),"; %let rentu",'C10-Adj by Source'!A33,"=",ROUND('T-T1'!T36,3),"; %let scpu",'C10-Adj by Source'!A33,"=",ROUND('T-T1'!AH36,3),"; %let uret",'C10-Adj by Source'!A33,"=",ROUND('C10-Adj by Source'!BC33,3),"; %let gvsur",'C10-Adj by Source'!A33,"=",ROUND('T-T3'!H37,3),"; %let gvoth",'C10-Adj by Source'!A33,"=",ROUND('T-T2'!G36,3),"; %let gvcons",'C10-Adj by Source'!A33,"=",ROUND('T-T3'!G37,3),";  %let otxx",'C10-Adj by Source'!A33,"=",ROUND('C10-Adj by Source'!CU33,3),";" )</f>
        <v>%let wgu1987=21632.376; %let farmu1987=24163.437; %let nfu1987=129984.788; %let rentu1987=31100.63; %let scpu1987=1792.448; %let uret1987=158892.418; %let gvsur1987=49388.85; %let gvoth1987=25876; %let gvcons1987=740264;  %let otxx1987=185268;</v>
      </c>
    </row>
    <row r="91" spans="1:14" ht="14.25" customHeight="1" x14ac:dyDescent="0.3">
      <c r="A91" s="502" t="str">
        <f>CONCATENATE("%let rtx",'C10-Adj by Source'!A34,"=",ROUND('C10-Adj by Source'!AU34,3),"; %let xrtx",'C10-Adj by Source'!A34,"=",ROUND('C10-Adj by Source'!AU34-'C10-Adj by Source'!AV34,3),"; %let imprent",'C10-Adj by Source'!A34,"=",ROUND('C10-Adj by Source'!AS34,3),";" )</f>
        <v>%let rtx1988=76347; %let xrtx1988=35460.102; %let imprent1988=72761;</v>
      </c>
      <c r="H91" s="1011" t="str">
        <f>CONCATENATE("%let depinc",'C10-Adj by Source'!A34,"=",ROUND('C10-Adj by Source'!DE34,3),"; %let depwas",'C10-Adj by Source'!A34,"=",ROUND('C10-Adj by Source'!DF34,3),";  %let depincap",'C10-Adj by Source'!A34,"=",ROUND(TOTALS!CA33/1000000,3),"; %let infHH",'C10-Adj by Source'!A34,"=",ROUND('T-T1a'!C39,3),"; %let infWG",'C10-Adj by Source'!A34,"=",ROUND('T-T1a'!D39,3),"; %let infbus",'C10-Adj by Source'!A34,"=",ROUND('T-T1a'!E39,3),"; %let infgov",'C10-Adj by Source'!A34,"=",ROUND('T-T1a'!F39,3),";" )</f>
        <v>%let depinc1988=54844.811; %let depwas1988=47308.876;  %let depincap1988=6416.196; %let infHH1988=-75299.91; %let infWG1988=-37649.955; %let infbus1988=51527.605; %let infgov1988=61422.26;</v>
      </c>
      <c r="N91" s="879" t="str">
        <f>CONCATENATE("%let wgu",'C10-Adj by Source'!A34,"=",ROUND('T-T1'!E37,3),"; %let farmu",'C10-Adj by Source'!A34,"=",ROUND('T-T1'!L37,3),"; %let nfu",'C10-Adj by Source'!A34,"=",ROUND('T-T1'!Q37,3),"; %let rentu",'C10-Adj by Source'!A34,"=",ROUND('T-T1'!T37,3),"; %let scpu",'C10-Adj by Source'!A34,"=",ROUND('T-T1'!AH37,3),"; %let uret",'C10-Adj by Source'!A34,"=",ROUND('C10-Adj by Source'!BC34,3),"; %let gvsur",'C10-Adj by Source'!A34,"=",ROUND('T-T3'!H38,3),"; %let gvoth",'C10-Adj by Source'!A34,"=",ROUND('T-T2'!G37,3),"; %let gvcons",'C10-Adj by Source'!A34,"=",ROUND('T-T3'!G38,3),";  %let otxx",'C10-Adj by Source'!A34,"=",ROUND('C10-Adj by Source'!CU34,3),";" )</f>
        <v>%let wgu1988=24432.228; %let farmu1988=20290.696; %let nfu1988=132995.418; %let rentu1988=19796.206; %let scpu1988=3393.453; %let uret1988=151801.466; %let gvsur1988=69833.841; %let gvoth1988=27805; %let gvcons1988=781810;  %let otxx1988=200005;</v>
      </c>
    </row>
    <row r="92" spans="1:14" ht="14.25" customHeight="1" x14ac:dyDescent="0.3">
      <c r="A92" s="502" t="str">
        <f>CONCATENATE("%let rtx",'C10-Adj by Source'!A35,"=",ROUND('C10-Adj by Source'!AU35,3),"; %let xrtx",'C10-Adj by Source'!A35,"=",ROUND('C10-Adj by Source'!AU35-'C10-Adj by Source'!AV35,3),"; %let imprent",'C10-Adj by Source'!A35,"=",ROUND('C10-Adj by Source'!AS35,3),";" )</f>
        <v>%let rtx1989=83050; %let xrtx1989=37929.926; %let imprent1989=79712;</v>
      </c>
      <c r="H92" s="1011" t="str">
        <f>CONCATENATE("%let depinc",'C10-Adj by Source'!A35,"=",ROUND('C10-Adj by Source'!DE35,3),"; %let depwas",'C10-Adj by Source'!A35,"=",ROUND('C10-Adj by Source'!DF35,3),";  %let depincap",'C10-Adj by Source'!A35,"=",ROUND(TOTALS!CA34/1000000,3),"; %let infHH",'C10-Adj by Source'!A35,"=",ROUND('T-T1a'!C40,3),"; %let infWG",'C10-Adj by Source'!A35,"=",ROUND('T-T1a'!D40,3),"; %let infbus",'C10-Adj by Source'!A35,"=",ROUND('T-T1a'!E40,3),"; %let infgov",'C10-Adj by Source'!A35,"=",ROUND('T-T1a'!F40,3),";" )</f>
        <v>%let depinc1989=58814.403; %let depwas1989=51176.307;  %let depincap1989=6373.763; %let infHH1989=-100677.989; %let infWG1989=-50338.994; %let infbus1989=71790.393; %let infgov1989=79226.591;</v>
      </c>
      <c r="N92" s="879" t="str">
        <f>CONCATENATE("%let wgu",'C10-Adj by Source'!A35,"=",ROUND('T-T1'!E38,3),"; %let farmu",'C10-Adj by Source'!A35,"=",ROUND('T-T1'!L38,3),"; %let nfu",'C10-Adj by Source'!A35,"=",ROUND('T-T1'!Q38,3),"; %let rentu",'C10-Adj by Source'!A35,"=",ROUND('T-T1'!T38,3),"; %let scpu",'C10-Adj by Source'!A35,"=",ROUND('T-T1'!AH38,3),"; %let uret",'C10-Adj by Source'!A35,"=",ROUND('C10-Adj by Source'!BC35,3),"; %let gvsur",'C10-Adj by Source'!A35,"=",ROUND('T-T3'!H39,3),"; %let gvoth",'C10-Adj by Source'!A35,"=",ROUND('T-T2'!G38,3),"; %let gvcons",'C10-Adj by Source'!A35,"=",ROUND('T-T3'!G39,3),";  %let otxx",'C10-Adj by Source'!A35,"=",ROUND('C10-Adj by Source'!CU35,3),";" )</f>
        <v>%let wgu1989=46446.47; %let farmu1989=21549.69; %let nfu1989=129437.101; %let rentu1989=16472.15; %let scpu1989=3413.984; %let uret1989=180522.029; %let gvsur1989=74453.201; %let gvoth1989=30897; %let gvcons1989=842342;  %let otxx1989=209857;</v>
      </c>
    </row>
    <row r="93" spans="1:14" ht="14.25" customHeight="1" x14ac:dyDescent="0.3">
      <c r="A93" s="502" t="str">
        <f>CONCATENATE("%let rtx",'C10-Adj by Source'!A36,"=",ROUND('C10-Adj by Source'!AU36,3),"; %let xrtx",'C10-Adj by Source'!A36,"=",ROUND('C10-Adj by Source'!AU36-'C10-Adj by Source'!AV36,3),"; %let imprent",'C10-Adj by Source'!A36,"=",ROUND('C10-Adj by Source'!AS36,3),";" )</f>
        <v>%let rtx1990=88735; %let xrtx1990=39148.351; %let imprent1990=88667;</v>
      </c>
      <c r="H93" s="1011" t="str">
        <f>CONCATENATE("%let depinc",'C10-Adj by Source'!A36,"=",ROUND('C10-Adj by Source'!DE36,3),"; %let depwas",'C10-Adj by Source'!A36,"=",ROUND('C10-Adj by Source'!DF36,3),";  %let depincap",'C10-Adj by Source'!A36,"=",ROUND(TOTALS!CA35/1000000,3),"; %let infHH",'C10-Adj by Source'!A36,"=",ROUND('T-T1a'!C41,3),"; %let infWG",'C10-Adj by Source'!A36,"=",ROUND('T-T1a'!D41,3),"; %let infbus",'C10-Adj by Source'!A36,"=",ROUND('T-T1a'!E41,3),"; %let infgov",'C10-Adj by Source'!A36,"=",ROUND('T-T1a'!F41,3),";" )</f>
        <v>%let depinc1990=57277.365; %let depwas1990=49554.574;  %let depincap1990=6355.388; %let infHH1990=-101448.379; %let infWG1990=-50724.19; %let infbus1990=66590.958; %let infgov1990=85581.611;</v>
      </c>
      <c r="N93" s="879" t="str">
        <f>CONCATENATE("%let wgu",'C10-Adj by Source'!A36,"=",ROUND('T-T1'!E39,3),"; %let farmu",'C10-Adj by Source'!A36,"=",ROUND('T-T1'!L39,3),"; %let nfu",'C10-Adj by Source'!A36,"=",ROUND('T-T1'!Q39,3),"; %let rentu",'C10-Adj by Source'!A36,"=",ROUND('T-T1'!T39,3),"; %let scpu",'C10-Adj by Source'!A36,"=",ROUND('T-T1'!AH39,3),"; %let uret",'C10-Adj by Source'!A36,"=",ROUND('C10-Adj by Source'!BC36,3),"; %let gvsur",'C10-Adj by Source'!A36,"=",ROUND('T-T3'!H40,3),"; %let gvoth",'C10-Adj by Source'!A36,"=",ROUND('T-T2'!G39,3),"; %let gvcons",'C10-Adj by Source'!A36,"=",ROUND('T-T3'!G40,3),";  %let otxx",'C10-Adj by Source'!A36,"=",ROUND('C10-Adj by Source'!CU36,3),";" )</f>
        <v>%let wgu1990=48602.207; %let farmu1990=20515.2; %let nfu1990=130825.56; %let rentu1990=16454.133; %let scpu1990=3534.35; %let uret1990=187164.3; %let gvsur1990=32495.293; %let gvoth1990=32482; %let gvcons1990=906011;  %let otxx1990=221474;</v>
      </c>
    </row>
    <row r="94" spans="1:14" ht="14.25" customHeight="1" x14ac:dyDescent="0.3">
      <c r="A94" s="502" t="str">
        <f>CONCATENATE("%let rtx",'C10-Adj by Source'!A37,"=",ROUND('C10-Adj by Source'!AU37,3),"; %let xrtx",'C10-Adj by Source'!A37,"=",ROUND('C10-Adj by Source'!AU37-'C10-Adj by Source'!AV37,3),"; %let imprent",'C10-Adj by Source'!A37,"=",ROUND('C10-Adj by Source'!AS37,3),";" )</f>
        <v>%let rtx1991=95393; %let xrtx1991=41393.365; %let imprent1991=101195;</v>
      </c>
      <c r="H94" s="1011" t="str">
        <f>CONCATENATE("%let depinc",'C10-Adj by Source'!A37,"=",ROUND('C10-Adj by Source'!DE37,3),"; %let depwas",'C10-Adj by Source'!A37,"=",ROUND('C10-Adj by Source'!DF37,3),";  %let depincap",'C10-Adj by Source'!A37,"=",ROUND(TOTALS!CA36/1000000,3),"; %let infHH",'C10-Adj by Source'!A37,"=",ROUND('T-T1a'!C42,3),"; %let infWG",'C10-Adj by Source'!A37,"=",ROUND('T-T1a'!D42,3),"; %let infbus",'C10-Adj by Source'!A37,"=",ROUND('T-T1a'!E42,3),"; %let infgov",'C10-Adj by Source'!A37,"=",ROUND('T-T1a'!F42,3),";" )</f>
        <v>%let depinc1991=52709.394; %let depwas1991=45394.982;  %let depincap1991=6101.136; %let infHH1991=-77071.856; %let infWG1991=-38535.928; %let infbus1991=38993.101; %let infgov1991=76614.684;</v>
      </c>
      <c r="N94" s="879" t="str">
        <f>CONCATENATE("%let wgu",'C10-Adj by Source'!A37,"=",ROUND('T-T1'!E40,3),"; %let farmu",'C10-Adj by Source'!A37,"=",ROUND('T-T1'!L40,3),"; %let nfu",'C10-Adj by Source'!A37,"=",ROUND('T-T1'!Q40,3),"; %let rentu",'C10-Adj by Source'!A37,"=",ROUND('T-T1'!T40,3),"; %let scpu",'C10-Adj by Source'!A37,"=",ROUND('T-T1'!AH40,3),"; %let uret",'C10-Adj by Source'!A37,"=",ROUND('C10-Adj by Source'!BC37,3),"; %let gvsur",'C10-Adj by Source'!A37,"=",ROUND('T-T3'!H41,3),"; %let gvoth",'C10-Adj by Source'!A37,"=",ROUND('T-T2'!G40,3),"; %let gvcons",'C10-Adj by Source'!A37,"=",ROUND('T-T3'!G41,3),";  %let otxx",'C10-Adj by Source'!A37,"=",ROUND('C10-Adj by Source'!CU37,3),";" )</f>
        <v>%let wgu1991=44863.136; %let farmu1991=16279.187; %let nfu1991=137422.588; %let rentu1991=19950.531; %let scpu1991=5815.56; %let uret1991=179413.773; %let gvsur1991=-57702.042; %let gvoth1991=35271; %let gvcons1991=954868;  %let otxx1991=231817;</v>
      </c>
    </row>
    <row r="95" spans="1:14" ht="14.25" customHeight="1" x14ac:dyDescent="0.3">
      <c r="A95" s="502" t="str">
        <f>CONCATENATE("%let rtx",'C10-Adj by Source'!A38,"=",ROUND('C10-Adj by Source'!AU38,3),"; %let xrtx",'C10-Adj by Source'!A38,"=",ROUND('C10-Adj by Source'!AU38-'C10-Adj by Source'!AV38,3),"; %let imprent",'C10-Adj by Source'!A38,"=",ROUND('C10-Adj by Source'!AS38,3),";" )</f>
        <v>%let rtx1992=98771; %let xrtx1992=41477.74; %let imprent1992=118586;</v>
      </c>
      <c r="H95" s="1011" t="str">
        <f>CONCATENATE("%let depinc",'C10-Adj by Source'!A38,"=",ROUND('C10-Adj by Source'!DE38,3),"; %let depwas",'C10-Adj by Source'!A38,"=",ROUND('C10-Adj by Source'!DF38,3),";  %let depincap",'C10-Adj by Source'!A38,"=",ROUND(TOTALS!CA37/1000000,3),"; %let infHH",'C10-Adj by Source'!A38,"=",ROUND('T-T1a'!C43,3),"; %let infWG",'C10-Adj by Source'!A38,"=",ROUND('T-T1a'!D43,3),"; %let infbus",'C10-Adj by Source'!A38,"=",ROUND('T-T1a'!E43,3),"; %let infgov",'C10-Adj by Source'!A38,"=",ROUND('T-T1a'!F43,3),";" )</f>
        <v>%let depinc1992=53590.73; %let depwas1992=47549.664;  %let depincap1992=5125.85; %let infHH1992=-66176.83; %let infWG1992=-33088.415; %let infbus1992=24889.228; %let infgov1992=74376.018;</v>
      </c>
      <c r="N95" s="879" t="str">
        <f>CONCATENATE("%let wgu",'C10-Adj by Source'!A38,"=",ROUND('T-T1'!E41,3),"; %let farmu",'C10-Adj by Source'!A38,"=",ROUND('T-T1'!L41,3),"; %let nfu",'C10-Adj by Source'!A38,"=",ROUND('T-T1'!Q41,3),"; %let rentu",'C10-Adj by Source'!A38,"=",ROUND('T-T1'!T41,3),"; %let scpu",'C10-Adj by Source'!A38,"=",ROUND('T-T1'!AH41,3),"; %let uret",'C10-Adj by Source'!A38,"=",ROUND('C10-Adj by Source'!BC38,3),"; %let gvsur",'C10-Adj by Source'!A38,"=",ROUND('T-T3'!H42,3),"; %let gvoth",'C10-Adj by Source'!A38,"=",ROUND('T-T2'!G41,3),"; %let gvcons",'C10-Adj by Source'!A38,"=",ROUND('T-T3'!G42,3),";  %let otxx",'C10-Adj by Source'!A38,"=",ROUND('C10-Adj by Source'!CU38,3),";" )</f>
        <v>%let wgu1992=55778.858; %let farmu1992=13783.21; %let nfu1992=152333.817; %let rentu1992=23021.351; %let scpu1992=-4365.203; %let uret1992=201758.47; %let gvsur1992=-96042.04; %let gvoth1992=38245; %let gvcons1992=996895;  %let otxx1992=246340;</v>
      </c>
    </row>
    <row r="96" spans="1:14" ht="14.25" customHeight="1" x14ac:dyDescent="0.3">
      <c r="A96" s="502" t="str">
        <f>CONCATENATE("%let rtx",'C10-Adj by Source'!A39,"=",ROUND('C10-Adj by Source'!AU39,3),"; %let xrtx",'C10-Adj by Source'!A39,"=",ROUND('C10-Adj by Source'!AU39-'C10-Adj by Source'!AV39,3),"; %let imprent",'C10-Adj by Source'!A39,"=",ROUND('C10-Adj by Source'!AS39,3),";" )</f>
        <v>%let rtx1993=98834; %let xrtx1993=37687.655; %let imprent1993=141435;</v>
      </c>
      <c r="H96" s="1011" t="str">
        <f>CONCATENATE("%let depinc",'C10-Adj by Source'!A39,"=",ROUND('C10-Adj by Source'!DE39,3),"; %let depwas",'C10-Adj by Source'!A39,"=",ROUND('C10-Adj by Source'!DF39,3),";  %let depincap",'C10-Adj by Source'!A39,"=",ROUND(TOTALS!CA38/1000000,3),"; %let infHH",'C10-Adj by Source'!A39,"=",ROUND('T-T1a'!C44,3),"; %let infWG",'C10-Adj by Source'!A39,"=",ROUND('T-T1a'!D44,3),"; %let infbus",'C10-Adj by Source'!A39,"=",ROUND('T-T1a'!E44,3),"; %let infgov",'C10-Adj by Source'!A39,"=",ROUND('T-T1a'!F44,3),";" )</f>
        <v>%let depinc1993=51198.962; %let depwas1993=45313.515;  %let depincap1993=5173.994; %let infHH1993=-69842.792; %let infWG1993=-34921.396; %let infbus1993=24040.199; %let infgov1993=80723.988;</v>
      </c>
      <c r="N96" s="879" t="str">
        <f>CONCATENATE("%let wgu",'C10-Adj by Source'!A39,"=",ROUND('T-T1'!E42,3),"; %let farmu",'C10-Adj by Source'!A39,"=",ROUND('T-T1'!L42,3),"; %let nfu",'C10-Adj by Source'!A39,"=",ROUND('T-T1'!Q42,3),"; %let rentu",'C10-Adj by Source'!A39,"=",ROUND('T-T1'!T42,3),"; %let scpu",'C10-Adj by Source'!A39,"=",ROUND('T-T1'!AH42,3),"; %let uret",'C10-Adj by Source'!A39,"=",ROUND('C10-Adj by Source'!BC39,3),"; %let gvsur",'C10-Adj by Source'!A39,"=",ROUND('T-T3'!H43,3),"; %let gvoth",'C10-Adj by Source'!A39,"=",ROUND('T-T2'!G42,3),"; %let gvcons",'C10-Adj by Source'!A39,"=",ROUND('T-T3'!G43,3),";  %let otxx",'C10-Adj by Source'!A39,"=",ROUND('C10-Adj by Source'!CU39,3),";" )</f>
        <v>%let wgu1993=66407.981; %let farmu1993=22700.629; %let nfu1993=180416.721; %let rentu1993=24541.549; %let scpu1993=-215.914; %let uret1993=224637.322; %let gvsur1993=-64971.583; %let gvoth1993=40936; %let gvcons1993=1019720;  %let otxx1993=261411;</v>
      </c>
    </row>
    <row r="97" spans="1:14" ht="14.25" customHeight="1" x14ac:dyDescent="0.3">
      <c r="A97" s="502" t="str">
        <f>CONCATENATE("%let rtx",'C10-Adj by Source'!A40,"=",ROUND('C10-Adj by Source'!AU40,3),"; %let xrtx",'C10-Adj by Source'!A40,"=",ROUND('C10-Adj by Source'!AU40-'C10-Adj by Source'!AV40,3),"; %let imprent",'C10-Adj by Source'!A40,"=",ROUND('C10-Adj by Source'!AS40,3),";" )</f>
        <v>%let rtx1994=103803; %let xrtx1994=40809.315; %let imprent1994=165968;</v>
      </c>
      <c r="H97" s="1011" t="str">
        <f>CONCATENATE("%let depinc",'C10-Adj by Source'!A40,"=",ROUND('C10-Adj by Source'!DE40,3),"; %let depwas",'C10-Adj by Source'!A40,"=",ROUND('C10-Adj by Source'!DF40,3),";  %let depincap",'C10-Adj by Source'!A40,"=",ROUND(TOTALS!CA39/1000000,3),"; %let infHH",'C10-Adj by Source'!A40,"=",ROUND('T-T1a'!C45,3),"; %let infWG",'C10-Adj by Source'!A40,"=",ROUND('T-T1a'!D45,3),"; %let infbus",'C10-Adj by Source'!A40,"=",ROUND('T-T1a'!E45,3),"; %let infgov",'C10-Adj by Source'!A40,"=",ROUND('T-T1a'!F45,3),";" )</f>
        <v>%let depinc1994=55360.904; %let depwas1994=49123.674;  %let depincap1994=4625.188; %let infHH1994=-53794.368; %let infWG1994=-26897.184; %let infbus1994=18331.345; %let infgov1994=62360.207;</v>
      </c>
      <c r="N97" s="879" t="str">
        <f>CONCATENATE("%let wgu",'C10-Adj by Source'!A40,"=",ROUND('T-T1'!E43,3),"; %let farmu",'C10-Adj by Source'!A40,"=",ROUND('T-T1'!L43,3),"; %let nfu",'C10-Adj by Source'!A40,"=",ROUND('T-T1'!Q43,3),"; %let rentu",'C10-Adj by Source'!A40,"=",ROUND('T-T1'!T43,3),"; %let scpu",'C10-Adj by Source'!A40,"=",ROUND('T-T1'!AH43,3),"; %let uret",'C10-Adj by Source'!A40,"=",ROUND('C10-Adj by Source'!BC40,3),"; %let gvsur",'C10-Adj by Source'!A40,"=",ROUND('T-T3'!H44,3),"; %let gvoth",'C10-Adj by Source'!A40,"=",ROUND('T-T2'!G43,3),"; %let gvcons",'C10-Adj by Source'!A40,"=",ROUND('T-T3'!G44,3),";  %let otxx",'C10-Adj by Source'!A40,"=",ROUND('C10-Adj by Source'!CU40,3),";" )</f>
        <v>%let wgu1994=81806.418; %let farmu1994=29049.932; %let nfu1994=192626.999; %let rentu1994=24381.406; %let scpu1994=-2719.909; %let uret1994=229528.045; %let gvsur1994=-423.762; %let gvoth1994=42178; %let gvcons1994=1047729;  %let otxx1994=284040;</v>
      </c>
    </row>
    <row r="98" spans="1:14" ht="14.25" customHeight="1" x14ac:dyDescent="0.3">
      <c r="A98" s="502" t="str">
        <f>CONCATENATE("%let rtx",'C10-Adj by Source'!A41,"=",ROUND('C10-Adj by Source'!AU41,3),"; %let xrtx",'C10-Adj by Source'!A41,"=",ROUND('C10-Adj by Source'!AU41-'C10-Adj by Source'!AV41,3),"; %let imprent",'C10-Adj by Source'!A41,"=",ROUND('C10-Adj by Source'!AS41,3),";" )</f>
        <v>%let rtx1995=104155; %let xrtx1995=37321.3479999999; %let imprent1995=172688;</v>
      </c>
      <c r="H98" s="1011" t="str">
        <f>CONCATENATE("%let depinc",'C10-Adj by Source'!A41,"=",ROUND('C10-Adj by Source'!DE41,3),"; %let depwas",'C10-Adj by Source'!A41,"=",ROUND('C10-Adj by Source'!DF41,3),";  %let depincap",'C10-Adj by Source'!A41,"=",ROUND(TOTALS!CA40/1000000,3),"; %let infHH",'C10-Adj by Source'!A41,"=",ROUND('T-T1a'!C46,3),"; %let infWG",'C10-Adj by Source'!A41,"=",ROUND('T-T1a'!D46,3),"; %let infbus",'C10-Adj by Source'!A41,"=",ROUND('T-T1a'!E46,3),"; %let infgov",'C10-Adj by Source'!A41,"=",ROUND('T-T1a'!F46,3),";" )</f>
        <v>%let depinc1995=58547.493; %let depwas1995=51490.836;  %let depincap1995=6249.42; %let infHH1995=-59131.82; %let infWG1995=-29565.91; %let infbus1995=18040.703; %let infgov1995=70657.028;</v>
      </c>
      <c r="N98" s="879" t="str">
        <f>CONCATENATE("%let wgu",'C10-Adj by Source'!A41,"=",ROUND('T-T1'!E44,3),"; %let farmu",'C10-Adj by Source'!A41,"=",ROUND('T-T1'!L44,3),"; %let nfu",'C10-Adj by Source'!A41,"=",ROUND('T-T1'!Q44,3),"; %let rentu",'C10-Adj by Source'!A41,"=",ROUND('T-T1'!T44,3),"; %let scpu",'C10-Adj by Source'!A41,"=",ROUND('T-T1'!AH44,3),"; %let uret",'C10-Adj by Source'!A41,"=",ROUND('C10-Adj by Source'!BC41,3),"; %let gvsur",'C10-Adj by Source'!A41,"=",ROUND('T-T3'!H45,3),"; %let gvoth",'C10-Adj by Source'!A41,"=",ROUND('T-T2'!G44,3),"; %let gvcons",'C10-Adj by Source'!A41,"=",ROUND('T-T3'!G45,3),";  %let otxx",'C10-Adj by Source'!A41,"=",ROUND('C10-Adj by Source'!CU41,3),";" )</f>
        <v>%let wgu1995=80653.092; %let farmu1995=-1502.193; %let nfu1995=222253.45; %let rentu1995=32905.283; %let scpu1995=3171.332; %let uret1995=207137.213; %let gvsur1995=29271.583; %let gvoth1995=44119; %let gvcons1995=1082459;  %let otxx1995=293301;</v>
      </c>
    </row>
    <row r="99" spans="1:14" ht="14.25" customHeight="1" x14ac:dyDescent="0.3">
      <c r="A99" s="502" t="str">
        <f>CONCATENATE("%let rtx",'C10-Adj by Source'!A42,"=",ROUND('C10-Adj by Source'!AU42,3),"; %let xrtx",'C10-Adj by Source'!A42,"=",ROUND('C10-Adj by Source'!AU42-'C10-Adj by Source'!AV42,3),"; %let imprent",'C10-Adj by Source'!A42,"=",ROUND('C10-Adj by Source'!AS42,3),";" )</f>
        <v>%let rtx1996=107645; %let xrtx1996=36594.24; %let imprent1996=190357;</v>
      </c>
      <c r="H99" s="1011" t="str">
        <f>CONCATENATE("%let depinc",'C10-Adj by Source'!A42,"=",ROUND('C10-Adj by Source'!DE42,3),"; %let depwas",'C10-Adj by Source'!A42,"=",ROUND('C10-Adj by Source'!DF42,3),";  %let depincap",'C10-Adj by Source'!A42,"=",ROUND(TOTALS!CA41/1000000,3),"; %let infHH",'C10-Adj by Source'!A42,"=",ROUND('T-T1a'!C47,3),"; %let infWG",'C10-Adj by Source'!A42,"=",ROUND('T-T1a'!D47,3),"; %let infbus",'C10-Adj by Source'!A42,"=",ROUND('T-T1a'!E47,3),"; %let infgov",'C10-Adj by Source'!A42,"=",ROUND('T-T1a'!F47,3),";" )</f>
        <v>%let depinc1996=62768.709; %let depwas1996=55338.799;  %let depincap1996=7634.637; %let infHH1996=-60928.465; %let infWG1996=-30464.233; %let infbus1996=20119.399; %let infgov1996=71273.298;</v>
      </c>
      <c r="N99" s="879" t="str">
        <f>CONCATENATE("%let wgu",'C10-Adj by Source'!A42,"=",ROUND('T-T1'!E45,3),"; %let farmu",'C10-Adj by Source'!A42,"=",ROUND('T-T1'!L45,3),"; %let nfu",'C10-Adj by Source'!A42,"=",ROUND('T-T1'!Q45,3),"; %let rentu",'C10-Adj by Source'!A42,"=",ROUND('T-T1'!T45,3),"; %let scpu",'C10-Adj by Source'!A42,"=",ROUND('T-T1'!AH45,3),"; %let uret",'C10-Adj by Source'!A42,"=",ROUND('C10-Adj by Source'!BC42,3),"; %let gvsur",'C10-Adj by Source'!A42,"=",ROUND('T-T3'!H46,3),"; %let gvoth",'C10-Adj by Source'!A42,"=",ROUND('T-T2'!G45,3),"; %let gvcons",'C10-Adj by Source'!A42,"=",ROUND('T-T3'!G46,3),";  %let otxx",'C10-Adj by Source'!A42,"=",ROUND('C10-Adj by Source'!CU42,3),";" )</f>
        <v>%let wgu1996=89956.369; %let farmu1996=18479.21; %let nfu1996=250803.749; %let rentu1996=24265.92; %let scpu1996=14766.068; %let uret1996=208545.753; %let gvsur1996=109886.092; %let gvoth1996=44668; %let gvcons1996=1111200;  %let otxx1996=303104;</v>
      </c>
    </row>
    <row r="100" spans="1:14" ht="14.25" customHeight="1" x14ac:dyDescent="0.3">
      <c r="A100" s="502" t="str">
        <f>CONCATENATE("%let rtx",'C10-Adj by Source'!A43,"=",ROUND('C10-Adj by Source'!AU43,3),"; %let xrtx",'C10-Adj by Source'!A43,"=",ROUND('C10-Adj by Source'!AU43-'C10-Adj by Source'!AV43,3),"; %let imprent",'C10-Adj by Source'!A43,"=",ROUND('C10-Adj by Source'!AS43,3),";" )</f>
        <v>%let rtx1997=111657; %let xrtx1997=36887.639; %let imprent1997=196610;</v>
      </c>
      <c r="H100" s="1011" t="str">
        <f>CONCATENATE("%let depinc",'C10-Adj by Source'!A43,"=",ROUND('C10-Adj by Source'!DE43,3),"; %let depwas",'C10-Adj by Source'!A43,"=",ROUND('C10-Adj by Source'!DF43,3),";  %let depincap",'C10-Adj by Source'!A43,"=",ROUND(TOTALS!CA42/1000000,3),"; %let infHH",'C10-Adj by Source'!A43,"=",ROUND('T-T1a'!C48,3),"; %let infWG",'C10-Adj by Source'!A43,"=",ROUND('T-T1a'!D48,3),"; %let infbus",'C10-Adj by Source'!A43,"=",ROUND('T-T1a'!E48,3),"; %let infgov",'C10-Adj by Source'!A43,"=",ROUND('T-T1a'!F48,3),";" )</f>
        <v>%let depinc1997=69474.927; %let depwas1997=61679.604;  %let depincap1997=11635.052; %let infHH1997=-52715.696; %let infWG1997=-26357.848; %let infbus1997=22838.872; %let infgov1997=56234.672;</v>
      </c>
      <c r="N100" s="879" t="str">
        <f>CONCATENATE("%let wgu",'C10-Adj by Source'!A43,"=",ROUND('T-T1'!E46,3),"; %let farmu",'C10-Adj by Source'!A43,"=",ROUND('T-T1'!L46,3),"; %let nfu",'C10-Adj by Source'!A43,"=",ROUND('T-T1'!Q46,3),"; %let rentu",'C10-Adj by Source'!A43,"=",ROUND('T-T1'!T46,3),"; %let scpu",'C10-Adj by Source'!A43,"=",ROUND('T-T1'!AH46,3),"; %let uret",'C10-Adj by Source'!A43,"=",ROUND('C10-Adj by Source'!BC43,3),"; %let gvsur",'C10-Adj by Source'!A43,"=",ROUND('T-T3'!H47,3),"; %let gvoth",'C10-Adj by Source'!A43,"=",ROUND('T-T2'!G46,3),"; %let gvcons",'C10-Adj by Source'!A43,"=",ROUND('T-T3'!G47,3),";  %let otxx",'C10-Adj by Source'!A43,"=",ROUND('C10-Adj by Source'!CU43,3),";" )</f>
        <v>%let wgu1997=102727.543; %let farmu1997=10229.09; %let nfu1997=276767.947; %let rentu1997=24329.686; %let scpu1997=16112.95; %let uret1997=235297.013; %let gvsur1997=206785.368; %let gvoth1997=46255; %let gvcons1997=1157981;  %let otxx1997=321439;</v>
      </c>
    </row>
    <row r="101" spans="1:14" ht="14.25" customHeight="1" x14ac:dyDescent="0.3">
      <c r="A101" s="502" t="str">
        <f>CONCATENATE("%let rtx",'C10-Adj by Source'!A44,"=",ROUND('C10-Adj by Source'!AU44,3),"; %let xrtx",'C10-Adj by Source'!A44,"=",ROUND('C10-Adj by Source'!AU44-'C10-Adj by Source'!AV44,3),"; %let imprent",'C10-Adj by Source'!A44,"=",ROUND('C10-Adj by Source'!AS44,3),";" )</f>
        <v>%let rtx1998=113787; %let xrtx1998=34019.32; %let imprent1998=215077;</v>
      </c>
      <c r="H101" s="1011" t="str">
        <f>CONCATENATE("%let depinc",'C10-Adj by Source'!A44,"=",ROUND('C10-Adj by Source'!DE44,3),"; %let depwas",'C10-Adj by Source'!A44,"=",ROUND('C10-Adj by Source'!DF44,3),";  %let depincap",'C10-Adj by Source'!A44,"=",ROUND(TOTALS!CA43/1000000,3),"; %let infHH",'C10-Adj by Source'!A44,"=",ROUND('T-T1a'!C49,3),"; %let infWG",'C10-Adj by Source'!A44,"=",ROUND('T-T1a'!D49,3),"; %let infbus",'C10-Adj by Source'!A44,"=",ROUND('T-T1a'!E49,3),"; %let infgov",'C10-Adj by Source'!A44,"=",ROUND('T-T1a'!F49,3),";" )</f>
        <v>%let depinc1998=72892.454; %let depwas1998=65759.96;  %let depincap1998=12026.027; %let infHH1998=-27905.614; %let infWG1998=-13952.807; %let infbus1998=16331.173; %let infgov1998=25527.248;</v>
      </c>
      <c r="N101" s="879" t="str">
        <f>CONCATENATE("%let wgu",'C10-Adj by Source'!A44,"=",ROUND('T-T1'!E47,3),"; %let farmu",'C10-Adj by Source'!A44,"=",ROUND('T-T1'!L47,3),"; %let nfu",'C10-Adj by Source'!A44,"=",ROUND('T-T1'!Q47,3),"; %let rentu",'C10-Adj by Source'!A44,"=",ROUND('T-T1'!T47,3),"; %let scpu",'C10-Adj by Source'!A44,"=",ROUND('T-T1'!AH47,3),"; %let uret",'C10-Adj by Source'!A44,"=",ROUND('C10-Adj by Source'!BC44,3),"; %let gvsur",'C10-Adj by Source'!A44,"=",ROUND('T-T3'!H48,3),"; %let gvoth",'C10-Adj by Source'!A44,"=",ROUND('T-T2'!G47,3),"; %let gvcons",'C10-Adj by Source'!A44,"=",ROUND('T-T3'!G48,3),";  %let otxx",'C10-Adj by Source'!A44,"=",ROUND('C10-Adj by Source'!CU44,3),";" )</f>
        <v>%let wgu1998=131949.348; %let farmu1998=4132.66; %let nfu1998=313866.716; %let rentu1998=22230.723; %let scpu1998=36487.541; %let uret1998=273901.144; %let gvsur1998=304619.735; %let gvoth1998=49977; %let gvcons1998=1203000;  %let otxx1998=339352;</v>
      </c>
    </row>
    <row r="102" spans="1:14" ht="14.25" customHeight="1" x14ac:dyDescent="0.3">
      <c r="A102" s="502" t="str">
        <f>CONCATENATE("%let rtx",'C10-Adj by Source'!A45,"=",ROUND('C10-Adj by Source'!AU45,3),"; %let xrtx",'C10-Adj by Source'!A45,"=",ROUND('C10-Adj by Source'!AU45-'C10-Adj by Source'!AV45,3),"; %let imprent",'C10-Adj by Source'!A45,"=",ROUND('C10-Adj by Source'!AS45,3),";" )</f>
        <v>%let rtx1999=117794; %let xrtx1999=29738.85; %let imprent1999=232983;</v>
      </c>
      <c r="H102" s="1011" t="str">
        <f>CONCATENATE("%let depinc",'C10-Adj by Source'!A45,"=",ROUND('C10-Adj by Source'!DE45,3),"; %let depwas",'C10-Adj by Source'!A45,"=",ROUND('C10-Adj by Source'!DF45,3),";  %let depincap",'C10-Adj by Source'!A45,"=",ROUND(TOTALS!CA44/1000000,3),"; %let infHH",'C10-Adj by Source'!A45,"=",ROUND('T-T1a'!C50,3),"; %let infWG",'C10-Adj by Source'!A45,"=",ROUND('T-T1a'!D50,3),"; %let infbus",'C10-Adj by Source'!A45,"=",ROUND('T-T1a'!E50,3),"; %let infgov",'C10-Adj by Source'!A45,"=",ROUND('T-T1a'!F50,3),";" )</f>
        <v>%let depinc1999=80865.268; %let depwas1999=70991.103;  %let depincap1999=12018.514; %let infHH1999=-46455.103; %let infWG1999=-23227.551; %let infbus1999=30624.897; %let infgov1999=39057.757;</v>
      </c>
      <c r="N102" s="879" t="str">
        <f>CONCATENATE("%let wgu",'C10-Adj by Source'!A45,"=",ROUND('T-T1'!E48,3),"; %let farmu",'C10-Adj by Source'!A45,"=",ROUND('T-T1'!L48,3),"; %let nfu",'C10-Adj by Source'!A45,"=",ROUND('T-T1'!Q48,3),"; %let rentu",'C10-Adj by Source'!A45,"=",ROUND('T-T1'!T48,3),"; %let scpu",'C10-Adj by Source'!A45,"=",ROUND('T-T1'!AH48,3),"; %let uret",'C10-Adj by Source'!A45,"=",ROUND('C10-Adj by Source'!BC45,3),"; %let gvsur",'C10-Adj by Source'!A45,"=",ROUND('T-T3'!H49,3),"; %let gvoth",'C10-Adj by Source'!A45,"=",ROUND('T-T2'!G48,3),"; %let gvcons",'C10-Adj by Source'!A45,"=",ROUND('T-T3'!G49,3),";  %let otxx",'C10-Adj by Source'!A45,"=",ROUND('C10-Adj by Source'!CU45,3),";" )</f>
        <v>%let wgu1999=113609.715; %let farmu1999=822.367; %let nfu1999=330099.575; %let rentu1999=15748.093; %let scpu1999=31645.578; %let uret1999=249606.175; %let gvsur1999=350638.774; %let gvoth1999=52656; %let gvcons1999=1286674;  %let otxx1999=359885;</v>
      </c>
    </row>
    <row r="103" spans="1:14" ht="14.25" customHeight="1" x14ac:dyDescent="0.3">
      <c r="A103" s="502" t="str">
        <f>CONCATENATE("%let rtx",'C10-Adj by Source'!A46,"=",ROUND('C10-Adj by Source'!AU46,3),"; %let xrtx",'C10-Adj by Source'!A46,"=",ROUND('C10-Adj by Source'!AU46-'C10-Adj by Source'!AV46,3),"; %let imprent",'C10-Adj by Source'!A46,"=",ROUND('C10-Adj by Source'!AS46,3),";" )</f>
        <v>%let rtx2000=121862; %let xrtx2000=28100.337; %let imprent2000=242714;</v>
      </c>
      <c r="H103" s="1011" t="str">
        <f>CONCATENATE("%let depinc",'C10-Adj by Source'!A46,"=",ROUND('C10-Adj by Source'!DE46,3),"; %let depwas",'C10-Adj by Source'!A46,"=",ROUND('C10-Adj by Source'!DF46,3),";  %let depincap",'C10-Adj by Source'!A46,"=",ROUND(TOTALS!CA45/1000000,3),"; %let infHH",'C10-Adj by Source'!A46,"=",ROUND('T-T1a'!C51,3),"; %let infWG",'C10-Adj by Source'!A46,"=",ROUND('T-T1a'!D51,3),"; %let infbus",'C10-Adj by Source'!A46,"=",ROUND('T-T1a'!E51,3),"; %let infgov",'C10-Adj by Source'!A46,"=",ROUND('T-T1a'!F51,3),";" )</f>
        <v>%let depinc2000=85791.284; %let depwas2000=74570.592;  %let depincap2000=14476.135; %let infHH2000=-79073.967; %let infWG2000=-39536.983; %let infbus2000=65519.277; %let infgov2000=53091.673;</v>
      </c>
      <c r="N103" s="879" t="str">
        <f>CONCATENATE("%let wgu",'C10-Adj by Source'!A46,"=",ROUND('T-T1'!E49,3),"; %let farmu",'C10-Adj by Source'!A46,"=",ROUND('T-T1'!L49,3),"; %let nfu",'C10-Adj by Source'!A46,"=",ROUND('T-T1'!Q49,3),"; %let rentu",'C10-Adj by Source'!A46,"=",ROUND('T-T1'!T49,3),"; %let scpu",'C10-Adj by Source'!A46,"=",ROUND('T-T1'!AH49,3),"; %let uret",'C10-Adj by Source'!A46,"=",ROUND('C10-Adj by Source'!BC46,3),"; %let gvsur",'C10-Adj by Source'!A46,"=",ROUND('T-T3'!H50,3),"; %let gvoth",'C10-Adj by Source'!A46,"=",ROUND('T-T2'!G49,3),"; %let gvcons",'C10-Adj by Source'!A46,"=",ROUND('T-T3'!G50,3),";  %let otxx",'C10-Adj by Source'!A46,"=",ROUND('C10-Adj by Source'!CU46,3),";" )</f>
        <v>%let wgu2000=159364.064; %let farmu2000=5559.215; %let nfu2000=386279.068; %let rentu2000=10305.351; %let scpu2000=51253.518; %let uret2000=296871.558; %let gvsur2000=420627.813; %let gvoth2000=54681; %let gvcons2000=1372384;  %let otxx2000=382098;</v>
      </c>
    </row>
    <row r="104" spans="1:14" ht="14.25" customHeight="1" x14ac:dyDescent="0.3">
      <c r="A104" s="502" t="str">
        <f>CONCATENATE("%let rtx",'C10-Adj by Source'!A47,"=",ROUND('C10-Adj by Source'!AU47,3),"; %let xrtx",'C10-Adj by Source'!A47,"=",ROUND('C10-Adj by Source'!AU47-'C10-Adj by Source'!AV47,3),"; %let imprent",'C10-Adj by Source'!A47,"=",ROUND('C10-Adj by Source'!AS47,3),";" )</f>
        <v>%let rtx2001=128631; %let xrtx2001=27023.712; %let imprent2001=263409;</v>
      </c>
      <c r="H104" s="1011" t="str">
        <f>CONCATENATE("%let depinc",'C10-Adj by Source'!A47,"=",ROUND('C10-Adj by Source'!DE47,3),"; %let depwas",'C10-Adj by Source'!A47,"=",ROUND('C10-Adj by Source'!DF47,3),";  %let depincap",'C10-Adj by Source'!A47,"=",ROUND(TOTALS!CA46/1000000,3),"; %let infHH",'C10-Adj by Source'!A47,"=",ROUND('T-T1a'!C52,3),"; %let infWG",'C10-Adj by Source'!A47,"=",ROUND('T-T1a'!D52,3),"; %let infbus",'C10-Adj by Source'!A47,"=",ROUND('T-T1a'!E52,3),"; %let infgov",'C10-Adj by Source'!A47,"=",ROUND('T-T1a'!F52,3),";" )</f>
        <v>%let depinc2001=79976.116; %let depwas2001=72730.767;  %let depincap2001=6109.279; %let infHH2001=-62568.367; %let infWG2001=-30229.105; %let infbus2001=53482.64; %let infgov2001=39314.832;</v>
      </c>
      <c r="N104" s="879" t="str">
        <f>CONCATENATE("%let wgu",'C10-Adj by Source'!A47,"=",ROUND('T-T1'!E50,3),"; %let farmu",'C10-Adj by Source'!A47,"=",ROUND('T-T1'!L50,3),"; %let nfu",'C10-Adj by Source'!A47,"=",ROUND('T-T1'!Q50,3),"; %let rentu",'C10-Adj by Source'!A47,"=",ROUND('T-T1'!T50,3),"; %let scpu",'C10-Adj by Source'!A47,"=",ROUND('T-T1'!AH50,3),"; %let uret",'C10-Adj by Source'!A47,"=",ROUND('C10-Adj by Source'!BC47,3),"; %let gvsur",'C10-Adj by Source'!A47,"=",ROUND('T-T3'!H51,3),"; %let gvoth",'C10-Adj by Source'!A47,"=",ROUND('T-T2'!G50,3),"; %let gvcons",'C10-Adj by Source'!A47,"=",ROUND('T-T3'!G51,3),";  %let otxx",'C10-Adj by Source'!A47,"=",ROUND('C10-Adj by Source'!CU47,3),";" )</f>
        <v>%let wgu2001=178651.761; %let farmu2001=10602.429; %let nfu2001=463783.538; %let rentu2001=13577.799; %let scpu2001=50512.558; %let uret2001=317323.088; %let gvsur2001=204272.773; %let gvoth2001=61852; %let gvcons2001=1470501;  %let otxx2001=385042;</v>
      </c>
    </row>
    <row r="105" spans="1:14" ht="14.25" customHeight="1" x14ac:dyDescent="0.3">
      <c r="A105" s="502" t="str">
        <f>CONCATENATE("%let rtx",'C10-Adj by Source'!A48,"=",ROUND('C10-Adj by Source'!AU48,3),"; %let xrtx",'C10-Adj by Source'!A48,"=",ROUND('C10-Adj by Source'!AU48-'C10-Adj by Source'!AV48,3),"; %let imprent",'C10-Adj by Source'!A48,"=",ROUND('C10-Adj by Source'!AS48,3),";" )</f>
        <v>%let rtx2002=138466; %let xrtx2002=27710.416; %let imprent2002=284767;</v>
      </c>
      <c r="H105" s="1011" t="str">
        <f>CONCATENATE("%let depinc",'C10-Adj by Source'!A48,"=",ROUND('C10-Adj by Source'!DE48,3),"; %let depwas",'C10-Adj by Source'!A48,"=",ROUND('C10-Adj by Source'!DF48,3),";  %let depincap",'C10-Adj by Source'!A48,"=",ROUND(TOTALS!CA47/1000000,3),"; %let infHH",'C10-Adj by Source'!A48,"=",ROUND('T-T1a'!C53,3),"; %let infWG",'C10-Adj by Source'!A48,"=",ROUND('T-T1a'!D53,3),"; %let infbus",'C10-Adj by Source'!A48,"=",ROUND('T-T1a'!E53,3),"; %let infgov",'C10-Adj by Source'!A48,"=",ROUND('T-T1a'!F53,3),";" )</f>
        <v>%let depinc2002=75981.154; %let depwas2002=69632.728;  %let depincap2002=3525.15; %let infHH2002=-28129.594; %let infWG2002=-23248.916; %let infbus2002=20616.082; %let infgov2002=30762.429;</v>
      </c>
      <c r="N105" s="879" t="str">
        <f>CONCATENATE("%let wgu",'C10-Adj by Source'!A48,"=",ROUND('T-T1'!E51,3),"; %let farmu",'C10-Adj by Source'!A48,"=",ROUND('T-T1'!L51,3),"; %let nfu",'C10-Adj by Source'!A48,"=",ROUND('T-T1'!Q51,3),"; %let rentu",'C10-Adj by Source'!A48,"=",ROUND('T-T1'!T51,3),"; %let scpu",'C10-Adj by Source'!A48,"=",ROUND('T-T1'!AH51,3),"; %let uret",'C10-Adj by Source'!A48,"=",ROUND('C10-Adj by Source'!BC48,3),"; %let gvsur",'C10-Adj by Source'!A48,"=",ROUND('T-T3'!H52,3),"; %let gvoth",'C10-Adj by Source'!A48,"=",ROUND('T-T2'!G51,3),"; %let gvcons",'C10-Adj by Source'!A48,"=",ROUND('T-T3'!G52,3),";  %let otxx",'C10-Adj by Source'!A48,"=",ROUND('C10-Adj by Source'!CU48,3),";" )</f>
        <v>%let wgu2002=217825.625; %let farmu2002=4136.771; %let nfu2002=499798.606; %let rentu2002=16137.081; %let scpu2002=41028.339; %let uret2002=345660.706; %let gvsur2002=-150440.571; %let gvoth2002=67895; %let gvcons2002=1574970;  %let otxx2002=396940;</v>
      </c>
    </row>
    <row r="106" spans="1:14" ht="14.25" customHeight="1" x14ac:dyDescent="0.3">
      <c r="A106" s="502" t="str">
        <f>CONCATENATE("%let rtx",'C10-Adj by Source'!A49,"=",ROUND('C10-Adj by Source'!AU49,3),"; %let xrtx",'C10-Adj by Source'!A49,"=",ROUND('C10-Adj by Source'!AU49-'C10-Adj by Source'!AV49,3),"; %let imprent",'C10-Adj by Source'!A49,"=",ROUND('C10-Adj by Source'!AS49,3),";" )</f>
        <v>%let rtx2003=146685; %let xrtx2003=28992.917; %let imprent2003=312033;</v>
      </c>
      <c r="H106" s="1011" t="str">
        <f>CONCATENATE("%let depinc",'C10-Adj by Source'!A49,"=",ROUND('C10-Adj by Source'!DE49,3),"; %let depwas",'C10-Adj by Source'!A49,"=",ROUND('C10-Adj by Source'!DF49,3),";  %let depincap",'C10-Adj by Source'!A49,"=",ROUND(TOTALS!CA48/1000000,3),"; %let infHH",'C10-Adj by Source'!A49,"=",ROUND('T-T1a'!C54,3),"; %let infWG",'C10-Adj by Source'!A49,"=",ROUND('T-T1a'!D54,3),"; %let infbus",'C10-Adj by Source'!A49,"=",ROUND('T-T1a'!E54,3),"; %let infgov",'C10-Adj by Source'!A49,"=",ROUND('T-T1a'!F54,3),";" )</f>
        <v>%let depinc2003=74663.286; %let depwas2003=68901.861;  %let depincap2003=3339.628; %let infHH2003=-47397.571; %let infWG2003=-41039.328; %let infbus2003=23382.802; %let infgov2003=65054.097;</v>
      </c>
      <c r="N106" s="879" t="str">
        <f>CONCATENATE("%let wgu",'C10-Adj by Source'!A49,"=",ROUND('T-T1'!E52,3),"; %let farmu",'C10-Adj by Source'!A49,"=",ROUND('T-T1'!L52,3),"; %let nfu",'C10-Adj by Source'!A49,"=",ROUND('T-T1'!Q52,3),"; %let rentu",'C10-Adj by Source'!A49,"=",ROUND('T-T1'!T52,3),"; %let scpu",'C10-Adj by Source'!A49,"=",ROUND('T-T1'!AH52,3),"; %let uret",'C10-Adj by Source'!A49,"=",ROUND('C10-Adj by Source'!BC49,3),"; %let gvsur",'C10-Adj by Source'!A49,"=",ROUND('T-T3'!H53,3),"; %let gvoth",'C10-Adj by Source'!A49,"=",ROUND('T-T2'!G52,3),"; %let gvcons",'C10-Adj by Source'!A49,"=",ROUND('T-T3'!G53,3),";  %let otxx",'C10-Adj by Source'!A49,"=",ROUND('C10-Adj by Source'!CU49,3),";" )</f>
        <v>%let wgu2003=258856.136; %let farmu2003=18884.1; %let nfu2003=492725.492; %let rentu2003=14399.697; %let scpu2003=42531.953; %let uret2003=351667.159; %let gvsur2003=-253676.915; %let gvoth2003=73603; %let gvcons2003=1677669;  %let otxx2003=423099;</v>
      </c>
    </row>
    <row r="107" spans="1:14" ht="14.25" customHeight="1" x14ac:dyDescent="0.3">
      <c r="A107" s="502" t="str">
        <f>CONCATENATE("%let rtx",'C10-Adj by Source'!A50,"=",ROUND('C10-Adj by Source'!AU50,3),"; %let xrtx",'C10-Adj by Source'!A50,"=",ROUND('C10-Adj by Source'!AU50-'C10-Adj by Source'!AV50,3),"; %let imprent",'C10-Adj by Source'!A50,"=",ROUND('C10-Adj by Source'!AS50,3),";" )</f>
        <v>%let rtx2004=155636; %let xrtx2004=23680.575; %let imprent2004=335830;</v>
      </c>
      <c r="H107" s="1011" t="str">
        <f>CONCATENATE("%let depinc",'C10-Adj by Source'!A50,"=",ROUND('C10-Adj by Source'!DE50,3),"; %let depwas",'C10-Adj by Source'!A50,"=",ROUND('C10-Adj by Source'!DF50,3),";  %let depincap",'C10-Adj by Source'!A50,"=",ROUND(TOTALS!CA49/1000000,3),"; %let infHH",'C10-Adj by Source'!A50,"=",ROUND('T-T1a'!C55,3),"; %let infWG",'C10-Adj by Source'!A50,"=",ROUND('T-T1a'!D55,3),"; %let infbus",'C10-Adj by Source'!A50,"=",ROUND('T-T1a'!E55,3),"; %let infgov",'C10-Adj by Source'!A50,"=",ROUND('T-T1a'!F55,3),";" )</f>
        <v>%let depinc2004=78971.817; %let depwas2004=71952.621;  %let depincap2004=4992.043; %let infHH2004=-39478.246; %let infWG2004=-53274.516; %let infbus2004=7205.621; %let infgov2004=85547.141;</v>
      </c>
      <c r="N107" s="879" t="str">
        <f>CONCATENATE("%let wgu",'C10-Adj by Source'!A50,"=",ROUND('T-T1'!E53,3),"; %let farmu",'C10-Adj by Source'!A50,"=",ROUND('T-T1'!L53,3),"; %let nfu",'C10-Adj by Source'!A50,"=",ROUND('T-T1'!Q53,3),"; %let rentu",'C10-Adj by Source'!A50,"=",ROUND('T-T1'!T53,3),"; %let scpu",'C10-Adj by Source'!A50,"=",ROUND('T-T1'!AH53,3),"; %let uret",'C10-Adj by Source'!A50,"=",ROUND('C10-Adj by Source'!BC50,3),"; %let gvsur",'C10-Adj by Source'!A50,"=",ROUND('T-T3'!H54,3),"; %let gvoth",'C10-Adj by Source'!A50,"=",ROUND('T-T2'!G53,3),"; %let gvcons",'C10-Adj by Source'!A50,"=",ROUND('T-T3'!G54,3),";  %let otxx",'C10-Adj by Source'!A50,"=",ROUND('C10-Adj by Source'!CU50,3),";" )</f>
        <v>%let wgu2004=253565.022; %let farmu2004=29758.992; %let nfu2004=507905.994; %let rentu2004=14131.178; %let scpu2004=32639.202; %let uret2004=344635.644; %let gvsur2004=-231953.708; %let gvoth2004=85005; %let gvcons2004=1788895;  %let otxx2004=457713;</v>
      </c>
    </row>
    <row r="108" spans="1:14" ht="14.25" customHeight="1" x14ac:dyDescent="0.3">
      <c r="A108" s="502" t="str">
        <f>CONCATENATE("%let rtx",'C10-Adj by Source'!A51,"=",ROUND('C10-Adj by Source'!AU51,3),"; %let xrtx",'C10-Adj by Source'!A51,"=",ROUND('C10-Adj by Source'!AU51-'C10-Adj by Source'!AV51,3),"; %let imprent",'C10-Adj by Source'!A51,"=",ROUND('C10-Adj by Source'!AS51,3),";" )</f>
        <v>%let rtx2005=167415; %let xrtx2005=23047.023; %let imprent2005=325469;</v>
      </c>
      <c r="H108" s="1011" t="str">
        <f>CONCATENATE("%let depinc",'C10-Adj by Source'!A51,"=",ROUND('C10-Adj by Source'!DE51,3),"; %let depwas",'C10-Adj by Source'!A51,"=",ROUND('C10-Adj by Source'!DF51,3),";  %let depincap",'C10-Adj by Source'!A51,"=",ROUND(TOTALS!CA50/1000000,3),"; %let infHH",'C10-Adj by Source'!A51,"=",ROUND('T-T1a'!C56,3),"; %let infWG",'C10-Adj by Source'!A51,"=",ROUND('T-T1a'!D56,3),"; %let infbus",'C10-Adj by Source'!A51,"=",ROUND('T-T1a'!E56,3),"; %let infgov",'C10-Adj by Source'!A51,"=",ROUND('T-T1a'!F56,3),";" )</f>
        <v>%let depinc2005=81507.426; %let depwas2005=73695.686;  %let depincap2005=6994.614; %let infHH2005=-85251.58; %let infWG2005=-65638.136; %let infbus2005=51160.411; %let infgov2005=99729.305;</v>
      </c>
      <c r="N108" s="879" t="str">
        <f>CONCATENATE("%let wgu",'C10-Adj by Source'!A51,"=",ROUND('T-T1'!E54,3),"; %let farmu",'C10-Adj by Source'!A51,"=",ROUND('T-T1'!L54,3),"; %let nfu",'C10-Adj by Source'!A51,"=",ROUND('T-T1'!Q54,3),"; %let rentu",'C10-Adj by Source'!A51,"=",ROUND('T-T1'!T54,3),"; %let scpu",'C10-Adj by Source'!A51,"=",ROUND('T-T1'!AH54,3),"; %let uret",'C10-Adj by Source'!A51,"=",ROUND('C10-Adj by Source'!BC51,3),"; %let gvsur",'C10-Adj by Source'!A51,"=",ROUND('T-T3'!H55,3),"; %let gvoth",'C10-Adj by Source'!A51,"=",ROUND('T-T2'!G54,3),"; %let gvcons",'C10-Adj by Source'!A51,"=",ROUND('T-T3'!G55,3),";  %let otxx",'C10-Adj by Source'!A51,"=",ROUND('C10-Adj by Source'!CU51,3),";" )</f>
        <v>%let wgu2005=277390.713; %let farmu2005=25437.129; %let nfu2005=474942.045; %let rentu2005=12699.377; %let scpu2005=18675.594; %let uret2005=344032.976; %let gvsur2005=-48999.126; %let gvoth2005=90924; %let gvcons2005=1895406;  %let otxx2005=498570;</v>
      </c>
    </row>
    <row r="109" spans="1:14" ht="14.25" customHeight="1" x14ac:dyDescent="0.3">
      <c r="A109" s="502" t="str">
        <f>CONCATENATE("%let rtx",'C10-Adj by Source'!A52,"=",ROUND('C10-Adj by Source'!AU52,3),"; %let xrtx",'C10-Adj by Source'!A52,"=",ROUND('C10-Adj by Source'!AU52-'C10-Adj by Source'!AV52,3),"; %let imprent",'C10-Adj by Source'!A52,"=",ROUND('C10-Adj by Source'!AS52,3),";" )</f>
        <v>%let rtx2006=178258; %let xrtx2006=22248.598; %let imprent2006=302598;</v>
      </c>
      <c r="H109" s="1011" t="str">
        <f>CONCATENATE("%let depinc",'C10-Adj by Source'!A52,"=",ROUND('C10-Adj by Source'!DE52,3),"; %let depwas",'C10-Adj by Source'!A52,"=",ROUND('C10-Adj by Source'!DF52,3),";  %let depincap",'C10-Adj by Source'!A52,"=",ROUND(TOTALS!CA51/1000000,3),"; %let infHH",'C10-Adj by Source'!A52,"=",ROUND('T-T1a'!C57,3),"; %let infWG",'C10-Adj by Source'!A52,"=",ROUND('T-T1a'!D57,3),"; %let infbus",'C10-Adj by Source'!A52,"=",ROUND('T-T1a'!E57,3),"; %let infgov",'C10-Adj by Source'!A52,"=",ROUND('T-T1a'!F57,3),";" )</f>
        <v>%let depinc2006=85036.854; %let depwas2006=76620.797;  %let depincap2006=9045.643; %let infHH2006=-92146.588; %let infWG2006=-58813.901; %let infbus2006=78445.793; %let infgov2006=72514.697;</v>
      </c>
      <c r="N109" s="879" t="str">
        <f>CONCATENATE("%let wgu",'C10-Adj by Source'!A52,"=",ROUND('T-T1'!E55,3),"; %let farmu",'C10-Adj by Source'!A52,"=",ROUND('T-T1'!L55,3),"; %let nfu",'C10-Adj by Source'!A52,"=",ROUND('T-T1'!Q55,3),"; %let rentu",'C10-Adj by Source'!A52,"=",ROUND('T-T1'!T55,3),"; %let scpu",'C10-Adj by Source'!A52,"=",ROUND('T-T1'!AH55,3),"; %let uret",'C10-Adj by Source'!A52,"=",ROUND('C10-Adj by Source'!BC52,3),"; %let gvsur",'C10-Adj by Source'!A52,"=",ROUND('T-T3'!H56,3),"; %let gvoth",'C10-Adj by Source'!A52,"=",ROUND('T-T2'!G55,3),"; %let gvcons",'C10-Adj by Source'!A52,"=",ROUND('T-T3'!G56,3),";  %let otxx",'C10-Adj by Source'!A52,"=",ROUND('C10-Adj by Source'!CU52,3),";" )</f>
        <v>%let wgu2006=308952.914; %let farmu2006=17178.108; %let nfu2006=540488.336; %let rentu2006=18333.369; %let scpu2006=51466.127; %let uret2006=395778.216; %let gvsur2006=45335.213; %let gvoth2006=92617; %let gvcons2006=2000956;  %let otxx2006=528035;</v>
      </c>
    </row>
    <row r="110" spans="1:14" ht="14.25" customHeight="1" x14ac:dyDescent="0.3">
      <c r="A110" s="502" t="str">
        <f>CONCATENATE("%let rtx",'C10-Adj by Source'!A53,"=",ROUND('C10-Adj by Source'!AU53,3),"; %let xrtx",'C10-Adj by Source'!A53,"=",ROUND('C10-Adj by Source'!AU53-'C10-Adj by Source'!AV53,3),"; %let imprent",'C10-Adj by Source'!A53,"=",ROUND('C10-Adj by Source'!AS53,3),";" )</f>
        <v>%let rtx2007=191562; %let xrtx2007=25115.758; %let imprent2007=287960;</v>
      </c>
      <c r="H110" s="1011" t="str">
        <f>CONCATENATE("%let depinc",'C10-Adj by Source'!A53,"=",ROUND('C10-Adj by Source'!DE53,3),"; %let depwas",'C10-Adj by Source'!A53,"=",ROUND('C10-Adj by Source'!DF53,3),";  %let depincap",'C10-Adj by Source'!A53,"=",ROUND(TOTALS!CA52/1000000,3),"; %let infHH",'C10-Adj by Source'!A53,"=",ROUND('T-T1a'!C58,3),"; %let infWG",'C10-Adj by Source'!A53,"=",ROUND('T-T1a'!D58,3),"; %let infbus",'C10-Adj by Source'!A53,"=",ROUND('T-T1a'!E58,3),"; %let infgov",'C10-Adj by Source'!A53,"=",ROUND('T-T1a'!F58,3),";" )</f>
        <v>%let depinc2007=91104.026; %let depwas2007=81374.18;  %let depincap2007=11412.443; %let infHH2007=-106362.561; %let infWG2007=-57198.283; %let infbus2007=106790.459; %let infgov2007=56770.386;</v>
      </c>
      <c r="N110" s="879" t="str">
        <f>CONCATENATE("%let wgu",'C10-Adj by Source'!A53,"=",ROUND('T-T1'!E56,3),"; %let farmu",'C10-Adj by Source'!A53,"=",ROUND('T-T1'!L56,3),"; %let nfu",'C10-Adj by Source'!A53,"=",ROUND('T-T1'!Q56,3),"; %let rentu",'C10-Adj by Source'!A53,"=",ROUND('T-T1'!T56,3),"; %let scpu",'C10-Adj by Source'!A53,"=",ROUND('T-T1'!AH56,3),"; %let uret",'C10-Adj by Source'!A53,"=",ROUND('C10-Adj by Source'!BC53,3),"; %let gvsur",'C10-Adj by Source'!A53,"=",ROUND('T-T3'!H57,3),"; %let gvoth",'C10-Adj by Source'!A53,"=",ROUND('T-T2'!G56,3),"; %let gvcons",'C10-Adj by Source'!A53,"=",ROUND('T-T3'!G57,3),";  %let otxx",'C10-Adj by Source'!A53,"=",ROUND('C10-Adj by Source'!CU53,3),";" )</f>
        <v>%let wgu2007=270405.12; %let farmu2007=14014.999; %let nfu2007=470102.079; %let rentu2007=28015.936; %let scpu2007=93047.907; %let uret2007=437347.157; %let gvsur2007=5657.917; %let gvoth2007=96875; %let gvcons2007=2122015;  %let otxx2007=543028;</v>
      </c>
    </row>
    <row r="111" spans="1:14" ht="14.25" customHeight="1" x14ac:dyDescent="0.3">
      <c r="A111" s="502" t="str">
        <f>CONCATENATE("%let rtx",'C10-Adj by Source'!A54,"=",ROUND('C10-Adj by Source'!AU54,3),"; %let xrtx",'C10-Adj by Source'!A54,"=",ROUND('C10-Adj by Source'!AU54-'C10-Adj by Source'!AV54,3),"; %let imprent",'C10-Adj by Source'!A54,"=",ROUND('C10-Adj by Source'!AS54,3),";" )</f>
        <v>%let rtx2008=196165; %let xrtx2008=28716.416; %let imprent2008=343399;</v>
      </c>
      <c r="H111" s="1011" t="str">
        <f>CONCATENATE("%let depinc",'C10-Adj by Source'!A54,"=",ROUND('C10-Adj by Source'!DE54,3),"; %let depwas",'C10-Adj by Source'!A54,"=",ROUND('C10-Adj by Source'!DF54,3),";  %let depincap",'C10-Adj by Source'!A54,"=",ROUND(TOTALS!CA53/1000000,3),"; %let infHH",'C10-Adj by Source'!A54,"=",ROUND('T-T1a'!C59,3),"; %let infWG",'C10-Adj by Source'!A54,"=",ROUND('T-T1a'!D59,3),"; %let infbus",'C10-Adj by Source'!A54,"=",ROUND('T-T1a'!E59,3),"; %let infgov",'C10-Adj by Source'!A54,"=",ROUND('T-T1a'!F59,3),";" )</f>
        <v>%let depinc2008=86813.37; %let depwas2008=78656.804;  %let depincap2008=5411.301; %let infHH2008=-104115.781; %let infWG2008=-68712.408; %let infbus2008=130309.679; %let infgov2008=42518.51;</v>
      </c>
      <c r="N111" s="879" t="str">
        <f>CONCATENATE("%let wgu",'C10-Adj by Source'!A54,"=",ROUND('T-T1'!E57,3),"; %let farmu",'C10-Adj by Source'!A54,"=",ROUND('T-T1'!L57,3),"; %let nfu",'C10-Adj by Source'!A54,"=",ROUND('T-T1'!Q57,3),"; %let rentu",'C10-Adj by Source'!A54,"=",ROUND('T-T1'!T57,3),"; %let scpu",'C10-Adj by Source'!A54,"=",ROUND('T-T1'!AH57,3),"; %let uret",'C10-Adj by Source'!A54,"=",ROUND('C10-Adj by Source'!BC54,3),"; %let gvsur",'C10-Adj by Source'!A54,"=",ROUND('T-T3'!H58,3),"; %let gvoth",'C10-Adj by Source'!A54,"=",ROUND('T-T2'!G57,3),"; %let gvcons",'C10-Adj by Source'!A54,"=",ROUND('T-T3'!G58,3),";  %let otxx",'C10-Adj by Source'!A54,"=",ROUND('C10-Adj by Source'!CU54,3),";" )</f>
        <v>%let wgu2008=285613.986; %let farmu2008=22582.487; %let nfu2008=539299.777; %let rentu2008=38828.161; %let scpu2008=107783.34; %let uret2008=527231.616; %let gvsur2008=-540529.649; %let gvoth2008=192537.405; %let gvcons2008=2283474;  %let otxx2008=543054;</v>
      </c>
    </row>
    <row r="112" spans="1:14" ht="14.25" customHeight="1" x14ac:dyDescent="0.3">
      <c r="A112" s="502" t="str">
        <f>CONCATENATE("%let rtx",'C10-Adj by Source'!A55,"=",ROUND('C10-Adj by Source'!AU55,3),"; %let xrtx",'C10-Adj by Source'!A55,"=",ROUND('C10-Adj by Source'!AU55-'C10-Adj by Source'!AV55,3),"; %let imprent",'C10-Adj by Source'!A55,"=",ROUND('C10-Adj by Source'!AS55,3),";" )</f>
        <v>%let rtx2009=206071; %let xrtx2009=38779.595; %let imprent2009=422823;</v>
      </c>
      <c r="H112" s="1011" t="str">
        <f>CONCATENATE("%let depinc",'C10-Adj by Source'!A55,"=",ROUND('C10-Adj by Source'!DE55,3),"; %let depwas",'C10-Adj by Source'!A55,"=",ROUND('C10-Adj by Source'!DF55,3),";  %let depincap",'C10-Adj by Source'!A55,"=",ROUND(TOTALS!CA54/1000000,3),"; %let infHH",'C10-Adj by Source'!A55,"=",ROUND('T-T1a'!C60,3),"; %let infWG",'C10-Adj by Source'!A55,"=",ROUND('T-T1a'!D60,3),"; %let infbus",'C10-Adj by Source'!A55,"=",ROUND('T-T1a'!E60,3),"; %let infgov",'C10-Adj by Source'!A55,"=",ROUND('T-T1a'!F60,3),";" )</f>
        <v>%let depinc2009=74565.144; %let depwas2009=67791.195;  %let depincap2009=3163.041; %let infHH2009=1578.385; %let infWG2009=1652.054; %let infbus2009=-1410.758; %let infgov2009=-1819.681;</v>
      </c>
      <c r="N112" s="879" t="str">
        <f>CONCATENATE("%let wgu",'C10-Adj by Source'!A55,"=",ROUND('T-T1'!E58,3),"; %let farmu",'C10-Adj by Source'!A55,"=",ROUND('T-T1'!L58,3),"; %let nfu",'C10-Adj by Source'!A55,"=",ROUND('T-T1'!Q58,3),"; %let rentu",'C10-Adj by Source'!A55,"=",ROUND('T-T1'!T58,3),"; %let scpu",'C10-Adj by Source'!A55,"=",ROUND('T-T1'!AH58,3),"; %let uret",'C10-Adj by Source'!A55,"=",ROUND('C10-Adj by Source'!BC55,3),"; %let gvsur",'C10-Adj by Source'!A55,"=",ROUND('T-T3'!H59,3),"; %let gvoth",'C10-Adj by Source'!A55,"=",ROUND('T-T2'!G58,3),"; %let gvcons",'C10-Adj by Source'!A55,"=",ROUND('T-T3'!G59,3),";  %let otxx",'C10-Adj by Source'!A55,"=",ROUND('C10-Adj by Source'!CU55,3),";" )</f>
        <v>%let wgu2009=246159.432; %let farmu2009=9234.902; %let nfu2009=518418.792; %let rentu2009=56931.99; %let scpu2009=69608.97; %let uret2009=379225.392; %let gvsur2009=-1183067.425; %let gvoth2009=147788; %let gvcons2009=2356753;  %let otxx2009=505733;</v>
      </c>
    </row>
    <row r="113" spans="1:18" ht="14.25" customHeight="1" x14ac:dyDescent="0.3">
      <c r="A113" s="502" t="str">
        <f>CONCATENATE("%let rtx",'C10-Adj by Source'!A56,"=",ROUND('C10-Adj by Source'!AU56,3),"; %let xrtx",'C10-Adj by Source'!A56,"=",ROUND('C10-Adj by Source'!AU56-'C10-Adj by Source'!AV56,3),"; %let imprent",'C10-Adj by Source'!A56,"=",ROUND('C10-Adj by Source'!AS56,3),";" )</f>
        <v>%let rtx2010=206097; %let xrtx2010=34403.979; %let imprent2010=474167;</v>
      </c>
      <c r="H113" s="1011" t="str">
        <f>CONCATENATE("%let depinc",'C10-Adj by Source'!A56,"=",ROUND('C10-Adj by Source'!DE56,3),"; %let depwas",'C10-Adj by Source'!A56,"=",ROUND('C10-Adj by Source'!DF56,3),";  %let depincap",'C10-Adj by Source'!A56,"=",ROUND(TOTALS!CA55/1000000,3),"; %let infHH",'C10-Adj by Source'!A56,"=",ROUND('T-T1a'!C61,3),"; %let infWG",'C10-Adj by Source'!A56,"=",ROUND('T-T1a'!D61,3),"; %let infbus",'C10-Adj by Source'!A56,"=",ROUND('T-T1a'!E61,3),"; %let infgov",'C10-Adj by Source'!A56,"=",ROUND('T-T1a'!F61,3),";" )</f>
        <v>%let depinc2010=75323.069; %let depwas2010=68995.767;  %let depincap2010=2877.038; %let infHH2010=-50392.69; %let infWG2010=-49382.007; %let infbus2010=23988.912; %let infgov2010=75785.785;</v>
      </c>
      <c r="N113" s="879" t="str">
        <f>CONCATENATE("%let wgu",'C10-Adj by Source'!A56,"=",ROUND('T-T1'!E59,3),"; %let farmu",'C10-Adj by Source'!A56,"=",ROUND('T-T1'!L59,3),"; %let nfu",'C10-Adj by Source'!A56,"=",ROUND('T-T1'!Q59,3),"; %let rentu",'C10-Adj by Source'!A56,"=",ROUND('T-T1'!T59,3),"; %let scpu",'C10-Adj by Source'!A56,"=",ROUND('T-T1'!AH59,3),"; %let uret",'C10-Adj by Source'!A56,"=",ROUND('C10-Adj by Source'!BC56,3),"; %let gvsur",'C10-Adj by Source'!A56,"=",ROUND('T-T3'!H60,3),"; %let gvoth",'C10-Adj by Source'!A56,"=",ROUND('T-T2'!G59,3),"; %let gvcons",'C10-Adj by Source'!A56,"=",ROUND('T-T3'!G60,3),";  %let otxx",'C10-Adj by Source'!A56,"=",ROUND('C10-Adj by Source'!CU56,3),";" )</f>
        <v>%let wgu2010=234327.326; %let farmu2010=12672.395; %let nfu2010=524765.415; %let rentu2010=57783.568; %let scpu2010=59745.625; %let uret2010=284980.874; %let gvsur2010=-1235083.853; %let gvoth2010=152007; %let gvcons2010=2435798;  %let otxx2010=535657;</v>
      </c>
    </row>
    <row r="114" spans="1:18" ht="14.25" customHeight="1" x14ac:dyDescent="0.3">
      <c r="A114" s="502" t="str">
        <f>CONCATENATE("%let rtx",'C10-Adj by Source'!A57,"=",ROUND('C10-Adj by Source'!AU57,3),"; %let xrtx",'C10-Adj by Source'!A57,"=",ROUND('C10-Adj by Source'!AU57-'C10-Adj by Source'!AV57,3),"; %let imprent",'C10-Adj by Source'!A57,"=",ROUND('C10-Adj by Source'!AS57,3),";" )</f>
        <v>%let rtx2011=208080; %let xrtx2011=35700.664; %let imprent2011=535039;</v>
      </c>
      <c r="H114" s="1011" t="str">
        <f>CONCATENATE("%let depinc",'C10-Adj by Source'!A57,"=",ROUND('C10-Adj by Source'!DE57,3),"; %let depwas",'C10-Adj by Source'!A57,"=",ROUND('C10-Adj by Source'!DF57,3),";  %let depincap",'C10-Adj by Source'!A57,"=",ROUND(TOTALS!CA56/1000000,3),"; %let infHH",'C10-Adj by Source'!A57,"=",ROUND('T-T1a'!C62,3),"; %let infWG",'C10-Adj by Source'!A57,"=",ROUND('T-T1a'!D62,3),"; %let infbus",'C10-Adj by Source'!A57,"=",ROUND('T-T1a'!E62,3),"; %let infgov",'C10-Adj by Source'!A57,"=",ROUND('T-T1a'!F62,3),";" )</f>
        <v>%let depinc2011=79860.949; %let depwas2011=72834.359;  %let depincap2011=4561.268; %let infHH2011=-112160.706; %let infWG2011=-79436.267; %let infbus2011=44973.464; %let infgov2011=146623.508;</v>
      </c>
      <c r="N114" s="879" t="str">
        <f>CONCATENATE("%let wgu",'C10-Adj by Source'!A57,"=",ROUND('T-T1'!E60,3),"; %let farmu",'C10-Adj by Source'!A57,"=",ROUND('T-T1'!L60,3),"; %let nfu",'C10-Adj by Source'!A57,"=",ROUND('T-T1'!Q60,3),"; %let rentu",'C10-Adj by Source'!A57,"=",ROUND('T-T1'!T60,3),"; %let scpu",'C10-Adj by Source'!A57,"=",ROUND('T-T1'!AH60,3),"; %let uret",'C10-Adj by Source'!A57,"=",ROUND('C10-Adj by Source'!BC57,3),"; %let gvsur",'C10-Adj by Source'!A57,"=",ROUND('T-T3'!H61,3),"; %let gvoth",'C10-Adj by Source'!A57,"=",ROUND('T-T2'!G60,3),"; %let gvcons",'C10-Adj by Source'!A57,"=",ROUND('T-T3'!G61,3),";  %let otxx",'C10-Adj by Source'!A57,"=",ROUND('C10-Adj by Source'!CU57,3),";" )</f>
        <v>%let wgu2011=258023.464; %let farmu2011=37881.653; %let nfu2011=576663.032; %let rentu2011=69074.024; %let scpu2011=71787.263; %let uret2011=390895.143; %let gvsur2011=-1071778.706; %let gvoth2011=139900; %let gvcons2011=2443996;  %let otxx2011=576583;</v>
      </c>
    </row>
    <row r="115" spans="1:18" ht="14.25" customHeight="1" x14ac:dyDescent="0.3">
      <c r="A115" s="502" t="str">
        <f>CONCATENATE("%let rtx",'C10-Adj by Source'!A58,"=",ROUND('C10-Adj by Source'!AU58,3),"; %let xrtx",'C10-Adj by Source'!A58,"=",ROUND('C10-Adj by Source'!AU58-'C10-Adj by Source'!AV58,3),"; %let imprent",'C10-Adj by Source'!A58,"=",ROUND('C10-Adj by Source'!AS58,3),";" )</f>
        <v>%let rtx2012=209573; %let xrtx2012=36842.881; %let imprent2012=564958;</v>
      </c>
      <c r="H115" s="1011" t="str">
        <f>CONCATENATE("%let depinc",'C10-Adj by Source'!A58,"=",ROUND('C10-Adj by Source'!DE58,3),"; %let depwas",'C10-Adj by Source'!A58,"=",ROUND('C10-Adj by Source'!DF58,3),";  %let depincap",'C10-Adj by Source'!A58,"=",ROUND(TOTALS!CA57/1000000,3),"; %let infHH",'C10-Adj by Source'!A58,"=",ROUND('T-T1a'!C63,3),"; %let infWG",'C10-Adj by Source'!A58,"=",ROUND('T-T1a'!D63,3),"; %let infbus",'C10-Adj by Source'!A58,"=",ROUND('T-T1a'!E63,3),"; %let infgov",'C10-Adj by Source'!A58,"=",ROUND('T-T1a'!F63,3),";" )</f>
        <v>%let depinc2012=80465.602; %let depwas2012=72977.601;  %let depincap2012=5743.017; %let infHH2012=-129310.914; %let infWG2012=-71947.888; %let infbus2012=75446.922; %let infgov2012=125811.88;</v>
      </c>
      <c r="N115" s="879" t="str">
        <f>CONCATENATE("%let wgu",'C10-Adj by Source'!A58,"=",ROUND('T-T1'!E61,3),"; %let farmu",'C10-Adj by Source'!A58,"=",ROUND('T-T1'!L61,3),"; %let nfu",'C10-Adj by Source'!A58,"=",ROUND('T-T1'!Q61,3),"; %let rentu",'C10-Adj by Source'!A58,"=",ROUND('T-T1'!T61,3),"; %let scpu",'C10-Adj by Source'!A58,"=",ROUND('T-T1'!AH61,3),"; %let uret",'C10-Adj by Source'!A58,"=",ROUND('C10-Adj by Source'!BC58,3),"; %let gvsur",'C10-Adj by Source'!A58,"=",ROUND('T-T3'!H62,3),"; %let gvoth",'C10-Adj by Source'!A58,"=",ROUND('T-T2'!G61,3),"; %let gvcons",'C10-Adj by Source'!A58,"=",ROUND('T-T3'!G62,3),";  %let otxx",'C10-Adj by Source'!A58,"=",ROUND('C10-Adj by Source'!CU58,3),";" )</f>
        <v>%let wgu2012=277695.128; %let farmu2012=24194.067; %let nfu2012=617442.893; %let rentu2012=55413.501; %let scpu2012=57588.149; %let uret2012=459498.8; %let gvsur2012=-916463.565; %let gvoth2012=137442; %let gvcons2012=2450508;  %let otxx2012=596214;</v>
      </c>
    </row>
    <row r="116" spans="1:18" ht="14.25" customHeight="1" x14ac:dyDescent="0.3">
      <c r="A116" s="502" t="str">
        <f>CONCATENATE("%let rtx",'C10-Adj by Source'!A59,"=",ROUND('C10-Adj by Source'!AU59,3),"; %let xrtx",'C10-Adj by Source'!A59,"=",ROUND('C10-Adj by Source'!AU59-'C10-Adj by Source'!AV59,3),"; %let imprent",'C10-Adj by Source'!A59,"=",ROUND('C10-Adj by Source'!AS59,3),";" )</f>
        <v>%let rtx2013=212436; %let xrtx2013=38713.199; %let imprent2013=604820;</v>
      </c>
      <c r="H116" s="1011" t="str">
        <f>CONCATENATE("%let depinc",'C10-Adj by Source'!A59,"=",ROUND('C10-Adj by Source'!DE59,3),"; %let depwas",'C10-Adj by Source'!A59,"=",ROUND('C10-Adj by Source'!DF59,3),";  %let depincap",'C10-Adj by Source'!A59,"=",ROUND(TOTALS!CA58/1000000,3),"; %let infHH",'C10-Adj by Source'!A59,"=",ROUND('T-T1a'!C64,3),"; %let infWG",'C10-Adj by Source'!A59,"=",ROUND('T-T1a'!D64,3),"; %let infbus",'C10-Adj by Source'!A59,"=",ROUND('T-T1a'!E64,3),"; %let infgov",'C10-Adj by Source'!A59,"=",ROUND('T-T1a'!F64,3),";" )</f>
        <v>%let depinc2013=82688.259; %let depwas2013=75961.269;  %let depincap2013=4936.295; %let infHH2013=-87407.541; %let infWG2013=-49317.611; %let infbus2013=46212.407; %let infgov2013=90512.744;</v>
      </c>
      <c r="N116" s="879" t="str">
        <f>CONCATENATE("%let wgu",'C10-Adj by Source'!A59,"=",ROUND('T-T1'!E62,3),"; %let farmu",'C10-Adj by Source'!A59,"=",ROUND('T-T1'!L62,3),"; %let nfu",'C10-Adj by Source'!A59,"=",ROUND('T-T1'!Q62,3),"; %let rentu",'C10-Adj by Source'!A59,"=",ROUND('T-T1'!T62,3),"; %let scpu",'C10-Adj by Source'!A59,"=",ROUND('T-T1'!AH62,3),"; %let uret",'C10-Adj by Source'!A59,"=",ROUND('C10-Adj by Source'!BC59,3),"; %let gvsur",'C10-Adj by Source'!A59,"=",ROUND('T-T3'!H63,3),"; %let gvoth",'C10-Adj by Source'!A59,"=",ROUND('T-T2'!G62,3),"; %let gvcons",'C10-Adj by Source'!A59,"=",ROUND('T-T3'!G63,3),";  %let otxx",'C10-Adj by Source'!A59,"=",ROUND('C10-Adj by Source'!CU59,3),";" )</f>
        <v>%let wgu2013=272389.842; %let farmu2013=58801.114; %let nfu2013=643708.649; %let rentu2013=53964.881; %let scpu2013=44052.959; %let uret2013=576994.083; %let gvsur2013=-560813.803; %let gvoth2013=135189; %let gvcons2013=2430339;  %let otxx2013=632758;</v>
      </c>
    </row>
    <row r="117" spans="1:18" ht="14.25" customHeight="1" x14ac:dyDescent="0.3">
      <c r="A117" s="655" t="str">
        <f>CONCATENATE("%let rtx",'C10-Adj by Source'!A60,"=",ROUND('C10-Adj by Source'!AU60,3),"; %let xrtx",'C10-Adj by Source'!A60,"=",ROUND('C10-Adj by Source'!AU60-'C10-Adj by Source'!AV60,3),"; %let imprent",'C10-Adj by Source'!A60,"=",ROUND('C10-Adj by Source'!AS60,3),";" )</f>
        <v>%let rtx2014=220102; %let xrtx2014=39808.761; %let imprent2014=639813;</v>
      </c>
      <c r="H117" s="1011" t="str">
        <f>CONCATENATE("%let depinc",'C10-Adj by Source'!A60,"=",ROUND('C10-Adj by Source'!DE60,3),"; %let depwas",'C10-Adj by Source'!A60,"=",ROUND('C10-Adj by Source'!DF60,3),";  %let depincap",'C10-Adj by Source'!A60,"=",ROUND(TOTALS!CA59/1000000,3),"; %let infHH",'C10-Adj by Source'!A60,"=",ROUND('T-T1a'!C65,3),"; %let infWG",'C10-Adj by Source'!A60,"=",ROUND('T-T1a'!D65,3),"; %let infbus",'C10-Adj by Source'!A60,"=",ROUND('T-T1a'!E65,3),"; %let infgov",'C10-Adj by Source'!A60,"=",ROUND('T-T1a'!F65,3),";" )</f>
        <v>%let depinc2014=86201.564; %let depwas2014=79352.296;  %let depincap2014=5783.995; %let infHH2014=-118383.82; %let infWG2014=-58051.049; %let infbus2014=64971.575; %let infgov2014=111463.294;</v>
      </c>
      <c r="N117" s="879" t="str">
        <f>CONCATENATE("%let wgu",'C10-Adj by Source'!A60,"=",ROUND('T-T1'!E63,3),"; %let farmu",'C10-Adj by Source'!A60,"=",ROUND('T-T1'!L63,3),"; %let nfu",'C10-Adj by Source'!A60,"=",ROUND('T-T1'!Q63,3),"; %let rentu",'C10-Adj by Source'!A60,"=",ROUND('T-T1'!T63,3),"; %let scpu",'C10-Adj by Source'!A60,"=",ROUND('T-T1'!AH63,3),"; %let uret",'C10-Adj by Source'!A60,"=",ROUND('C10-Adj by Source'!BC60,3),"; %let gvsur",'C10-Adj by Source'!A60,"=",ROUND('T-T3'!H64,3),"; %let gvoth",'C10-Adj by Source'!A60,"=",ROUND('T-T2'!G63,3),"; %let gvcons",'C10-Adj by Source'!A60,"=",ROUND('T-T3'!G64,3),";  %let otxx",'C10-Adj by Source'!A60,"=",ROUND('C10-Adj by Source'!CU60,3),";" )</f>
        <v>%let wgu2014=292716.267; %let farmu2014=46045.594; %let nfu2014=653273.403; %let rentu2014=60209.304; %let scpu2014=35363.023; %let uret2014=610914.779; %let gvsur2014=-483402.661; %let gvoth2014=143393; %let gvcons2014=2462711;  %let otxx2014=673246;</v>
      </c>
    </row>
    <row r="118" spans="1:18" ht="14.25" customHeight="1" x14ac:dyDescent="0.3">
      <c r="A118" s="655" t="str">
        <f>CONCATENATE("%let rtx",'C10-Adj by Source'!A61,"=",ROUND('C10-Adj by Source'!AU61,3),"; %let xrtx",'C10-Adj by Source'!A61,"=",ROUND('C10-Adj by Source'!AU61-'C10-Adj by Source'!AV61,3),"; %let imprent",'C10-Adj by Source'!A61,"=",ROUND('C10-Adj by Source'!AS61,3),";" )</f>
        <v>%let rtx2015=226815; %let xrtx2015=38867.468; %let imprent2015=681272;</v>
      </c>
      <c r="H118" s="1011" t="str">
        <f>CONCATENATE("%let depinc",'C10-Adj by Source'!A61,"=",ROUND('C10-Adj by Source'!DE61,3),"; %let depwas",'C10-Adj by Source'!A61,"=",ROUND('C10-Adj by Source'!DF61,3),";  %let depincap",'C10-Adj by Source'!A61,"=",ROUND(TOTALS!CA60/1000000,3),"; %let infHH",'C10-Adj by Source'!A61,"=",ROUND('T-T1a'!C66,3),"; %let infWG",'C10-Adj by Source'!A61,"=",ROUND('T-T1a'!D66,3),"; %let infbus",'C10-Adj by Source'!A61,"=",ROUND('T-T1a'!E66,3),"; %let infgov",'C10-Adj by Source'!A61,"=",ROUND('T-T1a'!F66,3),";" )</f>
        <v>%let depinc2015=91996.351; %let depwas2015=85386.213;  %let depincap2015=5948.932; %let infHH2015=-20698.458; %let infWG2015=-11705.935; %let infbus2015=13672.728; %let infgov2015=18731.665;</v>
      </c>
      <c r="N118" s="879" t="str">
        <f>CONCATENATE("%let wgu",'C10-Adj by Source'!A61,"=",ROUND('T-T1'!E64,3),"; %let farmu",'C10-Adj by Source'!A61,"=",ROUND('T-T1'!L64,3),"; %let nfu",'C10-Adj by Source'!A61,"=",ROUND('T-T1'!Q64,3),"; %let rentu",'C10-Adj by Source'!A61,"=",ROUND('T-T1'!T64,3),"; %let scpu",'C10-Adj by Source'!A61,"=",ROUND('T-T1'!AH64,3),"; %let uret",'C10-Adj by Source'!A61,"=",ROUND('C10-Adj by Source'!BC61,3),"; %let gvsur",'C10-Adj by Source'!A61,"=",ROUND('T-T3'!H65,3),"; %let gvoth",'C10-Adj by Source'!A61,"=",ROUND('T-T2'!G64,3),"; %let gvcons",'C10-Adj by Source'!A61,"=",ROUND('T-T3'!G65,3),";  %let otxx",'C10-Adj by Source'!A61,"=",ROUND('C10-Adj by Source'!CU61,3),";" )</f>
        <v>%let wgu2015=323943.378; %let farmu2015=37686.679; %let nfu2015=647211.331; %let rentu2015=86668.076; %let scpu2015=39274.763; %let uret2015=660843.439; %let gvsur2015=-438793.359; %let gvoth2015=146839; %let gvcons2015=2508125;  %let otxx2015=702436;</v>
      </c>
    </row>
    <row r="119" spans="1:18" x14ac:dyDescent="0.3">
      <c r="A119" s="502"/>
      <c r="H119" s="641"/>
    </row>
    <row r="120" spans="1:18" x14ac:dyDescent="0.3">
      <c r="A120" s="502"/>
      <c r="N120" s="277"/>
      <c r="O120" s="277"/>
      <c r="P120" s="277"/>
      <c r="Q120" s="277"/>
      <c r="R120" s="277"/>
    </row>
    <row r="121" spans="1:18" x14ac:dyDescent="0.3">
      <c r="A121" s="655" t="str">
        <f>CONCATENATE("%let trint",'C10-Adj by Source'!A6,"=",ROUND('C22-Fiduciary'!N5,3),"; %let trdiv",'C10-Adj by Source'!A6,"=",ROUND('C22-Fiduciary'!O5,3),"; %let trcg",'C10-Adj by Source'!A6,"=",ROUND('C22-Fiduciary'!P5,3),"; %let troth",'C10-Adj by Source'!A6,"=",ROUND('C22-Fiduciary'!Q5,3),"; %let trstx",'C10-Adj by Source'!A6,"=",ROUND('C22-Fiduciary'!I5,3),"; %let trftx",'C10-Adj by Source'!A6,"=",ROUND('C22-Fiduciary'!L5,3),";" )</f>
        <v>%let trint1960=175.63; %let trdiv1960=786.82; %let trcg1960=445.904; %let troth1960=489.947; %let trstx1960=193.3; %let trftx1960=361.7;</v>
      </c>
      <c r="H121" s="655" t="str">
        <f>CONCATENATE("%let ret1_",A180,"=",ROUND('C19-RetShares'!AD5/3,3),"; %let ret2_",A180,"=",ROUND('C19-RetShares'!AD5*2/3,3),"; %let ret3_",A180,"=",ROUND('C19-RetShares'!AE5-'C19-RetShares'!AF5,3),";  %let ret4_",A180,"=",ROUND('C19-RetShares'!AF5-'C19-RetShares'!AG5,3),"; %let ret5_",A180,"=",ROUND('C19-RetShares'!AG5-'C19-RetShares'!AH5,3),"; %let ret6_",A180,"=",ROUND('C19-RetShares'!AH5-'C19-RetShares'!AI5,3),"; %let ret7_",A180,"=",ROUND('C19-RetShares'!AI5-'C19-RetShares'!AJ5,3),"; %let ret8_",A180,"=",ROUND('C19-RetShares'!AJ5,3),"; %let retx",A180,"=",ROUND(TOTALS!AD66/1000000,3),";" )</f>
        <v>%let ret1_1960=0.224; %let ret2_1960=0.448; %let ret3_1960=0.116;  %let ret4_1960=0.163; %let ret5_1960=0.022; %let ret6_1960=0.019; %let ret7_1960=0.007; %let ret8_1960=0; %let retx1960=2062.961;</v>
      </c>
    </row>
    <row r="122" spans="1:18" x14ac:dyDescent="0.3">
      <c r="A122" s="655" t="str">
        <f>CONCATENATE("%let trint",'C10-Adj by Source'!A7,"=",ROUND('C22-Fiduciary'!N6,3),"; %let trdiv",'C10-Adj by Source'!A7,"=",ROUND('C22-Fiduciary'!O6,3),"; %let trcg",'C10-Adj by Source'!A7,"=",ROUND('C22-Fiduciary'!P6,3),"; %let troth",'C10-Adj by Source'!A7,"=",ROUND('C22-Fiduciary'!Q6,3),"; %let trstx",'C10-Adj by Source'!A7,"=",ROUND('C22-Fiduciary'!I6,3),"; %let trftx",'C10-Adj by Source'!A7,"=",ROUND('C22-Fiduciary'!L6,3),";" )</f>
        <v>%let trint1961=195.543; %let trdiv1961=863.599; %let trcg1961=525.944; %let troth1961=496.065; %let trstx1961=196.65; %let trftx1961=395.85;</v>
      </c>
      <c r="H122" s="1011" t="str">
        <f>CONCATENATE("%let ret1_",A181,"=",ROUND('C19-RetShares'!AD6/3,3),"; %let ret2_",A181,"=",ROUND('C19-RetShares'!AD6*2/3,3),"; %let ret3_",A181,"=",ROUND('C19-RetShares'!AE6-'C19-RetShares'!AF6,3),";  %let ret4_",A181,"=",ROUND('C19-RetShares'!AF6-'C19-RetShares'!AG6,3),"; %let ret5_",A181,"=",ROUND('C19-RetShares'!AG6-'C19-RetShares'!AH6,3),"; %let ret6_",A181,"=",ROUND('C19-RetShares'!AH6-'C19-RetShares'!AI6,3),"; %let ret7_",A181,"=",ROUND('C19-RetShares'!AI6-'C19-RetShares'!AJ6,3),"; %let ret8_",A181,"=",ROUND('C19-RetShares'!AJ6,3),"; %let retx",A181,"=",ROUND(TOTALS!AD67/1000000,3),";" )</f>
        <v>%let ret1_1961=0; %let ret2_1961=0; %let ret3_1961=0;  %let ret4_1961=0; %let ret5_1961=0; %let ret6_1961=0; %let ret7_1961=0; %let ret8_1961=0; %let retx1961=0;</v>
      </c>
    </row>
    <row r="123" spans="1:18" x14ac:dyDescent="0.3">
      <c r="A123" s="655" t="str">
        <f>CONCATENATE("%let trint",'C10-Adj by Source'!A8,"=",ROUND('C22-Fiduciary'!N7,3),"; %let trdiv",'C10-Adj by Source'!A8,"=",ROUND('C22-Fiduciary'!O7,3),"; %let trcg",'C10-Adj by Source'!A8,"=",ROUND('C22-Fiduciary'!P7,3),"; %let troth",'C10-Adj by Source'!A8,"=",ROUND('C22-Fiduciary'!Q7,3),"; %let trstx",'C10-Adj by Source'!A8,"=",ROUND('C22-Fiduciary'!I7,3),"; %let trftx",'C10-Adj by Source'!A8,"=",ROUND('C22-Fiduciary'!L7,3),";" )</f>
        <v>%let trint1962=215.456; %let trdiv1962=940.378; %let trcg1962=605.983; %let troth1962=502.183; %let trstx1962=200; %let trftx1962=430;</v>
      </c>
      <c r="H123" s="1011" t="str">
        <f>CONCATENATE("%let ret1_",A182,"=",ROUND('C19-RetShares'!AD7/3,3),"; %let ret2_",A182,"=",ROUND('C19-RetShares'!AD7*2/3,3),"; %let ret3_",A182,"=",ROUND('C19-RetShares'!AE7-'C19-RetShares'!AF7,3),";  %let ret4_",A182,"=",ROUND('C19-RetShares'!AF7-'C19-RetShares'!AG7,3),"; %let ret5_",A182,"=",ROUND('C19-RetShares'!AG7-'C19-RetShares'!AH7,3),"; %let ret6_",A182,"=",ROUND('C19-RetShares'!AH7-'C19-RetShares'!AI7,3),"; %let ret7_",A182,"=",ROUND('C19-RetShares'!AI7-'C19-RetShares'!AJ7,3),"; %let ret8_",A182,"=",ROUND('C19-RetShares'!AJ7,3),"; %let retx",A182,"=",ROUND(TOTALS!AD68/1000000,3),";" )</f>
        <v>%let ret1_1962=0.224; %let ret2_1962=0.448; %let ret3_1962=0.116;  %let ret4_1962=0.163; %let ret5_1962=0.022; %let ret6_1962=0.019; %let ret7_1962=0.007; %let ret8_1962=0; %let retx1962=2230.174;</v>
      </c>
    </row>
    <row r="124" spans="1:18" x14ac:dyDescent="0.3">
      <c r="A124" s="655" t="str">
        <f>CONCATENATE("%let trint",'C10-Adj by Source'!A9,"=",ROUND('C22-Fiduciary'!N8,3),"; %let trdiv",'C10-Adj by Source'!A9,"=",ROUND('C22-Fiduciary'!O8,3),"; %let trcg",'C10-Adj by Source'!A9,"=",ROUND('C22-Fiduciary'!P8,3),"; %let troth",'C10-Adj by Source'!A9,"=",ROUND('C22-Fiduciary'!Q8,3),"; %let trstx",'C10-Adj by Source'!A9,"=",ROUND('C22-Fiduciary'!I8,3),"; %let trftx",'C10-Adj by Source'!A9,"=",ROUND('C22-Fiduciary'!L8,3),";" )</f>
        <v>%let trint1963=274.978; %let trdiv1963=1147.502; %let trcg1963=884.978; %let troth1963=607.267; %let trstx1963=233.571; %let trftx1963=529.1;</v>
      </c>
      <c r="H124" s="1011" t="str">
        <f>CONCATENATE("%let ret1_",A183,"=",ROUND('C19-RetShares'!AD8/3,3),"; %let ret2_",A183,"=",ROUND('C19-RetShares'!AD8*2/3,3),"; %let ret3_",A183,"=",ROUND('C19-RetShares'!AE8-'C19-RetShares'!AF8,3),";  %let ret4_",A183,"=",ROUND('C19-RetShares'!AF8-'C19-RetShares'!AG8,3),"; %let ret5_",A183,"=",ROUND('C19-RetShares'!AG8-'C19-RetShares'!AH8,3),"; %let ret6_",A183,"=",ROUND('C19-RetShares'!AH8-'C19-RetShares'!AI8,3),"; %let ret7_",A183,"=",ROUND('C19-RetShares'!AI8-'C19-RetShares'!AJ8,3),"; %let ret8_",A183,"=",ROUND('C19-RetShares'!AJ8,3),"; %let retx",A183,"=",ROUND(TOTALS!AD69/1000000,3),";" )</f>
        <v>%let ret1_1963=0.203; %let ret2_1963=0.407; %let ret3_1963=0.135;  %let ret4_1963=0.189; %let ret5_1963=0.028; %let ret6_1963=0.027; %let ret7_1963=0.009; %let ret8_1963=0.001; %let retx1963=0;</v>
      </c>
    </row>
    <row r="125" spans="1:18" x14ac:dyDescent="0.3">
      <c r="A125" s="655" t="str">
        <f>CONCATENATE("%let trint",'C10-Adj by Source'!A10,"=",ROUND('C22-Fiduciary'!N9,3),"; %let trdiv",'C10-Adj by Source'!A10,"=",ROUND('C22-Fiduciary'!O9,3),"; %let trcg",'C10-Adj by Source'!A10,"=",ROUND('C22-Fiduciary'!P9,3),"; %let troth",'C10-Adj by Source'!A10,"=",ROUND('C22-Fiduciary'!Q9,3),"; %let trstx",'C10-Adj by Source'!A10,"=",ROUND('C22-Fiduciary'!I9,3),"; %let trftx",'C10-Adj by Source'!A10,"=",ROUND('C22-Fiduciary'!L9,3),";" )</f>
        <v>%let trint1964=334.5; %let trdiv1964=1354.626; %let trcg1964=1163.973; %let troth1964=712.351; %let trstx1964=267.142; %let trftx1964=628.2;</v>
      </c>
      <c r="H125" s="1011" t="str">
        <f>CONCATENATE("%let ret1_",A184,"=",ROUND('C19-RetShares'!AD9/3,3),"; %let ret2_",A184,"=",ROUND('C19-RetShares'!AD9*2/3,3),"; %let ret3_",A184,"=",ROUND('C19-RetShares'!AE9-'C19-RetShares'!AF9,3),";  %let ret4_",A184,"=",ROUND('C19-RetShares'!AF9-'C19-RetShares'!AG9,3),"; %let ret5_",A184,"=",ROUND('C19-RetShares'!AG9-'C19-RetShares'!AH9,3),"; %let ret6_",A184,"=",ROUND('C19-RetShares'!AH9-'C19-RetShares'!AI9,3),"; %let ret7_",A184,"=",ROUND('C19-RetShares'!AI9-'C19-RetShares'!AJ9,3),"; %let ret8_",A184,"=",ROUND('C19-RetShares'!AJ9,3),"; %let retx",A184,"=",ROUND(TOTALS!AD70/1000000,3),";" )</f>
        <v>%let ret1_1964=0.17; %let ret2_1964=0.34; %let ret3_1964=0.167;  %let ret4_1964=0.235; %let ret5_1964=0.036; %let ret6_1964=0.038; %let ret7_1964=0.013; %let ret8_1964=0.002; %let retx1964=2946.271;</v>
      </c>
    </row>
    <row r="126" spans="1:18" x14ac:dyDescent="0.3">
      <c r="A126" s="655" t="str">
        <f>CONCATENATE("%let trint",'C10-Adj by Source'!A11,"=",ROUND('C22-Fiduciary'!N10,3),"; %let trdiv",'C10-Adj by Source'!A11,"=",ROUND('C22-Fiduciary'!O10,3),"; %let trcg",'C10-Adj by Source'!A11,"=",ROUND('C22-Fiduciary'!P10,3),"; %let troth",'C10-Adj by Source'!A11,"=",ROUND('C22-Fiduciary'!Q10,3),"; %let trstx",'C10-Adj by Source'!A11,"=",ROUND('C22-Fiduciary'!I10,3),"; %let trftx",'C10-Adj by Source'!A11,"=",ROUND('C22-Fiduciary'!L10,3),";" )</f>
        <v>%let trint1965=354.197; %let trdiv1965=1408.192; %let trcg1965=1282.889; %let troth1965=805.198; %let trstx1965=294.013; %let trftx1965=659;</v>
      </c>
      <c r="H126" s="1011" t="str">
        <f>CONCATENATE("%let ret1_",A185,"=",ROUND('C19-RetShares'!AD10/3,3),"; %let ret2_",A185,"=",ROUND('C19-RetShares'!AD10*2/3,3),"; %let ret3_",A185,"=",ROUND('C19-RetShares'!AE10-'C19-RetShares'!AF10,3),";  %let ret4_",A185,"=",ROUND('C19-RetShares'!AF10-'C19-RetShares'!AG10,3),"; %let ret5_",A185,"=",ROUND('C19-RetShares'!AG10-'C19-RetShares'!AH10,3),"; %let ret6_",A185,"=",ROUND('C19-RetShares'!AH10-'C19-RetShares'!AI10,3),"; %let ret7_",A185,"=",ROUND('C19-RetShares'!AI10-'C19-RetShares'!AJ10,3),"; %let ret8_",A185,"=",ROUND('C19-RetShares'!AJ10,3),"; %let retx",A185,"=",ROUND(TOTALS!AD71/1000000,3),";" )</f>
        <v>%let ret1_1965=0.168; %let ret2_1965=0.336; %let ret3_1965=0.173;  %let ret4_1965=0.235; %let ret5_1965=0.035; %let ret6_1965=0.037; %let ret7_1965=0.013; %let ret8_1965=0.003; %let retx1965=0;</v>
      </c>
    </row>
    <row r="127" spans="1:18" x14ac:dyDescent="0.3">
      <c r="A127" s="655" t="str">
        <f>CONCATENATE("%let trint",'C10-Adj by Source'!A12,"=",ROUND('C22-Fiduciary'!N11,3),"; %let trdiv",'C10-Adj by Source'!A12,"=",ROUND('C22-Fiduciary'!O11,3),"; %let trcg",'C10-Adj by Source'!A12,"=",ROUND('C22-Fiduciary'!P11,3),"; %let troth",'C10-Adj by Source'!A12,"=",ROUND('C22-Fiduciary'!Q11,3),"; %let trstx",'C10-Adj by Source'!A12,"=",ROUND('C22-Fiduciary'!I11,3),"; %let trftx",'C10-Adj by Source'!A12,"=",ROUND('C22-Fiduciary'!L11,3),";" )</f>
        <v>%let trint1966=393.684; %let trdiv1966=1388.796; %let trcg1966=1143.518; %let troth1966=804.122; %let trstx1966=325.35; %let trftx1966=649.42;</v>
      </c>
      <c r="H127" s="1011" t="str">
        <f>CONCATENATE("%let ret1_",A186,"=",ROUND('C19-RetShares'!AD11/3,3),"; %let ret2_",A186,"=",ROUND('C19-RetShares'!AD11*2/3,3),"; %let ret3_",A186,"=",ROUND('C19-RetShares'!AE11-'C19-RetShares'!AF11,3),";  %let ret4_",A186,"=",ROUND('C19-RetShares'!AF11-'C19-RetShares'!AG11,3),"; %let ret5_",A186,"=",ROUND('C19-RetShares'!AG11-'C19-RetShares'!AH11,3),"; %let ret6_",A186,"=",ROUND('C19-RetShares'!AH11-'C19-RetShares'!AI11,3),"; %let ret7_",A186,"=",ROUND('C19-RetShares'!AI11-'C19-RetShares'!AJ11,3),"; %let ret8_",A186,"=",ROUND('C19-RetShares'!AJ11,3),"; %let retx",A186,"=",ROUND(TOTALS!AD72/1000000,3),";" )</f>
        <v>%let ret1_1966=0.181; %let ret2_1966=0.361; %let ret3_1966=0.162;  %let ret4_1966=0.216; %let ret5_1966=0.031; %let ret6_1966=0.034; %let ret7_1966=0.012; %let ret8_1966=0.003; %let retx1966=4676.079;</v>
      </c>
    </row>
    <row r="128" spans="1:18" x14ac:dyDescent="0.3">
      <c r="A128" s="655" t="str">
        <f>CONCATENATE("%let trint",'C10-Adj by Source'!A13,"=",ROUND('C22-Fiduciary'!N12,3),"; %let trdiv",'C10-Adj by Source'!A13,"=",ROUND('C22-Fiduciary'!O12,3),"; %let trcg",'C10-Adj by Source'!A13,"=",ROUND('C22-Fiduciary'!P12,3),"; %let troth",'C10-Adj by Source'!A13,"=",ROUND('C22-Fiduciary'!Q12,3),"; %let trstx",'C10-Adj by Source'!A13,"=",ROUND('C22-Fiduciary'!I12,3),"; %let trftx",'C10-Adj by Source'!A13,"=",ROUND('C22-Fiduciary'!L12,3),";" )</f>
        <v>%let trint1967=433.171; %let trdiv1967=1369.4; %let trcg1967=1004.147; %let troth1967=803.047; %let trstx1967=356.688; %let trftx1967=639.84;</v>
      </c>
      <c r="H128" s="1011" t="str">
        <f>CONCATENATE("%let ret1_",A187,"=",ROUND('C19-RetShares'!AD12/3,3),"; %let ret2_",A187,"=",ROUND('C19-RetShares'!AD12*2/3,3),"; %let ret3_",A187,"=",ROUND('C19-RetShares'!AE12-'C19-RetShares'!AF12,3),";  %let ret4_",A187,"=",ROUND('C19-RetShares'!AF12-'C19-RetShares'!AG12,3),"; %let ret5_",A187,"=",ROUND('C19-RetShares'!AG12-'C19-RetShares'!AH12,3),"; %let ret6_",A187,"=",ROUND('C19-RetShares'!AH12-'C19-RetShares'!AI12,3),"; %let ret7_",A187,"=",ROUND('C19-RetShares'!AI12-'C19-RetShares'!AJ12,3),"; %let ret8_",A187,"=",ROUND('C19-RetShares'!AJ12,3),"; %let retx",A187,"=",ROUND(TOTALS!AD73/1000000,3),";" )</f>
        <v>%let ret1_1967=0.208; %let ret2_1967=0.417; %let ret3_1967=0.139;  %let ret4_1967=0.169; %let ret5_1967=0.027; %let ret6_1967=0.027; %let ret7_1967=0.01; %let ret8_1967=0.004; %let retx1967=5080.152;</v>
      </c>
    </row>
    <row r="129" spans="1:8" x14ac:dyDescent="0.3">
      <c r="A129" s="655" t="str">
        <f>CONCATENATE("%let trint",'C10-Adj by Source'!A14,"=",ROUND('C22-Fiduciary'!N13,3),"; %let trdiv",'C10-Adj by Source'!A14,"=",ROUND('C22-Fiduciary'!O13,3),"; %let trcg",'C10-Adj by Source'!A14,"=",ROUND('C22-Fiduciary'!P13,3),"; %let troth",'C10-Adj by Source'!A14,"=",ROUND('C22-Fiduciary'!Q13,3),"; %let trstx",'C10-Adj by Source'!A14,"=",ROUND('C22-Fiduciary'!I13,3),"; %let trftx",'C10-Adj by Source'!A14,"=",ROUND('C22-Fiduciary'!L13,3),";" )</f>
        <v>%let trint1968=472.659; %let trdiv1968=1350.004; %let trcg1968=864.776; %let troth1968=801.971; %let trstx1968=388.025; %let trftx1968=630.26;</v>
      </c>
      <c r="H129" s="1011" t="str">
        <f>CONCATENATE("%let ret1_",A188,"=",ROUND('C19-RetShares'!AD13/3,3),"; %let ret2_",A188,"=",ROUND('C19-RetShares'!AD13*2/3,3),"; %let ret3_",A188,"=",ROUND('C19-RetShares'!AE13-'C19-RetShares'!AF13,3),";  %let ret4_",A188,"=",ROUND('C19-RetShares'!AF13-'C19-RetShares'!AG13,3),"; %let ret5_",A188,"=",ROUND('C19-RetShares'!AG13-'C19-RetShares'!AH13,3),"; %let ret6_",A188,"=",ROUND('C19-RetShares'!AH13-'C19-RetShares'!AI13,3),"; %let ret7_",A188,"=",ROUND('C19-RetShares'!AI13-'C19-RetShares'!AJ13,3),"; %let ret8_",A188,"=",ROUND('C19-RetShares'!AJ13,3),"; %let retx",A188,"=",ROUND(TOTALS!AD74/1000000,3),";" )</f>
        <v>%let ret1_1968=0.211; %let ret2_1968=0.423; %let ret3_1968=0.137;  %let ret4_1968=0.157; %let ret5_1968=0.028; %let ret6_1968=0.029; %let ret7_1968=0.009; %let ret8_1968=0.005; %let retx1968=7593.341;</v>
      </c>
    </row>
    <row r="130" spans="1:8" x14ac:dyDescent="0.3">
      <c r="A130" s="655" t="str">
        <f>CONCATENATE("%let trint",'C10-Adj by Source'!A15,"=",ROUND('C22-Fiduciary'!N14,3),"; %let trdiv",'C10-Adj by Source'!A15,"=",ROUND('C22-Fiduciary'!O14,3),"; %let trcg",'C10-Adj by Source'!A15,"=",ROUND('C22-Fiduciary'!P14,3),"; %let troth",'C10-Adj by Source'!A15,"=",ROUND('C22-Fiduciary'!Q14,3),"; %let trstx",'C10-Adj by Source'!A15,"=",ROUND('C22-Fiduciary'!I14,3),"; %let trftx",'C10-Adj by Source'!A15,"=",ROUND('C22-Fiduciary'!L14,3),";" )</f>
        <v>%let trint1969=512.146; %let trdiv1969=1330.608; %let trcg1969=725.405; %let troth1969=800.896; %let trstx1969=419.363; %let trftx1969=620.68;</v>
      </c>
      <c r="H130" s="1011" t="str">
        <f>CONCATENATE("%let ret1_",A189,"=",ROUND('C19-RetShares'!AD14/3,3),"; %let ret2_",A189,"=",ROUND('C19-RetShares'!AD14*2/3,3),"; %let ret3_",A189,"=",ROUND('C19-RetShares'!AE14-'C19-RetShares'!AF14,3),";  %let ret4_",A189,"=",ROUND('C19-RetShares'!AF14-'C19-RetShares'!AG14,3),"; %let ret5_",A189,"=",ROUND('C19-RetShares'!AG14-'C19-RetShares'!AH14,3),"; %let ret6_",A189,"=",ROUND('C19-RetShares'!AH14-'C19-RetShares'!AI14,3),"; %let ret7_",A189,"=",ROUND('C19-RetShares'!AI14-'C19-RetShares'!AJ14,3),"; %let ret8_",A189,"=",ROUND('C19-RetShares'!AJ14,3),"; %let retx",A189,"=",ROUND(TOTALS!AD75/1000000,3),";" )</f>
        <v>%let ret1_1969=0.218; %let ret2_1969=0.436; %let ret3_1969=0.132;  %let ret4_1969=0.158; %let ret5_1969=0.022; %let ret6_1969=0.022; %let ret7_1969=0.008; %let ret8_1969=0.003; %let retx1969=8403.708;</v>
      </c>
    </row>
    <row r="131" spans="1:8" x14ac:dyDescent="0.3">
      <c r="A131" s="655" t="str">
        <f>CONCATENATE("%let trint",'C10-Adj by Source'!A16,"=",ROUND('C22-Fiduciary'!N15,3),"; %let trdiv",'C10-Adj by Source'!A16,"=",ROUND('C22-Fiduciary'!O15,3),"; %let trcg",'C10-Adj by Source'!A16,"=",ROUND('C22-Fiduciary'!P15,3),"; %let troth",'C10-Adj by Source'!A16,"=",ROUND('C22-Fiduciary'!Q15,3),"; %let trstx",'C10-Adj by Source'!A16,"=",ROUND('C22-Fiduciary'!I15,3),"; %let trftx",'C10-Adj by Source'!A16,"=",ROUND('C22-Fiduciary'!L15,3),";" )</f>
        <v>%let trint1970=551.633; %let trdiv1970=1311.212; %let trcg1970=586.034; %let troth1970=799.82; %let trstx1970=450.7; %let trftx1970=611.1;</v>
      </c>
      <c r="H131" s="1011" t="str">
        <f>CONCATENATE("%let ret1_",A190,"=",ROUND('C19-RetShares'!AD15/3,3),"; %let ret2_",A190,"=",ROUND('C19-RetShares'!AD15*2/3,3),"; %let ret3_",A190,"=",ROUND('C19-RetShares'!AE15-'C19-RetShares'!AF15,3),";  %let ret4_",A190,"=",ROUND('C19-RetShares'!AF15-'C19-RetShares'!AG15,3),"; %let ret5_",A190,"=",ROUND('C19-RetShares'!AG15-'C19-RetShares'!AH15,3),"; %let ret6_",A190,"=",ROUND('C19-RetShares'!AH15-'C19-RetShares'!AI15,3),"; %let ret7_",A190,"=",ROUND('C19-RetShares'!AI15-'C19-RetShares'!AJ15,3),"; %let ret8_",A190,"=",ROUND('C19-RetShares'!AJ15,3),"; %let retx",A190,"=",ROUND(TOTALS!AD76/1000000,3),";" )</f>
        <v>%let ret1_1970=0.215; %let ret2_1970=0.43; %let ret3_1970=0.139;  %let ret4_1970=0.171; %let ret5_1970=0.02; %let ret6_1970=0.019; %let ret7_1970=0.006; %let ret8_1970=0.001; %let retx1970=9241.561;</v>
      </c>
    </row>
    <row r="132" spans="1:8" x14ac:dyDescent="0.3">
      <c r="A132" s="655" t="str">
        <f>CONCATENATE("%let trint",'C10-Adj by Source'!A17,"=",ROUND('C22-Fiduciary'!N16,3),"; %let trdiv",'C10-Adj by Source'!A17,"=",ROUND('C22-Fiduciary'!O16,3),"; %let trcg",'C10-Adj by Source'!A17,"=",ROUND('C22-Fiduciary'!P16,3),"; %let troth",'C10-Adj by Source'!A17,"=",ROUND('C22-Fiduciary'!Q16,3),"; %let trstx",'C10-Adj by Source'!A17,"=",ROUND('C22-Fiduciary'!I16,3),"; %let trftx",'C10-Adj by Source'!A17,"=",ROUND('C22-Fiduciary'!L16,3),";" )</f>
        <v>%let trint1971=733.858; %let trdiv1971=1456.88; %let trcg1971=646.203; %let troth1971=941.16; %let trstx1971=474.15; %let trftx1971=664.925;</v>
      </c>
      <c r="H132" s="1011" t="str">
        <f>CONCATENATE("%let ret1_",A191,"=",ROUND('C19-RetShares'!AD16/3,3),"; %let ret2_",A191,"=",ROUND('C19-RetShares'!AD16*2/3,3),"; %let ret3_",A191,"=",ROUND('C19-RetShares'!AE16-'C19-RetShares'!AF16,3),";  %let ret4_",A191,"=",ROUND('C19-RetShares'!AF16-'C19-RetShares'!AG16,3),"; %let ret5_",A191,"=",ROUND('C19-RetShares'!AG16-'C19-RetShares'!AH16,3),"; %let ret6_",A191,"=",ROUND('C19-RetShares'!AH16-'C19-RetShares'!AI16,3),"; %let ret7_",A191,"=",ROUND('C19-RetShares'!AI16-'C19-RetShares'!AJ16,3),"; %let ret8_",A191,"=",ROUND('C19-RetShares'!AJ16,3),"; %let retx",A191,"=",ROUND(TOTALS!AD77/1000000,3),";" )</f>
        <v>%let ret1_1971=0.216; %let ret2_1971=0.433; %let ret3_1971=0.145;  %let ret4_1971=0.168; %let ret5_1971=0.019; %let ret6_1971=0.014; %let ret7_1971=0.005; %let ret8_1971=0; %let retx1971=10928.402;</v>
      </c>
    </row>
    <row r="133" spans="1:8" x14ac:dyDescent="0.3">
      <c r="A133" s="655" t="str">
        <f>CONCATENATE("%let trint",'C10-Adj by Source'!A18,"=",ROUND('C22-Fiduciary'!N17,3),"; %let trdiv",'C10-Adj by Source'!A18,"=",ROUND('C22-Fiduciary'!O17,3),"; %let trcg",'C10-Adj by Source'!A18,"=",ROUND('C22-Fiduciary'!P17,3),"; %let troth",'C10-Adj by Source'!A18,"=",ROUND('C22-Fiduciary'!Q17,3),"; %let trstx",'C10-Adj by Source'!A18,"=",ROUND('C22-Fiduciary'!I17,3),"; %let trftx",'C10-Adj by Source'!A18,"=",ROUND('C22-Fiduciary'!L17,3),";" )</f>
        <v>%let trint1972=916.082; %let trdiv1972=1602.547; %let trcg1972=706.371; %let troth1972=1082.499; %let trstx1972=497.6; %let trftx1972=718.75;</v>
      </c>
      <c r="H133" s="1011" t="str">
        <f>CONCATENATE("%let ret1_",A192,"=",ROUND('C19-RetShares'!AD17/3,3),"; %let ret2_",A192,"=",ROUND('C19-RetShares'!AD17*2/3,3),"; %let ret3_",A192,"=",ROUND('C19-RetShares'!AE17-'C19-RetShares'!AF17,3),";  %let ret4_",A192,"=",ROUND('C19-RetShares'!AF17-'C19-RetShares'!AG17,3),"; %let ret5_",A192,"=",ROUND('C19-RetShares'!AG17-'C19-RetShares'!AH17,3),"; %let ret6_",A192,"=",ROUND('C19-RetShares'!AH17-'C19-RetShares'!AI17,3),"; %let ret7_",A192,"=",ROUND('C19-RetShares'!AI17-'C19-RetShares'!AJ17,3),"; %let ret8_",A192,"=",ROUND('C19-RetShares'!AJ17,3),"; %let retx",A192,"=",ROUND(TOTALS!AD78/1000000,3),";" )</f>
        <v>%let ret1_1972=0.217; %let ret2_1972=0.434; %let ret3_1972=0.145;  %let ret4_1972=0.167; %let ret5_1972=0.017; %let ret6_1972=0.014; %let ret7_1972=0.005; %let ret8_1972=0.001; %let retx1972=12887.218;</v>
      </c>
    </row>
    <row r="134" spans="1:8" x14ac:dyDescent="0.3">
      <c r="A134" s="655" t="str">
        <f>CONCATENATE("%let trint",'C10-Adj by Source'!A19,"=",ROUND('C22-Fiduciary'!N18,3),"; %let trdiv",'C10-Adj by Source'!A19,"=",ROUND('C22-Fiduciary'!O18,3),"; %let trcg",'C10-Adj by Source'!A19,"=",ROUND('C22-Fiduciary'!P18,3),"; %let troth",'C10-Adj by Source'!A19,"=",ROUND('C22-Fiduciary'!Q18,3),"; %let trstx",'C10-Adj by Source'!A19,"=",ROUND('C22-Fiduciary'!I18,3),"; %let trftx",'C10-Adj by Source'!A19,"=",ROUND('C22-Fiduciary'!L18,3),";" )</f>
        <v>%let trint1973=1098.306; %let trdiv1973=1748.215; %let trcg1973=766.54; %let troth1973=1223.839; %let trstx1973=521.05; %let trftx1973=772.575;</v>
      </c>
      <c r="H134" s="1011" t="str">
        <f>CONCATENATE("%let ret1_",A193,"=",ROUND('C19-RetShares'!AD18/3,3),"; %let ret2_",A193,"=",ROUND('C19-RetShares'!AD18*2/3,3),"; %let ret3_",A193,"=",ROUND('C19-RetShares'!AE18-'C19-RetShares'!AF18,3),";  %let ret4_",A193,"=",ROUND('C19-RetShares'!AF18-'C19-RetShares'!AG18,3),"; %let ret5_",A193,"=",ROUND('C19-RetShares'!AG18-'C19-RetShares'!AH18,3),"; %let ret6_",A193,"=",ROUND('C19-RetShares'!AH18-'C19-RetShares'!AI18,3),"; %let ret7_",A193,"=",ROUND('C19-RetShares'!AI18-'C19-RetShares'!AJ18,3),"; %let ret8_",A193,"=",ROUND('C19-RetShares'!AJ18,3),"; %let retx",A193,"=",ROUND(TOTALS!AD79/1000000,3),";" )</f>
        <v>%let ret1_1973=0.215; %let ret2_1973=0.431; %let ret3_1973=0.146;  %let ret4_1973=0.17; %let ret5_1973=0.018; %let ret6_1973=0.014; %let ret7_1973=0.005; %let ret8_1973=0.001; %let retx1973=15588.072;</v>
      </c>
    </row>
    <row r="135" spans="1:8" x14ac:dyDescent="0.3">
      <c r="A135" s="655" t="str">
        <f>CONCATENATE("%let trint",'C10-Adj by Source'!A20,"=",ROUND('C22-Fiduciary'!N19,3),"; %let trdiv",'C10-Adj by Source'!A20,"=",ROUND('C22-Fiduciary'!O19,3),"; %let trcg",'C10-Adj by Source'!A20,"=",ROUND('C22-Fiduciary'!P19,3),"; %let troth",'C10-Adj by Source'!A20,"=",ROUND('C22-Fiduciary'!Q19,3),"; %let trstx",'C10-Adj by Source'!A20,"=",ROUND('C22-Fiduciary'!I19,3),"; %let trftx",'C10-Adj by Source'!A20,"=",ROUND('C22-Fiduciary'!L19,3),";" )</f>
        <v>%let trint1974=1280.531; %let trdiv1974=1893.883; %let trcg1974=826.708; %let troth1974=1365.178; %let trstx1974=544.5; %let trftx1974=826.4;</v>
      </c>
      <c r="H135" s="1011" t="str">
        <f>CONCATENATE("%let ret1_",A194,"=",ROUND('C19-RetShares'!AD19/3,3),"; %let ret2_",A194,"=",ROUND('C19-RetShares'!AD19*2/3,3),"; %let ret3_",A194,"=",ROUND('C19-RetShares'!AE19-'C19-RetShares'!AF19,3),";  %let ret4_",A194,"=",ROUND('C19-RetShares'!AF19-'C19-RetShares'!AG19,3),"; %let ret5_",A194,"=",ROUND('C19-RetShares'!AG19-'C19-RetShares'!AH19,3),"; %let ret6_",A194,"=",ROUND('C19-RetShares'!AH19-'C19-RetShares'!AI19,3),"; %let ret7_",A194,"=",ROUND('C19-RetShares'!AI19-'C19-RetShares'!AJ19,3),"; %let ret8_",A194,"=",ROUND('C19-RetShares'!AJ19,3),"; %let retx",A194,"=",ROUND(TOTALS!AD80/1000000,3),";" )</f>
        <v>%let ret1_1974=0.218; %let ret2_1974=0.436; %let ret3_1974=0.145;  %let ret4_1974=0.164; %let ret5_1974=0.018; %let ret6_1974=0.013; %let ret7_1974=0.006; %let ret8_1974=0; %let retx1974=19237.45;</v>
      </c>
    </row>
    <row r="136" spans="1:8" x14ac:dyDescent="0.3">
      <c r="A136" s="655" t="str">
        <f>CONCATENATE("%let trint",'C10-Adj by Source'!A21,"=",ROUND('C22-Fiduciary'!N20,3),"; %let trdiv",'C10-Adj by Source'!A21,"=",ROUND('C22-Fiduciary'!O20,3),"; %let trcg",'C10-Adj by Source'!A21,"=",ROUND('C22-Fiduciary'!P20,3),"; %let troth",'C10-Adj by Source'!A21,"=",ROUND('C22-Fiduciary'!Q20,3),"; %let trstx",'C10-Adj by Source'!A21,"=",ROUND('C22-Fiduciary'!I20,3),"; %let trftx",'C10-Adj by Source'!A21,"=",ROUND('C22-Fiduciary'!L20,3),";" )</f>
        <v>%let trint1975=1664.649; %let trdiv1975=2036.409; %let trcg1975=1142.91; %let troth1975=1461.794; %let trstx1975=570.188; %let trftx1975=812.225;</v>
      </c>
      <c r="H136" s="1011" t="str">
        <f>CONCATENATE("%let ret1_",A195,"=",ROUND('C19-RetShares'!AD20/3,3),"; %let ret2_",A195,"=",ROUND('C19-RetShares'!AD20*2/3,3),"; %let ret3_",A195,"=",ROUND('C19-RetShares'!AE20-'C19-RetShares'!AF20,3),";  %let ret4_",A195,"=",ROUND('C19-RetShares'!AF20-'C19-RetShares'!AG20,3),"; %let ret5_",A195,"=",ROUND('C19-RetShares'!AG20-'C19-RetShares'!AH20,3),"; %let ret6_",A195,"=",ROUND('C19-RetShares'!AH20-'C19-RetShares'!AI20,3),"; %let ret7_",A195,"=",ROUND('C19-RetShares'!AI20-'C19-RetShares'!AJ20,3),"; %let ret8_",A195,"=",ROUND('C19-RetShares'!AJ20,3),"; %let retx",A195,"=",ROUND(TOTALS!AD81/1000000,3),";" )</f>
        <v>%let ret1_1975=0.221; %let ret2_1975=0.441; %let ret3_1975=0.149;  %let ret4_1975=0.159; %let ret5_1975=0.015; %let ret6_1975=0.01; %let ret7_1975=0.005; %let ret8_1975=0; %let retx1975=23650.031;</v>
      </c>
    </row>
    <row r="137" spans="1:8" x14ac:dyDescent="0.3">
      <c r="A137" s="655" t="str">
        <f>CONCATENATE("%let trint",'C10-Adj by Source'!A22,"=",ROUND('C22-Fiduciary'!N21,3),"; %let trdiv",'C10-Adj by Source'!A22,"=",ROUND('C22-Fiduciary'!O21,3),"; %let trcg",'C10-Adj by Source'!A22,"=",ROUND('C22-Fiduciary'!P21,3),"; %let troth",'C10-Adj by Source'!A22,"=",ROUND('C22-Fiduciary'!Q21,3),"; %let trstx",'C10-Adj by Source'!A22,"=",ROUND('C22-Fiduciary'!I21,3),"; %let trftx",'C10-Adj by Source'!A22,"=",ROUND('C22-Fiduciary'!L21,3),";" )</f>
        <v>%let trint1976=2048.768; %let trdiv1976=2178.936; %let trcg1976=1459.111; %let troth1976=1558.41; %let trstx1976=595.875; %let trftx1976=798.05;</v>
      </c>
      <c r="H137" s="1011" t="str">
        <f>CONCATENATE("%let ret1_",A196,"=",ROUND('C19-RetShares'!AD21/3,3),"; %let ret2_",A196,"=",ROUND('C19-RetShares'!AD21*2/3,3),"; %let ret3_",A196,"=",ROUND('C19-RetShares'!AE21-'C19-RetShares'!AF21,3),";  %let ret4_",A196,"=",ROUND('C19-RetShares'!AF21-'C19-RetShares'!AG21,3),"; %let ret5_",A196,"=",ROUND('C19-RetShares'!AG21-'C19-RetShares'!AH21,3),"; %let ret6_",A196,"=",ROUND('C19-RetShares'!AH21-'C19-RetShares'!AI21,3),"; %let ret7_",A196,"=",ROUND('C19-RetShares'!AI21-'C19-RetShares'!AJ21,3),"; %let ret8_",A196,"=",ROUND('C19-RetShares'!AJ21,3),"; %let retx",A196,"=",ROUND(TOTALS!AD82/1000000,3),";" )</f>
        <v>%let ret1_1976=0.224; %let ret2_1976=0.448; %let ret3_1976=0.146;  %let ret4_1976=0.154; %let ret5_1976=0.014; %let ret6_1976=0.01; %let ret7_1976=0.003; %let ret8_1976=0; %let retx1976=26663.787;</v>
      </c>
    </row>
    <row r="138" spans="1:8" x14ac:dyDescent="0.3">
      <c r="A138" s="655" t="str">
        <f>CONCATENATE("%let trint",'C10-Adj by Source'!A23,"=",ROUND('C22-Fiduciary'!N22,3),"; %let trdiv",'C10-Adj by Source'!A23,"=",ROUND('C22-Fiduciary'!O22,3),"; %let trcg",'C10-Adj by Source'!A23,"=",ROUND('C22-Fiduciary'!P22,3),"; %let troth",'C10-Adj by Source'!A23,"=",ROUND('C22-Fiduciary'!Q22,3),"; %let trstx",'C10-Adj by Source'!A23,"=",ROUND('C22-Fiduciary'!I22,3),"; %let trftx",'C10-Adj by Source'!A23,"=",ROUND('C22-Fiduciary'!L22,3),";" )</f>
        <v>%let trint1977=2432.886; %let trdiv1977=2321.462; %let trcg1977=1775.312; %let troth1977=1655.027; %let trstx1977=621.563; %let trftx1977=783.875;</v>
      </c>
      <c r="H138" s="1011" t="str">
        <f>CONCATENATE("%let ret1_",A197,"=",ROUND('C19-RetShares'!AD22/3,3),"; %let ret2_",A197,"=",ROUND('C19-RetShares'!AD22*2/3,3),"; %let ret3_",A197,"=",ROUND('C19-RetShares'!AE22-'C19-RetShares'!AF22,3),";  %let ret4_",A197,"=",ROUND('C19-RetShares'!AF22-'C19-RetShares'!AG22,3),"; %let ret5_",A197,"=",ROUND('C19-RetShares'!AG22-'C19-RetShares'!AH22,3),"; %let ret6_",A197,"=",ROUND('C19-RetShares'!AH22-'C19-RetShares'!AI22,3),"; %let ret7_",A197,"=",ROUND('C19-RetShares'!AI22-'C19-RetShares'!AJ22,3),"; %let ret8_",A197,"=",ROUND('C19-RetShares'!AJ22,3),"; %let retx",A197,"=",ROUND(TOTALS!AD83/1000000,3),";" )</f>
        <v>%let ret1_1977=0.223; %let ret2_1977=0.445; %let ret3_1977=0.148;  %let ret4_1977=0.153; %let ret5_1977=0.015; %let ret6_1977=0.012; %let ret7_1977=0.004; %let ret8_1977=0; %let retx1977=33202.544;</v>
      </c>
    </row>
    <row r="139" spans="1:8" x14ac:dyDescent="0.3">
      <c r="A139" s="655" t="str">
        <f>CONCATENATE("%let trint",'C10-Adj by Source'!A24,"=",ROUND('C22-Fiduciary'!N23,3),"; %let trdiv",'C10-Adj by Source'!A24,"=",ROUND('C22-Fiduciary'!O23,3),"; %let trcg",'C10-Adj by Source'!A24,"=",ROUND('C22-Fiduciary'!P23,3),"; %let troth",'C10-Adj by Source'!A24,"=",ROUND('C22-Fiduciary'!Q23,3),"; %let trstx",'C10-Adj by Source'!A24,"=",ROUND('C22-Fiduciary'!I23,3),"; %let trftx",'C10-Adj by Source'!A24,"=",ROUND('C22-Fiduciary'!L23,3),";" )</f>
        <v>%let trint1978=2817.005; %let trdiv1978=2463.989; %let trcg1978=2091.514; %let troth1978=1751.643; %let trstx1978=647.25; %let trftx1978=769.7;</v>
      </c>
      <c r="H139" s="1011" t="str">
        <f>CONCATENATE("%let ret1_",A198,"=",ROUND('C19-RetShares'!AD23/3,3),"; %let ret2_",A198,"=",ROUND('C19-RetShares'!AD23*2/3,3),"; %let ret3_",A198,"=",ROUND('C19-RetShares'!AE23-'C19-RetShares'!AF23,3),";  %let ret4_",A198,"=",ROUND('C19-RetShares'!AF23-'C19-RetShares'!AG23,3),"; %let ret5_",A198,"=",ROUND('C19-RetShares'!AG23-'C19-RetShares'!AH23,3),"; %let ret6_",A198,"=",ROUND('C19-RetShares'!AH23-'C19-RetShares'!AI23,3),"; %let ret7_",A198,"=",ROUND('C19-RetShares'!AI23-'C19-RetShares'!AJ23,3),"; %let ret8_",A198,"=",ROUND('C19-RetShares'!AJ23,3),"; %let retx",A198,"=",ROUND(TOTALS!AD84/1000000,3),";" )</f>
        <v>%let ret1_1978=0.222; %let ret2_1978=0.444; %let ret3_1978=0.147;  %let ret4_1978=0.152; %let ret5_1978=0.016; %let ret6_1978=0.014; %let ret7_1978=0.005; %let ret8_1978=0.001; %let retx1978=36565.196;</v>
      </c>
    </row>
    <row r="140" spans="1:8" x14ac:dyDescent="0.3">
      <c r="A140" s="655" t="str">
        <f>CONCATENATE("%let trint",'C10-Adj by Source'!A25,"=",ROUND('C22-Fiduciary'!N24,3),"; %let trdiv",'C10-Adj by Source'!A25,"=",ROUND('C22-Fiduciary'!O24,3),"; %let trcg",'C10-Adj by Source'!A25,"=",ROUND('C22-Fiduciary'!P24,3),"; %let troth",'C10-Adj by Source'!A25,"=",ROUND('C22-Fiduciary'!Q24,3),"; %let trstx",'C10-Adj by Source'!A25,"=",ROUND('C22-Fiduciary'!I24,3),"; %let trftx",'C10-Adj by Source'!A25,"=",ROUND('C22-Fiduciary'!L24,3),";" )</f>
        <v>%let trint1979=3201.123; %let trdiv1979=2606.516; %let trcg1979=2407.715; %let troth1979=1848.259; %let trstx1979=672.938; %let trftx1979=755.525;</v>
      </c>
      <c r="H140" s="1011" t="str">
        <f>CONCATENATE("%let ret1_",A199,"=",ROUND('C19-RetShares'!AD24/3,3),"; %let ret2_",A199,"=",ROUND('C19-RetShares'!AD24*2/3,3),"; %let ret3_",A199,"=",ROUND('C19-RetShares'!AE24-'C19-RetShares'!AF24,3),";  %let ret4_",A199,"=",ROUND('C19-RetShares'!AF24-'C19-RetShares'!AG24,3),"; %let ret5_",A199,"=",ROUND('C19-RetShares'!AG24-'C19-RetShares'!AH24,3),"; %let ret6_",A199,"=",ROUND('C19-RetShares'!AH24-'C19-RetShares'!AI24,3),"; %let ret7_",A199,"=",ROUND('C19-RetShares'!AI24-'C19-RetShares'!AJ24,3),"; %let ret8_",A199,"=",ROUND('C19-RetShares'!AJ24,3),"; %let retx",A199,"=",ROUND(TOTALS!AD85/1000000,3),";" )</f>
        <v>%let ret1_1979=0.218; %let ret2_1979=0.437; %let ret3_1979=0.149;  %let ret4_1979=0.155; %let ret5_1979=0.018; %let ret6_1979=0.016; %let ret7_1979=0.006; %let ret8_1979=0.001; %let retx1979=36957.183;</v>
      </c>
    </row>
    <row r="141" spans="1:8" x14ac:dyDescent="0.3">
      <c r="A141" s="655" t="str">
        <f>CONCATENATE("%let trint",'C10-Adj by Source'!A26,"=",ROUND('C22-Fiduciary'!N25,3),"; %let trdiv",'C10-Adj by Source'!A26,"=",ROUND('C22-Fiduciary'!O25,3),"; %let trcg",'C10-Adj by Source'!A26,"=",ROUND('C22-Fiduciary'!P25,3),"; %let troth",'C10-Adj by Source'!A26,"=",ROUND('C22-Fiduciary'!Q25,3),"; %let trstx",'C10-Adj by Source'!A26,"=",ROUND('C22-Fiduciary'!I25,3),"; %let trftx",'C10-Adj by Source'!A26,"=",ROUND('C22-Fiduciary'!L25,3),";" )</f>
        <v>%let trint1980=3585.242; %let trdiv1980=2749.042; %let trcg1980=2723.916; %let troth1980=1944.875; %let trstx1980=698.625; %let trftx1980=741.35;</v>
      </c>
      <c r="H141" s="1011" t="str">
        <f>CONCATENATE("%let ret1_",A200,"=",ROUND('C19-RetShares'!AD25/3,3),"; %let ret2_",A200,"=",ROUND('C19-RetShares'!AD25*2/3,3),"; %let ret3_",A200,"=",ROUND('C19-RetShares'!AE25-'C19-RetShares'!AF25,3),";  %let ret4_",A200,"=",ROUND('C19-RetShares'!AF25-'C19-RetShares'!AG25,3),"; %let ret5_",A200,"=",ROUND('C19-RetShares'!AG25-'C19-RetShares'!AH25,3),"; %let ret6_",A200,"=",ROUND('C19-RetShares'!AH25-'C19-RetShares'!AI25,3),"; %let ret7_",A200,"=",ROUND('C19-RetShares'!AI25-'C19-RetShares'!AJ25,3),"; %let ret8_",A200,"=",ROUND('C19-RetShares'!AJ25,3),"; %let retx",A200,"=",ROUND(TOTALS!AD86/1000000,3),";" )</f>
        <v>%let ret1_1980=0.218; %let ret2_1980=0.435; %let ret3_1980=0.149;  %let ret4_1980=0.155; %let ret5_1980=0.02; %let ret6_1980=0.017; %let ret7_1980=0.006; %let ret8_1980=0.001; %let retx1980=42848.291;</v>
      </c>
    </row>
    <row r="142" spans="1:8" x14ac:dyDescent="0.3">
      <c r="A142" s="655" t="str">
        <f>CONCATENATE("%let trint",'C10-Adj by Source'!A27,"=",ROUND('C22-Fiduciary'!N26,3),"; %let trdiv",'C10-Adj by Source'!A27,"=",ROUND('C22-Fiduciary'!O26,3),"; %let trcg",'C10-Adj by Source'!A27,"=",ROUND('C22-Fiduciary'!P26,3),"; %let troth",'C10-Adj by Source'!A27,"=",ROUND('C22-Fiduciary'!Q26,3),"; %let trstx",'C10-Adj by Source'!A27,"=",ROUND('C22-Fiduciary'!I26,3),"; %let trftx",'C10-Adj by Source'!A27,"=",ROUND('C22-Fiduciary'!L26,3),";" )</f>
        <v>%let trint1981=3969.36; %let trdiv1981=2891.569; %let trcg1981=3040.118; %let troth1981=2041.491; %let trstx1981=724.313; %let trftx1981=727.175;</v>
      </c>
      <c r="H142" s="1011" t="str">
        <f>CONCATENATE("%let ret1_",A201,"=",ROUND('C19-RetShares'!AD26/3,3),"; %let ret2_",A201,"=",ROUND('C19-RetShares'!AD26*2/3,3),"; %let ret3_",A201,"=",ROUND('C19-RetShares'!AE26-'C19-RetShares'!AF26,3),";  %let ret4_",A201,"=",ROUND('C19-RetShares'!AF26-'C19-RetShares'!AG26,3),"; %let ret5_",A201,"=",ROUND('C19-RetShares'!AG26-'C19-RetShares'!AH26,3),"; %let ret6_",A201,"=",ROUND('C19-RetShares'!AH26-'C19-RetShares'!AI26,3),"; %let ret7_",A201,"=",ROUND('C19-RetShares'!AI26-'C19-RetShares'!AJ26,3),"; %let ret8_",A201,"=",ROUND('C19-RetShares'!AJ26,3),"; %let retx",A201,"=",ROUND(TOTALS!AD87/1000000,3),";" )</f>
        <v>%let ret1_1981=0.21; %let ret2_1981=0.42; %let ret3_1981=0.152;  %let ret4_1981=0.17; %let ret5_1981=0.021; %let ret6_1981=0.019; %let ret7_1981=0.006; %let ret8_1981=0.001; %let retx1981=51452.442;</v>
      </c>
    </row>
    <row r="143" spans="1:8" x14ac:dyDescent="0.3">
      <c r="A143" s="655" t="str">
        <f>CONCATENATE("%let trint",'C10-Adj by Source'!A28,"=",ROUND('C22-Fiduciary'!N27,3),"; %let trdiv",'C10-Adj by Source'!A28,"=",ROUND('C22-Fiduciary'!O27,3),"; %let trcg",'C10-Adj by Source'!A28,"=",ROUND('C22-Fiduciary'!P27,3),"; %let troth",'C10-Adj by Source'!A28,"=",ROUND('C22-Fiduciary'!Q27,3),"; %let trstx",'C10-Adj by Source'!A28,"=",ROUND('C22-Fiduciary'!I27,3),"; %let trftx",'C10-Adj by Source'!A28,"=",ROUND('C22-Fiduciary'!L27,3),";" )</f>
        <v>%let trint1982=4353.478; %let trdiv1982=3034.096; %let trcg1982=3356.319; %let troth1982=2138.107; %let trstx1982=750; %let trftx1982=713;</v>
      </c>
      <c r="H143" s="1011" t="str">
        <f>CONCATENATE("%let ret1_",A202,"=",ROUND('C19-RetShares'!AD27/3,3),"; %let ret2_",A202,"=",ROUND('C19-RetShares'!AD27*2/3,3),"; %let ret3_",A202,"=",ROUND('C19-RetShares'!AE27-'C19-RetShares'!AF27,3),";  %let ret4_",A202,"=",ROUND('C19-RetShares'!AF27-'C19-RetShares'!AG27,3),"; %let ret5_",A202,"=",ROUND('C19-RetShares'!AG27-'C19-RetShares'!AH27,3),"; %let ret6_",A202,"=",ROUND('C19-RetShares'!AH27-'C19-RetShares'!AI27,3),"; %let ret7_",A202,"=",ROUND('C19-RetShares'!AI27-'C19-RetShares'!AJ27,3),"; %let ret8_",A202,"=",ROUND('C19-RetShares'!AJ27,3),"; %let retx",A202,"=",ROUND(TOTALS!AD88/1000000,3),";" )</f>
        <v>%let ret1_1982=0.207; %let ret2_1982=0.415; %let ret3_1982=0.145;  %let ret4_1982=0.175; %let ret5_1982=0.025; %let ret6_1982=0.021; %let ret7_1982=0.012; %let ret8_1982=0.001; %let retx1982=62605.65;</v>
      </c>
    </row>
    <row r="144" spans="1:8" x14ac:dyDescent="0.3">
      <c r="A144" s="655" t="str">
        <f>CONCATENATE("%let trint",'C10-Adj by Source'!A29,"=",ROUND('C22-Fiduciary'!N28,3),"; %let trdiv",'C10-Adj by Source'!A29,"=",ROUND('C22-Fiduciary'!O28,3),"; %let trcg",'C10-Adj by Source'!A29,"=",ROUND('C22-Fiduciary'!P28,3),"; %let troth",'C10-Adj by Source'!A29,"=",ROUND('C22-Fiduciary'!Q28,3),"; %let trstx",'C10-Adj by Source'!A29,"=",ROUND('C22-Fiduciary'!I28,3),"; %let trftx",'C10-Adj by Source'!A29,"=",ROUND('C22-Fiduciary'!L28,3),";" )</f>
        <v>%let trint1983=4560.333; %let trdiv1983=3421.265; %let trcg1983=4792.257; %let troth1983=2452.392; %let trstx1983=827.523; %let trftx1983=1479.242;</v>
      </c>
      <c r="H144" s="1011" t="str">
        <f>CONCATENATE("%let ret1_",A203,"=",ROUND('C19-RetShares'!AD28/3,3),"; %let ret2_",A203,"=",ROUND('C19-RetShares'!AD28*2/3,3),"; %let ret3_",A203,"=",ROUND('C19-RetShares'!AE28-'C19-RetShares'!AF28,3),";  %let ret4_",A203,"=",ROUND('C19-RetShares'!AF28-'C19-RetShares'!AG28,3),"; %let ret5_",A203,"=",ROUND('C19-RetShares'!AG28-'C19-RetShares'!AH28,3),"; %let ret6_",A203,"=",ROUND('C19-RetShares'!AH28-'C19-RetShares'!AI28,3),"; %let ret7_",A203,"=",ROUND('C19-RetShares'!AI28-'C19-RetShares'!AJ28,3),"; %let ret8_",A203,"=",ROUND('C19-RetShares'!AJ28,3),"; %let retx",A203,"=",ROUND(TOTALS!AD89/1000000,3),";" )</f>
        <v>%let ret1_1983=0.208; %let ret2_1983=0.416; %let ret3_1983=0.142;  %let ret4_1983=0.165; %let ret5_1983=0.025; %let ret6_1983=0.029; %let ret7_1983=0.012; %let ret8_1983=0.002; %let retx1983=72961.753;</v>
      </c>
    </row>
    <row r="145" spans="1:8" x14ac:dyDescent="0.3">
      <c r="A145" s="655" t="str">
        <f>CONCATENATE("%let trint",'C10-Adj by Source'!A30,"=",ROUND('C22-Fiduciary'!N29,3),"; %let trdiv",'C10-Adj by Source'!A30,"=",ROUND('C22-Fiduciary'!O29,3),"; %let trcg",'C10-Adj by Source'!A30,"=",ROUND('C22-Fiduciary'!P29,3),"; %let troth",'C10-Adj by Source'!A30,"=",ROUND('C22-Fiduciary'!Q29,3),"; %let trstx",'C10-Adj by Source'!A30,"=",ROUND('C22-Fiduciary'!I29,3),"; %let trftx",'C10-Adj by Source'!A30,"=",ROUND('C22-Fiduciary'!L29,3),";" )</f>
        <v>%let trint1984=4767.187; %let trdiv1984=3808.434; %let trcg1984=6228.195; %let troth1984=2766.677; %let trstx1984=905.047; %let trftx1984=2245.484;</v>
      </c>
      <c r="H145" s="1011" t="str">
        <f>CONCATENATE("%let ret1_",A204,"=",ROUND('C19-RetShares'!AD29/3,3),"; %let ret2_",A204,"=",ROUND('C19-RetShares'!AD29*2/3,3),"; %let ret3_",A204,"=",ROUND('C19-RetShares'!AE29-'C19-RetShares'!AF29,3),";  %let ret4_",A204,"=",ROUND('C19-RetShares'!AF29-'C19-RetShares'!AG29,3),"; %let ret5_",A204,"=",ROUND('C19-RetShares'!AG29-'C19-RetShares'!AH29,3),"; %let ret6_",A204,"=",ROUND('C19-RetShares'!AH29-'C19-RetShares'!AI29,3),"; %let ret7_",A204,"=",ROUND('C19-RetShares'!AI29-'C19-RetShares'!AJ29,3),"; %let ret8_",A204,"=",ROUND('C19-RetShares'!AJ29,3),"; %let retx",A204,"=",ROUND(TOTALS!AD90/1000000,3),";" )</f>
        <v>%let ret1_1984=0.197; %let ret2_1984=0.393; %let ret3_1984=0.151;  %let ret4_1984=0.174; %let ret5_1984=0.027; %let ret6_1984=0.036; %let ret7_1984=0.018; %let ret8_1984=0.004; %let retx1984=94197.063;</v>
      </c>
    </row>
    <row r="146" spans="1:8" x14ac:dyDescent="0.3">
      <c r="A146" s="655" t="str">
        <f>CONCATENATE("%let trint",'C10-Adj by Source'!A31,"=",ROUND('C22-Fiduciary'!N30,3),"; %let trdiv",'C10-Adj by Source'!A31,"=",ROUND('C22-Fiduciary'!O30,3),"; %let trcg",'C10-Adj by Source'!A31,"=",ROUND('C22-Fiduciary'!P30,3),"; %let troth",'C10-Adj by Source'!A31,"=",ROUND('C22-Fiduciary'!Q30,3),"; %let trstx",'C10-Adj by Source'!A31,"=",ROUND('C22-Fiduciary'!I30,3),"; %let trftx",'C10-Adj by Source'!A31,"=",ROUND('C22-Fiduciary'!L30,3),";" )</f>
        <v>%let trint1985=4974.041; %let trdiv1985=4195.603; %let trcg1985=7664.133; %let troth1985=3080.962; %let trstx1985=982.57; %let trftx1985=3011.727;</v>
      </c>
      <c r="H146" s="1011" t="str">
        <f>CONCATENATE("%let ret1_",A205,"=",ROUND('C19-RetShares'!AD30/3,3),"; %let ret2_",A205,"=",ROUND('C19-RetShares'!AD30*2/3,3),"; %let ret3_",A205,"=",ROUND('C19-RetShares'!AE30-'C19-RetShares'!AF30,3),";  %let ret4_",A205,"=",ROUND('C19-RetShares'!AF30-'C19-RetShares'!AG30,3),"; %let ret5_",A205,"=",ROUND('C19-RetShares'!AG30-'C19-RetShares'!AH30,3),"; %let ret6_",A205,"=",ROUND('C19-RetShares'!AH30-'C19-RetShares'!AI30,3),"; %let ret7_",A205,"=",ROUND('C19-RetShares'!AI30-'C19-RetShares'!AJ30,3),"; %let ret8_",A205,"=",ROUND('C19-RetShares'!AJ30,3),"; %let retx",A205,"=",ROUND(TOTALS!AD91/1000000,3),";" )</f>
        <v>%let ret1_1985=0.202; %let ret2_1985=0.403; %let ret3_1985=0.145;  %let ret4_1985=0.167; %let ret5_1985=0.029; %let ret6_1985=0.035; %let ret7_1985=0.015; %let ret8_1985=0.005; %let retx1985=94327.759;</v>
      </c>
    </row>
    <row r="147" spans="1:8" x14ac:dyDescent="0.3">
      <c r="A147" s="655" t="str">
        <f>CONCATENATE("%let trint",'C10-Adj by Source'!A32,"=",ROUND('C22-Fiduciary'!N31,3),"; %let trdiv",'C10-Adj by Source'!A32,"=",ROUND('C22-Fiduciary'!O31,3),"; %let trcg",'C10-Adj by Source'!A32,"=",ROUND('C22-Fiduciary'!P31,3),"; %let troth",'C10-Adj by Source'!A32,"=",ROUND('C22-Fiduciary'!Q31,3),"; %let trstx",'C10-Adj by Source'!A32,"=",ROUND('C22-Fiduciary'!I31,3),"; %let trftx",'C10-Adj by Source'!A32,"=",ROUND('C22-Fiduciary'!L31,3),";" )</f>
        <v>%let trint1986=5180.895; %let trdiv1986=4582.773; %let trcg1986=9100.07; %let troth1986=3395.246; %let trstx1986=1060.093; %let trftx1986=3777.969;</v>
      </c>
      <c r="H147" s="1011" t="str">
        <f>CONCATENATE("%let ret1_",A206,"=",ROUND('C19-RetShares'!AD31/3,3),"; %let ret2_",A206,"=",ROUND('C19-RetShares'!AD31*2/3,3),"; %let ret3_",A206,"=",ROUND('C19-RetShares'!AE31-'C19-RetShares'!AF31,3),";  %let ret4_",A206,"=",ROUND('C19-RetShares'!AF31-'C19-RetShares'!AG31,3),"; %let ret5_",A206,"=",ROUND('C19-RetShares'!AG31-'C19-RetShares'!AH31,3),"; %let ret6_",A206,"=",ROUND('C19-RetShares'!AH31-'C19-RetShares'!AI31,3),"; %let ret7_",A206,"=",ROUND('C19-RetShares'!AI31-'C19-RetShares'!AJ31,3),"; %let ret8_",A206,"=",ROUND('C19-RetShares'!AJ31,3),"; %let retx",A206,"=",ROUND(TOTALS!AD92/1000000,3),";" )</f>
        <v>%let ret1_1986=0.197; %let ret2_1986=0.394; %let ret3_1986=0.143;  %let ret4_1986=0.164; %let ret5_1986=0.032; %let ret6_1986=0.042; %let ret7_1986=0.022; %let ret8_1986=0.005; %let retx1986=106949.358;</v>
      </c>
    </row>
    <row r="148" spans="1:8" x14ac:dyDescent="0.3">
      <c r="A148" s="655" t="str">
        <f>CONCATENATE("%let trint",'C10-Adj by Source'!A33,"=",ROUND('C22-Fiduciary'!N32,3),"; %let trdiv",'C10-Adj by Source'!A33,"=",ROUND('C22-Fiduciary'!O32,3),"; %let trcg",'C10-Adj by Source'!A33,"=",ROUND('C22-Fiduciary'!P32,3),"; %let troth",'C10-Adj by Source'!A33,"=",ROUND('C22-Fiduciary'!Q32,3),"; %let trstx",'C10-Adj by Source'!A33,"=",ROUND('C22-Fiduciary'!I32,3),"; %let trftx",'C10-Adj by Source'!A33,"=",ROUND('C22-Fiduciary'!L32,3),";" )</f>
        <v>%let trint1987=5387.749; %let trdiv1987=4969.942; %let trcg1987=10536.008; %let troth1987=3709.531; %let trstx1987=1137.617; %let trftx1987=4544.211;</v>
      </c>
      <c r="H148" s="1011" t="str">
        <f>CONCATENATE("%let ret1_",A207,"=",ROUND('C19-RetShares'!AD32/3,3),"; %let ret2_",A207,"=",ROUND('C19-RetShares'!AD32*2/3,3),"; %let ret3_",A207,"=",ROUND('C19-RetShares'!AE32-'C19-RetShares'!AF32,3),";  %let ret4_",A207,"=",ROUND('C19-RetShares'!AF32-'C19-RetShares'!AG32,3),"; %let ret5_",A207,"=",ROUND('C19-RetShares'!AG32-'C19-RetShares'!AH32,3),"; %let ret6_",A207,"=",ROUND('C19-RetShares'!AH32-'C19-RetShares'!AI32,3),"; %let ret7_",A207,"=",ROUND('C19-RetShares'!AI32-'C19-RetShares'!AJ32,3),"; %let ret8_",A207,"=",ROUND('C19-RetShares'!AJ32,3),"; %let retx",A207,"=",ROUND(TOTALS!AD93/1000000,3),";" )</f>
        <v>%let ret1_1987=0.191; %let ret2_1987=0.381; %let ret3_1987=0.134;  %let ret4_1987=0.166; %let ret5_1987=0.037; %let ret6_1987=0.051; %let ret7_1987=0.034; %let ret8_1987=0.006; %let retx1987=123799.102;</v>
      </c>
    </row>
    <row r="149" spans="1:8" x14ac:dyDescent="0.3">
      <c r="A149" s="655" t="str">
        <f>CONCATENATE("%let trint",'C10-Adj by Source'!A34,"=",ROUND('C22-Fiduciary'!N33,3),"; %let trdiv",'C10-Adj by Source'!A34,"=",ROUND('C22-Fiduciary'!O33,3),"; %let trcg",'C10-Adj by Source'!A34,"=",ROUND('C22-Fiduciary'!P33,3),"; %let troth",'C10-Adj by Source'!A34,"=",ROUND('C22-Fiduciary'!Q33,3),"; %let trstx",'C10-Adj by Source'!A34,"=",ROUND('C22-Fiduciary'!I33,3),"; %let trftx",'C10-Adj by Source'!A34,"=",ROUND('C22-Fiduciary'!L33,3),";" )</f>
        <v>%let trint1988=5594.604; %let trdiv1988=5357.111; %let trcg1988=11971.946; %let troth1988=4023.816; %let trstx1988=1215.14; %let trftx1988=5310.453;</v>
      </c>
      <c r="H149" s="1011" t="str">
        <f>CONCATENATE("%let ret1_",A208,"=",ROUND('C19-RetShares'!AD33/3,3),"; %let ret2_",A208,"=",ROUND('C19-RetShares'!AD33*2/3,3),"; %let ret3_",A208,"=",ROUND('C19-RetShares'!AE33-'C19-RetShares'!AF33,3),";  %let ret4_",A208,"=",ROUND('C19-RetShares'!AF33-'C19-RetShares'!AG33,3),"; %let ret5_",A208,"=",ROUND('C19-RetShares'!AG33-'C19-RetShares'!AH33,3),"; %let ret6_",A208,"=",ROUND('C19-RetShares'!AH33-'C19-RetShares'!AI33,3),"; %let ret7_",A208,"=",ROUND('C19-RetShares'!AI33-'C19-RetShares'!AJ33,3),"; %let ret8_",A208,"=",ROUND('C19-RetShares'!AJ33,3),"; %let retx",A208,"=",ROUND(TOTALS!AD94/1000000,3),";" )</f>
        <v>%let ret1_1988=0.191; %let ret2_1988=0.381; %let ret3_1988=0.135;  %let ret4_1988=0.169; %let ret5_1988=0.033; %let ret6_1988=0.049; %let ret7_1988=0.032; %let ret8_1988=0.011; %let retx1988=148555.85;</v>
      </c>
    </row>
    <row r="150" spans="1:8" x14ac:dyDescent="0.3">
      <c r="A150" s="655" t="str">
        <f>CONCATENATE("%let trint",'C10-Adj by Source'!A35,"=",ROUND('C22-Fiduciary'!N34,3),"; %let trdiv",'C10-Adj by Source'!A35,"=",ROUND('C22-Fiduciary'!O34,3),"; %let trcg",'C10-Adj by Source'!A35,"=",ROUND('C22-Fiduciary'!P34,3),"; %let troth",'C10-Adj by Source'!A35,"=",ROUND('C22-Fiduciary'!Q34,3),"; %let trstx",'C10-Adj by Source'!A35,"=",ROUND('C22-Fiduciary'!I34,3),"; %let trftx",'C10-Adj by Source'!A35,"=",ROUND('C22-Fiduciary'!L34,3),";" )</f>
        <v>%let trint1989=5801.458; %let trdiv1989=5744.281; %let trcg1989=13407.884; %let troth1989=4338.101; %let trstx1989=1292.663; %let trftx1989=6076.695;</v>
      </c>
      <c r="H150" s="1011" t="str">
        <f>CONCATENATE("%let ret1_",A209,"=",ROUND('C19-RetShares'!AD34/3,3),"; %let ret2_",A209,"=",ROUND('C19-RetShares'!AD34*2/3,3),"; %let ret3_",A209,"=",ROUND('C19-RetShares'!AE34-'C19-RetShares'!AF34,3),";  %let ret4_",A209,"=",ROUND('C19-RetShares'!AF34-'C19-RetShares'!AG34,3),"; %let ret5_",A209,"=",ROUND('C19-RetShares'!AG34-'C19-RetShares'!AH34,3),"; %let ret6_",A209,"=",ROUND('C19-RetShares'!AH34-'C19-RetShares'!AI34,3),"; %let ret7_",A209,"=",ROUND('C19-RetShares'!AI34-'C19-RetShares'!AJ34,3),"; %let ret8_",A209,"=",ROUND('C19-RetShares'!AJ34,3),"; %let retx",A209,"=",ROUND(TOTALS!AD95/1000000,3),";" )</f>
        <v>%let ret1_1989=0.19; %let ret2_1989=0.379; %let ret3_1989=0.13;  %let ret4_1989=0.162; %let ret5_1989=0.037; %let ret6_1989=0.053; %let ret7_1989=0.041; %let ret8_1989=0.008; %let retx1989=160202.296;</v>
      </c>
    </row>
    <row r="151" spans="1:8" x14ac:dyDescent="0.3">
      <c r="A151" s="655" t="str">
        <f>CONCATENATE("%let trint",'C10-Adj by Source'!A36,"=",ROUND('C22-Fiduciary'!N35,3),"; %let trdiv",'C10-Adj by Source'!A36,"=",ROUND('C22-Fiduciary'!O35,3),"; %let trcg",'C10-Adj by Source'!A36,"=",ROUND('C22-Fiduciary'!P35,3),"; %let troth",'C10-Adj by Source'!A36,"=",ROUND('C22-Fiduciary'!Q35,3),"; %let trstx",'C10-Adj by Source'!A36,"=",ROUND('C22-Fiduciary'!I35,3),"; %let trftx",'C10-Adj by Source'!A36,"=",ROUND('C22-Fiduciary'!L35,3),";" )</f>
        <v>%let trint1990=6008.312; %let trdiv1990=6131.45; %let trcg1990=14843.822; %let troth1990=4652.386; %let trstx1990=1370.187; %let trftx1990=6842.938;</v>
      </c>
      <c r="H151" s="1011" t="str">
        <f>CONCATENATE("%let ret1_",A210,"=",ROUND('C19-RetShares'!AD35/3,3),"; %let ret2_",A210,"=",ROUND('C19-RetShares'!AD35*2/3,3),"; %let ret3_",A210,"=",ROUND('C19-RetShares'!AE35-'C19-RetShares'!AF35,3),";  %let ret4_",A210,"=",ROUND('C19-RetShares'!AF35-'C19-RetShares'!AG35,3),"; %let ret5_",A210,"=",ROUND('C19-RetShares'!AG35-'C19-RetShares'!AH35,3),"; %let ret6_",A210,"=",ROUND('C19-RetShares'!AH35-'C19-RetShares'!AI35,3),"; %let ret7_",A210,"=",ROUND('C19-RetShares'!AI35-'C19-RetShares'!AJ35,3),"; %let ret8_",A210,"=",ROUND('C19-RetShares'!AJ35,3),"; %let retx",A210,"=",ROUND(TOTALS!AD96/1000000,3),";" )</f>
        <v>%let ret1_1990=0.188; %let ret2_1990=0.376; %let ret3_1990=0.129;  %let ret4_1990=0.165; %let ret5_1990=0.037; %let ret6_1990=0.055; %let ret7_1990=0.041; %let ret8_1990=0.009; %let retx1990=175622.875;</v>
      </c>
    </row>
    <row r="152" spans="1:8" x14ac:dyDescent="0.3">
      <c r="A152" s="655" t="str">
        <f>CONCATENATE("%let trint",'C10-Adj by Source'!A37,"=",ROUND('C22-Fiduciary'!N36,3),"; %let trdiv",'C10-Adj by Source'!A37,"=",ROUND('C22-Fiduciary'!O36,3),"; %let trcg",'C10-Adj by Source'!A37,"=",ROUND('C22-Fiduciary'!P36,3),"; %let troth",'C10-Adj by Source'!A37,"=",ROUND('C22-Fiduciary'!Q36,3),"; %let trstx",'C10-Adj by Source'!A37,"=",ROUND('C22-Fiduciary'!I36,3),"; %let trftx",'C10-Adj by Source'!A37,"=",ROUND('C22-Fiduciary'!L36,3),";" )</f>
        <v>%let trint1991=6215.166; %let trdiv1991=6518.619; %let trcg1991=16279.76; %let troth1991=4966.67; %let trstx1991=1447.71; %let trftx1991=7609.18;</v>
      </c>
      <c r="H152" s="1011" t="str">
        <f>CONCATENATE("%let ret1_",A211,"=",ROUND('C19-RetShares'!AD36/3,3),"; %let ret2_",A211,"=",ROUND('C19-RetShares'!AD36*2/3,3),"; %let ret3_",A211,"=",ROUND('C19-RetShares'!AE36-'C19-RetShares'!AF36,3),";  %let ret4_",A211,"=",ROUND('C19-RetShares'!AF36-'C19-RetShares'!AG36,3),"; %let ret5_",A211,"=",ROUND('C19-RetShares'!AG36-'C19-RetShares'!AH36,3),"; %let ret6_",A211,"=",ROUND('C19-RetShares'!AH36-'C19-RetShares'!AI36,3),"; %let ret7_",A211,"=",ROUND('C19-RetShares'!AI36-'C19-RetShares'!AJ36,3),"; %let ret8_",A211,"=",ROUND('C19-RetShares'!AJ36,3),"; %let retx",A211,"=",ROUND(TOTALS!AD97/1000000,3),";" )</f>
        <v>%let ret1_1991=0.189; %let ret2_1991=0.377; %let ret3_1991=0.129;  %let ret4_1991=0.174; %let ret5_1991=0.042; %let ret6_1991=0.053; %let ret7_1991=0.03; %let ret8_1991=0.006; %let retx1991=195435.833;</v>
      </c>
    </row>
    <row r="153" spans="1:8" x14ac:dyDescent="0.3">
      <c r="A153" s="655" t="str">
        <f>CONCATENATE("%let trint",'C10-Adj by Source'!A38,"=",ROUND('C22-Fiduciary'!N37,3),"; %let trdiv",'C10-Adj by Source'!A38,"=",ROUND('C22-Fiduciary'!O37,3),"; %let trcg",'C10-Adj by Source'!A38,"=",ROUND('C22-Fiduciary'!P37,3),"; %let troth",'C10-Adj by Source'!A38,"=",ROUND('C22-Fiduciary'!Q37,3),"; %let trstx",'C10-Adj by Source'!A38,"=",ROUND('C22-Fiduciary'!I37,3),"; %let trftx",'C10-Adj by Source'!A38,"=",ROUND('C22-Fiduciary'!L37,3),";" )</f>
        <v>%let trint1992=6422.02; %let trdiv1992=6905.789; %let trcg1992=17715.698; %let troth1992=5280.955; %let trstx1992=1525.233; %let trftx1992=8375.422;</v>
      </c>
      <c r="H153" s="1011" t="str">
        <f>CONCATENATE("%let ret1_",A212,"=",ROUND('C19-RetShares'!AD37/3,3),"; %let ret2_",A212,"=",ROUND('C19-RetShares'!AD37*2/3,3),"; %let ret3_",A212,"=",ROUND('C19-RetShares'!AE37-'C19-RetShares'!AF37,3),";  %let ret4_",A212,"=",ROUND('C19-RetShares'!AF37-'C19-RetShares'!AG37,3),"; %let ret5_",A212,"=",ROUND('C19-RetShares'!AG37-'C19-RetShares'!AH37,3),"; %let ret6_",A212,"=",ROUND('C19-RetShares'!AH37-'C19-RetShares'!AI37,3),"; %let ret7_",A212,"=",ROUND('C19-RetShares'!AI37-'C19-RetShares'!AJ37,3),"; %let ret8_",A212,"=",ROUND('C19-RetShares'!AJ37,3),"; %let retx",A212,"=",ROUND(TOTALS!AD98/1000000,3),";" )</f>
        <v>%let ret1_1992=0.184; %let ret2_1992=0.368; %let ret3_1992=0.124;  %let ret4_1992=0.178; %let ret5_1992=0.043; %let ret6_1992=0.066; %let ret7_1992=0.03; %let ret8_1992=0.007; %let retx1992=211144.46;</v>
      </c>
    </row>
    <row r="154" spans="1:8" x14ac:dyDescent="0.3">
      <c r="A154" s="655" t="str">
        <f>CONCATENATE("%let trint",'C10-Adj by Source'!A39,"=",ROUND('C22-Fiduciary'!N38,3),"; %let trdiv",'C10-Adj by Source'!A39,"=",ROUND('C22-Fiduciary'!O38,3),"; %let trcg",'C10-Adj by Source'!A39,"=",ROUND('C22-Fiduciary'!P38,3),"; %let troth",'C10-Adj by Source'!A39,"=",ROUND('C22-Fiduciary'!Q38,3),"; %let trstx",'C10-Adj by Source'!A39,"=",ROUND('C22-Fiduciary'!I38,3),"; %let trftx",'C10-Adj by Source'!A39,"=",ROUND('C22-Fiduciary'!L38,3),";" )</f>
        <v>%let trint1993=6628.875; %let trdiv1993=7292.958; %let trcg1993=19151.636; %let troth1993=5595.24; %let trstx1993=1602.757; %let trftx1993=9141.664;</v>
      </c>
      <c r="H154" s="1011" t="str">
        <f>CONCATENATE("%let ret1_",A213,"=",ROUND('C19-RetShares'!AD38/3,3),"; %let ret2_",A213,"=",ROUND('C19-RetShares'!AD38*2/3,3),"; %let ret3_",A213,"=",ROUND('C19-RetShares'!AE38-'C19-RetShares'!AF38,3),";  %let ret4_",A213,"=",ROUND('C19-RetShares'!AF38-'C19-RetShares'!AG38,3),"; %let ret5_",A213,"=",ROUND('C19-RetShares'!AG38-'C19-RetShares'!AH38,3),"; %let ret6_",A213,"=",ROUND('C19-RetShares'!AH38-'C19-RetShares'!AI38,3),"; %let ret7_",A213,"=",ROUND('C19-RetShares'!AI38-'C19-RetShares'!AJ38,3),"; %let ret8_",A213,"=",ROUND('C19-RetShares'!AJ38,3),"; %let retx",A213,"=",ROUND(TOTALS!AD99/1000000,3),";" )</f>
        <v>%let ret1_1993=0.185; %let ret2_1993=0.371; %let ret3_1993=0.129;  %let ret4_1993=0.171; %let ret5_1993=0.041; %let ret6_1993=0.064; %let ret7_1993=0.028; %let ret8_1993=0.011; %let retx1993=219397.063;</v>
      </c>
    </row>
    <row r="155" spans="1:8" x14ac:dyDescent="0.3">
      <c r="A155" s="655" t="str">
        <f>CONCATENATE("%let trint",'C10-Adj by Source'!A40,"=",ROUND('C22-Fiduciary'!N39,3),"; %let trdiv",'C10-Adj by Source'!A40,"=",ROUND('C22-Fiduciary'!O39,3),"; %let trcg",'C10-Adj by Source'!A40,"=",ROUND('C22-Fiduciary'!P39,3),"; %let troth",'C10-Adj by Source'!A40,"=",ROUND('C22-Fiduciary'!Q39,3),"; %let trstx",'C10-Adj by Source'!A40,"=",ROUND('C22-Fiduciary'!I39,3),"; %let trftx",'C10-Adj by Source'!A40,"=",ROUND('C22-Fiduciary'!L39,3),";" )</f>
        <v>%let trint1994=6835.729; %let trdiv1994=7680.127; %let trcg1994=20587.574; %let troth1994=5909.525; %let trstx1994=1680.28; %let trftx1994=9907.906;</v>
      </c>
      <c r="H155" s="1011" t="str">
        <f>CONCATENATE("%let ret1_",A214,"=",ROUND('C19-RetShares'!AD39/3,3),"; %let ret2_",A214,"=",ROUND('C19-RetShares'!AD39*2/3,3),"; %let ret3_",A214,"=",ROUND('C19-RetShares'!AE39-'C19-RetShares'!AF39,3),";  %let ret4_",A214,"=",ROUND('C19-RetShares'!AF39-'C19-RetShares'!AG39,3),"; %let ret5_",A214,"=",ROUND('C19-RetShares'!AG39-'C19-RetShares'!AH39,3),"; %let ret6_",A214,"=",ROUND('C19-RetShares'!AH39-'C19-RetShares'!AI39,3),"; %let ret7_",A214,"=",ROUND('C19-RetShares'!AI39-'C19-RetShares'!AJ39,3),"; %let ret8_",A214,"=",ROUND('C19-RetShares'!AJ39,3),"; %let retx",A214,"=",ROUND(TOTALS!AD100/1000000,3),";" )</f>
        <v>%let ret1_1994=0.184; %let ret2_1994=0.369; %let ret3_1994=0.13;  %let ret4_1994=0.182; %let ret5_1994=0.041; %let ret6_1994=0.063; %let ret7_1994=0.026; %let ret8_1994=0.005; %let retx1994=236779.644;</v>
      </c>
    </row>
    <row r="156" spans="1:8" x14ac:dyDescent="0.3">
      <c r="A156" s="655" t="str">
        <f>CONCATENATE("%let trint",'C10-Adj by Source'!A41,"=",ROUND('C22-Fiduciary'!N40,3),"; %let trdiv",'C10-Adj by Source'!A41,"=",ROUND('C22-Fiduciary'!O40,3),"; %let trcg",'C10-Adj by Source'!A41,"=",ROUND('C22-Fiduciary'!P40,3),"; %let troth",'C10-Adj by Source'!A41,"=",ROUND('C22-Fiduciary'!Q40,3),"; %let trstx",'C10-Adj by Source'!A41,"=",ROUND('C22-Fiduciary'!I40,3),"; %let trftx",'C10-Adj by Source'!A41,"=",ROUND('C22-Fiduciary'!L40,3),";" )</f>
        <v>%let trint1995=7042.583; %let trdiv1995=8067.296; %let trcg1995=22023.511; %let troth1995=6223.81; %let trstx1995=1757.803; %let trftx1995=10674.149;</v>
      </c>
      <c r="H156" s="1011" t="str">
        <f>CONCATENATE("%let ret1_",A215,"=",ROUND('C19-RetShares'!AD40/3,3),"; %let ret2_",A215,"=",ROUND('C19-RetShares'!AD40*2/3,3),"; %let ret3_",A215,"=",ROUND('C19-RetShares'!AE40-'C19-RetShares'!AF40,3),";  %let ret4_",A215,"=",ROUND('C19-RetShares'!AF40-'C19-RetShares'!AG40,3),"; %let ret5_",A215,"=",ROUND('C19-RetShares'!AG40-'C19-RetShares'!AH40,3),"; %let ret6_",A215,"=",ROUND('C19-RetShares'!AH40-'C19-RetShares'!AI40,3),"; %let ret7_",A215,"=",ROUND('C19-RetShares'!AI40-'C19-RetShares'!AJ40,3),"; %let ret8_",A215,"=",ROUND('C19-RetShares'!AJ40,3),"; %let retx",A215,"=",ROUND(TOTALS!AD101/1000000,3),";" )</f>
        <v>%let ret1_1995=0.182; %let ret2_1995=0.364; %let ret3_1995=0.131;  %let ret4_1995=0.184; %let ret5_1995=0.046; %let ret6_1995=0.061; %let ret7_1995=0.027; %let ret8_1995=0.006; %let retx1995=256476.218;</v>
      </c>
    </row>
    <row r="157" spans="1:8" x14ac:dyDescent="0.3">
      <c r="A157" s="655" t="str">
        <f>CONCATENATE("%let trint",'C10-Adj by Source'!A42,"=",ROUND('C22-Fiduciary'!N41,3),"; %let trdiv",'C10-Adj by Source'!A42,"=",ROUND('C22-Fiduciary'!O41,3),"; %let trcg",'C10-Adj by Source'!A42,"=",ROUND('C22-Fiduciary'!P41,3),"; %let troth",'C10-Adj by Source'!A42,"=",ROUND('C22-Fiduciary'!Q41,3),"; %let trstx",'C10-Adj by Source'!A42,"=",ROUND('C22-Fiduciary'!I41,3),"; %let trftx",'C10-Adj by Source'!A42,"=",ROUND('C22-Fiduciary'!L41,3),";" )</f>
        <v>%let trint1996=7249.437; %let trdiv1996=8454.466; %let trcg1996=23459.449; %let troth1996=6538.094; %let trstx1996=1835.327; %let trftx1996=11440.391;</v>
      </c>
      <c r="H157" s="1011" t="str">
        <f>CONCATENATE("%let ret1_",A216,"=",ROUND('C19-RetShares'!AD41/3,3),"; %let ret2_",A216,"=",ROUND('C19-RetShares'!AD41*2/3,3),"; %let ret3_",A216,"=",ROUND('C19-RetShares'!AE41-'C19-RetShares'!AF41,3),";  %let ret4_",A216,"=",ROUND('C19-RetShares'!AF41-'C19-RetShares'!AG41,3),"; %let ret5_",A216,"=",ROUND('C19-RetShares'!AG41-'C19-RetShares'!AH41,3),"; %let ret6_",A216,"=",ROUND('C19-RetShares'!AH41-'C19-RetShares'!AI41,3),"; %let ret7_",A216,"=",ROUND('C19-RetShares'!AI41-'C19-RetShares'!AJ41,3),"; %let ret8_",A216,"=",ROUND('C19-RetShares'!AJ41,3),"; %let retx",A216,"=",ROUND(TOTALS!AD102/1000000,3),";" )</f>
        <v>%let ret1_1996=0.179; %let ret2_1996=0.358; %let ret3_1996=0.131;  %let ret4_1996=0.191; %let ret5_1996=0.045; %let ret6_1996=0.062; %let ret7_1996=0.028; %let ret8_1996=0.006; %let retx1996=282364.8;</v>
      </c>
    </row>
    <row r="158" spans="1:8" x14ac:dyDescent="0.3">
      <c r="A158" s="655" t="str">
        <f>CONCATENATE("%let trint",'C10-Adj by Source'!A43,"=",ROUND('C22-Fiduciary'!N42,3),"; %let trdiv",'C10-Adj by Source'!A43,"=",ROUND('C22-Fiduciary'!O42,3),"; %let trcg",'C10-Adj by Source'!A43,"=",ROUND('C22-Fiduciary'!P42,3),"; %let troth",'C10-Adj by Source'!A43,"=",ROUND('C22-Fiduciary'!Q42,3),"; %let trstx",'C10-Adj by Source'!A43,"=",ROUND('C22-Fiduciary'!I42,3),"; %let trftx",'C10-Adj by Source'!A43,"=",ROUND('C22-Fiduciary'!L42,3),";" )</f>
        <v>%let trint1997=7456.292; %let trdiv1997=8841.635; %let trcg1997=24895.387; %let troth1997=6852.379; %let trstx1997=1912.85; %let trftx1997=12206.633;</v>
      </c>
      <c r="H158" s="1011" t="str">
        <f>CONCATENATE("%let ret1_",A217,"=",ROUND('C19-RetShares'!AD42/3,3),"; %let ret2_",A217,"=",ROUND('C19-RetShares'!AD42*2/3,3),"; %let ret3_",A217,"=",ROUND('C19-RetShares'!AE42-'C19-RetShares'!AF42,3),";  %let ret4_",A217,"=",ROUND('C19-RetShares'!AF42-'C19-RetShares'!AG42,3),"; %let ret5_",A217,"=",ROUND('C19-RetShares'!AG42-'C19-RetShares'!AH42,3),"; %let ret6_",A217,"=",ROUND('C19-RetShares'!AH42-'C19-RetShares'!AI42,3),"; %let ret7_",A217,"=",ROUND('C19-RetShares'!AI42-'C19-RetShares'!AJ42,3),"; %let ret8_",A217,"=",ROUND('C19-RetShares'!AJ42,3),"; %let retx",A217,"=",ROUND(TOTALS!AD103/1000000,3),";" )</f>
        <v>%let ret1_1997=0.174; %let ret2_1997=0.348; %let ret3_1997=0.132;  %let ret4_1997=0.195; %let ret5_1997=0.042; %let ret6_1997=0.063; %let ret7_1997=0.038; %let ret8_1997=0.009; %let retx1997=312318.683;</v>
      </c>
    </row>
    <row r="159" spans="1:8" x14ac:dyDescent="0.3">
      <c r="A159" s="655" t="str">
        <f>CONCATENATE("%let trint",'C10-Adj by Source'!A44,"=",ROUND('C22-Fiduciary'!N43,3),"; %let trdiv",'C10-Adj by Source'!A44,"=",ROUND('C22-Fiduciary'!O43,3),"; %let trcg",'C10-Adj by Source'!A44,"=",ROUND('C22-Fiduciary'!P43,3),"; %let troth",'C10-Adj by Source'!A44,"=",ROUND('C22-Fiduciary'!Q43,3),"; %let trstx",'C10-Adj by Source'!A44,"=",ROUND('C22-Fiduciary'!I43,3),"; %let trftx",'C10-Adj by Source'!A44,"=",ROUND('C22-Fiduciary'!L43,3),";" )</f>
        <v>%let trint1998=7506.409; %let trdiv1998=9225.033; %let trcg1998=27820.491; %let troth1998=7765.562; %let trstx1998=2291.424; %let trftx1998=13687.843;</v>
      </c>
      <c r="H159" s="1011" t="str">
        <f>CONCATENATE("%let ret1_",A218,"=",ROUND('C19-RetShares'!AD43/3,3),"; %let ret2_",A218,"=",ROUND('C19-RetShares'!AD43*2/3,3),"; %let ret3_",A218,"=",ROUND('C19-RetShares'!AE43-'C19-RetShares'!AF43,3),";  %let ret4_",A218,"=",ROUND('C19-RetShares'!AF43-'C19-RetShares'!AG43,3),"; %let ret5_",A218,"=",ROUND('C19-RetShares'!AG43-'C19-RetShares'!AH43,3),"; %let ret6_",A218,"=",ROUND('C19-RetShares'!AH43-'C19-RetShares'!AI43,3),"; %let ret7_",A218,"=",ROUND('C19-RetShares'!AI43-'C19-RetShares'!AJ43,3),"; %let ret8_",A218,"=",ROUND('C19-RetShares'!AJ43,3),"; %let retx",A218,"=",ROUND(TOTALS!AD104/1000000,3),";" )</f>
        <v>%let ret1_1998=0.169; %let ret2_1998=0.337; %let ret3_1998=0.125;  %let ret4_1998=0.201; %let ret5_1998=0.053; %let ret6_1998=0.074; %let ret7_1998=0.032; %let ret8_1998=0.009; %let retx1998=352431.733;</v>
      </c>
    </row>
    <row r="160" spans="1:8" x14ac:dyDescent="0.3">
      <c r="A160" s="655" t="str">
        <f>CONCATENATE("%let trint",'C10-Adj by Source'!A45,"=",ROUND('C22-Fiduciary'!N44,3),"; %let trdiv",'C10-Adj by Source'!A45,"=",ROUND('C22-Fiduciary'!O44,3),"; %let trcg",'C10-Adj by Source'!A45,"=",ROUND('C22-Fiduciary'!P44,3),"; %let troth",'C10-Adj by Source'!A45,"=",ROUND('C22-Fiduciary'!Q44,3),"; %let trstx",'C10-Adj by Source'!A45,"=",ROUND('C22-Fiduciary'!I44,3),"; %let trftx",'C10-Adj by Source'!A45,"=",ROUND('C22-Fiduciary'!L44,3),";" )</f>
        <v>%let trint1999=7556.526; %let trdiv1999=9608.43; %let trcg1999=30745.594; %let troth1999=8678.744; %let trstx1999=2669.998; %let trftx1999=15169.054;</v>
      </c>
      <c r="H160" s="1011" t="str">
        <f>CONCATENATE("%let ret1_",A219,"=",ROUND('C19-RetShares'!AD44/3,3),"; %let ret2_",A219,"=",ROUND('C19-RetShares'!AD44*2/3,3),"; %let ret3_",A219,"=",ROUND('C19-RetShares'!AE44-'C19-RetShares'!AF44,3),";  %let ret4_",A219,"=",ROUND('C19-RetShares'!AF44-'C19-RetShares'!AG44,3),"; %let ret5_",A219,"=",ROUND('C19-RetShares'!AG44-'C19-RetShares'!AH44,3),"; %let ret6_",A219,"=",ROUND('C19-RetShares'!AH44-'C19-RetShares'!AI44,3),"; %let ret7_",A219,"=",ROUND('C19-RetShares'!AI44-'C19-RetShares'!AJ44,3),"; %let ret8_",A219,"=",ROUND('C19-RetShares'!AJ44,3),"; %let retx",A219,"=",ROUND(TOTALS!AD105/1000000,3),";" )</f>
        <v>%let ret1_1999=0.163; %let ret2_1999=0.325; %let ret3_1999=0.123;  %let ret4_1999=0.199; %let ret5_1999=0.054; %let ret6_1999=0.083; %let ret7_1999=0.037; %let ret8_1999=0.016; %let retx1999=391938.717;</v>
      </c>
    </row>
    <row r="161" spans="1:8" x14ac:dyDescent="0.3">
      <c r="A161" s="655" t="str">
        <f>CONCATENATE("%let trint",'C10-Adj by Source'!A46,"=",ROUND('C22-Fiduciary'!N45,3),"; %let trdiv",'C10-Adj by Source'!A46,"=",ROUND('C22-Fiduciary'!O45,3),"; %let trcg",'C10-Adj by Source'!A46,"=",ROUND('C22-Fiduciary'!P45,3),"; %let troth",'C10-Adj by Source'!A46,"=",ROUND('C22-Fiduciary'!Q45,3),"; %let trstx",'C10-Adj by Source'!A46,"=",ROUND('C22-Fiduciary'!I45,3),"; %let trftx",'C10-Adj by Source'!A46,"=",ROUND('C22-Fiduciary'!L45,3),";" )</f>
        <v>%let trint2000=7606.643; %let trdiv2000=9991.828; %let trcg2000=33670.697; %let troth2000=9591.927; %let trstx2000=3048.572; %let trftx2000=16650.264;</v>
      </c>
      <c r="H161" s="1011" t="str">
        <f>CONCATENATE("%let ret1_",A220,"=",ROUND('C19-RetShares'!AD45/3,3),"; %let ret2_",A220,"=",ROUND('C19-RetShares'!AD45*2/3,3),"; %let ret3_",A220,"=",ROUND('C19-RetShares'!AE45-'C19-RetShares'!AF45,3),";  %let ret4_",A220,"=",ROUND('C19-RetShares'!AF45-'C19-RetShares'!AG45,3),"; %let ret5_",A220,"=",ROUND('C19-RetShares'!AG45-'C19-RetShares'!AH45,3),"; %let ret6_",A220,"=",ROUND('C19-RetShares'!AH45-'C19-RetShares'!AI45,3),"; %let ret7_",A220,"=",ROUND('C19-RetShares'!AI45-'C19-RetShares'!AJ45,3),"; %let ret8_",A220,"=",ROUND('C19-RetShares'!AJ45,3),"; %let retx",A220,"=",ROUND(TOTALS!AD106/1000000,3),";" )</f>
        <v>%let ret1_2000=0.162; %let ret2_2000=0.324; %let ret3_2000=0.124;  %let ret4_2000=0.202; %let ret5_2000=0.055; %let ret6_2000=0.083; %let ret7_2000=0.035; %let ret8_2000=0.015; %let retx2000=423516.919;</v>
      </c>
    </row>
    <row r="162" spans="1:8" x14ac:dyDescent="0.3">
      <c r="A162" s="655" t="str">
        <f>CONCATENATE("%let trint",'C10-Adj by Source'!A47,"=",ROUND('C22-Fiduciary'!N46,3),"; %let trdiv",'C10-Adj by Source'!A47,"=",ROUND('C22-Fiduciary'!O46,3),"; %let trcg",'C10-Adj by Source'!A47,"=",ROUND('C22-Fiduciary'!P46,3),"; %let troth",'C10-Adj by Source'!A47,"=",ROUND('C22-Fiduciary'!Q46,3),"; %let trstx",'C10-Adj by Source'!A47,"=",ROUND('C22-Fiduciary'!I46,3),"; %let trftx",'C10-Adj by Source'!A47,"=",ROUND('C22-Fiduciary'!L46,3),";" )</f>
        <v>%let trint2001=7076.424; %let trdiv2001=8103.892; %let trcg2001=16860.103; %let troth2001=7930.471; %let trstx2001=3106.838; %let trftx2001=10732.985;</v>
      </c>
      <c r="H162" s="1011" t="str">
        <f>CONCATENATE("%let ret1_",A221,"=",ROUND('C19-RetShares'!AD46/3,3),"; %let ret2_",A221,"=",ROUND('C19-RetShares'!AD46*2/3,3),"; %let ret3_",A221,"=",ROUND('C19-RetShares'!AE46-'C19-RetShares'!AF46,3),";  %let ret4_",A221,"=",ROUND('C19-RetShares'!AF46-'C19-RetShares'!AG46,3),"; %let ret5_",A221,"=",ROUND('C19-RetShares'!AG46-'C19-RetShares'!AH46,3),"; %let ret6_",A221,"=",ROUND('C19-RetShares'!AH46-'C19-RetShares'!AI46,3),"; %let ret7_",A221,"=",ROUND('C19-RetShares'!AI46-'C19-RetShares'!AJ46,3),"; %let ret8_",A221,"=",ROUND('C19-RetShares'!AJ46,3),"; %let retx",A221,"=",ROUND(TOTALS!AD107/1000000,3),";" )</f>
        <v>%let ret1_2001=0.175; %let ret2_2001=0.35; %let ret3_2001=0.124;  %let ret4_2001=0.192; %let ret5_2001=0.053; %let ret6_2001=0.065; %let ret7_2001=0.033; %let ret8_2001=0.008; %let retx2001=430547.201;</v>
      </c>
    </row>
    <row r="163" spans="1:8" x14ac:dyDescent="0.3">
      <c r="A163" s="655" t="str">
        <f>CONCATENATE("%let trint",'C10-Adj by Source'!A48,"=",ROUND('C22-Fiduciary'!N47,3),"; %let trdiv",'C10-Adj by Source'!A48,"=",ROUND('C22-Fiduciary'!O47,3),"; %let trcg",'C10-Adj by Source'!A48,"=",ROUND('C22-Fiduciary'!P47,3),"; %let troth",'C10-Adj by Source'!A48,"=",ROUND('C22-Fiduciary'!Q47,3),"; %let trstx",'C10-Adj by Source'!A48,"=",ROUND('C22-Fiduciary'!I47,3),"; %let trftx",'C10-Adj by Source'!A48,"=",ROUND('C22-Fiduciary'!L47,3),";" )</f>
        <v>%let trint2002=4272.152; %let trdiv2002=5811.33; %let trcg2002=8793.002; %let troth2002=5947.126; %let trstx2002=2082.86; %let trftx2002=7884.497;</v>
      </c>
      <c r="H163" s="1011" t="str">
        <f>CONCATENATE("%let ret1_",A222,"=",ROUND('C19-RetShares'!AD47/3,3),"; %let ret2_",A222,"=",ROUND('C19-RetShares'!AD47*2/3,3),"; %let ret3_",A222,"=",ROUND('C19-RetShares'!AE47-'C19-RetShares'!AF47,3),";  %let ret4_",A222,"=",ROUND('C19-RetShares'!AF47-'C19-RetShares'!AG47,3),"; %let ret5_",A222,"=",ROUND('C19-RetShares'!AG47-'C19-RetShares'!AH47,3),"; %let ret6_",A222,"=",ROUND('C19-RetShares'!AH47-'C19-RetShares'!AI47,3),"; %let ret7_",A222,"=",ROUND('C19-RetShares'!AI47-'C19-RetShares'!AJ47,3),"; %let ret8_",A222,"=",ROUND('C19-RetShares'!AJ47,3),"; %let retx",A222,"=",ROUND(TOTALS!AD108/1000000,3),";" )</f>
        <v>%let ret1_2002=0.178; %let ret2_2002=0.355; %let ret3_2002=0.124;  %let ret4_2002=0.194; %let ret5_2002=0.05; %let ret6_2002=0.064; %let ret7_2002=0.029; %let ret8_2002=0.007; %let retx2002=443360.765;</v>
      </c>
    </row>
    <row r="164" spans="1:8" x14ac:dyDescent="0.3">
      <c r="A164" s="655" t="str">
        <f>CONCATENATE("%let trint",'C10-Adj by Source'!A49,"=",ROUND('C22-Fiduciary'!N48,3),"; %let trdiv",'C10-Adj by Source'!A49,"=",ROUND('C22-Fiduciary'!O48,3),"; %let trcg",'C10-Adj by Source'!A49,"=",ROUND('C22-Fiduciary'!P48,3),"; %let troth",'C10-Adj by Source'!A49,"=",ROUND('C22-Fiduciary'!Q48,3),"; %let trstx",'C10-Adj by Source'!A49,"=",ROUND('C22-Fiduciary'!I48,3),"; %let trftx",'C10-Adj by Source'!A49,"=",ROUND('C22-Fiduciary'!L48,3),";" )</f>
        <v>%let trint2003=4526.887; %let trdiv2003=7824.506; %let trcg2003=14070.743; %let troth2003=7588.587; %let trstx2003=2018.816; %let trftx2003=9360.018;</v>
      </c>
      <c r="H164" s="1011" t="str">
        <f>CONCATENATE("%let ret1_",A223,"=",ROUND('C19-RetShares'!AD48/3,3),"; %let ret2_",A223,"=",ROUND('C19-RetShares'!AD48*2/3,3),"; %let ret3_",A223,"=",ROUND('C19-RetShares'!AE48-'C19-RetShares'!AF48,3),";  %let ret4_",A223,"=",ROUND('C19-RetShares'!AF48-'C19-RetShares'!AG48,3),"; %let ret5_",A223,"=",ROUND('C19-RetShares'!AG48-'C19-RetShares'!AH48,3),"; %let ret6_",A223,"=",ROUND('C19-RetShares'!AH48-'C19-RetShares'!AI48,3),"; %let ret7_",A223,"=",ROUND('C19-RetShares'!AI48-'C19-RetShares'!AJ48,3),"; %let ret8_",A223,"=",ROUND('C19-RetShares'!AJ48,3),"; %let retx",A223,"=",ROUND(TOTALS!AD109/1000000,3),";" )</f>
        <v>%let ret1_2003=0.184; %let ret2_2003=0.369; %let ret3_2003=0.125;  %let ret4_2003=0.185; %let ret5_2003=0.047; %let ret6_2003=0.059; %let ret7_2003=0.025; %let ret8_2003=0.006; %let retx2003=458672.135;</v>
      </c>
    </row>
    <row r="165" spans="1:8" x14ac:dyDescent="0.3">
      <c r="A165" s="655" t="str">
        <f>CONCATENATE("%let trint",'C10-Adj by Source'!A50,"=",ROUND('C22-Fiduciary'!N49,3),"; %let trdiv",'C10-Adj by Source'!A50,"=",ROUND('C22-Fiduciary'!O49,3),"; %let trcg",'C10-Adj by Source'!A50,"=",ROUND('C22-Fiduciary'!P49,3),"; %let troth",'C10-Adj by Source'!A50,"=",ROUND('C22-Fiduciary'!Q49,3),"; %let trstx",'C10-Adj by Source'!A50,"=",ROUND('C22-Fiduciary'!I49,3),"; %let trftx",'C10-Adj by Source'!A50,"=",ROUND('C22-Fiduciary'!L49,3),";" )</f>
        <v>%let trint2004=5224.312; %let trdiv2004=11681.667; %let trcg2004=28409.162; %let troth2004=9924.435; %let trstx2004=2456.067; %let trftx2004=11457.529;</v>
      </c>
      <c r="H165" s="1011" t="str">
        <f>CONCATENATE("%let ret1_",A224,"=",ROUND('C19-RetShares'!AD49/3,3),"; %let ret2_",A224,"=",ROUND('C19-RetShares'!AD49*2/3,3),"; %let ret3_",A224,"=",ROUND('C19-RetShares'!AE49-'C19-RetShares'!AF49,3),";  %let ret4_",A224,"=",ROUND('C19-RetShares'!AF49-'C19-RetShares'!AG49,3),"; %let ret5_",A224,"=",ROUND('C19-RetShares'!AG49-'C19-RetShares'!AH49,3),"; %let ret6_",A224,"=",ROUND('C19-RetShares'!AH49-'C19-RetShares'!AI49,3),"; %let ret7_",A224,"=",ROUND('C19-RetShares'!AI49-'C19-RetShares'!AJ49,3),"; %let ret8_",A224,"=",ROUND('C19-RetShares'!AJ49,3),"; %let retx",A224,"=",ROUND(TOTALS!AD110/1000000,3),";" )</f>
        <v>%let ret1_2004=0.178; %let ret2_2004=0.356; %let ret3_2004=0.123;  %let ret4_2004=0.191; %let ret5_2004=0.052; %let ret6_2004=0.066; %let ret7_2004=0.026; %let ret8_2004=0.008; %let retx2004=493459.486;</v>
      </c>
    </row>
    <row r="166" spans="1:8" x14ac:dyDescent="0.3">
      <c r="A166" s="655" t="str">
        <f>CONCATENATE("%let trint",'C10-Adj by Source'!A51,"=",ROUND('C22-Fiduciary'!N50,3),"; %let trdiv",'C10-Adj by Source'!A51,"=",ROUND('C22-Fiduciary'!O50,3),"; %let trcg",'C10-Adj by Source'!A51,"=",ROUND('C22-Fiduciary'!P50,3),"; %let troth",'C10-Adj by Source'!A51,"=",ROUND('C22-Fiduciary'!Q50,3),"; %let trstx",'C10-Adj by Source'!A51,"=",ROUND('C22-Fiduciary'!I50,3),"; %let trftx",'C10-Adj by Source'!A51,"=",ROUND('C22-Fiduciary'!L50,3),";" )</f>
        <v>%let trint2005=6925.563; %let trdiv2005=13681.749; %let trcg2005=37489.156; %let troth2005=12194.668; %let trstx2005=3456.81; %let trftx2005=14751.202;</v>
      </c>
      <c r="H166" s="1011" t="str">
        <f>CONCATENATE("%let ret1_",A225,"=",ROUND('C19-RetShares'!AD50/3,3),"; %let ret2_",A225,"=",ROUND('C19-RetShares'!AD50*2/3,3),"; %let ret3_",A225,"=",ROUND('C19-RetShares'!AE50-'C19-RetShares'!AF50,3),";  %let ret4_",A225,"=",ROUND('C19-RetShares'!AF50-'C19-RetShares'!AG50,3),"; %let ret5_",A225,"=",ROUND('C19-RetShares'!AG50-'C19-RetShares'!AH50,3),"; %let ret6_",A225,"=",ROUND('C19-RetShares'!AH50-'C19-RetShares'!AI50,3),"; %let ret7_",A225,"=",ROUND('C19-RetShares'!AI50-'C19-RetShares'!AJ50,3),"; %let ret8_",A225,"=",ROUND('C19-RetShares'!AJ50,3),"; %let retx",A225,"=",ROUND(TOTALS!AD111/1000000,3),";" )</f>
        <v>%let ret1_2005=0.172; %let ret2_2005=0.344; %let ret3_2005=0.13;  %let ret4_2005=0.199; %let ret5_2005=0.049; %let ret6_2005=0.065; %let ret7_2005=0.031; %let ret8_2005=0.011; %let retx2005=529567.788;</v>
      </c>
    </row>
    <row r="167" spans="1:8" x14ac:dyDescent="0.3">
      <c r="A167" s="655" t="str">
        <f>CONCATENATE("%let trint",'C10-Adj by Source'!A52,"=",ROUND('C22-Fiduciary'!N51,3),"; %let trdiv",'C10-Adj by Source'!A52,"=",ROUND('C22-Fiduciary'!O51,3),"; %let trcg",'C10-Adj by Source'!A52,"=",ROUND('C22-Fiduciary'!P51,3),"; %let troth",'C10-Adj by Source'!A52,"=",ROUND('C22-Fiduciary'!Q51,3),"; %let trstx",'C10-Adj by Source'!A52,"=",ROUND('C22-Fiduciary'!I51,3),"; %let trftx",'C10-Adj by Source'!A52,"=",ROUND('C22-Fiduciary'!L51,3),";" )</f>
        <v>%let trint2006=10062.88; %let trdiv2006=19901.956; %let trcg2006=51223.281; %let troth2006=13909.769; %let trstx2006=3898.997; %let trftx2006=19460.652;</v>
      </c>
      <c r="H167" s="1011" t="str">
        <f>CONCATENATE("%let ret1_",A226,"=",ROUND('C19-RetShares'!AD51/3,3),"; %let ret2_",A226,"=",ROUND('C19-RetShares'!AD51*2/3,3),"; %let ret3_",A226,"=",ROUND('C19-RetShares'!AE51-'C19-RetShares'!AF51,3),";  %let ret4_",A226,"=",ROUND('C19-RetShares'!AF51-'C19-RetShares'!AG51,3),"; %let ret5_",A226,"=",ROUND('C19-RetShares'!AG51-'C19-RetShares'!AH51,3),"; %let ret6_",A226,"=",ROUND('C19-RetShares'!AH51-'C19-RetShares'!AI51,3),"; %let ret7_",A226,"=",ROUND('C19-RetShares'!AI51-'C19-RetShares'!AJ51,3),"; %let ret8_",A226,"=",ROUND('C19-RetShares'!AJ51,3),"; %let retx",A226,"=",ROUND(TOTALS!AD112/1000000,3),";" )</f>
        <v>%let ret1_2006=0.166; %let ret2_2006=0.333; %let ret3_2006=0.127;  %let ret4_2006=0.209; %let ret5_2006=0.054; %let ret6_2006=0.072; %let ret7_2006=0.031; %let ret8_2006=0.008; %let retx2006=571802.672;</v>
      </c>
    </row>
    <row r="168" spans="1:8" x14ac:dyDescent="0.3">
      <c r="A168" s="655" t="str">
        <f>CONCATENATE("%let trint",'C10-Adj by Source'!A53,"=",ROUND('C22-Fiduciary'!N52,3),"; %let trdiv",'C10-Adj by Source'!A53,"=",ROUND('C22-Fiduciary'!O52,3),"; %let trcg",'C10-Adj by Source'!A53,"=",ROUND('C22-Fiduciary'!P52,3),"; %let troth",'C10-Adj by Source'!A53,"=",ROUND('C22-Fiduciary'!Q52,3),"; %let trstx",'C10-Adj by Source'!A53,"=",ROUND('C22-Fiduciary'!I52,3),"; %let trftx",'C10-Adj by Source'!A53,"=",ROUND('C22-Fiduciary'!L52,3),";" )</f>
        <v>%let trint2007=11681.657; %let trdiv2007=22030.702; %let trcg2007=65244.726; %let troth2007=14774.954; %let trstx2007=4568.496; %let trftx2007=23138.728;</v>
      </c>
      <c r="H168" s="1011" t="str">
        <f>CONCATENATE("%let ret1_",A227,"=",ROUND('C19-RetShares'!AD52/3,3),"; %let ret2_",A227,"=",ROUND('C19-RetShares'!AD52*2/3,3),"; %let ret3_",A227,"=",ROUND('C19-RetShares'!AE52-'C19-RetShares'!AF52,3),";  %let ret4_",A227,"=",ROUND('C19-RetShares'!AF52-'C19-RetShares'!AG52,3),"; %let ret5_",A227,"=",ROUND('C19-RetShares'!AG52-'C19-RetShares'!AH52,3),"; %let ret6_",A227,"=",ROUND('C19-RetShares'!AH52-'C19-RetShares'!AI52,3),"; %let ret7_",A227,"=",ROUND('C19-RetShares'!AI52-'C19-RetShares'!AJ52,3),"; %let ret8_",A227,"=",ROUND('C19-RetShares'!AJ52,3),"; %let retx",A227,"=",ROUND(TOTALS!AD113/1000000,3),";" )</f>
        <v>%let ret1_2007=0.166; %let ret2_2007=0.332; %let ret3_2007=0.13;  %let ret4_2007=0.209; %let ret5_2007=0.057; %let ret6_2007=0.07; %let ret7_2007=0.028; %let ret8_2007=0.008; %let retx2007=635129.396;</v>
      </c>
    </row>
    <row r="169" spans="1:8" x14ac:dyDescent="0.3">
      <c r="A169" s="655" t="str">
        <f>CONCATENATE("%let trint",'C10-Adj by Source'!A54,"=",ROUND('C22-Fiduciary'!N53,3),"; %let trdiv",'C10-Adj by Source'!A54,"=",ROUND('C22-Fiduciary'!O53,3),"; %let trcg",'C10-Adj by Source'!A54,"=",ROUND('C22-Fiduciary'!P53,3),"; %let troth",'C10-Adj by Source'!A54,"=",ROUND('C22-Fiduciary'!Q53,3),"; %let trstx",'C10-Adj by Source'!A54,"=",ROUND('C22-Fiduciary'!I53,3),"; %let trftx",'C10-Adj by Source'!A54,"=",ROUND('C22-Fiduciary'!L53,3),";" )</f>
        <v>%let trint2008=8022.314; %let trdiv2008=16397.325; %let trcg2008=27450.262; %let troth2008=12766.222; %let trstx2008=5184.901; %let trftx2008=16135.96;</v>
      </c>
      <c r="H169" s="1011" t="str">
        <f>CONCATENATE("%let ret1_",A228,"=",ROUND('C19-RetShares'!AD53/3,3),"; %let ret2_",A228,"=",ROUND('C19-RetShares'!AD53*2/3,3),"; %let ret3_",A228,"=",ROUND('C19-RetShares'!AE53-'C19-RetShares'!AF53,3),";  %let ret4_",A228,"=",ROUND('C19-RetShares'!AF53-'C19-RetShares'!AG53,3),"; %let ret5_",A228,"=",ROUND('C19-RetShares'!AG53-'C19-RetShares'!AH53,3),"; %let ret6_",A228,"=",ROUND('C19-RetShares'!AH53-'C19-RetShares'!AI53,3),"; %let ret7_",A228,"=",ROUND('C19-RetShares'!AI53-'C19-RetShares'!AJ53,3),"; %let ret8_",A228,"=",ROUND('C19-RetShares'!AJ53,3),"; %let retx",A228,"=",ROUND(TOTALS!AD114/1000000,3),";" )</f>
        <v>%let ret1_2008=0.171; %let ret2_2008=0.343; %let ret3_2008=0.127;  %let ret4_2008=0.2; %let ret5_2008=0.053; %let ret6_2008=0.07; %let ret7_2008=0.029; %let ret8_2008=0.007; %let retx2008=664940.262;</v>
      </c>
    </row>
    <row r="170" spans="1:8" x14ac:dyDescent="0.3">
      <c r="A170" s="655" t="str">
        <f>CONCATENATE("%let trint",'C10-Adj by Source'!A55,"=",ROUND('C22-Fiduciary'!N54,3),"; %let trdiv",'C10-Adj by Source'!A55,"=",ROUND('C22-Fiduciary'!O54,3),"; %let trcg",'C10-Adj by Source'!A55,"=",ROUND('C22-Fiduciary'!P54,3),"; %let troth",'C10-Adj by Source'!A55,"=",ROUND('C22-Fiduciary'!Q54,3),"; %let trstx",'C10-Adj by Source'!A55,"=",ROUND('C22-Fiduciary'!I54,3),"; %let trftx",'C10-Adj by Source'!A55,"=",ROUND('C22-Fiduciary'!L54,3),";" )</f>
        <v>%let trint2009=3787.234; %let trdiv2009=7749.365; %let trcg2009=9557.288; %let troth2009=6207.219; %let trstx2009=3433.999; %let trftx2009=10478.778;</v>
      </c>
      <c r="H170" s="1011" t="str">
        <f>CONCATENATE("%let ret1_",A229,"=",ROUND('C19-RetShares'!AD54/3,3),"; %let ret2_",A229,"=",ROUND('C19-RetShares'!AD54*2/3,3),"; %let ret3_",A229,"=",ROUND('C19-RetShares'!AE54-'C19-RetShares'!AF54,3),";  %let ret4_",A229,"=",ROUND('C19-RetShares'!AF54-'C19-RetShares'!AG54,3),"; %let ret5_",A229,"=",ROUND('C19-RetShares'!AG54-'C19-RetShares'!AH54,3),"; %let ret6_",A229,"=",ROUND('C19-RetShares'!AH54-'C19-RetShares'!AI54,3),"; %let ret7_",A229,"=",ROUND('C19-RetShares'!AI54-'C19-RetShares'!AJ54,3),"; %let ret8_",A229,"=",ROUND('C19-RetShares'!AJ54,3),"; %let retx",A229,"=",ROUND(TOTALS!AD115/1000000,3),";" )</f>
        <v>%let ret1_2009=0.181; %let ret2_2009=0.362; %let ret3_2009=0.129;  %let ret4_2009=0.187; %let ret5_2009=0.046; %let ret6_2009=0.059; %let ret7_2009=0.022; %let ret8_2009=0.012; %let retx2009=654552.421;</v>
      </c>
    </row>
    <row r="171" spans="1:8" x14ac:dyDescent="0.3">
      <c r="A171" s="655" t="str">
        <f>CONCATENATE("%let trint",'C10-Adj by Source'!A56,"=",ROUND('C22-Fiduciary'!N55,3),"; %let trdiv",'C10-Adj by Source'!A56,"=",ROUND('C22-Fiduciary'!O55,3),"; %let trcg",'C10-Adj by Source'!A56,"=",ROUND('C22-Fiduciary'!P55,3),"; %let troth",'C10-Adj by Source'!A56,"=",ROUND('C22-Fiduciary'!Q55,3),"; %let trstx",'C10-Adj by Source'!A56,"=",ROUND('C22-Fiduciary'!I55,3),"; %let trftx",'C10-Adj by Source'!A56,"=",ROUND('C22-Fiduciary'!L55,3),";" )</f>
        <v>%let trint2010=4500.067; %let trdiv2010=10806.001; %let trcg2010=13951.847; %let troth2010=9753.921; %let trstx2010=2887.782; %let trftx2010=13254.433;</v>
      </c>
      <c r="H171" s="1011" t="str">
        <f>CONCATENATE("%let ret1_",A230,"=",ROUND('C19-RetShares'!AD55/3,3),"; %let ret2_",A230,"=",ROUND('C19-RetShares'!AD55*2/3,3),"; %let ret3_",A230,"=",ROUND('C19-RetShares'!AE55-'C19-RetShares'!AF55,3),";  %let ret4_",A230,"=",ROUND('C19-RetShares'!AF55-'C19-RetShares'!AG55,3),"; %let ret5_",A230,"=",ROUND('C19-RetShares'!AG55-'C19-RetShares'!AH55,3),"; %let ret6_",A230,"=",ROUND('C19-RetShares'!AH55-'C19-RetShares'!AI55,3),"; %let ret7_",A230,"=",ROUND('C19-RetShares'!AI55-'C19-RetShares'!AJ55,3),"; %let ret8_",A230,"=",ROUND('C19-RetShares'!AJ55,3),"; %let retx",A230,"=",ROUND(TOTALS!AD116/1000000,3),";" )</f>
        <v>%let ret1_2010=0.174; %let ret2_2010=0.348; %let ret3_2010=0.132;  %let ret4_2010=0.198; %let ret5_2010=0.051; %let ret6_2010=0.063; %let ret7_2010=0.026; %let ret8_2010=0.008; %let retx2010=749155.394;</v>
      </c>
    </row>
    <row r="172" spans="1:8" x14ac:dyDescent="0.3">
      <c r="A172" s="655" t="str">
        <f>CONCATENATE("%let trint",'C10-Adj by Source'!A57,"=",ROUND('C22-Fiduciary'!N56,3),"; %let trdiv",'C10-Adj by Source'!A57,"=",ROUND('C22-Fiduciary'!O56,3),"; %let trcg",'C10-Adj by Source'!A57,"=",ROUND('C22-Fiduciary'!P56,3),"; %let troth",'C10-Adj by Source'!A57,"=",ROUND('C22-Fiduciary'!Q56,3),"; %let trstx",'C10-Adj by Source'!A57,"=",ROUND('C22-Fiduciary'!I56,3),"; %let trftx",'C10-Adj by Source'!A57,"=",ROUND('C22-Fiduciary'!L56,3),";" )</f>
        <v>%let trint2011=4669.213; %let trdiv2011=12526.753; %let trcg2011=20022.731; %let troth2011=10952.277; %let trstx2011=3351.058; %let trftx2011=14471.726;</v>
      </c>
      <c r="H172" s="1011" t="str">
        <f>CONCATENATE("%let ret1_",A231,"=",ROUND('C19-RetShares'!AD56/3,3),"; %let ret2_",A231,"=",ROUND('C19-RetShares'!AD56*2/3,3),"; %let ret3_",A231,"=",ROUND('C19-RetShares'!AE56-'C19-RetShares'!AF56,3),";  %let ret4_",A231,"=",ROUND('C19-RetShares'!AF56-'C19-RetShares'!AG56,3),"; %let ret5_",A231,"=",ROUND('C19-RetShares'!AG56-'C19-RetShares'!AH56,3),"; %let ret6_",A231,"=",ROUND('C19-RetShares'!AH56-'C19-RetShares'!AI56,3),"; %let ret7_",A231,"=",ROUND('C19-RetShares'!AI56-'C19-RetShares'!AJ56,3),"; %let ret8_",A231,"=",ROUND('C19-RetShares'!AJ56,3),"; %let retx",A231,"=",ROUND(TOTALS!AD117/1000000,3),";" )</f>
        <v>%let ret1_2011=0.172; %let ret2_2011=0.343; %let ret3_2011=0.135;  %let ret4_2011=0.204; %let ret5_2011=0.052; %let ret6_2011=0.066; %let ret7_2011=0.025; %let ret8_2011=0.004; %let retx2011=793448.385;</v>
      </c>
    </row>
    <row r="173" spans="1:8" x14ac:dyDescent="0.3">
      <c r="A173" s="655" t="str">
        <f>CONCATENATE("%let trint",'C10-Adj by Source'!A58,"=",ROUND('C22-Fiduciary'!N57,3),"; %let trdiv",'C10-Adj by Source'!A58,"=",ROUND('C22-Fiduciary'!O57,3),"; %let trcg",'C10-Adj by Source'!A58,"=",ROUND('C22-Fiduciary'!P57,3),"; %let troth",'C10-Adj by Source'!A58,"=",ROUND('C22-Fiduciary'!Q57,3),"; %let trstx",'C10-Adj by Source'!A58,"=",ROUND('C22-Fiduciary'!I57,3),"; %let trftx",'C10-Adj by Source'!A58,"=",ROUND('C22-Fiduciary'!L57,3),";" )</f>
        <v>%let trint2012=5613.153; %let trdiv2012=20824.66; %let trcg2012=39663.91; %let troth2012=16416.088; %let trstx2012=3647.404; %let trftx2012=20778.493;</v>
      </c>
      <c r="H173" s="1011" t="str">
        <f>CONCATENATE("%let ret1_",A232,"=",ROUND('C19-RetShares'!AD57/3,3),"; %let ret2_",A232,"=",ROUND('C19-RetShares'!AD57*2/3,3),"; %let ret3_",A232,"=",ROUND('C19-RetShares'!AE57-'C19-RetShares'!AF57,3),";  %let ret4_",A232,"=",ROUND('C19-RetShares'!AF57-'C19-RetShares'!AG57,3),"; %let ret5_",A232,"=",ROUND('C19-RetShares'!AG57-'C19-RetShares'!AH57,3),"; %let ret6_",A232,"=",ROUND('C19-RetShares'!AH57-'C19-RetShares'!AI57,3),"; %let ret7_",A232,"=",ROUND('C19-RetShares'!AI57-'C19-RetShares'!AJ57,3),"; %let ret8_",A232,"=",ROUND('C19-RetShares'!AJ57,3),"; %let retx",A232,"=",ROUND(TOTALS!AD118/1000000,3),";" )</f>
        <v>%let ret1_2012=0.166; %let ret2_2012=0.331; %let ret3_2012=0.135;  %let ret4_2012=0.212; %let ret5_2012=0.056; %let ret6_2012=0.069; %let ret7_2012=0.027; %let ret8_2012=0.005; %let retx2012=838087.395;</v>
      </c>
    </row>
    <row r="174" spans="1:8" x14ac:dyDescent="0.3">
      <c r="A174" s="655" t="str">
        <f>CONCATENATE("%let trint",'C10-Adj by Source'!A59,"=",ROUND('C22-Fiduciary'!N58,3),"; %let trdiv",'C10-Adj by Source'!A59,"=",ROUND('C22-Fiduciary'!O58,3),"; %let trcg",'C10-Adj by Source'!A59,"=",ROUND('C22-Fiduciary'!P58,3),"; %let troth",'C10-Adj by Source'!A59,"=",ROUND('C22-Fiduciary'!Q58,3),"; %let trstx",'C10-Adj by Source'!A59,"=",ROUND('C22-Fiduciary'!I58,3),"; %let trftx",'C10-Adj by Source'!A59,"=",ROUND('C22-Fiduciary'!L58,3),";" )</f>
        <v>%let trint2013=5086.248; %let trdiv2013=16241.963; %let trcg2013=31479.477; %let troth2013=16926.621; %let trstx2013=5323.168; %let trftx2013=23865.966;</v>
      </c>
      <c r="H174" s="1011" t="str">
        <f>CONCATENATE("%let ret1_",A233,"=",ROUND('C19-RetShares'!AD58/3,3),"; %let ret2_",A233,"=",ROUND('C19-RetShares'!AD58*2/3,3),"; %let ret3_",A233,"=",ROUND('C19-RetShares'!AE58-'C19-RetShares'!AF58,3),";  %let ret4_",A233,"=",ROUND('C19-RetShares'!AF58-'C19-RetShares'!AG58,3),"; %let ret5_",A233,"=",ROUND('C19-RetShares'!AG58-'C19-RetShares'!AH58,3),"; %let ret6_",A233,"=",ROUND('C19-RetShares'!AH58-'C19-RetShares'!AI58,3),"; %let ret7_",A233,"=",ROUND('C19-RetShares'!AI58-'C19-RetShares'!AJ58,3),"; %let ret8_",A233,"=",ROUND('C19-RetShares'!AJ58,3),"; %let retx",A233,"=",ROUND(TOTALS!AD119/1000000,3),";" )</f>
        <v>%let ret1_2013=0.169; %let ret2_2013=0.337; %let ret3_2013=0.131;  %let ret4_2013=0.21; %let ret5_2013=0.055; %let ret6_2013=0.069; %let ret7_2013=0.023; %let ret8_2013=0.005; %let retx2013=847288.972;</v>
      </c>
    </row>
    <row r="175" spans="1:8" x14ac:dyDescent="0.3">
      <c r="A175" s="655" t="str">
        <f>CONCATENATE("%let trint",'C10-Adj by Source'!A60,"=",ROUND('C22-Fiduciary'!N59,3),"; %let trdiv",'C10-Adj by Source'!A60,"=",ROUND('C22-Fiduciary'!O59,3),"; %let trcg",'C10-Adj by Source'!A60,"=",ROUND('C22-Fiduciary'!P59,3),"; %let troth",'C10-Adj by Source'!A60,"=",ROUND('C22-Fiduciary'!Q59,3),"; %let trstx",'C10-Adj by Source'!A60,"=",ROUND('C22-Fiduciary'!I59,3),"; %let trftx",'C10-Adj by Source'!A60,"=",ROUND('C22-Fiduciary'!L59,3),";" )</f>
        <v>%let trint2014=4967.17; %let trdiv2014=15099.844; %let trcg2014=26279.491; %let troth2014=13512.227; %let trstx2014=3802.353; %let trftx2014=18092.655;</v>
      </c>
      <c r="H175" s="1011" t="str">
        <f>CONCATENATE("%let ret1_",A234,"=",ROUND('C19-RetShares'!AD59/3,3),"; %let ret2_",A234,"=",ROUND('C19-RetShares'!AD59*2/3,3),"; %let ret3_",A234,"=",ROUND('C19-RetShares'!AE59-'C19-RetShares'!AF59,3),";  %let ret4_",A234,"=",ROUND('C19-RetShares'!AF59-'C19-RetShares'!AG59,3),"; %let ret5_",A234,"=",ROUND('C19-RetShares'!AG59-'C19-RetShares'!AH59,3),"; %let ret6_",A234,"=",ROUND('C19-RetShares'!AH59-'C19-RetShares'!AI59,3),"; %let ret7_",A234,"=",ROUND('C19-RetShares'!AI59-'C19-RetShares'!AJ59,3),"; %let ret8_",A234,"=",ROUND('C19-RetShares'!AJ59,3),"; %let retx",A234,"=",ROUND(TOTALS!AD120/1000000,3),";" )</f>
        <v>%let ret1_2014=0.164; %let ret2_2014=0.329; %let ret3_2014=0.133;  %let ret4_2014=0.216; %let ret5_2014=0.057; %let ret6_2014=0.071; %let ret7_2014=0.025; %let ret8_2014=0.004; %let retx2014=893197.266;</v>
      </c>
    </row>
    <row r="176" spans="1:8" x14ac:dyDescent="0.3">
      <c r="A176" s="655" t="str">
        <f>CONCATENATE("%let trint",'C10-Adj by Source'!A61,"=",ROUND('C22-Fiduciary'!N60,3),"; %let trdiv",'C10-Adj by Source'!A61,"=",ROUND('C22-Fiduciary'!O60,3),"; %let trcg",'C10-Adj by Source'!A61,"=",ROUND('C22-Fiduciary'!P60,3),"; %let troth",'C10-Adj by Source'!A61,"=",ROUND('C22-Fiduciary'!Q60,3),"; %let trstx",'C10-Adj by Source'!A61,"=",ROUND('C22-Fiduciary'!I60,3),"; %let trftx",'C10-Adj by Source'!A61,"=",ROUND('C22-Fiduciary'!L60,3),";" )</f>
        <v>%let trint2015=4981.914; %let trdiv2015=15144.664; %let trcg2015=26357.494; %let troth2015=13552.334; %let trstx2015=3813.639; %let trftx2015=18146.357;</v>
      </c>
      <c r="H176" s="1011" t="str">
        <f>CONCATENATE("%let ret1_",A235,"=",ROUND('C19-RetShares'!AD60/3,3),"; %let ret2_",A235,"=",ROUND('C19-RetShares'!AD60*2/3,3),"; %let ret3_",A235,"=",ROUND('C19-RetShares'!AE60-'C19-RetShares'!AF60,3),";  %let ret4_",A235,"=",ROUND('C19-RetShares'!AF60-'C19-RetShares'!AG60,3),"; %let ret5_",A235,"=",ROUND('C19-RetShares'!AG60-'C19-RetShares'!AH60,3),"; %let ret6_",A235,"=",ROUND('C19-RetShares'!AH60-'C19-RetShares'!AI60,3),"; %let ret7_",A235,"=",ROUND('C19-RetShares'!AI60-'C19-RetShares'!AJ60,3),"; %let ret8_",A235,"=",ROUND('C19-RetShares'!AJ60,3),"; %let retx",A235,"=",ROUND(TOTALS!AD121/1000000,3),";" )</f>
        <v>%let ret1_2015=0.164; %let ret2_2015=0.329; %let ret3_2015=0.133;  %let ret4_2015=0.216; %let ret5_2015=0.057; %let ret6_2015=0.071; %let ret7_2015=0.025; %let ret8_2015=0.004; %let retx2015=937777.01;</v>
      </c>
    </row>
    <row r="177" spans="1:15" x14ac:dyDescent="0.3">
      <c r="A177" s="655"/>
      <c r="H177" s="655"/>
      <c r="I177" s="259"/>
      <c r="J177" s="259"/>
      <c r="K177" s="259"/>
      <c r="L177" s="259"/>
      <c r="M177" s="259"/>
      <c r="N177" s="259"/>
      <c r="O177" s="259"/>
    </row>
    <row r="178" spans="1:15" x14ac:dyDescent="0.3">
      <c r="A178" t="s">
        <v>1278</v>
      </c>
      <c r="H178" s="655" t="str">
        <f>CONCATENATE("%let tran1_",'C10-Adj by Source'!A6,"=",ROUND('C1-Incomes'!GM8-'C1-Incomes'!EH8-'C1-Incomes'!GN8+'C1-Incomes'!EI8,3),"; %let  tran2_",'C10-Adj by Source'!A6,"=",ROUND('C1-Incomes'!GN8-'C1-Incomes'!EI8,3),";  %let  tran3_",'C10-Adj by Source'!A6,"=",ROUND('C1-Incomes'!GO8-'C1-Incomes'!EJ8,3),"; %let  tran4_",'C10-Adj by Source'!A6,"=",ROUND('C1-Incomes'!GP8-'C1-Incomes'!EK8,3),"; %let  tran5_",'C10-Adj by Source'!A6,"=",ROUND('C1-Incomes'!GQ8-'C1-Incomes'!EL8,3),"; %let  tran6_",'C10-Adj by Source'!A6,"=",ROUND('C1-Incomes'!GR8-'C1-Incomes'!EM8,3),"; %let  tran7_",'C10-Adj by Source'!A6,"=",ROUND('C1-Incomes'!GS8-'C1-Incomes'!EN8,3),"; %let tran",'C10-Adj by Source'!A6,"=",ROUND('C1-Incomes'!GM8-'C1-Incomes'!EH8,3),";" )</f>
        <v>%let tran1_1960=58133.748; %let  tran2_1960=12845.587;  %let  tran3_1960=7426.611; %let  tran4_1960=1855.14; %let  tran5_1960=1112.897; %let  tran6_1960=322.544; %let  tran7_1960=89.73; %let tran1960=70979.335;</v>
      </c>
    </row>
    <row r="179" spans="1:15" x14ac:dyDescent="0.3">
      <c r="A179" s="75" t="s">
        <v>461</v>
      </c>
      <c r="B179" s="75" t="s">
        <v>1276</v>
      </c>
      <c r="C179" s="75" t="s">
        <v>1277</v>
      </c>
      <c r="H179" s="655" t="str">
        <f>CONCATENATE("%let tran1_",'C10-Adj by Source'!A7,"=",ROUND('C1-Incomes'!GM9-'C1-Incomes'!EH9-'C1-Incomes'!GN9+'C1-Incomes'!EI9,3),"; %let  tran2_",'C10-Adj by Source'!A7,"=",ROUND('C1-Incomes'!GN9-'C1-Incomes'!EI9,3),";  %let  tran3_",'C10-Adj by Source'!A7,"=",ROUND('C1-Incomes'!GO9-'C1-Incomes'!EJ9,3),"; %let  tran4_",'C10-Adj by Source'!A7,"=",ROUND('C1-Incomes'!GP9-'C1-Incomes'!EK9,3),"; %let  tran5_",'C10-Adj by Source'!A7,"=",ROUND('C1-Incomes'!GQ9-'C1-Incomes'!EL9,3),"; %let  tran6_",'C10-Adj by Source'!A7,"=",ROUND('C1-Incomes'!GR9-'C1-Incomes'!EM9,3),"; %let  tran7_",'C10-Adj by Source'!A7,"=",ROUND('C1-Incomes'!GS9-'C1-Incomes'!EN9,3),"; %let tran",'C10-Adj by Source'!A7,"=",ROUND('C1-Incomes'!GM9-'C1-Incomes'!EH9,3),";" )</f>
        <v>%let tran1_1961=61717.262; %let  tran2_1961=13528.521;  %let  tran3_1961=7863.396; %let  tran4_1961=2069.716; %let  tran5_1961=1226.539; %let  tran6_1961=353.604; %let  tran7_1961=83.658; %let tran1961=75245.783;</v>
      </c>
    </row>
    <row r="180" spans="1:15" x14ac:dyDescent="0.3">
      <c r="A180" s="655">
        <v>1960</v>
      </c>
      <c r="B180" s="8">
        <f>'C22-Fiduciary'!L5</f>
        <v>361.7</v>
      </c>
      <c r="C180" s="8"/>
      <c r="H180" s="655" t="str">
        <f>CONCATENATE("%let tran1_",'C10-Adj by Source'!A8,"=",ROUND('C1-Incomes'!GM10-'C1-Incomes'!EH10-'C1-Incomes'!GN10+'C1-Incomes'!EI10,3),"; %let  tran2_",'C10-Adj by Source'!A8,"=",ROUND('C1-Incomes'!GN10-'C1-Incomes'!EI10,3),";  %let  tran3_",'C10-Adj by Source'!A8,"=",ROUND('C1-Incomes'!GO10-'C1-Incomes'!EJ10,3),"; %let  tran4_",'C10-Adj by Source'!A8,"=",ROUND('C1-Incomes'!GP10-'C1-Incomes'!EK10,3),"; %let  tran5_",'C10-Adj by Source'!A8,"=",ROUND('C1-Incomes'!GQ10-'C1-Incomes'!EL10,3),"; %let  tran6_",'C10-Adj by Source'!A8,"=",ROUND('C1-Incomes'!GR10-'C1-Incomes'!EM10,3),"; %let  tran7_",'C10-Adj by Source'!A8,"=",ROUND('C1-Incomes'!GS10-'C1-Incomes'!EN10,3),"; %let tran",'C10-Adj by Source'!A8,"=",ROUND('C1-Incomes'!GM10-'C1-Incomes'!EH10,3),";" )</f>
        <v>%let tran1_1962=65300.775; %let  tran2_1962=14211.455;  %let  tran3_1962=8300.18; %let  tran4_1962=2284.292; %let  tran5_1962=1340.181; %let  tran6_1962=384.664; %let  tran7_1962=77.585; %let tran1962=79512.23;</v>
      </c>
    </row>
    <row r="181" spans="1:15" x14ac:dyDescent="0.3">
      <c r="A181" s="655">
        <f>A180+1</f>
        <v>1961</v>
      </c>
      <c r="B181" s="8">
        <f>'C22-Fiduciary'!L6</f>
        <v>395.85</v>
      </c>
      <c r="C181" s="8">
        <f>'C22-Fiduciary'!I6</f>
        <v>196.65</v>
      </c>
      <c r="H181" s="655" t="str">
        <f>CONCATENATE("%let tran1_",'C10-Adj by Source'!A9,"=",ROUND('C1-Incomes'!GM11-'C1-Incomes'!EH11-'C1-Incomes'!GN11+'C1-Incomes'!EI11,3),"; %let  tran2_",'C10-Adj by Source'!A9,"=",ROUND('C1-Incomes'!GN11-'C1-Incomes'!EI11,3),";  %let  tran3_",'C10-Adj by Source'!A9,"=",ROUND('C1-Incomes'!GO11-'C1-Incomes'!EJ11,3),"; %let  tran4_",'C10-Adj by Source'!A9,"=",ROUND('C1-Incomes'!GP11-'C1-Incomes'!EK11,3),"; %let  tran5_",'C10-Adj by Source'!A9,"=",ROUND('C1-Incomes'!GQ11-'C1-Incomes'!EL11,3),"; %let  tran6_",'C10-Adj by Source'!A9,"=",ROUND('C1-Incomes'!GR11-'C1-Incomes'!EM11,3),"; %let  tran7_",'C10-Adj by Source'!A9,"=",ROUND('C1-Incomes'!GS11-'C1-Incomes'!EN11,3),"; %let tran",'C10-Adj by Source'!A9,"=",ROUND('C1-Incomes'!GM11-'C1-Incomes'!EH11,3),";" )</f>
        <v>%let tran1_1963=70197.311; %let  tran2_1963=15778.089;  %let  tran3_1963=9250.178; %let  tran4_1963=2441.928; %let  tran5_1963=1457.197; %let  tran6_1963=410.654; %let  tran7_1963=78.847; %let tran1963=85975.4;</v>
      </c>
    </row>
    <row r="182" spans="1:15" x14ac:dyDescent="0.3">
      <c r="A182" s="655">
        <f t="shared" ref="A182:A235" si="0">A181+1</f>
        <v>1962</v>
      </c>
      <c r="B182" s="8">
        <f>'C22-Fiduciary'!L7</f>
        <v>430</v>
      </c>
      <c r="C182" s="8">
        <f>'C22-Fiduciary'!I7</f>
        <v>200</v>
      </c>
      <c r="H182" s="655" t="str">
        <f>CONCATENATE("%let tran1_",'C10-Adj by Source'!A10,"=",ROUND('C1-Incomes'!GM12-'C1-Incomes'!EH12-'C1-Incomes'!GN12+'C1-Incomes'!EI12,3),"; %let  tran2_",'C10-Adj by Source'!A10,"=",ROUND('C1-Incomes'!GN12-'C1-Incomes'!EI12,3),";  %let  tran3_",'C10-Adj by Source'!A10,"=",ROUND('C1-Incomes'!GO12-'C1-Incomes'!EJ12,3),"; %let  tran4_",'C10-Adj by Source'!A10,"=",ROUND('C1-Incomes'!GP12-'C1-Incomes'!EK12,3),"; %let  tran5_",'C10-Adj by Source'!A10,"=",ROUND('C1-Incomes'!GQ12-'C1-Incomes'!EL12,3),"; %let  tran6_",'C10-Adj by Source'!A10,"=",ROUND('C1-Incomes'!GR12-'C1-Incomes'!EM12,3),"; %let  tran7_",'C10-Adj by Source'!A10,"=",ROUND('C1-Incomes'!GS12-'C1-Incomes'!EN12,3),"; %let tran",'C10-Adj by Source'!A10,"=",ROUND('C1-Incomes'!GM12-'C1-Incomes'!EH12,3),";" )</f>
        <v>%let tran1_1964=75093.847; %let  tran2_1964=17344.723;  %let  tran3_1964=10200.176; %let  tran4_1964=2599.565; %let  tran5_1964=1574.213; %let  tran6_1964=436.643; %let  tran7_1964=80.108; %let tran1964=92438.57;</v>
      </c>
    </row>
    <row r="183" spans="1:15" x14ac:dyDescent="0.3">
      <c r="A183" s="655">
        <f t="shared" si="0"/>
        <v>1963</v>
      </c>
      <c r="B183" s="8">
        <f>'C22-Fiduciary'!L8</f>
        <v>529.1</v>
      </c>
      <c r="C183" s="8">
        <f>'C22-Fiduciary'!I8</f>
        <v>233.57083333333333</v>
      </c>
      <c r="H183" s="655" t="str">
        <f>CONCATENATE("%let tran1_",'C10-Adj by Source'!A11,"=",ROUND('C1-Incomes'!GM13-'C1-Incomes'!EH13-'C1-Incomes'!GN13+'C1-Incomes'!EI13,3),"; %let  tran2_",'C10-Adj by Source'!A11,"=",ROUND('C1-Incomes'!GN13-'C1-Incomes'!EI13,3),";  %let  tran3_",'C10-Adj by Source'!A11,"=",ROUND('C1-Incomes'!GO13-'C1-Incomes'!EJ13,3),"; %let  tran4_",'C10-Adj by Source'!A11,"=",ROUND('C1-Incomes'!GP13-'C1-Incomes'!EK13,3),"; %let  tran5_",'C10-Adj by Source'!A11,"=",ROUND('C1-Incomes'!GQ13-'C1-Incomes'!EL13,3),"; %let  tran6_",'C10-Adj by Source'!A11,"=",ROUND('C1-Incomes'!GR13-'C1-Incomes'!EM13,3),"; %let  tran7_",'C10-Adj by Source'!A11,"=",ROUND('C1-Incomes'!GS13-'C1-Incomes'!EN13,3),"; %let tran",'C10-Adj by Source'!A11,"=",ROUND('C1-Incomes'!GM13-'C1-Incomes'!EH13,3),";" )</f>
        <v>%let tran1_1965=79697.551; %let  tran2_1965=17743.151;  %let  tran3_1965=10281.43; %let  tran4_1965=2715.539; %let  tran5_1965=1591.757; %let  tran6_1965=481.852; %let  tran7_1965=96.822; %let tran1965=97440.702;</v>
      </c>
    </row>
    <row r="184" spans="1:15" x14ac:dyDescent="0.3">
      <c r="A184" s="655">
        <f t="shared" si="0"/>
        <v>1964</v>
      </c>
      <c r="B184" s="8">
        <f>'C22-Fiduciary'!L9</f>
        <v>628.20000000000005</v>
      </c>
      <c r="C184" s="8">
        <f>'C22-Fiduciary'!I9</f>
        <v>267.14166666666665</v>
      </c>
      <c r="H184" s="655" t="str">
        <f>CONCATENATE("%let tran1_",'C10-Adj by Source'!A12,"=",ROUND('C1-Incomes'!GM14-'C1-Incomes'!EH14-'C1-Incomes'!GN14+'C1-Incomes'!EI14,3),"; %let  tran2_",'C10-Adj by Source'!A12,"=",ROUND('C1-Incomes'!GN14-'C1-Incomes'!EI14,3),";  %let  tran3_",'C10-Adj by Source'!A12,"=",ROUND('C1-Incomes'!GO14-'C1-Incomes'!EJ14,3),"; %let  tran4_",'C10-Adj by Source'!A12,"=",ROUND('C1-Incomes'!GP14-'C1-Incomes'!EK14,3),"; %let  tran5_",'C10-Adj by Source'!A12,"=",ROUND('C1-Incomes'!GQ14-'C1-Incomes'!EL14,3),"; %let  tran6_",'C10-Adj by Source'!A12,"=",ROUND('C1-Incomes'!GR14-'C1-Incomes'!EM14,3),"; %let  tran7_",'C10-Adj by Source'!A12,"=",ROUND('C1-Incomes'!GS14-'C1-Incomes'!EN14,3),"; %let tran",'C10-Adj by Source'!A12,"=",ROUND('C1-Incomes'!GM14-'C1-Incomes'!EH14,3),";" )</f>
        <v>%let tran1_1966=84301.256; %let  tran2_1966=18141.579;  %let  tran3_1966=10362.685; %let  tran4_1966=2831.514; %let  tran5_1966=1609.301; %let  tran6_1966=527.061; %let  tran7_1966=113.535; %let tran1966=102442.835;</v>
      </c>
    </row>
    <row r="185" spans="1:15" x14ac:dyDescent="0.3">
      <c r="A185" s="655">
        <f t="shared" si="0"/>
        <v>1965</v>
      </c>
      <c r="B185" s="8">
        <f>'C22-Fiduciary'!L10</f>
        <v>659</v>
      </c>
      <c r="C185" s="8">
        <f>'C22-Fiduciary'!I10</f>
        <v>294.01249999999999</v>
      </c>
      <c r="H185" s="655" t="str">
        <f>CONCATENATE("%let tran1_",'C10-Adj by Source'!A13,"=",ROUND('C1-Incomes'!GM15-'C1-Incomes'!EH15-'C1-Incomes'!GN15+'C1-Incomes'!EI15,3),"; %let  tran2_",'C10-Adj by Source'!A13,"=",ROUND('C1-Incomes'!GN15-'C1-Incomes'!EI15,3),";  %let  tran3_",'C10-Adj by Source'!A13,"=",ROUND('C1-Incomes'!GO15-'C1-Incomes'!EJ15,3),"; %let  tran4_",'C10-Adj by Source'!A13,"=",ROUND('C1-Incomes'!GP15-'C1-Incomes'!EK15,3),"; %let  tran5_",'C10-Adj by Source'!A13,"=",ROUND('C1-Incomes'!GQ15-'C1-Incomes'!EL15,3),"; %let  tran6_",'C10-Adj by Source'!A13,"=",ROUND('C1-Incomes'!GR15-'C1-Incomes'!EM15,3),"; %let  tran7_",'C10-Adj by Source'!A13,"=",ROUND('C1-Incomes'!GS15-'C1-Incomes'!EN15,3),"; %let tran",'C10-Adj by Source'!A13,"=",ROUND('C1-Incomes'!GM15-'C1-Incomes'!EH15,3),";" )</f>
        <v>%let tran1_1967=96107.7; %let  tran2_1967=20225.438;  %let  tran3_1967=11379.546; %let  tran4_1967=3176.832; %let  tran5_1967=1858.253; %let  tran6_1967=572.079; %let  tran7_1967=117.964; %let tran1967=116333.138;</v>
      </c>
    </row>
    <row r="186" spans="1:15" x14ac:dyDescent="0.3">
      <c r="A186" s="655">
        <f t="shared" si="0"/>
        <v>1966</v>
      </c>
      <c r="B186" s="8"/>
      <c r="C186" s="8"/>
      <c r="H186" s="655" t="str">
        <f>CONCATENATE("%let tran1_",'C10-Adj by Source'!A14,"=",ROUND('C1-Incomes'!GM16-'C1-Incomes'!EH16-'C1-Incomes'!GN16+'C1-Incomes'!EI16,3),"; %let  tran2_",'C10-Adj by Source'!A14,"=",ROUND('C1-Incomes'!GN16-'C1-Incomes'!EI16,3),";  %let  tran3_",'C10-Adj by Source'!A14,"=",ROUND('C1-Incomes'!GO16-'C1-Incomes'!EJ16,3),"; %let  tran4_",'C10-Adj by Source'!A14,"=",ROUND('C1-Incomes'!GP16-'C1-Incomes'!EK16,3),"; %let  tran5_",'C10-Adj by Source'!A14,"=",ROUND('C1-Incomes'!GQ16-'C1-Incomes'!EL16,3),"; %let  tran6_",'C10-Adj by Source'!A14,"=",ROUND('C1-Incomes'!GR16-'C1-Incomes'!EM16,3),"; %let  tran7_",'C10-Adj by Source'!A14,"=",ROUND('C1-Incomes'!GS16-'C1-Incomes'!EN16,3),"; %let tran",'C10-Adj by Source'!A14,"=",ROUND('C1-Incomes'!GM16-'C1-Incomes'!EH16,3),";" )</f>
        <v>%let tran1_1968=108019.885; %let  tran2_1968=21693.542;  %let  tran3_1968=12605.517; %let  tran4_1968=3278.51; %let  tran5_1968=1920.484; %let  tran6_1968=605.782; %let  tran7_1968=128.86; %let tran1968=129713.427;</v>
      </c>
    </row>
    <row r="187" spans="1:15" x14ac:dyDescent="0.3">
      <c r="A187" s="655">
        <f t="shared" si="0"/>
        <v>1967</v>
      </c>
      <c r="B187" s="8"/>
      <c r="C187" s="8"/>
      <c r="H187" s="655" t="str">
        <f>CONCATENATE("%let tran1_",'C10-Adj by Source'!A15,"=",ROUND('C1-Incomes'!GM17-'C1-Incomes'!EH17-'C1-Incomes'!GN17+'C1-Incomes'!EI17,3),"; %let  tran2_",'C10-Adj by Source'!A15,"=",ROUND('C1-Incomes'!GN17-'C1-Incomes'!EI17,3),";  %let  tran3_",'C10-Adj by Source'!A15,"=",ROUND('C1-Incomes'!GO17-'C1-Incomes'!EJ17,3),"; %let  tran4_",'C10-Adj by Source'!A15,"=",ROUND('C1-Incomes'!GP17-'C1-Incomes'!EK17,3),"; %let  tran5_",'C10-Adj by Source'!A15,"=",ROUND('C1-Incomes'!GQ17-'C1-Incomes'!EL17,3),"; %let  tran6_",'C10-Adj by Source'!A15,"=",ROUND('C1-Incomes'!GR17-'C1-Incomes'!EM17,3),"; %let  tran7_",'C10-Adj by Source'!A15,"=",ROUND('C1-Incomes'!GS17-'C1-Incomes'!EN17,3),"; %let tran",'C10-Adj by Source'!A15,"=",ROUND('C1-Incomes'!GM17-'C1-Incomes'!EH17,3),";" )</f>
        <v>%let tran1_1969=121195.143; %let  tran2_1969=24635.292;  %let  tran3_1969=14079.233; %let  tran4_1969=3530.502; %let  tran5_1969=2203.358; %let  tran6_1969=624.01; %let  tran7_1969=142.99; %let tran1969=145830.435;</v>
      </c>
    </row>
    <row r="188" spans="1:15" x14ac:dyDescent="0.3">
      <c r="A188" s="655">
        <f t="shared" si="0"/>
        <v>1968</v>
      </c>
      <c r="B188" s="8"/>
      <c r="C188" s="8"/>
      <c r="H188" s="655" t="str">
        <f>CONCATENATE("%let tran1_",'C10-Adj by Source'!A16,"=",ROUND('C1-Incomes'!GM18-'C1-Incomes'!EH18-'C1-Incomes'!GN18+'C1-Incomes'!EI18,3),"; %let  tran2_",'C10-Adj by Source'!A16,"=",ROUND('C1-Incomes'!GN18-'C1-Incomes'!EI18,3),";  %let  tran3_",'C10-Adj by Source'!A16,"=",ROUND('C1-Incomes'!GO18-'C1-Incomes'!EJ18,3),"; %let  tran4_",'C10-Adj by Source'!A16,"=",ROUND('C1-Incomes'!GP18-'C1-Incomes'!EK18,3),"; %let  tran5_",'C10-Adj by Source'!A16,"=",ROUND('C1-Incomes'!GQ18-'C1-Incomes'!EL18,3),"; %let  tran6_",'C10-Adj by Source'!A16,"=",ROUND('C1-Incomes'!GR18-'C1-Incomes'!EM18,3),"; %let  tran7_",'C10-Adj by Source'!A16,"=",ROUND('C1-Incomes'!GS18-'C1-Incomes'!EN18,3),"; %let tran",'C10-Adj by Source'!A16,"=",ROUND('C1-Incomes'!GM18-'C1-Incomes'!EH18,3),";" )</f>
        <v>%let tran1_1970=138583.838; %let  tran2_1970=26878.019;  %let  tran3_1970=15404.366; %let  tran4_1970=4170.916; %let  tran5_1970=2423.27; %let  tran6_1970=741.747; %let  tran7_1970=163.534; %let tran1970=165461.857;</v>
      </c>
    </row>
    <row r="189" spans="1:15" x14ac:dyDescent="0.3">
      <c r="A189" s="655">
        <f t="shared" si="0"/>
        <v>1969</v>
      </c>
      <c r="B189" s="8"/>
      <c r="C189" s="8"/>
      <c r="H189" s="655" t="str">
        <f>CONCATENATE("%let tran1_",'C10-Adj by Source'!A17,"=",ROUND('C1-Incomes'!GM19-'C1-Incomes'!EH19-'C1-Incomes'!GN19+'C1-Incomes'!EI19,3),"; %let  tran2_",'C10-Adj by Source'!A17,"=",ROUND('C1-Incomes'!GN19-'C1-Incomes'!EI19,3),";  %let  tran3_",'C10-Adj by Source'!A17,"=",ROUND('C1-Incomes'!GO19-'C1-Incomes'!EJ19,3),"; %let  tran4_",'C10-Adj by Source'!A17,"=",ROUND('C1-Incomes'!GP19-'C1-Incomes'!EK19,3),"; %let  tran5_",'C10-Adj by Source'!A17,"=",ROUND('C1-Incomes'!GQ19-'C1-Incomes'!EL19,3),"; %let  tran6_",'C10-Adj by Source'!A17,"=",ROUND('C1-Incomes'!GR19-'C1-Incomes'!EM19,3),"; %let  tran7_",'C10-Adj by Source'!A17,"=",ROUND('C1-Incomes'!GS19-'C1-Incomes'!EN19,3),"; %let tran",'C10-Adj by Source'!A17,"=",ROUND('C1-Incomes'!GM19-'C1-Incomes'!EH19,3),";" )</f>
        <v>%let tran1_1971=158259.12; %let  tran2_1971=30346.722;  %let  tran3_1971=17318.352; %let  tran4_1971=4472.28; %let  tran5_1971=2680.9; %let  tran6_1971=750.685; %let  tran7_1971=163.773; %let tran1971=188605.842;</v>
      </c>
    </row>
    <row r="190" spans="1:15" x14ac:dyDescent="0.3">
      <c r="A190" s="655">
        <f t="shared" si="0"/>
        <v>1970</v>
      </c>
      <c r="B190" s="8"/>
      <c r="C190" s="8"/>
      <c r="H190" s="655" t="str">
        <f>CONCATENATE("%let tran1_",'C10-Adj by Source'!A18,"=",ROUND('C1-Incomes'!GM20-'C1-Incomes'!EH20-'C1-Incomes'!GN20+'C1-Incomes'!EI20,3),"; %let  tran2_",'C10-Adj by Source'!A18,"=",ROUND('C1-Incomes'!GN20-'C1-Incomes'!EI20,3),";  %let  tran3_",'C10-Adj by Source'!A18,"=",ROUND('C1-Incomes'!GO20-'C1-Incomes'!EJ20,3),"; %let  tran4_",'C10-Adj by Source'!A18,"=",ROUND('C1-Incomes'!GP20-'C1-Incomes'!EK20,3),"; %let  tran5_",'C10-Adj by Source'!A18,"=",ROUND('C1-Incomes'!GQ20-'C1-Incomes'!EL20,3),"; %let  tran6_",'C10-Adj by Source'!A18,"=",ROUND('C1-Incomes'!GR20-'C1-Incomes'!EM20,3),"; %let  tran7_",'C10-Adj by Source'!A18,"=",ROUND('C1-Incomes'!GS20-'C1-Incomes'!EN20,3),"; %let tran",'C10-Adj by Source'!A18,"=",ROUND('C1-Incomes'!GM20-'C1-Incomes'!EH20,3),";" )</f>
        <v>%let tran1_1972=171690.911; %let  tran2_1972=31093.524;  %let  tran3_1972=17835.626; %let  tran4_1972=4695.237; %let  tran5_1972=2681.83; %let  tran6_1972=671.493; %let  tran7_1972=180.021; %let tran1972=202784.435;</v>
      </c>
    </row>
    <row r="191" spans="1:15" x14ac:dyDescent="0.3">
      <c r="A191" s="655">
        <f t="shared" si="0"/>
        <v>1971</v>
      </c>
      <c r="B191" s="8"/>
      <c r="C191" s="8"/>
      <c r="H191" s="655" t="str">
        <f>CONCATENATE("%let tran1_",'C10-Adj by Source'!A19,"=",ROUND('C1-Incomes'!GM21-'C1-Incomes'!EH21-'C1-Incomes'!GN21+'C1-Incomes'!EI21,3),"; %let  tran2_",'C10-Adj by Source'!A19,"=",ROUND('C1-Incomes'!GN21-'C1-Incomes'!EI21,3),";  %let  tran3_",'C10-Adj by Source'!A19,"=",ROUND('C1-Incomes'!GO21-'C1-Incomes'!EJ21,3),"; %let  tran4_",'C10-Adj by Source'!A19,"=",ROUND('C1-Incomes'!GP21-'C1-Incomes'!EK21,3),"; %let  tran5_",'C10-Adj by Source'!A19,"=",ROUND('C1-Incomes'!GQ21-'C1-Incomes'!EL21,3),"; %let  tran6_",'C10-Adj by Source'!A19,"=",ROUND('C1-Incomes'!GR21-'C1-Incomes'!EM21,3),"; %let  tran7_",'C10-Adj by Source'!A19,"=",ROUND('C1-Incomes'!GS21-'C1-Incomes'!EN21,3),"; %let tran",'C10-Adj by Source'!A19,"=",ROUND('C1-Incomes'!GM21-'C1-Incomes'!EH21,3),";" )</f>
        <v>%let tran1_1973=192622.694; %let  tran2_1973=34763.983;  %let  tran3_1973=19767.668; %let  tran4_1973=5460.976; %let  tran5_1973=3126.285; %let  tran6_1973=911.852; %let  tran7_1973=202.37; %let tran1973=227386.677;</v>
      </c>
    </row>
    <row r="192" spans="1:15" x14ac:dyDescent="0.3">
      <c r="A192" s="655">
        <f t="shared" si="0"/>
        <v>1972</v>
      </c>
      <c r="B192" s="8"/>
      <c r="C192" s="8"/>
      <c r="H192" s="655" t="str">
        <f>CONCATENATE("%let tran1_",'C10-Adj by Source'!A20,"=",ROUND('C1-Incomes'!GM22-'C1-Incomes'!EH22-'C1-Incomes'!GN22+'C1-Incomes'!EI22,3),"; %let  tran2_",'C10-Adj by Source'!A20,"=",ROUND('C1-Incomes'!GN22-'C1-Incomes'!EI22,3),";  %let  tran3_",'C10-Adj by Source'!A20,"=",ROUND('C1-Incomes'!GO22-'C1-Incomes'!EJ22,3),"; %let  tran4_",'C10-Adj by Source'!A20,"=",ROUND('C1-Incomes'!GP22-'C1-Incomes'!EK22,3),"; %let  tran5_",'C10-Adj by Source'!A20,"=",ROUND('C1-Incomes'!GQ22-'C1-Incomes'!EL22,3),"; %let  tran6_",'C10-Adj by Source'!A20,"=",ROUND('C1-Incomes'!GR22-'C1-Incomes'!EM22,3),"; %let  tran7_",'C10-Adj by Source'!A20,"=",ROUND('C1-Incomes'!GS22-'C1-Incomes'!EN22,3),"; %let tran",'C10-Adj by Source'!A20,"=",ROUND('C1-Incomes'!GM22-'C1-Incomes'!EH22,3),";" )</f>
        <v>%let tran1_1974=223955.599; %let  tran2_1974=39484.274;  %let  tran3_1974=23128.933; %let  tran4_1974=6244.02; %let  tran5_1974=3272.234; %let  tran6_1974=1197.619; %let  tran7_1974=255.229; %let tran1974=263439.873;</v>
      </c>
    </row>
    <row r="193" spans="1:8" x14ac:dyDescent="0.3">
      <c r="A193" s="655">
        <f t="shared" si="0"/>
        <v>1973</v>
      </c>
      <c r="B193" s="8"/>
      <c r="C193" s="8"/>
      <c r="H193" s="655" t="str">
        <f>CONCATENATE("%let tran1_",'C10-Adj by Source'!A21,"=",ROUND('C1-Incomes'!GM23-'C1-Incomes'!EH23-'C1-Incomes'!GN23+'C1-Incomes'!EI23,3),"; %let  tran2_",'C10-Adj by Source'!A21,"=",ROUND('C1-Incomes'!GN23-'C1-Incomes'!EI23,3),";  %let  tran3_",'C10-Adj by Source'!A21,"=",ROUND('C1-Incomes'!GO23-'C1-Incomes'!EJ23,3),"; %let  tran4_",'C10-Adj by Source'!A21,"=",ROUND('C1-Incomes'!GP23-'C1-Incomes'!EK23,3),"; %let  tran5_",'C10-Adj by Source'!A21,"=",ROUND('C1-Incomes'!GQ23-'C1-Incomes'!EL23,3),"; %let  tran6_",'C10-Adj by Source'!A21,"=",ROUND('C1-Incomes'!GR23-'C1-Incomes'!EM23,3),"; %let  tran7_",'C10-Adj by Source'!A21,"=",ROUND('C1-Incomes'!GS23-'C1-Incomes'!EN23,3),"; %let tran",'C10-Adj by Source'!A21,"=",ROUND('C1-Incomes'!GM23-'C1-Incomes'!EH23,3),";" )</f>
        <v>%let tran1_1975=268939.553; %let  tran2_1975=45016.583;  %let  tran3_1975=26202.029; %let  tran4_1975=7133.66; %let  tran5_1975=3925.16; %let  tran6_1975=1299.227; %let  tran7_1975=296.338; %let tran1975=313956.136;</v>
      </c>
    </row>
    <row r="194" spans="1:8" x14ac:dyDescent="0.3">
      <c r="A194" s="655">
        <f t="shared" si="0"/>
        <v>1974</v>
      </c>
      <c r="B194" s="8"/>
      <c r="C194" s="8"/>
      <c r="H194" s="655" t="str">
        <f>CONCATENATE("%let tran1_",'C10-Adj by Source'!A22,"=",ROUND('C1-Incomes'!GM24-'C1-Incomes'!EH24-'C1-Incomes'!GN24+'C1-Incomes'!EI24,3),"; %let  tran2_",'C10-Adj by Source'!A22,"=",ROUND('C1-Incomes'!GN24-'C1-Incomes'!EI24,3),";  %let  tran3_",'C10-Adj by Source'!A22,"=",ROUND('C1-Incomes'!GO24-'C1-Incomes'!EJ24,3),"; %let  tran4_",'C10-Adj by Source'!A22,"=",ROUND('C1-Incomes'!GP24-'C1-Incomes'!EK24,3),"; %let  tran5_",'C10-Adj by Source'!A22,"=",ROUND('C1-Incomes'!GQ24-'C1-Incomes'!EL24,3),"; %let  tran6_",'C10-Adj by Source'!A22,"=",ROUND('C1-Incomes'!GR24-'C1-Incomes'!EM24,3),"; %let  tran7_",'C10-Adj by Source'!A22,"=",ROUND('C1-Incomes'!GS24-'C1-Incomes'!EN24,3),"; %let tran",'C10-Adj by Source'!A22,"=",ROUND('C1-Incomes'!GM24-'C1-Incomes'!EH24,3),";" )</f>
        <v>%let tran1_1976=285842.341; %let  tran2_1976=47787.928;  %let  tran3_1976=27763.897; %let  tran4_1976=7578.279; %let  tran5_1976=4384.074; %let  tran6_1976=1336.391; %let  tran7_1976=310.589; %let tran1976=333630.269;</v>
      </c>
    </row>
    <row r="195" spans="1:8" x14ac:dyDescent="0.3">
      <c r="A195" s="655">
        <f t="shared" si="0"/>
        <v>1975</v>
      </c>
      <c r="B195" s="8"/>
      <c r="C195" s="8"/>
      <c r="H195" s="655" t="str">
        <f>CONCATENATE("%let tran1_",'C10-Adj by Source'!A23,"=",ROUND('C1-Incomes'!GM25-'C1-Incomes'!EH25-'C1-Incomes'!GN25+'C1-Incomes'!EI25,3),"; %let  tran2_",'C10-Adj by Source'!A23,"=",ROUND('C1-Incomes'!GN25-'C1-Incomes'!EI25,3),";  %let  tran3_",'C10-Adj by Source'!A23,"=",ROUND('C1-Incomes'!GO25-'C1-Incomes'!EJ25,3),"; %let  tran4_",'C10-Adj by Source'!A23,"=",ROUND('C1-Incomes'!GP25-'C1-Incomes'!EK25,3),"; %let  tran5_",'C10-Adj by Source'!A23,"=",ROUND('C1-Incomes'!GQ25-'C1-Incomes'!EL25,3),"; %let  tran6_",'C10-Adj by Source'!A23,"=",ROUND('C1-Incomes'!GR25-'C1-Incomes'!EM25,3),"; %let  tran7_",'C10-Adj by Source'!A23,"=",ROUND('C1-Incomes'!GS25-'C1-Incomes'!EN25,3),"; %let tran",'C10-Adj by Source'!A23,"=",ROUND('C1-Incomes'!GM25-'C1-Incomes'!EH25,3),";" )</f>
        <v>%let tran1_1977=310587.107; %let  tran2_1977=52069.014;  %let  tran3_1977=29967.109; %let  tran4_1977=8128.245; %let  tran5_1977=4745.542; %let  tran6_1977=1493.117; %let  tran7_1977=332.267; %let tran1977=362656.121;</v>
      </c>
    </row>
    <row r="196" spans="1:8" x14ac:dyDescent="0.3">
      <c r="A196" s="655">
        <f t="shared" si="0"/>
        <v>1976</v>
      </c>
      <c r="B196" s="8"/>
      <c r="C196" s="8"/>
      <c r="H196" s="655" t="str">
        <f>CONCATENATE("%let tran1_",'C10-Adj by Source'!A24,"=",ROUND('C1-Incomes'!GM26-'C1-Incomes'!EH26-'C1-Incomes'!GN26+'C1-Incomes'!EI26,3),"; %let  tran2_",'C10-Adj by Source'!A24,"=",ROUND('C1-Incomes'!GN26-'C1-Incomes'!EI26,3),";  %let  tran3_",'C10-Adj by Source'!A24,"=",ROUND('C1-Incomes'!GO26-'C1-Incomes'!EJ26,3),"; %let  tran4_",'C10-Adj by Source'!A24,"=",ROUND('C1-Incomes'!GP26-'C1-Incomes'!EK26,3),"; %let  tran5_",'C10-Adj by Source'!A24,"=",ROUND('C1-Incomes'!GQ26-'C1-Incomes'!EL26,3),"; %let  tran6_",'C10-Adj by Source'!A24,"=",ROUND('C1-Incomes'!GR26-'C1-Incomes'!EM26,3),"; %let  tran7_",'C10-Adj by Source'!A24,"=",ROUND('C1-Incomes'!GS26-'C1-Incomes'!EN26,3),"; %let tran",'C10-Adj by Source'!A24,"=",ROUND('C1-Incomes'!GM26-'C1-Incomes'!EH26,3),";" )</f>
        <v>%let tran1_1978=339253.255; %let  tran2_1978=58026.577;  %let  tran3_1978=33294.199; %let  tran4_1978=9394.732; %let  tran5_1978=5602.498; %let  tran6_1978=1744.533; %let  tran7_1978=395.687; %let tran1978=397279.832;</v>
      </c>
    </row>
    <row r="197" spans="1:8" x14ac:dyDescent="0.3">
      <c r="A197" s="655">
        <f t="shared" si="0"/>
        <v>1977</v>
      </c>
      <c r="B197" s="8"/>
      <c r="C197" s="8"/>
      <c r="H197" s="655" t="str">
        <f>CONCATENATE("%let tran1_",'C10-Adj by Source'!A25,"=",ROUND('C1-Incomes'!GM27-'C1-Incomes'!EH27-'C1-Incomes'!GN27+'C1-Incomes'!EI27,3),"; %let  tran2_",'C10-Adj by Source'!A25,"=",ROUND('C1-Incomes'!GN27-'C1-Incomes'!EI27,3),";  %let  tran3_",'C10-Adj by Source'!A25,"=",ROUND('C1-Incomes'!GO27-'C1-Incomes'!EJ27,3),"; %let  tran4_",'C10-Adj by Source'!A25,"=",ROUND('C1-Incomes'!GP27-'C1-Incomes'!EK27,3),"; %let  tran5_",'C10-Adj by Source'!A25,"=",ROUND('C1-Incomes'!GQ27-'C1-Incomes'!EL27,3),"; %let  tran6_",'C10-Adj by Source'!A25,"=",ROUND('C1-Incomes'!GR27-'C1-Incomes'!EM27,3),"; %let  tran7_",'C10-Adj by Source'!A25,"=",ROUND('C1-Incomes'!GS27-'C1-Incomes'!EN27,3),"; %let tran",'C10-Adj by Source'!A25,"=",ROUND('C1-Incomes'!GM27-'C1-Incomes'!EH27,3),";" )</f>
        <v>%let tran1_1979=387838.807; %let  tran2_1979=64994.878;  %let  tran3_1979=37940.713; %let  tran4_1979=10494.38; %let  tran5_1979=6232.91; %let  tran6_1979=1999.912; %let  tran7_1979=481.382; %let tran1979=452833.685;</v>
      </c>
    </row>
    <row r="198" spans="1:8" x14ac:dyDescent="0.3">
      <c r="A198" s="655">
        <f t="shared" si="0"/>
        <v>1978</v>
      </c>
      <c r="B198" s="8"/>
      <c r="C198" s="8"/>
      <c r="H198" s="655" t="str">
        <f>CONCATENATE("%let tran1_",'C10-Adj by Source'!A26,"=",ROUND('C1-Incomes'!GM28-'C1-Incomes'!EH28-'C1-Incomes'!GN28+'C1-Incomes'!EI28,3),"; %let  tran2_",'C10-Adj by Source'!A26,"=",ROUND('C1-Incomes'!GN28-'C1-Incomes'!EI28,3),";  %let  tran3_",'C10-Adj by Source'!A26,"=",ROUND('C1-Incomes'!GO28-'C1-Incomes'!EJ28,3),"; %let  tran4_",'C10-Adj by Source'!A26,"=",ROUND('C1-Incomes'!GP28-'C1-Incomes'!EK28,3),"; %let  tran5_",'C10-Adj by Source'!A26,"=",ROUND('C1-Incomes'!GQ28-'C1-Incomes'!EL28,3),"; %let  tran6_",'C10-Adj by Source'!A26,"=",ROUND('C1-Incomes'!GR28-'C1-Incomes'!EM28,3),"; %let  tran7_",'C10-Adj by Source'!A26,"=",ROUND('C1-Incomes'!GS28-'C1-Incomes'!EN28,3),"; %let tran",'C10-Adj by Source'!A26,"=",ROUND('C1-Incomes'!GM28-'C1-Incomes'!EH28,3),";" )</f>
        <v>%let tran1_1980=456298.322; %let  tran2_1980=77656.18;  %let  tran3_1980=45379.779; %let  tran4_1980=12698.788; %let  tran5_1980=7590.254; %let  tran6_1980=2475.88; %let  tran7_1980=648.204; %let tran1980=533954.502;</v>
      </c>
    </row>
    <row r="199" spans="1:8" x14ac:dyDescent="0.3">
      <c r="A199" s="655">
        <f t="shared" si="0"/>
        <v>1979</v>
      </c>
      <c r="B199" s="8"/>
      <c r="C199" s="8"/>
      <c r="H199" s="655" t="str">
        <f>CONCATENATE("%let tran1_",'C10-Adj by Source'!A27,"=",ROUND('C1-Incomes'!GM29-'C1-Incomes'!EH29-'C1-Incomes'!GN29+'C1-Incomes'!EI29,3),"; %let  tran2_",'C10-Adj by Source'!A27,"=",ROUND('C1-Incomes'!GN29-'C1-Incomes'!EI29,3),";  %let  tran3_",'C10-Adj by Source'!A27,"=",ROUND('C1-Incomes'!GO29-'C1-Incomes'!EJ29,3),"; %let  tran4_",'C10-Adj by Source'!A27,"=",ROUND('C1-Incomes'!GP29-'C1-Incomes'!EK29,3),"; %let  tran5_",'C10-Adj by Source'!A27,"=",ROUND('C1-Incomes'!GQ29-'C1-Incomes'!EL29,3),"; %let  tran6_",'C10-Adj by Source'!A27,"=",ROUND('C1-Incomes'!GR29-'C1-Incomes'!EM29,3),"; %let  tran7_",'C10-Adj by Source'!A27,"=",ROUND('C1-Incomes'!GS29-'C1-Incomes'!EN29,3),"; %let tran",'C10-Adj by Source'!A27,"=",ROUND('C1-Incomes'!GM29-'C1-Incomes'!EH29,3),";" )</f>
        <v>%let tran1_1981=516054.763; %let  tran2_1981=90380.781;  %let  tran3_1981=51712.2; %let  tran4_1981=14379.093; %let  tran5_1981=8798.443; %let  tran6_1981=2819.272; %let  tran7_1981=782.105; %let tran1981=606435.544;</v>
      </c>
    </row>
    <row r="200" spans="1:8" x14ac:dyDescent="0.3">
      <c r="A200" s="655">
        <f t="shared" si="0"/>
        <v>1980</v>
      </c>
      <c r="B200" s="8"/>
      <c r="C200" s="8"/>
      <c r="H200" s="655" t="str">
        <f>CONCATENATE("%let tran1_",'C10-Adj by Source'!A28,"=",ROUND('C1-Incomes'!GM30-'C1-Incomes'!EH30-'C1-Incomes'!GN30+'C1-Incomes'!EI30,3),"; %let  tran2_",'C10-Adj by Source'!A28,"=",ROUND('C1-Incomes'!GN30-'C1-Incomes'!EI30,3),";  %let  tran3_",'C10-Adj by Source'!A28,"=",ROUND('C1-Incomes'!GO30-'C1-Incomes'!EJ30,3),"; %let  tran4_",'C10-Adj by Source'!A28,"=",ROUND('C1-Incomes'!GP30-'C1-Incomes'!EK30,3),"; %let  tran5_",'C10-Adj by Source'!A28,"=",ROUND('C1-Incomes'!GQ30-'C1-Incomes'!EL30,3),"; %let  tran6_",'C10-Adj by Source'!A28,"=",ROUND('C1-Incomes'!GR30-'C1-Incomes'!EM30,3),"; %let  tran7_",'C10-Adj by Source'!A28,"=",ROUND('C1-Incomes'!GS30-'C1-Incomes'!EN30,3),"; %let tran",'C10-Adj by Source'!A28,"=",ROUND('C1-Incomes'!GM30-'C1-Incomes'!EH30,3),";" )</f>
        <v>%let tran1_1982=564660.969; %let  tran2_1982=99778.7;  %let  tran3_1982=57559.677; %let  tran4_1982=16408.133; %let  tran5_1982=10010.656; %let  tran6_1982=3673.813; %let  tran7_1982=972.966; %let tran1982=664439.669;</v>
      </c>
    </row>
    <row r="201" spans="1:8" x14ac:dyDescent="0.3">
      <c r="A201" s="655">
        <f t="shared" si="0"/>
        <v>1981</v>
      </c>
      <c r="B201" s="8"/>
      <c r="C201" s="8"/>
      <c r="H201" s="655" t="str">
        <f>CONCATENATE("%let tran1_",'C10-Adj by Source'!A29,"=",ROUND('C1-Incomes'!GM31-'C1-Incomes'!EH31-'C1-Incomes'!GN31+'C1-Incomes'!EI31,3),"; %let  tran2_",'C10-Adj by Source'!A29,"=",ROUND('C1-Incomes'!GN31-'C1-Incomes'!EI31,3),";  %let  tran3_",'C10-Adj by Source'!A29,"=",ROUND('C1-Incomes'!GO31-'C1-Incomes'!EJ31,3),"; %let  tran4_",'C10-Adj by Source'!A29,"=",ROUND('C1-Incomes'!GP31-'C1-Incomes'!EK31,3),"; %let  tran5_",'C10-Adj by Source'!A29,"=",ROUND('C1-Incomes'!GQ31-'C1-Incomes'!EL31,3),"; %let  tran6_",'C10-Adj by Source'!A29,"=",ROUND('C1-Incomes'!GR31-'C1-Incomes'!EM31,3),"; %let  tran7_",'C10-Adj by Source'!A29,"=",ROUND('C1-Incomes'!GS31-'C1-Incomes'!EN31,3),"; %let tran",'C10-Adj by Source'!A29,"=",ROUND('C1-Incomes'!GM31-'C1-Incomes'!EH31,3),";" )</f>
        <v>%let tran1_1983=617603.307; %let  tran2_1983=113049.965;  %let  tran3_1983=65807.981; %let  tran4_1983=18528.904; %let  tran5_1983=11643.424; %let  tran6_1983=4101.894; %let  tran7_1983=1114.863; %let tran1983=730653.271;</v>
      </c>
    </row>
    <row r="202" spans="1:8" x14ac:dyDescent="0.3">
      <c r="A202" s="655">
        <f t="shared" si="0"/>
        <v>1982</v>
      </c>
      <c r="B202" s="8"/>
      <c r="C202" s="8"/>
      <c r="H202" s="655" t="str">
        <f>CONCATENATE("%let tran1_",'C10-Adj by Source'!A30,"=",ROUND('C1-Incomes'!GM32-'C1-Incomes'!EH32-'C1-Incomes'!GN32+'C1-Incomes'!EI32,3),"; %let  tran2_",'C10-Adj by Source'!A30,"=",ROUND('C1-Incomes'!GN32-'C1-Incomes'!EI32,3),";  %let  tran3_",'C10-Adj by Source'!A30,"=",ROUND('C1-Incomes'!GO32-'C1-Incomes'!EJ32,3),"; %let  tran4_",'C10-Adj by Source'!A30,"=",ROUND('C1-Incomes'!GP32-'C1-Incomes'!EK32,3),"; %let  tran5_",'C10-Adj by Source'!A30,"=",ROUND('C1-Incomes'!GQ32-'C1-Incomes'!EL32,3),"; %let  tran6_",'C10-Adj by Source'!A30,"=",ROUND('C1-Incomes'!GR32-'C1-Incomes'!EM32,3),"; %let  tran7_",'C10-Adj by Source'!A30,"=",ROUND('C1-Incomes'!GS32-'C1-Incomes'!EN32,3),"; %let tran",'C10-Adj by Source'!A30,"=",ROUND('C1-Incomes'!GM32-'C1-Incomes'!EH32,3),";" )</f>
        <v>%let tran1_1984=661062.855; %let  tran2_1984=126053.747;  %let  tran3_1984=73240.913; %let  tran4_1984=21252.56; %let  tran5_1984=13494.086; %let  tran6_1984=5120.795; %let  tran7_1984=1404.765; %let tran1984=787116.603;</v>
      </c>
    </row>
    <row r="203" spans="1:8" x14ac:dyDescent="0.3">
      <c r="A203" s="655">
        <f t="shared" si="0"/>
        <v>1983</v>
      </c>
      <c r="B203" s="8"/>
      <c r="C203" s="8"/>
      <c r="H203" s="655" t="str">
        <f>CONCATENATE("%let tran1_",'C10-Adj by Source'!A31,"=",ROUND('C1-Incomes'!GM33-'C1-Incomes'!EH33-'C1-Incomes'!GN33+'C1-Incomes'!EI33,3),"; %let  tran2_",'C10-Adj by Source'!A31,"=",ROUND('C1-Incomes'!GN33-'C1-Incomes'!EI33,3),";  %let  tran3_",'C10-Adj by Source'!A31,"=",ROUND('C1-Incomes'!GO33-'C1-Incomes'!EJ33,3),"; %let  tran4_",'C10-Adj by Source'!A31,"=",ROUND('C1-Incomes'!GP33-'C1-Incomes'!EK33,3),"; %let  tran5_",'C10-Adj by Source'!A31,"=",ROUND('C1-Incomes'!GQ33-'C1-Incomes'!EL33,3),"; %let  tran6_",'C10-Adj by Source'!A31,"=",ROUND('C1-Incomes'!GR33-'C1-Incomes'!EM33,3),"; %let  tran7_",'C10-Adj by Source'!A31,"=",ROUND('C1-Incomes'!GS33-'C1-Incomes'!EN33,3),"; %let tran",'C10-Adj by Source'!A31,"=",ROUND('C1-Incomes'!GM33-'C1-Incomes'!EH33,3),";" )</f>
        <v>%let tran1_1985=707639.35; %let  tran2_1985=139165.09;  %let  tran3_1985=81862.825; %let  tran4_1985=24214.108; %let  tran5_1985=15280.893; %let  tran6_1985=5683.231; %let  tran7_1985=1542.938; %let tran1985=846804.44;</v>
      </c>
    </row>
    <row r="204" spans="1:8" x14ac:dyDescent="0.3">
      <c r="A204" s="655">
        <f t="shared" si="0"/>
        <v>1984</v>
      </c>
      <c r="B204" s="8"/>
      <c r="C204" s="8"/>
      <c r="H204" s="655" t="str">
        <f>CONCATENATE("%let tran1_",'C10-Adj by Source'!A32,"=",ROUND('C1-Incomes'!GM34-'C1-Incomes'!EH34-'C1-Incomes'!GN34+'C1-Incomes'!EI34,3),"; %let  tran2_",'C10-Adj by Source'!A32,"=",ROUND('C1-Incomes'!GN34-'C1-Incomes'!EI34,3),";  %let  tran3_",'C10-Adj by Source'!A32,"=",ROUND('C1-Incomes'!GO34-'C1-Incomes'!EJ34,3),"; %let  tran4_",'C10-Adj by Source'!A32,"=",ROUND('C1-Incomes'!GP34-'C1-Incomes'!EK34,3),"; %let  tran5_",'C10-Adj by Source'!A32,"=",ROUND('C1-Incomes'!GQ34-'C1-Incomes'!EL34,3),"; %let  tran6_",'C10-Adj by Source'!A32,"=",ROUND('C1-Incomes'!GR34-'C1-Incomes'!EM34,3),"; %let  tran7_",'C10-Adj by Source'!A32,"=",ROUND('C1-Incomes'!GS34-'C1-Incomes'!EN34,3),"; %let tran",'C10-Adj by Source'!A32,"=",ROUND('C1-Incomes'!GM34-'C1-Incomes'!EH34,3),";" )</f>
        <v>%let tran1_1986=759538.621; %let  tran2_1986=152035.984;  %let  tran3_1986=87553.112; %let  tran4_1986=25072.981; %let  tran5_1986=16061.795; %let  tran6_1986=5222.499; %let  tran7_1986=1640.542; %let tran1986=911574.605;</v>
      </c>
    </row>
    <row r="205" spans="1:8" x14ac:dyDescent="0.3">
      <c r="A205" s="655">
        <f t="shared" si="0"/>
        <v>1985</v>
      </c>
      <c r="B205" s="8"/>
      <c r="C205" s="8"/>
      <c r="H205" s="655" t="str">
        <f>CONCATENATE("%let tran1_",'C10-Adj by Source'!A33,"=",ROUND('C1-Incomes'!GM35-'C1-Incomes'!EH35-'C1-Incomes'!GN35+'C1-Incomes'!EI35,3),"; %let  tran2_",'C10-Adj by Source'!A33,"=",ROUND('C1-Incomes'!GN35-'C1-Incomes'!EI35,3),";  %let  tran3_",'C10-Adj by Source'!A33,"=",ROUND('C1-Incomes'!GO35-'C1-Incomes'!EJ35,3),"; %let  tran4_",'C10-Adj by Source'!A33,"=",ROUND('C1-Incomes'!GP35-'C1-Incomes'!EK35,3),"; %let  tran5_",'C10-Adj by Source'!A33,"=",ROUND('C1-Incomes'!GQ35-'C1-Incomes'!EL35,3),"; %let  tran6_",'C10-Adj by Source'!A33,"=",ROUND('C1-Incomes'!GR35-'C1-Incomes'!EM35,3),"; %let  tran7_",'C10-Adj by Source'!A33,"=",ROUND('C1-Incomes'!GS35-'C1-Incomes'!EN35,3),"; %let tran",'C10-Adj by Source'!A33,"=",ROUND('C1-Incomes'!GM35-'C1-Incomes'!EH35,3),";" )</f>
        <v>%let tran1_1987=771153.139; %let  tran2_1987=149249.28;  %let  tran3_1987=88224.547; %let  tran4_1987=28076.513; %let  tran5_1987=18073.5; %let  tran6_1987=7338.144; %let  tran7_1987=2300.886; %let tran1987=920402.418;</v>
      </c>
    </row>
    <row r="206" spans="1:8" x14ac:dyDescent="0.3">
      <c r="A206" s="655">
        <f t="shared" si="0"/>
        <v>1986</v>
      </c>
      <c r="B206" s="8"/>
      <c r="C206" s="8"/>
      <c r="H206" s="655" t="str">
        <f>CONCATENATE("%let tran1_",'C10-Adj by Source'!A34,"=",ROUND('C1-Incomes'!GM36-'C1-Incomes'!EH36-'C1-Incomes'!GN36+'C1-Incomes'!EI36,3),"; %let  tran2_",'C10-Adj by Source'!A34,"=",ROUND('C1-Incomes'!GN36-'C1-Incomes'!EI36,3),";  %let  tran3_",'C10-Adj by Source'!A34,"=",ROUND('C1-Incomes'!GO36-'C1-Incomes'!EJ36,3),"; %let  tran4_",'C10-Adj by Source'!A34,"=",ROUND('C1-Incomes'!GP36-'C1-Incomes'!EK36,3),"; %let  tran5_",'C10-Adj by Source'!A34,"=",ROUND('C1-Incomes'!GQ36-'C1-Incomes'!EL36,3),"; %let  tran6_",'C10-Adj by Source'!A34,"=",ROUND('C1-Incomes'!GR36-'C1-Incomes'!EM36,3),"; %let  tran7_",'C10-Adj by Source'!A34,"=",ROUND('C1-Incomes'!GS36-'C1-Incomes'!EN36,3),"; %let tran",'C10-Adj by Source'!A34,"=",ROUND('C1-Incomes'!GM36-'C1-Incomes'!EH36,3),";" )</f>
        <v>%let tran1_1988=786385.589; %let  tran2_1988=154849.877;  %let  tran3_1988=93431.4; %let  tran4_1988=32992.921; %let  tran5_1988=22877.385; %let  tran6_1988=10533.634; %let  tran7_1988=3580.533; %let tran1988=941235.466;</v>
      </c>
    </row>
    <row r="207" spans="1:8" x14ac:dyDescent="0.3">
      <c r="A207" s="655">
        <f t="shared" si="0"/>
        <v>1987</v>
      </c>
      <c r="B207" s="8"/>
      <c r="C207" s="8"/>
      <c r="H207" s="655" t="str">
        <f>CONCATENATE("%let tran1_",'C10-Adj by Source'!A35,"=",ROUND('C1-Incomes'!GM37-'C1-Incomes'!EH37-'C1-Incomes'!GN37+'C1-Incomes'!EI37,3),"; %let  tran2_",'C10-Adj by Source'!A35,"=",ROUND('C1-Incomes'!GN37-'C1-Incomes'!EI37,3),";  %let  tran3_",'C10-Adj by Source'!A35,"=",ROUND('C1-Incomes'!GO37-'C1-Incomes'!EJ37,3),"; %let  tran4_",'C10-Adj by Source'!A35,"=",ROUND('C1-Incomes'!GP37-'C1-Incomes'!EK37,3),"; %let  tran5_",'C10-Adj by Source'!A35,"=",ROUND('C1-Incomes'!GQ37-'C1-Incomes'!EL37,3),"; %let  tran6_",'C10-Adj by Source'!A35,"=",ROUND('C1-Incomes'!GR37-'C1-Incomes'!EM37,3),"; %let  tran7_",'C10-Adj by Source'!A35,"=",ROUND('C1-Incomes'!GS37-'C1-Incomes'!EN37,3),"; %let tran",'C10-Adj by Source'!A35,"=",ROUND('C1-Incomes'!GM37-'C1-Incomes'!EH37,3),";" )</f>
        <v>%let tran1_1989=878225.264; %let  tran2_1989=175859.766;  %let  tran3_1989=105577.422; %let  tran4_1989=37006.147; %let  tran5_1989=25122.905; %let  tran6_1989=10827.768; %let  tran7_1989=3550.661; %let tran1989=1054085.03;</v>
      </c>
    </row>
    <row r="208" spans="1:8" x14ac:dyDescent="0.3">
      <c r="A208" s="655">
        <f t="shared" si="0"/>
        <v>1988</v>
      </c>
      <c r="B208" s="8"/>
      <c r="C208" s="8"/>
      <c r="H208" s="655" t="str">
        <f>CONCATENATE("%let tran1_",'C10-Adj by Source'!A36,"=",ROUND('C1-Incomes'!GM38-'C1-Incomes'!EH38-'C1-Incomes'!GN38+'C1-Incomes'!EI38,3),"; %let  tran2_",'C10-Adj by Source'!A36,"=",ROUND('C1-Incomes'!GN38-'C1-Incomes'!EI38,3),";  %let  tran3_",'C10-Adj by Source'!A36,"=",ROUND('C1-Incomes'!GO38-'C1-Incomes'!EJ38,3),"; %let  tran4_",'C10-Adj by Source'!A36,"=",ROUND('C1-Incomes'!GP38-'C1-Incomes'!EK38,3),"; %let  tran5_",'C10-Adj by Source'!A36,"=",ROUND('C1-Incomes'!GQ38-'C1-Incomes'!EL38,3),"; %let  tran6_",'C10-Adj by Source'!A36,"=",ROUND('C1-Incomes'!GR38-'C1-Incomes'!EM38,3),"; %let  tran7_",'C10-Adj by Source'!A36,"=",ROUND('C1-Incomes'!GS38-'C1-Incomes'!EN38,3),"; %let tran",'C10-Adj by Source'!A36,"=",ROUND('C1-Incomes'!GM38-'C1-Incomes'!EH38,3),";" )</f>
        <v>%let tran1_1990=930345.827; %let  tran2_1990=193333.473;  %let  tran3_1990=119236.765; %let  tran4_1990=41949.467; %let  tran5_1990=27728.85; %let  tran6_1990=12632.377; %let  tran7_1990=4008.459; %let tran1990=1123679.299;</v>
      </c>
    </row>
    <row r="209" spans="1:8" x14ac:dyDescent="0.3">
      <c r="A209" s="655">
        <f t="shared" si="0"/>
        <v>1989</v>
      </c>
      <c r="B209" s="8"/>
      <c r="C209" s="8"/>
      <c r="H209" s="655" t="str">
        <f>CONCATENATE("%let tran1_",'C10-Adj by Source'!A37,"=",ROUND('C1-Incomes'!GM39-'C1-Incomes'!EH39-'C1-Incomes'!GN39+'C1-Incomes'!EI39,3),"; %let  tran2_",'C10-Adj by Source'!A37,"=",ROUND('C1-Incomes'!GN39-'C1-Incomes'!EI39,3),";  %let  tran3_",'C10-Adj by Source'!A37,"=",ROUND('C1-Incomes'!GO39-'C1-Incomes'!EJ39,3),"; %let  tran4_",'C10-Adj by Source'!A37,"=",ROUND('C1-Incomes'!GP39-'C1-Incomes'!EK39,3),"; %let  tran5_",'C10-Adj by Source'!A37,"=",ROUND('C1-Incomes'!GQ39-'C1-Incomes'!EL39,3),"; %let  tran6_",'C10-Adj by Source'!A37,"=",ROUND('C1-Incomes'!GR39-'C1-Incomes'!EM39,3),"; %let  tran7_",'C10-Adj by Source'!A37,"=",ROUND('C1-Incomes'!GS39-'C1-Incomes'!EN39,3),"; %let tran",'C10-Adj by Source'!A37,"=",ROUND('C1-Incomes'!GM39-'C1-Incomes'!EH39,3),";" )</f>
        <v>%let tran1_1991=1000901.978; %let  tran2_1991=198625.795;  %let  tran3_1991=122479.471; %let  tran4_1991=41983.72; %let  tran5_1991=27228.078; %let  tran6_1991=11443.867; %let  tran7_1991=3624.612; %let tran1991=1199527.773;</v>
      </c>
    </row>
    <row r="210" spans="1:8" x14ac:dyDescent="0.3">
      <c r="A210" s="655">
        <f t="shared" si="0"/>
        <v>1990</v>
      </c>
      <c r="B210" s="8"/>
      <c r="C210" s="8"/>
      <c r="H210" s="655" t="str">
        <f>CONCATENATE("%let tran1_",'C10-Adj by Source'!A38,"=",ROUND('C1-Incomes'!GM40-'C1-Incomes'!EH40-'C1-Incomes'!GN40+'C1-Incomes'!EI40,3),"; %let  tran2_",'C10-Adj by Source'!A38,"=",ROUND('C1-Incomes'!GN40-'C1-Incomes'!EI40,3),";  %let  tran3_",'C10-Adj by Source'!A38,"=",ROUND('C1-Incomes'!GO40-'C1-Incomes'!EJ40,3),"; %let  tran4_",'C10-Adj by Source'!A38,"=",ROUND('C1-Incomes'!GP40-'C1-Incomes'!EK40,3),"; %let  tran5_",'C10-Adj by Source'!A38,"=",ROUND('C1-Incomes'!GQ40-'C1-Incomes'!EL40,3),"; %let  tran6_",'C10-Adj by Source'!A38,"=",ROUND('C1-Incomes'!GR40-'C1-Incomes'!EM40,3),"; %let  tran7_",'C10-Adj by Source'!A38,"=",ROUND('C1-Incomes'!GS40-'C1-Incomes'!EN40,3),"; %let tran",'C10-Adj by Source'!A38,"=",ROUND('C1-Incomes'!GM40-'C1-Incomes'!EH40,3),";" )</f>
        <v>%let tran1_1992=1098433.719; %let  tran2_1992=229945.751;  %let  tran3_1992=144052.211; %let  tran4_1992=50582.677; %let  tran5_1992=34164.987; %let  tran6_1992=15289.248; %let  tran7_1992=5268.204; %let tran1992=1328379.47;</v>
      </c>
    </row>
    <row r="211" spans="1:8" x14ac:dyDescent="0.3">
      <c r="A211" s="655">
        <f t="shared" si="0"/>
        <v>1991</v>
      </c>
      <c r="B211" s="8"/>
      <c r="C211" s="8"/>
      <c r="H211" s="655" t="str">
        <f>CONCATENATE("%let tran1_",'C10-Adj by Source'!A39,"=",ROUND('C1-Incomes'!GM41-'C1-Incomes'!EH41-'C1-Incomes'!GN41+'C1-Incomes'!EI41,3),"; %let  tran2_",'C10-Adj by Source'!A39,"=",ROUND('C1-Incomes'!GN41-'C1-Incomes'!EI41,3),";  %let  tran3_",'C10-Adj by Source'!A39,"=",ROUND('C1-Incomes'!GO41-'C1-Incomes'!EJ41,3),"; %let  tran4_",'C10-Adj by Source'!A39,"=",ROUND('C1-Incomes'!GP41-'C1-Incomes'!EK41,3),"; %let  tran5_",'C10-Adj by Source'!A39,"=",ROUND('C1-Incomes'!GQ41-'C1-Incomes'!EL41,3),"; %let  tran6_",'C10-Adj by Source'!A39,"=",ROUND('C1-Incomes'!GR41-'C1-Incomes'!EM41,3),"; %let  tran7_",'C10-Adj by Source'!A39,"=",ROUND('C1-Incomes'!GS41-'C1-Incomes'!EN41,3),"; %let tran",'C10-Adj by Source'!A39,"=",ROUND('C1-Incomes'!GM41-'C1-Incomes'!EH41,3),";" )</f>
        <v>%let tran1_1993=1174084.321; %let  tran2_1993=236952.001;  %let  tran3_1993=146352.305; %let  tran4_1993=48373.866; %let  tran5_1993=31715.268; %let  tran6_1993=13301.911; %let  tran7_1993=4296.775; %let tran1993=1411036.322;</v>
      </c>
    </row>
    <row r="212" spans="1:8" x14ac:dyDescent="0.3">
      <c r="A212" s="655">
        <f t="shared" si="0"/>
        <v>1992</v>
      </c>
      <c r="B212" s="8"/>
      <c r="C212" s="8"/>
      <c r="H212" s="655" t="str">
        <f>CONCATENATE("%let tran1_",'C10-Adj by Source'!A40,"=",ROUND('C1-Incomes'!GM42-'C1-Incomes'!EH42-'C1-Incomes'!GN42+'C1-Incomes'!EI42,3),"; %let  tran2_",'C10-Adj by Source'!A40,"=",ROUND('C1-Incomes'!GN42-'C1-Incomes'!EI42,3),";  %let  tran3_",'C10-Adj by Source'!A40,"=",ROUND('C1-Incomes'!GO42-'C1-Incomes'!EJ42,3),"; %let  tran4_",'C10-Adj by Source'!A40,"=",ROUND('C1-Incomes'!GP42-'C1-Incomes'!EK42,3),"; %let  tran5_",'C10-Adj by Source'!A40,"=",ROUND('C1-Incomes'!GQ42-'C1-Incomes'!EL42,3),"; %let  tran6_",'C10-Adj by Source'!A40,"=",ROUND('C1-Incomes'!GR42-'C1-Incomes'!EM42,3),"; %let  tran7_",'C10-Adj by Source'!A40,"=",ROUND('C1-Incomes'!GS42-'C1-Incomes'!EN42,3),"; %let tran",'C10-Adj by Source'!A40,"=",ROUND('C1-Incomes'!GM42-'C1-Incomes'!EH42,3),";" )</f>
        <v>%let tran1_1994=1237636.221; %let  tran2_1994=246198.824;  %let  tran3_1994=151050.081; %let  tran4_1994=50134.985; %let  tran5_1994=32485.654; %let  tran6_1994=13455.719; %let  tran7_1994=4338.7; %let tran1994=1483835.045;</v>
      </c>
    </row>
    <row r="213" spans="1:8" x14ac:dyDescent="0.3">
      <c r="A213" s="655">
        <f t="shared" si="0"/>
        <v>1993</v>
      </c>
      <c r="B213" s="8"/>
      <c r="C213" s="8"/>
      <c r="H213" s="655" t="str">
        <f>CONCATENATE("%let tran1_",'C10-Adj by Source'!A41,"=",ROUND('C1-Incomes'!GM43-'C1-Incomes'!EH43-'C1-Incomes'!GN43+'C1-Incomes'!EI43,3),"; %let  tran2_",'C10-Adj by Source'!A41,"=",ROUND('C1-Incomes'!GN43-'C1-Incomes'!EI43,3),";  %let  tran3_",'C10-Adj by Source'!A41,"=",ROUND('C1-Incomes'!GO43-'C1-Incomes'!EJ43,3),"; %let  tran4_",'C10-Adj by Source'!A41,"=",ROUND('C1-Incomes'!GP43-'C1-Incomes'!EK43,3),"; %let  tran5_",'C10-Adj by Source'!A41,"=",ROUND('C1-Incomes'!GQ43-'C1-Incomes'!EL43,3),"; %let  tran6_",'C10-Adj by Source'!A41,"=",ROUND('C1-Incomes'!GR43-'C1-Incomes'!EM43,3),"; %let  tran7_",'C10-Adj by Source'!A41,"=",ROUND('C1-Incomes'!GS43-'C1-Incomes'!EN43,3),"; %let tran",'C10-Adj by Source'!A41,"=",ROUND('C1-Incomes'!GM43-'C1-Incomes'!EH43,3),";" )</f>
        <v>%let tran1_1995=1279564.294; %let  tran2_1995=244029.919;  %let  tran3_1995=151496.332; %let  tran4_1995=50912.711; %let  tran5_1995=32792.556; %let  tran6_1995=14274.956; %let  tran7_1995=4717.802; %let tran1995=1523594.213;</v>
      </c>
    </row>
    <row r="214" spans="1:8" x14ac:dyDescent="0.3">
      <c r="A214" s="655">
        <f t="shared" si="0"/>
        <v>1994</v>
      </c>
      <c r="B214" s="8"/>
      <c r="C214" s="8"/>
      <c r="H214" s="655" t="str">
        <f>CONCATENATE("%let tran1_",'C10-Adj by Source'!A42,"=",ROUND('C1-Incomes'!GM44-'C1-Incomes'!EH44-'C1-Incomes'!GN44+'C1-Incomes'!EI44,3),"; %let  tran2_",'C10-Adj by Source'!A42,"=",ROUND('C1-Incomes'!GN44-'C1-Incomes'!EI44,3),";  %let  tran3_",'C10-Adj by Source'!A42,"=",ROUND('C1-Incomes'!GO44-'C1-Incomes'!EJ44,3),"; %let  tran4_",'C10-Adj by Source'!A42,"=",ROUND('C1-Incomes'!GP44-'C1-Incomes'!EK44,3),"; %let  tran5_",'C10-Adj by Source'!A42,"=",ROUND('C1-Incomes'!GQ44-'C1-Incomes'!EL44,3),"; %let  tran6_",'C10-Adj by Source'!A42,"=",ROUND('C1-Incomes'!GR44-'C1-Incomes'!EM44,3),"; %let  tran7_",'C10-Adj by Source'!A42,"=",ROUND('C1-Incomes'!GS44-'C1-Incomes'!EN44,3),"; %let tran",'C10-Adj by Source'!A42,"=",ROUND('C1-Incomes'!GM44-'C1-Incomes'!EH44,3),";" )</f>
        <v>%let tran1_1996=1330785.44; %let  tran2_1996=256189.313;  %let  tran3_1996=157433.216; %let  tran4_1996=53700.705; %let  tran5_1996=35330.007; %let  tran6_1996=15555.009; %let  tran7_1996=5315.88; %let tran1996=1586974.753;</v>
      </c>
    </row>
    <row r="215" spans="1:8" x14ac:dyDescent="0.3">
      <c r="A215" s="655">
        <f t="shared" si="0"/>
        <v>1995</v>
      </c>
      <c r="B215" s="8"/>
      <c r="C215" s="8"/>
      <c r="H215" s="655" t="str">
        <f>CONCATENATE("%let tran1_",'C10-Adj by Source'!A43,"=",ROUND('C1-Incomes'!GM45-'C1-Incomes'!EH45-'C1-Incomes'!GN45+'C1-Incomes'!EI45,3),"; %let  tran2_",'C10-Adj by Source'!A43,"=",ROUND('C1-Incomes'!GN45-'C1-Incomes'!EI45,3),";  %let  tran3_",'C10-Adj by Source'!A43,"=",ROUND('C1-Incomes'!GO45-'C1-Incomes'!EJ45,3),"; %let  tran4_",'C10-Adj by Source'!A43,"=",ROUND('C1-Incomes'!GP45-'C1-Incomes'!EK45,3),"; %let  tran5_",'C10-Adj by Source'!A43,"=",ROUND('C1-Incomes'!GQ45-'C1-Incomes'!EL45,3),"; %let  tran6_",'C10-Adj by Source'!A43,"=",ROUND('C1-Incomes'!GR45-'C1-Incomes'!EM45,3),"; %let  tran7_",'C10-Adj by Source'!A43,"=",ROUND('C1-Incomes'!GS45-'C1-Incomes'!EN45,3),"; %let tran",'C10-Adj by Source'!A43,"=",ROUND('C1-Incomes'!GM45-'C1-Incomes'!EH45,3),";" )</f>
        <v>%let tran1_1997=1385106.006; %let  tran2_1997=275926.007;  %let  tran3_1997=171644.648; %let  tran4_1997=59668.655; %let  tran5_1997=39682.888; %let  tran6_1997=18401.511; %let  tran7_1997=6343.829; %let tran1997=1661032.013;</v>
      </c>
    </row>
    <row r="216" spans="1:8" x14ac:dyDescent="0.3">
      <c r="A216" s="655">
        <f t="shared" si="0"/>
        <v>1996</v>
      </c>
      <c r="B216" s="8"/>
      <c r="C216" s="8"/>
      <c r="H216" s="655" t="str">
        <f>CONCATENATE("%let tran1_",'C10-Adj by Source'!A44,"=",ROUND('C1-Incomes'!GM46-'C1-Incomes'!EH46-'C1-Incomes'!GN46+'C1-Incomes'!EI46,3),"; %let  tran2_",'C10-Adj by Source'!A44,"=",ROUND('C1-Incomes'!GN46-'C1-Incomes'!EI46,3),";  %let  tran3_",'C10-Adj by Source'!A44,"=",ROUND('C1-Incomes'!GO46-'C1-Incomes'!EJ46,3),"; %let  tran4_",'C10-Adj by Source'!A44,"=",ROUND('C1-Incomes'!GP46-'C1-Incomes'!EK46,3),"; %let  tran5_",'C10-Adj by Source'!A44,"=",ROUND('C1-Incomes'!GQ46-'C1-Incomes'!EL46,3),"; %let  tran6_",'C10-Adj by Source'!A44,"=",ROUND('C1-Incomes'!GR46-'C1-Incomes'!EM46,3),"; %let  tran7_",'C10-Adj by Source'!A44,"=",ROUND('C1-Incomes'!GS46-'C1-Incomes'!EN46,3),"; %let tran",'C10-Adj by Source'!A44,"=",ROUND('C1-Incomes'!GM46-'C1-Incomes'!EH46,3),";" )</f>
        <v>%let tran1_1998=1450015.406; %let  tran2_1998=297977.739;  %let  tran3_1998=186459.671; %let  tran4_1998=66031.824; %let  tran5_1998=45052.245; %let  tran6_1998=21386.807; %let  tran7_1998=7639.123; %let tran1998=1747993.145;</v>
      </c>
    </row>
    <row r="217" spans="1:8" x14ac:dyDescent="0.3">
      <c r="A217" s="655">
        <f t="shared" si="0"/>
        <v>1997</v>
      </c>
      <c r="B217" s="8"/>
      <c r="C217" s="8"/>
      <c r="H217" s="655" t="str">
        <f>CONCATENATE("%let tran1_",'C10-Adj by Source'!A45,"=",ROUND('C1-Incomes'!GM47-'C1-Incomes'!EH47-'C1-Incomes'!GN47+'C1-Incomes'!EI47,3),"; %let  tran2_",'C10-Adj by Source'!A45,"=",ROUND('C1-Incomes'!GN47-'C1-Incomes'!EI47,3),";  %let  tran3_",'C10-Adj by Source'!A45,"=",ROUND('C1-Incomes'!GO47-'C1-Incomes'!EJ47,3),"; %let  tran4_",'C10-Adj by Source'!A45,"=",ROUND('C1-Incomes'!GP47-'C1-Incomes'!EK47,3),"; %let  tran5_",'C10-Adj by Source'!A45,"=",ROUND('C1-Incomes'!GQ47-'C1-Incomes'!EL47,3),"; %let  tran6_",'C10-Adj by Source'!A45,"=",ROUND('C1-Incomes'!GR47-'C1-Incomes'!EM47,3),"; %let  tran7_",'C10-Adj by Source'!A45,"=",ROUND('C1-Incomes'!GS47-'C1-Incomes'!EN47,3),"; %let tran",'C10-Adj by Source'!A45,"=",ROUND('C1-Incomes'!GM47-'C1-Incomes'!EH47,3),";" )</f>
        <v>%let tran1_1999=1481525.584; %let  tran2_1999=288099.592;  %let  tran3_1999=182439.86; %let  tran4_1999=67560.645; %let  tran5_1999=47586.419; %let  tran6_1999=23042.228; %let  tran7_1999=8501.373; %let tran1999=1769625.176;</v>
      </c>
    </row>
    <row r="218" spans="1:8" x14ac:dyDescent="0.3">
      <c r="A218" s="655">
        <f t="shared" si="0"/>
        <v>1998</v>
      </c>
      <c r="B218" s="8"/>
      <c r="C218" s="8"/>
      <c r="H218" s="655" t="str">
        <f>CONCATENATE("%let tran1_",'C10-Adj by Source'!A46,"=",ROUND('C1-Incomes'!GM48-'C1-Incomes'!EH48-'C1-Incomes'!GN48+'C1-Incomes'!EI48,3),"; %let  tran2_",'C10-Adj by Source'!A46,"=",ROUND('C1-Incomes'!GN48-'C1-Incomes'!EI48,3),";  %let  tran3_",'C10-Adj by Source'!A46,"=",ROUND('C1-Incomes'!GO48-'C1-Incomes'!EJ48,3),"; %let  tran4_",'C10-Adj by Source'!A46,"=",ROUND('C1-Incomes'!GP48-'C1-Incomes'!EK48,3),"; %let  tran5_",'C10-Adj by Source'!A46,"=",ROUND('C1-Incomes'!GQ48-'C1-Incomes'!EL48,3),"; %let  tran6_",'C10-Adj by Source'!A46,"=",ROUND('C1-Incomes'!GR48-'C1-Incomes'!EM48,3),"; %let  tran7_",'C10-Adj by Source'!A46,"=",ROUND('C1-Incomes'!GS48-'C1-Incomes'!EN48,3),"; %let tran",'C10-Adj by Source'!A46,"=",ROUND('C1-Incomes'!GM48-'C1-Incomes'!EH48,3),";" )</f>
        <v>%let tran1_2000=1574372.592; %let  tran2_2000=325063.966;  %let  tran3_2000=208061.748; %let  tran4_2000=81878.207; %let  tran5_2000=57834.733; %let  tran6_2000=28497.956; %let  tran7_2000=10839.916; %let tran2000=1899436.558;</v>
      </c>
    </row>
    <row r="219" spans="1:8" x14ac:dyDescent="0.3">
      <c r="A219" s="655">
        <f t="shared" si="0"/>
        <v>1999</v>
      </c>
      <c r="B219" s="8"/>
      <c r="C219" s="8"/>
      <c r="H219" s="655" t="str">
        <f>CONCATENATE("%let tran1_",'C10-Adj by Source'!A47,"=",ROUND('C1-Incomes'!GM49-'C1-Incomes'!EH49-'C1-Incomes'!GN49+'C1-Incomes'!EI49,3),"; %let  tran2_",'C10-Adj by Source'!A47,"=",ROUND('C1-Incomes'!GN49-'C1-Incomes'!EI49,3),";  %let  tran3_",'C10-Adj by Source'!A47,"=",ROUND('C1-Incomes'!GO49-'C1-Incomes'!EJ49,3),"; %let  tran4_",'C10-Adj by Source'!A47,"=",ROUND('C1-Incomes'!GP49-'C1-Incomes'!EK49,3),"; %let  tran5_",'C10-Adj by Source'!A47,"=",ROUND('C1-Incomes'!GQ49-'C1-Incomes'!EL49,3),"; %let  tran6_",'C10-Adj by Source'!A47,"=",ROUND('C1-Incomes'!GR49-'C1-Incomes'!EM49,3),"; %let  tran7_",'C10-Adj by Source'!A47,"=",ROUND('C1-Incomes'!GS49-'C1-Incomes'!EN49,3),"; %let tran",'C10-Adj by Source'!A47,"=",ROUND('C1-Incomes'!GM49-'C1-Incomes'!EH49,3),";" )</f>
        <v>%let tran1_2001=1697947.982; %let  tran2_2001=334290.106;  %let  tran3_2001=212156.221; %let  tran4_2001=80330.615; %let  tran5_2001=55087.368; %let  tran6_2001=24705.005; %let  tran7_2001=8711.008; %let tran2001=2032238.087;</v>
      </c>
    </row>
    <row r="220" spans="1:8" x14ac:dyDescent="0.3">
      <c r="A220" s="655">
        <f t="shared" si="0"/>
        <v>2000</v>
      </c>
      <c r="B220" s="8"/>
      <c r="C220" s="8"/>
      <c r="H220" s="655" t="str">
        <f>CONCATENATE("%let tran1_",'C10-Adj by Source'!A48,"=",ROUND('C1-Incomes'!GM50-'C1-Incomes'!EH50-'C1-Incomes'!GN50+'C1-Incomes'!EI50,3),"; %let  tran2_",'C10-Adj by Source'!A48,"=",ROUND('C1-Incomes'!GN50-'C1-Incomes'!EI50,3),";  %let  tran3_",'C10-Adj by Source'!A48,"=",ROUND('C1-Incomes'!GO50-'C1-Incomes'!EJ50,3),"; %let  tran4_",'C10-Adj by Source'!A48,"=",ROUND('C1-Incomes'!GP50-'C1-Incomes'!EK50,3),"; %let  tran5_",'C10-Adj by Source'!A48,"=",ROUND('C1-Incomes'!GQ50-'C1-Incomes'!EL50,3),"; %let  tran6_",'C10-Adj by Source'!A48,"=",ROUND('C1-Incomes'!GR50-'C1-Incomes'!EM50,3),"; %let  tran7_",'C10-Adj by Source'!A48,"=",ROUND('C1-Incomes'!GS50-'C1-Incomes'!EN50,3),"; %let tran",'C10-Adj by Source'!A48,"=",ROUND('C1-Incomes'!GM50-'C1-Incomes'!EH50,3),";" )</f>
        <v>%let tran1_2002=1822112.885; %let  tran2_2002=354750.822;  %let  tran3_2002=219241.371; %let  tran4_2002=78177.498; %let  tran5_2002=53570.428; %let  tran6_2002=22735.838; %let  tran7_2002=8006.265; %let tran2002=2176863.707;</v>
      </c>
    </row>
    <row r="221" spans="1:8" x14ac:dyDescent="0.3">
      <c r="A221" s="655">
        <f t="shared" si="0"/>
        <v>2001</v>
      </c>
      <c r="B221" s="8"/>
      <c r="C221" s="8"/>
      <c r="H221" s="655" t="str">
        <f>CONCATENATE("%let tran1_",'C10-Adj by Source'!A49,"=",ROUND('C1-Incomes'!GM51-'C1-Incomes'!EH51-'C1-Incomes'!GN51+'C1-Incomes'!EI51,3),"; %let  tran2_",'C10-Adj by Source'!A49,"=",ROUND('C1-Incomes'!GN51-'C1-Incomes'!EI51,3),";  %let  tran3_",'C10-Adj by Source'!A49,"=",ROUND('C1-Incomes'!GO51-'C1-Incomes'!EJ51,3),"; %let  tran4_",'C10-Adj by Source'!A49,"=",ROUND('C1-Incomes'!GP51-'C1-Incomes'!EK51,3),"; %let  tran5_",'C10-Adj by Source'!A49,"=",ROUND('C1-Incomes'!GQ51-'C1-Incomes'!EL51,3),"; %let  tran6_",'C10-Adj by Source'!A49,"=",ROUND('C1-Incomes'!GR51-'C1-Incomes'!EM51,3),"; %let  tran7_",'C10-Adj by Source'!A49,"=",ROUND('C1-Incomes'!GS51-'C1-Incomes'!EN51,3),"; %let tran",'C10-Adj by Source'!A49,"=",ROUND('C1-Incomes'!GM51-'C1-Incomes'!EH51,3),";" )</f>
        <v>%let tran1_2003=1895715.302; %let  tran2_2003=364498.856;  %let  tran3_2003=226923.923; %let  tran4_2003=80581.138; %let  tran5_2003=55609.268; %let  tran6_2003=24695.128; %let  tran7_2003=9031.39; %let tran2003=2260214.158;</v>
      </c>
    </row>
    <row r="222" spans="1:8" x14ac:dyDescent="0.3">
      <c r="A222" s="655">
        <f t="shared" si="0"/>
        <v>2002</v>
      </c>
      <c r="B222" s="8"/>
      <c r="C222" s="8"/>
      <c r="H222" s="655" t="str">
        <f>CONCATENATE("%let tran1_",'C10-Adj by Source'!A50,"=",ROUND('C1-Incomes'!GM52-'C1-Incomes'!EH52-'C1-Incomes'!GN52+'C1-Incomes'!EI52,3),"; %let  tran2_",'C10-Adj by Source'!A50,"=",ROUND('C1-Incomes'!GN52-'C1-Incomes'!EI52,3),";  %let  tran3_",'C10-Adj by Source'!A50,"=",ROUND('C1-Incomes'!GO52-'C1-Incomes'!EJ52,3),"; %let  tran4_",'C10-Adj by Source'!A50,"=",ROUND('C1-Incomes'!GP52-'C1-Incomes'!EK52,3),"; %let  tran5_",'C10-Adj by Source'!A50,"=",ROUND('C1-Incomes'!GQ52-'C1-Incomes'!EL52,3),"; %let  tran6_",'C10-Adj by Source'!A50,"=",ROUND('C1-Incomes'!GR52-'C1-Incomes'!EM52,3),"; %let  tran7_",'C10-Adj by Source'!A50,"=",ROUND('C1-Incomes'!GS52-'C1-Incomes'!EN52,3),"; %let tran",'C10-Adj by Source'!A50,"=",ROUND('C1-Incomes'!GM52-'C1-Incomes'!EH52,3),";" )</f>
        <v>%let tran1_2004=1989503.197; %let  tran2_2004=384890.447;  %let  tran3_2004=243168.091; %let  tran4_2004=86907.881; %let  tran5_2004=61231.117; %let  tran6_2004=29676.784; %let  tran7_2004=11429.321; %let tran2004=2374393.645;</v>
      </c>
    </row>
    <row r="223" spans="1:8" x14ac:dyDescent="0.3">
      <c r="A223" s="655">
        <f t="shared" si="0"/>
        <v>2003</v>
      </c>
      <c r="B223" s="8"/>
      <c r="C223" s="8"/>
      <c r="H223" s="655" t="str">
        <f>CONCATENATE("%let tran1_",'C10-Adj by Source'!A51,"=",ROUND('C1-Incomes'!GM53-'C1-Incomes'!EH53-'C1-Incomes'!GN53+'C1-Incomes'!EI53,3),"; %let  tran2_",'C10-Adj by Source'!A51,"=",ROUND('C1-Incomes'!GN53-'C1-Incomes'!EI53,3),";  %let  tran3_",'C10-Adj by Source'!A51,"=",ROUND('C1-Incomes'!GO53-'C1-Incomes'!EJ53,3),"; %let  tran4_",'C10-Adj by Source'!A51,"=",ROUND('C1-Incomes'!GP53-'C1-Incomes'!EK53,3),"; %let  tran5_",'C10-Adj by Source'!A51,"=",ROUND('C1-Incomes'!GQ53-'C1-Incomes'!EL53,3),"; %let  tran6_",'C10-Adj by Source'!A51,"=",ROUND('C1-Incomes'!GR53-'C1-Incomes'!EM53,3),"; %let  tran7_",'C10-Adj by Source'!A51,"=",ROUND('C1-Incomes'!GS53-'C1-Incomes'!EN53,3),"; %let tran",'C10-Adj by Source'!A51,"=",ROUND('C1-Incomes'!GM53-'C1-Incomes'!EH53,3),";" )</f>
        <v>%let tran1_2005=2089591.217; %let  tran2_2005=400941.759;  %let  tran3_2005=253763.468; %let  tran4_2005=95557.286; %let  tran5_2005=68386.968; %let  tran6_2005=33722.339; %let  tran7_2005=13182.644; %let tran2005=2490532.976;</v>
      </c>
    </row>
    <row r="224" spans="1:8" x14ac:dyDescent="0.3">
      <c r="A224" s="655">
        <f t="shared" si="0"/>
        <v>2004</v>
      </c>
      <c r="B224" s="8"/>
      <c r="C224" s="8"/>
      <c r="H224" s="655" t="str">
        <f>CONCATENATE("%let tran1_",'C10-Adj by Source'!A52,"=",ROUND('C1-Incomes'!GM54-'C1-Incomes'!EH54-'C1-Incomes'!GN54+'C1-Incomes'!EI54,3),"; %let  tran2_",'C10-Adj by Source'!A52,"=",ROUND('C1-Incomes'!GN54-'C1-Incomes'!EI54,3),";  %let  tran3_",'C10-Adj by Source'!A52,"=",ROUND('C1-Incomes'!GO54-'C1-Incomes'!EJ54,3),"; %let  tran4_",'C10-Adj by Source'!A52,"=",ROUND('C1-Incomes'!GP54-'C1-Incomes'!EK54,3),"; %let  tran5_",'C10-Adj by Source'!A52,"=",ROUND('C1-Incomes'!GQ54-'C1-Incomes'!EL54,3),"; %let  tran6_",'C10-Adj by Source'!A52,"=",ROUND('C1-Incomes'!GR54-'C1-Incomes'!EM54,3),"; %let  tran7_",'C10-Adj by Source'!A52,"=",ROUND('C1-Incomes'!GS54-'C1-Incomes'!EN54,3),"; %let tran",'C10-Adj by Source'!A52,"=",ROUND('C1-Incomes'!GM54-'C1-Incomes'!EH54,3),";" )</f>
        <v>%let tran1_2006=2246057.455; %let  tran2_2006=443959.761;  %let  tran3_2006=280113.781; %let  tran4_2006=107476.54; %let  tran5_2006=76298.795; %let  tran6_2006=37402.231; %let  tran7_2006=14059.803; %let tran2006=2690017.216;</v>
      </c>
    </row>
    <row r="225" spans="1:8" x14ac:dyDescent="0.3">
      <c r="A225" s="655">
        <f t="shared" si="0"/>
        <v>2005</v>
      </c>
      <c r="B225" s="8"/>
      <c r="C225" s="8"/>
      <c r="H225" s="655" t="str">
        <f>CONCATENATE("%let tran1_",'C10-Adj by Source'!A53,"=",ROUND('C1-Incomes'!GM55-'C1-Incomes'!EH55-'C1-Incomes'!GN55+'C1-Incomes'!EI55,3),"; %let  tran2_",'C10-Adj by Source'!A53,"=",ROUND('C1-Incomes'!GN55-'C1-Incomes'!EI55,3),";  %let  tran3_",'C10-Adj by Source'!A53,"=",ROUND('C1-Incomes'!GO55-'C1-Incomes'!EJ55,3),"; %let  tran4_",'C10-Adj by Source'!A53,"=",ROUND('C1-Incomes'!GP55-'C1-Incomes'!EK55,3),"; %let  tran5_",'C10-Adj by Source'!A53,"=",ROUND('C1-Incomes'!GQ55-'C1-Incomes'!EL55,3),"; %let  tran6_",'C10-Adj by Source'!A53,"=",ROUND('C1-Incomes'!GR55-'C1-Incomes'!EM55,3),"; %let  tran7_",'C10-Adj by Source'!A53,"=",ROUND('C1-Incomes'!GS55-'C1-Incomes'!EN55,3),"; %let tran",'C10-Adj by Source'!A53,"=",ROUND('C1-Incomes'!GM55-'C1-Incomes'!EH55,3),";" )</f>
        <v>%let tran1_2007=2390262.545; %let  tran2_2007=462856.613;  %let  tran3_2007=292669.042; %let  tran4_2007=114234.63; %let  tran5_2007=81362.637; %let  tran6_2007=40232.428; %let  tran7_2007=15291.417; %let tran2007=2853119.158;</v>
      </c>
    </row>
    <row r="226" spans="1:8" x14ac:dyDescent="0.3">
      <c r="A226" s="655">
        <f t="shared" si="0"/>
        <v>2006</v>
      </c>
      <c r="B226" s="8"/>
      <c r="C226" s="8"/>
      <c r="H226" s="655" t="str">
        <f>CONCATENATE("%let tran1_",'C10-Adj by Source'!A54,"=",ROUND('C1-Incomes'!GM56-'C1-Incomes'!EH56-'C1-Incomes'!GN56+'C1-Incomes'!EI56,3),"; %let  tran2_",'C10-Adj by Source'!A54,"=",ROUND('C1-Incomes'!GN56-'C1-Incomes'!EI56,3),";  %let  tran3_",'C10-Adj by Source'!A54,"=",ROUND('C1-Incomes'!GO56-'C1-Incomes'!EJ56,3),"; %let  tran4_",'C10-Adj by Source'!A54,"=",ROUND('C1-Incomes'!GP56-'C1-Incomes'!EK56,3),"; %let  tran5_",'C10-Adj by Source'!A54,"=",ROUND('C1-Incomes'!GQ56-'C1-Incomes'!EL56,3),"; %let  tran6_",'C10-Adj by Source'!A54,"=",ROUND('C1-Incomes'!GR56-'C1-Incomes'!EM56,3),"; %let  tran7_",'C10-Adj by Source'!A54,"=",ROUND('C1-Incomes'!GS56-'C1-Incomes'!EN56,3),"; %let tran",'C10-Adj by Source'!A54,"=",ROUND('C1-Incomes'!GM56-'C1-Incomes'!EH56,3),";" )</f>
        <v>%let tran1_2008=2739598.702; %let  tran2_2008=518085.318;  %let  tran3_2008=323595.565; %let  tran4_2008=123207.795; %let  tran5_2008=86298.988; %let  tran6_2008=41068.072; %let  tran7_2008=15958.391; %let tran2008=3257684.021;</v>
      </c>
    </row>
    <row r="227" spans="1:8" x14ac:dyDescent="0.3">
      <c r="A227" s="655">
        <f t="shared" si="0"/>
        <v>2007</v>
      </c>
      <c r="B227" s="8"/>
      <c r="C227" s="8"/>
      <c r="H227" s="655" t="str">
        <f>CONCATENATE("%let tran1_",'C10-Adj by Source'!A55,"=",ROUND('C1-Incomes'!GM57-'C1-Incomes'!EH57-'C1-Incomes'!GN57+'C1-Incomes'!EI57,3),"; %let  tran2_",'C10-Adj by Source'!A55,"=",ROUND('C1-Incomes'!GN57-'C1-Incomes'!EI57,3),";  %let  tran3_",'C10-Adj by Source'!A55,"=",ROUND('C1-Incomes'!GO57-'C1-Incomes'!EJ57,3),"; %let  tran4_",'C10-Adj by Source'!A55,"=",ROUND('C1-Incomes'!GP57-'C1-Incomes'!EK57,3),"; %let  tran5_",'C10-Adj by Source'!A55,"=",ROUND('C1-Incomes'!GQ57-'C1-Incomes'!EL57,3),"; %let  tran6_",'C10-Adj by Source'!A55,"=",ROUND('C1-Incomes'!GR57-'C1-Incomes'!EM57,3),"; %let  tran7_",'C10-Adj by Source'!A55,"=",ROUND('C1-Incomes'!GS57-'C1-Incomes'!EN57,3),"; %let tran",'C10-Adj by Source'!A55,"=",ROUND('C1-Incomes'!GM57-'C1-Incomes'!EH57,3),";" )</f>
        <v>%let tran1_2009=2706534.097; %let  tran2_2009=465881.295;  %let  tran3_2009=287630.236; %let  tran4_2009=103123.391; %let  tran5_2009=69728.926; %let  tran6_2009=32079.885; %let  tran7_2009=12466.909; %let tran2009=3172415.392;</v>
      </c>
    </row>
    <row r="228" spans="1:8" x14ac:dyDescent="0.3">
      <c r="A228" s="655">
        <f t="shared" si="0"/>
        <v>2008</v>
      </c>
      <c r="B228" s="8"/>
      <c r="C228" s="8"/>
      <c r="H228" s="655" t="str">
        <f>CONCATENATE("%let tran1_",'C10-Adj by Source'!A56,"=",ROUND('C1-Incomes'!GM58-'C1-Incomes'!EH58-'C1-Incomes'!GN58+'C1-Incomes'!EI58,3),"; %let  tran2_",'C10-Adj by Source'!A56,"=",ROUND('C1-Incomes'!GN58-'C1-Incomes'!EI58,3),";  %let  tran3_",'C10-Adj by Source'!A56,"=",ROUND('C1-Incomes'!GO58-'C1-Incomes'!EJ58,3),"; %let  tran4_",'C10-Adj by Source'!A56,"=",ROUND('C1-Incomes'!GP58-'C1-Incomes'!EK58,3),"; %let  tran5_",'C10-Adj by Source'!A56,"=",ROUND('C1-Incomes'!GQ58-'C1-Incomes'!EL58,3),"; %let  tran6_",'C10-Adj by Source'!A56,"=",ROUND('C1-Incomes'!GR58-'C1-Incomes'!EM58,3),"; %let  tran7_",'C10-Adj by Source'!A56,"=",ROUND('C1-Incomes'!GS58-'C1-Incomes'!EN58,3),"; %let tran",'C10-Adj by Source'!A56,"=",ROUND('C1-Incomes'!GM58-'C1-Incomes'!EH58,3),";" )</f>
        <v>%let tran1_2010=2812694.65; %let  tran2_2010=446335.224;  %let  tran3_2010=273866.064; %let  tran4_2010=100678.229; %let  tran5_2010=70899.98; %let  tran6_2010=33553.205; %let  tran7_2010=13060.589; %let tran2010=3259029.874;</v>
      </c>
    </row>
    <row r="229" spans="1:8" x14ac:dyDescent="0.3">
      <c r="A229" s="655">
        <f t="shared" si="0"/>
        <v>2009</v>
      </c>
      <c r="B229" s="8"/>
      <c r="C229" s="8"/>
      <c r="H229" s="655" t="str">
        <f>CONCATENATE("%let tran1_",'C10-Adj by Source'!A57,"=",ROUND('C1-Incomes'!GM59-'C1-Incomes'!EH59-'C1-Incomes'!GN59+'C1-Incomes'!EI59,3),"; %let  tran2_",'C10-Adj by Source'!A57,"=",ROUND('C1-Incomes'!GN59-'C1-Incomes'!EI59,3),";  %let  tran3_",'C10-Adj by Source'!A57,"=",ROUND('C1-Incomes'!GO59-'C1-Incomes'!EJ59,3),"; %let  tran4_",'C10-Adj by Source'!A57,"=",ROUND('C1-Incomes'!GP59-'C1-Incomes'!EK59,3),"; %let  tran5_",'C10-Adj by Source'!A57,"=",ROUND('C1-Incomes'!GQ59-'C1-Incomes'!EL59,3),"; %let  tran6_",'C10-Adj by Source'!A57,"=",ROUND('C1-Incomes'!GR59-'C1-Incomes'!EM59,3),"; %let  tran7_",'C10-Adj by Source'!A57,"=",ROUND('C1-Incomes'!GS59-'C1-Incomes'!EN59,3),"; %let tran",'C10-Adj by Source'!A57,"=",ROUND('C1-Incomes'!GM59-'C1-Incomes'!EH59,3),";" )</f>
        <v>%let tran1_2011=2912108.994; %let  tran2_2011=489449.149;  %let  tran3_2011=300493.364; %let  tran4_2011=109316.527; %let  tran5_2011=75006.237; %let  tran6_2011=35105.058; %let  tran7_2011=12944.673; %let tran2011=3401558.143;</v>
      </c>
    </row>
    <row r="230" spans="1:8" x14ac:dyDescent="0.3">
      <c r="A230" s="655">
        <f t="shared" si="0"/>
        <v>2010</v>
      </c>
      <c r="B230" s="8"/>
      <c r="C230" s="8"/>
      <c r="H230" s="655" t="str">
        <f>CONCATENATE("%let tran1_",'C10-Adj by Source'!A58,"=",ROUND('C1-Incomes'!GM60-'C1-Incomes'!EH60-'C1-Incomes'!GN60+'C1-Incomes'!EI60,3),"; %let  tran2_",'C10-Adj by Source'!A58,"=",ROUND('C1-Incomes'!GN60-'C1-Incomes'!EI60,3),";  %let  tran3_",'C10-Adj by Source'!A58,"=",ROUND('C1-Incomes'!GO60-'C1-Incomes'!EJ60,3),"; %let  tran4_",'C10-Adj by Source'!A58,"=",ROUND('C1-Incomes'!GP60-'C1-Incomes'!EK60,3),"; %let  tran5_",'C10-Adj by Source'!A58,"=",ROUND('C1-Incomes'!GQ60-'C1-Incomes'!EL60,3),"; %let  tran6_",'C10-Adj by Source'!A58,"=",ROUND('C1-Incomes'!GR60-'C1-Incomes'!EM60,3),"; %let  tran7_",'C10-Adj by Source'!A58,"=",ROUND('C1-Incomes'!GS60-'C1-Incomes'!EN60,3),"; %let tran",'C10-Adj by Source'!A58,"=",ROUND('C1-Incomes'!GM60-'C1-Incomes'!EH60,3),";" )</f>
        <v>%let tran1_2012=2949923.598; %let  tran2_2012=529672.202;  %let  tran3_2012=329678.964; %let  tran4_2012=125247.597; %let  tran5_2012=88642.792; %let  tran6_2012=44318.82; %let  tran7_2012=17506.671; %let tran2012=3479595.8;</v>
      </c>
    </row>
    <row r="231" spans="1:8" x14ac:dyDescent="0.3">
      <c r="A231" s="655">
        <f t="shared" si="0"/>
        <v>2011</v>
      </c>
      <c r="B231" s="8"/>
      <c r="C231" s="8"/>
      <c r="H231" s="655" t="str">
        <f>CONCATENATE("%let tran1_",'C10-Adj by Source'!A59,"=",ROUND('C1-Incomes'!GM61-'C1-Incomes'!EH61-'C1-Incomes'!GN61+'C1-Incomes'!EI61,3),"; %let  tran2_",'C10-Adj by Source'!A59,"=",ROUND('C1-Incomes'!GN61-'C1-Incomes'!EI61,3),";  %let  tran3_",'C10-Adj by Source'!A59,"=",ROUND('C1-Incomes'!GO61-'C1-Incomes'!EJ61,3),"; %let  tran4_",'C10-Adj by Source'!A59,"=",ROUND('C1-Incomes'!GP61-'C1-Incomes'!EK61,3),"; %let  tran5_",'C10-Adj by Source'!A59,"=",ROUND('C1-Incomes'!GQ61-'C1-Incomes'!EL61,3),"; %let  tran6_",'C10-Adj by Source'!A59,"=",ROUND('C1-Incomes'!GR61-'C1-Incomes'!EM61,3),"; %let  tran7_",'C10-Adj by Source'!A59,"=",ROUND('C1-Incomes'!GS61-'C1-Incomes'!EN61,3),"; %let tran",'C10-Adj by Source'!A59,"=",ROUND('C1-Incomes'!GM61-'C1-Incomes'!EH61,3),";" )</f>
        <v>%let tran1_2013=3120421.011; %let  tran2_2013=591055.072;  %let  tran3_2013=362089.964; %let  tran4_2013=125952.152; %let  tran5_2013=85767.394; %let  tran6_2013=40440.451; %let  tran7_2013=14779.899; %let tran2013=3711476.083;</v>
      </c>
    </row>
    <row r="232" spans="1:8" x14ac:dyDescent="0.3">
      <c r="A232" s="655">
        <f t="shared" si="0"/>
        <v>2012</v>
      </c>
      <c r="B232" s="8"/>
      <c r="C232" s="8"/>
      <c r="H232" s="655" t="str">
        <f>CONCATENATE("%let tran1_",'C10-Adj by Source'!A60,"=",ROUND('C1-Incomes'!GM62-'C1-Incomes'!EH62-'C1-Incomes'!GN62+'C1-Incomes'!EI62,3),"; %let  tran2_",'C10-Adj by Source'!A60,"=",ROUND('C1-Incomes'!GN62-'C1-Incomes'!EI62,3),";  %let  tran3_",'C10-Adj by Source'!A60,"=",ROUND('C1-Incomes'!GO62-'C1-Incomes'!EJ62,3),"; %let  tran4_",'C10-Adj by Source'!A60,"=",ROUND('C1-Incomes'!GP62-'C1-Incomes'!EK62,3),"; %let  tran5_",'C10-Adj by Source'!A60,"=",ROUND('C1-Incomes'!GQ62-'C1-Incomes'!EL62,3),"; %let  tran6_",'C10-Adj by Source'!A60,"=",ROUND('C1-Incomes'!GR62-'C1-Incomes'!EM62,3),"; %let  tran7_",'C10-Adj by Source'!A60,"=",ROUND('C1-Incomes'!GS62-'C1-Incomes'!EN62,3),"; %let tran",'C10-Adj by Source'!A60,"=",ROUND('C1-Incomes'!GM62-'C1-Incomes'!EH62,3),";" )</f>
        <v>%let tran1_2014=3296545.927; %let  tran2_2014=627890.853;  %let  tran3_2014=391826.422; %let  tran4_2014=139013.274; %let  tran5_2014=95396.472; %let  tran6_2014=45906.155; %let  tran7_2014=17023.567; %let tran2014=3924436.78;</v>
      </c>
    </row>
    <row r="233" spans="1:8" x14ac:dyDescent="0.3">
      <c r="A233" s="655">
        <f t="shared" si="0"/>
        <v>2013</v>
      </c>
      <c r="B233" s="8"/>
      <c r="C233" s="8"/>
      <c r="H233" s="655" t="str">
        <f>CONCATENATE("%let tran1_",'C10-Adj by Source'!A61,"=",ROUND('C1-Incomes'!GM63-'C1-Incomes'!EH63-'C1-Incomes'!GN63+'C1-Incomes'!EI63,3),"; %let  tran2_",'C10-Adj by Source'!A61,"=",ROUND('C1-Incomes'!GN63-'C1-Incomes'!EI63,3),";  %let  tran3_",'C10-Adj by Source'!A61,"=",ROUND('C1-Incomes'!GO63-'C1-Incomes'!EJ63,3),"; %let  tran4_",'C10-Adj by Source'!A61,"=",ROUND('C1-Incomes'!GP63-'C1-Incomes'!EK63,3),"; %let  tran5_",'C10-Adj by Source'!A61,"=",ROUND('C1-Incomes'!GQ63-'C1-Incomes'!EL63,3),"; %let  tran6_",'C10-Adj by Source'!A61,"=",ROUND('C1-Incomes'!GR63-'C1-Incomes'!EM63,3),"; %let  tran7_",'C10-Adj by Source'!A61,"=",ROUND('C1-Incomes'!GS63-'C1-Incomes'!EN63,3),"; %let tran",'C10-Adj by Source'!A61,"=",ROUND('C1-Incomes'!GM63-'C1-Incomes'!EH63,3),";" )</f>
        <v>%let tran1_2015=3489531.111; %let  tran2_2015=669821.329;  %let  tran3_2015=415692.327; %let  tran4_2015=148762.113; %let  tran5_2015=101695.196; %let  tran6_2015=49546.427; %let  tran7_2015=19015.206; %let tran2015=4159352.439;</v>
      </c>
    </row>
    <row r="234" spans="1:8" x14ac:dyDescent="0.3">
      <c r="A234" s="655">
        <f t="shared" si="0"/>
        <v>2014</v>
      </c>
      <c r="B234" s="8"/>
      <c r="C234" s="8"/>
    </row>
    <row r="235" spans="1:8" x14ac:dyDescent="0.3">
      <c r="A235" s="655">
        <f t="shared" si="0"/>
        <v>2015</v>
      </c>
      <c r="B235" s="8"/>
      <c r="C235" s="8"/>
    </row>
    <row r="239" spans="1:8" x14ac:dyDescent="0.3">
      <c r="A239" s="655" t="str">
        <f>CONCATENATE('C23-DCwealth'!B42,'C23-DCwealth'!C42,'C23-DCwealth'!D42,'C23-DCwealth'!E42,'C23-DCwealth'!F42,'C23-DCwealth'!G42,'C23-DCwealth'!H42,'C23-DCwealth'!I42,'C23-DCwealth'!J42,'C23-DCwealth'!K42,'C23-DCwealth'!L42,'C23-DCwealth'!M42,'C23-DCwealth'!N42,'C23-DCwealth'!O42,'C23-DCwealth'!P42,'C23-DCwealth'!Q42,'C23-DCwealth'!R42,'C23-DCwealth'!S42,'C23-DCwealth'!T42,'C23-DCwealth'!U42,'C23-DCwealth'!V42,'C23-DCwealth'!W42,'C23-DCwealth'!X42,'C23-DCwealth'!Y42,'C23-DCwealth'!Z42,'C23-DCwealth'!AA42,'C23-DCwealth'!AB42,'C23-DCwealth'!AC42,'C23-DCwealth'!AD42,'C23-DCwealth'!AE42,'C23-DCwealth'!AF42,'C23-DCwealth'!AG42)</f>
        <v>%let dc_1_1_1989=0.068;%let dc_1_2_1989=0.366;%let dc_1_3_1989=0.225;%let dc_1_4_1989=0.05;%let dc_2_1_1989=0.127;%let dc_2_2_1989=0.374;%let dc_2_3_1989=0.892;%let dc_2_4_1989=0.27;%let dc_3_1_1989=0.597;%let dc_3_2_1989=0.679;%let dc_3_3_1989=0.522;%let dc_3_4_1989=0.039;%let dc_4_1_1989=0.248;%let dc_4_2_1989=0.59;%let dc_4_3_1989=0.651;%let dc_4_4_1989=0.049;%let dc_5_1_1989=0.298;%let dc_5_2_1989=0.944;%let dc_5_3_1989=0.666;%let dc_5_4_1989=0.081;%let dc_6_1_1989=0.039;%let dc_6_2_1989=0.308;%let dc_6_3_1989=0.389;%let dc_6_4_1989=0.015;%let dc_7_1_1989=0.088;%let dc_7_2_1989=0.148;%let dc_7_3_1989=0.467;%let dc_7_4_1989=0.007;%let dc_8_1_1989=0.006;%let dc_8_2_1989=0.178;%let dc_8_3_1989=0;%let dc_8_4_1989=0.002;</v>
      </c>
    </row>
    <row r="240" spans="1:8" x14ac:dyDescent="0.3">
      <c r="A240" s="1011" t="str">
        <f>CONCATENATE('C23-DCwealth'!B43,'C23-DCwealth'!C43,'C23-DCwealth'!D43,'C23-DCwealth'!E43,'C23-DCwealth'!F43,'C23-DCwealth'!G43,'C23-DCwealth'!H43,'C23-DCwealth'!I43,'C23-DCwealth'!J43,'C23-DCwealth'!K43,'C23-DCwealth'!L43,'C23-DCwealth'!M43,'C23-DCwealth'!N43,'C23-DCwealth'!O43,'C23-DCwealth'!P43,'C23-DCwealth'!Q43,'C23-DCwealth'!R43,'C23-DCwealth'!S43,'C23-DCwealth'!T43,'C23-DCwealth'!U43,'C23-DCwealth'!V43,'C23-DCwealth'!W43,'C23-DCwealth'!X43,'C23-DCwealth'!Y43,'C23-DCwealth'!Z43,'C23-DCwealth'!AA43,'C23-DCwealth'!AB43,'C23-DCwealth'!AC43,'C23-DCwealth'!AD43,'C23-DCwealth'!AE43,'C23-DCwealth'!AF43,'C23-DCwealth'!AG43)</f>
        <v>%let dc_1_1_1990=0.06;%let dc_1_2_1990=0.369;%let dc_1_3_1990=0.265;%let dc_1_4_1990=0.046;%let dc_2_1_1990=0.146;%let dc_2_2_1990=0.417;%let dc_2_3_1990=0.824;%let dc_2_4_1990=0.241;%let dc_3_1_1990=0.477;%let dc_3_2_1990=0.679;%let dc_3_3_1990=0.58;%let dc_3_4_1990=0.21;%let dc_4_1_1990=0.262;%let dc_4_2_1990=0.675;%let dc_4_3_1990=0.697;%let dc_4_4_1990=0.42;%let dc_5_1_1990=0.352;%let dc_5_2_1990=0.959;%let dc_5_3_1990=0.644;%let dc_5_4_1990=0.07;%let dc_6_1_1990=0.16;%let dc_6_2_1990=0.489;%let dc_6_3_1990=0.547;%let dc_6_4_1990=0.099;%let dc_7_1_1990=0.082;%let dc_7_2_1990=0.197;%let dc_7_3_1990=0.445;%let dc_7_4_1990=0.05;%let dc_8_1_1990=0.01;%let dc_8_2_1990=0.163;%let dc_8_3_1990=0.007;%let dc_8_4_1990=0.014;</v>
      </c>
    </row>
    <row r="241" spans="1:1" x14ac:dyDescent="0.3">
      <c r="A241" s="1011" t="str">
        <f>CONCATENATE('C23-DCwealth'!B44,'C23-DCwealth'!C44,'C23-DCwealth'!D44,'C23-DCwealth'!E44,'C23-DCwealth'!F44,'C23-DCwealth'!G44,'C23-DCwealth'!H44,'C23-DCwealth'!I44,'C23-DCwealth'!J44,'C23-DCwealth'!K44,'C23-DCwealth'!L44,'C23-DCwealth'!M44,'C23-DCwealth'!N44,'C23-DCwealth'!O44,'C23-DCwealth'!P44,'C23-DCwealth'!Q44,'C23-DCwealth'!R44,'C23-DCwealth'!S44,'C23-DCwealth'!T44,'C23-DCwealth'!U44,'C23-DCwealth'!V44,'C23-DCwealth'!W44,'C23-DCwealth'!X44,'C23-DCwealth'!Y44,'C23-DCwealth'!Z44,'C23-DCwealth'!AA44,'C23-DCwealth'!AB44,'C23-DCwealth'!AC44,'C23-DCwealth'!AD44,'C23-DCwealth'!AE44,'C23-DCwealth'!AF44,'C23-DCwealth'!AG44)</f>
        <v>%let dc_1_1_1991=0.052;%let dc_1_2_1991=0.372;%let dc_1_3_1991=0.305;%let dc_1_4_1991=0.042;%let dc_2_1_1991=0.166;%let dc_2_2_1991=0.459;%let dc_2_3_1991=0.757;%let dc_2_4_1991=0.212;%let dc_3_1_1991=0.358;%let dc_3_2_1991=0.679;%let dc_3_3_1991=0.638;%let dc_3_4_1991=0.381;%let dc_4_1_1991=0.276;%let dc_4_2_1991=0.76;%let dc_4_3_1991=0.743;%let dc_4_4_1991=0.79;%let dc_5_1_1991=0.406;%let dc_5_2_1991=0.975;%let dc_5_3_1991=0.622;%let dc_5_4_1991=0.059;%let dc_6_1_1991=0.28;%let dc_6_2_1991=0.671;%let dc_6_3_1991=0.706;%let dc_6_4_1991=0.183;%let dc_7_1_1991=0.076;%let dc_7_2_1991=0.246;%let dc_7_3_1991=0.423;%let dc_7_4_1991=0.092;%let dc_8_1_1991=0.014;%let dc_8_2_1991=0.148;%let dc_8_3_1991=0.013;%let dc_8_4_1991=0.027;</v>
      </c>
    </row>
    <row r="242" spans="1:1" x14ac:dyDescent="0.3">
      <c r="A242" s="1011" t="str">
        <f>CONCATENATE('C23-DCwealth'!B45,'C23-DCwealth'!C45,'C23-DCwealth'!D45,'C23-DCwealth'!E45,'C23-DCwealth'!F45,'C23-DCwealth'!G45,'C23-DCwealth'!H45,'C23-DCwealth'!I45,'C23-DCwealth'!J45,'C23-DCwealth'!K45,'C23-DCwealth'!L45,'C23-DCwealth'!M45,'C23-DCwealth'!N45,'C23-DCwealth'!O45,'C23-DCwealth'!P45,'C23-DCwealth'!Q45,'C23-DCwealth'!R45,'C23-DCwealth'!S45,'C23-DCwealth'!T45,'C23-DCwealth'!U45,'C23-DCwealth'!V45,'C23-DCwealth'!W45,'C23-DCwealth'!X45,'C23-DCwealth'!Y45,'C23-DCwealth'!Z45,'C23-DCwealth'!AA45,'C23-DCwealth'!AB45,'C23-DCwealth'!AC45,'C23-DCwealth'!AD45,'C23-DCwealth'!AE45,'C23-DCwealth'!AF45,'C23-DCwealth'!AG45)</f>
        <v>%let dc_1_1_1992=0.044;%let dc_1_2_1992=0.376;%let dc_1_3_1992=0.345;%let dc_1_4_1992=0.038;%let dc_2_1_1992=0.185;%let dc_2_2_1992=0.502;%let dc_2_3_1992=0.689;%let dc_2_4_1992=0.183;%let dc_3_1_1992=0.238;%let dc_3_2_1992=0.679;%let dc_3_3_1992=0.696;%let dc_3_4_1992=0.552;%let dc_4_1_1992=0.29;%let dc_4_2_1992=0.844;%let dc_4_3_1992=0.789;%let dc_4_4_1992=1.16;%let dc_5_1_1992=0.46;%let dc_5_2_1992=0.991;%let dc_5_3_1992=0.599;%let dc_5_4_1992=0.048;%let dc_6_1_1992=0.4;%let dc_6_2_1992=0.853;%let dc_6_3_1992=0.865;%let dc_6_4_1992=0.267;%let dc_7_1_1992=0.07;%let dc_7_2_1992=0.294;%let dc_7_3_1992=0.401;%let dc_7_4_1992=0.134;%let dc_8_1_1992=0.018;%let dc_8_2_1992=0.133;%let dc_8_3_1992=0.02;%let dc_8_4_1992=0.039;</v>
      </c>
    </row>
    <row r="243" spans="1:1" x14ac:dyDescent="0.3">
      <c r="A243" s="1011" t="str">
        <f>CONCATENATE('C23-DCwealth'!B46,'C23-DCwealth'!C46,'C23-DCwealth'!D46,'C23-DCwealth'!E46,'C23-DCwealth'!F46,'C23-DCwealth'!G46,'C23-DCwealth'!H46,'C23-DCwealth'!I46,'C23-DCwealth'!J46,'C23-DCwealth'!K46,'C23-DCwealth'!L46,'C23-DCwealth'!M46,'C23-DCwealth'!N46,'C23-DCwealth'!O46,'C23-DCwealth'!P46,'C23-DCwealth'!Q46,'C23-DCwealth'!R46,'C23-DCwealth'!S46,'C23-DCwealth'!T46,'C23-DCwealth'!U46,'C23-DCwealth'!V46,'C23-DCwealth'!W46,'C23-DCwealth'!X46,'C23-DCwealth'!Y46,'C23-DCwealth'!Z46,'C23-DCwealth'!AA46,'C23-DCwealth'!AB46,'C23-DCwealth'!AC46,'C23-DCwealth'!AD46,'C23-DCwealth'!AE46,'C23-DCwealth'!AF46,'C23-DCwealth'!AG46)</f>
        <v>%let dc_1_1_1993=0.116;%let dc_1_2_1993=0.414;%let dc_1_3_1993=0.378;%let dc_1_4_1993=0.098;%let dc_2_1_1993=0.217;%let dc_2_2_1993=0.529;%let dc_2_3_1993=0.692;%let dc_2_4_1993=0.253;%let dc_3_1_1993=0.285;%let dc_3_2_1993=0.781;%let dc_3_3_1993=1.032;%let dc_3_4_1993=0.483;%let dc_4_1_1993=0.27;%let dc_4_2_1993=0.955;%let dc_4_3_1993=0.879;%let dc_4_4_1993=1.248;%let dc_5_1_1993=0.392;%let dc_5_2_1993=1.019;%let dc_5_3_1993=1.366;%let dc_5_4_1993=0.052;%let dc_6_1_1993=0.378;%let dc_6_2_1993=0.785;%let dc_6_3_1993=0.842;%let dc_6_4_1993=0.222;%let dc_7_1_1993=0.068;%let dc_7_2_1993=0.278;%let dc_7_3_1993=0.547;%let dc_7_4_1993=0.11;%let dc_8_1_1993=0.253;%let dc_8_2_1993=0.154;%let dc_8_3_1993=0.04;%let dc_8_4_1993=0.033;</v>
      </c>
    </row>
    <row r="244" spans="1:1" x14ac:dyDescent="0.3">
      <c r="A244" s="1011" t="str">
        <f>CONCATENATE('C23-DCwealth'!B47,'C23-DCwealth'!C47,'C23-DCwealth'!D47,'C23-DCwealth'!E47,'C23-DCwealth'!F47,'C23-DCwealth'!G47,'C23-DCwealth'!H47,'C23-DCwealth'!I47,'C23-DCwealth'!J47,'C23-DCwealth'!K47,'C23-DCwealth'!L47,'C23-DCwealth'!M47,'C23-DCwealth'!N47,'C23-DCwealth'!O47,'C23-DCwealth'!P47,'C23-DCwealth'!Q47,'C23-DCwealth'!R47,'C23-DCwealth'!S47,'C23-DCwealth'!T47,'C23-DCwealth'!U47,'C23-DCwealth'!V47,'C23-DCwealth'!W47,'C23-DCwealth'!X47,'C23-DCwealth'!Y47,'C23-DCwealth'!Z47,'C23-DCwealth'!AA47,'C23-DCwealth'!AB47,'C23-DCwealth'!AC47,'C23-DCwealth'!AD47,'C23-DCwealth'!AE47,'C23-DCwealth'!AF47,'C23-DCwealth'!AG47)</f>
        <v>%let dc_1_1_1994=0.187;%let dc_1_2_1994=0.452;%let dc_1_3_1994=0.412;%let dc_1_4_1994=0.159;%let dc_2_1_1994=0.248;%let dc_2_2_1994=0.555;%let dc_2_3_1994=0.696;%let dc_2_4_1994=0.324;%let dc_3_1_1994=0.331;%let dc_3_2_1994=0.882;%let dc_3_3_1994=1.368;%let dc_3_4_1994=0.413;%let dc_4_1_1994=0.251;%let dc_4_2_1994=1.065;%let dc_4_3_1994=0.969;%let dc_4_4_1994=1.336;%let dc_5_1_1994=0.325;%let dc_5_2_1994=1.047;%let dc_5_3_1994=2.134;%let dc_5_4_1994=0.057;%let dc_6_1_1994=0.356;%let dc_6_2_1994=0.717;%let dc_6_3_1994=0.819;%let dc_6_4_1994=0.178;%let dc_7_1_1994=0.066;%let dc_7_2_1994=0.262;%let dc_7_3_1994=0.692;%let dc_7_4_1994=0.086;%let dc_8_1_1994=0.488;%let dc_8_2_1994=0.174;%let dc_8_3_1994=0.059;%let dc_8_4_1994=0.026;</v>
      </c>
    </row>
    <row r="245" spans="1:1" x14ac:dyDescent="0.3">
      <c r="A245" s="1011" t="str">
        <f>CONCATENATE('C23-DCwealth'!B48,'C23-DCwealth'!C48,'C23-DCwealth'!D48,'C23-DCwealth'!E48,'C23-DCwealth'!F48,'C23-DCwealth'!G48,'C23-DCwealth'!H48,'C23-DCwealth'!I48,'C23-DCwealth'!J48,'C23-DCwealth'!K48,'C23-DCwealth'!L48,'C23-DCwealth'!M48,'C23-DCwealth'!N48,'C23-DCwealth'!O48,'C23-DCwealth'!P48,'C23-DCwealth'!Q48,'C23-DCwealth'!R48,'C23-DCwealth'!S48,'C23-DCwealth'!T48,'C23-DCwealth'!U48,'C23-DCwealth'!V48,'C23-DCwealth'!W48,'C23-DCwealth'!X48,'C23-DCwealth'!Y48,'C23-DCwealth'!Z48,'C23-DCwealth'!AA48,'C23-DCwealth'!AB48,'C23-DCwealth'!AC48,'C23-DCwealth'!AD48,'C23-DCwealth'!AE48,'C23-DCwealth'!AF48,'C23-DCwealth'!AG48)</f>
        <v>%let dc_1_1_1995=0.259;%let dc_1_2_1995=0.49;%let dc_1_3_1995=0.446;%let dc_1_4_1995=0.219;%let dc_2_1_1995=0.279;%let dc_2_2_1995=0.581;%let dc_2_3_1995=0.699;%let dc_2_4_1995=0.394;%let dc_3_1_1995=0.377;%let dc_3_2_1995=0.984;%let dc_3_3_1995=1.704;%let dc_3_4_1995=0.344;%let dc_4_1_1995=0.232;%let dc_4_2_1995=1.175;%let dc_4_3_1995=1.059;%let dc_4_4_1995=1.423;%let dc_5_1_1995=0.258;%let dc_5_2_1995=1.075;%let dc_5_3_1995=2.901;%let dc_5_4_1995=0.062;%let dc_6_1_1995=0.334;%let dc_6_2_1995=0.649;%let dc_6_3_1995=0.797;%let dc_6_4_1995=0.134;%let dc_7_1_1995=0.063;%let dc_7_2_1995=0.246;%let dc_7_3_1995=0.837;%let dc_7_4_1995=0.061;%let dc_8_1_1995=0.723;%let dc_8_2_1995=0.195;%let dc_8_3_1995=0.079;%let dc_8_4_1995=0.019;</v>
      </c>
    </row>
    <row r="246" spans="1:1" x14ac:dyDescent="0.3">
      <c r="A246" s="1011" t="str">
        <f>CONCATENATE('C23-DCwealth'!B49,'C23-DCwealth'!C49,'C23-DCwealth'!D49,'C23-DCwealth'!E49,'C23-DCwealth'!F49,'C23-DCwealth'!G49,'C23-DCwealth'!H49,'C23-DCwealth'!I49,'C23-DCwealth'!J49,'C23-DCwealth'!K49,'C23-DCwealth'!L49,'C23-DCwealth'!M49,'C23-DCwealth'!N49,'C23-DCwealth'!O49,'C23-DCwealth'!P49,'C23-DCwealth'!Q49,'C23-DCwealth'!R49,'C23-DCwealth'!S49,'C23-DCwealth'!T49,'C23-DCwealth'!U49,'C23-DCwealth'!V49,'C23-DCwealth'!W49,'C23-DCwealth'!X49,'C23-DCwealth'!Y49,'C23-DCwealth'!Z49,'C23-DCwealth'!AA49,'C23-DCwealth'!AB49,'C23-DCwealth'!AC49,'C23-DCwealth'!AD49,'C23-DCwealth'!AE49,'C23-DCwealth'!AF49,'C23-DCwealth'!AG49)</f>
        <v>%let dc_1_1_1996=0.206;%let dc_1_2_1996=0.534;%let dc_1_3_1996=0.48;%let dc_1_4_1996=0.23;%let dc_2_1_1996=0.307;%let dc_2_2_1996=0.655;%let dc_2_3_1996=0.866;%let dc_2_4_1996=0.421;%let dc_3_1_1996=0.427;%let dc_3_2_1996=0.991;%let dc_3_3_1996=1.404;%let dc_3_4_1996=0.959;%let dc_4_1_1996=0.368;%let dc_4_2_1996=1.195;%let dc_4_3_1996=1.392;%let dc_4_4_1996=1.555;%let dc_5_1_1996=0.265;%let dc_5_2_1996=1.08;%let dc_5_3_1996=2.202;%let dc_5_4_1996=0.105;%let dc_6_1_1996=0.273;%let dc_6_2_1996=0.669;%let dc_6_3_1996=0.84;%let dc_6_4_1996=0.17;%let dc_7_1_1996=0.123;%let dc_7_2_1996=0.317;%let dc_7_3_1996=0.662;%let dc_7_4_1996=0.123;%let dc_8_1_1996=0.51;%let dc_8_2_1996=0.202;%let dc_8_3_1996=0.097;%let dc_8_4_1996=0.014;</v>
      </c>
    </row>
    <row r="247" spans="1:1" x14ac:dyDescent="0.3">
      <c r="A247" s="1011" t="str">
        <f>CONCATENATE('C23-DCwealth'!B50,'C23-DCwealth'!C50,'C23-DCwealth'!D50,'C23-DCwealth'!E50,'C23-DCwealth'!F50,'C23-DCwealth'!G50,'C23-DCwealth'!H50,'C23-DCwealth'!I50,'C23-DCwealth'!J50,'C23-DCwealth'!K50,'C23-DCwealth'!L50,'C23-DCwealth'!M50,'C23-DCwealth'!N50,'C23-DCwealth'!O50,'C23-DCwealth'!P50,'C23-DCwealth'!Q50,'C23-DCwealth'!R50,'C23-DCwealth'!S50,'C23-DCwealth'!T50,'C23-DCwealth'!U50,'C23-DCwealth'!V50,'C23-DCwealth'!W50,'C23-DCwealth'!X50,'C23-DCwealth'!Y50,'C23-DCwealth'!Z50,'C23-DCwealth'!AA50,'C23-DCwealth'!AB50,'C23-DCwealth'!AC50,'C23-DCwealth'!AD50,'C23-DCwealth'!AE50,'C23-DCwealth'!AF50,'C23-DCwealth'!AG50)</f>
        <v>%let dc_1_1_1997=0.153;%let dc_1_2_1997=0.578;%let dc_1_3_1997=0.514;%let dc_1_4_1997=0.24;%let dc_2_1_1997=0.335;%let dc_2_2_1997=0.728;%let dc_2_3_1997=1.033;%let dc_2_4_1997=0.447;%let dc_3_1_1997=0.476;%let dc_3_2_1997=0.999;%let dc_3_3_1997=1.104;%let dc_3_4_1997=1.575;%let dc_4_1_1997=0.504;%let dc_4_2_1997=1.215;%let dc_4_3_1997=1.725;%let dc_4_4_1997=1.686;%let dc_5_1_1997=0.271;%let dc_5_2_1997=1.085;%let dc_5_3_1997=1.504;%let dc_5_4_1997=0.148;%let dc_6_1_1997=0.212;%let dc_6_2_1997=0.688;%let dc_6_3_1997=0.883;%let dc_6_4_1997=0.205;%let dc_7_1_1997=0.183;%let dc_7_2_1997=0.387;%let dc_7_3_1997=0.488;%let dc_7_4_1997=0.184;%let dc_8_1_1997=0.297;%let dc_8_2_1997=0.209;%let dc_8_3_1997=0.116;%let dc_8_4_1997=0.009;</v>
      </c>
    </row>
    <row r="248" spans="1:1" x14ac:dyDescent="0.3">
      <c r="A248" s="1011" t="str">
        <f>CONCATENATE('C23-DCwealth'!B51,'C23-DCwealth'!C51,'C23-DCwealth'!D51,'C23-DCwealth'!E51,'C23-DCwealth'!F51,'C23-DCwealth'!G51,'C23-DCwealth'!H51,'C23-DCwealth'!I51,'C23-DCwealth'!J51,'C23-DCwealth'!K51,'C23-DCwealth'!L51,'C23-DCwealth'!M51,'C23-DCwealth'!N51,'C23-DCwealth'!O51,'C23-DCwealth'!P51,'C23-DCwealth'!Q51,'C23-DCwealth'!R51,'C23-DCwealth'!S51,'C23-DCwealth'!T51,'C23-DCwealth'!U51,'C23-DCwealth'!V51,'C23-DCwealth'!W51,'C23-DCwealth'!X51,'C23-DCwealth'!Y51,'C23-DCwealth'!Z51,'C23-DCwealth'!AA51,'C23-DCwealth'!AB51,'C23-DCwealth'!AC51,'C23-DCwealth'!AD51,'C23-DCwealth'!AE51,'C23-DCwealth'!AF51,'C23-DCwealth'!AG51)</f>
        <v>%let dc_1_1_1998=0.101;%let dc_1_2_1998=0.621;%let dc_1_3_1998=0.548;%let dc_1_4_1998=0.251;%let dc_2_1_1998=0.363;%let dc_2_2_1998=0.802;%let dc_2_3_1998=1.2;%let dc_2_4_1998=0.474;%let dc_3_1_1998=0.525;%let dc_3_2_1998=1.007;%let dc_3_3_1998=0.804;%let dc_3_4_1998=2.19;%let dc_4_1_1998=0.64;%let dc_4_2_1998=1.236;%let dc_4_3_1998=2.058;%let dc_4_4_1998=1.818;%let dc_5_1_1998=0.278;%let dc_5_2_1998=1.09;%let dc_5_3_1998=0.805;%let dc_5_4_1998=0.19;%let dc_6_1_1998=0.151;%let dc_6_2_1998=0.707;%let dc_6_3_1998=0.926;%let dc_6_4_1998=0.241;%let dc_7_1_1998=0.243;%let dc_7_2_1998=0.458;%let dc_7_3_1998=0.313;%let dc_7_4_1998=0.245;%let dc_8_1_1998=0.084;%let dc_8_2_1998=0.215;%let dc_8_3_1998=0.134;%let dc_8_4_1998=0.004;</v>
      </c>
    </row>
    <row r="249" spans="1:1" x14ac:dyDescent="0.3">
      <c r="A249" s="1011" t="str">
        <f>CONCATENATE('C23-DCwealth'!B52,'C23-DCwealth'!C52,'C23-DCwealth'!D52,'C23-DCwealth'!E52,'C23-DCwealth'!F52,'C23-DCwealth'!G52,'C23-DCwealth'!H52,'C23-DCwealth'!I52,'C23-DCwealth'!J52,'C23-DCwealth'!K52,'C23-DCwealth'!L52,'C23-DCwealth'!M52,'C23-DCwealth'!N52,'C23-DCwealth'!O52,'C23-DCwealth'!P52,'C23-DCwealth'!Q52,'C23-DCwealth'!R52,'C23-DCwealth'!S52,'C23-DCwealth'!T52,'C23-DCwealth'!U52,'C23-DCwealth'!V52,'C23-DCwealth'!W52,'C23-DCwealth'!X52,'C23-DCwealth'!Y52,'C23-DCwealth'!Z52,'C23-DCwealth'!AA52,'C23-DCwealth'!AB52,'C23-DCwealth'!AC52,'C23-DCwealth'!AD52,'C23-DCwealth'!AE52,'C23-DCwealth'!AF52,'C23-DCwealth'!AG52)</f>
        <v>%let dc_1_1_1999=0.101;%let dc_1_2_1999=0.745;%let dc_1_3_1999=0.62;%let dc_1_4_1999=0.338;%let dc_2_1_1999=0.348;%let dc_2_2_1999=0.865;%let dc_2_3_1999=1.276;%let dc_2_4_1999=0.642;%let dc_3_1_1999=0.498;%let dc_3_2_1999=1.098;%let dc_3_3_1999=1.428;%let dc_3_4_1999=1.865;%let dc_4_1_1999=0.571;%let dc_4_2_1999=1.294;%let dc_4_3_1999=2.065;%let dc_4_4_1999=1.484;%let dc_5_1_1999=0.307;%let dc_5_2_1999=1.121;%let dc_5_3_1999=0.797;%let dc_5_4_1999=0.504;%let dc_6_1_1999=0.178;%let dc_6_2_1999=0.66;%let dc_6_3_1999=0.945;%let dc_6_4_1999=0.587;%let dc_7_1_1999=0.167;%let dc_7_2_1999=0.377;%let dc_7_3_1999=0.26;%let dc_7_4_1999=0.204;%let dc_8_1_1999=0.06;%let dc_8_2_1999=0.155;%let dc_8_3_1999=0.125;%let dc_8_4_1999=0.003;</v>
      </c>
    </row>
    <row r="250" spans="1:1" x14ac:dyDescent="0.3">
      <c r="A250" s="1011" t="str">
        <f>CONCATENATE('C23-DCwealth'!B53,'C23-DCwealth'!C53,'C23-DCwealth'!D53,'C23-DCwealth'!E53,'C23-DCwealth'!F53,'C23-DCwealth'!G53,'C23-DCwealth'!H53,'C23-DCwealth'!I53,'C23-DCwealth'!J53,'C23-DCwealth'!K53,'C23-DCwealth'!L53,'C23-DCwealth'!M53,'C23-DCwealth'!N53,'C23-DCwealth'!O53,'C23-DCwealth'!P53,'C23-DCwealth'!Q53,'C23-DCwealth'!R53,'C23-DCwealth'!S53,'C23-DCwealth'!T53,'C23-DCwealth'!U53,'C23-DCwealth'!V53,'C23-DCwealth'!W53,'C23-DCwealth'!X53,'C23-DCwealth'!Y53,'C23-DCwealth'!Z53,'C23-DCwealth'!AA53,'C23-DCwealth'!AB53,'C23-DCwealth'!AC53,'C23-DCwealth'!AD53,'C23-DCwealth'!AE53,'C23-DCwealth'!AF53,'C23-DCwealth'!AG53)</f>
        <v>%let dc_1_1_2000=0.101;%let dc_1_2_2000=0.869;%let dc_1_3_2000=0.692;%let dc_1_4_2000=0.424;%let dc_2_1_2000=0.334;%let dc_2_2_2000=0.928;%let dc_2_3_2000=1.352;%let dc_2_4_2000=0.809;%let dc_3_1_2000=0.472;%let dc_3_2_2000=1.189;%let dc_3_3_2000=2.051;%let dc_3_4_2000=1.541;%let dc_4_1_2000=0.503;%let dc_4_2_2000=1.353;%let dc_4_3_2000=2.073;%let dc_4_4_2000=1.15;%let dc_5_1_2000=0.337;%let dc_5_2_2000=1.152;%let dc_5_3_2000=0.789;%let dc_5_4_2000=0.817;%let dc_6_1_2000=0.204;%let dc_6_2_2000=0.613;%let dc_6_3_2000=0.964;%let dc_6_4_2000=0.934;%let dc_7_1_2000=0.09;%let dc_7_2_2000=0.295;%let dc_7_3_2000=0.207;%let dc_7_4_2000=0.163;%let dc_8_1_2000=0.035;%let dc_8_2_2000=0.095;%let dc_8_3_2000=0.116;%let dc_8_4_2000=0.001;</v>
      </c>
    </row>
    <row r="251" spans="1:1" x14ac:dyDescent="0.3">
      <c r="A251" s="1011" t="str">
        <f>CONCATENATE('C23-DCwealth'!B54,'C23-DCwealth'!C54,'C23-DCwealth'!D54,'C23-DCwealth'!E54,'C23-DCwealth'!F54,'C23-DCwealth'!G54,'C23-DCwealth'!H54,'C23-DCwealth'!I54,'C23-DCwealth'!J54,'C23-DCwealth'!K54,'C23-DCwealth'!L54,'C23-DCwealth'!M54,'C23-DCwealth'!N54,'C23-DCwealth'!O54,'C23-DCwealth'!P54,'C23-DCwealth'!Q54,'C23-DCwealth'!R54,'C23-DCwealth'!S54,'C23-DCwealth'!T54,'C23-DCwealth'!U54,'C23-DCwealth'!V54,'C23-DCwealth'!W54,'C23-DCwealth'!X54,'C23-DCwealth'!Y54,'C23-DCwealth'!Z54,'C23-DCwealth'!AA54,'C23-DCwealth'!AB54,'C23-DCwealth'!AC54,'C23-DCwealth'!AD54,'C23-DCwealth'!AE54,'C23-DCwealth'!AF54,'C23-DCwealth'!AG54)</f>
        <v>%let dc_1_1_2001=0.101;%let dc_1_2_2001=0.993;%let dc_1_3_2001=0.764;%let dc_1_4_2001=0.511;%let dc_2_1_2001=0.32;%let dc_2_2_2001=0.991;%let dc_2_3_2001=1.427;%let dc_2_4_2001=0.977;%let dc_3_1_2001=0.445;%let dc_3_2_2001=1.28;%let dc_3_3_2001=2.674;%let dc_3_4_2001=1.217;%let dc_4_1_2001=0.434;%let dc_4_2_2001=1.411;%let dc_4_3_2001=2.081;%let dc_4_4_2001=0.815;%let dc_5_1_2001=0.366;%let dc_5_2_2001=1.183;%let dc_5_3_2001=0.781;%let dc_5_4_2001=1.13;%let dc_6_1_2001=0.23;%let dc_6_2_2001=0.566;%let dc_6_3_2001=0.983;%let dc_6_4_2001=1.28;%let dc_7_1_2001=0.014;%let dc_7_2_2001=0.213;%let dc_7_3_2001=0.155;%let dc_7_4_2001=0.123;%let dc_8_1_2001=0.01;%let dc_8_2_2001=0.035;%let dc_8_3_2001=0.106;%let dc_8_4_2001=0;</v>
      </c>
    </row>
    <row r="252" spans="1:1" x14ac:dyDescent="0.3">
      <c r="A252" s="1011" t="str">
        <f>CONCATENATE('C23-DCwealth'!B55,'C23-DCwealth'!C55,'C23-DCwealth'!D55,'C23-DCwealth'!E55,'C23-DCwealth'!F55,'C23-DCwealth'!G55,'C23-DCwealth'!H55,'C23-DCwealth'!I55,'C23-DCwealth'!J55,'C23-DCwealth'!K55,'C23-DCwealth'!L55,'C23-DCwealth'!M55,'C23-DCwealth'!N55,'C23-DCwealth'!O55,'C23-DCwealth'!P55,'C23-DCwealth'!Q55,'C23-DCwealth'!R55,'C23-DCwealth'!S55,'C23-DCwealth'!T55,'C23-DCwealth'!U55,'C23-DCwealth'!V55,'C23-DCwealth'!W55,'C23-DCwealth'!X55,'C23-DCwealth'!Y55,'C23-DCwealth'!Z55,'C23-DCwealth'!AA55,'C23-DCwealth'!AB55,'C23-DCwealth'!AC55,'C23-DCwealth'!AD55,'C23-DCwealth'!AE55,'C23-DCwealth'!AF55,'C23-DCwealth'!AG55)</f>
        <v>%let dc_1_1_2002=0.092;%let dc_1_2_2002=0.81;%let dc_1_3_2002=0.737;%let dc_1_4_2002=0.476;%let dc_2_1_2002=0.314;%let dc_2_2_2002=1.004;%let dc_2_3_2002=1.413;%let dc_2_4_2002=0.967;%let dc_3_1_2002=0.483;%let dc_3_2_2002=1.267;%let dc_3_3_2002=2.402;%let dc_3_4_2002=1.997;%let dc_4_1_2002=0.466;%let dc_4_2_2002=1.464;%let dc_4_3_2002=2.016;%let dc_4_4_2002=0.994;%let dc_5_1_2002=0.478;%let dc_5_2_2002=1.023;%let dc_5_3_2002=1.358;%let dc_5_4_2002=1.225;%let dc_6_1_2002=0.225;%let dc_6_2_2002=0.662;%let dc_6_3_2002=1.782;%let dc_6_4_2002=1.037;%let dc_7_1_2002=0.115;%let dc_7_2_2002=0.254;%let dc_7_3_2002=0.191;%let dc_7_4_2002=0.226;%let dc_8_1_2002=0.017;%let dc_8_2_2002=0.04;%let dc_8_3_2002=0.117;%let dc_8_4_2002=0.061;</v>
      </c>
    </row>
    <row r="253" spans="1:1" x14ac:dyDescent="0.3">
      <c r="A253" s="1011" t="str">
        <f>CONCATENATE('C23-DCwealth'!B56,'C23-DCwealth'!C56,'C23-DCwealth'!D56,'C23-DCwealth'!E56,'C23-DCwealth'!F56,'C23-DCwealth'!G56,'C23-DCwealth'!H56,'C23-DCwealth'!I56,'C23-DCwealth'!J56,'C23-DCwealth'!K56,'C23-DCwealth'!L56,'C23-DCwealth'!M56,'C23-DCwealth'!N56,'C23-DCwealth'!O56,'C23-DCwealth'!P56,'C23-DCwealth'!Q56,'C23-DCwealth'!R56,'C23-DCwealth'!S56,'C23-DCwealth'!T56,'C23-DCwealth'!U56,'C23-DCwealth'!V56,'C23-DCwealth'!W56,'C23-DCwealth'!X56,'C23-DCwealth'!Y56,'C23-DCwealth'!Z56,'C23-DCwealth'!AA56,'C23-DCwealth'!AB56,'C23-DCwealth'!AC56,'C23-DCwealth'!AD56,'C23-DCwealth'!AE56,'C23-DCwealth'!AF56,'C23-DCwealth'!AG56)</f>
        <v>%let dc_1_1_2003=0.084;%let dc_1_2_2003=0.627;%let dc_1_3_2003=0.71;%let dc_1_4_2003=0.441;%let dc_2_1_2003=0.309;%let dc_2_2_2003=1.017;%let dc_2_3_2003=1.399;%let dc_2_4_2003=0.957;%let dc_3_1_2003=0.521;%let dc_3_2_2003=1.255;%let dc_3_3_2003=2.129;%let dc_3_4_2003=2.777;%let dc_4_1_2003=0.498;%let dc_4_2_2003=1.517;%let dc_4_3_2003=1.95;%let dc_4_4_2003=1.173;%let dc_5_1_2003=0.589;%let dc_5_2_2003=0.862;%let dc_5_3_2003=1.935;%let dc_5_4_2003=1.32;%let dc_6_1_2003=0.219;%let dc_6_2_2003=0.758;%let dc_6_3_2003=2.581;%let dc_6_4_2003=0.794;%let dc_7_1_2003=0.217;%let dc_7_2_2003=0.295;%let dc_7_3_2003=0.227;%let dc_7_4_2003=0.329;%let dc_8_1_2003=0.025;%let dc_8_2_2003=0.045;%let dc_8_3_2003=0.127;%let dc_8_4_2003=0.122;</v>
      </c>
    </row>
    <row r="254" spans="1:1" x14ac:dyDescent="0.3">
      <c r="A254" s="1011" t="str">
        <f>CONCATENATE('C23-DCwealth'!B57,'C23-DCwealth'!C57,'C23-DCwealth'!D57,'C23-DCwealth'!E57,'C23-DCwealth'!F57,'C23-DCwealth'!G57,'C23-DCwealth'!H57,'C23-DCwealth'!I57,'C23-DCwealth'!J57,'C23-DCwealth'!K57,'C23-DCwealth'!L57,'C23-DCwealth'!M57,'C23-DCwealth'!N57,'C23-DCwealth'!O57,'C23-DCwealth'!P57,'C23-DCwealth'!Q57,'C23-DCwealth'!R57,'C23-DCwealth'!S57,'C23-DCwealth'!T57,'C23-DCwealth'!U57,'C23-DCwealth'!V57,'C23-DCwealth'!W57,'C23-DCwealth'!X57,'C23-DCwealth'!Y57,'C23-DCwealth'!Z57,'C23-DCwealth'!AA57,'C23-DCwealth'!AB57,'C23-DCwealth'!AC57,'C23-DCwealth'!AD57,'C23-DCwealth'!AE57,'C23-DCwealth'!AF57,'C23-DCwealth'!AG57)</f>
        <v>%let dc_1_1_2004=0.075;%let dc_1_2_2004=0.444;%let dc_1_3_2004=0.683;%let dc_1_4_2004=0.406;%let dc_2_1_2004=0.304;%let dc_2_2_2004=1.031;%let dc_2_3_2004=1.385;%let dc_2_4_2004=0.948;%let dc_3_1_2004=0.559;%let dc_3_2_2004=1.243;%let dc_3_3_2004=1.856;%let dc_3_4_2004=3.557;%let dc_4_1_2004=0.53;%let dc_4_2_2004=1.569;%let dc_4_3_2004=1.885;%let dc_4_4_2004=1.352;%let dc_5_1_2004=0.701;%let dc_5_2_2004=0.701;%let dc_5_3_2004=2.511;%let dc_5_4_2004=1.414;%let dc_6_1_2004=0.214;%let dc_6_2_2004=0.854;%let dc_6_3_2004=3.38;%let dc_6_4_2004=0.551;%let dc_7_1_2004=0.318;%let dc_7_2_2004=0.335;%let dc_7_3_2004=0.263;%let dc_7_4_2004=0.432;%let dc_8_1_2004=0.032;%let dc_8_2_2004=0.05;%let dc_8_3_2004=0.137;%let dc_8_4_2004=0.183;</v>
      </c>
    </row>
    <row r="255" spans="1:1" x14ac:dyDescent="0.3">
      <c r="A255" s="1011" t="str">
        <f>CONCATENATE('C23-DCwealth'!B58,'C23-DCwealth'!C58,'C23-DCwealth'!D58,'C23-DCwealth'!E58,'C23-DCwealth'!F58,'C23-DCwealth'!G58,'C23-DCwealth'!H58,'C23-DCwealth'!I58,'C23-DCwealth'!J58,'C23-DCwealth'!K58,'C23-DCwealth'!L58,'C23-DCwealth'!M58,'C23-DCwealth'!N58,'C23-DCwealth'!O58,'C23-DCwealth'!P58,'C23-DCwealth'!Q58,'C23-DCwealth'!R58,'C23-DCwealth'!S58,'C23-DCwealth'!T58,'C23-DCwealth'!U58,'C23-DCwealth'!V58,'C23-DCwealth'!W58,'C23-DCwealth'!X58,'C23-DCwealth'!Y58,'C23-DCwealth'!Z58,'C23-DCwealth'!AA58,'C23-DCwealth'!AB58,'C23-DCwealth'!AC58,'C23-DCwealth'!AD58,'C23-DCwealth'!AE58,'C23-DCwealth'!AF58,'C23-DCwealth'!AG58)</f>
        <v>%let dc_1_1_2005=0.077;%let dc_1_2_2005=0.469;%let dc_1_3_2005=0.745;%let dc_1_4_2005=0.426;%let dc_2_1_2005=0.31;%let dc_2_2_2005=1.083;%let dc_2_3_2005=1.491;%let dc_2_4_2005=1.042;%let dc_3_1_2005=0.561;%let dc_3_2_2005=1.287;%let dc_3_3_2005=1.842;%let dc_3_4_2005=2.708;%let dc_4_1_2005=0.517;%let dc_4_2_2005=1.556;%let dc_4_3_2005=2.349;%let dc_4_4_2005=1.262;%let dc_5_1_2005=0.546;%let dc_5_2_2005=0.81;%let dc_5_3_2005=2.202;%let dc_5_4_2005=1.205;%let dc_6_1_2005=0.215;%let dc_6_2_2005=0.886;%let dc_6_3_2005=2.431;%let dc_6_4_2005=0.588;%let dc_7_1_2005=0.22;%let dc_7_2_2005=0.341;%let dc_7_3_2005=0.247;%let dc_7_4_2005=0.38;%let dc_8_1_2005=0.026;%let dc_8_2_2005=0.076;%let dc_8_3_2005=0.162;%let dc_8_4_2005=0.138;</v>
      </c>
    </row>
    <row r="256" spans="1:1" x14ac:dyDescent="0.3">
      <c r="A256" s="1011" t="str">
        <f>CONCATENATE('C23-DCwealth'!B59,'C23-DCwealth'!C59,'C23-DCwealth'!D59,'C23-DCwealth'!E59,'C23-DCwealth'!F59,'C23-DCwealth'!G59,'C23-DCwealth'!H59,'C23-DCwealth'!I59,'C23-DCwealth'!J59,'C23-DCwealth'!K59,'C23-DCwealth'!L59,'C23-DCwealth'!M59,'C23-DCwealth'!N59,'C23-DCwealth'!O59,'C23-DCwealth'!P59,'C23-DCwealth'!Q59,'C23-DCwealth'!R59,'C23-DCwealth'!S59,'C23-DCwealth'!T59,'C23-DCwealth'!U59,'C23-DCwealth'!V59,'C23-DCwealth'!W59,'C23-DCwealth'!X59,'C23-DCwealth'!Y59,'C23-DCwealth'!Z59,'C23-DCwealth'!AA59,'C23-DCwealth'!AB59,'C23-DCwealth'!AC59,'C23-DCwealth'!AD59,'C23-DCwealth'!AE59,'C23-DCwealth'!AF59,'C23-DCwealth'!AG59)</f>
        <v>%let dc_1_1_2006=0.079;%let dc_1_2_2006=0.494;%let dc_1_3_2006=0.807;%let dc_1_4_2006=0.446;%let dc_2_1_2006=0.317;%let dc_2_2_2006=1.136;%let dc_2_3_2006=1.596;%let dc_2_4_2006=1.137;%let dc_3_1_2006=0.562;%let dc_3_2_2006=1.331;%let dc_3_3_2006=1.828;%let dc_3_4_2006=1.858;%let dc_4_1_2006=0.504;%let dc_4_2_2006=1.542;%let dc_4_3_2006=2.812;%let dc_4_4_2006=1.171;%let dc_5_1_2006=0.391;%let dc_5_2_2006=0.918;%let dc_5_3_2006=1.892;%let dc_5_4_2006=0.996;%let dc_6_1_2006=0.215;%let dc_6_2_2006=0.918;%let dc_6_3_2006=1.483;%let dc_6_4_2006=0.625;%let dc_7_1_2006=0.122;%let dc_7_2_2006=0.348;%let dc_7_3_2006=0.231;%let dc_7_4_2006=0.328;%let dc_8_1_2006=0.02;%let dc_8_2_2006=0.102;%let dc_8_3_2006=0.186;%let dc_8_4_2006=0.092;</v>
      </c>
    </row>
    <row r="257" spans="1:1" x14ac:dyDescent="0.3">
      <c r="A257" s="1011" t="str">
        <f>CONCATENATE('C23-DCwealth'!B60,'C23-DCwealth'!C60,'C23-DCwealth'!D60,'C23-DCwealth'!E60,'C23-DCwealth'!F60,'C23-DCwealth'!G60,'C23-DCwealth'!H60,'C23-DCwealth'!I60,'C23-DCwealth'!J60,'C23-DCwealth'!K60,'C23-DCwealth'!L60,'C23-DCwealth'!M60,'C23-DCwealth'!N60,'C23-DCwealth'!O60,'C23-DCwealth'!P60,'C23-DCwealth'!Q60,'C23-DCwealth'!R60,'C23-DCwealth'!S60,'C23-DCwealth'!T60,'C23-DCwealth'!U60,'C23-DCwealth'!V60,'C23-DCwealth'!W60,'C23-DCwealth'!X60,'C23-DCwealth'!Y60,'C23-DCwealth'!Z60,'C23-DCwealth'!AA60,'C23-DCwealth'!AB60,'C23-DCwealth'!AC60,'C23-DCwealth'!AD60,'C23-DCwealth'!AE60,'C23-DCwealth'!AF60,'C23-DCwealth'!AG60)</f>
        <v>%let dc_1_1_2007=0.081;%let dc_1_2_2007=0.519;%let dc_1_3_2007=0.869;%let dc_1_4_2007=0.466;%let dc_2_1_2007=0.323;%let dc_2_2_2007=1.189;%let dc_2_3_2007=1.702;%let dc_2_4_2007=1.232;%let dc_3_1_2007=0.564;%let dc_3_2_2007=1.375;%let dc_3_3_2007=1.813;%let dc_3_4_2007=1.009;%let dc_4_1_2007=0.491;%let dc_4_2_2007=1.528;%let dc_4_3_2007=3.275;%let dc_4_4_2007=1.081;%let dc_5_1_2007=0.236;%let dc_5_2_2007=1.026;%let dc_5_3_2007=1.582;%let dc_5_4_2007=0.788;%let dc_6_1_2007=0.216;%let dc_6_2_2007=0.95;%let dc_6_3_2007=0.535;%let dc_6_4_2007=0.661;%let dc_7_1_2007=0.024;%let dc_7_2_2007=0.354;%let dc_7_3_2007=0.215;%let dc_7_4_2007=0.276;%let dc_8_1_2007=0.014;%let dc_8_2_2007=0.128;%let dc_8_3_2007=0.211;%let dc_8_4_2007=0.046;</v>
      </c>
    </row>
    <row r="258" spans="1:1" x14ac:dyDescent="0.3">
      <c r="A258" s="1011" t="str">
        <f>CONCATENATE('C23-DCwealth'!B61,'C23-DCwealth'!C61,'C23-DCwealth'!D61,'C23-DCwealth'!E61,'C23-DCwealth'!F61,'C23-DCwealth'!G61,'C23-DCwealth'!H61,'C23-DCwealth'!I61,'C23-DCwealth'!J61,'C23-DCwealth'!K61,'C23-DCwealth'!L61,'C23-DCwealth'!M61,'C23-DCwealth'!N61,'C23-DCwealth'!O61,'C23-DCwealth'!P61,'C23-DCwealth'!Q61,'C23-DCwealth'!R61,'C23-DCwealth'!S61,'C23-DCwealth'!T61,'C23-DCwealth'!U61,'C23-DCwealth'!V61,'C23-DCwealth'!W61,'C23-DCwealth'!X61,'C23-DCwealth'!Y61,'C23-DCwealth'!Z61,'C23-DCwealth'!AA61,'C23-DCwealth'!AB61,'C23-DCwealth'!AC61,'C23-DCwealth'!AD61,'C23-DCwealth'!AE61,'C23-DCwealth'!AF61,'C23-DCwealth'!AG61)</f>
        <v>%let dc_1_1_2008=0.083;%let dc_1_2_2008=0.576;%let dc_1_3_2008=0.8;%let dc_1_4_2008=0.532;%let dc_2_1_2008=0.328;%let dc_2_2_2008=1.147;%let dc_2_3_2008=1.84;%let dc_2_4_2008=1.29;%let dc_3_1_2008=0.554;%let dc_3_2_2008=1.523;%let dc_3_3_2008=2.126;%let dc_3_4_2008=1.684;%let dc_4_1_2008=0.464;%let dc_4_2_2008=1.615;%let dc_4_3_2008=2.841;%let dc_4_4_2008=1.714;%let dc_5_1_2008=0.269;%let dc_5_2_2008=1.136;%let dc_5_3_2008=1.772;%let dc_5_4_2008=1.441;%let dc_6_1_2008=0.166;%let dc_6_2_2008=0.925;%let dc_6_3_2008=0.591;%let dc_6_4_2008=1.242;%let dc_7_1_2008=0.034;%let dc_7_2_2008=0.437;%let dc_7_3_2008=0.293;%let dc_7_4_2008=0.277;%let dc_8_1_2008=0.031;%let dc_8_2_2008=0.129;%let dc_8_3_2008=0.246;%let dc_8_4_2008=0.129;</v>
      </c>
    </row>
    <row r="259" spans="1:1" x14ac:dyDescent="0.3">
      <c r="A259" s="1011" t="str">
        <f>CONCATENATE('C23-DCwealth'!B62,'C23-DCwealth'!C62,'C23-DCwealth'!D62,'C23-DCwealth'!E62,'C23-DCwealth'!F62,'C23-DCwealth'!G62,'C23-DCwealth'!H62,'C23-DCwealth'!I62,'C23-DCwealth'!J62,'C23-DCwealth'!K62,'C23-DCwealth'!L62,'C23-DCwealth'!M62,'C23-DCwealth'!N62,'C23-DCwealth'!O62,'C23-DCwealth'!P62,'C23-DCwealth'!Q62,'C23-DCwealth'!R62,'C23-DCwealth'!S62,'C23-DCwealth'!T62,'C23-DCwealth'!U62,'C23-DCwealth'!V62,'C23-DCwealth'!W62,'C23-DCwealth'!X62,'C23-DCwealth'!Y62,'C23-DCwealth'!Z62,'C23-DCwealth'!AA62,'C23-DCwealth'!AB62,'C23-DCwealth'!AC62,'C23-DCwealth'!AD62,'C23-DCwealth'!AE62,'C23-DCwealth'!AF62,'C23-DCwealth'!AG62)</f>
        <v>%let dc_1_1_2009=0.085;%let dc_1_2_2009=0.632;%let dc_1_3_2009=0.731;%let dc_1_4_2009=0.598;%let dc_2_1_2009=0.332;%let dc_2_2_2009=1.105;%let dc_2_3_2009=1.979;%let dc_2_4_2009=1.349;%let dc_3_1_2009=0.545;%let dc_3_2_2009=1.672;%let dc_3_3_2009=2.438;%let dc_3_4_2009=2.358;%let dc_4_1_2009=0.436;%let dc_4_2_2009=1.703;%let dc_4_3_2009=2.408;%let dc_4_4_2009=2.347;%let dc_5_1_2009=0.303;%let dc_5_2_2009=1.245;%let dc_5_3_2009=1.962;%let dc_5_4_2009=2.095;%let dc_6_1_2009=0.117;%let dc_6_2_2009=0.901;%let dc_6_3_2009=0.647;%let dc_6_4_2009=1.822;%let dc_7_1_2009=0.044;%let dc_7_2_2009=0.521;%let dc_7_3_2009=0.37;%let dc_7_4_2009=0.279;%let dc_8_1_2009=0.047;%let dc_8_2_2009=0.13;%let dc_8_3_2009=0.282;%let dc_8_4_2009=0.212;</v>
      </c>
    </row>
    <row r="260" spans="1:1" x14ac:dyDescent="0.3">
      <c r="A260" s="1011" t="str">
        <f>CONCATENATE('C23-DCwealth'!B63,'C23-DCwealth'!C63,'C23-DCwealth'!D63,'C23-DCwealth'!E63,'C23-DCwealth'!F63,'C23-DCwealth'!G63,'C23-DCwealth'!H63,'C23-DCwealth'!I63,'C23-DCwealth'!J63,'C23-DCwealth'!K63,'C23-DCwealth'!L63,'C23-DCwealth'!M63,'C23-DCwealth'!N63,'C23-DCwealth'!O63,'C23-DCwealth'!P63,'C23-DCwealth'!Q63,'C23-DCwealth'!R63,'C23-DCwealth'!S63,'C23-DCwealth'!T63,'C23-DCwealth'!U63,'C23-DCwealth'!V63,'C23-DCwealth'!W63,'C23-DCwealth'!X63,'C23-DCwealth'!Y63,'C23-DCwealth'!Z63,'C23-DCwealth'!AA63,'C23-DCwealth'!AB63,'C23-DCwealth'!AC63,'C23-DCwealth'!AD63,'C23-DCwealth'!AE63,'C23-DCwealth'!AF63,'C23-DCwealth'!AG63)</f>
        <v>%let dc_1_1_2010=0.087;%let dc_1_2_2010=0.689;%let dc_1_3_2010=0.662;%let dc_1_4_2010=0.663;%let dc_2_1_2010=0.336;%let dc_2_2_2010=1.063;%let dc_2_3_2010=2.117;%let dc_2_4_2010=1.408;%let dc_3_1_2010=0.536;%let dc_3_2_2010=1.82;%let dc_3_3_2010=2.751;%let dc_3_4_2010=3.033;%let dc_4_1_2010=0.409;%let dc_4_2_2010=1.79;%let dc_4_3_2010=1.974;%let dc_4_4_2010=2.98;%let dc_5_1_2010=0.336;%let dc_5_2_2010=1.355;%let dc_5_3_2010=2.152;%let dc_5_4_2010=2.749;%let dc_6_1_2010=0.067;%let dc_6_2_2010=0.877;%let dc_6_3_2010=0.703;%let dc_6_4_2010=2.402;%let dc_7_1_2010=0.055;%let dc_7_2_2010=0.604;%let dc_7_3_2010=0.448;%let dc_7_4_2010=0.28;%let dc_8_1_2010=0.064;%let dc_8_2_2010=0.132;%let dc_8_3_2010=0.317;%let dc_8_4_2010=0.295;</v>
      </c>
    </row>
    <row r="261" spans="1:1" x14ac:dyDescent="0.3">
      <c r="A261" s="1011" t="str">
        <f>CONCATENATE('C23-DCwealth'!B64,'C23-DCwealth'!C64,'C23-DCwealth'!D64,'C23-DCwealth'!E64,'C23-DCwealth'!F64,'C23-DCwealth'!G64,'C23-DCwealth'!H64,'C23-DCwealth'!I64,'C23-DCwealth'!J64,'C23-DCwealth'!K64,'C23-DCwealth'!L64,'C23-DCwealth'!M64,'C23-DCwealth'!N64,'C23-DCwealth'!O64,'C23-DCwealth'!P64,'C23-DCwealth'!Q64,'C23-DCwealth'!R64,'C23-DCwealth'!S64,'C23-DCwealth'!T64,'C23-DCwealth'!U64,'C23-DCwealth'!V64,'C23-DCwealth'!W64,'C23-DCwealth'!X64,'C23-DCwealth'!Y64,'C23-DCwealth'!Z64,'C23-DCwealth'!AA64,'C23-DCwealth'!AB64,'C23-DCwealth'!AC64,'C23-DCwealth'!AD64,'C23-DCwealth'!AE64,'C23-DCwealth'!AF64,'C23-DCwealth'!AG64)</f>
        <v>%let dc_1_1_2011=0.092;%let dc_1_2_2011=0.672;%let dc_1_3_2011=0.789;%let dc_1_4_2011=0.565;%let dc_2_1_2011=0.344;%let dc_2_2_2011=1.146;%let dc_2_3_2011=2.115;%let dc_2_4_2011=1.521;%let dc_3_1_2011=0.542;%let dc_3_2_2011=1.749;%let dc_3_3_2011=2.566;%let dc_3_4_2011=3.631;%let dc_4_1_2011=0.479;%let dc_4_2_2011=1.716;%let dc_4_3_2011=2.426;%let dc_4_4_2011=3.104;%let dc_5_1_2011=0.377;%let dc_5_2_2011=1.27;%let dc_5_3_2011=2.351;%let dc_5_4_2011=1.983;%let dc_6_1_2011=0.149;%let dc_6_2_2011=0.876;%let dc_6_3_2011=1.137;%let dc_6_4_2011=1.967;%let dc_7_1_2011=0.043;%let dc_7_2_2011=0.537;%let dc_7_3_2011=0.433;%let dc_7_4_2011=0.532;%let dc_8_1_2011=0.043;%let dc_8_2_2011=0.102;%let dc_8_3_2011=0.222;%let dc_8_4_2011=0.257;</v>
      </c>
    </row>
    <row r="262" spans="1:1" x14ac:dyDescent="0.3">
      <c r="A262" s="1011" t="str">
        <f>CONCATENATE('C23-DCwealth'!B65,'C23-DCwealth'!C65,'C23-DCwealth'!D65,'C23-DCwealth'!E65,'C23-DCwealth'!F65,'C23-DCwealth'!G65,'C23-DCwealth'!H65,'C23-DCwealth'!I65,'C23-DCwealth'!J65,'C23-DCwealth'!K65,'C23-DCwealth'!L65,'C23-DCwealth'!M65,'C23-DCwealth'!N65,'C23-DCwealth'!O65,'C23-DCwealth'!P65,'C23-DCwealth'!Q65,'C23-DCwealth'!R65,'C23-DCwealth'!S65,'C23-DCwealth'!T65,'C23-DCwealth'!U65,'C23-DCwealth'!V65,'C23-DCwealth'!W65,'C23-DCwealth'!X65,'C23-DCwealth'!Y65,'C23-DCwealth'!Z65,'C23-DCwealth'!AA65,'C23-DCwealth'!AB65,'C23-DCwealth'!AC65,'C23-DCwealth'!AD65,'C23-DCwealth'!AE65,'C23-DCwealth'!AF65,'C23-DCwealth'!AG65)</f>
        <v>%let dc_1_1_2012=0.097;%let dc_1_2_2012=0.654;%let dc_1_3_2012=0.915;%let dc_1_4_2012=0.466;%let dc_2_1_2012=0.352;%let dc_2_2_2012=1.229;%let dc_2_3_2012=2.112;%let dc_2_4_2012=1.634;%let dc_3_1_2012=0.548;%let dc_3_2_2012=1.679;%let dc_3_3_2012=2.382;%let dc_3_4_2012=4.229;%let dc_4_1_2012=0.548;%let dc_4_2_2012=1.643;%let dc_4_3_2012=2.877;%let dc_4_4_2012=3.228;%let dc_5_1_2012=0.419;%let dc_5_2_2012=1.185;%let dc_5_3_2012=2.55;%let dc_5_4_2012=1.217;%let dc_6_1_2012=0.232;%let dc_6_2_2012=0.874;%let dc_6_3_2012=1.57;%let dc_6_4_2012=1.531;%let dc_7_1_2012=0.031;%let dc_7_2_2012=0.47;%let dc_7_3_2012=0.418;%let dc_7_4_2012=0.783;%let dc_8_1_2012=0.021;%let dc_8_2_2012=0.072;%let dc_8_3_2012=0.127;%let dc_8_4_2012=0.219;</v>
      </c>
    </row>
    <row r="263" spans="1:1" x14ac:dyDescent="0.3">
      <c r="A263" s="1011" t="str">
        <f>CONCATENATE('C23-DCwealth'!B66,'C23-DCwealth'!C66,'C23-DCwealth'!D66,'C23-DCwealth'!E66,'C23-DCwealth'!F66,'C23-DCwealth'!G66,'C23-DCwealth'!H66,'C23-DCwealth'!I66,'C23-DCwealth'!J66,'C23-DCwealth'!K66,'C23-DCwealth'!L66,'C23-DCwealth'!M66,'C23-DCwealth'!N66,'C23-DCwealth'!O66,'C23-DCwealth'!P66,'C23-DCwealth'!Q66,'C23-DCwealth'!R66,'C23-DCwealth'!S66,'C23-DCwealth'!T66,'C23-DCwealth'!U66,'C23-DCwealth'!V66,'C23-DCwealth'!W66,'C23-DCwealth'!X66,'C23-DCwealth'!Y66,'C23-DCwealth'!Z66,'C23-DCwealth'!AA66,'C23-DCwealth'!AB66,'C23-DCwealth'!AC66,'C23-DCwealth'!AD66,'C23-DCwealth'!AE66,'C23-DCwealth'!AF66,'C23-DCwealth'!AG66)</f>
        <v>%let dc_1_1_2013=0.101;%let dc_1_2_2013=0.637;%let dc_1_3_2013=1.041;%let dc_1_4_2013=0.367;%let dc_2_1_2013=0.36;%let dc_2_2_2013=1.312;%let dc_2_3_2013=2.109;%let dc_2_4_2013=1.747;%let dc_3_1_2013=0.555;%let dc_3_2_2013=1.608;%let dc_3_3_2013=2.198;%let dc_3_4_2013=4.828;%let dc_4_1_2013=0.618;%let dc_4_2_2013=1.569;%let dc_4_3_2013=3.329;%let dc_4_4_2013=3.352;%let dc_5_1_2013=0.46;%let dc_5_2_2013=1.1;%let dc_5_3_2013=2.748;%let dc_5_4_2013=0.452;%let dc_6_1_2013=0.314;%let dc_6_2_2013=0.873;%let dc_6_3_2013=2.004;%let dc_6_4_2013=1.096;%let dc_7_1_2013=0.02;%let dc_7_2_2013=0.403;%let dc_7_3_2013=0.403;%let dc_7_4_2013=1.035;%let dc_8_1_2013=0;%let dc_8_2_2013=0.042;%let dc_8_3_2013=0.031;%let dc_8_4_2013=0.182;</v>
      </c>
    </row>
    <row r="264" spans="1:1" x14ac:dyDescent="0.3">
      <c r="A264" s="1011" t="str">
        <f>CONCATENATE('C23-DCwealth'!B67,'C23-DCwealth'!C67,'C23-DCwealth'!D67,'C23-DCwealth'!E67,'C23-DCwealth'!F67,'C23-DCwealth'!G67,'C23-DCwealth'!H67,'C23-DCwealth'!I67,'C23-DCwealth'!J67,'C23-DCwealth'!K67,'C23-DCwealth'!L67,'C23-DCwealth'!M67,'C23-DCwealth'!N67,'C23-DCwealth'!O67,'C23-DCwealth'!P67,'C23-DCwealth'!Q67,'C23-DCwealth'!R67,'C23-DCwealth'!S67,'C23-DCwealth'!T67,'C23-DCwealth'!U67,'C23-DCwealth'!V67,'C23-DCwealth'!W67,'C23-DCwealth'!X67,'C23-DCwealth'!Y67,'C23-DCwealth'!Z67,'C23-DCwealth'!AA67,'C23-DCwealth'!AB67,'C23-DCwealth'!AC67,'C23-DCwealth'!AD67,'C23-DCwealth'!AE67,'C23-DCwealth'!AF67,'C23-DCwealth'!AG67)</f>
        <v>%let dc_1_1_2014=0.106;%let dc_1_2_2014=0.715;%let dc_1_3_2014=0.876;%let dc_1_4_2014=0.436;%let dc_2_1_2014=0.349;%let dc_2_2_2014=1.303;%let dc_2_3_2014=2.03;%let dc_2_4_2014=1.856;%let dc_3_1_2014=0.648;%let dc_3_2_2014=1.64;%let dc_3_3_2014=2.412;%let dc_3_4_2014=4.456;%let dc_4_1_2014=0.604;%let dc_4_2_2014=1.697;%let dc_4_3_2014=3.285;%let dc_4_4_2014=3.036;%let dc_5_1_2014=0.477;%let dc_5_2_2014=1.18;%let dc_5_3_2014=2.17;%let dc_5_4_2014=0.933;%let dc_6_1_2014=0.256;%let dc_6_2_2014=0.809;%let dc_6_3_2014=1.723;%let dc_6_4_2014=1.031;%let dc_7_1_2014=0.028;%let dc_7_2_2014=0.385;%let dc_7_3_2014=0.442;%let dc_7_4_2014=0.838;%let dc_8_1_2014=0.034;%let dc_8_2_2014=0.041;%let dc_8_3_2014=0.028;%let dc_8_4_2014=0.211;</v>
      </c>
    </row>
    <row r="265" spans="1:1" x14ac:dyDescent="0.3">
      <c r="A265" s="1011" t="str">
        <f>CONCATENATE('C23-DCwealth'!B68,'C23-DCwealth'!C68,'C23-DCwealth'!D68,'C23-DCwealth'!E68,'C23-DCwealth'!F68,'C23-DCwealth'!G68,'C23-DCwealth'!H68,'C23-DCwealth'!I68,'C23-DCwealth'!J68,'C23-DCwealth'!K68,'C23-DCwealth'!L68,'C23-DCwealth'!M68,'C23-DCwealth'!N68,'C23-DCwealth'!O68,'C23-DCwealth'!P68,'C23-DCwealth'!Q68,'C23-DCwealth'!R68,'C23-DCwealth'!S68,'C23-DCwealth'!T68,'C23-DCwealth'!U68,'C23-DCwealth'!V68,'C23-DCwealth'!W68,'C23-DCwealth'!X68,'C23-DCwealth'!Y68,'C23-DCwealth'!Z68,'C23-DCwealth'!AA68,'C23-DCwealth'!AB68,'C23-DCwealth'!AC68,'C23-DCwealth'!AD68,'C23-DCwealth'!AE68,'C23-DCwealth'!AF68,'C23-DCwealth'!AG68)</f>
        <v>%let dc_1_1_2015=0.111;%let dc_1_2_2015=0.794;%let dc_1_3_2015=0.711;%let dc_1_4_2015=0.504;%let dc_2_1_2015=0.339;%let dc_2_2_2015=1.295;%let dc_2_3_2015=1.951;%let dc_2_4_2015=1.965;%let dc_3_1_2015=0.741;%let dc_3_2_2015=1.673;%let dc_3_3_2015=2.626;%let dc_3_4_2015=4.085;%let dc_4_1_2015=0.589;%let dc_4_2_2015=1.825;%let dc_4_3_2015=3.242;%let dc_4_4_2015=2.72;%let dc_5_1_2015=0.494;%let dc_5_2_2015=1.26;%let dc_5_3_2015=1.592;%let dc_5_4_2015=1.415;%let dc_6_1_2015=0.199;%let dc_6_2_2015=0.744;%let dc_6_3_2015=1.442;%let dc_6_4_2015=0.966;%let dc_7_1_2015=0.035;%let dc_7_2_2015=0.368;%let dc_7_3_2015=0.48;%let dc_7_4_2015=0.64;%let dc_8_1_2015=0.067;%let dc_8_2_2015=0.041;%let dc_8_3_2015=0.025;%let dc_8_4_2015=0.241;</v>
      </c>
    </row>
    <row r="266" spans="1:1" x14ac:dyDescent="0.3">
      <c r="A266" s="1011" t="str">
        <f>CONCATENATE('C23-DCwealth'!B69,'C23-DCwealth'!C69,'C23-DCwealth'!D69,'C23-DCwealth'!E69,'C23-DCwealth'!F69,'C23-DCwealth'!G69,'C23-DCwealth'!H69,'C23-DCwealth'!I69,'C23-DCwealth'!J69,'C23-DCwealth'!K69,'C23-DCwealth'!L69,'C23-DCwealth'!M69,'C23-DCwealth'!N69,'C23-DCwealth'!O69,'C23-DCwealth'!P69,'C23-DCwealth'!Q69,'C23-DCwealth'!R69,'C23-DCwealth'!S69,'C23-DCwealth'!T69,'C23-DCwealth'!U69,'C23-DCwealth'!V69,'C23-DCwealth'!W69,'C23-DCwealth'!X69,'C23-DCwealth'!Y69,'C23-DCwealth'!Z69,'C23-DCwealth'!AA69,'C23-DCwealth'!AB69,'C23-DCwealth'!AC69,'C23-DCwealth'!AD69,'C23-DCwealth'!AE69,'C23-DCwealth'!AF69,'C23-DCwealth'!AG69)</f>
        <v>%let dc_1_1_2016=0.116;%let dc_1_2_2016=0.873;%let dc_1_3_2016=0.545;%let dc_1_4_2016=0.572;%let dc_2_1_2016=0.328;%let dc_2_2_2016=1.286;%let dc_2_3_2016=1.871;%let dc_2_4_2016=2.073;%let dc_3_1_2016=0.834;%let dc_3_2_2016=1.705;%let dc_3_3_2016=2.84;%let dc_3_4_2016=3.714;%let dc_4_1_2016=0.574;%let dc_4_2_2016=1.953;%let dc_4_3_2016=3.199;%let dc_4_4_2016=2.404;%let dc_5_1_2016=0.511;%let dc_5_2_2016=1.339;%let dc_5_3_2016=1.014;%let dc_5_4_2016=1.896;%let dc_6_1_2016=0.141;%let dc_6_2_2016=0.68;%let dc_6_3_2016=1.16;%let dc_6_4_2016=0.901;%let dc_7_1_2016=0.043;%let dc_7_2_2016=0.35;%let dc_7_3_2016=0.519;%let dc_7_4_2016=0.443;%let dc_8_1_2016=0.101;%let dc_8_2_2016=0.041;%let dc_8_3_2016=0.021;%let dc_8_4_2016=0.27;</v>
      </c>
    </row>
    <row r="268" spans="1:1" x14ac:dyDescent="0.3">
      <c r="A268" s="655" t="str">
        <f>CONCATENATE("%let frdb",A180,"=",ROUND('C12-CorpOwn'!V5/'C12-CorpOwn'!J5,3),"; %let est",A180,"=",ROUND('C10-Adj by Source'!CF6,0),"; ", 'C24-Estate'!Q3,'C24-Estate'!R3,'C24-Estate'!S3,'C24-Estate'!T3,'C24-Estate'!U3,'C24-Estate'!V3,'C24-Estate'!W3,'C24-Estate'!X3)</f>
        <v>%let frdb1960=1; %let est1960=2242; %let est_1_1960=0.107;%let est_2_1960=0.213;%let est_3_1960=0.092;%let est_4_1960=0.246;%let est_5_1960=0.098;%let est_6_1960=0.118;%let est_7_1960=0.064;%let est_8_1960=0.062;</v>
      </c>
    </row>
    <row r="269" spans="1:1" x14ac:dyDescent="0.3">
      <c r="A269" s="1011" t="str">
        <f>CONCATENATE("%let frdb",A181,"=",ROUND('C12-CorpOwn'!V6/'C12-CorpOwn'!J6,3),"; %let est",A181,"=",ROUND('C10-Adj by Source'!CF7,0),"; ", 'C24-Estate'!Q4,'C24-Estate'!R4,'C24-Estate'!S4,'C24-Estate'!T4,'C24-Estate'!U4,'C24-Estate'!V4,'C24-Estate'!W4,'C24-Estate'!X4)</f>
        <v>%let frdb1961=1; %let est1961=2509; %let est_1_1961=0.107;%let est_2_1961=0.213;%let est_3_1961=0.092;%let est_4_1961=0.246;%let est_5_1961=0.098;%let est_6_1961=0.118;%let est_7_1961=0.064;%let est_8_1961=0.062;</v>
      </c>
    </row>
    <row r="270" spans="1:1" x14ac:dyDescent="0.3">
      <c r="A270" s="1011" t="str">
        <f>CONCATENATE("%let frdb",A182,"=",ROUND('C12-CorpOwn'!V7/'C12-CorpOwn'!J7,3),"; %let est",A182,"=",ROUND('C10-Adj by Source'!CF8,0),"; ", 'C24-Estate'!Q5,'C24-Estate'!R5,'C24-Estate'!S5,'C24-Estate'!T5,'C24-Estate'!U5,'C24-Estate'!V5,'C24-Estate'!W5,'C24-Estate'!X5)</f>
        <v>%let frdb1962=1; %let est1962=2638; %let est_1_1962=0.107;%let est_2_1962=0.213;%let est_3_1962=0.092;%let est_4_1962=0.246;%let est_5_1962=0.098;%let est_6_1962=0.118;%let est_7_1962=0.064;%let est_8_1962=0.062;</v>
      </c>
    </row>
    <row r="271" spans="1:1" x14ac:dyDescent="0.3">
      <c r="A271" s="1011" t="str">
        <f>CONCATENATE("%let frdb",A183,"=",ROUND('C12-CorpOwn'!V8/'C12-CorpOwn'!J8,3),"; %let est",A183,"=",ROUND('C10-Adj by Source'!CF9,0),"; ", 'C24-Estate'!Q6,'C24-Estate'!R6,'C24-Estate'!S6,'C24-Estate'!T6,'C24-Estate'!U6,'C24-Estate'!V6,'C24-Estate'!W6,'C24-Estate'!X6)</f>
        <v>%let frdb1963=1; %let est1963=2885; %let est_1_1963=0.107;%let est_2_1963=0.213;%let est_3_1963=0.092;%let est_4_1963=0.246;%let est_5_1963=0.098;%let est_6_1963=0.118;%let est_7_1963=0.064;%let est_8_1963=0.062;</v>
      </c>
    </row>
    <row r="272" spans="1:1" x14ac:dyDescent="0.3">
      <c r="A272" s="1011" t="str">
        <f>CONCATENATE("%let frdb",A184,"=",ROUND('C12-CorpOwn'!V9/'C12-CorpOwn'!J9,3),"; %let est",A184,"=",ROUND('C10-Adj by Source'!CF10,0),"; ", 'C24-Estate'!Q7,'C24-Estate'!R7,'C24-Estate'!S7,'C24-Estate'!T7,'C24-Estate'!U7,'C24-Estate'!V7,'C24-Estate'!W7,'C24-Estate'!X7)</f>
        <v>%let frdb1964=1; %let est1964=3305; %let est_1_1964=0.107;%let est_2_1964=0.213;%let est_3_1964=0.092;%let est_4_1964=0.246;%let est_5_1964=0.098;%let est_6_1964=0.118;%let est_7_1964=0.064;%let est_8_1964=0.062;</v>
      </c>
    </row>
    <row r="273" spans="1:1" x14ac:dyDescent="0.3">
      <c r="A273" s="1011" t="str">
        <f>CONCATENATE("%let frdb",A185,"=",ROUND('C12-CorpOwn'!V10/'C12-CorpOwn'!J10,3),"; %let est",A185,"=",ROUND('C10-Adj by Source'!CF11,0),"; ", 'C24-Estate'!Q8,'C24-Estate'!R8,'C24-Estate'!S8,'C24-Estate'!T8,'C24-Estate'!U8,'C24-Estate'!V8,'C24-Estate'!W8,'C24-Estate'!X8)</f>
        <v>%let frdb1965=1; %let est1965=3608; %let est_1_1965=0.107;%let est_2_1965=0.213;%let est_3_1965=0.092;%let est_4_1965=0.246;%let est_5_1965=0.098;%let est_6_1965=0.118;%let est_7_1965=0.064;%let est_8_1965=0.062;</v>
      </c>
    </row>
    <row r="274" spans="1:1" x14ac:dyDescent="0.3">
      <c r="A274" s="1011" t="str">
        <f>CONCATENATE("%let frdb",A186,"=",ROUND('C12-CorpOwn'!V11/'C12-CorpOwn'!J11,3),"; %let est",A186,"=",ROUND('C10-Adj by Source'!CF12,0),"; ", 'C24-Estate'!Q9,'C24-Estate'!R9,'C24-Estate'!S9,'C24-Estate'!T9,'C24-Estate'!U9,'C24-Estate'!V9,'C24-Estate'!W9,'C24-Estate'!X9)</f>
        <v>%let frdb1966=1; %let est1966=3886; %let est_1_1966=0.107;%let est_2_1966=0.213;%let est_3_1966=0.092;%let est_4_1966=0.246;%let est_5_1966=0.098;%let est_6_1966=0.118;%let est_7_1966=0.064;%let est_8_1966=0.062;</v>
      </c>
    </row>
    <row r="275" spans="1:1" x14ac:dyDescent="0.3">
      <c r="A275" s="1011" t="str">
        <f>CONCATENATE("%let frdb",A187,"=",ROUND('C12-CorpOwn'!V12/'C12-CorpOwn'!J12,3),"; %let est",A187,"=",ROUND('C10-Adj by Source'!CF13,0),"; ", 'C24-Estate'!Q10,'C24-Estate'!R10,'C24-Estate'!S10,'C24-Estate'!T10,'C24-Estate'!U10,'C24-Estate'!V10,'C24-Estate'!W10,'C24-Estate'!X10)</f>
        <v>%let frdb1967=1; %let est1967=3978; %let est_1_1967=0.107;%let est_2_1967=0.213;%let est_3_1967=0.092;%let est_4_1967=0.246;%let est_5_1967=0.098;%let est_6_1967=0.118;%let est_7_1967=0.064;%let est_8_1967=0.062;</v>
      </c>
    </row>
    <row r="276" spans="1:1" x14ac:dyDescent="0.3">
      <c r="A276" s="1011" t="str">
        <f>CONCATENATE("%let frdb",A188,"=",ROUND('C12-CorpOwn'!V13/'C12-CorpOwn'!J13,3),"; %let est",A188,"=",ROUND('C10-Adj by Source'!CF14,0),"; ", 'C24-Estate'!Q11,'C24-Estate'!R11,'C24-Estate'!S11,'C24-Estate'!T11,'C24-Estate'!U11,'C24-Estate'!V11,'C24-Estate'!W11,'C24-Estate'!X11)</f>
        <v>%let frdb1968=1; %let est1968=4088; %let est_1_1968=0.107;%let est_2_1968=0.213;%let est_3_1968=0.092;%let est_4_1968=0.246;%let est_5_1968=0.098;%let est_6_1968=0.118;%let est_7_1968=0.064;%let est_8_1968=0.062;</v>
      </c>
    </row>
    <row r="277" spans="1:1" x14ac:dyDescent="0.3">
      <c r="A277" s="1011" t="str">
        <f>CONCATENATE("%let frdb",A189,"=",ROUND('C12-CorpOwn'!V14/'C12-CorpOwn'!J14,3),"; %let est",A189,"=",ROUND('C10-Adj by Source'!CF15,0),"; ", 'C24-Estate'!Q12,'C24-Estate'!R12,'C24-Estate'!S12,'C24-Estate'!T12,'C24-Estate'!U12,'C24-Estate'!V12,'C24-Estate'!W12,'C24-Estate'!X12)</f>
        <v>%let frdb1969=0.999; %let est1969=4625; %let est_1_1969=0.107;%let est_2_1969=0.213;%let est_3_1969=0.092;%let est_4_1969=0.246;%let est_5_1969=0.098;%let est_6_1969=0.118;%let est_7_1969=0.064;%let est_8_1969=0.062;</v>
      </c>
    </row>
    <row r="278" spans="1:1" x14ac:dyDescent="0.3">
      <c r="A278" s="1011" t="str">
        <f>CONCATENATE("%let frdb",A190,"=",ROUND('C12-CorpOwn'!V15/'C12-CorpOwn'!J15,3),"; %let est",A190,"=",ROUND('C10-Adj by Source'!CF16,0),"; ", 'C24-Estate'!Q13,'C24-Estate'!R13,'C24-Estate'!S13,'C24-Estate'!T13,'C24-Estate'!U13,'C24-Estate'!V13,'C24-Estate'!W13,'C24-Estate'!X13)</f>
        <v>%let frdb1970=0.998; %let est1970=4764; %let est_1_1970=0.107;%let est_2_1970=0.213;%let est_3_1970=0.092;%let est_4_1970=0.246;%let est_5_1970=0.098;%let est_6_1970=0.118;%let est_7_1970=0.064;%let est_8_1970=0.062;</v>
      </c>
    </row>
    <row r="279" spans="1:1" x14ac:dyDescent="0.3">
      <c r="A279" s="1011" t="str">
        <f>CONCATENATE("%let frdb",A191,"=",ROUND('C12-CorpOwn'!V16/'C12-CorpOwn'!J16,3),"; %let est",A191,"=",ROUND('C10-Adj by Source'!CF17,0),"; ", 'C24-Estate'!Q14,'C24-Estate'!R14,'C24-Estate'!S14,'C24-Estate'!T14,'C24-Estate'!U14,'C24-Estate'!V14,'C24-Estate'!W14,'C24-Estate'!X14)</f>
        <v>%let frdb1971=0.998; %let est1971=5797; %let est_1_1971=0.107;%let est_2_1971=0.213;%let est_3_1971=0.092;%let est_4_1971=0.246;%let est_5_1971=0.098;%let est_6_1971=0.118;%let est_7_1971=0.064;%let est_8_1971=0.062;</v>
      </c>
    </row>
    <row r="280" spans="1:1" x14ac:dyDescent="0.3">
      <c r="A280" s="1011" t="str">
        <f>CONCATENATE("%let frdb",A192,"=",ROUND('C12-CorpOwn'!V17/'C12-CorpOwn'!J17,3),"; %let est",A192,"=",ROUND('C10-Adj by Source'!CF18,0),"; ", 'C24-Estate'!Q15,'C24-Estate'!R15,'C24-Estate'!S15,'C24-Estate'!T15,'C24-Estate'!U15,'C24-Estate'!V15,'C24-Estate'!W15,'C24-Estate'!X15)</f>
        <v>%let frdb1972=0.998; %let est1972=6804; %let est_1_1972=0.107;%let est_2_1972=0.213;%let est_3_1972=0.092;%let est_4_1972=0.246;%let est_5_1972=0.098;%let est_6_1972=0.118;%let est_7_1972=0.064;%let est_8_1972=0.062;</v>
      </c>
    </row>
    <row r="281" spans="1:1" x14ac:dyDescent="0.3">
      <c r="A281" s="1011" t="str">
        <f>CONCATENATE("%let frdb",A193,"=",ROUND('C12-CorpOwn'!V18/'C12-CorpOwn'!J18,3),"; %let est",A193,"=",ROUND('C10-Adj by Source'!CF19,0),"; ", 'C24-Estate'!Q16,'C24-Estate'!R16,'C24-Estate'!S16,'C24-Estate'!T16,'C24-Estate'!U16,'C24-Estate'!V16,'C24-Estate'!W16,'C24-Estate'!X16)</f>
        <v>%let frdb1973=0.998; %let est1973=6601; %let est_1_1973=0.107;%let est_2_1973=0.213;%let est_3_1973=0.092;%let est_4_1973=0.246;%let est_5_1973=0.098;%let est_6_1973=0.118;%let est_7_1973=0.064;%let est_8_1973=0.062;</v>
      </c>
    </row>
    <row r="282" spans="1:1" x14ac:dyDescent="0.3">
      <c r="A282" s="1011" t="str">
        <f>CONCATENATE("%let frdb",A194,"=",ROUND('C12-CorpOwn'!V19/'C12-CorpOwn'!J19,3),"; %let est",A194,"=",ROUND('C10-Adj by Source'!CF20,0),"; ", 'C24-Estate'!Q17,'C24-Estate'!R17,'C24-Estate'!S17,'C24-Estate'!T17,'C24-Estate'!U17,'C24-Estate'!V17,'C24-Estate'!W17,'C24-Estate'!X17)</f>
        <v>%let frdb1974=0.998; %let est1974=6298; %let est_1_1974=0.107;%let est_2_1974=0.213;%let est_3_1974=0.092;%let est_4_1974=0.246;%let est_5_1974=0.098;%let est_6_1974=0.118;%let est_7_1974=0.064;%let est_8_1974=0.062;</v>
      </c>
    </row>
    <row r="283" spans="1:1" x14ac:dyDescent="0.3">
      <c r="A283" s="1011" t="str">
        <f>CONCATENATE("%let frdb",A195,"=",ROUND('C12-CorpOwn'!V20/'C12-CorpOwn'!J20,3),"; %let est",A195,"=",ROUND('C10-Adj by Source'!CF21,0),"; ", 'C24-Estate'!Q18,'C24-Estate'!R18,'C24-Estate'!S18,'C24-Estate'!T18,'C24-Estate'!U18,'C24-Estate'!V18,'C24-Estate'!W18,'C24-Estate'!X18)</f>
        <v>%let frdb1975=0.997; %let est1975=6448; %let est_1_1975=0.107;%let est_2_1975=0.213;%let est_3_1975=0.092;%let est_4_1975=0.246;%let est_5_1975=0.098;%let est_6_1975=0.118;%let est_7_1975=0.064;%let est_8_1975=0.062;</v>
      </c>
    </row>
    <row r="284" spans="1:1" x14ac:dyDescent="0.3">
      <c r="A284" s="1011" t="str">
        <f>CONCATENATE("%let frdb",A196,"=",ROUND('C12-CorpOwn'!V21/'C12-CorpOwn'!J21,3),"; %let est",A196,"=",ROUND('C10-Adj by Source'!CF22,0),"; ", 'C24-Estate'!Q19,'C24-Estate'!R19,'C24-Estate'!S19,'C24-Estate'!T19,'C24-Estate'!U19,'C24-Estate'!V19,'C24-Estate'!W19,'C24-Estate'!X19)</f>
        <v>%let frdb1976=0.997; %let est1976=7236; %let est_1_1976=0.107;%let est_2_1976=0.213;%let est_3_1976=0.092;%let est_4_1976=0.246;%let est_5_1976=0.098;%let est_6_1976=0.118;%let est_7_1976=0.064;%let est_8_1976=0.062;</v>
      </c>
    </row>
    <row r="285" spans="1:1" x14ac:dyDescent="0.3">
      <c r="A285" s="1011" t="str">
        <f>CONCATENATE("%let frdb",A197,"=",ROUND('C12-CorpOwn'!V22/'C12-CorpOwn'!J22,3),"; %let est",A197,"=",ROUND('C10-Adj by Source'!CF23,0),"; ", 'C24-Estate'!Q20,'C24-Estate'!R20,'C24-Estate'!S20,'C24-Estate'!T20,'C24-Estate'!U20,'C24-Estate'!V20,'C24-Estate'!W20,'C24-Estate'!X20)</f>
        <v>%let frdb1977=0.995; %let est1977=9276; %let est_1_1977=0.107;%let est_2_1977=0.213;%let est_3_1977=0.092;%let est_4_1977=0.246;%let est_5_1977=0.098;%let est_6_1977=0.118;%let est_7_1977=0.064;%let est_8_1977=0.062;</v>
      </c>
    </row>
    <row r="286" spans="1:1" x14ac:dyDescent="0.3">
      <c r="A286" s="1011" t="str">
        <f>CONCATENATE("%let frdb",A198,"=",ROUND('C12-CorpOwn'!V23/'C12-CorpOwn'!J23,3),"; %let est",A198,"=",ROUND('C10-Adj by Source'!CF24,0),"; ", 'C24-Estate'!Q21,'C24-Estate'!R21,'C24-Estate'!S21,'C24-Estate'!T21,'C24-Estate'!U21,'C24-Estate'!V21,'C24-Estate'!W21,'C24-Estate'!X21)</f>
        <v>%let frdb1978=0.995; %let est1978=7189; %let est_1_1978=0.107;%let est_2_1978=0.213;%let est_3_1978=0.092;%let est_4_1978=0.246;%let est_5_1978=0.098;%let est_6_1978=0.118;%let est_7_1978=0.064;%let est_8_1978=0.062;</v>
      </c>
    </row>
    <row r="287" spans="1:1" x14ac:dyDescent="0.3">
      <c r="A287" s="1011" t="str">
        <f>CONCATENATE("%let frdb",A199,"=",ROUND('C12-CorpOwn'!V24/'C12-CorpOwn'!J24,3),"; %let est",A199,"=",ROUND('C10-Adj by Source'!CF25,0),"; ", 'C24-Estate'!Q22,'C24-Estate'!R22,'C24-Estate'!S22,'C24-Estate'!T22,'C24-Estate'!U22,'C24-Estate'!V22,'C24-Estate'!W22,'C24-Estate'!X22)</f>
        <v>%let frdb1979=0.995; %let est1979=7541; %let est_1_1979=0.107;%let est_2_1979=0.213;%let est_3_1979=0.092;%let est_4_1979=0.246;%let est_5_1979=0.098;%let est_6_1979=0.118;%let est_7_1979=0.064;%let est_8_1979=0.062;</v>
      </c>
    </row>
    <row r="288" spans="1:1" x14ac:dyDescent="0.3">
      <c r="A288" s="1011" t="str">
        <f>CONCATENATE("%let frdb",A200,"=",ROUND('C12-CorpOwn'!V25/'C12-CorpOwn'!J25,3),"; %let est",A200,"=",ROUND('C10-Adj by Source'!CF26,0),"; ", 'C24-Estate'!Q23,'C24-Estate'!R23,'C24-Estate'!S23,'C24-Estate'!T23,'C24-Estate'!U23,'C24-Estate'!V23,'C24-Estate'!W23,'C24-Estate'!X23)</f>
        <v>%let frdb1980=0.995; %let est1980=8778; %let est_1_1980=0.107;%let est_2_1980=0.213;%let est_3_1980=0.092;%let est_4_1980=0.246;%let est_5_1980=0.098;%let est_6_1980=0.118;%let est_7_1980=0.064;%let est_8_1980=0.062;</v>
      </c>
    </row>
    <row r="289" spans="1:1" x14ac:dyDescent="0.3">
      <c r="A289" s="1011" t="str">
        <f>CONCATENATE("%let frdb",A201,"=",ROUND('C12-CorpOwn'!V26/'C12-CorpOwn'!J26,3),"; %let est",A201,"=",ROUND('C10-Adj by Source'!CF27,0),"; ", 'C24-Estate'!Q24,'C24-Estate'!R24,'C24-Estate'!S24,'C24-Estate'!T24,'C24-Estate'!U24,'C24-Estate'!V24,'C24-Estate'!W24,'C24-Estate'!X24)</f>
        <v>%let frdb1981=0.908; %let est1981=9262; %let est_1_1981=0.107;%let est_2_1981=0.213;%let est_3_1981=0.092;%let est_4_1981=0.246;%let est_5_1981=0.098;%let est_6_1981=0.118;%let est_7_1981=0.064;%let est_8_1981=0.062;</v>
      </c>
    </row>
    <row r="290" spans="1:1" x14ac:dyDescent="0.3">
      <c r="A290" s="1011" t="str">
        <f>CONCATENATE("%let frdb",A202,"=",ROUND('C12-CorpOwn'!V27/'C12-CorpOwn'!J27,3),"; %let est",A202,"=",ROUND('C10-Adj by Source'!CF28,0),"; ", 'C24-Estate'!Q25,'C24-Estate'!R25,'C24-Estate'!S25,'C24-Estate'!T25,'C24-Estate'!U25,'C24-Estate'!V25,'C24-Estate'!W25,'C24-Estate'!X25)</f>
        <v>%let frdb1982=0.877; %let est1982=10103; %let est_1_1982=0.107;%let est_2_1982=0.213;%let est_3_1982=0.092;%let est_4_1982=0.246;%let est_5_1982=0.098;%let est_6_1982=0.118;%let est_7_1982=0.064;%let est_8_1982=0.062;</v>
      </c>
    </row>
    <row r="291" spans="1:1" x14ac:dyDescent="0.3">
      <c r="A291" s="1011" t="str">
        <f>CONCATENATE("%let frdb",A203,"=",ROUND('C12-CorpOwn'!V28/'C12-CorpOwn'!J28,3),"; %let est",A203,"=",ROUND('C10-Adj by Source'!CF29,0),"; ", 'C24-Estate'!Q26,'C24-Estate'!R26,'C24-Estate'!S26,'C24-Estate'!T26,'C24-Estate'!U26,'C24-Estate'!V26,'C24-Estate'!W26,'C24-Estate'!X26)</f>
        <v>%let frdb1983=0.852; %let est1983=8290; %let est_1_1983=0.106;%let est_2_1983=0.211;%let est_3_1983=0.091;%let est_4_1983=0.244;%let est_5_1983=0.098;%let est_6_1983=0.12;%let est_7_1983=0.067;%let est_8_1983=0.063;</v>
      </c>
    </row>
    <row r="292" spans="1:1" x14ac:dyDescent="0.3">
      <c r="A292" s="1011" t="str">
        <f>CONCATENATE("%let frdb",A204,"=",ROUND('C12-CorpOwn'!V29/'C12-CorpOwn'!J29,3),"; %let est",A204,"=",ROUND('C10-Adj by Source'!CF30,0),"; ", 'C24-Estate'!Q27,'C24-Estate'!R27,'C24-Estate'!S27,'C24-Estate'!T27,'C24-Estate'!U27,'C24-Estate'!V27,'C24-Estate'!W27,'C24-Estate'!X27)</f>
        <v>%let frdb1984=0.8; %let est1984=8360; %let est_1_1984=0.105;%let est_2_1984=0.211;%let est_3_1984=0.09;%let est_4_1984=0.242;%let est_5_1984=0.097;%let est_6_1984=0.122;%let est_7_1984=0.069;%let est_8_1984=0.064;</v>
      </c>
    </row>
    <row r="293" spans="1:1" x14ac:dyDescent="0.3">
      <c r="A293" s="1011" t="str">
        <f>CONCATENATE("%let frdb",A205,"=",ROUND('C12-CorpOwn'!V30/'C12-CorpOwn'!J30,3),"; %let est",A205,"=",ROUND('C10-Adj by Source'!CF31,0),"; ", 'C24-Estate'!Q28,'C24-Estate'!R28,'C24-Estate'!S28,'C24-Estate'!T28,'C24-Estate'!U28,'C24-Estate'!V28,'C24-Estate'!W28,'C24-Estate'!X28)</f>
        <v>%let frdb1985=0.779; %let est1985=8934; %let est_1_1985=0.104;%let est_2_1985=0.209;%let est_3_1985=0.088;%let est_4_1985=0.239;%let est_5_1985=0.097;%let est_6_1985=0.124;%let est_7_1985=0.073;%let est_8_1985=0.066;</v>
      </c>
    </row>
    <row r="294" spans="1:1" x14ac:dyDescent="0.3">
      <c r="A294" s="1011" t="str">
        <f>CONCATENATE("%let frdb",A206,"=",ROUND('C12-CorpOwn'!V31/'C12-CorpOwn'!J31,3),"; %let est",A206,"=",ROUND('C10-Adj by Source'!CF32,0),"; ", 'C24-Estate'!Q29,'C24-Estate'!R29,'C24-Estate'!S29,'C24-Estate'!T29,'C24-Estate'!U29,'C24-Estate'!V29,'C24-Estate'!W29,'C24-Estate'!X29)</f>
        <v>%let frdb1986=0.736; %let est1986=10019; %let est_1_1986=0.103;%let est_2_1986=0.205;%let est_3_1986=0.086;%let est_4_1986=0.235;%let est_5_1986=0.097;%let est_6_1986=0.128;%let est_7_1986=0.078;%let est_8_1986=0.068;</v>
      </c>
    </row>
    <row r="295" spans="1:1" x14ac:dyDescent="0.3">
      <c r="A295" s="1011" t="str">
        <f>CONCATENATE("%let frdb",A207,"=",ROUND('C12-CorpOwn'!V32/'C12-CorpOwn'!J32,3),"; %let est",A207,"=",ROUND('C10-Adj by Source'!CF33,0),"; ", 'C24-Estate'!Q30,'C24-Estate'!R30,'C24-Estate'!S30,'C24-Estate'!T30,'C24-Estate'!U30,'C24-Estate'!V30,'C24-Estate'!W30,'C24-Estate'!X30)</f>
        <v>%let frdb1987=0.707; %let est1987=10576; %let est_1_1987=0.102;%let est_2_1987=0.203;%let est_3_1987=0.084;%let est_4_1987=0.231;%let est_5_1987=0.096;%let est_6_1987=0.131;%let est_7_1987=0.083;%let est_8_1987=0.07;</v>
      </c>
    </row>
    <row r="296" spans="1:1" x14ac:dyDescent="0.3">
      <c r="A296" s="1011" t="str">
        <f>CONCATENATE("%let frdb",A208,"=",ROUND('C12-CorpOwn'!V33/'C12-CorpOwn'!J33,3),"; %let est",A208,"=",ROUND('C10-Adj by Source'!CF34,0),"; ", 'C24-Estate'!Q31,'C24-Estate'!R31,'C24-Estate'!S31,'C24-Estate'!T31,'C24-Estate'!U31,'C24-Estate'!V31,'C24-Estate'!W31,'C24-Estate'!X31)</f>
        <v>%let frdb1988=0.685; %let est1988=11114; %let est_1_1988=0.102;%let est_2_1988=0.204;%let est_3_1988=0.085;%let est_4_1988=0.232;%let est_5_1988=0.096;%let est_6_1988=0.13;%let est_7_1988=0.081;%let est_8_1988=0.07;</v>
      </c>
    </row>
    <row r="297" spans="1:1" x14ac:dyDescent="0.3">
      <c r="A297" s="1011" t="str">
        <f>CONCATENATE("%let frdb",A209,"=",ROUND('C12-CorpOwn'!V34/'C12-CorpOwn'!J34,3),"; %let est",A209,"=",ROUND('C10-Adj by Source'!CF35,0),"; ", 'C24-Estate'!Q32,'C24-Estate'!R32,'C24-Estate'!S32,'C24-Estate'!T32,'C24-Estate'!U32,'C24-Estate'!V32,'C24-Estate'!W32,'C24-Estate'!X32)</f>
        <v>%let frdb1989=0.706; %let est1989=12435; %let est_1_1989=0.102;%let est_2_1989=0.205;%let est_3_1989=0.085;%let est_4_1989=0.233;%let est_5_1989=0.097;%let est_6_1989=0.129;%let est_7_1989=0.08;%let est_8_1989=0.069;</v>
      </c>
    </row>
    <row r="298" spans="1:1" x14ac:dyDescent="0.3">
      <c r="A298" s="1011" t="str">
        <f>CONCATENATE("%let frdb",A210,"=",ROUND('C12-CorpOwn'!V35/'C12-CorpOwn'!J35,3),"; %let est",A210,"=",ROUND('C10-Adj by Source'!CF36,0),"; ", 'C24-Estate'!Q33,'C24-Estate'!R33,'C24-Estate'!S33,'C24-Estate'!T33,'C24-Estate'!U33,'C24-Estate'!V33,'C24-Estate'!W33,'C24-Estate'!X33)</f>
        <v>%let frdb1990=0.672; %let est1990=15755; %let est_1_1990=0.102;%let est_2_1990=0.205;%let est_3_1990=0.086;%let est_4_1990=0.234;%let est_5_1990=0.097;%let est_6_1990=0.128;%let est_7_1990=0.079;%let est_8_1990=0.069;</v>
      </c>
    </row>
    <row r="299" spans="1:1" x14ac:dyDescent="0.3">
      <c r="A299" s="1011" t="str">
        <f>CONCATENATE("%let frdb",A211,"=",ROUND('C12-CorpOwn'!V36/'C12-CorpOwn'!J36,3),"; %let est",A211,"=",ROUND('C10-Adj by Source'!CF37,0),"; ", 'C24-Estate'!Q34,'C24-Estate'!R34,'C24-Estate'!S34,'C24-Estate'!T34,'C24-Estate'!U34,'C24-Estate'!V34,'C24-Estate'!W34,'C24-Estate'!X34)</f>
        <v>%let frdb1991=0.692; %let est1991=15597; %let est_1_1991=0.103;%let est_2_1991=0.205;%let est_3_1991=0.086;%let est_4_1991=0.235;%let est_5_1991=0.097;%let est_6_1991=0.128;%let est_7_1991=0.078;%let est_8_1991=0.068;</v>
      </c>
    </row>
    <row r="300" spans="1:1" x14ac:dyDescent="0.3">
      <c r="A300" s="1011" t="str">
        <f>CONCATENATE("%let frdb",A212,"=",ROUND('C12-CorpOwn'!V37/'C12-CorpOwn'!J37,3),"; %let est",A212,"=",ROUND('C10-Adj by Source'!CF38,0),"; ", 'C24-Estate'!Q35,'C24-Estate'!R35,'C24-Estate'!S35,'C24-Estate'!T35,'C24-Estate'!U35,'C24-Estate'!V35,'C24-Estate'!W35,'C24-Estate'!X35)</f>
        <v>%let frdb1992=0.688; %let est1992=15795; %let est_1_1992=0.103;%let est_2_1992=0.207;%let est_3_1992=0.086;%let est_4_1992=0.235;%let est_5_1992=0.097;%let est_6_1992=0.127;%let est_7_1992=0.077;%let est_8_1992=0.068;</v>
      </c>
    </row>
    <row r="301" spans="1:1" x14ac:dyDescent="0.3">
      <c r="A301" s="1011" t="str">
        <f>CONCATENATE("%let frdb",A213,"=",ROUND('C12-CorpOwn'!V38/'C12-CorpOwn'!J38,3),"; %let est",A213,"=",ROUND('C10-Adj by Source'!CF39,0),"; ", 'C24-Estate'!Q36,'C24-Estate'!R36,'C24-Estate'!S36,'C24-Estate'!T36,'C24-Estate'!U36,'C24-Estate'!V36,'C24-Estate'!W36,'C24-Estate'!X36)</f>
        <v>%let frdb1993=0.683; %let est1993=17637; %let est_1_1993=0.103;%let est_2_1993=0.206;%let est_3_1993=0.087;%let est_4_1993=0.236;%let est_5_1993=0.097;%let est_6_1993=0.127;%let est_7_1993=0.077;%let est_8_1993=0.067;</v>
      </c>
    </row>
    <row r="302" spans="1:1" x14ac:dyDescent="0.3">
      <c r="A302" s="1011" t="str">
        <f>CONCATENATE("%let frdb",A214,"=",ROUND('C12-CorpOwn'!V39/'C12-CorpOwn'!J39,3),"; %let est",A214,"=",ROUND('C10-Adj by Source'!CF40,0),"; ", 'C24-Estate'!Q37,'C24-Estate'!R37,'C24-Estate'!S37,'C24-Estate'!T37,'C24-Estate'!U37,'C24-Estate'!V37,'C24-Estate'!W37,'C24-Estate'!X37)</f>
        <v>%let frdb1994=0.674; %let est1994=20228; %let est_1_1994=0.104;%let est_2_1994=0.207;%let est_3_1994=0.087;%let est_4_1994=0.236;%let est_5_1994=0.097;%let est_6_1994=0.126;%let est_7_1994=0.076;%let est_8_1994=0.067;</v>
      </c>
    </row>
    <row r="303" spans="1:1" x14ac:dyDescent="0.3">
      <c r="A303" s="1011" t="str">
        <f>CONCATENATE("%let frdb",A215,"=",ROUND('C12-CorpOwn'!V40/'C12-CorpOwn'!J40,3),"; %let est",A215,"=",ROUND('C10-Adj by Source'!CF41,0),"; ", 'C24-Estate'!Q38,'C24-Estate'!R38,'C24-Estate'!S38,'C24-Estate'!T38,'C24-Estate'!U38,'C24-Estate'!V38,'C24-Estate'!W38,'C24-Estate'!X38)</f>
        <v>%let frdb1995=0.692; %let est1995=20039; %let est_1_1995=0.104;%let est_2_1995=0.207;%let est_3_1995=0.087;%let est_4_1995=0.237;%let est_5_1995=0.097;%let est_6_1995=0.126;%let est_7_1995=0.075;%let est_8_1995=0.067;</v>
      </c>
    </row>
    <row r="304" spans="1:1" x14ac:dyDescent="0.3">
      <c r="A304" s="1011" t="str">
        <f>CONCATENATE("%let frdb",A216,"=",ROUND('C12-CorpOwn'!V41/'C12-CorpOwn'!J41,3),"; %let est",A216,"=",ROUND('C10-Adj by Source'!CF42,0),"; ", 'C24-Estate'!Q39,'C24-Estate'!R39,'C24-Estate'!S39,'C24-Estate'!T39,'C24-Estate'!U39,'C24-Estate'!V39,'C24-Estate'!W39,'C24-Estate'!X39)</f>
        <v>%let frdb1996=0.691; %let est1996=23110; %let est_1_1996=0.103;%let est_2_1996=0.207;%let est_3_1996=0.088;%let est_4_1996=0.237;%let est_5_1996=0.097;%let est_6_1996=0.126;%let est_7_1996=0.075;%let est_8_1996=0.067;</v>
      </c>
    </row>
    <row r="305" spans="1:1" x14ac:dyDescent="0.3">
      <c r="A305" s="1011" t="str">
        <f>CONCATENATE("%let frdb",A217,"=",ROUND('C12-CorpOwn'!V42/'C12-CorpOwn'!J42,3),"; %let est",A217,"=",ROUND('C10-Adj by Source'!CF43,0),"; ", 'C24-Estate'!Q40,'C24-Estate'!R40,'C24-Estate'!S40,'C24-Estate'!T40,'C24-Estate'!U40,'C24-Estate'!V40,'C24-Estate'!W40,'C24-Estate'!X40)</f>
        <v>%let frdb1997=0.687; %let est1997=26974; %let est_1_1997=0.103;%let est_2_1997=0.207;%let est_3_1997=0.088;%let est_4_1997=0.238;%let est_5_1997=0.097;%let est_6_1997=0.125;%let est_7_1997=0.075;%let est_8_1997=0.067;</v>
      </c>
    </row>
    <row r="306" spans="1:1" x14ac:dyDescent="0.3">
      <c r="A306" s="1011" t="str">
        <f>CONCATENATE("%let frdb",A218,"=",ROUND('C12-CorpOwn'!V43/'C12-CorpOwn'!J43,3),"; %let est",A218,"=",ROUND('C10-Adj by Source'!CF44,0),"; ", 'C24-Estate'!Q41,'C24-Estate'!R41,'C24-Estate'!S41,'C24-Estate'!T41,'C24-Estate'!U41,'C24-Estate'!V41,'C24-Estate'!W41,'C24-Estate'!X41)</f>
        <v>%let frdb1998=0.682; %let est1998=32393; %let est_1_1998=0.104;%let est_2_1998=0.207;%let est_3_1998=0.087;%let est_4_1998=0.237;%let est_5_1998=0.097;%let est_6_1998=0.126;%let est_7_1998=0.075;%let est_8_1998=0.067;</v>
      </c>
    </row>
    <row r="307" spans="1:1" x14ac:dyDescent="0.3">
      <c r="A307" s="1011" t="str">
        <f>CONCATENATE("%let frdb",A219,"=",ROUND('C12-CorpOwn'!V44/'C12-CorpOwn'!J44,3),"; %let est",A219,"=",ROUND('C10-Adj by Source'!CF45,0),"; ", 'C24-Estate'!Q42,'C24-Estate'!R42,'C24-Estate'!S42,'C24-Estate'!T42,'C24-Estate'!U42,'C24-Estate'!V42,'C24-Estate'!W42,'C24-Estate'!X42)</f>
        <v>%let frdb1999=0.672; %let est1999=36705; %let est_1_1999=0.104;%let est_2_1999=0.207;%let est_3_1999=0.087;%let est_4_1999=0.236;%let est_5_1999=0.097;%let est_6_1999=0.126;%let est_7_1999=0.076;%let est_8_1999=0.067;</v>
      </c>
    </row>
    <row r="308" spans="1:1" x14ac:dyDescent="0.3">
      <c r="A308" s="1011" t="str">
        <f>CONCATENATE("%let frdb",A220,"=",ROUND('C12-CorpOwn'!V45/'C12-CorpOwn'!J45,3),"; %let est",A220,"=",ROUND('C10-Adj by Source'!CF46,0),"; ", 'C24-Estate'!Q43,'C24-Estate'!R43,'C24-Estate'!S43,'C24-Estate'!T43,'C24-Estate'!U43,'C24-Estate'!V43,'C24-Estate'!W43,'C24-Estate'!X43)</f>
        <v>%let frdb2000=0.66; %let est2000=35640; %let est_1_2000=0.103;%let est_2_2000=0.207;%let est_3_2000=0.087;%let est_4_2000=0.236;%let est_5_2000=0.097;%let est_6_2000=0.127;%let est_7_2000=0.076;%let est_8_2000=0.067;</v>
      </c>
    </row>
    <row r="309" spans="1:1" x14ac:dyDescent="0.3">
      <c r="A309" s="1011" t="str">
        <f>CONCATENATE("%let frdb",A221,"=",ROUND('C12-CorpOwn'!V46/'C12-CorpOwn'!J46,3),"; %let est",A221,"=",ROUND('C10-Adj by Source'!CF47,0),"; ", 'C24-Estate'!Q44,'C24-Estate'!R44,'C24-Estate'!S44,'C24-Estate'!T44,'C24-Estate'!U44,'C24-Estate'!V44,'C24-Estate'!W44,'C24-Estate'!X44)</f>
        <v>%let frdb2001=0.644; %let est2001=35697; %let est_1_2001=0.103;%let est_2_2001=0.207;%let est_3_2001=0.087;%let est_4_2001=0.237;%let est_5_2001=0.097;%let est_6_2001=0.126;%let est_7_2001=0.076;%let est_8_2001=0.067;</v>
      </c>
    </row>
    <row r="310" spans="1:1" x14ac:dyDescent="0.3">
      <c r="A310" s="1011" t="str">
        <f>CONCATENATE("%let frdb",A222,"=",ROUND('C12-CorpOwn'!V47/'C12-CorpOwn'!J47,3),"; %let est",A222,"=",ROUND('C10-Adj by Source'!CF48,0),"; ", 'C24-Estate'!Q45,'C24-Estate'!R45,'C24-Estate'!S45,'C24-Estate'!T45,'C24-Estate'!U45,'C24-Estate'!V45,'C24-Estate'!W45,'C24-Estate'!X45)</f>
        <v>%let frdb2002=0.613; %let est2002=32649; %let est_1_2002=0.1;%let est_2_2002=0.2;%let est_3_2002=0.082;%let est_4_2002=0.227;%let est_5_2002=0.096;%let est_6_2002=0.134;%let est_7_2002=0.088;%let est_8_2002=0.073;</v>
      </c>
    </row>
    <row r="311" spans="1:1" x14ac:dyDescent="0.3">
      <c r="A311" s="1011" t="str">
        <f>CONCATENATE("%let frdb",A223,"=",ROUND('C12-CorpOwn'!V48/'C12-CorpOwn'!J48,3),"; %let est",A223,"=",ROUND('C10-Adj by Source'!CF49,0),"; ", 'C24-Estate'!Q46,'C24-Estate'!R46,'C24-Estate'!S46,'C24-Estate'!T46,'C24-Estate'!U46,'C24-Estate'!V46,'C24-Estate'!W46,'C24-Estate'!X46)</f>
        <v>%let frdb2003=0.612; %let est2003=27966; %let est_1_2003=0.1;%let est_2_2003=0.2;%let est_3_2003=0.082;%let est_4_2003=0.228;%let est_5_2003=0.096;%let est_6_2003=0.134;%let est_7_2003=0.087;%let est_8_2003=0.073;</v>
      </c>
    </row>
    <row r="312" spans="1:1" x14ac:dyDescent="0.3">
      <c r="A312" s="1011" t="str">
        <f>CONCATENATE("%let frdb",A224,"=",ROUND('C12-CorpOwn'!V49/'C12-CorpOwn'!J49,3),"; %let est",A224,"=",ROUND('C10-Adj by Source'!CF50,0),"; ", 'C24-Estate'!Q47,'C24-Estate'!R47,'C24-Estate'!S47,'C24-Estate'!T47,'C24-Estate'!U47,'C24-Estate'!V47,'C24-Estate'!W47,'C24-Estate'!X47)</f>
        <v>%let frdb2004=0.587; %let est2004=30258; %let est_1_2004=0.095;%let est_2_2004=0.191;%let est_3_2004=0.074;%let est_4_2004=0.214;%let est_5_2004=0.095;%let est_6_2004=0.146;%let est_7_2004=0.104;%let est_8_2004=0.081;</v>
      </c>
    </row>
    <row r="313" spans="1:1" x14ac:dyDescent="0.3">
      <c r="A313" s="1011" t="str">
        <f>CONCATENATE("%let frdb",A225,"=",ROUND('C12-CorpOwn'!V50/'C12-CorpOwn'!J50,3),"; %let est",A225,"=",ROUND('C10-Adj by Source'!CF51,0),"; ", 'C24-Estate'!Q48,'C24-Estate'!R48,'C24-Estate'!S48,'C24-Estate'!T48,'C24-Estate'!U48,'C24-Estate'!V48,'C24-Estate'!W48,'C24-Estate'!X48)</f>
        <v>%let frdb2005=0.596; %let est2005=30305; %let est_1_2005=0.096;%let est_2_2005=0.191;%let est_3_2005=0.075;%let est_4_2005=0.215;%let est_5_2005=0.095;%let est_6_2005=0.145;%let est_7_2005=0.103;%let est_8_2005=0.08;</v>
      </c>
    </row>
    <row r="314" spans="1:1" x14ac:dyDescent="0.3">
      <c r="A314" s="1011" t="str">
        <f>CONCATENATE("%let frdb",A226,"=",ROUND('C12-CorpOwn'!V51/'C12-CorpOwn'!J51,3),"; %let est",A226,"=",ROUND('C10-Adj by Source'!CF52,0),"; ", 'C24-Estate'!Q49,'C24-Estate'!R49,'C24-Estate'!S49,'C24-Estate'!T49,'C24-Estate'!U49,'C24-Estate'!V49,'C24-Estate'!W49,'C24-Estate'!X49)</f>
        <v>%let frdb2006=0.559; %let est2006=32928; %let est_1_2006=0.091;%let est_2_2006=0.182;%let est_3_2006=0.068;%let est_4_2006=0.203;%let est_5_2006=0.094;%let est_6_2006=0.155;%let est_7_2006=0.119;%let est_8_2006=0.088;</v>
      </c>
    </row>
    <row r="315" spans="1:1" x14ac:dyDescent="0.3">
      <c r="A315" s="1011" t="str">
        <f>CONCATENATE("%let frdb",A227,"=",ROUND('C12-CorpOwn'!V52/'C12-CorpOwn'!J52,3),"; %let est",A227,"=",ROUND('C10-Adj by Source'!CF53,0),"; ", 'C24-Estate'!Q50,'C24-Estate'!R50,'C24-Estate'!S50,'C24-Estate'!T50,'C24-Estate'!U50,'C24-Estate'!V50,'C24-Estate'!W50,'C24-Estate'!X50)</f>
        <v>%let frdb2007=0.555; %let est2007=31509; %let est_1_2007=0.092;%let est_2_2007=0.184;%let est_3_2007=0.068;%let est_4_2007=0.204;%let est_5_2007=0.094;%let est_6_2007=0.154;%let est_7_2007=0.117;%let est_8_2007=0.087;</v>
      </c>
    </row>
    <row r="316" spans="1:1" x14ac:dyDescent="0.3">
      <c r="A316" s="1011" t="str">
        <f>CONCATENATE("%let frdb",A228,"=",ROUND('C12-CorpOwn'!V53/'C12-CorpOwn'!J53,3),"; %let est",A228,"=",ROUND('C10-Adj by Source'!CF54,0),"; ", 'C24-Estate'!Q51,'C24-Estate'!R51,'C24-Estate'!S51,'C24-Estate'!T51,'C24-Estate'!U51,'C24-Estate'!V51,'C24-Estate'!W51,'C24-Estate'!X51)</f>
        <v>%let frdb2008=0.582; %let est2008=33863; %let est_1_2008=0.093;%let est_2_2008=0.185;%let est_3_2008=0.069;%let est_4_2008=0.205;%let est_5_2008=0.094;%let est_6_2008=0.153;%let est_7_2008=0.115;%let est_8_2008=0.086;</v>
      </c>
    </row>
    <row r="317" spans="1:1" x14ac:dyDescent="0.3">
      <c r="A317" s="1011" t="str">
        <f>CONCATENATE("%let frdb",A229,"=",ROUND('C12-CorpOwn'!V54/'C12-CorpOwn'!J54,3),"; %let est",A229,"=",ROUND('C10-Adj by Source'!CF55,0),"; ", 'C24-Estate'!Q52,'C24-Estate'!R52,'C24-Estate'!S52,'C24-Estate'!T52,'C24-Estate'!U52,'C24-Estate'!V52,'C24-Estate'!W52,'C24-Estate'!X52)</f>
        <v>%let frdb2009=0.569; %let est2009=24917; %let est_1_2009=0.079;%let est_2_2009=0.157;%let est_3_2009=0.047;%let est_4_2009=0.167;%let est_5_2009=0.09;%let est_6_2009=0.186;%let est_7_2009=0.164;%let est_8_2009=0.11;</v>
      </c>
    </row>
    <row r="318" spans="1:1" x14ac:dyDescent="0.3">
      <c r="A318" s="1011" t="str">
        <f>CONCATENATE("%let frdb",A230,"=",ROUND('C12-CorpOwn'!V55/'C12-CorpOwn'!J55,3),"; %let est",A230,"=",ROUND('C10-Adj by Source'!CF56,0),"; ", 'C24-Estate'!Q53,'C24-Estate'!R53,'C24-Estate'!S53,'C24-Estate'!T53,'C24-Estate'!U53,'C24-Estate'!V53,'C24-Estate'!W53,'C24-Estate'!X53)</f>
        <v>%let frdb2010=0.548; %let est2010=19525; %let est_1_2010=0.066;%let est_2_2010=0.131;%let est_3_2010=0.026;%let est_4_2010=0.13;%let est_5_2010=0.087;%let est_6_2010=0.218;%let est_7_2010=0.21;%let est_8_2010=0.132;</v>
      </c>
    </row>
    <row r="319" spans="1:1" x14ac:dyDescent="0.3">
      <c r="A319" s="1011" t="str">
        <f>CONCATENATE("%let frdb",A231,"=",ROUND('C12-CorpOwn'!V56/'C12-CorpOwn'!J56,3),"; %let est",A231,"=",ROUND('C10-Adj by Source'!CF57,0),"; ", 'C24-Estate'!Q54,'C24-Estate'!R54,'C24-Estate'!S54,'C24-Estate'!T54,'C24-Estate'!U54,'C24-Estate'!V54,'C24-Estate'!W54,'C24-Estate'!X54)</f>
        <v>%let frdb2011=0.517; %let est2011=14379; %let est_1_2011=0.067;%let est_2_2011=0.134;%let est_3_2011=0.028;%let est_4_2011=0.133;%let est_5_2011=0.087;%let est_6_2011=0.215;%let est_7_2011=0.206;%let est_8_2011=0.13;</v>
      </c>
    </row>
    <row r="320" spans="1:1" x14ac:dyDescent="0.3">
      <c r="A320" s="1011" t="str">
        <f>CONCATENATE("%let frdb",A232,"=",ROUND('C12-CorpOwn'!V57/'C12-CorpOwn'!J57,3),"; %let est",A232,"=",ROUND('C10-Adj by Source'!CF58,0),"; ", 'C24-Estate'!Q55,'C24-Estate'!R55,'C24-Estate'!S55,'C24-Estate'!T55,'C24-Estate'!U55,'C24-Estate'!V55,'C24-Estate'!W55,'C24-Estate'!X55)</f>
        <v>%let frdb2012=0.498; %let est2012=18995; %let est_1_2012=0.067;%let est_2_2012=0.134;%let est_3_2012=0.027;%let est_4_2012=0.132;%let est_5_2012=0.087;%let est_6_2012=0.216;%let est_7_2012=0.207;%let est_8_2012=0.13;</v>
      </c>
    </row>
    <row r="321" spans="1:1" x14ac:dyDescent="0.3">
      <c r="A321" s="1011" t="str">
        <f>CONCATENATE("%let frdb",A233,"=",ROUND('C12-CorpOwn'!V58/'C12-CorpOwn'!J58,3),"; %let est",A233,"=",ROUND('C10-Adj by Source'!CF59,0),"; ", 'C24-Estate'!Q56,'C24-Estate'!R56,'C24-Estate'!S56,'C24-Estate'!T56,'C24-Estate'!U56,'C24-Estate'!V56,'C24-Estate'!W56,'C24-Estate'!X56)</f>
        <v>%let frdb2013=0.519; %let est2013=26129; %let est_1_2013=0.066;%let est_2_2013=0.133;%let est_3_2013=0.026;%let est_4_2013=0.131;%let est_5_2013=0.087;%let est_6_2013=0.217;%let est_7_2013=0.209;%let est_8_2013=0.131;</v>
      </c>
    </row>
    <row r="322" spans="1:1" x14ac:dyDescent="0.3">
      <c r="A322" s="1011" t="str">
        <f>CONCATENATE("%let frdb",A234,"=",ROUND('C12-CorpOwn'!V59/'C12-CorpOwn'!J59,3),"; %let est",A234,"=",ROUND('C10-Adj by Source'!CF60,0),"; ", 'C24-Estate'!Q57,'C24-Estate'!R57,'C24-Estate'!S57,'C24-Estate'!T57,'C24-Estate'!U57,'C24-Estate'!V57,'C24-Estate'!W57,'C24-Estate'!X57)</f>
        <v>%let frdb2014=0.486; %let est2014=24062; %let est_1_2014=0.066;%let est_2_2014=0.133;%let est_3_2014=0.026;%let est_4_2014=0.131;%let est_5_2014=0.087;%let est_6_2014=0.217;%let est_7_2014=0.209;%let est_8_2014=0.131;</v>
      </c>
    </row>
    <row r="323" spans="1:1" x14ac:dyDescent="0.3">
      <c r="A323" s="1011" t="str">
        <f>CONCATENATE("%let frdb",A235,"=",ROUND('C12-CorpOwn'!V60/'C12-CorpOwn'!J60,3),"; %let est",A235,"=",ROUND('C10-Adj by Source'!CF61,0),"; ", 'C24-Estate'!Q58,'C24-Estate'!R58,'C24-Estate'!S58,'C24-Estate'!T58,'C24-Estate'!U58,'C24-Estate'!V58,'C24-Estate'!W58,'C24-Estate'!X58)</f>
        <v>%let frdb2015=0.471; %let est2015=25622; %let est_1_2015=0.066;%let est_2_2015=0.131;%let est_3_2015=0.025;%let est_4_2015=0.129;%let est_5_2015=0.087;%let est_6_2015=0.219;%let est_7_2015=0.211;%let est_8_2015=0.132;</v>
      </c>
    </row>
    <row r="325" spans="1:1" x14ac:dyDescent="0.3">
      <c r="A325" t="str">
        <f>CONCATENATE("%let c1_",A180,"=",ROUND('C19-RetShares'!C71/3,3),"; %let c2_",A180,"=",ROUND('C19-RetShares'!C71*2/3,3),"; %let c3_",A180,"=",ROUND('C19-RetShares'!D71-'C19-RetShares'!E71,3),";  %let c4_",A180,"=",ROUND('C19-RetShares'!E71-'C19-RetShares'!F71,3),"; %let c5_",A180,"=",ROUND('C19-RetShares'!F71-'C19-RetShares'!G71,3),"; %let c6_",A180,"=",ROUND('C19-RetShares'!G71-'C19-RetShares'!H71,3),"; %let c7_",A180,"=",ROUND('C19-RetShares'!H71-'C19-RetShares'!I71,3),"; %let c8_",A180,"=",ROUND('C19-RetShares'!I71,3),";")</f>
        <v>%let c1_1960=0.032; %let c2_1960=0.063; %let c3_1960=0.053;  %let c4_1960=0.241; %let c5_1960=0.094; %let c6_1960=0.183; %let c7_1960=0.18; %let c8_1960=0.154;</v>
      </c>
    </row>
    <row r="326" spans="1:1" x14ac:dyDescent="0.3">
      <c r="A326" s="1011" t="str">
        <f>CONCATENATE("%let c1_",A181,"=",ROUND('C19-RetShares'!C72/3,3),"; %let c2_",A181,"=",ROUND('C19-RetShares'!C72*2/3,3),"; %let c3_",A181,"=",ROUND('C19-RetShares'!D72-'C19-RetShares'!E72,3),";  %let c4_",A181,"=",ROUND('C19-RetShares'!E72-'C19-RetShares'!F72,3),"; %let c5_",A181,"=",ROUND('C19-RetShares'!F72-'C19-RetShares'!G72,3),"; %let c6_",A181,"=",ROUND('C19-RetShares'!G72-'C19-RetShares'!H72,3),"; %let c7_",A181,"=",ROUND('C19-RetShares'!H72-'C19-RetShares'!I72,3),"; %let c8_",A181,"=",ROUND('C19-RetShares'!I72,3),";")</f>
        <v>%let c1_1961=0.035; %let c2_1961=0.07; %let c3_1961=0.063;  %let c4_1961=0.222; %let c5_1961=0.091; %let c6_1961=0.181; %let c7_1961=0.18; %let c8_1961=0.157;</v>
      </c>
    </row>
    <row r="327" spans="1:1" x14ac:dyDescent="0.3">
      <c r="A327" s="1011" t="str">
        <f>CONCATENATE("%let c1_",A182,"=",ROUND('C19-RetShares'!C73/3,3),"; %let c2_",A182,"=",ROUND('C19-RetShares'!C73*2/3,3),"; %let c3_",A182,"=",ROUND('C19-RetShares'!D73-'C19-RetShares'!E73,3),";  %let c4_",A182,"=",ROUND('C19-RetShares'!E73-'C19-RetShares'!F73,3),"; %let c5_",A182,"=",ROUND('C19-RetShares'!F73-'C19-RetShares'!G73,3),"; %let c6_",A182,"=",ROUND('C19-RetShares'!G73-'C19-RetShares'!H73,3),"; %let c7_",A182,"=",ROUND('C19-RetShares'!H73-'C19-RetShares'!I73,3),"; %let c8_",A182,"=",ROUND('C19-RetShares'!I73,3),";")</f>
        <v>%let c1_1962=0.037; %let c2_1962=0.073; %let c3_1962=0.063;  %let c4_1962=0.224; %let c5_1962=0.092; %let c6_1962=0.181; %let c7_1962=0.18; %let c8_1962=0.15;</v>
      </c>
    </row>
    <row r="328" spans="1:1" x14ac:dyDescent="0.3">
      <c r="A328" s="1011" t="str">
        <f>CONCATENATE("%let c1_",A183,"=",ROUND('C19-RetShares'!C74/3,3),"; %let c2_",A183,"=",ROUND('C19-RetShares'!C74*2/3,3),"; %let c3_",A183,"=",ROUND('C19-RetShares'!D74-'C19-RetShares'!E74,3),";  %let c4_",A183,"=",ROUND('C19-RetShares'!E74-'C19-RetShares'!F74,3),"; %let c5_",A183,"=",ROUND('C19-RetShares'!F74-'C19-RetShares'!G74,3),"; %let c6_",A183,"=",ROUND('C19-RetShares'!G74-'C19-RetShares'!H74,3),"; %let c7_",A183,"=",ROUND('C19-RetShares'!H74-'C19-RetShares'!I74,3),"; %let c8_",A183,"=",ROUND('C19-RetShares'!I74,3),";")</f>
        <v>%let c1_1963=0.035; %let c2_1963=0.069; %let c3_1963=0.065;  %let c4_1963=0.223; %let c5_1963=0.092; %let c6_1963=0.182; %let c7_1963=0.18; %let c8_1963=0.153;</v>
      </c>
    </row>
    <row r="329" spans="1:1" x14ac:dyDescent="0.3">
      <c r="A329" s="1011" t="str">
        <f>CONCATENATE("%let c1_",A184,"=",ROUND('C19-RetShares'!C75/3,3),"; %let c2_",A184,"=",ROUND('C19-RetShares'!C75*2/3,3),"; %let c3_",A184,"=",ROUND('C19-RetShares'!D75-'C19-RetShares'!E75,3),";  %let c4_",A184,"=",ROUND('C19-RetShares'!E75-'C19-RetShares'!F75,3),"; %let c5_",A184,"=",ROUND('C19-RetShares'!F75-'C19-RetShares'!G75,3),"; %let c6_",A184,"=",ROUND('C19-RetShares'!G75-'C19-RetShares'!H75,3),"; %let c7_",A184,"=",ROUND('C19-RetShares'!H75-'C19-RetShares'!I75,3),"; %let c8_",A184,"=",ROUND('C19-RetShares'!I75,3),";")</f>
        <v>%let c1_1964=0.029; %let c2_1964=0.059; %let c3_1964=0.068;  %let c4_1964=0.226; %let c5_1964=0.093; %let c6_1964=0.185; %let c7_1964=0.183; %let c8_1964=0.157;</v>
      </c>
    </row>
    <row r="330" spans="1:1" x14ac:dyDescent="0.3">
      <c r="A330" s="1011" t="str">
        <f>CONCATENATE("%let c1_",A185,"=",ROUND('C19-RetShares'!C76/3,3),"; %let c2_",A185,"=",ROUND('C19-RetShares'!C76*2/3,3),"; %let c3_",A185,"=",ROUND('C19-RetShares'!D76-'C19-RetShares'!E76,3),";  %let c4_",A185,"=",ROUND('C19-RetShares'!E76-'C19-RetShares'!F76,3),"; %let c5_",A185,"=",ROUND('C19-RetShares'!F76-'C19-RetShares'!G76,3),"; %let c6_",A185,"=",ROUND('C19-RetShares'!G76-'C19-RetShares'!H76,3),"; %let c7_",A185,"=",ROUND('C19-RetShares'!H76-'C19-RetShares'!I76,3),"; %let c8_",A185,"=",ROUND('C19-RetShares'!I76,3),";")</f>
        <v>%let c1_1965=0.05; %let c2_1965=0.1; %let c3_1965=0.066;  %let c4_1965=0.217; %let c5_1965=0.087; %let c6_1965=0.168; %let c7_1965=0.169; %let c8_1965=0.143;</v>
      </c>
    </row>
    <row r="331" spans="1:1" x14ac:dyDescent="0.3">
      <c r="A331" s="1011" t="str">
        <f>CONCATENATE("%let c1_",A186,"=",ROUND('C19-RetShares'!C77/3,3),"; %let c2_",A186,"=",ROUND('C19-RetShares'!C77*2/3,3),"; %let c3_",A186,"=",ROUND('C19-RetShares'!D77-'C19-RetShares'!E77,3),";  %let c4_",A186,"=",ROUND('C19-RetShares'!E77-'C19-RetShares'!F77,3),"; %let c5_",A186,"=",ROUND('C19-RetShares'!F77-'C19-RetShares'!G77,3),"; %let c6_",A186,"=",ROUND('C19-RetShares'!G77-'C19-RetShares'!H77,3),"; %let c7_",A186,"=",ROUND('C19-RetShares'!H77-'C19-RetShares'!I77,3),"; %let c8_",A186,"=",ROUND('C19-RetShares'!I77,3),";")</f>
        <v>%let c1_1966=0.036; %let c2_1966=0.071; %let c3_1966=0.072;  %let c4_1966=0.235; %let c5_1966=0.092; %let c6_1966=0.171; %let c7_1966=0.176; %let c8_1966=0.147;</v>
      </c>
    </row>
    <row r="332" spans="1:1" x14ac:dyDescent="0.3">
      <c r="A332" s="1011" t="str">
        <f>CONCATENATE("%let c1_",A187,"=",ROUND('C19-RetShares'!C78/3,3),"; %let c2_",A187,"=",ROUND('C19-RetShares'!C78*2/3,3),"; %let c3_",A187,"=",ROUND('C19-RetShares'!D78-'C19-RetShares'!E78,3),";  %let c4_",A187,"=",ROUND('C19-RetShares'!E78-'C19-RetShares'!F78,3),"; %let c5_",A187,"=",ROUND('C19-RetShares'!F78-'C19-RetShares'!G78,3),"; %let c6_",A187,"=",ROUND('C19-RetShares'!G78-'C19-RetShares'!H78,3),"; %let c7_",A187,"=",ROUND('C19-RetShares'!H78-'C19-RetShares'!I78,3),"; %let c8_",A187,"=",ROUND('C19-RetShares'!I78,3),";")</f>
        <v>%let c1_1967=0.038; %let c2_1967=0.076; %let c3_1967=0.073;  %let c4_1967=0.234; %let c5_1967=0.091; %let c6_1967=0.178; %let c7_1967=0.17; %let c8_1967=0.141;</v>
      </c>
    </row>
    <row r="333" spans="1:1" x14ac:dyDescent="0.3">
      <c r="A333" s="1011" t="str">
        <f>CONCATENATE("%let c1_",A188,"=",ROUND('C19-RetShares'!C79/3,3),"; %let c2_",A188,"=",ROUND('C19-RetShares'!C79*2/3,3),"; %let c3_",A188,"=",ROUND('C19-RetShares'!D79-'C19-RetShares'!E79,3),";  %let c4_",A188,"=",ROUND('C19-RetShares'!E79-'C19-RetShares'!F79,3),"; %let c5_",A188,"=",ROUND('C19-RetShares'!F79-'C19-RetShares'!G79,3),"; %let c6_",A188,"=",ROUND('C19-RetShares'!G79-'C19-RetShares'!H79,3),"; %let c7_",A188,"=",ROUND('C19-RetShares'!H79-'C19-RetShares'!I79,3),"; %let c8_",A188,"=",ROUND('C19-RetShares'!I79,3),";")</f>
        <v>%let c1_1968=0.04; %let c2_1968=0.08; %let c3_1968=0.073;  %let c4_1968=0.228; %let c5_1968=0.088; %let c6_1968=0.173; %let c7_1968=0.171; %let c8_1968=0.147;</v>
      </c>
    </row>
    <row r="334" spans="1:1" x14ac:dyDescent="0.3">
      <c r="A334" s="1011" t="str">
        <f>CONCATENATE("%let c1_",A189,"=",ROUND('C19-RetShares'!C80/3,3),"; %let c2_",A189,"=",ROUND('C19-RetShares'!C80*2/3,3),"; %let c3_",A189,"=",ROUND('C19-RetShares'!D80-'C19-RetShares'!E80,3),";  %let c4_",A189,"=",ROUND('C19-RetShares'!E80-'C19-RetShares'!F80,3),"; %let c5_",A189,"=",ROUND('C19-RetShares'!F80-'C19-RetShares'!G80,3),"; %let c6_",A189,"=",ROUND('C19-RetShares'!G80-'C19-RetShares'!H80,3),"; %let c7_",A189,"=",ROUND('C19-RetShares'!H80-'C19-RetShares'!I80,3),"; %let c8_",A189,"=",ROUND('C19-RetShares'!I80,3),";")</f>
        <v>%let c1_1969=0.044; %let c2_1969=0.089; %let c3_1969=0.073;  %let c4_1969=0.221; %let c5_1969=0.086; %let c6_1969=0.165; %let c7_1969=0.168; %let c8_1969=0.154;</v>
      </c>
    </row>
    <row r="335" spans="1:1" x14ac:dyDescent="0.3">
      <c r="A335" s="1011" t="str">
        <f>CONCATENATE("%let c1_",A190,"=",ROUND('C19-RetShares'!C81/3,3),"; %let c2_",A190,"=",ROUND('C19-RetShares'!C81*2/3,3),"; %let c3_",A190,"=",ROUND('C19-RetShares'!D81-'C19-RetShares'!E81,3),";  %let c4_",A190,"=",ROUND('C19-RetShares'!E81-'C19-RetShares'!F81,3),"; %let c5_",A190,"=",ROUND('C19-RetShares'!F81-'C19-RetShares'!G81,3),"; %let c6_",A190,"=",ROUND('C19-RetShares'!G81-'C19-RetShares'!H81,3),"; %let c7_",A190,"=",ROUND('C19-RetShares'!H81-'C19-RetShares'!I81,3),"; %let c8_",A190,"=",ROUND('C19-RetShares'!I81,3),";")</f>
        <v>%let c1_1970=0.044; %let c2_1970=0.089; %let c3_1970=0.074;  %let c4_1970=0.233; %let c5_1970=0.088; %let c6_1970=0.166; %let c7_1970=0.163; %let c8_1970=0.143;</v>
      </c>
    </row>
    <row r="336" spans="1:1" x14ac:dyDescent="0.3">
      <c r="A336" s="1011" t="str">
        <f>CONCATENATE("%let c1_",A191,"=",ROUND('C19-RetShares'!C82/3,3),"; %let c2_",A191,"=",ROUND('C19-RetShares'!C82*2/3,3),"; %let c3_",A191,"=",ROUND('C19-RetShares'!D82-'C19-RetShares'!E82,3),";  %let c4_",A191,"=",ROUND('C19-RetShares'!E82-'C19-RetShares'!F82,3),"; %let c5_",A191,"=",ROUND('C19-RetShares'!F82-'C19-RetShares'!G82,3),"; %let c6_",A191,"=",ROUND('C19-RetShares'!G82-'C19-RetShares'!H82,3),"; %let c7_",A191,"=",ROUND('C19-RetShares'!H82-'C19-RetShares'!I82,3),"; %let c8_",A191,"=",ROUND('C19-RetShares'!I82,3),";")</f>
        <v>%let c1_1971=0.046; %let c2_1971=0.091; %let c3_1971=0.071;  %let c4_1971=0.239; %let c5_1971=0.091; %let c6_1971=0.165; %let c7_1971=0.159; %let c8_1971=0.138;</v>
      </c>
    </row>
    <row r="337" spans="1:1" x14ac:dyDescent="0.3">
      <c r="A337" s="1011" t="str">
        <f>CONCATENATE("%let c1_",A192,"=",ROUND('C19-RetShares'!C83/3,3),"; %let c2_",A192,"=",ROUND('C19-RetShares'!C83*2/3,3),"; %let c3_",A192,"=",ROUND('C19-RetShares'!D83-'C19-RetShares'!E83,3),";  %let c4_",A192,"=",ROUND('C19-RetShares'!E83-'C19-RetShares'!F83,3),"; %let c5_",A192,"=",ROUND('C19-RetShares'!F83-'C19-RetShares'!G83,3),"; %let c6_",A192,"=",ROUND('C19-RetShares'!G83-'C19-RetShares'!H83,3),"; %let c7_",A192,"=",ROUND('C19-RetShares'!H83-'C19-RetShares'!I83,3),"; %let c8_",A192,"=",ROUND('C19-RetShares'!I83,3),";")</f>
        <v>%let c1_1972=0.047; %let c2_1972=0.093; %let c3_1972=0.079;  %let c4_1972=0.244; %let c5_1972=0.091; %let c6_1972=0.163; %let c7_1972=0.153; %let c8_1972=0.13;</v>
      </c>
    </row>
    <row r="338" spans="1:1" x14ac:dyDescent="0.3">
      <c r="A338" s="1011" t="str">
        <f>CONCATENATE("%let c1_",A193,"=",ROUND('C19-RetShares'!C84/3,3),"; %let c2_",A193,"=",ROUND('C19-RetShares'!C84*2/3,3),"; %let c3_",A193,"=",ROUND('C19-RetShares'!D84-'C19-RetShares'!E84,3),";  %let c4_",A193,"=",ROUND('C19-RetShares'!E84-'C19-RetShares'!F84,3),"; %let c5_",A193,"=",ROUND('C19-RetShares'!F84-'C19-RetShares'!G84,3),"; %let c6_",A193,"=",ROUND('C19-RetShares'!G84-'C19-RetShares'!H84,3),"; %let c7_",A193,"=",ROUND('C19-RetShares'!H84-'C19-RetShares'!I84,3),"; %let c8_",A193,"=",ROUND('C19-RetShares'!I84,3),";")</f>
        <v>%let c1_1973=0.05; %let c2_1973=0.1; %let c3_1973=0.087;  %let c4_1973=0.246; %let c5_1973=0.089; %let c6_1973=0.161; %let c7_1973=0.148; %let c8_1973=0.118;</v>
      </c>
    </row>
    <row r="339" spans="1:1" x14ac:dyDescent="0.3">
      <c r="A339" s="1011" t="str">
        <f>CONCATENATE("%let c1_",A194,"=",ROUND('C19-RetShares'!C85/3,3),"; %let c2_",A194,"=",ROUND('C19-RetShares'!C85*2/3,3),"; %let c3_",A194,"=",ROUND('C19-RetShares'!D85-'C19-RetShares'!E85,3),";  %let c4_",A194,"=",ROUND('C19-RetShares'!E85-'C19-RetShares'!F85,3),"; %let c5_",A194,"=",ROUND('C19-RetShares'!F85-'C19-RetShares'!G85,3),"; %let c6_",A194,"=",ROUND('C19-RetShares'!G85-'C19-RetShares'!H85,3),"; %let c7_",A194,"=",ROUND('C19-RetShares'!H85-'C19-RetShares'!I85,3),"; %let c8_",A194,"=",ROUND('C19-RetShares'!I85,3),";")</f>
        <v>%let c1_1974=0.054; %let c2_1974=0.109; %let c3_1974=0.088;  %let c4_1974=0.25; %let c5_1974=0.086; %let c6_1974=0.155; %let c7_1974=0.144; %let c8_1974=0.114;</v>
      </c>
    </row>
    <row r="340" spans="1:1" x14ac:dyDescent="0.3">
      <c r="A340" s="1011" t="str">
        <f>CONCATENATE("%let c1_",A195,"=",ROUND('C19-RetShares'!C86/3,3),"; %let c2_",A195,"=",ROUND('C19-RetShares'!C86*2/3,3),"; %let c3_",A195,"=",ROUND('C19-RetShares'!D86-'C19-RetShares'!E86,3),";  %let c4_",A195,"=",ROUND('C19-RetShares'!E86-'C19-RetShares'!F86,3),"; %let c5_",A195,"=",ROUND('C19-RetShares'!F86-'C19-RetShares'!G86,3),"; %let c6_",A195,"=",ROUND('C19-RetShares'!G86-'C19-RetShares'!H86,3),"; %let c7_",A195,"=",ROUND('C19-RetShares'!H86-'C19-RetShares'!I86,3),"; %let c8_",A195,"=",ROUND('C19-RetShares'!I86,3),";")</f>
        <v>%let c1_1975=0.054; %let c2_1975=0.108; %let c3_1975=0.093;  %let c4_1975=0.257; %let c5_1975=0.091; %let c6_1975=0.152; %let c7_1975=0.135; %let c8_1975=0.11;</v>
      </c>
    </row>
    <row r="341" spans="1:1" x14ac:dyDescent="0.3">
      <c r="A341" s="1011" t="str">
        <f>CONCATENATE("%let c1_",A196,"=",ROUND('C19-RetShares'!C87/3,3),"; %let c2_",A196,"=",ROUND('C19-RetShares'!C87*2/3,3),"; %let c3_",A196,"=",ROUND('C19-RetShares'!D87-'C19-RetShares'!E87,3),";  %let c4_",A196,"=",ROUND('C19-RetShares'!E87-'C19-RetShares'!F87,3),"; %let c5_",A196,"=",ROUND('C19-RetShares'!F87-'C19-RetShares'!G87,3),"; %let c6_",A196,"=",ROUND('C19-RetShares'!G87-'C19-RetShares'!H87,3),"; %let c7_",A196,"=",ROUND('C19-RetShares'!H87-'C19-RetShares'!I87,3),"; %let c8_",A196,"=",ROUND('C19-RetShares'!I87,3),";")</f>
        <v>%let c1_1976=0.053; %let c2_1976=0.107; %let c3_1976=0.099;  %let c4_1976=0.258; %let c5_1976=0.092; %let c6_1976=0.151; %let c7_1976=0.132; %let c8_1976=0.108;</v>
      </c>
    </row>
    <row r="342" spans="1:1" x14ac:dyDescent="0.3">
      <c r="A342" s="1011" t="str">
        <f>CONCATENATE("%let c1_",A197,"=",ROUND('C19-RetShares'!C88/3,3),"; %let c2_",A197,"=",ROUND('C19-RetShares'!C88*2/3,3),"; %let c3_",A197,"=",ROUND('C19-RetShares'!D88-'C19-RetShares'!E88,3),";  %let c4_",A197,"=",ROUND('C19-RetShares'!E88-'C19-RetShares'!F88,3),"; %let c5_",A197,"=",ROUND('C19-RetShares'!F88-'C19-RetShares'!G88,3),"; %let c6_",A197,"=",ROUND('C19-RetShares'!G88-'C19-RetShares'!H88,3),"; %let c7_",A197,"=",ROUND('C19-RetShares'!H88-'C19-RetShares'!I88,3),"; %let c8_",A197,"=",ROUND('C19-RetShares'!I88,3),";")</f>
        <v>%let c1_1977=0.05; %let c2_1977=0.101; %let c3_1977=0.098;  %let c4_1977=0.264; %let c5_1977=0.091; %let c6_1977=0.154; %let c7_1977=0.133; %let c8_1977=0.109;</v>
      </c>
    </row>
    <row r="343" spans="1:1" x14ac:dyDescent="0.3">
      <c r="A343" s="1011" t="str">
        <f>CONCATENATE("%let c1_",A198,"=",ROUND('C19-RetShares'!C89/3,3),"; %let c2_",A198,"=",ROUND('C19-RetShares'!C89*2/3,3),"; %let c3_",A198,"=",ROUND('C19-RetShares'!D89-'C19-RetShares'!E89,3),";  %let c4_",A198,"=",ROUND('C19-RetShares'!E89-'C19-RetShares'!F89,3),"; %let c5_",A198,"=",ROUND('C19-RetShares'!F89-'C19-RetShares'!G89,3),"; %let c6_",A198,"=",ROUND('C19-RetShares'!G89-'C19-RetShares'!H89,3),"; %let c7_",A198,"=",ROUND('C19-RetShares'!H89-'C19-RetShares'!I89,3),"; %let c8_",A198,"=",ROUND('C19-RetShares'!I89,3),";")</f>
        <v>%let c1_1978=0.05; %let c2_1978=0.101; %let c3_1978=0.099;  %let c4_1978=0.263; %let c5_1978=0.086; %let c6_1978=0.153; %let c7_1978=0.135; %let c8_1978=0.114;</v>
      </c>
    </row>
    <row r="344" spans="1:1" x14ac:dyDescent="0.3">
      <c r="A344" s="1011" t="str">
        <f>CONCATENATE("%let c1_",A199,"=",ROUND('C19-RetShares'!C90/3,3),"; %let c2_",A199,"=",ROUND('C19-RetShares'!C90*2/3,3),"; %let c3_",A199,"=",ROUND('C19-RetShares'!D90-'C19-RetShares'!E90,3),";  %let c4_",A199,"=",ROUND('C19-RetShares'!E90-'C19-RetShares'!F90,3),"; %let c5_",A199,"=",ROUND('C19-RetShares'!F90-'C19-RetShares'!G90,3),"; %let c6_",A199,"=",ROUND('C19-RetShares'!G90-'C19-RetShares'!H90,3),"; %let c7_",A199,"=",ROUND('C19-RetShares'!H90-'C19-RetShares'!I90,3),"; %let c8_",A199,"=",ROUND('C19-RetShares'!I90,3),";")</f>
        <v>%let c1_1979=0.049; %let c2_1979=0.097; %let c3_1979=0.091;  %let c4_1979=0.242; %let c5_1979=0.079; %let c6_1979=0.155; %let c7_1979=0.144; %let c8_1979=0.143;</v>
      </c>
    </row>
    <row r="345" spans="1:1" x14ac:dyDescent="0.3">
      <c r="A345" s="1011" t="str">
        <f>CONCATENATE("%let c1_",A200,"=",ROUND('C19-RetShares'!C91/3,3),"; %let c2_",A200,"=",ROUND('C19-RetShares'!C91*2/3,3),"; %let c3_",A200,"=",ROUND('C19-RetShares'!D91-'C19-RetShares'!E91,3),";  %let c4_",A200,"=",ROUND('C19-RetShares'!E91-'C19-RetShares'!F91,3),"; %let c5_",A200,"=",ROUND('C19-RetShares'!F91-'C19-RetShares'!G91,3),"; %let c6_",A200,"=",ROUND('C19-RetShares'!G91-'C19-RetShares'!H91,3),"; %let c7_",A200,"=",ROUND('C19-RetShares'!H91-'C19-RetShares'!I91,3),"; %let c8_",A200,"=",ROUND('C19-RetShares'!I91,3),";")</f>
        <v>%let c1_1980=0.054; %let c2_1980=0.108; %let c3_1980=0.089;  %let c4_1980=0.237; %let c5_1980=0.083; %let c6_1980=0.154; %let c7_1980=0.147; %let c8_1980=0.127;</v>
      </c>
    </row>
    <row r="346" spans="1:1" x14ac:dyDescent="0.3">
      <c r="A346" s="1011" t="str">
        <f>CONCATENATE("%let c1_",A201,"=",ROUND('C19-RetShares'!C92/3,3),"; %let c2_",A201,"=",ROUND('C19-RetShares'!C92*2/3,3),"; %let c3_",A201,"=",ROUND('C19-RetShares'!D92-'C19-RetShares'!E92,3),";  %let c4_",A201,"=",ROUND('C19-RetShares'!E92-'C19-RetShares'!F92,3),"; %let c5_",A201,"=",ROUND('C19-RetShares'!F92-'C19-RetShares'!G92,3),"; %let c6_",A201,"=",ROUND('C19-RetShares'!G92-'C19-RetShares'!H92,3),"; %let c7_",A201,"=",ROUND('C19-RetShares'!H92-'C19-RetShares'!I92,3),"; %let c8_",A201,"=",ROUND('C19-RetShares'!I92,3),";")</f>
        <v>%let c1_1981=0.054; %let c2_1981=0.109; %let c3_1981=0.082;  %let c4_1981=0.224; %let c5_1981=0.077; %let c6_1981=0.158; %let c7_1981=0.158; %let c8_1981=0.137;</v>
      </c>
    </row>
    <row r="347" spans="1:1" x14ac:dyDescent="0.3">
      <c r="A347" s="1011" t="str">
        <f>CONCATENATE("%let c1_",A202,"=",ROUND('C19-RetShares'!C93/3,3),"; %let c2_",A202,"=",ROUND('C19-RetShares'!C93*2/3,3),"; %let c3_",A202,"=",ROUND('C19-RetShares'!D93-'C19-RetShares'!E93,3),";  %let c4_",A202,"=",ROUND('C19-RetShares'!E93-'C19-RetShares'!F93,3),"; %let c5_",A202,"=",ROUND('C19-RetShares'!F93-'C19-RetShares'!G93,3),"; %let c6_",A202,"=",ROUND('C19-RetShares'!G93-'C19-RetShares'!H93,3),"; %let c7_",A202,"=",ROUND('C19-RetShares'!H93-'C19-RetShares'!I93,3),"; %let c8_",A202,"=",ROUND('C19-RetShares'!I93,3),";")</f>
        <v>%let c1_1982=0.056; %let c2_1982=0.111; %let c3_1982=0.072;  %let c4_1982=0.2; %let c5_1982=0.079; %let c6_1982=0.152; %let c7_1982=0.167; %let c8_1982=0.162;</v>
      </c>
    </row>
    <row r="348" spans="1:1" x14ac:dyDescent="0.3">
      <c r="A348" s="1011" t="str">
        <f>CONCATENATE("%let c1_",A203,"=",ROUND('C19-RetShares'!C94/3,3),"; %let c2_",A203,"=",ROUND('C19-RetShares'!C94*2/3,3),"; %let c3_",A203,"=",ROUND('C19-RetShares'!D94-'C19-RetShares'!E94,3),";  %let c4_",A203,"=",ROUND('C19-RetShares'!E94-'C19-RetShares'!F94,3),"; %let c5_",A203,"=",ROUND('C19-RetShares'!F94-'C19-RetShares'!G94,3),"; %let c6_",A203,"=",ROUND('C19-RetShares'!G94-'C19-RetShares'!H94,3),"; %let c7_",A203,"=",ROUND('C19-RetShares'!H94-'C19-RetShares'!I94,3),"; %let c8_",A203,"=",ROUND('C19-RetShares'!I94,3),";")</f>
        <v>%let c1_1983=0.055; %let c2_1983=0.109; %let c3_1983=0.078;  %let c4_1983=0.204; %let c5_1983=0.084; %let c6_1983=0.154; %let c7_1983=0.171; %let c8_1983=0.146;</v>
      </c>
    </row>
    <row r="349" spans="1:1" x14ac:dyDescent="0.3">
      <c r="A349" s="1011" t="str">
        <f>CONCATENATE("%let c1_",A204,"=",ROUND('C19-RetShares'!C95/3,3),"; %let c2_",A204,"=",ROUND('C19-RetShares'!C95*2/3,3),"; %let c3_",A204,"=",ROUND('C19-RetShares'!D95-'C19-RetShares'!E95,3),";  %let c4_",A204,"=",ROUND('C19-RetShares'!E95-'C19-RetShares'!F95,3),"; %let c5_",A204,"=",ROUND('C19-RetShares'!F95-'C19-RetShares'!G95,3),"; %let c6_",A204,"=",ROUND('C19-RetShares'!G95-'C19-RetShares'!H95,3),"; %let c7_",A204,"=",ROUND('C19-RetShares'!H95-'C19-RetShares'!I95,3),"; %let c8_",A204,"=",ROUND('C19-RetShares'!I95,3),";")</f>
        <v>%let c1_1984=0.053; %let c2_1984=0.105; %let c3_1984=0.071;  %let c4_1984=0.201; %let c5_1984=0.083; %let c6_1984=0.142; %let c7_1984=0.172; %let c8_1984=0.172;</v>
      </c>
    </row>
    <row r="350" spans="1:1" x14ac:dyDescent="0.3">
      <c r="A350" s="1011" t="str">
        <f>CONCATENATE("%let c1_",A205,"=",ROUND('C19-RetShares'!C96/3,3),"; %let c2_",A205,"=",ROUND('C19-RetShares'!C96*2/3,3),"; %let c3_",A205,"=",ROUND('C19-RetShares'!D96-'C19-RetShares'!E96,3),";  %let c4_",A205,"=",ROUND('C19-RetShares'!E96-'C19-RetShares'!F96,3),"; %let c5_",A205,"=",ROUND('C19-RetShares'!F96-'C19-RetShares'!G96,3),"; %let c6_",A205,"=",ROUND('C19-RetShares'!G96-'C19-RetShares'!H96,3),"; %let c7_",A205,"=",ROUND('C19-RetShares'!H96-'C19-RetShares'!I96,3),"; %let c8_",A205,"=",ROUND('C19-RetShares'!I96,3),";")</f>
        <v>%let c1_1985=0.054; %let c2_1985=0.108; %let c3_1985=0.075;  %let c4_1985=0.192; %let c5_1985=0.077; %let c6_1985=0.157; %let c7_1985=0.178; %let c8_1985=0.159;</v>
      </c>
    </row>
    <row r="351" spans="1:1" x14ac:dyDescent="0.3">
      <c r="A351" s="1011" t="str">
        <f>CONCATENATE("%let c1_",A206,"=",ROUND('C19-RetShares'!C97/3,3),"; %let c2_",A206,"=",ROUND('C19-RetShares'!C97*2/3,3),"; %let c3_",A206,"=",ROUND('C19-RetShares'!D97-'C19-RetShares'!E97,3),";  %let c4_",A206,"=",ROUND('C19-RetShares'!E97-'C19-RetShares'!F97,3),"; %let c5_",A206,"=",ROUND('C19-RetShares'!F97-'C19-RetShares'!G97,3),"; %let c6_",A206,"=",ROUND('C19-RetShares'!G97-'C19-RetShares'!H97,3),"; %let c7_",A206,"=",ROUND('C19-RetShares'!H97-'C19-RetShares'!I97,3),"; %let c8_",A206,"=",ROUND('C19-RetShares'!I97,3),";")</f>
        <v>%let c1_1986=0.058; %let c2_1986=0.117; %let c3_1986=0.069;  %let c4_1986=0.203; %let c5_1986=0.076; %let c6_1986=0.15; %let c7_1986=0.162; %let c8_1986=0.165;</v>
      </c>
    </row>
    <row r="352" spans="1:1" x14ac:dyDescent="0.3">
      <c r="A352" s="1011" t="str">
        <f>CONCATENATE("%let c1_",A207,"=",ROUND('C19-RetShares'!C98/3,3),"; %let c2_",A207,"=",ROUND('C19-RetShares'!C98*2/3,3),"; %let c3_",A207,"=",ROUND('C19-RetShares'!D98-'C19-RetShares'!E98,3),";  %let c4_",A207,"=",ROUND('C19-RetShares'!E98-'C19-RetShares'!F98,3),"; %let c5_",A207,"=",ROUND('C19-RetShares'!F98-'C19-RetShares'!G98,3),"; %let c6_",A207,"=",ROUND('C19-RetShares'!G98-'C19-RetShares'!H98,3),"; %let c7_",A207,"=",ROUND('C19-RetShares'!H98-'C19-RetShares'!I98,3),"; %let c8_",A207,"=",ROUND('C19-RetShares'!I98,3),";")</f>
        <v>%let c1_1987=0.066; %let c2_1987=0.131; %let c3_1987=0.081;  %let c4_1987=0.219; %let c5_1987=0.081; %let c6_1987=0.151; %let c7_1987=0.145; %let c8_1987=0.126;</v>
      </c>
    </row>
    <row r="353" spans="1:1" x14ac:dyDescent="0.3">
      <c r="A353" s="1011" t="str">
        <f>CONCATENATE("%let c1_",A208,"=",ROUND('C19-RetShares'!C99/3,3),"; %let c2_",A208,"=",ROUND('C19-RetShares'!C99*2/3,3),"; %let c3_",A208,"=",ROUND('C19-RetShares'!D99-'C19-RetShares'!E99,3),";  %let c4_",A208,"=",ROUND('C19-RetShares'!E99-'C19-RetShares'!F99,3),"; %let c5_",A208,"=",ROUND('C19-RetShares'!F99-'C19-RetShares'!G99,3),"; %let c6_",A208,"=",ROUND('C19-RetShares'!G99-'C19-RetShares'!H99,3),"; %let c7_",A208,"=",ROUND('C19-RetShares'!H99-'C19-RetShares'!I99,3),"; %let c8_",A208,"=",ROUND('C19-RetShares'!I99,3),";")</f>
        <v>%let c1_1988=0.053; %let c2_1988=0.107; %let c3_1988=0.061;  %let c4_1988=0.181; %let c5_1988=0.081; %let c6_1988=0.16; %let c7_1988=0.183; %let c8_1988=0.174;</v>
      </c>
    </row>
    <row r="354" spans="1:1" x14ac:dyDescent="0.3">
      <c r="A354" s="1011" t="str">
        <f>CONCATENATE("%let c1_",A209,"=",ROUND('C19-RetShares'!C100/3,3),"; %let c2_",A209,"=",ROUND('C19-RetShares'!C100*2/3,3),"; %let c3_",A209,"=",ROUND('C19-RetShares'!D100-'C19-RetShares'!E100,3),";  %let c4_",A209,"=",ROUND('C19-RetShares'!E100-'C19-RetShares'!F100,3),"; %let c5_",A209,"=",ROUND('C19-RetShares'!F100-'C19-RetShares'!G100,3),"; %let c6_",A209,"=",ROUND('C19-RetShares'!G100-'C19-RetShares'!H100,3),"; %let c7_",A209,"=",ROUND('C19-RetShares'!H100-'C19-RetShares'!I100,3),"; %let c8_",A209,"=",ROUND('C19-RetShares'!I100,3),";")</f>
        <v>%let c1_1989=0.063; %let c2_1989=0.125; %let c3_1989=0.073;  %let c4_1989=0.18; %let c5_1989=0.08; %let c6_1989=0.16; %let c7_1989=0.157; %let c8_1989=0.162;</v>
      </c>
    </row>
    <row r="355" spans="1:1" x14ac:dyDescent="0.3">
      <c r="A355" s="1011" t="str">
        <f>CONCATENATE("%let c1_",A210,"=",ROUND('C19-RetShares'!C101/3,3),"; %let c2_",A210,"=",ROUND('C19-RetShares'!C101*2/3,3),"; %let c3_",A210,"=",ROUND('C19-RetShares'!D101-'C19-RetShares'!E101,3),";  %let c4_",A210,"=",ROUND('C19-RetShares'!E101-'C19-RetShares'!F101,3),"; %let c5_",A210,"=",ROUND('C19-RetShares'!F101-'C19-RetShares'!G101,3),"; %let c6_",A210,"=",ROUND('C19-RetShares'!G101-'C19-RetShares'!H101,3),"; %let c7_",A210,"=",ROUND('C19-RetShares'!H101-'C19-RetShares'!I101,3),"; %let c8_",A210,"=",ROUND('C19-RetShares'!I101,3),";")</f>
        <v>%let c1_1990=0.062; %let c2_1990=0.125; %let c3_1990=0.071;  %let c4_1990=0.187; %let c5_1990=0.076; %let c6_1990=0.155; %let c7_1990=0.159; %let c8_1990=0.165;</v>
      </c>
    </row>
    <row r="356" spans="1:1" x14ac:dyDescent="0.3">
      <c r="A356" s="1011" t="str">
        <f>CONCATENATE("%let c1_",A211,"=",ROUND('C19-RetShares'!C102/3,3),"; %let c2_",A211,"=",ROUND('C19-RetShares'!C102*2/3,3),"; %let c3_",A211,"=",ROUND('C19-RetShares'!D102-'C19-RetShares'!E102,3),";  %let c4_",A211,"=",ROUND('C19-RetShares'!E102-'C19-RetShares'!F102,3),"; %let c5_",A211,"=",ROUND('C19-RetShares'!F102-'C19-RetShares'!G102,3),"; %let c6_",A211,"=",ROUND('C19-RetShares'!G102-'C19-RetShares'!H102,3),"; %let c7_",A211,"=",ROUND('C19-RetShares'!H102-'C19-RetShares'!I102,3),"; %let c8_",A211,"=",ROUND('C19-RetShares'!I102,3),";")</f>
        <v>%let c1_1991=0.065; %let c2_1991=0.131; %let c3_1991=0.077;  %let c4_1991=0.199; %let c5_1991=0.076; %let c6_1991=0.15; %let c7_1991=0.151; %let c8_1991=0.151;</v>
      </c>
    </row>
    <row r="357" spans="1:1" x14ac:dyDescent="0.3">
      <c r="A357" s="1011" t="str">
        <f>CONCATENATE("%let c1_",A212,"=",ROUND('C19-RetShares'!C103/3,3),"; %let c2_",A212,"=",ROUND('C19-RetShares'!C103*2/3,3),"; %let c3_",A212,"=",ROUND('C19-RetShares'!D103-'C19-RetShares'!E103,3),";  %let c4_",A212,"=",ROUND('C19-RetShares'!E103-'C19-RetShares'!F103,3),"; %let c5_",A212,"=",ROUND('C19-RetShares'!F103-'C19-RetShares'!G103,3),"; %let c6_",A212,"=",ROUND('C19-RetShares'!G103-'C19-RetShares'!H103,3),"; %let c7_",A212,"=",ROUND('C19-RetShares'!H103-'C19-RetShares'!I103,3),"; %let c8_",A212,"=",ROUND('C19-RetShares'!I103,3),";")</f>
        <v>%let c1_1992=0.061; %let c2_1992=0.123; %let c3_1992=0.073;  %let c4_1992=0.197; %let c5_1992=0.077; %let c6_1992=0.145; %let c7_1992=0.157; %let c8_1992=0.167;</v>
      </c>
    </row>
    <row r="358" spans="1:1" x14ac:dyDescent="0.3">
      <c r="A358" s="1011" t="str">
        <f>CONCATENATE("%let c1_",A213,"=",ROUND('C19-RetShares'!C104/3,3),"; %let c2_",A213,"=",ROUND('C19-RetShares'!C104*2/3,3),"; %let c3_",A213,"=",ROUND('C19-RetShares'!D104-'C19-RetShares'!E104,3),";  %let c4_",A213,"=",ROUND('C19-RetShares'!E104-'C19-RetShares'!F104,3),"; %let c5_",A213,"=",ROUND('C19-RetShares'!F104-'C19-RetShares'!G104,3),"; %let c6_",A213,"=",ROUND('C19-RetShares'!G104-'C19-RetShares'!H104,3),"; %let c7_",A213,"=",ROUND('C19-RetShares'!H104-'C19-RetShares'!I104,3),"; %let c8_",A213,"=",ROUND('C19-RetShares'!I104,3),";")</f>
        <v>%let c1_1993=0.063; %let c2_1993=0.127; %let c3_1993=0.078;  %let c4_1993=0.196; %let c5_1993=0.071; %let c6_1993=0.142; %let c7_1993=0.154; %let c8_1993=0.169;</v>
      </c>
    </row>
    <row r="359" spans="1:1" x14ac:dyDescent="0.3">
      <c r="A359" s="1011" t="str">
        <f>CONCATENATE("%let c1_",A214,"=",ROUND('C19-RetShares'!C105/3,3),"; %let c2_",A214,"=",ROUND('C19-RetShares'!C105*2/3,3),"; %let c3_",A214,"=",ROUND('C19-RetShares'!D105-'C19-RetShares'!E105,3),";  %let c4_",A214,"=",ROUND('C19-RetShares'!E105-'C19-RetShares'!F105,3),"; %let c5_",A214,"=",ROUND('C19-RetShares'!F105-'C19-RetShares'!G105,3),"; %let c6_",A214,"=",ROUND('C19-RetShares'!G105-'C19-RetShares'!H105,3),"; %let c7_",A214,"=",ROUND('C19-RetShares'!H105-'C19-RetShares'!I105,3),"; %let c8_",A214,"=",ROUND('C19-RetShares'!I105,3),";")</f>
        <v>%let c1_1994=0.058; %let c2_1994=0.115; %let c3_1994=0.069;  %let c4_1994=0.192; %let c5_1994=0.075; %let c6_1994=0.144; %let c7_1994=0.163; %let c8_1994=0.184;</v>
      </c>
    </row>
    <row r="360" spans="1:1" x14ac:dyDescent="0.3">
      <c r="A360" s="1011" t="str">
        <f>CONCATENATE("%let c1_",A215,"=",ROUND('C19-RetShares'!C106/3,3),"; %let c2_",A215,"=",ROUND('C19-RetShares'!C106*2/3,3),"; %let c3_",A215,"=",ROUND('C19-RetShares'!D106-'C19-RetShares'!E106,3),";  %let c4_",A215,"=",ROUND('C19-RetShares'!E106-'C19-RetShares'!F106,3),"; %let c5_",A215,"=",ROUND('C19-RetShares'!F106-'C19-RetShares'!G106,3),"; %let c6_",A215,"=",ROUND('C19-RetShares'!G106-'C19-RetShares'!H106,3),"; %let c7_",A215,"=",ROUND('C19-RetShares'!H106-'C19-RetShares'!I106,3),"; %let c8_",A215,"=",ROUND('C19-RetShares'!I106,3),";")</f>
        <v>%let c1_1995=0.057; %let c2_1995=0.115; %let c3_1995=0.072;  %let c4_1995=0.191; %let c5_1995=0.069; %let c6_1995=0.15; %let c7_1995=0.167; %let c8_1995=0.178;</v>
      </c>
    </row>
    <row r="361" spans="1:1" x14ac:dyDescent="0.3">
      <c r="A361" s="1011" t="str">
        <f>CONCATENATE("%let c1_",A216,"=",ROUND('C19-RetShares'!C107/3,3),"; %let c2_",A216,"=",ROUND('C19-RetShares'!C107*2/3,3),"; %let c3_",A216,"=",ROUND('C19-RetShares'!D107-'C19-RetShares'!E107,3),";  %let c4_",A216,"=",ROUND('C19-RetShares'!E107-'C19-RetShares'!F107,3),"; %let c5_",A216,"=",ROUND('C19-RetShares'!F107-'C19-RetShares'!G107,3),"; %let c6_",A216,"=",ROUND('C19-RetShares'!G107-'C19-RetShares'!H107,3),"; %let c7_",A216,"=",ROUND('C19-RetShares'!H107-'C19-RetShares'!I107,3),"; %let c8_",A216,"=",ROUND('C19-RetShares'!I107,3),";")</f>
        <v>%let c1_1996=0.054; %let c2_1996=0.108; %let c3_1996=0.071;  %let c4_1996=0.181; %let c5_1996=0.074; %let c6_1996=0.146; %let c7_1996=0.171; %let c8_1996=0.195;</v>
      </c>
    </row>
    <row r="362" spans="1:1" x14ac:dyDescent="0.3">
      <c r="A362" s="1011" t="str">
        <f>CONCATENATE("%let c1_",A217,"=",ROUND('C19-RetShares'!C108/3,3),"; %let c2_",A217,"=",ROUND('C19-RetShares'!C108*2/3,3),"; %let c3_",A217,"=",ROUND('C19-RetShares'!D108-'C19-RetShares'!E108,3),";  %let c4_",A217,"=",ROUND('C19-RetShares'!E108-'C19-RetShares'!F108,3),"; %let c5_",A217,"=",ROUND('C19-RetShares'!F108-'C19-RetShares'!G108,3),"; %let c6_",A217,"=",ROUND('C19-RetShares'!G108-'C19-RetShares'!H108,3),"; %let c7_",A217,"=",ROUND('C19-RetShares'!H108-'C19-RetShares'!I108,3),"; %let c8_",A217,"=",ROUND('C19-RetShares'!I108,3),";")</f>
        <v>%let c1_1997=0.058; %let c2_1997=0.115; %let c3_1997=0.07;  %let c4_1997=0.18; %let c5_1997=0.071; %let c6_1997=0.15; %let c7_1997=0.169; %let c8_1997=0.187;</v>
      </c>
    </row>
    <row r="363" spans="1:1" x14ac:dyDescent="0.3">
      <c r="A363" s="1011" t="str">
        <f>CONCATENATE("%let c1_",A218,"=",ROUND('C19-RetShares'!C109/3,3),"; %let c2_",A218,"=",ROUND('C19-RetShares'!C109*2/3,3),"; %let c3_",A218,"=",ROUND('C19-RetShares'!D109-'C19-RetShares'!E109,3),";  %let c4_",A218,"=",ROUND('C19-RetShares'!E109-'C19-RetShares'!F109,3),"; %let c5_",A218,"=",ROUND('C19-RetShares'!F109-'C19-RetShares'!G109,3),"; %let c6_",A218,"=",ROUND('C19-RetShares'!G109-'C19-RetShares'!H109,3),"; %let c7_",A218,"=",ROUND('C19-RetShares'!H109-'C19-RetShares'!I109,3),"; %let c8_",A218,"=",ROUND('C19-RetShares'!I109,3),";")</f>
        <v>%let c1_1998=0.056; %let c2_1998=0.112; %let c3_1998=0.072;  %let c4_1998=0.173; %let c5_1998=0.068; %let c6_1998=0.147; %let c7_1998=0.181; %let c8_1998=0.192;</v>
      </c>
    </row>
    <row r="364" spans="1:1" x14ac:dyDescent="0.3">
      <c r="A364" s="1011" t="str">
        <f>CONCATENATE("%let c1_",A219,"=",ROUND('C19-RetShares'!C110/3,3),"; %let c2_",A219,"=",ROUND('C19-RetShares'!C110*2/3,3),"; %let c3_",A219,"=",ROUND('C19-RetShares'!D110-'C19-RetShares'!E110,3),";  %let c4_",A219,"=",ROUND('C19-RetShares'!E110-'C19-RetShares'!F110,3),"; %let c5_",A219,"=",ROUND('C19-RetShares'!F110-'C19-RetShares'!G110,3),"; %let c6_",A219,"=",ROUND('C19-RetShares'!G110-'C19-RetShares'!H110,3),"; %let c7_",A219,"=",ROUND('C19-RetShares'!H110-'C19-RetShares'!I110,3),"; %let c8_",A219,"=",ROUND('C19-RetShares'!I110,3),";")</f>
        <v>%let c1_1999=0.057; %let c2_1999=0.115; %let c3_1999=0.068;  %let c4_1999=0.181; %let c5_1999=0.071; %let c6_1999=0.147; %let c7_1999=0.175; %let c8_1999=0.185;</v>
      </c>
    </row>
    <row r="365" spans="1:1" x14ac:dyDescent="0.3">
      <c r="A365" s="1011" t="str">
        <f>CONCATENATE("%let c1_",A220,"=",ROUND('C19-RetShares'!C111/3,3),"; %let c2_",A220,"=",ROUND('C19-RetShares'!C111*2/3,3),"; %let c3_",A220,"=",ROUND('C19-RetShares'!D111-'C19-RetShares'!E111,3),";  %let c4_",A220,"=",ROUND('C19-RetShares'!E111-'C19-RetShares'!F111,3),"; %let c5_",A220,"=",ROUND('C19-RetShares'!F111-'C19-RetShares'!G111,3),"; %let c6_",A220,"=",ROUND('C19-RetShares'!G111-'C19-RetShares'!H111,3),"; %let c7_",A220,"=",ROUND('C19-RetShares'!H111-'C19-RetShares'!I111,3),"; %let c8_",A220,"=",ROUND('C19-RetShares'!I111,3),";")</f>
        <v>%let c1_2000=0.056; %let c2_2000=0.113; %let c3_2000=0.066;  %let c4_2000=0.168; %let c5_2000=0.072; %let c6_2000=0.145; %let c7_2000=0.18; %let c8_2000=0.2;</v>
      </c>
    </row>
    <row r="366" spans="1:1" x14ac:dyDescent="0.3">
      <c r="A366" s="1011" t="str">
        <f>CONCATENATE("%let c1_",A221,"=",ROUND('C19-RetShares'!C112/3,3),"; %let c2_",A221,"=",ROUND('C19-RetShares'!C112*2/3,3),"; %let c3_",A221,"=",ROUND('C19-RetShares'!D112-'C19-RetShares'!E112,3),";  %let c4_",A221,"=",ROUND('C19-RetShares'!E112-'C19-RetShares'!F112,3),"; %let c5_",A221,"=",ROUND('C19-RetShares'!F112-'C19-RetShares'!G112,3),"; %let c6_",A221,"=",ROUND('C19-RetShares'!G112-'C19-RetShares'!H112,3),"; %let c7_",A221,"=",ROUND('C19-RetShares'!H112-'C19-RetShares'!I112,3),"; %let c8_",A221,"=",ROUND('C19-RetShares'!I112,3),";")</f>
        <v>%let c1_2001=0.049; %let c2_2001=0.098; %let c3_2001=0.059;  %let c4_2001=0.169; %let c5_2001=0.066; %let c6_2001=0.149; %let c7_2001=0.18; %let c8_2001=0.23;</v>
      </c>
    </row>
    <row r="367" spans="1:1" x14ac:dyDescent="0.3">
      <c r="A367" s="1011" t="str">
        <f>CONCATENATE("%let c1_",A222,"=",ROUND('C19-RetShares'!C113/3,3),"; %let c2_",A222,"=",ROUND('C19-RetShares'!C113*2/3,3),"; %let c3_",A222,"=",ROUND('C19-RetShares'!D113-'C19-RetShares'!E113,3),";  %let c4_",A222,"=",ROUND('C19-RetShares'!E113-'C19-RetShares'!F113,3),"; %let c5_",A222,"=",ROUND('C19-RetShares'!F113-'C19-RetShares'!G113,3),"; %let c6_",A222,"=",ROUND('C19-RetShares'!G113-'C19-RetShares'!H113,3),"; %let c7_",A222,"=",ROUND('C19-RetShares'!H113-'C19-RetShares'!I113,3),"; %let c8_",A222,"=",ROUND('C19-RetShares'!I113,3),";")</f>
        <v>%let c1_2002=0.041; %let c2_2002=0.083; %let c3_2002=0.06;  %let c4_2002=0.176; %let c5_2002=0.072; %let c6_2002=0.159; %let c7_2002=0.178; %let c8_2002=0.231;</v>
      </c>
    </row>
    <row r="368" spans="1:1" x14ac:dyDescent="0.3">
      <c r="A368" s="1011" t="str">
        <f>CONCATENATE("%let c1_",A223,"=",ROUND('C19-RetShares'!C114/3,3),"; %let c2_",A223,"=",ROUND('C19-RetShares'!C114*2/3,3),"; %let c3_",A223,"=",ROUND('C19-RetShares'!D114-'C19-RetShares'!E114,3),";  %let c4_",A223,"=",ROUND('C19-RetShares'!E114-'C19-RetShares'!F114,3),"; %let c5_",A223,"=",ROUND('C19-RetShares'!F114-'C19-RetShares'!G114,3),"; %let c6_",A223,"=",ROUND('C19-RetShares'!G114-'C19-RetShares'!H114,3),"; %let c7_",A223,"=",ROUND('C19-RetShares'!H114-'C19-RetShares'!I114,3),"; %let c8_",A223,"=",ROUND('C19-RetShares'!I114,3),";")</f>
        <v>%let c1_2003=0.04; %let c2_2003=0.079; %let c3_2003=0.056;  %let c4_2003=0.177; %let c5_2003=0.074; %let c6_2003=0.157; %let c7_2003=0.18; %let c8_2003=0.236;</v>
      </c>
    </row>
    <row r="369" spans="1:16" x14ac:dyDescent="0.3">
      <c r="A369" s="1011" t="str">
        <f>CONCATENATE("%let c1_",A224,"=",ROUND('C19-RetShares'!C115/3,3),"; %let c2_",A224,"=",ROUND('C19-RetShares'!C115*2/3,3),"; %let c3_",A224,"=",ROUND('C19-RetShares'!D115-'C19-RetShares'!E115,3),";  %let c4_",A224,"=",ROUND('C19-RetShares'!E115-'C19-RetShares'!F115,3),"; %let c5_",A224,"=",ROUND('C19-RetShares'!F115-'C19-RetShares'!G115,3),"; %let c6_",A224,"=",ROUND('C19-RetShares'!G115-'C19-RetShares'!H115,3),"; %let c7_",A224,"=",ROUND('C19-RetShares'!H115-'C19-RetShares'!I115,3),"; %let c8_",A224,"=",ROUND('C19-RetShares'!I115,3),";")</f>
        <v>%let c1_2004=0.041; %let c2_2004=0.081; %let c3_2004=0.056;  %let c4_2004=0.175; %let c5_2004=0.072; %let c6_2004=0.156; %let c7_2004=0.188; %let c8_2004=0.231;</v>
      </c>
    </row>
    <row r="370" spans="1:16" x14ac:dyDescent="0.3">
      <c r="A370" s="1011" t="str">
        <f>CONCATENATE("%let c1_",A225,"=",ROUND('C19-RetShares'!C116/3,3),"; %let c2_",A225,"=",ROUND('C19-RetShares'!C116*2/3,3),"; %let c3_",A225,"=",ROUND('C19-RetShares'!D116-'C19-RetShares'!E116,3),";  %let c4_",A225,"=",ROUND('C19-RetShares'!E116-'C19-RetShares'!F116,3),"; %let c5_",A225,"=",ROUND('C19-RetShares'!F116-'C19-RetShares'!G116,3),"; %let c6_",A225,"=",ROUND('C19-RetShares'!G116-'C19-RetShares'!H116,3),"; %let c7_",A225,"=",ROUND('C19-RetShares'!H116-'C19-RetShares'!I116,3),"; %let c8_",A225,"=",ROUND('C19-RetShares'!I116,3),";")</f>
        <v>%let c1_2005=0.042; %let c2_2005=0.083; %let c3_2005=0.059;  %let c4_2005=0.172; %let c5_2005=0.072; %let c6_2005=0.157; %let c7_2005=0.192; %let c8_2005=0.223;</v>
      </c>
    </row>
    <row r="371" spans="1:16" x14ac:dyDescent="0.3">
      <c r="A371" s="1011" t="str">
        <f>CONCATENATE("%let c1_",A226,"=",ROUND('C19-RetShares'!C117/3,3),"; %let c2_",A226,"=",ROUND('C19-RetShares'!C117*2/3,3),"; %let c3_",A226,"=",ROUND('C19-RetShares'!D117-'C19-RetShares'!E117,3),";  %let c4_",A226,"=",ROUND('C19-RetShares'!E117-'C19-RetShares'!F117,3),"; %let c5_",A226,"=",ROUND('C19-RetShares'!F117-'C19-RetShares'!G117,3),"; %let c6_",A226,"=",ROUND('C19-RetShares'!G117-'C19-RetShares'!H117,3),"; %let c7_",A226,"=",ROUND('C19-RetShares'!H117-'C19-RetShares'!I117,3),"; %let c8_",A226,"=",ROUND('C19-RetShares'!I117,3),";")</f>
        <v>%let c1_2006=0.042; %let c2_2006=0.084; %let c3_2006=0.059;  %let c4_2006=0.165; %let c5_2006=0.075; %let c6_2006=0.156; %let c7_2006=0.194; %let c8_2006=0.226;</v>
      </c>
    </row>
    <row r="372" spans="1:16" x14ac:dyDescent="0.3">
      <c r="A372" s="1011" t="str">
        <f>CONCATENATE("%let c1_",A227,"=",ROUND('C19-RetShares'!C118/3,3),"; %let c2_",A227,"=",ROUND('C19-RetShares'!C118*2/3,3),"; %let c3_",A227,"=",ROUND('C19-RetShares'!D118-'C19-RetShares'!E118,3),";  %let c4_",A227,"=",ROUND('C19-RetShares'!E118-'C19-RetShares'!F118,3),"; %let c5_",A227,"=",ROUND('C19-RetShares'!F118-'C19-RetShares'!G118,3),"; %let c6_",A227,"=",ROUND('C19-RetShares'!G118-'C19-RetShares'!H118,3),"; %let c7_",A227,"=",ROUND('C19-RetShares'!H118-'C19-RetShares'!I118,3),"; %let c8_",A227,"=",ROUND('C19-RetShares'!I118,3),";")</f>
        <v>%let c1_2007=0.044; %let c2_2007=0.089; %let c3_2007=0.057;  %let c4_2007=0.16; %let c5_2007=0.071; %let c6_2007=0.153; %let c7_2007=0.189; %let c8_2007=0.237;</v>
      </c>
    </row>
    <row r="373" spans="1:16" x14ac:dyDescent="0.3">
      <c r="A373" s="1011" t="str">
        <f>CONCATENATE("%let c1_",A228,"=",ROUND('C19-RetShares'!C119/3,3),"; %let c2_",A228,"=",ROUND('C19-RetShares'!C119*2/3,3),"; %let c3_",A228,"=",ROUND('C19-RetShares'!D119-'C19-RetShares'!E119,3),";  %let c4_",A228,"=",ROUND('C19-RetShares'!E119-'C19-RetShares'!F119,3),"; %let c5_",A228,"=",ROUND('C19-RetShares'!F119-'C19-RetShares'!G119,3),"; %let c6_",A228,"=",ROUND('C19-RetShares'!G119-'C19-RetShares'!H119,3),"; %let c7_",A228,"=",ROUND('C19-RetShares'!H119-'C19-RetShares'!I119,3),"; %let c8_",A228,"=",ROUND('C19-RetShares'!I119,3),";")</f>
        <v>%let c1_2008=0.037; %let c2_2008=0.075; %let c3_2008=0.05;  %let c4_2008=0.149; %let c5_2008=0.07; %let c6_2008=0.153; %let c7_2008=0.197; %let c8_2008=0.268;</v>
      </c>
    </row>
    <row r="374" spans="1:16" x14ac:dyDescent="0.3">
      <c r="A374" s="1011" t="str">
        <f>CONCATENATE("%let c1_",A229,"=",ROUND('C19-RetShares'!C120/3,3),"; %let c2_",A229,"=",ROUND('C19-RetShares'!C120*2/3,3),"; %let c3_",A229,"=",ROUND('C19-RetShares'!D120-'C19-RetShares'!E120,3),";  %let c4_",A229,"=",ROUND('C19-RetShares'!E120-'C19-RetShares'!F120,3),"; %let c5_",A229,"=",ROUND('C19-RetShares'!F120-'C19-RetShares'!G120,3),"; %let c6_",A229,"=",ROUND('C19-RetShares'!G120-'C19-RetShares'!H120,3),"; %let c7_",A229,"=",ROUND('C19-RetShares'!H120-'C19-RetShares'!I120,3),"; %let c8_",A229,"=",ROUND('C19-RetShares'!I120,3),";")</f>
        <v>%let c1_2009=0.034; %let c2_2009=0.069; %let c3_2009=0.055;  %let c4_2009=0.156; %let c5_2009=0.07; %let c6_2009=0.153; %let c7_2009=0.18; %let c8_2009=0.283;</v>
      </c>
    </row>
    <row r="375" spans="1:16" x14ac:dyDescent="0.3">
      <c r="A375" s="1011" t="str">
        <f>CONCATENATE("%let c1_",A230,"=",ROUND('C19-RetShares'!C121/3,3),"; %let c2_",A230,"=",ROUND('C19-RetShares'!C121*2/3,3),"; %let c3_",A230,"=",ROUND('C19-RetShares'!D121-'C19-RetShares'!E121,3),";  %let c4_",A230,"=",ROUND('C19-RetShares'!E121-'C19-RetShares'!F121,3),"; %let c5_",A230,"=",ROUND('C19-RetShares'!F121-'C19-RetShares'!G121,3),"; %let c6_",A230,"=",ROUND('C19-RetShares'!G121-'C19-RetShares'!H121,3),"; %let c7_",A230,"=",ROUND('C19-RetShares'!H121-'C19-RetShares'!I121,3),"; %let c8_",A230,"=",ROUND('C19-RetShares'!I121,3),";")</f>
        <v>%let c1_2010=0.031; %let c2_2010=0.063; %let c3_2010=0.049;  %let c4_2010=0.141; %let c5_2010=0.063; %let c6_2010=0.143; %let c7_2010=0.188; %let c8_2010=0.321;</v>
      </c>
    </row>
    <row r="376" spans="1:16" x14ac:dyDescent="0.3">
      <c r="A376" s="1011" t="str">
        <f>CONCATENATE("%let c1_",A231,"=",ROUND('C19-RetShares'!C122/3,3),"; %let c2_",A231,"=",ROUND('C19-RetShares'!C122*2/3,3),"; %let c3_",A231,"=",ROUND('C19-RetShares'!D122-'C19-RetShares'!E122,3),";  %let c4_",A231,"=",ROUND('C19-RetShares'!E122-'C19-RetShares'!F122,3),"; %let c5_",A231,"=",ROUND('C19-RetShares'!F122-'C19-RetShares'!G122,3),"; %let c6_",A231,"=",ROUND('C19-RetShares'!G122-'C19-RetShares'!H122,3),"; %let c7_",A231,"=",ROUND('C19-RetShares'!H122-'C19-RetShares'!I122,3),"; %let c8_",A231,"=",ROUND('C19-RetShares'!I122,3),";")</f>
        <v>%let c1_2011=0.038; %let c2_2011=0.076; %let c3_2011=0.051;  %let c4_2011=0.148; %let c5_2011=0.064; %let c6_2011=0.146; %let c7_2011=0.193; %let c8_2011=0.285;</v>
      </c>
    </row>
    <row r="377" spans="1:16" x14ac:dyDescent="0.3">
      <c r="A377" s="1011" t="str">
        <f>CONCATENATE("%let c1_",A232,"=",ROUND('C19-RetShares'!C123/3,3),"; %let c2_",A232,"=",ROUND('C19-RetShares'!C123*2/3,3),"; %let c3_",A232,"=",ROUND('C19-RetShares'!D123-'C19-RetShares'!E123,3),";  %let c4_",A232,"=",ROUND('C19-RetShares'!E123-'C19-RetShares'!F123,3),"; %let c5_",A232,"=",ROUND('C19-RetShares'!F123-'C19-RetShares'!G123,3),"; %let c6_",A232,"=",ROUND('C19-RetShares'!G123-'C19-RetShares'!H123,3),"; %let c7_",A232,"=",ROUND('C19-RetShares'!H123-'C19-RetShares'!I123,3),"; %let c8_",A232,"=",ROUND('C19-RetShares'!I123,3),";")</f>
        <v>%let c1_2012=0.033; %let c2_2012=0.065; %let c3_2012=0.048;  %let c4_2012=0.138; %let c5_2012=0.064; %let c6_2012=0.154; %let c7_2012=0.204; %let c8_2012=0.294;</v>
      </c>
    </row>
    <row r="378" spans="1:16" x14ac:dyDescent="0.3">
      <c r="A378" s="1011" t="str">
        <f>CONCATENATE("%let c1_",A233,"=",ROUND('C19-RetShares'!C124/3,3),"; %let c2_",A233,"=",ROUND('C19-RetShares'!C124*2/3,3),"; %let c3_",A233,"=",ROUND('C19-RetShares'!D124-'C19-RetShares'!E124,3),";  %let c4_",A233,"=",ROUND('C19-RetShares'!E124-'C19-RetShares'!F124,3),"; %let c5_",A233,"=",ROUND('C19-RetShares'!F124-'C19-RetShares'!G124,3),"; %let c6_",A233,"=",ROUND('C19-RetShares'!G124-'C19-RetShares'!H124,3),"; %let c7_",A233,"=",ROUND('C19-RetShares'!H124-'C19-RetShares'!I124,3),"; %let c8_",A233,"=",ROUND('C19-RetShares'!I124,3),";")</f>
        <v>%let c1_2013=0.041; %let c2_2013=0.083; %let c3_2013=0.064;  %let c4_2013=0.173; %let c5_2013=0.07; %let c6_2013=0.143; %let c7_2013=0.177; %let c8_2013=0.249;</v>
      </c>
    </row>
    <row r="379" spans="1:16" x14ac:dyDescent="0.3">
      <c r="A379" s="1011" t="str">
        <f>CONCATENATE("%let c1_",A234,"=",ROUND('C19-RetShares'!C125/3,3),"; %let c2_",A234,"=",ROUND('C19-RetShares'!C125*2/3,3),"; %let c3_",A234,"=",ROUND('C19-RetShares'!D125-'C19-RetShares'!E125,3),";  %let c4_",A234,"=",ROUND('C19-RetShares'!E125-'C19-RetShares'!F125,3),"; %let c5_",A234,"=",ROUND('C19-RetShares'!F125-'C19-RetShares'!G125,3),"; %let c6_",A234,"=",ROUND('C19-RetShares'!G125-'C19-RetShares'!H125,3),"; %let c7_",A234,"=",ROUND('C19-RetShares'!H125-'C19-RetShares'!I125,3),"; %let c8_",A234,"=",ROUND('C19-RetShares'!I125,3),";")</f>
        <v>%let c1_2014=0.041; %let c2_2014=0.083; %let c3_2014=0.062;  %let c4_2014=0.17; %let c5_2014=0.067; %let c6_2014=0.146; %let c7_2014=0.181; %let c8_2014=0.25;</v>
      </c>
    </row>
    <row r="380" spans="1:16" x14ac:dyDescent="0.3">
      <c r="A380" s="1011" t="str">
        <f>CONCATENATE("%let c1_",A235,"=",ROUND('C19-RetShares'!C126/3,3),"; %let c2_",A235,"=",ROUND('C19-RetShares'!C126*2/3,3),"; %let c3_",A235,"=",ROUND('C19-RetShares'!D126-'C19-RetShares'!E126,3),";  %let c4_",A235,"=",ROUND('C19-RetShares'!E126-'C19-RetShares'!F126,3),"; %let c5_",A235,"=",ROUND('C19-RetShares'!F126-'C19-RetShares'!G126,3),"; %let c6_",A235,"=",ROUND('C19-RetShares'!G126-'C19-RetShares'!H126,3),"; %let c7_",A235,"=",ROUND('C19-RetShares'!H126-'C19-RetShares'!I126,3),"; %let c8_",A235,"=",ROUND('C19-RetShares'!I126,3),";")</f>
        <v>%let c1_2015=0; %let c2_2015=0; %let c3_2015=0;  %let c4_2015=0; %let c5_2015=0; %let c6_2015=0; %let c7_2015=0; %let c8_2015=0;</v>
      </c>
    </row>
    <row r="382" spans="1:16" x14ac:dyDescent="0.3">
      <c r="P382" s="1011" t="str">
        <f>CONCATENATE("%let mcnf",$A180,"=",ROUND('C17-Over64'!B5,4),"; %let ss_nf_",$A180,"=",ROUND('C17-Over64'!Q5,4),"; %let ss_1_",$A180,"=",ROUND('C17-Over64'!R5,4),"; %let ss_2_",$A180,"=",ROUND('C17-Over64'!S5,4),"; %let ss_3_",$A180,"=",ROUND('C17-Over64'!T5,4),"; %let ss_4_",$A180,"=",ROUND('C17-Over64'!U5,4),"; %let ss_5_",$A180,"=",ROUND('C17-Over64'!V5,4),"; %let ss_6_",$A180,"=",ROUND('C17-Over64'!W5,4),"; %let ss_7_",$A180,"=",ROUND('C17-Over64'!X5,4),"; %let ss_8_",$A180,"=",ROUND('C17-Over64'!Y5,4),"; %let ss_9_",$A180,"=",ROUND('C17-Over64'!Z5,4),"; %let ss_10_",$A180,"=",ROUND('C17-Over64'!AA5,4),"; %let ss_11_",$A180,"=",ROUND('C17-Over64'!AB5,4),"; %let ss_12_",$A180,"=",ROUND('C17-Over64'!AC5,4),";")</f>
        <v>%let mcnf1960=0.4968; %let ss_nf_1960=0.5331; %let ss_1_1960=0.152; %let ss_2_1960=0.1273; %let ss_3_1960=0.0415; %let ss_4_1960=0.0335; %let ss_5_1960=0.0507; %let ss_6_1960=0.0225; %let ss_7_1960=0.0123; %let ss_8_1960=0.0185; %let ss_9_1960=0.0036; %let ss_10_1960=0.0037; %let ss_11_1960=0.0011; %let ss_12_1960=0.0002;</v>
      </c>
    </row>
    <row r="383" spans="1:16" x14ac:dyDescent="0.3">
      <c r="A383" s="1374" t="s">
        <v>1774</v>
      </c>
      <c r="B383" s="1374"/>
      <c r="C383" s="1374"/>
      <c r="D383" s="1374"/>
      <c r="E383" s="1374"/>
      <c r="F383" s="1374"/>
      <c r="G383" s="1374"/>
      <c r="H383" s="1374"/>
      <c r="I383" s="1011"/>
      <c r="J383" s="1011"/>
    </row>
    <row r="384" spans="1:16" x14ac:dyDescent="0.3">
      <c r="A384" s="1408" t="s">
        <v>792</v>
      </c>
      <c r="B384" s="1408" t="s">
        <v>793</v>
      </c>
      <c r="C384" s="1408" t="s">
        <v>794</v>
      </c>
      <c r="D384" s="1123"/>
      <c r="E384" s="1408" t="s">
        <v>374</v>
      </c>
      <c r="F384" s="1408" t="s">
        <v>1775</v>
      </c>
      <c r="G384" s="1408" t="s">
        <v>1776</v>
      </c>
      <c r="H384" s="1408" t="s">
        <v>1777</v>
      </c>
      <c r="I384" s="1011"/>
      <c r="J384" s="1011"/>
    </row>
    <row r="385" spans="1:10" x14ac:dyDescent="0.3">
      <c r="A385" s="1408"/>
      <c r="B385" s="1408"/>
      <c r="C385" s="1408"/>
      <c r="D385" s="1123"/>
      <c r="E385" s="1408"/>
      <c r="F385" s="1408"/>
      <c r="G385" s="1408"/>
      <c r="H385" s="1408"/>
      <c r="I385" s="1011"/>
      <c r="J385" s="1011"/>
    </row>
    <row r="386" spans="1:10" x14ac:dyDescent="0.3">
      <c r="A386" s="1408"/>
      <c r="B386" s="1408"/>
      <c r="C386" s="1408"/>
      <c r="D386" s="1123"/>
      <c r="E386" s="1408"/>
      <c r="F386" s="1408"/>
      <c r="G386" s="1408"/>
      <c r="H386" s="1408"/>
      <c r="I386" s="1011"/>
      <c r="J386" s="1011"/>
    </row>
    <row r="387" spans="1:10" ht="52.8" x14ac:dyDescent="0.3">
      <c r="A387" s="1125" t="s">
        <v>796</v>
      </c>
      <c r="B387" s="1125" t="s">
        <v>795</v>
      </c>
      <c r="C387" s="1125" t="s">
        <v>797</v>
      </c>
      <c r="D387" s="1125"/>
      <c r="E387" s="1125" t="s">
        <v>798</v>
      </c>
      <c r="F387" s="1125" t="s">
        <v>1778</v>
      </c>
      <c r="G387" s="1125" t="s">
        <v>1779</v>
      </c>
      <c r="H387" s="1125" t="s">
        <v>457</v>
      </c>
      <c r="I387" s="1011"/>
      <c r="J387" s="1011"/>
    </row>
    <row r="388" spans="1:10" x14ac:dyDescent="0.3">
      <c r="A388" s="270">
        <v>11130</v>
      </c>
      <c r="B388" s="601">
        <v>949</v>
      </c>
      <c r="C388" s="601">
        <v>3079</v>
      </c>
      <c r="D388" s="1142"/>
      <c r="E388" s="280">
        <v>0</v>
      </c>
      <c r="F388" s="277">
        <v>0</v>
      </c>
      <c r="G388" s="277">
        <v>0</v>
      </c>
      <c r="H388" s="1011"/>
      <c r="I388" s="1011" t="str">
        <f>CONCATENATE("%let mcpr",A180,"=",ROUND(F388,0),"; %let mcprd",A180,"=",ROUND(G388,0),";")</f>
        <v>%let mcpr1960=0; %let mcprd1960=0;</v>
      </c>
      <c r="J388" s="1011"/>
    </row>
    <row r="389" spans="1:10" x14ac:dyDescent="0.3">
      <c r="A389" s="270">
        <v>12614</v>
      </c>
      <c r="B389" s="601">
        <v>994</v>
      </c>
      <c r="C389" s="601">
        <v>4401</v>
      </c>
      <c r="D389" s="1142"/>
      <c r="E389" s="280">
        <v>0</v>
      </c>
      <c r="F389" s="277">
        <v>0</v>
      </c>
      <c r="G389" s="277">
        <v>0</v>
      </c>
      <c r="H389" s="1011"/>
      <c r="I389" s="1011" t="str">
        <f t="shared" ref="I389:I445" si="1">CONCATENATE("%let mcpr",A181,"=",ROUND(F389,0),"; %let mcprd",A181,"=",ROUND(G389,0),";")</f>
        <v>%let mcpr1961=0; %let mcprd1961=0;</v>
      </c>
      <c r="J389" s="1011"/>
    </row>
    <row r="390" spans="1:10" x14ac:dyDescent="0.3">
      <c r="A390" s="270">
        <v>14298</v>
      </c>
      <c r="B390" s="601">
        <v>1040</v>
      </c>
      <c r="C390" s="601">
        <v>3182</v>
      </c>
      <c r="D390" s="1142"/>
      <c r="E390" s="280">
        <v>0</v>
      </c>
      <c r="F390" s="277">
        <v>0</v>
      </c>
      <c r="G390" s="277">
        <v>0</v>
      </c>
      <c r="H390" s="1011"/>
      <c r="I390" s="1011" t="str">
        <f t="shared" si="1"/>
        <v>%let mcpr1962=0; %let mcprd1962=0;</v>
      </c>
      <c r="J390" s="1011"/>
    </row>
    <row r="391" spans="1:10" x14ac:dyDescent="0.3">
      <c r="A391" s="270">
        <v>15245</v>
      </c>
      <c r="B391" s="601">
        <v>1070</v>
      </c>
      <c r="C391" s="601">
        <v>3061</v>
      </c>
      <c r="D391" s="1142"/>
      <c r="E391" s="280">
        <v>0</v>
      </c>
      <c r="F391" s="277">
        <v>0</v>
      </c>
      <c r="G391" s="277">
        <v>0</v>
      </c>
      <c r="H391" s="1011"/>
      <c r="I391" s="1011" t="str">
        <f t="shared" si="1"/>
        <v>%let mcpr1963=0; %let mcprd1963=0;</v>
      </c>
      <c r="J391" s="1011"/>
    </row>
    <row r="392" spans="1:10" x14ac:dyDescent="0.3">
      <c r="A392" s="270">
        <v>16018</v>
      </c>
      <c r="B392" s="601">
        <v>1097</v>
      </c>
      <c r="C392" s="601">
        <v>2776</v>
      </c>
      <c r="D392" s="1142"/>
      <c r="E392" s="280">
        <v>0</v>
      </c>
      <c r="F392" s="277">
        <v>0</v>
      </c>
      <c r="G392" s="277">
        <v>0</v>
      </c>
      <c r="H392" s="1011"/>
      <c r="I392" s="1011" t="str">
        <f t="shared" si="1"/>
        <v>%let mcpr1964=0; %let mcprd1964=0;</v>
      </c>
      <c r="J392" s="1011"/>
    </row>
    <row r="393" spans="1:10" x14ac:dyDescent="0.3">
      <c r="A393" s="270">
        <v>18067</v>
      </c>
      <c r="B393" s="601">
        <v>1140</v>
      </c>
      <c r="C393" s="601">
        <v>2365</v>
      </c>
      <c r="D393" s="1142"/>
      <c r="E393" s="280">
        <v>0</v>
      </c>
      <c r="F393" s="277">
        <v>0</v>
      </c>
      <c r="G393" s="277">
        <v>0</v>
      </c>
      <c r="H393" s="1011"/>
      <c r="I393" s="1011" t="str">
        <f t="shared" si="1"/>
        <v>%let mcpr1965=0; %let mcprd1965=0;</v>
      </c>
      <c r="J393" s="1011"/>
    </row>
    <row r="394" spans="1:10" x14ac:dyDescent="0.3">
      <c r="A394" s="270">
        <v>19786</v>
      </c>
      <c r="B394" s="601">
        <v>1202</v>
      </c>
      <c r="C394" s="601">
        <v>1913</v>
      </c>
      <c r="D394" s="1142"/>
      <c r="E394" s="272">
        <v>1008</v>
      </c>
      <c r="F394" s="1143">
        <v>322</v>
      </c>
      <c r="G394" s="277">
        <v>0</v>
      </c>
      <c r="H394" s="277">
        <f t="shared" ref="H394:H442" si="2">F394+G394</f>
        <v>322</v>
      </c>
      <c r="I394" s="1011" t="str">
        <f t="shared" si="1"/>
        <v>%let mcpr1966=322; %let mcprd1966=0;</v>
      </c>
      <c r="J394" s="1011"/>
    </row>
    <row r="395" spans="1:10" x14ac:dyDescent="0.3">
      <c r="A395" s="270">
        <v>21122</v>
      </c>
      <c r="B395" s="601">
        <v>1308</v>
      </c>
      <c r="C395" s="601">
        <v>2237</v>
      </c>
      <c r="D395" s="1142"/>
      <c r="E395" s="272">
        <v>4699</v>
      </c>
      <c r="F395" s="1143">
        <v>640</v>
      </c>
      <c r="G395" s="277">
        <v>0</v>
      </c>
      <c r="H395" s="277">
        <f t="shared" si="2"/>
        <v>640</v>
      </c>
      <c r="I395" s="1011" t="str">
        <f t="shared" si="1"/>
        <v>%let mcpr1967=640; %let mcprd1967=0;</v>
      </c>
      <c r="J395" s="1011"/>
    </row>
    <row r="396" spans="1:10" x14ac:dyDescent="0.3">
      <c r="A396" s="270">
        <v>24598</v>
      </c>
      <c r="B396" s="601">
        <v>1471</v>
      </c>
      <c r="C396" s="601">
        <v>2207</v>
      </c>
      <c r="D396" s="1142"/>
      <c r="E396" s="272">
        <v>5890</v>
      </c>
      <c r="F396" s="1143">
        <v>832</v>
      </c>
      <c r="G396" s="277">
        <v>0</v>
      </c>
      <c r="H396" s="277">
        <f t="shared" si="2"/>
        <v>832</v>
      </c>
      <c r="I396" s="1011" t="str">
        <f t="shared" si="1"/>
        <v>%let mcpr1968=832; %let mcprd1968=0;</v>
      </c>
      <c r="J396" s="1011"/>
    </row>
    <row r="397" spans="1:10" x14ac:dyDescent="0.3">
      <c r="A397" s="270">
        <v>26382</v>
      </c>
      <c r="B397" s="601">
        <v>1541</v>
      </c>
      <c r="C397" s="601">
        <v>2327</v>
      </c>
      <c r="D397" s="1142"/>
      <c r="E397" s="272">
        <v>6695</v>
      </c>
      <c r="F397" s="1143">
        <v>914</v>
      </c>
      <c r="G397" s="277">
        <v>0</v>
      </c>
      <c r="H397" s="277">
        <f t="shared" si="2"/>
        <v>914</v>
      </c>
      <c r="I397" s="1011" t="str">
        <f t="shared" si="1"/>
        <v>%let mcpr1969=914; %let mcprd1969=0;</v>
      </c>
      <c r="J397" s="1011"/>
    </row>
    <row r="398" spans="1:10" x14ac:dyDescent="0.3">
      <c r="A398" s="270">
        <v>31380</v>
      </c>
      <c r="B398" s="601">
        <v>1745</v>
      </c>
      <c r="C398" s="601">
        <v>4186</v>
      </c>
      <c r="D398" s="1142"/>
      <c r="E398" s="272">
        <v>7254</v>
      </c>
      <c r="F398" s="1143">
        <v>1096</v>
      </c>
      <c r="G398" s="277">
        <v>0</v>
      </c>
      <c r="H398" s="277">
        <f t="shared" si="2"/>
        <v>1096</v>
      </c>
      <c r="I398" s="1011" t="str">
        <f t="shared" si="1"/>
        <v>%let mcpr1970=1096; %let mcprd1970=0;</v>
      </c>
      <c r="J398" s="1011"/>
    </row>
    <row r="399" spans="1:10" x14ac:dyDescent="0.3">
      <c r="A399" s="270">
        <v>36617</v>
      </c>
      <c r="B399" s="601">
        <v>1995</v>
      </c>
      <c r="C399" s="601">
        <v>6160</v>
      </c>
      <c r="D399" s="1142"/>
      <c r="E399" s="272">
        <v>8049</v>
      </c>
      <c r="F399" s="1143">
        <v>1302</v>
      </c>
      <c r="G399" s="277">
        <v>0</v>
      </c>
      <c r="H399" s="277">
        <f t="shared" si="2"/>
        <v>1302</v>
      </c>
      <c r="I399" s="1011" t="str">
        <f t="shared" si="1"/>
        <v>%let mcpr1971=1302; %let mcprd1971=0;</v>
      </c>
      <c r="J399" s="1011"/>
    </row>
    <row r="400" spans="1:10" x14ac:dyDescent="0.3">
      <c r="A400" s="270">
        <v>40948</v>
      </c>
      <c r="B400" s="601">
        <v>2154</v>
      </c>
      <c r="C400" s="601">
        <v>6033</v>
      </c>
      <c r="D400" s="1142"/>
      <c r="E400" s="272">
        <v>8836</v>
      </c>
      <c r="F400" s="1143">
        <v>1382</v>
      </c>
      <c r="G400" s="277">
        <v>0</v>
      </c>
      <c r="H400" s="277">
        <f t="shared" si="2"/>
        <v>1382</v>
      </c>
      <c r="I400" s="1011" t="str">
        <f t="shared" si="1"/>
        <v>%let mcpr1972=1382; %let mcprd1972=0;</v>
      </c>
      <c r="J400" s="1011"/>
    </row>
    <row r="401" spans="1:10" x14ac:dyDescent="0.3">
      <c r="A401" s="270">
        <v>50665</v>
      </c>
      <c r="B401" s="601">
        <v>2566</v>
      </c>
      <c r="C401" s="601">
        <v>4570</v>
      </c>
      <c r="D401" s="1142"/>
      <c r="E401" s="272">
        <v>10244</v>
      </c>
      <c r="F401" s="1143">
        <v>1550</v>
      </c>
      <c r="G401" s="277">
        <v>0</v>
      </c>
      <c r="H401" s="277">
        <f t="shared" si="2"/>
        <v>1550</v>
      </c>
      <c r="I401" s="1011" t="str">
        <f t="shared" si="1"/>
        <v>%let mcpr1973=1550; %let mcprd1973=0;</v>
      </c>
      <c r="J401" s="1011"/>
    </row>
    <row r="402" spans="1:10" x14ac:dyDescent="0.3">
      <c r="A402" s="270">
        <v>57607</v>
      </c>
      <c r="B402" s="601">
        <v>2797</v>
      </c>
      <c r="C402" s="601">
        <v>7021</v>
      </c>
      <c r="D402" s="1142"/>
      <c r="E402" s="272">
        <v>12726</v>
      </c>
      <c r="F402" s="1143">
        <v>1804</v>
      </c>
      <c r="G402" s="277">
        <v>0</v>
      </c>
      <c r="H402" s="277">
        <f t="shared" si="2"/>
        <v>1804</v>
      </c>
      <c r="I402" s="1011" t="str">
        <f t="shared" si="1"/>
        <v>%let mcpr1974=1804; %let mcprd1974=0;</v>
      </c>
      <c r="J402" s="1011"/>
    </row>
    <row r="403" spans="1:10" x14ac:dyDescent="0.3">
      <c r="A403" s="270">
        <v>65895</v>
      </c>
      <c r="B403" s="601">
        <v>3265</v>
      </c>
      <c r="C403" s="601">
        <v>18140</v>
      </c>
      <c r="D403" s="1142"/>
      <c r="E403" s="272">
        <v>15633</v>
      </c>
      <c r="F403" s="1143">
        <v>1918</v>
      </c>
      <c r="G403" s="277">
        <v>0</v>
      </c>
      <c r="H403" s="277">
        <f t="shared" si="2"/>
        <v>1918</v>
      </c>
      <c r="I403" s="1011" t="str">
        <f t="shared" si="1"/>
        <v>%let mcpr1975=1918; %let mcprd1975=0;</v>
      </c>
      <c r="J403" s="1011"/>
    </row>
    <row r="404" spans="1:10" x14ac:dyDescent="0.3">
      <c r="A404" s="270">
        <v>74501</v>
      </c>
      <c r="B404" s="601">
        <v>3550</v>
      </c>
      <c r="C404" s="601">
        <v>16386</v>
      </c>
      <c r="D404" s="1142"/>
      <c r="E404" s="272">
        <v>18795</v>
      </c>
      <c r="F404" s="1143">
        <v>2060</v>
      </c>
      <c r="G404" s="277">
        <v>0</v>
      </c>
      <c r="H404" s="277">
        <f t="shared" si="2"/>
        <v>2060</v>
      </c>
      <c r="I404" s="1011" t="str">
        <f t="shared" si="1"/>
        <v>%let mcpr1976=2060; %let mcprd1976=0;</v>
      </c>
      <c r="J404" s="1011"/>
    </row>
    <row r="405" spans="1:10" x14ac:dyDescent="0.3">
      <c r="A405" s="270">
        <v>83239</v>
      </c>
      <c r="B405" s="601">
        <v>3783</v>
      </c>
      <c r="C405" s="601">
        <v>13129</v>
      </c>
      <c r="D405" s="1142"/>
      <c r="E405" s="272">
        <v>22101</v>
      </c>
      <c r="F405" s="1143">
        <v>2247</v>
      </c>
      <c r="G405" s="277">
        <v>0</v>
      </c>
      <c r="H405" s="277">
        <f t="shared" si="2"/>
        <v>2247</v>
      </c>
      <c r="I405" s="1011" t="str">
        <f t="shared" si="1"/>
        <v>%let mcpr1977=2247; %let mcprd1977=0;</v>
      </c>
      <c r="J405" s="1011"/>
    </row>
    <row r="406" spans="1:10" x14ac:dyDescent="0.3">
      <c r="A406" s="270">
        <v>91380</v>
      </c>
      <c r="B406" s="601">
        <v>3985</v>
      </c>
      <c r="C406" s="601">
        <v>9417</v>
      </c>
      <c r="D406" s="1142"/>
      <c r="E406" s="272">
        <v>25543</v>
      </c>
      <c r="F406" s="1143">
        <v>2470</v>
      </c>
      <c r="G406" s="277">
        <v>0</v>
      </c>
      <c r="H406" s="277">
        <f t="shared" si="2"/>
        <v>2470</v>
      </c>
      <c r="I406" s="1011" t="str">
        <f t="shared" si="1"/>
        <v>%let mcpr1978=2470; %let mcprd1978=0;</v>
      </c>
      <c r="J406" s="1011"/>
    </row>
    <row r="407" spans="1:10" x14ac:dyDescent="0.3">
      <c r="A407" s="270">
        <v>102581</v>
      </c>
      <c r="B407" s="601">
        <v>4313</v>
      </c>
      <c r="C407" s="601">
        <v>9692</v>
      </c>
      <c r="D407" s="1142"/>
      <c r="E407" s="272">
        <v>29936</v>
      </c>
      <c r="F407" s="1143">
        <v>2719</v>
      </c>
      <c r="G407" s="277">
        <v>0</v>
      </c>
      <c r="H407" s="277">
        <f t="shared" si="2"/>
        <v>2719</v>
      </c>
      <c r="I407" s="1011" t="str">
        <f t="shared" si="1"/>
        <v>%let mcpr1979=2719; %let mcprd1979=0;</v>
      </c>
      <c r="J407" s="1011"/>
    </row>
    <row r="408" spans="1:10" x14ac:dyDescent="0.3">
      <c r="A408" s="270">
        <v>118586</v>
      </c>
      <c r="B408" s="601">
        <v>4812</v>
      </c>
      <c r="C408" s="601">
        <v>16097</v>
      </c>
      <c r="D408" s="1142"/>
      <c r="E408" s="272">
        <v>36201</v>
      </c>
      <c r="F408" s="1143">
        <v>3011</v>
      </c>
      <c r="G408" s="277">
        <v>0</v>
      </c>
      <c r="H408" s="277">
        <f t="shared" si="2"/>
        <v>3011</v>
      </c>
      <c r="I408" s="1011" t="str">
        <f t="shared" si="1"/>
        <v>%let mcpr1980=3011; %let mcprd1980=0;</v>
      </c>
      <c r="J408" s="1011"/>
    </row>
    <row r="409" spans="1:10" x14ac:dyDescent="0.3">
      <c r="A409" s="270">
        <v>138644</v>
      </c>
      <c r="B409" s="601">
        <v>5314</v>
      </c>
      <c r="C409" s="601">
        <v>15885</v>
      </c>
      <c r="D409" s="1142"/>
      <c r="E409" s="272">
        <v>43499</v>
      </c>
      <c r="F409" s="1143">
        <v>3722</v>
      </c>
      <c r="G409" s="277">
        <v>0</v>
      </c>
      <c r="H409" s="277">
        <f t="shared" si="2"/>
        <v>3722</v>
      </c>
      <c r="I409" s="1011" t="str">
        <f t="shared" si="1"/>
        <v>%let mcpr1981=3722; %let mcprd1981=0;</v>
      </c>
      <c r="J409" s="1011"/>
    </row>
    <row r="410" spans="1:10" x14ac:dyDescent="0.3">
      <c r="A410" s="270">
        <v>153708</v>
      </c>
      <c r="B410" s="601">
        <v>5771</v>
      </c>
      <c r="C410" s="601">
        <v>25227</v>
      </c>
      <c r="D410" s="1142"/>
      <c r="E410" s="272">
        <v>50927</v>
      </c>
      <c r="F410" s="1143">
        <v>3697</v>
      </c>
      <c r="G410" s="277">
        <v>0</v>
      </c>
      <c r="H410" s="277">
        <f t="shared" si="2"/>
        <v>3697</v>
      </c>
      <c r="I410" s="1011" t="str">
        <f t="shared" si="1"/>
        <v>%let mcpr1982=3697; %let mcprd1982=0;</v>
      </c>
      <c r="J410" s="1011"/>
    </row>
    <row r="411" spans="1:10" x14ac:dyDescent="0.3">
      <c r="A411" s="270">
        <v>164426</v>
      </c>
      <c r="B411" s="601">
        <v>6011</v>
      </c>
      <c r="C411" s="601">
        <v>26411</v>
      </c>
      <c r="D411" s="1142"/>
      <c r="E411" s="272">
        <v>57797</v>
      </c>
      <c r="F411" s="1143">
        <v>4236</v>
      </c>
      <c r="G411" s="277">
        <v>0</v>
      </c>
      <c r="H411" s="277">
        <f t="shared" si="2"/>
        <v>4236</v>
      </c>
      <c r="I411" s="1011" t="str">
        <f t="shared" si="1"/>
        <v>%let mcpr1983=4236; %let mcprd1983=0;</v>
      </c>
      <c r="J411" s="1011"/>
    </row>
    <row r="412" spans="1:10" x14ac:dyDescent="0.3">
      <c r="A412" s="270">
        <v>173027</v>
      </c>
      <c r="B412" s="601">
        <v>6065</v>
      </c>
      <c r="C412" s="601">
        <v>15991</v>
      </c>
      <c r="D412" s="1142"/>
      <c r="E412" s="272">
        <v>64748</v>
      </c>
      <c r="F412" s="1143">
        <v>5167</v>
      </c>
      <c r="G412" s="277">
        <v>0</v>
      </c>
      <c r="H412" s="277">
        <f t="shared" si="2"/>
        <v>5167</v>
      </c>
      <c r="I412" s="1011" t="str">
        <f t="shared" si="1"/>
        <v>%let mcpr1984=5167; %let mcprd1984=0;</v>
      </c>
      <c r="J412" s="1011"/>
    </row>
    <row r="413" spans="1:10" x14ac:dyDescent="0.3">
      <c r="A413" s="270">
        <v>183275</v>
      </c>
      <c r="B413" s="601">
        <v>6211</v>
      </c>
      <c r="C413" s="601">
        <v>15861</v>
      </c>
      <c r="D413" s="1142"/>
      <c r="E413" s="272">
        <v>69720</v>
      </c>
      <c r="F413" s="1143">
        <v>5613</v>
      </c>
      <c r="G413" s="277">
        <v>0</v>
      </c>
      <c r="H413" s="277">
        <f t="shared" si="2"/>
        <v>5613</v>
      </c>
      <c r="I413" s="1011" t="str">
        <f t="shared" si="1"/>
        <v>%let mcpr1985=5613; %let mcprd1985=0;</v>
      </c>
      <c r="J413" s="1011"/>
    </row>
    <row r="414" spans="1:10" x14ac:dyDescent="0.3">
      <c r="A414" s="270">
        <v>193631</v>
      </c>
      <c r="B414" s="601">
        <v>6351</v>
      </c>
      <c r="C414" s="601">
        <v>16467</v>
      </c>
      <c r="D414" s="1142"/>
      <c r="E414" s="272">
        <v>75269</v>
      </c>
      <c r="F414" s="1143">
        <v>5722</v>
      </c>
      <c r="G414" s="277">
        <v>0</v>
      </c>
      <c r="H414" s="277">
        <f t="shared" si="2"/>
        <v>5722</v>
      </c>
      <c r="I414" s="1011" t="str">
        <f t="shared" si="1"/>
        <v>%let mcpr1986=5722; %let mcprd1986=0;</v>
      </c>
      <c r="J414" s="1011"/>
    </row>
    <row r="415" spans="1:10" x14ac:dyDescent="0.3">
      <c r="A415" s="270">
        <v>200995</v>
      </c>
      <c r="B415" s="601">
        <v>6478</v>
      </c>
      <c r="C415" s="601">
        <v>14625</v>
      </c>
      <c r="D415" s="1142"/>
      <c r="E415" s="272">
        <v>81585</v>
      </c>
      <c r="F415" s="1143">
        <v>7409</v>
      </c>
      <c r="G415" s="277">
        <v>0</v>
      </c>
      <c r="H415" s="277">
        <f t="shared" si="2"/>
        <v>7409</v>
      </c>
      <c r="I415" s="1011" t="str">
        <f t="shared" si="1"/>
        <v>%let mcpr1987=7409; %let mcprd1987=0;</v>
      </c>
      <c r="J415" s="1011"/>
    </row>
    <row r="416" spans="1:10" x14ac:dyDescent="0.3">
      <c r="A416" s="270">
        <v>213916</v>
      </c>
      <c r="B416" s="601">
        <v>6708</v>
      </c>
      <c r="C416" s="601">
        <v>13328</v>
      </c>
      <c r="D416" s="1142"/>
      <c r="E416" s="272">
        <v>86289</v>
      </c>
      <c r="F416" s="1143">
        <v>8761</v>
      </c>
      <c r="G416" s="277">
        <v>0</v>
      </c>
      <c r="H416" s="277">
        <f t="shared" si="2"/>
        <v>8761</v>
      </c>
      <c r="I416" s="1011" t="str">
        <f t="shared" si="1"/>
        <v>%let mcpr1988=8761; %let mcprd1988=0;</v>
      </c>
      <c r="J416" s="1011"/>
    </row>
    <row r="417" spans="1:10" x14ac:dyDescent="0.3">
      <c r="A417" s="270">
        <v>227380</v>
      </c>
      <c r="B417" s="601">
        <v>6958</v>
      </c>
      <c r="C417" s="601">
        <v>14410</v>
      </c>
      <c r="D417" s="1142"/>
      <c r="E417" s="272">
        <v>98175</v>
      </c>
      <c r="F417" s="1143">
        <v>12263</v>
      </c>
      <c r="G417" s="277">
        <v>0</v>
      </c>
      <c r="H417" s="277">
        <f t="shared" si="2"/>
        <v>12263</v>
      </c>
      <c r="I417" s="1011" t="str">
        <f t="shared" si="1"/>
        <v>%let mcpr1989=12263; %let mcprd1989=0;</v>
      </c>
      <c r="J417" s="1011"/>
    </row>
    <row r="418" spans="1:10" x14ac:dyDescent="0.3">
      <c r="A418" s="270">
        <v>244135</v>
      </c>
      <c r="B418" s="601">
        <v>7221</v>
      </c>
      <c r="C418" s="601">
        <v>18162</v>
      </c>
      <c r="D418" s="1142"/>
      <c r="E418" s="272">
        <v>107638</v>
      </c>
      <c r="F418" s="1143">
        <v>11320</v>
      </c>
      <c r="G418" s="277">
        <v>0</v>
      </c>
      <c r="H418" s="277">
        <f t="shared" si="2"/>
        <v>11320</v>
      </c>
      <c r="I418" s="1011" t="str">
        <f t="shared" si="1"/>
        <v>%let mcpr1990=11320; %let mcprd1990=0;</v>
      </c>
      <c r="J418" s="1011"/>
    </row>
    <row r="419" spans="1:10" x14ac:dyDescent="0.3">
      <c r="A419" s="270">
        <v>264204</v>
      </c>
      <c r="B419" s="601">
        <v>7513</v>
      </c>
      <c r="C419" s="601">
        <v>26787</v>
      </c>
      <c r="D419" s="1142"/>
      <c r="E419" s="272">
        <v>117487</v>
      </c>
      <c r="F419" s="1143">
        <v>11934</v>
      </c>
      <c r="G419" s="277">
        <v>0</v>
      </c>
      <c r="H419" s="277">
        <f t="shared" si="2"/>
        <v>11934</v>
      </c>
      <c r="I419" s="1011" t="str">
        <f t="shared" si="1"/>
        <v>%let mcpr1991=11934; %let mcprd1991=0;</v>
      </c>
      <c r="J419" s="1011"/>
    </row>
    <row r="420" spans="1:10" x14ac:dyDescent="0.3">
      <c r="A420" s="270">
        <v>281776</v>
      </c>
      <c r="B420" s="601">
        <v>7744</v>
      </c>
      <c r="C420" s="601">
        <v>39617</v>
      </c>
      <c r="D420" s="1142"/>
      <c r="E420" s="272">
        <v>132596</v>
      </c>
      <c r="F420" s="1143">
        <v>14077</v>
      </c>
      <c r="G420" s="277">
        <v>0</v>
      </c>
      <c r="H420" s="277">
        <f t="shared" si="2"/>
        <v>14077</v>
      </c>
      <c r="I420" s="1011" t="str">
        <f t="shared" si="1"/>
        <v>%let mcpr1992=14077; %let mcprd1992=0;</v>
      </c>
      <c r="J420" s="1011"/>
    </row>
    <row r="421" spans="1:10" x14ac:dyDescent="0.3">
      <c r="A421" s="270">
        <v>297935</v>
      </c>
      <c r="B421" s="601">
        <v>7825</v>
      </c>
      <c r="C421" s="601">
        <v>34848</v>
      </c>
      <c r="D421" s="1142"/>
      <c r="E421" s="272">
        <v>146785</v>
      </c>
      <c r="F421" s="1143">
        <v>14193</v>
      </c>
      <c r="G421" s="277">
        <v>0</v>
      </c>
      <c r="H421" s="277">
        <f t="shared" si="2"/>
        <v>14193</v>
      </c>
      <c r="I421" s="1011" t="str">
        <f t="shared" si="1"/>
        <v>%let mcpr1993=14193; %let mcprd1993=0;</v>
      </c>
      <c r="J421" s="1011"/>
    </row>
    <row r="422" spans="1:10" x14ac:dyDescent="0.3">
      <c r="A422" s="270">
        <v>312161</v>
      </c>
      <c r="B422" s="601">
        <v>7961</v>
      </c>
      <c r="C422" s="601">
        <v>23942</v>
      </c>
      <c r="D422" s="1142"/>
      <c r="E422" s="272">
        <v>164423</v>
      </c>
      <c r="F422" s="1143">
        <v>17386</v>
      </c>
      <c r="G422" s="277">
        <v>0</v>
      </c>
      <c r="H422" s="277">
        <f t="shared" si="2"/>
        <v>17386</v>
      </c>
      <c r="I422" s="1011" t="str">
        <f t="shared" si="1"/>
        <v>%let mcpr1994=17386; %let mcprd1994=0;</v>
      </c>
      <c r="J422" s="1011"/>
    </row>
    <row r="423" spans="1:10" x14ac:dyDescent="0.3">
      <c r="A423" s="270">
        <v>327675</v>
      </c>
      <c r="B423" s="601">
        <v>8025</v>
      </c>
      <c r="C423" s="601">
        <v>21734</v>
      </c>
      <c r="D423" s="1142"/>
      <c r="E423" s="272">
        <v>181220</v>
      </c>
      <c r="F423" s="1143">
        <v>19717</v>
      </c>
      <c r="G423" s="277">
        <v>0</v>
      </c>
      <c r="H423" s="277">
        <f t="shared" si="2"/>
        <v>19717</v>
      </c>
      <c r="I423" s="1011" t="str">
        <f t="shared" si="1"/>
        <v>%let mcpr1995=19717; %let mcprd1995=0;</v>
      </c>
      <c r="J423" s="1011"/>
    </row>
    <row r="424" spans="1:10" x14ac:dyDescent="0.3">
      <c r="A424" s="270">
        <v>342005</v>
      </c>
      <c r="B424" s="601">
        <v>8087</v>
      </c>
      <c r="C424" s="601">
        <v>22274</v>
      </c>
      <c r="D424" s="1142"/>
      <c r="E424" s="272">
        <v>194868</v>
      </c>
      <c r="F424" s="1143">
        <v>18763</v>
      </c>
      <c r="G424" s="277">
        <v>0</v>
      </c>
      <c r="H424" s="277">
        <f t="shared" si="2"/>
        <v>18763</v>
      </c>
      <c r="I424" s="1011" t="str">
        <f t="shared" si="1"/>
        <v>%let mcpr1996=18763; %let mcprd1996=0;</v>
      </c>
      <c r="J424" s="1011"/>
    </row>
    <row r="425" spans="1:10" x14ac:dyDescent="0.3">
      <c r="A425" s="270">
        <v>356592</v>
      </c>
      <c r="B425" s="601">
        <v>8198</v>
      </c>
      <c r="C425" s="601">
        <v>20103</v>
      </c>
      <c r="D425" s="1142"/>
      <c r="E425" s="272">
        <v>206917</v>
      </c>
      <c r="F425" s="1143">
        <v>19289</v>
      </c>
      <c r="G425" s="277">
        <v>0</v>
      </c>
      <c r="H425" s="277">
        <f t="shared" si="2"/>
        <v>19289</v>
      </c>
      <c r="I425" s="1011" t="str">
        <f t="shared" si="1"/>
        <v>%let mcpr1997=19289; %let mcprd1997=0;</v>
      </c>
      <c r="J425" s="1011"/>
    </row>
    <row r="426" spans="1:10" x14ac:dyDescent="0.3">
      <c r="A426" s="270">
        <v>369182</v>
      </c>
      <c r="B426" s="601">
        <v>8229</v>
      </c>
      <c r="C426" s="601">
        <v>19693</v>
      </c>
      <c r="D426" s="1142"/>
      <c r="E426" s="272">
        <v>205558</v>
      </c>
      <c r="F426" s="1143">
        <v>20933</v>
      </c>
      <c r="G426" s="277">
        <v>0</v>
      </c>
      <c r="H426" s="277">
        <f t="shared" si="2"/>
        <v>20933</v>
      </c>
      <c r="I426" s="1011" t="str">
        <f t="shared" si="1"/>
        <v>%let mcpr1998=20933; %let mcprd1998=0;</v>
      </c>
      <c r="J426" s="1011"/>
    </row>
    <row r="427" spans="1:10" x14ac:dyDescent="0.3">
      <c r="A427" s="270">
        <v>379864</v>
      </c>
      <c r="B427" s="601">
        <v>8206</v>
      </c>
      <c r="C427" s="601">
        <v>20509</v>
      </c>
      <c r="D427" s="1142"/>
      <c r="E427" s="272">
        <v>208736</v>
      </c>
      <c r="F427" s="1143">
        <v>18967</v>
      </c>
      <c r="G427" s="277">
        <v>0</v>
      </c>
      <c r="H427" s="277">
        <f t="shared" si="2"/>
        <v>18967</v>
      </c>
      <c r="I427" s="1011" t="str">
        <f t="shared" si="1"/>
        <v>%let mcpr1999=18967; %let mcprd1999=0;</v>
      </c>
      <c r="J427" s="1011"/>
    </row>
    <row r="428" spans="1:10" x14ac:dyDescent="0.3">
      <c r="A428" s="270">
        <v>401393</v>
      </c>
      <c r="B428" s="601">
        <v>8267</v>
      </c>
      <c r="C428" s="601">
        <v>20741</v>
      </c>
      <c r="D428" s="1142"/>
      <c r="E428" s="272">
        <v>219117</v>
      </c>
      <c r="F428" s="1143">
        <v>20555</v>
      </c>
      <c r="G428" s="277">
        <v>0</v>
      </c>
      <c r="H428" s="277">
        <f t="shared" si="2"/>
        <v>20555</v>
      </c>
      <c r="I428" s="1011" t="str">
        <f t="shared" si="1"/>
        <v>%let mcpr2000=20555; %let mcprd2000=0;</v>
      </c>
      <c r="J428" s="1011"/>
    </row>
    <row r="429" spans="1:10" x14ac:dyDescent="0.3">
      <c r="A429" s="270">
        <v>425084</v>
      </c>
      <c r="B429" s="601">
        <v>8412</v>
      </c>
      <c r="C429" s="601">
        <v>31899</v>
      </c>
      <c r="D429" s="1142"/>
      <c r="E429" s="272">
        <v>242580</v>
      </c>
      <c r="F429" s="1143">
        <v>22764</v>
      </c>
      <c r="G429" s="277">
        <v>0</v>
      </c>
      <c r="H429" s="277">
        <f t="shared" si="2"/>
        <v>22764</v>
      </c>
      <c r="I429" s="1011" t="str">
        <f t="shared" si="1"/>
        <v>%let mcpr2001=22764; %let mcprd2001=0;</v>
      </c>
      <c r="J429" s="1011"/>
    </row>
    <row r="430" spans="1:10" x14ac:dyDescent="0.3">
      <c r="A430" s="270">
        <v>446909</v>
      </c>
      <c r="B430" s="601">
        <v>8700</v>
      </c>
      <c r="C430" s="601">
        <v>53481</v>
      </c>
      <c r="D430" s="1142"/>
      <c r="E430" s="272">
        <v>259189</v>
      </c>
      <c r="F430" s="1143">
        <v>25066</v>
      </c>
      <c r="G430" s="277">
        <v>0</v>
      </c>
      <c r="H430" s="277">
        <f t="shared" si="2"/>
        <v>25066</v>
      </c>
      <c r="I430" s="1011" t="str">
        <f t="shared" si="1"/>
        <v>%let mcpr2002=25066; %let mcprd2002=0;</v>
      </c>
      <c r="J430" s="1011"/>
    </row>
    <row r="431" spans="1:10" x14ac:dyDescent="0.3">
      <c r="A431" s="270">
        <v>463531</v>
      </c>
      <c r="B431" s="601">
        <v>8854</v>
      </c>
      <c r="C431" s="601">
        <v>53174</v>
      </c>
      <c r="D431" s="1142"/>
      <c r="E431" s="272">
        <v>276735</v>
      </c>
      <c r="F431" s="1143">
        <v>27402</v>
      </c>
      <c r="G431" s="277">
        <v>0</v>
      </c>
      <c r="H431" s="277">
        <f t="shared" si="2"/>
        <v>27402</v>
      </c>
      <c r="I431" s="1011" t="str">
        <f t="shared" si="1"/>
        <v>%let mcpr2003=27402; %let mcprd2003=0;</v>
      </c>
      <c r="J431" s="1011"/>
    </row>
    <row r="432" spans="1:10" x14ac:dyDescent="0.3">
      <c r="A432" s="270">
        <v>485512</v>
      </c>
      <c r="B432" s="601">
        <v>9009</v>
      </c>
      <c r="C432" s="601">
        <v>36424</v>
      </c>
      <c r="D432" s="1142"/>
      <c r="E432" s="272">
        <v>304397</v>
      </c>
      <c r="F432" s="1143">
        <v>31435</v>
      </c>
      <c r="G432" s="277">
        <v>0</v>
      </c>
      <c r="H432" s="277">
        <f t="shared" si="2"/>
        <v>31435</v>
      </c>
      <c r="I432" s="1011" t="str">
        <f t="shared" si="1"/>
        <v>%let mcpr2004=31435; %let mcprd2004=0;</v>
      </c>
      <c r="J432" s="1011"/>
    </row>
    <row r="433" spans="1:10" x14ac:dyDescent="0.3">
      <c r="A433" s="270">
        <v>512728</v>
      </c>
      <c r="B433" s="601">
        <v>9194</v>
      </c>
      <c r="C433" s="601">
        <v>31774</v>
      </c>
      <c r="D433" s="1142"/>
      <c r="E433" s="272">
        <v>332161</v>
      </c>
      <c r="F433" s="1143">
        <v>37535</v>
      </c>
      <c r="G433" s="277">
        <v>0</v>
      </c>
      <c r="H433" s="277">
        <f t="shared" si="2"/>
        <v>37535</v>
      </c>
      <c r="I433" s="1011" t="str">
        <f t="shared" si="1"/>
        <v>%let mcpr2005=37535; %let mcprd2005=0;</v>
      </c>
      <c r="J433" s="1011"/>
    </row>
    <row r="434" spans="1:10" x14ac:dyDescent="0.3">
      <c r="A434" s="270">
        <v>544096</v>
      </c>
      <c r="B434" s="601">
        <v>9519</v>
      </c>
      <c r="C434" s="601">
        <v>30367</v>
      </c>
      <c r="D434" s="1142"/>
      <c r="E434" s="272">
        <v>399183</v>
      </c>
      <c r="F434" s="1143">
        <v>42853</v>
      </c>
      <c r="G434" s="1143">
        <v>3484</v>
      </c>
      <c r="H434" s="277">
        <f t="shared" si="2"/>
        <v>46337</v>
      </c>
      <c r="I434" s="1011" t="str">
        <f t="shared" si="1"/>
        <v>%let mcpr2006=42853; %let mcprd2006=3484;</v>
      </c>
      <c r="J434" s="1011"/>
    </row>
    <row r="435" spans="1:10" x14ac:dyDescent="0.3">
      <c r="A435" s="270">
        <v>575653</v>
      </c>
      <c r="B435" s="601">
        <v>9813</v>
      </c>
      <c r="C435" s="601">
        <v>32739</v>
      </c>
      <c r="D435" s="1142"/>
      <c r="E435" s="272">
        <v>429044</v>
      </c>
      <c r="F435" s="1143">
        <v>46773</v>
      </c>
      <c r="G435" s="1143">
        <v>4071</v>
      </c>
      <c r="H435" s="277">
        <f t="shared" si="2"/>
        <v>50844</v>
      </c>
      <c r="I435" s="1011" t="str">
        <f t="shared" si="1"/>
        <v>%let mcpr2007=46773; %let mcprd2007=4071;</v>
      </c>
      <c r="J435" s="1011"/>
    </row>
    <row r="436" spans="1:10" x14ac:dyDescent="0.3">
      <c r="A436" s="270">
        <v>605542</v>
      </c>
      <c r="B436" s="601">
        <v>10068</v>
      </c>
      <c r="C436" s="601">
        <v>51147</v>
      </c>
      <c r="D436" s="1142"/>
      <c r="E436" s="272">
        <v>462929</v>
      </c>
      <c r="F436" s="1143">
        <v>50232</v>
      </c>
      <c r="G436" s="1143">
        <v>5030</v>
      </c>
      <c r="H436" s="277">
        <f t="shared" si="2"/>
        <v>55262</v>
      </c>
      <c r="I436" s="1011" t="str">
        <f t="shared" si="1"/>
        <v>%let mcpr2008=50232; %let mcprd2008=5030;</v>
      </c>
      <c r="J436" s="1011"/>
    </row>
    <row r="437" spans="1:10" x14ac:dyDescent="0.3">
      <c r="A437" s="270">
        <v>664470</v>
      </c>
      <c r="B437" s="601">
        <v>10630</v>
      </c>
      <c r="C437" s="601">
        <v>131210</v>
      </c>
      <c r="D437" s="1142"/>
      <c r="E437" s="272">
        <v>494614</v>
      </c>
      <c r="F437" s="1143">
        <v>56040</v>
      </c>
      <c r="G437" s="1143">
        <v>6330</v>
      </c>
      <c r="H437" s="277">
        <f t="shared" si="2"/>
        <v>62370</v>
      </c>
      <c r="I437" s="1011" t="str">
        <f t="shared" si="1"/>
        <v>%let mcpr2009=56040; %let mcprd2009=6330;</v>
      </c>
      <c r="J437" s="1011"/>
    </row>
    <row r="438" spans="1:10" x14ac:dyDescent="0.3">
      <c r="A438" s="270">
        <v>690174</v>
      </c>
      <c r="B438" s="601">
        <v>10779</v>
      </c>
      <c r="C438" s="601">
        <v>138854</v>
      </c>
      <c r="D438" s="1142"/>
      <c r="E438" s="272">
        <v>513820</v>
      </c>
      <c r="F438" s="1143">
        <v>51986</v>
      </c>
      <c r="G438" s="1143">
        <v>6527</v>
      </c>
      <c r="H438" s="277">
        <f t="shared" si="2"/>
        <v>58513</v>
      </c>
      <c r="I438" s="1011" t="str">
        <f t="shared" si="1"/>
        <v>%let mcpr2010=51986; %let mcprd2010=6527;</v>
      </c>
      <c r="J438" s="1011"/>
    </row>
    <row r="439" spans="1:10" x14ac:dyDescent="0.3">
      <c r="A439" s="270">
        <v>713261</v>
      </c>
      <c r="B439" s="601">
        <v>10961</v>
      </c>
      <c r="C439" s="601">
        <v>107161</v>
      </c>
      <c r="D439" s="1142"/>
      <c r="E439" s="272">
        <v>536007</v>
      </c>
      <c r="F439" s="1143">
        <v>57514</v>
      </c>
      <c r="G439" s="1143">
        <v>7714</v>
      </c>
      <c r="H439" s="277">
        <f t="shared" si="2"/>
        <v>65228</v>
      </c>
      <c r="I439" s="1011" t="str">
        <f t="shared" si="1"/>
        <v>%let mcpr2011=57514; %let mcprd2011=7714;</v>
      </c>
      <c r="J439" s="1011"/>
    </row>
    <row r="440" spans="1:10" x14ac:dyDescent="0.3">
      <c r="A440" s="270">
        <v>762139</v>
      </c>
      <c r="B440" s="601">
        <v>11410</v>
      </c>
      <c r="C440" s="601">
        <v>83795</v>
      </c>
      <c r="D440" s="1142"/>
      <c r="E440" s="272">
        <v>556328</v>
      </c>
      <c r="F440" s="1143">
        <v>58024</v>
      </c>
      <c r="G440" s="1143">
        <v>8334</v>
      </c>
      <c r="H440" s="277">
        <f t="shared" si="2"/>
        <v>66358</v>
      </c>
      <c r="I440" s="1011" t="str">
        <f t="shared" si="1"/>
        <v>%let mcpr2012=58024; %let mcprd2012=8334;</v>
      </c>
      <c r="J440" s="1011"/>
    </row>
    <row r="441" spans="1:10" x14ac:dyDescent="0.3">
      <c r="A441" s="280">
        <v>799044</v>
      </c>
      <c r="B441" s="607">
        <v>11676</v>
      </c>
      <c r="C441" s="607">
        <v>62330</v>
      </c>
      <c r="D441" s="1142"/>
      <c r="E441" s="272">
        <v>575013</v>
      </c>
      <c r="F441" s="1143">
        <v>63085</v>
      </c>
      <c r="G441" s="1143">
        <v>9925</v>
      </c>
      <c r="H441" s="277">
        <f t="shared" si="2"/>
        <v>73010</v>
      </c>
      <c r="I441" s="1011" t="str">
        <f t="shared" si="1"/>
        <v>%let mcpr2013=63085; %let mcprd2013=9925;</v>
      </c>
      <c r="J441" s="1011"/>
    </row>
    <row r="442" spans="1:10" x14ac:dyDescent="0.3">
      <c r="A442" s="270">
        <v>834640</v>
      </c>
      <c r="B442" s="601">
        <v>11955</v>
      </c>
      <c r="C442" s="601">
        <v>35449</v>
      </c>
      <c r="D442" s="1142"/>
      <c r="E442" s="272">
        <v>600907</v>
      </c>
      <c r="F442" s="1143">
        <v>65644</v>
      </c>
      <c r="G442" s="1143">
        <v>11377</v>
      </c>
      <c r="H442" s="277">
        <f t="shared" si="2"/>
        <v>77021</v>
      </c>
      <c r="I442" s="1011" t="str">
        <f t="shared" si="1"/>
        <v>%let mcpr2014=65644; %let mcprd2014=11377;</v>
      </c>
      <c r="J442" s="1011"/>
    </row>
    <row r="443" spans="1:10" x14ac:dyDescent="0.3">
      <c r="A443" s="270">
        <v>871793</v>
      </c>
      <c r="B443" s="601">
        <v>12228</v>
      </c>
      <c r="C443" s="601">
        <v>32150</v>
      </c>
      <c r="D443" s="1142"/>
      <c r="E443" s="272">
        <v>633656</v>
      </c>
      <c r="F443" s="1143">
        <v>69446</v>
      </c>
      <c r="G443" s="1143">
        <v>12758</v>
      </c>
      <c r="H443" s="277">
        <f>F443+G443</f>
        <v>82204</v>
      </c>
      <c r="I443" s="1011" t="str">
        <f t="shared" si="1"/>
        <v>%let mcpr2015=69446; %let mcprd2015=12758;</v>
      </c>
      <c r="J443" s="8"/>
    </row>
    <row r="444" spans="1:10" x14ac:dyDescent="0.3">
      <c r="A444" s="270">
        <v>896470</v>
      </c>
      <c r="B444" s="601">
        <v>12352</v>
      </c>
      <c r="C444" s="601">
        <v>31679</v>
      </c>
      <c r="D444" s="1142"/>
      <c r="E444" s="272">
        <v>655855</v>
      </c>
      <c r="F444" s="1143">
        <v>72055</v>
      </c>
      <c r="G444" s="1143">
        <v>13799</v>
      </c>
      <c r="H444" s="277">
        <f>F444+G444</f>
        <v>85854</v>
      </c>
      <c r="I444" s="1011" t="str">
        <f t="shared" si="1"/>
        <v>%let mcpr=72055; %let mcprd=13799;</v>
      </c>
      <c r="J444" s="1011"/>
    </row>
    <row r="445" spans="1:10" x14ac:dyDescent="0.3">
      <c r="A445" s="1011"/>
      <c r="B445" s="1011"/>
      <c r="C445" s="1011"/>
      <c r="D445" s="1142"/>
      <c r="E445" s="277">
        <v>695265</v>
      </c>
      <c r="F445" s="1143">
        <v>81522</v>
      </c>
      <c r="G445" s="1143">
        <v>15494</v>
      </c>
      <c r="H445" s="277">
        <f>F445+G445</f>
        <v>97016</v>
      </c>
      <c r="I445" s="1011" t="str">
        <f t="shared" si="1"/>
        <v>%let mcpr=81522; %let mcprd=15494;</v>
      </c>
      <c r="J445" s="1011"/>
    </row>
  </sheetData>
  <mergeCells count="8">
    <mergeCell ref="A383:H383"/>
    <mergeCell ref="A384:A386"/>
    <mergeCell ref="B384:B386"/>
    <mergeCell ref="C384:C386"/>
    <mergeCell ref="E384:E386"/>
    <mergeCell ref="F384:F386"/>
    <mergeCell ref="G384:G386"/>
    <mergeCell ref="H384:H386"/>
  </mergeCells>
  <hyperlinks>
    <hyperlink ref="A2" location="Index!A1" display="Index"/>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Index</vt:lpstr>
      <vt:lpstr>T-1</vt:lpstr>
      <vt:lpstr>T-2</vt:lpstr>
      <vt:lpstr>T-3</vt:lpstr>
      <vt:lpstr>T-4</vt:lpstr>
      <vt:lpstr>T-5</vt:lpstr>
      <vt:lpstr>F-1</vt:lpstr>
      <vt:lpstr>F-2</vt:lpstr>
      <vt:lpstr>F-3</vt:lpstr>
      <vt:lpstr>F-4</vt:lpstr>
      <vt:lpstr>F-5</vt:lpstr>
      <vt:lpstr>T-A1</vt:lpstr>
      <vt:lpstr>F-A1</vt:lpstr>
      <vt:lpstr>T-B1</vt:lpstr>
      <vt:lpstr>T-B2</vt:lpstr>
      <vt:lpstr>T-B3</vt:lpstr>
      <vt:lpstr>T-B4</vt:lpstr>
      <vt:lpstr>T-B5</vt:lpstr>
      <vt:lpstr>T-B6</vt:lpstr>
      <vt:lpstr>T-B7</vt:lpstr>
      <vt:lpstr>T-B8</vt:lpstr>
      <vt:lpstr>F-B1</vt:lpstr>
      <vt:lpstr>F-B2</vt:lpstr>
      <vt:lpstr>F-B3</vt:lpstr>
      <vt:lpstr>F-B4</vt:lpstr>
      <vt:lpstr>F-B5</vt:lpstr>
      <vt:lpstr>F-B6</vt:lpstr>
      <vt:lpstr>F-B7</vt:lpstr>
      <vt:lpstr>T-T0</vt:lpstr>
      <vt:lpstr>T-T1</vt:lpstr>
      <vt:lpstr>T-T1a</vt:lpstr>
      <vt:lpstr>T-T2</vt:lpstr>
      <vt:lpstr>T-T3</vt:lpstr>
      <vt:lpstr>T-T3a</vt:lpstr>
      <vt:lpstr>C0-Ref Stats</vt:lpstr>
      <vt:lpstr>C1-Incomes</vt:lpstr>
      <vt:lpstr>C2-Shares</vt:lpstr>
      <vt:lpstr>C3-Avg Income</vt:lpstr>
      <vt:lpstr>C4-Sources</vt:lpstr>
      <vt:lpstr>C5-Top Sources</vt:lpstr>
      <vt:lpstr>C5a-Shr by Source</vt:lpstr>
      <vt:lpstr>C6-Source Dist</vt:lpstr>
      <vt:lpstr>C7-Transf Dist</vt:lpstr>
      <vt:lpstr>C8-Tax Dist</vt:lpstr>
      <vt:lpstr>C9-Tax Rates</vt:lpstr>
      <vt:lpstr>C9a-Tax Rates</vt:lpstr>
      <vt:lpstr>C10-Adj by Source</vt:lpstr>
      <vt:lpstr>C11-ESI</vt:lpstr>
      <vt:lpstr>C12-CorpOwn</vt:lpstr>
      <vt:lpstr>C13-CapOwn</vt:lpstr>
      <vt:lpstr>C14-PS shares</vt:lpstr>
      <vt:lpstr>C15-Marriage</vt:lpstr>
      <vt:lpstr>C16-ShareCh</vt:lpstr>
      <vt:lpstr>C17-Over64</vt:lpstr>
      <vt:lpstr>C18-College</vt:lpstr>
      <vt:lpstr>C19-RetShares</vt:lpstr>
      <vt:lpstr>C20-Underrep Inc</vt:lpstr>
      <vt:lpstr>C21-Under20</vt:lpstr>
      <vt:lpstr>C22-Fiduciary</vt:lpstr>
      <vt:lpstr>C23-DCwealth</vt:lpstr>
      <vt:lpstr>C24-Estate</vt:lpstr>
      <vt:lpstr>C25-WageSplit</vt:lpstr>
      <vt:lpstr>C26-PSshare</vt:lpstr>
      <vt:lpstr>C27-PSZrepl</vt:lpstr>
      <vt:lpstr>TOTALS</vt:lpstr>
      <vt:lpstr>INPUTS</vt:lpstr>
    </vt:vector>
  </TitlesOfParts>
  <Company>Joint Committee on Taxation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david.splinter</dc:creator>
  <cp:lastModifiedBy>Inverosimil</cp:lastModifiedBy>
  <cp:lastPrinted>2016-01-04T18:50:21Z</cp:lastPrinted>
  <dcterms:created xsi:type="dcterms:W3CDTF">2015-09-02T17:38:18Z</dcterms:created>
  <dcterms:modified xsi:type="dcterms:W3CDTF">2020-02-27T03:34:37Z</dcterms:modified>
</cp:coreProperties>
</file>